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xl/drawings/drawing1.xml" ContentType="application/vnd.openxmlformats-officedocument.drawing+xml"/>
  <Override PartName="/xl/customProperty2.bin" ContentType="application/vnd.openxmlformats-officedocument.spreadsheetml.customProperty"/>
  <Override PartName="/xl/drawings/drawing2.xml" ContentType="application/vnd.openxmlformats-officedocument.drawing+xml"/>
  <Override PartName="/xl/customProperty3.bin" ContentType="application/vnd.openxmlformats-officedocument.spreadsheetml.customProperty"/>
  <Override PartName="/xl/drawings/drawing3.xml" ContentType="application/vnd.openxmlformats-officedocument.drawing+xml"/>
  <Override PartName="/xl/customProperty4.bin" ContentType="application/vnd.openxmlformats-officedocument.spreadsheetml.customProperty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ustomProperty5.bin" ContentType="application/vnd.openxmlformats-officedocument.spreadsheetml.customProperty"/>
  <Override PartName="/xl/drawings/drawing5.xml" ContentType="application/vnd.openxmlformats-officedocument.drawing+xml"/>
  <Override PartName="/xl/customProperty6.bin" ContentType="application/vnd.openxmlformats-officedocument.spreadsheetml.customProperty"/>
  <Override PartName="/xl/customProperty7.bin" ContentType="application/vnd.openxmlformats-officedocument.spreadsheetml.customProperty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-165" yWindow="2520" windowWidth="12045" windowHeight="2385" tabRatio="914" activeTab="2"/>
  </bookViews>
  <sheets>
    <sheet name="POTENCIAL HORAS" sheetId="1" r:id="rId1"/>
    <sheet name="PROG FORMACIÓN TITULADA" sheetId="2" r:id="rId2"/>
    <sheet name="Calendario Académico 2014" sheetId="18" r:id="rId3"/>
    <sheet name="METAS 2013 VS 2014" sheetId="27" r:id="rId4"/>
    <sheet name="PROG FORM COMPLEM" sheetId="19" r:id="rId5"/>
    <sheet name="OTRAS ACCIONES" sheetId="4" r:id="rId6"/>
    <sheet name="DV-IDENTITY-0" sheetId="17" state="veryHidden" r:id="rId7"/>
    <sheet name="COMPARATIVO PLAN VS PROGRAMACIO" sheetId="26" r:id="rId8"/>
  </sheets>
  <externalReferences>
    <externalReference r:id="rId9"/>
  </externalReferences>
  <definedNames>
    <definedName name="_xlnm._FilterDatabase" localSheetId="2" hidden="1">'Calendario Académico 2014'!$D$3:$J$76</definedName>
    <definedName name="_xlnm._FilterDatabase" localSheetId="3" hidden="1">#REF!</definedName>
    <definedName name="_xlnm._FilterDatabase" localSheetId="5" hidden="1">'OTRAS ACCIONES'!$B$10:$D$89</definedName>
    <definedName name="_xlnm._FilterDatabase" localSheetId="0" hidden="1">'POTENCIAL HORAS'!$A$9:$R$344</definedName>
    <definedName name="_xlnm._FilterDatabase" localSheetId="4" hidden="1">'PROG FORM COMPLEM'!$B$8:$L$264</definedName>
    <definedName name="_xlnm._FilterDatabase" localSheetId="1" hidden="1">'PROG FORMACIÓN TITULADA'!$B$7:$Z$872</definedName>
    <definedName name="_xlnm._FilterDatabase" hidden="1">#REF!</definedName>
    <definedName name="a">#REF!</definedName>
    <definedName name="_xlnm.Print_Area" localSheetId="2">'Calendario Académico 2014'!$A$1:$Y$76</definedName>
    <definedName name="_xlnm.Print_Area" localSheetId="3">'METAS 2013 VS 2014'!$A$2:$I$29</definedName>
    <definedName name="_xlnm.Print_Area" localSheetId="1">'PROG FORMACIÓN TITULADA'!$A$1:$AB$1070</definedName>
    <definedName name="_xlnm.Print_Area">#REF!</definedName>
    <definedName name="INSTRUCTOR">'POTENCIAL HORAS'!$C$12:$C$344</definedName>
    <definedName name="INSTRUCTORES">'POTENCIAL HORAS'!$C$10:$C$344</definedName>
    <definedName name="INSTRUCTORES_CONTRA">'POTENCIAL HORAS'!$C$81:$C$344</definedName>
  </definedNames>
  <calcPr calcId="144525"/>
</workbook>
</file>

<file path=xl/calcChain.xml><?xml version="1.0" encoding="utf-8"?>
<calcChain xmlns="http://schemas.openxmlformats.org/spreadsheetml/2006/main">
  <c r="Z20" i="18" l="1"/>
  <c r="N15" i="18"/>
  <c r="P15" i="18"/>
  <c r="O15" i="18"/>
  <c r="N14" i="18"/>
  <c r="M346" i="1"/>
  <c r="L346" i="1"/>
  <c r="L79" i="1"/>
  <c r="N330" i="1"/>
  <c r="I330" i="1"/>
  <c r="H330" i="1"/>
  <c r="G330" i="1"/>
  <c r="F330" i="1"/>
  <c r="E330" i="1"/>
  <c r="D330" i="1"/>
  <c r="N303" i="1"/>
  <c r="I303" i="1"/>
  <c r="H303" i="1"/>
  <c r="G303" i="1"/>
  <c r="F303" i="1"/>
  <c r="D303" i="1"/>
  <c r="N136" i="1"/>
  <c r="I136" i="1"/>
  <c r="H136" i="1"/>
  <c r="G136" i="1"/>
  <c r="F136" i="1"/>
  <c r="E136" i="1"/>
  <c r="D136" i="1"/>
  <c r="N174" i="1"/>
  <c r="I174" i="1"/>
  <c r="H174" i="1"/>
  <c r="G174" i="1"/>
  <c r="F174" i="1"/>
  <c r="E174" i="1"/>
  <c r="D174" i="1"/>
  <c r="L116" i="19"/>
  <c r="K116" i="19"/>
  <c r="L117" i="19"/>
  <c r="K117" i="19"/>
  <c r="N133" i="1"/>
  <c r="I133" i="1"/>
  <c r="H133" i="1"/>
  <c r="G133" i="1"/>
  <c r="F133" i="1"/>
  <c r="E133" i="1"/>
  <c r="D133" i="1"/>
  <c r="L188" i="19"/>
  <c r="K188" i="19"/>
  <c r="E263" i="1" s="1"/>
  <c r="N263" i="1"/>
  <c r="I263" i="1"/>
  <c r="H263" i="1"/>
  <c r="G263" i="1"/>
  <c r="F263" i="1"/>
  <c r="D263" i="1"/>
  <c r="N208" i="1"/>
  <c r="I208" i="1"/>
  <c r="H208" i="1"/>
  <c r="G208" i="1"/>
  <c r="F208" i="1"/>
  <c r="E208" i="1"/>
  <c r="J208" i="1" s="1"/>
  <c r="D208" i="1"/>
  <c r="N323" i="1"/>
  <c r="I323" i="1"/>
  <c r="H323" i="1"/>
  <c r="G323" i="1"/>
  <c r="F323" i="1"/>
  <c r="E323" i="1"/>
  <c r="D323" i="1"/>
  <c r="J323" i="1" s="1"/>
  <c r="N127" i="1"/>
  <c r="I127" i="1"/>
  <c r="H127" i="1"/>
  <c r="G127" i="1"/>
  <c r="J127" i="1" s="1"/>
  <c r="K127" i="1" s="1"/>
  <c r="F127" i="1"/>
  <c r="E127" i="1"/>
  <c r="D127" i="1"/>
  <c r="L21" i="19"/>
  <c r="K21" i="19"/>
  <c r="E143" i="1" s="1"/>
  <c r="N143" i="1"/>
  <c r="I143" i="1"/>
  <c r="H143" i="1"/>
  <c r="G143" i="1"/>
  <c r="F143" i="1"/>
  <c r="D143" i="1"/>
  <c r="L19" i="19"/>
  <c r="K19" i="19"/>
  <c r="E260" i="1" s="1"/>
  <c r="N260" i="1"/>
  <c r="I260" i="1"/>
  <c r="H260" i="1"/>
  <c r="G260" i="1"/>
  <c r="F260" i="1"/>
  <c r="D260" i="1"/>
  <c r="L87" i="19"/>
  <c r="K87" i="19"/>
  <c r="N123" i="1"/>
  <c r="I123" i="1"/>
  <c r="H123" i="1"/>
  <c r="G123" i="1"/>
  <c r="F123" i="1"/>
  <c r="D123" i="1"/>
  <c r="L12" i="19"/>
  <c r="K12" i="19"/>
  <c r="L13" i="19"/>
  <c r="K13" i="19"/>
  <c r="E106" i="1" s="1"/>
  <c r="N106" i="1"/>
  <c r="I106" i="1"/>
  <c r="H106" i="1"/>
  <c r="G106" i="1"/>
  <c r="F106" i="1"/>
  <c r="D106" i="1"/>
  <c r="N324" i="1"/>
  <c r="I324" i="1"/>
  <c r="H324" i="1"/>
  <c r="G324" i="1"/>
  <c r="F324" i="1"/>
  <c r="D324" i="1"/>
  <c r="L263" i="19"/>
  <c r="K263" i="19"/>
  <c r="E324" i="1" s="1"/>
  <c r="N276" i="1"/>
  <c r="I276" i="1"/>
  <c r="H276" i="1"/>
  <c r="G276" i="1"/>
  <c r="F276" i="1"/>
  <c r="E276" i="1"/>
  <c r="D276" i="1"/>
  <c r="N204" i="1"/>
  <c r="I204" i="1"/>
  <c r="H204" i="1"/>
  <c r="G204" i="1"/>
  <c r="F204" i="1"/>
  <c r="E204" i="1"/>
  <c r="D204" i="1"/>
  <c r="L262" i="19"/>
  <c r="K262" i="19"/>
  <c r="L228" i="19"/>
  <c r="K228" i="19"/>
  <c r="L229" i="19"/>
  <c r="K229" i="19"/>
  <c r="L230" i="19"/>
  <c r="K230" i="19"/>
  <c r="E205" i="1" s="1"/>
  <c r="L107" i="19"/>
  <c r="K107" i="19"/>
  <c r="L148" i="19"/>
  <c r="K148" i="19"/>
  <c r="L30" i="19"/>
  <c r="K30" i="19"/>
  <c r="L118" i="19"/>
  <c r="K118" i="19"/>
  <c r="L178" i="19"/>
  <c r="K178" i="19"/>
  <c r="L255" i="19"/>
  <c r="K255" i="19"/>
  <c r="E183" i="1" s="1"/>
  <c r="L254" i="19"/>
  <c r="K254" i="19"/>
  <c r="E146" i="1" s="1"/>
  <c r="L259" i="19"/>
  <c r="K259" i="19"/>
  <c r="E258" i="1" s="1"/>
  <c r="L258" i="19"/>
  <c r="K258" i="19"/>
  <c r="E244" i="1" s="1"/>
  <c r="L257" i="19"/>
  <c r="K257" i="19"/>
  <c r="L256" i="19"/>
  <c r="K256" i="19"/>
  <c r="E207" i="1" s="1"/>
  <c r="L261" i="19"/>
  <c r="K261" i="19"/>
  <c r="E280" i="1" s="1"/>
  <c r="L260" i="19"/>
  <c r="K260" i="19"/>
  <c r="E272" i="1" s="1"/>
  <c r="L253" i="19"/>
  <c r="K253" i="19"/>
  <c r="L24" i="19"/>
  <c r="K24" i="19"/>
  <c r="E135" i="1" s="1"/>
  <c r="L22" i="19"/>
  <c r="K22" i="19"/>
  <c r="E326" i="1" s="1"/>
  <c r="L215" i="19"/>
  <c r="K215" i="19"/>
  <c r="L93" i="19"/>
  <c r="K93" i="19"/>
  <c r="E126" i="1" s="1"/>
  <c r="L31" i="19"/>
  <c r="L92" i="19"/>
  <c r="K92" i="19"/>
  <c r="E235" i="1" s="1"/>
  <c r="L94" i="19"/>
  <c r="K94" i="19"/>
  <c r="L71" i="19"/>
  <c r="K71" i="19"/>
  <c r="L68" i="19"/>
  <c r="K68" i="19"/>
  <c r="L72" i="19"/>
  <c r="K72" i="19"/>
  <c r="L191" i="19"/>
  <c r="K191" i="19"/>
  <c r="E84" i="1" s="1"/>
  <c r="L159" i="19"/>
  <c r="K159" i="19"/>
  <c r="L137" i="19"/>
  <c r="K137" i="19"/>
  <c r="E137" i="1" s="1"/>
  <c r="L136" i="19"/>
  <c r="K136" i="19"/>
  <c r="E328" i="1" s="1"/>
  <c r="N328" i="1"/>
  <c r="I328" i="1"/>
  <c r="H328" i="1"/>
  <c r="G328" i="1"/>
  <c r="F328" i="1"/>
  <c r="D328" i="1"/>
  <c r="L17" i="19"/>
  <c r="K17" i="19"/>
  <c r="L62" i="19"/>
  <c r="K62" i="19"/>
  <c r="L63" i="19"/>
  <c r="K63" i="19"/>
  <c r="L70" i="19"/>
  <c r="K70" i="19"/>
  <c r="L23" i="19"/>
  <c r="K23" i="19"/>
  <c r="L125" i="19"/>
  <c r="K125" i="19"/>
  <c r="L26" i="19"/>
  <c r="K26" i="19"/>
  <c r="L53" i="19"/>
  <c r="K53" i="19"/>
  <c r="L67" i="19"/>
  <c r="K67" i="19"/>
  <c r="L241" i="19"/>
  <c r="K241" i="19"/>
  <c r="E26" i="1" s="1"/>
  <c r="L240" i="19"/>
  <c r="K240" i="19"/>
  <c r="L59" i="19"/>
  <c r="K59" i="19"/>
  <c r="M74" i="1"/>
  <c r="I74" i="1"/>
  <c r="H74" i="1"/>
  <c r="G74" i="1"/>
  <c r="J74" i="1" s="1"/>
  <c r="F74" i="1"/>
  <c r="E74" i="1"/>
  <c r="D74" i="1"/>
  <c r="M75" i="1"/>
  <c r="N75" i="1" s="1"/>
  <c r="I75" i="1"/>
  <c r="H75" i="1"/>
  <c r="G75" i="1"/>
  <c r="F75" i="1"/>
  <c r="E75" i="1"/>
  <c r="D75" i="1"/>
  <c r="M11" i="1"/>
  <c r="N11" i="1" s="1"/>
  <c r="I11" i="1"/>
  <c r="H11" i="1"/>
  <c r="G11" i="1"/>
  <c r="F11" i="1"/>
  <c r="D11" i="1"/>
  <c r="M26" i="1"/>
  <c r="N26" i="1" s="1"/>
  <c r="I26" i="1"/>
  <c r="H26" i="1"/>
  <c r="G26" i="1"/>
  <c r="F26" i="1"/>
  <c r="D26" i="1"/>
  <c r="N128" i="1"/>
  <c r="I128" i="1"/>
  <c r="H128" i="1"/>
  <c r="G128" i="1"/>
  <c r="F128" i="1"/>
  <c r="D128" i="1"/>
  <c r="N200" i="1"/>
  <c r="I200" i="1"/>
  <c r="H200" i="1"/>
  <c r="G200" i="1"/>
  <c r="F200" i="1"/>
  <c r="D200" i="1"/>
  <c r="N283" i="1"/>
  <c r="I283" i="1"/>
  <c r="H283" i="1"/>
  <c r="G283" i="1"/>
  <c r="F283" i="1"/>
  <c r="E283" i="1"/>
  <c r="D283" i="1"/>
  <c r="N235" i="1"/>
  <c r="I235" i="1"/>
  <c r="H235" i="1"/>
  <c r="G235" i="1"/>
  <c r="F235" i="1"/>
  <c r="D235" i="1"/>
  <c r="N329" i="1"/>
  <c r="I329" i="1"/>
  <c r="H329" i="1"/>
  <c r="G329" i="1"/>
  <c r="F329" i="1"/>
  <c r="E329" i="1"/>
  <c r="D329" i="1"/>
  <c r="N304" i="1"/>
  <c r="I304" i="1"/>
  <c r="H304" i="1"/>
  <c r="G304" i="1"/>
  <c r="F304" i="1"/>
  <c r="E304" i="1"/>
  <c r="D304" i="1"/>
  <c r="N121" i="1"/>
  <c r="I121" i="1"/>
  <c r="H121" i="1"/>
  <c r="G121" i="1"/>
  <c r="F121" i="1"/>
  <c r="E121" i="1"/>
  <c r="D121" i="1"/>
  <c r="L10" i="19"/>
  <c r="K10" i="19"/>
  <c r="E213" i="1"/>
  <c r="N213" i="1"/>
  <c r="I213" i="1"/>
  <c r="H213" i="1"/>
  <c r="G213" i="1"/>
  <c r="F213" i="1"/>
  <c r="D213" i="1"/>
  <c r="L14" i="19"/>
  <c r="K14" i="19"/>
  <c r="L16" i="19"/>
  <c r="K16" i="19"/>
  <c r="K64" i="19"/>
  <c r="L64" i="19"/>
  <c r="I29" i="27"/>
  <c r="E29" i="27"/>
  <c r="G22" i="27"/>
  <c r="I24" i="27"/>
  <c r="E24" i="27"/>
  <c r="I23" i="27"/>
  <c r="E23" i="27"/>
  <c r="C22" i="27"/>
  <c r="E22" i="27" s="1"/>
  <c r="I21" i="27"/>
  <c r="E21" i="27"/>
  <c r="I20" i="27"/>
  <c r="E20" i="27"/>
  <c r="I19" i="27"/>
  <c r="D25" i="27"/>
  <c r="G16" i="27"/>
  <c r="C16" i="27"/>
  <c r="C10" i="27"/>
  <c r="I15" i="27"/>
  <c r="E15" i="27"/>
  <c r="I14" i="27"/>
  <c r="E14" i="27"/>
  <c r="I12" i="27"/>
  <c r="D12" i="27"/>
  <c r="E12" i="27" s="1"/>
  <c r="I11" i="27"/>
  <c r="I16" i="27" s="1"/>
  <c r="H6" i="27"/>
  <c r="G10" i="27"/>
  <c r="I4" i="27"/>
  <c r="D6" i="27"/>
  <c r="D10" i="27" s="1"/>
  <c r="E4" i="27"/>
  <c r="D16" i="27"/>
  <c r="H16" i="27"/>
  <c r="E19" i="27"/>
  <c r="H25" i="27"/>
  <c r="K80" i="19"/>
  <c r="L80" i="19"/>
  <c r="L18" i="19"/>
  <c r="K18" i="19"/>
  <c r="L25" i="19"/>
  <c r="K25" i="19"/>
  <c r="L127" i="19"/>
  <c r="K127" i="19"/>
  <c r="E314" i="1" s="1"/>
  <c r="L91" i="19"/>
  <c r="K91" i="19"/>
  <c r="L130" i="19"/>
  <c r="K130" i="19"/>
  <c r="E255" i="1" s="1"/>
  <c r="L129" i="19"/>
  <c r="K129" i="19"/>
  <c r="L131" i="19"/>
  <c r="K131" i="19"/>
  <c r="E239" i="1" s="1"/>
  <c r="L98" i="19"/>
  <c r="K98" i="19"/>
  <c r="L97" i="19"/>
  <c r="K97" i="19"/>
  <c r="E145" i="1" s="1"/>
  <c r="L46" i="19"/>
  <c r="K46" i="19"/>
  <c r="E200" i="1" s="1"/>
  <c r="K144" i="19"/>
  <c r="K145" i="19"/>
  <c r="K146" i="19"/>
  <c r="K147" i="19"/>
  <c r="K149" i="19"/>
  <c r="K150" i="19"/>
  <c r="K151" i="19"/>
  <c r="K152" i="19"/>
  <c r="K153" i="19"/>
  <c r="K154" i="19"/>
  <c r="K155" i="19"/>
  <c r="K156" i="19"/>
  <c r="K157" i="19"/>
  <c r="E130" i="1" s="1"/>
  <c r="K158" i="19"/>
  <c r="E132" i="1" s="1"/>
  <c r="K160" i="19"/>
  <c r="K161" i="19"/>
  <c r="K162" i="19"/>
  <c r="K163" i="19"/>
  <c r="K164" i="19"/>
  <c r="K165" i="19"/>
  <c r="K166" i="19"/>
  <c r="K167" i="19"/>
  <c r="K168" i="19"/>
  <c r="K169" i="19"/>
  <c r="K170" i="19"/>
  <c r="K171" i="19"/>
  <c r="K172" i="19"/>
  <c r="K173" i="19"/>
  <c r="K174" i="19"/>
  <c r="K175" i="19"/>
  <c r="K176" i="19"/>
  <c r="K177" i="19"/>
  <c r="K179" i="19"/>
  <c r="K180" i="19"/>
  <c r="K181" i="19"/>
  <c r="K182" i="19"/>
  <c r="K183" i="19"/>
  <c r="K184" i="19"/>
  <c r="K185" i="19"/>
  <c r="K186" i="19"/>
  <c r="K187" i="19"/>
  <c r="K189" i="19"/>
  <c r="K190" i="19"/>
  <c r="K192" i="19"/>
  <c r="K193" i="19"/>
  <c r="K194" i="19"/>
  <c r="K195" i="19"/>
  <c r="K196" i="19"/>
  <c r="K197" i="19"/>
  <c r="K198" i="19"/>
  <c r="K199" i="19"/>
  <c r="K200" i="19"/>
  <c r="K201" i="19"/>
  <c r="K202" i="19"/>
  <c r="E128" i="1" s="1"/>
  <c r="K203" i="19"/>
  <c r="K204" i="19"/>
  <c r="K205" i="19"/>
  <c r="K206" i="19"/>
  <c r="K207" i="19"/>
  <c r="K208" i="19"/>
  <c r="K209" i="19"/>
  <c r="K210" i="19"/>
  <c r="K211" i="19"/>
  <c r="K212" i="19"/>
  <c r="K213" i="19"/>
  <c r="K214" i="19"/>
  <c r="K216" i="19"/>
  <c r="K217" i="19"/>
  <c r="K218" i="19"/>
  <c r="K219" i="19"/>
  <c r="K220" i="19"/>
  <c r="K221" i="19"/>
  <c r="K222" i="19"/>
  <c r="K223" i="19"/>
  <c r="K224" i="19"/>
  <c r="K225" i="19"/>
  <c r="K226" i="19"/>
  <c r="K227" i="19"/>
  <c r="K231" i="19"/>
  <c r="K232" i="19"/>
  <c r="K233" i="19"/>
  <c r="K234" i="19"/>
  <c r="K235" i="19"/>
  <c r="K236" i="19"/>
  <c r="K237" i="19"/>
  <c r="K238" i="19"/>
  <c r="K239" i="19"/>
  <c r="K242" i="19"/>
  <c r="K243" i="19"/>
  <c r="K244" i="19"/>
  <c r="K245" i="19"/>
  <c r="K246" i="19"/>
  <c r="K247" i="19"/>
  <c r="K248" i="19"/>
  <c r="K249" i="19"/>
  <c r="K250" i="19"/>
  <c r="K251" i="19"/>
  <c r="K252" i="19"/>
  <c r="K264" i="19"/>
  <c r="K11" i="19"/>
  <c r="K15" i="19"/>
  <c r="K20" i="19"/>
  <c r="K27" i="19"/>
  <c r="K28" i="19"/>
  <c r="K29" i="19"/>
  <c r="K31" i="19"/>
  <c r="K32" i="19"/>
  <c r="K33" i="19"/>
  <c r="K34" i="19"/>
  <c r="K35" i="19"/>
  <c r="K36" i="19"/>
  <c r="K37" i="19"/>
  <c r="K38" i="19"/>
  <c r="K39" i="19"/>
  <c r="K40" i="19"/>
  <c r="K41" i="19"/>
  <c r="K42" i="19"/>
  <c r="K43" i="19"/>
  <c r="K44" i="19"/>
  <c r="K45" i="19"/>
  <c r="K47" i="19"/>
  <c r="E275" i="1" s="1"/>
  <c r="K48" i="19"/>
  <c r="K49" i="19"/>
  <c r="K50" i="19"/>
  <c r="K51" i="19"/>
  <c r="K52" i="19"/>
  <c r="K54" i="19"/>
  <c r="K55" i="19"/>
  <c r="K56" i="19"/>
  <c r="K57" i="19"/>
  <c r="K58" i="19"/>
  <c r="K60" i="19"/>
  <c r="K61" i="19"/>
  <c r="K65" i="19"/>
  <c r="K66" i="19"/>
  <c r="K69" i="19"/>
  <c r="K73" i="19"/>
  <c r="K74" i="19"/>
  <c r="K75" i="19"/>
  <c r="K76" i="19"/>
  <c r="K77" i="19"/>
  <c r="K78" i="19"/>
  <c r="K79" i="19"/>
  <c r="K81" i="19"/>
  <c r="K82" i="19"/>
  <c r="E303" i="1" s="1"/>
  <c r="K83" i="19"/>
  <c r="K84" i="19"/>
  <c r="K85" i="19"/>
  <c r="E70" i="1" s="1"/>
  <c r="K86" i="19"/>
  <c r="K88" i="19"/>
  <c r="K89" i="19"/>
  <c r="K90" i="19"/>
  <c r="E11" i="1" s="1"/>
  <c r="K95" i="19"/>
  <c r="E123" i="1" s="1"/>
  <c r="K96" i="19"/>
  <c r="K99" i="19"/>
  <c r="K100" i="19"/>
  <c r="K101" i="19"/>
  <c r="K102" i="19"/>
  <c r="K103" i="19"/>
  <c r="K104" i="19"/>
  <c r="K105" i="19"/>
  <c r="K106" i="19"/>
  <c r="K108" i="19"/>
  <c r="K109" i="19"/>
  <c r="K110" i="19"/>
  <c r="K111" i="19"/>
  <c r="K112" i="19"/>
  <c r="K113" i="19"/>
  <c r="K114" i="19"/>
  <c r="K115" i="19"/>
  <c r="K119" i="19"/>
  <c r="K120" i="19"/>
  <c r="K121" i="19"/>
  <c r="K122" i="19"/>
  <c r="K123" i="19"/>
  <c r="K124" i="19"/>
  <c r="K126" i="19"/>
  <c r="K128" i="19"/>
  <c r="K132" i="19"/>
  <c r="K133" i="19"/>
  <c r="K134" i="19"/>
  <c r="K135" i="19"/>
  <c r="K138" i="19"/>
  <c r="K139" i="19"/>
  <c r="K140" i="19"/>
  <c r="K141" i="19"/>
  <c r="K142" i="19"/>
  <c r="K143" i="19"/>
  <c r="L141" i="19"/>
  <c r="L142" i="19"/>
  <c r="L143" i="19"/>
  <c r="L144" i="19"/>
  <c r="L145" i="19"/>
  <c r="L146" i="19"/>
  <c r="L147" i="19"/>
  <c r="L149" i="19"/>
  <c r="L150" i="19"/>
  <c r="L151" i="19"/>
  <c r="L152" i="19"/>
  <c r="L153" i="19"/>
  <c r="L154" i="19"/>
  <c r="L155" i="19"/>
  <c r="L156" i="19"/>
  <c r="L157" i="19"/>
  <c r="L158" i="19"/>
  <c r="L140" i="19"/>
  <c r="W340" i="2"/>
  <c r="T340" i="2"/>
  <c r="V431" i="2"/>
  <c r="U431" i="2"/>
  <c r="T431" i="2"/>
  <c r="V429" i="2"/>
  <c r="U429" i="2"/>
  <c r="T429" i="2"/>
  <c r="V427" i="2"/>
  <c r="U427" i="2"/>
  <c r="T427" i="2"/>
  <c r="V425" i="2"/>
  <c r="U425" i="2"/>
  <c r="T425" i="2"/>
  <c r="V423" i="2"/>
  <c r="U423" i="2"/>
  <c r="T423" i="2"/>
  <c r="U422" i="2"/>
  <c r="T422" i="2"/>
  <c r="W419" i="2"/>
  <c r="T419" i="2"/>
  <c r="W416" i="2"/>
  <c r="T416" i="2"/>
  <c r="W417" i="2"/>
  <c r="T417" i="2"/>
  <c r="W414" i="2"/>
  <c r="T414" i="2"/>
  <c r="W411" i="2"/>
  <c r="T411" i="2"/>
  <c r="W412" i="2"/>
  <c r="T412" i="2"/>
  <c r="W409" i="2"/>
  <c r="T409" i="2"/>
  <c r="W408" i="2"/>
  <c r="T408" i="2"/>
  <c r="T406" i="2"/>
  <c r="T405" i="2"/>
  <c r="M49" i="1"/>
  <c r="N49" i="1" s="1"/>
  <c r="I49" i="1"/>
  <c r="H49" i="1"/>
  <c r="G49" i="1"/>
  <c r="F49" i="1"/>
  <c r="E49" i="1"/>
  <c r="D49" i="1"/>
  <c r="W391" i="2"/>
  <c r="V391" i="2"/>
  <c r="U391" i="2"/>
  <c r="W389" i="2"/>
  <c r="V389" i="2"/>
  <c r="U389" i="2"/>
  <c r="W387" i="2"/>
  <c r="V387" i="2"/>
  <c r="U387" i="2"/>
  <c r="W385" i="2"/>
  <c r="V385" i="2"/>
  <c r="U385" i="2"/>
  <c r="W383" i="2"/>
  <c r="V383" i="2"/>
  <c r="U383" i="2"/>
  <c r="W377" i="2"/>
  <c r="V377" i="2"/>
  <c r="U377" i="2"/>
  <c r="W378" i="2"/>
  <c r="V378" i="2"/>
  <c r="U378" i="2"/>
  <c r="W379" i="2"/>
  <c r="V379" i="2"/>
  <c r="U379" i="2"/>
  <c r="W376" i="2"/>
  <c r="V376" i="2"/>
  <c r="U376" i="2"/>
  <c r="W374" i="2"/>
  <c r="V374" i="2"/>
  <c r="R282" i="2"/>
  <c r="R471" i="2" s="1"/>
  <c r="R283" i="2"/>
  <c r="T282" i="2"/>
  <c r="L75" i="19"/>
  <c r="W194" i="2"/>
  <c r="W193" i="2"/>
  <c r="W192" i="2"/>
  <c r="T13" i="18"/>
  <c r="U13" i="18"/>
  <c r="V13" i="18"/>
  <c r="W190" i="2"/>
  <c r="W189" i="2"/>
  <c r="W131" i="2"/>
  <c r="V131" i="2"/>
  <c r="V178" i="2"/>
  <c r="U178" i="2"/>
  <c r="T178" i="2"/>
  <c r="V172" i="2"/>
  <c r="U172" i="2"/>
  <c r="T172" i="2"/>
  <c r="V173" i="2"/>
  <c r="U173" i="2"/>
  <c r="T173" i="2"/>
  <c r="V170" i="2"/>
  <c r="U170" i="2"/>
  <c r="T170" i="2"/>
  <c r="M55" i="1"/>
  <c r="N55" i="1" s="1"/>
  <c r="I55" i="1"/>
  <c r="H55" i="1"/>
  <c r="G55" i="1"/>
  <c r="F55" i="1"/>
  <c r="E55" i="1"/>
  <c r="D55" i="1"/>
  <c r="N314" i="1"/>
  <c r="I314" i="1"/>
  <c r="H314" i="1"/>
  <c r="G314" i="1"/>
  <c r="F314" i="1"/>
  <c r="D314" i="1"/>
  <c r="N262" i="1"/>
  <c r="I262" i="1"/>
  <c r="H262" i="1"/>
  <c r="G262" i="1"/>
  <c r="F262" i="1"/>
  <c r="E262" i="1"/>
  <c r="D262" i="1"/>
  <c r="N255" i="1"/>
  <c r="I255" i="1"/>
  <c r="H255" i="1"/>
  <c r="G255" i="1"/>
  <c r="F255" i="1"/>
  <c r="D255" i="1"/>
  <c r="N239" i="1"/>
  <c r="I239" i="1"/>
  <c r="H239" i="1"/>
  <c r="G239" i="1"/>
  <c r="F239" i="1"/>
  <c r="D239" i="1"/>
  <c r="N173" i="1"/>
  <c r="I173" i="1"/>
  <c r="H173" i="1"/>
  <c r="G173" i="1"/>
  <c r="F173" i="1"/>
  <c r="E173" i="1"/>
  <c r="D173" i="1"/>
  <c r="N145" i="1"/>
  <c r="I145" i="1"/>
  <c r="H145" i="1"/>
  <c r="G145" i="1"/>
  <c r="F145" i="1"/>
  <c r="D145" i="1"/>
  <c r="N275" i="1"/>
  <c r="I275" i="1"/>
  <c r="H275" i="1"/>
  <c r="G275" i="1"/>
  <c r="F275" i="1"/>
  <c r="D275" i="1"/>
  <c r="N129" i="1"/>
  <c r="I129" i="1"/>
  <c r="H129" i="1"/>
  <c r="G129" i="1"/>
  <c r="F129" i="1"/>
  <c r="E129" i="1"/>
  <c r="J129" i="1" s="1"/>
  <c r="K129" i="1" s="1"/>
  <c r="D129" i="1"/>
  <c r="N132" i="1"/>
  <c r="I132" i="1"/>
  <c r="H132" i="1"/>
  <c r="G132" i="1"/>
  <c r="F132" i="1"/>
  <c r="D132" i="1"/>
  <c r="N130" i="1"/>
  <c r="I130" i="1"/>
  <c r="H130" i="1"/>
  <c r="G130" i="1"/>
  <c r="F130" i="1"/>
  <c r="D130" i="1"/>
  <c r="N131" i="1"/>
  <c r="I131" i="1"/>
  <c r="H131" i="1"/>
  <c r="G131" i="1"/>
  <c r="F131" i="1"/>
  <c r="E131" i="1"/>
  <c r="D131" i="1"/>
  <c r="N193" i="1"/>
  <c r="I193" i="1"/>
  <c r="H193" i="1"/>
  <c r="G193" i="1"/>
  <c r="F193" i="1"/>
  <c r="E193" i="1"/>
  <c r="D193" i="1"/>
  <c r="N192" i="1"/>
  <c r="I192" i="1"/>
  <c r="H192" i="1"/>
  <c r="G192" i="1"/>
  <c r="F192" i="1"/>
  <c r="E192" i="1"/>
  <c r="D192" i="1"/>
  <c r="N191" i="1"/>
  <c r="I191" i="1"/>
  <c r="H191" i="1"/>
  <c r="G191" i="1"/>
  <c r="F191" i="1"/>
  <c r="E191" i="1"/>
  <c r="D191" i="1"/>
  <c r="N190" i="1"/>
  <c r="I190" i="1"/>
  <c r="H190" i="1"/>
  <c r="G190" i="1"/>
  <c r="F190" i="1"/>
  <c r="E190" i="1"/>
  <c r="D190" i="1"/>
  <c r="N189" i="1"/>
  <c r="I189" i="1"/>
  <c r="H189" i="1"/>
  <c r="G189" i="1"/>
  <c r="F189" i="1"/>
  <c r="E189" i="1"/>
  <c r="D189" i="1"/>
  <c r="N188" i="1"/>
  <c r="I188" i="1"/>
  <c r="H188" i="1"/>
  <c r="G188" i="1"/>
  <c r="F188" i="1"/>
  <c r="E188" i="1"/>
  <c r="D188" i="1"/>
  <c r="N187" i="1"/>
  <c r="I187" i="1"/>
  <c r="H187" i="1"/>
  <c r="G187" i="1"/>
  <c r="F187" i="1"/>
  <c r="E187" i="1"/>
  <c r="D187" i="1"/>
  <c r="N84" i="1"/>
  <c r="I84" i="1"/>
  <c r="H84" i="1"/>
  <c r="G84" i="1"/>
  <c r="F84" i="1"/>
  <c r="D84" i="1"/>
  <c r="N146" i="1"/>
  <c r="I146" i="1"/>
  <c r="H146" i="1"/>
  <c r="G146" i="1"/>
  <c r="F146" i="1"/>
  <c r="D146" i="1"/>
  <c r="N183" i="1"/>
  <c r="I183" i="1"/>
  <c r="H183" i="1"/>
  <c r="G183" i="1"/>
  <c r="F183" i="1"/>
  <c r="D183" i="1"/>
  <c r="N280" i="1"/>
  <c r="I280" i="1"/>
  <c r="H280" i="1"/>
  <c r="G280" i="1"/>
  <c r="F280" i="1"/>
  <c r="D280" i="1"/>
  <c r="N135" i="1"/>
  <c r="I135" i="1"/>
  <c r="H135" i="1"/>
  <c r="G135" i="1"/>
  <c r="F135" i="1"/>
  <c r="D135" i="1"/>
  <c r="N222" i="1"/>
  <c r="I222" i="1"/>
  <c r="H222" i="1"/>
  <c r="G222" i="1"/>
  <c r="F222" i="1"/>
  <c r="E222" i="1"/>
  <c r="D222" i="1"/>
  <c r="N89" i="1"/>
  <c r="I89" i="1"/>
  <c r="H89" i="1"/>
  <c r="G89" i="1"/>
  <c r="F89" i="1"/>
  <c r="E89" i="1"/>
  <c r="D89" i="1"/>
  <c r="N244" i="1"/>
  <c r="I244" i="1"/>
  <c r="H244" i="1"/>
  <c r="G244" i="1"/>
  <c r="F244" i="1"/>
  <c r="D244" i="1"/>
  <c r="N228" i="1"/>
  <c r="I228" i="1"/>
  <c r="H228" i="1"/>
  <c r="G228" i="1"/>
  <c r="F228" i="1"/>
  <c r="E228" i="1"/>
  <c r="D228" i="1"/>
  <c r="N316" i="1"/>
  <c r="I316" i="1"/>
  <c r="H316" i="1"/>
  <c r="G316" i="1"/>
  <c r="F316" i="1"/>
  <c r="E316" i="1"/>
  <c r="D316" i="1"/>
  <c r="N195" i="1"/>
  <c r="I195" i="1"/>
  <c r="H195" i="1"/>
  <c r="G195" i="1"/>
  <c r="F195" i="1"/>
  <c r="E195" i="1"/>
  <c r="D195" i="1"/>
  <c r="N267" i="1"/>
  <c r="I267" i="1"/>
  <c r="H267" i="1"/>
  <c r="G267" i="1"/>
  <c r="F267" i="1"/>
  <c r="E267" i="1"/>
  <c r="D267" i="1"/>
  <c r="N82" i="1"/>
  <c r="I82" i="1"/>
  <c r="H82" i="1"/>
  <c r="G82" i="1"/>
  <c r="F82" i="1"/>
  <c r="E82" i="1"/>
  <c r="D82" i="1"/>
  <c r="J82" i="1" s="1"/>
  <c r="K82" i="1" s="1"/>
  <c r="N175" i="1"/>
  <c r="I175" i="1"/>
  <c r="H175" i="1"/>
  <c r="G175" i="1"/>
  <c r="F175" i="1"/>
  <c r="E175" i="1"/>
  <c r="D175" i="1"/>
  <c r="N335" i="1"/>
  <c r="I335" i="1"/>
  <c r="H335" i="1"/>
  <c r="G335" i="1"/>
  <c r="F335" i="1"/>
  <c r="E335" i="1"/>
  <c r="D335" i="1"/>
  <c r="N251" i="1"/>
  <c r="I251" i="1"/>
  <c r="H251" i="1"/>
  <c r="G251" i="1"/>
  <c r="F251" i="1"/>
  <c r="E251" i="1"/>
  <c r="D251" i="1"/>
  <c r="N240" i="1"/>
  <c r="I240" i="1"/>
  <c r="H240" i="1"/>
  <c r="G240" i="1"/>
  <c r="F240" i="1"/>
  <c r="E240" i="1"/>
  <c r="D240" i="1"/>
  <c r="N158" i="1"/>
  <c r="I158" i="1"/>
  <c r="H158" i="1"/>
  <c r="G158" i="1"/>
  <c r="F158" i="1"/>
  <c r="E158" i="1"/>
  <c r="D158" i="1"/>
  <c r="N201" i="1"/>
  <c r="I201" i="1"/>
  <c r="H201" i="1"/>
  <c r="G201" i="1"/>
  <c r="F201" i="1"/>
  <c r="E201" i="1"/>
  <c r="D201" i="1"/>
  <c r="N209" i="1"/>
  <c r="I209" i="1"/>
  <c r="H209" i="1"/>
  <c r="G209" i="1"/>
  <c r="F209" i="1"/>
  <c r="E209" i="1"/>
  <c r="D209" i="1"/>
  <c r="N298" i="1"/>
  <c r="I298" i="1"/>
  <c r="H298" i="1"/>
  <c r="G298" i="1"/>
  <c r="F298" i="1"/>
  <c r="E298" i="1"/>
  <c r="D298" i="1"/>
  <c r="N229" i="1"/>
  <c r="I229" i="1"/>
  <c r="H229" i="1"/>
  <c r="G229" i="1"/>
  <c r="F229" i="1"/>
  <c r="E229" i="1"/>
  <c r="D229" i="1"/>
  <c r="N291" i="1"/>
  <c r="I291" i="1"/>
  <c r="H291" i="1"/>
  <c r="G291" i="1"/>
  <c r="F291" i="1"/>
  <c r="E291" i="1"/>
  <c r="D291" i="1"/>
  <c r="N88" i="1"/>
  <c r="I88" i="1"/>
  <c r="H88" i="1"/>
  <c r="G88" i="1"/>
  <c r="F88" i="1"/>
  <c r="E88" i="1"/>
  <c r="D88" i="1"/>
  <c r="N327" i="1"/>
  <c r="I327" i="1"/>
  <c r="H327" i="1"/>
  <c r="G327" i="1"/>
  <c r="F327" i="1"/>
  <c r="E327" i="1"/>
  <c r="D327" i="1"/>
  <c r="N326" i="1"/>
  <c r="I326" i="1"/>
  <c r="H326" i="1"/>
  <c r="G326" i="1"/>
  <c r="F326" i="1"/>
  <c r="D326" i="1"/>
  <c r="N113" i="1"/>
  <c r="I113" i="1"/>
  <c r="H113" i="1"/>
  <c r="G113" i="1"/>
  <c r="F113" i="1"/>
  <c r="E113" i="1"/>
  <c r="D113" i="1"/>
  <c r="N205" i="1"/>
  <c r="I205" i="1"/>
  <c r="H205" i="1"/>
  <c r="G205" i="1"/>
  <c r="F205" i="1"/>
  <c r="D205" i="1"/>
  <c r="N137" i="1"/>
  <c r="I137" i="1"/>
  <c r="H137" i="1"/>
  <c r="G137" i="1"/>
  <c r="F137" i="1"/>
  <c r="D137" i="1"/>
  <c r="N202" i="1"/>
  <c r="I202" i="1"/>
  <c r="H202" i="1"/>
  <c r="G202" i="1"/>
  <c r="F202" i="1"/>
  <c r="E202" i="1"/>
  <c r="D202" i="1"/>
  <c r="N339" i="1"/>
  <c r="I339" i="1"/>
  <c r="H339" i="1"/>
  <c r="G339" i="1"/>
  <c r="F339" i="1"/>
  <c r="E339" i="1"/>
  <c r="D339" i="1"/>
  <c r="N237" i="1"/>
  <c r="I237" i="1"/>
  <c r="H237" i="1"/>
  <c r="G237" i="1"/>
  <c r="F237" i="1"/>
  <c r="E237" i="1"/>
  <c r="D237" i="1"/>
  <c r="N207" i="1"/>
  <c r="I207" i="1"/>
  <c r="H207" i="1"/>
  <c r="G207" i="1"/>
  <c r="F207" i="1"/>
  <c r="D207" i="1"/>
  <c r="N231" i="1"/>
  <c r="I231" i="1"/>
  <c r="H231" i="1"/>
  <c r="G231" i="1"/>
  <c r="F231" i="1"/>
  <c r="E231" i="1"/>
  <c r="D231" i="1"/>
  <c r="N125" i="1"/>
  <c r="I125" i="1"/>
  <c r="H125" i="1"/>
  <c r="G125" i="1"/>
  <c r="F125" i="1"/>
  <c r="E125" i="1"/>
  <c r="D125" i="1"/>
  <c r="N253" i="1"/>
  <c r="I253" i="1"/>
  <c r="H253" i="1"/>
  <c r="G253" i="1"/>
  <c r="F253" i="1"/>
  <c r="E253" i="1"/>
  <c r="D253" i="1"/>
  <c r="N126" i="1"/>
  <c r="I126" i="1"/>
  <c r="H126" i="1"/>
  <c r="G126" i="1"/>
  <c r="F126" i="1"/>
  <c r="D126" i="1"/>
  <c r="N122" i="1"/>
  <c r="I122" i="1"/>
  <c r="H122" i="1"/>
  <c r="G122" i="1"/>
  <c r="F122" i="1"/>
  <c r="E122" i="1"/>
  <c r="D122" i="1"/>
  <c r="N212" i="1"/>
  <c r="I212" i="1"/>
  <c r="H212" i="1"/>
  <c r="G212" i="1"/>
  <c r="F212" i="1"/>
  <c r="E212" i="1"/>
  <c r="D212" i="1"/>
  <c r="N331" i="1"/>
  <c r="I331" i="1"/>
  <c r="H331" i="1"/>
  <c r="G331" i="1"/>
  <c r="F331" i="1"/>
  <c r="E331" i="1"/>
  <c r="D331" i="1"/>
  <c r="N97" i="1"/>
  <c r="I97" i="1"/>
  <c r="H97" i="1"/>
  <c r="G97" i="1"/>
  <c r="F97" i="1"/>
  <c r="E97" i="1"/>
  <c r="D97" i="1"/>
  <c r="N266" i="1"/>
  <c r="I266" i="1"/>
  <c r="H266" i="1"/>
  <c r="G266" i="1"/>
  <c r="F266" i="1"/>
  <c r="E266" i="1"/>
  <c r="D266" i="1"/>
  <c r="N112" i="1"/>
  <c r="I112" i="1"/>
  <c r="H112" i="1"/>
  <c r="G112" i="1"/>
  <c r="F112" i="1"/>
  <c r="E112" i="1"/>
  <c r="D112" i="1"/>
  <c r="N258" i="1"/>
  <c r="I258" i="1"/>
  <c r="H258" i="1"/>
  <c r="G258" i="1"/>
  <c r="F258" i="1"/>
  <c r="D258" i="1"/>
  <c r="N274" i="1"/>
  <c r="I274" i="1"/>
  <c r="H274" i="1"/>
  <c r="G274" i="1"/>
  <c r="F274" i="1"/>
  <c r="E274" i="1"/>
  <c r="D274" i="1"/>
  <c r="N246" i="1"/>
  <c r="I246" i="1"/>
  <c r="H246" i="1"/>
  <c r="G246" i="1"/>
  <c r="F246" i="1"/>
  <c r="E246" i="1"/>
  <c r="D246" i="1"/>
  <c r="N177" i="1"/>
  <c r="I177" i="1"/>
  <c r="H177" i="1"/>
  <c r="G177" i="1"/>
  <c r="F177" i="1"/>
  <c r="E177" i="1"/>
  <c r="D177" i="1"/>
  <c r="N172" i="1"/>
  <c r="I172" i="1"/>
  <c r="H172" i="1"/>
  <c r="G172" i="1"/>
  <c r="F172" i="1"/>
  <c r="E172" i="1"/>
  <c r="D172" i="1"/>
  <c r="N147" i="1"/>
  <c r="I147" i="1"/>
  <c r="H147" i="1"/>
  <c r="G147" i="1"/>
  <c r="F147" i="1"/>
  <c r="E147" i="1"/>
  <c r="D147" i="1"/>
  <c r="N95" i="1"/>
  <c r="I95" i="1"/>
  <c r="H95" i="1"/>
  <c r="G95" i="1"/>
  <c r="F95" i="1"/>
  <c r="E95" i="1"/>
  <c r="D95" i="1"/>
  <c r="N230" i="1"/>
  <c r="I230" i="1"/>
  <c r="H230" i="1"/>
  <c r="G230" i="1"/>
  <c r="F230" i="1"/>
  <c r="E230" i="1"/>
  <c r="D230" i="1"/>
  <c r="W136" i="2"/>
  <c r="V136" i="2"/>
  <c r="U136" i="2"/>
  <c r="N272" i="1"/>
  <c r="I272" i="1"/>
  <c r="H272" i="1"/>
  <c r="G272" i="1"/>
  <c r="F272" i="1"/>
  <c r="D272" i="1"/>
  <c r="W129" i="2"/>
  <c r="W132" i="2"/>
  <c r="V132" i="2"/>
  <c r="W125" i="2"/>
  <c r="V125" i="2"/>
  <c r="U125" i="2"/>
  <c r="W126" i="2"/>
  <c r="V126" i="2"/>
  <c r="U126" i="2"/>
  <c r="W123" i="2"/>
  <c r="V123" i="2"/>
  <c r="U123" i="2"/>
  <c r="N196" i="1"/>
  <c r="I196" i="1"/>
  <c r="H196" i="1"/>
  <c r="G196" i="1"/>
  <c r="F196" i="1"/>
  <c r="E196" i="1"/>
  <c r="D196" i="1"/>
  <c r="V365" i="2"/>
  <c r="U365" i="2"/>
  <c r="T365" i="2"/>
  <c r="W354" i="2"/>
  <c r="W355" i="2"/>
  <c r="L60" i="19"/>
  <c r="L163" i="19"/>
  <c r="T71" i="2"/>
  <c r="T70" i="2"/>
  <c r="T66" i="2"/>
  <c r="L183" i="19"/>
  <c r="V85" i="2"/>
  <c r="U85" i="2"/>
  <c r="T85" i="2"/>
  <c r="V86" i="2"/>
  <c r="U86" i="2"/>
  <c r="T86" i="2"/>
  <c r="V73" i="2"/>
  <c r="U73" i="2"/>
  <c r="T73" i="2"/>
  <c r="T72" i="2"/>
  <c r="U355" i="2"/>
  <c r="V355" i="2"/>
  <c r="T67" i="2"/>
  <c r="T68" i="2"/>
  <c r="V120" i="2"/>
  <c r="U120" i="2"/>
  <c r="T120" i="2"/>
  <c r="W117" i="2"/>
  <c r="W75" i="2"/>
  <c r="T75" i="2"/>
  <c r="W74" i="2"/>
  <c r="T74" i="2"/>
  <c r="V58" i="2"/>
  <c r="U58" i="2"/>
  <c r="T58" i="2"/>
  <c r="W57" i="2"/>
  <c r="U57" i="2"/>
  <c r="T57" i="2"/>
  <c r="W56" i="2"/>
  <c r="V56" i="2"/>
  <c r="W55" i="2"/>
  <c r="U12" i="2"/>
  <c r="V12" i="2"/>
  <c r="W12" i="2"/>
  <c r="U13" i="2"/>
  <c r="V13" i="2"/>
  <c r="W13" i="2"/>
  <c r="U14" i="2"/>
  <c r="V14" i="2"/>
  <c r="W14" i="2"/>
  <c r="V24" i="2"/>
  <c r="W24" i="2"/>
  <c r="V25" i="2"/>
  <c r="W25" i="2"/>
  <c r="T26" i="2"/>
  <c r="W26" i="2"/>
  <c r="T27" i="2"/>
  <c r="W27" i="2"/>
  <c r="T28" i="2"/>
  <c r="W28" i="2"/>
  <c r="T29" i="2"/>
  <c r="U29" i="2"/>
  <c r="T30" i="2"/>
  <c r="U30" i="2"/>
  <c r="T31" i="2"/>
  <c r="U31" i="2"/>
  <c r="W31" i="2"/>
  <c r="T32" i="2"/>
  <c r="U32" i="2"/>
  <c r="V32" i="2"/>
  <c r="T33" i="2"/>
  <c r="U33" i="2"/>
  <c r="T34" i="2"/>
  <c r="U34" i="2"/>
  <c r="V34" i="2"/>
  <c r="T35" i="2"/>
  <c r="U35" i="2"/>
  <c r="V35" i="2"/>
  <c r="T36" i="2"/>
  <c r="U36" i="2"/>
  <c r="V36" i="2"/>
  <c r="U37" i="2"/>
  <c r="V37" i="2"/>
  <c r="W37" i="2"/>
  <c r="U38" i="2"/>
  <c r="V38" i="2"/>
  <c r="W38" i="2"/>
  <c r="U39" i="2"/>
  <c r="V39" i="2"/>
  <c r="W39" i="2"/>
  <c r="U40" i="2"/>
  <c r="V40" i="2"/>
  <c r="W40" i="2"/>
  <c r="U41" i="2"/>
  <c r="V41" i="2"/>
  <c r="W41" i="2"/>
  <c r="U42" i="2"/>
  <c r="V42" i="2"/>
  <c r="W42" i="2"/>
  <c r="U43" i="2"/>
  <c r="V43" i="2"/>
  <c r="W43" i="2"/>
  <c r="T44" i="2"/>
  <c r="W44" i="2"/>
  <c r="T45" i="2"/>
  <c r="U45" i="2"/>
  <c r="V45" i="2"/>
  <c r="U46" i="2"/>
  <c r="V46" i="2"/>
  <c r="W46" i="2"/>
  <c r="U47" i="2"/>
  <c r="V47" i="2"/>
  <c r="W47" i="2"/>
  <c r="U48" i="2"/>
  <c r="V48" i="2"/>
  <c r="W48" i="2"/>
  <c r="U49" i="2"/>
  <c r="V49" i="2"/>
  <c r="W49" i="2"/>
  <c r="U50" i="2"/>
  <c r="V50" i="2"/>
  <c r="W50" i="2"/>
  <c r="U51" i="2"/>
  <c r="V51" i="2"/>
  <c r="W51" i="2"/>
  <c r="U52" i="2"/>
  <c r="V52" i="2"/>
  <c r="W52" i="2"/>
  <c r="U53" i="2"/>
  <c r="V53" i="2"/>
  <c r="W53" i="2"/>
  <c r="U54" i="2"/>
  <c r="V54" i="2"/>
  <c r="W54" i="2"/>
  <c r="T59" i="2"/>
  <c r="U59" i="2"/>
  <c r="V59" i="2"/>
  <c r="V60" i="2"/>
  <c r="W60" i="2"/>
  <c r="V61" i="2"/>
  <c r="W61" i="2"/>
  <c r="V62" i="2"/>
  <c r="W62" i="2"/>
  <c r="V63" i="2"/>
  <c r="W63" i="2"/>
  <c r="V64" i="2"/>
  <c r="W64" i="2"/>
  <c r="U65" i="2"/>
  <c r="V65" i="2"/>
  <c r="W65" i="2"/>
  <c r="T69" i="2"/>
  <c r="U69" i="2"/>
  <c r="V69" i="2"/>
  <c r="T76" i="2"/>
  <c r="U76" i="2"/>
  <c r="W76" i="2"/>
  <c r="T77" i="2"/>
  <c r="W77" i="2"/>
  <c r="T78" i="2"/>
  <c r="W78" i="2"/>
  <c r="T79" i="2"/>
  <c r="U79" i="2"/>
  <c r="T80" i="2"/>
  <c r="U80" i="2"/>
  <c r="T81" i="2"/>
  <c r="U81" i="2"/>
  <c r="T82" i="2"/>
  <c r="U82" i="2"/>
  <c r="T83" i="2"/>
  <c r="U83" i="2"/>
  <c r="T84" i="2"/>
  <c r="U84" i="2"/>
  <c r="W84" i="2"/>
  <c r="T87" i="2"/>
  <c r="U87" i="2"/>
  <c r="V87" i="2"/>
  <c r="T88" i="2"/>
  <c r="U88" i="2"/>
  <c r="V88" i="2"/>
  <c r="W88" i="2"/>
  <c r="T89" i="2"/>
  <c r="U89" i="2"/>
  <c r="V89" i="2"/>
  <c r="W89" i="2"/>
  <c r="T90" i="2"/>
  <c r="U90" i="2"/>
  <c r="V90" i="2"/>
  <c r="W90" i="2"/>
  <c r="T91" i="2"/>
  <c r="U91" i="2"/>
  <c r="V91" i="2"/>
  <c r="W91" i="2"/>
  <c r="T92" i="2"/>
  <c r="U92" i="2"/>
  <c r="V92" i="2"/>
  <c r="W92" i="2"/>
  <c r="T93" i="2"/>
  <c r="U93" i="2"/>
  <c r="V93" i="2"/>
  <c r="W93" i="2"/>
  <c r="T94" i="2"/>
  <c r="U94" i="2"/>
  <c r="V94" i="2"/>
  <c r="W94" i="2"/>
  <c r="T95" i="2"/>
  <c r="U95" i="2"/>
  <c r="V95" i="2"/>
  <c r="W95" i="2"/>
  <c r="T96" i="2"/>
  <c r="U96" i="2"/>
  <c r="V96" i="2"/>
  <c r="W96" i="2"/>
  <c r="T97" i="2"/>
  <c r="U97" i="2"/>
  <c r="V97" i="2"/>
  <c r="W97" i="2"/>
  <c r="T98" i="2"/>
  <c r="U98" i="2"/>
  <c r="V98" i="2"/>
  <c r="W98" i="2"/>
  <c r="T99" i="2"/>
  <c r="U99" i="2"/>
  <c r="V99" i="2"/>
  <c r="W99" i="2"/>
  <c r="T100" i="2"/>
  <c r="U100" i="2"/>
  <c r="V100" i="2"/>
  <c r="W100" i="2"/>
  <c r="T101" i="2"/>
  <c r="U101" i="2"/>
  <c r="V101" i="2"/>
  <c r="W101" i="2"/>
  <c r="T102" i="2"/>
  <c r="U102" i="2"/>
  <c r="V102" i="2"/>
  <c r="W102" i="2"/>
  <c r="T103" i="2"/>
  <c r="U103" i="2"/>
  <c r="V103" i="2"/>
  <c r="W103" i="2"/>
  <c r="T104" i="2"/>
  <c r="U104" i="2"/>
  <c r="V104" i="2"/>
  <c r="W104" i="2"/>
  <c r="T105" i="2"/>
  <c r="U105" i="2"/>
  <c r="V105" i="2"/>
  <c r="W105" i="2"/>
  <c r="T106" i="2"/>
  <c r="U106" i="2"/>
  <c r="V106" i="2"/>
  <c r="W106" i="2"/>
  <c r="T107" i="2"/>
  <c r="U107" i="2"/>
  <c r="V107" i="2"/>
  <c r="W107" i="2"/>
  <c r="T108" i="2"/>
  <c r="U108" i="2"/>
  <c r="V108" i="2"/>
  <c r="W108" i="2"/>
  <c r="T109" i="2"/>
  <c r="U109" i="2"/>
  <c r="V109" i="2"/>
  <c r="W109" i="2"/>
  <c r="T110" i="2"/>
  <c r="U110" i="2"/>
  <c r="V110" i="2"/>
  <c r="W110" i="2"/>
  <c r="T111" i="2"/>
  <c r="U111" i="2"/>
  <c r="V111" i="2"/>
  <c r="W111" i="2"/>
  <c r="T112" i="2"/>
  <c r="U112" i="2"/>
  <c r="V112" i="2"/>
  <c r="W112" i="2"/>
  <c r="T113" i="2"/>
  <c r="U113" i="2"/>
  <c r="V113" i="2"/>
  <c r="W113" i="2"/>
  <c r="T114" i="2"/>
  <c r="U114" i="2"/>
  <c r="V114" i="2"/>
  <c r="W114" i="2"/>
  <c r="T115" i="2"/>
  <c r="U115" i="2"/>
  <c r="V115" i="2"/>
  <c r="W115" i="2"/>
  <c r="U116" i="2"/>
  <c r="V116" i="2"/>
  <c r="W116" i="2"/>
  <c r="W118" i="2"/>
  <c r="T119" i="2"/>
  <c r="T121" i="2"/>
  <c r="U121" i="2"/>
  <c r="V121" i="2"/>
  <c r="T122" i="2"/>
  <c r="U122" i="2"/>
  <c r="V122" i="2"/>
  <c r="U124" i="2"/>
  <c r="V124" i="2"/>
  <c r="W124" i="2"/>
  <c r="U127" i="2"/>
  <c r="V127" i="2"/>
  <c r="W127" i="2"/>
  <c r="V133" i="2"/>
  <c r="W133" i="2"/>
  <c r="V134" i="2"/>
  <c r="W134" i="2"/>
  <c r="V135" i="2"/>
  <c r="W135" i="2"/>
  <c r="U137" i="2"/>
  <c r="V137" i="2"/>
  <c r="W137" i="2"/>
  <c r="U162" i="2"/>
  <c r="V162" i="2"/>
  <c r="W162" i="2"/>
  <c r="U163" i="2"/>
  <c r="V163" i="2"/>
  <c r="W163" i="2"/>
  <c r="W164" i="2"/>
  <c r="T165" i="2"/>
  <c r="V165" i="2"/>
  <c r="W165" i="2"/>
  <c r="T166" i="2"/>
  <c r="V166" i="2"/>
  <c r="W166" i="2"/>
  <c r="T167" i="2"/>
  <c r="U167" i="2"/>
  <c r="T168" i="2"/>
  <c r="U168" i="2"/>
  <c r="W168" i="2"/>
  <c r="T169" i="2"/>
  <c r="U169" i="2"/>
  <c r="W169" i="2"/>
  <c r="T171" i="2"/>
  <c r="U171" i="2"/>
  <c r="V171" i="2"/>
  <c r="T174" i="2"/>
  <c r="U174" i="2"/>
  <c r="V174" i="2"/>
  <c r="T175" i="2"/>
  <c r="U175" i="2"/>
  <c r="V175" i="2"/>
  <c r="T176" i="2"/>
  <c r="U176" i="2"/>
  <c r="V176" i="2"/>
  <c r="T177" i="2"/>
  <c r="U177" i="2"/>
  <c r="V177" i="2"/>
  <c r="T179" i="2"/>
  <c r="U179" i="2"/>
  <c r="V179" i="2"/>
  <c r="U180" i="2"/>
  <c r="V180" i="2"/>
  <c r="W180" i="2"/>
  <c r="U181" i="2"/>
  <c r="V181" i="2"/>
  <c r="W181" i="2"/>
  <c r="U182" i="2"/>
  <c r="V182" i="2"/>
  <c r="W182" i="2"/>
  <c r="U183" i="2"/>
  <c r="V183" i="2"/>
  <c r="W183" i="2"/>
  <c r="U184" i="2"/>
  <c r="V184" i="2"/>
  <c r="W184" i="2"/>
  <c r="U185" i="2"/>
  <c r="V185" i="2"/>
  <c r="W185" i="2"/>
  <c r="U186" i="2"/>
  <c r="V186" i="2"/>
  <c r="W186" i="2"/>
  <c r="V187" i="2"/>
  <c r="W187" i="2"/>
  <c r="W188" i="2"/>
  <c r="W191" i="2"/>
  <c r="U196" i="2"/>
  <c r="V196" i="2"/>
  <c r="W196" i="2"/>
  <c r="U197" i="2"/>
  <c r="V197" i="2"/>
  <c r="W197" i="2"/>
  <c r="U198" i="2"/>
  <c r="V198" i="2"/>
  <c r="W198" i="2"/>
  <c r="U199" i="2"/>
  <c r="V199" i="2"/>
  <c r="W199" i="2"/>
  <c r="U203" i="2"/>
  <c r="V203" i="2"/>
  <c r="W203" i="2"/>
  <c r="U204" i="2"/>
  <c r="V204" i="2"/>
  <c r="W204" i="2"/>
  <c r="U205" i="2"/>
  <c r="V205" i="2"/>
  <c r="W205" i="2"/>
  <c r="V206" i="2"/>
  <c r="W206" i="2"/>
  <c r="V207" i="2"/>
  <c r="W207" i="2"/>
  <c r="U208" i="2"/>
  <c r="V208" i="2"/>
  <c r="W208" i="2"/>
  <c r="W274" i="2"/>
  <c r="W275" i="2"/>
  <c r="T276" i="2"/>
  <c r="W276" i="2"/>
  <c r="T277" i="2"/>
  <c r="W277" i="2"/>
  <c r="T278" i="2"/>
  <c r="W278" i="2"/>
  <c r="T279" i="2"/>
  <c r="W279" i="2"/>
  <c r="T280" i="2"/>
  <c r="W280" i="2"/>
  <c r="T281" i="2"/>
  <c r="W281" i="2"/>
  <c r="T283" i="2"/>
  <c r="T284" i="2"/>
  <c r="T285" i="2"/>
  <c r="T286" i="2"/>
  <c r="T287" i="2"/>
  <c r="T288" i="2"/>
  <c r="T289" i="2"/>
  <c r="W289" i="2"/>
  <c r="T290" i="2"/>
  <c r="W290" i="2"/>
  <c r="T291" i="2"/>
  <c r="W291" i="2"/>
  <c r="T292" i="2"/>
  <c r="W292" i="2"/>
  <c r="T293" i="2"/>
  <c r="W293" i="2"/>
  <c r="T294" i="2"/>
  <c r="W294" i="2"/>
  <c r="T295" i="2"/>
  <c r="W295" i="2"/>
  <c r="T296" i="2"/>
  <c r="W296" i="2"/>
  <c r="T297" i="2"/>
  <c r="W297" i="2"/>
  <c r="T298" i="2"/>
  <c r="U298" i="2"/>
  <c r="T299" i="2"/>
  <c r="U299" i="2"/>
  <c r="T300" i="2"/>
  <c r="U300" i="2"/>
  <c r="T301" i="2"/>
  <c r="U301" i="2"/>
  <c r="V301" i="2"/>
  <c r="T302" i="2"/>
  <c r="U302" i="2"/>
  <c r="V302" i="2"/>
  <c r="T303" i="2"/>
  <c r="U303" i="2"/>
  <c r="V303" i="2"/>
  <c r="T304" i="2"/>
  <c r="U304" i="2"/>
  <c r="V304" i="2"/>
  <c r="T305" i="2"/>
  <c r="U305" i="2"/>
  <c r="V305" i="2"/>
  <c r="T306" i="2"/>
  <c r="U306" i="2"/>
  <c r="V306" i="2"/>
  <c r="T307" i="2"/>
  <c r="U307" i="2"/>
  <c r="V307" i="2"/>
  <c r="T308" i="2"/>
  <c r="U308" i="2"/>
  <c r="V308" i="2"/>
  <c r="T309" i="2"/>
  <c r="U309" i="2"/>
  <c r="V309" i="2"/>
  <c r="T310" i="2"/>
  <c r="U310" i="2"/>
  <c r="V310" i="2"/>
  <c r="T311" i="2"/>
  <c r="U311" i="2"/>
  <c r="V311" i="2"/>
  <c r="T312" i="2"/>
  <c r="U312" i="2"/>
  <c r="V312" i="2"/>
  <c r="T313" i="2"/>
  <c r="U313" i="2"/>
  <c r="V313" i="2"/>
  <c r="T314" i="2"/>
  <c r="U314" i="2"/>
  <c r="V314" i="2"/>
  <c r="T315" i="2"/>
  <c r="U315" i="2"/>
  <c r="V315" i="2"/>
  <c r="V317" i="2"/>
  <c r="W317" i="2"/>
  <c r="U324" i="2"/>
  <c r="V324" i="2"/>
  <c r="W324" i="2"/>
  <c r="U325" i="2"/>
  <c r="V325" i="2"/>
  <c r="W325" i="2"/>
  <c r="V337" i="2"/>
  <c r="W337" i="2"/>
  <c r="V338" i="2"/>
  <c r="W338" i="2"/>
  <c r="T339" i="2"/>
  <c r="T341" i="2"/>
  <c r="W341" i="2"/>
  <c r="U342" i="2"/>
  <c r="V342" i="2"/>
  <c r="W342" i="2"/>
  <c r="T343" i="2"/>
  <c r="U343" i="2"/>
  <c r="T344" i="2"/>
  <c r="U344" i="2"/>
  <c r="U345" i="2"/>
  <c r="V345" i="2"/>
  <c r="W345" i="2"/>
  <c r="W352" i="2"/>
  <c r="W353" i="2"/>
  <c r="T356" i="2"/>
  <c r="W356" i="2"/>
  <c r="U357" i="2"/>
  <c r="V357" i="2"/>
  <c r="W357" i="2"/>
  <c r="U358" i="2"/>
  <c r="V358" i="2"/>
  <c r="W358" i="2"/>
  <c r="T359" i="2"/>
  <c r="W359" i="2"/>
  <c r="T360" i="2"/>
  <c r="V360" i="2"/>
  <c r="W360" i="2"/>
  <c r="T361" i="2"/>
  <c r="V361" i="2"/>
  <c r="W361" i="2"/>
  <c r="T362" i="2"/>
  <c r="U362" i="2"/>
  <c r="W362" i="2"/>
  <c r="T363" i="2"/>
  <c r="U363" i="2"/>
  <c r="W363" i="2"/>
  <c r="T364" i="2"/>
  <c r="U364" i="2"/>
  <c r="V364" i="2"/>
  <c r="T366" i="2"/>
  <c r="U366" i="2"/>
  <c r="V366" i="2"/>
  <c r="T367" i="2"/>
  <c r="U367" i="2"/>
  <c r="V367" i="2"/>
  <c r="T368" i="2"/>
  <c r="U368" i="2"/>
  <c r="V368" i="2"/>
  <c r="T369" i="2"/>
  <c r="U369" i="2"/>
  <c r="V369" i="2"/>
  <c r="U370" i="2"/>
  <c r="V370" i="2"/>
  <c r="W370" i="2"/>
  <c r="U371" i="2"/>
  <c r="V371" i="2"/>
  <c r="W371" i="2"/>
  <c r="U372" i="2"/>
  <c r="V372" i="2"/>
  <c r="W372" i="2"/>
  <c r="U373" i="2"/>
  <c r="V373" i="2"/>
  <c r="W373" i="2"/>
  <c r="V375" i="2"/>
  <c r="W375" i="2"/>
  <c r="U380" i="2"/>
  <c r="V380" i="2"/>
  <c r="W380" i="2"/>
  <c r="U384" i="2"/>
  <c r="V384" i="2"/>
  <c r="W384" i="2"/>
  <c r="U386" i="2"/>
  <c r="V386" i="2"/>
  <c r="W386" i="2"/>
  <c r="U388" i="2"/>
  <c r="V388" i="2"/>
  <c r="W388" i="2"/>
  <c r="U390" i="2"/>
  <c r="V390" i="2"/>
  <c r="W390" i="2"/>
  <c r="U392" i="2"/>
  <c r="V392" i="2"/>
  <c r="W392" i="2"/>
  <c r="T401" i="2"/>
  <c r="T402" i="2"/>
  <c r="T403" i="2"/>
  <c r="T404" i="2"/>
  <c r="T407" i="2"/>
  <c r="U407" i="2"/>
  <c r="V407" i="2"/>
  <c r="T410" i="2"/>
  <c r="U410" i="2"/>
  <c r="W410" i="2"/>
  <c r="T413" i="2"/>
  <c r="U413" i="2"/>
  <c r="W413" i="2"/>
  <c r="T415" i="2"/>
  <c r="W415" i="2"/>
  <c r="T418" i="2"/>
  <c r="U418" i="2"/>
  <c r="W418" i="2"/>
  <c r="T420" i="2"/>
  <c r="W420" i="2"/>
  <c r="T421" i="2"/>
  <c r="U421" i="2"/>
  <c r="T424" i="2"/>
  <c r="U424" i="2"/>
  <c r="V424" i="2"/>
  <c r="T426" i="2"/>
  <c r="U426" i="2"/>
  <c r="V426" i="2"/>
  <c r="T428" i="2"/>
  <c r="U428" i="2"/>
  <c r="V428" i="2"/>
  <c r="T430" i="2"/>
  <c r="U430" i="2"/>
  <c r="V430" i="2"/>
  <c r="T432" i="2"/>
  <c r="U432" i="2"/>
  <c r="V432" i="2"/>
  <c r="T450" i="2"/>
  <c r="U450" i="2"/>
  <c r="X450" i="2" s="1"/>
  <c r="Y450" i="2" s="1"/>
  <c r="V450" i="2"/>
  <c r="W450" i="2"/>
  <c r="T451" i="2"/>
  <c r="U451" i="2"/>
  <c r="V451" i="2"/>
  <c r="W451" i="2"/>
  <c r="T452" i="2"/>
  <c r="U452" i="2"/>
  <c r="V452" i="2"/>
  <c r="W452" i="2"/>
  <c r="T453" i="2"/>
  <c r="U453" i="2"/>
  <c r="V453" i="2"/>
  <c r="W453" i="2"/>
  <c r="T454" i="2"/>
  <c r="U454" i="2"/>
  <c r="V454" i="2"/>
  <c r="W454" i="2"/>
  <c r="T455" i="2"/>
  <c r="U455" i="2"/>
  <c r="V455" i="2"/>
  <c r="W455" i="2"/>
  <c r="T456" i="2"/>
  <c r="U456" i="2"/>
  <c r="V456" i="2"/>
  <c r="W456" i="2"/>
  <c r="T457" i="2"/>
  <c r="U457" i="2"/>
  <c r="V457" i="2"/>
  <c r="W457" i="2"/>
  <c r="T458" i="2"/>
  <c r="U458" i="2"/>
  <c r="X458" i="2" s="1"/>
  <c r="V458" i="2"/>
  <c r="W458" i="2"/>
  <c r="T459" i="2"/>
  <c r="U459" i="2"/>
  <c r="V459" i="2"/>
  <c r="W459" i="2"/>
  <c r="T460" i="2"/>
  <c r="U460" i="2"/>
  <c r="X460" i="2" s="1"/>
  <c r="V460" i="2"/>
  <c r="W460" i="2"/>
  <c r="T461" i="2"/>
  <c r="U461" i="2"/>
  <c r="X461" i="2" s="1"/>
  <c r="V461" i="2"/>
  <c r="W461" i="2"/>
  <c r="T462" i="2"/>
  <c r="U462" i="2"/>
  <c r="X462" i="2" s="1"/>
  <c r="Y462" i="2" s="1"/>
  <c r="V462" i="2"/>
  <c r="W462" i="2"/>
  <c r="T463" i="2"/>
  <c r="U463" i="2"/>
  <c r="V463" i="2"/>
  <c r="W463" i="2"/>
  <c r="T464" i="2"/>
  <c r="U464" i="2"/>
  <c r="X464" i="2" s="1"/>
  <c r="V464" i="2"/>
  <c r="W464" i="2"/>
  <c r="T465" i="2"/>
  <c r="U465" i="2"/>
  <c r="V465" i="2"/>
  <c r="W465" i="2"/>
  <c r="T466" i="2"/>
  <c r="U466" i="2"/>
  <c r="V466" i="2"/>
  <c r="W466" i="2"/>
  <c r="T467" i="2"/>
  <c r="U467" i="2"/>
  <c r="V467" i="2"/>
  <c r="W467" i="2"/>
  <c r="T468" i="2"/>
  <c r="U468" i="2"/>
  <c r="X468" i="2" s="1"/>
  <c r="V468" i="2"/>
  <c r="W468" i="2"/>
  <c r="T471" i="2"/>
  <c r="U471" i="2"/>
  <c r="V471" i="2"/>
  <c r="W471" i="2"/>
  <c r="T472" i="2"/>
  <c r="U472" i="2"/>
  <c r="V472" i="2"/>
  <c r="W472" i="2"/>
  <c r="T473" i="2"/>
  <c r="U473" i="2"/>
  <c r="X473" i="2" s="1"/>
  <c r="V473" i="2"/>
  <c r="W473" i="2"/>
  <c r="T474" i="2"/>
  <c r="U474" i="2"/>
  <c r="X474" i="2" s="1"/>
  <c r="V474" i="2"/>
  <c r="W474" i="2"/>
  <c r="T475" i="2"/>
  <c r="U475" i="2"/>
  <c r="X475" i="2" s="1"/>
  <c r="V475" i="2"/>
  <c r="W475" i="2"/>
  <c r="T476" i="2"/>
  <c r="U476" i="2"/>
  <c r="X476" i="2" s="1"/>
  <c r="Y476" i="2" s="1"/>
  <c r="V476" i="2"/>
  <c r="W476" i="2"/>
  <c r="T477" i="2"/>
  <c r="U477" i="2"/>
  <c r="V477" i="2"/>
  <c r="W477" i="2"/>
  <c r="T478" i="2"/>
  <c r="U478" i="2"/>
  <c r="X478" i="2" s="1"/>
  <c r="V478" i="2"/>
  <c r="W478" i="2"/>
  <c r="T479" i="2"/>
  <c r="U479" i="2"/>
  <c r="V479" i="2"/>
  <c r="W479" i="2"/>
  <c r="T480" i="2"/>
  <c r="U480" i="2"/>
  <c r="X480" i="2" s="1"/>
  <c r="Y480" i="2" s="1"/>
  <c r="V480" i="2"/>
  <c r="W480" i="2"/>
  <c r="T481" i="2"/>
  <c r="U481" i="2"/>
  <c r="V481" i="2"/>
  <c r="W481" i="2"/>
  <c r="T482" i="2"/>
  <c r="U482" i="2"/>
  <c r="V482" i="2"/>
  <c r="W482" i="2"/>
  <c r="T483" i="2"/>
  <c r="U483" i="2"/>
  <c r="X483" i="2" s="1"/>
  <c r="V483" i="2"/>
  <c r="W483" i="2"/>
  <c r="T484" i="2"/>
  <c r="U484" i="2"/>
  <c r="V484" i="2"/>
  <c r="W484" i="2"/>
  <c r="T485" i="2"/>
  <c r="U485" i="2"/>
  <c r="V485" i="2"/>
  <c r="W485" i="2"/>
  <c r="T486" i="2"/>
  <c r="U486" i="2"/>
  <c r="V486" i="2"/>
  <c r="W486" i="2"/>
  <c r="T487" i="2"/>
  <c r="U487" i="2"/>
  <c r="V487" i="2"/>
  <c r="W487" i="2"/>
  <c r="T488" i="2"/>
  <c r="U488" i="2"/>
  <c r="V488" i="2"/>
  <c r="W488" i="2"/>
  <c r="T489" i="2"/>
  <c r="U489" i="2"/>
  <c r="V489" i="2"/>
  <c r="W489" i="2"/>
  <c r="T490" i="2"/>
  <c r="U490" i="2"/>
  <c r="X490" i="2" s="1"/>
  <c r="V490" i="2"/>
  <c r="W490" i="2"/>
  <c r="T491" i="2"/>
  <c r="U491" i="2"/>
  <c r="V491" i="2"/>
  <c r="W491" i="2"/>
  <c r="T492" i="2"/>
  <c r="U492" i="2"/>
  <c r="V492" i="2"/>
  <c r="W492" i="2"/>
  <c r="T493" i="2"/>
  <c r="U493" i="2"/>
  <c r="X493" i="2" s="1"/>
  <c r="V493" i="2"/>
  <c r="W493" i="2"/>
  <c r="T494" i="2"/>
  <c r="U494" i="2"/>
  <c r="V494" i="2"/>
  <c r="W494" i="2"/>
  <c r="T495" i="2"/>
  <c r="U495" i="2"/>
  <c r="V495" i="2"/>
  <c r="W495" i="2"/>
  <c r="T496" i="2"/>
  <c r="U496" i="2"/>
  <c r="X496" i="2" s="1"/>
  <c r="Y496" i="2" s="1"/>
  <c r="V496" i="2"/>
  <c r="W496" i="2"/>
  <c r="T497" i="2"/>
  <c r="U497" i="2"/>
  <c r="X497" i="2" s="1"/>
  <c r="Y497" i="2" s="1"/>
  <c r="V497" i="2"/>
  <c r="W497" i="2"/>
  <c r="T498" i="2"/>
  <c r="U498" i="2"/>
  <c r="X498" i="2" s="1"/>
  <c r="V498" i="2"/>
  <c r="W498" i="2"/>
  <c r="T499" i="2"/>
  <c r="U499" i="2"/>
  <c r="V499" i="2"/>
  <c r="W499" i="2"/>
  <c r="T500" i="2"/>
  <c r="U500" i="2"/>
  <c r="X500" i="2" s="1"/>
  <c r="V500" i="2"/>
  <c r="W500" i="2"/>
  <c r="T501" i="2"/>
  <c r="U501" i="2"/>
  <c r="X501" i="2" s="1"/>
  <c r="V501" i="2"/>
  <c r="W501" i="2"/>
  <c r="T502" i="2"/>
  <c r="U502" i="2"/>
  <c r="V502" i="2"/>
  <c r="W502" i="2"/>
  <c r="T503" i="2"/>
  <c r="U503" i="2"/>
  <c r="X503" i="2" s="1"/>
  <c r="V503" i="2"/>
  <c r="W503" i="2"/>
  <c r="T504" i="2"/>
  <c r="U504" i="2"/>
  <c r="V504" i="2"/>
  <c r="W504" i="2"/>
  <c r="T505" i="2"/>
  <c r="U505" i="2"/>
  <c r="V505" i="2"/>
  <c r="W505" i="2"/>
  <c r="T506" i="2"/>
  <c r="U506" i="2"/>
  <c r="V506" i="2"/>
  <c r="W506" i="2"/>
  <c r="T507" i="2"/>
  <c r="U507" i="2"/>
  <c r="V507" i="2"/>
  <c r="W507" i="2"/>
  <c r="T508" i="2"/>
  <c r="U508" i="2"/>
  <c r="X508" i="2" s="1"/>
  <c r="V508" i="2"/>
  <c r="W508" i="2"/>
  <c r="T509" i="2"/>
  <c r="U509" i="2"/>
  <c r="X509" i="2" s="1"/>
  <c r="V509" i="2"/>
  <c r="W509" i="2"/>
  <c r="T510" i="2"/>
  <c r="U510" i="2"/>
  <c r="V510" i="2"/>
  <c r="W510" i="2"/>
  <c r="T511" i="2"/>
  <c r="U511" i="2"/>
  <c r="V511" i="2"/>
  <c r="W511" i="2"/>
  <c r="T512" i="2"/>
  <c r="U512" i="2"/>
  <c r="X512" i="2" s="1"/>
  <c r="V512" i="2"/>
  <c r="W512" i="2"/>
  <c r="T513" i="2"/>
  <c r="U513" i="2"/>
  <c r="X513" i="2" s="1"/>
  <c r="V513" i="2"/>
  <c r="W513" i="2"/>
  <c r="T514" i="2"/>
  <c r="U514" i="2"/>
  <c r="X514" i="2" s="1"/>
  <c r="V514" i="2"/>
  <c r="W514" i="2"/>
  <c r="T515" i="2"/>
  <c r="U515" i="2"/>
  <c r="V515" i="2"/>
  <c r="W515" i="2"/>
  <c r="T516" i="2"/>
  <c r="U516" i="2"/>
  <c r="V516" i="2"/>
  <c r="W516" i="2"/>
  <c r="T517" i="2"/>
  <c r="U517" i="2"/>
  <c r="V517" i="2"/>
  <c r="W517" i="2"/>
  <c r="T518" i="2"/>
  <c r="U518" i="2"/>
  <c r="V518" i="2"/>
  <c r="W518" i="2"/>
  <c r="T519" i="2"/>
  <c r="U519" i="2"/>
  <c r="V519" i="2"/>
  <c r="W519" i="2"/>
  <c r="T520" i="2"/>
  <c r="U520" i="2"/>
  <c r="V520" i="2"/>
  <c r="W520" i="2"/>
  <c r="T521" i="2"/>
  <c r="U521" i="2"/>
  <c r="X521" i="2" s="1"/>
  <c r="V521" i="2"/>
  <c r="W521" i="2"/>
  <c r="T522" i="2"/>
  <c r="U522" i="2"/>
  <c r="V522" i="2"/>
  <c r="W522" i="2"/>
  <c r="T523" i="2"/>
  <c r="U523" i="2"/>
  <c r="V523" i="2"/>
  <c r="W523" i="2"/>
  <c r="T524" i="2"/>
  <c r="U524" i="2"/>
  <c r="X524" i="2" s="1"/>
  <c r="V524" i="2"/>
  <c r="W524" i="2"/>
  <c r="T525" i="2"/>
  <c r="U525" i="2"/>
  <c r="V525" i="2"/>
  <c r="W525" i="2"/>
  <c r="T526" i="2"/>
  <c r="U526" i="2"/>
  <c r="V526" i="2"/>
  <c r="W526" i="2"/>
  <c r="T527" i="2"/>
  <c r="U527" i="2"/>
  <c r="V527" i="2"/>
  <c r="W527" i="2"/>
  <c r="T528" i="2"/>
  <c r="U528" i="2"/>
  <c r="V528" i="2"/>
  <c r="W528" i="2"/>
  <c r="T529" i="2"/>
  <c r="U529" i="2"/>
  <c r="X529" i="2" s="1"/>
  <c r="V529" i="2"/>
  <c r="W529" i="2"/>
  <c r="T530" i="2"/>
  <c r="U530" i="2"/>
  <c r="X530" i="2" s="1"/>
  <c r="V530" i="2"/>
  <c r="W530" i="2"/>
  <c r="T531" i="2"/>
  <c r="U531" i="2"/>
  <c r="V531" i="2"/>
  <c r="W531" i="2"/>
  <c r="T532" i="2"/>
  <c r="U532" i="2"/>
  <c r="V532" i="2"/>
  <c r="W532" i="2"/>
  <c r="T533" i="2"/>
  <c r="U533" i="2"/>
  <c r="V533" i="2"/>
  <c r="W533" i="2"/>
  <c r="T534" i="2"/>
  <c r="U534" i="2"/>
  <c r="X534" i="2" s="1"/>
  <c r="V534" i="2"/>
  <c r="W534" i="2"/>
  <c r="T535" i="2"/>
  <c r="U535" i="2"/>
  <c r="X535" i="2" s="1"/>
  <c r="V535" i="2"/>
  <c r="W535" i="2"/>
  <c r="T536" i="2"/>
  <c r="U536" i="2"/>
  <c r="V536" i="2"/>
  <c r="W536" i="2"/>
  <c r="T537" i="2"/>
  <c r="U537" i="2"/>
  <c r="X537" i="2" s="1"/>
  <c r="Y537" i="2" s="1"/>
  <c r="V537" i="2"/>
  <c r="W537" i="2"/>
  <c r="T538" i="2"/>
  <c r="U538" i="2"/>
  <c r="X538" i="2" s="1"/>
  <c r="V538" i="2"/>
  <c r="W538" i="2"/>
  <c r="T539" i="2"/>
  <c r="U539" i="2"/>
  <c r="V539" i="2"/>
  <c r="W539" i="2"/>
  <c r="T540" i="2"/>
  <c r="U540" i="2"/>
  <c r="V540" i="2"/>
  <c r="W540" i="2"/>
  <c r="T541" i="2"/>
  <c r="U541" i="2"/>
  <c r="X541" i="2" s="1"/>
  <c r="Y541" i="2" s="1"/>
  <c r="V541" i="2"/>
  <c r="W541" i="2"/>
  <c r="T542" i="2"/>
  <c r="U542" i="2"/>
  <c r="V542" i="2"/>
  <c r="W542" i="2"/>
  <c r="T543" i="2"/>
  <c r="U543" i="2"/>
  <c r="X543" i="2" s="1"/>
  <c r="V543" i="2"/>
  <c r="W543" i="2"/>
  <c r="T544" i="2"/>
  <c r="U544" i="2"/>
  <c r="X544" i="2" s="1"/>
  <c r="V544" i="2"/>
  <c r="W544" i="2"/>
  <c r="T545" i="2"/>
  <c r="U545" i="2"/>
  <c r="V545" i="2"/>
  <c r="W545" i="2"/>
  <c r="T546" i="2"/>
  <c r="U546" i="2"/>
  <c r="X546" i="2" s="1"/>
  <c r="V546" i="2"/>
  <c r="W546" i="2"/>
  <c r="T547" i="2"/>
  <c r="U547" i="2"/>
  <c r="V547" i="2"/>
  <c r="W547" i="2"/>
  <c r="T548" i="2"/>
  <c r="U548" i="2"/>
  <c r="V548" i="2"/>
  <c r="W548" i="2"/>
  <c r="T549" i="2"/>
  <c r="U549" i="2"/>
  <c r="V549" i="2"/>
  <c r="W549" i="2"/>
  <c r="T550" i="2"/>
  <c r="U550" i="2"/>
  <c r="X550" i="2" s="1"/>
  <c r="V550" i="2"/>
  <c r="W550" i="2"/>
  <c r="T551" i="2"/>
  <c r="U551" i="2"/>
  <c r="X551" i="2" s="1"/>
  <c r="V551" i="2"/>
  <c r="W551" i="2"/>
  <c r="T552" i="2"/>
  <c r="U552" i="2"/>
  <c r="X552" i="2" s="1"/>
  <c r="V552" i="2"/>
  <c r="W552" i="2"/>
  <c r="T553" i="2"/>
  <c r="U553" i="2"/>
  <c r="X553" i="2" s="1"/>
  <c r="V553" i="2"/>
  <c r="W553" i="2"/>
  <c r="T554" i="2"/>
  <c r="U554" i="2"/>
  <c r="V554" i="2"/>
  <c r="W554" i="2"/>
  <c r="T555" i="2"/>
  <c r="U555" i="2"/>
  <c r="V555" i="2"/>
  <c r="W555" i="2"/>
  <c r="T556" i="2"/>
  <c r="U556" i="2"/>
  <c r="X556" i="2" s="1"/>
  <c r="V556" i="2"/>
  <c r="W556" i="2"/>
  <c r="T557" i="2"/>
  <c r="U557" i="2"/>
  <c r="V557" i="2"/>
  <c r="W557" i="2"/>
  <c r="T558" i="2"/>
  <c r="U558" i="2"/>
  <c r="X558" i="2" s="1"/>
  <c r="Y558" i="2" s="1"/>
  <c r="V558" i="2"/>
  <c r="W558" i="2"/>
  <c r="T559" i="2"/>
  <c r="U559" i="2"/>
  <c r="V559" i="2"/>
  <c r="W559" i="2"/>
  <c r="T560" i="2"/>
  <c r="U560" i="2"/>
  <c r="V560" i="2"/>
  <c r="W560" i="2"/>
  <c r="T561" i="2"/>
  <c r="U561" i="2"/>
  <c r="V561" i="2"/>
  <c r="W561" i="2"/>
  <c r="T562" i="2"/>
  <c r="U562" i="2"/>
  <c r="X562" i="2" s="1"/>
  <c r="V562" i="2"/>
  <c r="W562" i="2"/>
  <c r="T563" i="2"/>
  <c r="U563" i="2"/>
  <c r="X563" i="2" s="1"/>
  <c r="V563" i="2"/>
  <c r="W563" i="2"/>
  <c r="T564" i="2"/>
  <c r="U564" i="2"/>
  <c r="X564" i="2" s="1"/>
  <c r="V564" i="2"/>
  <c r="W564" i="2"/>
  <c r="T565" i="2"/>
  <c r="U565" i="2"/>
  <c r="V565" i="2"/>
  <c r="W565" i="2"/>
  <c r="T566" i="2"/>
  <c r="U566" i="2"/>
  <c r="V566" i="2"/>
  <c r="W566" i="2"/>
  <c r="T567" i="2"/>
  <c r="U567" i="2"/>
  <c r="V567" i="2"/>
  <c r="W567" i="2"/>
  <c r="T568" i="2"/>
  <c r="U568" i="2"/>
  <c r="V568" i="2"/>
  <c r="W568" i="2"/>
  <c r="T569" i="2"/>
  <c r="U569" i="2"/>
  <c r="X569" i="2" s="1"/>
  <c r="V569" i="2"/>
  <c r="W569" i="2"/>
  <c r="T570" i="2"/>
  <c r="U570" i="2"/>
  <c r="V570" i="2"/>
  <c r="W570" i="2"/>
  <c r="T571" i="2"/>
  <c r="U571" i="2"/>
  <c r="V571" i="2"/>
  <c r="W571" i="2"/>
  <c r="T572" i="2"/>
  <c r="U572" i="2"/>
  <c r="X572" i="2" s="1"/>
  <c r="V572" i="2"/>
  <c r="W572" i="2"/>
  <c r="T573" i="2"/>
  <c r="U573" i="2"/>
  <c r="X573" i="2" s="1"/>
  <c r="V573" i="2"/>
  <c r="W573" i="2"/>
  <c r="T574" i="2"/>
  <c r="U574" i="2"/>
  <c r="X574" i="2" s="1"/>
  <c r="V574" i="2"/>
  <c r="W574" i="2"/>
  <c r="T575" i="2"/>
  <c r="U575" i="2"/>
  <c r="X575" i="2" s="1"/>
  <c r="V575" i="2"/>
  <c r="W575" i="2"/>
  <c r="T576" i="2"/>
  <c r="U576" i="2"/>
  <c r="V576" i="2"/>
  <c r="W576" i="2"/>
  <c r="T577" i="2"/>
  <c r="U577" i="2"/>
  <c r="V577" i="2"/>
  <c r="W577" i="2"/>
  <c r="T578" i="2"/>
  <c r="U578" i="2"/>
  <c r="V578" i="2"/>
  <c r="W578" i="2"/>
  <c r="T579" i="2"/>
  <c r="U579" i="2"/>
  <c r="X579" i="2" s="1"/>
  <c r="Y579" i="2" s="1"/>
  <c r="V579" i="2"/>
  <c r="W579" i="2"/>
  <c r="T580" i="2"/>
  <c r="U580" i="2"/>
  <c r="X580" i="2" s="1"/>
  <c r="V580" i="2"/>
  <c r="W580" i="2"/>
  <c r="T581" i="2"/>
  <c r="U581" i="2"/>
  <c r="X581" i="2" s="1"/>
  <c r="V581" i="2"/>
  <c r="W581" i="2"/>
  <c r="T582" i="2"/>
  <c r="U582" i="2"/>
  <c r="X582" i="2" s="1"/>
  <c r="V582" i="2"/>
  <c r="W582" i="2"/>
  <c r="T583" i="2"/>
  <c r="U583" i="2"/>
  <c r="X583" i="2" s="1"/>
  <c r="V583" i="2"/>
  <c r="W583" i="2"/>
  <c r="T584" i="2"/>
  <c r="U584" i="2"/>
  <c r="X584" i="2" s="1"/>
  <c r="V584" i="2"/>
  <c r="W584" i="2"/>
  <c r="T585" i="2"/>
  <c r="U585" i="2"/>
  <c r="V585" i="2"/>
  <c r="W585" i="2"/>
  <c r="T586" i="2"/>
  <c r="U586" i="2"/>
  <c r="V586" i="2"/>
  <c r="W586" i="2"/>
  <c r="T587" i="2"/>
  <c r="U587" i="2"/>
  <c r="X587" i="2" s="1"/>
  <c r="V587" i="2"/>
  <c r="W587" i="2"/>
  <c r="T588" i="2"/>
  <c r="U588" i="2"/>
  <c r="X588" i="2" s="1"/>
  <c r="Y588" i="2" s="1"/>
  <c r="V588" i="2"/>
  <c r="W588" i="2"/>
  <c r="T589" i="2"/>
  <c r="U589" i="2"/>
  <c r="V589" i="2"/>
  <c r="W589" i="2"/>
  <c r="T590" i="2"/>
  <c r="U590" i="2"/>
  <c r="V590" i="2"/>
  <c r="W590" i="2"/>
  <c r="T591" i="2"/>
  <c r="U591" i="2"/>
  <c r="X591" i="2" s="1"/>
  <c r="Y591" i="2" s="1"/>
  <c r="V591" i="2"/>
  <c r="W591" i="2"/>
  <c r="T592" i="2"/>
  <c r="U592" i="2"/>
  <c r="V592" i="2"/>
  <c r="W592" i="2"/>
  <c r="T593" i="2"/>
  <c r="U593" i="2"/>
  <c r="X593" i="2" s="1"/>
  <c r="V593" i="2"/>
  <c r="W593" i="2"/>
  <c r="T594" i="2"/>
  <c r="U594" i="2"/>
  <c r="V594" i="2"/>
  <c r="W594" i="2"/>
  <c r="T595" i="2"/>
  <c r="U595" i="2"/>
  <c r="V595" i="2"/>
  <c r="W595" i="2"/>
  <c r="T596" i="2"/>
  <c r="U596" i="2"/>
  <c r="X596" i="2" s="1"/>
  <c r="Y596" i="2" s="1"/>
  <c r="V596" i="2"/>
  <c r="W596" i="2"/>
  <c r="T597" i="2"/>
  <c r="U597" i="2"/>
  <c r="X597" i="2" s="1"/>
  <c r="V597" i="2"/>
  <c r="W597" i="2"/>
  <c r="T598" i="2"/>
  <c r="U598" i="2"/>
  <c r="V598" i="2"/>
  <c r="W598" i="2"/>
  <c r="T599" i="2"/>
  <c r="U599" i="2"/>
  <c r="X599" i="2" s="1"/>
  <c r="V599" i="2"/>
  <c r="W599" i="2"/>
  <c r="T600" i="2"/>
  <c r="U600" i="2"/>
  <c r="X600" i="2" s="1"/>
  <c r="V600" i="2"/>
  <c r="W600" i="2"/>
  <c r="T601" i="2"/>
  <c r="U601" i="2"/>
  <c r="V601" i="2"/>
  <c r="W601" i="2"/>
  <c r="T602" i="2"/>
  <c r="U602" i="2"/>
  <c r="X602" i="2" s="1"/>
  <c r="V602" i="2"/>
  <c r="W602" i="2"/>
  <c r="T603" i="2"/>
  <c r="U603" i="2"/>
  <c r="V603" i="2"/>
  <c r="W603" i="2"/>
  <c r="T604" i="2"/>
  <c r="U604" i="2"/>
  <c r="V604" i="2"/>
  <c r="W604" i="2"/>
  <c r="T605" i="2"/>
  <c r="U605" i="2"/>
  <c r="V605" i="2"/>
  <c r="W605" i="2"/>
  <c r="T606" i="2"/>
  <c r="U606" i="2"/>
  <c r="V606" i="2"/>
  <c r="W606" i="2"/>
  <c r="T607" i="2"/>
  <c r="U607" i="2"/>
  <c r="V607" i="2"/>
  <c r="W607" i="2"/>
  <c r="T608" i="2"/>
  <c r="U608" i="2"/>
  <c r="V608" i="2"/>
  <c r="W608" i="2"/>
  <c r="T609" i="2"/>
  <c r="U609" i="2"/>
  <c r="X609" i="2" s="1"/>
  <c r="V609" i="2"/>
  <c r="W609" i="2"/>
  <c r="T610" i="2"/>
  <c r="U610" i="2"/>
  <c r="V610" i="2"/>
  <c r="W610" i="2"/>
  <c r="T611" i="2"/>
  <c r="U611" i="2"/>
  <c r="V611" i="2"/>
  <c r="W611" i="2"/>
  <c r="T612" i="2"/>
  <c r="U612" i="2"/>
  <c r="X612" i="2" s="1"/>
  <c r="V612" i="2"/>
  <c r="W612" i="2"/>
  <c r="T613" i="2"/>
  <c r="U613" i="2"/>
  <c r="V613" i="2"/>
  <c r="W613" i="2"/>
  <c r="T614" i="2"/>
  <c r="U614" i="2"/>
  <c r="V614" i="2"/>
  <c r="W614" i="2"/>
  <c r="T615" i="2"/>
  <c r="U615" i="2"/>
  <c r="V615" i="2"/>
  <c r="W615" i="2"/>
  <c r="T616" i="2"/>
  <c r="U616" i="2"/>
  <c r="V616" i="2"/>
  <c r="W616" i="2"/>
  <c r="T617" i="2"/>
  <c r="U617" i="2"/>
  <c r="X617" i="2" s="1"/>
  <c r="V617" i="2"/>
  <c r="W617" i="2"/>
  <c r="T618" i="2"/>
  <c r="U618" i="2"/>
  <c r="X618" i="2" s="1"/>
  <c r="V618" i="2"/>
  <c r="W618" i="2"/>
  <c r="T619" i="2"/>
  <c r="U619" i="2"/>
  <c r="X619" i="2" s="1"/>
  <c r="V619" i="2"/>
  <c r="W619" i="2"/>
  <c r="T620" i="2"/>
  <c r="U620" i="2"/>
  <c r="V620" i="2"/>
  <c r="W620" i="2"/>
  <c r="T621" i="2"/>
  <c r="U621" i="2"/>
  <c r="V621" i="2"/>
  <c r="W621" i="2"/>
  <c r="T622" i="2"/>
  <c r="U622" i="2"/>
  <c r="V622" i="2"/>
  <c r="W622" i="2"/>
  <c r="T623" i="2"/>
  <c r="U623" i="2"/>
  <c r="X623" i="2" s="1"/>
  <c r="V623" i="2"/>
  <c r="W623" i="2"/>
  <c r="T624" i="2"/>
  <c r="U624" i="2"/>
  <c r="V624" i="2"/>
  <c r="W624" i="2"/>
  <c r="T625" i="2"/>
  <c r="U625" i="2"/>
  <c r="V625" i="2"/>
  <c r="W625" i="2"/>
  <c r="T626" i="2"/>
  <c r="U626" i="2"/>
  <c r="X626" i="2" s="1"/>
  <c r="V626" i="2"/>
  <c r="W626" i="2"/>
  <c r="T627" i="2"/>
  <c r="U627" i="2"/>
  <c r="V627" i="2"/>
  <c r="W627" i="2"/>
  <c r="T628" i="2"/>
  <c r="U628" i="2"/>
  <c r="V628" i="2"/>
  <c r="W628" i="2"/>
  <c r="T629" i="2"/>
  <c r="U629" i="2"/>
  <c r="X629" i="2" s="1"/>
  <c r="V629" i="2"/>
  <c r="W629" i="2"/>
  <c r="T630" i="2"/>
  <c r="U630" i="2"/>
  <c r="V630" i="2"/>
  <c r="W630" i="2"/>
  <c r="T631" i="2"/>
  <c r="U631" i="2"/>
  <c r="V631" i="2"/>
  <c r="W631" i="2"/>
  <c r="T632" i="2"/>
  <c r="U632" i="2"/>
  <c r="X632" i="2" s="1"/>
  <c r="V632" i="2"/>
  <c r="W632" i="2"/>
  <c r="T633" i="2"/>
  <c r="U633" i="2"/>
  <c r="X633" i="2" s="1"/>
  <c r="V633" i="2"/>
  <c r="W633" i="2"/>
  <c r="T634" i="2"/>
  <c r="U634" i="2"/>
  <c r="V634" i="2"/>
  <c r="W634" i="2"/>
  <c r="T635" i="2"/>
  <c r="U635" i="2"/>
  <c r="V635" i="2"/>
  <c r="W635" i="2"/>
  <c r="T636" i="2"/>
  <c r="U636" i="2"/>
  <c r="X636" i="2" s="1"/>
  <c r="V636" i="2"/>
  <c r="W636" i="2"/>
  <c r="T637" i="2"/>
  <c r="U637" i="2"/>
  <c r="X637" i="2" s="1"/>
  <c r="V637" i="2"/>
  <c r="W637" i="2"/>
  <c r="T638" i="2"/>
  <c r="U638" i="2"/>
  <c r="V638" i="2"/>
  <c r="W638" i="2"/>
  <c r="T639" i="2"/>
  <c r="U639" i="2"/>
  <c r="V639" i="2"/>
  <c r="W639" i="2"/>
  <c r="T640" i="2"/>
  <c r="U640" i="2"/>
  <c r="V640" i="2"/>
  <c r="W640" i="2"/>
  <c r="T641" i="2"/>
  <c r="U641" i="2"/>
  <c r="X641" i="2" s="1"/>
  <c r="V641" i="2"/>
  <c r="W641" i="2"/>
  <c r="T642" i="2"/>
  <c r="U642" i="2"/>
  <c r="X642" i="2" s="1"/>
  <c r="V642" i="2"/>
  <c r="W642" i="2"/>
  <c r="T643" i="2"/>
  <c r="U643" i="2"/>
  <c r="V643" i="2"/>
  <c r="W643" i="2"/>
  <c r="T644" i="2"/>
  <c r="U644" i="2"/>
  <c r="V644" i="2"/>
  <c r="W644" i="2"/>
  <c r="T645" i="2"/>
  <c r="U645" i="2"/>
  <c r="X645" i="2" s="1"/>
  <c r="V645" i="2"/>
  <c r="W645" i="2"/>
  <c r="T646" i="2"/>
  <c r="U646" i="2"/>
  <c r="X646" i="2" s="1"/>
  <c r="V646" i="2"/>
  <c r="W646" i="2"/>
  <c r="T647" i="2"/>
  <c r="U647" i="2"/>
  <c r="V647" i="2"/>
  <c r="W647" i="2"/>
  <c r="T648" i="2"/>
  <c r="U648" i="2"/>
  <c r="V648" i="2"/>
  <c r="W648" i="2"/>
  <c r="T649" i="2"/>
  <c r="U649" i="2"/>
  <c r="X649" i="2" s="1"/>
  <c r="V649" i="2"/>
  <c r="W649" i="2"/>
  <c r="T650" i="2"/>
  <c r="U650" i="2"/>
  <c r="V650" i="2"/>
  <c r="W650" i="2"/>
  <c r="T651" i="2"/>
  <c r="U651" i="2"/>
  <c r="V651" i="2"/>
  <c r="W651" i="2"/>
  <c r="T652" i="2"/>
  <c r="U652" i="2"/>
  <c r="X652" i="2" s="1"/>
  <c r="V652" i="2"/>
  <c r="W652" i="2"/>
  <c r="T653" i="2"/>
  <c r="U653" i="2"/>
  <c r="X653" i="2" s="1"/>
  <c r="V653" i="2"/>
  <c r="W653" i="2"/>
  <c r="T654" i="2"/>
  <c r="U654" i="2"/>
  <c r="X654" i="2" s="1"/>
  <c r="Y654" i="2" s="1"/>
  <c r="V654" i="2"/>
  <c r="W654" i="2"/>
  <c r="T655" i="2"/>
  <c r="U655" i="2"/>
  <c r="X655" i="2" s="1"/>
  <c r="V655" i="2"/>
  <c r="W655" i="2"/>
  <c r="T656" i="2"/>
  <c r="U656" i="2"/>
  <c r="V656" i="2"/>
  <c r="W656" i="2"/>
  <c r="T657" i="2"/>
  <c r="U657" i="2"/>
  <c r="V657" i="2"/>
  <c r="W657" i="2"/>
  <c r="T658" i="2"/>
  <c r="U658" i="2"/>
  <c r="V658" i="2"/>
  <c r="W658" i="2"/>
  <c r="T659" i="2"/>
  <c r="U659" i="2"/>
  <c r="V659" i="2"/>
  <c r="W659" i="2"/>
  <c r="T660" i="2"/>
  <c r="U660" i="2"/>
  <c r="V660" i="2"/>
  <c r="W660" i="2"/>
  <c r="T661" i="2"/>
  <c r="U661" i="2"/>
  <c r="V661" i="2"/>
  <c r="W661" i="2"/>
  <c r="T662" i="2"/>
  <c r="U662" i="2"/>
  <c r="V662" i="2"/>
  <c r="W662" i="2"/>
  <c r="T663" i="2"/>
  <c r="U663" i="2"/>
  <c r="V663" i="2"/>
  <c r="W663" i="2"/>
  <c r="T664" i="2"/>
  <c r="U664" i="2"/>
  <c r="V664" i="2"/>
  <c r="W664" i="2"/>
  <c r="T665" i="2"/>
  <c r="U665" i="2"/>
  <c r="V665" i="2"/>
  <c r="W665" i="2"/>
  <c r="T666" i="2"/>
  <c r="U666" i="2"/>
  <c r="V666" i="2"/>
  <c r="W666" i="2"/>
  <c r="T667" i="2"/>
  <c r="U667" i="2"/>
  <c r="V667" i="2"/>
  <c r="W667" i="2"/>
  <c r="T668" i="2"/>
  <c r="U668" i="2"/>
  <c r="X668" i="2" s="1"/>
  <c r="V668" i="2"/>
  <c r="W668" i="2"/>
  <c r="T669" i="2"/>
  <c r="U669" i="2"/>
  <c r="X669" i="2" s="1"/>
  <c r="V669" i="2"/>
  <c r="W669" i="2"/>
  <c r="T670" i="2"/>
  <c r="U670" i="2"/>
  <c r="X670" i="2" s="1"/>
  <c r="V670" i="2"/>
  <c r="W670" i="2"/>
  <c r="T671" i="2"/>
  <c r="U671" i="2"/>
  <c r="V671" i="2"/>
  <c r="W671" i="2"/>
  <c r="T672" i="2"/>
  <c r="U672" i="2"/>
  <c r="X672" i="2" s="1"/>
  <c r="V672" i="2"/>
  <c r="W672" i="2"/>
  <c r="T673" i="2"/>
  <c r="U673" i="2"/>
  <c r="V673" i="2"/>
  <c r="W673" i="2"/>
  <c r="T674" i="2"/>
  <c r="U674" i="2"/>
  <c r="V674" i="2"/>
  <c r="W674" i="2"/>
  <c r="T675" i="2"/>
  <c r="U675" i="2"/>
  <c r="X675" i="2" s="1"/>
  <c r="V675" i="2"/>
  <c r="W675" i="2"/>
  <c r="T676" i="2"/>
  <c r="U676" i="2"/>
  <c r="V676" i="2"/>
  <c r="W676" i="2"/>
  <c r="T677" i="2"/>
  <c r="U677" i="2"/>
  <c r="V677" i="2"/>
  <c r="W677" i="2"/>
  <c r="T678" i="2"/>
  <c r="U678" i="2"/>
  <c r="X678" i="2" s="1"/>
  <c r="V678" i="2"/>
  <c r="W678" i="2"/>
  <c r="T679" i="2"/>
  <c r="U679" i="2"/>
  <c r="V679" i="2"/>
  <c r="W679" i="2"/>
  <c r="T680" i="2"/>
  <c r="U680" i="2"/>
  <c r="V680" i="2"/>
  <c r="W680" i="2"/>
  <c r="T681" i="2"/>
  <c r="U681" i="2"/>
  <c r="V681" i="2"/>
  <c r="W681" i="2"/>
  <c r="T682" i="2"/>
  <c r="U682" i="2"/>
  <c r="V682" i="2"/>
  <c r="W682" i="2"/>
  <c r="T683" i="2"/>
  <c r="U683" i="2"/>
  <c r="X683" i="2" s="1"/>
  <c r="V683" i="2"/>
  <c r="W683" i="2"/>
  <c r="T684" i="2"/>
  <c r="U684" i="2"/>
  <c r="X684" i="2" s="1"/>
  <c r="V684" i="2"/>
  <c r="W684" i="2"/>
  <c r="T685" i="2"/>
  <c r="U685" i="2"/>
  <c r="X685" i="2" s="1"/>
  <c r="V685" i="2"/>
  <c r="W685" i="2"/>
  <c r="T686" i="2"/>
  <c r="U686" i="2"/>
  <c r="V686" i="2"/>
  <c r="W686" i="2"/>
  <c r="T687" i="2"/>
  <c r="U687" i="2"/>
  <c r="V687" i="2"/>
  <c r="W687" i="2"/>
  <c r="T688" i="2"/>
  <c r="U688" i="2"/>
  <c r="V688" i="2"/>
  <c r="W688" i="2"/>
  <c r="T689" i="2"/>
  <c r="U689" i="2"/>
  <c r="V689" i="2"/>
  <c r="W689" i="2"/>
  <c r="T690" i="2"/>
  <c r="U690" i="2"/>
  <c r="V690" i="2"/>
  <c r="W690" i="2"/>
  <c r="T691" i="2"/>
  <c r="U691" i="2"/>
  <c r="V691" i="2"/>
  <c r="W691" i="2"/>
  <c r="T692" i="2"/>
  <c r="U692" i="2"/>
  <c r="V692" i="2"/>
  <c r="W692" i="2"/>
  <c r="T693" i="2"/>
  <c r="U693" i="2"/>
  <c r="V693" i="2"/>
  <c r="W693" i="2"/>
  <c r="T694" i="2"/>
  <c r="U694" i="2"/>
  <c r="V694" i="2"/>
  <c r="W694" i="2"/>
  <c r="T695" i="2"/>
  <c r="U695" i="2"/>
  <c r="X695" i="2" s="1"/>
  <c r="V695" i="2"/>
  <c r="W695" i="2"/>
  <c r="T696" i="2"/>
  <c r="U696" i="2"/>
  <c r="X696" i="2" s="1"/>
  <c r="V696" i="2"/>
  <c r="W696" i="2"/>
  <c r="T697" i="2"/>
  <c r="U697" i="2"/>
  <c r="V697" i="2"/>
  <c r="W697" i="2"/>
  <c r="T698" i="2"/>
  <c r="U698" i="2"/>
  <c r="X698" i="2" s="1"/>
  <c r="V698" i="2"/>
  <c r="W698" i="2"/>
  <c r="T699" i="2"/>
  <c r="U699" i="2"/>
  <c r="V699" i="2"/>
  <c r="W699" i="2"/>
  <c r="T700" i="2"/>
  <c r="U700" i="2"/>
  <c r="V700" i="2"/>
  <c r="W700" i="2"/>
  <c r="T701" i="2"/>
  <c r="U701" i="2"/>
  <c r="V701" i="2"/>
  <c r="W701" i="2"/>
  <c r="T702" i="2"/>
  <c r="U702" i="2"/>
  <c r="V702" i="2"/>
  <c r="W702" i="2"/>
  <c r="T703" i="2"/>
  <c r="U703" i="2"/>
  <c r="V703" i="2"/>
  <c r="W703" i="2"/>
  <c r="T704" i="2"/>
  <c r="U704" i="2"/>
  <c r="V704" i="2"/>
  <c r="W704" i="2"/>
  <c r="T705" i="2"/>
  <c r="U705" i="2"/>
  <c r="V705" i="2"/>
  <c r="W705" i="2"/>
  <c r="T706" i="2"/>
  <c r="U706" i="2"/>
  <c r="V706" i="2"/>
  <c r="W706" i="2"/>
  <c r="T707" i="2"/>
  <c r="U707" i="2"/>
  <c r="X707" i="2" s="1"/>
  <c r="V707" i="2"/>
  <c r="W707" i="2"/>
  <c r="T708" i="2"/>
  <c r="U708" i="2"/>
  <c r="V708" i="2"/>
  <c r="W708" i="2"/>
  <c r="T709" i="2"/>
  <c r="U709" i="2"/>
  <c r="V709" i="2"/>
  <c r="W709" i="2"/>
  <c r="T710" i="2"/>
  <c r="U710" i="2"/>
  <c r="X710" i="2" s="1"/>
  <c r="Y710" i="2" s="1"/>
  <c r="V710" i="2"/>
  <c r="W710" i="2"/>
  <c r="T711" i="2"/>
  <c r="U711" i="2"/>
  <c r="X711" i="2" s="1"/>
  <c r="V711" i="2"/>
  <c r="W711" i="2"/>
  <c r="T712" i="2"/>
  <c r="U712" i="2"/>
  <c r="V712" i="2"/>
  <c r="W712" i="2"/>
  <c r="T713" i="2"/>
  <c r="U713" i="2"/>
  <c r="V713" i="2"/>
  <c r="W713" i="2"/>
  <c r="T714" i="2"/>
  <c r="U714" i="2"/>
  <c r="X714" i="2" s="1"/>
  <c r="Y714" i="2" s="1"/>
  <c r="V714" i="2"/>
  <c r="W714" i="2"/>
  <c r="T715" i="2"/>
  <c r="U715" i="2"/>
  <c r="V715" i="2"/>
  <c r="W715" i="2"/>
  <c r="T716" i="2"/>
  <c r="U716" i="2"/>
  <c r="V716" i="2"/>
  <c r="W716" i="2"/>
  <c r="T717" i="2"/>
  <c r="U717" i="2"/>
  <c r="X717" i="2" s="1"/>
  <c r="Y717" i="2" s="1"/>
  <c r="V717" i="2"/>
  <c r="W717" i="2"/>
  <c r="T718" i="2"/>
  <c r="U718" i="2"/>
  <c r="X718" i="2" s="1"/>
  <c r="V718" i="2"/>
  <c r="W718" i="2"/>
  <c r="T719" i="2"/>
  <c r="U719" i="2"/>
  <c r="V719" i="2"/>
  <c r="W719" i="2"/>
  <c r="T720" i="2"/>
  <c r="U720" i="2"/>
  <c r="X720" i="2" s="1"/>
  <c r="V720" i="2"/>
  <c r="W720" i="2"/>
  <c r="T721" i="2"/>
  <c r="U721" i="2"/>
  <c r="X721" i="2" s="1"/>
  <c r="V721" i="2"/>
  <c r="W721" i="2"/>
  <c r="T722" i="2"/>
  <c r="U722" i="2"/>
  <c r="V722" i="2"/>
  <c r="W722" i="2"/>
  <c r="T723" i="2"/>
  <c r="U723" i="2"/>
  <c r="V723" i="2"/>
  <c r="W723" i="2"/>
  <c r="T724" i="2"/>
  <c r="U724" i="2"/>
  <c r="V724" i="2"/>
  <c r="W724" i="2"/>
  <c r="T725" i="2"/>
  <c r="U725" i="2"/>
  <c r="V725" i="2"/>
  <c r="W725" i="2"/>
  <c r="T726" i="2"/>
  <c r="U726" i="2"/>
  <c r="V726" i="2"/>
  <c r="W726" i="2"/>
  <c r="T727" i="2"/>
  <c r="U727" i="2"/>
  <c r="X727" i="2" s="1"/>
  <c r="V727" i="2"/>
  <c r="W727" i="2"/>
  <c r="T728" i="2"/>
  <c r="U728" i="2"/>
  <c r="X728" i="2" s="1"/>
  <c r="V728" i="2"/>
  <c r="W728" i="2"/>
  <c r="T729" i="2"/>
  <c r="U729" i="2"/>
  <c r="V729" i="2"/>
  <c r="W729" i="2"/>
  <c r="T730" i="2"/>
  <c r="U730" i="2"/>
  <c r="X730" i="2" s="1"/>
  <c r="V730" i="2"/>
  <c r="W730" i="2"/>
  <c r="T731" i="2"/>
  <c r="U731" i="2"/>
  <c r="V731" i="2"/>
  <c r="W731" i="2"/>
  <c r="T732" i="2"/>
  <c r="U732" i="2"/>
  <c r="V732" i="2"/>
  <c r="W732" i="2"/>
  <c r="T733" i="2"/>
  <c r="U733" i="2"/>
  <c r="V733" i="2"/>
  <c r="W733" i="2"/>
  <c r="T734" i="2"/>
  <c r="U734" i="2"/>
  <c r="V734" i="2"/>
  <c r="W734" i="2"/>
  <c r="T735" i="2"/>
  <c r="U735" i="2"/>
  <c r="V735" i="2"/>
  <c r="W735" i="2"/>
  <c r="T736" i="2"/>
  <c r="U736" i="2"/>
  <c r="V736" i="2"/>
  <c r="W736" i="2"/>
  <c r="T737" i="2"/>
  <c r="U737" i="2"/>
  <c r="V737" i="2"/>
  <c r="W737" i="2"/>
  <c r="T738" i="2"/>
  <c r="U738" i="2"/>
  <c r="V738" i="2"/>
  <c r="W738" i="2"/>
  <c r="T739" i="2"/>
  <c r="U739" i="2"/>
  <c r="X739" i="2" s="1"/>
  <c r="V739" i="2"/>
  <c r="W739" i="2"/>
  <c r="T740" i="2"/>
  <c r="U740" i="2"/>
  <c r="V740" i="2"/>
  <c r="W740" i="2"/>
  <c r="T741" i="2"/>
  <c r="U741" i="2"/>
  <c r="V741" i="2"/>
  <c r="W741" i="2"/>
  <c r="T742" i="2"/>
  <c r="U742" i="2"/>
  <c r="X742" i="2" s="1"/>
  <c r="V742" i="2"/>
  <c r="W742" i="2"/>
  <c r="T743" i="2"/>
  <c r="U743" i="2"/>
  <c r="V743" i="2"/>
  <c r="W743" i="2"/>
  <c r="T744" i="2"/>
  <c r="U744" i="2"/>
  <c r="X744" i="2" s="1"/>
  <c r="V744" i="2"/>
  <c r="W744" i="2"/>
  <c r="T745" i="2"/>
  <c r="U745" i="2"/>
  <c r="X745" i="2" s="1"/>
  <c r="V745" i="2"/>
  <c r="W745" i="2"/>
  <c r="T746" i="2"/>
  <c r="U746" i="2"/>
  <c r="V746" i="2"/>
  <c r="W746" i="2"/>
  <c r="T747" i="2"/>
  <c r="U747" i="2"/>
  <c r="X747" i="2" s="1"/>
  <c r="V747" i="2"/>
  <c r="W747" i="2"/>
  <c r="T748" i="2"/>
  <c r="U748" i="2"/>
  <c r="X748" i="2" s="1"/>
  <c r="V748" i="2"/>
  <c r="W748" i="2"/>
  <c r="T749" i="2"/>
  <c r="U749" i="2"/>
  <c r="X749" i="2" s="1"/>
  <c r="V749" i="2"/>
  <c r="W749" i="2"/>
  <c r="T750" i="2"/>
  <c r="U750" i="2"/>
  <c r="V750" i="2"/>
  <c r="W750" i="2"/>
  <c r="T751" i="2"/>
  <c r="U751" i="2"/>
  <c r="X751" i="2" s="1"/>
  <c r="Y751" i="2" s="1"/>
  <c r="V751" i="2"/>
  <c r="W751" i="2"/>
  <c r="T752" i="2"/>
  <c r="U752" i="2"/>
  <c r="V752" i="2"/>
  <c r="W752" i="2"/>
  <c r="T753" i="2"/>
  <c r="U753" i="2"/>
  <c r="V753" i="2"/>
  <c r="W753" i="2"/>
  <c r="T754" i="2"/>
  <c r="U754" i="2"/>
  <c r="V754" i="2"/>
  <c r="W754" i="2"/>
  <c r="T755" i="2"/>
  <c r="U755" i="2"/>
  <c r="X755" i="2" s="1"/>
  <c r="V755" i="2"/>
  <c r="W755" i="2"/>
  <c r="T756" i="2"/>
  <c r="U756" i="2"/>
  <c r="X756" i="2" s="1"/>
  <c r="Y756" i="2" s="1"/>
  <c r="V756" i="2"/>
  <c r="W756" i="2"/>
  <c r="T757" i="2"/>
  <c r="U757" i="2"/>
  <c r="V757" i="2"/>
  <c r="W757" i="2"/>
  <c r="T758" i="2"/>
  <c r="U758" i="2"/>
  <c r="V758" i="2"/>
  <c r="W758" i="2"/>
  <c r="T759" i="2"/>
  <c r="U759" i="2"/>
  <c r="X759" i="2" s="1"/>
  <c r="V759" i="2"/>
  <c r="W759" i="2"/>
  <c r="T760" i="2"/>
  <c r="U760" i="2"/>
  <c r="V760" i="2"/>
  <c r="W760" i="2"/>
  <c r="T761" i="2"/>
  <c r="U761" i="2"/>
  <c r="V761" i="2"/>
  <c r="W761" i="2"/>
  <c r="T762" i="2"/>
  <c r="U762" i="2"/>
  <c r="V762" i="2"/>
  <c r="W762" i="2"/>
  <c r="T763" i="2"/>
  <c r="U763" i="2"/>
  <c r="X763" i="2" s="1"/>
  <c r="Y763" i="2" s="1"/>
  <c r="V763" i="2"/>
  <c r="W763" i="2"/>
  <c r="T764" i="2"/>
  <c r="U764" i="2"/>
  <c r="X764" i="2" s="1"/>
  <c r="V764" i="2"/>
  <c r="W764" i="2"/>
  <c r="T765" i="2"/>
  <c r="U765" i="2"/>
  <c r="V765" i="2"/>
  <c r="W765" i="2"/>
  <c r="T766" i="2"/>
  <c r="U766" i="2"/>
  <c r="V766" i="2"/>
  <c r="W766" i="2"/>
  <c r="T767" i="2"/>
  <c r="U767" i="2"/>
  <c r="V767" i="2"/>
  <c r="W767" i="2"/>
  <c r="T768" i="2"/>
  <c r="U768" i="2"/>
  <c r="V768" i="2"/>
  <c r="W768" i="2"/>
  <c r="T769" i="2"/>
  <c r="U769" i="2"/>
  <c r="V769" i="2"/>
  <c r="W769" i="2"/>
  <c r="T770" i="2"/>
  <c r="U770" i="2"/>
  <c r="V770" i="2"/>
  <c r="W770" i="2"/>
  <c r="T771" i="2"/>
  <c r="U771" i="2"/>
  <c r="V771" i="2"/>
  <c r="W771" i="2"/>
  <c r="T772" i="2"/>
  <c r="U772" i="2"/>
  <c r="V772" i="2"/>
  <c r="W772" i="2"/>
  <c r="T773" i="2"/>
  <c r="U773" i="2"/>
  <c r="V773" i="2"/>
  <c r="W773" i="2"/>
  <c r="T774" i="2"/>
  <c r="U774" i="2"/>
  <c r="X774" i="2" s="1"/>
  <c r="V774" i="2"/>
  <c r="W774" i="2"/>
  <c r="T775" i="2"/>
  <c r="U775" i="2"/>
  <c r="V775" i="2"/>
  <c r="W775" i="2"/>
  <c r="T776" i="2"/>
  <c r="U776" i="2"/>
  <c r="V776" i="2"/>
  <c r="W776" i="2"/>
  <c r="T777" i="2"/>
  <c r="U777" i="2"/>
  <c r="X777" i="2" s="1"/>
  <c r="V777" i="2"/>
  <c r="W777" i="2"/>
  <c r="T778" i="2"/>
  <c r="U778" i="2"/>
  <c r="V778" i="2"/>
  <c r="W778" i="2"/>
  <c r="T779" i="2"/>
  <c r="U779" i="2"/>
  <c r="V779" i="2"/>
  <c r="W779" i="2"/>
  <c r="T780" i="2"/>
  <c r="U780" i="2"/>
  <c r="X780" i="2" s="1"/>
  <c r="V780" i="2"/>
  <c r="W780" i="2"/>
  <c r="T781" i="2"/>
  <c r="U781" i="2"/>
  <c r="X781" i="2" s="1"/>
  <c r="V781" i="2"/>
  <c r="W781" i="2"/>
  <c r="T782" i="2"/>
  <c r="U782" i="2"/>
  <c r="V782" i="2"/>
  <c r="W782" i="2"/>
  <c r="T783" i="2"/>
  <c r="U783" i="2"/>
  <c r="V783" i="2"/>
  <c r="W783" i="2"/>
  <c r="T784" i="2"/>
  <c r="U784" i="2"/>
  <c r="X784" i="2" s="1"/>
  <c r="V784" i="2"/>
  <c r="W784" i="2"/>
  <c r="T785" i="2"/>
  <c r="U785" i="2"/>
  <c r="V785" i="2"/>
  <c r="W785" i="2"/>
  <c r="T786" i="2"/>
  <c r="U786" i="2"/>
  <c r="V786" i="2"/>
  <c r="W786" i="2"/>
  <c r="T787" i="2"/>
  <c r="U787" i="2"/>
  <c r="V787" i="2"/>
  <c r="W787" i="2"/>
  <c r="T788" i="2"/>
  <c r="U788" i="2"/>
  <c r="V788" i="2"/>
  <c r="W788" i="2"/>
  <c r="T789" i="2"/>
  <c r="U789" i="2"/>
  <c r="V789" i="2"/>
  <c r="W789" i="2"/>
  <c r="T790" i="2"/>
  <c r="U790" i="2"/>
  <c r="X790" i="2" s="1"/>
  <c r="V790" i="2"/>
  <c r="W790" i="2"/>
  <c r="T791" i="2"/>
  <c r="U791" i="2"/>
  <c r="V791" i="2"/>
  <c r="W791" i="2"/>
  <c r="T792" i="2"/>
  <c r="U792" i="2"/>
  <c r="V792" i="2"/>
  <c r="W792" i="2"/>
  <c r="T793" i="2"/>
  <c r="U793" i="2"/>
  <c r="X793" i="2" s="1"/>
  <c r="V793" i="2"/>
  <c r="W793" i="2"/>
  <c r="T794" i="2"/>
  <c r="U794" i="2"/>
  <c r="V794" i="2"/>
  <c r="W794" i="2"/>
  <c r="T795" i="2"/>
  <c r="U795" i="2"/>
  <c r="V795" i="2"/>
  <c r="W795" i="2"/>
  <c r="T796" i="2"/>
  <c r="U796" i="2"/>
  <c r="X796" i="2" s="1"/>
  <c r="V796" i="2"/>
  <c r="W796" i="2"/>
  <c r="T797" i="2"/>
  <c r="U797" i="2"/>
  <c r="X797" i="2" s="1"/>
  <c r="V797" i="2"/>
  <c r="W797" i="2"/>
  <c r="T798" i="2"/>
  <c r="U798" i="2"/>
  <c r="X798" i="2" s="1"/>
  <c r="Y798" i="2" s="1"/>
  <c r="V798" i="2"/>
  <c r="W798" i="2"/>
  <c r="T799" i="2"/>
  <c r="U799" i="2"/>
  <c r="V799" i="2"/>
  <c r="W799" i="2"/>
  <c r="T800" i="2"/>
  <c r="U800" i="2"/>
  <c r="V800" i="2"/>
  <c r="W800" i="2"/>
  <c r="T801" i="2"/>
  <c r="U801" i="2"/>
  <c r="V801" i="2"/>
  <c r="W801" i="2"/>
  <c r="T802" i="2"/>
  <c r="U802" i="2"/>
  <c r="V802" i="2"/>
  <c r="W802" i="2"/>
  <c r="T803" i="2"/>
  <c r="U803" i="2"/>
  <c r="V803" i="2"/>
  <c r="W803" i="2"/>
  <c r="T804" i="2"/>
  <c r="U804" i="2"/>
  <c r="X804" i="2" s="1"/>
  <c r="V804" i="2"/>
  <c r="W804" i="2"/>
  <c r="T805" i="2"/>
  <c r="U805" i="2"/>
  <c r="V805" i="2"/>
  <c r="W805" i="2"/>
  <c r="T806" i="2"/>
  <c r="U806" i="2"/>
  <c r="V806" i="2"/>
  <c r="W806" i="2"/>
  <c r="T807" i="2"/>
  <c r="U807" i="2"/>
  <c r="V807" i="2"/>
  <c r="W807" i="2"/>
  <c r="T808" i="2"/>
  <c r="U808" i="2"/>
  <c r="V808" i="2"/>
  <c r="W808" i="2"/>
  <c r="T809" i="2"/>
  <c r="U809" i="2"/>
  <c r="X809" i="2" s="1"/>
  <c r="V809" i="2"/>
  <c r="W809" i="2"/>
  <c r="T810" i="2"/>
  <c r="U810" i="2"/>
  <c r="X810" i="2" s="1"/>
  <c r="Y810" i="2" s="1"/>
  <c r="V810" i="2"/>
  <c r="W810" i="2"/>
  <c r="T811" i="2"/>
  <c r="U811" i="2"/>
  <c r="V811" i="2"/>
  <c r="W811" i="2"/>
  <c r="T812" i="2"/>
  <c r="U812" i="2"/>
  <c r="V812" i="2"/>
  <c r="W812" i="2"/>
  <c r="T813" i="2"/>
  <c r="U813" i="2"/>
  <c r="V813" i="2"/>
  <c r="W813" i="2"/>
  <c r="T814" i="2"/>
  <c r="U814" i="2"/>
  <c r="V814" i="2"/>
  <c r="W814" i="2"/>
  <c r="T815" i="2"/>
  <c r="U815" i="2"/>
  <c r="V815" i="2"/>
  <c r="W815" i="2"/>
  <c r="T816" i="2"/>
  <c r="U816" i="2"/>
  <c r="V816" i="2"/>
  <c r="W816" i="2"/>
  <c r="T817" i="2"/>
  <c r="U817" i="2"/>
  <c r="V817" i="2"/>
  <c r="W817" i="2"/>
  <c r="T818" i="2"/>
  <c r="U818" i="2"/>
  <c r="V818" i="2"/>
  <c r="W818" i="2"/>
  <c r="T819" i="2"/>
  <c r="U819" i="2"/>
  <c r="V819" i="2"/>
  <c r="W819" i="2"/>
  <c r="T820" i="2"/>
  <c r="U820" i="2"/>
  <c r="V820" i="2"/>
  <c r="W820" i="2"/>
  <c r="T821" i="2"/>
  <c r="U821" i="2"/>
  <c r="X821" i="2" s="1"/>
  <c r="V821" i="2"/>
  <c r="W821" i="2"/>
  <c r="T822" i="2"/>
  <c r="U822" i="2"/>
  <c r="V822" i="2"/>
  <c r="W822" i="2"/>
  <c r="T823" i="2"/>
  <c r="U823" i="2"/>
  <c r="X823" i="2" s="1"/>
  <c r="V823" i="2"/>
  <c r="W823" i="2"/>
  <c r="T824" i="2"/>
  <c r="U824" i="2"/>
  <c r="X824" i="2" s="1"/>
  <c r="V824" i="2"/>
  <c r="W824" i="2"/>
  <c r="T825" i="2"/>
  <c r="U825" i="2"/>
  <c r="V825" i="2"/>
  <c r="W825" i="2"/>
  <c r="T826" i="2"/>
  <c r="U826" i="2"/>
  <c r="X826" i="2" s="1"/>
  <c r="V826" i="2"/>
  <c r="W826" i="2"/>
  <c r="T827" i="2"/>
  <c r="U827" i="2"/>
  <c r="V827" i="2"/>
  <c r="W827" i="2"/>
  <c r="T828" i="2"/>
  <c r="U828" i="2"/>
  <c r="V828" i="2"/>
  <c r="W828" i="2"/>
  <c r="T829" i="2"/>
  <c r="U829" i="2"/>
  <c r="X829" i="2" s="1"/>
  <c r="V829" i="2"/>
  <c r="W829" i="2"/>
  <c r="T830" i="2"/>
  <c r="U830" i="2"/>
  <c r="X830" i="2" s="1"/>
  <c r="V830" i="2"/>
  <c r="W830" i="2"/>
  <c r="T831" i="2"/>
  <c r="U831" i="2"/>
  <c r="V831" i="2"/>
  <c r="W831" i="2"/>
  <c r="T832" i="2"/>
  <c r="U832" i="2"/>
  <c r="V832" i="2"/>
  <c r="W832" i="2"/>
  <c r="T833" i="2"/>
  <c r="U833" i="2"/>
  <c r="V833" i="2"/>
  <c r="W833" i="2"/>
  <c r="T834" i="2"/>
  <c r="U834" i="2"/>
  <c r="X834" i="2" s="1"/>
  <c r="V834" i="2"/>
  <c r="W834" i="2"/>
  <c r="T835" i="2"/>
  <c r="U835" i="2"/>
  <c r="X835" i="2" s="1"/>
  <c r="V835" i="2"/>
  <c r="W835" i="2"/>
  <c r="T836" i="2"/>
  <c r="U836" i="2"/>
  <c r="V836" i="2"/>
  <c r="W836" i="2"/>
  <c r="T837" i="2"/>
  <c r="U837" i="2"/>
  <c r="V837" i="2"/>
  <c r="W837" i="2"/>
  <c r="T838" i="2"/>
  <c r="U838" i="2"/>
  <c r="V838" i="2"/>
  <c r="W838" i="2"/>
  <c r="T839" i="2"/>
  <c r="U839" i="2"/>
  <c r="V839" i="2"/>
  <c r="W839" i="2"/>
  <c r="T840" i="2"/>
  <c r="U840" i="2"/>
  <c r="V840" i="2"/>
  <c r="W840" i="2"/>
  <c r="T841" i="2"/>
  <c r="U841" i="2"/>
  <c r="V841" i="2"/>
  <c r="W841" i="2"/>
  <c r="T842" i="2"/>
  <c r="U842" i="2"/>
  <c r="X842" i="2" s="1"/>
  <c r="V842" i="2"/>
  <c r="W842" i="2"/>
  <c r="T843" i="2"/>
  <c r="U843" i="2"/>
  <c r="X843" i="2" s="1"/>
  <c r="V843" i="2"/>
  <c r="W843" i="2"/>
  <c r="T844" i="2"/>
  <c r="U844" i="2"/>
  <c r="V844" i="2"/>
  <c r="W844" i="2"/>
  <c r="T845" i="2"/>
  <c r="U845" i="2"/>
  <c r="V845" i="2"/>
  <c r="W845" i="2"/>
  <c r="T846" i="2"/>
  <c r="U846" i="2"/>
  <c r="X846" i="2" s="1"/>
  <c r="V846" i="2"/>
  <c r="W846" i="2"/>
  <c r="T847" i="2"/>
  <c r="U847" i="2"/>
  <c r="X847" i="2" s="1"/>
  <c r="V847" i="2"/>
  <c r="W847" i="2"/>
  <c r="T848" i="2"/>
  <c r="U848" i="2"/>
  <c r="V848" i="2"/>
  <c r="W848" i="2"/>
  <c r="T849" i="2"/>
  <c r="U849" i="2"/>
  <c r="V849" i="2"/>
  <c r="W849" i="2"/>
  <c r="T850" i="2"/>
  <c r="U850" i="2"/>
  <c r="V850" i="2"/>
  <c r="W850" i="2"/>
  <c r="T851" i="2"/>
  <c r="U851" i="2"/>
  <c r="V851" i="2"/>
  <c r="W851" i="2"/>
  <c r="T852" i="2"/>
  <c r="U852" i="2"/>
  <c r="V852" i="2"/>
  <c r="W852" i="2"/>
  <c r="T853" i="2"/>
  <c r="U853" i="2"/>
  <c r="X853" i="2" s="1"/>
  <c r="V853" i="2"/>
  <c r="W853" i="2"/>
  <c r="T854" i="2"/>
  <c r="U854" i="2"/>
  <c r="X854" i="2" s="1"/>
  <c r="V854" i="2"/>
  <c r="W854" i="2"/>
  <c r="T855" i="2"/>
  <c r="U855" i="2"/>
  <c r="V855" i="2"/>
  <c r="W855" i="2"/>
  <c r="T856" i="2"/>
  <c r="U856" i="2"/>
  <c r="V856" i="2"/>
  <c r="W856" i="2"/>
  <c r="T857" i="2"/>
  <c r="U857" i="2"/>
  <c r="V857" i="2"/>
  <c r="W857" i="2"/>
  <c r="T858" i="2"/>
  <c r="U858" i="2"/>
  <c r="X858" i="2" s="1"/>
  <c r="V858" i="2"/>
  <c r="W858" i="2"/>
  <c r="T859" i="2"/>
  <c r="U859" i="2"/>
  <c r="V859" i="2"/>
  <c r="W859" i="2"/>
  <c r="T860" i="2"/>
  <c r="U860" i="2"/>
  <c r="X860" i="2" s="1"/>
  <c r="V860" i="2"/>
  <c r="W860" i="2"/>
  <c r="T861" i="2"/>
  <c r="U861" i="2"/>
  <c r="X861" i="2" s="1"/>
  <c r="V861" i="2"/>
  <c r="W861" i="2"/>
  <c r="T862" i="2"/>
  <c r="U862" i="2"/>
  <c r="V862" i="2"/>
  <c r="W862" i="2"/>
  <c r="T863" i="2"/>
  <c r="U863" i="2"/>
  <c r="V863" i="2"/>
  <c r="W863" i="2"/>
  <c r="T864" i="2"/>
  <c r="U864" i="2"/>
  <c r="X864" i="2" s="1"/>
  <c r="V864" i="2"/>
  <c r="W864" i="2"/>
  <c r="T865" i="2"/>
  <c r="U865" i="2"/>
  <c r="X865" i="2" s="1"/>
  <c r="V865" i="2"/>
  <c r="W865" i="2"/>
  <c r="T866" i="2"/>
  <c r="U866" i="2"/>
  <c r="V866" i="2"/>
  <c r="W866" i="2"/>
  <c r="T867" i="2"/>
  <c r="U867" i="2"/>
  <c r="X867" i="2" s="1"/>
  <c r="V867" i="2"/>
  <c r="W867" i="2"/>
  <c r="T868" i="2"/>
  <c r="U868" i="2"/>
  <c r="V868" i="2"/>
  <c r="W868" i="2"/>
  <c r="T869" i="2"/>
  <c r="U869" i="2"/>
  <c r="V869" i="2"/>
  <c r="W869" i="2"/>
  <c r="T870" i="2"/>
  <c r="U870" i="2"/>
  <c r="V870" i="2"/>
  <c r="W870" i="2"/>
  <c r="T871" i="2"/>
  <c r="U871" i="2"/>
  <c r="V871" i="2"/>
  <c r="W871" i="2"/>
  <c r="T872" i="2"/>
  <c r="U872" i="2"/>
  <c r="X872" i="2" s="1"/>
  <c r="V872" i="2"/>
  <c r="W872" i="2"/>
  <c r="W273" i="2"/>
  <c r="V202" i="2"/>
  <c r="W202" i="2"/>
  <c r="N154" i="1"/>
  <c r="I154" i="1"/>
  <c r="H154" i="1"/>
  <c r="G154" i="1"/>
  <c r="F154" i="1"/>
  <c r="E154" i="1"/>
  <c r="D154" i="1"/>
  <c r="N224" i="1"/>
  <c r="I224" i="1"/>
  <c r="H224" i="1"/>
  <c r="G224" i="1"/>
  <c r="F224" i="1"/>
  <c r="E224" i="1"/>
  <c r="D224" i="1"/>
  <c r="N118" i="1"/>
  <c r="I118" i="1"/>
  <c r="H118" i="1"/>
  <c r="G118" i="1"/>
  <c r="F118" i="1"/>
  <c r="E118" i="1"/>
  <c r="D118" i="1"/>
  <c r="N218" i="1"/>
  <c r="I218" i="1"/>
  <c r="H218" i="1"/>
  <c r="G218" i="1"/>
  <c r="F218" i="1"/>
  <c r="E218" i="1"/>
  <c r="D218" i="1"/>
  <c r="D10" i="1"/>
  <c r="D53" i="1"/>
  <c r="D12" i="1"/>
  <c r="D13" i="1"/>
  <c r="D15" i="1"/>
  <c r="D14" i="1"/>
  <c r="D16" i="1"/>
  <c r="D17" i="1"/>
  <c r="D18" i="1"/>
  <c r="D19" i="1"/>
  <c r="D20" i="1"/>
  <c r="D21" i="1"/>
  <c r="D22" i="1"/>
  <c r="D23" i="1"/>
  <c r="D24" i="1"/>
  <c r="D25" i="1"/>
  <c r="D27" i="1"/>
  <c r="D28" i="1"/>
  <c r="D29" i="1"/>
  <c r="D30" i="1"/>
  <c r="D31" i="1"/>
  <c r="D32" i="1"/>
  <c r="D33" i="1"/>
  <c r="D35" i="1"/>
  <c r="D36" i="1"/>
  <c r="D37" i="1"/>
  <c r="D34" i="1"/>
  <c r="D38" i="1"/>
  <c r="D39" i="1"/>
  <c r="D40" i="1"/>
  <c r="D41" i="1"/>
  <c r="D42" i="1"/>
  <c r="D43" i="1"/>
  <c r="D44" i="1"/>
  <c r="D45" i="1"/>
  <c r="D46" i="1"/>
  <c r="D47" i="1"/>
  <c r="D48" i="1"/>
  <c r="D50" i="1"/>
  <c r="D51" i="1"/>
  <c r="D52" i="1"/>
  <c r="D54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6" i="1"/>
  <c r="D77" i="1"/>
  <c r="D81" i="1"/>
  <c r="D83" i="1"/>
  <c r="D85" i="1"/>
  <c r="D86" i="1"/>
  <c r="D87" i="1"/>
  <c r="D90" i="1"/>
  <c r="D91" i="1"/>
  <c r="D92" i="1"/>
  <c r="D93" i="1"/>
  <c r="D94" i="1"/>
  <c r="D96" i="1"/>
  <c r="D98" i="1"/>
  <c r="D99" i="1"/>
  <c r="D100" i="1"/>
  <c r="D101" i="1"/>
  <c r="D102" i="1"/>
  <c r="D103" i="1"/>
  <c r="D104" i="1"/>
  <c r="D105" i="1"/>
  <c r="D107" i="1"/>
  <c r="D108" i="1"/>
  <c r="D109" i="1"/>
  <c r="D110" i="1"/>
  <c r="D111" i="1"/>
  <c r="D114" i="1"/>
  <c r="D115" i="1"/>
  <c r="D116" i="1"/>
  <c r="D117" i="1"/>
  <c r="D119" i="1"/>
  <c r="D120" i="1"/>
  <c r="D124" i="1"/>
  <c r="D312" i="1"/>
  <c r="D309" i="1"/>
  <c r="D171" i="1"/>
  <c r="D134" i="1"/>
  <c r="D278" i="1"/>
  <c r="D138" i="1"/>
  <c r="D139" i="1"/>
  <c r="D140" i="1"/>
  <c r="D141" i="1"/>
  <c r="D142" i="1"/>
  <c r="D144" i="1"/>
  <c r="D149" i="1"/>
  <c r="D150" i="1"/>
  <c r="D151" i="1"/>
  <c r="D152" i="1"/>
  <c r="D153" i="1"/>
  <c r="D155" i="1"/>
  <c r="D156" i="1"/>
  <c r="D157" i="1"/>
  <c r="D159" i="1"/>
  <c r="D160" i="1"/>
  <c r="D148" i="1"/>
  <c r="D161" i="1"/>
  <c r="D162" i="1"/>
  <c r="D163" i="1"/>
  <c r="D164" i="1"/>
  <c r="D165" i="1"/>
  <c r="D166" i="1"/>
  <c r="D167" i="1"/>
  <c r="D168" i="1"/>
  <c r="D169" i="1"/>
  <c r="D170" i="1"/>
  <c r="D176" i="1"/>
  <c r="D178" i="1"/>
  <c r="D179" i="1"/>
  <c r="D180" i="1"/>
  <c r="D181" i="1"/>
  <c r="D182" i="1"/>
  <c r="D184" i="1"/>
  <c r="D185" i="1"/>
  <c r="D186" i="1"/>
  <c r="D194" i="1"/>
  <c r="D197" i="1"/>
  <c r="D198" i="1"/>
  <c r="D199" i="1"/>
  <c r="D203" i="1"/>
  <c r="D206" i="1"/>
  <c r="D210" i="1"/>
  <c r="D211" i="1"/>
  <c r="D214" i="1"/>
  <c r="D215" i="1"/>
  <c r="D216" i="1"/>
  <c r="D217" i="1"/>
  <c r="D219" i="1"/>
  <c r="D220" i="1"/>
  <c r="D221" i="1"/>
  <c r="D223" i="1"/>
  <c r="D225" i="1"/>
  <c r="D226" i="1"/>
  <c r="D227" i="1"/>
  <c r="D232" i="1"/>
  <c r="D234" i="1"/>
  <c r="D236" i="1"/>
  <c r="D238" i="1"/>
  <c r="D241" i="1"/>
  <c r="D242" i="1"/>
  <c r="D243" i="1"/>
  <c r="D245" i="1"/>
  <c r="D247" i="1"/>
  <c r="D248" i="1"/>
  <c r="D249" i="1"/>
  <c r="D250" i="1"/>
  <c r="D252" i="1"/>
  <c r="D254" i="1"/>
  <c r="D256" i="1"/>
  <c r="D257" i="1"/>
  <c r="D259" i="1"/>
  <c r="D261" i="1"/>
  <c r="D264" i="1"/>
  <c r="D265" i="1"/>
  <c r="D268" i="1"/>
  <c r="D269" i="1"/>
  <c r="D270" i="1"/>
  <c r="D271" i="1"/>
  <c r="D273" i="1"/>
  <c r="D277" i="1"/>
  <c r="D279" i="1"/>
  <c r="D281" i="1"/>
  <c r="D282" i="1"/>
  <c r="D284" i="1"/>
  <c r="D285" i="1"/>
  <c r="D286" i="1"/>
  <c r="D287" i="1"/>
  <c r="D288" i="1"/>
  <c r="D289" i="1"/>
  <c r="D290" i="1"/>
  <c r="D292" i="1"/>
  <c r="D293" i="1"/>
  <c r="D294" i="1"/>
  <c r="D295" i="1"/>
  <c r="D296" i="1"/>
  <c r="D297" i="1"/>
  <c r="D299" i="1"/>
  <c r="D300" i="1"/>
  <c r="D301" i="1"/>
  <c r="D302" i="1"/>
  <c r="D305" i="1"/>
  <c r="D306" i="1"/>
  <c r="D307" i="1"/>
  <c r="D308" i="1"/>
  <c r="D310" i="1"/>
  <c r="D311" i="1"/>
  <c r="D313" i="1"/>
  <c r="D315" i="1"/>
  <c r="D317" i="1"/>
  <c r="D318" i="1"/>
  <c r="D319" i="1"/>
  <c r="D320" i="1"/>
  <c r="D321" i="1"/>
  <c r="D322" i="1"/>
  <c r="D325" i="1"/>
  <c r="D332" i="1"/>
  <c r="D333" i="1"/>
  <c r="D334" i="1"/>
  <c r="D336" i="1"/>
  <c r="D337" i="1"/>
  <c r="D338" i="1"/>
  <c r="D340" i="1"/>
  <c r="D341" i="1"/>
  <c r="D342" i="1"/>
  <c r="D343" i="1"/>
  <c r="D344" i="1"/>
  <c r="D233" i="1"/>
  <c r="G233" i="1"/>
  <c r="G278" i="1"/>
  <c r="F233" i="1"/>
  <c r="F278" i="1"/>
  <c r="E233" i="1"/>
  <c r="E278" i="1"/>
  <c r="N233" i="1"/>
  <c r="I233" i="1"/>
  <c r="H233" i="1"/>
  <c r="N278" i="1"/>
  <c r="I278" i="1"/>
  <c r="H278" i="1"/>
  <c r="J224" i="1"/>
  <c r="O224" i="1" s="1"/>
  <c r="O4" i="18"/>
  <c r="P5" i="18"/>
  <c r="P6" i="18"/>
  <c r="P7" i="18"/>
  <c r="O5" i="18"/>
  <c r="O6" i="18"/>
  <c r="O7" i="18"/>
  <c r="L14" i="18"/>
  <c r="A434" i="17"/>
  <c r="B434" i="17"/>
  <c r="C434" i="17"/>
  <c r="D434" i="17"/>
  <c r="E434" i="17"/>
  <c r="F434" i="17"/>
  <c r="G434" i="17"/>
  <c r="H434" i="17"/>
  <c r="I434" i="17"/>
  <c r="J434" i="17"/>
  <c r="K434" i="17"/>
  <c r="L434" i="17"/>
  <c r="M434" i="17"/>
  <c r="N434" i="17"/>
  <c r="O434" i="17"/>
  <c r="P434" i="17"/>
  <c r="Q434" i="17"/>
  <c r="R434" i="17"/>
  <c r="S434" i="17"/>
  <c r="T434" i="17"/>
  <c r="U434" i="17"/>
  <c r="V434" i="17"/>
  <c r="W434" i="17"/>
  <c r="X434" i="17"/>
  <c r="Y434" i="17"/>
  <c r="Z434" i="17"/>
  <c r="AA434" i="17"/>
  <c r="AB434" i="17"/>
  <c r="AC434" i="17"/>
  <c r="AD434" i="17"/>
  <c r="AE434" i="17"/>
  <c r="AF434" i="17"/>
  <c r="AG434" i="17"/>
  <c r="AH434" i="17"/>
  <c r="AI434" i="17"/>
  <c r="AJ434" i="17"/>
  <c r="AK434" i="17"/>
  <c r="AL434" i="17"/>
  <c r="AM434" i="17"/>
  <c r="AN434" i="17"/>
  <c r="AO434" i="17"/>
  <c r="AP434" i="17"/>
  <c r="AQ434" i="17"/>
  <c r="AR434" i="17"/>
  <c r="AS434" i="17"/>
  <c r="AT434" i="17"/>
  <c r="AU434" i="17"/>
  <c r="AV434" i="17"/>
  <c r="AW434" i="17"/>
  <c r="AX434" i="17"/>
  <c r="AY434" i="17"/>
  <c r="AZ434" i="17"/>
  <c r="BA434" i="17"/>
  <c r="BB434" i="17"/>
  <c r="BC434" i="17"/>
  <c r="BD434" i="17"/>
  <c r="BE434" i="17"/>
  <c r="BF434" i="17"/>
  <c r="BG434" i="17"/>
  <c r="BH434" i="17"/>
  <c r="BI434" i="17"/>
  <c r="BJ434" i="17"/>
  <c r="BK434" i="17"/>
  <c r="BL434" i="17"/>
  <c r="BM434" i="17"/>
  <c r="BN434" i="17"/>
  <c r="BO434" i="17"/>
  <c r="BP434" i="17"/>
  <c r="BQ434" i="17"/>
  <c r="BR434" i="17"/>
  <c r="BS434" i="17"/>
  <c r="BT434" i="17"/>
  <c r="BU434" i="17"/>
  <c r="BV434" i="17"/>
  <c r="BW434" i="17"/>
  <c r="BX434" i="17"/>
  <c r="BY434" i="17"/>
  <c r="BZ434" i="17"/>
  <c r="CA434" i="17"/>
  <c r="CB434" i="17"/>
  <c r="CC434" i="17"/>
  <c r="CD434" i="17"/>
  <c r="CE434" i="17"/>
  <c r="CF434" i="17"/>
  <c r="CG434" i="17"/>
  <c r="CH434" i="17"/>
  <c r="CI434" i="17"/>
  <c r="CJ434" i="17"/>
  <c r="CK434" i="17"/>
  <c r="CL434" i="17"/>
  <c r="CM434" i="17"/>
  <c r="CN434" i="17"/>
  <c r="CO434" i="17"/>
  <c r="CP434" i="17"/>
  <c r="CQ434" i="17"/>
  <c r="CR434" i="17"/>
  <c r="CS434" i="17"/>
  <c r="CT434" i="17"/>
  <c r="CU434" i="17"/>
  <c r="CV434" i="17"/>
  <c r="CW434" i="17"/>
  <c r="CX434" i="17"/>
  <c r="CY434" i="17"/>
  <c r="CZ434" i="17"/>
  <c r="DA434" i="17"/>
  <c r="DB434" i="17"/>
  <c r="DC434" i="17"/>
  <c r="DF434" i="17"/>
  <c r="DG434" i="17"/>
  <c r="DH434" i="17"/>
  <c r="A433" i="17"/>
  <c r="B433" i="17"/>
  <c r="C433" i="17"/>
  <c r="D433" i="17"/>
  <c r="E433" i="17"/>
  <c r="F433" i="17"/>
  <c r="G433" i="17"/>
  <c r="H433" i="17"/>
  <c r="I433" i="17"/>
  <c r="J433" i="17"/>
  <c r="K433" i="17"/>
  <c r="L433" i="17"/>
  <c r="M433" i="17"/>
  <c r="N433" i="17"/>
  <c r="O433" i="17"/>
  <c r="P433" i="17"/>
  <c r="Q433" i="17"/>
  <c r="R433" i="17"/>
  <c r="S433" i="17"/>
  <c r="T433" i="17"/>
  <c r="U433" i="17"/>
  <c r="V433" i="17"/>
  <c r="W433" i="17"/>
  <c r="X433" i="17"/>
  <c r="Y433" i="17"/>
  <c r="Z433" i="17"/>
  <c r="AA433" i="17"/>
  <c r="AB433" i="17"/>
  <c r="AC433" i="17"/>
  <c r="AD433" i="17"/>
  <c r="AE433" i="17"/>
  <c r="AF433" i="17"/>
  <c r="AG433" i="17"/>
  <c r="AH433" i="17"/>
  <c r="AI433" i="17"/>
  <c r="AJ433" i="17"/>
  <c r="AK433" i="17"/>
  <c r="AL433" i="17"/>
  <c r="AM433" i="17"/>
  <c r="AN433" i="17"/>
  <c r="AO433" i="17"/>
  <c r="AP433" i="17"/>
  <c r="AQ433" i="17"/>
  <c r="AR433" i="17"/>
  <c r="AS433" i="17"/>
  <c r="AT433" i="17"/>
  <c r="AU433" i="17"/>
  <c r="AV433" i="17"/>
  <c r="AW433" i="17"/>
  <c r="AX433" i="17"/>
  <c r="AY433" i="17"/>
  <c r="AZ433" i="17"/>
  <c r="BA433" i="17"/>
  <c r="BB433" i="17"/>
  <c r="BC433" i="17"/>
  <c r="BD433" i="17"/>
  <c r="BE433" i="17"/>
  <c r="BF433" i="17"/>
  <c r="BG433" i="17"/>
  <c r="BH433" i="17"/>
  <c r="BI433" i="17"/>
  <c r="BJ433" i="17"/>
  <c r="BK433" i="17"/>
  <c r="BL433" i="17"/>
  <c r="BM433" i="17"/>
  <c r="BN433" i="17"/>
  <c r="BO433" i="17"/>
  <c r="BP433" i="17"/>
  <c r="BQ433" i="17"/>
  <c r="BR433" i="17"/>
  <c r="BS433" i="17"/>
  <c r="BT433" i="17"/>
  <c r="BU433" i="17"/>
  <c r="BV433" i="17"/>
  <c r="BW433" i="17"/>
  <c r="BX433" i="17"/>
  <c r="BY433" i="17"/>
  <c r="BZ433" i="17"/>
  <c r="CA433" i="17"/>
  <c r="CB433" i="17"/>
  <c r="CC433" i="17"/>
  <c r="CD433" i="17"/>
  <c r="CE433" i="17"/>
  <c r="CF433" i="17"/>
  <c r="CG433" i="17"/>
  <c r="CH433" i="17"/>
  <c r="CI433" i="17"/>
  <c r="CJ433" i="17"/>
  <c r="CK433" i="17"/>
  <c r="CL433" i="17"/>
  <c r="CM433" i="17"/>
  <c r="CN433" i="17"/>
  <c r="CO433" i="17"/>
  <c r="CP433" i="17"/>
  <c r="CQ433" i="17"/>
  <c r="CR433" i="17"/>
  <c r="CS433" i="17"/>
  <c r="CT433" i="17"/>
  <c r="CU433" i="17"/>
  <c r="CV433" i="17"/>
  <c r="CW433" i="17"/>
  <c r="CX433" i="17"/>
  <c r="CY433" i="17"/>
  <c r="CZ433" i="17"/>
  <c r="DA433" i="17"/>
  <c r="DB433" i="17"/>
  <c r="DC433" i="17"/>
  <c r="DD433" i="17"/>
  <c r="DE433" i="17"/>
  <c r="DF433" i="17"/>
  <c r="DG433" i="17"/>
  <c r="DH433" i="17"/>
  <c r="DI433" i="17"/>
  <c r="DJ433" i="17"/>
  <c r="DK433" i="17"/>
  <c r="DL433" i="17"/>
  <c r="DM433" i="17"/>
  <c r="DN433" i="17"/>
  <c r="DO433" i="17"/>
  <c r="DP433" i="17"/>
  <c r="DQ433" i="17"/>
  <c r="DR433" i="17"/>
  <c r="DS433" i="17"/>
  <c r="DT433" i="17"/>
  <c r="DU433" i="17"/>
  <c r="DV433" i="17"/>
  <c r="DW433" i="17"/>
  <c r="DX433" i="17"/>
  <c r="DY433" i="17"/>
  <c r="DZ433" i="17"/>
  <c r="EA433" i="17"/>
  <c r="EB433" i="17"/>
  <c r="EC433" i="17"/>
  <c r="ED433" i="17"/>
  <c r="EE433" i="17"/>
  <c r="EF433" i="17"/>
  <c r="EG433" i="17"/>
  <c r="EH433" i="17"/>
  <c r="EI433" i="17"/>
  <c r="EJ433" i="17"/>
  <c r="EK433" i="17"/>
  <c r="EL433" i="17"/>
  <c r="EM433" i="17"/>
  <c r="EN433" i="17"/>
  <c r="EO433" i="17"/>
  <c r="EP433" i="17"/>
  <c r="EQ433" i="17"/>
  <c r="ER433" i="17"/>
  <c r="ES433" i="17"/>
  <c r="ET433" i="17"/>
  <c r="EU433" i="17"/>
  <c r="EV433" i="17"/>
  <c r="EW433" i="17"/>
  <c r="EX433" i="17"/>
  <c r="EY433" i="17"/>
  <c r="EZ433" i="17"/>
  <c r="FA433" i="17"/>
  <c r="FB433" i="17"/>
  <c r="FC433" i="17"/>
  <c r="FD433" i="17"/>
  <c r="FE433" i="17"/>
  <c r="FF433" i="17"/>
  <c r="FG433" i="17"/>
  <c r="FH433" i="17"/>
  <c r="FI433" i="17"/>
  <c r="FJ433" i="17"/>
  <c r="FK433" i="17"/>
  <c r="FL433" i="17"/>
  <c r="FM433" i="17"/>
  <c r="FN433" i="17"/>
  <c r="FO433" i="17"/>
  <c r="FP433" i="17"/>
  <c r="FQ433" i="17"/>
  <c r="FR433" i="17"/>
  <c r="FS433" i="17"/>
  <c r="FT433" i="17"/>
  <c r="FU433" i="17"/>
  <c r="FV433" i="17"/>
  <c r="FW433" i="17"/>
  <c r="FX433" i="17"/>
  <c r="FY433" i="17"/>
  <c r="FZ433" i="17"/>
  <c r="GA433" i="17"/>
  <c r="GB433" i="17"/>
  <c r="GC433" i="17"/>
  <c r="GD433" i="17"/>
  <c r="GE433" i="17"/>
  <c r="GF433" i="17"/>
  <c r="GG433" i="17"/>
  <c r="GH433" i="17"/>
  <c r="GI433" i="17"/>
  <c r="GJ433" i="17"/>
  <c r="GK433" i="17"/>
  <c r="GL433" i="17"/>
  <c r="GM433" i="17"/>
  <c r="GN433" i="17"/>
  <c r="GO433" i="17"/>
  <c r="GP433" i="17"/>
  <c r="GQ433" i="17"/>
  <c r="GR433" i="17"/>
  <c r="GS433" i="17"/>
  <c r="GT433" i="17"/>
  <c r="GU433" i="17"/>
  <c r="GV433" i="17"/>
  <c r="GW433" i="17"/>
  <c r="GX433" i="17"/>
  <c r="GY433" i="17"/>
  <c r="GZ433" i="17"/>
  <c r="HA433" i="17"/>
  <c r="HB433" i="17"/>
  <c r="HC433" i="17"/>
  <c r="HD433" i="17"/>
  <c r="HE433" i="17"/>
  <c r="HF433" i="17"/>
  <c r="HG433" i="17"/>
  <c r="HH433" i="17"/>
  <c r="HI433" i="17"/>
  <c r="HJ433" i="17"/>
  <c r="HK433" i="17"/>
  <c r="HL433" i="17"/>
  <c r="HM433" i="17"/>
  <c r="HN433" i="17"/>
  <c r="HO433" i="17"/>
  <c r="HP433" i="17"/>
  <c r="HQ433" i="17"/>
  <c r="HR433" i="17"/>
  <c r="HS433" i="17"/>
  <c r="HT433" i="17"/>
  <c r="HU433" i="17"/>
  <c r="HV433" i="17"/>
  <c r="HW433" i="17"/>
  <c r="HX433" i="17"/>
  <c r="HY433" i="17"/>
  <c r="HZ433" i="17"/>
  <c r="IA433" i="17"/>
  <c r="IB433" i="17"/>
  <c r="IC433" i="17"/>
  <c r="ID433" i="17"/>
  <c r="IE433" i="17"/>
  <c r="IF433" i="17"/>
  <c r="IG433" i="17"/>
  <c r="IH433" i="17"/>
  <c r="II433" i="17"/>
  <c r="IJ433" i="17"/>
  <c r="IK433" i="17"/>
  <c r="IL433" i="17"/>
  <c r="IM433" i="17"/>
  <c r="IN433" i="17"/>
  <c r="IO433" i="17"/>
  <c r="IP433" i="17"/>
  <c r="IQ433" i="17"/>
  <c r="IR433" i="17"/>
  <c r="IS433" i="17"/>
  <c r="IT433" i="17"/>
  <c r="IU433" i="17"/>
  <c r="IV433" i="17"/>
  <c r="A432" i="17"/>
  <c r="B432" i="17"/>
  <c r="C432" i="17"/>
  <c r="D432" i="17"/>
  <c r="E432" i="17"/>
  <c r="F432" i="17"/>
  <c r="G432" i="17"/>
  <c r="H432" i="17"/>
  <c r="I432" i="17"/>
  <c r="J432" i="17"/>
  <c r="K432" i="17"/>
  <c r="L432" i="17"/>
  <c r="M432" i="17"/>
  <c r="N432" i="17"/>
  <c r="O432" i="17"/>
  <c r="P432" i="17"/>
  <c r="Q432" i="17"/>
  <c r="R432" i="17"/>
  <c r="S432" i="17"/>
  <c r="T432" i="17"/>
  <c r="U432" i="17"/>
  <c r="V432" i="17"/>
  <c r="W432" i="17"/>
  <c r="X432" i="17"/>
  <c r="Y432" i="17"/>
  <c r="Z432" i="17"/>
  <c r="AA432" i="17"/>
  <c r="AB432" i="17"/>
  <c r="AC432" i="17"/>
  <c r="AD432" i="17"/>
  <c r="AE432" i="17"/>
  <c r="AF432" i="17"/>
  <c r="AG432" i="17"/>
  <c r="AH432" i="17"/>
  <c r="AI432" i="17"/>
  <c r="AJ432" i="17"/>
  <c r="AK432" i="17"/>
  <c r="AL432" i="17"/>
  <c r="AM432" i="17"/>
  <c r="AN432" i="17"/>
  <c r="AO432" i="17"/>
  <c r="AP432" i="17"/>
  <c r="AQ432" i="17"/>
  <c r="AR432" i="17"/>
  <c r="AS432" i="17"/>
  <c r="AT432" i="17"/>
  <c r="AU432" i="17"/>
  <c r="AV432" i="17"/>
  <c r="AW432" i="17"/>
  <c r="AX432" i="17"/>
  <c r="AY432" i="17"/>
  <c r="AZ432" i="17"/>
  <c r="BA432" i="17"/>
  <c r="BB432" i="17"/>
  <c r="BC432" i="17"/>
  <c r="BD432" i="17"/>
  <c r="BE432" i="17"/>
  <c r="BF432" i="17"/>
  <c r="BG432" i="17"/>
  <c r="BH432" i="17"/>
  <c r="BI432" i="17"/>
  <c r="BJ432" i="17"/>
  <c r="BK432" i="17"/>
  <c r="BL432" i="17"/>
  <c r="BM432" i="17"/>
  <c r="BN432" i="17"/>
  <c r="BO432" i="17"/>
  <c r="BP432" i="17"/>
  <c r="BQ432" i="17"/>
  <c r="BR432" i="17"/>
  <c r="BS432" i="17"/>
  <c r="BT432" i="17"/>
  <c r="BU432" i="17"/>
  <c r="BV432" i="17"/>
  <c r="BW432" i="17"/>
  <c r="BX432" i="17"/>
  <c r="BY432" i="17"/>
  <c r="BZ432" i="17"/>
  <c r="CA432" i="17"/>
  <c r="CB432" i="17"/>
  <c r="CC432" i="17"/>
  <c r="CD432" i="17"/>
  <c r="CE432" i="17"/>
  <c r="CF432" i="17"/>
  <c r="CG432" i="17"/>
  <c r="CH432" i="17"/>
  <c r="CI432" i="17"/>
  <c r="CJ432" i="17"/>
  <c r="CK432" i="17"/>
  <c r="CL432" i="17"/>
  <c r="CM432" i="17"/>
  <c r="CN432" i="17"/>
  <c r="CO432" i="17"/>
  <c r="CP432" i="17"/>
  <c r="CQ432" i="17"/>
  <c r="CR432" i="17"/>
  <c r="CS432" i="17"/>
  <c r="CT432" i="17"/>
  <c r="CU432" i="17"/>
  <c r="CV432" i="17"/>
  <c r="CW432" i="17"/>
  <c r="CX432" i="17"/>
  <c r="CY432" i="17"/>
  <c r="CZ432" i="17"/>
  <c r="DA432" i="17"/>
  <c r="DB432" i="17"/>
  <c r="DC432" i="17"/>
  <c r="DD432" i="17"/>
  <c r="DE432" i="17"/>
  <c r="DF432" i="17"/>
  <c r="DG432" i="17"/>
  <c r="DH432" i="17"/>
  <c r="DI432" i="17"/>
  <c r="DJ432" i="17"/>
  <c r="DK432" i="17"/>
  <c r="DL432" i="17"/>
  <c r="DM432" i="17"/>
  <c r="DN432" i="17"/>
  <c r="DO432" i="17"/>
  <c r="DP432" i="17"/>
  <c r="DQ432" i="17"/>
  <c r="DR432" i="17"/>
  <c r="DS432" i="17"/>
  <c r="DT432" i="17"/>
  <c r="DU432" i="17"/>
  <c r="DV432" i="17"/>
  <c r="DW432" i="17"/>
  <c r="DX432" i="17"/>
  <c r="DY432" i="17"/>
  <c r="DZ432" i="17"/>
  <c r="EA432" i="17"/>
  <c r="EB432" i="17"/>
  <c r="EC432" i="17"/>
  <c r="ED432" i="17"/>
  <c r="EE432" i="17"/>
  <c r="EF432" i="17"/>
  <c r="EG432" i="17"/>
  <c r="EH432" i="17"/>
  <c r="EI432" i="17"/>
  <c r="EJ432" i="17"/>
  <c r="EK432" i="17"/>
  <c r="EL432" i="17"/>
  <c r="EM432" i="17"/>
  <c r="EN432" i="17"/>
  <c r="EO432" i="17"/>
  <c r="EP432" i="17"/>
  <c r="EQ432" i="17"/>
  <c r="ER432" i="17"/>
  <c r="ES432" i="17"/>
  <c r="ET432" i="17"/>
  <c r="EU432" i="17"/>
  <c r="EV432" i="17"/>
  <c r="EW432" i="17"/>
  <c r="EX432" i="17"/>
  <c r="EY432" i="17"/>
  <c r="EZ432" i="17"/>
  <c r="FA432" i="17"/>
  <c r="FB432" i="17"/>
  <c r="FC432" i="17"/>
  <c r="FD432" i="17"/>
  <c r="FE432" i="17"/>
  <c r="FF432" i="17"/>
  <c r="FG432" i="17"/>
  <c r="FH432" i="17"/>
  <c r="FI432" i="17"/>
  <c r="FJ432" i="17"/>
  <c r="FK432" i="17"/>
  <c r="FL432" i="17"/>
  <c r="FM432" i="17"/>
  <c r="FN432" i="17"/>
  <c r="FO432" i="17"/>
  <c r="FP432" i="17"/>
  <c r="FQ432" i="17"/>
  <c r="FR432" i="17"/>
  <c r="FS432" i="17"/>
  <c r="FT432" i="17"/>
  <c r="FU432" i="17"/>
  <c r="FV432" i="17"/>
  <c r="FW432" i="17"/>
  <c r="FX432" i="17"/>
  <c r="FY432" i="17"/>
  <c r="FZ432" i="17"/>
  <c r="GA432" i="17"/>
  <c r="GB432" i="17"/>
  <c r="GC432" i="17"/>
  <c r="GD432" i="17"/>
  <c r="GE432" i="17"/>
  <c r="GF432" i="17"/>
  <c r="GG432" i="17"/>
  <c r="GH432" i="17"/>
  <c r="GI432" i="17"/>
  <c r="GJ432" i="17"/>
  <c r="GK432" i="17"/>
  <c r="GL432" i="17"/>
  <c r="GM432" i="17"/>
  <c r="GN432" i="17"/>
  <c r="GO432" i="17"/>
  <c r="GP432" i="17"/>
  <c r="GQ432" i="17"/>
  <c r="GR432" i="17"/>
  <c r="GS432" i="17"/>
  <c r="GT432" i="17"/>
  <c r="GU432" i="17"/>
  <c r="GV432" i="17"/>
  <c r="GW432" i="17"/>
  <c r="GX432" i="17"/>
  <c r="GY432" i="17"/>
  <c r="GZ432" i="17"/>
  <c r="HA432" i="17"/>
  <c r="HB432" i="17"/>
  <c r="HC432" i="17"/>
  <c r="HD432" i="17"/>
  <c r="HE432" i="17"/>
  <c r="HF432" i="17"/>
  <c r="HG432" i="17"/>
  <c r="HH432" i="17"/>
  <c r="HI432" i="17"/>
  <c r="HJ432" i="17"/>
  <c r="HK432" i="17"/>
  <c r="HL432" i="17"/>
  <c r="HM432" i="17"/>
  <c r="HN432" i="17"/>
  <c r="HO432" i="17"/>
  <c r="HP432" i="17"/>
  <c r="HQ432" i="17"/>
  <c r="HR432" i="17"/>
  <c r="HS432" i="17"/>
  <c r="HT432" i="17"/>
  <c r="HU432" i="17"/>
  <c r="HV432" i="17"/>
  <c r="HW432" i="17"/>
  <c r="HX432" i="17"/>
  <c r="HY432" i="17"/>
  <c r="HZ432" i="17"/>
  <c r="IA432" i="17"/>
  <c r="IB432" i="17"/>
  <c r="IC432" i="17"/>
  <c r="ID432" i="17"/>
  <c r="IE432" i="17"/>
  <c r="IF432" i="17"/>
  <c r="IG432" i="17"/>
  <c r="IH432" i="17"/>
  <c r="II432" i="17"/>
  <c r="IJ432" i="17"/>
  <c r="IK432" i="17"/>
  <c r="IL432" i="17"/>
  <c r="IM432" i="17"/>
  <c r="IN432" i="17"/>
  <c r="IO432" i="17"/>
  <c r="IP432" i="17"/>
  <c r="IQ432" i="17"/>
  <c r="IR432" i="17"/>
  <c r="IS432" i="17"/>
  <c r="IT432" i="17"/>
  <c r="IU432" i="17"/>
  <c r="IV432" i="17"/>
  <c r="A431" i="17"/>
  <c r="B431" i="17"/>
  <c r="C431" i="17"/>
  <c r="D431" i="17"/>
  <c r="E431" i="17"/>
  <c r="F431" i="17"/>
  <c r="G431" i="17"/>
  <c r="H431" i="17"/>
  <c r="I431" i="17"/>
  <c r="J431" i="17"/>
  <c r="K431" i="17"/>
  <c r="L431" i="17"/>
  <c r="M431" i="17"/>
  <c r="N431" i="17"/>
  <c r="O431" i="17"/>
  <c r="P431" i="17"/>
  <c r="Q431" i="17"/>
  <c r="R431" i="17"/>
  <c r="S431" i="17"/>
  <c r="T431" i="17"/>
  <c r="U431" i="17"/>
  <c r="V431" i="17"/>
  <c r="W431" i="17"/>
  <c r="X431" i="17"/>
  <c r="Y431" i="17"/>
  <c r="Z431" i="17"/>
  <c r="AA431" i="17"/>
  <c r="AB431" i="17"/>
  <c r="AC431" i="17"/>
  <c r="AD431" i="17"/>
  <c r="AE431" i="17"/>
  <c r="AF431" i="17"/>
  <c r="AG431" i="17"/>
  <c r="AH431" i="17"/>
  <c r="AI431" i="17"/>
  <c r="AJ431" i="17"/>
  <c r="AK431" i="17"/>
  <c r="AL431" i="17"/>
  <c r="AM431" i="17"/>
  <c r="AN431" i="17"/>
  <c r="AO431" i="17"/>
  <c r="AP431" i="17"/>
  <c r="AQ431" i="17"/>
  <c r="AR431" i="17"/>
  <c r="AS431" i="17"/>
  <c r="AT431" i="17"/>
  <c r="AU431" i="17"/>
  <c r="AV431" i="17"/>
  <c r="AW431" i="17"/>
  <c r="AX431" i="17"/>
  <c r="AY431" i="17"/>
  <c r="AZ431" i="17"/>
  <c r="BA431" i="17"/>
  <c r="BB431" i="17"/>
  <c r="BC431" i="17"/>
  <c r="BD431" i="17"/>
  <c r="BE431" i="17"/>
  <c r="BF431" i="17"/>
  <c r="BG431" i="17"/>
  <c r="BH431" i="17"/>
  <c r="BI431" i="17"/>
  <c r="BJ431" i="17"/>
  <c r="BK431" i="17"/>
  <c r="BL431" i="17"/>
  <c r="BM431" i="17"/>
  <c r="BN431" i="17"/>
  <c r="BO431" i="17"/>
  <c r="BP431" i="17"/>
  <c r="BQ431" i="17"/>
  <c r="BR431" i="17"/>
  <c r="BS431" i="17"/>
  <c r="BT431" i="17"/>
  <c r="BU431" i="17"/>
  <c r="BV431" i="17"/>
  <c r="BW431" i="17"/>
  <c r="BX431" i="17"/>
  <c r="BY431" i="17"/>
  <c r="BZ431" i="17"/>
  <c r="CA431" i="17"/>
  <c r="CB431" i="17"/>
  <c r="CC431" i="17"/>
  <c r="CD431" i="17"/>
  <c r="CE431" i="17"/>
  <c r="CF431" i="17"/>
  <c r="CG431" i="17"/>
  <c r="CH431" i="17"/>
  <c r="CI431" i="17"/>
  <c r="CJ431" i="17"/>
  <c r="CK431" i="17"/>
  <c r="CL431" i="17"/>
  <c r="CM431" i="17"/>
  <c r="CN431" i="17"/>
  <c r="CO431" i="17"/>
  <c r="CP431" i="17"/>
  <c r="CQ431" i="17"/>
  <c r="CR431" i="17"/>
  <c r="CS431" i="17"/>
  <c r="CT431" i="17"/>
  <c r="CU431" i="17"/>
  <c r="CV431" i="17"/>
  <c r="CW431" i="17"/>
  <c r="CX431" i="17"/>
  <c r="CY431" i="17"/>
  <c r="CZ431" i="17"/>
  <c r="DA431" i="17"/>
  <c r="DB431" i="17"/>
  <c r="DC431" i="17"/>
  <c r="DD431" i="17"/>
  <c r="DE431" i="17"/>
  <c r="DF431" i="17"/>
  <c r="DG431" i="17"/>
  <c r="DH431" i="17"/>
  <c r="DI431" i="17"/>
  <c r="DJ431" i="17"/>
  <c r="DK431" i="17"/>
  <c r="DL431" i="17"/>
  <c r="DM431" i="17"/>
  <c r="DN431" i="17"/>
  <c r="DO431" i="17"/>
  <c r="DP431" i="17"/>
  <c r="DQ431" i="17"/>
  <c r="DR431" i="17"/>
  <c r="DS431" i="17"/>
  <c r="DT431" i="17"/>
  <c r="DU431" i="17"/>
  <c r="DV431" i="17"/>
  <c r="DW431" i="17"/>
  <c r="DX431" i="17"/>
  <c r="DY431" i="17"/>
  <c r="DZ431" i="17"/>
  <c r="EA431" i="17"/>
  <c r="EB431" i="17"/>
  <c r="EC431" i="17"/>
  <c r="ED431" i="17"/>
  <c r="EE431" i="17"/>
  <c r="EF431" i="17"/>
  <c r="EG431" i="17"/>
  <c r="EH431" i="17"/>
  <c r="EI431" i="17"/>
  <c r="EJ431" i="17"/>
  <c r="EK431" i="17"/>
  <c r="EL431" i="17"/>
  <c r="EM431" i="17"/>
  <c r="EN431" i="17"/>
  <c r="EO431" i="17"/>
  <c r="EP431" i="17"/>
  <c r="EQ431" i="17"/>
  <c r="ER431" i="17"/>
  <c r="ES431" i="17"/>
  <c r="ET431" i="17"/>
  <c r="EU431" i="17"/>
  <c r="EV431" i="17"/>
  <c r="EW431" i="17"/>
  <c r="EX431" i="17"/>
  <c r="EY431" i="17"/>
  <c r="EZ431" i="17"/>
  <c r="FA431" i="17"/>
  <c r="FB431" i="17"/>
  <c r="FC431" i="17"/>
  <c r="FD431" i="17"/>
  <c r="FE431" i="17"/>
  <c r="FF431" i="17"/>
  <c r="FG431" i="17"/>
  <c r="FH431" i="17"/>
  <c r="FI431" i="17"/>
  <c r="FJ431" i="17"/>
  <c r="FK431" i="17"/>
  <c r="FL431" i="17"/>
  <c r="FM431" i="17"/>
  <c r="FN431" i="17"/>
  <c r="FO431" i="17"/>
  <c r="FP431" i="17"/>
  <c r="FQ431" i="17"/>
  <c r="FR431" i="17"/>
  <c r="FS431" i="17"/>
  <c r="FT431" i="17"/>
  <c r="FU431" i="17"/>
  <c r="FV431" i="17"/>
  <c r="FW431" i="17"/>
  <c r="FX431" i="17"/>
  <c r="FY431" i="17"/>
  <c r="FZ431" i="17"/>
  <c r="GA431" i="17"/>
  <c r="GB431" i="17"/>
  <c r="GC431" i="17"/>
  <c r="GD431" i="17"/>
  <c r="GE431" i="17"/>
  <c r="GF431" i="17"/>
  <c r="GG431" i="17"/>
  <c r="GH431" i="17"/>
  <c r="GI431" i="17"/>
  <c r="GJ431" i="17"/>
  <c r="GK431" i="17"/>
  <c r="GL431" i="17"/>
  <c r="GM431" i="17"/>
  <c r="GN431" i="17"/>
  <c r="GO431" i="17"/>
  <c r="GP431" i="17"/>
  <c r="GQ431" i="17"/>
  <c r="GR431" i="17"/>
  <c r="GS431" i="17"/>
  <c r="GT431" i="17"/>
  <c r="GU431" i="17"/>
  <c r="GV431" i="17"/>
  <c r="GW431" i="17"/>
  <c r="GX431" i="17"/>
  <c r="GY431" i="17"/>
  <c r="GZ431" i="17"/>
  <c r="HA431" i="17"/>
  <c r="HB431" i="17"/>
  <c r="HC431" i="17"/>
  <c r="HD431" i="17"/>
  <c r="HE431" i="17"/>
  <c r="HF431" i="17"/>
  <c r="HG431" i="17"/>
  <c r="HH431" i="17"/>
  <c r="HI431" i="17"/>
  <c r="HJ431" i="17"/>
  <c r="HK431" i="17"/>
  <c r="HL431" i="17"/>
  <c r="HM431" i="17"/>
  <c r="HN431" i="17"/>
  <c r="HO431" i="17"/>
  <c r="HP431" i="17"/>
  <c r="HQ431" i="17"/>
  <c r="HR431" i="17"/>
  <c r="HS431" i="17"/>
  <c r="HT431" i="17"/>
  <c r="HU431" i="17"/>
  <c r="HV431" i="17"/>
  <c r="HW431" i="17"/>
  <c r="HX431" i="17"/>
  <c r="HY431" i="17"/>
  <c r="HZ431" i="17"/>
  <c r="IA431" i="17"/>
  <c r="IB431" i="17"/>
  <c r="IC431" i="17"/>
  <c r="ID431" i="17"/>
  <c r="IE431" i="17"/>
  <c r="IF431" i="17"/>
  <c r="IG431" i="17"/>
  <c r="IH431" i="17"/>
  <c r="II431" i="17"/>
  <c r="IJ431" i="17"/>
  <c r="IK431" i="17"/>
  <c r="IL431" i="17"/>
  <c r="IM431" i="17"/>
  <c r="IN431" i="17"/>
  <c r="IO431" i="17"/>
  <c r="IP431" i="17"/>
  <c r="IQ431" i="17"/>
  <c r="IR431" i="17"/>
  <c r="IS431" i="17"/>
  <c r="IT431" i="17"/>
  <c r="IU431" i="17"/>
  <c r="IV431" i="17"/>
  <c r="A430" i="17"/>
  <c r="B430" i="17"/>
  <c r="C430" i="17"/>
  <c r="D430" i="17"/>
  <c r="E430" i="17"/>
  <c r="F430" i="17"/>
  <c r="G430" i="17"/>
  <c r="H430" i="17"/>
  <c r="I430" i="17"/>
  <c r="J430" i="17"/>
  <c r="K430" i="17"/>
  <c r="L430" i="17"/>
  <c r="M430" i="17"/>
  <c r="N430" i="17"/>
  <c r="O430" i="17"/>
  <c r="P430" i="17"/>
  <c r="Q430" i="17"/>
  <c r="R430" i="17"/>
  <c r="S430" i="17"/>
  <c r="T430" i="17"/>
  <c r="U430" i="17"/>
  <c r="V430" i="17"/>
  <c r="W430" i="17"/>
  <c r="X430" i="17"/>
  <c r="Y430" i="17"/>
  <c r="Z430" i="17"/>
  <c r="AA430" i="17"/>
  <c r="AB430" i="17"/>
  <c r="AC430" i="17"/>
  <c r="AD430" i="17"/>
  <c r="AE430" i="17"/>
  <c r="AF430" i="17"/>
  <c r="AG430" i="17"/>
  <c r="AH430" i="17"/>
  <c r="AI430" i="17"/>
  <c r="AJ430" i="17"/>
  <c r="AK430" i="17"/>
  <c r="AL430" i="17"/>
  <c r="AM430" i="17"/>
  <c r="AN430" i="17"/>
  <c r="AO430" i="17"/>
  <c r="AP430" i="17"/>
  <c r="AQ430" i="17"/>
  <c r="AR430" i="17"/>
  <c r="AS430" i="17"/>
  <c r="AT430" i="17"/>
  <c r="AU430" i="17"/>
  <c r="AV430" i="17"/>
  <c r="AW430" i="17"/>
  <c r="AX430" i="17"/>
  <c r="AY430" i="17"/>
  <c r="AZ430" i="17"/>
  <c r="BA430" i="17"/>
  <c r="BB430" i="17"/>
  <c r="BC430" i="17"/>
  <c r="BD430" i="17"/>
  <c r="BE430" i="17"/>
  <c r="BF430" i="17"/>
  <c r="BG430" i="17"/>
  <c r="BH430" i="17"/>
  <c r="BI430" i="17"/>
  <c r="BJ430" i="17"/>
  <c r="BK430" i="17"/>
  <c r="BL430" i="17"/>
  <c r="BM430" i="17"/>
  <c r="BN430" i="17"/>
  <c r="BO430" i="17"/>
  <c r="BP430" i="17"/>
  <c r="BQ430" i="17"/>
  <c r="BR430" i="17"/>
  <c r="BS430" i="17"/>
  <c r="BT430" i="17"/>
  <c r="BU430" i="17"/>
  <c r="BV430" i="17"/>
  <c r="BW430" i="17"/>
  <c r="BX430" i="17"/>
  <c r="BY430" i="17"/>
  <c r="BZ430" i="17"/>
  <c r="CA430" i="17"/>
  <c r="CB430" i="17"/>
  <c r="CC430" i="17"/>
  <c r="CD430" i="17"/>
  <c r="CE430" i="17"/>
  <c r="CF430" i="17"/>
  <c r="CG430" i="17"/>
  <c r="CH430" i="17"/>
  <c r="CI430" i="17"/>
  <c r="CJ430" i="17"/>
  <c r="CK430" i="17"/>
  <c r="CL430" i="17"/>
  <c r="CM430" i="17"/>
  <c r="CN430" i="17"/>
  <c r="CO430" i="17"/>
  <c r="CP430" i="17"/>
  <c r="CQ430" i="17"/>
  <c r="CR430" i="17"/>
  <c r="CS430" i="17"/>
  <c r="CT430" i="17"/>
  <c r="CU430" i="17"/>
  <c r="CV430" i="17"/>
  <c r="CW430" i="17"/>
  <c r="CX430" i="17"/>
  <c r="CY430" i="17"/>
  <c r="CZ430" i="17"/>
  <c r="DA430" i="17"/>
  <c r="DB430" i="17"/>
  <c r="DC430" i="17"/>
  <c r="DD430" i="17"/>
  <c r="DE430" i="17"/>
  <c r="DF430" i="17"/>
  <c r="DG430" i="17"/>
  <c r="DH430" i="17"/>
  <c r="DI430" i="17"/>
  <c r="DJ430" i="17"/>
  <c r="DK430" i="17"/>
  <c r="DL430" i="17"/>
  <c r="DM430" i="17"/>
  <c r="DN430" i="17"/>
  <c r="DO430" i="17"/>
  <c r="DP430" i="17"/>
  <c r="DQ430" i="17"/>
  <c r="DR430" i="17"/>
  <c r="DS430" i="17"/>
  <c r="DT430" i="17"/>
  <c r="DU430" i="17"/>
  <c r="DV430" i="17"/>
  <c r="DW430" i="17"/>
  <c r="DX430" i="17"/>
  <c r="DY430" i="17"/>
  <c r="DZ430" i="17"/>
  <c r="EA430" i="17"/>
  <c r="EB430" i="17"/>
  <c r="EC430" i="17"/>
  <c r="ED430" i="17"/>
  <c r="EE430" i="17"/>
  <c r="EF430" i="17"/>
  <c r="EG430" i="17"/>
  <c r="EH430" i="17"/>
  <c r="EI430" i="17"/>
  <c r="EJ430" i="17"/>
  <c r="EK430" i="17"/>
  <c r="EL430" i="17"/>
  <c r="EM430" i="17"/>
  <c r="EN430" i="17"/>
  <c r="EO430" i="17"/>
  <c r="EP430" i="17"/>
  <c r="EQ430" i="17"/>
  <c r="ER430" i="17"/>
  <c r="ES430" i="17"/>
  <c r="ET430" i="17"/>
  <c r="EU430" i="17"/>
  <c r="EV430" i="17"/>
  <c r="EW430" i="17"/>
  <c r="EX430" i="17"/>
  <c r="EY430" i="17"/>
  <c r="EZ430" i="17"/>
  <c r="FA430" i="17"/>
  <c r="FB430" i="17"/>
  <c r="FC430" i="17"/>
  <c r="FD430" i="17"/>
  <c r="FE430" i="17"/>
  <c r="FF430" i="17"/>
  <c r="FG430" i="17"/>
  <c r="FH430" i="17"/>
  <c r="FI430" i="17"/>
  <c r="FJ430" i="17"/>
  <c r="FK430" i="17"/>
  <c r="FL430" i="17"/>
  <c r="FM430" i="17"/>
  <c r="FN430" i="17"/>
  <c r="FO430" i="17"/>
  <c r="FP430" i="17"/>
  <c r="FQ430" i="17"/>
  <c r="FR430" i="17"/>
  <c r="FS430" i="17"/>
  <c r="FT430" i="17"/>
  <c r="FU430" i="17"/>
  <c r="FV430" i="17"/>
  <c r="FW430" i="17"/>
  <c r="FX430" i="17"/>
  <c r="FY430" i="17"/>
  <c r="FZ430" i="17"/>
  <c r="GA430" i="17"/>
  <c r="GB430" i="17"/>
  <c r="GC430" i="17"/>
  <c r="GD430" i="17"/>
  <c r="GE430" i="17"/>
  <c r="GF430" i="17"/>
  <c r="GG430" i="17"/>
  <c r="GH430" i="17"/>
  <c r="GI430" i="17"/>
  <c r="GJ430" i="17"/>
  <c r="GK430" i="17"/>
  <c r="GL430" i="17"/>
  <c r="GM430" i="17"/>
  <c r="GN430" i="17"/>
  <c r="GO430" i="17"/>
  <c r="GP430" i="17"/>
  <c r="GQ430" i="17"/>
  <c r="GR430" i="17"/>
  <c r="GS430" i="17"/>
  <c r="GT430" i="17"/>
  <c r="GU430" i="17"/>
  <c r="GV430" i="17"/>
  <c r="GW430" i="17"/>
  <c r="GX430" i="17"/>
  <c r="GY430" i="17"/>
  <c r="GZ430" i="17"/>
  <c r="HA430" i="17"/>
  <c r="HB430" i="17"/>
  <c r="HC430" i="17"/>
  <c r="HD430" i="17"/>
  <c r="HE430" i="17"/>
  <c r="HF430" i="17"/>
  <c r="HG430" i="17"/>
  <c r="HH430" i="17"/>
  <c r="HI430" i="17"/>
  <c r="HJ430" i="17"/>
  <c r="HK430" i="17"/>
  <c r="HL430" i="17"/>
  <c r="HM430" i="17"/>
  <c r="HN430" i="17"/>
  <c r="HO430" i="17"/>
  <c r="HP430" i="17"/>
  <c r="HQ430" i="17"/>
  <c r="HR430" i="17"/>
  <c r="HS430" i="17"/>
  <c r="HT430" i="17"/>
  <c r="HU430" i="17"/>
  <c r="HV430" i="17"/>
  <c r="HW430" i="17"/>
  <c r="HX430" i="17"/>
  <c r="HY430" i="17"/>
  <c r="HZ430" i="17"/>
  <c r="IA430" i="17"/>
  <c r="IB430" i="17"/>
  <c r="IC430" i="17"/>
  <c r="ID430" i="17"/>
  <c r="IE430" i="17"/>
  <c r="IF430" i="17"/>
  <c r="IG430" i="17"/>
  <c r="IH430" i="17"/>
  <c r="II430" i="17"/>
  <c r="IJ430" i="17"/>
  <c r="IK430" i="17"/>
  <c r="IL430" i="17"/>
  <c r="IM430" i="17"/>
  <c r="IN430" i="17"/>
  <c r="IO430" i="17"/>
  <c r="IP430" i="17"/>
  <c r="IQ430" i="17"/>
  <c r="IR430" i="17"/>
  <c r="IS430" i="17"/>
  <c r="IT430" i="17"/>
  <c r="IU430" i="17"/>
  <c r="IV430" i="17"/>
  <c r="A429" i="17"/>
  <c r="B429" i="17"/>
  <c r="C429" i="17"/>
  <c r="D429" i="17"/>
  <c r="E429" i="17"/>
  <c r="F429" i="17"/>
  <c r="G429" i="17"/>
  <c r="H429" i="17"/>
  <c r="I429" i="17"/>
  <c r="J429" i="17"/>
  <c r="K429" i="17"/>
  <c r="L429" i="17"/>
  <c r="M429" i="17"/>
  <c r="N429" i="17"/>
  <c r="O429" i="17"/>
  <c r="P429" i="17"/>
  <c r="Q429" i="17"/>
  <c r="R429" i="17"/>
  <c r="S429" i="17"/>
  <c r="T429" i="17"/>
  <c r="U429" i="17"/>
  <c r="V429" i="17"/>
  <c r="W429" i="17"/>
  <c r="X429" i="17"/>
  <c r="Y429" i="17"/>
  <c r="Z429" i="17"/>
  <c r="AA429" i="17"/>
  <c r="AB429" i="17"/>
  <c r="AC429" i="17"/>
  <c r="AD429" i="17"/>
  <c r="AE429" i="17"/>
  <c r="AF429" i="17"/>
  <c r="AG429" i="17"/>
  <c r="AH429" i="17"/>
  <c r="AI429" i="17"/>
  <c r="AJ429" i="17"/>
  <c r="AK429" i="17"/>
  <c r="AL429" i="17"/>
  <c r="AM429" i="17"/>
  <c r="AN429" i="17"/>
  <c r="AO429" i="17"/>
  <c r="AP429" i="17"/>
  <c r="AQ429" i="17"/>
  <c r="AR429" i="17"/>
  <c r="AS429" i="17"/>
  <c r="AT429" i="17"/>
  <c r="AU429" i="17"/>
  <c r="AV429" i="17"/>
  <c r="AW429" i="17"/>
  <c r="AX429" i="17"/>
  <c r="AY429" i="17"/>
  <c r="AZ429" i="17"/>
  <c r="BA429" i="17"/>
  <c r="BB429" i="17"/>
  <c r="BC429" i="17"/>
  <c r="BD429" i="17"/>
  <c r="BE429" i="17"/>
  <c r="BF429" i="17"/>
  <c r="BG429" i="17"/>
  <c r="BH429" i="17"/>
  <c r="BI429" i="17"/>
  <c r="BJ429" i="17"/>
  <c r="BK429" i="17"/>
  <c r="BL429" i="17"/>
  <c r="BM429" i="17"/>
  <c r="BN429" i="17"/>
  <c r="BO429" i="17"/>
  <c r="BP429" i="17"/>
  <c r="BQ429" i="17"/>
  <c r="BR429" i="17"/>
  <c r="BS429" i="17"/>
  <c r="BT429" i="17"/>
  <c r="BU429" i="17"/>
  <c r="BV429" i="17"/>
  <c r="BW429" i="17"/>
  <c r="BX429" i="17"/>
  <c r="BY429" i="17"/>
  <c r="BZ429" i="17"/>
  <c r="CA429" i="17"/>
  <c r="CB429" i="17"/>
  <c r="CC429" i="17"/>
  <c r="CD429" i="17"/>
  <c r="CE429" i="17"/>
  <c r="CF429" i="17"/>
  <c r="CG429" i="17"/>
  <c r="CH429" i="17"/>
  <c r="CI429" i="17"/>
  <c r="CJ429" i="17"/>
  <c r="CK429" i="17"/>
  <c r="CL429" i="17"/>
  <c r="CM429" i="17"/>
  <c r="CN429" i="17"/>
  <c r="CO429" i="17"/>
  <c r="CP429" i="17"/>
  <c r="CQ429" i="17"/>
  <c r="CR429" i="17"/>
  <c r="CS429" i="17"/>
  <c r="CT429" i="17"/>
  <c r="CU429" i="17"/>
  <c r="CV429" i="17"/>
  <c r="CW429" i="17"/>
  <c r="CX429" i="17"/>
  <c r="CY429" i="17"/>
  <c r="CZ429" i="17"/>
  <c r="DA429" i="17"/>
  <c r="DB429" i="17"/>
  <c r="DC429" i="17"/>
  <c r="DD429" i="17"/>
  <c r="DE429" i="17"/>
  <c r="DF429" i="17"/>
  <c r="DG429" i="17"/>
  <c r="DH429" i="17"/>
  <c r="DI429" i="17"/>
  <c r="DJ429" i="17"/>
  <c r="DK429" i="17"/>
  <c r="DL429" i="17"/>
  <c r="DM429" i="17"/>
  <c r="DN429" i="17"/>
  <c r="DO429" i="17"/>
  <c r="DP429" i="17"/>
  <c r="DQ429" i="17"/>
  <c r="DR429" i="17"/>
  <c r="DS429" i="17"/>
  <c r="DT429" i="17"/>
  <c r="DU429" i="17"/>
  <c r="DV429" i="17"/>
  <c r="DW429" i="17"/>
  <c r="DX429" i="17"/>
  <c r="DY429" i="17"/>
  <c r="DZ429" i="17"/>
  <c r="EA429" i="17"/>
  <c r="EB429" i="17"/>
  <c r="EC429" i="17"/>
  <c r="ED429" i="17"/>
  <c r="EE429" i="17"/>
  <c r="EF429" i="17"/>
  <c r="EG429" i="17"/>
  <c r="EH429" i="17"/>
  <c r="EI429" i="17"/>
  <c r="EJ429" i="17"/>
  <c r="EK429" i="17"/>
  <c r="EL429" i="17"/>
  <c r="EM429" i="17"/>
  <c r="EN429" i="17"/>
  <c r="EO429" i="17"/>
  <c r="EP429" i="17"/>
  <c r="EQ429" i="17"/>
  <c r="ER429" i="17"/>
  <c r="ES429" i="17"/>
  <c r="ET429" i="17"/>
  <c r="EU429" i="17"/>
  <c r="EV429" i="17"/>
  <c r="EW429" i="17"/>
  <c r="EX429" i="17"/>
  <c r="EY429" i="17"/>
  <c r="EZ429" i="17"/>
  <c r="FA429" i="17"/>
  <c r="FB429" i="17"/>
  <c r="FC429" i="17"/>
  <c r="FD429" i="17"/>
  <c r="FE429" i="17"/>
  <c r="FF429" i="17"/>
  <c r="FG429" i="17"/>
  <c r="FH429" i="17"/>
  <c r="FI429" i="17"/>
  <c r="FJ429" i="17"/>
  <c r="FK429" i="17"/>
  <c r="FL429" i="17"/>
  <c r="FM429" i="17"/>
  <c r="FN429" i="17"/>
  <c r="FO429" i="17"/>
  <c r="FP429" i="17"/>
  <c r="FQ429" i="17"/>
  <c r="FR429" i="17"/>
  <c r="FS429" i="17"/>
  <c r="FT429" i="17"/>
  <c r="FU429" i="17"/>
  <c r="FV429" i="17"/>
  <c r="FW429" i="17"/>
  <c r="FX429" i="17"/>
  <c r="FY429" i="17"/>
  <c r="FZ429" i="17"/>
  <c r="GA429" i="17"/>
  <c r="GB429" i="17"/>
  <c r="GC429" i="17"/>
  <c r="GD429" i="17"/>
  <c r="GE429" i="17"/>
  <c r="GF429" i="17"/>
  <c r="GG429" i="17"/>
  <c r="GH429" i="17"/>
  <c r="GI429" i="17"/>
  <c r="GJ429" i="17"/>
  <c r="GK429" i="17"/>
  <c r="GL429" i="17"/>
  <c r="GM429" i="17"/>
  <c r="GN429" i="17"/>
  <c r="GO429" i="17"/>
  <c r="GP429" i="17"/>
  <c r="GQ429" i="17"/>
  <c r="GR429" i="17"/>
  <c r="GS429" i="17"/>
  <c r="GT429" i="17"/>
  <c r="GU429" i="17"/>
  <c r="GV429" i="17"/>
  <c r="GW429" i="17"/>
  <c r="GX429" i="17"/>
  <c r="GY429" i="17"/>
  <c r="GZ429" i="17"/>
  <c r="HA429" i="17"/>
  <c r="HB429" i="17"/>
  <c r="HC429" i="17"/>
  <c r="HD429" i="17"/>
  <c r="HE429" i="17"/>
  <c r="HF429" i="17"/>
  <c r="HG429" i="17"/>
  <c r="HH429" i="17"/>
  <c r="HI429" i="17"/>
  <c r="HJ429" i="17"/>
  <c r="HK429" i="17"/>
  <c r="HL429" i="17"/>
  <c r="HM429" i="17"/>
  <c r="HN429" i="17"/>
  <c r="HO429" i="17"/>
  <c r="HP429" i="17"/>
  <c r="HQ429" i="17"/>
  <c r="HR429" i="17"/>
  <c r="HS429" i="17"/>
  <c r="HT429" i="17"/>
  <c r="HU429" i="17"/>
  <c r="HV429" i="17"/>
  <c r="HW429" i="17"/>
  <c r="HX429" i="17"/>
  <c r="HY429" i="17"/>
  <c r="HZ429" i="17"/>
  <c r="IA429" i="17"/>
  <c r="IB429" i="17"/>
  <c r="IC429" i="17"/>
  <c r="ID429" i="17"/>
  <c r="IE429" i="17"/>
  <c r="IF429" i="17"/>
  <c r="IG429" i="17"/>
  <c r="IH429" i="17"/>
  <c r="II429" i="17"/>
  <c r="IJ429" i="17"/>
  <c r="IK429" i="17"/>
  <c r="IL429" i="17"/>
  <c r="IM429" i="17"/>
  <c r="IN429" i="17"/>
  <c r="IO429" i="17"/>
  <c r="IP429" i="17"/>
  <c r="IQ429" i="17"/>
  <c r="IR429" i="17"/>
  <c r="IS429" i="17"/>
  <c r="IT429" i="17"/>
  <c r="IU429" i="17"/>
  <c r="IV429" i="17"/>
  <c r="A428" i="17"/>
  <c r="B428" i="17"/>
  <c r="C428" i="17"/>
  <c r="D428" i="17"/>
  <c r="E428" i="17"/>
  <c r="F428" i="17"/>
  <c r="G428" i="17"/>
  <c r="H428" i="17"/>
  <c r="I428" i="17"/>
  <c r="J428" i="17"/>
  <c r="K428" i="17"/>
  <c r="L428" i="17"/>
  <c r="M428" i="17"/>
  <c r="N428" i="17"/>
  <c r="O428" i="17"/>
  <c r="P428" i="17"/>
  <c r="Q428" i="17"/>
  <c r="R428" i="17"/>
  <c r="S428" i="17"/>
  <c r="T428" i="17"/>
  <c r="U428" i="17"/>
  <c r="V428" i="17"/>
  <c r="W428" i="17"/>
  <c r="X428" i="17"/>
  <c r="Y428" i="17"/>
  <c r="Z428" i="17"/>
  <c r="AA428" i="17"/>
  <c r="AB428" i="17"/>
  <c r="AC428" i="17"/>
  <c r="AD428" i="17"/>
  <c r="AE428" i="17"/>
  <c r="AF428" i="17"/>
  <c r="AG428" i="17"/>
  <c r="AH428" i="17"/>
  <c r="AI428" i="17"/>
  <c r="AJ428" i="17"/>
  <c r="AK428" i="17"/>
  <c r="AL428" i="17"/>
  <c r="AM428" i="17"/>
  <c r="AN428" i="17"/>
  <c r="AO428" i="17"/>
  <c r="AP428" i="17"/>
  <c r="AQ428" i="17"/>
  <c r="AR428" i="17"/>
  <c r="AS428" i="17"/>
  <c r="AT428" i="17"/>
  <c r="AU428" i="17"/>
  <c r="AV428" i="17"/>
  <c r="AW428" i="17"/>
  <c r="AX428" i="17"/>
  <c r="AY428" i="17"/>
  <c r="AZ428" i="17"/>
  <c r="BA428" i="17"/>
  <c r="BB428" i="17"/>
  <c r="BC428" i="17"/>
  <c r="BD428" i="17"/>
  <c r="BE428" i="17"/>
  <c r="BF428" i="17"/>
  <c r="BG428" i="17"/>
  <c r="BH428" i="17"/>
  <c r="BI428" i="17"/>
  <c r="BJ428" i="17"/>
  <c r="BK428" i="17"/>
  <c r="BL428" i="17"/>
  <c r="BM428" i="17"/>
  <c r="BN428" i="17"/>
  <c r="BO428" i="17"/>
  <c r="BP428" i="17"/>
  <c r="BQ428" i="17"/>
  <c r="BR428" i="17"/>
  <c r="BS428" i="17"/>
  <c r="BT428" i="17"/>
  <c r="BU428" i="17"/>
  <c r="BV428" i="17"/>
  <c r="BW428" i="17"/>
  <c r="BX428" i="17"/>
  <c r="BY428" i="17"/>
  <c r="BZ428" i="17"/>
  <c r="CA428" i="17"/>
  <c r="CB428" i="17"/>
  <c r="CC428" i="17"/>
  <c r="CD428" i="17"/>
  <c r="CE428" i="17"/>
  <c r="CF428" i="17"/>
  <c r="CG428" i="17"/>
  <c r="CH428" i="17"/>
  <c r="CI428" i="17"/>
  <c r="CJ428" i="17"/>
  <c r="CK428" i="17"/>
  <c r="CL428" i="17"/>
  <c r="CM428" i="17"/>
  <c r="CN428" i="17"/>
  <c r="CO428" i="17"/>
  <c r="CP428" i="17"/>
  <c r="CQ428" i="17"/>
  <c r="CR428" i="17"/>
  <c r="CS428" i="17"/>
  <c r="CT428" i="17"/>
  <c r="CU428" i="17"/>
  <c r="CV428" i="17"/>
  <c r="CW428" i="17"/>
  <c r="CX428" i="17"/>
  <c r="CY428" i="17"/>
  <c r="CZ428" i="17"/>
  <c r="DA428" i="17"/>
  <c r="DB428" i="17"/>
  <c r="DC428" i="17"/>
  <c r="DD428" i="17"/>
  <c r="DE428" i="17"/>
  <c r="DF428" i="17"/>
  <c r="DG428" i="17"/>
  <c r="DH428" i="17"/>
  <c r="DI428" i="17"/>
  <c r="DJ428" i="17"/>
  <c r="DK428" i="17"/>
  <c r="DL428" i="17"/>
  <c r="DM428" i="17"/>
  <c r="DN428" i="17"/>
  <c r="DO428" i="17"/>
  <c r="DP428" i="17"/>
  <c r="DQ428" i="17"/>
  <c r="DR428" i="17"/>
  <c r="DS428" i="17"/>
  <c r="DT428" i="17"/>
  <c r="DU428" i="17"/>
  <c r="DV428" i="17"/>
  <c r="DW428" i="17"/>
  <c r="DX428" i="17"/>
  <c r="DY428" i="17"/>
  <c r="DZ428" i="17"/>
  <c r="EA428" i="17"/>
  <c r="EB428" i="17"/>
  <c r="EC428" i="17"/>
  <c r="ED428" i="17"/>
  <c r="EE428" i="17"/>
  <c r="EF428" i="17"/>
  <c r="EG428" i="17"/>
  <c r="EH428" i="17"/>
  <c r="EI428" i="17"/>
  <c r="EJ428" i="17"/>
  <c r="EK428" i="17"/>
  <c r="EL428" i="17"/>
  <c r="EM428" i="17"/>
  <c r="EN428" i="17"/>
  <c r="EO428" i="17"/>
  <c r="EP428" i="17"/>
  <c r="EQ428" i="17"/>
  <c r="ER428" i="17"/>
  <c r="ES428" i="17"/>
  <c r="ET428" i="17"/>
  <c r="EU428" i="17"/>
  <c r="EV428" i="17"/>
  <c r="EW428" i="17"/>
  <c r="EX428" i="17"/>
  <c r="EY428" i="17"/>
  <c r="EZ428" i="17"/>
  <c r="FA428" i="17"/>
  <c r="FB428" i="17"/>
  <c r="FC428" i="17"/>
  <c r="FD428" i="17"/>
  <c r="FE428" i="17"/>
  <c r="FF428" i="17"/>
  <c r="FG428" i="17"/>
  <c r="FH428" i="17"/>
  <c r="FI428" i="17"/>
  <c r="FJ428" i="17"/>
  <c r="FK428" i="17"/>
  <c r="FL428" i="17"/>
  <c r="FM428" i="17"/>
  <c r="FN428" i="17"/>
  <c r="FO428" i="17"/>
  <c r="FP428" i="17"/>
  <c r="FQ428" i="17"/>
  <c r="FR428" i="17"/>
  <c r="FS428" i="17"/>
  <c r="FT428" i="17"/>
  <c r="FU428" i="17"/>
  <c r="FV428" i="17"/>
  <c r="FW428" i="17"/>
  <c r="FX428" i="17"/>
  <c r="FY428" i="17"/>
  <c r="FZ428" i="17"/>
  <c r="GA428" i="17"/>
  <c r="GB428" i="17"/>
  <c r="GC428" i="17"/>
  <c r="GD428" i="17"/>
  <c r="GE428" i="17"/>
  <c r="GF428" i="17"/>
  <c r="GG428" i="17"/>
  <c r="GH428" i="17"/>
  <c r="GI428" i="17"/>
  <c r="GJ428" i="17"/>
  <c r="GK428" i="17"/>
  <c r="GL428" i="17"/>
  <c r="GM428" i="17"/>
  <c r="GN428" i="17"/>
  <c r="GO428" i="17"/>
  <c r="GP428" i="17"/>
  <c r="GQ428" i="17"/>
  <c r="GR428" i="17"/>
  <c r="GS428" i="17"/>
  <c r="GT428" i="17"/>
  <c r="GU428" i="17"/>
  <c r="GV428" i="17"/>
  <c r="GW428" i="17"/>
  <c r="GX428" i="17"/>
  <c r="GY428" i="17"/>
  <c r="GZ428" i="17"/>
  <c r="HA428" i="17"/>
  <c r="HB428" i="17"/>
  <c r="HC428" i="17"/>
  <c r="HD428" i="17"/>
  <c r="HE428" i="17"/>
  <c r="HF428" i="17"/>
  <c r="HG428" i="17"/>
  <c r="HH428" i="17"/>
  <c r="HI428" i="17"/>
  <c r="HJ428" i="17"/>
  <c r="HK428" i="17"/>
  <c r="HL428" i="17"/>
  <c r="HM428" i="17"/>
  <c r="HN428" i="17"/>
  <c r="HO428" i="17"/>
  <c r="HP428" i="17"/>
  <c r="HQ428" i="17"/>
  <c r="HR428" i="17"/>
  <c r="HS428" i="17"/>
  <c r="HT428" i="17"/>
  <c r="HU428" i="17"/>
  <c r="HV428" i="17"/>
  <c r="HW428" i="17"/>
  <c r="HX428" i="17"/>
  <c r="HY428" i="17"/>
  <c r="HZ428" i="17"/>
  <c r="IA428" i="17"/>
  <c r="IB428" i="17"/>
  <c r="IC428" i="17"/>
  <c r="ID428" i="17"/>
  <c r="IE428" i="17"/>
  <c r="IF428" i="17"/>
  <c r="IG428" i="17"/>
  <c r="IH428" i="17"/>
  <c r="II428" i="17"/>
  <c r="IJ428" i="17"/>
  <c r="IK428" i="17"/>
  <c r="IL428" i="17"/>
  <c r="IM428" i="17"/>
  <c r="IN428" i="17"/>
  <c r="IO428" i="17"/>
  <c r="IP428" i="17"/>
  <c r="IQ428" i="17"/>
  <c r="IR428" i="17"/>
  <c r="IS428" i="17"/>
  <c r="IT428" i="17"/>
  <c r="IU428" i="17"/>
  <c r="IV428" i="17"/>
  <c r="A427" i="17"/>
  <c r="B427" i="17"/>
  <c r="C427" i="17"/>
  <c r="D427" i="17"/>
  <c r="E427" i="17"/>
  <c r="F427" i="17"/>
  <c r="G427" i="17"/>
  <c r="H427" i="17"/>
  <c r="I427" i="17"/>
  <c r="J427" i="17"/>
  <c r="K427" i="17"/>
  <c r="L427" i="17"/>
  <c r="M427" i="17"/>
  <c r="N427" i="17"/>
  <c r="O427" i="17"/>
  <c r="P427" i="17"/>
  <c r="Q427" i="17"/>
  <c r="R427" i="17"/>
  <c r="S427" i="17"/>
  <c r="T427" i="17"/>
  <c r="V427" i="17"/>
  <c r="W427" i="17"/>
  <c r="X427" i="17"/>
  <c r="Y427" i="17"/>
  <c r="Z427" i="17"/>
  <c r="AA427" i="17"/>
  <c r="AB427" i="17"/>
  <c r="AC427" i="17"/>
  <c r="AD427" i="17"/>
  <c r="AE427" i="17"/>
  <c r="AF427" i="17"/>
  <c r="AG427" i="17"/>
  <c r="AH427" i="17"/>
  <c r="AI427" i="17"/>
  <c r="AJ427" i="17"/>
  <c r="AK427" i="17"/>
  <c r="AL427" i="17"/>
  <c r="AM427" i="17"/>
  <c r="AN427" i="17"/>
  <c r="AO427" i="17"/>
  <c r="AP427" i="17"/>
  <c r="AQ427" i="17"/>
  <c r="AR427" i="17"/>
  <c r="AS427" i="17"/>
  <c r="AT427" i="17"/>
  <c r="AU427" i="17"/>
  <c r="AV427" i="17"/>
  <c r="AW427" i="17"/>
  <c r="AX427" i="17"/>
  <c r="AY427" i="17"/>
  <c r="AZ427" i="17"/>
  <c r="BA427" i="17"/>
  <c r="BB427" i="17"/>
  <c r="BC427" i="17"/>
  <c r="BD427" i="17"/>
  <c r="BE427" i="17"/>
  <c r="BF427" i="17"/>
  <c r="BG427" i="17"/>
  <c r="BH427" i="17"/>
  <c r="BI427" i="17"/>
  <c r="BJ427" i="17"/>
  <c r="BK427" i="17"/>
  <c r="BL427" i="17"/>
  <c r="BM427" i="17"/>
  <c r="BN427" i="17"/>
  <c r="BO427" i="17"/>
  <c r="BP427" i="17"/>
  <c r="BQ427" i="17"/>
  <c r="BR427" i="17"/>
  <c r="BS427" i="17"/>
  <c r="BT427" i="17"/>
  <c r="BU427" i="17"/>
  <c r="BV427" i="17"/>
  <c r="BW427" i="17"/>
  <c r="BX427" i="17"/>
  <c r="BY427" i="17"/>
  <c r="BZ427" i="17"/>
  <c r="CA427" i="17"/>
  <c r="CB427" i="17"/>
  <c r="CC427" i="17"/>
  <c r="CD427" i="17"/>
  <c r="CE427" i="17"/>
  <c r="CF427" i="17"/>
  <c r="CG427" i="17"/>
  <c r="CH427" i="17"/>
  <c r="CI427" i="17"/>
  <c r="CJ427" i="17"/>
  <c r="CK427" i="17"/>
  <c r="CL427" i="17"/>
  <c r="CM427" i="17"/>
  <c r="CN427" i="17"/>
  <c r="CO427" i="17"/>
  <c r="CP427" i="17"/>
  <c r="CQ427" i="17"/>
  <c r="CR427" i="17"/>
  <c r="CS427" i="17"/>
  <c r="CT427" i="17"/>
  <c r="CU427" i="17"/>
  <c r="CV427" i="17"/>
  <c r="CW427" i="17"/>
  <c r="CX427" i="17"/>
  <c r="CY427" i="17"/>
  <c r="CZ427" i="17"/>
  <c r="DA427" i="17"/>
  <c r="DB427" i="17"/>
  <c r="DC427" i="17"/>
  <c r="DD427" i="17"/>
  <c r="DE427" i="17"/>
  <c r="DF427" i="17"/>
  <c r="DG427" i="17"/>
  <c r="DH427" i="17"/>
  <c r="DI427" i="17"/>
  <c r="DJ427" i="17"/>
  <c r="DK427" i="17"/>
  <c r="DL427" i="17"/>
  <c r="DM427" i="17"/>
  <c r="DN427" i="17"/>
  <c r="DO427" i="17"/>
  <c r="DP427" i="17"/>
  <c r="DQ427" i="17"/>
  <c r="DR427" i="17"/>
  <c r="DS427" i="17"/>
  <c r="DT427" i="17"/>
  <c r="DU427" i="17"/>
  <c r="DV427" i="17"/>
  <c r="DW427" i="17"/>
  <c r="DX427" i="17"/>
  <c r="DY427" i="17"/>
  <c r="DZ427" i="17"/>
  <c r="EA427" i="17"/>
  <c r="EB427" i="17"/>
  <c r="EC427" i="17"/>
  <c r="ED427" i="17"/>
  <c r="EE427" i="17"/>
  <c r="EF427" i="17"/>
  <c r="EG427" i="17"/>
  <c r="EH427" i="17"/>
  <c r="EI427" i="17"/>
  <c r="EJ427" i="17"/>
  <c r="EK427" i="17"/>
  <c r="EL427" i="17"/>
  <c r="EM427" i="17"/>
  <c r="EN427" i="17"/>
  <c r="EO427" i="17"/>
  <c r="EP427" i="17"/>
  <c r="EQ427" i="17"/>
  <c r="ER427" i="17"/>
  <c r="ES427" i="17"/>
  <c r="ET427" i="17"/>
  <c r="EU427" i="17"/>
  <c r="EV427" i="17"/>
  <c r="EW427" i="17"/>
  <c r="EX427" i="17"/>
  <c r="EY427" i="17"/>
  <c r="EZ427" i="17"/>
  <c r="FA427" i="17"/>
  <c r="FB427" i="17"/>
  <c r="FC427" i="17"/>
  <c r="FD427" i="17"/>
  <c r="FE427" i="17"/>
  <c r="FF427" i="17"/>
  <c r="FG427" i="17"/>
  <c r="FH427" i="17"/>
  <c r="FI427" i="17"/>
  <c r="FJ427" i="17"/>
  <c r="FK427" i="17"/>
  <c r="FL427" i="17"/>
  <c r="FM427" i="17"/>
  <c r="FN427" i="17"/>
  <c r="FO427" i="17"/>
  <c r="FP427" i="17"/>
  <c r="FQ427" i="17"/>
  <c r="FR427" i="17"/>
  <c r="FS427" i="17"/>
  <c r="FT427" i="17"/>
  <c r="FU427" i="17"/>
  <c r="FV427" i="17"/>
  <c r="FW427" i="17"/>
  <c r="FX427" i="17"/>
  <c r="FY427" i="17"/>
  <c r="FZ427" i="17"/>
  <c r="GA427" i="17"/>
  <c r="GB427" i="17"/>
  <c r="GC427" i="17"/>
  <c r="GD427" i="17"/>
  <c r="GE427" i="17"/>
  <c r="GF427" i="17"/>
  <c r="GG427" i="17"/>
  <c r="GH427" i="17"/>
  <c r="GI427" i="17"/>
  <c r="GJ427" i="17"/>
  <c r="GK427" i="17"/>
  <c r="GL427" i="17"/>
  <c r="GM427" i="17"/>
  <c r="GN427" i="17"/>
  <c r="GO427" i="17"/>
  <c r="GP427" i="17"/>
  <c r="GQ427" i="17"/>
  <c r="GR427" i="17"/>
  <c r="GS427" i="17"/>
  <c r="GT427" i="17"/>
  <c r="GU427" i="17"/>
  <c r="GV427" i="17"/>
  <c r="GW427" i="17"/>
  <c r="GX427" i="17"/>
  <c r="GY427" i="17"/>
  <c r="GZ427" i="17"/>
  <c r="HA427" i="17"/>
  <c r="HB427" i="17"/>
  <c r="HC427" i="17"/>
  <c r="HD427" i="17"/>
  <c r="HE427" i="17"/>
  <c r="HF427" i="17"/>
  <c r="HG427" i="17"/>
  <c r="HH427" i="17"/>
  <c r="HI427" i="17"/>
  <c r="HJ427" i="17"/>
  <c r="HK427" i="17"/>
  <c r="HL427" i="17"/>
  <c r="HM427" i="17"/>
  <c r="HN427" i="17"/>
  <c r="HO427" i="17"/>
  <c r="HP427" i="17"/>
  <c r="HQ427" i="17"/>
  <c r="HR427" i="17"/>
  <c r="HS427" i="17"/>
  <c r="HT427" i="17"/>
  <c r="HU427" i="17"/>
  <c r="HV427" i="17"/>
  <c r="HW427" i="17"/>
  <c r="HX427" i="17"/>
  <c r="HY427" i="17"/>
  <c r="HZ427" i="17"/>
  <c r="IA427" i="17"/>
  <c r="IB427" i="17"/>
  <c r="IC427" i="17"/>
  <c r="ID427" i="17"/>
  <c r="IE427" i="17"/>
  <c r="IF427" i="17"/>
  <c r="IG427" i="17"/>
  <c r="IH427" i="17"/>
  <c r="II427" i="17"/>
  <c r="IJ427" i="17"/>
  <c r="IK427" i="17"/>
  <c r="IL427" i="17"/>
  <c r="IM427" i="17"/>
  <c r="IN427" i="17"/>
  <c r="IO427" i="17"/>
  <c r="IP427" i="17"/>
  <c r="IQ427" i="17"/>
  <c r="IR427" i="17"/>
  <c r="IS427" i="17"/>
  <c r="IT427" i="17"/>
  <c r="IU427" i="17"/>
  <c r="IV427" i="17"/>
  <c r="A426" i="17"/>
  <c r="B426" i="17"/>
  <c r="C426" i="17"/>
  <c r="D426" i="17"/>
  <c r="E426" i="17"/>
  <c r="F426" i="17"/>
  <c r="G426" i="17"/>
  <c r="H426" i="17"/>
  <c r="I426" i="17"/>
  <c r="J426" i="17"/>
  <c r="K426" i="17"/>
  <c r="L426" i="17"/>
  <c r="M426" i="17"/>
  <c r="N426" i="17"/>
  <c r="O426" i="17"/>
  <c r="P426" i="17"/>
  <c r="Q426" i="17"/>
  <c r="R426" i="17"/>
  <c r="S426" i="17"/>
  <c r="T426" i="17"/>
  <c r="U426" i="17"/>
  <c r="V426" i="17"/>
  <c r="W426" i="17"/>
  <c r="X426" i="17"/>
  <c r="Y426" i="17"/>
  <c r="Z426" i="17"/>
  <c r="AA426" i="17"/>
  <c r="AB426" i="17"/>
  <c r="AC426" i="17"/>
  <c r="AD426" i="17"/>
  <c r="AE426" i="17"/>
  <c r="AF426" i="17"/>
  <c r="AG426" i="17"/>
  <c r="AH426" i="17"/>
  <c r="AI426" i="17"/>
  <c r="AJ426" i="17"/>
  <c r="AK426" i="17"/>
  <c r="AL426" i="17"/>
  <c r="AM426" i="17"/>
  <c r="AN426" i="17"/>
  <c r="AO426" i="17"/>
  <c r="AP426" i="17"/>
  <c r="AQ426" i="17"/>
  <c r="AR426" i="17"/>
  <c r="AS426" i="17"/>
  <c r="AT426" i="17"/>
  <c r="AU426" i="17"/>
  <c r="AV426" i="17"/>
  <c r="AW426" i="17"/>
  <c r="AX426" i="17"/>
  <c r="AY426" i="17"/>
  <c r="AZ426" i="17"/>
  <c r="BA426" i="17"/>
  <c r="BB426" i="17"/>
  <c r="BC426" i="17"/>
  <c r="BD426" i="17"/>
  <c r="BE426" i="17"/>
  <c r="BF426" i="17"/>
  <c r="BG426" i="17"/>
  <c r="BH426" i="17"/>
  <c r="BI426" i="17"/>
  <c r="BJ426" i="17"/>
  <c r="BK426" i="17"/>
  <c r="BL426" i="17"/>
  <c r="BM426" i="17"/>
  <c r="BN426" i="17"/>
  <c r="BO426" i="17"/>
  <c r="BP426" i="17"/>
  <c r="BQ426" i="17"/>
  <c r="BR426" i="17"/>
  <c r="BS426" i="17"/>
  <c r="BT426" i="17"/>
  <c r="BU426" i="17"/>
  <c r="BV426" i="17"/>
  <c r="BW426" i="17"/>
  <c r="BX426" i="17"/>
  <c r="BY426" i="17"/>
  <c r="BZ426" i="17"/>
  <c r="CA426" i="17"/>
  <c r="CB426" i="17"/>
  <c r="CC426" i="17"/>
  <c r="CD426" i="17"/>
  <c r="CE426" i="17"/>
  <c r="CF426" i="17"/>
  <c r="CG426" i="17"/>
  <c r="CH426" i="17"/>
  <c r="CI426" i="17"/>
  <c r="CJ426" i="17"/>
  <c r="CK426" i="17"/>
  <c r="CL426" i="17"/>
  <c r="CM426" i="17"/>
  <c r="CN426" i="17"/>
  <c r="CO426" i="17"/>
  <c r="CP426" i="17"/>
  <c r="CQ426" i="17"/>
  <c r="CR426" i="17"/>
  <c r="CS426" i="17"/>
  <c r="CT426" i="17"/>
  <c r="CU426" i="17"/>
  <c r="CV426" i="17"/>
  <c r="CW426" i="17"/>
  <c r="CX426" i="17"/>
  <c r="CY426" i="17"/>
  <c r="CZ426" i="17"/>
  <c r="DA426" i="17"/>
  <c r="DB426" i="17"/>
  <c r="DC426" i="17"/>
  <c r="DD426" i="17"/>
  <c r="DE426" i="17"/>
  <c r="DF426" i="17"/>
  <c r="DG426" i="17"/>
  <c r="DH426" i="17"/>
  <c r="DI426" i="17"/>
  <c r="DJ426" i="17"/>
  <c r="DK426" i="17"/>
  <c r="DL426" i="17"/>
  <c r="DM426" i="17"/>
  <c r="DN426" i="17"/>
  <c r="DO426" i="17"/>
  <c r="DP426" i="17"/>
  <c r="DQ426" i="17"/>
  <c r="DR426" i="17"/>
  <c r="DS426" i="17"/>
  <c r="DT426" i="17"/>
  <c r="DU426" i="17"/>
  <c r="DV426" i="17"/>
  <c r="DW426" i="17"/>
  <c r="DX426" i="17"/>
  <c r="DY426" i="17"/>
  <c r="DZ426" i="17"/>
  <c r="EA426" i="17"/>
  <c r="EB426" i="17"/>
  <c r="EC426" i="17"/>
  <c r="ED426" i="17"/>
  <c r="EE426" i="17"/>
  <c r="EF426" i="17"/>
  <c r="EG426" i="17"/>
  <c r="EH426" i="17"/>
  <c r="EI426" i="17"/>
  <c r="EJ426" i="17"/>
  <c r="EK426" i="17"/>
  <c r="EL426" i="17"/>
  <c r="EM426" i="17"/>
  <c r="EN426" i="17"/>
  <c r="EO426" i="17"/>
  <c r="EP426" i="17"/>
  <c r="EQ426" i="17"/>
  <c r="ER426" i="17"/>
  <c r="ES426" i="17"/>
  <c r="ET426" i="17"/>
  <c r="EU426" i="17"/>
  <c r="EV426" i="17"/>
  <c r="EW426" i="17"/>
  <c r="EX426" i="17"/>
  <c r="EY426" i="17"/>
  <c r="EZ426" i="17"/>
  <c r="FA426" i="17"/>
  <c r="FB426" i="17"/>
  <c r="FC426" i="17"/>
  <c r="FD426" i="17"/>
  <c r="FE426" i="17"/>
  <c r="FF426" i="17"/>
  <c r="FG426" i="17"/>
  <c r="FH426" i="17"/>
  <c r="FI426" i="17"/>
  <c r="FJ426" i="17"/>
  <c r="FK426" i="17"/>
  <c r="FL426" i="17"/>
  <c r="FM426" i="17"/>
  <c r="FN426" i="17"/>
  <c r="FO426" i="17"/>
  <c r="FP426" i="17"/>
  <c r="FQ426" i="17"/>
  <c r="FR426" i="17"/>
  <c r="FS426" i="17"/>
  <c r="FT426" i="17"/>
  <c r="FU426" i="17"/>
  <c r="FV426" i="17"/>
  <c r="FW426" i="17"/>
  <c r="FX426" i="17"/>
  <c r="FY426" i="17"/>
  <c r="FZ426" i="17"/>
  <c r="GA426" i="17"/>
  <c r="GB426" i="17"/>
  <c r="GC426" i="17"/>
  <c r="GD426" i="17"/>
  <c r="GE426" i="17"/>
  <c r="GF426" i="17"/>
  <c r="GG426" i="17"/>
  <c r="GH426" i="17"/>
  <c r="GI426" i="17"/>
  <c r="GJ426" i="17"/>
  <c r="GK426" i="17"/>
  <c r="GL426" i="17"/>
  <c r="GM426" i="17"/>
  <c r="GN426" i="17"/>
  <c r="GO426" i="17"/>
  <c r="GP426" i="17"/>
  <c r="GQ426" i="17"/>
  <c r="GR426" i="17"/>
  <c r="GS426" i="17"/>
  <c r="GT426" i="17"/>
  <c r="GU426" i="17"/>
  <c r="GV426" i="17"/>
  <c r="GW426" i="17"/>
  <c r="GX426" i="17"/>
  <c r="GY426" i="17"/>
  <c r="GZ426" i="17"/>
  <c r="HA426" i="17"/>
  <c r="HB426" i="17"/>
  <c r="HC426" i="17"/>
  <c r="HD426" i="17"/>
  <c r="HE426" i="17"/>
  <c r="HF426" i="17"/>
  <c r="HG426" i="17"/>
  <c r="HH426" i="17"/>
  <c r="HI426" i="17"/>
  <c r="HJ426" i="17"/>
  <c r="HK426" i="17"/>
  <c r="HL426" i="17"/>
  <c r="HM426" i="17"/>
  <c r="HN426" i="17"/>
  <c r="HO426" i="17"/>
  <c r="HP426" i="17"/>
  <c r="HQ426" i="17"/>
  <c r="HR426" i="17"/>
  <c r="HS426" i="17"/>
  <c r="HT426" i="17"/>
  <c r="HU426" i="17"/>
  <c r="HV426" i="17"/>
  <c r="HW426" i="17"/>
  <c r="HX426" i="17"/>
  <c r="HY426" i="17"/>
  <c r="HZ426" i="17"/>
  <c r="IA426" i="17"/>
  <c r="IB426" i="17"/>
  <c r="IC426" i="17"/>
  <c r="ID426" i="17"/>
  <c r="IE426" i="17"/>
  <c r="IF426" i="17"/>
  <c r="IG426" i="17"/>
  <c r="IH426" i="17"/>
  <c r="II426" i="17"/>
  <c r="IJ426" i="17"/>
  <c r="IK426" i="17"/>
  <c r="IL426" i="17"/>
  <c r="IM426" i="17"/>
  <c r="IN426" i="17"/>
  <c r="IO426" i="17"/>
  <c r="IP426" i="17"/>
  <c r="IQ426" i="17"/>
  <c r="IR426" i="17"/>
  <c r="IS426" i="17"/>
  <c r="IT426" i="17"/>
  <c r="IU426" i="17"/>
  <c r="IV426" i="17"/>
  <c r="N234" i="1"/>
  <c r="I234" i="1"/>
  <c r="H234" i="1"/>
  <c r="G234" i="1"/>
  <c r="F234" i="1"/>
  <c r="S165" i="19"/>
  <c r="L111" i="19"/>
  <c r="E234" i="1"/>
  <c r="N236" i="1"/>
  <c r="I236" i="1"/>
  <c r="H236" i="1"/>
  <c r="G236" i="1"/>
  <c r="F236" i="1"/>
  <c r="E236" i="1"/>
  <c r="L61" i="19"/>
  <c r="N290" i="1"/>
  <c r="I290" i="1"/>
  <c r="H290" i="1"/>
  <c r="G290" i="1"/>
  <c r="F290" i="1"/>
  <c r="N167" i="1"/>
  <c r="I167" i="1"/>
  <c r="H167" i="1"/>
  <c r="G167" i="1"/>
  <c r="F167" i="1"/>
  <c r="L33" i="19"/>
  <c r="E167" i="1"/>
  <c r="E290" i="1"/>
  <c r="D90" i="4"/>
  <c r="L11" i="19"/>
  <c r="L81" i="19"/>
  <c r="L88" i="19"/>
  <c r="L223" i="19"/>
  <c r="L211" i="19"/>
  <c r="L77" i="19"/>
  <c r="L224" i="19"/>
  <c r="L172" i="19"/>
  <c r="L86" i="19"/>
  <c r="L78" i="19"/>
  <c r="L237" i="19"/>
  <c r="L231" i="19"/>
  <c r="L199" i="19"/>
  <c r="L222" i="19"/>
  <c r="L209" i="19"/>
  <c r="L105" i="19"/>
  <c r="L205" i="19"/>
  <c r="L95" i="19"/>
  <c r="L167" i="19"/>
  <c r="L249" i="19"/>
  <c r="L200" i="19"/>
  <c r="L232" i="19"/>
  <c r="A425" i="17"/>
  <c r="B425" i="17"/>
  <c r="C425" i="17"/>
  <c r="D425" i="17"/>
  <c r="E425" i="17"/>
  <c r="F425" i="17"/>
  <c r="G425" i="17"/>
  <c r="H425" i="17"/>
  <c r="I425" i="17"/>
  <c r="J425" i="17"/>
  <c r="K425" i="17"/>
  <c r="L425" i="17"/>
  <c r="M425" i="17"/>
  <c r="N425" i="17"/>
  <c r="O425" i="17"/>
  <c r="P425" i="17"/>
  <c r="Q425" i="17"/>
  <c r="R425" i="17"/>
  <c r="S425" i="17"/>
  <c r="T425" i="17"/>
  <c r="U425" i="17"/>
  <c r="V425" i="17"/>
  <c r="W425" i="17"/>
  <c r="X425" i="17"/>
  <c r="Y425" i="17"/>
  <c r="Z425" i="17"/>
  <c r="AA425" i="17"/>
  <c r="AB425" i="17"/>
  <c r="AC425" i="17"/>
  <c r="AD425" i="17"/>
  <c r="AE425" i="17"/>
  <c r="AF425" i="17"/>
  <c r="AG425" i="17"/>
  <c r="AH425" i="17"/>
  <c r="AI425" i="17"/>
  <c r="AJ425" i="17"/>
  <c r="AK425" i="17"/>
  <c r="AL425" i="17"/>
  <c r="AM425" i="17"/>
  <c r="AN425" i="17"/>
  <c r="AO425" i="17"/>
  <c r="AP425" i="17"/>
  <c r="AQ425" i="17"/>
  <c r="AR425" i="17"/>
  <c r="AS425" i="17"/>
  <c r="AT425" i="17"/>
  <c r="AU425" i="17"/>
  <c r="AV425" i="17"/>
  <c r="AW425" i="17"/>
  <c r="AX425" i="17"/>
  <c r="AY425" i="17"/>
  <c r="AZ425" i="17"/>
  <c r="BA425" i="17"/>
  <c r="BB425" i="17"/>
  <c r="BC425" i="17"/>
  <c r="BD425" i="17"/>
  <c r="BE425" i="17"/>
  <c r="BF425" i="17"/>
  <c r="BG425" i="17"/>
  <c r="BH425" i="17"/>
  <c r="BI425" i="17"/>
  <c r="BJ425" i="17"/>
  <c r="BK425" i="17"/>
  <c r="BL425" i="17"/>
  <c r="BM425" i="17"/>
  <c r="BN425" i="17"/>
  <c r="BO425" i="17"/>
  <c r="BP425" i="17"/>
  <c r="BQ425" i="17"/>
  <c r="BR425" i="17"/>
  <c r="BS425" i="17"/>
  <c r="BT425" i="17"/>
  <c r="BU425" i="17"/>
  <c r="BV425" i="17"/>
  <c r="BW425" i="17"/>
  <c r="BX425" i="17"/>
  <c r="BZ425" i="17"/>
  <c r="CA425" i="17"/>
  <c r="CB425" i="17"/>
  <c r="CC425" i="17"/>
  <c r="CD425" i="17"/>
  <c r="CE425" i="17"/>
  <c r="CF425" i="17"/>
  <c r="CG425" i="17"/>
  <c r="CH425" i="17"/>
  <c r="CI425" i="17"/>
  <c r="CJ425" i="17"/>
  <c r="CK425" i="17"/>
  <c r="CL425" i="17"/>
  <c r="CM425" i="17"/>
  <c r="CN425" i="17"/>
  <c r="CO425" i="17"/>
  <c r="CP425" i="17"/>
  <c r="CQ425" i="17"/>
  <c r="CR425" i="17"/>
  <c r="CS425" i="17"/>
  <c r="CT425" i="17"/>
  <c r="CU425" i="17"/>
  <c r="CV425" i="17"/>
  <c r="CW425" i="17"/>
  <c r="CX425" i="17"/>
  <c r="CY425" i="17"/>
  <c r="CZ425" i="17"/>
  <c r="DA425" i="17"/>
  <c r="DB425" i="17"/>
  <c r="DC425" i="17"/>
  <c r="DD425" i="17"/>
  <c r="DE425" i="17"/>
  <c r="DF425" i="17"/>
  <c r="DG425" i="17"/>
  <c r="DH425" i="17"/>
  <c r="DI425" i="17"/>
  <c r="DJ425" i="17"/>
  <c r="DK425" i="17"/>
  <c r="DL425" i="17"/>
  <c r="DM425" i="17"/>
  <c r="DN425" i="17"/>
  <c r="DO425" i="17"/>
  <c r="DP425" i="17"/>
  <c r="DQ425" i="17"/>
  <c r="DR425" i="17"/>
  <c r="DS425" i="17"/>
  <c r="DT425" i="17"/>
  <c r="DU425" i="17"/>
  <c r="DV425" i="17"/>
  <c r="DW425" i="17"/>
  <c r="DX425" i="17"/>
  <c r="DY425" i="17"/>
  <c r="DZ425" i="17"/>
  <c r="EA425" i="17"/>
  <c r="EB425" i="17"/>
  <c r="EC425" i="17"/>
  <c r="ED425" i="17"/>
  <c r="EE425" i="17"/>
  <c r="EF425" i="17"/>
  <c r="EG425" i="17"/>
  <c r="EH425" i="17"/>
  <c r="EI425" i="17"/>
  <c r="EJ425" i="17"/>
  <c r="EK425" i="17"/>
  <c r="EL425" i="17"/>
  <c r="EM425" i="17"/>
  <c r="EN425" i="17"/>
  <c r="EO425" i="17"/>
  <c r="EP425" i="17"/>
  <c r="EQ425" i="17"/>
  <c r="ER425" i="17"/>
  <c r="ES425" i="17"/>
  <c r="ET425" i="17"/>
  <c r="EU425" i="17"/>
  <c r="EV425" i="17"/>
  <c r="EW425" i="17"/>
  <c r="EX425" i="17"/>
  <c r="EY425" i="17"/>
  <c r="EZ425" i="17"/>
  <c r="FA425" i="17"/>
  <c r="FB425" i="17"/>
  <c r="FC425" i="17"/>
  <c r="FD425" i="17"/>
  <c r="FE425" i="17"/>
  <c r="FF425" i="17"/>
  <c r="FG425" i="17"/>
  <c r="FH425" i="17"/>
  <c r="FI425" i="17"/>
  <c r="FJ425" i="17"/>
  <c r="FK425" i="17"/>
  <c r="FL425" i="17"/>
  <c r="FM425" i="17"/>
  <c r="FN425" i="17"/>
  <c r="FO425" i="17"/>
  <c r="FP425" i="17"/>
  <c r="FQ425" i="17"/>
  <c r="FR425" i="17"/>
  <c r="FS425" i="17"/>
  <c r="FT425" i="17"/>
  <c r="FU425" i="17"/>
  <c r="FV425" i="17"/>
  <c r="FW425" i="17"/>
  <c r="FX425" i="17"/>
  <c r="FY425" i="17"/>
  <c r="FZ425" i="17"/>
  <c r="GA425" i="17"/>
  <c r="GB425" i="17"/>
  <c r="GC425" i="17"/>
  <c r="GD425" i="17"/>
  <c r="GE425" i="17"/>
  <c r="GF425" i="17"/>
  <c r="GG425" i="17"/>
  <c r="GH425" i="17"/>
  <c r="GI425" i="17"/>
  <c r="GJ425" i="17"/>
  <c r="GK425" i="17"/>
  <c r="GL425" i="17"/>
  <c r="GM425" i="17"/>
  <c r="GN425" i="17"/>
  <c r="GO425" i="17"/>
  <c r="GP425" i="17"/>
  <c r="GQ425" i="17"/>
  <c r="GR425" i="17"/>
  <c r="GS425" i="17"/>
  <c r="GT425" i="17"/>
  <c r="GU425" i="17"/>
  <c r="GY425" i="17"/>
  <c r="GZ425" i="17"/>
  <c r="HA425" i="17"/>
  <c r="A424" i="17"/>
  <c r="B424" i="17"/>
  <c r="C424" i="17"/>
  <c r="D424" i="17"/>
  <c r="E424" i="17"/>
  <c r="F424" i="17"/>
  <c r="G424" i="17"/>
  <c r="H424" i="17"/>
  <c r="I424" i="17"/>
  <c r="J424" i="17"/>
  <c r="K424" i="17"/>
  <c r="L424" i="17"/>
  <c r="M424" i="17"/>
  <c r="N424" i="17"/>
  <c r="O424" i="17"/>
  <c r="P424" i="17"/>
  <c r="Q424" i="17"/>
  <c r="R424" i="17"/>
  <c r="S424" i="17"/>
  <c r="T424" i="17"/>
  <c r="U424" i="17"/>
  <c r="V424" i="17"/>
  <c r="W424" i="17"/>
  <c r="X424" i="17"/>
  <c r="Y424" i="17"/>
  <c r="Z424" i="17"/>
  <c r="AA424" i="17"/>
  <c r="AB424" i="17"/>
  <c r="AC424" i="17"/>
  <c r="AD424" i="17"/>
  <c r="AE424" i="17"/>
  <c r="AF424" i="17"/>
  <c r="AG424" i="17"/>
  <c r="AH424" i="17"/>
  <c r="AI424" i="17"/>
  <c r="AJ424" i="17"/>
  <c r="AK424" i="17"/>
  <c r="AL424" i="17"/>
  <c r="AM424" i="17"/>
  <c r="AN424" i="17"/>
  <c r="AO424" i="17"/>
  <c r="AP424" i="17"/>
  <c r="AQ424" i="17"/>
  <c r="AR424" i="17"/>
  <c r="AS424" i="17"/>
  <c r="AT424" i="17"/>
  <c r="AU424" i="17"/>
  <c r="AV424" i="17"/>
  <c r="AW424" i="17"/>
  <c r="AX424" i="17"/>
  <c r="AY424" i="17"/>
  <c r="AZ424" i="17"/>
  <c r="BA424" i="17"/>
  <c r="BB424" i="17"/>
  <c r="BC424" i="17"/>
  <c r="BD424" i="17"/>
  <c r="BE424" i="17"/>
  <c r="BF424" i="17"/>
  <c r="BG424" i="17"/>
  <c r="BH424" i="17"/>
  <c r="BI424" i="17"/>
  <c r="BJ424" i="17"/>
  <c r="BK424" i="17"/>
  <c r="BL424" i="17"/>
  <c r="BM424" i="17"/>
  <c r="BN424" i="17"/>
  <c r="BO424" i="17"/>
  <c r="BP424" i="17"/>
  <c r="BQ424" i="17"/>
  <c r="BR424" i="17"/>
  <c r="BS424" i="17"/>
  <c r="BT424" i="17"/>
  <c r="BU424" i="17"/>
  <c r="BV424" i="17"/>
  <c r="BW424" i="17"/>
  <c r="BX424" i="17"/>
  <c r="BY424" i="17"/>
  <c r="BZ424" i="17"/>
  <c r="CA424" i="17"/>
  <c r="CB424" i="17"/>
  <c r="CC424" i="17"/>
  <c r="CD424" i="17"/>
  <c r="CE424" i="17"/>
  <c r="CF424" i="17"/>
  <c r="CG424" i="17"/>
  <c r="CH424" i="17"/>
  <c r="CI424" i="17"/>
  <c r="CJ424" i="17"/>
  <c r="CK424" i="17"/>
  <c r="CL424" i="17"/>
  <c r="CM424" i="17"/>
  <c r="CN424" i="17"/>
  <c r="CO424" i="17"/>
  <c r="CP424" i="17"/>
  <c r="CQ424" i="17"/>
  <c r="CR424" i="17"/>
  <c r="CS424" i="17"/>
  <c r="CT424" i="17"/>
  <c r="CU424" i="17"/>
  <c r="CV424" i="17"/>
  <c r="CW424" i="17"/>
  <c r="CX424" i="17"/>
  <c r="CY424" i="17"/>
  <c r="CZ424" i="17"/>
  <c r="DA424" i="17"/>
  <c r="DB424" i="17"/>
  <c r="DC424" i="17"/>
  <c r="DD424" i="17"/>
  <c r="DE424" i="17"/>
  <c r="DF424" i="17"/>
  <c r="DG424" i="17"/>
  <c r="DH424" i="17"/>
  <c r="DI424" i="17"/>
  <c r="DJ424" i="17"/>
  <c r="DK424" i="17"/>
  <c r="DL424" i="17"/>
  <c r="DM424" i="17"/>
  <c r="DN424" i="17"/>
  <c r="DO424" i="17"/>
  <c r="DP424" i="17"/>
  <c r="DQ424" i="17"/>
  <c r="DR424" i="17"/>
  <c r="DS424" i="17"/>
  <c r="DT424" i="17"/>
  <c r="DU424" i="17"/>
  <c r="DV424" i="17"/>
  <c r="DW424" i="17"/>
  <c r="DX424" i="17"/>
  <c r="DY424" i="17"/>
  <c r="DZ424" i="17"/>
  <c r="EA424" i="17"/>
  <c r="EB424" i="17"/>
  <c r="EC424" i="17"/>
  <c r="ED424" i="17"/>
  <c r="EE424" i="17"/>
  <c r="EF424" i="17"/>
  <c r="EG424" i="17"/>
  <c r="EH424" i="17"/>
  <c r="EI424" i="17"/>
  <c r="EJ424" i="17"/>
  <c r="EK424" i="17"/>
  <c r="EL424" i="17"/>
  <c r="EM424" i="17"/>
  <c r="EN424" i="17"/>
  <c r="EO424" i="17"/>
  <c r="EP424" i="17"/>
  <c r="EQ424" i="17"/>
  <c r="ER424" i="17"/>
  <c r="ES424" i="17"/>
  <c r="ET424" i="17"/>
  <c r="EU424" i="17"/>
  <c r="EV424" i="17"/>
  <c r="EW424" i="17"/>
  <c r="EX424" i="17"/>
  <c r="EY424" i="17"/>
  <c r="EZ424" i="17"/>
  <c r="FA424" i="17"/>
  <c r="FB424" i="17"/>
  <c r="FC424" i="17"/>
  <c r="FD424" i="17"/>
  <c r="FE424" i="17"/>
  <c r="FF424" i="17"/>
  <c r="FG424" i="17"/>
  <c r="FH424" i="17"/>
  <c r="FI424" i="17"/>
  <c r="FJ424" i="17"/>
  <c r="FK424" i="17"/>
  <c r="FL424" i="17"/>
  <c r="FM424" i="17"/>
  <c r="FN424" i="17"/>
  <c r="FO424" i="17"/>
  <c r="FP424" i="17"/>
  <c r="FQ424" i="17"/>
  <c r="FR424" i="17"/>
  <c r="FS424" i="17"/>
  <c r="FT424" i="17"/>
  <c r="FU424" i="17"/>
  <c r="FV424" i="17"/>
  <c r="FW424" i="17"/>
  <c r="FX424" i="17"/>
  <c r="FY424" i="17"/>
  <c r="FZ424" i="17"/>
  <c r="GA424" i="17"/>
  <c r="GB424" i="17"/>
  <c r="GC424" i="17"/>
  <c r="GD424" i="17"/>
  <c r="GE424" i="17"/>
  <c r="GF424" i="17"/>
  <c r="GG424" i="17"/>
  <c r="GH424" i="17"/>
  <c r="GI424" i="17"/>
  <c r="GJ424" i="17"/>
  <c r="GK424" i="17"/>
  <c r="GL424" i="17"/>
  <c r="GM424" i="17"/>
  <c r="GN424" i="17"/>
  <c r="GO424" i="17"/>
  <c r="GP424" i="17"/>
  <c r="GQ424" i="17"/>
  <c r="GR424" i="17"/>
  <c r="GS424" i="17"/>
  <c r="GT424" i="17"/>
  <c r="GU424" i="17"/>
  <c r="GV424" i="17"/>
  <c r="GW424" i="17"/>
  <c r="GX424" i="17"/>
  <c r="GY424" i="17"/>
  <c r="GZ424" i="17"/>
  <c r="HA424" i="17"/>
  <c r="HB424" i="17"/>
  <c r="HC424" i="17"/>
  <c r="HD424" i="17"/>
  <c r="HE424" i="17"/>
  <c r="HF424" i="17"/>
  <c r="HG424" i="17"/>
  <c r="HH424" i="17"/>
  <c r="HI424" i="17"/>
  <c r="HJ424" i="17"/>
  <c r="HK424" i="17"/>
  <c r="HL424" i="17"/>
  <c r="HM424" i="17"/>
  <c r="HN424" i="17"/>
  <c r="HO424" i="17"/>
  <c r="HP424" i="17"/>
  <c r="HQ424" i="17"/>
  <c r="HR424" i="17"/>
  <c r="HS424" i="17"/>
  <c r="HT424" i="17"/>
  <c r="HU424" i="17"/>
  <c r="HV424" i="17"/>
  <c r="HW424" i="17"/>
  <c r="HX424" i="17"/>
  <c r="HY424" i="17"/>
  <c r="HZ424" i="17"/>
  <c r="IA424" i="17"/>
  <c r="IB424" i="17"/>
  <c r="IC424" i="17"/>
  <c r="ID424" i="17"/>
  <c r="IE424" i="17"/>
  <c r="IF424" i="17"/>
  <c r="IG424" i="17"/>
  <c r="IH424" i="17"/>
  <c r="II424" i="17"/>
  <c r="IJ424" i="17"/>
  <c r="IK424" i="17"/>
  <c r="IL424" i="17"/>
  <c r="IM424" i="17"/>
  <c r="IN424" i="17"/>
  <c r="IO424" i="17"/>
  <c r="IP424" i="17"/>
  <c r="IQ424" i="17"/>
  <c r="IR424" i="17"/>
  <c r="IS424" i="17"/>
  <c r="IT424" i="17"/>
  <c r="IU424" i="17"/>
  <c r="IV424" i="17"/>
  <c r="A423" i="17"/>
  <c r="B423" i="17"/>
  <c r="C423" i="17"/>
  <c r="D423" i="17"/>
  <c r="E423" i="17"/>
  <c r="F423" i="17"/>
  <c r="G423" i="17"/>
  <c r="H423" i="17"/>
  <c r="I423" i="17"/>
  <c r="J423" i="17"/>
  <c r="K423" i="17"/>
  <c r="L423" i="17"/>
  <c r="M423" i="17"/>
  <c r="N423" i="17"/>
  <c r="O423" i="17"/>
  <c r="P423" i="17"/>
  <c r="Q423" i="17"/>
  <c r="R423" i="17"/>
  <c r="S423" i="17"/>
  <c r="T423" i="17"/>
  <c r="U423" i="17"/>
  <c r="V423" i="17"/>
  <c r="W423" i="17"/>
  <c r="X423" i="17"/>
  <c r="Y423" i="17"/>
  <c r="Z423" i="17"/>
  <c r="AA423" i="17"/>
  <c r="AB423" i="17"/>
  <c r="AC423" i="17"/>
  <c r="AD423" i="17"/>
  <c r="AE423" i="17"/>
  <c r="AF423" i="17"/>
  <c r="AG423" i="17"/>
  <c r="AH423" i="17"/>
  <c r="AI423" i="17"/>
  <c r="AJ423" i="17"/>
  <c r="AK423" i="17"/>
  <c r="AL423" i="17"/>
  <c r="AM423" i="17"/>
  <c r="AN423" i="17"/>
  <c r="AO423" i="17"/>
  <c r="AP423" i="17"/>
  <c r="AQ423" i="17"/>
  <c r="AR423" i="17"/>
  <c r="AS423" i="17"/>
  <c r="AT423" i="17"/>
  <c r="AU423" i="17"/>
  <c r="AV423" i="17"/>
  <c r="AW423" i="17"/>
  <c r="AX423" i="17"/>
  <c r="AY423" i="17"/>
  <c r="AZ423" i="17"/>
  <c r="BA423" i="17"/>
  <c r="BB423" i="17"/>
  <c r="BC423" i="17"/>
  <c r="BD423" i="17"/>
  <c r="BE423" i="17"/>
  <c r="BF423" i="17"/>
  <c r="BG423" i="17"/>
  <c r="BH423" i="17"/>
  <c r="BI423" i="17"/>
  <c r="BJ423" i="17"/>
  <c r="BK423" i="17"/>
  <c r="BL423" i="17"/>
  <c r="BM423" i="17"/>
  <c r="BN423" i="17"/>
  <c r="BO423" i="17"/>
  <c r="BP423" i="17"/>
  <c r="BQ423" i="17"/>
  <c r="BR423" i="17"/>
  <c r="BS423" i="17"/>
  <c r="BT423" i="17"/>
  <c r="BU423" i="17"/>
  <c r="BV423" i="17"/>
  <c r="BW423" i="17"/>
  <c r="BX423" i="17"/>
  <c r="BY423" i="17"/>
  <c r="BZ423" i="17"/>
  <c r="CA423" i="17"/>
  <c r="CB423" i="17"/>
  <c r="CC423" i="17"/>
  <c r="CD423" i="17"/>
  <c r="CE423" i="17"/>
  <c r="CF423" i="17"/>
  <c r="CG423" i="17"/>
  <c r="CH423" i="17"/>
  <c r="CI423" i="17"/>
  <c r="CJ423" i="17"/>
  <c r="CK423" i="17"/>
  <c r="CL423" i="17"/>
  <c r="CM423" i="17"/>
  <c r="CN423" i="17"/>
  <c r="CO423" i="17"/>
  <c r="CP423" i="17"/>
  <c r="CQ423" i="17"/>
  <c r="CR423" i="17"/>
  <c r="CS423" i="17"/>
  <c r="CT423" i="17"/>
  <c r="CU423" i="17"/>
  <c r="CV423" i="17"/>
  <c r="CW423" i="17"/>
  <c r="CX423" i="17"/>
  <c r="CY423" i="17"/>
  <c r="CZ423" i="17"/>
  <c r="DA423" i="17"/>
  <c r="DB423" i="17"/>
  <c r="DC423" i="17"/>
  <c r="DD423" i="17"/>
  <c r="DE423" i="17"/>
  <c r="DF423" i="17"/>
  <c r="DG423" i="17"/>
  <c r="DH423" i="17"/>
  <c r="DI423" i="17"/>
  <c r="DJ423" i="17"/>
  <c r="DK423" i="17"/>
  <c r="DL423" i="17"/>
  <c r="DM423" i="17"/>
  <c r="DN423" i="17"/>
  <c r="DO423" i="17"/>
  <c r="DP423" i="17"/>
  <c r="DQ423" i="17"/>
  <c r="DR423" i="17"/>
  <c r="DS423" i="17"/>
  <c r="DT423" i="17"/>
  <c r="DU423" i="17"/>
  <c r="DV423" i="17"/>
  <c r="DW423" i="17"/>
  <c r="DX423" i="17"/>
  <c r="DY423" i="17"/>
  <c r="DZ423" i="17"/>
  <c r="EA423" i="17"/>
  <c r="EB423" i="17"/>
  <c r="EC423" i="17"/>
  <c r="ED423" i="17"/>
  <c r="EE423" i="17"/>
  <c r="EF423" i="17"/>
  <c r="EG423" i="17"/>
  <c r="EH423" i="17"/>
  <c r="EI423" i="17"/>
  <c r="EJ423" i="17"/>
  <c r="EK423" i="17"/>
  <c r="EL423" i="17"/>
  <c r="EM423" i="17"/>
  <c r="EN423" i="17"/>
  <c r="EO423" i="17"/>
  <c r="EP423" i="17"/>
  <c r="EQ423" i="17"/>
  <c r="ER423" i="17"/>
  <c r="ES423" i="17"/>
  <c r="ET423" i="17"/>
  <c r="EU423" i="17"/>
  <c r="EV423" i="17"/>
  <c r="EW423" i="17"/>
  <c r="EX423" i="17"/>
  <c r="EY423" i="17"/>
  <c r="EZ423" i="17"/>
  <c r="FA423" i="17"/>
  <c r="FB423" i="17"/>
  <c r="FC423" i="17"/>
  <c r="FD423" i="17"/>
  <c r="FE423" i="17"/>
  <c r="FF423" i="17"/>
  <c r="FG423" i="17"/>
  <c r="FH423" i="17"/>
  <c r="FI423" i="17"/>
  <c r="FJ423" i="17"/>
  <c r="FK423" i="17"/>
  <c r="FL423" i="17"/>
  <c r="FM423" i="17"/>
  <c r="FN423" i="17"/>
  <c r="FO423" i="17"/>
  <c r="FP423" i="17"/>
  <c r="FQ423" i="17"/>
  <c r="FR423" i="17"/>
  <c r="FS423" i="17"/>
  <c r="FT423" i="17"/>
  <c r="FU423" i="17"/>
  <c r="FV423" i="17"/>
  <c r="FW423" i="17"/>
  <c r="FX423" i="17"/>
  <c r="FY423" i="17"/>
  <c r="FZ423" i="17"/>
  <c r="GA423" i="17"/>
  <c r="GB423" i="17"/>
  <c r="GC423" i="17"/>
  <c r="GD423" i="17"/>
  <c r="GE423" i="17"/>
  <c r="GF423" i="17"/>
  <c r="GG423" i="17"/>
  <c r="GH423" i="17"/>
  <c r="GI423" i="17"/>
  <c r="GJ423" i="17"/>
  <c r="GK423" i="17"/>
  <c r="GL423" i="17"/>
  <c r="GM423" i="17"/>
  <c r="GN423" i="17"/>
  <c r="GO423" i="17"/>
  <c r="GP423" i="17"/>
  <c r="GQ423" i="17"/>
  <c r="GR423" i="17"/>
  <c r="GS423" i="17"/>
  <c r="GT423" i="17"/>
  <c r="GU423" i="17"/>
  <c r="GV423" i="17"/>
  <c r="GW423" i="17"/>
  <c r="GX423" i="17"/>
  <c r="GY423" i="17"/>
  <c r="GZ423" i="17"/>
  <c r="HA423" i="17"/>
  <c r="HB423" i="17"/>
  <c r="HC423" i="17"/>
  <c r="HD423" i="17"/>
  <c r="HE423" i="17"/>
  <c r="HF423" i="17"/>
  <c r="HG423" i="17"/>
  <c r="HH423" i="17"/>
  <c r="HI423" i="17"/>
  <c r="HJ423" i="17"/>
  <c r="HK423" i="17"/>
  <c r="HL423" i="17"/>
  <c r="HM423" i="17"/>
  <c r="HN423" i="17"/>
  <c r="HO423" i="17"/>
  <c r="HP423" i="17"/>
  <c r="HQ423" i="17"/>
  <c r="HR423" i="17"/>
  <c r="HS423" i="17"/>
  <c r="HT423" i="17"/>
  <c r="HU423" i="17"/>
  <c r="HV423" i="17"/>
  <c r="HW423" i="17"/>
  <c r="HX423" i="17"/>
  <c r="HY423" i="17"/>
  <c r="HZ423" i="17"/>
  <c r="IA423" i="17"/>
  <c r="IB423" i="17"/>
  <c r="IC423" i="17"/>
  <c r="ID423" i="17"/>
  <c r="IE423" i="17"/>
  <c r="IF423" i="17"/>
  <c r="IG423" i="17"/>
  <c r="IH423" i="17"/>
  <c r="II423" i="17"/>
  <c r="IJ423" i="17"/>
  <c r="IK423" i="17"/>
  <c r="IL423" i="17"/>
  <c r="IM423" i="17"/>
  <c r="IN423" i="17"/>
  <c r="IO423" i="17"/>
  <c r="IP423" i="17"/>
  <c r="IQ423" i="17"/>
  <c r="IR423" i="17"/>
  <c r="IS423" i="17"/>
  <c r="IT423" i="17"/>
  <c r="IU423" i="17"/>
  <c r="IV423" i="17"/>
  <c r="A422" i="17"/>
  <c r="B422" i="17"/>
  <c r="C422" i="17"/>
  <c r="D422" i="17"/>
  <c r="E422" i="17"/>
  <c r="F422" i="17"/>
  <c r="G422" i="17"/>
  <c r="H422" i="17"/>
  <c r="I422" i="17"/>
  <c r="J422" i="17"/>
  <c r="K422" i="17"/>
  <c r="L422" i="17"/>
  <c r="M422" i="17"/>
  <c r="N422" i="17"/>
  <c r="O422" i="17"/>
  <c r="P422" i="17"/>
  <c r="Q422" i="17"/>
  <c r="R422" i="17"/>
  <c r="S422" i="17"/>
  <c r="T422" i="17"/>
  <c r="U422" i="17"/>
  <c r="V422" i="17"/>
  <c r="W422" i="17"/>
  <c r="X422" i="17"/>
  <c r="Y422" i="17"/>
  <c r="Z422" i="17"/>
  <c r="AA422" i="17"/>
  <c r="AB422" i="17"/>
  <c r="AC422" i="17"/>
  <c r="AD422" i="17"/>
  <c r="AE422" i="17"/>
  <c r="AF422" i="17"/>
  <c r="AG422" i="17"/>
  <c r="AH422" i="17"/>
  <c r="AI422" i="17"/>
  <c r="AJ422" i="17"/>
  <c r="AK422" i="17"/>
  <c r="AL422" i="17"/>
  <c r="AM422" i="17"/>
  <c r="AN422" i="17"/>
  <c r="AO422" i="17"/>
  <c r="AP422" i="17"/>
  <c r="AQ422" i="17"/>
  <c r="AR422" i="17"/>
  <c r="AS422" i="17"/>
  <c r="AT422" i="17"/>
  <c r="AU422" i="17"/>
  <c r="AV422" i="17"/>
  <c r="AW422" i="17"/>
  <c r="AX422" i="17"/>
  <c r="AY422" i="17"/>
  <c r="AZ422" i="17"/>
  <c r="BA422" i="17"/>
  <c r="BB422" i="17"/>
  <c r="BC422" i="17"/>
  <c r="BD422" i="17"/>
  <c r="BE422" i="17"/>
  <c r="BF422" i="17"/>
  <c r="BG422" i="17"/>
  <c r="BH422" i="17"/>
  <c r="BI422" i="17"/>
  <c r="BJ422" i="17"/>
  <c r="BK422" i="17"/>
  <c r="BL422" i="17"/>
  <c r="BM422" i="17"/>
  <c r="BN422" i="17"/>
  <c r="BO422" i="17"/>
  <c r="BP422" i="17"/>
  <c r="BQ422" i="17"/>
  <c r="BR422" i="17"/>
  <c r="BS422" i="17"/>
  <c r="BT422" i="17"/>
  <c r="BU422" i="17"/>
  <c r="BV422" i="17"/>
  <c r="BW422" i="17"/>
  <c r="BX422" i="17"/>
  <c r="BY422" i="17"/>
  <c r="BZ422" i="17"/>
  <c r="CA422" i="17"/>
  <c r="CB422" i="17"/>
  <c r="CC422" i="17"/>
  <c r="CD422" i="17"/>
  <c r="CE422" i="17"/>
  <c r="CF422" i="17"/>
  <c r="CG422" i="17"/>
  <c r="CH422" i="17"/>
  <c r="CI422" i="17"/>
  <c r="CJ422" i="17"/>
  <c r="CK422" i="17"/>
  <c r="CL422" i="17"/>
  <c r="CM422" i="17"/>
  <c r="CN422" i="17"/>
  <c r="CO422" i="17"/>
  <c r="CP422" i="17"/>
  <c r="CQ422" i="17"/>
  <c r="CR422" i="17"/>
  <c r="CS422" i="17"/>
  <c r="CT422" i="17"/>
  <c r="CU422" i="17"/>
  <c r="CV422" i="17"/>
  <c r="CW422" i="17"/>
  <c r="CX422" i="17"/>
  <c r="CY422" i="17"/>
  <c r="CZ422" i="17"/>
  <c r="DA422" i="17"/>
  <c r="DB422" i="17"/>
  <c r="DC422" i="17"/>
  <c r="DD422" i="17"/>
  <c r="DE422" i="17"/>
  <c r="DF422" i="17"/>
  <c r="DG422" i="17"/>
  <c r="DH422" i="17"/>
  <c r="DI422" i="17"/>
  <c r="DJ422" i="17"/>
  <c r="DK422" i="17"/>
  <c r="DL422" i="17"/>
  <c r="DM422" i="17"/>
  <c r="DN422" i="17"/>
  <c r="DO422" i="17"/>
  <c r="DP422" i="17"/>
  <c r="DQ422" i="17"/>
  <c r="DR422" i="17"/>
  <c r="DS422" i="17"/>
  <c r="DT422" i="17"/>
  <c r="DU422" i="17"/>
  <c r="DV422" i="17"/>
  <c r="DW422" i="17"/>
  <c r="DX422" i="17"/>
  <c r="DY422" i="17"/>
  <c r="DZ422" i="17"/>
  <c r="EA422" i="17"/>
  <c r="EB422" i="17"/>
  <c r="EC422" i="17"/>
  <c r="ED422" i="17"/>
  <c r="EE422" i="17"/>
  <c r="EF422" i="17"/>
  <c r="EG422" i="17"/>
  <c r="EH422" i="17"/>
  <c r="EI422" i="17"/>
  <c r="EJ422" i="17"/>
  <c r="EK422" i="17"/>
  <c r="EL422" i="17"/>
  <c r="EM422" i="17"/>
  <c r="EN422" i="17"/>
  <c r="EO422" i="17"/>
  <c r="EP422" i="17"/>
  <c r="EQ422" i="17"/>
  <c r="ER422" i="17"/>
  <c r="ES422" i="17"/>
  <c r="ET422" i="17"/>
  <c r="EU422" i="17"/>
  <c r="EV422" i="17"/>
  <c r="EW422" i="17"/>
  <c r="EX422" i="17"/>
  <c r="EY422" i="17"/>
  <c r="EZ422" i="17"/>
  <c r="FA422" i="17"/>
  <c r="FB422" i="17"/>
  <c r="FC422" i="17"/>
  <c r="FD422" i="17"/>
  <c r="FE422" i="17"/>
  <c r="FF422" i="17"/>
  <c r="FG422" i="17"/>
  <c r="FH422" i="17"/>
  <c r="FI422" i="17"/>
  <c r="FJ422" i="17"/>
  <c r="FK422" i="17"/>
  <c r="FL422" i="17"/>
  <c r="FM422" i="17"/>
  <c r="FN422" i="17"/>
  <c r="FO422" i="17"/>
  <c r="FP422" i="17"/>
  <c r="FQ422" i="17"/>
  <c r="FR422" i="17"/>
  <c r="FS422" i="17"/>
  <c r="FT422" i="17"/>
  <c r="FU422" i="17"/>
  <c r="FV422" i="17"/>
  <c r="FW422" i="17"/>
  <c r="FX422" i="17"/>
  <c r="FY422" i="17"/>
  <c r="FZ422" i="17"/>
  <c r="GA422" i="17"/>
  <c r="GB422" i="17"/>
  <c r="GC422" i="17"/>
  <c r="GD422" i="17"/>
  <c r="GE422" i="17"/>
  <c r="GF422" i="17"/>
  <c r="GG422" i="17"/>
  <c r="GH422" i="17"/>
  <c r="GI422" i="17"/>
  <c r="GJ422" i="17"/>
  <c r="GK422" i="17"/>
  <c r="GL422" i="17"/>
  <c r="GM422" i="17"/>
  <c r="GN422" i="17"/>
  <c r="GO422" i="17"/>
  <c r="GP422" i="17"/>
  <c r="GQ422" i="17"/>
  <c r="GR422" i="17"/>
  <c r="GS422" i="17"/>
  <c r="GT422" i="17"/>
  <c r="GU422" i="17"/>
  <c r="GV422" i="17"/>
  <c r="GW422" i="17"/>
  <c r="GX422" i="17"/>
  <c r="GY422" i="17"/>
  <c r="GZ422" i="17"/>
  <c r="HA422" i="17"/>
  <c r="HB422" i="17"/>
  <c r="HC422" i="17"/>
  <c r="HD422" i="17"/>
  <c r="HE422" i="17"/>
  <c r="HF422" i="17"/>
  <c r="HG422" i="17"/>
  <c r="HH422" i="17"/>
  <c r="HI422" i="17"/>
  <c r="HJ422" i="17"/>
  <c r="HK422" i="17"/>
  <c r="HL422" i="17"/>
  <c r="HM422" i="17"/>
  <c r="HN422" i="17"/>
  <c r="HO422" i="17"/>
  <c r="HP422" i="17"/>
  <c r="HQ422" i="17"/>
  <c r="HR422" i="17"/>
  <c r="HS422" i="17"/>
  <c r="HT422" i="17"/>
  <c r="HU422" i="17"/>
  <c r="HV422" i="17"/>
  <c r="HW422" i="17"/>
  <c r="HX422" i="17"/>
  <c r="HY422" i="17"/>
  <c r="HZ422" i="17"/>
  <c r="IA422" i="17"/>
  <c r="IB422" i="17"/>
  <c r="IC422" i="17"/>
  <c r="ID422" i="17"/>
  <c r="IE422" i="17"/>
  <c r="IF422" i="17"/>
  <c r="IG422" i="17"/>
  <c r="IH422" i="17"/>
  <c r="II422" i="17"/>
  <c r="IJ422" i="17"/>
  <c r="IK422" i="17"/>
  <c r="IL422" i="17"/>
  <c r="IM422" i="17"/>
  <c r="IN422" i="17"/>
  <c r="IO422" i="17"/>
  <c r="IP422" i="17"/>
  <c r="IQ422" i="17"/>
  <c r="IR422" i="17"/>
  <c r="IS422" i="17"/>
  <c r="IT422" i="17"/>
  <c r="IU422" i="17"/>
  <c r="IV422" i="17"/>
  <c r="A421" i="17"/>
  <c r="B421" i="17"/>
  <c r="C421" i="17"/>
  <c r="D421" i="17"/>
  <c r="E421" i="17"/>
  <c r="F421" i="17"/>
  <c r="G421" i="17"/>
  <c r="H421" i="17"/>
  <c r="I421" i="17"/>
  <c r="J421" i="17"/>
  <c r="K421" i="17"/>
  <c r="L421" i="17"/>
  <c r="M421" i="17"/>
  <c r="N421" i="17"/>
  <c r="O421" i="17"/>
  <c r="P421" i="17"/>
  <c r="Q421" i="17"/>
  <c r="R421" i="17"/>
  <c r="S421" i="17"/>
  <c r="T421" i="17"/>
  <c r="U421" i="17"/>
  <c r="V421" i="17"/>
  <c r="W421" i="17"/>
  <c r="X421" i="17"/>
  <c r="Y421" i="17"/>
  <c r="Z421" i="17"/>
  <c r="AA421" i="17"/>
  <c r="AB421" i="17"/>
  <c r="AC421" i="17"/>
  <c r="AD421" i="17"/>
  <c r="AE421" i="17"/>
  <c r="AF421" i="17"/>
  <c r="AG421" i="17"/>
  <c r="AH421" i="17"/>
  <c r="AI421" i="17"/>
  <c r="AJ421" i="17"/>
  <c r="AK421" i="17"/>
  <c r="AL421" i="17"/>
  <c r="AM421" i="17"/>
  <c r="AN421" i="17"/>
  <c r="AO421" i="17"/>
  <c r="AP421" i="17"/>
  <c r="AQ421" i="17"/>
  <c r="AR421" i="17"/>
  <c r="AS421" i="17"/>
  <c r="AT421" i="17"/>
  <c r="AU421" i="17"/>
  <c r="AV421" i="17"/>
  <c r="AW421" i="17"/>
  <c r="AX421" i="17"/>
  <c r="AY421" i="17"/>
  <c r="AZ421" i="17"/>
  <c r="BA421" i="17"/>
  <c r="BB421" i="17"/>
  <c r="BC421" i="17"/>
  <c r="BD421" i="17"/>
  <c r="BE421" i="17"/>
  <c r="BF421" i="17"/>
  <c r="BG421" i="17"/>
  <c r="BH421" i="17"/>
  <c r="BI421" i="17"/>
  <c r="BJ421" i="17"/>
  <c r="BK421" i="17"/>
  <c r="BL421" i="17"/>
  <c r="BM421" i="17"/>
  <c r="BN421" i="17"/>
  <c r="BO421" i="17"/>
  <c r="BP421" i="17"/>
  <c r="BQ421" i="17"/>
  <c r="BR421" i="17"/>
  <c r="BS421" i="17"/>
  <c r="BT421" i="17"/>
  <c r="BU421" i="17"/>
  <c r="BV421" i="17"/>
  <c r="BW421" i="17"/>
  <c r="BX421" i="17"/>
  <c r="BY421" i="17"/>
  <c r="BZ421" i="17"/>
  <c r="CA421" i="17"/>
  <c r="CB421" i="17"/>
  <c r="CC421" i="17"/>
  <c r="CD421" i="17"/>
  <c r="CE421" i="17"/>
  <c r="CF421" i="17"/>
  <c r="CG421" i="17"/>
  <c r="CH421" i="17"/>
  <c r="CI421" i="17"/>
  <c r="CJ421" i="17"/>
  <c r="CK421" i="17"/>
  <c r="CL421" i="17"/>
  <c r="CM421" i="17"/>
  <c r="CN421" i="17"/>
  <c r="CO421" i="17"/>
  <c r="CP421" i="17"/>
  <c r="CQ421" i="17"/>
  <c r="CR421" i="17"/>
  <c r="CS421" i="17"/>
  <c r="CT421" i="17"/>
  <c r="CU421" i="17"/>
  <c r="CV421" i="17"/>
  <c r="CW421" i="17"/>
  <c r="CX421" i="17"/>
  <c r="CY421" i="17"/>
  <c r="CZ421" i="17"/>
  <c r="DA421" i="17"/>
  <c r="DB421" i="17"/>
  <c r="DC421" i="17"/>
  <c r="DD421" i="17"/>
  <c r="DE421" i="17"/>
  <c r="DF421" i="17"/>
  <c r="DG421" i="17"/>
  <c r="DH421" i="17"/>
  <c r="DI421" i="17"/>
  <c r="DJ421" i="17"/>
  <c r="DK421" i="17"/>
  <c r="DL421" i="17"/>
  <c r="DM421" i="17"/>
  <c r="DN421" i="17"/>
  <c r="DO421" i="17"/>
  <c r="DP421" i="17"/>
  <c r="DQ421" i="17"/>
  <c r="DR421" i="17"/>
  <c r="DS421" i="17"/>
  <c r="DT421" i="17"/>
  <c r="DU421" i="17"/>
  <c r="DV421" i="17"/>
  <c r="DW421" i="17"/>
  <c r="DX421" i="17"/>
  <c r="DY421" i="17"/>
  <c r="DZ421" i="17"/>
  <c r="EA421" i="17"/>
  <c r="EB421" i="17"/>
  <c r="EC421" i="17"/>
  <c r="ED421" i="17"/>
  <c r="EE421" i="17"/>
  <c r="EF421" i="17"/>
  <c r="EG421" i="17"/>
  <c r="EH421" i="17"/>
  <c r="EI421" i="17"/>
  <c r="EJ421" i="17"/>
  <c r="EK421" i="17"/>
  <c r="EL421" i="17"/>
  <c r="EM421" i="17"/>
  <c r="EN421" i="17"/>
  <c r="EO421" i="17"/>
  <c r="EP421" i="17"/>
  <c r="EQ421" i="17"/>
  <c r="ER421" i="17"/>
  <c r="ES421" i="17"/>
  <c r="ET421" i="17"/>
  <c r="EU421" i="17"/>
  <c r="EV421" i="17"/>
  <c r="EW421" i="17"/>
  <c r="EX421" i="17"/>
  <c r="EY421" i="17"/>
  <c r="EZ421" i="17"/>
  <c r="FA421" i="17"/>
  <c r="FB421" i="17"/>
  <c r="FC421" i="17"/>
  <c r="FD421" i="17"/>
  <c r="FE421" i="17"/>
  <c r="FF421" i="17"/>
  <c r="FG421" i="17"/>
  <c r="FH421" i="17"/>
  <c r="FI421" i="17"/>
  <c r="FJ421" i="17"/>
  <c r="FK421" i="17"/>
  <c r="FL421" i="17"/>
  <c r="FM421" i="17"/>
  <c r="FN421" i="17"/>
  <c r="FO421" i="17"/>
  <c r="FP421" i="17"/>
  <c r="FQ421" i="17"/>
  <c r="FR421" i="17"/>
  <c r="FS421" i="17"/>
  <c r="FT421" i="17"/>
  <c r="FU421" i="17"/>
  <c r="FV421" i="17"/>
  <c r="FW421" i="17"/>
  <c r="FX421" i="17"/>
  <c r="FY421" i="17"/>
  <c r="FZ421" i="17"/>
  <c r="GA421" i="17"/>
  <c r="GB421" i="17"/>
  <c r="GC421" i="17"/>
  <c r="GD421" i="17"/>
  <c r="GE421" i="17"/>
  <c r="GF421" i="17"/>
  <c r="GG421" i="17"/>
  <c r="GH421" i="17"/>
  <c r="GI421" i="17"/>
  <c r="GJ421" i="17"/>
  <c r="GK421" i="17"/>
  <c r="GL421" i="17"/>
  <c r="GM421" i="17"/>
  <c r="GN421" i="17"/>
  <c r="GO421" i="17"/>
  <c r="GP421" i="17"/>
  <c r="GQ421" i="17"/>
  <c r="GR421" i="17"/>
  <c r="GS421" i="17"/>
  <c r="GT421" i="17"/>
  <c r="GU421" i="17"/>
  <c r="GV421" i="17"/>
  <c r="GW421" i="17"/>
  <c r="GX421" i="17"/>
  <c r="GY421" i="17"/>
  <c r="GZ421" i="17"/>
  <c r="HA421" i="17"/>
  <c r="HB421" i="17"/>
  <c r="HC421" i="17"/>
  <c r="HD421" i="17"/>
  <c r="HE421" i="17"/>
  <c r="HF421" i="17"/>
  <c r="HG421" i="17"/>
  <c r="HH421" i="17"/>
  <c r="HI421" i="17"/>
  <c r="HJ421" i="17"/>
  <c r="HK421" i="17"/>
  <c r="HL421" i="17"/>
  <c r="HM421" i="17"/>
  <c r="HN421" i="17"/>
  <c r="HO421" i="17"/>
  <c r="HP421" i="17"/>
  <c r="HQ421" i="17"/>
  <c r="HR421" i="17"/>
  <c r="HS421" i="17"/>
  <c r="HT421" i="17"/>
  <c r="HU421" i="17"/>
  <c r="HV421" i="17"/>
  <c r="HW421" i="17"/>
  <c r="HX421" i="17"/>
  <c r="HY421" i="17"/>
  <c r="HZ421" i="17"/>
  <c r="IA421" i="17"/>
  <c r="IB421" i="17"/>
  <c r="IC421" i="17"/>
  <c r="ID421" i="17"/>
  <c r="IE421" i="17"/>
  <c r="IF421" i="17"/>
  <c r="IG421" i="17"/>
  <c r="IH421" i="17"/>
  <c r="II421" i="17"/>
  <c r="IJ421" i="17"/>
  <c r="IK421" i="17"/>
  <c r="IL421" i="17"/>
  <c r="IM421" i="17"/>
  <c r="IN421" i="17"/>
  <c r="IO421" i="17"/>
  <c r="IP421" i="17"/>
  <c r="IQ421" i="17"/>
  <c r="IR421" i="17"/>
  <c r="IS421" i="17"/>
  <c r="IT421" i="17"/>
  <c r="IU421" i="17"/>
  <c r="IV421" i="17"/>
  <c r="A420" i="17"/>
  <c r="B420" i="17"/>
  <c r="C420" i="17"/>
  <c r="D420" i="17"/>
  <c r="E420" i="17"/>
  <c r="F420" i="17"/>
  <c r="G420" i="17"/>
  <c r="H420" i="17"/>
  <c r="I420" i="17"/>
  <c r="J420" i="17"/>
  <c r="K420" i="17"/>
  <c r="L420" i="17"/>
  <c r="M420" i="17"/>
  <c r="N420" i="17"/>
  <c r="O420" i="17"/>
  <c r="P420" i="17"/>
  <c r="Q420" i="17"/>
  <c r="R420" i="17"/>
  <c r="S420" i="17"/>
  <c r="T420" i="17"/>
  <c r="U420" i="17"/>
  <c r="V420" i="17"/>
  <c r="W420" i="17"/>
  <c r="X420" i="17"/>
  <c r="Y420" i="17"/>
  <c r="Z420" i="17"/>
  <c r="AA420" i="17"/>
  <c r="AB420" i="17"/>
  <c r="AC420" i="17"/>
  <c r="AD420" i="17"/>
  <c r="AE420" i="17"/>
  <c r="AF420" i="17"/>
  <c r="AG420" i="17"/>
  <c r="AH420" i="17"/>
  <c r="AI420" i="17"/>
  <c r="AJ420" i="17"/>
  <c r="AK420" i="17"/>
  <c r="AL420" i="17"/>
  <c r="AM420" i="17"/>
  <c r="AN420" i="17"/>
  <c r="AO420" i="17"/>
  <c r="AP420" i="17"/>
  <c r="AQ420" i="17"/>
  <c r="AR420" i="17"/>
  <c r="AS420" i="17"/>
  <c r="AT420" i="17"/>
  <c r="AU420" i="17"/>
  <c r="AV420" i="17"/>
  <c r="AW420" i="17"/>
  <c r="AX420" i="17"/>
  <c r="AY420" i="17"/>
  <c r="AZ420" i="17"/>
  <c r="BA420" i="17"/>
  <c r="BB420" i="17"/>
  <c r="BC420" i="17"/>
  <c r="BD420" i="17"/>
  <c r="BE420" i="17"/>
  <c r="BF420" i="17"/>
  <c r="BG420" i="17"/>
  <c r="BH420" i="17"/>
  <c r="BI420" i="17"/>
  <c r="BJ420" i="17"/>
  <c r="BK420" i="17"/>
  <c r="BL420" i="17"/>
  <c r="BM420" i="17"/>
  <c r="BN420" i="17"/>
  <c r="BO420" i="17"/>
  <c r="BP420" i="17"/>
  <c r="BQ420" i="17"/>
  <c r="BR420" i="17"/>
  <c r="BS420" i="17"/>
  <c r="BT420" i="17"/>
  <c r="BU420" i="17"/>
  <c r="BV420" i="17"/>
  <c r="BW420" i="17"/>
  <c r="BX420" i="17"/>
  <c r="BY420" i="17"/>
  <c r="BZ420" i="17"/>
  <c r="CA420" i="17"/>
  <c r="CB420" i="17"/>
  <c r="CC420" i="17"/>
  <c r="CD420" i="17"/>
  <c r="CE420" i="17"/>
  <c r="CF420" i="17"/>
  <c r="CG420" i="17"/>
  <c r="CH420" i="17"/>
  <c r="CI420" i="17"/>
  <c r="CJ420" i="17"/>
  <c r="CK420" i="17"/>
  <c r="CL420" i="17"/>
  <c r="CM420" i="17"/>
  <c r="CN420" i="17"/>
  <c r="CO420" i="17"/>
  <c r="CP420" i="17"/>
  <c r="CQ420" i="17"/>
  <c r="CR420" i="17"/>
  <c r="CS420" i="17"/>
  <c r="CT420" i="17"/>
  <c r="CU420" i="17"/>
  <c r="CV420" i="17"/>
  <c r="CW420" i="17"/>
  <c r="CX420" i="17"/>
  <c r="CY420" i="17"/>
  <c r="CZ420" i="17"/>
  <c r="DA420" i="17"/>
  <c r="DB420" i="17"/>
  <c r="DC420" i="17"/>
  <c r="DD420" i="17"/>
  <c r="DE420" i="17"/>
  <c r="DF420" i="17"/>
  <c r="DG420" i="17"/>
  <c r="DH420" i="17"/>
  <c r="DI420" i="17"/>
  <c r="DJ420" i="17"/>
  <c r="DK420" i="17"/>
  <c r="DL420" i="17"/>
  <c r="DM420" i="17"/>
  <c r="DN420" i="17"/>
  <c r="DO420" i="17"/>
  <c r="DP420" i="17"/>
  <c r="DQ420" i="17"/>
  <c r="DR420" i="17"/>
  <c r="DS420" i="17"/>
  <c r="DT420" i="17"/>
  <c r="DU420" i="17"/>
  <c r="DV420" i="17"/>
  <c r="DW420" i="17"/>
  <c r="DX420" i="17"/>
  <c r="DY420" i="17"/>
  <c r="DZ420" i="17"/>
  <c r="EA420" i="17"/>
  <c r="EB420" i="17"/>
  <c r="EC420" i="17"/>
  <c r="ED420" i="17"/>
  <c r="EE420" i="17"/>
  <c r="EF420" i="17"/>
  <c r="EG420" i="17"/>
  <c r="EH420" i="17"/>
  <c r="EI420" i="17"/>
  <c r="EJ420" i="17"/>
  <c r="EK420" i="17"/>
  <c r="EL420" i="17"/>
  <c r="EM420" i="17"/>
  <c r="EN420" i="17"/>
  <c r="EO420" i="17"/>
  <c r="EP420" i="17"/>
  <c r="EQ420" i="17"/>
  <c r="ER420" i="17"/>
  <c r="ES420" i="17"/>
  <c r="ET420" i="17"/>
  <c r="EU420" i="17"/>
  <c r="EV420" i="17"/>
  <c r="EW420" i="17"/>
  <c r="EX420" i="17"/>
  <c r="EY420" i="17"/>
  <c r="EZ420" i="17"/>
  <c r="FA420" i="17"/>
  <c r="FB420" i="17"/>
  <c r="FC420" i="17"/>
  <c r="FD420" i="17"/>
  <c r="FE420" i="17"/>
  <c r="FF420" i="17"/>
  <c r="FG420" i="17"/>
  <c r="FH420" i="17"/>
  <c r="FI420" i="17"/>
  <c r="FJ420" i="17"/>
  <c r="FK420" i="17"/>
  <c r="FL420" i="17"/>
  <c r="FM420" i="17"/>
  <c r="FN420" i="17"/>
  <c r="FO420" i="17"/>
  <c r="FP420" i="17"/>
  <c r="FQ420" i="17"/>
  <c r="FR420" i="17"/>
  <c r="FS420" i="17"/>
  <c r="FT420" i="17"/>
  <c r="FU420" i="17"/>
  <c r="FV420" i="17"/>
  <c r="FW420" i="17"/>
  <c r="FX420" i="17"/>
  <c r="FY420" i="17"/>
  <c r="FZ420" i="17"/>
  <c r="GA420" i="17"/>
  <c r="GB420" i="17"/>
  <c r="GC420" i="17"/>
  <c r="GD420" i="17"/>
  <c r="GE420" i="17"/>
  <c r="GF420" i="17"/>
  <c r="GG420" i="17"/>
  <c r="GH420" i="17"/>
  <c r="GI420" i="17"/>
  <c r="GJ420" i="17"/>
  <c r="GK420" i="17"/>
  <c r="GL420" i="17"/>
  <c r="GM420" i="17"/>
  <c r="GN420" i="17"/>
  <c r="GO420" i="17"/>
  <c r="GP420" i="17"/>
  <c r="GQ420" i="17"/>
  <c r="GR420" i="17"/>
  <c r="GS420" i="17"/>
  <c r="GT420" i="17"/>
  <c r="GU420" i="17"/>
  <c r="GV420" i="17"/>
  <c r="GW420" i="17"/>
  <c r="GX420" i="17"/>
  <c r="GY420" i="17"/>
  <c r="GZ420" i="17"/>
  <c r="HA420" i="17"/>
  <c r="HB420" i="17"/>
  <c r="HC420" i="17"/>
  <c r="HD420" i="17"/>
  <c r="HE420" i="17"/>
  <c r="HF420" i="17"/>
  <c r="HG420" i="17"/>
  <c r="HH420" i="17"/>
  <c r="HI420" i="17"/>
  <c r="HJ420" i="17"/>
  <c r="HK420" i="17"/>
  <c r="HL420" i="17"/>
  <c r="HM420" i="17"/>
  <c r="HN420" i="17"/>
  <c r="HO420" i="17"/>
  <c r="HP420" i="17"/>
  <c r="HQ420" i="17"/>
  <c r="HR420" i="17"/>
  <c r="HS420" i="17"/>
  <c r="HT420" i="17"/>
  <c r="HU420" i="17"/>
  <c r="HV420" i="17"/>
  <c r="HW420" i="17"/>
  <c r="HX420" i="17"/>
  <c r="HY420" i="17"/>
  <c r="HZ420" i="17"/>
  <c r="IA420" i="17"/>
  <c r="IB420" i="17"/>
  <c r="IC420" i="17"/>
  <c r="ID420" i="17"/>
  <c r="IE420" i="17"/>
  <c r="IF420" i="17"/>
  <c r="IG420" i="17"/>
  <c r="IH420" i="17"/>
  <c r="II420" i="17"/>
  <c r="IJ420" i="17"/>
  <c r="IK420" i="17"/>
  <c r="IL420" i="17"/>
  <c r="IM420" i="17"/>
  <c r="IN420" i="17"/>
  <c r="IO420" i="17"/>
  <c r="IP420" i="17"/>
  <c r="IQ420" i="17"/>
  <c r="IR420" i="17"/>
  <c r="IS420" i="17"/>
  <c r="IT420" i="17"/>
  <c r="IU420" i="17"/>
  <c r="IV420" i="17"/>
  <c r="A419" i="17"/>
  <c r="B419" i="17"/>
  <c r="C419" i="17"/>
  <c r="D419" i="17"/>
  <c r="E419" i="17"/>
  <c r="F419" i="17"/>
  <c r="G419" i="17"/>
  <c r="H419" i="17"/>
  <c r="I419" i="17"/>
  <c r="J419" i="17"/>
  <c r="K419" i="17"/>
  <c r="L419" i="17"/>
  <c r="M419" i="17"/>
  <c r="N419" i="17"/>
  <c r="O419" i="17"/>
  <c r="P419" i="17"/>
  <c r="Q419" i="17"/>
  <c r="R419" i="17"/>
  <c r="S419" i="17"/>
  <c r="T419" i="17"/>
  <c r="U419" i="17"/>
  <c r="V419" i="17"/>
  <c r="W419" i="17"/>
  <c r="X419" i="17"/>
  <c r="Y419" i="17"/>
  <c r="Z419" i="17"/>
  <c r="AA419" i="17"/>
  <c r="AB419" i="17"/>
  <c r="AC419" i="17"/>
  <c r="AD419" i="17"/>
  <c r="AE419" i="17"/>
  <c r="AF419" i="17"/>
  <c r="AG419" i="17"/>
  <c r="AH419" i="17"/>
  <c r="AI419" i="17"/>
  <c r="AJ419" i="17"/>
  <c r="AK419" i="17"/>
  <c r="AL419" i="17"/>
  <c r="AM419" i="17"/>
  <c r="AN419" i="17"/>
  <c r="AO419" i="17"/>
  <c r="AP419" i="17"/>
  <c r="AQ419" i="17"/>
  <c r="AR419" i="17"/>
  <c r="AS419" i="17"/>
  <c r="AT419" i="17"/>
  <c r="AU419" i="17"/>
  <c r="AV419" i="17"/>
  <c r="AW419" i="17"/>
  <c r="AX419" i="17"/>
  <c r="AY419" i="17"/>
  <c r="AZ419" i="17"/>
  <c r="BA419" i="17"/>
  <c r="BB419" i="17"/>
  <c r="BC419" i="17"/>
  <c r="BD419" i="17"/>
  <c r="BE419" i="17"/>
  <c r="BF419" i="17"/>
  <c r="BG419" i="17"/>
  <c r="BH419" i="17"/>
  <c r="BI419" i="17"/>
  <c r="BJ419" i="17"/>
  <c r="BK419" i="17"/>
  <c r="BL419" i="17"/>
  <c r="BM419" i="17"/>
  <c r="BN419" i="17"/>
  <c r="BO419" i="17"/>
  <c r="BP419" i="17"/>
  <c r="BQ419" i="17"/>
  <c r="BR419" i="17"/>
  <c r="BS419" i="17"/>
  <c r="BT419" i="17"/>
  <c r="BU419" i="17"/>
  <c r="BV419" i="17"/>
  <c r="BW419" i="17"/>
  <c r="BX419" i="17"/>
  <c r="BY419" i="17"/>
  <c r="BZ419" i="17"/>
  <c r="CA419" i="17"/>
  <c r="CB419" i="17"/>
  <c r="CC419" i="17"/>
  <c r="CD419" i="17"/>
  <c r="CE419" i="17"/>
  <c r="CF419" i="17"/>
  <c r="CG419" i="17"/>
  <c r="CH419" i="17"/>
  <c r="CI419" i="17"/>
  <c r="CJ419" i="17"/>
  <c r="CK419" i="17"/>
  <c r="CL419" i="17"/>
  <c r="CM419" i="17"/>
  <c r="CN419" i="17"/>
  <c r="CO419" i="17"/>
  <c r="CP419" i="17"/>
  <c r="CQ419" i="17"/>
  <c r="CR419" i="17"/>
  <c r="CS419" i="17"/>
  <c r="CT419" i="17"/>
  <c r="CU419" i="17"/>
  <c r="CV419" i="17"/>
  <c r="CW419" i="17"/>
  <c r="CX419" i="17"/>
  <c r="CY419" i="17"/>
  <c r="CZ419" i="17"/>
  <c r="DA419" i="17"/>
  <c r="DB419" i="17"/>
  <c r="DC419" i="17"/>
  <c r="DD419" i="17"/>
  <c r="DE419" i="17"/>
  <c r="DF419" i="17"/>
  <c r="DG419" i="17"/>
  <c r="DH419" i="17"/>
  <c r="DI419" i="17"/>
  <c r="DJ419" i="17"/>
  <c r="DK419" i="17"/>
  <c r="DL419" i="17"/>
  <c r="DM419" i="17"/>
  <c r="DN419" i="17"/>
  <c r="DO419" i="17"/>
  <c r="DP419" i="17"/>
  <c r="DQ419" i="17"/>
  <c r="DR419" i="17"/>
  <c r="DS419" i="17"/>
  <c r="DT419" i="17"/>
  <c r="DU419" i="17"/>
  <c r="DV419" i="17"/>
  <c r="DW419" i="17"/>
  <c r="DX419" i="17"/>
  <c r="DY419" i="17"/>
  <c r="DZ419" i="17"/>
  <c r="EA419" i="17"/>
  <c r="EB419" i="17"/>
  <c r="EC419" i="17"/>
  <c r="ED419" i="17"/>
  <c r="EE419" i="17"/>
  <c r="EF419" i="17"/>
  <c r="EG419" i="17"/>
  <c r="EH419" i="17"/>
  <c r="EI419" i="17"/>
  <c r="EJ419" i="17"/>
  <c r="EK419" i="17"/>
  <c r="EL419" i="17"/>
  <c r="EM419" i="17"/>
  <c r="EN419" i="17"/>
  <c r="EO419" i="17"/>
  <c r="EP419" i="17"/>
  <c r="EQ419" i="17"/>
  <c r="ER419" i="17"/>
  <c r="ES419" i="17"/>
  <c r="ET419" i="17"/>
  <c r="EU419" i="17"/>
  <c r="EV419" i="17"/>
  <c r="EW419" i="17"/>
  <c r="EX419" i="17"/>
  <c r="EY419" i="17"/>
  <c r="EZ419" i="17"/>
  <c r="FA419" i="17"/>
  <c r="FB419" i="17"/>
  <c r="FC419" i="17"/>
  <c r="FD419" i="17"/>
  <c r="FE419" i="17"/>
  <c r="FF419" i="17"/>
  <c r="FG419" i="17"/>
  <c r="FH419" i="17"/>
  <c r="FI419" i="17"/>
  <c r="FJ419" i="17"/>
  <c r="FK419" i="17"/>
  <c r="FL419" i="17"/>
  <c r="FM419" i="17"/>
  <c r="FN419" i="17"/>
  <c r="FO419" i="17"/>
  <c r="FP419" i="17"/>
  <c r="FQ419" i="17"/>
  <c r="FR419" i="17"/>
  <c r="FS419" i="17"/>
  <c r="FT419" i="17"/>
  <c r="FU419" i="17"/>
  <c r="FV419" i="17"/>
  <c r="FW419" i="17"/>
  <c r="FX419" i="17"/>
  <c r="FY419" i="17"/>
  <c r="FZ419" i="17"/>
  <c r="GA419" i="17"/>
  <c r="GB419" i="17"/>
  <c r="GC419" i="17"/>
  <c r="GD419" i="17"/>
  <c r="GE419" i="17"/>
  <c r="GF419" i="17"/>
  <c r="GG419" i="17"/>
  <c r="GH419" i="17"/>
  <c r="GI419" i="17"/>
  <c r="GJ419" i="17"/>
  <c r="GK419" i="17"/>
  <c r="GL419" i="17"/>
  <c r="GM419" i="17"/>
  <c r="GN419" i="17"/>
  <c r="GO419" i="17"/>
  <c r="GP419" i="17"/>
  <c r="GQ419" i="17"/>
  <c r="GR419" i="17"/>
  <c r="GS419" i="17"/>
  <c r="GT419" i="17"/>
  <c r="GU419" i="17"/>
  <c r="GV419" i="17"/>
  <c r="GW419" i="17"/>
  <c r="GX419" i="17"/>
  <c r="GY419" i="17"/>
  <c r="GZ419" i="17"/>
  <c r="HA419" i="17"/>
  <c r="HB419" i="17"/>
  <c r="HC419" i="17"/>
  <c r="HD419" i="17"/>
  <c r="HE419" i="17"/>
  <c r="HF419" i="17"/>
  <c r="HG419" i="17"/>
  <c r="HH419" i="17"/>
  <c r="HI419" i="17"/>
  <c r="HJ419" i="17"/>
  <c r="HK419" i="17"/>
  <c r="HL419" i="17"/>
  <c r="HM419" i="17"/>
  <c r="HN419" i="17"/>
  <c r="HO419" i="17"/>
  <c r="HP419" i="17"/>
  <c r="HQ419" i="17"/>
  <c r="HR419" i="17"/>
  <c r="HS419" i="17"/>
  <c r="HT419" i="17"/>
  <c r="HU419" i="17"/>
  <c r="HV419" i="17"/>
  <c r="HW419" i="17"/>
  <c r="HX419" i="17"/>
  <c r="HY419" i="17"/>
  <c r="HZ419" i="17"/>
  <c r="IA419" i="17"/>
  <c r="IB419" i="17"/>
  <c r="IC419" i="17"/>
  <c r="ID419" i="17"/>
  <c r="IE419" i="17"/>
  <c r="IF419" i="17"/>
  <c r="IG419" i="17"/>
  <c r="IH419" i="17"/>
  <c r="II419" i="17"/>
  <c r="IJ419" i="17"/>
  <c r="IK419" i="17"/>
  <c r="IL419" i="17"/>
  <c r="IM419" i="17"/>
  <c r="IN419" i="17"/>
  <c r="IO419" i="17"/>
  <c r="IP419" i="17"/>
  <c r="IQ419" i="17"/>
  <c r="IR419" i="17"/>
  <c r="IS419" i="17"/>
  <c r="IT419" i="17"/>
  <c r="IU419" i="17"/>
  <c r="IV419" i="17"/>
  <c r="A418" i="17"/>
  <c r="B418" i="17"/>
  <c r="C418" i="17"/>
  <c r="D418" i="17"/>
  <c r="E418" i="17"/>
  <c r="F418" i="17"/>
  <c r="G418" i="17"/>
  <c r="H418" i="17"/>
  <c r="I418" i="17"/>
  <c r="J418" i="17"/>
  <c r="K418" i="17"/>
  <c r="L418" i="17"/>
  <c r="M418" i="17"/>
  <c r="N418" i="17"/>
  <c r="O418" i="17"/>
  <c r="P418" i="17"/>
  <c r="Q418" i="17"/>
  <c r="R418" i="17"/>
  <c r="S418" i="17"/>
  <c r="T418" i="17"/>
  <c r="U418" i="17"/>
  <c r="V418" i="17"/>
  <c r="W418" i="17"/>
  <c r="X418" i="17"/>
  <c r="Y418" i="17"/>
  <c r="Z418" i="17"/>
  <c r="AA418" i="17"/>
  <c r="AB418" i="17"/>
  <c r="AC418" i="17"/>
  <c r="AD418" i="17"/>
  <c r="AE418" i="17"/>
  <c r="AF418" i="17"/>
  <c r="AG418" i="17"/>
  <c r="AH418" i="17"/>
  <c r="AI418" i="17"/>
  <c r="AJ418" i="17"/>
  <c r="AK418" i="17"/>
  <c r="AL418" i="17"/>
  <c r="AM418" i="17"/>
  <c r="AN418" i="17"/>
  <c r="AO418" i="17"/>
  <c r="AP418" i="17"/>
  <c r="AQ418" i="17"/>
  <c r="AR418" i="17"/>
  <c r="AS418" i="17"/>
  <c r="AT418" i="17"/>
  <c r="AU418" i="17"/>
  <c r="AV418" i="17"/>
  <c r="AW418" i="17"/>
  <c r="AX418" i="17"/>
  <c r="AY418" i="17"/>
  <c r="AZ418" i="17"/>
  <c r="BA418" i="17"/>
  <c r="BB418" i="17"/>
  <c r="BC418" i="17"/>
  <c r="BD418" i="17"/>
  <c r="BE418" i="17"/>
  <c r="BF418" i="17"/>
  <c r="BG418" i="17"/>
  <c r="BH418" i="17"/>
  <c r="BI418" i="17"/>
  <c r="BJ418" i="17"/>
  <c r="BK418" i="17"/>
  <c r="BL418" i="17"/>
  <c r="BM418" i="17"/>
  <c r="BN418" i="17"/>
  <c r="BO418" i="17"/>
  <c r="BP418" i="17"/>
  <c r="BQ418" i="17"/>
  <c r="BR418" i="17"/>
  <c r="BS418" i="17"/>
  <c r="BT418" i="17"/>
  <c r="BU418" i="17"/>
  <c r="BV418" i="17"/>
  <c r="BW418" i="17"/>
  <c r="BX418" i="17"/>
  <c r="BY418" i="17"/>
  <c r="BZ418" i="17"/>
  <c r="CA418" i="17"/>
  <c r="CB418" i="17"/>
  <c r="CC418" i="17"/>
  <c r="CD418" i="17"/>
  <c r="CE418" i="17"/>
  <c r="CF418" i="17"/>
  <c r="CG418" i="17"/>
  <c r="CH418" i="17"/>
  <c r="CI418" i="17"/>
  <c r="CJ418" i="17"/>
  <c r="CK418" i="17"/>
  <c r="CL418" i="17"/>
  <c r="CM418" i="17"/>
  <c r="CN418" i="17"/>
  <c r="CO418" i="17"/>
  <c r="CP418" i="17"/>
  <c r="CQ418" i="17"/>
  <c r="CR418" i="17"/>
  <c r="CS418" i="17"/>
  <c r="CT418" i="17"/>
  <c r="CU418" i="17"/>
  <c r="CV418" i="17"/>
  <c r="CW418" i="17"/>
  <c r="CX418" i="17"/>
  <c r="CY418" i="17"/>
  <c r="CZ418" i="17"/>
  <c r="DA418" i="17"/>
  <c r="DB418" i="17"/>
  <c r="DC418" i="17"/>
  <c r="DD418" i="17"/>
  <c r="DE418" i="17"/>
  <c r="DF418" i="17"/>
  <c r="DG418" i="17"/>
  <c r="DH418" i="17"/>
  <c r="DI418" i="17"/>
  <c r="DJ418" i="17"/>
  <c r="DK418" i="17"/>
  <c r="DL418" i="17"/>
  <c r="DM418" i="17"/>
  <c r="DN418" i="17"/>
  <c r="DO418" i="17"/>
  <c r="DP418" i="17"/>
  <c r="DQ418" i="17"/>
  <c r="DR418" i="17"/>
  <c r="DS418" i="17"/>
  <c r="DT418" i="17"/>
  <c r="DU418" i="17"/>
  <c r="DV418" i="17"/>
  <c r="DW418" i="17"/>
  <c r="DX418" i="17"/>
  <c r="DY418" i="17"/>
  <c r="DZ418" i="17"/>
  <c r="EA418" i="17"/>
  <c r="EB418" i="17"/>
  <c r="EC418" i="17"/>
  <c r="ED418" i="17"/>
  <c r="EE418" i="17"/>
  <c r="EF418" i="17"/>
  <c r="EG418" i="17"/>
  <c r="EH418" i="17"/>
  <c r="EI418" i="17"/>
  <c r="EJ418" i="17"/>
  <c r="EK418" i="17"/>
  <c r="EL418" i="17"/>
  <c r="EM418" i="17"/>
  <c r="EN418" i="17"/>
  <c r="EO418" i="17"/>
  <c r="EP418" i="17"/>
  <c r="EQ418" i="17"/>
  <c r="ER418" i="17"/>
  <c r="ES418" i="17"/>
  <c r="ET418" i="17"/>
  <c r="EU418" i="17"/>
  <c r="EV418" i="17"/>
  <c r="EW418" i="17"/>
  <c r="EX418" i="17"/>
  <c r="EY418" i="17"/>
  <c r="EZ418" i="17"/>
  <c r="FA418" i="17"/>
  <c r="FB418" i="17"/>
  <c r="FC418" i="17"/>
  <c r="FD418" i="17"/>
  <c r="FE418" i="17"/>
  <c r="FF418" i="17"/>
  <c r="FG418" i="17"/>
  <c r="FH418" i="17"/>
  <c r="FI418" i="17"/>
  <c r="FJ418" i="17"/>
  <c r="FK418" i="17"/>
  <c r="FL418" i="17"/>
  <c r="FM418" i="17"/>
  <c r="FN418" i="17"/>
  <c r="FO418" i="17"/>
  <c r="FP418" i="17"/>
  <c r="FQ418" i="17"/>
  <c r="FR418" i="17"/>
  <c r="FS418" i="17"/>
  <c r="FT418" i="17"/>
  <c r="FU418" i="17"/>
  <c r="FV418" i="17"/>
  <c r="FW418" i="17"/>
  <c r="FX418" i="17"/>
  <c r="FY418" i="17"/>
  <c r="FZ418" i="17"/>
  <c r="GA418" i="17"/>
  <c r="GB418" i="17"/>
  <c r="GC418" i="17"/>
  <c r="GD418" i="17"/>
  <c r="GE418" i="17"/>
  <c r="GF418" i="17"/>
  <c r="GG418" i="17"/>
  <c r="GH418" i="17"/>
  <c r="GI418" i="17"/>
  <c r="GJ418" i="17"/>
  <c r="GK418" i="17"/>
  <c r="GL418" i="17"/>
  <c r="GM418" i="17"/>
  <c r="GN418" i="17"/>
  <c r="GO418" i="17"/>
  <c r="GP418" i="17"/>
  <c r="GQ418" i="17"/>
  <c r="GR418" i="17"/>
  <c r="GS418" i="17"/>
  <c r="GT418" i="17"/>
  <c r="GU418" i="17"/>
  <c r="GV418" i="17"/>
  <c r="GW418" i="17"/>
  <c r="GX418" i="17"/>
  <c r="GY418" i="17"/>
  <c r="GZ418" i="17"/>
  <c r="HA418" i="17"/>
  <c r="HB418" i="17"/>
  <c r="HC418" i="17"/>
  <c r="HD418" i="17"/>
  <c r="HE418" i="17"/>
  <c r="HF418" i="17"/>
  <c r="HG418" i="17"/>
  <c r="HH418" i="17"/>
  <c r="HI418" i="17"/>
  <c r="HJ418" i="17"/>
  <c r="HK418" i="17"/>
  <c r="HL418" i="17"/>
  <c r="HM418" i="17"/>
  <c r="HN418" i="17"/>
  <c r="HO418" i="17"/>
  <c r="HP418" i="17"/>
  <c r="HQ418" i="17"/>
  <c r="HR418" i="17"/>
  <c r="HS418" i="17"/>
  <c r="HT418" i="17"/>
  <c r="HU418" i="17"/>
  <c r="HV418" i="17"/>
  <c r="HW418" i="17"/>
  <c r="HX418" i="17"/>
  <c r="HY418" i="17"/>
  <c r="HZ418" i="17"/>
  <c r="IA418" i="17"/>
  <c r="IB418" i="17"/>
  <c r="IC418" i="17"/>
  <c r="ID418" i="17"/>
  <c r="IE418" i="17"/>
  <c r="IF418" i="17"/>
  <c r="IG418" i="17"/>
  <c r="IH418" i="17"/>
  <c r="II418" i="17"/>
  <c r="IJ418" i="17"/>
  <c r="IK418" i="17"/>
  <c r="IL418" i="17"/>
  <c r="IM418" i="17"/>
  <c r="IN418" i="17"/>
  <c r="IO418" i="17"/>
  <c r="IP418" i="17"/>
  <c r="IQ418" i="17"/>
  <c r="IR418" i="17"/>
  <c r="IS418" i="17"/>
  <c r="IT418" i="17"/>
  <c r="IU418" i="17"/>
  <c r="IV418" i="17"/>
  <c r="A417" i="17"/>
  <c r="B417" i="17"/>
  <c r="C417" i="17"/>
  <c r="D417" i="17"/>
  <c r="E417" i="17"/>
  <c r="F417" i="17"/>
  <c r="G417" i="17"/>
  <c r="H417" i="17"/>
  <c r="I417" i="17"/>
  <c r="J417" i="17"/>
  <c r="K417" i="17"/>
  <c r="L417" i="17"/>
  <c r="M417" i="17"/>
  <c r="N417" i="17"/>
  <c r="O417" i="17"/>
  <c r="P417" i="17"/>
  <c r="Q417" i="17"/>
  <c r="R417" i="17"/>
  <c r="S417" i="17"/>
  <c r="T417" i="17"/>
  <c r="U417" i="17"/>
  <c r="V417" i="17"/>
  <c r="W417" i="17"/>
  <c r="Y417" i="17"/>
  <c r="Z417" i="17"/>
  <c r="AA417" i="17"/>
  <c r="AB417" i="17"/>
  <c r="AC417" i="17"/>
  <c r="AD417" i="17"/>
  <c r="AE417" i="17"/>
  <c r="AF417" i="17"/>
  <c r="AG417" i="17"/>
  <c r="AH417" i="17"/>
  <c r="AI417" i="17"/>
  <c r="AJ417" i="17"/>
  <c r="AK417" i="17"/>
  <c r="AL417" i="17"/>
  <c r="AM417" i="17"/>
  <c r="AN417" i="17"/>
  <c r="AO417" i="17"/>
  <c r="AP417" i="17"/>
  <c r="AQ417" i="17"/>
  <c r="AR417" i="17"/>
  <c r="AS417" i="17"/>
  <c r="AT417" i="17"/>
  <c r="AU417" i="17"/>
  <c r="AV417" i="17"/>
  <c r="AW417" i="17"/>
  <c r="AX417" i="17"/>
  <c r="AY417" i="17"/>
  <c r="AZ417" i="17"/>
  <c r="BA417" i="17"/>
  <c r="BB417" i="17"/>
  <c r="BC417" i="17"/>
  <c r="BD417" i="17"/>
  <c r="BE417" i="17"/>
  <c r="BF417" i="17"/>
  <c r="BG417" i="17"/>
  <c r="BH417" i="17"/>
  <c r="BI417" i="17"/>
  <c r="BJ417" i="17"/>
  <c r="BK417" i="17"/>
  <c r="BL417" i="17"/>
  <c r="BM417" i="17"/>
  <c r="BN417" i="17"/>
  <c r="BO417" i="17"/>
  <c r="BP417" i="17"/>
  <c r="BQ417" i="17"/>
  <c r="BR417" i="17"/>
  <c r="BS417" i="17"/>
  <c r="BT417" i="17"/>
  <c r="BU417" i="17"/>
  <c r="BV417" i="17"/>
  <c r="BW417" i="17"/>
  <c r="BX417" i="17"/>
  <c r="BY417" i="17"/>
  <c r="BZ417" i="17"/>
  <c r="CA417" i="17"/>
  <c r="CB417" i="17"/>
  <c r="CC417" i="17"/>
  <c r="CD417" i="17"/>
  <c r="CE417" i="17"/>
  <c r="CF417" i="17"/>
  <c r="CG417" i="17"/>
  <c r="CH417" i="17"/>
  <c r="CI417" i="17"/>
  <c r="CJ417" i="17"/>
  <c r="CK417" i="17"/>
  <c r="CL417" i="17"/>
  <c r="CM417" i="17"/>
  <c r="CN417" i="17"/>
  <c r="CO417" i="17"/>
  <c r="CP417" i="17"/>
  <c r="CQ417" i="17"/>
  <c r="CR417" i="17"/>
  <c r="CS417" i="17"/>
  <c r="CT417" i="17"/>
  <c r="CU417" i="17"/>
  <c r="CV417" i="17"/>
  <c r="CW417" i="17"/>
  <c r="CX417" i="17"/>
  <c r="CY417" i="17"/>
  <c r="CZ417" i="17"/>
  <c r="DA417" i="17"/>
  <c r="DB417" i="17"/>
  <c r="DC417" i="17"/>
  <c r="DD417" i="17"/>
  <c r="DE417" i="17"/>
  <c r="DF417" i="17"/>
  <c r="DG417" i="17"/>
  <c r="DH417" i="17"/>
  <c r="DI417" i="17"/>
  <c r="DJ417" i="17"/>
  <c r="DK417" i="17"/>
  <c r="DL417" i="17"/>
  <c r="DM417" i="17"/>
  <c r="DN417" i="17"/>
  <c r="DO417" i="17"/>
  <c r="DP417" i="17"/>
  <c r="DQ417" i="17"/>
  <c r="DR417" i="17"/>
  <c r="DS417" i="17"/>
  <c r="DT417" i="17"/>
  <c r="DU417" i="17"/>
  <c r="DV417" i="17"/>
  <c r="DW417" i="17"/>
  <c r="DX417" i="17"/>
  <c r="DY417" i="17"/>
  <c r="DZ417" i="17"/>
  <c r="EA417" i="17"/>
  <c r="EB417" i="17"/>
  <c r="EC417" i="17"/>
  <c r="ED417" i="17"/>
  <c r="EE417" i="17"/>
  <c r="EF417" i="17"/>
  <c r="EG417" i="17"/>
  <c r="EH417" i="17"/>
  <c r="EI417" i="17"/>
  <c r="EJ417" i="17"/>
  <c r="EK417" i="17"/>
  <c r="EL417" i="17"/>
  <c r="EM417" i="17"/>
  <c r="EN417" i="17"/>
  <c r="EO417" i="17"/>
  <c r="EP417" i="17"/>
  <c r="EQ417" i="17"/>
  <c r="ER417" i="17"/>
  <c r="ES417" i="17"/>
  <c r="ET417" i="17"/>
  <c r="EU417" i="17"/>
  <c r="EV417" i="17"/>
  <c r="EW417" i="17"/>
  <c r="EX417" i="17"/>
  <c r="EY417" i="17"/>
  <c r="EZ417" i="17"/>
  <c r="FA417" i="17"/>
  <c r="FB417" i="17"/>
  <c r="FC417" i="17"/>
  <c r="FD417" i="17"/>
  <c r="FE417" i="17"/>
  <c r="FF417" i="17"/>
  <c r="FG417" i="17"/>
  <c r="FH417" i="17"/>
  <c r="FI417" i="17"/>
  <c r="FJ417" i="17"/>
  <c r="FK417" i="17"/>
  <c r="FL417" i="17"/>
  <c r="FM417" i="17"/>
  <c r="FN417" i="17"/>
  <c r="FO417" i="17"/>
  <c r="FP417" i="17"/>
  <c r="FQ417" i="17"/>
  <c r="FR417" i="17"/>
  <c r="FS417" i="17"/>
  <c r="FT417" i="17"/>
  <c r="FU417" i="17"/>
  <c r="FV417" i="17"/>
  <c r="FW417" i="17"/>
  <c r="FX417" i="17"/>
  <c r="FY417" i="17"/>
  <c r="FZ417" i="17"/>
  <c r="GA417" i="17"/>
  <c r="GB417" i="17"/>
  <c r="GC417" i="17"/>
  <c r="GD417" i="17"/>
  <c r="GE417" i="17"/>
  <c r="GF417" i="17"/>
  <c r="GG417" i="17"/>
  <c r="GH417" i="17"/>
  <c r="GI417" i="17"/>
  <c r="GJ417" i="17"/>
  <c r="GK417" i="17"/>
  <c r="GL417" i="17"/>
  <c r="GM417" i="17"/>
  <c r="GN417" i="17"/>
  <c r="GO417" i="17"/>
  <c r="GP417" i="17"/>
  <c r="GQ417" i="17"/>
  <c r="GR417" i="17"/>
  <c r="GS417" i="17"/>
  <c r="GT417" i="17"/>
  <c r="GU417" i="17"/>
  <c r="GV417" i="17"/>
  <c r="GW417" i="17"/>
  <c r="GX417" i="17"/>
  <c r="GY417" i="17"/>
  <c r="GZ417" i="17"/>
  <c r="HA417" i="17"/>
  <c r="HB417" i="17"/>
  <c r="HC417" i="17"/>
  <c r="HD417" i="17"/>
  <c r="HE417" i="17"/>
  <c r="HF417" i="17"/>
  <c r="HG417" i="17"/>
  <c r="HH417" i="17"/>
  <c r="HI417" i="17"/>
  <c r="HJ417" i="17"/>
  <c r="HK417" i="17"/>
  <c r="HL417" i="17"/>
  <c r="HM417" i="17"/>
  <c r="HN417" i="17"/>
  <c r="HO417" i="17"/>
  <c r="HP417" i="17"/>
  <c r="HQ417" i="17"/>
  <c r="HR417" i="17"/>
  <c r="HS417" i="17"/>
  <c r="HT417" i="17"/>
  <c r="HU417" i="17"/>
  <c r="HV417" i="17"/>
  <c r="HW417" i="17"/>
  <c r="HX417" i="17"/>
  <c r="HY417" i="17"/>
  <c r="HZ417" i="17"/>
  <c r="IA417" i="17"/>
  <c r="IB417" i="17"/>
  <c r="IC417" i="17"/>
  <c r="ID417" i="17"/>
  <c r="IE417" i="17"/>
  <c r="IF417" i="17"/>
  <c r="IG417" i="17"/>
  <c r="IH417" i="17"/>
  <c r="II417" i="17"/>
  <c r="IJ417" i="17"/>
  <c r="IK417" i="17"/>
  <c r="IL417" i="17"/>
  <c r="IM417" i="17"/>
  <c r="IN417" i="17"/>
  <c r="IO417" i="17"/>
  <c r="IP417" i="17"/>
  <c r="IQ417" i="17"/>
  <c r="IR417" i="17"/>
  <c r="IS417" i="17"/>
  <c r="IT417" i="17"/>
  <c r="IU417" i="17"/>
  <c r="IV417" i="17"/>
  <c r="A416" i="17"/>
  <c r="B416" i="17"/>
  <c r="C416" i="17"/>
  <c r="D416" i="17"/>
  <c r="E416" i="17"/>
  <c r="F416" i="17"/>
  <c r="G416" i="17"/>
  <c r="H416" i="17"/>
  <c r="I416" i="17"/>
  <c r="J416" i="17"/>
  <c r="K416" i="17"/>
  <c r="L416" i="17"/>
  <c r="M416" i="17"/>
  <c r="N416" i="17"/>
  <c r="O416" i="17"/>
  <c r="P416" i="17"/>
  <c r="Q416" i="17"/>
  <c r="R416" i="17"/>
  <c r="S416" i="17"/>
  <c r="T416" i="17"/>
  <c r="U416" i="17"/>
  <c r="V416" i="17"/>
  <c r="W416" i="17"/>
  <c r="X416" i="17"/>
  <c r="Y416" i="17"/>
  <c r="Z416" i="17"/>
  <c r="AA416" i="17"/>
  <c r="AB416" i="17"/>
  <c r="AC416" i="17"/>
  <c r="AD416" i="17"/>
  <c r="AE416" i="17"/>
  <c r="AF416" i="17"/>
  <c r="AG416" i="17"/>
  <c r="AH416" i="17"/>
  <c r="AI416" i="17"/>
  <c r="AJ416" i="17"/>
  <c r="AK416" i="17"/>
  <c r="AL416" i="17"/>
  <c r="AM416" i="17"/>
  <c r="AN416" i="17"/>
  <c r="AO416" i="17"/>
  <c r="AP416" i="17"/>
  <c r="AQ416" i="17"/>
  <c r="AR416" i="17"/>
  <c r="AS416" i="17"/>
  <c r="AT416" i="17"/>
  <c r="AU416" i="17"/>
  <c r="AV416" i="17"/>
  <c r="AW416" i="17"/>
  <c r="AX416" i="17"/>
  <c r="AY416" i="17"/>
  <c r="AZ416" i="17"/>
  <c r="BA416" i="17"/>
  <c r="BB416" i="17"/>
  <c r="BC416" i="17"/>
  <c r="BD416" i="17"/>
  <c r="BE416" i="17"/>
  <c r="BF416" i="17"/>
  <c r="BG416" i="17"/>
  <c r="BH416" i="17"/>
  <c r="BI416" i="17"/>
  <c r="BJ416" i="17"/>
  <c r="BK416" i="17"/>
  <c r="BL416" i="17"/>
  <c r="BM416" i="17"/>
  <c r="BN416" i="17"/>
  <c r="BO416" i="17"/>
  <c r="BP416" i="17"/>
  <c r="BQ416" i="17"/>
  <c r="BR416" i="17"/>
  <c r="BS416" i="17"/>
  <c r="BT416" i="17"/>
  <c r="BU416" i="17"/>
  <c r="BV416" i="17"/>
  <c r="BW416" i="17"/>
  <c r="BX416" i="17"/>
  <c r="BY416" i="17"/>
  <c r="BZ416" i="17"/>
  <c r="CA416" i="17"/>
  <c r="CB416" i="17"/>
  <c r="CC416" i="17"/>
  <c r="CD416" i="17"/>
  <c r="CE416" i="17"/>
  <c r="CF416" i="17"/>
  <c r="CG416" i="17"/>
  <c r="CH416" i="17"/>
  <c r="CI416" i="17"/>
  <c r="CJ416" i="17"/>
  <c r="CK416" i="17"/>
  <c r="CL416" i="17"/>
  <c r="CM416" i="17"/>
  <c r="CN416" i="17"/>
  <c r="CO416" i="17"/>
  <c r="CP416" i="17"/>
  <c r="CQ416" i="17"/>
  <c r="CR416" i="17"/>
  <c r="CS416" i="17"/>
  <c r="CT416" i="17"/>
  <c r="CU416" i="17"/>
  <c r="CV416" i="17"/>
  <c r="CW416" i="17"/>
  <c r="CX416" i="17"/>
  <c r="CY416" i="17"/>
  <c r="CZ416" i="17"/>
  <c r="DA416" i="17"/>
  <c r="DB416" i="17"/>
  <c r="DC416" i="17"/>
  <c r="DD416" i="17"/>
  <c r="DE416" i="17"/>
  <c r="DF416" i="17"/>
  <c r="DG416" i="17"/>
  <c r="DH416" i="17"/>
  <c r="DI416" i="17"/>
  <c r="DJ416" i="17"/>
  <c r="DK416" i="17"/>
  <c r="DL416" i="17"/>
  <c r="DM416" i="17"/>
  <c r="DN416" i="17"/>
  <c r="DO416" i="17"/>
  <c r="DP416" i="17"/>
  <c r="DQ416" i="17"/>
  <c r="DR416" i="17"/>
  <c r="DS416" i="17"/>
  <c r="DT416" i="17"/>
  <c r="DU416" i="17"/>
  <c r="DV416" i="17"/>
  <c r="DW416" i="17"/>
  <c r="DX416" i="17"/>
  <c r="DY416" i="17"/>
  <c r="DZ416" i="17"/>
  <c r="EA416" i="17"/>
  <c r="EB416" i="17"/>
  <c r="EC416" i="17"/>
  <c r="ED416" i="17"/>
  <c r="EE416" i="17"/>
  <c r="EF416" i="17"/>
  <c r="EG416" i="17"/>
  <c r="EH416" i="17"/>
  <c r="EI416" i="17"/>
  <c r="EJ416" i="17"/>
  <c r="EK416" i="17"/>
  <c r="EL416" i="17"/>
  <c r="EM416" i="17"/>
  <c r="EN416" i="17"/>
  <c r="EO416" i="17"/>
  <c r="EP416" i="17"/>
  <c r="EQ416" i="17"/>
  <c r="ER416" i="17"/>
  <c r="ES416" i="17"/>
  <c r="ET416" i="17"/>
  <c r="EU416" i="17"/>
  <c r="EV416" i="17"/>
  <c r="EW416" i="17"/>
  <c r="EX416" i="17"/>
  <c r="EY416" i="17"/>
  <c r="EZ416" i="17"/>
  <c r="FA416" i="17"/>
  <c r="FB416" i="17"/>
  <c r="FC416" i="17"/>
  <c r="FD416" i="17"/>
  <c r="FE416" i="17"/>
  <c r="FF416" i="17"/>
  <c r="FG416" i="17"/>
  <c r="FH416" i="17"/>
  <c r="FI416" i="17"/>
  <c r="FJ416" i="17"/>
  <c r="FK416" i="17"/>
  <c r="FL416" i="17"/>
  <c r="FM416" i="17"/>
  <c r="FN416" i="17"/>
  <c r="FO416" i="17"/>
  <c r="FP416" i="17"/>
  <c r="FQ416" i="17"/>
  <c r="FR416" i="17"/>
  <c r="FS416" i="17"/>
  <c r="FT416" i="17"/>
  <c r="FU416" i="17"/>
  <c r="FV416" i="17"/>
  <c r="FW416" i="17"/>
  <c r="FX416" i="17"/>
  <c r="FY416" i="17"/>
  <c r="FZ416" i="17"/>
  <c r="GA416" i="17"/>
  <c r="GB416" i="17"/>
  <c r="GC416" i="17"/>
  <c r="GD416" i="17"/>
  <c r="GE416" i="17"/>
  <c r="GF416" i="17"/>
  <c r="GG416" i="17"/>
  <c r="GH416" i="17"/>
  <c r="GI416" i="17"/>
  <c r="GJ416" i="17"/>
  <c r="GK416" i="17"/>
  <c r="GL416" i="17"/>
  <c r="GM416" i="17"/>
  <c r="GN416" i="17"/>
  <c r="GO416" i="17"/>
  <c r="GP416" i="17"/>
  <c r="GQ416" i="17"/>
  <c r="GR416" i="17"/>
  <c r="GS416" i="17"/>
  <c r="GT416" i="17"/>
  <c r="GU416" i="17"/>
  <c r="GV416" i="17"/>
  <c r="GW416" i="17"/>
  <c r="GX416" i="17"/>
  <c r="GY416" i="17"/>
  <c r="GZ416" i="17"/>
  <c r="HA416" i="17"/>
  <c r="HB416" i="17"/>
  <c r="HC416" i="17"/>
  <c r="HD416" i="17"/>
  <c r="HE416" i="17"/>
  <c r="HF416" i="17"/>
  <c r="HG416" i="17"/>
  <c r="HH416" i="17"/>
  <c r="HI416" i="17"/>
  <c r="HJ416" i="17"/>
  <c r="HK416" i="17"/>
  <c r="HL416" i="17"/>
  <c r="HM416" i="17"/>
  <c r="HN416" i="17"/>
  <c r="HO416" i="17"/>
  <c r="HP416" i="17"/>
  <c r="HQ416" i="17"/>
  <c r="HR416" i="17"/>
  <c r="HS416" i="17"/>
  <c r="HT416" i="17"/>
  <c r="HU416" i="17"/>
  <c r="HV416" i="17"/>
  <c r="HW416" i="17"/>
  <c r="HX416" i="17"/>
  <c r="HY416" i="17"/>
  <c r="HZ416" i="17"/>
  <c r="IA416" i="17"/>
  <c r="IB416" i="17"/>
  <c r="IC416" i="17"/>
  <c r="ID416" i="17"/>
  <c r="IE416" i="17"/>
  <c r="IF416" i="17"/>
  <c r="IG416" i="17"/>
  <c r="IH416" i="17"/>
  <c r="II416" i="17"/>
  <c r="IJ416" i="17"/>
  <c r="IK416" i="17"/>
  <c r="IL416" i="17"/>
  <c r="IM416" i="17"/>
  <c r="IN416" i="17"/>
  <c r="IO416" i="17"/>
  <c r="IP416" i="17"/>
  <c r="IQ416" i="17"/>
  <c r="IR416" i="17"/>
  <c r="IS416" i="17"/>
  <c r="IT416" i="17"/>
  <c r="IU416" i="17"/>
  <c r="IV416" i="17"/>
  <c r="A415" i="17"/>
  <c r="B415" i="17"/>
  <c r="C415" i="17"/>
  <c r="D415" i="17"/>
  <c r="E415" i="17"/>
  <c r="F415" i="17"/>
  <c r="G415" i="17"/>
  <c r="H415" i="17"/>
  <c r="I415" i="17"/>
  <c r="J415" i="17"/>
  <c r="K415" i="17"/>
  <c r="L415" i="17"/>
  <c r="M415" i="17"/>
  <c r="N415" i="17"/>
  <c r="O415" i="17"/>
  <c r="P415" i="17"/>
  <c r="Q415" i="17"/>
  <c r="R415" i="17"/>
  <c r="S415" i="17"/>
  <c r="T415" i="17"/>
  <c r="U415" i="17"/>
  <c r="V415" i="17"/>
  <c r="X415" i="17"/>
  <c r="Y415" i="17"/>
  <c r="Z415" i="17"/>
  <c r="AA415" i="17"/>
  <c r="AB415" i="17"/>
  <c r="AC415" i="17"/>
  <c r="AD415" i="17"/>
  <c r="AE415" i="17"/>
  <c r="AF415" i="17"/>
  <c r="AG415" i="17"/>
  <c r="AH415" i="17"/>
  <c r="AI415" i="17"/>
  <c r="AJ415" i="17"/>
  <c r="AK415" i="17"/>
  <c r="AL415" i="17"/>
  <c r="AM415" i="17"/>
  <c r="AN415" i="17"/>
  <c r="AO415" i="17"/>
  <c r="AP415" i="17"/>
  <c r="AQ415" i="17"/>
  <c r="AR415" i="17"/>
  <c r="AS415" i="17"/>
  <c r="AT415" i="17"/>
  <c r="AU415" i="17"/>
  <c r="AV415" i="17"/>
  <c r="AW415" i="17"/>
  <c r="AX415" i="17"/>
  <c r="AY415" i="17"/>
  <c r="AZ415" i="17"/>
  <c r="BA415" i="17"/>
  <c r="BB415" i="17"/>
  <c r="BC415" i="17"/>
  <c r="BD415" i="17"/>
  <c r="BE415" i="17"/>
  <c r="BF415" i="17"/>
  <c r="BG415" i="17"/>
  <c r="BH415" i="17"/>
  <c r="BI415" i="17"/>
  <c r="BJ415" i="17"/>
  <c r="BK415" i="17"/>
  <c r="BL415" i="17"/>
  <c r="BM415" i="17"/>
  <c r="BN415" i="17"/>
  <c r="BO415" i="17"/>
  <c r="BP415" i="17"/>
  <c r="BQ415" i="17"/>
  <c r="BR415" i="17"/>
  <c r="BS415" i="17"/>
  <c r="BT415" i="17"/>
  <c r="BU415" i="17"/>
  <c r="BV415" i="17"/>
  <c r="BW415" i="17"/>
  <c r="BX415" i="17"/>
  <c r="BY415" i="17"/>
  <c r="BZ415" i="17"/>
  <c r="CA415" i="17"/>
  <c r="CB415" i="17"/>
  <c r="CC415" i="17"/>
  <c r="CD415" i="17"/>
  <c r="CE415" i="17"/>
  <c r="CF415" i="17"/>
  <c r="CG415" i="17"/>
  <c r="CH415" i="17"/>
  <c r="CI415" i="17"/>
  <c r="CJ415" i="17"/>
  <c r="CK415" i="17"/>
  <c r="CL415" i="17"/>
  <c r="CM415" i="17"/>
  <c r="CN415" i="17"/>
  <c r="CO415" i="17"/>
  <c r="CP415" i="17"/>
  <c r="CQ415" i="17"/>
  <c r="CR415" i="17"/>
  <c r="CS415" i="17"/>
  <c r="CT415" i="17"/>
  <c r="CU415" i="17"/>
  <c r="CV415" i="17"/>
  <c r="CW415" i="17"/>
  <c r="CX415" i="17"/>
  <c r="CY415" i="17"/>
  <c r="CZ415" i="17"/>
  <c r="DA415" i="17"/>
  <c r="DB415" i="17"/>
  <c r="DC415" i="17"/>
  <c r="DD415" i="17"/>
  <c r="DE415" i="17"/>
  <c r="DF415" i="17"/>
  <c r="DG415" i="17"/>
  <c r="DH415" i="17"/>
  <c r="DI415" i="17"/>
  <c r="DJ415" i="17"/>
  <c r="DK415" i="17"/>
  <c r="DL415" i="17"/>
  <c r="DM415" i="17"/>
  <c r="DN415" i="17"/>
  <c r="DO415" i="17"/>
  <c r="DP415" i="17"/>
  <c r="DQ415" i="17"/>
  <c r="DR415" i="17"/>
  <c r="DS415" i="17"/>
  <c r="DT415" i="17"/>
  <c r="DU415" i="17"/>
  <c r="DV415" i="17"/>
  <c r="DW415" i="17"/>
  <c r="DX415" i="17"/>
  <c r="DY415" i="17"/>
  <c r="DZ415" i="17"/>
  <c r="EA415" i="17"/>
  <c r="EB415" i="17"/>
  <c r="EC415" i="17"/>
  <c r="ED415" i="17"/>
  <c r="EE415" i="17"/>
  <c r="EF415" i="17"/>
  <c r="EG415" i="17"/>
  <c r="EH415" i="17"/>
  <c r="EI415" i="17"/>
  <c r="EJ415" i="17"/>
  <c r="EK415" i="17"/>
  <c r="EL415" i="17"/>
  <c r="EM415" i="17"/>
  <c r="EN415" i="17"/>
  <c r="EO415" i="17"/>
  <c r="EP415" i="17"/>
  <c r="EQ415" i="17"/>
  <c r="ER415" i="17"/>
  <c r="ES415" i="17"/>
  <c r="ET415" i="17"/>
  <c r="EU415" i="17"/>
  <c r="EV415" i="17"/>
  <c r="EW415" i="17"/>
  <c r="EX415" i="17"/>
  <c r="EY415" i="17"/>
  <c r="EZ415" i="17"/>
  <c r="FA415" i="17"/>
  <c r="FB415" i="17"/>
  <c r="FC415" i="17"/>
  <c r="FD415" i="17"/>
  <c r="FE415" i="17"/>
  <c r="FF415" i="17"/>
  <c r="FG415" i="17"/>
  <c r="FH415" i="17"/>
  <c r="FI415" i="17"/>
  <c r="FJ415" i="17"/>
  <c r="FK415" i="17"/>
  <c r="FL415" i="17"/>
  <c r="FM415" i="17"/>
  <c r="FN415" i="17"/>
  <c r="FO415" i="17"/>
  <c r="FP415" i="17"/>
  <c r="FQ415" i="17"/>
  <c r="FR415" i="17"/>
  <c r="FS415" i="17"/>
  <c r="FT415" i="17"/>
  <c r="FU415" i="17"/>
  <c r="FV415" i="17"/>
  <c r="FW415" i="17"/>
  <c r="FX415" i="17"/>
  <c r="FY415" i="17"/>
  <c r="FZ415" i="17"/>
  <c r="GA415" i="17"/>
  <c r="GB415" i="17"/>
  <c r="GC415" i="17"/>
  <c r="GD415" i="17"/>
  <c r="GE415" i="17"/>
  <c r="GF415" i="17"/>
  <c r="GG415" i="17"/>
  <c r="GH415" i="17"/>
  <c r="GI415" i="17"/>
  <c r="GJ415" i="17"/>
  <c r="GK415" i="17"/>
  <c r="GL415" i="17"/>
  <c r="GM415" i="17"/>
  <c r="GN415" i="17"/>
  <c r="GO415" i="17"/>
  <c r="GP415" i="17"/>
  <c r="GQ415" i="17"/>
  <c r="GR415" i="17"/>
  <c r="GS415" i="17"/>
  <c r="GT415" i="17"/>
  <c r="GU415" i="17"/>
  <c r="GV415" i="17"/>
  <c r="GW415" i="17"/>
  <c r="GX415" i="17"/>
  <c r="GY415" i="17"/>
  <c r="GZ415" i="17"/>
  <c r="HA415" i="17"/>
  <c r="HB415" i="17"/>
  <c r="HC415" i="17"/>
  <c r="HD415" i="17"/>
  <c r="HE415" i="17"/>
  <c r="HF415" i="17"/>
  <c r="HG415" i="17"/>
  <c r="HH415" i="17"/>
  <c r="HI415" i="17"/>
  <c r="HJ415" i="17"/>
  <c r="HK415" i="17"/>
  <c r="HL415" i="17"/>
  <c r="HM415" i="17"/>
  <c r="HN415" i="17"/>
  <c r="HO415" i="17"/>
  <c r="HP415" i="17"/>
  <c r="HQ415" i="17"/>
  <c r="HR415" i="17"/>
  <c r="HS415" i="17"/>
  <c r="HT415" i="17"/>
  <c r="HU415" i="17"/>
  <c r="HV415" i="17"/>
  <c r="HW415" i="17"/>
  <c r="HX415" i="17"/>
  <c r="HY415" i="17"/>
  <c r="HZ415" i="17"/>
  <c r="IA415" i="17"/>
  <c r="IB415" i="17"/>
  <c r="IC415" i="17"/>
  <c r="ID415" i="17"/>
  <c r="IE415" i="17"/>
  <c r="IF415" i="17"/>
  <c r="IG415" i="17"/>
  <c r="IH415" i="17"/>
  <c r="II415" i="17"/>
  <c r="IJ415" i="17"/>
  <c r="IK415" i="17"/>
  <c r="IL415" i="17"/>
  <c r="IM415" i="17"/>
  <c r="IN415" i="17"/>
  <c r="IO415" i="17"/>
  <c r="IP415" i="17"/>
  <c r="IQ415" i="17"/>
  <c r="IR415" i="17"/>
  <c r="IS415" i="17"/>
  <c r="IT415" i="17"/>
  <c r="IU415" i="17"/>
  <c r="IV415" i="17"/>
  <c r="A414" i="17"/>
  <c r="B414" i="17"/>
  <c r="C414" i="17"/>
  <c r="D414" i="17"/>
  <c r="E414" i="17"/>
  <c r="F414" i="17"/>
  <c r="G414" i="17"/>
  <c r="H414" i="17"/>
  <c r="I414" i="17"/>
  <c r="J414" i="17"/>
  <c r="K414" i="17"/>
  <c r="L414" i="17"/>
  <c r="M414" i="17"/>
  <c r="N414" i="17"/>
  <c r="O414" i="17"/>
  <c r="P414" i="17"/>
  <c r="Q414" i="17"/>
  <c r="R414" i="17"/>
  <c r="S414" i="17"/>
  <c r="T414" i="17"/>
  <c r="U414" i="17"/>
  <c r="V414" i="17"/>
  <c r="W414" i="17"/>
  <c r="X414" i="17"/>
  <c r="Y414" i="17"/>
  <c r="Z414" i="17"/>
  <c r="AA414" i="17"/>
  <c r="AB414" i="17"/>
  <c r="AC414" i="17"/>
  <c r="AD414" i="17"/>
  <c r="AE414" i="17"/>
  <c r="AF414" i="17"/>
  <c r="AG414" i="17"/>
  <c r="AH414" i="17"/>
  <c r="AI414" i="17"/>
  <c r="AJ414" i="17"/>
  <c r="AK414" i="17"/>
  <c r="AL414" i="17"/>
  <c r="AM414" i="17"/>
  <c r="AN414" i="17"/>
  <c r="AO414" i="17"/>
  <c r="AP414" i="17"/>
  <c r="AQ414" i="17"/>
  <c r="AR414" i="17"/>
  <c r="AS414" i="17"/>
  <c r="AT414" i="17"/>
  <c r="AU414" i="17"/>
  <c r="AV414" i="17"/>
  <c r="AW414" i="17"/>
  <c r="AX414" i="17"/>
  <c r="AY414" i="17"/>
  <c r="AZ414" i="17"/>
  <c r="BA414" i="17"/>
  <c r="BB414" i="17"/>
  <c r="BC414" i="17"/>
  <c r="BD414" i="17"/>
  <c r="BE414" i="17"/>
  <c r="BF414" i="17"/>
  <c r="BG414" i="17"/>
  <c r="BH414" i="17"/>
  <c r="BI414" i="17"/>
  <c r="BJ414" i="17"/>
  <c r="BK414" i="17"/>
  <c r="BL414" i="17"/>
  <c r="BM414" i="17"/>
  <c r="BN414" i="17"/>
  <c r="BO414" i="17"/>
  <c r="BP414" i="17"/>
  <c r="BQ414" i="17"/>
  <c r="BR414" i="17"/>
  <c r="BS414" i="17"/>
  <c r="BT414" i="17"/>
  <c r="BU414" i="17"/>
  <c r="BV414" i="17"/>
  <c r="BW414" i="17"/>
  <c r="BX414" i="17"/>
  <c r="BY414" i="17"/>
  <c r="BZ414" i="17"/>
  <c r="CA414" i="17"/>
  <c r="CB414" i="17"/>
  <c r="CC414" i="17"/>
  <c r="CD414" i="17"/>
  <c r="CE414" i="17"/>
  <c r="CF414" i="17"/>
  <c r="CG414" i="17"/>
  <c r="CH414" i="17"/>
  <c r="CI414" i="17"/>
  <c r="CJ414" i="17"/>
  <c r="CK414" i="17"/>
  <c r="CL414" i="17"/>
  <c r="CM414" i="17"/>
  <c r="CN414" i="17"/>
  <c r="CO414" i="17"/>
  <c r="CP414" i="17"/>
  <c r="CQ414" i="17"/>
  <c r="CR414" i="17"/>
  <c r="CS414" i="17"/>
  <c r="CT414" i="17"/>
  <c r="CU414" i="17"/>
  <c r="CV414" i="17"/>
  <c r="CW414" i="17"/>
  <c r="CX414" i="17"/>
  <c r="CY414" i="17"/>
  <c r="CZ414" i="17"/>
  <c r="DA414" i="17"/>
  <c r="DB414" i="17"/>
  <c r="DC414" i="17"/>
  <c r="DD414" i="17"/>
  <c r="DE414" i="17"/>
  <c r="DF414" i="17"/>
  <c r="DG414" i="17"/>
  <c r="DH414" i="17"/>
  <c r="DI414" i="17"/>
  <c r="DJ414" i="17"/>
  <c r="DK414" i="17"/>
  <c r="DL414" i="17"/>
  <c r="DM414" i="17"/>
  <c r="DN414" i="17"/>
  <c r="DO414" i="17"/>
  <c r="DP414" i="17"/>
  <c r="DQ414" i="17"/>
  <c r="DR414" i="17"/>
  <c r="DS414" i="17"/>
  <c r="DT414" i="17"/>
  <c r="DU414" i="17"/>
  <c r="DV414" i="17"/>
  <c r="DW414" i="17"/>
  <c r="DX414" i="17"/>
  <c r="DY414" i="17"/>
  <c r="DZ414" i="17"/>
  <c r="EA414" i="17"/>
  <c r="EB414" i="17"/>
  <c r="EC414" i="17"/>
  <c r="ED414" i="17"/>
  <c r="EE414" i="17"/>
  <c r="EF414" i="17"/>
  <c r="EG414" i="17"/>
  <c r="EH414" i="17"/>
  <c r="EI414" i="17"/>
  <c r="EJ414" i="17"/>
  <c r="EK414" i="17"/>
  <c r="EL414" i="17"/>
  <c r="EM414" i="17"/>
  <c r="EN414" i="17"/>
  <c r="EO414" i="17"/>
  <c r="EP414" i="17"/>
  <c r="EQ414" i="17"/>
  <c r="ER414" i="17"/>
  <c r="ES414" i="17"/>
  <c r="ET414" i="17"/>
  <c r="EU414" i="17"/>
  <c r="EV414" i="17"/>
  <c r="EW414" i="17"/>
  <c r="EX414" i="17"/>
  <c r="EY414" i="17"/>
  <c r="EZ414" i="17"/>
  <c r="FA414" i="17"/>
  <c r="FB414" i="17"/>
  <c r="FC414" i="17"/>
  <c r="FD414" i="17"/>
  <c r="FE414" i="17"/>
  <c r="FF414" i="17"/>
  <c r="FG414" i="17"/>
  <c r="FH414" i="17"/>
  <c r="FI414" i="17"/>
  <c r="FJ414" i="17"/>
  <c r="FK414" i="17"/>
  <c r="FL414" i="17"/>
  <c r="FM414" i="17"/>
  <c r="FN414" i="17"/>
  <c r="FO414" i="17"/>
  <c r="FP414" i="17"/>
  <c r="FQ414" i="17"/>
  <c r="FR414" i="17"/>
  <c r="FS414" i="17"/>
  <c r="FT414" i="17"/>
  <c r="FU414" i="17"/>
  <c r="FV414" i="17"/>
  <c r="FW414" i="17"/>
  <c r="FX414" i="17"/>
  <c r="FY414" i="17"/>
  <c r="FZ414" i="17"/>
  <c r="GA414" i="17"/>
  <c r="GB414" i="17"/>
  <c r="GC414" i="17"/>
  <c r="GD414" i="17"/>
  <c r="GE414" i="17"/>
  <c r="GF414" i="17"/>
  <c r="GG414" i="17"/>
  <c r="GH414" i="17"/>
  <c r="GI414" i="17"/>
  <c r="GJ414" i="17"/>
  <c r="GK414" i="17"/>
  <c r="GL414" i="17"/>
  <c r="GM414" i="17"/>
  <c r="GN414" i="17"/>
  <c r="GO414" i="17"/>
  <c r="GP414" i="17"/>
  <c r="GQ414" i="17"/>
  <c r="GR414" i="17"/>
  <c r="GS414" i="17"/>
  <c r="GT414" i="17"/>
  <c r="GU414" i="17"/>
  <c r="GV414" i="17"/>
  <c r="GW414" i="17"/>
  <c r="GX414" i="17"/>
  <c r="GY414" i="17"/>
  <c r="GZ414" i="17"/>
  <c r="HA414" i="17"/>
  <c r="HB414" i="17"/>
  <c r="HC414" i="17"/>
  <c r="HD414" i="17"/>
  <c r="HE414" i="17"/>
  <c r="HF414" i="17"/>
  <c r="HG414" i="17"/>
  <c r="HH414" i="17"/>
  <c r="HI414" i="17"/>
  <c r="HJ414" i="17"/>
  <c r="HK414" i="17"/>
  <c r="HL414" i="17"/>
  <c r="HM414" i="17"/>
  <c r="HN414" i="17"/>
  <c r="HO414" i="17"/>
  <c r="HP414" i="17"/>
  <c r="HQ414" i="17"/>
  <c r="HR414" i="17"/>
  <c r="HS414" i="17"/>
  <c r="HT414" i="17"/>
  <c r="HU414" i="17"/>
  <c r="HV414" i="17"/>
  <c r="HW414" i="17"/>
  <c r="HX414" i="17"/>
  <c r="HY414" i="17"/>
  <c r="HZ414" i="17"/>
  <c r="IA414" i="17"/>
  <c r="IB414" i="17"/>
  <c r="IC414" i="17"/>
  <c r="ID414" i="17"/>
  <c r="IE414" i="17"/>
  <c r="IF414" i="17"/>
  <c r="IG414" i="17"/>
  <c r="IH414" i="17"/>
  <c r="II414" i="17"/>
  <c r="IJ414" i="17"/>
  <c r="IK414" i="17"/>
  <c r="IL414" i="17"/>
  <c r="IM414" i="17"/>
  <c r="IN414" i="17"/>
  <c r="IO414" i="17"/>
  <c r="IP414" i="17"/>
  <c r="IQ414" i="17"/>
  <c r="IR414" i="17"/>
  <c r="IS414" i="17"/>
  <c r="IT414" i="17"/>
  <c r="IU414" i="17"/>
  <c r="IV414" i="17"/>
  <c r="A413" i="17"/>
  <c r="B413" i="17"/>
  <c r="C413" i="17"/>
  <c r="D413" i="17"/>
  <c r="E413" i="17"/>
  <c r="F413" i="17"/>
  <c r="G413" i="17"/>
  <c r="H413" i="17"/>
  <c r="I413" i="17"/>
  <c r="J413" i="17"/>
  <c r="K413" i="17"/>
  <c r="L413" i="17"/>
  <c r="M413" i="17"/>
  <c r="N413" i="17"/>
  <c r="O413" i="17"/>
  <c r="P413" i="17"/>
  <c r="Q413" i="17"/>
  <c r="R413" i="17"/>
  <c r="S413" i="17"/>
  <c r="T413" i="17"/>
  <c r="U413" i="17"/>
  <c r="W413" i="17"/>
  <c r="X413" i="17"/>
  <c r="Y413" i="17"/>
  <c r="Z413" i="17"/>
  <c r="AA413" i="17"/>
  <c r="AB413" i="17"/>
  <c r="AC413" i="17"/>
  <c r="AD413" i="17"/>
  <c r="AE413" i="17"/>
  <c r="AF413" i="17"/>
  <c r="AG413" i="17"/>
  <c r="AH413" i="17"/>
  <c r="AI413" i="17"/>
  <c r="AJ413" i="17"/>
  <c r="AK413" i="17"/>
  <c r="AL413" i="17"/>
  <c r="AM413" i="17"/>
  <c r="AN413" i="17"/>
  <c r="AO413" i="17"/>
  <c r="AP413" i="17"/>
  <c r="AQ413" i="17"/>
  <c r="AR413" i="17"/>
  <c r="AS413" i="17"/>
  <c r="AT413" i="17"/>
  <c r="AU413" i="17"/>
  <c r="AV413" i="17"/>
  <c r="AW413" i="17"/>
  <c r="AX413" i="17"/>
  <c r="AY413" i="17"/>
  <c r="AZ413" i="17"/>
  <c r="BA413" i="17"/>
  <c r="BB413" i="17"/>
  <c r="BC413" i="17"/>
  <c r="BD413" i="17"/>
  <c r="BE413" i="17"/>
  <c r="BF413" i="17"/>
  <c r="BG413" i="17"/>
  <c r="BH413" i="17"/>
  <c r="BI413" i="17"/>
  <c r="BJ413" i="17"/>
  <c r="BK413" i="17"/>
  <c r="BL413" i="17"/>
  <c r="BM413" i="17"/>
  <c r="BN413" i="17"/>
  <c r="BO413" i="17"/>
  <c r="BP413" i="17"/>
  <c r="BQ413" i="17"/>
  <c r="BR413" i="17"/>
  <c r="BS413" i="17"/>
  <c r="BT413" i="17"/>
  <c r="BU413" i="17"/>
  <c r="BV413" i="17"/>
  <c r="BW413" i="17"/>
  <c r="BX413" i="17"/>
  <c r="BY413" i="17"/>
  <c r="BZ413" i="17"/>
  <c r="CA413" i="17"/>
  <c r="CB413" i="17"/>
  <c r="CC413" i="17"/>
  <c r="CD413" i="17"/>
  <c r="CE413" i="17"/>
  <c r="CF413" i="17"/>
  <c r="CG413" i="17"/>
  <c r="CH413" i="17"/>
  <c r="CI413" i="17"/>
  <c r="CJ413" i="17"/>
  <c r="CK413" i="17"/>
  <c r="CL413" i="17"/>
  <c r="CM413" i="17"/>
  <c r="CN413" i="17"/>
  <c r="CO413" i="17"/>
  <c r="CP413" i="17"/>
  <c r="CQ413" i="17"/>
  <c r="CR413" i="17"/>
  <c r="CS413" i="17"/>
  <c r="CT413" i="17"/>
  <c r="CU413" i="17"/>
  <c r="CV413" i="17"/>
  <c r="CW413" i="17"/>
  <c r="CX413" i="17"/>
  <c r="CY413" i="17"/>
  <c r="CZ413" i="17"/>
  <c r="DA413" i="17"/>
  <c r="DB413" i="17"/>
  <c r="DC413" i="17"/>
  <c r="DD413" i="17"/>
  <c r="DE413" i="17"/>
  <c r="DF413" i="17"/>
  <c r="DG413" i="17"/>
  <c r="DH413" i="17"/>
  <c r="DI413" i="17"/>
  <c r="DJ413" i="17"/>
  <c r="DK413" i="17"/>
  <c r="DL413" i="17"/>
  <c r="DM413" i="17"/>
  <c r="DN413" i="17"/>
  <c r="DO413" i="17"/>
  <c r="DP413" i="17"/>
  <c r="DQ413" i="17"/>
  <c r="DR413" i="17"/>
  <c r="DS413" i="17"/>
  <c r="DT413" i="17"/>
  <c r="DU413" i="17"/>
  <c r="DV413" i="17"/>
  <c r="DW413" i="17"/>
  <c r="DX413" i="17"/>
  <c r="DY413" i="17"/>
  <c r="DZ413" i="17"/>
  <c r="EA413" i="17"/>
  <c r="EB413" i="17"/>
  <c r="EC413" i="17"/>
  <c r="ED413" i="17"/>
  <c r="EE413" i="17"/>
  <c r="EF413" i="17"/>
  <c r="EG413" i="17"/>
  <c r="EH413" i="17"/>
  <c r="EI413" i="17"/>
  <c r="EJ413" i="17"/>
  <c r="EK413" i="17"/>
  <c r="EL413" i="17"/>
  <c r="EM413" i="17"/>
  <c r="EN413" i="17"/>
  <c r="EO413" i="17"/>
  <c r="EP413" i="17"/>
  <c r="EQ413" i="17"/>
  <c r="ER413" i="17"/>
  <c r="ES413" i="17"/>
  <c r="ET413" i="17"/>
  <c r="EU413" i="17"/>
  <c r="EV413" i="17"/>
  <c r="EW413" i="17"/>
  <c r="EX413" i="17"/>
  <c r="EY413" i="17"/>
  <c r="EZ413" i="17"/>
  <c r="FA413" i="17"/>
  <c r="FB413" i="17"/>
  <c r="FC413" i="17"/>
  <c r="FD413" i="17"/>
  <c r="FE413" i="17"/>
  <c r="FF413" i="17"/>
  <c r="FG413" i="17"/>
  <c r="FH413" i="17"/>
  <c r="FI413" i="17"/>
  <c r="FJ413" i="17"/>
  <c r="FK413" i="17"/>
  <c r="FL413" i="17"/>
  <c r="FM413" i="17"/>
  <c r="FN413" i="17"/>
  <c r="FO413" i="17"/>
  <c r="FP413" i="17"/>
  <c r="FQ413" i="17"/>
  <c r="FR413" i="17"/>
  <c r="FS413" i="17"/>
  <c r="FT413" i="17"/>
  <c r="FU413" i="17"/>
  <c r="FV413" i="17"/>
  <c r="FW413" i="17"/>
  <c r="FX413" i="17"/>
  <c r="FY413" i="17"/>
  <c r="FZ413" i="17"/>
  <c r="GA413" i="17"/>
  <c r="GB413" i="17"/>
  <c r="GC413" i="17"/>
  <c r="GD413" i="17"/>
  <c r="GE413" i="17"/>
  <c r="GF413" i="17"/>
  <c r="GG413" i="17"/>
  <c r="GH413" i="17"/>
  <c r="GI413" i="17"/>
  <c r="GJ413" i="17"/>
  <c r="GK413" i="17"/>
  <c r="GL413" i="17"/>
  <c r="GM413" i="17"/>
  <c r="GN413" i="17"/>
  <c r="GO413" i="17"/>
  <c r="GP413" i="17"/>
  <c r="GQ413" i="17"/>
  <c r="GR413" i="17"/>
  <c r="GS413" i="17"/>
  <c r="GT413" i="17"/>
  <c r="GU413" i="17"/>
  <c r="GV413" i="17"/>
  <c r="GW413" i="17"/>
  <c r="GX413" i="17"/>
  <c r="GY413" i="17"/>
  <c r="GZ413" i="17"/>
  <c r="HA413" i="17"/>
  <c r="HB413" i="17"/>
  <c r="HC413" i="17"/>
  <c r="HD413" i="17"/>
  <c r="HE413" i="17"/>
  <c r="HF413" i="17"/>
  <c r="HG413" i="17"/>
  <c r="HH413" i="17"/>
  <c r="HI413" i="17"/>
  <c r="HJ413" i="17"/>
  <c r="HK413" i="17"/>
  <c r="HL413" i="17"/>
  <c r="HM413" i="17"/>
  <c r="HN413" i="17"/>
  <c r="HO413" i="17"/>
  <c r="HP413" i="17"/>
  <c r="HQ413" i="17"/>
  <c r="HR413" i="17"/>
  <c r="HS413" i="17"/>
  <c r="HT413" i="17"/>
  <c r="HU413" i="17"/>
  <c r="HV413" i="17"/>
  <c r="HW413" i="17"/>
  <c r="HX413" i="17"/>
  <c r="HY413" i="17"/>
  <c r="HZ413" i="17"/>
  <c r="IA413" i="17"/>
  <c r="IB413" i="17"/>
  <c r="IC413" i="17"/>
  <c r="ID413" i="17"/>
  <c r="IE413" i="17"/>
  <c r="IF413" i="17"/>
  <c r="IG413" i="17"/>
  <c r="IH413" i="17"/>
  <c r="II413" i="17"/>
  <c r="IJ413" i="17"/>
  <c r="IK413" i="17"/>
  <c r="IL413" i="17"/>
  <c r="IM413" i="17"/>
  <c r="IN413" i="17"/>
  <c r="IO413" i="17"/>
  <c r="IP413" i="17"/>
  <c r="IQ413" i="17"/>
  <c r="IR413" i="17"/>
  <c r="IS413" i="17"/>
  <c r="IT413" i="17"/>
  <c r="IU413" i="17"/>
  <c r="IV413" i="17"/>
  <c r="A412" i="17"/>
  <c r="B412" i="17"/>
  <c r="C412" i="17"/>
  <c r="D412" i="17"/>
  <c r="E412" i="17"/>
  <c r="F412" i="17"/>
  <c r="G412" i="17"/>
  <c r="H412" i="17"/>
  <c r="I412" i="17"/>
  <c r="J412" i="17"/>
  <c r="K412" i="17"/>
  <c r="L412" i="17"/>
  <c r="M412" i="17"/>
  <c r="N412" i="17"/>
  <c r="O412" i="17"/>
  <c r="P412" i="17"/>
  <c r="Q412" i="17"/>
  <c r="R412" i="17"/>
  <c r="S412" i="17"/>
  <c r="T412" i="17"/>
  <c r="U412" i="17"/>
  <c r="V412" i="17"/>
  <c r="W412" i="17"/>
  <c r="X412" i="17"/>
  <c r="Y412" i="17"/>
  <c r="Z412" i="17"/>
  <c r="AA412" i="17"/>
  <c r="AB412" i="17"/>
  <c r="AC412" i="17"/>
  <c r="AD412" i="17"/>
  <c r="AE412" i="17"/>
  <c r="AF412" i="17"/>
  <c r="AG412" i="17"/>
  <c r="AH412" i="17"/>
  <c r="AI412" i="17"/>
  <c r="AJ412" i="17"/>
  <c r="AK412" i="17"/>
  <c r="AL412" i="17"/>
  <c r="AM412" i="17"/>
  <c r="AN412" i="17"/>
  <c r="AO412" i="17"/>
  <c r="AP412" i="17"/>
  <c r="AQ412" i="17"/>
  <c r="AR412" i="17"/>
  <c r="AS412" i="17"/>
  <c r="AT412" i="17"/>
  <c r="AU412" i="17"/>
  <c r="AV412" i="17"/>
  <c r="AW412" i="17"/>
  <c r="AX412" i="17"/>
  <c r="AY412" i="17"/>
  <c r="AZ412" i="17"/>
  <c r="BA412" i="17"/>
  <c r="BB412" i="17"/>
  <c r="BC412" i="17"/>
  <c r="BD412" i="17"/>
  <c r="BE412" i="17"/>
  <c r="BF412" i="17"/>
  <c r="BG412" i="17"/>
  <c r="BH412" i="17"/>
  <c r="BI412" i="17"/>
  <c r="BJ412" i="17"/>
  <c r="BK412" i="17"/>
  <c r="BL412" i="17"/>
  <c r="BM412" i="17"/>
  <c r="BN412" i="17"/>
  <c r="BO412" i="17"/>
  <c r="BP412" i="17"/>
  <c r="BQ412" i="17"/>
  <c r="BR412" i="17"/>
  <c r="BS412" i="17"/>
  <c r="BT412" i="17"/>
  <c r="BU412" i="17"/>
  <c r="BV412" i="17"/>
  <c r="BW412" i="17"/>
  <c r="BX412" i="17"/>
  <c r="BY412" i="17"/>
  <c r="BZ412" i="17"/>
  <c r="CA412" i="17"/>
  <c r="CB412" i="17"/>
  <c r="CC412" i="17"/>
  <c r="CD412" i="17"/>
  <c r="CE412" i="17"/>
  <c r="CF412" i="17"/>
  <c r="CG412" i="17"/>
  <c r="CH412" i="17"/>
  <c r="CI412" i="17"/>
  <c r="CJ412" i="17"/>
  <c r="CK412" i="17"/>
  <c r="CL412" i="17"/>
  <c r="CM412" i="17"/>
  <c r="CN412" i="17"/>
  <c r="CO412" i="17"/>
  <c r="CP412" i="17"/>
  <c r="CQ412" i="17"/>
  <c r="CR412" i="17"/>
  <c r="CS412" i="17"/>
  <c r="CT412" i="17"/>
  <c r="CU412" i="17"/>
  <c r="CV412" i="17"/>
  <c r="CW412" i="17"/>
  <c r="CX412" i="17"/>
  <c r="CY412" i="17"/>
  <c r="CZ412" i="17"/>
  <c r="DA412" i="17"/>
  <c r="DB412" i="17"/>
  <c r="DC412" i="17"/>
  <c r="DD412" i="17"/>
  <c r="DE412" i="17"/>
  <c r="DF412" i="17"/>
  <c r="DG412" i="17"/>
  <c r="DH412" i="17"/>
  <c r="DI412" i="17"/>
  <c r="DJ412" i="17"/>
  <c r="DK412" i="17"/>
  <c r="DL412" i="17"/>
  <c r="DM412" i="17"/>
  <c r="DN412" i="17"/>
  <c r="DO412" i="17"/>
  <c r="DP412" i="17"/>
  <c r="DQ412" i="17"/>
  <c r="DR412" i="17"/>
  <c r="DS412" i="17"/>
  <c r="DT412" i="17"/>
  <c r="DU412" i="17"/>
  <c r="DV412" i="17"/>
  <c r="DW412" i="17"/>
  <c r="DX412" i="17"/>
  <c r="DY412" i="17"/>
  <c r="DZ412" i="17"/>
  <c r="EA412" i="17"/>
  <c r="EB412" i="17"/>
  <c r="EC412" i="17"/>
  <c r="ED412" i="17"/>
  <c r="EE412" i="17"/>
  <c r="EF412" i="17"/>
  <c r="EG412" i="17"/>
  <c r="EH412" i="17"/>
  <c r="EI412" i="17"/>
  <c r="EJ412" i="17"/>
  <c r="EK412" i="17"/>
  <c r="EL412" i="17"/>
  <c r="EM412" i="17"/>
  <c r="EN412" i="17"/>
  <c r="EO412" i="17"/>
  <c r="EP412" i="17"/>
  <c r="EQ412" i="17"/>
  <c r="ER412" i="17"/>
  <c r="ES412" i="17"/>
  <c r="ET412" i="17"/>
  <c r="EU412" i="17"/>
  <c r="EV412" i="17"/>
  <c r="EW412" i="17"/>
  <c r="EX412" i="17"/>
  <c r="EY412" i="17"/>
  <c r="EZ412" i="17"/>
  <c r="FA412" i="17"/>
  <c r="FB412" i="17"/>
  <c r="FC412" i="17"/>
  <c r="FD412" i="17"/>
  <c r="FE412" i="17"/>
  <c r="FF412" i="17"/>
  <c r="FG412" i="17"/>
  <c r="FH412" i="17"/>
  <c r="FI412" i="17"/>
  <c r="FJ412" i="17"/>
  <c r="FK412" i="17"/>
  <c r="FL412" i="17"/>
  <c r="FM412" i="17"/>
  <c r="FN412" i="17"/>
  <c r="FO412" i="17"/>
  <c r="FP412" i="17"/>
  <c r="FQ412" i="17"/>
  <c r="FR412" i="17"/>
  <c r="FS412" i="17"/>
  <c r="FT412" i="17"/>
  <c r="FU412" i="17"/>
  <c r="FV412" i="17"/>
  <c r="FW412" i="17"/>
  <c r="FX412" i="17"/>
  <c r="FY412" i="17"/>
  <c r="FZ412" i="17"/>
  <c r="GA412" i="17"/>
  <c r="GB412" i="17"/>
  <c r="GC412" i="17"/>
  <c r="GD412" i="17"/>
  <c r="GE412" i="17"/>
  <c r="GF412" i="17"/>
  <c r="GG412" i="17"/>
  <c r="GH412" i="17"/>
  <c r="GI412" i="17"/>
  <c r="GJ412" i="17"/>
  <c r="GK412" i="17"/>
  <c r="GL412" i="17"/>
  <c r="GM412" i="17"/>
  <c r="GN412" i="17"/>
  <c r="GO412" i="17"/>
  <c r="GP412" i="17"/>
  <c r="GQ412" i="17"/>
  <c r="GR412" i="17"/>
  <c r="GS412" i="17"/>
  <c r="GT412" i="17"/>
  <c r="GU412" i="17"/>
  <c r="GV412" i="17"/>
  <c r="GW412" i="17"/>
  <c r="GX412" i="17"/>
  <c r="GY412" i="17"/>
  <c r="GZ412" i="17"/>
  <c r="HA412" i="17"/>
  <c r="HB412" i="17"/>
  <c r="HC412" i="17"/>
  <c r="HD412" i="17"/>
  <c r="HE412" i="17"/>
  <c r="HF412" i="17"/>
  <c r="HG412" i="17"/>
  <c r="HH412" i="17"/>
  <c r="HI412" i="17"/>
  <c r="HJ412" i="17"/>
  <c r="HK412" i="17"/>
  <c r="HL412" i="17"/>
  <c r="HM412" i="17"/>
  <c r="HN412" i="17"/>
  <c r="HO412" i="17"/>
  <c r="HP412" i="17"/>
  <c r="HQ412" i="17"/>
  <c r="HR412" i="17"/>
  <c r="HS412" i="17"/>
  <c r="HT412" i="17"/>
  <c r="HU412" i="17"/>
  <c r="HV412" i="17"/>
  <c r="HW412" i="17"/>
  <c r="HX412" i="17"/>
  <c r="HY412" i="17"/>
  <c r="HZ412" i="17"/>
  <c r="IA412" i="17"/>
  <c r="IB412" i="17"/>
  <c r="IC412" i="17"/>
  <c r="ID412" i="17"/>
  <c r="IE412" i="17"/>
  <c r="IF412" i="17"/>
  <c r="IG412" i="17"/>
  <c r="IH412" i="17"/>
  <c r="II412" i="17"/>
  <c r="IJ412" i="17"/>
  <c r="IK412" i="17"/>
  <c r="IL412" i="17"/>
  <c r="IM412" i="17"/>
  <c r="IN412" i="17"/>
  <c r="IO412" i="17"/>
  <c r="IP412" i="17"/>
  <c r="IQ412" i="17"/>
  <c r="IR412" i="17"/>
  <c r="IS412" i="17"/>
  <c r="IT412" i="17"/>
  <c r="IU412" i="17"/>
  <c r="IV412" i="17"/>
  <c r="A411" i="17"/>
  <c r="B411" i="17"/>
  <c r="C411" i="17"/>
  <c r="D411" i="17"/>
  <c r="E411" i="17"/>
  <c r="F411" i="17"/>
  <c r="G411" i="17"/>
  <c r="H411" i="17"/>
  <c r="I411" i="17"/>
  <c r="J411" i="17"/>
  <c r="K411" i="17"/>
  <c r="L411" i="17"/>
  <c r="M411" i="17"/>
  <c r="N411" i="17"/>
  <c r="O411" i="17"/>
  <c r="P411" i="17"/>
  <c r="Q411" i="17"/>
  <c r="R411" i="17"/>
  <c r="S411" i="17"/>
  <c r="T411" i="17"/>
  <c r="V411" i="17"/>
  <c r="W411" i="17"/>
  <c r="X411" i="17"/>
  <c r="Y411" i="17"/>
  <c r="Z411" i="17"/>
  <c r="AA411" i="17"/>
  <c r="AB411" i="17"/>
  <c r="AC411" i="17"/>
  <c r="AD411" i="17"/>
  <c r="AE411" i="17"/>
  <c r="AF411" i="17"/>
  <c r="AG411" i="17"/>
  <c r="AH411" i="17"/>
  <c r="AI411" i="17"/>
  <c r="AJ411" i="17"/>
  <c r="AK411" i="17"/>
  <c r="AL411" i="17"/>
  <c r="AM411" i="17"/>
  <c r="AN411" i="17"/>
  <c r="AO411" i="17"/>
  <c r="AP411" i="17"/>
  <c r="AQ411" i="17"/>
  <c r="AR411" i="17"/>
  <c r="AS411" i="17"/>
  <c r="AT411" i="17"/>
  <c r="AU411" i="17"/>
  <c r="AV411" i="17"/>
  <c r="AW411" i="17"/>
  <c r="AX411" i="17"/>
  <c r="AY411" i="17"/>
  <c r="AZ411" i="17"/>
  <c r="BA411" i="17"/>
  <c r="BB411" i="17"/>
  <c r="BC411" i="17"/>
  <c r="BD411" i="17"/>
  <c r="BE411" i="17"/>
  <c r="BF411" i="17"/>
  <c r="BG411" i="17"/>
  <c r="BH411" i="17"/>
  <c r="BI411" i="17"/>
  <c r="BJ411" i="17"/>
  <c r="BK411" i="17"/>
  <c r="BL411" i="17"/>
  <c r="BM411" i="17"/>
  <c r="BN411" i="17"/>
  <c r="BO411" i="17"/>
  <c r="BP411" i="17"/>
  <c r="BQ411" i="17"/>
  <c r="BR411" i="17"/>
  <c r="BS411" i="17"/>
  <c r="BT411" i="17"/>
  <c r="BU411" i="17"/>
  <c r="BV411" i="17"/>
  <c r="BW411" i="17"/>
  <c r="BX411" i="17"/>
  <c r="BY411" i="17"/>
  <c r="BZ411" i="17"/>
  <c r="CA411" i="17"/>
  <c r="CB411" i="17"/>
  <c r="CC411" i="17"/>
  <c r="CD411" i="17"/>
  <c r="CE411" i="17"/>
  <c r="CF411" i="17"/>
  <c r="CG411" i="17"/>
  <c r="CH411" i="17"/>
  <c r="CI411" i="17"/>
  <c r="CJ411" i="17"/>
  <c r="CK411" i="17"/>
  <c r="CL411" i="17"/>
  <c r="CM411" i="17"/>
  <c r="CN411" i="17"/>
  <c r="CO411" i="17"/>
  <c r="CP411" i="17"/>
  <c r="CQ411" i="17"/>
  <c r="CR411" i="17"/>
  <c r="CS411" i="17"/>
  <c r="CT411" i="17"/>
  <c r="CU411" i="17"/>
  <c r="CV411" i="17"/>
  <c r="CW411" i="17"/>
  <c r="CX411" i="17"/>
  <c r="CY411" i="17"/>
  <c r="CZ411" i="17"/>
  <c r="DA411" i="17"/>
  <c r="DB411" i="17"/>
  <c r="DC411" i="17"/>
  <c r="DD411" i="17"/>
  <c r="DE411" i="17"/>
  <c r="DF411" i="17"/>
  <c r="DG411" i="17"/>
  <c r="DH411" i="17"/>
  <c r="DI411" i="17"/>
  <c r="DJ411" i="17"/>
  <c r="DK411" i="17"/>
  <c r="DL411" i="17"/>
  <c r="DM411" i="17"/>
  <c r="DN411" i="17"/>
  <c r="DO411" i="17"/>
  <c r="DP411" i="17"/>
  <c r="DQ411" i="17"/>
  <c r="DR411" i="17"/>
  <c r="DS411" i="17"/>
  <c r="DT411" i="17"/>
  <c r="DU411" i="17"/>
  <c r="DV411" i="17"/>
  <c r="DW411" i="17"/>
  <c r="DX411" i="17"/>
  <c r="DY411" i="17"/>
  <c r="DZ411" i="17"/>
  <c r="EA411" i="17"/>
  <c r="EB411" i="17"/>
  <c r="EC411" i="17"/>
  <c r="ED411" i="17"/>
  <c r="EE411" i="17"/>
  <c r="EF411" i="17"/>
  <c r="EG411" i="17"/>
  <c r="EH411" i="17"/>
  <c r="EI411" i="17"/>
  <c r="EJ411" i="17"/>
  <c r="EK411" i="17"/>
  <c r="EL411" i="17"/>
  <c r="EM411" i="17"/>
  <c r="EN411" i="17"/>
  <c r="EO411" i="17"/>
  <c r="EP411" i="17"/>
  <c r="EQ411" i="17"/>
  <c r="ER411" i="17"/>
  <c r="ES411" i="17"/>
  <c r="ET411" i="17"/>
  <c r="EU411" i="17"/>
  <c r="EV411" i="17"/>
  <c r="EW411" i="17"/>
  <c r="EX411" i="17"/>
  <c r="EY411" i="17"/>
  <c r="EZ411" i="17"/>
  <c r="FA411" i="17"/>
  <c r="FB411" i="17"/>
  <c r="FC411" i="17"/>
  <c r="FD411" i="17"/>
  <c r="FE411" i="17"/>
  <c r="FF411" i="17"/>
  <c r="FG411" i="17"/>
  <c r="FH411" i="17"/>
  <c r="FI411" i="17"/>
  <c r="FJ411" i="17"/>
  <c r="FK411" i="17"/>
  <c r="FL411" i="17"/>
  <c r="FM411" i="17"/>
  <c r="FN411" i="17"/>
  <c r="FO411" i="17"/>
  <c r="FP411" i="17"/>
  <c r="FQ411" i="17"/>
  <c r="FR411" i="17"/>
  <c r="FS411" i="17"/>
  <c r="FT411" i="17"/>
  <c r="FU411" i="17"/>
  <c r="FV411" i="17"/>
  <c r="FW411" i="17"/>
  <c r="FX411" i="17"/>
  <c r="FY411" i="17"/>
  <c r="FZ411" i="17"/>
  <c r="GA411" i="17"/>
  <c r="GB411" i="17"/>
  <c r="GC411" i="17"/>
  <c r="GD411" i="17"/>
  <c r="GE411" i="17"/>
  <c r="GF411" i="17"/>
  <c r="GG411" i="17"/>
  <c r="GH411" i="17"/>
  <c r="GI411" i="17"/>
  <c r="GJ411" i="17"/>
  <c r="GK411" i="17"/>
  <c r="GL411" i="17"/>
  <c r="GM411" i="17"/>
  <c r="GN411" i="17"/>
  <c r="GO411" i="17"/>
  <c r="GP411" i="17"/>
  <c r="GQ411" i="17"/>
  <c r="GR411" i="17"/>
  <c r="GS411" i="17"/>
  <c r="GT411" i="17"/>
  <c r="GU411" i="17"/>
  <c r="GV411" i="17"/>
  <c r="GW411" i="17"/>
  <c r="GX411" i="17"/>
  <c r="GY411" i="17"/>
  <c r="GZ411" i="17"/>
  <c r="HA411" i="17"/>
  <c r="HB411" i="17"/>
  <c r="HC411" i="17"/>
  <c r="HD411" i="17"/>
  <c r="HE411" i="17"/>
  <c r="HF411" i="17"/>
  <c r="HG411" i="17"/>
  <c r="HH411" i="17"/>
  <c r="HI411" i="17"/>
  <c r="HJ411" i="17"/>
  <c r="HK411" i="17"/>
  <c r="HL411" i="17"/>
  <c r="HM411" i="17"/>
  <c r="HN411" i="17"/>
  <c r="HO411" i="17"/>
  <c r="HP411" i="17"/>
  <c r="HQ411" i="17"/>
  <c r="HR411" i="17"/>
  <c r="HS411" i="17"/>
  <c r="HT411" i="17"/>
  <c r="HU411" i="17"/>
  <c r="HV411" i="17"/>
  <c r="HW411" i="17"/>
  <c r="HX411" i="17"/>
  <c r="HY411" i="17"/>
  <c r="HZ411" i="17"/>
  <c r="IA411" i="17"/>
  <c r="IB411" i="17"/>
  <c r="IC411" i="17"/>
  <c r="ID411" i="17"/>
  <c r="IE411" i="17"/>
  <c r="IF411" i="17"/>
  <c r="IG411" i="17"/>
  <c r="IH411" i="17"/>
  <c r="II411" i="17"/>
  <c r="IJ411" i="17"/>
  <c r="IK411" i="17"/>
  <c r="IL411" i="17"/>
  <c r="IM411" i="17"/>
  <c r="IN411" i="17"/>
  <c r="IO411" i="17"/>
  <c r="IP411" i="17"/>
  <c r="IQ411" i="17"/>
  <c r="IR411" i="17"/>
  <c r="IS411" i="17"/>
  <c r="IT411" i="17"/>
  <c r="IU411" i="17"/>
  <c r="IV411" i="17"/>
  <c r="A410" i="17"/>
  <c r="B410" i="17"/>
  <c r="C410" i="17"/>
  <c r="D410" i="17"/>
  <c r="E410" i="17"/>
  <c r="F410" i="17"/>
  <c r="G410" i="17"/>
  <c r="H410" i="17"/>
  <c r="I410" i="17"/>
  <c r="J410" i="17"/>
  <c r="K410" i="17"/>
  <c r="L410" i="17"/>
  <c r="M410" i="17"/>
  <c r="N410" i="17"/>
  <c r="O410" i="17"/>
  <c r="P410" i="17"/>
  <c r="Q410" i="17"/>
  <c r="R410" i="17"/>
  <c r="S410" i="17"/>
  <c r="T410" i="17"/>
  <c r="U410" i="17"/>
  <c r="V410" i="17"/>
  <c r="W410" i="17"/>
  <c r="X410" i="17"/>
  <c r="Y410" i="17"/>
  <c r="Z410" i="17"/>
  <c r="AA410" i="17"/>
  <c r="AB410" i="17"/>
  <c r="AC410" i="17"/>
  <c r="AD410" i="17"/>
  <c r="AE410" i="17"/>
  <c r="AF410" i="17"/>
  <c r="AG410" i="17"/>
  <c r="AH410" i="17"/>
  <c r="AI410" i="17"/>
  <c r="AJ410" i="17"/>
  <c r="AK410" i="17"/>
  <c r="AL410" i="17"/>
  <c r="AM410" i="17"/>
  <c r="AN410" i="17"/>
  <c r="AO410" i="17"/>
  <c r="AP410" i="17"/>
  <c r="AQ410" i="17"/>
  <c r="AR410" i="17"/>
  <c r="AS410" i="17"/>
  <c r="AT410" i="17"/>
  <c r="AU410" i="17"/>
  <c r="AV410" i="17"/>
  <c r="AW410" i="17"/>
  <c r="AX410" i="17"/>
  <c r="AY410" i="17"/>
  <c r="AZ410" i="17"/>
  <c r="BA410" i="17"/>
  <c r="BB410" i="17"/>
  <c r="BC410" i="17"/>
  <c r="BD410" i="17"/>
  <c r="BE410" i="17"/>
  <c r="BF410" i="17"/>
  <c r="BG410" i="17"/>
  <c r="BH410" i="17"/>
  <c r="BI410" i="17"/>
  <c r="BJ410" i="17"/>
  <c r="BK410" i="17"/>
  <c r="BL410" i="17"/>
  <c r="BM410" i="17"/>
  <c r="BN410" i="17"/>
  <c r="BO410" i="17"/>
  <c r="BP410" i="17"/>
  <c r="BQ410" i="17"/>
  <c r="BR410" i="17"/>
  <c r="BS410" i="17"/>
  <c r="BT410" i="17"/>
  <c r="BU410" i="17"/>
  <c r="BV410" i="17"/>
  <c r="BW410" i="17"/>
  <c r="BX410" i="17"/>
  <c r="BY410" i="17"/>
  <c r="BZ410" i="17"/>
  <c r="CA410" i="17"/>
  <c r="CB410" i="17"/>
  <c r="CC410" i="17"/>
  <c r="CD410" i="17"/>
  <c r="CE410" i="17"/>
  <c r="CF410" i="17"/>
  <c r="CG410" i="17"/>
  <c r="CH410" i="17"/>
  <c r="CI410" i="17"/>
  <c r="CJ410" i="17"/>
  <c r="CK410" i="17"/>
  <c r="CL410" i="17"/>
  <c r="CM410" i="17"/>
  <c r="CN410" i="17"/>
  <c r="CO410" i="17"/>
  <c r="CP410" i="17"/>
  <c r="CQ410" i="17"/>
  <c r="CR410" i="17"/>
  <c r="CS410" i="17"/>
  <c r="CT410" i="17"/>
  <c r="CU410" i="17"/>
  <c r="CV410" i="17"/>
  <c r="CW410" i="17"/>
  <c r="CX410" i="17"/>
  <c r="CY410" i="17"/>
  <c r="CZ410" i="17"/>
  <c r="DA410" i="17"/>
  <c r="DB410" i="17"/>
  <c r="DC410" i="17"/>
  <c r="DD410" i="17"/>
  <c r="DE410" i="17"/>
  <c r="DF410" i="17"/>
  <c r="DG410" i="17"/>
  <c r="DH410" i="17"/>
  <c r="DI410" i="17"/>
  <c r="DJ410" i="17"/>
  <c r="DK410" i="17"/>
  <c r="DL410" i="17"/>
  <c r="DM410" i="17"/>
  <c r="DN410" i="17"/>
  <c r="DO410" i="17"/>
  <c r="DP410" i="17"/>
  <c r="DQ410" i="17"/>
  <c r="DR410" i="17"/>
  <c r="DS410" i="17"/>
  <c r="DT410" i="17"/>
  <c r="DU410" i="17"/>
  <c r="DV410" i="17"/>
  <c r="DW410" i="17"/>
  <c r="DX410" i="17"/>
  <c r="DY410" i="17"/>
  <c r="DZ410" i="17"/>
  <c r="EA410" i="17"/>
  <c r="EB410" i="17"/>
  <c r="EC410" i="17"/>
  <c r="ED410" i="17"/>
  <c r="EE410" i="17"/>
  <c r="EF410" i="17"/>
  <c r="EG410" i="17"/>
  <c r="EH410" i="17"/>
  <c r="EI410" i="17"/>
  <c r="EJ410" i="17"/>
  <c r="EK410" i="17"/>
  <c r="EL410" i="17"/>
  <c r="EM410" i="17"/>
  <c r="EN410" i="17"/>
  <c r="EO410" i="17"/>
  <c r="EP410" i="17"/>
  <c r="EQ410" i="17"/>
  <c r="ER410" i="17"/>
  <c r="ES410" i="17"/>
  <c r="ET410" i="17"/>
  <c r="EU410" i="17"/>
  <c r="EV410" i="17"/>
  <c r="EW410" i="17"/>
  <c r="EX410" i="17"/>
  <c r="EY410" i="17"/>
  <c r="EZ410" i="17"/>
  <c r="FA410" i="17"/>
  <c r="FB410" i="17"/>
  <c r="FC410" i="17"/>
  <c r="FD410" i="17"/>
  <c r="FE410" i="17"/>
  <c r="FF410" i="17"/>
  <c r="FG410" i="17"/>
  <c r="FH410" i="17"/>
  <c r="FI410" i="17"/>
  <c r="FJ410" i="17"/>
  <c r="FK410" i="17"/>
  <c r="FL410" i="17"/>
  <c r="FM410" i="17"/>
  <c r="FN410" i="17"/>
  <c r="FO410" i="17"/>
  <c r="FP410" i="17"/>
  <c r="FQ410" i="17"/>
  <c r="FR410" i="17"/>
  <c r="FS410" i="17"/>
  <c r="FT410" i="17"/>
  <c r="FU410" i="17"/>
  <c r="FV410" i="17"/>
  <c r="FW410" i="17"/>
  <c r="FX410" i="17"/>
  <c r="FY410" i="17"/>
  <c r="FZ410" i="17"/>
  <c r="GA410" i="17"/>
  <c r="GB410" i="17"/>
  <c r="GC410" i="17"/>
  <c r="GD410" i="17"/>
  <c r="GE410" i="17"/>
  <c r="GF410" i="17"/>
  <c r="GG410" i="17"/>
  <c r="GH410" i="17"/>
  <c r="GI410" i="17"/>
  <c r="GJ410" i="17"/>
  <c r="GK410" i="17"/>
  <c r="GL410" i="17"/>
  <c r="GM410" i="17"/>
  <c r="GN410" i="17"/>
  <c r="GO410" i="17"/>
  <c r="GP410" i="17"/>
  <c r="GQ410" i="17"/>
  <c r="GR410" i="17"/>
  <c r="GS410" i="17"/>
  <c r="GT410" i="17"/>
  <c r="GU410" i="17"/>
  <c r="GV410" i="17"/>
  <c r="GW410" i="17"/>
  <c r="GX410" i="17"/>
  <c r="GY410" i="17"/>
  <c r="GZ410" i="17"/>
  <c r="HA410" i="17"/>
  <c r="HB410" i="17"/>
  <c r="HC410" i="17"/>
  <c r="HD410" i="17"/>
  <c r="HE410" i="17"/>
  <c r="HF410" i="17"/>
  <c r="HG410" i="17"/>
  <c r="HH410" i="17"/>
  <c r="HI410" i="17"/>
  <c r="HJ410" i="17"/>
  <c r="HK410" i="17"/>
  <c r="HL410" i="17"/>
  <c r="HM410" i="17"/>
  <c r="HN410" i="17"/>
  <c r="HO410" i="17"/>
  <c r="HP410" i="17"/>
  <c r="HQ410" i="17"/>
  <c r="HR410" i="17"/>
  <c r="HS410" i="17"/>
  <c r="HT410" i="17"/>
  <c r="HU410" i="17"/>
  <c r="HV410" i="17"/>
  <c r="HW410" i="17"/>
  <c r="HX410" i="17"/>
  <c r="HY410" i="17"/>
  <c r="HZ410" i="17"/>
  <c r="IA410" i="17"/>
  <c r="IB410" i="17"/>
  <c r="IC410" i="17"/>
  <c r="ID410" i="17"/>
  <c r="IE410" i="17"/>
  <c r="IF410" i="17"/>
  <c r="IG410" i="17"/>
  <c r="IH410" i="17"/>
  <c r="II410" i="17"/>
  <c r="IJ410" i="17"/>
  <c r="IK410" i="17"/>
  <c r="IL410" i="17"/>
  <c r="IM410" i="17"/>
  <c r="IN410" i="17"/>
  <c r="IO410" i="17"/>
  <c r="IP410" i="17"/>
  <c r="IQ410" i="17"/>
  <c r="IR410" i="17"/>
  <c r="IS410" i="17"/>
  <c r="IT410" i="17"/>
  <c r="IU410" i="17"/>
  <c r="IV410" i="17"/>
  <c r="A409" i="17"/>
  <c r="B409" i="17"/>
  <c r="C409" i="17"/>
  <c r="D409" i="17"/>
  <c r="E409" i="17"/>
  <c r="F409" i="17"/>
  <c r="G409" i="17"/>
  <c r="I409" i="17"/>
  <c r="J409" i="17"/>
  <c r="K409" i="17"/>
  <c r="L409" i="17"/>
  <c r="M409" i="17"/>
  <c r="N409" i="17"/>
  <c r="O409" i="17"/>
  <c r="P409" i="17"/>
  <c r="Q409" i="17"/>
  <c r="R409" i="17"/>
  <c r="S409" i="17"/>
  <c r="T409" i="17"/>
  <c r="U409" i="17"/>
  <c r="V409" i="17"/>
  <c r="W409" i="17"/>
  <c r="X409" i="17"/>
  <c r="Y409" i="17"/>
  <c r="Z409" i="17"/>
  <c r="AA409" i="17"/>
  <c r="AB409" i="17"/>
  <c r="AC409" i="17"/>
  <c r="AD409" i="17"/>
  <c r="AE409" i="17"/>
  <c r="AF409" i="17"/>
  <c r="AG409" i="17"/>
  <c r="AH409" i="17"/>
  <c r="AI409" i="17"/>
  <c r="AJ409" i="17"/>
  <c r="AK409" i="17"/>
  <c r="AL409" i="17"/>
  <c r="AM409" i="17"/>
  <c r="AN409" i="17"/>
  <c r="AO409" i="17"/>
  <c r="AP409" i="17"/>
  <c r="AQ409" i="17"/>
  <c r="AR409" i="17"/>
  <c r="AS409" i="17"/>
  <c r="AT409" i="17"/>
  <c r="AU409" i="17"/>
  <c r="AV409" i="17"/>
  <c r="AW409" i="17"/>
  <c r="AX409" i="17"/>
  <c r="AY409" i="17"/>
  <c r="AZ409" i="17"/>
  <c r="BA409" i="17"/>
  <c r="BB409" i="17"/>
  <c r="BC409" i="17"/>
  <c r="BD409" i="17"/>
  <c r="BE409" i="17"/>
  <c r="BF409" i="17"/>
  <c r="BG409" i="17"/>
  <c r="BH409" i="17"/>
  <c r="BI409" i="17"/>
  <c r="BJ409" i="17"/>
  <c r="BK409" i="17"/>
  <c r="BL409" i="17"/>
  <c r="BM409" i="17"/>
  <c r="BN409" i="17"/>
  <c r="BO409" i="17"/>
  <c r="BP409" i="17"/>
  <c r="BQ409" i="17"/>
  <c r="BR409" i="17"/>
  <c r="BS409" i="17"/>
  <c r="BT409" i="17"/>
  <c r="BU409" i="17"/>
  <c r="BV409" i="17"/>
  <c r="BW409" i="17"/>
  <c r="BX409" i="17"/>
  <c r="BY409" i="17"/>
  <c r="BZ409" i="17"/>
  <c r="CA409" i="17"/>
  <c r="CB409" i="17"/>
  <c r="CC409" i="17"/>
  <c r="CD409" i="17"/>
  <c r="CE409" i="17"/>
  <c r="CF409" i="17"/>
  <c r="CG409" i="17"/>
  <c r="CH409" i="17"/>
  <c r="CI409" i="17"/>
  <c r="CJ409" i="17"/>
  <c r="CK409" i="17"/>
  <c r="CL409" i="17"/>
  <c r="CM409" i="17"/>
  <c r="CN409" i="17"/>
  <c r="CO409" i="17"/>
  <c r="CP409" i="17"/>
  <c r="CQ409" i="17"/>
  <c r="CR409" i="17"/>
  <c r="CS409" i="17"/>
  <c r="CT409" i="17"/>
  <c r="CU409" i="17"/>
  <c r="CV409" i="17"/>
  <c r="CW409" i="17"/>
  <c r="CX409" i="17"/>
  <c r="CY409" i="17"/>
  <c r="CZ409" i="17"/>
  <c r="DA409" i="17"/>
  <c r="DB409" i="17"/>
  <c r="DC409" i="17"/>
  <c r="DD409" i="17"/>
  <c r="DE409" i="17"/>
  <c r="DF409" i="17"/>
  <c r="DG409" i="17"/>
  <c r="DH409" i="17"/>
  <c r="DI409" i="17"/>
  <c r="DJ409" i="17"/>
  <c r="DK409" i="17"/>
  <c r="DL409" i="17"/>
  <c r="DM409" i="17"/>
  <c r="DN409" i="17"/>
  <c r="DO409" i="17"/>
  <c r="DP409" i="17"/>
  <c r="DQ409" i="17"/>
  <c r="DR409" i="17"/>
  <c r="DS409" i="17"/>
  <c r="DT409" i="17"/>
  <c r="DU409" i="17"/>
  <c r="DV409" i="17"/>
  <c r="DW409" i="17"/>
  <c r="DX409" i="17"/>
  <c r="DY409" i="17"/>
  <c r="DZ409" i="17"/>
  <c r="EA409" i="17"/>
  <c r="EB409" i="17"/>
  <c r="EC409" i="17"/>
  <c r="ED409" i="17"/>
  <c r="EE409" i="17"/>
  <c r="EF409" i="17"/>
  <c r="EG409" i="17"/>
  <c r="EH409" i="17"/>
  <c r="EI409" i="17"/>
  <c r="EJ409" i="17"/>
  <c r="EK409" i="17"/>
  <c r="EL409" i="17"/>
  <c r="EM409" i="17"/>
  <c r="EN409" i="17"/>
  <c r="EO409" i="17"/>
  <c r="EP409" i="17"/>
  <c r="EQ409" i="17"/>
  <c r="ER409" i="17"/>
  <c r="ES409" i="17"/>
  <c r="ET409" i="17"/>
  <c r="EU409" i="17"/>
  <c r="EV409" i="17"/>
  <c r="EW409" i="17"/>
  <c r="EX409" i="17"/>
  <c r="EY409" i="17"/>
  <c r="EZ409" i="17"/>
  <c r="FA409" i="17"/>
  <c r="FB409" i="17"/>
  <c r="FC409" i="17"/>
  <c r="FD409" i="17"/>
  <c r="FE409" i="17"/>
  <c r="FF409" i="17"/>
  <c r="FG409" i="17"/>
  <c r="FH409" i="17"/>
  <c r="FI409" i="17"/>
  <c r="FJ409" i="17"/>
  <c r="FK409" i="17"/>
  <c r="FL409" i="17"/>
  <c r="FM409" i="17"/>
  <c r="FN409" i="17"/>
  <c r="FO409" i="17"/>
  <c r="FP409" i="17"/>
  <c r="FQ409" i="17"/>
  <c r="FR409" i="17"/>
  <c r="FS409" i="17"/>
  <c r="FT409" i="17"/>
  <c r="FU409" i="17"/>
  <c r="FV409" i="17"/>
  <c r="FW409" i="17"/>
  <c r="FX409" i="17"/>
  <c r="FY409" i="17"/>
  <c r="FZ409" i="17"/>
  <c r="GA409" i="17"/>
  <c r="GB409" i="17"/>
  <c r="GC409" i="17"/>
  <c r="GD409" i="17"/>
  <c r="GE409" i="17"/>
  <c r="GF409" i="17"/>
  <c r="GG409" i="17"/>
  <c r="GH409" i="17"/>
  <c r="GI409" i="17"/>
  <c r="GJ409" i="17"/>
  <c r="GK409" i="17"/>
  <c r="GL409" i="17"/>
  <c r="GM409" i="17"/>
  <c r="GN409" i="17"/>
  <c r="GO409" i="17"/>
  <c r="GP409" i="17"/>
  <c r="GQ409" i="17"/>
  <c r="GR409" i="17"/>
  <c r="GS409" i="17"/>
  <c r="GT409" i="17"/>
  <c r="GU409" i="17"/>
  <c r="GV409" i="17"/>
  <c r="GW409" i="17"/>
  <c r="GX409" i="17"/>
  <c r="GY409" i="17"/>
  <c r="GZ409" i="17"/>
  <c r="HA409" i="17"/>
  <c r="HB409" i="17"/>
  <c r="HC409" i="17"/>
  <c r="HD409" i="17"/>
  <c r="HE409" i="17"/>
  <c r="HF409" i="17"/>
  <c r="HG409" i="17"/>
  <c r="HH409" i="17"/>
  <c r="HI409" i="17"/>
  <c r="HJ409" i="17"/>
  <c r="HK409" i="17"/>
  <c r="HL409" i="17"/>
  <c r="HM409" i="17"/>
  <c r="HN409" i="17"/>
  <c r="HO409" i="17"/>
  <c r="HP409" i="17"/>
  <c r="HQ409" i="17"/>
  <c r="HR409" i="17"/>
  <c r="HS409" i="17"/>
  <c r="HT409" i="17"/>
  <c r="HU409" i="17"/>
  <c r="HV409" i="17"/>
  <c r="HW409" i="17"/>
  <c r="HX409" i="17"/>
  <c r="HY409" i="17"/>
  <c r="HZ409" i="17"/>
  <c r="IA409" i="17"/>
  <c r="IB409" i="17"/>
  <c r="IC409" i="17"/>
  <c r="ID409" i="17"/>
  <c r="IE409" i="17"/>
  <c r="IF409" i="17"/>
  <c r="IG409" i="17"/>
  <c r="IH409" i="17"/>
  <c r="II409" i="17"/>
  <c r="IJ409" i="17"/>
  <c r="IK409" i="17"/>
  <c r="IL409" i="17"/>
  <c r="IM409" i="17"/>
  <c r="IN409" i="17"/>
  <c r="IO409" i="17"/>
  <c r="IP409" i="17"/>
  <c r="IQ409" i="17"/>
  <c r="IR409" i="17"/>
  <c r="IS409" i="17"/>
  <c r="IT409" i="17"/>
  <c r="IU409" i="17"/>
  <c r="IV409" i="17"/>
  <c r="A408" i="17"/>
  <c r="B408" i="17"/>
  <c r="C408" i="17"/>
  <c r="D408" i="17"/>
  <c r="E408" i="17"/>
  <c r="F408" i="17"/>
  <c r="G408" i="17"/>
  <c r="H408" i="17"/>
  <c r="I408" i="17"/>
  <c r="J408" i="17"/>
  <c r="K408" i="17"/>
  <c r="L408" i="17"/>
  <c r="M408" i="17"/>
  <c r="N408" i="17"/>
  <c r="O408" i="17"/>
  <c r="P408" i="17"/>
  <c r="Q408" i="17"/>
  <c r="R408" i="17"/>
  <c r="S408" i="17"/>
  <c r="T408" i="17"/>
  <c r="U408" i="17"/>
  <c r="V408" i="17"/>
  <c r="W408" i="17"/>
  <c r="X408" i="17"/>
  <c r="Y408" i="17"/>
  <c r="Z408" i="17"/>
  <c r="AA408" i="17"/>
  <c r="AB408" i="17"/>
  <c r="AC408" i="17"/>
  <c r="AE408" i="17"/>
  <c r="AF408" i="17"/>
  <c r="AG408" i="17"/>
  <c r="AH408" i="17"/>
  <c r="AI408" i="17"/>
  <c r="AJ408" i="17"/>
  <c r="AK408" i="17"/>
  <c r="AL408" i="17"/>
  <c r="AM408" i="17"/>
  <c r="AN408" i="17"/>
  <c r="AO408" i="17"/>
  <c r="AP408" i="17"/>
  <c r="AQ408" i="17"/>
  <c r="AR408" i="17"/>
  <c r="AS408" i="17"/>
  <c r="AT408" i="17"/>
  <c r="AU408" i="17"/>
  <c r="AV408" i="17"/>
  <c r="AW408" i="17"/>
  <c r="AX408" i="17"/>
  <c r="AY408" i="17"/>
  <c r="AZ408" i="17"/>
  <c r="BA408" i="17"/>
  <c r="BB408" i="17"/>
  <c r="BC408" i="17"/>
  <c r="BD408" i="17"/>
  <c r="BE408" i="17"/>
  <c r="BF408" i="17"/>
  <c r="BG408" i="17"/>
  <c r="BH408" i="17"/>
  <c r="BI408" i="17"/>
  <c r="BJ408" i="17"/>
  <c r="BK408" i="17"/>
  <c r="BL408" i="17"/>
  <c r="BM408" i="17"/>
  <c r="BN408" i="17"/>
  <c r="BO408" i="17"/>
  <c r="BP408" i="17"/>
  <c r="BQ408" i="17"/>
  <c r="BR408" i="17"/>
  <c r="BS408" i="17"/>
  <c r="BT408" i="17"/>
  <c r="BU408" i="17"/>
  <c r="BV408" i="17"/>
  <c r="BW408" i="17"/>
  <c r="BX408" i="17"/>
  <c r="BY408" i="17"/>
  <c r="BZ408" i="17"/>
  <c r="CA408" i="17"/>
  <c r="CB408" i="17"/>
  <c r="CC408" i="17"/>
  <c r="CD408" i="17"/>
  <c r="CE408" i="17"/>
  <c r="CF408" i="17"/>
  <c r="CG408" i="17"/>
  <c r="CH408" i="17"/>
  <c r="CI408" i="17"/>
  <c r="CJ408" i="17"/>
  <c r="CK408" i="17"/>
  <c r="CL408" i="17"/>
  <c r="CM408" i="17"/>
  <c r="CN408" i="17"/>
  <c r="CO408" i="17"/>
  <c r="CP408" i="17"/>
  <c r="CQ408" i="17"/>
  <c r="CR408" i="17"/>
  <c r="CS408" i="17"/>
  <c r="CT408" i="17"/>
  <c r="CU408" i="17"/>
  <c r="CV408" i="17"/>
  <c r="CW408" i="17"/>
  <c r="CX408" i="17"/>
  <c r="CY408" i="17"/>
  <c r="CZ408" i="17"/>
  <c r="DA408" i="17"/>
  <c r="DB408" i="17"/>
  <c r="DC408" i="17"/>
  <c r="DD408" i="17"/>
  <c r="DE408" i="17"/>
  <c r="DF408" i="17"/>
  <c r="DG408" i="17"/>
  <c r="DH408" i="17"/>
  <c r="DI408" i="17"/>
  <c r="DJ408" i="17"/>
  <c r="DK408" i="17"/>
  <c r="DL408" i="17"/>
  <c r="DM408" i="17"/>
  <c r="DN408" i="17"/>
  <c r="DO408" i="17"/>
  <c r="DP408" i="17"/>
  <c r="DQ408" i="17"/>
  <c r="DR408" i="17"/>
  <c r="DS408" i="17"/>
  <c r="DT408" i="17"/>
  <c r="DU408" i="17"/>
  <c r="DV408" i="17"/>
  <c r="DW408" i="17"/>
  <c r="DX408" i="17"/>
  <c r="DY408" i="17"/>
  <c r="DZ408" i="17"/>
  <c r="EA408" i="17"/>
  <c r="EB408" i="17"/>
  <c r="EC408" i="17"/>
  <c r="ED408" i="17"/>
  <c r="EE408" i="17"/>
  <c r="EF408" i="17"/>
  <c r="EG408" i="17"/>
  <c r="EH408" i="17"/>
  <c r="EI408" i="17"/>
  <c r="EJ408" i="17"/>
  <c r="EK408" i="17"/>
  <c r="EL408" i="17"/>
  <c r="EM408" i="17"/>
  <c r="EN408" i="17"/>
  <c r="EO408" i="17"/>
  <c r="EP408" i="17"/>
  <c r="EQ408" i="17"/>
  <c r="ER408" i="17"/>
  <c r="ES408" i="17"/>
  <c r="ET408" i="17"/>
  <c r="EU408" i="17"/>
  <c r="EV408" i="17"/>
  <c r="EW408" i="17"/>
  <c r="EX408" i="17"/>
  <c r="EY408" i="17"/>
  <c r="EZ408" i="17"/>
  <c r="FA408" i="17"/>
  <c r="FB408" i="17"/>
  <c r="FC408" i="17"/>
  <c r="FD408" i="17"/>
  <c r="FE408" i="17"/>
  <c r="FF408" i="17"/>
  <c r="FG408" i="17"/>
  <c r="FH408" i="17"/>
  <c r="FI408" i="17"/>
  <c r="FJ408" i="17"/>
  <c r="FK408" i="17"/>
  <c r="FL408" i="17"/>
  <c r="FM408" i="17"/>
  <c r="FN408" i="17"/>
  <c r="FO408" i="17"/>
  <c r="FP408" i="17"/>
  <c r="FQ408" i="17"/>
  <c r="FR408" i="17"/>
  <c r="FS408" i="17"/>
  <c r="FT408" i="17"/>
  <c r="FU408" i="17"/>
  <c r="FV408" i="17"/>
  <c r="FW408" i="17"/>
  <c r="FX408" i="17"/>
  <c r="FY408" i="17"/>
  <c r="FZ408" i="17"/>
  <c r="GA408" i="17"/>
  <c r="GB408" i="17"/>
  <c r="GC408" i="17"/>
  <c r="GD408" i="17"/>
  <c r="GE408" i="17"/>
  <c r="GF408" i="17"/>
  <c r="GG408" i="17"/>
  <c r="GH408" i="17"/>
  <c r="GI408" i="17"/>
  <c r="GJ408" i="17"/>
  <c r="GK408" i="17"/>
  <c r="GL408" i="17"/>
  <c r="GM408" i="17"/>
  <c r="GN408" i="17"/>
  <c r="GO408" i="17"/>
  <c r="GP408" i="17"/>
  <c r="GQ408" i="17"/>
  <c r="GR408" i="17"/>
  <c r="GS408" i="17"/>
  <c r="GT408" i="17"/>
  <c r="GU408" i="17"/>
  <c r="GV408" i="17"/>
  <c r="GW408" i="17"/>
  <c r="GX408" i="17"/>
  <c r="GY408" i="17"/>
  <c r="GZ408" i="17"/>
  <c r="HA408" i="17"/>
  <c r="HB408" i="17"/>
  <c r="HC408" i="17"/>
  <c r="HD408" i="17"/>
  <c r="HE408" i="17"/>
  <c r="HF408" i="17"/>
  <c r="HG408" i="17"/>
  <c r="HH408" i="17"/>
  <c r="HI408" i="17"/>
  <c r="HJ408" i="17"/>
  <c r="HK408" i="17"/>
  <c r="HL408" i="17"/>
  <c r="HM408" i="17"/>
  <c r="HN408" i="17"/>
  <c r="HO408" i="17"/>
  <c r="HP408" i="17"/>
  <c r="HQ408" i="17"/>
  <c r="HR408" i="17"/>
  <c r="HS408" i="17"/>
  <c r="HT408" i="17"/>
  <c r="HU408" i="17"/>
  <c r="HV408" i="17"/>
  <c r="HW408" i="17"/>
  <c r="HX408" i="17"/>
  <c r="HY408" i="17"/>
  <c r="HZ408" i="17"/>
  <c r="IA408" i="17"/>
  <c r="IB408" i="17"/>
  <c r="IC408" i="17"/>
  <c r="ID408" i="17"/>
  <c r="IE408" i="17"/>
  <c r="IF408" i="17"/>
  <c r="IG408" i="17"/>
  <c r="IH408" i="17"/>
  <c r="II408" i="17"/>
  <c r="IJ408" i="17"/>
  <c r="IK408" i="17"/>
  <c r="IL408" i="17"/>
  <c r="IM408" i="17"/>
  <c r="IN408" i="17"/>
  <c r="IO408" i="17"/>
  <c r="IP408" i="17"/>
  <c r="IQ408" i="17"/>
  <c r="IR408" i="17"/>
  <c r="IS408" i="17"/>
  <c r="IT408" i="17"/>
  <c r="IU408" i="17"/>
  <c r="IV408" i="17"/>
  <c r="A407" i="17"/>
  <c r="B407" i="17"/>
  <c r="C407" i="17"/>
  <c r="D407" i="17"/>
  <c r="E407" i="17"/>
  <c r="F407" i="17"/>
  <c r="G407" i="17"/>
  <c r="H407" i="17"/>
  <c r="I407" i="17"/>
  <c r="J407" i="17"/>
  <c r="K407" i="17"/>
  <c r="L407" i="17"/>
  <c r="N407" i="17"/>
  <c r="O407" i="17"/>
  <c r="P407" i="17"/>
  <c r="Q407" i="17"/>
  <c r="R407" i="17"/>
  <c r="S407" i="17"/>
  <c r="T407" i="17"/>
  <c r="U407" i="17"/>
  <c r="V407" i="17"/>
  <c r="W407" i="17"/>
  <c r="X407" i="17"/>
  <c r="Y407" i="17"/>
  <c r="Z407" i="17"/>
  <c r="AA407" i="17"/>
  <c r="AB407" i="17"/>
  <c r="AC407" i="17"/>
  <c r="AD407" i="17"/>
  <c r="AE407" i="17"/>
  <c r="AF407" i="17"/>
  <c r="AG407" i="17"/>
  <c r="AH407" i="17"/>
  <c r="AI407" i="17"/>
  <c r="AJ407" i="17"/>
  <c r="AK407" i="17"/>
  <c r="AL407" i="17"/>
  <c r="AM407" i="17"/>
  <c r="AN407" i="17"/>
  <c r="AO407" i="17"/>
  <c r="AP407" i="17"/>
  <c r="AQ407" i="17"/>
  <c r="AR407" i="17"/>
  <c r="AS407" i="17"/>
  <c r="AT407" i="17"/>
  <c r="AU407" i="17"/>
  <c r="AV407" i="17"/>
  <c r="AW407" i="17"/>
  <c r="AX407" i="17"/>
  <c r="AY407" i="17"/>
  <c r="AZ407" i="17"/>
  <c r="BA407" i="17"/>
  <c r="BB407" i="17"/>
  <c r="BC407" i="17"/>
  <c r="BD407" i="17"/>
  <c r="BE407" i="17"/>
  <c r="BF407" i="17"/>
  <c r="BG407" i="17"/>
  <c r="BH407" i="17"/>
  <c r="BI407" i="17"/>
  <c r="BJ407" i="17"/>
  <c r="BK407" i="17"/>
  <c r="BL407" i="17"/>
  <c r="BM407" i="17"/>
  <c r="BN407" i="17"/>
  <c r="BO407" i="17"/>
  <c r="BP407" i="17"/>
  <c r="BQ407" i="17"/>
  <c r="BR407" i="17"/>
  <c r="BS407" i="17"/>
  <c r="BT407" i="17"/>
  <c r="BU407" i="17"/>
  <c r="BV407" i="17"/>
  <c r="BW407" i="17"/>
  <c r="BX407" i="17"/>
  <c r="BY407" i="17"/>
  <c r="BZ407" i="17"/>
  <c r="CA407" i="17"/>
  <c r="CB407" i="17"/>
  <c r="CC407" i="17"/>
  <c r="CD407" i="17"/>
  <c r="CE407" i="17"/>
  <c r="CF407" i="17"/>
  <c r="CG407" i="17"/>
  <c r="CH407" i="17"/>
  <c r="CI407" i="17"/>
  <c r="CJ407" i="17"/>
  <c r="CK407" i="17"/>
  <c r="CL407" i="17"/>
  <c r="CM407" i="17"/>
  <c r="CN407" i="17"/>
  <c r="CO407" i="17"/>
  <c r="CP407" i="17"/>
  <c r="CQ407" i="17"/>
  <c r="CR407" i="17"/>
  <c r="CS407" i="17"/>
  <c r="CT407" i="17"/>
  <c r="CU407" i="17"/>
  <c r="CV407" i="17"/>
  <c r="CW407" i="17"/>
  <c r="CX407" i="17"/>
  <c r="CY407" i="17"/>
  <c r="CZ407" i="17"/>
  <c r="DA407" i="17"/>
  <c r="DB407" i="17"/>
  <c r="DC407" i="17"/>
  <c r="DD407" i="17"/>
  <c r="DE407" i="17"/>
  <c r="DF407" i="17"/>
  <c r="DG407" i="17"/>
  <c r="DH407" i="17"/>
  <c r="DI407" i="17"/>
  <c r="DJ407" i="17"/>
  <c r="DK407" i="17"/>
  <c r="DL407" i="17"/>
  <c r="DM407" i="17"/>
  <c r="DN407" i="17"/>
  <c r="DO407" i="17"/>
  <c r="DP407" i="17"/>
  <c r="DQ407" i="17"/>
  <c r="DR407" i="17"/>
  <c r="DS407" i="17"/>
  <c r="DT407" i="17"/>
  <c r="DU407" i="17"/>
  <c r="DV407" i="17"/>
  <c r="DW407" i="17"/>
  <c r="DX407" i="17"/>
  <c r="DY407" i="17"/>
  <c r="DZ407" i="17"/>
  <c r="EA407" i="17"/>
  <c r="EB407" i="17"/>
  <c r="EC407" i="17"/>
  <c r="ED407" i="17"/>
  <c r="EE407" i="17"/>
  <c r="EF407" i="17"/>
  <c r="EG407" i="17"/>
  <c r="EH407" i="17"/>
  <c r="EI407" i="17"/>
  <c r="EJ407" i="17"/>
  <c r="EK407" i="17"/>
  <c r="EL407" i="17"/>
  <c r="EM407" i="17"/>
  <c r="EN407" i="17"/>
  <c r="EO407" i="17"/>
  <c r="EP407" i="17"/>
  <c r="EQ407" i="17"/>
  <c r="ER407" i="17"/>
  <c r="ES407" i="17"/>
  <c r="ET407" i="17"/>
  <c r="EU407" i="17"/>
  <c r="EV407" i="17"/>
  <c r="EW407" i="17"/>
  <c r="EX407" i="17"/>
  <c r="EY407" i="17"/>
  <c r="EZ407" i="17"/>
  <c r="FA407" i="17"/>
  <c r="FB407" i="17"/>
  <c r="FC407" i="17"/>
  <c r="FD407" i="17"/>
  <c r="FE407" i="17"/>
  <c r="FF407" i="17"/>
  <c r="FG407" i="17"/>
  <c r="FH407" i="17"/>
  <c r="FI407" i="17"/>
  <c r="FJ407" i="17"/>
  <c r="FK407" i="17"/>
  <c r="FL407" i="17"/>
  <c r="FM407" i="17"/>
  <c r="FN407" i="17"/>
  <c r="FO407" i="17"/>
  <c r="FP407" i="17"/>
  <c r="FQ407" i="17"/>
  <c r="FR407" i="17"/>
  <c r="FS407" i="17"/>
  <c r="FT407" i="17"/>
  <c r="FU407" i="17"/>
  <c r="FV407" i="17"/>
  <c r="FW407" i="17"/>
  <c r="FX407" i="17"/>
  <c r="FY407" i="17"/>
  <c r="FZ407" i="17"/>
  <c r="GA407" i="17"/>
  <c r="GB407" i="17"/>
  <c r="GC407" i="17"/>
  <c r="GD407" i="17"/>
  <c r="GE407" i="17"/>
  <c r="GF407" i="17"/>
  <c r="GG407" i="17"/>
  <c r="GH407" i="17"/>
  <c r="GI407" i="17"/>
  <c r="GJ407" i="17"/>
  <c r="GK407" i="17"/>
  <c r="GL407" i="17"/>
  <c r="GM407" i="17"/>
  <c r="GN407" i="17"/>
  <c r="GO407" i="17"/>
  <c r="GP407" i="17"/>
  <c r="GQ407" i="17"/>
  <c r="GR407" i="17"/>
  <c r="GS407" i="17"/>
  <c r="GT407" i="17"/>
  <c r="GU407" i="17"/>
  <c r="GV407" i="17"/>
  <c r="GW407" i="17"/>
  <c r="GX407" i="17"/>
  <c r="GY407" i="17"/>
  <c r="GZ407" i="17"/>
  <c r="HA407" i="17"/>
  <c r="HB407" i="17"/>
  <c r="HC407" i="17"/>
  <c r="HD407" i="17"/>
  <c r="HE407" i="17"/>
  <c r="HF407" i="17"/>
  <c r="HG407" i="17"/>
  <c r="HH407" i="17"/>
  <c r="HI407" i="17"/>
  <c r="HJ407" i="17"/>
  <c r="HK407" i="17"/>
  <c r="HL407" i="17"/>
  <c r="HM407" i="17"/>
  <c r="HN407" i="17"/>
  <c r="HO407" i="17"/>
  <c r="HP407" i="17"/>
  <c r="HQ407" i="17"/>
  <c r="HR407" i="17"/>
  <c r="HS407" i="17"/>
  <c r="HT407" i="17"/>
  <c r="HU407" i="17"/>
  <c r="HV407" i="17"/>
  <c r="HW407" i="17"/>
  <c r="HX407" i="17"/>
  <c r="HY407" i="17"/>
  <c r="HZ407" i="17"/>
  <c r="IA407" i="17"/>
  <c r="IB407" i="17"/>
  <c r="IC407" i="17"/>
  <c r="ID407" i="17"/>
  <c r="IE407" i="17"/>
  <c r="IF407" i="17"/>
  <c r="IG407" i="17"/>
  <c r="IH407" i="17"/>
  <c r="II407" i="17"/>
  <c r="IJ407" i="17"/>
  <c r="IK407" i="17"/>
  <c r="IL407" i="17"/>
  <c r="IM407" i="17"/>
  <c r="IN407" i="17"/>
  <c r="IO407" i="17"/>
  <c r="IP407" i="17"/>
  <c r="IQ407" i="17"/>
  <c r="IR407" i="17"/>
  <c r="IS407" i="17"/>
  <c r="IT407" i="17"/>
  <c r="IU407" i="17"/>
  <c r="IV407" i="17"/>
  <c r="A406" i="17"/>
  <c r="B406" i="17"/>
  <c r="C406" i="17"/>
  <c r="D406" i="17"/>
  <c r="E406" i="17"/>
  <c r="F406" i="17"/>
  <c r="G406" i="17"/>
  <c r="H406" i="17"/>
  <c r="I406" i="17"/>
  <c r="J406" i="17"/>
  <c r="K406" i="17"/>
  <c r="L406" i="17"/>
  <c r="M406" i="17"/>
  <c r="N406" i="17"/>
  <c r="O406" i="17"/>
  <c r="P406" i="17"/>
  <c r="Q406" i="17"/>
  <c r="R406" i="17"/>
  <c r="S406" i="17"/>
  <c r="T406" i="17"/>
  <c r="U406" i="17"/>
  <c r="V406" i="17"/>
  <c r="W406" i="17"/>
  <c r="X406" i="17"/>
  <c r="Y406" i="17"/>
  <c r="Z406" i="17"/>
  <c r="AA406" i="17"/>
  <c r="AB406" i="17"/>
  <c r="AC406" i="17"/>
  <c r="AD406" i="17"/>
  <c r="AE406" i="17"/>
  <c r="AF406" i="17"/>
  <c r="AG406" i="17"/>
  <c r="AH406" i="17"/>
  <c r="AJ406" i="17"/>
  <c r="AK406" i="17"/>
  <c r="AL406" i="17"/>
  <c r="AM406" i="17"/>
  <c r="AN406" i="17"/>
  <c r="AO406" i="17"/>
  <c r="AP406" i="17"/>
  <c r="AQ406" i="17"/>
  <c r="AR406" i="17"/>
  <c r="AS406" i="17"/>
  <c r="AT406" i="17"/>
  <c r="AU406" i="17"/>
  <c r="AV406" i="17"/>
  <c r="AW406" i="17"/>
  <c r="AX406" i="17"/>
  <c r="AY406" i="17"/>
  <c r="AZ406" i="17"/>
  <c r="BA406" i="17"/>
  <c r="BB406" i="17"/>
  <c r="BC406" i="17"/>
  <c r="BD406" i="17"/>
  <c r="BE406" i="17"/>
  <c r="BF406" i="17"/>
  <c r="BG406" i="17"/>
  <c r="BH406" i="17"/>
  <c r="BI406" i="17"/>
  <c r="BJ406" i="17"/>
  <c r="BK406" i="17"/>
  <c r="BL406" i="17"/>
  <c r="BM406" i="17"/>
  <c r="BN406" i="17"/>
  <c r="BO406" i="17"/>
  <c r="BP406" i="17"/>
  <c r="BQ406" i="17"/>
  <c r="BR406" i="17"/>
  <c r="BS406" i="17"/>
  <c r="BT406" i="17"/>
  <c r="BU406" i="17"/>
  <c r="BV406" i="17"/>
  <c r="BW406" i="17"/>
  <c r="BX406" i="17"/>
  <c r="BY406" i="17"/>
  <c r="BZ406" i="17"/>
  <c r="CA406" i="17"/>
  <c r="CB406" i="17"/>
  <c r="CC406" i="17"/>
  <c r="CD406" i="17"/>
  <c r="CE406" i="17"/>
  <c r="CF406" i="17"/>
  <c r="CG406" i="17"/>
  <c r="CH406" i="17"/>
  <c r="CI406" i="17"/>
  <c r="CJ406" i="17"/>
  <c r="CK406" i="17"/>
  <c r="CL406" i="17"/>
  <c r="CM406" i="17"/>
  <c r="CN406" i="17"/>
  <c r="CO406" i="17"/>
  <c r="CP406" i="17"/>
  <c r="CQ406" i="17"/>
  <c r="CR406" i="17"/>
  <c r="CS406" i="17"/>
  <c r="CT406" i="17"/>
  <c r="CU406" i="17"/>
  <c r="CV406" i="17"/>
  <c r="CW406" i="17"/>
  <c r="CX406" i="17"/>
  <c r="CY406" i="17"/>
  <c r="CZ406" i="17"/>
  <c r="DA406" i="17"/>
  <c r="DB406" i="17"/>
  <c r="DC406" i="17"/>
  <c r="DD406" i="17"/>
  <c r="DE406" i="17"/>
  <c r="DF406" i="17"/>
  <c r="DG406" i="17"/>
  <c r="DH406" i="17"/>
  <c r="DI406" i="17"/>
  <c r="DJ406" i="17"/>
  <c r="DK406" i="17"/>
  <c r="DL406" i="17"/>
  <c r="DM406" i="17"/>
  <c r="DN406" i="17"/>
  <c r="DO406" i="17"/>
  <c r="DP406" i="17"/>
  <c r="DQ406" i="17"/>
  <c r="DR406" i="17"/>
  <c r="DS406" i="17"/>
  <c r="DT406" i="17"/>
  <c r="DU406" i="17"/>
  <c r="DV406" i="17"/>
  <c r="DW406" i="17"/>
  <c r="DX406" i="17"/>
  <c r="DY406" i="17"/>
  <c r="DZ406" i="17"/>
  <c r="EA406" i="17"/>
  <c r="EB406" i="17"/>
  <c r="EC406" i="17"/>
  <c r="ED406" i="17"/>
  <c r="EE406" i="17"/>
  <c r="EF406" i="17"/>
  <c r="EG406" i="17"/>
  <c r="EH406" i="17"/>
  <c r="EI406" i="17"/>
  <c r="EJ406" i="17"/>
  <c r="EK406" i="17"/>
  <c r="EL406" i="17"/>
  <c r="EM406" i="17"/>
  <c r="EN406" i="17"/>
  <c r="EO406" i="17"/>
  <c r="EP406" i="17"/>
  <c r="EQ406" i="17"/>
  <c r="ER406" i="17"/>
  <c r="ES406" i="17"/>
  <c r="ET406" i="17"/>
  <c r="EU406" i="17"/>
  <c r="EV406" i="17"/>
  <c r="EW406" i="17"/>
  <c r="EX406" i="17"/>
  <c r="EY406" i="17"/>
  <c r="EZ406" i="17"/>
  <c r="FA406" i="17"/>
  <c r="FB406" i="17"/>
  <c r="FC406" i="17"/>
  <c r="FD406" i="17"/>
  <c r="FE406" i="17"/>
  <c r="FF406" i="17"/>
  <c r="FG406" i="17"/>
  <c r="FH406" i="17"/>
  <c r="FI406" i="17"/>
  <c r="FJ406" i="17"/>
  <c r="FK406" i="17"/>
  <c r="FL406" i="17"/>
  <c r="FM406" i="17"/>
  <c r="FN406" i="17"/>
  <c r="FO406" i="17"/>
  <c r="FP406" i="17"/>
  <c r="FQ406" i="17"/>
  <c r="FR406" i="17"/>
  <c r="FS406" i="17"/>
  <c r="FT406" i="17"/>
  <c r="FU406" i="17"/>
  <c r="FV406" i="17"/>
  <c r="FW406" i="17"/>
  <c r="FX406" i="17"/>
  <c r="FY406" i="17"/>
  <c r="FZ406" i="17"/>
  <c r="GA406" i="17"/>
  <c r="GB406" i="17"/>
  <c r="GC406" i="17"/>
  <c r="GD406" i="17"/>
  <c r="GE406" i="17"/>
  <c r="GF406" i="17"/>
  <c r="GG406" i="17"/>
  <c r="GH406" i="17"/>
  <c r="GI406" i="17"/>
  <c r="GJ406" i="17"/>
  <c r="GK406" i="17"/>
  <c r="GL406" i="17"/>
  <c r="GM406" i="17"/>
  <c r="GN406" i="17"/>
  <c r="GO406" i="17"/>
  <c r="GP406" i="17"/>
  <c r="GQ406" i="17"/>
  <c r="GR406" i="17"/>
  <c r="GS406" i="17"/>
  <c r="GT406" i="17"/>
  <c r="GU406" i="17"/>
  <c r="GV406" i="17"/>
  <c r="GW406" i="17"/>
  <c r="GX406" i="17"/>
  <c r="GY406" i="17"/>
  <c r="GZ406" i="17"/>
  <c r="HA406" i="17"/>
  <c r="HB406" i="17"/>
  <c r="HC406" i="17"/>
  <c r="HD406" i="17"/>
  <c r="HE406" i="17"/>
  <c r="HF406" i="17"/>
  <c r="HG406" i="17"/>
  <c r="HH406" i="17"/>
  <c r="HI406" i="17"/>
  <c r="HJ406" i="17"/>
  <c r="HK406" i="17"/>
  <c r="HL406" i="17"/>
  <c r="HM406" i="17"/>
  <c r="HN406" i="17"/>
  <c r="HO406" i="17"/>
  <c r="HP406" i="17"/>
  <c r="HQ406" i="17"/>
  <c r="HR406" i="17"/>
  <c r="HS406" i="17"/>
  <c r="HT406" i="17"/>
  <c r="HU406" i="17"/>
  <c r="HV406" i="17"/>
  <c r="HW406" i="17"/>
  <c r="HX406" i="17"/>
  <c r="HY406" i="17"/>
  <c r="HZ406" i="17"/>
  <c r="IA406" i="17"/>
  <c r="IB406" i="17"/>
  <c r="IC406" i="17"/>
  <c r="ID406" i="17"/>
  <c r="IE406" i="17"/>
  <c r="IF406" i="17"/>
  <c r="IG406" i="17"/>
  <c r="IH406" i="17"/>
  <c r="II406" i="17"/>
  <c r="IJ406" i="17"/>
  <c r="IK406" i="17"/>
  <c r="IL406" i="17"/>
  <c r="IM406" i="17"/>
  <c r="IN406" i="17"/>
  <c r="IO406" i="17"/>
  <c r="IP406" i="17"/>
  <c r="IQ406" i="17"/>
  <c r="IR406" i="17"/>
  <c r="IS406" i="17"/>
  <c r="IT406" i="17"/>
  <c r="IU406" i="17"/>
  <c r="IV406" i="17"/>
  <c r="A405" i="17"/>
  <c r="B405" i="17"/>
  <c r="C405" i="17"/>
  <c r="D405" i="17"/>
  <c r="E405" i="17"/>
  <c r="F405" i="17"/>
  <c r="G405" i="17"/>
  <c r="H405" i="17"/>
  <c r="I405" i="17"/>
  <c r="J405" i="17"/>
  <c r="K405" i="17"/>
  <c r="L405" i="17"/>
  <c r="M405" i="17"/>
  <c r="N405" i="17"/>
  <c r="O405" i="17"/>
  <c r="P405" i="17"/>
  <c r="Q405" i="17"/>
  <c r="S405" i="17"/>
  <c r="T405" i="17"/>
  <c r="U405" i="17"/>
  <c r="V405" i="17"/>
  <c r="W405" i="17"/>
  <c r="X405" i="17"/>
  <c r="Y405" i="17"/>
  <c r="Z405" i="17"/>
  <c r="AA405" i="17"/>
  <c r="AB405" i="17"/>
  <c r="AC405" i="17"/>
  <c r="AD405" i="17"/>
  <c r="AE405" i="17"/>
  <c r="AF405" i="17"/>
  <c r="AG405" i="17"/>
  <c r="AH405" i="17"/>
  <c r="AI405" i="17"/>
  <c r="AJ405" i="17"/>
  <c r="AK405" i="17"/>
  <c r="AL405" i="17"/>
  <c r="AM405" i="17"/>
  <c r="AN405" i="17"/>
  <c r="AO405" i="17"/>
  <c r="AP405" i="17"/>
  <c r="AQ405" i="17"/>
  <c r="AR405" i="17"/>
  <c r="AS405" i="17"/>
  <c r="AT405" i="17"/>
  <c r="AU405" i="17"/>
  <c r="AV405" i="17"/>
  <c r="AW405" i="17"/>
  <c r="AX405" i="17"/>
  <c r="AY405" i="17"/>
  <c r="AZ405" i="17"/>
  <c r="BA405" i="17"/>
  <c r="BB405" i="17"/>
  <c r="BC405" i="17"/>
  <c r="BD405" i="17"/>
  <c r="BE405" i="17"/>
  <c r="BF405" i="17"/>
  <c r="BG405" i="17"/>
  <c r="BH405" i="17"/>
  <c r="BI405" i="17"/>
  <c r="BJ405" i="17"/>
  <c r="BK405" i="17"/>
  <c r="BL405" i="17"/>
  <c r="BM405" i="17"/>
  <c r="BN405" i="17"/>
  <c r="BO405" i="17"/>
  <c r="BP405" i="17"/>
  <c r="BQ405" i="17"/>
  <c r="BR405" i="17"/>
  <c r="BS405" i="17"/>
  <c r="BT405" i="17"/>
  <c r="BU405" i="17"/>
  <c r="BV405" i="17"/>
  <c r="BW405" i="17"/>
  <c r="BX405" i="17"/>
  <c r="BY405" i="17"/>
  <c r="BZ405" i="17"/>
  <c r="CA405" i="17"/>
  <c r="CB405" i="17"/>
  <c r="CC405" i="17"/>
  <c r="CD405" i="17"/>
  <c r="CE405" i="17"/>
  <c r="CF405" i="17"/>
  <c r="CG405" i="17"/>
  <c r="CH405" i="17"/>
  <c r="CI405" i="17"/>
  <c r="CJ405" i="17"/>
  <c r="CK405" i="17"/>
  <c r="CL405" i="17"/>
  <c r="CM405" i="17"/>
  <c r="CN405" i="17"/>
  <c r="CO405" i="17"/>
  <c r="CP405" i="17"/>
  <c r="CQ405" i="17"/>
  <c r="CR405" i="17"/>
  <c r="CS405" i="17"/>
  <c r="CT405" i="17"/>
  <c r="CU405" i="17"/>
  <c r="CV405" i="17"/>
  <c r="CW405" i="17"/>
  <c r="CX405" i="17"/>
  <c r="CY405" i="17"/>
  <c r="CZ405" i="17"/>
  <c r="DA405" i="17"/>
  <c r="DB405" i="17"/>
  <c r="DC405" i="17"/>
  <c r="DD405" i="17"/>
  <c r="DE405" i="17"/>
  <c r="DF405" i="17"/>
  <c r="DG405" i="17"/>
  <c r="DH405" i="17"/>
  <c r="DI405" i="17"/>
  <c r="DJ405" i="17"/>
  <c r="DK405" i="17"/>
  <c r="DL405" i="17"/>
  <c r="DM405" i="17"/>
  <c r="DN405" i="17"/>
  <c r="DO405" i="17"/>
  <c r="DP405" i="17"/>
  <c r="DQ405" i="17"/>
  <c r="DR405" i="17"/>
  <c r="DS405" i="17"/>
  <c r="DT405" i="17"/>
  <c r="DU405" i="17"/>
  <c r="DV405" i="17"/>
  <c r="DW405" i="17"/>
  <c r="DX405" i="17"/>
  <c r="DY405" i="17"/>
  <c r="DZ405" i="17"/>
  <c r="EA405" i="17"/>
  <c r="EB405" i="17"/>
  <c r="EC405" i="17"/>
  <c r="ED405" i="17"/>
  <c r="EE405" i="17"/>
  <c r="EF405" i="17"/>
  <c r="EG405" i="17"/>
  <c r="EH405" i="17"/>
  <c r="EI405" i="17"/>
  <c r="EJ405" i="17"/>
  <c r="EK405" i="17"/>
  <c r="EL405" i="17"/>
  <c r="EM405" i="17"/>
  <c r="EN405" i="17"/>
  <c r="EO405" i="17"/>
  <c r="EP405" i="17"/>
  <c r="EQ405" i="17"/>
  <c r="ER405" i="17"/>
  <c r="ES405" i="17"/>
  <c r="ET405" i="17"/>
  <c r="EU405" i="17"/>
  <c r="EV405" i="17"/>
  <c r="EW405" i="17"/>
  <c r="EX405" i="17"/>
  <c r="EY405" i="17"/>
  <c r="EZ405" i="17"/>
  <c r="FA405" i="17"/>
  <c r="FB405" i="17"/>
  <c r="FC405" i="17"/>
  <c r="FD405" i="17"/>
  <c r="FE405" i="17"/>
  <c r="FF405" i="17"/>
  <c r="FG405" i="17"/>
  <c r="FH405" i="17"/>
  <c r="FI405" i="17"/>
  <c r="FJ405" i="17"/>
  <c r="FK405" i="17"/>
  <c r="FL405" i="17"/>
  <c r="FM405" i="17"/>
  <c r="FN405" i="17"/>
  <c r="FO405" i="17"/>
  <c r="FP405" i="17"/>
  <c r="FQ405" i="17"/>
  <c r="FR405" i="17"/>
  <c r="FS405" i="17"/>
  <c r="FT405" i="17"/>
  <c r="FU405" i="17"/>
  <c r="FV405" i="17"/>
  <c r="FW405" i="17"/>
  <c r="FX405" i="17"/>
  <c r="FY405" i="17"/>
  <c r="FZ405" i="17"/>
  <c r="GA405" i="17"/>
  <c r="GB405" i="17"/>
  <c r="GC405" i="17"/>
  <c r="GD405" i="17"/>
  <c r="GE405" i="17"/>
  <c r="GF405" i="17"/>
  <c r="GG405" i="17"/>
  <c r="GH405" i="17"/>
  <c r="GI405" i="17"/>
  <c r="GJ405" i="17"/>
  <c r="GK405" i="17"/>
  <c r="GL405" i="17"/>
  <c r="GM405" i="17"/>
  <c r="GN405" i="17"/>
  <c r="GO405" i="17"/>
  <c r="GP405" i="17"/>
  <c r="GQ405" i="17"/>
  <c r="GR405" i="17"/>
  <c r="GS405" i="17"/>
  <c r="GT405" i="17"/>
  <c r="GU405" i="17"/>
  <c r="GV405" i="17"/>
  <c r="GW405" i="17"/>
  <c r="GX405" i="17"/>
  <c r="GY405" i="17"/>
  <c r="GZ405" i="17"/>
  <c r="HA405" i="17"/>
  <c r="HB405" i="17"/>
  <c r="HC405" i="17"/>
  <c r="HD405" i="17"/>
  <c r="HE405" i="17"/>
  <c r="HF405" i="17"/>
  <c r="HG405" i="17"/>
  <c r="HH405" i="17"/>
  <c r="HI405" i="17"/>
  <c r="HJ405" i="17"/>
  <c r="HK405" i="17"/>
  <c r="HL405" i="17"/>
  <c r="HM405" i="17"/>
  <c r="HN405" i="17"/>
  <c r="HO405" i="17"/>
  <c r="HP405" i="17"/>
  <c r="HQ405" i="17"/>
  <c r="HR405" i="17"/>
  <c r="HS405" i="17"/>
  <c r="HT405" i="17"/>
  <c r="HU405" i="17"/>
  <c r="HV405" i="17"/>
  <c r="HW405" i="17"/>
  <c r="HX405" i="17"/>
  <c r="HY405" i="17"/>
  <c r="HZ405" i="17"/>
  <c r="IA405" i="17"/>
  <c r="IB405" i="17"/>
  <c r="IC405" i="17"/>
  <c r="ID405" i="17"/>
  <c r="IE405" i="17"/>
  <c r="IF405" i="17"/>
  <c r="IG405" i="17"/>
  <c r="IH405" i="17"/>
  <c r="II405" i="17"/>
  <c r="IJ405" i="17"/>
  <c r="IK405" i="17"/>
  <c r="IL405" i="17"/>
  <c r="IM405" i="17"/>
  <c r="IN405" i="17"/>
  <c r="IO405" i="17"/>
  <c r="IP405" i="17"/>
  <c r="IQ405" i="17"/>
  <c r="IR405" i="17"/>
  <c r="IS405" i="17"/>
  <c r="IT405" i="17"/>
  <c r="IU405" i="17"/>
  <c r="IV405" i="17"/>
  <c r="A404" i="17"/>
  <c r="B404" i="17"/>
  <c r="C404" i="17"/>
  <c r="D404" i="17"/>
  <c r="E404" i="17"/>
  <c r="F404" i="17"/>
  <c r="G404" i="17"/>
  <c r="H404" i="17"/>
  <c r="I404" i="17"/>
  <c r="J404" i="17"/>
  <c r="K404" i="17"/>
  <c r="L404" i="17"/>
  <c r="M404" i="17"/>
  <c r="N404" i="17"/>
  <c r="O404" i="17"/>
  <c r="P404" i="17"/>
  <c r="Q404" i="17"/>
  <c r="R404" i="17"/>
  <c r="S404" i="17"/>
  <c r="T404" i="17"/>
  <c r="U404" i="17"/>
  <c r="V404" i="17"/>
  <c r="W404" i="17"/>
  <c r="X404" i="17"/>
  <c r="Y404" i="17"/>
  <c r="Z404" i="17"/>
  <c r="AA404" i="17"/>
  <c r="AB404" i="17"/>
  <c r="AC404" i="17"/>
  <c r="AD404" i="17"/>
  <c r="AE404" i="17"/>
  <c r="AF404" i="17"/>
  <c r="AG404" i="17"/>
  <c r="AH404" i="17"/>
  <c r="AI404" i="17"/>
  <c r="AJ404" i="17"/>
  <c r="AK404" i="17"/>
  <c r="AL404" i="17"/>
  <c r="AM404" i="17"/>
  <c r="AN404" i="17"/>
  <c r="AO404" i="17"/>
  <c r="AP404" i="17"/>
  <c r="AQ404" i="17"/>
  <c r="AR404" i="17"/>
  <c r="AS404" i="17"/>
  <c r="AT404" i="17"/>
  <c r="AU404" i="17"/>
  <c r="AV404" i="17"/>
  <c r="AW404" i="17"/>
  <c r="AX404" i="17"/>
  <c r="AY404" i="17"/>
  <c r="AZ404" i="17"/>
  <c r="BA404" i="17"/>
  <c r="BB404" i="17"/>
  <c r="BC404" i="17"/>
  <c r="BD404" i="17"/>
  <c r="BE404" i="17"/>
  <c r="BF404" i="17"/>
  <c r="BG404" i="17"/>
  <c r="BH404" i="17"/>
  <c r="BI404" i="17"/>
  <c r="BJ404" i="17"/>
  <c r="BK404" i="17"/>
  <c r="BL404" i="17"/>
  <c r="BM404" i="17"/>
  <c r="BN404" i="17"/>
  <c r="BO404" i="17"/>
  <c r="BP404" i="17"/>
  <c r="BQ404" i="17"/>
  <c r="BR404" i="17"/>
  <c r="BS404" i="17"/>
  <c r="BT404" i="17"/>
  <c r="BU404" i="17"/>
  <c r="BV404" i="17"/>
  <c r="BW404" i="17"/>
  <c r="BX404" i="17"/>
  <c r="BY404" i="17"/>
  <c r="BZ404" i="17"/>
  <c r="CA404" i="17"/>
  <c r="CB404" i="17"/>
  <c r="CC404" i="17"/>
  <c r="CD404" i="17"/>
  <c r="CE404" i="17"/>
  <c r="CF404" i="17"/>
  <c r="CG404" i="17"/>
  <c r="CH404" i="17"/>
  <c r="CI404" i="17"/>
  <c r="CJ404" i="17"/>
  <c r="CK404" i="17"/>
  <c r="CL404" i="17"/>
  <c r="CM404" i="17"/>
  <c r="CN404" i="17"/>
  <c r="CO404" i="17"/>
  <c r="CP404" i="17"/>
  <c r="CQ404" i="17"/>
  <c r="CR404" i="17"/>
  <c r="CS404" i="17"/>
  <c r="CT404" i="17"/>
  <c r="CU404" i="17"/>
  <c r="CV404" i="17"/>
  <c r="CW404" i="17"/>
  <c r="CX404" i="17"/>
  <c r="CY404" i="17"/>
  <c r="CZ404" i="17"/>
  <c r="DA404" i="17"/>
  <c r="DB404" i="17"/>
  <c r="DC404" i="17"/>
  <c r="DD404" i="17"/>
  <c r="DE404" i="17"/>
  <c r="DF404" i="17"/>
  <c r="DG404" i="17"/>
  <c r="DH404" i="17"/>
  <c r="DI404" i="17"/>
  <c r="DJ404" i="17"/>
  <c r="DK404" i="17"/>
  <c r="DL404" i="17"/>
  <c r="DM404" i="17"/>
  <c r="DN404" i="17"/>
  <c r="DO404" i="17"/>
  <c r="DP404" i="17"/>
  <c r="DQ404" i="17"/>
  <c r="DR404" i="17"/>
  <c r="DS404" i="17"/>
  <c r="DT404" i="17"/>
  <c r="DU404" i="17"/>
  <c r="DV404" i="17"/>
  <c r="DW404" i="17"/>
  <c r="DX404" i="17"/>
  <c r="DY404" i="17"/>
  <c r="DZ404" i="17"/>
  <c r="EA404" i="17"/>
  <c r="EB404" i="17"/>
  <c r="EC404" i="17"/>
  <c r="ED404" i="17"/>
  <c r="EE404" i="17"/>
  <c r="EF404" i="17"/>
  <c r="EG404" i="17"/>
  <c r="EH404" i="17"/>
  <c r="EI404" i="17"/>
  <c r="EJ404" i="17"/>
  <c r="EK404" i="17"/>
  <c r="EL404" i="17"/>
  <c r="EM404" i="17"/>
  <c r="EN404" i="17"/>
  <c r="EO404" i="17"/>
  <c r="EP404" i="17"/>
  <c r="EQ404" i="17"/>
  <c r="ER404" i="17"/>
  <c r="ES404" i="17"/>
  <c r="ET404" i="17"/>
  <c r="EU404" i="17"/>
  <c r="EV404" i="17"/>
  <c r="EW404" i="17"/>
  <c r="EX404" i="17"/>
  <c r="EY404" i="17"/>
  <c r="EZ404" i="17"/>
  <c r="FA404" i="17"/>
  <c r="FB404" i="17"/>
  <c r="FC404" i="17"/>
  <c r="FD404" i="17"/>
  <c r="FE404" i="17"/>
  <c r="FF404" i="17"/>
  <c r="FG404" i="17"/>
  <c r="FH404" i="17"/>
  <c r="FI404" i="17"/>
  <c r="FJ404" i="17"/>
  <c r="FK404" i="17"/>
  <c r="FL404" i="17"/>
  <c r="FM404" i="17"/>
  <c r="FN404" i="17"/>
  <c r="FO404" i="17"/>
  <c r="FP404" i="17"/>
  <c r="FQ404" i="17"/>
  <c r="FR404" i="17"/>
  <c r="FS404" i="17"/>
  <c r="FT404" i="17"/>
  <c r="FU404" i="17"/>
  <c r="FV404" i="17"/>
  <c r="FW404" i="17"/>
  <c r="FX404" i="17"/>
  <c r="FY404" i="17"/>
  <c r="FZ404" i="17"/>
  <c r="GA404" i="17"/>
  <c r="GB404" i="17"/>
  <c r="GC404" i="17"/>
  <c r="GD404" i="17"/>
  <c r="GE404" i="17"/>
  <c r="GF404" i="17"/>
  <c r="GG404" i="17"/>
  <c r="GH404" i="17"/>
  <c r="GI404" i="17"/>
  <c r="GJ404" i="17"/>
  <c r="GK404" i="17"/>
  <c r="GL404" i="17"/>
  <c r="GM404" i="17"/>
  <c r="GN404" i="17"/>
  <c r="GO404" i="17"/>
  <c r="GP404" i="17"/>
  <c r="GQ404" i="17"/>
  <c r="GR404" i="17"/>
  <c r="GS404" i="17"/>
  <c r="GT404" i="17"/>
  <c r="GU404" i="17"/>
  <c r="GV404" i="17"/>
  <c r="GW404" i="17"/>
  <c r="GX404" i="17"/>
  <c r="GY404" i="17"/>
  <c r="GZ404" i="17"/>
  <c r="HA404" i="17"/>
  <c r="HB404" i="17"/>
  <c r="HC404" i="17"/>
  <c r="HD404" i="17"/>
  <c r="HE404" i="17"/>
  <c r="HF404" i="17"/>
  <c r="HG404" i="17"/>
  <c r="HH404" i="17"/>
  <c r="HI404" i="17"/>
  <c r="HJ404" i="17"/>
  <c r="HK404" i="17"/>
  <c r="HL404" i="17"/>
  <c r="HM404" i="17"/>
  <c r="HN404" i="17"/>
  <c r="HO404" i="17"/>
  <c r="HP404" i="17"/>
  <c r="HQ404" i="17"/>
  <c r="HR404" i="17"/>
  <c r="HS404" i="17"/>
  <c r="HT404" i="17"/>
  <c r="HU404" i="17"/>
  <c r="HV404" i="17"/>
  <c r="HW404" i="17"/>
  <c r="HX404" i="17"/>
  <c r="HY404" i="17"/>
  <c r="HZ404" i="17"/>
  <c r="IA404" i="17"/>
  <c r="IB404" i="17"/>
  <c r="IC404" i="17"/>
  <c r="ID404" i="17"/>
  <c r="IE404" i="17"/>
  <c r="IF404" i="17"/>
  <c r="IG404" i="17"/>
  <c r="IH404" i="17"/>
  <c r="II404" i="17"/>
  <c r="IJ404" i="17"/>
  <c r="IK404" i="17"/>
  <c r="IL404" i="17"/>
  <c r="IM404" i="17"/>
  <c r="IN404" i="17"/>
  <c r="IO404" i="17"/>
  <c r="IP404" i="17"/>
  <c r="IQ404" i="17"/>
  <c r="IR404" i="17"/>
  <c r="IS404" i="17"/>
  <c r="IT404" i="17"/>
  <c r="IU404" i="17"/>
  <c r="IV404" i="17"/>
  <c r="L216" i="19"/>
  <c r="L20" i="19"/>
  <c r="L49" i="19"/>
  <c r="L201" i="19"/>
  <c r="L234" i="19"/>
  <c r="L9" i="19"/>
  <c r="K9" i="19"/>
  <c r="X848" i="2"/>
  <c r="X840" i="2"/>
  <c r="X820" i="2"/>
  <c r="Y820" i="2" s="1"/>
  <c r="X776" i="2"/>
  <c r="X760" i="2"/>
  <c r="X592" i="2"/>
  <c r="X576" i="2"/>
  <c r="X568" i="2"/>
  <c r="X783" i="2"/>
  <c r="X726" i="2"/>
  <c r="X536" i="2"/>
  <c r="X494" i="2"/>
  <c r="X851" i="2"/>
  <c r="X795" i="2"/>
  <c r="X555" i="2"/>
  <c r="X531" i="2"/>
  <c r="X489" i="2"/>
  <c r="X857" i="2"/>
  <c r="X656" i="2"/>
  <c r="X648" i="2"/>
  <c r="Y648" i="2" s="1"/>
  <c r="X628" i="2"/>
  <c r="X560" i="2"/>
  <c r="X765" i="2"/>
  <c r="X704" i="2"/>
  <c r="X662" i="2"/>
  <c r="X624" i="2"/>
  <c r="Y624" i="2" s="1"/>
  <c r="X467" i="2"/>
  <c r="X752" i="2"/>
  <c r="X838" i="2"/>
  <c r="X659" i="2"/>
  <c r="Y659" i="2" s="1"/>
  <c r="X603" i="2"/>
  <c r="X567" i="2"/>
  <c r="X808" i="2"/>
  <c r="X681" i="2"/>
  <c r="Y681" i="2" s="1"/>
  <c r="X631" i="2"/>
  <c r="X457" i="2"/>
  <c r="X527" i="2"/>
  <c r="X800" i="2"/>
  <c r="X729" i="2"/>
  <c r="Y729" i="2" s="1"/>
  <c r="X528" i="2"/>
  <c r="X520" i="2"/>
  <c r="X504" i="2"/>
  <c r="X663" i="2"/>
  <c r="X502" i="2"/>
  <c r="X836" i="2"/>
  <c r="X799" i="2"/>
  <c r="X770" i="2"/>
  <c r="X735" i="2"/>
  <c r="X702" i="2"/>
  <c r="X673" i="2"/>
  <c r="X644" i="2"/>
  <c r="X611" i="2"/>
  <c r="Y611" i="2" s="1"/>
  <c r="X607" i="2"/>
  <c r="X578" i="2"/>
  <c r="X545" i="2"/>
  <c r="X525" i="2"/>
  <c r="X510" i="2"/>
  <c r="X479" i="2"/>
  <c r="X455" i="2"/>
  <c r="X789" i="2"/>
  <c r="X533" i="2"/>
  <c r="X456" i="2"/>
  <c r="X852" i="2"/>
  <c r="X817" i="2"/>
  <c r="X788" i="2"/>
  <c r="X753" i="2"/>
  <c r="X722" i="2"/>
  <c r="X689" i="2"/>
  <c r="Y689" i="2" s="1"/>
  <c r="X658" i="2"/>
  <c r="X627" i="2"/>
  <c r="X605" i="2"/>
  <c r="X590" i="2"/>
  <c r="X561" i="2"/>
  <c r="X532" i="2"/>
  <c r="X499" i="2"/>
  <c r="X495" i="2"/>
  <c r="X466" i="2"/>
  <c r="X758" i="2"/>
  <c r="X630" i="2"/>
  <c r="X566" i="2"/>
  <c r="X827" i="2"/>
  <c r="X794" i="2"/>
  <c r="X732" i="2"/>
  <c r="X697" i="2"/>
  <c r="X635" i="2"/>
  <c r="X613" i="2"/>
  <c r="X571" i="2"/>
  <c r="X540" i="2"/>
  <c r="X507" i="2"/>
  <c r="X866" i="2"/>
  <c r="X833" i="2"/>
  <c r="X802" i="2"/>
  <c r="X767" i="2"/>
  <c r="X738" i="2"/>
  <c r="X703" i="2"/>
  <c r="X676" i="2"/>
  <c r="X643" i="2"/>
  <c r="X621" i="2"/>
  <c r="X610" i="2"/>
  <c r="X577" i="2"/>
  <c r="X548" i="2"/>
  <c r="X542" i="2"/>
  <c r="X511" i="2"/>
  <c r="X482" i="2"/>
  <c r="X454" i="2"/>
  <c r="X837" i="2"/>
  <c r="X694" i="2"/>
  <c r="Y694" i="2" s="1"/>
  <c r="X869" i="2"/>
  <c r="X485" i="2"/>
  <c r="X870" i="2"/>
  <c r="X841" i="2"/>
  <c r="Y841" i="2" s="1"/>
  <c r="X812" i="2"/>
  <c r="X779" i="2"/>
  <c r="X775" i="2"/>
  <c r="X746" i="2"/>
  <c r="X713" i="2"/>
  <c r="X693" i="2"/>
  <c r="X682" i="2"/>
  <c r="X651" i="2"/>
  <c r="X647" i="2"/>
  <c r="X620" i="2"/>
  <c r="X614" i="2"/>
  <c r="X585" i="2"/>
  <c r="X565" i="2"/>
  <c r="X554" i="2"/>
  <c r="X523" i="2"/>
  <c r="X519" i="2"/>
  <c r="X492" i="2"/>
  <c r="X486" i="2"/>
  <c r="Y486" i="2" s="1"/>
  <c r="N340" i="1"/>
  <c r="I340" i="1"/>
  <c r="H340" i="1"/>
  <c r="G340" i="1"/>
  <c r="F340" i="1"/>
  <c r="E340" i="1"/>
  <c r="N257" i="1"/>
  <c r="I257" i="1"/>
  <c r="H257" i="1"/>
  <c r="G257" i="1"/>
  <c r="F257" i="1"/>
  <c r="N149" i="1"/>
  <c r="I149" i="1"/>
  <c r="H149" i="1"/>
  <c r="G149" i="1"/>
  <c r="F149" i="1"/>
  <c r="N105" i="1"/>
  <c r="I105" i="1"/>
  <c r="H105" i="1"/>
  <c r="G105" i="1"/>
  <c r="F105" i="1"/>
  <c r="N156" i="1"/>
  <c r="I156" i="1"/>
  <c r="H156" i="1"/>
  <c r="G156" i="1"/>
  <c r="F156" i="1"/>
  <c r="E156" i="1"/>
  <c r="N124" i="1"/>
  <c r="I124" i="1"/>
  <c r="H124" i="1"/>
  <c r="G124" i="1"/>
  <c r="F124" i="1"/>
  <c r="N309" i="1"/>
  <c r="I309" i="1"/>
  <c r="H309" i="1"/>
  <c r="G309" i="1"/>
  <c r="F309" i="1"/>
  <c r="E309" i="1"/>
  <c r="N312" i="1"/>
  <c r="I312" i="1"/>
  <c r="H312" i="1"/>
  <c r="G312" i="1"/>
  <c r="F312" i="1"/>
  <c r="N171" i="1"/>
  <c r="I171" i="1"/>
  <c r="H171" i="1"/>
  <c r="G171" i="1"/>
  <c r="F171" i="1"/>
  <c r="E171" i="1"/>
  <c r="E257" i="1"/>
  <c r="E157" i="1"/>
  <c r="E159" i="1"/>
  <c r="E160" i="1"/>
  <c r="G141" i="1"/>
  <c r="F141" i="1"/>
  <c r="N150" i="1"/>
  <c r="I150" i="1"/>
  <c r="H150" i="1"/>
  <c r="G150" i="1"/>
  <c r="F150" i="1"/>
  <c r="N144" i="1"/>
  <c r="I144" i="1"/>
  <c r="H144" i="1"/>
  <c r="G144" i="1"/>
  <c r="F144" i="1"/>
  <c r="N142" i="1"/>
  <c r="I142" i="1"/>
  <c r="H142" i="1"/>
  <c r="G142" i="1"/>
  <c r="F142" i="1"/>
  <c r="N141" i="1"/>
  <c r="I141" i="1"/>
  <c r="H141" i="1"/>
  <c r="N155" i="1"/>
  <c r="I155" i="1"/>
  <c r="H155" i="1"/>
  <c r="G155" i="1"/>
  <c r="F155" i="1"/>
  <c r="N153" i="1"/>
  <c r="I153" i="1"/>
  <c r="H153" i="1"/>
  <c r="G153" i="1"/>
  <c r="F153" i="1"/>
  <c r="N152" i="1"/>
  <c r="I152" i="1"/>
  <c r="H152" i="1"/>
  <c r="G152" i="1"/>
  <c r="F152" i="1"/>
  <c r="N151" i="1"/>
  <c r="I151" i="1"/>
  <c r="H151" i="1"/>
  <c r="G151" i="1"/>
  <c r="F151" i="1"/>
  <c r="E151" i="1"/>
  <c r="N157" i="1"/>
  <c r="I157" i="1"/>
  <c r="H157" i="1"/>
  <c r="G157" i="1"/>
  <c r="F157" i="1"/>
  <c r="N159" i="1"/>
  <c r="I159" i="1"/>
  <c r="H159" i="1"/>
  <c r="G159" i="1"/>
  <c r="F159" i="1"/>
  <c r="N160" i="1"/>
  <c r="I160" i="1"/>
  <c r="H160" i="1"/>
  <c r="G160" i="1"/>
  <c r="F160" i="1"/>
  <c r="AD408" i="17"/>
  <c r="A403" i="17"/>
  <c r="B403" i="17"/>
  <c r="C403" i="17"/>
  <c r="D403" i="17"/>
  <c r="E403" i="17"/>
  <c r="F403" i="17"/>
  <c r="G403" i="17"/>
  <c r="H403" i="17"/>
  <c r="I403" i="17"/>
  <c r="J403" i="17"/>
  <c r="K403" i="17"/>
  <c r="L403" i="17"/>
  <c r="M403" i="17"/>
  <c r="N403" i="17"/>
  <c r="O403" i="17"/>
  <c r="R403" i="17"/>
  <c r="S403" i="17"/>
  <c r="T403" i="17"/>
  <c r="A402" i="17"/>
  <c r="B402" i="17"/>
  <c r="C402" i="17"/>
  <c r="D402" i="17"/>
  <c r="E402" i="17"/>
  <c r="F402" i="17"/>
  <c r="G402" i="17"/>
  <c r="H402" i="17"/>
  <c r="I402" i="17"/>
  <c r="J402" i="17"/>
  <c r="K402" i="17"/>
  <c r="L402" i="17"/>
  <c r="M402" i="17"/>
  <c r="N402" i="17"/>
  <c r="O402" i="17"/>
  <c r="P402" i="17"/>
  <c r="Q402" i="17"/>
  <c r="R402" i="17"/>
  <c r="S402" i="17"/>
  <c r="T402" i="17"/>
  <c r="U402" i="17"/>
  <c r="V402" i="17"/>
  <c r="W402" i="17"/>
  <c r="X402" i="17"/>
  <c r="Y402" i="17"/>
  <c r="Z402" i="17"/>
  <c r="AA402" i="17"/>
  <c r="AB402" i="17"/>
  <c r="AC402" i="17"/>
  <c r="AD402" i="17"/>
  <c r="AE402" i="17"/>
  <c r="AF402" i="17"/>
  <c r="AG402" i="17"/>
  <c r="AH402" i="17"/>
  <c r="AI402" i="17"/>
  <c r="AJ402" i="17"/>
  <c r="AK402" i="17"/>
  <c r="AL402" i="17"/>
  <c r="AM402" i="17"/>
  <c r="AN402" i="17"/>
  <c r="AO402" i="17"/>
  <c r="AP402" i="17"/>
  <c r="AQ402" i="17"/>
  <c r="AR402" i="17"/>
  <c r="AS402" i="17"/>
  <c r="AT402" i="17"/>
  <c r="AU402" i="17"/>
  <c r="AV402" i="17"/>
  <c r="AW402" i="17"/>
  <c r="AX402" i="17"/>
  <c r="AY402" i="17"/>
  <c r="AZ402" i="17"/>
  <c r="BA402" i="17"/>
  <c r="BB402" i="17"/>
  <c r="BC402" i="17"/>
  <c r="BD402" i="17"/>
  <c r="BE402" i="17"/>
  <c r="BF402" i="17"/>
  <c r="BG402" i="17"/>
  <c r="BH402" i="17"/>
  <c r="BI402" i="17"/>
  <c r="BJ402" i="17"/>
  <c r="BK402" i="17"/>
  <c r="BL402" i="17"/>
  <c r="BM402" i="17"/>
  <c r="BN402" i="17"/>
  <c r="BO402" i="17"/>
  <c r="BP402" i="17"/>
  <c r="BQ402" i="17"/>
  <c r="BR402" i="17"/>
  <c r="BS402" i="17"/>
  <c r="BT402" i="17"/>
  <c r="BU402" i="17"/>
  <c r="BV402" i="17"/>
  <c r="BW402" i="17"/>
  <c r="BX402" i="17"/>
  <c r="BY402" i="17"/>
  <c r="BZ402" i="17"/>
  <c r="CA402" i="17"/>
  <c r="CB402" i="17"/>
  <c r="CC402" i="17"/>
  <c r="CD402" i="17"/>
  <c r="CE402" i="17"/>
  <c r="CF402" i="17"/>
  <c r="CG402" i="17"/>
  <c r="CH402" i="17"/>
  <c r="CI402" i="17"/>
  <c r="CJ402" i="17"/>
  <c r="CK402" i="17"/>
  <c r="CL402" i="17"/>
  <c r="CM402" i="17"/>
  <c r="CN402" i="17"/>
  <c r="CO402" i="17"/>
  <c r="CP402" i="17"/>
  <c r="CQ402" i="17"/>
  <c r="CR402" i="17"/>
  <c r="CS402" i="17"/>
  <c r="CT402" i="17"/>
  <c r="CU402" i="17"/>
  <c r="CV402" i="17"/>
  <c r="CW402" i="17"/>
  <c r="CX402" i="17"/>
  <c r="CY402" i="17"/>
  <c r="CZ402" i="17"/>
  <c r="DA402" i="17"/>
  <c r="DB402" i="17"/>
  <c r="DC402" i="17"/>
  <c r="DD402" i="17"/>
  <c r="DE402" i="17"/>
  <c r="DF402" i="17"/>
  <c r="DG402" i="17"/>
  <c r="DH402" i="17"/>
  <c r="DI402" i="17"/>
  <c r="DJ402" i="17"/>
  <c r="DK402" i="17"/>
  <c r="DL402" i="17"/>
  <c r="DM402" i="17"/>
  <c r="DN402" i="17"/>
  <c r="DO402" i="17"/>
  <c r="DP402" i="17"/>
  <c r="DQ402" i="17"/>
  <c r="DR402" i="17"/>
  <c r="DS402" i="17"/>
  <c r="DT402" i="17"/>
  <c r="DU402" i="17"/>
  <c r="DV402" i="17"/>
  <c r="DW402" i="17"/>
  <c r="DX402" i="17"/>
  <c r="DY402" i="17"/>
  <c r="DZ402" i="17"/>
  <c r="EA402" i="17"/>
  <c r="EB402" i="17"/>
  <c r="EC402" i="17"/>
  <c r="ED402" i="17"/>
  <c r="EE402" i="17"/>
  <c r="EF402" i="17"/>
  <c r="EG402" i="17"/>
  <c r="EH402" i="17"/>
  <c r="EI402" i="17"/>
  <c r="EJ402" i="17"/>
  <c r="EK402" i="17"/>
  <c r="EL402" i="17"/>
  <c r="EM402" i="17"/>
  <c r="EN402" i="17"/>
  <c r="EO402" i="17"/>
  <c r="EP402" i="17"/>
  <c r="EQ402" i="17"/>
  <c r="ER402" i="17"/>
  <c r="ES402" i="17"/>
  <c r="ET402" i="17"/>
  <c r="EU402" i="17"/>
  <c r="EV402" i="17"/>
  <c r="EW402" i="17"/>
  <c r="EX402" i="17"/>
  <c r="EY402" i="17"/>
  <c r="EZ402" i="17"/>
  <c r="FA402" i="17"/>
  <c r="FB402" i="17"/>
  <c r="FC402" i="17"/>
  <c r="FD402" i="17"/>
  <c r="FE402" i="17"/>
  <c r="FF402" i="17"/>
  <c r="FG402" i="17"/>
  <c r="FH402" i="17"/>
  <c r="FI402" i="17"/>
  <c r="FJ402" i="17"/>
  <c r="FK402" i="17"/>
  <c r="FL402" i="17"/>
  <c r="FM402" i="17"/>
  <c r="FN402" i="17"/>
  <c r="FO402" i="17"/>
  <c r="FP402" i="17"/>
  <c r="FQ402" i="17"/>
  <c r="FR402" i="17"/>
  <c r="FS402" i="17"/>
  <c r="FT402" i="17"/>
  <c r="FU402" i="17"/>
  <c r="FV402" i="17"/>
  <c r="FW402" i="17"/>
  <c r="FX402" i="17"/>
  <c r="FY402" i="17"/>
  <c r="FZ402" i="17"/>
  <c r="GA402" i="17"/>
  <c r="GB402" i="17"/>
  <c r="GC402" i="17"/>
  <c r="GD402" i="17"/>
  <c r="GE402" i="17"/>
  <c r="GF402" i="17"/>
  <c r="GG402" i="17"/>
  <c r="GH402" i="17"/>
  <c r="GI402" i="17"/>
  <c r="GJ402" i="17"/>
  <c r="GK402" i="17"/>
  <c r="GL402" i="17"/>
  <c r="GM402" i="17"/>
  <c r="GN402" i="17"/>
  <c r="GO402" i="17"/>
  <c r="GP402" i="17"/>
  <c r="GQ402" i="17"/>
  <c r="GR402" i="17"/>
  <c r="GS402" i="17"/>
  <c r="GT402" i="17"/>
  <c r="GU402" i="17"/>
  <c r="GV402" i="17"/>
  <c r="GW402" i="17"/>
  <c r="GX402" i="17"/>
  <c r="GY402" i="17"/>
  <c r="GZ402" i="17"/>
  <c r="HA402" i="17"/>
  <c r="HB402" i="17"/>
  <c r="HC402" i="17"/>
  <c r="HD402" i="17"/>
  <c r="HE402" i="17"/>
  <c r="HF402" i="17"/>
  <c r="HG402" i="17"/>
  <c r="HH402" i="17"/>
  <c r="HI402" i="17"/>
  <c r="HJ402" i="17"/>
  <c r="HK402" i="17"/>
  <c r="HL402" i="17"/>
  <c r="HM402" i="17"/>
  <c r="HN402" i="17"/>
  <c r="HO402" i="17"/>
  <c r="HP402" i="17"/>
  <c r="HQ402" i="17"/>
  <c r="HR402" i="17"/>
  <c r="HS402" i="17"/>
  <c r="HT402" i="17"/>
  <c r="HU402" i="17"/>
  <c r="HV402" i="17"/>
  <c r="HW402" i="17"/>
  <c r="HX402" i="17"/>
  <c r="HY402" i="17"/>
  <c r="HZ402" i="17"/>
  <c r="IA402" i="17"/>
  <c r="IB402" i="17"/>
  <c r="IC402" i="17"/>
  <c r="ID402" i="17"/>
  <c r="IE402" i="17"/>
  <c r="IF402" i="17"/>
  <c r="IG402" i="17"/>
  <c r="IH402" i="17"/>
  <c r="II402" i="17"/>
  <c r="IJ402" i="17"/>
  <c r="IK402" i="17"/>
  <c r="IL402" i="17"/>
  <c r="IM402" i="17"/>
  <c r="IN402" i="17"/>
  <c r="IO402" i="17"/>
  <c r="IP402" i="17"/>
  <c r="IQ402" i="17"/>
  <c r="IR402" i="17"/>
  <c r="IS402" i="17"/>
  <c r="IT402" i="17"/>
  <c r="IU402" i="17"/>
  <c r="IV402" i="17"/>
  <c r="A401" i="17"/>
  <c r="B401" i="17"/>
  <c r="C401" i="17"/>
  <c r="D401" i="17"/>
  <c r="E401" i="17"/>
  <c r="F401" i="17"/>
  <c r="G401" i="17"/>
  <c r="H401" i="17"/>
  <c r="I401" i="17"/>
  <c r="J401" i="17"/>
  <c r="K401" i="17"/>
  <c r="L401" i="17"/>
  <c r="M401" i="17"/>
  <c r="N401" i="17"/>
  <c r="O401" i="17"/>
  <c r="P401" i="17"/>
  <c r="Q401" i="17"/>
  <c r="S401" i="17"/>
  <c r="T401" i="17"/>
  <c r="U401" i="17"/>
  <c r="V401" i="17"/>
  <c r="W401" i="17"/>
  <c r="X401" i="17"/>
  <c r="Y401" i="17"/>
  <c r="Z401" i="17"/>
  <c r="AA401" i="17"/>
  <c r="AB401" i="17"/>
  <c r="AC401" i="17"/>
  <c r="AD401" i="17"/>
  <c r="AE401" i="17"/>
  <c r="AF401" i="17"/>
  <c r="AG401" i="17"/>
  <c r="AH401" i="17"/>
  <c r="AI401" i="17"/>
  <c r="AJ401" i="17"/>
  <c r="AK401" i="17"/>
  <c r="AL401" i="17"/>
  <c r="AM401" i="17"/>
  <c r="AN401" i="17"/>
  <c r="AO401" i="17"/>
  <c r="AP401" i="17"/>
  <c r="AQ401" i="17"/>
  <c r="AR401" i="17"/>
  <c r="AS401" i="17"/>
  <c r="AT401" i="17"/>
  <c r="AU401" i="17"/>
  <c r="AV401" i="17"/>
  <c r="AW401" i="17"/>
  <c r="AX401" i="17"/>
  <c r="AY401" i="17"/>
  <c r="AZ401" i="17"/>
  <c r="BA401" i="17"/>
  <c r="BB401" i="17"/>
  <c r="BC401" i="17"/>
  <c r="BD401" i="17"/>
  <c r="BE401" i="17"/>
  <c r="BF401" i="17"/>
  <c r="BG401" i="17"/>
  <c r="BH401" i="17"/>
  <c r="BI401" i="17"/>
  <c r="BJ401" i="17"/>
  <c r="BK401" i="17"/>
  <c r="BL401" i="17"/>
  <c r="BM401" i="17"/>
  <c r="BN401" i="17"/>
  <c r="BO401" i="17"/>
  <c r="BP401" i="17"/>
  <c r="BQ401" i="17"/>
  <c r="BR401" i="17"/>
  <c r="BS401" i="17"/>
  <c r="BT401" i="17"/>
  <c r="BU401" i="17"/>
  <c r="BV401" i="17"/>
  <c r="BW401" i="17"/>
  <c r="BX401" i="17"/>
  <c r="BY401" i="17"/>
  <c r="BZ401" i="17"/>
  <c r="CA401" i="17"/>
  <c r="CB401" i="17"/>
  <c r="CC401" i="17"/>
  <c r="CD401" i="17"/>
  <c r="CE401" i="17"/>
  <c r="CF401" i="17"/>
  <c r="CG401" i="17"/>
  <c r="CH401" i="17"/>
  <c r="CI401" i="17"/>
  <c r="CJ401" i="17"/>
  <c r="CK401" i="17"/>
  <c r="CL401" i="17"/>
  <c r="CM401" i="17"/>
  <c r="CN401" i="17"/>
  <c r="CO401" i="17"/>
  <c r="CP401" i="17"/>
  <c r="CQ401" i="17"/>
  <c r="CR401" i="17"/>
  <c r="CS401" i="17"/>
  <c r="CT401" i="17"/>
  <c r="CU401" i="17"/>
  <c r="CV401" i="17"/>
  <c r="CW401" i="17"/>
  <c r="CX401" i="17"/>
  <c r="CY401" i="17"/>
  <c r="CZ401" i="17"/>
  <c r="DA401" i="17"/>
  <c r="DB401" i="17"/>
  <c r="DC401" i="17"/>
  <c r="DD401" i="17"/>
  <c r="DE401" i="17"/>
  <c r="DF401" i="17"/>
  <c r="DG401" i="17"/>
  <c r="DH401" i="17"/>
  <c r="DI401" i="17"/>
  <c r="DJ401" i="17"/>
  <c r="DK401" i="17"/>
  <c r="DL401" i="17"/>
  <c r="DM401" i="17"/>
  <c r="DN401" i="17"/>
  <c r="DO401" i="17"/>
  <c r="DP401" i="17"/>
  <c r="DQ401" i="17"/>
  <c r="DR401" i="17"/>
  <c r="DS401" i="17"/>
  <c r="DT401" i="17"/>
  <c r="DU401" i="17"/>
  <c r="DV401" i="17"/>
  <c r="DW401" i="17"/>
  <c r="DX401" i="17"/>
  <c r="DY401" i="17"/>
  <c r="DZ401" i="17"/>
  <c r="EA401" i="17"/>
  <c r="EB401" i="17"/>
  <c r="EC401" i="17"/>
  <c r="ED401" i="17"/>
  <c r="EE401" i="17"/>
  <c r="EF401" i="17"/>
  <c r="EG401" i="17"/>
  <c r="EH401" i="17"/>
  <c r="EI401" i="17"/>
  <c r="EJ401" i="17"/>
  <c r="EK401" i="17"/>
  <c r="EL401" i="17"/>
  <c r="EM401" i="17"/>
  <c r="EN401" i="17"/>
  <c r="EO401" i="17"/>
  <c r="EP401" i="17"/>
  <c r="EQ401" i="17"/>
  <c r="ER401" i="17"/>
  <c r="ES401" i="17"/>
  <c r="ET401" i="17"/>
  <c r="EU401" i="17"/>
  <c r="EV401" i="17"/>
  <c r="EW401" i="17"/>
  <c r="EX401" i="17"/>
  <c r="EY401" i="17"/>
  <c r="EZ401" i="17"/>
  <c r="FA401" i="17"/>
  <c r="FB401" i="17"/>
  <c r="FC401" i="17"/>
  <c r="FD401" i="17"/>
  <c r="FE401" i="17"/>
  <c r="FF401" i="17"/>
  <c r="FG401" i="17"/>
  <c r="FH401" i="17"/>
  <c r="FI401" i="17"/>
  <c r="FJ401" i="17"/>
  <c r="FK401" i="17"/>
  <c r="FL401" i="17"/>
  <c r="FM401" i="17"/>
  <c r="FN401" i="17"/>
  <c r="FO401" i="17"/>
  <c r="FP401" i="17"/>
  <c r="FQ401" i="17"/>
  <c r="FR401" i="17"/>
  <c r="FS401" i="17"/>
  <c r="FT401" i="17"/>
  <c r="FU401" i="17"/>
  <c r="FV401" i="17"/>
  <c r="FW401" i="17"/>
  <c r="FX401" i="17"/>
  <c r="FY401" i="17"/>
  <c r="FZ401" i="17"/>
  <c r="GA401" i="17"/>
  <c r="GB401" i="17"/>
  <c r="GC401" i="17"/>
  <c r="GD401" i="17"/>
  <c r="GE401" i="17"/>
  <c r="GF401" i="17"/>
  <c r="GG401" i="17"/>
  <c r="GH401" i="17"/>
  <c r="GI401" i="17"/>
  <c r="GJ401" i="17"/>
  <c r="GK401" i="17"/>
  <c r="GL401" i="17"/>
  <c r="GM401" i="17"/>
  <c r="GN401" i="17"/>
  <c r="GO401" i="17"/>
  <c r="GP401" i="17"/>
  <c r="GQ401" i="17"/>
  <c r="GR401" i="17"/>
  <c r="GS401" i="17"/>
  <c r="GT401" i="17"/>
  <c r="GU401" i="17"/>
  <c r="GV401" i="17"/>
  <c r="GW401" i="17"/>
  <c r="GX401" i="17"/>
  <c r="GY401" i="17"/>
  <c r="GZ401" i="17"/>
  <c r="HA401" i="17"/>
  <c r="HB401" i="17"/>
  <c r="HC401" i="17"/>
  <c r="HD401" i="17"/>
  <c r="HE401" i="17"/>
  <c r="HF401" i="17"/>
  <c r="HG401" i="17"/>
  <c r="HH401" i="17"/>
  <c r="HI401" i="17"/>
  <c r="HJ401" i="17"/>
  <c r="HK401" i="17"/>
  <c r="HL401" i="17"/>
  <c r="HM401" i="17"/>
  <c r="HN401" i="17"/>
  <c r="HO401" i="17"/>
  <c r="HP401" i="17"/>
  <c r="HQ401" i="17"/>
  <c r="HR401" i="17"/>
  <c r="HS401" i="17"/>
  <c r="HT401" i="17"/>
  <c r="HU401" i="17"/>
  <c r="HV401" i="17"/>
  <c r="HW401" i="17"/>
  <c r="HX401" i="17"/>
  <c r="HY401" i="17"/>
  <c r="HZ401" i="17"/>
  <c r="IA401" i="17"/>
  <c r="IB401" i="17"/>
  <c r="IC401" i="17"/>
  <c r="ID401" i="17"/>
  <c r="IE401" i="17"/>
  <c r="IF401" i="17"/>
  <c r="IG401" i="17"/>
  <c r="IH401" i="17"/>
  <c r="II401" i="17"/>
  <c r="IJ401" i="17"/>
  <c r="IK401" i="17"/>
  <c r="IL401" i="17"/>
  <c r="IM401" i="17"/>
  <c r="IN401" i="17"/>
  <c r="IO401" i="17"/>
  <c r="IP401" i="17"/>
  <c r="IQ401" i="17"/>
  <c r="IR401" i="17"/>
  <c r="IS401" i="17"/>
  <c r="IT401" i="17"/>
  <c r="IU401" i="17"/>
  <c r="IV401" i="17"/>
  <c r="A400" i="17"/>
  <c r="B400" i="17"/>
  <c r="C400" i="17"/>
  <c r="D400" i="17"/>
  <c r="E400" i="17"/>
  <c r="F400" i="17"/>
  <c r="G400" i="17"/>
  <c r="H400" i="17"/>
  <c r="I400" i="17"/>
  <c r="J400" i="17"/>
  <c r="K400" i="17"/>
  <c r="L400" i="17"/>
  <c r="M400" i="17"/>
  <c r="N400" i="17"/>
  <c r="O400" i="17"/>
  <c r="P400" i="17"/>
  <c r="Q400" i="17"/>
  <c r="R400" i="17"/>
  <c r="S400" i="17"/>
  <c r="T400" i="17"/>
  <c r="U400" i="17"/>
  <c r="V400" i="17"/>
  <c r="W400" i="17"/>
  <c r="X400" i="17"/>
  <c r="Y400" i="17"/>
  <c r="Z400" i="17"/>
  <c r="AA400" i="17"/>
  <c r="AB400" i="17"/>
  <c r="AC400" i="17"/>
  <c r="AD400" i="17"/>
  <c r="AE400" i="17"/>
  <c r="AF400" i="17"/>
  <c r="AG400" i="17"/>
  <c r="AH400" i="17"/>
  <c r="AI400" i="17"/>
  <c r="AJ400" i="17"/>
  <c r="AK400" i="17"/>
  <c r="AL400" i="17"/>
  <c r="AM400" i="17"/>
  <c r="AN400" i="17"/>
  <c r="AO400" i="17"/>
  <c r="AP400" i="17"/>
  <c r="AQ400" i="17"/>
  <c r="AR400" i="17"/>
  <c r="AS400" i="17"/>
  <c r="AT400" i="17"/>
  <c r="AU400" i="17"/>
  <c r="AV400" i="17"/>
  <c r="AW400" i="17"/>
  <c r="AX400" i="17"/>
  <c r="AY400" i="17"/>
  <c r="AZ400" i="17"/>
  <c r="BA400" i="17"/>
  <c r="BB400" i="17"/>
  <c r="BC400" i="17"/>
  <c r="BD400" i="17"/>
  <c r="BE400" i="17"/>
  <c r="BF400" i="17"/>
  <c r="BG400" i="17"/>
  <c r="BH400" i="17"/>
  <c r="BI400" i="17"/>
  <c r="BJ400" i="17"/>
  <c r="BK400" i="17"/>
  <c r="BL400" i="17"/>
  <c r="BM400" i="17"/>
  <c r="BN400" i="17"/>
  <c r="BO400" i="17"/>
  <c r="BP400" i="17"/>
  <c r="BQ400" i="17"/>
  <c r="BR400" i="17"/>
  <c r="BS400" i="17"/>
  <c r="BT400" i="17"/>
  <c r="BU400" i="17"/>
  <c r="BV400" i="17"/>
  <c r="BW400" i="17"/>
  <c r="BX400" i="17"/>
  <c r="BY400" i="17"/>
  <c r="BZ400" i="17"/>
  <c r="CA400" i="17"/>
  <c r="CB400" i="17"/>
  <c r="CC400" i="17"/>
  <c r="CD400" i="17"/>
  <c r="CE400" i="17"/>
  <c r="CF400" i="17"/>
  <c r="CG400" i="17"/>
  <c r="CH400" i="17"/>
  <c r="CI400" i="17"/>
  <c r="CJ400" i="17"/>
  <c r="CK400" i="17"/>
  <c r="CL400" i="17"/>
  <c r="CM400" i="17"/>
  <c r="CN400" i="17"/>
  <c r="CO400" i="17"/>
  <c r="CP400" i="17"/>
  <c r="CQ400" i="17"/>
  <c r="CR400" i="17"/>
  <c r="CS400" i="17"/>
  <c r="CT400" i="17"/>
  <c r="CU400" i="17"/>
  <c r="CV400" i="17"/>
  <c r="CW400" i="17"/>
  <c r="CX400" i="17"/>
  <c r="CY400" i="17"/>
  <c r="CZ400" i="17"/>
  <c r="DA400" i="17"/>
  <c r="DB400" i="17"/>
  <c r="DC400" i="17"/>
  <c r="DD400" i="17"/>
  <c r="DE400" i="17"/>
  <c r="DF400" i="17"/>
  <c r="DG400" i="17"/>
  <c r="DH400" i="17"/>
  <c r="DI400" i="17"/>
  <c r="DJ400" i="17"/>
  <c r="DK400" i="17"/>
  <c r="DL400" i="17"/>
  <c r="DM400" i="17"/>
  <c r="DN400" i="17"/>
  <c r="DO400" i="17"/>
  <c r="DP400" i="17"/>
  <c r="DQ400" i="17"/>
  <c r="DR400" i="17"/>
  <c r="DS400" i="17"/>
  <c r="DT400" i="17"/>
  <c r="DU400" i="17"/>
  <c r="DV400" i="17"/>
  <c r="DW400" i="17"/>
  <c r="DX400" i="17"/>
  <c r="DY400" i="17"/>
  <c r="DZ400" i="17"/>
  <c r="EA400" i="17"/>
  <c r="EB400" i="17"/>
  <c r="EC400" i="17"/>
  <c r="ED400" i="17"/>
  <c r="EE400" i="17"/>
  <c r="EF400" i="17"/>
  <c r="EG400" i="17"/>
  <c r="EH400" i="17"/>
  <c r="EI400" i="17"/>
  <c r="EJ400" i="17"/>
  <c r="EK400" i="17"/>
  <c r="EL400" i="17"/>
  <c r="EM400" i="17"/>
  <c r="EN400" i="17"/>
  <c r="EO400" i="17"/>
  <c r="EP400" i="17"/>
  <c r="EQ400" i="17"/>
  <c r="ER400" i="17"/>
  <c r="ES400" i="17"/>
  <c r="ET400" i="17"/>
  <c r="EU400" i="17"/>
  <c r="EV400" i="17"/>
  <c r="EW400" i="17"/>
  <c r="EX400" i="17"/>
  <c r="EY400" i="17"/>
  <c r="EZ400" i="17"/>
  <c r="FA400" i="17"/>
  <c r="FB400" i="17"/>
  <c r="FC400" i="17"/>
  <c r="FD400" i="17"/>
  <c r="FE400" i="17"/>
  <c r="FF400" i="17"/>
  <c r="FG400" i="17"/>
  <c r="FH400" i="17"/>
  <c r="FI400" i="17"/>
  <c r="FJ400" i="17"/>
  <c r="FK400" i="17"/>
  <c r="FL400" i="17"/>
  <c r="FM400" i="17"/>
  <c r="FN400" i="17"/>
  <c r="FO400" i="17"/>
  <c r="FP400" i="17"/>
  <c r="FQ400" i="17"/>
  <c r="FR400" i="17"/>
  <c r="FS400" i="17"/>
  <c r="FT400" i="17"/>
  <c r="FU400" i="17"/>
  <c r="FV400" i="17"/>
  <c r="FW400" i="17"/>
  <c r="FX400" i="17"/>
  <c r="FY400" i="17"/>
  <c r="FZ400" i="17"/>
  <c r="GA400" i="17"/>
  <c r="GB400" i="17"/>
  <c r="GC400" i="17"/>
  <c r="GD400" i="17"/>
  <c r="GE400" i="17"/>
  <c r="GF400" i="17"/>
  <c r="GG400" i="17"/>
  <c r="GH400" i="17"/>
  <c r="GI400" i="17"/>
  <c r="GJ400" i="17"/>
  <c r="GK400" i="17"/>
  <c r="GL400" i="17"/>
  <c r="GM400" i="17"/>
  <c r="GN400" i="17"/>
  <c r="GO400" i="17"/>
  <c r="GP400" i="17"/>
  <c r="GQ400" i="17"/>
  <c r="GR400" i="17"/>
  <c r="GS400" i="17"/>
  <c r="GT400" i="17"/>
  <c r="GU400" i="17"/>
  <c r="GV400" i="17"/>
  <c r="GW400" i="17"/>
  <c r="GX400" i="17"/>
  <c r="GY400" i="17"/>
  <c r="GZ400" i="17"/>
  <c r="HA400" i="17"/>
  <c r="HB400" i="17"/>
  <c r="HC400" i="17"/>
  <c r="HD400" i="17"/>
  <c r="HE400" i="17"/>
  <c r="HF400" i="17"/>
  <c r="HG400" i="17"/>
  <c r="HH400" i="17"/>
  <c r="HI400" i="17"/>
  <c r="HJ400" i="17"/>
  <c r="HK400" i="17"/>
  <c r="HL400" i="17"/>
  <c r="HM400" i="17"/>
  <c r="HN400" i="17"/>
  <c r="HO400" i="17"/>
  <c r="HP400" i="17"/>
  <c r="HQ400" i="17"/>
  <c r="HR400" i="17"/>
  <c r="HS400" i="17"/>
  <c r="HT400" i="17"/>
  <c r="HU400" i="17"/>
  <c r="HV400" i="17"/>
  <c r="HW400" i="17"/>
  <c r="HX400" i="17"/>
  <c r="HY400" i="17"/>
  <c r="HZ400" i="17"/>
  <c r="IA400" i="17"/>
  <c r="IB400" i="17"/>
  <c r="IC400" i="17"/>
  <c r="ID400" i="17"/>
  <c r="IE400" i="17"/>
  <c r="IF400" i="17"/>
  <c r="IG400" i="17"/>
  <c r="IH400" i="17"/>
  <c r="II400" i="17"/>
  <c r="IJ400" i="17"/>
  <c r="IK400" i="17"/>
  <c r="IL400" i="17"/>
  <c r="IM400" i="17"/>
  <c r="IN400" i="17"/>
  <c r="IO400" i="17"/>
  <c r="IP400" i="17"/>
  <c r="IQ400" i="17"/>
  <c r="IR400" i="17"/>
  <c r="IS400" i="17"/>
  <c r="IT400" i="17"/>
  <c r="IU400" i="17"/>
  <c r="IV400" i="17"/>
  <c r="L195" i="19"/>
  <c r="N134" i="1"/>
  <c r="I134" i="1"/>
  <c r="H134" i="1"/>
  <c r="G134" i="1"/>
  <c r="F134" i="1"/>
  <c r="N220" i="1"/>
  <c r="I220" i="1"/>
  <c r="H220" i="1"/>
  <c r="G220" i="1"/>
  <c r="F220" i="1"/>
  <c r="E220" i="1"/>
  <c r="N210" i="1"/>
  <c r="I210" i="1"/>
  <c r="H210" i="1"/>
  <c r="G210" i="1"/>
  <c r="F210" i="1"/>
  <c r="A399" i="17"/>
  <c r="B399" i="17"/>
  <c r="C399" i="17"/>
  <c r="D399" i="17"/>
  <c r="E399" i="17"/>
  <c r="F399" i="17"/>
  <c r="G399" i="17"/>
  <c r="H399" i="17"/>
  <c r="I399" i="17"/>
  <c r="J399" i="17"/>
  <c r="K399" i="17"/>
  <c r="L399" i="17"/>
  <c r="M399" i="17"/>
  <c r="N399" i="17"/>
  <c r="O399" i="17"/>
  <c r="P399" i="17"/>
  <c r="Q399" i="17"/>
  <c r="R399" i="17"/>
  <c r="S399" i="17"/>
  <c r="T399" i="17"/>
  <c r="U399" i="17"/>
  <c r="V399" i="17"/>
  <c r="W399" i="17"/>
  <c r="X399" i="17"/>
  <c r="Y399" i="17"/>
  <c r="Z399" i="17"/>
  <c r="AA399" i="17"/>
  <c r="AB399" i="17"/>
  <c r="AC399" i="17"/>
  <c r="AD399" i="17"/>
  <c r="AE399" i="17"/>
  <c r="AF399" i="17"/>
  <c r="AG399" i="17"/>
  <c r="AH399" i="17"/>
  <c r="AI399" i="17"/>
  <c r="AJ399" i="17"/>
  <c r="AK399" i="17"/>
  <c r="AL399" i="17"/>
  <c r="AM399" i="17"/>
  <c r="AN399" i="17"/>
  <c r="AO399" i="17"/>
  <c r="AP399" i="17"/>
  <c r="AQ399" i="17"/>
  <c r="AR399" i="17"/>
  <c r="AS399" i="17"/>
  <c r="AT399" i="17"/>
  <c r="AU399" i="17"/>
  <c r="AV399" i="17"/>
  <c r="AW399" i="17"/>
  <c r="AX399" i="17"/>
  <c r="AY399" i="17"/>
  <c r="AZ399" i="17"/>
  <c r="BC399" i="17"/>
  <c r="BD399" i="17"/>
  <c r="BE399" i="17"/>
  <c r="A398" i="17"/>
  <c r="B398" i="17"/>
  <c r="C398" i="17"/>
  <c r="D398" i="17"/>
  <c r="E398" i="17"/>
  <c r="F398" i="17"/>
  <c r="G398" i="17"/>
  <c r="H398" i="17"/>
  <c r="I398" i="17"/>
  <c r="J398" i="17"/>
  <c r="K398" i="17"/>
  <c r="L398" i="17"/>
  <c r="M398" i="17"/>
  <c r="N398" i="17"/>
  <c r="O398" i="17"/>
  <c r="P398" i="17"/>
  <c r="Q398" i="17"/>
  <c r="R398" i="17"/>
  <c r="S398" i="17"/>
  <c r="T398" i="17"/>
  <c r="U398" i="17"/>
  <c r="V398" i="17"/>
  <c r="W398" i="17"/>
  <c r="X398" i="17"/>
  <c r="Y398" i="17"/>
  <c r="Z398" i="17"/>
  <c r="AA398" i="17"/>
  <c r="AB398" i="17"/>
  <c r="AC398" i="17"/>
  <c r="AD398" i="17"/>
  <c r="AE398" i="17"/>
  <c r="AF398" i="17"/>
  <c r="AG398" i="17"/>
  <c r="AH398" i="17"/>
  <c r="AI398" i="17"/>
  <c r="AJ398" i="17"/>
  <c r="AK398" i="17"/>
  <c r="AL398" i="17"/>
  <c r="AM398" i="17"/>
  <c r="AN398" i="17"/>
  <c r="AO398" i="17"/>
  <c r="AP398" i="17"/>
  <c r="AQ398" i="17"/>
  <c r="AR398" i="17"/>
  <c r="AS398" i="17"/>
  <c r="AT398" i="17"/>
  <c r="AU398" i="17"/>
  <c r="AV398" i="17"/>
  <c r="AW398" i="17"/>
  <c r="AX398" i="17"/>
  <c r="AY398" i="17"/>
  <c r="AZ398" i="17"/>
  <c r="BA398" i="17"/>
  <c r="BB398" i="17"/>
  <c r="BC398" i="17"/>
  <c r="BD398" i="17"/>
  <c r="BE398" i="17"/>
  <c r="BF398" i="17"/>
  <c r="BG398" i="17"/>
  <c r="BH398" i="17"/>
  <c r="BI398" i="17"/>
  <c r="BJ398" i="17"/>
  <c r="BK398" i="17"/>
  <c r="BL398" i="17"/>
  <c r="BM398" i="17"/>
  <c r="BN398" i="17"/>
  <c r="BO398" i="17"/>
  <c r="BP398" i="17"/>
  <c r="BQ398" i="17"/>
  <c r="BR398" i="17"/>
  <c r="BS398" i="17"/>
  <c r="BT398" i="17"/>
  <c r="BU398" i="17"/>
  <c r="BV398" i="17"/>
  <c r="BW398" i="17"/>
  <c r="BX398" i="17"/>
  <c r="BY398" i="17"/>
  <c r="BZ398" i="17"/>
  <c r="CA398" i="17"/>
  <c r="CB398" i="17"/>
  <c r="CC398" i="17"/>
  <c r="CD398" i="17"/>
  <c r="CE398" i="17"/>
  <c r="CF398" i="17"/>
  <c r="CG398" i="17"/>
  <c r="CH398" i="17"/>
  <c r="CI398" i="17"/>
  <c r="CJ398" i="17"/>
  <c r="CK398" i="17"/>
  <c r="CL398" i="17"/>
  <c r="CM398" i="17"/>
  <c r="CN398" i="17"/>
  <c r="CO398" i="17"/>
  <c r="CP398" i="17"/>
  <c r="CQ398" i="17"/>
  <c r="CR398" i="17"/>
  <c r="CS398" i="17"/>
  <c r="CT398" i="17"/>
  <c r="CU398" i="17"/>
  <c r="CV398" i="17"/>
  <c r="CW398" i="17"/>
  <c r="CX398" i="17"/>
  <c r="CY398" i="17"/>
  <c r="CZ398" i="17"/>
  <c r="DA398" i="17"/>
  <c r="DB398" i="17"/>
  <c r="DC398" i="17"/>
  <c r="DD398" i="17"/>
  <c r="DE398" i="17"/>
  <c r="DF398" i="17"/>
  <c r="DG398" i="17"/>
  <c r="DH398" i="17"/>
  <c r="DI398" i="17"/>
  <c r="DJ398" i="17"/>
  <c r="DK398" i="17"/>
  <c r="DL398" i="17"/>
  <c r="DM398" i="17"/>
  <c r="DN398" i="17"/>
  <c r="DO398" i="17"/>
  <c r="DP398" i="17"/>
  <c r="DQ398" i="17"/>
  <c r="DR398" i="17"/>
  <c r="DS398" i="17"/>
  <c r="DT398" i="17"/>
  <c r="DU398" i="17"/>
  <c r="DV398" i="17"/>
  <c r="DW398" i="17"/>
  <c r="DX398" i="17"/>
  <c r="DY398" i="17"/>
  <c r="DZ398" i="17"/>
  <c r="EA398" i="17"/>
  <c r="EB398" i="17"/>
  <c r="EC398" i="17"/>
  <c r="ED398" i="17"/>
  <c r="EE398" i="17"/>
  <c r="EF398" i="17"/>
  <c r="EG398" i="17"/>
  <c r="EH398" i="17"/>
  <c r="EI398" i="17"/>
  <c r="EJ398" i="17"/>
  <c r="EK398" i="17"/>
  <c r="EL398" i="17"/>
  <c r="EM398" i="17"/>
  <c r="EN398" i="17"/>
  <c r="EO398" i="17"/>
  <c r="EP398" i="17"/>
  <c r="EQ398" i="17"/>
  <c r="ER398" i="17"/>
  <c r="ES398" i="17"/>
  <c r="ET398" i="17"/>
  <c r="EU398" i="17"/>
  <c r="EV398" i="17"/>
  <c r="EW398" i="17"/>
  <c r="EX398" i="17"/>
  <c r="EY398" i="17"/>
  <c r="EZ398" i="17"/>
  <c r="FA398" i="17"/>
  <c r="FB398" i="17"/>
  <c r="FC398" i="17"/>
  <c r="FD398" i="17"/>
  <c r="FE398" i="17"/>
  <c r="FF398" i="17"/>
  <c r="FG398" i="17"/>
  <c r="FH398" i="17"/>
  <c r="FI398" i="17"/>
  <c r="FJ398" i="17"/>
  <c r="FK398" i="17"/>
  <c r="FL398" i="17"/>
  <c r="FM398" i="17"/>
  <c r="FN398" i="17"/>
  <c r="FO398" i="17"/>
  <c r="FP398" i="17"/>
  <c r="FQ398" i="17"/>
  <c r="FR398" i="17"/>
  <c r="FS398" i="17"/>
  <c r="FT398" i="17"/>
  <c r="FU398" i="17"/>
  <c r="FV398" i="17"/>
  <c r="FW398" i="17"/>
  <c r="FX398" i="17"/>
  <c r="FY398" i="17"/>
  <c r="FZ398" i="17"/>
  <c r="GA398" i="17"/>
  <c r="GB398" i="17"/>
  <c r="GC398" i="17"/>
  <c r="GD398" i="17"/>
  <c r="GE398" i="17"/>
  <c r="GF398" i="17"/>
  <c r="GG398" i="17"/>
  <c r="GH398" i="17"/>
  <c r="GI398" i="17"/>
  <c r="GJ398" i="17"/>
  <c r="GK398" i="17"/>
  <c r="GL398" i="17"/>
  <c r="GM398" i="17"/>
  <c r="GN398" i="17"/>
  <c r="GO398" i="17"/>
  <c r="GP398" i="17"/>
  <c r="GQ398" i="17"/>
  <c r="GR398" i="17"/>
  <c r="GS398" i="17"/>
  <c r="GT398" i="17"/>
  <c r="GU398" i="17"/>
  <c r="GV398" i="17"/>
  <c r="GW398" i="17"/>
  <c r="GX398" i="17"/>
  <c r="GY398" i="17"/>
  <c r="GZ398" i="17"/>
  <c r="HA398" i="17"/>
  <c r="HB398" i="17"/>
  <c r="HC398" i="17"/>
  <c r="HD398" i="17"/>
  <c r="HE398" i="17"/>
  <c r="HF398" i="17"/>
  <c r="HG398" i="17"/>
  <c r="HH398" i="17"/>
  <c r="HI398" i="17"/>
  <c r="HJ398" i="17"/>
  <c r="HK398" i="17"/>
  <c r="HL398" i="17"/>
  <c r="HM398" i="17"/>
  <c r="HN398" i="17"/>
  <c r="HO398" i="17"/>
  <c r="HP398" i="17"/>
  <c r="HQ398" i="17"/>
  <c r="HR398" i="17"/>
  <c r="HS398" i="17"/>
  <c r="HT398" i="17"/>
  <c r="HU398" i="17"/>
  <c r="HV398" i="17"/>
  <c r="HW398" i="17"/>
  <c r="HX398" i="17"/>
  <c r="HY398" i="17"/>
  <c r="HZ398" i="17"/>
  <c r="IA398" i="17"/>
  <c r="IB398" i="17"/>
  <c r="IC398" i="17"/>
  <c r="ID398" i="17"/>
  <c r="IE398" i="17"/>
  <c r="IF398" i="17"/>
  <c r="IG398" i="17"/>
  <c r="IH398" i="17"/>
  <c r="II398" i="17"/>
  <c r="IJ398" i="17"/>
  <c r="IK398" i="17"/>
  <c r="IL398" i="17"/>
  <c r="IM398" i="17"/>
  <c r="IN398" i="17"/>
  <c r="IO398" i="17"/>
  <c r="IP398" i="17"/>
  <c r="IQ398" i="17"/>
  <c r="IR398" i="17"/>
  <c r="IS398" i="17"/>
  <c r="IT398" i="17"/>
  <c r="IU398" i="17"/>
  <c r="IV398" i="17"/>
  <c r="A397" i="17"/>
  <c r="B397" i="17"/>
  <c r="C397" i="17"/>
  <c r="D397" i="17"/>
  <c r="E397" i="17"/>
  <c r="F397" i="17"/>
  <c r="G397" i="17"/>
  <c r="H397" i="17"/>
  <c r="I397" i="17"/>
  <c r="J397" i="17"/>
  <c r="K397" i="17"/>
  <c r="L397" i="17"/>
  <c r="M397" i="17"/>
  <c r="N397" i="17"/>
  <c r="O397" i="17"/>
  <c r="P397" i="17"/>
  <c r="Q397" i="17"/>
  <c r="R397" i="17"/>
  <c r="S397" i="17"/>
  <c r="T397" i="17"/>
  <c r="U397" i="17"/>
  <c r="V397" i="17"/>
  <c r="W397" i="17"/>
  <c r="X397" i="17"/>
  <c r="Y397" i="17"/>
  <c r="Z397" i="17"/>
  <c r="AA397" i="17"/>
  <c r="AB397" i="17"/>
  <c r="AC397" i="17"/>
  <c r="AD397" i="17"/>
  <c r="AE397" i="17"/>
  <c r="AF397" i="17"/>
  <c r="AG397" i="17"/>
  <c r="AH397" i="17"/>
  <c r="AI397" i="17"/>
  <c r="AJ397" i="17"/>
  <c r="AK397" i="17"/>
  <c r="AL397" i="17"/>
  <c r="AM397" i="17"/>
  <c r="AN397" i="17"/>
  <c r="AO397" i="17"/>
  <c r="AP397" i="17"/>
  <c r="AQ397" i="17"/>
  <c r="AR397" i="17"/>
  <c r="AS397" i="17"/>
  <c r="AT397" i="17"/>
  <c r="AU397" i="17"/>
  <c r="AV397" i="17"/>
  <c r="AW397" i="17"/>
  <c r="AX397" i="17"/>
  <c r="AY397" i="17"/>
  <c r="AZ397" i="17"/>
  <c r="BA397" i="17"/>
  <c r="BB397" i="17"/>
  <c r="BC397" i="17"/>
  <c r="BD397" i="17"/>
  <c r="BE397" i="17"/>
  <c r="BF397" i="17"/>
  <c r="BG397" i="17"/>
  <c r="BH397" i="17"/>
  <c r="BI397" i="17"/>
  <c r="BJ397" i="17"/>
  <c r="BK397" i="17"/>
  <c r="BL397" i="17"/>
  <c r="BM397" i="17"/>
  <c r="BN397" i="17"/>
  <c r="BO397" i="17"/>
  <c r="BP397" i="17"/>
  <c r="BQ397" i="17"/>
  <c r="BR397" i="17"/>
  <c r="BS397" i="17"/>
  <c r="BT397" i="17"/>
  <c r="BU397" i="17"/>
  <c r="BV397" i="17"/>
  <c r="BW397" i="17"/>
  <c r="BX397" i="17"/>
  <c r="BY397" i="17"/>
  <c r="BZ397" i="17"/>
  <c r="CA397" i="17"/>
  <c r="CB397" i="17"/>
  <c r="CC397" i="17"/>
  <c r="CD397" i="17"/>
  <c r="CE397" i="17"/>
  <c r="CF397" i="17"/>
  <c r="CG397" i="17"/>
  <c r="CH397" i="17"/>
  <c r="CI397" i="17"/>
  <c r="CJ397" i="17"/>
  <c r="CK397" i="17"/>
  <c r="CL397" i="17"/>
  <c r="CM397" i="17"/>
  <c r="CN397" i="17"/>
  <c r="CO397" i="17"/>
  <c r="CP397" i="17"/>
  <c r="CQ397" i="17"/>
  <c r="CR397" i="17"/>
  <c r="CS397" i="17"/>
  <c r="CT397" i="17"/>
  <c r="CU397" i="17"/>
  <c r="CV397" i="17"/>
  <c r="CW397" i="17"/>
  <c r="CX397" i="17"/>
  <c r="CY397" i="17"/>
  <c r="CZ397" i="17"/>
  <c r="DA397" i="17"/>
  <c r="DB397" i="17"/>
  <c r="DC397" i="17"/>
  <c r="DD397" i="17"/>
  <c r="DE397" i="17"/>
  <c r="DF397" i="17"/>
  <c r="DG397" i="17"/>
  <c r="DH397" i="17"/>
  <c r="DI397" i="17"/>
  <c r="DJ397" i="17"/>
  <c r="DK397" i="17"/>
  <c r="DL397" i="17"/>
  <c r="DM397" i="17"/>
  <c r="DN397" i="17"/>
  <c r="DO397" i="17"/>
  <c r="DP397" i="17"/>
  <c r="DQ397" i="17"/>
  <c r="DR397" i="17"/>
  <c r="DS397" i="17"/>
  <c r="DT397" i="17"/>
  <c r="DU397" i="17"/>
  <c r="DV397" i="17"/>
  <c r="DW397" i="17"/>
  <c r="DX397" i="17"/>
  <c r="DY397" i="17"/>
  <c r="DZ397" i="17"/>
  <c r="EA397" i="17"/>
  <c r="EB397" i="17"/>
  <c r="EC397" i="17"/>
  <c r="ED397" i="17"/>
  <c r="EE397" i="17"/>
  <c r="EF397" i="17"/>
  <c r="EG397" i="17"/>
  <c r="EH397" i="17"/>
  <c r="EI397" i="17"/>
  <c r="EJ397" i="17"/>
  <c r="EK397" i="17"/>
  <c r="EL397" i="17"/>
  <c r="EM397" i="17"/>
  <c r="EN397" i="17"/>
  <c r="EO397" i="17"/>
  <c r="EP397" i="17"/>
  <c r="EQ397" i="17"/>
  <c r="ER397" i="17"/>
  <c r="ES397" i="17"/>
  <c r="ET397" i="17"/>
  <c r="EU397" i="17"/>
  <c r="EV397" i="17"/>
  <c r="EW397" i="17"/>
  <c r="EX397" i="17"/>
  <c r="EY397" i="17"/>
  <c r="EZ397" i="17"/>
  <c r="FA397" i="17"/>
  <c r="FB397" i="17"/>
  <c r="FC397" i="17"/>
  <c r="FD397" i="17"/>
  <c r="FE397" i="17"/>
  <c r="FF397" i="17"/>
  <c r="FG397" i="17"/>
  <c r="FH397" i="17"/>
  <c r="FI397" i="17"/>
  <c r="FJ397" i="17"/>
  <c r="FK397" i="17"/>
  <c r="FL397" i="17"/>
  <c r="FM397" i="17"/>
  <c r="FN397" i="17"/>
  <c r="FO397" i="17"/>
  <c r="FP397" i="17"/>
  <c r="FQ397" i="17"/>
  <c r="FR397" i="17"/>
  <c r="FS397" i="17"/>
  <c r="FT397" i="17"/>
  <c r="FU397" i="17"/>
  <c r="FV397" i="17"/>
  <c r="FW397" i="17"/>
  <c r="FX397" i="17"/>
  <c r="FY397" i="17"/>
  <c r="FZ397" i="17"/>
  <c r="GA397" i="17"/>
  <c r="GB397" i="17"/>
  <c r="GC397" i="17"/>
  <c r="GD397" i="17"/>
  <c r="GE397" i="17"/>
  <c r="GF397" i="17"/>
  <c r="GG397" i="17"/>
  <c r="GH397" i="17"/>
  <c r="GI397" i="17"/>
  <c r="GJ397" i="17"/>
  <c r="GK397" i="17"/>
  <c r="GL397" i="17"/>
  <c r="GM397" i="17"/>
  <c r="GN397" i="17"/>
  <c r="GO397" i="17"/>
  <c r="GP397" i="17"/>
  <c r="GQ397" i="17"/>
  <c r="GR397" i="17"/>
  <c r="GS397" i="17"/>
  <c r="GT397" i="17"/>
  <c r="GU397" i="17"/>
  <c r="GV397" i="17"/>
  <c r="GW397" i="17"/>
  <c r="GX397" i="17"/>
  <c r="GY397" i="17"/>
  <c r="GZ397" i="17"/>
  <c r="HA397" i="17"/>
  <c r="HB397" i="17"/>
  <c r="HC397" i="17"/>
  <c r="HD397" i="17"/>
  <c r="HE397" i="17"/>
  <c r="HF397" i="17"/>
  <c r="HG397" i="17"/>
  <c r="HH397" i="17"/>
  <c r="HI397" i="17"/>
  <c r="HJ397" i="17"/>
  <c r="HK397" i="17"/>
  <c r="HL397" i="17"/>
  <c r="HM397" i="17"/>
  <c r="HN397" i="17"/>
  <c r="HO397" i="17"/>
  <c r="HP397" i="17"/>
  <c r="HQ397" i="17"/>
  <c r="HR397" i="17"/>
  <c r="HS397" i="17"/>
  <c r="HT397" i="17"/>
  <c r="HU397" i="17"/>
  <c r="HV397" i="17"/>
  <c r="HW397" i="17"/>
  <c r="HX397" i="17"/>
  <c r="HY397" i="17"/>
  <c r="HZ397" i="17"/>
  <c r="IA397" i="17"/>
  <c r="IB397" i="17"/>
  <c r="IC397" i="17"/>
  <c r="ID397" i="17"/>
  <c r="IE397" i="17"/>
  <c r="IF397" i="17"/>
  <c r="IG397" i="17"/>
  <c r="IH397" i="17"/>
  <c r="II397" i="17"/>
  <c r="IJ397" i="17"/>
  <c r="IK397" i="17"/>
  <c r="IL397" i="17"/>
  <c r="IM397" i="17"/>
  <c r="IN397" i="17"/>
  <c r="IO397" i="17"/>
  <c r="IP397" i="17"/>
  <c r="IQ397" i="17"/>
  <c r="IR397" i="17"/>
  <c r="IS397" i="17"/>
  <c r="IT397" i="17"/>
  <c r="IU397" i="17"/>
  <c r="IV397" i="17"/>
  <c r="A396" i="17"/>
  <c r="B396" i="17"/>
  <c r="C396" i="17"/>
  <c r="D396" i="17"/>
  <c r="E396" i="17"/>
  <c r="F396" i="17"/>
  <c r="G396" i="17"/>
  <c r="H396" i="17"/>
  <c r="I396" i="17"/>
  <c r="J396" i="17"/>
  <c r="K396" i="17"/>
  <c r="L396" i="17"/>
  <c r="M396" i="17"/>
  <c r="N396" i="17"/>
  <c r="O396" i="17"/>
  <c r="P396" i="17"/>
  <c r="Q396" i="17"/>
  <c r="R396" i="17"/>
  <c r="S396" i="17"/>
  <c r="T396" i="17"/>
  <c r="U396" i="17"/>
  <c r="V396" i="17"/>
  <c r="W396" i="17"/>
  <c r="X396" i="17"/>
  <c r="Y396" i="17"/>
  <c r="Z396" i="17"/>
  <c r="AA396" i="17"/>
  <c r="AB396" i="17"/>
  <c r="AC396" i="17"/>
  <c r="AD396" i="17"/>
  <c r="AE396" i="17"/>
  <c r="AF396" i="17"/>
  <c r="AG396" i="17"/>
  <c r="AH396" i="17"/>
  <c r="AI396" i="17"/>
  <c r="AJ396" i="17"/>
  <c r="AK396" i="17"/>
  <c r="AL396" i="17"/>
  <c r="AM396" i="17"/>
  <c r="AN396" i="17"/>
  <c r="AO396" i="17"/>
  <c r="AP396" i="17"/>
  <c r="AQ396" i="17"/>
  <c r="AR396" i="17"/>
  <c r="AS396" i="17"/>
  <c r="AT396" i="17"/>
  <c r="AU396" i="17"/>
  <c r="AV396" i="17"/>
  <c r="AW396" i="17"/>
  <c r="AX396" i="17"/>
  <c r="AY396" i="17"/>
  <c r="AZ396" i="17"/>
  <c r="BA396" i="17"/>
  <c r="BB396" i="17"/>
  <c r="BC396" i="17"/>
  <c r="BD396" i="17"/>
  <c r="BE396" i="17"/>
  <c r="BF396" i="17"/>
  <c r="BG396" i="17"/>
  <c r="BH396" i="17"/>
  <c r="BI396" i="17"/>
  <c r="BJ396" i="17"/>
  <c r="BK396" i="17"/>
  <c r="BL396" i="17"/>
  <c r="BM396" i="17"/>
  <c r="BN396" i="17"/>
  <c r="BO396" i="17"/>
  <c r="BP396" i="17"/>
  <c r="BQ396" i="17"/>
  <c r="BR396" i="17"/>
  <c r="BS396" i="17"/>
  <c r="BT396" i="17"/>
  <c r="BU396" i="17"/>
  <c r="BV396" i="17"/>
  <c r="BW396" i="17"/>
  <c r="BX396" i="17"/>
  <c r="BY396" i="17"/>
  <c r="BZ396" i="17"/>
  <c r="CA396" i="17"/>
  <c r="CB396" i="17"/>
  <c r="CC396" i="17"/>
  <c r="CD396" i="17"/>
  <c r="CE396" i="17"/>
  <c r="CF396" i="17"/>
  <c r="CG396" i="17"/>
  <c r="CH396" i="17"/>
  <c r="CI396" i="17"/>
  <c r="CJ396" i="17"/>
  <c r="CK396" i="17"/>
  <c r="CL396" i="17"/>
  <c r="CM396" i="17"/>
  <c r="CN396" i="17"/>
  <c r="CO396" i="17"/>
  <c r="CP396" i="17"/>
  <c r="CQ396" i="17"/>
  <c r="CR396" i="17"/>
  <c r="CS396" i="17"/>
  <c r="CT396" i="17"/>
  <c r="CU396" i="17"/>
  <c r="CV396" i="17"/>
  <c r="CW396" i="17"/>
  <c r="CX396" i="17"/>
  <c r="CY396" i="17"/>
  <c r="CZ396" i="17"/>
  <c r="DA396" i="17"/>
  <c r="DB396" i="17"/>
  <c r="DC396" i="17"/>
  <c r="DD396" i="17"/>
  <c r="DE396" i="17"/>
  <c r="DF396" i="17"/>
  <c r="DG396" i="17"/>
  <c r="DH396" i="17"/>
  <c r="DI396" i="17"/>
  <c r="DJ396" i="17"/>
  <c r="DK396" i="17"/>
  <c r="DL396" i="17"/>
  <c r="DM396" i="17"/>
  <c r="DN396" i="17"/>
  <c r="DO396" i="17"/>
  <c r="DP396" i="17"/>
  <c r="DQ396" i="17"/>
  <c r="DR396" i="17"/>
  <c r="DS396" i="17"/>
  <c r="DT396" i="17"/>
  <c r="DU396" i="17"/>
  <c r="DV396" i="17"/>
  <c r="DW396" i="17"/>
  <c r="DX396" i="17"/>
  <c r="DY396" i="17"/>
  <c r="DZ396" i="17"/>
  <c r="EA396" i="17"/>
  <c r="EB396" i="17"/>
  <c r="EC396" i="17"/>
  <c r="ED396" i="17"/>
  <c r="EE396" i="17"/>
  <c r="EF396" i="17"/>
  <c r="EG396" i="17"/>
  <c r="EH396" i="17"/>
  <c r="EI396" i="17"/>
  <c r="EJ396" i="17"/>
  <c r="EK396" i="17"/>
  <c r="EL396" i="17"/>
  <c r="EM396" i="17"/>
  <c r="EN396" i="17"/>
  <c r="EO396" i="17"/>
  <c r="EP396" i="17"/>
  <c r="EQ396" i="17"/>
  <c r="ER396" i="17"/>
  <c r="ES396" i="17"/>
  <c r="ET396" i="17"/>
  <c r="EU396" i="17"/>
  <c r="EV396" i="17"/>
  <c r="EW396" i="17"/>
  <c r="EX396" i="17"/>
  <c r="EY396" i="17"/>
  <c r="EZ396" i="17"/>
  <c r="FA396" i="17"/>
  <c r="FB396" i="17"/>
  <c r="FC396" i="17"/>
  <c r="FD396" i="17"/>
  <c r="FE396" i="17"/>
  <c r="FF396" i="17"/>
  <c r="FG396" i="17"/>
  <c r="FH396" i="17"/>
  <c r="FI396" i="17"/>
  <c r="FJ396" i="17"/>
  <c r="FK396" i="17"/>
  <c r="FL396" i="17"/>
  <c r="FM396" i="17"/>
  <c r="FN396" i="17"/>
  <c r="FO396" i="17"/>
  <c r="FP396" i="17"/>
  <c r="FQ396" i="17"/>
  <c r="FR396" i="17"/>
  <c r="FS396" i="17"/>
  <c r="FT396" i="17"/>
  <c r="FU396" i="17"/>
  <c r="FV396" i="17"/>
  <c r="FW396" i="17"/>
  <c r="FX396" i="17"/>
  <c r="FY396" i="17"/>
  <c r="FZ396" i="17"/>
  <c r="GA396" i="17"/>
  <c r="GB396" i="17"/>
  <c r="GC396" i="17"/>
  <c r="GD396" i="17"/>
  <c r="GE396" i="17"/>
  <c r="GF396" i="17"/>
  <c r="GG396" i="17"/>
  <c r="GH396" i="17"/>
  <c r="GI396" i="17"/>
  <c r="GJ396" i="17"/>
  <c r="GK396" i="17"/>
  <c r="GL396" i="17"/>
  <c r="GM396" i="17"/>
  <c r="GN396" i="17"/>
  <c r="GO396" i="17"/>
  <c r="GP396" i="17"/>
  <c r="GQ396" i="17"/>
  <c r="GR396" i="17"/>
  <c r="GS396" i="17"/>
  <c r="GT396" i="17"/>
  <c r="GU396" i="17"/>
  <c r="GV396" i="17"/>
  <c r="GW396" i="17"/>
  <c r="GX396" i="17"/>
  <c r="GY396" i="17"/>
  <c r="GZ396" i="17"/>
  <c r="HA396" i="17"/>
  <c r="HB396" i="17"/>
  <c r="HC396" i="17"/>
  <c r="HD396" i="17"/>
  <c r="HE396" i="17"/>
  <c r="HF396" i="17"/>
  <c r="HG396" i="17"/>
  <c r="HH396" i="17"/>
  <c r="HI396" i="17"/>
  <c r="HJ396" i="17"/>
  <c r="HK396" i="17"/>
  <c r="HL396" i="17"/>
  <c r="HM396" i="17"/>
  <c r="HN396" i="17"/>
  <c r="HO396" i="17"/>
  <c r="HP396" i="17"/>
  <c r="HQ396" i="17"/>
  <c r="HR396" i="17"/>
  <c r="HS396" i="17"/>
  <c r="HT396" i="17"/>
  <c r="HU396" i="17"/>
  <c r="HV396" i="17"/>
  <c r="HW396" i="17"/>
  <c r="HX396" i="17"/>
  <c r="HY396" i="17"/>
  <c r="HZ396" i="17"/>
  <c r="IA396" i="17"/>
  <c r="IB396" i="17"/>
  <c r="IC396" i="17"/>
  <c r="ID396" i="17"/>
  <c r="IE396" i="17"/>
  <c r="IF396" i="17"/>
  <c r="IG396" i="17"/>
  <c r="IH396" i="17"/>
  <c r="II396" i="17"/>
  <c r="IJ396" i="17"/>
  <c r="IK396" i="17"/>
  <c r="IL396" i="17"/>
  <c r="IM396" i="17"/>
  <c r="IN396" i="17"/>
  <c r="IO396" i="17"/>
  <c r="IP396" i="17"/>
  <c r="IQ396" i="17"/>
  <c r="IR396" i="17"/>
  <c r="IS396" i="17"/>
  <c r="IT396" i="17"/>
  <c r="IU396" i="17"/>
  <c r="IV396" i="17"/>
  <c r="A395" i="17"/>
  <c r="B395" i="17"/>
  <c r="C395" i="17"/>
  <c r="D395" i="17"/>
  <c r="E395" i="17"/>
  <c r="F395" i="17"/>
  <c r="G395" i="17"/>
  <c r="H395" i="17"/>
  <c r="I395" i="17"/>
  <c r="J395" i="17"/>
  <c r="K395" i="17"/>
  <c r="L395" i="17"/>
  <c r="M395" i="17"/>
  <c r="N395" i="17"/>
  <c r="O395" i="17"/>
  <c r="P395" i="17"/>
  <c r="Q395" i="17"/>
  <c r="R395" i="17"/>
  <c r="S395" i="17"/>
  <c r="T395" i="17"/>
  <c r="U395" i="17"/>
  <c r="V395" i="17"/>
  <c r="W395" i="17"/>
  <c r="Y395" i="17"/>
  <c r="Z395" i="17"/>
  <c r="AA395" i="17"/>
  <c r="AB395" i="17"/>
  <c r="AC395" i="17"/>
  <c r="AD395" i="17"/>
  <c r="AE395" i="17"/>
  <c r="AF395" i="17"/>
  <c r="AG395" i="17"/>
  <c r="AH395" i="17"/>
  <c r="AI395" i="17"/>
  <c r="AJ395" i="17"/>
  <c r="AK395" i="17"/>
  <c r="AL395" i="17"/>
  <c r="AM395" i="17"/>
  <c r="AN395" i="17"/>
  <c r="AO395" i="17"/>
  <c r="AP395" i="17"/>
  <c r="AQ395" i="17"/>
  <c r="AR395" i="17"/>
  <c r="AS395" i="17"/>
  <c r="AT395" i="17"/>
  <c r="AU395" i="17"/>
  <c r="AV395" i="17"/>
  <c r="AW395" i="17"/>
  <c r="AX395" i="17"/>
  <c r="AY395" i="17"/>
  <c r="AZ395" i="17"/>
  <c r="BA395" i="17"/>
  <c r="BB395" i="17"/>
  <c r="BC395" i="17"/>
  <c r="BD395" i="17"/>
  <c r="BE395" i="17"/>
  <c r="BF395" i="17"/>
  <c r="BG395" i="17"/>
  <c r="BH395" i="17"/>
  <c r="BI395" i="17"/>
  <c r="BJ395" i="17"/>
  <c r="BK395" i="17"/>
  <c r="BL395" i="17"/>
  <c r="BM395" i="17"/>
  <c r="BN395" i="17"/>
  <c r="BO395" i="17"/>
  <c r="BP395" i="17"/>
  <c r="BQ395" i="17"/>
  <c r="BR395" i="17"/>
  <c r="BS395" i="17"/>
  <c r="BT395" i="17"/>
  <c r="BU395" i="17"/>
  <c r="BV395" i="17"/>
  <c r="BW395" i="17"/>
  <c r="BX395" i="17"/>
  <c r="BY395" i="17"/>
  <c r="BZ395" i="17"/>
  <c r="CA395" i="17"/>
  <c r="CB395" i="17"/>
  <c r="CC395" i="17"/>
  <c r="CD395" i="17"/>
  <c r="CE395" i="17"/>
  <c r="CF395" i="17"/>
  <c r="CG395" i="17"/>
  <c r="CH395" i="17"/>
  <c r="CI395" i="17"/>
  <c r="CJ395" i="17"/>
  <c r="CK395" i="17"/>
  <c r="CL395" i="17"/>
  <c r="CM395" i="17"/>
  <c r="CN395" i="17"/>
  <c r="CO395" i="17"/>
  <c r="CP395" i="17"/>
  <c r="CQ395" i="17"/>
  <c r="CR395" i="17"/>
  <c r="CS395" i="17"/>
  <c r="CT395" i="17"/>
  <c r="CU395" i="17"/>
  <c r="CV395" i="17"/>
  <c r="CW395" i="17"/>
  <c r="CX395" i="17"/>
  <c r="CY395" i="17"/>
  <c r="CZ395" i="17"/>
  <c r="DA395" i="17"/>
  <c r="DB395" i="17"/>
  <c r="DC395" i="17"/>
  <c r="DD395" i="17"/>
  <c r="DE395" i="17"/>
  <c r="DF395" i="17"/>
  <c r="DG395" i="17"/>
  <c r="DH395" i="17"/>
  <c r="DI395" i="17"/>
  <c r="DJ395" i="17"/>
  <c r="DK395" i="17"/>
  <c r="DL395" i="17"/>
  <c r="DM395" i="17"/>
  <c r="DN395" i="17"/>
  <c r="DO395" i="17"/>
  <c r="DP395" i="17"/>
  <c r="DQ395" i="17"/>
  <c r="DR395" i="17"/>
  <c r="DS395" i="17"/>
  <c r="DT395" i="17"/>
  <c r="DU395" i="17"/>
  <c r="DV395" i="17"/>
  <c r="DW395" i="17"/>
  <c r="DX395" i="17"/>
  <c r="DY395" i="17"/>
  <c r="DZ395" i="17"/>
  <c r="EA395" i="17"/>
  <c r="EB395" i="17"/>
  <c r="EC395" i="17"/>
  <c r="ED395" i="17"/>
  <c r="EE395" i="17"/>
  <c r="EF395" i="17"/>
  <c r="EG395" i="17"/>
  <c r="EH395" i="17"/>
  <c r="EI395" i="17"/>
  <c r="EJ395" i="17"/>
  <c r="EK395" i="17"/>
  <c r="EL395" i="17"/>
  <c r="EM395" i="17"/>
  <c r="EN395" i="17"/>
  <c r="EO395" i="17"/>
  <c r="EP395" i="17"/>
  <c r="EQ395" i="17"/>
  <c r="ER395" i="17"/>
  <c r="ES395" i="17"/>
  <c r="ET395" i="17"/>
  <c r="EU395" i="17"/>
  <c r="EV395" i="17"/>
  <c r="EW395" i="17"/>
  <c r="EX395" i="17"/>
  <c r="EY395" i="17"/>
  <c r="EZ395" i="17"/>
  <c r="FA395" i="17"/>
  <c r="FB395" i="17"/>
  <c r="FC395" i="17"/>
  <c r="FD395" i="17"/>
  <c r="FE395" i="17"/>
  <c r="FF395" i="17"/>
  <c r="FG395" i="17"/>
  <c r="FH395" i="17"/>
  <c r="FI395" i="17"/>
  <c r="FJ395" i="17"/>
  <c r="FK395" i="17"/>
  <c r="FL395" i="17"/>
  <c r="FM395" i="17"/>
  <c r="FN395" i="17"/>
  <c r="FO395" i="17"/>
  <c r="FP395" i="17"/>
  <c r="FQ395" i="17"/>
  <c r="FR395" i="17"/>
  <c r="FS395" i="17"/>
  <c r="FT395" i="17"/>
  <c r="FU395" i="17"/>
  <c r="FV395" i="17"/>
  <c r="FW395" i="17"/>
  <c r="FX395" i="17"/>
  <c r="FY395" i="17"/>
  <c r="FZ395" i="17"/>
  <c r="GA395" i="17"/>
  <c r="GB395" i="17"/>
  <c r="GC395" i="17"/>
  <c r="GD395" i="17"/>
  <c r="GE395" i="17"/>
  <c r="GF395" i="17"/>
  <c r="GG395" i="17"/>
  <c r="GH395" i="17"/>
  <c r="GI395" i="17"/>
  <c r="GJ395" i="17"/>
  <c r="GK395" i="17"/>
  <c r="GL395" i="17"/>
  <c r="GM395" i="17"/>
  <c r="GN395" i="17"/>
  <c r="GO395" i="17"/>
  <c r="GP395" i="17"/>
  <c r="GQ395" i="17"/>
  <c r="GR395" i="17"/>
  <c r="GS395" i="17"/>
  <c r="GT395" i="17"/>
  <c r="GU395" i="17"/>
  <c r="GV395" i="17"/>
  <c r="GW395" i="17"/>
  <c r="GX395" i="17"/>
  <c r="GY395" i="17"/>
  <c r="GZ395" i="17"/>
  <c r="HA395" i="17"/>
  <c r="HB395" i="17"/>
  <c r="HC395" i="17"/>
  <c r="HD395" i="17"/>
  <c r="HE395" i="17"/>
  <c r="HF395" i="17"/>
  <c r="HG395" i="17"/>
  <c r="HH395" i="17"/>
  <c r="HI395" i="17"/>
  <c r="HJ395" i="17"/>
  <c r="HK395" i="17"/>
  <c r="HL395" i="17"/>
  <c r="HM395" i="17"/>
  <c r="HN395" i="17"/>
  <c r="HO395" i="17"/>
  <c r="HP395" i="17"/>
  <c r="HQ395" i="17"/>
  <c r="HR395" i="17"/>
  <c r="HS395" i="17"/>
  <c r="HT395" i="17"/>
  <c r="HU395" i="17"/>
  <c r="HV395" i="17"/>
  <c r="HW395" i="17"/>
  <c r="HX395" i="17"/>
  <c r="HY395" i="17"/>
  <c r="HZ395" i="17"/>
  <c r="IA395" i="17"/>
  <c r="IB395" i="17"/>
  <c r="IC395" i="17"/>
  <c r="ID395" i="17"/>
  <c r="IE395" i="17"/>
  <c r="IF395" i="17"/>
  <c r="IG395" i="17"/>
  <c r="IH395" i="17"/>
  <c r="II395" i="17"/>
  <c r="IJ395" i="17"/>
  <c r="IK395" i="17"/>
  <c r="IL395" i="17"/>
  <c r="IM395" i="17"/>
  <c r="IN395" i="17"/>
  <c r="IO395" i="17"/>
  <c r="IP395" i="17"/>
  <c r="IQ395" i="17"/>
  <c r="IR395" i="17"/>
  <c r="IS395" i="17"/>
  <c r="IT395" i="17"/>
  <c r="IU395" i="17"/>
  <c r="IV395" i="17"/>
  <c r="A394" i="17"/>
  <c r="B394" i="17"/>
  <c r="C394" i="17"/>
  <c r="D394" i="17"/>
  <c r="E394" i="17"/>
  <c r="F394" i="17"/>
  <c r="G394" i="17"/>
  <c r="H394" i="17"/>
  <c r="I394" i="17"/>
  <c r="J394" i="17"/>
  <c r="K394" i="17"/>
  <c r="L394" i="17"/>
  <c r="M394" i="17"/>
  <c r="N394" i="17"/>
  <c r="O394" i="17"/>
  <c r="P394" i="17"/>
  <c r="Q394" i="17"/>
  <c r="R394" i="17"/>
  <c r="S394" i="17"/>
  <c r="T394" i="17"/>
  <c r="U394" i="17"/>
  <c r="V394" i="17"/>
  <c r="W394" i="17"/>
  <c r="X394" i="17"/>
  <c r="Y394" i="17"/>
  <c r="Z394" i="17"/>
  <c r="AA394" i="17"/>
  <c r="AB394" i="17"/>
  <c r="AC394" i="17"/>
  <c r="AD394" i="17"/>
  <c r="AE394" i="17"/>
  <c r="AF394" i="17"/>
  <c r="AG394" i="17"/>
  <c r="AH394" i="17"/>
  <c r="AI394" i="17"/>
  <c r="AJ394" i="17"/>
  <c r="AK394" i="17"/>
  <c r="AL394" i="17"/>
  <c r="AM394" i="17"/>
  <c r="AN394" i="17"/>
  <c r="AO394" i="17"/>
  <c r="AP394" i="17"/>
  <c r="AQ394" i="17"/>
  <c r="AR394" i="17"/>
  <c r="AS394" i="17"/>
  <c r="AT394" i="17"/>
  <c r="AU394" i="17"/>
  <c r="AV394" i="17"/>
  <c r="AW394" i="17"/>
  <c r="AX394" i="17"/>
  <c r="AY394" i="17"/>
  <c r="AZ394" i="17"/>
  <c r="BA394" i="17"/>
  <c r="BB394" i="17"/>
  <c r="BC394" i="17"/>
  <c r="BD394" i="17"/>
  <c r="BE394" i="17"/>
  <c r="BF394" i="17"/>
  <c r="BG394" i="17"/>
  <c r="BH394" i="17"/>
  <c r="BI394" i="17"/>
  <c r="BJ394" i="17"/>
  <c r="BK394" i="17"/>
  <c r="BL394" i="17"/>
  <c r="BM394" i="17"/>
  <c r="BN394" i="17"/>
  <c r="BO394" i="17"/>
  <c r="BP394" i="17"/>
  <c r="BQ394" i="17"/>
  <c r="BR394" i="17"/>
  <c r="BS394" i="17"/>
  <c r="BT394" i="17"/>
  <c r="BU394" i="17"/>
  <c r="BV394" i="17"/>
  <c r="BW394" i="17"/>
  <c r="BX394" i="17"/>
  <c r="BY394" i="17"/>
  <c r="BZ394" i="17"/>
  <c r="CA394" i="17"/>
  <c r="CB394" i="17"/>
  <c r="CC394" i="17"/>
  <c r="CD394" i="17"/>
  <c r="CE394" i="17"/>
  <c r="CF394" i="17"/>
  <c r="CG394" i="17"/>
  <c r="CH394" i="17"/>
  <c r="CI394" i="17"/>
  <c r="CJ394" i="17"/>
  <c r="CK394" i="17"/>
  <c r="CL394" i="17"/>
  <c r="CM394" i="17"/>
  <c r="CN394" i="17"/>
  <c r="CO394" i="17"/>
  <c r="CP394" i="17"/>
  <c r="CQ394" i="17"/>
  <c r="CR394" i="17"/>
  <c r="CS394" i="17"/>
  <c r="CT394" i="17"/>
  <c r="CU394" i="17"/>
  <c r="CV394" i="17"/>
  <c r="CW394" i="17"/>
  <c r="CX394" i="17"/>
  <c r="CY394" i="17"/>
  <c r="CZ394" i="17"/>
  <c r="DA394" i="17"/>
  <c r="DB394" i="17"/>
  <c r="DC394" i="17"/>
  <c r="DD394" i="17"/>
  <c r="DE394" i="17"/>
  <c r="DF394" i="17"/>
  <c r="DG394" i="17"/>
  <c r="DH394" i="17"/>
  <c r="DI394" i="17"/>
  <c r="DJ394" i="17"/>
  <c r="DK394" i="17"/>
  <c r="DL394" i="17"/>
  <c r="DM394" i="17"/>
  <c r="DN394" i="17"/>
  <c r="DO394" i="17"/>
  <c r="DP394" i="17"/>
  <c r="DQ394" i="17"/>
  <c r="DR394" i="17"/>
  <c r="DS394" i="17"/>
  <c r="DT394" i="17"/>
  <c r="DU394" i="17"/>
  <c r="DV394" i="17"/>
  <c r="DW394" i="17"/>
  <c r="DX394" i="17"/>
  <c r="DY394" i="17"/>
  <c r="DZ394" i="17"/>
  <c r="EA394" i="17"/>
  <c r="EB394" i="17"/>
  <c r="EC394" i="17"/>
  <c r="ED394" i="17"/>
  <c r="EE394" i="17"/>
  <c r="EF394" i="17"/>
  <c r="EG394" i="17"/>
  <c r="EH394" i="17"/>
  <c r="EI394" i="17"/>
  <c r="EJ394" i="17"/>
  <c r="EK394" i="17"/>
  <c r="EL394" i="17"/>
  <c r="EM394" i="17"/>
  <c r="EN394" i="17"/>
  <c r="EO394" i="17"/>
  <c r="EP394" i="17"/>
  <c r="EQ394" i="17"/>
  <c r="ER394" i="17"/>
  <c r="ES394" i="17"/>
  <c r="ET394" i="17"/>
  <c r="EU394" i="17"/>
  <c r="EV394" i="17"/>
  <c r="EW394" i="17"/>
  <c r="EX394" i="17"/>
  <c r="EY394" i="17"/>
  <c r="EZ394" i="17"/>
  <c r="FA394" i="17"/>
  <c r="FB394" i="17"/>
  <c r="FC394" i="17"/>
  <c r="FD394" i="17"/>
  <c r="FE394" i="17"/>
  <c r="FF394" i="17"/>
  <c r="FG394" i="17"/>
  <c r="FH394" i="17"/>
  <c r="FI394" i="17"/>
  <c r="FJ394" i="17"/>
  <c r="FK394" i="17"/>
  <c r="FL394" i="17"/>
  <c r="FM394" i="17"/>
  <c r="FN394" i="17"/>
  <c r="FO394" i="17"/>
  <c r="FP394" i="17"/>
  <c r="FQ394" i="17"/>
  <c r="FR394" i="17"/>
  <c r="FS394" i="17"/>
  <c r="FT394" i="17"/>
  <c r="FU394" i="17"/>
  <c r="FV394" i="17"/>
  <c r="FW394" i="17"/>
  <c r="FX394" i="17"/>
  <c r="FY394" i="17"/>
  <c r="FZ394" i="17"/>
  <c r="GA394" i="17"/>
  <c r="GB394" i="17"/>
  <c r="GC394" i="17"/>
  <c r="GD394" i="17"/>
  <c r="GE394" i="17"/>
  <c r="GF394" i="17"/>
  <c r="GG394" i="17"/>
  <c r="GH394" i="17"/>
  <c r="GI394" i="17"/>
  <c r="GJ394" i="17"/>
  <c r="GK394" i="17"/>
  <c r="GL394" i="17"/>
  <c r="GM394" i="17"/>
  <c r="GN394" i="17"/>
  <c r="GO394" i="17"/>
  <c r="GP394" i="17"/>
  <c r="GQ394" i="17"/>
  <c r="GR394" i="17"/>
  <c r="GS394" i="17"/>
  <c r="GT394" i="17"/>
  <c r="GU394" i="17"/>
  <c r="GV394" i="17"/>
  <c r="GW394" i="17"/>
  <c r="GX394" i="17"/>
  <c r="GY394" i="17"/>
  <c r="GZ394" i="17"/>
  <c r="HA394" i="17"/>
  <c r="HB394" i="17"/>
  <c r="HC394" i="17"/>
  <c r="HD394" i="17"/>
  <c r="HE394" i="17"/>
  <c r="HF394" i="17"/>
  <c r="HG394" i="17"/>
  <c r="HH394" i="17"/>
  <c r="HI394" i="17"/>
  <c r="HJ394" i="17"/>
  <c r="HK394" i="17"/>
  <c r="HL394" i="17"/>
  <c r="HM394" i="17"/>
  <c r="HN394" i="17"/>
  <c r="HO394" i="17"/>
  <c r="HP394" i="17"/>
  <c r="HQ394" i="17"/>
  <c r="HR394" i="17"/>
  <c r="HS394" i="17"/>
  <c r="HT394" i="17"/>
  <c r="HU394" i="17"/>
  <c r="HV394" i="17"/>
  <c r="HW394" i="17"/>
  <c r="HX394" i="17"/>
  <c r="HY394" i="17"/>
  <c r="HZ394" i="17"/>
  <c r="IA394" i="17"/>
  <c r="IB394" i="17"/>
  <c r="IC394" i="17"/>
  <c r="ID394" i="17"/>
  <c r="IE394" i="17"/>
  <c r="IF394" i="17"/>
  <c r="IG394" i="17"/>
  <c r="IH394" i="17"/>
  <c r="II394" i="17"/>
  <c r="IJ394" i="17"/>
  <c r="IK394" i="17"/>
  <c r="IL394" i="17"/>
  <c r="IM394" i="17"/>
  <c r="IN394" i="17"/>
  <c r="IO394" i="17"/>
  <c r="IP394" i="17"/>
  <c r="IQ394" i="17"/>
  <c r="IR394" i="17"/>
  <c r="IS394" i="17"/>
  <c r="IT394" i="17"/>
  <c r="IU394" i="17"/>
  <c r="IV394" i="17"/>
  <c r="A393" i="17"/>
  <c r="B393" i="17"/>
  <c r="C393" i="17"/>
  <c r="D393" i="17"/>
  <c r="E393" i="17"/>
  <c r="F393" i="17"/>
  <c r="G393" i="17"/>
  <c r="H393" i="17"/>
  <c r="I393" i="17"/>
  <c r="J393" i="17"/>
  <c r="K393" i="17"/>
  <c r="L393" i="17"/>
  <c r="M393" i="17"/>
  <c r="N393" i="17"/>
  <c r="O393" i="17"/>
  <c r="P393" i="17"/>
  <c r="Q393" i="17"/>
  <c r="R393" i="17"/>
  <c r="S393" i="17"/>
  <c r="T393" i="17"/>
  <c r="U393" i="17"/>
  <c r="V393" i="17"/>
  <c r="X393" i="17"/>
  <c r="Y393" i="17"/>
  <c r="Z393" i="17"/>
  <c r="AA393" i="17"/>
  <c r="AB393" i="17"/>
  <c r="AC393" i="17"/>
  <c r="AD393" i="17"/>
  <c r="AE393" i="17"/>
  <c r="AF393" i="17"/>
  <c r="AG393" i="17"/>
  <c r="AH393" i="17"/>
  <c r="AI393" i="17"/>
  <c r="AJ393" i="17"/>
  <c r="AK393" i="17"/>
  <c r="AL393" i="17"/>
  <c r="AM393" i="17"/>
  <c r="AN393" i="17"/>
  <c r="AO393" i="17"/>
  <c r="AP393" i="17"/>
  <c r="AQ393" i="17"/>
  <c r="AR393" i="17"/>
  <c r="AS393" i="17"/>
  <c r="AT393" i="17"/>
  <c r="AU393" i="17"/>
  <c r="AV393" i="17"/>
  <c r="AW393" i="17"/>
  <c r="AX393" i="17"/>
  <c r="AY393" i="17"/>
  <c r="AZ393" i="17"/>
  <c r="BA393" i="17"/>
  <c r="BB393" i="17"/>
  <c r="BC393" i="17"/>
  <c r="BD393" i="17"/>
  <c r="BE393" i="17"/>
  <c r="BF393" i="17"/>
  <c r="BG393" i="17"/>
  <c r="BH393" i="17"/>
  <c r="BI393" i="17"/>
  <c r="BJ393" i="17"/>
  <c r="BK393" i="17"/>
  <c r="BL393" i="17"/>
  <c r="BM393" i="17"/>
  <c r="BN393" i="17"/>
  <c r="BO393" i="17"/>
  <c r="BP393" i="17"/>
  <c r="BQ393" i="17"/>
  <c r="BR393" i="17"/>
  <c r="BS393" i="17"/>
  <c r="BT393" i="17"/>
  <c r="BU393" i="17"/>
  <c r="BV393" i="17"/>
  <c r="BW393" i="17"/>
  <c r="BX393" i="17"/>
  <c r="BY393" i="17"/>
  <c r="BZ393" i="17"/>
  <c r="CA393" i="17"/>
  <c r="CB393" i="17"/>
  <c r="CC393" i="17"/>
  <c r="CD393" i="17"/>
  <c r="CE393" i="17"/>
  <c r="CF393" i="17"/>
  <c r="CG393" i="17"/>
  <c r="CH393" i="17"/>
  <c r="CI393" i="17"/>
  <c r="CJ393" i="17"/>
  <c r="CK393" i="17"/>
  <c r="CL393" i="17"/>
  <c r="CM393" i="17"/>
  <c r="CN393" i="17"/>
  <c r="CO393" i="17"/>
  <c r="CP393" i="17"/>
  <c r="CQ393" i="17"/>
  <c r="CR393" i="17"/>
  <c r="CS393" i="17"/>
  <c r="CT393" i="17"/>
  <c r="CU393" i="17"/>
  <c r="CV393" i="17"/>
  <c r="CW393" i="17"/>
  <c r="CX393" i="17"/>
  <c r="CY393" i="17"/>
  <c r="CZ393" i="17"/>
  <c r="DA393" i="17"/>
  <c r="DB393" i="17"/>
  <c r="DC393" i="17"/>
  <c r="DD393" i="17"/>
  <c r="DE393" i="17"/>
  <c r="DF393" i="17"/>
  <c r="DG393" i="17"/>
  <c r="DH393" i="17"/>
  <c r="DI393" i="17"/>
  <c r="DJ393" i="17"/>
  <c r="DK393" i="17"/>
  <c r="DL393" i="17"/>
  <c r="DM393" i="17"/>
  <c r="DN393" i="17"/>
  <c r="DO393" i="17"/>
  <c r="DP393" i="17"/>
  <c r="DQ393" i="17"/>
  <c r="DR393" i="17"/>
  <c r="DS393" i="17"/>
  <c r="DT393" i="17"/>
  <c r="DU393" i="17"/>
  <c r="DV393" i="17"/>
  <c r="DW393" i="17"/>
  <c r="DX393" i="17"/>
  <c r="DY393" i="17"/>
  <c r="DZ393" i="17"/>
  <c r="EA393" i="17"/>
  <c r="EB393" i="17"/>
  <c r="EC393" i="17"/>
  <c r="ED393" i="17"/>
  <c r="EE393" i="17"/>
  <c r="EF393" i="17"/>
  <c r="EG393" i="17"/>
  <c r="EH393" i="17"/>
  <c r="EI393" i="17"/>
  <c r="EJ393" i="17"/>
  <c r="EK393" i="17"/>
  <c r="EL393" i="17"/>
  <c r="EM393" i="17"/>
  <c r="EN393" i="17"/>
  <c r="EO393" i="17"/>
  <c r="EP393" i="17"/>
  <c r="EQ393" i="17"/>
  <c r="ER393" i="17"/>
  <c r="ES393" i="17"/>
  <c r="ET393" i="17"/>
  <c r="EU393" i="17"/>
  <c r="EV393" i="17"/>
  <c r="EW393" i="17"/>
  <c r="EX393" i="17"/>
  <c r="EY393" i="17"/>
  <c r="EZ393" i="17"/>
  <c r="FA393" i="17"/>
  <c r="FB393" i="17"/>
  <c r="FC393" i="17"/>
  <c r="FD393" i="17"/>
  <c r="FE393" i="17"/>
  <c r="FF393" i="17"/>
  <c r="FG393" i="17"/>
  <c r="FH393" i="17"/>
  <c r="FI393" i="17"/>
  <c r="FJ393" i="17"/>
  <c r="FK393" i="17"/>
  <c r="FL393" i="17"/>
  <c r="FM393" i="17"/>
  <c r="FN393" i="17"/>
  <c r="FO393" i="17"/>
  <c r="FP393" i="17"/>
  <c r="FQ393" i="17"/>
  <c r="FR393" i="17"/>
  <c r="FS393" i="17"/>
  <c r="FT393" i="17"/>
  <c r="FU393" i="17"/>
  <c r="FV393" i="17"/>
  <c r="FW393" i="17"/>
  <c r="FX393" i="17"/>
  <c r="FY393" i="17"/>
  <c r="FZ393" i="17"/>
  <c r="GA393" i="17"/>
  <c r="GB393" i="17"/>
  <c r="GC393" i="17"/>
  <c r="GD393" i="17"/>
  <c r="GE393" i="17"/>
  <c r="GF393" i="17"/>
  <c r="GG393" i="17"/>
  <c r="GH393" i="17"/>
  <c r="GI393" i="17"/>
  <c r="GJ393" i="17"/>
  <c r="GK393" i="17"/>
  <c r="GL393" i="17"/>
  <c r="GM393" i="17"/>
  <c r="GN393" i="17"/>
  <c r="GO393" i="17"/>
  <c r="GP393" i="17"/>
  <c r="GQ393" i="17"/>
  <c r="GR393" i="17"/>
  <c r="GS393" i="17"/>
  <c r="GT393" i="17"/>
  <c r="GU393" i="17"/>
  <c r="GV393" i="17"/>
  <c r="GW393" i="17"/>
  <c r="GX393" i="17"/>
  <c r="GY393" i="17"/>
  <c r="GZ393" i="17"/>
  <c r="HA393" i="17"/>
  <c r="HB393" i="17"/>
  <c r="HC393" i="17"/>
  <c r="HD393" i="17"/>
  <c r="HE393" i="17"/>
  <c r="HF393" i="17"/>
  <c r="HG393" i="17"/>
  <c r="HH393" i="17"/>
  <c r="HI393" i="17"/>
  <c r="HJ393" i="17"/>
  <c r="HK393" i="17"/>
  <c r="HL393" i="17"/>
  <c r="HM393" i="17"/>
  <c r="HN393" i="17"/>
  <c r="HO393" i="17"/>
  <c r="HP393" i="17"/>
  <c r="HQ393" i="17"/>
  <c r="HR393" i="17"/>
  <c r="HS393" i="17"/>
  <c r="HT393" i="17"/>
  <c r="HU393" i="17"/>
  <c r="HV393" i="17"/>
  <c r="HW393" i="17"/>
  <c r="HX393" i="17"/>
  <c r="HY393" i="17"/>
  <c r="HZ393" i="17"/>
  <c r="IA393" i="17"/>
  <c r="IB393" i="17"/>
  <c r="IC393" i="17"/>
  <c r="ID393" i="17"/>
  <c r="IE393" i="17"/>
  <c r="IF393" i="17"/>
  <c r="IG393" i="17"/>
  <c r="IH393" i="17"/>
  <c r="II393" i="17"/>
  <c r="IJ393" i="17"/>
  <c r="IK393" i="17"/>
  <c r="IL393" i="17"/>
  <c r="IM393" i="17"/>
  <c r="IN393" i="17"/>
  <c r="IO393" i="17"/>
  <c r="IP393" i="17"/>
  <c r="IQ393" i="17"/>
  <c r="IR393" i="17"/>
  <c r="IS393" i="17"/>
  <c r="IT393" i="17"/>
  <c r="IU393" i="17"/>
  <c r="IV393" i="17"/>
  <c r="A392" i="17"/>
  <c r="B392" i="17"/>
  <c r="C392" i="17"/>
  <c r="D392" i="17"/>
  <c r="E392" i="17"/>
  <c r="F392" i="17"/>
  <c r="G392" i="17"/>
  <c r="H392" i="17"/>
  <c r="I392" i="17"/>
  <c r="J392" i="17"/>
  <c r="K392" i="17"/>
  <c r="L392" i="17"/>
  <c r="M392" i="17"/>
  <c r="N392" i="17"/>
  <c r="O392" i="17"/>
  <c r="P392" i="17"/>
  <c r="Q392" i="17"/>
  <c r="R392" i="17"/>
  <c r="S392" i="17"/>
  <c r="T392" i="17"/>
  <c r="U392" i="17"/>
  <c r="V392" i="17"/>
  <c r="W392" i="17"/>
  <c r="X392" i="17"/>
  <c r="Y392" i="17"/>
  <c r="Z392" i="17"/>
  <c r="AA392" i="17"/>
  <c r="AB392" i="17"/>
  <c r="AC392" i="17"/>
  <c r="AD392" i="17"/>
  <c r="AE392" i="17"/>
  <c r="AF392" i="17"/>
  <c r="AG392" i="17"/>
  <c r="AH392" i="17"/>
  <c r="AI392" i="17"/>
  <c r="AJ392" i="17"/>
  <c r="AK392" i="17"/>
  <c r="AL392" i="17"/>
  <c r="AM392" i="17"/>
  <c r="AN392" i="17"/>
  <c r="AO392" i="17"/>
  <c r="AP392" i="17"/>
  <c r="AQ392" i="17"/>
  <c r="AR392" i="17"/>
  <c r="AS392" i="17"/>
  <c r="AT392" i="17"/>
  <c r="AU392" i="17"/>
  <c r="AV392" i="17"/>
  <c r="AW392" i="17"/>
  <c r="AX392" i="17"/>
  <c r="AY392" i="17"/>
  <c r="AZ392" i="17"/>
  <c r="BA392" i="17"/>
  <c r="BB392" i="17"/>
  <c r="BC392" i="17"/>
  <c r="BD392" i="17"/>
  <c r="BE392" i="17"/>
  <c r="BF392" i="17"/>
  <c r="BG392" i="17"/>
  <c r="BH392" i="17"/>
  <c r="BI392" i="17"/>
  <c r="BJ392" i="17"/>
  <c r="BK392" i="17"/>
  <c r="BL392" i="17"/>
  <c r="BM392" i="17"/>
  <c r="BN392" i="17"/>
  <c r="BO392" i="17"/>
  <c r="BP392" i="17"/>
  <c r="BQ392" i="17"/>
  <c r="BR392" i="17"/>
  <c r="BS392" i="17"/>
  <c r="BT392" i="17"/>
  <c r="BU392" i="17"/>
  <c r="BV392" i="17"/>
  <c r="BW392" i="17"/>
  <c r="BX392" i="17"/>
  <c r="BY392" i="17"/>
  <c r="BZ392" i="17"/>
  <c r="CA392" i="17"/>
  <c r="CB392" i="17"/>
  <c r="CC392" i="17"/>
  <c r="CD392" i="17"/>
  <c r="CE392" i="17"/>
  <c r="CF392" i="17"/>
  <c r="CG392" i="17"/>
  <c r="CH392" i="17"/>
  <c r="CI392" i="17"/>
  <c r="CJ392" i="17"/>
  <c r="CK392" i="17"/>
  <c r="CL392" i="17"/>
  <c r="CM392" i="17"/>
  <c r="CN392" i="17"/>
  <c r="CO392" i="17"/>
  <c r="CP392" i="17"/>
  <c r="CQ392" i="17"/>
  <c r="CR392" i="17"/>
  <c r="CS392" i="17"/>
  <c r="CT392" i="17"/>
  <c r="CU392" i="17"/>
  <c r="CV392" i="17"/>
  <c r="CW392" i="17"/>
  <c r="CX392" i="17"/>
  <c r="CY392" i="17"/>
  <c r="CZ392" i="17"/>
  <c r="DA392" i="17"/>
  <c r="DB392" i="17"/>
  <c r="DC392" i="17"/>
  <c r="DD392" i="17"/>
  <c r="DE392" i="17"/>
  <c r="DF392" i="17"/>
  <c r="DG392" i="17"/>
  <c r="DH392" i="17"/>
  <c r="DI392" i="17"/>
  <c r="DJ392" i="17"/>
  <c r="DK392" i="17"/>
  <c r="DL392" i="17"/>
  <c r="DM392" i="17"/>
  <c r="DN392" i="17"/>
  <c r="DO392" i="17"/>
  <c r="DP392" i="17"/>
  <c r="DQ392" i="17"/>
  <c r="DR392" i="17"/>
  <c r="DS392" i="17"/>
  <c r="DT392" i="17"/>
  <c r="DU392" i="17"/>
  <c r="DV392" i="17"/>
  <c r="DW392" i="17"/>
  <c r="DX392" i="17"/>
  <c r="DY392" i="17"/>
  <c r="DZ392" i="17"/>
  <c r="EA392" i="17"/>
  <c r="EB392" i="17"/>
  <c r="EC392" i="17"/>
  <c r="ED392" i="17"/>
  <c r="EE392" i="17"/>
  <c r="EF392" i="17"/>
  <c r="EG392" i="17"/>
  <c r="EH392" i="17"/>
  <c r="EI392" i="17"/>
  <c r="EJ392" i="17"/>
  <c r="EK392" i="17"/>
  <c r="EL392" i="17"/>
  <c r="EM392" i="17"/>
  <c r="EN392" i="17"/>
  <c r="EO392" i="17"/>
  <c r="EP392" i="17"/>
  <c r="EQ392" i="17"/>
  <c r="ER392" i="17"/>
  <c r="ES392" i="17"/>
  <c r="ET392" i="17"/>
  <c r="EU392" i="17"/>
  <c r="EV392" i="17"/>
  <c r="EW392" i="17"/>
  <c r="EX392" i="17"/>
  <c r="EY392" i="17"/>
  <c r="EZ392" i="17"/>
  <c r="FA392" i="17"/>
  <c r="FB392" i="17"/>
  <c r="FC392" i="17"/>
  <c r="FD392" i="17"/>
  <c r="FE392" i="17"/>
  <c r="FF392" i="17"/>
  <c r="FG392" i="17"/>
  <c r="FH392" i="17"/>
  <c r="FI392" i="17"/>
  <c r="FJ392" i="17"/>
  <c r="FK392" i="17"/>
  <c r="FL392" i="17"/>
  <c r="FM392" i="17"/>
  <c r="FN392" i="17"/>
  <c r="FO392" i="17"/>
  <c r="FP392" i="17"/>
  <c r="FQ392" i="17"/>
  <c r="FR392" i="17"/>
  <c r="FS392" i="17"/>
  <c r="FT392" i="17"/>
  <c r="FU392" i="17"/>
  <c r="FV392" i="17"/>
  <c r="FW392" i="17"/>
  <c r="FX392" i="17"/>
  <c r="FY392" i="17"/>
  <c r="FZ392" i="17"/>
  <c r="GA392" i="17"/>
  <c r="GB392" i="17"/>
  <c r="GC392" i="17"/>
  <c r="GD392" i="17"/>
  <c r="GE392" i="17"/>
  <c r="GF392" i="17"/>
  <c r="GG392" i="17"/>
  <c r="GH392" i="17"/>
  <c r="GI392" i="17"/>
  <c r="GJ392" i="17"/>
  <c r="GK392" i="17"/>
  <c r="GL392" i="17"/>
  <c r="GM392" i="17"/>
  <c r="GN392" i="17"/>
  <c r="GO392" i="17"/>
  <c r="GP392" i="17"/>
  <c r="GQ392" i="17"/>
  <c r="GR392" i="17"/>
  <c r="GS392" i="17"/>
  <c r="GT392" i="17"/>
  <c r="GU392" i="17"/>
  <c r="GV392" i="17"/>
  <c r="GW392" i="17"/>
  <c r="GX392" i="17"/>
  <c r="GY392" i="17"/>
  <c r="GZ392" i="17"/>
  <c r="HA392" i="17"/>
  <c r="HB392" i="17"/>
  <c r="HC392" i="17"/>
  <c r="HD392" i="17"/>
  <c r="HE392" i="17"/>
  <c r="HF392" i="17"/>
  <c r="HG392" i="17"/>
  <c r="HH392" i="17"/>
  <c r="HI392" i="17"/>
  <c r="HJ392" i="17"/>
  <c r="HK392" i="17"/>
  <c r="HL392" i="17"/>
  <c r="HM392" i="17"/>
  <c r="HN392" i="17"/>
  <c r="HO392" i="17"/>
  <c r="HP392" i="17"/>
  <c r="HQ392" i="17"/>
  <c r="HR392" i="17"/>
  <c r="HS392" i="17"/>
  <c r="HT392" i="17"/>
  <c r="HU392" i="17"/>
  <c r="HV392" i="17"/>
  <c r="HW392" i="17"/>
  <c r="HX392" i="17"/>
  <c r="HY392" i="17"/>
  <c r="HZ392" i="17"/>
  <c r="IA392" i="17"/>
  <c r="IB392" i="17"/>
  <c r="IC392" i="17"/>
  <c r="ID392" i="17"/>
  <c r="IE392" i="17"/>
  <c r="IF392" i="17"/>
  <c r="IG392" i="17"/>
  <c r="IH392" i="17"/>
  <c r="II392" i="17"/>
  <c r="IJ392" i="17"/>
  <c r="IK392" i="17"/>
  <c r="IL392" i="17"/>
  <c r="IM392" i="17"/>
  <c r="IN392" i="17"/>
  <c r="IO392" i="17"/>
  <c r="IP392" i="17"/>
  <c r="IQ392" i="17"/>
  <c r="IR392" i="17"/>
  <c r="IS392" i="17"/>
  <c r="IT392" i="17"/>
  <c r="IU392" i="17"/>
  <c r="IV392" i="17"/>
  <c r="A391" i="17"/>
  <c r="B391" i="17"/>
  <c r="C391" i="17"/>
  <c r="D391" i="17"/>
  <c r="E391" i="17"/>
  <c r="F391" i="17"/>
  <c r="G391" i="17"/>
  <c r="H391" i="17"/>
  <c r="I391" i="17"/>
  <c r="J391" i="17"/>
  <c r="K391" i="17"/>
  <c r="L391" i="17"/>
  <c r="M391" i="17"/>
  <c r="N391" i="17"/>
  <c r="O391" i="17"/>
  <c r="P391" i="17"/>
  <c r="Q391" i="17"/>
  <c r="R391" i="17"/>
  <c r="S391" i="17"/>
  <c r="T391" i="17"/>
  <c r="U391" i="17"/>
  <c r="W391" i="17"/>
  <c r="X391" i="17"/>
  <c r="Y391" i="17"/>
  <c r="Z391" i="17"/>
  <c r="AA391" i="17"/>
  <c r="AB391" i="17"/>
  <c r="AC391" i="17"/>
  <c r="AD391" i="17"/>
  <c r="AE391" i="17"/>
  <c r="AF391" i="17"/>
  <c r="AG391" i="17"/>
  <c r="AH391" i="17"/>
  <c r="AI391" i="17"/>
  <c r="AJ391" i="17"/>
  <c r="AK391" i="17"/>
  <c r="AL391" i="17"/>
  <c r="AM391" i="17"/>
  <c r="AN391" i="17"/>
  <c r="AO391" i="17"/>
  <c r="AP391" i="17"/>
  <c r="AQ391" i="17"/>
  <c r="AR391" i="17"/>
  <c r="AS391" i="17"/>
  <c r="AT391" i="17"/>
  <c r="AU391" i="17"/>
  <c r="AV391" i="17"/>
  <c r="AW391" i="17"/>
  <c r="AX391" i="17"/>
  <c r="AY391" i="17"/>
  <c r="AZ391" i="17"/>
  <c r="BA391" i="17"/>
  <c r="BB391" i="17"/>
  <c r="BC391" i="17"/>
  <c r="BD391" i="17"/>
  <c r="BE391" i="17"/>
  <c r="BF391" i="17"/>
  <c r="BG391" i="17"/>
  <c r="BH391" i="17"/>
  <c r="BI391" i="17"/>
  <c r="BJ391" i="17"/>
  <c r="BK391" i="17"/>
  <c r="BL391" i="17"/>
  <c r="BM391" i="17"/>
  <c r="BN391" i="17"/>
  <c r="BO391" i="17"/>
  <c r="BP391" i="17"/>
  <c r="BQ391" i="17"/>
  <c r="BR391" i="17"/>
  <c r="BS391" i="17"/>
  <c r="BT391" i="17"/>
  <c r="BU391" i="17"/>
  <c r="BV391" i="17"/>
  <c r="BW391" i="17"/>
  <c r="BX391" i="17"/>
  <c r="BY391" i="17"/>
  <c r="BZ391" i="17"/>
  <c r="CA391" i="17"/>
  <c r="CB391" i="17"/>
  <c r="CC391" i="17"/>
  <c r="CD391" i="17"/>
  <c r="CE391" i="17"/>
  <c r="CF391" i="17"/>
  <c r="CG391" i="17"/>
  <c r="CH391" i="17"/>
  <c r="CI391" i="17"/>
  <c r="CJ391" i="17"/>
  <c r="CK391" i="17"/>
  <c r="CL391" i="17"/>
  <c r="CM391" i="17"/>
  <c r="CN391" i="17"/>
  <c r="CO391" i="17"/>
  <c r="CP391" i="17"/>
  <c r="CQ391" i="17"/>
  <c r="CR391" i="17"/>
  <c r="CS391" i="17"/>
  <c r="CT391" i="17"/>
  <c r="CU391" i="17"/>
  <c r="CV391" i="17"/>
  <c r="CW391" i="17"/>
  <c r="CX391" i="17"/>
  <c r="CY391" i="17"/>
  <c r="CZ391" i="17"/>
  <c r="DA391" i="17"/>
  <c r="DB391" i="17"/>
  <c r="DC391" i="17"/>
  <c r="DD391" i="17"/>
  <c r="DE391" i="17"/>
  <c r="DF391" i="17"/>
  <c r="DG391" i="17"/>
  <c r="DH391" i="17"/>
  <c r="DI391" i="17"/>
  <c r="DJ391" i="17"/>
  <c r="DK391" i="17"/>
  <c r="DL391" i="17"/>
  <c r="DM391" i="17"/>
  <c r="DN391" i="17"/>
  <c r="DO391" i="17"/>
  <c r="DP391" i="17"/>
  <c r="DQ391" i="17"/>
  <c r="DR391" i="17"/>
  <c r="DS391" i="17"/>
  <c r="DT391" i="17"/>
  <c r="DU391" i="17"/>
  <c r="DV391" i="17"/>
  <c r="DW391" i="17"/>
  <c r="DX391" i="17"/>
  <c r="DY391" i="17"/>
  <c r="DZ391" i="17"/>
  <c r="EA391" i="17"/>
  <c r="EB391" i="17"/>
  <c r="EC391" i="17"/>
  <c r="ED391" i="17"/>
  <c r="EE391" i="17"/>
  <c r="EF391" i="17"/>
  <c r="EG391" i="17"/>
  <c r="EH391" i="17"/>
  <c r="EI391" i="17"/>
  <c r="EJ391" i="17"/>
  <c r="EK391" i="17"/>
  <c r="EL391" i="17"/>
  <c r="EM391" i="17"/>
  <c r="EN391" i="17"/>
  <c r="EO391" i="17"/>
  <c r="EP391" i="17"/>
  <c r="EQ391" i="17"/>
  <c r="ER391" i="17"/>
  <c r="ES391" i="17"/>
  <c r="ET391" i="17"/>
  <c r="EU391" i="17"/>
  <c r="EV391" i="17"/>
  <c r="EW391" i="17"/>
  <c r="EX391" i="17"/>
  <c r="EY391" i="17"/>
  <c r="EZ391" i="17"/>
  <c r="FA391" i="17"/>
  <c r="FB391" i="17"/>
  <c r="FC391" i="17"/>
  <c r="FD391" i="17"/>
  <c r="FE391" i="17"/>
  <c r="FF391" i="17"/>
  <c r="FG391" i="17"/>
  <c r="FH391" i="17"/>
  <c r="FI391" i="17"/>
  <c r="FJ391" i="17"/>
  <c r="FK391" i="17"/>
  <c r="FL391" i="17"/>
  <c r="FM391" i="17"/>
  <c r="FN391" i="17"/>
  <c r="FO391" i="17"/>
  <c r="FP391" i="17"/>
  <c r="FQ391" i="17"/>
  <c r="FR391" i="17"/>
  <c r="FS391" i="17"/>
  <c r="FT391" i="17"/>
  <c r="FU391" i="17"/>
  <c r="FV391" i="17"/>
  <c r="FW391" i="17"/>
  <c r="FX391" i="17"/>
  <c r="FY391" i="17"/>
  <c r="FZ391" i="17"/>
  <c r="GA391" i="17"/>
  <c r="GB391" i="17"/>
  <c r="GC391" i="17"/>
  <c r="GD391" i="17"/>
  <c r="GE391" i="17"/>
  <c r="GF391" i="17"/>
  <c r="GG391" i="17"/>
  <c r="GH391" i="17"/>
  <c r="GI391" i="17"/>
  <c r="GJ391" i="17"/>
  <c r="GK391" i="17"/>
  <c r="GL391" i="17"/>
  <c r="GM391" i="17"/>
  <c r="GN391" i="17"/>
  <c r="GO391" i="17"/>
  <c r="GP391" i="17"/>
  <c r="GQ391" i="17"/>
  <c r="GR391" i="17"/>
  <c r="GS391" i="17"/>
  <c r="GT391" i="17"/>
  <c r="GU391" i="17"/>
  <c r="GV391" i="17"/>
  <c r="GW391" i="17"/>
  <c r="GX391" i="17"/>
  <c r="GY391" i="17"/>
  <c r="GZ391" i="17"/>
  <c r="HA391" i="17"/>
  <c r="HB391" i="17"/>
  <c r="HC391" i="17"/>
  <c r="HD391" i="17"/>
  <c r="HE391" i="17"/>
  <c r="HF391" i="17"/>
  <c r="HG391" i="17"/>
  <c r="HH391" i="17"/>
  <c r="HI391" i="17"/>
  <c r="HJ391" i="17"/>
  <c r="HK391" i="17"/>
  <c r="HL391" i="17"/>
  <c r="HM391" i="17"/>
  <c r="HN391" i="17"/>
  <c r="HO391" i="17"/>
  <c r="HP391" i="17"/>
  <c r="HQ391" i="17"/>
  <c r="HR391" i="17"/>
  <c r="HS391" i="17"/>
  <c r="HT391" i="17"/>
  <c r="HU391" i="17"/>
  <c r="HV391" i="17"/>
  <c r="HW391" i="17"/>
  <c r="HX391" i="17"/>
  <c r="HY391" i="17"/>
  <c r="HZ391" i="17"/>
  <c r="IA391" i="17"/>
  <c r="IB391" i="17"/>
  <c r="IC391" i="17"/>
  <c r="ID391" i="17"/>
  <c r="IE391" i="17"/>
  <c r="IF391" i="17"/>
  <c r="IG391" i="17"/>
  <c r="IH391" i="17"/>
  <c r="II391" i="17"/>
  <c r="IJ391" i="17"/>
  <c r="IK391" i="17"/>
  <c r="IL391" i="17"/>
  <c r="IM391" i="17"/>
  <c r="IN391" i="17"/>
  <c r="IO391" i="17"/>
  <c r="IP391" i="17"/>
  <c r="IQ391" i="17"/>
  <c r="IR391" i="17"/>
  <c r="IS391" i="17"/>
  <c r="IT391" i="17"/>
  <c r="IU391" i="17"/>
  <c r="IV391" i="17"/>
  <c r="A390" i="17"/>
  <c r="B390" i="17"/>
  <c r="C390" i="17"/>
  <c r="D390" i="17"/>
  <c r="E390" i="17"/>
  <c r="F390" i="17"/>
  <c r="G390" i="17"/>
  <c r="H390" i="17"/>
  <c r="I390" i="17"/>
  <c r="J390" i="17"/>
  <c r="K390" i="17"/>
  <c r="L390" i="17"/>
  <c r="M390" i="17"/>
  <c r="N390" i="17"/>
  <c r="O390" i="17"/>
  <c r="P390" i="17"/>
  <c r="Q390" i="17"/>
  <c r="R390" i="17"/>
  <c r="S390" i="17"/>
  <c r="T390" i="17"/>
  <c r="U390" i="17"/>
  <c r="V390" i="17"/>
  <c r="W390" i="17"/>
  <c r="X390" i="17"/>
  <c r="Y390" i="17"/>
  <c r="Z390" i="17"/>
  <c r="AA390" i="17"/>
  <c r="AB390" i="17"/>
  <c r="AC390" i="17"/>
  <c r="AD390" i="17"/>
  <c r="AE390" i="17"/>
  <c r="AF390" i="17"/>
  <c r="AG390" i="17"/>
  <c r="AH390" i="17"/>
  <c r="AI390" i="17"/>
  <c r="AJ390" i="17"/>
  <c r="AK390" i="17"/>
  <c r="AL390" i="17"/>
  <c r="AM390" i="17"/>
  <c r="AN390" i="17"/>
  <c r="AO390" i="17"/>
  <c r="AP390" i="17"/>
  <c r="AQ390" i="17"/>
  <c r="AR390" i="17"/>
  <c r="AS390" i="17"/>
  <c r="AT390" i="17"/>
  <c r="AU390" i="17"/>
  <c r="AV390" i="17"/>
  <c r="AW390" i="17"/>
  <c r="AX390" i="17"/>
  <c r="AY390" i="17"/>
  <c r="AZ390" i="17"/>
  <c r="BA390" i="17"/>
  <c r="BB390" i="17"/>
  <c r="BC390" i="17"/>
  <c r="BD390" i="17"/>
  <c r="BE390" i="17"/>
  <c r="BF390" i="17"/>
  <c r="BG390" i="17"/>
  <c r="BH390" i="17"/>
  <c r="BI390" i="17"/>
  <c r="BJ390" i="17"/>
  <c r="BK390" i="17"/>
  <c r="BL390" i="17"/>
  <c r="BM390" i="17"/>
  <c r="BN390" i="17"/>
  <c r="BO390" i="17"/>
  <c r="BP390" i="17"/>
  <c r="BQ390" i="17"/>
  <c r="BR390" i="17"/>
  <c r="BS390" i="17"/>
  <c r="BT390" i="17"/>
  <c r="BU390" i="17"/>
  <c r="BV390" i="17"/>
  <c r="BW390" i="17"/>
  <c r="BX390" i="17"/>
  <c r="BY390" i="17"/>
  <c r="BZ390" i="17"/>
  <c r="CA390" i="17"/>
  <c r="CB390" i="17"/>
  <c r="CC390" i="17"/>
  <c r="CD390" i="17"/>
  <c r="CE390" i="17"/>
  <c r="CF390" i="17"/>
  <c r="CG390" i="17"/>
  <c r="CH390" i="17"/>
  <c r="CI390" i="17"/>
  <c r="CJ390" i="17"/>
  <c r="CK390" i="17"/>
  <c r="CL390" i="17"/>
  <c r="CM390" i="17"/>
  <c r="CN390" i="17"/>
  <c r="CO390" i="17"/>
  <c r="CP390" i="17"/>
  <c r="CQ390" i="17"/>
  <c r="CR390" i="17"/>
  <c r="CS390" i="17"/>
  <c r="CT390" i="17"/>
  <c r="CU390" i="17"/>
  <c r="CV390" i="17"/>
  <c r="CW390" i="17"/>
  <c r="CX390" i="17"/>
  <c r="CY390" i="17"/>
  <c r="CZ390" i="17"/>
  <c r="DA390" i="17"/>
  <c r="DB390" i="17"/>
  <c r="DC390" i="17"/>
  <c r="DD390" i="17"/>
  <c r="DE390" i="17"/>
  <c r="DF390" i="17"/>
  <c r="DG390" i="17"/>
  <c r="DH390" i="17"/>
  <c r="DI390" i="17"/>
  <c r="DJ390" i="17"/>
  <c r="DK390" i="17"/>
  <c r="DL390" i="17"/>
  <c r="DM390" i="17"/>
  <c r="DN390" i="17"/>
  <c r="DO390" i="17"/>
  <c r="DP390" i="17"/>
  <c r="DQ390" i="17"/>
  <c r="DR390" i="17"/>
  <c r="DS390" i="17"/>
  <c r="DT390" i="17"/>
  <c r="DU390" i="17"/>
  <c r="DV390" i="17"/>
  <c r="DW390" i="17"/>
  <c r="DX390" i="17"/>
  <c r="DY390" i="17"/>
  <c r="DZ390" i="17"/>
  <c r="EA390" i="17"/>
  <c r="EB390" i="17"/>
  <c r="EC390" i="17"/>
  <c r="ED390" i="17"/>
  <c r="EE390" i="17"/>
  <c r="EF390" i="17"/>
  <c r="EG390" i="17"/>
  <c r="EH390" i="17"/>
  <c r="EI390" i="17"/>
  <c r="EJ390" i="17"/>
  <c r="EK390" i="17"/>
  <c r="EL390" i="17"/>
  <c r="EM390" i="17"/>
  <c r="EN390" i="17"/>
  <c r="EO390" i="17"/>
  <c r="EP390" i="17"/>
  <c r="EQ390" i="17"/>
  <c r="ER390" i="17"/>
  <c r="ES390" i="17"/>
  <c r="ET390" i="17"/>
  <c r="EU390" i="17"/>
  <c r="EV390" i="17"/>
  <c r="EW390" i="17"/>
  <c r="EX390" i="17"/>
  <c r="EY390" i="17"/>
  <c r="EZ390" i="17"/>
  <c r="FA390" i="17"/>
  <c r="FB390" i="17"/>
  <c r="FC390" i="17"/>
  <c r="FD390" i="17"/>
  <c r="FE390" i="17"/>
  <c r="FF390" i="17"/>
  <c r="FG390" i="17"/>
  <c r="FH390" i="17"/>
  <c r="FI390" i="17"/>
  <c r="FJ390" i="17"/>
  <c r="FK390" i="17"/>
  <c r="FL390" i="17"/>
  <c r="FM390" i="17"/>
  <c r="FN390" i="17"/>
  <c r="FO390" i="17"/>
  <c r="FP390" i="17"/>
  <c r="FQ390" i="17"/>
  <c r="FR390" i="17"/>
  <c r="FS390" i="17"/>
  <c r="FT390" i="17"/>
  <c r="FU390" i="17"/>
  <c r="FV390" i="17"/>
  <c r="FW390" i="17"/>
  <c r="FX390" i="17"/>
  <c r="FY390" i="17"/>
  <c r="FZ390" i="17"/>
  <c r="GA390" i="17"/>
  <c r="GB390" i="17"/>
  <c r="GC390" i="17"/>
  <c r="GD390" i="17"/>
  <c r="GE390" i="17"/>
  <c r="GF390" i="17"/>
  <c r="GG390" i="17"/>
  <c r="GH390" i="17"/>
  <c r="GI390" i="17"/>
  <c r="GJ390" i="17"/>
  <c r="GK390" i="17"/>
  <c r="GL390" i="17"/>
  <c r="GM390" i="17"/>
  <c r="GN390" i="17"/>
  <c r="GO390" i="17"/>
  <c r="GP390" i="17"/>
  <c r="GQ390" i="17"/>
  <c r="GR390" i="17"/>
  <c r="GS390" i="17"/>
  <c r="GT390" i="17"/>
  <c r="GU390" i="17"/>
  <c r="GV390" i="17"/>
  <c r="GW390" i="17"/>
  <c r="GX390" i="17"/>
  <c r="GY390" i="17"/>
  <c r="GZ390" i="17"/>
  <c r="HA390" i="17"/>
  <c r="HB390" i="17"/>
  <c r="HC390" i="17"/>
  <c r="HD390" i="17"/>
  <c r="HE390" i="17"/>
  <c r="HF390" i="17"/>
  <c r="HG390" i="17"/>
  <c r="HH390" i="17"/>
  <c r="HI390" i="17"/>
  <c r="HJ390" i="17"/>
  <c r="HK390" i="17"/>
  <c r="HL390" i="17"/>
  <c r="HM390" i="17"/>
  <c r="HN390" i="17"/>
  <c r="HO390" i="17"/>
  <c r="HP390" i="17"/>
  <c r="HQ390" i="17"/>
  <c r="HR390" i="17"/>
  <c r="HS390" i="17"/>
  <c r="HT390" i="17"/>
  <c r="HU390" i="17"/>
  <c r="HV390" i="17"/>
  <c r="HW390" i="17"/>
  <c r="HX390" i="17"/>
  <c r="HY390" i="17"/>
  <c r="HZ390" i="17"/>
  <c r="IA390" i="17"/>
  <c r="IB390" i="17"/>
  <c r="IC390" i="17"/>
  <c r="ID390" i="17"/>
  <c r="IE390" i="17"/>
  <c r="IF390" i="17"/>
  <c r="IG390" i="17"/>
  <c r="IH390" i="17"/>
  <c r="II390" i="17"/>
  <c r="IJ390" i="17"/>
  <c r="IK390" i="17"/>
  <c r="IL390" i="17"/>
  <c r="IM390" i="17"/>
  <c r="IN390" i="17"/>
  <c r="IO390" i="17"/>
  <c r="IP390" i="17"/>
  <c r="IQ390" i="17"/>
  <c r="IR390" i="17"/>
  <c r="IS390" i="17"/>
  <c r="IT390" i="17"/>
  <c r="IU390" i="17"/>
  <c r="IV390" i="17"/>
  <c r="A389" i="17"/>
  <c r="B389" i="17"/>
  <c r="C389" i="17"/>
  <c r="D389" i="17"/>
  <c r="E389" i="17"/>
  <c r="F389" i="17"/>
  <c r="G389" i="17"/>
  <c r="H389" i="17"/>
  <c r="I389" i="17"/>
  <c r="J389" i="17"/>
  <c r="K389" i="17"/>
  <c r="L389" i="17"/>
  <c r="M389" i="17"/>
  <c r="N389" i="17"/>
  <c r="O389" i="17"/>
  <c r="P389" i="17"/>
  <c r="Q389" i="17"/>
  <c r="R389" i="17"/>
  <c r="S389" i="17"/>
  <c r="T389" i="17"/>
  <c r="V389" i="17"/>
  <c r="W389" i="17"/>
  <c r="X389" i="17"/>
  <c r="Y389" i="17"/>
  <c r="Z389" i="17"/>
  <c r="AA389" i="17"/>
  <c r="AB389" i="17"/>
  <c r="AC389" i="17"/>
  <c r="AD389" i="17"/>
  <c r="AE389" i="17"/>
  <c r="AF389" i="17"/>
  <c r="AG389" i="17"/>
  <c r="AH389" i="17"/>
  <c r="AI389" i="17"/>
  <c r="AJ389" i="17"/>
  <c r="AK389" i="17"/>
  <c r="AL389" i="17"/>
  <c r="AM389" i="17"/>
  <c r="AN389" i="17"/>
  <c r="AO389" i="17"/>
  <c r="AP389" i="17"/>
  <c r="AQ389" i="17"/>
  <c r="AR389" i="17"/>
  <c r="AS389" i="17"/>
  <c r="AT389" i="17"/>
  <c r="AU389" i="17"/>
  <c r="AV389" i="17"/>
  <c r="AW389" i="17"/>
  <c r="AX389" i="17"/>
  <c r="AY389" i="17"/>
  <c r="AZ389" i="17"/>
  <c r="BA389" i="17"/>
  <c r="BB389" i="17"/>
  <c r="BC389" i="17"/>
  <c r="BD389" i="17"/>
  <c r="BE389" i="17"/>
  <c r="BF389" i="17"/>
  <c r="BG389" i="17"/>
  <c r="BH389" i="17"/>
  <c r="BI389" i="17"/>
  <c r="BJ389" i="17"/>
  <c r="BK389" i="17"/>
  <c r="BL389" i="17"/>
  <c r="BM389" i="17"/>
  <c r="BN389" i="17"/>
  <c r="BO389" i="17"/>
  <c r="BP389" i="17"/>
  <c r="BQ389" i="17"/>
  <c r="BR389" i="17"/>
  <c r="BS389" i="17"/>
  <c r="BT389" i="17"/>
  <c r="BU389" i="17"/>
  <c r="BV389" i="17"/>
  <c r="BW389" i="17"/>
  <c r="BX389" i="17"/>
  <c r="BY389" i="17"/>
  <c r="BZ389" i="17"/>
  <c r="CA389" i="17"/>
  <c r="CB389" i="17"/>
  <c r="CC389" i="17"/>
  <c r="CD389" i="17"/>
  <c r="CE389" i="17"/>
  <c r="CF389" i="17"/>
  <c r="CG389" i="17"/>
  <c r="CH389" i="17"/>
  <c r="CI389" i="17"/>
  <c r="CJ389" i="17"/>
  <c r="CK389" i="17"/>
  <c r="CL389" i="17"/>
  <c r="CM389" i="17"/>
  <c r="CN389" i="17"/>
  <c r="CO389" i="17"/>
  <c r="CP389" i="17"/>
  <c r="CQ389" i="17"/>
  <c r="CR389" i="17"/>
  <c r="CS389" i="17"/>
  <c r="CT389" i="17"/>
  <c r="CU389" i="17"/>
  <c r="CV389" i="17"/>
  <c r="CW389" i="17"/>
  <c r="CX389" i="17"/>
  <c r="CY389" i="17"/>
  <c r="CZ389" i="17"/>
  <c r="DA389" i="17"/>
  <c r="DB389" i="17"/>
  <c r="DC389" i="17"/>
  <c r="DD389" i="17"/>
  <c r="DE389" i="17"/>
  <c r="DF389" i="17"/>
  <c r="DG389" i="17"/>
  <c r="DH389" i="17"/>
  <c r="DI389" i="17"/>
  <c r="DJ389" i="17"/>
  <c r="DK389" i="17"/>
  <c r="DL389" i="17"/>
  <c r="DM389" i="17"/>
  <c r="DN389" i="17"/>
  <c r="DO389" i="17"/>
  <c r="DP389" i="17"/>
  <c r="DQ389" i="17"/>
  <c r="DR389" i="17"/>
  <c r="DS389" i="17"/>
  <c r="DT389" i="17"/>
  <c r="DU389" i="17"/>
  <c r="DV389" i="17"/>
  <c r="DW389" i="17"/>
  <c r="DX389" i="17"/>
  <c r="DY389" i="17"/>
  <c r="DZ389" i="17"/>
  <c r="EA389" i="17"/>
  <c r="EB389" i="17"/>
  <c r="EC389" i="17"/>
  <c r="ED389" i="17"/>
  <c r="EE389" i="17"/>
  <c r="EF389" i="17"/>
  <c r="EG389" i="17"/>
  <c r="EH389" i="17"/>
  <c r="EI389" i="17"/>
  <c r="EJ389" i="17"/>
  <c r="EK389" i="17"/>
  <c r="EL389" i="17"/>
  <c r="EM389" i="17"/>
  <c r="EN389" i="17"/>
  <c r="EO389" i="17"/>
  <c r="EP389" i="17"/>
  <c r="EQ389" i="17"/>
  <c r="ER389" i="17"/>
  <c r="ES389" i="17"/>
  <c r="ET389" i="17"/>
  <c r="EU389" i="17"/>
  <c r="EV389" i="17"/>
  <c r="EW389" i="17"/>
  <c r="EX389" i="17"/>
  <c r="EY389" i="17"/>
  <c r="EZ389" i="17"/>
  <c r="FA389" i="17"/>
  <c r="FB389" i="17"/>
  <c r="FC389" i="17"/>
  <c r="FD389" i="17"/>
  <c r="FE389" i="17"/>
  <c r="FF389" i="17"/>
  <c r="FG389" i="17"/>
  <c r="FH389" i="17"/>
  <c r="FI389" i="17"/>
  <c r="FJ389" i="17"/>
  <c r="FK389" i="17"/>
  <c r="FL389" i="17"/>
  <c r="FM389" i="17"/>
  <c r="FN389" i="17"/>
  <c r="FO389" i="17"/>
  <c r="FP389" i="17"/>
  <c r="FQ389" i="17"/>
  <c r="FR389" i="17"/>
  <c r="FS389" i="17"/>
  <c r="FT389" i="17"/>
  <c r="FU389" i="17"/>
  <c r="FV389" i="17"/>
  <c r="FW389" i="17"/>
  <c r="FX389" i="17"/>
  <c r="FY389" i="17"/>
  <c r="FZ389" i="17"/>
  <c r="GA389" i="17"/>
  <c r="GB389" i="17"/>
  <c r="GC389" i="17"/>
  <c r="GD389" i="17"/>
  <c r="GE389" i="17"/>
  <c r="GF389" i="17"/>
  <c r="GG389" i="17"/>
  <c r="GH389" i="17"/>
  <c r="GI389" i="17"/>
  <c r="GJ389" i="17"/>
  <c r="GK389" i="17"/>
  <c r="GL389" i="17"/>
  <c r="GM389" i="17"/>
  <c r="GN389" i="17"/>
  <c r="GO389" i="17"/>
  <c r="GP389" i="17"/>
  <c r="GQ389" i="17"/>
  <c r="GR389" i="17"/>
  <c r="GS389" i="17"/>
  <c r="GT389" i="17"/>
  <c r="GU389" i="17"/>
  <c r="GV389" i="17"/>
  <c r="GW389" i="17"/>
  <c r="GX389" i="17"/>
  <c r="GY389" i="17"/>
  <c r="GZ389" i="17"/>
  <c r="HA389" i="17"/>
  <c r="HB389" i="17"/>
  <c r="HC389" i="17"/>
  <c r="HD389" i="17"/>
  <c r="HE389" i="17"/>
  <c r="HF389" i="17"/>
  <c r="HG389" i="17"/>
  <c r="HH389" i="17"/>
  <c r="HI389" i="17"/>
  <c r="HJ389" i="17"/>
  <c r="HK389" i="17"/>
  <c r="HL389" i="17"/>
  <c r="HM389" i="17"/>
  <c r="HN389" i="17"/>
  <c r="HO389" i="17"/>
  <c r="HP389" i="17"/>
  <c r="HQ389" i="17"/>
  <c r="HR389" i="17"/>
  <c r="HS389" i="17"/>
  <c r="HT389" i="17"/>
  <c r="HU389" i="17"/>
  <c r="HV389" i="17"/>
  <c r="HW389" i="17"/>
  <c r="HX389" i="17"/>
  <c r="HY389" i="17"/>
  <c r="HZ389" i="17"/>
  <c r="IA389" i="17"/>
  <c r="IB389" i="17"/>
  <c r="IC389" i="17"/>
  <c r="ID389" i="17"/>
  <c r="IE389" i="17"/>
  <c r="IF389" i="17"/>
  <c r="IG389" i="17"/>
  <c r="IH389" i="17"/>
  <c r="II389" i="17"/>
  <c r="IJ389" i="17"/>
  <c r="IK389" i="17"/>
  <c r="IL389" i="17"/>
  <c r="IM389" i="17"/>
  <c r="IN389" i="17"/>
  <c r="IO389" i="17"/>
  <c r="IP389" i="17"/>
  <c r="IQ389" i="17"/>
  <c r="IR389" i="17"/>
  <c r="IS389" i="17"/>
  <c r="IT389" i="17"/>
  <c r="IU389" i="17"/>
  <c r="IV389" i="17"/>
  <c r="A388" i="17"/>
  <c r="B388" i="17"/>
  <c r="C388" i="17"/>
  <c r="D388" i="17"/>
  <c r="E388" i="17"/>
  <c r="F388" i="17"/>
  <c r="G388" i="17"/>
  <c r="H388" i="17"/>
  <c r="I388" i="17"/>
  <c r="J388" i="17"/>
  <c r="K388" i="17"/>
  <c r="L388" i="17"/>
  <c r="M388" i="17"/>
  <c r="N388" i="17"/>
  <c r="O388" i="17"/>
  <c r="P388" i="17"/>
  <c r="Q388" i="17"/>
  <c r="R388" i="17"/>
  <c r="S388" i="17"/>
  <c r="T388" i="17"/>
  <c r="U388" i="17"/>
  <c r="V388" i="17"/>
  <c r="W388" i="17"/>
  <c r="X388" i="17"/>
  <c r="Y388" i="17"/>
  <c r="Z388" i="17"/>
  <c r="AA388" i="17"/>
  <c r="AB388" i="17"/>
  <c r="AC388" i="17"/>
  <c r="AD388" i="17"/>
  <c r="AE388" i="17"/>
  <c r="AF388" i="17"/>
  <c r="AG388" i="17"/>
  <c r="AH388" i="17"/>
  <c r="AI388" i="17"/>
  <c r="AJ388" i="17"/>
  <c r="AK388" i="17"/>
  <c r="AL388" i="17"/>
  <c r="AM388" i="17"/>
  <c r="AN388" i="17"/>
  <c r="AO388" i="17"/>
  <c r="AP388" i="17"/>
  <c r="AQ388" i="17"/>
  <c r="AR388" i="17"/>
  <c r="AS388" i="17"/>
  <c r="AT388" i="17"/>
  <c r="AU388" i="17"/>
  <c r="AV388" i="17"/>
  <c r="AW388" i="17"/>
  <c r="AX388" i="17"/>
  <c r="AY388" i="17"/>
  <c r="AZ388" i="17"/>
  <c r="BA388" i="17"/>
  <c r="BB388" i="17"/>
  <c r="BC388" i="17"/>
  <c r="BD388" i="17"/>
  <c r="BE388" i="17"/>
  <c r="BF388" i="17"/>
  <c r="BG388" i="17"/>
  <c r="BH388" i="17"/>
  <c r="BI388" i="17"/>
  <c r="BJ388" i="17"/>
  <c r="BK388" i="17"/>
  <c r="BL388" i="17"/>
  <c r="BM388" i="17"/>
  <c r="BN388" i="17"/>
  <c r="BO388" i="17"/>
  <c r="BP388" i="17"/>
  <c r="BQ388" i="17"/>
  <c r="BR388" i="17"/>
  <c r="BS388" i="17"/>
  <c r="BT388" i="17"/>
  <c r="BU388" i="17"/>
  <c r="BV388" i="17"/>
  <c r="BW388" i="17"/>
  <c r="BX388" i="17"/>
  <c r="BY388" i="17"/>
  <c r="BZ388" i="17"/>
  <c r="CA388" i="17"/>
  <c r="CB388" i="17"/>
  <c r="CC388" i="17"/>
  <c r="CD388" i="17"/>
  <c r="CE388" i="17"/>
  <c r="CF388" i="17"/>
  <c r="CG388" i="17"/>
  <c r="CH388" i="17"/>
  <c r="CI388" i="17"/>
  <c r="CJ388" i="17"/>
  <c r="CK388" i="17"/>
  <c r="CL388" i="17"/>
  <c r="CM388" i="17"/>
  <c r="CN388" i="17"/>
  <c r="CO388" i="17"/>
  <c r="CP388" i="17"/>
  <c r="CQ388" i="17"/>
  <c r="CR388" i="17"/>
  <c r="CS388" i="17"/>
  <c r="CT388" i="17"/>
  <c r="CU388" i="17"/>
  <c r="CV388" i="17"/>
  <c r="CW388" i="17"/>
  <c r="CX388" i="17"/>
  <c r="CY388" i="17"/>
  <c r="CZ388" i="17"/>
  <c r="DA388" i="17"/>
  <c r="DB388" i="17"/>
  <c r="DC388" i="17"/>
  <c r="DD388" i="17"/>
  <c r="DE388" i="17"/>
  <c r="DF388" i="17"/>
  <c r="DG388" i="17"/>
  <c r="DH388" i="17"/>
  <c r="DI388" i="17"/>
  <c r="DJ388" i="17"/>
  <c r="DK388" i="17"/>
  <c r="DL388" i="17"/>
  <c r="DM388" i="17"/>
  <c r="DN388" i="17"/>
  <c r="DO388" i="17"/>
  <c r="DP388" i="17"/>
  <c r="DQ388" i="17"/>
  <c r="DR388" i="17"/>
  <c r="DS388" i="17"/>
  <c r="DT388" i="17"/>
  <c r="DU388" i="17"/>
  <c r="DV388" i="17"/>
  <c r="DW388" i="17"/>
  <c r="DX388" i="17"/>
  <c r="DY388" i="17"/>
  <c r="DZ388" i="17"/>
  <c r="EA388" i="17"/>
  <c r="EB388" i="17"/>
  <c r="EC388" i="17"/>
  <c r="ED388" i="17"/>
  <c r="EE388" i="17"/>
  <c r="EF388" i="17"/>
  <c r="EG388" i="17"/>
  <c r="EH388" i="17"/>
  <c r="EI388" i="17"/>
  <c r="EJ388" i="17"/>
  <c r="EK388" i="17"/>
  <c r="EL388" i="17"/>
  <c r="EM388" i="17"/>
  <c r="EN388" i="17"/>
  <c r="EO388" i="17"/>
  <c r="EP388" i="17"/>
  <c r="EQ388" i="17"/>
  <c r="ER388" i="17"/>
  <c r="ES388" i="17"/>
  <c r="ET388" i="17"/>
  <c r="EU388" i="17"/>
  <c r="EV388" i="17"/>
  <c r="EW388" i="17"/>
  <c r="EX388" i="17"/>
  <c r="EY388" i="17"/>
  <c r="EZ388" i="17"/>
  <c r="FA388" i="17"/>
  <c r="FB388" i="17"/>
  <c r="FC388" i="17"/>
  <c r="FD388" i="17"/>
  <c r="FE388" i="17"/>
  <c r="FF388" i="17"/>
  <c r="FG388" i="17"/>
  <c r="FH388" i="17"/>
  <c r="FI388" i="17"/>
  <c r="FJ388" i="17"/>
  <c r="FK388" i="17"/>
  <c r="FL388" i="17"/>
  <c r="FM388" i="17"/>
  <c r="FN388" i="17"/>
  <c r="FO388" i="17"/>
  <c r="FP388" i="17"/>
  <c r="FQ388" i="17"/>
  <c r="FR388" i="17"/>
  <c r="FS388" i="17"/>
  <c r="FT388" i="17"/>
  <c r="FU388" i="17"/>
  <c r="FV388" i="17"/>
  <c r="FW388" i="17"/>
  <c r="FX388" i="17"/>
  <c r="FY388" i="17"/>
  <c r="FZ388" i="17"/>
  <c r="GA388" i="17"/>
  <c r="GB388" i="17"/>
  <c r="GC388" i="17"/>
  <c r="GD388" i="17"/>
  <c r="GE388" i="17"/>
  <c r="GF388" i="17"/>
  <c r="GG388" i="17"/>
  <c r="GH388" i="17"/>
  <c r="GI388" i="17"/>
  <c r="GJ388" i="17"/>
  <c r="GK388" i="17"/>
  <c r="GL388" i="17"/>
  <c r="GM388" i="17"/>
  <c r="GN388" i="17"/>
  <c r="GO388" i="17"/>
  <c r="GP388" i="17"/>
  <c r="GQ388" i="17"/>
  <c r="GR388" i="17"/>
  <c r="GS388" i="17"/>
  <c r="GT388" i="17"/>
  <c r="GU388" i="17"/>
  <c r="GV388" i="17"/>
  <c r="GW388" i="17"/>
  <c r="GX388" i="17"/>
  <c r="GY388" i="17"/>
  <c r="GZ388" i="17"/>
  <c r="HA388" i="17"/>
  <c r="HB388" i="17"/>
  <c r="HC388" i="17"/>
  <c r="HD388" i="17"/>
  <c r="HE388" i="17"/>
  <c r="HF388" i="17"/>
  <c r="HG388" i="17"/>
  <c r="HH388" i="17"/>
  <c r="HI388" i="17"/>
  <c r="HJ388" i="17"/>
  <c r="HK388" i="17"/>
  <c r="HL388" i="17"/>
  <c r="HM388" i="17"/>
  <c r="HN388" i="17"/>
  <c r="HO388" i="17"/>
  <c r="HP388" i="17"/>
  <c r="HQ388" i="17"/>
  <c r="HR388" i="17"/>
  <c r="HS388" i="17"/>
  <c r="HT388" i="17"/>
  <c r="HU388" i="17"/>
  <c r="HV388" i="17"/>
  <c r="HW388" i="17"/>
  <c r="HX388" i="17"/>
  <c r="HY388" i="17"/>
  <c r="HZ388" i="17"/>
  <c r="IA388" i="17"/>
  <c r="IB388" i="17"/>
  <c r="IC388" i="17"/>
  <c r="ID388" i="17"/>
  <c r="IE388" i="17"/>
  <c r="IF388" i="17"/>
  <c r="IG388" i="17"/>
  <c r="IH388" i="17"/>
  <c r="II388" i="17"/>
  <c r="IJ388" i="17"/>
  <c r="IK388" i="17"/>
  <c r="IL388" i="17"/>
  <c r="IM388" i="17"/>
  <c r="IN388" i="17"/>
  <c r="IO388" i="17"/>
  <c r="IP388" i="17"/>
  <c r="IQ388" i="17"/>
  <c r="IR388" i="17"/>
  <c r="IS388" i="17"/>
  <c r="IT388" i="17"/>
  <c r="IU388" i="17"/>
  <c r="IV388" i="17"/>
  <c r="A387" i="17"/>
  <c r="B387" i="17"/>
  <c r="C387" i="17"/>
  <c r="D387" i="17"/>
  <c r="E387" i="17"/>
  <c r="F387" i="17"/>
  <c r="G387" i="17"/>
  <c r="H387" i="17"/>
  <c r="I387" i="17"/>
  <c r="J387" i="17"/>
  <c r="K387" i="17"/>
  <c r="L387" i="17"/>
  <c r="M387" i="17"/>
  <c r="N387" i="17"/>
  <c r="O387" i="17"/>
  <c r="P387" i="17"/>
  <c r="Q387" i="17"/>
  <c r="R387" i="17"/>
  <c r="S387" i="17"/>
  <c r="U387" i="17"/>
  <c r="V387" i="17"/>
  <c r="W387" i="17"/>
  <c r="X387" i="17"/>
  <c r="Y387" i="17"/>
  <c r="Z387" i="17"/>
  <c r="AA387" i="17"/>
  <c r="AB387" i="17"/>
  <c r="AC387" i="17"/>
  <c r="AD387" i="17"/>
  <c r="AE387" i="17"/>
  <c r="AF387" i="17"/>
  <c r="AG387" i="17"/>
  <c r="AH387" i="17"/>
  <c r="AI387" i="17"/>
  <c r="AJ387" i="17"/>
  <c r="AK387" i="17"/>
  <c r="AL387" i="17"/>
  <c r="AM387" i="17"/>
  <c r="AN387" i="17"/>
  <c r="AO387" i="17"/>
  <c r="AP387" i="17"/>
  <c r="AQ387" i="17"/>
  <c r="AR387" i="17"/>
  <c r="AS387" i="17"/>
  <c r="AT387" i="17"/>
  <c r="AU387" i="17"/>
  <c r="AV387" i="17"/>
  <c r="AW387" i="17"/>
  <c r="AX387" i="17"/>
  <c r="AY387" i="17"/>
  <c r="AZ387" i="17"/>
  <c r="BA387" i="17"/>
  <c r="BB387" i="17"/>
  <c r="BC387" i="17"/>
  <c r="BD387" i="17"/>
  <c r="BE387" i="17"/>
  <c r="BF387" i="17"/>
  <c r="BG387" i="17"/>
  <c r="BH387" i="17"/>
  <c r="BI387" i="17"/>
  <c r="BJ387" i="17"/>
  <c r="BK387" i="17"/>
  <c r="BL387" i="17"/>
  <c r="BM387" i="17"/>
  <c r="BN387" i="17"/>
  <c r="BO387" i="17"/>
  <c r="BP387" i="17"/>
  <c r="BQ387" i="17"/>
  <c r="BR387" i="17"/>
  <c r="BS387" i="17"/>
  <c r="BT387" i="17"/>
  <c r="BU387" i="17"/>
  <c r="BV387" i="17"/>
  <c r="BW387" i="17"/>
  <c r="BX387" i="17"/>
  <c r="BY387" i="17"/>
  <c r="BZ387" i="17"/>
  <c r="CA387" i="17"/>
  <c r="CB387" i="17"/>
  <c r="CC387" i="17"/>
  <c r="CD387" i="17"/>
  <c r="CE387" i="17"/>
  <c r="CF387" i="17"/>
  <c r="CG387" i="17"/>
  <c r="CH387" i="17"/>
  <c r="CI387" i="17"/>
  <c r="CJ387" i="17"/>
  <c r="CK387" i="17"/>
  <c r="CL387" i="17"/>
  <c r="CM387" i="17"/>
  <c r="CN387" i="17"/>
  <c r="CO387" i="17"/>
  <c r="CP387" i="17"/>
  <c r="CQ387" i="17"/>
  <c r="CR387" i="17"/>
  <c r="CS387" i="17"/>
  <c r="CT387" i="17"/>
  <c r="CU387" i="17"/>
  <c r="CV387" i="17"/>
  <c r="CW387" i="17"/>
  <c r="CX387" i="17"/>
  <c r="CY387" i="17"/>
  <c r="CZ387" i="17"/>
  <c r="DA387" i="17"/>
  <c r="DB387" i="17"/>
  <c r="DC387" i="17"/>
  <c r="DD387" i="17"/>
  <c r="DE387" i="17"/>
  <c r="DF387" i="17"/>
  <c r="DG387" i="17"/>
  <c r="DH387" i="17"/>
  <c r="DI387" i="17"/>
  <c r="DJ387" i="17"/>
  <c r="DK387" i="17"/>
  <c r="DL387" i="17"/>
  <c r="DM387" i="17"/>
  <c r="DN387" i="17"/>
  <c r="DO387" i="17"/>
  <c r="DP387" i="17"/>
  <c r="DQ387" i="17"/>
  <c r="DR387" i="17"/>
  <c r="DS387" i="17"/>
  <c r="DT387" i="17"/>
  <c r="DU387" i="17"/>
  <c r="DV387" i="17"/>
  <c r="DW387" i="17"/>
  <c r="DX387" i="17"/>
  <c r="DY387" i="17"/>
  <c r="DZ387" i="17"/>
  <c r="EA387" i="17"/>
  <c r="EB387" i="17"/>
  <c r="EC387" i="17"/>
  <c r="ED387" i="17"/>
  <c r="EE387" i="17"/>
  <c r="EF387" i="17"/>
  <c r="EG387" i="17"/>
  <c r="EH387" i="17"/>
  <c r="EI387" i="17"/>
  <c r="EJ387" i="17"/>
  <c r="EK387" i="17"/>
  <c r="EL387" i="17"/>
  <c r="EM387" i="17"/>
  <c r="EN387" i="17"/>
  <c r="EO387" i="17"/>
  <c r="EP387" i="17"/>
  <c r="EQ387" i="17"/>
  <c r="ER387" i="17"/>
  <c r="ES387" i="17"/>
  <c r="ET387" i="17"/>
  <c r="EU387" i="17"/>
  <c r="EV387" i="17"/>
  <c r="EW387" i="17"/>
  <c r="EX387" i="17"/>
  <c r="EY387" i="17"/>
  <c r="EZ387" i="17"/>
  <c r="FA387" i="17"/>
  <c r="FB387" i="17"/>
  <c r="FC387" i="17"/>
  <c r="FD387" i="17"/>
  <c r="FE387" i="17"/>
  <c r="FF387" i="17"/>
  <c r="FG387" i="17"/>
  <c r="FH387" i="17"/>
  <c r="FI387" i="17"/>
  <c r="FJ387" i="17"/>
  <c r="FK387" i="17"/>
  <c r="FL387" i="17"/>
  <c r="FM387" i="17"/>
  <c r="FN387" i="17"/>
  <c r="FO387" i="17"/>
  <c r="FP387" i="17"/>
  <c r="FQ387" i="17"/>
  <c r="FR387" i="17"/>
  <c r="FS387" i="17"/>
  <c r="FT387" i="17"/>
  <c r="FU387" i="17"/>
  <c r="FV387" i="17"/>
  <c r="FW387" i="17"/>
  <c r="FX387" i="17"/>
  <c r="FY387" i="17"/>
  <c r="FZ387" i="17"/>
  <c r="GA387" i="17"/>
  <c r="GB387" i="17"/>
  <c r="GC387" i="17"/>
  <c r="GD387" i="17"/>
  <c r="GE387" i="17"/>
  <c r="GF387" i="17"/>
  <c r="GG387" i="17"/>
  <c r="GH387" i="17"/>
  <c r="GI387" i="17"/>
  <c r="GJ387" i="17"/>
  <c r="GK387" i="17"/>
  <c r="GL387" i="17"/>
  <c r="GM387" i="17"/>
  <c r="GN387" i="17"/>
  <c r="GO387" i="17"/>
  <c r="GP387" i="17"/>
  <c r="GQ387" i="17"/>
  <c r="GR387" i="17"/>
  <c r="GS387" i="17"/>
  <c r="GT387" i="17"/>
  <c r="GU387" i="17"/>
  <c r="GV387" i="17"/>
  <c r="GW387" i="17"/>
  <c r="GX387" i="17"/>
  <c r="GY387" i="17"/>
  <c r="GZ387" i="17"/>
  <c r="HA387" i="17"/>
  <c r="HB387" i="17"/>
  <c r="HC387" i="17"/>
  <c r="HD387" i="17"/>
  <c r="HE387" i="17"/>
  <c r="HF387" i="17"/>
  <c r="HG387" i="17"/>
  <c r="HH387" i="17"/>
  <c r="HI387" i="17"/>
  <c r="HJ387" i="17"/>
  <c r="HK387" i="17"/>
  <c r="HL387" i="17"/>
  <c r="HM387" i="17"/>
  <c r="HN387" i="17"/>
  <c r="HO387" i="17"/>
  <c r="HP387" i="17"/>
  <c r="HQ387" i="17"/>
  <c r="HR387" i="17"/>
  <c r="HS387" i="17"/>
  <c r="HT387" i="17"/>
  <c r="HU387" i="17"/>
  <c r="HV387" i="17"/>
  <c r="HW387" i="17"/>
  <c r="HX387" i="17"/>
  <c r="HY387" i="17"/>
  <c r="HZ387" i="17"/>
  <c r="IA387" i="17"/>
  <c r="IB387" i="17"/>
  <c r="IC387" i="17"/>
  <c r="ID387" i="17"/>
  <c r="IE387" i="17"/>
  <c r="IF387" i="17"/>
  <c r="IG387" i="17"/>
  <c r="IH387" i="17"/>
  <c r="II387" i="17"/>
  <c r="IJ387" i="17"/>
  <c r="IK387" i="17"/>
  <c r="IL387" i="17"/>
  <c r="IM387" i="17"/>
  <c r="IN387" i="17"/>
  <c r="IO387" i="17"/>
  <c r="IP387" i="17"/>
  <c r="IQ387" i="17"/>
  <c r="IR387" i="17"/>
  <c r="IS387" i="17"/>
  <c r="IT387" i="17"/>
  <c r="IU387" i="17"/>
  <c r="IV387" i="17"/>
  <c r="A386" i="17"/>
  <c r="B386" i="17"/>
  <c r="C386" i="17"/>
  <c r="D386" i="17"/>
  <c r="E386" i="17"/>
  <c r="F386" i="17"/>
  <c r="G386" i="17"/>
  <c r="H386" i="17"/>
  <c r="I386" i="17"/>
  <c r="J386" i="17"/>
  <c r="K386" i="17"/>
  <c r="L386" i="17"/>
  <c r="M386" i="17"/>
  <c r="N386" i="17"/>
  <c r="O386" i="17"/>
  <c r="P386" i="17"/>
  <c r="Q386" i="17"/>
  <c r="R386" i="17"/>
  <c r="S386" i="17"/>
  <c r="T386" i="17"/>
  <c r="U386" i="17"/>
  <c r="V386" i="17"/>
  <c r="W386" i="17"/>
  <c r="X386" i="17"/>
  <c r="Y386" i="17"/>
  <c r="Z386" i="17"/>
  <c r="AA386" i="17"/>
  <c r="AB386" i="17"/>
  <c r="AC386" i="17"/>
  <c r="AD386" i="17"/>
  <c r="AE386" i="17"/>
  <c r="AF386" i="17"/>
  <c r="AG386" i="17"/>
  <c r="AH386" i="17"/>
  <c r="AI386" i="17"/>
  <c r="AJ386" i="17"/>
  <c r="AK386" i="17"/>
  <c r="AL386" i="17"/>
  <c r="AM386" i="17"/>
  <c r="AN386" i="17"/>
  <c r="AO386" i="17"/>
  <c r="AP386" i="17"/>
  <c r="AQ386" i="17"/>
  <c r="AR386" i="17"/>
  <c r="AS386" i="17"/>
  <c r="AT386" i="17"/>
  <c r="AU386" i="17"/>
  <c r="AV386" i="17"/>
  <c r="AW386" i="17"/>
  <c r="AX386" i="17"/>
  <c r="AY386" i="17"/>
  <c r="AZ386" i="17"/>
  <c r="BA386" i="17"/>
  <c r="BB386" i="17"/>
  <c r="BC386" i="17"/>
  <c r="BD386" i="17"/>
  <c r="BE386" i="17"/>
  <c r="BF386" i="17"/>
  <c r="BG386" i="17"/>
  <c r="BH386" i="17"/>
  <c r="BI386" i="17"/>
  <c r="BJ386" i="17"/>
  <c r="BK386" i="17"/>
  <c r="BL386" i="17"/>
  <c r="BM386" i="17"/>
  <c r="BN386" i="17"/>
  <c r="BO386" i="17"/>
  <c r="BP386" i="17"/>
  <c r="BQ386" i="17"/>
  <c r="BR386" i="17"/>
  <c r="BS386" i="17"/>
  <c r="BT386" i="17"/>
  <c r="BU386" i="17"/>
  <c r="BV386" i="17"/>
  <c r="BW386" i="17"/>
  <c r="BX386" i="17"/>
  <c r="BY386" i="17"/>
  <c r="BZ386" i="17"/>
  <c r="CA386" i="17"/>
  <c r="CB386" i="17"/>
  <c r="CC386" i="17"/>
  <c r="CD386" i="17"/>
  <c r="CE386" i="17"/>
  <c r="CF386" i="17"/>
  <c r="CG386" i="17"/>
  <c r="CH386" i="17"/>
  <c r="CI386" i="17"/>
  <c r="CJ386" i="17"/>
  <c r="CK386" i="17"/>
  <c r="CL386" i="17"/>
  <c r="CM386" i="17"/>
  <c r="CN386" i="17"/>
  <c r="CO386" i="17"/>
  <c r="CP386" i="17"/>
  <c r="CQ386" i="17"/>
  <c r="CR386" i="17"/>
  <c r="CS386" i="17"/>
  <c r="CT386" i="17"/>
  <c r="CU386" i="17"/>
  <c r="CV386" i="17"/>
  <c r="CW386" i="17"/>
  <c r="CX386" i="17"/>
  <c r="CY386" i="17"/>
  <c r="CZ386" i="17"/>
  <c r="DA386" i="17"/>
  <c r="DB386" i="17"/>
  <c r="DC386" i="17"/>
  <c r="DD386" i="17"/>
  <c r="DE386" i="17"/>
  <c r="DF386" i="17"/>
  <c r="DG386" i="17"/>
  <c r="DH386" i="17"/>
  <c r="DI386" i="17"/>
  <c r="DJ386" i="17"/>
  <c r="DK386" i="17"/>
  <c r="DL386" i="17"/>
  <c r="DM386" i="17"/>
  <c r="DN386" i="17"/>
  <c r="DO386" i="17"/>
  <c r="DP386" i="17"/>
  <c r="DQ386" i="17"/>
  <c r="DR386" i="17"/>
  <c r="DS386" i="17"/>
  <c r="DT386" i="17"/>
  <c r="DU386" i="17"/>
  <c r="DV386" i="17"/>
  <c r="DW386" i="17"/>
  <c r="DX386" i="17"/>
  <c r="DY386" i="17"/>
  <c r="DZ386" i="17"/>
  <c r="EA386" i="17"/>
  <c r="EB386" i="17"/>
  <c r="EC386" i="17"/>
  <c r="ED386" i="17"/>
  <c r="EE386" i="17"/>
  <c r="EF386" i="17"/>
  <c r="EG386" i="17"/>
  <c r="EH386" i="17"/>
  <c r="EI386" i="17"/>
  <c r="EJ386" i="17"/>
  <c r="EK386" i="17"/>
  <c r="EL386" i="17"/>
  <c r="EM386" i="17"/>
  <c r="EN386" i="17"/>
  <c r="EO386" i="17"/>
  <c r="EP386" i="17"/>
  <c r="EQ386" i="17"/>
  <c r="ER386" i="17"/>
  <c r="ES386" i="17"/>
  <c r="ET386" i="17"/>
  <c r="EU386" i="17"/>
  <c r="EV386" i="17"/>
  <c r="EW386" i="17"/>
  <c r="EX386" i="17"/>
  <c r="EY386" i="17"/>
  <c r="EZ386" i="17"/>
  <c r="FA386" i="17"/>
  <c r="FB386" i="17"/>
  <c r="FC386" i="17"/>
  <c r="FD386" i="17"/>
  <c r="FE386" i="17"/>
  <c r="FF386" i="17"/>
  <c r="FG386" i="17"/>
  <c r="FH386" i="17"/>
  <c r="FI386" i="17"/>
  <c r="FJ386" i="17"/>
  <c r="FK386" i="17"/>
  <c r="FL386" i="17"/>
  <c r="FM386" i="17"/>
  <c r="FN386" i="17"/>
  <c r="FO386" i="17"/>
  <c r="FP386" i="17"/>
  <c r="FQ386" i="17"/>
  <c r="FR386" i="17"/>
  <c r="FS386" i="17"/>
  <c r="FT386" i="17"/>
  <c r="FU386" i="17"/>
  <c r="FV386" i="17"/>
  <c r="FW386" i="17"/>
  <c r="FX386" i="17"/>
  <c r="FY386" i="17"/>
  <c r="FZ386" i="17"/>
  <c r="GA386" i="17"/>
  <c r="GB386" i="17"/>
  <c r="GC386" i="17"/>
  <c r="GD386" i="17"/>
  <c r="GE386" i="17"/>
  <c r="GF386" i="17"/>
  <c r="GG386" i="17"/>
  <c r="GH386" i="17"/>
  <c r="GI386" i="17"/>
  <c r="GJ386" i="17"/>
  <c r="GK386" i="17"/>
  <c r="GL386" i="17"/>
  <c r="GM386" i="17"/>
  <c r="GN386" i="17"/>
  <c r="GO386" i="17"/>
  <c r="GP386" i="17"/>
  <c r="GQ386" i="17"/>
  <c r="GR386" i="17"/>
  <c r="GS386" i="17"/>
  <c r="GT386" i="17"/>
  <c r="GU386" i="17"/>
  <c r="GV386" i="17"/>
  <c r="GW386" i="17"/>
  <c r="GX386" i="17"/>
  <c r="GY386" i="17"/>
  <c r="GZ386" i="17"/>
  <c r="HA386" i="17"/>
  <c r="HB386" i="17"/>
  <c r="HC386" i="17"/>
  <c r="HD386" i="17"/>
  <c r="HE386" i="17"/>
  <c r="HF386" i="17"/>
  <c r="HG386" i="17"/>
  <c r="HH386" i="17"/>
  <c r="HI386" i="17"/>
  <c r="HJ386" i="17"/>
  <c r="HK386" i="17"/>
  <c r="HL386" i="17"/>
  <c r="HM386" i="17"/>
  <c r="HN386" i="17"/>
  <c r="HO386" i="17"/>
  <c r="HP386" i="17"/>
  <c r="HQ386" i="17"/>
  <c r="HR386" i="17"/>
  <c r="HS386" i="17"/>
  <c r="HT386" i="17"/>
  <c r="HU386" i="17"/>
  <c r="HV386" i="17"/>
  <c r="HW386" i="17"/>
  <c r="HX386" i="17"/>
  <c r="HY386" i="17"/>
  <c r="HZ386" i="17"/>
  <c r="IA386" i="17"/>
  <c r="IB386" i="17"/>
  <c r="IC386" i="17"/>
  <c r="ID386" i="17"/>
  <c r="IE386" i="17"/>
  <c r="IF386" i="17"/>
  <c r="IG386" i="17"/>
  <c r="IH386" i="17"/>
  <c r="II386" i="17"/>
  <c r="IJ386" i="17"/>
  <c r="IK386" i="17"/>
  <c r="IL386" i="17"/>
  <c r="IM386" i="17"/>
  <c r="IN386" i="17"/>
  <c r="IO386" i="17"/>
  <c r="IP386" i="17"/>
  <c r="IQ386" i="17"/>
  <c r="IR386" i="17"/>
  <c r="IS386" i="17"/>
  <c r="IT386" i="17"/>
  <c r="IU386" i="17"/>
  <c r="IV386" i="17"/>
  <c r="A385" i="17"/>
  <c r="B385" i="17"/>
  <c r="C385" i="17"/>
  <c r="D385" i="17"/>
  <c r="E385" i="17"/>
  <c r="F385" i="17"/>
  <c r="G385" i="17"/>
  <c r="H385" i="17"/>
  <c r="I385" i="17"/>
  <c r="J385" i="17"/>
  <c r="K385" i="17"/>
  <c r="L385" i="17"/>
  <c r="M385" i="17"/>
  <c r="N385" i="17"/>
  <c r="O385" i="17"/>
  <c r="P385" i="17"/>
  <c r="Q385" i="17"/>
  <c r="R385" i="17"/>
  <c r="S385" i="17"/>
  <c r="T385" i="17"/>
  <c r="U385" i="17"/>
  <c r="V385" i="17"/>
  <c r="W385" i="17"/>
  <c r="X385" i="17"/>
  <c r="Y385" i="17"/>
  <c r="Z385" i="17"/>
  <c r="AA385" i="17"/>
  <c r="AB385" i="17"/>
  <c r="AC385" i="17"/>
  <c r="AD385" i="17"/>
  <c r="AE385" i="17"/>
  <c r="AF385" i="17"/>
  <c r="AG385" i="17"/>
  <c r="AH385" i="17"/>
  <c r="AI385" i="17"/>
  <c r="AJ385" i="17"/>
  <c r="AK385" i="17"/>
  <c r="AL385" i="17"/>
  <c r="AM385" i="17"/>
  <c r="AN385" i="17"/>
  <c r="AO385" i="17"/>
  <c r="AP385" i="17"/>
  <c r="AQ385" i="17"/>
  <c r="AR385" i="17"/>
  <c r="AS385" i="17"/>
  <c r="AT385" i="17"/>
  <c r="AU385" i="17"/>
  <c r="AV385" i="17"/>
  <c r="AW385" i="17"/>
  <c r="AX385" i="17"/>
  <c r="AY385" i="17"/>
  <c r="AZ385" i="17"/>
  <c r="BA385" i="17"/>
  <c r="BB385" i="17"/>
  <c r="BC385" i="17"/>
  <c r="BD385" i="17"/>
  <c r="BE385" i="17"/>
  <c r="BF385" i="17"/>
  <c r="BG385" i="17"/>
  <c r="BH385" i="17"/>
  <c r="BI385" i="17"/>
  <c r="BJ385" i="17"/>
  <c r="BK385" i="17"/>
  <c r="BL385" i="17"/>
  <c r="BM385" i="17"/>
  <c r="BN385" i="17"/>
  <c r="BO385" i="17"/>
  <c r="BP385" i="17"/>
  <c r="BQ385" i="17"/>
  <c r="BR385" i="17"/>
  <c r="BS385" i="17"/>
  <c r="BT385" i="17"/>
  <c r="BU385" i="17"/>
  <c r="BV385" i="17"/>
  <c r="BW385" i="17"/>
  <c r="BX385" i="17"/>
  <c r="BY385" i="17"/>
  <c r="BZ385" i="17"/>
  <c r="CA385" i="17"/>
  <c r="CB385" i="17"/>
  <c r="CC385" i="17"/>
  <c r="CD385" i="17"/>
  <c r="CE385" i="17"/>
  <c r="CF385" i="17"/>
  <c r="CG385" i="17"/>
  <c r="CH385" i="17"/>
  <c r="CI385" i="17"/>
  <c r="CJ385" i="17"/>
  <c r="CK385" i="17"/>
  <c r="CL385" i="17"/>
  <c r="CM385" i="17"/>
  <c r="CN385" i="17"/>
  <c r="CO385" i="17"/>
  <c r="CP385" i="17"/>
  <c r="CQ385" i="17"/>
  <c r="CR385" i="17"/>
  <c r="CS385" i="17"/>
  <c r="CT385" i="17"/>
  <c r="CU385" i="17"/>
  <c r="CV385" i="17"/>
  <c r="CW385" i="17"/>
  <c r="CX385" i="17"/>
  <c r="CY385" i="17"/>
  <c r="CZ385" i="17"/>
  <c r="DA385" i="17"/>
  <c r="DB385" i="17"/>
  <c r="DC385" i="17"/>
  <c r="DD385" i="17"/>
  <c r="DE385" i="17"/>
  <c r="DF385" i="17"/>
  <c r="DG385" i="17"/>
  <c r="DH385" i="17"/>
  <c r="DI385" i="17"/>
  <c r="DJ385" i="17"/>
  <c r="DK385" i="17"/>
  <c r="DL385" i="17"/>
  <c r="DM385" i="17"/>
  <c r="DN385" i="17"/>
  <c r="DO385" i="17"/>
  <c r="DP385" i="17"/>
  <c r="DQ385" i="17"/>
  <c r="DR385" i="17"/>
  <c r="DS385" i="17"/>
  <c r="DT385" i="17"/>
  <c r="DU385" i="17"/>
  <c r="DV385" i="17"/>
  <c r="DW385" i="17"/>
  <c r="DX385" i="17"/>
  <c r="DY385" i="17"/>
  <c r="DZ385" i="17"/>
  <c r="EA385" i="17"/>
  <c r="EB385" i="17"/>
  <c r="EC385" i="17"/>
  <c r="ED385" i="17"/>
  <c r="EE385" i="17"/>
  <c r="EF385" i="17"/>
  <c r="EG385" i="17"/>
  <c r="EH385" i="17"/>
  <c r="EI385" i="17"/>
  <c r="EJ385" i="17"/>
  <c r="EK385" i="17"/>
  <c r="EL385" i="17"/>
  <c r="EM385" i="17"/>
  <c r="EN385" i="17"/>
  <c r="EO385" i="17"/>
  <c r="EP385" i="17"/>
  <c r="EQ385" i="17"/>
  <c r="ER385" i="17"/>
  <c r="ES385" i="17"/>
  <c r="ET385" i="17"/>
  <c r="EU385" i="17"/>
  <c r="EV385" i="17"/>
  <c r="EW385" i="17"/>
  <c r="EX385" i="17"/>
  <c r="EY385" i="17"/>
  <c r="EZ385" i="17"/>
  <c r="FA385" i="17"/>
  <c r="FB385" i="17"/>
  <c r="FC385" i="17"/>
  <c r="FD385" i="17"/>
  <c r="FE385" i="17"/>
  <c r="FF385" i="17"/>
  <c r="FG385" i="17"/>
  <c r="FH385" i="17"/>
  <c r="FI385" i="17"/>
  <c r="FJ385" i="17"/>
  <c r="FK385" i="17"/>
  <c r="FL385" i="17"/>
  <c r="FM385" i="17"/>
  <c r="FN385" i="17"/>
  <c r="FO385" i="17"/>
  <c r="FP385" i="17"/>
  <c r="FQ385" i="17"/>
  <c r="FR385" i="17"/>
  <c r="FS385" i="17"/>
  <c r="FT385" i="17"/>
  <c r="FU385" i="17"/>
  <c r="FV385" i="17"/>
  <c r="FW385" i="17"/>
  <c r="FX385" i="17"/>
  <c r="FY385" i="17"/>
  <c r="FZ385" i="17"/>
  <c r="GA385" i="17"/>
  <c r="GB385" i="17"/>
  <c r="GC385" i="17"/>
  <c r="GD385" i="17"/>
  <c r="GE385" i="17"/>
  <c r="GF385" i="17"/>
  <c r="GG385" i="17"/>
  <c r="GH385" i="17"/>
  <c r="GI385" i="17"/>
  <c r="GJ385" i="17"/>
  <c r="GK385" i="17"/>
  <c r="GL385" i="17"/>
  <c r="GM385" i="17"/>
  <c r="GN385" i="17"/>
  <c r="GO385" i="17"/>
  <c r="GP385" i="17"/>
  <c r="GQ385" i="17"/>
  <c r="GR385" i="17"/>
  <c r="GS385" i="17"/>
  <c r="GT385" i="17"/>
  <c r="GU385" i="17"/>
  <c r="GV385" i="17"/>
  <c r="GW385" i="17"/>
  <c r="GX385" i="17"/>
  <c r="GY385" i="17"/>
  <c r="GZ385" i="17"/>
  <c r="HA385" i="17"/>
  <c r="HB385" i="17"/>
  <c r="HC385" i="17"/>
  <c r="HD385" i="17"/>
  <c r="HE385" i="17"/>
  <c r="HF385" i="17"/>
  <c r="HG385" i="17"/>
  <c r="HH385" i="17"/>
  <c r="HI385" i="17"/>
  <c r="HJ385" i="17"/>
  <c r="HK385" i="17"/>
  <c r="HL385" i="17"/>
  <c r="HM385" i="17"/>
  <c r="HN385" i="17"/>
  <c r="HO385" i="17"/>
  <c r="HP385" i="17"/>
  <c r="HQ385" i="17"/>
  <c r="HR385" i="17"/>
  <c r="HS385" i="17"/>
  <c r="HT385" i="17"/>
  <c r="HU385" i="17"/>
  <c r="HV385" i="17"/>
  <c r="HW385" i="17"/>
  <c r="HX385" i="17"/>
  <c r="HY385" i="17"/>
  <c r="HZ385" i="17"/>
  <c r="IA385" i="17"/>
  <c r="IB385" i="17"/>
  <c r="IC385" i="17"/>
  <c r="ID385" i="17"/>
  <c r="IE385" i="17"/>
  <c r="IF385" i="17"/>
  <c r="IG385" i="17"/>
  <c r="IH385" i="17"/>
  <c r="II385" i="17"/>
  <c r="IJ385" i="17"/>
  <c r="IK385" i="17"/>
  <c r="IL385" i="17"/>
  <c r="IM385" i="17"/>
  <c r="IN385" i="17"/>
  <c r="IO385" i="17"/>
  <c r="IP385" i="17"/>
  <c r="IQ385" i="17"/>
  <c r="IR385" i="17"/>
  <c r="IS385" i="17"/>
  <c r="IT385" i="17"/>
  <c r="IU385" i="17"/>
  <c r="IV385" i="17"/>
  <c r="A384" i="17"/>
  <c r="B384" i="17"/>
  <c r="C384" i="17"/>
  <c r="D384" i="17"/>
  <c r="E384" i="17"/>
  <c r="F384" i="17"/>
  <c r="G384" i="17"/>
  <c r="H384" i="17"/>
  <c r="I384" i="17"/>
  <c r="J384" i="17"/>
  <c r="K384" i="17"/>
  <c r="L384" i="17"/>
  <c r="M384" i="17"/>
  <c r="N384" i="17"/>
  <c r="O384" i="17"/>
  <c r="P384" i="17"/>
  <c r="Q384" i="17"/>
  <c r="R384" i="17"/>
  <c r="S384" i="17"/>
  <c r="T384" i="17"/>
  <c r="U384" i="17"/>
  <c r="V384" i="17"/>
  <c r="W384" i="17"/>
  <c r="X384" i="17"/>
  <c r="Y384" i="17"/>
  <c r="Z384" i="17"/>
  <c r="AA384" i="17"/>
  <c r="AB384" i="17"/>
  <c r="AC384" i="17"/>
  <c r="AD384" i="17"/>
  <c r="AE384" i="17"/>
  <c r="AF384" i="17"/>
  <c r="AG384" i="17"/>
  <c r="AH384" i="17"/>
  <c r="AI384" i="17"/>
  <c r="AJ384" i="17"/>
  <c r="AK384" i="17"/>
  <c r="AL384" i="17"/>
  <c r="AM384" i="17"/>
  <c r="AN384" i="17"/>
  <c r="AO384" i="17"/>
  <c r="AP384" i="17"/>
  <c r="AQ384" i="17"/>
  <c r="AR384" i="17"/>
  <c r="AS384" i="17"/>
  <c r="AT384" i="17"/>
  <c r="AU384" i="17"/>
  <c r="AV384" i="17"/>
  <c r="AW384" i="17"/>
  <c r="AX384" i="17"/>
  <c r="AY384" i="17"/>
  <c r="AZ384" i="17"/>
  <c r="BA384" i="17"/>
  <c r="BB384" i="17"/>
  <c r="BC384" i="17"/>
  <c r="BD384" i="17"/>
  <c r="BE384" i="17"/>
  <c r="BF384" i="17"/>
  <c r="BG384" i="17"/>
  <c r="BH384" i="17"/>
  <c r="BI384" i="17"/>
  <c r="BJ384" i="17"/>
  <c r="BK384" i="17"/>
  <c r="BL384" i="17"/>
  <c r="BM384" i="17"/>
  <c r="BN384" i="17"/>
  <c r="BO384" i="17"/>
  <c r="BP384" i="17"/>
  <c r="BQ384" i="17"/>
  <c r="BR384" i="17"/>
  <c r="BS384" i="17"/>
  <c r="BT384" i="17"/>
  <c r="BU384" i="17"/>
  <c r="BV384" i="17"/>
  <c r="BW384" i="17"/>
  <c r="BX384" i="17"/>
  <c r="BY384" i="17"/>
  <c r="BZ384" i="17"/>
  <c r="CA384" i="17"/>
  <c r="CB384" i="17"/>
  <c r="CC384" i="17"/>
  <c r="CD384" i="17"/>
  <c r="CE384" i="17"/>
  <c r="CF384" i="17"/>
  <c r="CG384" i="17"/>
  <c r="CH384" i="17"/>
  <c r="CI384" i="17"/>
  <c r="CJ384" i="17"/>
  <c r="CK384" i="17"/>
  <c r="CL384" i="17"/>
  <c r="CM384" i="17"/>
  <c r="CN384" i="17"/>
  <c r="CO384" i="17"/>
  <c r="CP384" i="17"/>
  <c r="CQ384" i="17"/>
  <c r="CR384" i="17"/>
  <c r="CS384" i="17"/>
  <c r="CT384" i="17"/>
  <c r="CU384" i="17"/>
  <c r="CV384" i="17"/>
  <c r="CW384" i="17"/>
  <c r="CX384" i="17"/>
  <c r="CY384" i="17"/>
  <c r="CZ384" i="17"/>
  <c r="DA384" i="17"/>
  <c r="DB384" i="17"/>
  <c r="DC384" i="17"/>
  <c r="DD384" i="17"/>
  <c r="DE384" i="17"/>
  <c r="DF384" i="17"/>
  <c r="DG384" i="17"/>
  <c r="DH384" i="17"/>
  <c r="DI384" i="17"/>
  <c r="DJ384" i="17"/>
  <c r="DK384" i="17"/>
  <c r="DL384" i="17"/>
  <c r="DM384" i="17"/>
  <c r="DN384" i="17"/>
  <c r="DO384" i="17"/>
  <c r="DP384" i="17"/>
  <c r="DQ384" i="17"/>
  <c r="DR384" i="17"/>
  <c r="DS384" i="17"/>
  <c r="DT384" i="17"/>
  <c r="DU384" i="17"/>
  <c r="DV384" i="17"/>
  <c r="DW384" i="17"/>
  <c r="DX384" i="17"/>
  <c r="DY384" i="17"/>
  <c r="DZ384" i="17"/>
  <c r="EA384" i="17"/>
  <c r="EB384" i="17"/>
  <c r="EC384" i="17"/>
  <c r="ED384" i="17"/>
  <c r="EE384" i="17"/>
  <c r="EF384" i="17"/>
  <c r="EG384" i="17"/>
  <c r="EH384" i="17"/>
  <c r="EI384" i="17"/>
  <c r="EJ384" i="17"/>
  <c r="EK384" i="17"/>
  <c r="EL384" i="17"/>
  <c r="EM384" i="17"/>
  <c r="EN384" i="17"/>
  <c r="EO384" i="17"/>
  <c r="EP384" i="17"/>
  <c r="EQ384" i="17"/>
  <c r="ER384" i="17"/>
  <c r="ES384" i="17"/>
  <c r="ET384" i="17"/>
  <c r="EU384" i="17"/>
  <c r="EV384" i="17"/>
  <c r="EW384" i="17"/>
  <c r="EX384" i="17"/>
  <c r="EY384" i="17"/>
  <c r="EZ384" i="17"/>
  <c r="FA384" i="17"/>
  <c r="FB384" i="17"/>
  <c r="FC384" i="17"/>
  <c r="FD384" i="17"/>
  <c r="FE384" i="17"/>
  <c r="FF384" i="17"/>
  <c r="FG384" i="17"/>
  <c r="FH384" i="17"/>
  <c r="FI384" i="17"/>
  <c r="FJ384" i="17"/>
  <c r="FK384" i="17"/>
  <c r="FL384" i="17"/>
  <c r="FM384" i="17"/>
  <c r="FN384" i="17"/>
  <c r="FO384" i="17"/>
  <c r="FP384" i="17"/>
  <c r="FQ384" i="17"/>
  <c r="FR384" i="17"/>
  <c r="FS384" i="17"/>
  <c r="FT384" i="17"/>
  <c r="FU384" i="17"/>
  <c r="FV384" i="17"/>
  <c r="FW384" i="17"/>
  <c r="FX384" i="17"/>
  <c r="FY384" i="17"/>
  <c r="FZ384" i="17"/>
  <c r="GA384" i="17"/>
  <c r="GB384" i="17"/>
  <c r="GC384" i="17"/>
  <c r="GD384" i="17"/>
  <c r="GE384" i="17"/>
  <c r="GF384" i="17"/>
  <c r="GG384" i="17"/>
  <c r="GH384" i="17"/>
  <c r="GI384" i="17"/>
  <c r="GJ384" i="17"/>
  <c r="GK384" i="17"/>
  <c r="GL384" i="17"/>
  <c r="GM384" i="17"/>
  <c r="GN384" i="17"/>
  <c r="GO384" i="17"/>
  <c r="GP384" i="17"/>
  <c r="GQ384" i="17"/>
  <c r="GR384" i="17"/>
  <c r="GS384" i="17"/>
  <c r="GT384" i="17"/>
  <c r="GU384" i="17"/>
  <c r="GV384" i="17"/>
  <c r="GW384" i="17"/>
  <c r="GX384" i="17"/>
  <c r="GY384" i="17"/>
  <c r="GZ384" i="17"/>
  <c r="HA384" i="17"/>
  <c r="HB384" i="17"/>
  <c r="HC384" i="17"/>
  <c r="HD384" i="17"/>
  <c r="HE384" i="17"/>
  <c r="HF384" i="17"/>
  <c r="HG384" i="17"/>
  <c r="HH384" i="17"/>
  <c r="HI384" i="17"/>
  <c r="HJ384" i="17"/>
  <c r="HK384" i="17"/>
  <c r="HL384" i="17"/>
  <c r="HM384" i="17"/>
  <c r="HN384" i="17"/>
  <c r="HO384" i="17"/>
  <c r="HP384" i="17"/>
  <c r="HQ384" i="17"/>
  <c r="HR384" i="17"/>
  <c r="HS384" i="17"/>
  <c r="HT384" i="17"/>
  <c r="HU384" i="17"/>
  <c r="HV384" i="17"/>
  <c r="HW384" i="17"/>
  <c r="HX384" i="17"/>
  <c r="HY384" i="17"/>
  <c r="HZ384" i="17"/>
  <c r="IA384" i="17"/>
  <c r="IB384" i="17"/>
  <c r="IC384" i="17"/>
  <c r="ID384" i="17"/>
  <c r="IE384" i="17"/>
  <c r="IF384" i="17"/>
  <c r="IG384" i="17"/>
  <c r="IH384" i="17"/>
  <c r="II384" i="17"/>
  <c r="IJ384" i="17"/>
  <c r="IK384" i="17"/>
  <c r="IL384" i="17"/>
  <c r="IM384" i="17"/>
  <c r="IN384" i="17"/>
  <c r="IO384" i="17"/>
  <c r="IP384" i="17"/>
  <c r="IQ384" i="17"/>
  <c r="IR384" i="17"/>
  <c r="IS384" i="17"/>
  <c r="IT384" i="17"/>
  <c r="IU384" i="17"/>
  <c r="IV384" i="17"/>
  <c r="A383" i="17"/>
  <c r="B383" i="17"/>
  <c r="C383" i="17"/>
  <c r="D383" i="17"/>
  <c r="E383" i="17"/>
  <c r="F383" i="17"/>
  <c r="G383" i="17"/>
  <c r="H383" i="17"/>
  <c r="I383" i="17"/>
  <c r="J383" i="17"/>
  <c r="K383" i="17"/>
  <c r="L383" i="17"/>
  <c r="M383" i="17"/>
  <c r="N383" i="17"/>
  <c r="O383" i="17"/>
  <c r="P383" i="17"/>
  <c r="Q383" i="17"/>
  <c r="R383" i="17"/>
  <c r="S383" i="17"/>
  <c r="T383" i="17"/>
  <c r="U383" i="17"/>
  <c r="V383" i="17"/>
  <c r="W383" i="17"/>
  <c r="X383" i="17"/>
  <c r="Y383" i="17"/>
  <c r="Z383" i="17"/>
  <c r="AA383" i="17"/>
  <c r="AB383" i="17"/>
  <c r="AC383" i="17"/>
  <c r="AD383" i="17"/>
  <c r="AE383" i="17"/>
  <c r="AF383" i="17"/>
  <c r="AG383" i="17"/>
  <c r="AH383" i="17"/>
  <c r="AI383" i="17"/>
  <c r="AJ383" i="17"/>
  <c r="AK383" i="17"/>
  <c r="AL383" i="17"/>
  <c r="AM383" i="17"/>
  <c r="AN383" i="17"/>
  <c r="AO383" i="17"/>
  <c r="AP383" i="17"/>
  <c r="AQ383" i="17"/>
  <c r="AR383" i="17"/>
  <c r="AS383" i="17"/>
  <c r="AT383" i="17"/>
  <c r="AU383" i="17"/>
  <c r="AV383" i="17"/>
  <c r="AW383" i="17"/>
  <c r="AX383" i="17"/>
  <c r="AY383" i="17"/>
  <c r="AZ383" i="17"/>
  <c r="BA383" i="17"/>
  <c r="BB383" i="17"/>
  <c r="BC383" i="17"/>
  <c r="BD383" i="17"/>
  <c r="BE383" i="17"/>
  <c r="BF383" i="17"/>
  <c r="BG383" i="17"/>
  <c r="BH383" i="17"/>
  <c r="BI383" i="17"/>
  <c r="BJ383" i="17"/>
  <c r="BK383" i="17"/>
  <c r="BL383" i="17"/>
  <c r="BM383" i="17"/>
  <c r="BN383" i="17"/>
  <c r="BO383" i="17"/>
  <c r="BP383" i="17"/>
  <c r="BQ383" i="17"/>
  <c r="BR383" i="17"/>
  <c r="BS383" i="17"/>
  <c r="BT383" i="17"/>
  <c r="BU383" i="17"/>
  <c r="BV383" i="17"/>
  <c r="BW383" i="17"/>
  <c r="BX383" i="17"/>
  <c r="BY383" i="17"/>
  <c r="BZ383" i="17"/>
  <c r="CA383" i="17"/>
  <c r="CB383" i="17"/>
  <c r="CC383" i="17"/>
  <c r="CD383" i="17"/>
  <c r="CE383" i="17"/>
  <c r="CF383" i="17"/>
  <c r="CG383" i="17"/>
  <c r="CH383" i="17"/>
  <c r="CI383" i="17"/>
  <c r="CJ383" i="17"/>
  <c r="CK383" i="17"/>
  <c r="CL383" i="17"/>
  <c r="CM383" i="17"/>
  <c r="CN383" i="17"/>
  <c r="CO383" i="17"/>
  <c r="CP383" i="17"/>
  <c r="CQ383" i="17"/>
  <c r="CR383" i="17"/>
  <c r="CS383" i="17"/>
  <c r="CT383" i="17"/>
  <c r="CU383" i="17"/>
  <c r="CV383" i="17"/>
  <c r="CW383" i="17"/>
  <c r="CX383" i="17"/>
  <c r="CY383" i="17"/>
  <c r="CZ383" i="17"/>
  <c r="DA383" i="17"/>
  <c r="DB383" i="17"/>
  <c r="DC383" i="17"/>
  <c r="DD383" i="17"/>
  <c r="DE383" i="17"/>
  <c r="DF383" i="17"/>
  <c r="DG383" i="17"/>
  <c r="DH383" i="17"/>
  <c r="DI383" i="17"/>
  <c r="DJ383" i="17"/>
  <c r="DK383" i="17"/>
  <c r="DL383" i="17"/>
  <c r="DM383" i="17"/>
  <c r="DN383" i="17"/>
  <c r="DO383" i="17"/>
  <c r="DP383" i="17"/>
  <c r="DQ383" i="17"/>
  <c r="DR383" i="17"/>
  <c r="DS383" i="17"/>
  <c r="DT383" i="17"/>
  <c r="DU383" i="17"/>
  <c r="DV383" i="17"/>
  <c r="DW383" i="17"/>
  <c r="DX383" i="17"/>
  <c r="DY383" i="17"/>
  <c r="DZ383" i="17"/>
  <c r="EA383" i="17"/>
  <c r="EB383" i="17"/>
  <c r="EC383" i="17"/>
  <c r="ED383" i="17"/>
  <c r="EE383" i="17"/>
  <c r="EF383" i="17"/>
  <c r="EG383" i="17"/>
  <c r="EH383" i="17"/>
  <c r="EI383" i="17"/>
  <c r="EJ383" i="17"/>
  <c r="EK383" i="17"/>
  <c r="EL383" i="17"/>
  <c r="EM383" i="17"/>
  <c r="EN383" i="17"/>
  <c r="EO383" i="17"/>
  <c r="EP383" i="17"/>
  <c r="EQ383" i="17"/>
  <c r="ER383" i="17"/>
  <c r="ES383" i="17"/>
  <c r="ET383" i="17"/>
  <c r="EU383" i="17"/>
  <c r="EV383" i="17"/>
  <c r="EW383" i="17"/>
  <c r="EX383" i="17"/>
  <c r="EY383" i="17"/>
  <c r="EZ383" i="17"/>
  <c r="FA383" i="17"/>
  <c r="FB383" i="17"/>
  <c r="FC383" i="17"/>
  <c r="FD383" i="17"/>
  <c r="FE383" i="17"/>
  <c r="FF383" i="17"/>
  <c r="FG383" i="17"/>
  <c r="FH383" i="17"/>
  <c r="FI383" i="17"/>
  <c r="FJ383" i="17"/>
  <c r="FK383" i="17"/>
  <c r="FL383" i="17"/>
  <c r="FM383" i="17"/>
  <c r="FN383" i="17"/>
  <c r="FO383" i="17"/>
  <c r="FP383" i="17"/>
  <c r="FQ383" i="17"/>
  <c r="FR383" i="17"/>
  <c r="FS383" i="17"/>
  <c r="FT383" i="17"/>
  <c r="FU383" i="17"/>
  <c r="FV383" i="17"/>
  <c r="FW383" i="17"/>
  <c r="FX383" i="17"/>
  <c r="FY383" i="17"/>
  <c r="FZ383" i="17"/>
  <c r="GA383" i="17"/>
  <c r="GB383" i="17"/>
  <c r="GC383" i="17"/>
  <c r="GD383" i="17"/>
  <c r="GE383" i="17"/>
  <c r="GF383" i="17"/>
  <c r="GG383" i="17"/>
  <c r="GH383" i="17"/>
  <c r="GI383" i="17"/>
  <c r="GJ383" i="17"/>
  <c r="GK383" i="17"/>
  <c r="GL383" i="17"/>
  <c r="GM383" i="17"/>
  <c r="GN383" i="17"/>
  <c r="GO383" i="17"/>
  <c r="GP383" i="17"/>
  <c r="GQ383" i="17"/>
  <c r="GR383" i="17"/>
  <c r="GS383" i="17"/>
  <c r="GT383" i="17"/>
  <c r="GU383" i="17"/>
  <c r="GV383" i="17"/>
  <c r="GW383" i="17"/>
  <c r="GX383" i="17"/>
  <c r="GY383" i="17"/>
  <c r="GZ383" i="17"/>
  <c r="HA383" i="17"/>
  <c r="HB383" i="17"/>
  <c r="HC383" i="17"/>
  <c r="HD383" i="17"/>
  <c r="HE383" i="17"/>
  <c r="HF383" i="17"/>
  <c r="HG383" i="17"/>
  <c r="HH383" i="17"/>
  <c r="HI383" i="17"/>
  <c r="HJ383" i="17"/>
  <c r="HK383" i="17"/>
  <c r="HL383" i="17"/>
  <c r="HM383" i="17"/>
  <c r="HN383" i="17"/>
  <c r="HO383" i="17"/>
  <c r="HP383" i="17"/>
  <c r="HQ383" i="17"/>
  <c r="HR383" i="17"/>
  <c r="HS383" i="17"/>
  <c r="HT383" i="17"/>
  <c r="HU383" i="17"/>
  <c r="HV383" i="17"/>
  <c r="HW383" i="17"/>
  <c r="HX383" i="17"/>
  <c r="HY383" i="17"/>
  <c r="HZ383" i="17"/>
  <c r="IA383" i="17"/>
  <c r="IB383" i="17"/>
  <c r="IC383" i="17"/>
  <c r="ID383" i="17"/>
  <c r="IE383" i="17"/>
  <c r="IF383" i="17"/>
  <c r="IG383" i="17"/>
  <c r="IH383" i="17"/>
  <c r="II383" i="17"/>
  <c r="IJ383" i="17"/>
  <c r="IK383" i="17"/>
  <c r="IL383" i="17"/>
  <c r="IM383" i="17"/>
  <c r="IN383" i="17"/>
  <c r="IO383" i="17"/>
  <c r="IP383" i="17"/>
  <c r="IQ383" i="17"/>
  <c r="IR383" i="17"/>
  <c r="IS383" i="17"/>
  <c r="IT383" i="17"/>
  <c r="IU383" i="17"/>
  <c r="IV383" i="17"/>
  <c r="A382" i="17"/>
  <c r="B382" i="17"/>
  <c r="C382" i="17"/>
  <c r="D382" i="17"/>
  <c r="E382" i="17"/>
  <c r="F382" i="17"/>
  <c r="G382" i="17"/>
  <c r="H382" i="17"/>
  <c r="I382" i="17"/>
  <c r="J382" i="17"/>
  <c r="K382" i="17"/>
  <c r="L382" i="17"/>
  <c r="M382" i="17"/>
  <c r="N382" i="17"/>
  <c r="O382" i="17"/>
  <c r="P382" i="17"/>
  <c r="Q382" i="17"/>
  <c r="R382" i="17"/>
  <c r="S382" i="17"/>
  <c r="T382" i="17"/>
  <c r="U382" i="17"/>
  <c r="V382" i="17"/>
  <c r="W382" i="17"/>
  <c r="X382" i="17"/>
  <c r="Y382" i="17"/>
  <c r="Z382" i="17"/>
  <c r="AA382" i="17"/>
  <c r="AB382" i="17"/>
  <c r="AC382" i="17"/>
  <c r="AD382" i="17"/>
  <c r="AE382" i="17"/>
  <c r="AF382" i="17"/>
  <c r="AG382" i="17"/>
  <c r="AH382" i="17"/>
  <c r="AI382" i="17"/>
  <c r="AJ382" i="17"/>
  <c r="AK382" i="17"/>
  <c r="AL382" i="17"/>
  <c r="AM382" i="17"/>
  <c r="AN382" i="17"/>
  <c r="AO382" i="17"/>
  <c r="AP382" i="17"/>
  <c r="AQ382" i="17"/>
  <c r="AR382" i="17"/>
  <c r="AS382" i="17"/>
  <c r="AT382" i="17"/>
  <c r="AU382" i="17"/>
  <c r="AV382" i="17"/>
  <c r="AW382" i="17"/>
  <c r="AX382" i="17"/>
  <c r="AY382" i="17"/>
  <c r="AZ382" i="17"/>
  <c r="BA382" i="17"/>
  <c r="BB382" i="17"/>
  <c r="BC382" i="17"/>
  <c r="BD382" i="17"/>
  <c r="BE382" i="17"/>
  <c r="BF382" i="17"/>
  <c r="BG382" i="17"/>
  <c r="BH382" i="17"/>
  <c r="BI382" i="17"/>
  <c r="BJ382" i="17"/>
  <c r="BK382" i="17"/>
  <c r="BL382" i="17"/>
  <c r="BM382" i="17"/>
  <c r="BN382" i="17"/>
  <c r="BO382" i="17"/>
  <c r="BP382" i="17"/>
  <c r="BQ382" i="17"/>
  <c r="BR382" i="17"/>
  <c r="BS382" i="17"/>
  <c r="BT382" i="17"/>
  <c r="BU382" i="17"/>
  <c r="BV382" i="17"/>
  <c r="BW382" i="17"/>
  <c r="BX382" i="17"/>
  <c r="BY382" i="17"/>
  <c r="BZ382" i="17"/>
  <c r="CA382" i="17"/>
  <c r="CB382" i="17"/>
  <c r="CC382" i="17"/>
  <c r="CD382" i="17"/>
  <c r="CE382" i="17"/>
  <c r="CF382" i="17"/>
  <c r="CG382" i="17"/>
  <c r="CH382" i="17"/>
  <c r="CI382" i="17"/>
  <c r="CJ382" i="17"/>
  <c r="CK382" i="17"/>
  <c r="CL382" i="17"/>
  <c r="CM382" i="17"/>
  <c r="CN382" i="17"/>
  <c r="CO382" i="17"/>
  <c r="CP382" i="17"/>
  <c r="CQ382" i="17"/>
  <c r="CR382" i="17"/>
  <c r="CS382" i="17"/>
  <c r="CT382" i="17"/>
  <c r="CU382" i="17"/>
  <c r="CV382" i="17"/>
  <c r="CW382" i="17"/>
  <c r="CX382" i="17"/>
  <c r="CY382" i="17"/>
  <c r="CZ382" i="17"/>
  <c r="DA382" i="17"/>
  <c r="DB382" i="17"/>
  <c r="DC382" i="17"/>
  <c r="DD382" i="17"/>
  <c r="DE382" i="17"/>
  <c r="DF382" i="17"/>
  <c r="DG382" i="17"/>
  <c r="DH382" i="17"/>
  <c r="DI382" i="17"/>
  <c r="DJ382" i="17"/>
  <c r="DK382" i="17"/>
  <c r="DL382" i="17"/>
  <c r="DM382" i="17"/>
  <c r="DN382" i="17"/>
  <c r="DO382" i="17"/>
  <c r="DP382" i="17"/>
  <c r="DQ382" i="17"/>
  <c r="DR382" i="17"/>
  <c r="DS382" i="17"/>
  <c r="DT382" i="17"/>
  <c r="DU382" i="17"/>
  <c r="DV382" i="17"/>
  <c r="DW382" i="17"/>
  <c r="DX382" i="17"/>
  <c r="DY382" i="17"/>
  <c r="DZ382" i="17"/>
  <c r="EA382" i="17"/>
  <c r="EB382" i="17"/>
  <c r="EC382" i="17"/>
  <c r="ED382" i="17"/>
  <c r="EE382" i="17"/>
  <c r="EF382" i="17"/>
  <c r="EG382" i="17"/>
  <c r="EH382" i="17"/>
  <c r="EI382" i="17"/>
  <c r="EJ382" i="17"/>
  <c r="EK382" i="17"/>
  <c r="EL382" i="17"/>
  <c r="EM382" i="17"/>
  <c r="EN382" i="17"/>
  <c r="EO382" i="17"/>
  <c r="EP382" i="17"/>
  <c r="EQ382" i="17"/>
  <c r="ER382" i="17"/>
  <c r="ES382" i="17"/>
  <c r="ET382" i="17"/>
  <c r="EU382" i="17"/>
  <c r="EV382" i="17"/>
  <c r="EW382" i="17"/>
  <c r="EX382" i="17"/>
  <c r="EY382" i="17"/>
  <c r="EZ382" i="17"/>
  <c r="FA382" i="17"/>
  <c r="FB382" i="17"/>
  <c r="FC382" i="17"/>
  <c r="FD382" i="17"/>
  <c r="FE382" i="17"/>
  <c r="FF382" i="17"/>
  <c r="FG382" i="17"/>
  <c r="FH382" i="17"/>
  <c r="FI382" i="17"/>
  <c r="FJ382" i="17"/>
  <c r="FK382" i="17"/>
  <c r="FL382" i="17"/>
  <c r="FM382" i="17"/>
  <c r="FN382" i="17"/>
  <c r="FO382" i="17"/>
  <c r="FP382" i="17"/>
  <c r="FQ382" i="17"/>
  <c r="FR382" i="17"/>
  <c r="FS382" i="17"/>
  <c r="FT382" i="17"/>
  <c r="FU382" i="17"/>
  <c r="FV382" i="17"/>
  <c r="FW382" i="17"/>
  <c r="FX382" i="17"/>
  <c r="FY382" i="17"/>
  <c r="FZ382" i="17"/>
  <c r="GA382" i="17"/>
  <c r="GB382" i="17"/>
  <c r="GC382" i="17"/>
  <c r="GD382" i="17"/>
  <c r="GE382" i="17"/>
  <c r="GF382" i="17"/>
  <c r="GG382" i="17"/>
  <c r="GH382" i="17"/>
  <c r="GI382" i="17"/>
  <c r="GJ382" i="17"/>
  <c r="GK382" i="17"/>
  <c r="GL382" i="17"/>
  <c r="GM382" i="17"/>
  <c r="GN382" i="17"/>
  <c r="GO382" i="17"/>
  <c r="GP382" i="17"/>
  <c r="GQ382" i="17"/>
  <c r="GR382" i="17"/>
  <c r="GS382" i="17"/>
  <c r="GT382" i="17"/>
  <c r="GU382" i="17"/>
  <c r="GV382" i="17"/>
  <c r="GW382" i="17"/>
  <c r="GX382" i="17"/>
  <c r="GY382" i="17"/>
  <c r="GZ382" i="17"/>
  <c r="HA382" i="17"/>
  <c r="HB382" i="17"/>
  <c r="HC382" i="17"/>
  <c r="HD382" i="17"/>
  <c r="HE382" i="17"/>
  <c r="HF382" i="17"/>
  <c r="HG382" i="17"/>
  <c r="HH382" i="17"/>
  <c r="HI382" i="17"/>
  <c r="HJ382" i="17"/>
  <c r="HK382" i="17"/>
  <c r="HL382" i="17"/>
  <c r="HM382" i="17"/>
  <c r="HN382" i="17"/>
  <c r="HO382" i="17"/>
  <c r="HP382" i="17"/>
  <c r="HQ382" i="17"/>
  <c r="HR382" i="17"/>
  <c r="HS382" i="17"/>
  <c r="HT382" i="17"/>
  <c r="HU382" i="17"/>
  <c r="HV382" i="17"/>
  <c r="HW382" i="17"/>
  <c r="HX382" i="17"/>
  <c r="HY382" i="17"/>
  <c r="HZ382" i="17"/>
  <c r="IA382" i="17"/>
  <c r="IB382" i="17"/>
  <c r="IC382" i="17"/>
  <c r="ID382" i="17"/>
  <c r="IE382" i="17"/>
  <c r="IF382" i="17"/>
  <c r="IG382" i="17"/>
  <c r="IH382" i="17"/>
  <c r="II382" i="17"/>
  <c r="IJ382" i="17"/>
  <c r="IK382" i="17"/>
  <c r="IL382" i="17"/>
  <c r="IM382" i="17"/>
  <c r="IN382" i="17"/>
  <c r="IO382" i="17"/>
  <c r="IP382" i="17"/>
  <c r="IQ382" i="17"/>
  <c r="IR382" i="17"/>
  <c r="IS382" i="17"/>
  <c r="IT382" i="17"/>
  <c r="IU382" i="17"/>
  <c r="IV382" i="17"/>
  <c r="A381" i="17"/>
  <c r="B381" i="17"/>
  <c r="C381" i="17"/>
  <c r="D381" i="17"/>
  <c r="E381" i="17"/>
  <c r="F381" i="17"/>
  <c r="G381" i="17"/>
  <c r="H381" i="17"/>
  <c r="I381" i="17"/>
  <c r="J381" i="17"/>
  <c r="K381" i="17"/>
  <c r="L381" i="17"/>
  <c r="M381" i="17"/>
  <c r="N381" i="17"/>
  <c r="O381" i="17"/>
  <c r="P381" i="17"/>
  <c r="Q381" i="17"/>
  <c r="R381" i="17"/>
  <c r="S381" i="17"/>
  <c r="T381" i="17"/>
  <c r="U381" i="17"/>
  <c r="V381" i="17"/>
  <c r="W381" i="17"/>
  <c r="X381" i="17"/>
  <c r="Y381" i="17"/>
  <c r="Z381" i="17"/>
  <c r="AA381" i="17"/>
  <c r="AB381" i="17"/>
  <c r="AC381" i="17"/>
  <c r="AD381" i="17"/>
  <c r="AE381" i="17"/>
  <c r="AF381" i="17"/>
  <c r="AG381" i="17"/>
  <c r="AH381" i="17"/>
  <c r="AI381" i="17"/>
  <c r="AJ381" i="17"/>
  <c r="AK381" i="17"/>
  <c r="AL381" i="17"/>
  <c r="AM381" i="17"/>
  <c r="AN381" i="17"/>
  <c r="AO381" i="17"/>
  <c r="AP381" i="17"/>
  <c r="AQ381" i="17"/>
  <c r="AR381" i="17"/>
  <c r="AS381" i="17"/>
  <c r="AT381" i="17"/>
  <c r="AU381" i="17"/>
  <c r="AV381" i="17"/>
  <c r="AW381" i="17"/>
  <c r="AX381" i="17"/>
  <c r="AY381" i="17"/>
  <c r="AZ381" i="17"/>
  <c r="BA381" i="17"/>
  <c r="BB381" i="17"/>
  <c r="BC381" i="17"/>
  <c r="BD381" i="17"/>
  <c r="BE381" i="17"/>
  <c r="BF381" i="17"/>
  <c r="BG381" i="17"/>
  <c r="BH381" i="17"/>
  <c r="BI381" i="17"/>
  <c r="BJ381" i="17"/>
  <c r="BK381" i="17"/>
  <c r="BL381" i="17"/>
  <c r="BM381" i="17"/>
  <c r="BN381" i="17"/>
  <c r="BO381" i="17"/>
  <c r="BP381" i="17"/>
  <c r="BQ381" i="17"/>
  <c r="BR381" i="17"/>
  <c r="BS381" i="17"/>
  <c r="BT381" i="17"/>
  <c r="BU381" i="17"/>
  <c r="BV381" i="17"/>
  <c r="BW381" i="17"/>
  <c r="BX381" i="17"/>
  <c r="BY381" i="17"/>
  <c r="BZ381" i="17"/>
  <c r="CA381" i="17"/>
  <c r="CB381" i="17"/>
  <c r="CC381" i="17"/>
  <c r="CD381" i="17"/>
  <c r="CE381" i="17"/>
  <c r="CF381" i="17"/>
  <c r="CG381" i="17"/>
  <c r="CH381" i="17"/>
  <c r="CI381" i="17"/>
  <c r="CJ381" i="17"/>
  <c r="CK381" i="17"/>
  <c r="CL381" i="17"/>
  <c r="CM381" i="17"/>
  <c r="CN381" i="17"/>
  <c r="CO381" i="17"/>
  <c r="CP381" i="17"/>
  <c r="CQ381" i="17"/>
  <c r="CR381" i="17"/>
  <c r="CS381" i="17"/>
  <c r="CT381" i="17"/>
  <c r="CU381" i="17"/>
  <c r="CV381" i="17"/>
  <c r="CW381" i="17"/>
  <c r="CX381" i="17"/>
  <c r="CY381" i="17"/>
  <c r="CZ381" i="17"/>
  <c r="DA381" i="17"/>
  <c r="DB381" i="17"/>
  <c r="DC381" i="17"/>
  <c r="DD381" i="17"/>
  <c r="DE381" i="17"/>
  <c r="DF381" i="17"/>
  <c r="DG381" i="17"/>
  <c r="DH381" i="17"/>
  <c r="DI381" i="17"/>
  <c r="DJ381" i="17"/>
  <c r="DK381" i="17"/>
  <c r="DL381" i="17"/>
  <c r="DM381" i="17"/>
  <c r="DN381" i="17"/>
  <c r="DO381" i="17"/>
  <c r="DP381" i="17"/>
  <c r="DQ381" i="17"/>
  <c r="DR381" i="17"/>
  <c r="DS381" i="17"/>
  <c r="DT381" i="17"/>
  <c r="DU381" i="17"/>
  <c r="DV381" i="17"/>
  <c r="DW381" i="17"/>
  <c r="DX381" i="17"/>
  <c r="DY381" i="17"/>
  <c r="DZ381" i="17"/>
  <c r="EA381" i="17"/>
  <c r="EB381" i="17"/>
  <c r="EC381" i="17"/>
  <c r="ED381" i="17"/>
  <c r="EE381" i="17"/>
  <c r="EF381" i="17"/>
  <c r="EG381" i="17"/>
  <c r="EH381" i="17"/>
  <c r="EI381" i="17"/>
  <c r="EJ381" i="17"/>
  <c r="EK381" i="17"/>
  <c r="EL381" i="17"/>
  <c r="EM381" i="17"/>
  <c r="EN381" i="17"/>
  <c r="EO381" i="17"/>
  <c r="EP381" i="17"/>
  <c r="EQ381" i="17"/>
  <c r="ER381" i="17"/>
  <c r="ES381" i="17"/>
  <c r="ET381" i="17"/>
  <c r="EU381" i="17"/>
  <c r="EV381" i="17"/>
  <c r="EW381" i="17"/>
  <c r="EX381" i="17"/>
  <c r="EY381" i="17"/>
  <c r="EZ381" i="17"/>
  <c r="FA381" i="17"/>
  <c r="FB381" i="17"/>
  <c r="FC381" i="17"/>
  <c r="FD381" i="17"/>
  <c r="FE381" i="17"/>
  <c r="FF381" i="17"/>
  <c r="FG381" i="17"/>
  <c r="FH381" i="17"/>
  <c r="FI381" i="17"/>
  <c r="FJ381" i="17"/>
  <c r="FK381" i="17"/>
  <c r="FL381" i="17"/>
  <c r="FM381" i="17"/>
  <c r="FN381" i="17"/>
  <c r="FO381" i="17"/>
  <c r="FP381" i="17"/>
  <c r="FQ381" i="17"/>
  <c r="FR381" i="17"/>
  <c r="FS381" i="17"/>
  <c r="FT381" i="17"/>
  <c r="FU381" i="17"/>
  <c r="FV381" i="17"/>
  <c r="FW381" i="17"/>
  <c r="FX381" i="17"/>
  <c r="FY381" i="17"/>
  <c r="FZ381" i="17"/>
  <c r="GA381" i="17"/>
  <c r="GB381" i="17"/>
  <c r="GC381" i="17"/>
  <c r="GD381" i="17"/>
  <c r="GE381" i="17"/>
  <c r="GF381" i="17"/>
  <c r="GG381" i="17"/>
  <c r="GH381" i="17"/>
  <c r="GI381" i="17"/>
  <c r="GJ381" i="17"/>
  <c r="GK381" i="17"/>
  <c r="GL381" i="17"/>
  <c r="GM381" i="17"/>
  <c r="GN381" i="17"/>
  <c r="GO381" i="17"/>
  <c r="GP381" i="17"/>
  <c r="GQ381" i="17"/>
  <c r="GR381" i="17"/>
  <c r="GS381" i="17"/>
  <c r="GT381" i="17"/>
  <c r="GU381" i="17"/>
  <c r="GV381" i="17"/>
  <c r="GW381" i="17"/>
  <c r="GX381" i="17"/>
  <c r="GY381" i="17"/>
  <c r="GZ381" i="17"/>
  <c r="HA381" i="17"/>
  <c r="HB381" i="17"/>
  <c r="HC381" i="17"/>
  <c r="HD381" i="17"/>
  <c r="HE381" i="17"/>
  <c r="HF381" i="17"/>
  <c r="HG381" i="17"/>
  <c r="HH381" i="17"/>
  <c r="HI381" i="17"/>
  <c r="HJ381" i="17"/>
  <c r="HK381" i="17"/>
  <c r="HL381" i="17"/>
  <c r="HM381" i="17"/>
  <c r="HN381" i="17"/>
  <c r="HO381" i="17"/>
  <c r="HP381" i="17"/>
  <c r="HQ381" i="17"/>
  <c r="HR381" i="17"/>
  <c r="HS381" i="17"/>
  <c r="HT381" i="17"/>
  <c r="HU381" i="17"/>
  <c r="HV381" i="17"/>
  <c r="HW381" i="17"/>
  <c r="HX381" i="17"/>
  <c r="HY381" i="17"/>
  <c r="HZ381" i="17"/>
  <c r="IA381" i="17"/>
  <c r="IB381" i="17"/>
  <c r="IC381" i="17"/>
  <c r="ID381" i="17"/>
  <c r="IE381" i="17"/>
  <c r="IF381" i="17"/>
  <c r="IG381" i="17"/>
  <c r="IH381" i="17"/>
  <c r="II381" i="17"/>
  <c r="IJ381" i="17"/>
  <c r="IK381" i="17"/>
  <c r="IL381" i="17"/>
  <c r="IM381" i="17"/>
  <c r="IN381" i="17"/>
  <c r="IO381" i="17"/>
  <c r="IP381" i="17"/>
  <c r="IQ381" i="17"/>
  <c r="IR381" i="17"/>
  <c r="IS381" i="17"/>
  <c r="IT381" i="17"/>
  <c r="IU381" i="17"/>
  <c r="IV381" i="17"/>
  <c r="A380" i="17"/>
  <c r="B380" i="17"/>
  <c r="C380" i="17"/>
  <c r="D380" i="17"/>
  <c r="E380" i="17"/>
  <c r="F380" i="17"/>
  <c r="G380" i="17"/>
  <c r="H380" i="17"/>
  <c r="I380" i="17"/>
  <c r="J380" i="17"/>
  <c r="K380" i="17"/>
  <c r="L380" i="17"/>
  <c r="M380" i="17"/>
  <c r="N380" i="17"/>
  <c r="O380" i="17"/>
  <c r="P380" i="17"/>
  <c r="Q380" i="17"/>
  <c r="R380" i="17"/>
  <c r="S380" i="17"/>
  <c r="T380" i="17"/>
  <c r="U380" i="17"/>
  <c r="V380" i="17"/>
  <c r="W380" i="17"/>
  <c r="X380" i="17"/>
  <c r="Y380" i="17"/>
  <c r="Z380" i="17"/>
  <c r="AA380" i="17"/>
  <c r="AB380" i="17"/>
  <c r="AC380" i="17"/>
  <c r="AD380" i="17"/>
  <c r="AE380" i="17"/>
  <c r="AF380" i="17"/>
  <c r="AG380" i="17"/>
  <c r="AH380" i="17"/>
  <c r="AI380" i="17"/>
  <c r="AJ380" i="17"/>
  <c r="AK380" i="17"/>
  <c r="AL380" i="17"/>
  <c r="AM380" i="17"/>
  <c r="AN380" i="17"/>
  <c r="AO380" i="17"/>
  <c r="AP380" i="17"/>
  <c r="AQ380" i="17"/>
  <c r="AR380" i="17"/>
  <c r="AS380" i="17"/>
  <c r="AT380" i="17"/>
  <c r="AU380" i="17"/>
  <c r="AV380" i="17"/>
  <c r="AW380" i="17"/>
  <c r="AX380" i="17"/>
  <c r="AY380" i="17"/>
  <c r="AZ380" i="17"/>
  <c r="BA380" i="17"/>
  <c r="BB380" i="17"/>
  <c r="BC380" i="17"/>
  <c r="BD380" i="17"/>
  <c r="BE380" i="17"/>
  <c r="BF380" i="17"/>
  <c r="BG380" i="17"/>
  <c r="BH380" i="17"/>
  <c r="BI380" i="17"/>
  <c r="BJ380" i="17"/>
  <c r="BK380" i="17"/>
  <c r="BL380" i="17"/>
  <c r="BM380" i="17"/>
  <c r="BN380" i="17"/>
  <c r="BO380" i="17"/>
  <c r="BP380" i="17"/>
  <c r="BQ380" i="17"/>
  <c r="BR380" i="17"/>
  <c r="BS380" i="17"/>
  <c r="BT380" i="17"/>
  <c r="BU380" i="17"/>
  <c r="BV380" i="17"/>
  <c r="BW380" i="17"/>
  <c r="BX380" i="17"/>
  <c r="BY380" i="17"/>
  <c r="BZ380" i="17"/>
  <c r="CA380" i="17"/>
  <c r="CB380" i="17"/>
  <c r="CC380" i="17"/>
  <c r="CD380" i="17"/>
  <c r="CE380" i="17"/>
  <c r="CF380" i="17"/>
  <c r="CG380" i="17"/>
  <c r="CH380" i="17"/>
  <c r="CI380" i="17"/>
  <c r="CJ380" i="17"/>
  <c r="CK380" i="17"/>
  <c r="CL380" i="17"/>
  <c r="CM380" i="17"/>
  <c r="CN380" i="17"/>
  <c r="CO380" i="17"/>
  <c r="CP380" i="17"/>
  <c r="CQ380" i="17"/>
  <c r="CR380" i="17"/>
  <c r="CS380" i="17"/>
  <c r="CT380" i="17"/>
  <c r="CU380" i="17"/>
  <c r="CV380" i="17"/>
  <c r="CW380" i="17"/>
  <c r="CX380" i="17"/>
  <c r="CY380" i="17"/>
  <c r="CZ380" i="17"/>
  <c r="DA380" i="17"/>
  <c r="DB380" i="17"/>
  <c r="DC380" i="17"/>
  <c r="DD380" i="17"/>
  <c r="DE380" i="17"/>
  <c r="DF380" i="17"/>
  <c r="DG380" i="17"/>
  <c r="DH380" i="17"/>
  <c r="DI380" i="17"/>
  <c r="DJ380" i="17"/>
  <c r="DK380" i="17"/>
  <c r="DL380" i="17"/>
  <c r="DM380" i="17"/>
  <c r="DN380" i="17"/>
  <c r="DO380" i="17"/>
  <c r="DP380" i="17"/>
  <c r="DQ380" i="17"/>
  <c r="DR380" i="17"/>
  <c r="DS380" i="17"/>
  <c r="DT380" i="17"/>
  <c r="DU380" i="17"/>
  <c r="DV380" i="17"/>
  <c r="DW380" i="17"/>
  <c r="DX380" i="17"/>
  <c r="DY380" i="17"/>
  <c r="DZ380" i="17"/>
  <c r="EA380" i="17"/>
  <c r="EB380" i="17"/>
  <c r="EC380" i="17"/>
  <c r="ED380" i="17"/>
  <c r="EE380" i="17"/>
  <c r="EF380" i="17"/>
  <c r="EG380" i="17"/>
  <c r="EH380" i="17"/>
  <c r="EI380" i="17"/>
  <c r="EJ380" i="17"/>
  <c r="EK380" i="17"/>
  <c r="EL380" i="17"/>
  <c r="EM380" i="17"/>
  <c r="EN380" i="17"/>
  <c r="EO380" i="17"/>
  <c r="EP380" i="17"/>
  <c r="EQ380" i="17"/>
  <c r="ER380" i="17"/>
  <c r="ES380" i="17"/>
  <c r="ET380" i="17"/>
  <c r="EU380" i="17"/>
  <c r="EV380" i="17"/>
  <c r="EW380" i="17"/>
  <c r="EX380" i="17"/>
  <c r="EY380" i="17"/>
  <c r="EZ380" i="17"/>
  <c r="FA380" i="17"/>
  <c r="FB380" i="17"/>
  <c r="FC380" i="17"/>
  <c r="FD380" i="17"/>
  <c r="FE380" i="17"/>
  <c r="FF380" i="17"/>
  <c r="FG380" i="17"/>
  <c r="FH380" i="17"/>
  <c r="FI380" i="17"/>
  <c r="FJ380" i="17"/>
  <c r="FK380" i="17"/>
  <c r="FL380" i="17"/>
  <c r="FM380" i="17"/>
  <c r="FN380" i="17"/>
  <c r="FO380" i="17"/>
  <c r="FP380" i="17"/>
  <c r="FQ380" i="17"/>
  <c r="FR380" i="17"/>
  <c r="FS380" i="17"/>
  <c r="FT380" i="17"/>
  <c r="FU380" i="17"/>
  <c r="FV380" i="17"/>
  <c r="FW380" i="17"/>
  <c r="FX380" i="17"/>
  <c r="FY380" i="17"/>
  <c r="FZ380" i="17"/>
  <c r="GA380" i="17"/>
  <c r="GB380" i="17"/>
  <c r="GC380" i="17"/>
  <c r="GD380" i="17"/>
  <c r="GE380" i="17"/>
  <c r="GF380" i="17"/>
  <c r="GG380" i="17"/>
  <c r="GH380" i="17"/>
  <c r="GI380" i="17"/>
  <c r="GJ380" i="17"/>
  <c r="GK380" i="17"/>
  <c r="GL380" i="17"/>
  <c r="GM380" i="17"/>
  <c r="GN380" i="17"/>
  <c r="GO380" i="17"/>
  <c r="GP380" i="17"/>
  <c r="GQ380" i="17"/>
  <c r="GR380" i="17"/>
  <c r="GS380" i="17"/>
  <c r="GT380" i="17"/>
  <c r="GU380" i="17"/>
  <c r="GV380" i="17"/>
  <c r="GW380" i="17"/>
  <c r="GX380" i="17"/>
  <c r="GY380" i="17"/>
  <c r="GZ380" i="17"/>
  <c r="HA380" i="17"/>
  <c r="HB380" i="17"/>
  <c r="HC380" i="17"/>
  <c r="HD380" i="17"/>
  <c r="HE380" i="17"/>
  <c r="HF380" i="17"/>
  <c r="HG380" i="17"/>
  <c r="HH380" i="17"/>
  <c r="HI380" i="17"/>
  <c r="HJ380" i="17"/>
  <c r="HK380" i="17"/>
  <c r="HL380" i="17"/>
  <c r="HM380" i="17"/>
  <c r="HN380" i="17"/>
  <c r="HO380" i="17"/>
  <c r="HP380" i="17"/>
  <c r="HQ380" i="17"/>
  <c r="HR380" i="17"/>
  <c r="HS380" i="17"/>
  <c r="HT380" i="17"/>
  <c r="HU380" i="17"/>
  <c r="HV380" i="17"/>
  <c r="HW380" i="17"/>
  <c r="HX380" i="17"/>
  <c r="HY380" i="17"/>
  <c r="HZ380" i="17"/>
  <c r="IA380" i="17"/>
  <c r="IB380" i="17"/>
  <c r="IC380" i="17"/>
  <c r="ID380" i="17"/>
  <c r="IE380" i="17"/>
  <c r="IF380" i="17"/>
  <c r="IG380" i="17"/>
  <c r="IH380" i="17"/>
  <c r="II380" i="17"/>
  <c r="IJ380" i="17"/>
  <c r="IK380" i="17"/>
  <c r="IL380" i="17"/>
  <c r="IM380" i="17"/>
  <c r="IN380" i="17"/>
  <c r="IO380" i="17"/>
  <c r="IP380" i="17"/>
  <c r="IQ380" i="17"/>
  <c r="IR380" i="17"/>
  <c r="IS380" i="17"/>
  <c r="IT380" i="17"/>
  <c r="IU380" i="17"/>
  <c r="IV380" i="17"/>
  <c r="A379" i="17"/>
  <c r="B379" i="17"/>
  <c r="C379" i="17"/>
  <c r="D379" i="17"/>
  <c r="E379" i="17"/>
  <c r="F379" i="17"/>
  <c r="G379" i="17"/>
  <c r="H379" i="17"/>
  <c r="I379" i="17"/>
  <c r="J379" i="17"/>
  <c r="K379" i="17"/>
  <c r="L379" i="17"/>
  <c r="M379" i="17"/>
  <c r="N379" i="17"/>
  <c r="O379" i="17"/>
  <c r="P379" i="17"/>
  <c r="Q379" i="17"/>
  <c r="R379" i="17"/>
  <c r="S379" i="17"/>
  <c r="T379" i="17"/>
  <c r="U379" i="17"/>
  <c r="V379" i="17"/>
  <c r="W379" i="17"/>
  <c r="X379" i="17"/>
  <c r="Y379" i="17"/>
  <c r="Z379" i="17"/>
  <c r="AA379" i="17"/>
  <c r="AB379" i="17"/>
  <c r="AC379" i="17"/>
  <c r="AD379" i="17"/>
  <c r="AE379" i="17"/>
  <c r="AF379" i="17"/>
  <c r="AG379" i="17"/>
  <c r="AH379" i="17"/>
  <c r="AI379" i="17"/>
  <c r="AJ379" i="17"/>
  <c r="AK379" i="17"/>
  <c r="AL379" i="17"/>
  <c r="AM379" i="17"/>
  <c r="AN379" i="17"/>
  <c r="AO379" i="17"/>
  <c r="AP379" i="17"/>
  <c r="AQ379" i="17"/>
  <c r="AR379" i="17"/>
  <c r="AS379" i="17"/>
  <c r="AT379" i="17"/>
  <c r="AU379" i="17"/>
  <c r="AV379" i="17"/>
  <c r="AW379" i="17"/>
  <c r="AX379" i="17"/>
  <c r="AY379" i="17"/>
  <c r="AZ379" i="17"/>
  <c r="BA379" i="17"/>
  <c r="BB379" i="17"/>
  <c r="BC379" i="17"/>
  <c r="BD379" i="17"/>
  <c r="BE379" i="17"/>
  <c r="BF379" i="17"/>
  <c r="BG379" i="17"/>
  <c r="BH379" i="17"/>
  <c r="BI379" i="17"/>
  <c r="BJ379" i="17"/>
  <c r="BK379" i="17"/>
  <c r="BL379" i="17"/>
  <c r="BM379" i="17"/>
  <c r="BN379" i="17"/>
  <c r="BO379" i="17"/>
  <c r="BP379" i="17"/>
  <c r="BQ379" i="17"/>
  <c r="BR379" i="17"/>
  <c r="BS379" i="17"/>
  <c r="BT379" i="17"/>
  <c r="BU379" i="17"/>
  <c r="BV379" i="17"/>
  <c r="BW379" i="17"/>
  <c r="BX379" i="17"/>
  <c r="BY379" i="17"/>
  <c r="BZ379" i="17"/>
  <c r="CA379" i="17"/>
  <c r="CB379" i="17"/>
  <c r="CC379" i="17"/>
  <c r="CD379" i="17"/>
  <c r="CE379" i="17"/>
  <c r="CF379" i="17"/>
  <c r="CG379" i="17"/>
  <c r="CH379" i="17"/>
  <c r="CI379" i="17"/>
  <c r="CJ379" i="17"/>
  <c r="CK379" i="17"/>
  <c r="CL379" i="17"/>
  <c r="CM379" i="17"/>
  <c r="CN379" i="17"/>
  <c r="CO379" i="17"/>
  <c r="CP379" i="17"/>
  <c r="CQ379" i="17"/>
  <c r="CR379" i="17"/>
  <c r="CS379" i="17"/>
  <c r="CT379" i="17"/>
  <c r="CU379" i="17"/>
  <c r="CV379" i="17"/>
  <c r="CW379" i="17"/>
  <c r="CX379" i="17"/>
  <c r="CY379" i="17"/>
  <c r="CZ379" i="17"/>
  <c r="DA379" i="17"/>
  <c r="DB379" i="17"/>
  <c r="DC379" i="17"/>
  <c r="DD379" i="17"/>
  <c r="DE379" i="17"/>
  <c r="DF379" i="17"/>
  <c r="DG379" i="17"/>
  <c r="DH379" i="17"/>
  <c r="DI379" i="17"/>
  <c r="DJ379" i="17"/>
  <c r="DK379" i="17"/>
  <c r="DL379" i="17"/>
  <c r="DM379" i="17"/>
  <c r="DN379" i="17"/>
  <c r="DO379" i="17"/>
  <c r="DP379" i="17"/>
  <c r="DQ379" i="17"/>
  <c r="DR379" i="17"/>
  <c r="DS379" i="17"/>
  <c r="DT379" i="17"/>
  <c r="DU379" i="17"/>
  <c r="DV379" i="17"/>
  <c r="DW379" i="17"/>
  <c r="DX379" i="17"/>
  <c r="DY379" i="17"/>
  <c r="DZ379" i="17"/>
  <c r="EA379" i="17"/>
  <c r="EB379" i="17"/>
  <c r="EC379" i="17"/>
  <c r="ED379" i="17"/>
  <c r="EE379" i="17"/>
  <c r="EF379" i="17"/>
  <c r="EG379" i="17"/>
  <c r="EH379" i="17"/>
  <c r="EI379" i="17"/>
  <c r="EJ379" i="17"/>
  <c r="EK379" i="17"/>
  <c r="EL379" i="17"/>
  <c r="EM379" i="17"/>
  <c r="EN379" i="17"/>
  <c r="EO379" i="17"/>
  <c r="EP379" i="17"/>
  <c r="EQ379" i="17"/>
  <c r="ER379" i="17"/>
  <c r="ES379" i="17"/>
  <c r="ET379" i="17"/>
  <c r="EU379" i="17"/>
  <c r="EV379" i="17"/>
  <c r="EW379" i="17"/>
  <c r="EX379" i="17"/>
  <c r="EY379" i="17"/>
  <c r="EZ379" i="17"/>
  <c r="FA379" i="17"/>
  <c r="FB379" i="17"/>
  <c r="FC379" i="17"/>
  <c r="FD379" i="17"/>
  <c r="FE379" i="17"/>
  <c r="FF379" i="17"/>
  <c r="FG379" i="17"/>
  <c r="FH379" i="17"/>
  <c r="FI379" i="17"/>
  <c r="FJ379" i="17"/>
  <c r="FK379" i="17"/>
  <c r="FL379" i="17"/>
  <c r="FM379" i="17"/>
  <c r="FN379" i="17"/>
  <c r="FO379" i="17"/>
  <c r="FP379" i="17"/>
  <c r="FQ379" i="17"/>
  <c r="FR379" i="17"/>
  <c r="FS379" i="17"/>
  <c r="FT379" i="17"/>
  <c r="FU379" i="17"/>
  <c r="FV379" i="17"/>
  <c r="FW379" i="17"/>
  <c r="FX379" i="17"/>
  <c r="FY379" i="17"/>
  <c r="FZ379" i="17"/>
  <c r="GA379" i="17"/>
  <c r="GB379" i="17"/>
  <c r="GC379" i="17"/>
  <c r="GD379" i="17"/>
  <c r="GE379" i="17"/>
  <c r="GF379" i="17"/>
  <c r="GG379" i="17"/>
  <c r="GH379" i="17"/>
  <c r="GI379" i="17"/>
  <c r="GJ379" i="17"/>
  <c r="GK379" i="17"/>
  <c r="GL379" i="17"/>
  <c r="GM379" i="17"/>
  <c r="GN379" i="17"/>
  <c r="GO379" i="17"/>
  <c r="GP379" i="17"/>
  <c r="GQ379" i="17"/>
  <c r="GR379" i="17"/>
  <c r="GS379" i="17"/>
  <c r="GT379" i="17"/>
  <c r="GU379" i="17"/>
  <c r="GV379" i="17"/>
  <c r="GW379" i="17"/>
  <c r="GX379" i="17"/>
  <c r="GY379" i="17"/>
  <c r="GZ379" i="17"/>
  <c r="HA379" i="17"/>
  <c r="HB379" i="17"/>
  <c r="HC379" i="17"/>
  <c r="HD379" i="17"/>
  <c r="HE379" i="17"/>
  <c r="HF379" i="17"/>
  <c r="HG379" i="17"/>
  <c r="HH379" i="17"/>
  <c r="HI379" i="17"/>
  <c r="HJ379" i="17"/>
  <c r="HK379" i="17"/>
  <c r="HL379" i="17"/>
  <c r="HM379" i="17"/>
  <c r="HN379" i="17"/>
  <c r="HO379" i="17"/>
  <c r="HP379" i="17"/>
  <c r="HQ379" i="17"/>
  <c r="HR379" i="17"/>
  <c r="HS379" i="17"/>
  <c r="HT379" i="17"/>
  <c r="HU379" i="17"/>
  <c r="HV379" i="17"/>
  <c r="HW379" i="17"/>
  <c r="HX379" i="17"/>
  <c r="HY379" i="17"/>
  <c r="HZ379" i="17"/>
  <c r="IA379" i="17"/>
  <c r="IB379" i="17"/>
  <c r="IC379" i="17"/>
  <c r="ID379" i="17"/>
  <c r="IE379" i="17"/>
  <c r="IF379" i="17"/>
  <c r="IG379" i="17"/>
  <c r="IH379" i="17"/>
  <c r="II379" i="17"/>
  <c r="IJ379" i="17"/>
  <c r="IK379" i="17"/>
  <c r="IL379" i="17"/>
  <c r="IM379" i="17"/>
  <c r="IN379" i="17"/>
  <c r="IO379" i="17"/>
  <c r="IP379" i="17"/>
  <c r="IQ379" i="17"/>
  <c r="IR379" i="17"/>
  <c r="IS379" i="17"/>
  <c r="IT379" i="17"/>
  <c r="IU379" i="17"/>
  <c r="IV379" i="17"/>
  <c r="A378" i="17"/>
  <c r="B378" i="17"/>
  <c r="C378" i="17"/>
  <c r="D378" i="17"/>
  <c r="E378" i="17"/>
  <c r="F378" i="17"/>
  <c r="G378" i="17"/>
  <c r="H378" i="17"/>
  <c r="I378" i="17"/>
  <c r="J378" i="17"/>
  <c r="K378" i="17"/>
  <c r="L378" i="17"/>
  <c r="M378" i="17"/>
  <c r="N378" i="17"/>
  <c r="O378" i="17"/>
  <c r="P378" i="17"/>
  <c r="Q378" i="17"/>
  <c r="R378" i="17"/>
  <c r="S378" i="17"/>
  <c r="T378" i="17"/>
  <c r="U378" i="17"/>
  <c r="V378" i="17"/>
  <c r="W378" i="17"/>
  <c r="X378" i="17"/>
  <c r="Y378" i="17"/>
  <c r="Z378" i="17"/>
  <c r="AA378" i="17"/>
  <c r="AB378" i="17"/>
  <c r="AC378" i="17"/>
  <c r="AD378" i="17"/>
  <c r="AE378" i="17"/>
  <c r="AF378" i="17"/>
  <c r="AG378" i="17"/>
  <c r="AH378" i="17"/>
  <c r="AI378" i="17"/>
  <c r="AJ378" i="17"/>
  <c r="AK378" i="17"/>
  <c r="AL378" i="17"/>
  <c r="AM378" i="17"/>
  <c r="AN378" i="17"/>
  <c r="AO378" i="17"/>
  <c r="AP378" i="17"/>
  <c r="AQ378" i="17"/>
  <c r="AR378" i="17"/>
  <c r="AS378" i="17"/>
  <c r="AT378" i="17"/>
  <c r="AU378" i="17"/>
  <c r="AV378" i="17"/>
  <c r="AW378" i="17"/>
  <c r="AX378" i="17"/>
  <c r="AY378" i="17"/>
  <c r="AZ378" i="17"/>
  <c r="BA378" i="17"/>
  <c r="BB378" i="17"/>
  <c r="BC378" i="17"/>
  <c r="BD378" i="17"/>
  <c r="BE378" i="17"/>
  <c r="BF378" i="17"/>
  <c r="BG378" i="17"/>
  <c r="BH378" i="17"/>
  <c r="BI378" i="17"/>
  <c r="BJ378" i="17"/>
  <c r="BK378" i="17"/>
  <c r="BL378" i="17"/>
  <c r="BM378" i="17"/>
  <c r="BN378" i="17"/>
  <c r="BO378" i="17"/>
  <c r="BP378" i="17"/>
  <c r="BQ378" i="17"/>
  <c r="BR378" i="17"/>
  <c r="BS378" i="17"/>
  <c r="BT378" i="17"/>
  <c r="BU378" i="17"/>
  <c r="BV378" i="17"/>
  <c r="BW378" i="17"/>
  <c r="BX378" i="17"/>
  <c r="BY378" i="17"/>
  <c r="BZ378" i="17"/>
  <c r="CA378" i="17"/>
  <c r="CB378" i="17"/>
  <c r="CC378" i="17"/>
  <c r="CD378" i="17"/>
  <c r="CE378" i="17"/>
  <c r="CF378" i="17"/>
  <c r="CG378" i="17"/>
  <c r="CH378" i="17"/>
  <c r="CI378" i="17"/>
  <c r="CJ378" i="17"/>
  <c r="CK378" i="17"/>
  <c r="CL378" i="17"/>
  <c r="CM378" i="17"/>
  <c r="CN378" i="17"/>
  <c r="CO378" i="17"/>
  <c r="CP378" i="17"/>
  <c r="CQ378" i="17"/>
  <c r="CR378" i="17"/>
  <c r="CS378" i="17"/>
  <c r="CT378" i="17"/>
  <c r="CU378" i="17"/>
  <c r="CV378" i="17"/>
  <c r="CW378" i="17"/>
  <c r="CX378" i="17"/>
  <c r="CY378" i="17"/>
  <c r="CZ378" i="17"/>
  <c r="DA378" i="17"/>
  <c r="DB378" i="17"/>
  <c r="DC378" i="17"/>
  <c r="DD378" i="17"/>
  <c r="DE378" i="17"/>
  <c r="DF378" i="17"/>
  <c r="DG378" i="17"/>
  <c r="DH378" i="17"/>
  <c r="DI378" i="17"/>
  <c r="DJ378" i="17"/>
  <c r="DK378" i="17"/>
  <c r="DL378" i="17"/>
  <c r="DM378" i="17"/>
  <c r="DN378" i="17"/>
  <c r="DO378" i="17"/>
  <c r="DP378" i="17"/>
  <c r="DQ378" i="17"/>
  <c r="DR378" i="17"/>
  <c r="DS378" i="17"/>
  <c r="DT378" i="17"/>
  <c r="DU378" i="17"/>
  <c r="DV378" i="17"/>
  <c r="DW378" i="17"/>
  <c r="DX378" i="17"/>
  <c r="DY378" i="17"/>
  <c r="DZ378" i="17"/>
  <c r="EA378" i="17"/>
  <c r="EB378" i="17"/>
  <c r="EC378" i="17"/>
  <c r="ED378" i="17"/>
  <c r="EE378" i="17"/>
  <c r="EF378" i="17"/>
  <c r="EG378" i="17"/>
  <c r="EH378" i="17"/>
  <c r="EI378" i="17"/>
  <c r="EJ378" i="17"/>
  <c r="EK378" i="17"/>
  <c r="EL378" i="17"/>
  <c r="EM378" i="17"/>
  <c r="EN378" i="17"/>
  <c r="EO378" i="17"/>
  <c r="EP378" i="17"/>
  <c r="EQ378" i="17"/>
  <c r="ER378" i="17"/>
  <c r="ES378" i="17"/>
  <c r="ET378" i="17"/>
  <c r="EU378" i="17"/>
  <c r="EV378" i="17"/>
  <c r="EW378" i="17"/>
  <c r="EX378" i="17"/>
  <c r="EY378" i="17"/>
  <c r="EZ378" i="17"/>
  <c r="FA378" i="17"/>
  <c r="FB378" i="17"/>
  <c r="FC378" i="17"/>
  <c r="FD378" i="17"/>
  <c r="FE378" i="17"/>
  <c r="FF378" i="17"/>
  <c r="FG378" i="17"/>
  <c r="FH378" i="17"/>
  <c r="FI378" i="17"/>
  <c r="FJ378" i="17"/>
  <c r="FK378" i="17"/>
  <c r="FL378" i="17"/>
  <c r="FM378" i="17"/>
  <c r="FN378" i="17"/>
  <c r="FO378" i="17"/>
  <c r="FP378" i="17"/>
  <c r="FQ378" i="17"/>
  <c r="FR378" i="17"/>
  <c r="FS378" i="17"/>
  <c r="FT378" i="17"/>
  <c r="FU378" i="17"/>
  <c r="FV378" i="17"/>
  <c r="FW378" i="17"/>
  <c r="FX378" i="17"/>
  <c r="FY378" i="17"/>
  <c r="FZ378" i="17"/>
  <c r="GA378" i="17"/>
  <c r="GB378" i="17"/>
  <c r="GC378" i="17"/>
  <c r="GD378" i="17"/>
  <c r="GE378" i="17"/>
  <c r="GF378" i="17"/>
  <c r="GG378" i="17"/>
  <c r="GH378" i="17"/>
  <c r="GI378" i="17"/>
  <c r="GJ378" i="17"/>
  <c r="GK378" i="17"/>
  <c r="GL378" i="17"/>
  <c r="GM378" i="17"/>
  <c r="GN378" i="17"/>
  <c r="GO378" i="17"/>
  <c r="GP378" i="17"/>
  <c r="GQ378" i="17"/>
  <c r="GR378" i="17"/>
  <c r="GS378" i="17"/>
  <c r="GT378" i="17"/>
  <c r="GU378" i="17"/>
  <c r="GV378" i="17"/>
  <c r="GW378" i="17"/>
  <c r="GX378" i="17"/>
  <c r="GY378" i="17"/>
  <c r="GZ378" i="17"/>
  <c r="HA378" i="17"/>
  <c r="HB378" i="17"/>
  <c r="HC378" i="17"/>
  <c r="HD378" i="17"/>
  <c r="HE378" i="17"/>
  <c r="HF378" i="17"/>
  <c r="HG378" i="17"/>
  <c r="HH378" i="17"/>
  <c r="HI378" i="17"/>
  <c r="HJ378" i="17"/>
  <c r="HK378" i="17"/>
  <c r="HL378" i="17"/>
  <c r="HM378" i="17"/>
  <c r="HN378" i="17"/>
  <c r="HO378" i="17"/>
  <c r="HP378" i="17"/>
  <c r="HQ378" i="17"/>
  <c r="HR378" i="17"/>
  <c r="HS378" i="17"/>
  <c r="HT378" i="17"/>
  <c r="HU378" i="17"/>
  <c r="HV378" i="17"/>
  <c r="HW378" i="17"/>
  <c r="HX378" i="17"/>
  <c r="HY378" i="17"/>
  <c r="HZ378" i="17"/>
  <c r="IA378" i="17"/>
  <c r="IB378" i="17"/>
  <c r="IC378" i="17"/>
  <c r="ID378" i="17"/>
  <c r="IE378" i="17"/>
  <c r="IF378" i="17"/>
  <c r="IG378" i="17"/>
  <c r="IH378" i="17"/>
  <c r="II378" i="17"/>
  <c r="IJ378" i="17"/>
  <c r="IK378" i="17"/>
  <c r="IL378" i="17"/>
  <c r="IM378" i="17"/>
  <c r="IN378" i="17"/>
  <c r="IO378" i="17"/>
  <c r="IP378" i="17"/>
  <c r="IQ378" i="17"/>
  <c r="IR378" i="17"/>
  <c r="IS378" i="17"/>
  <c r="IT378" i="17"/>
  <c r="IU378" i="17"/>
  <c r="IV378" i="17"/>
  <c r="A377" i="17"/>
  <c r="B377" i="17"/>
  <c r="C377" i="17"/>
  <c r="D377" i="17"/>
  <c r="E377" i="17"/>
  <c r="F377" i="17"/>
  <c r="G377" i="17"/>
  <c r="H377" i="17"/>
  <c r="I377" i="17"/>
  <c r="J377" i="17"/>
  <c r="K377" i="17"/>
  <c r="L377" i="17"/>
  <c r="M377" i="17"/>
  <c r="N377" i="17"/>
  <c r="O377" i="17"/>
  <c r="P377" i="17"/>
  <c r="Q377" i="17"/>
  <c r="R377" i="17"/>
  <c r="S377" i="17"/>
  <c r="T377" i="17"/>
  <c r="U377" i="17"/>
  <c r="V377" i="17"/>
  <c r="W377" i="17"/>
  <c r="X377" i="17"/>
  <c r="Y377" i="17"/>
  <c r="Z377" i="17"/>
  <c r="AA377" i="17"/>
  <c r="AB377" i="17"/>
  <c r="AC377" i="17"/>
  <c r="AD377" i="17"/>
  <c r="AE377" i="17"/>
  <c r="AF377" i="17"/>
  <c r="AG377" i="17"/>
  <c r="AH377" i="17"/>
  <c r="AI377" i="17"/>
  <c r="AJ377" i="17"/>
  <c r="AK377" i="17"/>
  <c r="AL377" i="17"/>
  <c r="AM377" i="17"/>
  <c r="AN377" i="17"/>
  <c r="AO377" i="17"/>
  <c r="AP377" i="17"/>
  <c r="AQ377" i="17"/>
  <c r="AR377" i="17"/>
  <c r="AS377" i="17"/>
  <c r="AT377" i="17"/>
  <c r="AU377" i="17"/>
  <c r="AV377" i="17"/>
  <c r="AW377" i="17"/>
  <c r="AX377" i="17"/>
  <c r="AY377" i="17"/>
  <c r="AZ377" i="17"/>
  <c r="BA377" i="17"/>
  <c r="BB377" i="17"/>
  <c r="BC377" i="17"/>
  <c r="BD377" i="17"/>
  <c r="BE377" i="17"/>
  <c r="BF377" i="17"/>
  <c r="BG377" i="17"/>
  <c r="BH377" i="17"/>
  <c r="BI377" i="17"/>
  <c r="BJ377" i="17"/>
  <c r="BK377" i="17"/>
  <c r="BL377" i="17"/>
  <c r="BM377" i="17"/>
  <c r="BN377" i="17"/>
  <c r="BO377" i="17"/>
  <c r="BP377" i="17"/>
  <c r="BQ377" i="17"/>
  <c r="BR377" i="17"/>
  <c r="BS377" i="17"/>
  <c r="BT377" i="17"/>
  <c r="BU377" i="17"/>
  <c r="BV377" i="17"/>
  <c r="BW377" i="17"/>
  <c r="BX377" i="17"/>
  <c r="BY377" i="17"/>
  <c r="BZ377" i="17"/>
  <c r="CA377" i="17"/>
  <c r="CB377" i="17"/>
  <c r="CC377" i="17"/>
  <c r="CD377" i="17"/>
  <c r="CE377" i="17"/>
  <c r="CF377" i="17"/>
  <c r="CG377" i="17"/>
  <c r="CH377" i="17"/>
  <c r="CI377" i="17"/>
  <c r="CJ377" i="17"/>
  <c r="CK377" i="17"/>
  <c r="CL377" i="17"/>
  <c r="CM377" i="17"/>
  <c r="CN377" i="17"/>
  <c r="CO377" i="17"/>
  <c r="CP377" i="17"/>
  <c r="CQ377" i="17"/>
  <c r="CR377" i="17"/>
  <c r="CS377" i="17"/>
  <c r="CT377" i="17"/>
  <c r="CU377" i="17"/>
  <c r="CV377" i="17"/>
  <c r="CW377" i="17"/>
  <c r="CX377" i="17"/>
  <c r="CY377" i="17"/>
  <c r="CZ377" i="17"/>
  <c r="DA377" i="17"/>
  <c r="DB377" i="17"/>
  <c r="DC377" i="17"/>
  <c r="DD377" i="17"/>
  <c r="DE377" i="17"/>
  <c r="DF377" i="17"/>
  <c r="DG377" i="17"/>
  <c r="DH377" i="17"/>
  <c r="DI377" i="17"/>
  <c r="DJ377" i="17"/>
  <c r="DK377" i="17"/>
  <c r="DL377" i="17"/>
  <c r="DM377" i="17"/>
  <c r="DN377" i="17"/>
  <c r="DO377" i="17"/>
  <c r="DP377" i="17"/>
  <c r="DQ377" i="17"/>
  <c r="DR377" i="17"/>
  <c r="DS377" i="17"/>
  <c r="DT377" i="17"/>
  <c r="DU377" i="17"/>
  <c r="DV377" i="17"/>
  <c r="DW377" i="17"/>
  <c r="DX377" i="17"/>
  <c r="DY377" i="17"/>
  <c r="DZ377" i="17"/>
  <c r="EA377" i="17"/>
  <c r="EB377" i="17"/>
  <c r="EC377" i="17"/>
  <c r="ED377" i="17"/>
  <c r="EE377" i="17"/>
  <c r="EF377" i="17"/>
  <c r="EG377" i="17"/>
  <c r="EH377" i="17"/>
  <c r="EI377" i="17"/>
  <c r="EJ377" i="17"/>
  <c r="EK377" i="17"/>
  <c r="EL377" i="17"/>
  <c r="EM377" i="17"/>
  <c r="EN377" i="17"/>
  <c r="EO377" i="17"/>
  <c r="EP377" i="17"/>
  <c r="EQ377" i="17"/>
  <c r="ER377" i="17"/>
  <c r="ES377" i="17"/>
  <c r="ET377" i="17"/>
  <c r="EU377" i="17"/>
  <c r="EV377" i="17"/>
  <c r="EW377" i="17"/>
  <c r="EX377" i="17"/>
  <c r="EY377" i="17"/>
  <c r="EZ377" i="17"/>
  <c r="FA377" i="17"/>
  <c r="FB377" i="17"/>
  <c r="FC377" i="17"/>
  <c r="FD377" i="17"/>
  <c r="FE377" i="17"/>
  <c r="FF377" i="17"/>
  <c r="FG377" i="17"/>
  <c r="FH377" i="17"/>
  <c r="FI377" i="17"/>
  <c r="FJ377" i="17"/>
  <c r="FK377" i="17"/>
  <c r="FL377" i="17"/>
  <c r="FM377" i="17"/>
  <c r="FN377" i="17"/>
  <c r="FO377" i="17"/>
  <c r="FP377" i="17"/>
  <c r="FQ377" i="17"/>
  <c r="FR377" i="17"/>
  <c r="FS377" i="17"/>
  <c r="FT377" i="17"/>
  <c r="FU377" i="17"/>
  <c r="FV377" i="17"/>
  <c r="FW377" i="17"/>
  <c r="FX377" i="17"/>
  <c r="FY377" i="17"/>
  <c r="FZ377" i="17"/>
  <c r="GA377" i="17"/>
  <c r="GB377" i="17"/>
  <c r="GC377" i="17"/>
  <c r="GD377" i="17"/>
  <c r="GE377" i="17"/>
  <c r="GF377" i="17"/>
  <c r="GG377" i="17"/>
  <c r="GH377" i="17"/>
  <c r="GI377" i="17"/>
  <c r="GJ377" i="17"/>
  <c r="GK377" i="17"/>
  <c r="GL377" i="17"/>
  <c r="GM377" i="17"/>
  <c r="GN377" i="17"/>
  <c r="GO377" i="17"/>
  <c r="GP377" i="17"/>
  <c r="GQ377" i="17"/>
  <c r="GR377" i="17"/>
  <c r="GS377" i="17"/>
  <c r="GT377" i="17"/>
  <c r="GU377" i="17"/>
  <c r="GV377" i="17"/>
  <c r="GW377" i="17"/>
  <c r="GX377" i="17"/>
  <c r="GY377" i="17"/>
  <c r="GZ377" i="17"/>
  <c r="HA377" i="17"/>
  <c r="HB377" i="17"/>
  <c r="HC377" i="17"/>
  <c r="HD377" i="17"/>
  <c r="HE377" i="17"/>
  <c r="HF377" i="17"/>
  <c r="HG377" i="17"/>
  <c r="HH377" i="17"/>
  <c r="HI377" i="17"/>
  <c r="HJ377" i="17"/>
  <c r="HK377" i="17"/>
  <c r="HL377" i="17"/>
  <c r="HM377" i="17"/>
  <c r="HN377" i="17"/>
  <c r="HO377" i="17"/>
  <c r="HP377" i="17"/>
  <c r="HQ377" i="17"/>
  <c r="HR377" i="17"/>
  <c r="HS377" i="17"/>
  <c r="HT377" i="17"/>
  <c r="HU377" i="17"/>
  <c r="HV377" i="17"/>
  <c r="HW377" i="17"/>
  <c r="HX377" i="17"/>
  <c r="HY377" i="17"/>
  <c r="HZ377" i="17"/>
  <c r="IA377" i="17"/>
  <c r="IB377" i="17"/>
  <c r="IC377" i="17"/>
  <c r="ID377" i="17"/>
  <c r="IE377" i="17"/>
  <c r="IF377" i="17"/>
  <c r="IG377" i="17"/>
  <c r="IH377" i="17"/>
  <c r="II377" i="17"/>
  <c r="IJ377" i="17"/>
  <c r="IK377" i="17"/>
  <c r="IL377" i="17"/>
  <c r="IM377" i="17"/>
  <c r="IN377" i="17"/>
  <c r="IO377" i="17"/>
  <c r="IP377" i="17"/>
  <c r="IQ377" i="17"/>
  <c r="IR377" i="17"/>
  <c r="IS377" i="17"/>
  <c r="IT377" i="17"/>
  <c r="IU377" i="17"/>
  <c r="IV377" i="17"/>
  <c r="A376" i="17"/>
  <c r="B376" i="17"/>
  <c r="C376" i="17"/>
  <c r="D376" i="17"/>
  <c r="E376" i="17"/>
  <c r="F376" i="17"/>
  <c r="G376" i="17"/>
  <c r="H376" i="17"/>
  <c r="I376" i="17"/>
  <c r="J376" i="17"/>
  <c r="K376" i="17"/>
  <c r="L376" i="17"/>
  <c r="M376" i="17"/>
  <c r="N376" i="17"/>
  <c r="O376" i="17"/>
  <c r="P376" i="17"/>
  <c r="Q376" i="17"/>
  <c r="R376" i="17"/>
  <c r="S376" i="17"/>
  <c r="T376" i="17"/>
  <c r="U376" i="17"/>
  <c r="V376" i="17"/>
  <c r="W376" i="17"/>
  <c r="X376" i="17"/>
  <c r="Y376" i="17"/>
  <c r="Z376" i="17"/>
  <c r="AA376" i="17"/>
  <c r="AB376" i="17"/>
  <c r="AC376" i="17"/>
  <c r="AD376" i="17"/>
  <c r="AE376" i="17"/>
  <c r="AF376" i="17"/>
  <c r="AG376" i="17"/>
  <c r="AH376" i="17"/>
  <c r="AI376" i="17"/>
  <c r="AJ376" i="17"/>
  <c r="AK376" i="17"/>
  <c r="AL376" i="17"/>
  <c r="AM376" i="17"/>
  <c r="AN376" i="17"/>
  <c r="AO376" i="17"/>
  <c r="AP376" i="17"/>
  <c r="AQ376" i="17"/>
  <c r="AR376" i="17"/>
  <c r="AS376" i="17"/>
  <c r="AT376" i="17"/>
  <c r="AU376" i="17"/>
  <c r="AV376" i="17"/>
  <c r="AW376" i="17"/>
  <c r="AX376" i="17"/>
  <c r="AY376" i="17"/>
  <c r="AZ376" i="17"/>
  <c r="BA376" i="17"/>
  <c r="BB376" i="17"/>
  <c r="BC376" i="17"/>
  <c r="BD376" i="17"/>
  <c r="BE376" i="17"/>
  <c r="BF376" i="17"/>
  <c r="BG376" i="17"/>
  <c r="BH376" i="17"/>
  <c r="BI376" i="17"/>
  <c r="BJ376" i="17"/>
  <c r="BK376" i="17"/>
  <c r="BL376" i="17"/>
  <c r="BM376" i="17"/>
  <c r="BN376" i="17"/>
  <c r="BO376" i="17"/>
  <c r="BP376" i="17"/>
  <c r="BQ376" i="17"/>
  <c r="BR376" i="17"/>
  <c r="BS376" i="17"/>
  <c r="BT376" i="17"/>
  <c r="BU376" i="17"/>
  <c r="BV376" i="17"/>
  <c r="BW376" i="17"/>
  <c r="BX376" i="17"/>
  <c r="BY376" i="17"/>
  <c r="BZ376" i="17"/>
  <c r="CA376" i="17"/>
  <c r="CB376" i="17"/>
  <c r="CC376" i="17"/>
  <c r="CD376" i="17"/>
  <c r="CE376" i="17"/>
  <c r="CF376" i="17"/>
  <c r="CG376" i="17"/>
  <c r="CH376" i="17"/>
  <c r="CI376" i="17"/>
  <c r="CJ376" i="17"/>
  <c r="CK376" i="17"/>
  <c r="CL376" i="17"/>
  <c r="CM376" i="17"/>
  <c r="CN376" i="17"/>
  <c r="CO376" i="17"/>
  <c r="CP376" i="17"/>
  <c r="CQ376" i="17"/>
  <c r="CR376" i="17"/>
  <c r="CS376" i="17"/>
  <c r="CT376" i="17"/>
  <c r="CU376" i="17"/>
  <c r="CV376" i="17"/>
  <c r="CW376" i="17"/>
  <c r="CX376" i="17"/>
  <c r="CY376" i="17"/>
  <c r="CZ376" i="17"/>
  <c r="DA376" i="17"/>
  <c r="DB376" i="17"/>
  <c r="DC376" i="17"/>
  <c r="DD376" i="17"/>
  <c r="DE376" i="17"/>
  <c r="DF376" i="17"/>
  <c r="DG376" i="17"/>
  <c r="DH376" i="17"/>
  <c r="DI376" i="17"/>
  <c r="DJ376" i="17"/>
  <c r="DK376" i="17"/>
  <c r="DL376" i="17"/>
  <c r="DM376" i="17"/>
  <c r="DN376" i="17"/>
  <c r="DO376" i="17"/>
  <c r="DP376" i="17"/>
  <c r="DQ376" i="17"/>
  <c r="DR376" i="17"/>
  <c r="DS376" i="17"/>
  <c r="DT376" i="17"/>
  <c r="DU376" i="17"/>
  <c r="DV376" i="17"/>
  <c r="DW376" i="17"/>
  <c r="DX376" i="17"/>
  <c r="DY376" i="17"/>
  <c r="DZ376" i="17"/>
  <c r="EA376" i="17"/>
  <c r="EB376" i="17"/>
  <c r="EC376" i="17"/>
  <c r="ED376" i="17"/>
  <c r="EE376" i="17"/>
  <c r="EF376" i="17"/>
  <c r="EG376" i="17"/>
  <c r="EH376" i="17"/>
  <c r="EI376" i="17"/>
  <c r="EJ376" i="17"/>
  <c r="EK376" i="17"/>
  <c r="EL376" i="17"/>
  <c r="EM376" i="17"/>
  <c r="EN376" i="17"/>
  <c r="EO376" i="17"/>
  <c r="EP376" i="17"/>
  <c r="EQ376" i="17"/>
  <c r="ER376" i="17"/>
  <c r="ES376" i="17"/>
  <c r="ET376" i="17"/>
  <c r="EU376" i="17"/>
  <c r="EV376" i="17"/>
  <c r="EW376" i="17"/>
  <c r="EX376" i="17"/>
  <c r="EY376" i="17"/>
  <c r="EZ376" i="17"/>
  <c r="FA376" i="17"/>
  <c r="FB376" i="17"/>
  <c r="FC376" i="17"/>
  <c r="FD376" i="17"/>
  <c r="FE376" i="17"/>
  <c r="FF376" i="17"/>
  <c r="FG376" i="17"/>
  <c r="FH376" i="17"/>
  <c r="FI376" i="17"/>
  <c r="FJ376" i="17"/>
  <c r="FK376" i="17"/>
  <c r="FL376" i="17"/>
  <c r="FM376" i="17"/>
  <c r="FN376" i="17"/>
  <c r="FO376" i="17"/>
  <c r="FP376" i="17"/>
  <c r="FQ376" i="17"/>
  <c r="FR376" i="17"/>
  <c r="FS376" i="17"/>
  <c r="FT376" i="17"/>
  <c r="FU376" i="17"/>
  <c r="FV376" i="17"/>
  <c r="FW376" i="17"/>
  <c r="FX376" i="17"/>
  <c r="FY376" i="17"/>
  <c r="FZ376" i="17"/>
  <c r="GA376" i="17"/>
  <c r="GB376" i="17"/>
  <c r="GC376" i="17"/>
  <c r="GD376" i="17"/>
  <c r="GE376" i="17"/>
  <c r="GF376" i="17"/>
  <c r="GG376" i="17"/>
  <c r="GH376" i="17"/>
  <c r="GI376" i="17"/>
  <c r="GJ376" i="17"/>
  <c r="GK376" i="17"/>
  <c r="GL376" i="17"/>
  <c r="GM376" i="17"/>
  <c r="GN376" i="17"/>
  <c r="GO376" i="17"/>
  <c r="GP376" i="17"/>
  <c r="GQ376" i="17"/>
  <c r="GR376" i="17"/>
  <c r="GS376" i="17"/>
  <c r="GT376" i="17"/>
  <c r="GU376" i="17"/>
  <c r="GV376" i="17"/>
  <c r="GW376" i="17"/>
  <c r="GX376" i="17"/>
  <c r="GY376" i="17"/>
  <c r="GZ376" i="17"/>
  <c r="HA376" i="17"/>
  <c r="HB376" i="17"/>
  <c r="HC376" i="17"/>
  <c r="HD376" i="17"/>
  <c r="HE376" i="17"/>
  <c r="HF376" i="17"/>
  <c r="HG376" i="17"/>
  <c r="HH376" i="17"/>
  <c r="HI376" i="17"/>
  <c r="HJ376" i="17"/>
  <c r="HK376" i="17"/>
  <c r="HL376" i="17"/>
  <c r="HM376" i="17"/>
  <c r="HN376" i="17"/>
  <c r="HO376" i="17"/>
  <c r="HP376" i="17"/>
  <c r="HQ376" i="17"/>
  <c r="HR376" i="17"/>
  <c r="HS376" i="17"/>
  <c r="HT376" i="17"/>
  <c r="HU376" i="17"/>
  <c r="HV376" i="17"/>
  <c r="HW376" i="17"/>
  <c r="HX376" i="17"/>
  <c r="HY376" i="17"/>
  <c r="HZ376" i="17"/>
  <c r="IA376" i="17"/>
  <c r="IB376" i="17"/>
  <c r="IC376" i="17"/>
  <c r="ID376" i="17"/>
  <c r="IE376" i="17"/>
  <c r="IF376" i="17"/>
  <c r="IG376" i="17"/>
  <c r="IH376" i="17"/>
  <c r="II376" i="17"/>
  <c r="IJ376" i="17"/>
  <c r="IK376" i="17"/>
  <c r="IL376" i="17"/>
  <c r="IM376" i="17"/>
  <c r="IN376" i="17"/>
  <c r="IO376" i="17"/>
  <c r="IP376" i="17"/>
  <c r="IQ376" i="17"/>
  <c r="IR376" i="17"/>
  <c r="IS376" i="17"/>
  <c r="IT376" i="17"/>
  <c r="IU376" i="17"/>
  <c r="IV376" i="17"/>
  <c r="A375" i="17"/>
  <c r="B375" i="17"/>
  <c r="C375" i="17"/>
  <c r="D375" i="17"/>
  <c r="E375" i="17"/>
  <c r="F375" i="17"/>
  <c r="G375" i="17"/>
  <c r="H375" i="17"/>
  <c r="I375" i="17"/>
  <c r="J375" i="17"/>
  <c r="K375" i="17"/>
  <c r="L375" i="17"/>
  <c r="M375" i="17"/>
  <c r="N375" i="17"/>
  <c r="O375" i="17"/>
  <c r="P375" i="17"/>
  <c r="Q375" i="17"/>
  <c r="R375" i="17"/>
  <c r="S375" i="17"/>
  <c r="T375" i="17"/>
  <c r="U375" i="17"/>
  <c r="V375" i="17"/>
  <c r="W375" i="17"/>
  <c r="X375" i="17"/>
  <c r="Y375" i="17"/>
  <c r="Z375" i="17"/>
  <c r="AA375" i="17"/>
  <c r="AB375" i="17"/>
  <c r="AC375" i="17"/>
  <c r="AD375" i="17"/>
  <c r="AE375" i="17"/>
  <c r="AF375" i="17"/>
  <c r="AG375" i="17"/>
  <c r="AH375" i="17"/>
  <c r="AI375" i="17"/>
  <c r="AJ375" i="17"/>
  <c r="AK375" i="17"/>
  <c r="AL375" i="17"/>
  <c r="AM375" i="17"/>
  <c r="AN375" i="17"/>
  <c r="AO375" i="17"/>
  <c r="AP375" i="17"/>
  <c r="AQ375" i="17"/>
  <c r="AR375" i="17"/>
  <c r="AS375" i="17"/>
  <c r="AT375" i="17"/>
  <c r="AU375" i="17"/>
  <c r="AV375" i="17"/>
  <c r="AW375" i="17"/>
  <c r="AX375" i="17"/>
  <c r="AY375" i="17"/>
  <c r="AZ375" i="17"/>
  <c r="BA375" i="17"/>
  <c r="BB375" i="17"/>
  <c r="BC375" i="17"/>
  <c r="BD375" i="17"/>
  <c r="BE375" i="17"/>
  <c r="BF375" i="17"/>
  <c r="BG375" i="17"/>
  <c r="BH375" i="17"/>
  <c r="BI375" i="17"/>
  <c r="BJ375" i="17"/>
  <c r="BK375" i="17"/>
  <c r="BL375" i="17"/>
  <c r="BM375" i="17"/>
  <c r="BN375" i="17"/>
  <c r="BO375" i="17"/>
  <c r="BP375" i="17"/>
  <c r="BQ375" i="17"/>
  <c r="BR375" i="17"/>
  <c r="BS375" i="17"/>
  <c r="BT375" i="17"/>
  <c r="BU375" i="17"/>
  <c r="BV375" i="17"/>
  <c r="BW375" i="17"/>
  <c r="BX375" i="17"/>
  <c r="BY375" i="17"/>
  <c r="BZ375" i="17"/>
  <c r="CA375" i="17"/>
  <c r="CB375" i="17"/>
  <c r="CC375" i="17"/>
  <c r="CD375" i="17"/>
  <c r="CE375" i="17"/>
  <c r="CF375" i="17"/>
  <c r="CG375" i="17"/>
  <c r="CH375" i="17"/>
  <c r="CI375" i="17"/>
  <c r="CJ375" i="17"/>
  <c r="CK375" i="17"/>
  <c r="CL375" i="17"/>
  <c r="CM375" i="17"/>
  <c r="CN375" i="17"/>
  <c r="CO375" i="17"/>
  <c r="CP375" i="17"/>
  <c r="CQ375" i="17"/>
  <c r="CR375" i="17"/>
  <c r="CS375" i="17"/>
  <c r="CT375" i="17"/>
  <c r="CU375" i="17"/>
  <c r="CV375" i="17"/>
  <c r="CW375" i="17"/>
  <c r="CX375" i="17"/>
  <c r="CY375" i="17"/>
  <c r="CZ375" i="17"/>
  <c r="DA375" i="17"/>
  <c r="DB375" i="17"/>
  <c r="DC375" i="17"/>
  <c r="DD375" i="17"/>
  <c r="DE375" i="17"/>
  <c r="DF375" i="17"/>
  <c r="DG375" i="17"/>
  <c r="DH375" i="17"/>
  <c r="DI375" i="17"/>
  <c r="DJ375" i="17"/>
  <c r="DK375" i="17"/>
  <c r="DL375" i="17"/>
  <c r="DM375" i="17"/>
  <c r="DN375" i="17"/>
  <c r="DO375" i="17"/>
  <c r="DP375" i="17"/>
  <c r="DQ375" i="17"/>
  <c r="DR375" i="17"/>
  <c r="DS375" i="17"/>
  <c r="DT375" i="17"/>
  <c r="DU375" i="17"/>
  <c r="DV375" i="17"/>
  <c r="DW375" i="17"/>
  <c r="DX375" i="17"/>
  <c r="DY375" i="17"/>
  <c r="DZ375" i="17"/>
  <c r="EA375" i="17"/>
  <c r="EB375" i="17"/>
  <c r="EC375" i="17"/>
  <c r="ED375" i="17"/>
  <c r="EE375" i="17"/>
  <c r="EF375" i="17"/>
  <c r="EG375" i="17"/>
  <c r="EH375" i="17"/>
  <c r="EI375" i="17"/>
  <c r="EJ375" i="17"/>
  <c r="EK375" i="17"/>
  <c r="EL375" i="17"/>
  <c r="EM375" i="17"/>
  <c r="EN375" i="17"/>
  <c r="EO375" i="17"/>
  <c r="EP375" i="17"/>
  <c r="EQ375" i="17"/>
  <c r="ER375" i="17"/>
  <c r="ES375" i="17"/>
  <c r="ET375" i="17"/>
  <c r="EU375" i="17"/>
  <c r="EV375" i="17"/>
  <c r="EW375" i="17"/>
  <c r="EX375" i="17"/>
  <c r="EY375" i="17"/>
  <c r="EZ375" i="17"/>
  <c r="FA375" i="17"/>
  <c r="FB375" i="17"/>
  <c r="FC375" i="17"/>
  <c r="FD375" i="17"/>
  <c r="FE375" i="17"/>
  <c r="FF375" i="17"/>
  <c r="FG375" i="17"/>
  <c r="FH375" i="17"/>
  <c r="FI375" i="17"/>
  <c r="FJ375" i="17"/>
  <c r="FK375" i="17"/>
  <c r="FL375" i="17"/>
  <c r="FM375" i="17"/>
  <c r="FN375" i="17"/>
  <c r="FO375" i="17"/>
  <c r="FP375" i="17"/>
  <c r="FQ375" i="17"/>
  <c r="FR375" i="17"/>
  <c r="FS375" i="17"/>
  <c r="FT375" i="17"/>
  <c r="FU375" i="17"/>
  <c r="FV375" i="17"/>
  <c r="FW375" i="17"/>
  <c r="FX375" i="17"/>
  <c r="FY375" i="17"/>
  <c r="FZ375" i="17"/>
  <c r="GA375" i="17"/>
  <c r="GB375" i="17"/>
  <c r="GC375" i="17"/>
  <c r="GD375" i="17"/>
  <c r="GE375" i="17"/>
  <c r="GF375" i="17"/>
  <c r="GG375" i="17"/>
  <c r="GH375" i="17"/>
  <c r="GI375" i="17"/>
  <c r="GJ375" i="17"/>
  <c r="GK375" i="17"/>
  <c r="GL375" i="17"/>
  <c r="GM375" i="17"/>
  <c r="GN375" i="17"/>
  <c r="GO375" i="17"/>
  <c r="GP375" i="17"/>
  <c r="GQ375" i="17"/>
  <c r="GR375" i="17"/>
  <c r="GS375" i="17"/>
  <c r="GT375" i="17"/>
  <c r="GU375" i="17"/>
  <c r="GV375" i="17"/>
  <c r="GW375" i="17"/>
  <c r="GX375" i="17"/>
  <c r="GY375" i="17"/>
  <c r="GZ375" i="17"/>
  <c r="HA375" i="17"/>
  <c r="HB375" i="17"/>
  <c r="HC375" i="17"/>
  <c r="HD375" i="17"/>
  <c r="HE375" i="17"/>
  <c r="HF375" i="17"/>
  <c r="HG375" i="17"/>
  <c r="HH375" i="17"/>
  <c r="HI375" i="17"/>
  <c r="HJ375" i="17"/>
  <c r="HK375" i="17"/>
  <c r="HL375" i="17"/>
  <c r="HM375" i="17"/>
  <c r="HN375" i="17"/>
  <c r="HO375" i="17"/>
  <c r="HP375" i="17"/>
  <c r="HQ375" i="17"/>
  <c r="HR375" i="17"/>
  <c r="HS375" i="17"/>
  <c r="HT375" i="17"/>
  <c r="HU375" i="17"/>
  <c r="HV375" i="17"/>
  <c r="HW375" i="17"/>
  <c r="HX375" i="17"/>
  <c r="HY375" i="17"/>
  <c r="HZ375" i="17"/>
  <c r="IA375" i="17"/>
  <c r="IB375" i="17"/>
  <c r="IC375" i="17"/>
  <c r="ID375" i="17"/>
  <c r="IE375" i="17"/>
  <c r="IF375" i="17"/>
  <c r="IG375" i="17"/>
  <c r="IH375" i="17"/>
  <c r="II375" i="17"/>
  <c r="IJ375" i="17"/>
  <c r="IK375" i="17"/>
  <c r="IL375" i="17"/>
  <c r="IM375" i="17"/>
  <c r="IN375" i="17"/>
  <c r="IO375" i="17"/>
  <c r="IP375" i="17"/>
  <c r="IQ375" i="17"/>
  <c r="IR375" i="17"/>
  <c r="IS375" i="17"/>
  <c r="IT375" i="17"/>
  <c r="IU375" i="17"/>
  <c r="IV375" i="17"/>
  <c r="A374" i="17"/>
  <c r="B374" i="17"/>
  <c r="C374" i="17"/>
  <c r="D374" i="17"/>
  <c r="E374" i="17"/>
  <c r="F374" i="17"/>
  <c r="G374" i="17"/>
  <c r="H374" i="17"/>
  <c r="I374" i="17"/>
  <c r="J374" i="17"/>
  <c r="K374" i="17"/>
  <c r="L374" i="17"/>
  <c r="M374" i="17"/>
  <c r="N374" i="17"/>
  <c r="O374" i="17"/>
  <c r="P374" i="17"/>
  <c r="Q374" i="17"/>
  <c r="R374" i="17"/>
  <c r="S374" i="17"/>
  <c r="T374" i="17"/>
  <c r="U374" i="17"/>
  <c r="V374" i="17"/>
  <c r="W374" i="17"/>
  <c r="X374" i="17"/>
  <c r="Y374" i="17"/>
  <c r="Z374" i="17"/>
  <c r="AA374" i="17"/>
  <c r="AB374" i="17"/>
  <c r="AC374" i="17"/>
  <c r="AD374" i="17"/>
  <c r="AE374" i="17"/>
  <c r="AF374" i="17"/>
  <c r="AG374" i="17"/>
  <c r="AH374" i="17"/>
  <c r="AI374" i="17"/>
  <c r="AJ374" i="17"/>
  <c r="AK374" i="17"/>
  <c r="AL374" i="17"/>
  <c r="AM374" i="17"/>
  <c r="AN374" i="17"/>
  <c r="AO374" i="17"/>
  <c r="AP374" i="17"/>
  <c r="AQ374" i="17"/>
  <c r="AR374" i="17"/>
  <c r="AS374" i="17"/>
  <c r="AT374" i="17"/>
  <c r="AU374" i="17"/>
  <c r="AV374" i="17"/>
  <c r="AW374" i="17"/>
  <c r="AX374" i="17"/>
  <c r="AY374" i="17"/>
  <c r="AZ374" i="17"/>
  <c r="BA374" i="17"/>
  <c r="BB374" i="17"/>
  <c r="BC374" i="17"/>
  <c r="BD374" i="17"/>
  <c r="BE374" i="17"/>
  <c r="BF374" i="17"/>
  <c r="BG374" i="17"/>
  <c r="BH374" i="17"/>
  <c r="BI374" i="17"/>
  <c r="BJ374" i="17"/>
  <c r="BK374" i="17"/>
  <c r="BL374" i="17"/>
  <c r="BM374" i="17"/>
  <c r="BN374" i="17"/>
  <c r="BO374" i="17"/>
  <c r="BP374" i="17"/>
  <c r="BQ374" i="17"/>
  <c r="BR374" i="17"/>
  <c r="BS374" i="17"/>
  <c r="BT374" i="17"/>
  <c r="BU374" i="17"/>
  <c r="BV374" i="17"/>
  <c r="BW374" i="17"/>
  <c r="BX374" i="17"/>
  <c r="BY374" i="17"/>
  <c r="BZ374" i="17"/>
  <c r="CA374" i="17"/>
  <c r="CB374" i="17"/>
  <c r="CC374" i="17"/>
  <c r="CD374" i="17"/>
  <c r="CE374" i="17"/>
  <c r="CF374" i="17"/>
  <c r="CG374" i="17"/>
  <c r="CH374" i="17"/>
  <c r="CI374" i="17"/>
  <c r="CJ374" i="17"/>
  <c r="CK374" i="17"/>
  <c r="CL374" i="17"/>
  <c r="CM374" i="17"/>
  <c r="CN374" i="17"/>
  <c r="CO374" i="17"/>
  <c r="CP374" i="17"/>
  <c r="CQ374" i="17"/>
  <c r="CR374" i="17"/>
  <c r="CS374" i="17"/>
  <c r="CT374" i="17"/>
  <c r="CU374" i="17"/>
  <c r="CV374" i="17"/>
  <c r="CW374" i="17"/>
  <c r="CX374" i="17"/>
  <c r="CY374" i="17"/>
  <c r="CZ374" i="17"/>
  <c r="DA374" i="17"/>
  <c r="DB374" i="17"/>
  <c r="DC374" i="17"/>
  <c r="DD374" i="17"/>
  <c r="DE374" i="17"/>
  <c r="DF374" i="17"/>
  <c r="DG374" i="17"/>
  <c r="DH374" i="17"/>
  <c r="DI374" i="17"/>
  <c r="DJ374" i="17"/>
  <c r="DK374" i="17"/>
  <c r="DL374" i="17"/>
  <c r="DM374" i="17"/>
  <c r="DN374" i="17"/>
  <c r="DO374" i="17"/>
  <c r="DP374" i="17"/>
  <c r="DQ374" i="17"/>
  <c r="DR374" i="17"/>
  <c r="DS374" i="17"/>
  <c r="DT374" i="17"/>
  <c r="DU374" i="17"/>
  <c r="DV374" i="17"/>
  <c r="DW374" i="17"/>
  <c r="DX374" i="17"/>
  <c r="DY374" i="17"/>
  <c r="DZ374" i="17"/>
  <c r="EA374" i="17"/>
  <c r="EB374" i="17"/>
  <c r="EC374" i="17"/>
  <c r="ED374" i="17"/>
  <c r="EE374" i="17"/>
  <c r="EF374" i="17"/>
  <c r="EG374" i="17"/>
  <c r="EH374" i="17"/>
  <c r="EI374" i="17"/>
  <c r="EJ374" i="17"/>
  <c r="EK374" i="17"/>
  <c r="EL374" i="17"/>
  <c r="EM374" i="17"/>
  <c r="EN374" i="17"/>
  <c r="EO374" i="17"/>
  <c r="EP374" i="17"/>
  <c r="EQ374" i="17"/>
  <c r="ER374" i="17"/>
  <c r="ES374" i="17"/>
  <c r="ET374" i="17"/>
  <c r="EU374" i="17"/>
  <c r="EV374" i="17"/>
  <c r="EW374" i="17"/>
  <c r="EX374" i="17"/>
  <c r="EY374" i="17"/>
  <c r="EZ374" i="17"/>
  <c r="FA374" i="17"/>
  <c r="FB374" i="17"/>
  <c r="FC374" i="17"/>
  <c r="FD374" i="17"/>
  <c r="FE374" i="17"/>
  <c r="FF374" i="17"/>
  <c r="FG374" i="17"/>
  <c r="FH374" i="17"/>
  <c r="FI374" i="17"/>
  <c r="FJ374" i="17"/>
  <c r="FK374" i="17"/>
  <c r="FL374" i="17"/>
  <c r="FM374" i="17"/>
  <c r="FN374" i="17"/>
  <c r="FO374" i="17"/>
  <c r="FP374" i="17"/>
  <c r="FQ374" i="17"/>
  <c r="FR374" i="17"/>
  <c r="FS374" i="17"/>
  <c r="FT374" i="17"/>
  <c r="FU374" i="17"/>
  <c r="FV374" i="17"/>
  <c r="FW374" i="17"/>
  <c r="FX374" i="17"/>
  <c r="FY374" i="17"/>
  <c r="FZ374" i="17"/>
  <c r="GA374" i="17"/>
  <c r="GB374" i="17"/>
  <c r="GC374" i="17"/>
  <c r="GD374" i="17"/>
  <c r="GE374" i="17"/>
  <c r="GF374" i="17"/>
  <c r="GG374" i="17"/>
  <c r="GH374" i="17"/>
  <c r="GI374" i="17"/>
  <c r="GJ374" i="17"/>
  <c r="GK374" i="17"/>
  <c r="GL374" i="17"/>
  <c r="GM374" i="17"/>
  <c r="GN374" i="17"/>
  <c r="GO374" i="17"/>
  <c r="GP374" i="17"/>
  <c r="GQ374" i="17"/>
  <c r="GR374" i="17"/>
  <c r="GS374" i="17"/>
  <c r="GT374" i="17"/>
  <c r="GU374" i="17"/>
  <c r="GV374" i="17"/>
  <c r="GW374" i="17"/>
  <c r="GX374" i="17"/>
  <c r="GY374" i="17"/>
  <c r="GZ374" i="17"/>
  <c r="HA374" i="17"/>
  <c r="HB374" i="17"/>
  <c r="HC374" i="17"/>
  <c r="HD374" i="17"/>
  <c r="HE374" i="17"/>
  <c r="HF374" i="17"/>
  <c r="HG374" i="17"/>
  <c r="HH374" i="17"/>
  <c r="HI374" i="17"/>
  <c r="HJ374" i="17"/>
  <c r="HK374" i="17"/>
  <c r="HL374" i="17"/>
  <c r="HM374" i="17"/>
  <c r="HN374" i="17"/>
  <c r="HO374" i="17"/>
  <c r="HP374" i="17"/>
  <c r="HQ374" i="17"/>
  <c r="HR374" i="17"/>
  <c r="HS374" i="17"/>
  <c r="HT374" i="17"/>
  <c r="HU374" i="17"/>
  <c r="HV374" i="17"/>
  <c r="HW374" i="17"/>
  <c r="HX374" i="17"/>
  <c r="HY374" i="17"/>
  <c r="HZ374" i="17"/>
  <c r="IA374" i="17"/>
  <c r="IB374" i="17"/>
  <c r="IC374" i="17"/>
  <c r="ID374" i="17"/>
  <c r="IE374" i="17"/>
  <c r="IF374" i="17"/>
  <c r="IG374" i="17"/>
  <c r="IH374" i="17"/>
  <c r="II374" i="17"/>
  <c r="IJ374" i="17"/>
  <c r="IK374" i="17"/>
  <c r="IL374" i="17"/>
  <c r="IM374" i="17"/>
  <c r="IN374" i="17"/>
  <c r="IO374" i="17"/>
  <c r="IP374" i="17"/>
  <c r="IQ374" i="17"/>
  <c r="IR374" i="17"/>
  <c r="IS374" i="17"/>
  <c r="IT374" i="17"/>
  <c r="IU374" i="17"/>
  <c r="IV374" i="17"/>
  <c r="A373" i="17"/>
  <c r="B373" i="17"/>
  <c r="C373" i="17"/>
  <c r="D373" i="17"/>
  <c r="E373" i="17"/>
  <c r="F373" i="17"/>
  <c r="G373" i="17"/>
  <c r="H373" i="17"/>
  <c r="I373" i="17"/>
  <c r="J373" i="17"/>
  <c r="K373" i="17"/>
  <c r="L373" i="17"/>
  <c r="M373" i="17"/>
  <c r="N373" i="17"/>
  <c r="O373" i="17"/>
  <c r="P373" i="17"/>
  <c r="Q373" i="17"/>
  <c r="R373" i="17"/>
  <c r="S373" i="17"/>
  <c r="T373" i="17"/>
  <c r="U373" i="17"/>
  <c r="V373" i="17"/>
  <c r="W373" i="17"/>
  <c r="X373" i="17"/>
  <c r="Y373" i="17"/>
  <c r="Z373" i="17"/>
  <c r="AA373" i="17"/>
  <c r="AB373" i="17"/>
  <c r="AC373" i="17"/>
  <c r="AD373" i="17"/>
  <c r="AE373" i="17"/>
  <c r="AF373" i="17"/>
  <c r="AG373" i="17"/>
  <c r="AH373" i="17"/>
  <c r="AI373" i="17"/>
  <c r="AJ373" i="17"/>
  <c r="AK373" i="17"/>
  <c r="AL373" i="17"/>
  <c r="AM373" i="17"/>
  <c r="AN373" i="17"/>
  <c r="AO373" i="17"/>
  <c r="AP373" i="17"/>
  <c r="AQ373" i="17"/>
  <c r="AR373" i="17"/>
  <c r="AS373" i="17"/>
  <c r="AT373" i="17"/>
  <c r="AU373" i="17"/>
  <c r="AV373" i="17"/>
  <c r="AW373" i="17"/>
  <c r="AX373" i="17"/>
  <c r="AY373" i="17"/>
  <c r="AZ373" i="17"/>
  <c r="BA373" i="17"/>
  <c r="BB373" i="17"/>
  <c r="BC373" i="17"/>
  <c r="BD373" i="17"/>
  <c r="BE373" i="17"/>
  <c r="BF373" i="17"/>
  <c r="BG373" i="17"/>
  <c r="BH373" i="17"/>
  <c r="BI373" i="17"/>
  <c r="BJ373" i="17"/>
  <c r="BK373" i="17"/>
  <c r="BL373" i="17"/>
  <c r="BM373" i="17"/>
  <c r="BN373" i="17"/>
  <c r="BO373" i="17"/>
  <c r="BP373" i="17"/>
  <c r="BQ373" i="17"/>
  <c r="BR373" i="17"/>
  <c r="BS373" i="17"/>
  <c r="BT373" i="17"/>
  <c r="BU373" i="17"/>
  <c r="BV373" i="17"/>
  <c r="BW373" i="17"/>
  <c r="BX373" i="17"/>
  <c r="BY373" i="17"/>
  <c r="BZ373" i="17"/>
  <c r="CA373" i="17"/>
  <c r="CB373" i="17"/>
  <c r="CC373" i="17"/>
  <c r="CD373" i="17"/>
  <c r="CE373" i="17"/>
  <c r="CF373" i="17"/>
  <c r="CG373" i="17"/>
  <c r="CH373" i="17"/>
  <c r="CI373" i="17"/>
  <c r="CJ373" i="17"/>
  <c r="CK373" i="17"/>
  <c r="CL373" i="17"/>
  <c r="CM373" i="17"/>
  <c r="CN373" i="17"/>
  <c r="CO373" i="17"/>
  <c r="CP373" i="17"/>
  <c r="CQ373" i="17"/>
  <c r="CR373" i="17"/>
  <c r="CS373" i="17"/>
  <c r="CT373" i="17"/>
  <c r="CU373" i="17"/>
  <c r="CV373" i="17"/>
  <c r="CW373" i="17"/>
  <c r="CX373" i="17"/>
  <c r="CY373" i="17"/>
  <c r="CZ373" i="17"/>
  <c r="DA373" i="17"/>
  <c r="DB373" i="17"/>
  <c r="DC373" i="17"/>
  <c r="DD373" i="17"/>
  <c r="DE373" i="17"/>
  <c r="DF373" i="17"/>
  <c r="DG373" i="17"/>
  <c r="DH373" i="17"/>
  <c r="DI373" i="17"/>
  <c r="DJ373" i="17"/>
  <c r="DK373" i="17"/>
  <c r="DL373" i="17"/>
  <c r="DM373" i="17"/>
  <c r="DN373" i="17"/>
  <c r="DO373" i="17"/>
  <c r="DP373" i="17"/>
  <c r="DQ373" i="17"/>
  <c r="DR373" i="17"/>
  <c r="DS373" i="17"/>
  <c r="DT373" i="17"/>
  <c r="DU373" i="17"/>
  <c r="DV373" i="17"/>
  <c r="DW373" i="17"/>
  <c r="DX373" i="17"/>
  <c r="DY373" i="17"/>
  <c r="DZ373" i="17"/>
  <c r="EA373" i="17"/>
  <c r="EB373" i="17"/>
  <c r="EC373" i="17"/>
  <c r="ED373" i="17"/>
  <c r="EE373" i="17"/>
  <c r="EF373" i="17"/>
  <c r="EG373" i="17"/>
  <c r="EH373" i="17"/>
  <c r="EI373" i="17"/>
  <c r="EJ373" i="17"/>
  <c r="EK373" i="17"/>
  <c r="EL373" i="17"/>
  <c r="EM373" i="17"/>
  <c r="EN373" i="17"/>
  <c r="EO373" i="17"/>
  <c r="EP373" i="17"/>
  <c r="EQ373" i="17"/>
  <c r="ER373" i="17"/>
  <c r="ES373" i="17"/>
  <c r="ET373" i="17"/>
  <c r="EU373" i="17"/>
  <c r="EV373" i="17"/>
  <c r="EW373" i="17"/>
  <c r="EX373" i="17"/>
  <c r="EY373" i="17"/>
  <c r="EZ373" i="17"/>
  <c r="FA373" i="17"/>
  <c r="FB373" i="17"/>
  <c r="FC373" i="17"/>
  <c r="FD373" i="17"/>
  <c r="FE373" i="17"/>
  <c r="FF373" i="17"/>
  <c r="FG373" i="17"/>
  <c r="FH373" i="17"/>
  <c r="FI373" i="17"/>
  <c r="FJ373" i="17"/>
  <c r="FK373" i="17"/>
  <c r="FL373" i="17"/>
  <c r="FM373" i="17"/>
  <c r="FN373" i="17"/>
  <c r="FO373" i="17"/>
  <c r="FP373" i="17"/>
  <c r="FQ373" i="17"/>
  <c r="FR373" i="17"/>
  <c r="FS373" i="17"/>
  <c r="FT373" i="17"/>
  <c r="FU373" i="17"/>
  <c r="FV373" i="17"/>
  <c r="FW373" i="17"/>
  <c r="FX373" i="17"/>
  <c r="FY373" i="17"/>
  <c r="FZ373" i="17"/>
  <c r="GA373" i="17"/>
  <c r="GB373" i="17"/>
  <c r="GC373" i="17"/>
  <c r="GD373" i="17"/>
  <c r="GE373" i="17"/>
  <c r="GF373" i="17"/>
  <c r="GG373" i="17"/>
  <c r="GH373" i="17"/>
  <c r="GI373" i="17"/>
  <c r="GJ373" i="17"/>
  <c r="GK373" i="17"/>
  <c r="GL373" i="17"/>
  <c r="GM373" i="17"/>
  <c r="GN373" i="17"/>
  <c r="GO373" i="17"/>
  <c r="GP373" i="17"/>
  <c r="GQ373" i="17"/>
  <c r="GR373" i="17"/>
  <c r="GS373" i="17"/>
  <c r="GT373" i="17"/>
  <c r="GU373" i="17"/>
  <c r="GV373" i="17"/>
  <c r="GW373" i="17"/>
  <c r="GX373" i="17"/>
  <c r="GY373" i="17"/>
  <c r="GZ373" i="17"/>
  <c r="HA373" i="17"/>
  <c r="HB373" i="17"/>
  <c r="HC373" i="17"/>
  <c r="HD373" i="17"/>
  <c r="HE373" i="17"/>
  <c r="HF373" i="17"/>
  <c r="HG373" i="17"/>
  <c r="HH373" i="17"/>
  <c r="HI373" i="17"/>
  <c r="HJ373" i="17"/>
  <c r="HK373" i="17"/>
  <c r="HL373" i="17"/>
  <c r="HM373" i="17"/>
  <c r="HN373" i="17"/>
  <c r="HO373" i="17"/>
  <c r="HP373" i="17"/>
  <c r="HQ373" i="17"/>
  <c r="HR373" i="17"/>
  <c r="HS373" i="17"/>
  <c r="HT373" i="17"/>
  <c r="HU373" i="17"/>
  <c r="HV373" i="17"/>
  <c r="HW373" i="17"/>
  <c r="HX373" i="17"/>
  <c r="HY373" i="17"/>
  <c r="HZ373" i="17"/>
  <c r="IA373" i="17"/>
  <c r="IB373" i="17"/>
  <c r="IC373" i="17"/>
  <c r="ID373" i="17"/>
  <c r="IE373" i="17"/>
  <c r="IF373" i="17"/>
  <c r="IG373" i="17"/>
  <c r="IH373" i="17"/>
  <c r="II373" i="17"/>
  <c r="IJ373" i="17"/>
  <c r="IK373" i="17"/>
  <c r="IL373" i="17"/>
  <c r="IM373" i="17"/>
  <c r="IN373" i="17"/>
  <c r="IO373" i="17"/>
  <c r="IP373" i="17"/>
  <c r="IQ373" i="17"/>
  <c r="IR373" i="17"/>
  <c r="IS373" i="17"/>
  <c r="IT373" i="17"/>
  <c r="IU373" i="17"/>
  <c r="IV373" i="17"/>
  <c r="A372" i="17"/>
  <c r="B372" i="17"/>
  <c r="C372" i="17"/>
  <c r="D372" i="17"/>
  <c r="E372" i="17"/>
  <c r="F372" i="17"/>
  <c r="G372" i="17"/>
  <c r="H372" i="17"/>
  <c r="I372" i="17"/>
  <c r="J372" i="17"/>
  <c r="K372" i="17"/>
  <c r="L372" i="17"/>
  <c r="M372" i="17"/>
  <c r="N372" i="17"/>
  <c r="O372" i="17"/>
  <c r="P372" i="17"/>
  <c r="Q372" i="17"/>
  <c r="R372" i="17"/>
  <c r="S372" i="17"/>
  <c r="T372" i="17"/>
  <c r="U372" i="17"/>
  <c r="V372" i="17"/>
  <c r="W372" i="17"/>
  <c r="X372" i="17"/>
  <c r="Y372" i="17"/>
  <c r="Z372" i="17"/>
  <c r="AA372" i="17"/>
  <c r="AB372" i="17"/>
  <c r="AC372" i="17"/>
  <c r="AD372" i="17"/>
  <c r="AE372" i="17"/>
  <c r="AF372" i="17"/>
  <c r="AG372" i="17"/>
  <c r="AH372" i="17"/>
  <c r="AI372" i="17"/>
  <c r="AJ372" i="17"/>
  <c r="AK372" i="17"/>
  <c r="AL372" i="17"/>
  <c r="AM372" i="17"/>
  <c r="AN372" i="17"/>
  <c r="AO372" i="17"/>
  <c r="AP372" i="17"/>
  <c r="AQ372" i="17"/>
  <c r="AR372" i="17"/>
  <c r="AS372" i="17"/>
  <c r="AT372" i="17"/>
  <c r="AU372" i="17"/>
  <c r="AV372" i="17"/>
  <c r="AW372" i="17"/>
  <c r="AX372" i="17"/>
  <c r="AY372" i="17"/>
  <c r="AZ372" i="17"/>
  <c r="BA372" i="17"/>
  <c r="BB372" i="17"/>
  <c r="BC372" i="17"/>
  <c r="BD372" i="17"/>
  <c r="BE372" i="17"/>
  <c r="BF372" i="17"/>
  <c r="BG372" i="17"/>
  <c r="BH372" i="17"/>
  <c r="BI372" i="17"/>
  <c r="BJ372" i="17"/>
  <c r="BK372" i="17"/>
  <c r="BL372" i="17"/>
  <c r="BM372" i="17"/>
  <c r="BN372" i="17"/>
  <c r="BO372" i="17"/>
  <c r="BP372" i="17"/>
  <c r="BQ372" i="17"/>
  <c r="BR372" i="17"/>
  <c r="BS372" i="17"/>
  <c r="BT372" i="17"/>
  <c r="BU372" i="17"/>
  <c r="BV372" i="17"/>
  <c r="BW372" i="17"/>
  <c r="BX372" i="17"/>
  <c r="BY372" i="17"/>
  <c r="BZ372" i="17"/>
  <c r="CA372" i="17"/>
  <c r="CB372" i="17"/>
  <c r="CC372" i="17"/>
  <c r="CD372" i="17"/>
  <c r="CE372" i="17"/>
  <c r="CF372" i="17"/>
  <c r="CG372" i="17"/>
  <c r="CH372" i="17"/>
  <c r="CI372" i="17"/>
  <c r="CJ372" i="17"/>
  <c r="CK372" i="17"/>
  <c r="CL372" i="17"/>
  <c r="CM372" i="17"/>
  <c r="CN372" i="17"/>
  <c r="CO372" i="17"/>
  <c r="CP372" i="17"/>
  <c r="CQ372" i="17"/>
  <c r="CR372" i="17"/>
  <c r="CS372" i="17"/>
  <c r="CT372" i="17"/>
  <c r="CU372" i="17"/>
  <c r="CV372" i="17"/>
  <c r="CW372" i="17"/>
  <c r="CX372" i="17"/>
  <c r="CY372" i="17"/>
  <c r="CZ372" i="17"/>
  <c r="DA372" i="17"/>
  <c r="DB372" i="17"/>
  <c r="DC372" i="17"/>
  <c r="DD372" i="17"/>
  <c r="DE372" i="17"/>
  <c r="DF372" i="17"/>
  <c r="DG372" i="17"/>
  <c r="DH372" i="17"/>
  <c r="DI372" i="17"/>
  <c r="DJ372" i="17"/>
  <c r="DK372" i="17"/>
  <c r="DL372" i="17"/>
  <c r="DM372" i="17"/>
  <c r="DN372" i="17"/>
  <c r="DO372" i="17"/>
  <c r="DP372" i="17"/>
  <c r="DQ372" i="17"/>
  <c r="DR372" i="17"/>
  <c r="DS372" i="17"/>
  <c r="DT372" i="17"/>
  <c r="DU372" i="17"/>
  <c r="DV372" i="17"/>
  <c r="DW372" i="17"/>
  <c r="DX372" i="17"/>
  <c r="DY372" i="17"/>
  <c r="DZ372" i="17"/>
  <c r="EA372" i="17"/>
  <c r="EB372" i="17"/>
  <c r="EC372" i="17"/>
  <c r="ED372" i="17"/>
  <c r="EE372" i="17"/>
  <c r="EF372" i="17"/>
  <c r="EG372" i="17"/>
  <c r="EH372" i="17"/>
  <c r="EI372" i="17"/>
  <c r="EJ372" i="17"/>
  <c r="EK372" i="17"/>
  <c r="EL372" i="17"/>
  <c r="EM372" i="17"/>
  <c r="EN372" i="17"/>
  <c r="EO372" i="17"/>
  <c r="EP372" i="17"/>
  <c r="EQ372" i="17"/>
  <c r="ER372" i="17"/>
  <c r="ES372" i="17"/>
  <c r="ET372" i="17"/>
  <c r="EU372" i="17"/>
  <c r="EV372" i="17"/>
  <c r="EW372" i="17"/>
  <c r="EX372" i="17"/>
  <c r="EY372" i="17"/>
  <c r="EZ372" i="17"/>
  <c r="FA372" i="17"/>
  <c r="FB372" i="17"/>
  <c r="FC372" i="17"/>
  <c r="FD372" i="17"/>
  <c r="FE372" i="17"/>
  <c r="FF372" i="17"/>
  <c r="FG372" i="17"/>
  <c r="FH372" i="17"/>
  <c r="FI372" i="17"/>
  <c r="FJ372" i="17"/>
  <c r="FK372" i="17"/>
  <c r="FL372" i="17"/>
  <c r="FM372" i="17"/>
  <c r="FN372" i="17"/>
  <c r="FO372" i="17"/>
  <c r="FP372" i="17"/>
  <c r="FQ372" i="17"/>
  <c r="FR372" i="17"/>
  <c r="FS372" i="17"/>
  <c r="FT372" i="17"/>
  <c r="FU372" i="17"/>
  <c r="FV372" i="17"/>
  <c r="FW372" i="17"/>
  <c r="FX372" i="17"/>
  <c r="FY372" i="17"/>
  <c r="FZ372" i="17"/>
  <c r="GA372" i="17"/>
  <c r="GB372" i="17"/>
  <c r="GC372" i="17"/>
  <c r="GD372" i="17"/>
  <c r="GE372" i="17"/>
  <c r="GF372" i="17"/>
  <c r="GG372" i="17"/>
  <c r="GH372" i="17"/>
  <c r="GI372" i="17"/>
  <c r="GJ372" i="17"/>
  <c r="GK372" i="17"/>
  <c r="GL372" i="17"/>
  <c r="GM372" i="17"/>
  <c r="GN372" i="17"/>
  <c r="GO372" i="17"/>
  <c r="GP372" i="17"/>
  <c r="GQ372" i="17"/>
  <c r="GR372" i="17"/>
  <c r="GS372" i="17"/>
  <c r="GT372" i="17"/>
  <c r="GU372" i="17"/>
  <c r="GV372" i="17"/>
  <c r="GW372" i="17"/>
  <c r="GX372" i="17"/>
  <c r="GY372" i="17"/>
  <c r="GZ372" i="17"/>
  <c r="HA372" i="17"/>
  <c r="HB372" i="17"/>
  <c r="HC372" i="17"/>
  <c r="HD372" i="17"/>
  <c r="HE372" i="17"/>
  <c r="HF372" i="17"/>
  <c r="HG372" i="17"/>
  <c r="HH372" i="17"/>
  <c r="HI372" i="17"/>
  <c r="HJ372" i="17"/>
  <c r="HK372" i="17"/>
  <c r="HL372" i="17"/>
  <c r="HM372" i="17"/>
  <c r="HN372" i="17"/>
  <c r="HO372" i="17"/>
  <c r="HP372" i="17"/>
  <c r="HQ372" i="17"/>
  <c r="HR372" i="17"/>
  <c r="HS372" i="17"/>
  <c r="HT372" i="17"/>
  <c r="HU372" i="17"/>
  <c r="HV372" i="17"/>
  <c r="HW372" i="17"/>
  <c r="HX372" i="17"/>
  <c r="HY372" i="17"/>
  <c r="HZ372" i="17"/>
  <c r="IA372" i="17"/>
  <c r="IB372" i="17"/>
  <c r="IC372" i="17"/>
  <c r="ID372" i="17"/>
  <c r="IE372" i="17"/>
  <c r="IF372" i="17"/>
  <c r="IG372" i="17"/>
  <c r="IH372" i="17"/>
  <c r="II372" i="17"/>
  <c r="IJ372" i="17"/>
  <c r="IK372" i="17"/>
  <c r="IL372" i="17"/>
  <c r="IM372" i="17"/>
  <c r="IN372" i="17"/>
  <c r="IO372" i="17"/>
  <c r="IP372" i="17"/>
  <c r="IQ372" i="17"/>
  <c r="IR372" i="17"/>
  <c r="IS372" i="17"/>
  <c r="IT372" i="17"/>
  <c r="IU372" i="17"/>
  <c r="IV372" i="17"/>
  <c r="A371" i="17"/>
  <c r="B371" i="17"/>
  <c r="C371" i="17"/>
  <c r="D371" i="17"/>
  <c r="E371" i="17"/>
  <c r="F371" i="17"/>
  <c r="G371" i="17"/>
  <c r="H371" i="17"/>
  <c r="I371" i="17"/>
  <c r="J371" i="17"/>
  <c r="K371" i="17"/>
  <c r="L371" i="17"/>
  <c r="M371" i="17"/>
  <c r="N371" i="17"/>
  <c r="O371" i="17"/>
  <c r="P371" i="17"/>
  <c r="Q371" i="17"/>
  <c r="R371" i="17"/>
  <c r="S371" i="17"/>
  <c r="T371" i="17"/>
  <c r="U371" i="17"/>
  <c r="V371" i="17"/>
  <c r="W371" i="17"/>
  <c r="X371" i="17"/>
  <c r="Y371" i="17"/>
  <c r="Z371" i="17"/>
  <c r="AA371" i="17"/>
  <c r="AB371" i="17"/>
  <c r="AC371" i="17"/>
  <c r="AD371" i="17"/>
  <c r="AE371" i="17"/>
  <c r="AF371" i="17"/>
  <c r="AG371" i="17"/>
  <c r="AH371" i="17"/>
  <c r="AI371" i="17"/>
  <c r="AJ371" i="17"/>
  <c r="AK371" i="17"/>
  <c r="AL371" i="17"/>
  <c r="AM371" i="17"/>
  <c r="AN371" i="17"/>
  <c r="AO371" i="17"/>
  <c r="AP371" i="17"/>
  <c r="AQ371" i="17"/>
  <c r="AR371" i="17"/>
  <c r="AS371" i="17"/>
  <c r="AT371" i="17"/>
  <c r="AU371" i="17"/>
  <c r="AV371" i="17"/>
  <c r="AW371" i="17"/>
  <c r="AX371" i="17"/>
  <c r="AY371" i="17"/>
  <c r="AZ371" i="17"/>
  <c r="BA371" i="17"/>
  <c r="BB371" i="17"/>
  <c r="BC371" i="17"/>
  <c r="BD371" i="17"/>
  <c r="BE371" i="17"/>
  <c r="BF371" i="17"/>
  <c r="BG371" i="17"/>
  <c r="BH371" i="17"/>
  <c r="BI371" i="17"/>
  <c r="BJ371" i="17"/>
  <c r="BK371" i="17"/>
  <c r="BL371" i="17"/>
  <c r="BM371" i="17"/>
  <c r="BN371" i="17"/>
  <c r="BO371" i="17"/>
  <c r="BP371" i="17"/>
  <c r="BQ371" i="17"/>
  <c r="BR371" i="17"/>
  <c r="BS371" i="17"/>
  <c r="BT371" i="17"/>
  <c r="BU371" i="17"/>
  <c r="BV371" i="17"/>
  <c r="BW371" i="17"/>
  <c r="BX371" i="17"/>
  <c r="BY371" i="17"/>
  <c r="BZ371" i="17"/>
  <c r="CA371" i="17"/>
  <c r="CB371" i="17"/>
  <c r="CC371" i="17"/>
  <c r="CD371" i="17"/>
  <c r="CE371" i="17"/>
  <c r="CF371" i="17"/>
  <c r="CG371" i="17"/>
  <c r="CH371" i="17"/>
  <c r="CI371" i="17"/>
  <c r="CJ371" i="17"/>
  <c r="CK371" i="17"/>
  <c r="CL371" i="17"/>
  <c r="CM371" i="17"/>
  <c r="CN371" i="17"/>
  <c r="CO371" i="17"/>
  <c r="CP371" i="17"/>
  <c r="CQ371" i="17"/>
  <c r="CR371" i="17"/>
  <c r="CS371" i="17"/>
  <c r="CT371" i="17"/>
  <c r="CU371" i="17"/>
  <c r="CV371" i="17"/>
  <c r="CW371" i="17"/>
  <c r="CX371" i="17"/>
  <c r="CY371" i="17"/>
  <c r="CZ371" i="17"/>
  <c r="DA371" i="17"/>
  <c r="DB371" i="17"/>
  <c r="DC371" i="17"/>
  <c r="DD371" i="17"/>
  <c r="DE371" i="17"/>
  <c r="DF371" i="17"/>
  <c r="DG371" i="17"/>
  <c r="DH371" i="17"/>
  <c r="DI371" i="17"/>
  <c r="DJ371" i="17"/>
  <c r="DK371" i="17"/>
  <c r="DL371" i="17"/>
  <c r="DM371" i="17"/>
  <c r="DN371" i="17"/>
  <c r="DO371" i="17"/>
  <c r="DP371" i="17"/>
  <c r="DQ371" i="17"/>
  <c r="DR371" i="17"/>
  <c r="DS371" i="17"/>
  <c r="DT371" i="17"/>
  <c r="DU371" i="17"/>
  <c r="DV371" i="17"/>
  <c r="DW371" i="17"/>
  <c r="DX371" i="17"/>
  <c r="DY371" i="17"/>
  <c r="DZ371" i="17"/>
  <c r="EA371" i="17"/>
  <c r="EB371" i="17"/>
  <c r="EC371" i="17"/>
  <c r="ED371" i="17"/>
  <c r="EE371" i="17"/>
  <c r="EF371" i="17"/>
  <c r="EG371" i="17"/>
  <c r="EH371" i="17"/>
  <c r="EI371" i="17"/>
  <c r="EJ371" i="17"/>
  <c r="EK371" i="17"/>
  <c r="EL371" i="17"/>
  <c r="EM371" i="17"/>
  <c r="EN371" i="17"/>
  <c r="EO371" i="17"/>
  <c r="EP371" i="17"/>
  <c r="EQ371" i="17"/>
  <c r="ER371" i="17"/>
  <c r="ES371" i="17"/>
  <c r="ET371" i="17"/>
  <c r="EU371" i="17"/>
  <c r="EV371" i="17"/>
  <c r="EW371" i="17"/>
  <c r="EX371" i="17"/>
  <c r="EY371" i="17"/>
  <c r="EZ371" i="17"/>
  <c r="FA371" i="17"/>
  <c r="FB371" i="17"/>
  <c r="FC371" i="17"/>
  <c r="FD371" i="17"/>
  <c r="FE371" i="17"/>
  <c r="FF371" i="17"/>
  <c r="FG371" i="17"/>
  <c r="FH371" i="17"/>
  <c r="FI371" i="17"/>
  <c r="FJ371" i="17"/>
  <c r="FK371" i="17"/>
  <c r="FL371" i="17"/>
  <c r="FM371" i="17"/>
  <c r="FN371" i="17"/>
  <c r="FO371" i="17"/>
  <c r="FP371" i="17"/>
  <c r="FQ371" i="17"/>
  <c r="FR371" i="17"/>
  <c r="FS371" i="17"/>
  <c r="FT371" i="17"/>
  <c r="FU371" i="17"/>
  <c r="FV371" i="17"/>
  <c r="FW371" i="17"/>
  <c r="FX371" i="17"/>
  <c r="FY371" i="17"/>
  <c r="FZ371" i="17"/>
  <c r="GA371" i="17"/>
  <c r="GB371" i="17"/>
  <c r="GC371" i="17"/>
  <c r="GD371" i="17"/>
  <c r="GE371" i="17"/>
  <c r="GF371" i="17"/>
  <c r="GG371" i="17"/>
  <c r="GH371" i="17"/>
  <c r="GI371" i="17"/>
  <c r="GJ371" i="17"/>
  <c r="GK371" i="17"/>
  <c r="GL371" i="17"/>
  <c r="GM371" i="17"/>
  <c r="GN371" i="17"/>
  <c r="GO371" i="17"/>
  <c r="GP371" i="17"/>
  <c r="GQ371" i="17"/>
  <c r="GR371" i="17"/>
  <c r="GS371" i="17"/>
  <c r="GT371" i="17"/>
  <c r="GU371" i="17"/>
  <c r="GV371" i="17"/>
  <c r="GW371" i="17"/>
  <c r="GX371" i="17"/>
  <c r="GY371" i="17"/>
  <c r="GZ371" i="17"/>
  <c r="HA371" i="17"/>
  <c r="HB371" i="17"/>
  <c r="HC371" i="17"/>
  <c r="HD371" i="17"/>
  <c r="HE371" i="17"/>
  <c r="HF371" i="17"/>
  <c r="HG371" i="17"/>
  <c r="HH371" i="17"/>
  <c r="HI371" i="17"/>
  <c r="HJ371" i="17"/>
  <c r="HK371" i="17"/>
  <c r="HL371" i="17"/>
  <c r="HM371" i="17"/>
  <c r="HN371" i="17"/>
  <c r="HO371" i="17"/>
  <c r="HP371" i="17"/>
  <c r="HQ371" i="17"/>
  <c r="HR371" i="17"/>
  <c r="HS371" i="17"/>
  <c r="HT371" i="17"/>
  <c r="HU371" i="17"/>
  <c r="HV371" i="17"/>
  <c r="HW371" i="17"/>
  <c r="HX371" i="17"/>
  <c r="HY371" i="17"/>
  <c r="HZ371" i="17"/>
  <c r="IA371" i="17"/>
  <c r="IB371" i="17"/>
  <c r="IC371" i="17"/>
  <c r="ID371" i="17"/>
  <c r="IE371" i="17"/>
  <c r="IF371" i="17"/>
  <c r="IG371" i="17"/>
  <c r="IH371" i="17"/>
  <c r="II371" i="17"/>
  <c r="IJ371" i="17"/>
  <c r="IK371" i="17"/>
  <c r="IL371" i="17"/>
  <c r="IM371" i="17"/>
  <c r="IN371" i="17"/>
  <c r="IO371" i="17"/>
  <c r="IP371" i="17"/>
  <c r="IQ371" i="17"/>
  <c r="IR371" i="17"/>
  <c r="IS371" i="17"/>
  <c r="IT371" i="17"/>
  <c r="IU371" i="17"/>
  <c r="IV371" i="17"/>
  <c r="A370" i="17"/>
  <c r="B370" i="17"/>
  <c r="C370" i="17"/>
  <c r="D370" i="17"/>
  <c r="E370" i="17"/>
  <c r="F370" i="17"/>
  <c r="G370" i="17"/>
  <c r="H370" i="17"/>
  <c r="I370" i="17"/>
  <c r="J370" i="17"/>
  <c r="K370" i="17"/>
  <c r="L370" i="17"/>
  <c r="M370" i="17"/>
  <c r="N370" i="17"/>
  <c r="O370" i="17"/>
  <c r="P370" i="17"/>
  <c r="Q370" i="17"/>
  <c r="R370" i="17"/>
  <c r="S370" i="17"/>
  <c r="T370" i="17"/>
  <c r="U370" i="17"/>
  <c r="V370" i="17"/>
  <c r="W370" i="17"/>
  <c r="X370" i="17"/>
  <c r="Y370" i="17"/>
  <c r="Z370" i="17"/>
  <c r="AA370" i="17"/>
  <c r="AB370" i="17"/>
  <c r="AC370" i="17"/>
  <c r="AD370" i="17"/>
  <c r="AE370" i="17"/>
  <c r="AF370" i="17"/>
  <c r="AG370" i="17"/>
  <c r="AH370" i="17"/>
  <c r="AI370" i="17"/>
  <c r="AJ370" i="17"/>
  <c r="AK370" i="17"/>
  <c r="AL370" i="17"/>
  <c r="AM370" i="17"/>
  <c r="AN370" i="17"/>
  <c r="AO370" i="17"/>
  <c r="AP370" i="17"/>
  <c r="AQ370" i="17"/>
  <c r="AR370" i="17"/>
  <c r="AS370" i="17"/>
  <c r="AT370" i="17"/>
  <c r="AU370" i="17"/>
  <c r="AV370" i="17"/>
  <c r="AW370" i="17"/>
  <c r="AX370" i="17"/>
  <c r="AY370" i="17"/>
  <c r="AZ370" i="17"/>
  <c r="BA370" i="17"/>
  <c r="BB370" i="17"/>
  <c r="BC370" i="17"/>
  <c r="BD370" i="17"/>
  <c r="BE370" i="17"/>
  <c r="BF370" i="17"/>
  <c r="BG370" i="17"/>
  <c r="BH370" i="17"/>
  <c r="BI370" i="17"/>
  <c r="BJ370" i="17"/>
  <c r="BK370" i="17"/>
  <c r="BL370" i="17"/>
  <c r="BM370" i="17"/>
  <c r="BN370" i="17"/>
  <c r="BO370" i="17"/>
  <c r="BP370" i="17"/>
  <c r="BQ370" i="17"/>
  <c r="BR370" i="17"/>
  <c r="BS370" i="17"/>
  <c r="BT370" i="17"/>
  <c r="BU370" i="17"/>
  <c r="BV370" i="17"/>
  <c r="BW370" i="17"/>
  <c r="BX370" i="17"/>
  <c r="BY370" i="17"/>
  <c r="BZ370" i="17"/>
  <c r="CA370" i="17"/>
  <c r="CB370" i="17"/>
  <c r="CC370" i="17"/>
  <c r="CD370" i="17"/>
  <c r="CE370" i="17"/>
  <c r="CF370" i="17"/>
  <c r="CG370" i="17"/>
  <c r="CH370" i="17"/>
  <c r="CI370" i="17"/>
  <c r="CJ370" i="17"/>
  <c r="CK370" i="17"/>
  <c r="CL370" i="17"/>
  <c r="CM370" i="17"/>
  <c r="CN370" i="17"/>
  <c r="CO370" i="17"/>
  <c r="CP370" i="17"/>
  <c r="CQ370" i="17"/>
  <c r="CR370" i="17"/>
  <c r="CS370" i="17"/>
  <c r="CT370" i="17"/>
  <c r="CU370" i="17"/>
  <c r="CV370" i="17"/>
  <c r="CW370" i="17"/>
  <c r="CX370" i="17"/>
  <c r="CY370" i="17"/>
  <c r="CZ370" i="17"/>
  <c r="DA370" i="17"/>
  <c r="DB370" i="17"/>
  <c r="DC370" i="17"/>
  <c r="DD370" i="17"/>
  <c r="DE370" i="17"/>
  <c r="DF370" i="17"/>
  <c r="DG370" i="17"/>
  <c r="DH370" i="17"/>
  <c r="DI370" i="17"/>
  <c r="DJ370" i="17"/>
  <c r="DK370" i="17"/>
  <c r="DL370" i="17"/>
  <c r="DM370" i="17"/>
  <c r="DN370" i="17"/>
  <c r="DO370" i="17"/>
  <c r="DP370" i="17"/>
  <c r="DQ370" i="17"/>
  <c r="DR370" i="17"/>
  <c r="DS370" i="17"/>
  <c r="DT370" i="17"/>
  <c r="DU370" i="17"/>
  <c r="DV370" i="17"/>
  <c r="DW370" i="17"/>
  <c r="DX370" i="17"/>
  <c r="DY370" i="17"/>
  <c r="DZ370" i="17"/>
  <c r="EA370" i="17"/>
  <c r="EB370" i="17"/>
  <c r="EC370" i="17"/>
  <c r="ED370" i="17"/>
  <c r="EE370" i="17"/>
  <c r="EF370" i="17"/>
  <c r="EG370" i="17"/>
  <c r="EH370" i="17"/>
  <c r="EI370" i="17"/>
  <c r="EJ370" i="17"/>
  <c r="EK370" i="17"/>
  <c r="EL370" i="17"/>
  <c r="EM370" i="17"/>
  <c r="EN370" i="17"/>
  <c r="EO370" i="17"/>
  <c r="EP370" i="17"/>
  <c r="EQ370" i="17"/>
  <c r="ER370" i="17"/>
  <c r="ES370" i="17"/>
  <c r="ET370" i="17"/>
  <c r="EU370" i="17"/>
  <c r="EV370" i="17"/>
  <c r="EW370" i="17"/>
  <c r="EX370" i="17"/>
  <c r="EY370" i="17"/>
  <c r="EZ370" i="17"/>
  <c r="FA370" i="17"/>
  <c r="FB370" i="17"/>
  <c r="FC370" i="17"/>
  <c r="FD370" i="17"/>
  <c r="FE370" i="17"/>
  <c r="FF370" i="17"/>
  <c r="FG370" i="17"/>
  <c r="FH370" i="17"/>
  <c r="FI370" i="17"/>
  <c r="FJ370" i="17"/>
  <c r="FK370" i="17"/>
  <c r="FL370" i="17"/>
  <c r="FM370" i="17"/>
  <c r="FN370" i="17"/>
  <c r="FO370" i="17"/>
  <c r="FP370" i="17"/>
  <c r="FQ370" i="17"/>
  <c r="FR370" i="17"/>
  <c r="FS370" i="17"/>
  <c r="FT370" i="17"/>
  <c r="FU370" i="17"/>
  <c r="FV370" i="17"/>
  <c r="FW370" i="17"/>
  <c r="FX370" i="17"/>
  <c r="FY370" i="17"/>
  <c r="FZ370" i="17"/>
  <c r="GA370" i="17"/>
  <c r="GB370" i="17"/>
  <c r="GC370" i="17"/>
  <c r="GD370" i="17"/>
  <c r="GE370" i="17"/>
  <c r="GF370" i="17"/>
  <c r="GG370" i="17"/>
  <c r="GH370" i="17"/>
  <c r="GI370" i="17"/>
  <c r="GJ370" i="17"/>
  <c r="GK370" i="17"/>
  <c r="GL370" i="17"/>
  <c r="GM370" i="17"/>
  <c r="GN370" i="17"/>
  <c r="GO370" i="17"/>
  <c r="GP370" i="17"/>
  <c r="GQ370" i="17"/>
  <c r="GR370" i="17"/>
  <c r="GS370" i="17"/>
  <c r="GT370" i="17"/>
  <c r="GU370" i="17"/>
  <c r="GV370" i="17"/>
  <c r="GW370" i="17"/>
  <c r="GX370" i="17"/>
  <c r="GY370" i="17"/>
  <c r="GZ370" i="17"/>
  <c r="HA370" i="17"/>
  <c r="HB370" i="17"/>
  <c r="HC370" i="17"/>
  <c r="HD370" i="17"/>
  <c r="HE370" i="17"/>
  <c r="HF370" i="17"/>
  <c r="HG370" i="17"/>
  <c r="HH370" i="17"/>
  <c r="HI370" i="17"/>
  <c r="HJ370" i="17"/>
  <c r="HK370" i="17"/>
  <c r="HL370" i="17"/>
  <c r="HM370" i="17"/>
  <c r="HN370" i="17"/>
  <c r="HO370" i="17"/>
  <c r="HP370" i="17"/>
  <c r="HQ370" i="17"/>
  <c r="HR370" i="17"/>
  <c r="HS370" i="17"/>
  <c r="HT370" i="17"/>
  <c r="HU370" i="17"/>
  <c r="HV370" i="17"/>
  <c r="HW370" i="17"/>
  <c r="HX370" i="17"/>
  <c r="HY370" i="17"/>
  <c r="HZ370" i="17"/>
  <c r="IA370" i="17"/>
  <c r="IB370" i="17"/>
  <c r="IC370" i="17"/>
  <c r="ID370" i="17"/>
  <c r="IE370" i="17"/>
  <c r="IF370" i="17"/>
  <c r="IG370" i="17"/>
  <c r="IH370" i="17"/>
  <c r="II370" i="17"/>
  <c r="IJ370" i="17"/>
  <c r="IK370" i="17"/>
  <c r="IL370" i="17"/>
  <c r="IM370" i="17"/>
  <c r="IN370" i="17"/>
  <c r="IO370" i="17"/>
  <c r="IP370" i="17"/>
  <c r="IQ370" i="17"/>
  <c r="IR370" i="17"/>
  <c r="IS370" i="17"/>
  <c r="IT370" i="17"/>
  <c r="IU370" i="17"/>
  <c r="IV370" i="17"/>
  <c r="A369" i="17"/>
  <c r="B369" i="17"/>
  <c r="C369" i="17"/>
  <c r="D369" i="17"/>
  <c r="E369" i="17"/>
  <c r="F369" i="17"/>
  <c r="G369" i="17"/>
  <c r="H369" i="17"/>
  <c r="I369" i="17"/>
  <c r="J369" i="17"/>
  <c r="K369" i="17"/>
  <c r="L369" i="17"/>
  <c r="M369" i="17"/>
  <c r="N369" i="17"/>
  <c r="O369" i="17"/>
  <c r="P369" i="17"/>
  <c r="Q369" i="17"/>
  <c r="R369" i="17"/>
  <c r="S369" i="17"/>
  <c r="T369" i="17"/>
  <c r="U369" i="17"/>
  <c r="V369" i="17"/>
  <c r="W369" i="17"/>
  <c r="X369" i="17"/>
  <c r="Y369" i="17"/>
  <c r="Z369" i="17"/>
  <c r="AA369" i="17"/>
  <c r="AB369" i="17"/>
  <c r="AC369" i="17"/>
  <c r="AD369" i="17"/>
  <c r="AE369" i="17"/>
  <c r="AF369" i="17"/>
  <c r="AG369" i="17"/>
  <c r="AH369" i="17"/>
  <c r="AI369" i="17"/>
  <c r="AJ369" i="17"/>
  <c r="AK369" i="17"/>
  <c r="AL369" i="17"/>
  <c r="AM369" i="17"/>
  <c r="AN369" i="17"/>
  <c r="AO369" i="17"/>
  <c r="AP369" i="17"/>
  <c r="AQ369" i="17"/>
  <c r="AR369" i="17"/>
  <c r="AS369" i="17"/>
  <c r="AT369" i="17"/>
  <c r="AU369" i="17"/>
  <c r="AV369" i="17"/>
  <c r="AW369" i="17"/>
  <c r="AX369" i="17"/>
  <c r="AY369" i="17"/>
  <c r="AZ369" i="17"/>
  <c r="BA369" i="17"/>
  <c r="BB369" i="17"/>
  <c r="BC369" i="17"/>
  <c r="BD369" i="17"/>
  <c r="BE369" i="17"/>
  <c r="BF369" i="17"/>
  <c r="BG369" i="17"/>
  <c r="BH369" i="17"/>
  <c r="BI369" i="17"/>
  <c r="BJ369" i="17"/>
  <c r="BK369" i="17"/>
  <c r="BL369" i="17"/>
  <c r="BM369" i="17"/>
  <c r="BN369" i="17"/>
  <c r="BO369" i="17"/>
  <c r="BP369" i="17"/>
  <c r="BQ369" i="17"/>
  <c r="BR369" i="17"/>
  <c r="BS369" i="17"/>
  <c r="BT369" i="17"/>
  <c r="BU369" i="17"/>
  <c r="BV369" i="17"/>
  <c r="BW369" i="17"/>
  <c r="BX369" i="17"/>
  <c r="BY369" i="17"/>
  <c r="BZ369" i="17"/>
  <c r="CA369" i="17"/>
  <c r="CB369" i="17"/>
  <c r="CC369" i="17"/>
  <c r="CD369" i="17"/>
  <c r="CE369" i="17"/>
  <c r="CF369" i="17"/>
  <c r="CG369" i="17"/>
  <c r="CH369" i="17"/>
  <c r="CI369" i="17"/>
  <c r="CJ369" i="17"/>
  <c r="CK369" i="17"/>
  <c r="CL369" i="17"/>
  <c r="CM369" i="17"/>
  <c r="CN369" i="17"/>
  <c r="CO369" i="17"/>
  <c r="CP369" i="17"/>
  <c r="CQ369" i="17"/>
  <c r="CR369" i="17"/>
  <c r="CS369" i="17"/>
  <c r="CT369" i="17"/>
  <c r="CU369" i="17"/>
  <c r="CV369" i="17"/>
  <c r="CW369" i="17"/>
  <c r="CX369" i="17"/>
  <c r="CY369" i="17"/>
  <c r="CZ369" i="17"/>
  <c r="DA369" i="17"/>
  <c r="DB369" i="17"/>
  <c r="DC369" i="17"/>
  <c r="DD369" i="17"/>
  <c r="DE369" i="17"/>
  <c r="DF369" i="17"/>
  <c r="DG369" i="17"/>
  <c r="DH369" i="17"/>
  <c r="DI369" i="17"/>
  <c r="DJ369" i="17"/>
  <c r="DK369" i="17"/>
  <c r="DL369" i="17"/>
  <c r="DM369" i="17"/>
  <c r="DN369" i="17"/>
  <c r="DO369" i="17"/>
  <c r="DP369" i="17"/>
  <c r="DQ369" i="17"/>
  <c r="DR369" i="17"/>
  <c r="DS369" i="17"/>
  <c r="DT369" i="17"/>
  <c r="DU369" i="17"/>
  <c r="DV369" i="17"/>
  <c r="DW369" i="17"/>
  <c r="DX369" i="17"/>
  <c r="DY369" i="17"/>
  <c r="DZ369" i="17"/>
  <c r="EA369" i="17"/>
  <c r="EB369" i="17"/>
  <c r="EC369" i="17"/>
  <c r="ED369" i="17"/>
  <c r="EE369" i="17"/>
  <c r="EF369" i="17"/>
  <c r="EG369" i="17"/>
  <c r="EH369" i="17"/>
  <c r="EI369" i="17"/>
  <c r="EJ369" i="17"/>
  <c r="EK369" i="17"/>
  <c r="EL369" i="17"/>
  <c r="EM369" i="17"/>
  <c r="EN369" i="17"/>
  <c r="EO369" i="17"/>
  <c r="EP369" i="17"/>
  <c r="EQ369" i="17"/>
  <c r="ER369" i="17"/>
  <c r="ES369" i="17"/>
  <c r="ET369" i="17"/>
  <c r="EU369" i="17"/>
  <c r="EV369" i="17"/>
  <c r="EW369" i="17"/>
  <c r="EX369" i="17"/>
  <c r="EY369" i="17"/>
  <c r="EZ369" i="17"/>
  <c r="FA369" i="17"/>
  <c r="FB369" i="17"/>
  <c r="FC369" i="17"/>
  <c r="FD369" i="17"/>
  <c r="FE369" i="17"/>
  <c r="FF369" i="17"/>
  <c r="FG369" i="17"/>
  <c r="FH369" i="17"/>
  <c r="FI369" i="17"/>
  <c r="FJ369" i="17"/>
  <c r="FK369" i="17"/>
  <c r="FL369" i="17"/>
  <c r="FM369" i="17"/>
  <c r="FN369" i="17"/>
  <c r="FO369" i="17"/>
  <c r="FP369" i="17"/>
  <c r="FQ369" i="17"/>
  <c r="FR369" i="17"/>
  <c r="FS369" i="17"/>
  <c r="FT369" i="17"/>
  <c r="FU369" i="17"/>
  <c r="FV369" i="17"/>
  <c r="FW369" i="17"/>
  <c r="FX369" i="17"/>
  <c r="FY369" i="17"/>
  <c r="FZ369" i="17"/>
  <c r="GA369" i="17"/>
  <c r="GB369" i="17"/>
  <c r="GC369" i="17"/>
  <c r="GD369" i="17"/>
  <c r="GE369" i="17"/>
  <c r="GF369" i="17"/>
  <c r="GG369" i="17"/>
  <c r="GH369" i="17"/>
  <c r="GI369" i="17"/>
  <c r="GJ369" i="17"/>
  <c r="GK369" i="17"/>
  <c r="GL369" i="17"/>
  <c r="GM369" i="17"/>
  <c r="GN369" i="17"/>
  <c r="GO369" i="17"/>
  <c r="GP369" i="17"/>
  <c r="GQ369" i="17"/>
  <c r="GR369" i="17"/>
  <c r="GS369" i="17"/>
  <c r="GT369" i="17"/>
  <c r="GU369" i="17"/>
  <c r="GV369" i="17"/>
  <c r="GW369" i="17"/>
  <c r="GX369" i="17"/>
  <c r="GY369" i="17"/>
  <c r="GZ369" i="17"/>
  <c r="HA369" i="17"/>
  <c r="HB369" i="17"/>
  <c r="HC369" i="17"/>
  <c r="HD369" i="17"/>
  <c r="HE369" i="17"/>
  <c r="HF369" i="17"/>
  <c r="HG369" i="17"/>
  <c r="HH369" i="17"/>
  <c r="HI369" i="17"/>
  <c r="HJ369" i="17"/>
  <c r="HK369" i="17"/>
  <c r="HL369" i="17"/>
  <c r="HM369" i="17"/>
  <c r="HN369" i="17"/>
  <c r="HO369" i="17"/>
  <c r="HP369" i="17"/>
  <c r="HQ369" i="17"/>
  <c r="HR369" i="17"/>
  <c r="HS369" i="17"/>
  <c r="HT369" i="17"/>
  <c r="HU369" i="17"/>
  <c r="HV369" i="17"/>
  <c r="HW369" i="17"/>
  <c r="HX369" i="17"/>
  <c r="HY369" i="17"/>
  <c r="HZ369" i="17"/>
  <c r="IA369" i="17"/>
  <c r="IB369" i="17"/>
  <c r="IC369" i="17"/>
  <c r="ID369" i="17"/>
  <c r="IE369" i="17"/>
  <c r="IF369" i="17"/>
  <c r="IG369" i="17"/>
  <c r="IH369" i="17"/>
  <c r="II369" i="17"/>
  <c r="IJ369" i="17"/>
  <c r="IK369" i="17"/>
  <c r="IL369" i="17"/>
  <c r="IM369" i="17"/>
  <c r="IN369" i="17"/>
  <c r="IO369" i="17"/>
  <c r="IP369" i="17"/>
  <c r="IQ369" i="17"/>
  <c r="IR369" i="17"/>
  <c r="IS369" i="17"/>
  <c r="IT369" i="17"/>
  <c r="IU369" i="17"/>
  <c r="IV369" i="17"/>
  <c r="A368" i="17"/>
  <c r="B368" i="17"/>
  <c r="C368" i="17"/>
  <c r="D368" i="17"/>
  <c r="E368" i="17"/>
  <c r="F368" i="17"/>
  <c r="G368" i="17"/>
  <c r="H368" i="17"/>
  <c r="I368" i="17"/>
  <c r="J368" i="17"/>
  <c r="K368" i="17"/>
  <c r="L368" i="17"/>
  <c r="M368" i="17"/>
  <c r="N368" i="17"/>
  <c r="O368" i="17"/>
  <c r="P368" i="17"/>
  <c r="Q368" i="17"/>
  <c r="R368" i="17"/>
  <c r="S368" i="17"/>
  <c r="T368" i="17"/>
  <c r="U368" i="17"/>
  <c r="V368" i="17"/>
  <c r="W368" i="17"/>
  <c r="Y368" i="17"/>
  <c r="Z368" i="17"/>
  <c r="AA368" i="17"/>
  <c r="AB368" i="17"/>
  <c r="AC368" i="17"/>
  <c r="AD368" i="17"/>
  <c r="AE368" i="17"/>
  <c r="AF368" i="17"/>
  <c r="AG368" i="17"/>
  <c r="AH368" i="17"/>
  <c r="AI368" i="17"/>
  <c r="AJ368" i="17"/>
  <c r="AK368" i="17"/>
  <c r="AL368" i="17"/>
  <c r="AM368" i="17"/>
  <c r="AN368" i="17"/>
  <c r="AO368" i="17"/>
  <c r="AP368" i="17"/>
  <c r="AQ368" i="17"/>
  <c r="AR368" i="17"/>
  <c r="AS368" i="17"/>
  <c r="AT368" i="17"/>
  <c r="AU368" i="17"/>
  <c r="AV368" i="17"/>
  <c r="AW368" i="17"/>
  <c r="AX368" i="17"/>
  <c r="AY368" i="17"/>
  <c r="AZ368" i="17"/>
  <c r="BA368" i="17"/>
  <c r="BB368" i="17"/>
  <c r="BC368" i="17"/>
  <c r="BD368" i="17"/>
  <c r="BE368" i="17"/>
  <c r="BF368" i="17"/>
  <c r="BG368" i="17"/>
  <c r="BH368" i="17"/>
  <c r="BI368" i="17"/>
  <c r="BJ368" i="17"/>
  <c r="BK368" i="17"/>
  <c r="BL368" i="17"/>
  <c r="BM368" i="17"/>
  <c r="BN368" i="17"/>
  <c r="BO368" i="17"/>
  <c r="BP368" i="17"/>
  <c r="BQ368" i="17"/>
  <c r="BR368" i="17"/>
  <c r="BS368" i="17"/>
  <c r="BT368" i="17"/>
  <c r="BU368" i="17"/>
  <c r="BV368" i="17"/>
  <c r="BW368" i="17"/>
  <c r="BX368" i="17"/>
  <c r="BY368" i="17"/>
  <c r="BZ368" i="17"/>
  <c r="CA368" i="17"/>
  <c r="CB368" i="17"/>
  <c r="CC368" i="17"/>
  <c r="CD368" i="17"/>
  <c r="CE368" i="17"/>
  <c r="CF368" i="17"/>
  <c r="CG368" i="17"/>
  <c r="CH368" i="17"/>
  <c r="CI368" i="17"/>
  <c r="CJ368" i="17"/>
  <c r="CK368" i="17"/>
  <c r="CL368" i="17"/>
  <c r="CM368" i="17"/>
  <c r="CN368" i="17"/>
  <c r="CO368" i="17"/>
  <c r="CP368" i="17"/>
  <c r="CQ368" i="17"/>
  <c r="CR368" i="17"/>
  <c r="CS368" i="17"/>
  <c r="CT368" i="17"/>
  <c r="CU368" i="17"/>
  <c r="CV368" i="17"/>
  <c r="CW368" i="17"/>
  <c r="CX368" i="17"/>
  <c r="CY368" i="17"/>
  <c r="CZ368" i="17"/>
  <c r="DA368" i="17"/>
  <c r="DB368" i="17"/>
  <c r="DC368" i="17"/>
  <c r="DD368" i="17"/>
  <c r="DE368" i="17"/>
  <c r="DF368" i="17"/>
  <c r="DG368" i="17"/>
  <c r="DH368" i="17"/>
  <c r="DI368" i="17"/>
  <c r="DJ368" i="17"/>
  <c r="DK368" i="17"/>
  <c r="DL368" i="17"/>
  <c r="DM368" i="17"/>
  <c r="DN368" i="17"/>
  <c r="DO368" i="17"/>
  <c r="DP368" i="17"/>
  <c r="DQ368" i="17"/>
  <c r="DR368" i="17"/>
  <c r="DS368" i="17"/>
  <c r="DT368" i="17"/>
  <c r="DU368" i="17"/>
  <c r="DV368" i="17"/>
  <c r="DW368" i="17"/>
  <c r="DX368" i="17"/>
  <c r="DY368" i="17"/>
  <c r="DZ368" i="17"/>
  <c r="EA368" i="17"/>
  <c r="EB368" i="17"/>
  <c r="EC368" i="17"/>
  <c r="ED368" i="17"/>
  <c r="EE368" i="17"/>
  <c r="EF368" i="17"/>
  <c r="EG368" i="17"/>
  <c r="EH368" i="17"/>
  <c r="EI368" i="17"/>
  <c r="EJ368" i="17"/>
  <c r="EK368" i="17"/>
  <c r="EL368" i="17"/>
  <c r="EM368" i="17"/>
  <c r="EN368" i="17"/>
  <c r="EO368" i="17"/>
  <c r="EP368" i="17"/>
  <c r="EQ368" i="17"/>
  <c r="ER368" i="17"/>
  <c r="ES368" i="17"/>
  <c r="ET368" i="17"/>
  <c r="EU368" i="17"/>
  <c r="EV368" i="17"/>
  <c r="EW368" i="17"/>
  <c r="EX368" i="17"/>
  <c r="EY368" i="17"/>
  <c r="EZ368" i="17"/>
  <c r="FA368" i="17"/>
  <c r="FB368" i="17"/>
  <c r="FC368" i="17"/>
  <c r="FD368" i="17"/>
  <c r="FE368" i="17"/>
  <c r="FF368" i="17"/>
  <c r="FG368" i="17"/>
  <c r="FH368" i="17"/>
  <c r="FI368" i="17"/>
  <c r="FJ368" i="17"/>
  <c r="FK368" i="17"/>
  <c r="FL368" i="17"/>
  <c r="FM368" i="17"/>
  <c r="FN368" i="17"/>
  <c r="FO368" i="17"/>
  <c r="FP368" i="17"/>
  <c r="FQ368" i="17"/>
  <c r="FR368" i="17"/>
  <c r="FS368" i="17"/>
  <c r="FT368" i="17"/>
  <c r="FU368" i="17"/>
  <c r="FV368" i="17"/>
  <c r="FW368" i="17"/>
  <c r="FX368" i="17"/>
  <c r="FY368" i="17"/>
  <c r="FZ368" i="17"/>
  <c r="GA368" i="17"/>
  <c r="GB368" i="17"/>
  <c r="GC368" i="17"/>
  <c r="GD368" i="17"/>
  <c r="GE368" i="17"/>
  <c r="GF368" i="17"/>
  <c r="GG368" i="17"/>
  <c r="GH368" i="17"/>
  <c r="GI368" i="17"/>
  <c r="GJ368" i="17"/>
  <c r="GK368" i="17"/>
  <c r="GL368" i="17"/>
  <c r="GM368" i="17"/>
  <c r="GN368" i="17"/>
  <c r="GO368" i="17"/>
  <c r="GP368" i="17"/>
  <c r="GQ368" i="17"/>
  <c r="GR368" i="17"/>
  <c r="GS368" i="17"/>
  <c r="GT368" i="17"/>
  <c r="GU368" i="17"/>
  <c r="GV368" i="17"/>
  <c r="GW368" i="17"/>
  <c r="GX368" i="17"/>
  <c r="GY368" i="17"/>
  <c r="GZ368" i="17"/>
  <c r="HA368" i="17"/>
  <c r="HB368" i="17"/>
  <c r="HC368" i="17"/>
  <c r="HD368" i="17"/>
  <c r="HE368" i="17"/>
  <c r="HF368" i="17"/>
  <c r="HG368" i="17"/>
  <c r="HH368" i="17"/>
  <c r="HI368" i="17"/>
  <c r="HJ368" i="17"/>
  <c r="HK368" i="17"/>
  <c r="HL368" i="17"/>
  <c r="HM368" i="17"/>
  <c r="HN368" i="17"/>
  <c r="HO368" i="17"/>
  <c r="HP368" i="17"/>
  <c r="HQ368" i="17"/>
  <c r="HR368" i="17"/>
  <c r="HS368" i="17"/>
  <c r="HT368" i="17"/>
  <c r="HU368" i="17"/>
  <c r="HV368" i="17"/>
  <c r="HW368" i="17"/>
  <c r="HX368" i="17"/>
  <c r="HY368" i="17"/>
  <c r="HZ368" i="17"/>
  <c r="IA368" i="17"/>
  <c r="IB368" i="17"/>
  <c r="IC368" i="17"/>
  <c r="ID368" i="17"/>
  <c r="IE368" i="17"/>
  <c r="IF368" i="17"/>
  <c r="IG368" i="17"/>
  <c r="IH368" i="17"/>
  <c r="II368" i="17"/>
  <c r="IJ368" i="17"/>
  <c r="IK368" i="17"/>
  <c r="IL368" i="17"/>
  <c r="IM368" i="17"/>
  <c r="IN368" i="17"/>
  <c r="IO368" i="17"/>
  <c r="IP368" i="17"/>
  <c r="IQ368" i="17"/>
  <c r="IR368" i="17"/>
  <c r="IS368" i="17"/>
  <c r="IT368" i="17"/>
  <c r="IU368" i="17"/>
  <c r="IV368" i="17"/>
  <c r="A367" i="17"/>
  <c r="B367" i="17"/>
  <c r="C367" i="17"/>
  <c r="D367" i="17"/>
  <c r="E367" i="17"/>
  <c r="F367" i="17"/>
  <c r="G367" i="17"/>
  <c r="H367" i="17"/>
  <c r="I367" i="17"/>
  <c r="J367" i="17"/>
  <c r="K367" i="17"/>
  <c r="L367" i="17"/>
  <c r="M367" i="17"/>
  <c r="N367" i="17"/>
  <c r="O367" i="17"/>
  <c r="P367" i="17"/>
  <c r="Q367" i="17"/>
  <c r="R367" i="17"/>
  <c r="S367" i="17"/>
  <c r="T367" i="17"/>
  <c r="U367" i="17"/>
  <c r="V367" i="17"/>
  <c r="W367" i="17"/>
  <c r="X367" i="17"/>
  <c r="Y367" i="17"/>
  <c r="Z367" i="17"/>
  <c r="AA367" i="17"/>
  <c r="AB367" i="17"/>
  <c r="AC367" i="17"/>
  <c r="AD367" i="17"/>
  <c r="AE367" i="17"/>
  <c r="AF367" i="17"/>
  <c r="AG367" i="17"/>
  <c r="AH367" i="17"/>
  <c r="AI367" i="17"/>
  <c r="AJ367" i="17"/>
  <c r="AK367" i="17"/>
  <c r="AL367" i="17"/>
  <c r="AM367" i="17"/>
  <c r="AN367" i="17"/>
  <c r="AO367" i="17"/>
  <c r="AP367" i="17"/>
  <c r="AQ367" i="17"/>
  <c r="AR367" i="17"/>
  <c r="AS367" i="17"/>
  <c r="AT367" i="17"/>
  <c r="AU367" i="17"/>
  <c r="AV367" i="17"/>
  <c r="AW367" i="17"/>
  <c r="AX367" i="17"/>
  <c r="AY367" i="17"/>
  <c r="AZ367" i="17"/>
  <c r="BA367" i="17"/>
  <c r="BB367" i="17"/>
  <c r="BC367" i="17"/>
  <c r="BD367" i="17"/>
  <c r="BE367" i="17"/>
  <c r="BF367" i="17"/>
  <c r="BG367" i="17"/>
  <c r="BH367" i="17"/>
  <c r="BI367" i="17"/>
  <c r="BJ367" i="17"/>
  <c r="BK367" i="17"/>
  <c r="BL367" i="17"/>
  <c r="BM367" i="17"/>
  <c r="BN367" i="17"/>
  <c r="BO367" i="17"/>
  <c r="BP367" i="17"/>
  <c r="BQ367" i="17"/>
  <c r="BR367" i="17"/>
  <c r="BS367" i="17"/>
  <c r="BT367" i="17"/>
  <c r="BU367" i="17"/>
  <c r="BV367" i="17"/>
  <c r="BW367" i="17"/>
  <c r="BX367" i="17"/>
  <c r="BY367" i="17"/>
  <c r="BZ367" i="17"/>
  <c r="CA367" i="17"/>
  <c r="CB367" i="17"/>
  <c r="CC367" i="17"/>
  <c r="CD367" i="17"/>
  <c r="CE367" i="17"/>
  <c r="CF367" i="17"/>
  <c r="CG367" i="17"/>
  <c r="CH367" i="17"/>
  <c r="CI367" i="17"/>
  <c r="CJ367" i="17"/>
  <c r="CK367" i="17"/>
  <c r="CL367" i="17"/>
  <c r="CM367" i="17"/>
  <c r="CN367" i="17"/>
  <c r="CO367" i="17"/>
  <c r="CP367" i="17"/>
  <c r="CQ367" i="17"/>
  <c r="CR367" i="17"/>
  <c r="CS367" i="17"/>
  <c r="CT367" i="17"/>
  <c r="CU367" i="17"/>
  <c r="CV367" i="17"/>
  <c r="CW367" i="17"/>
  <c r="CX367" i="17"/>
  <c r="CY367" i="17"/>
  <c r="CZ367" i="17"/>
  <c r="DA367" i="17"/>
  <c r="DB367" i="17"/>
  <c r="DC367" i="17"/>
  <c r="DD367" i="17"/>
  <c r="DE367" i="17"/>
  <c r="DF367" i="17"/>
  <c r="DG367" i="17"/>
  <c r="DH367" i="17"/>
  <c r="DI367" i="17"/>
  <c r="DJ367" i="17"/>
  <c r="DK367" i="17"/>
  <c r="DL367" i="17"/>
  <c r="DM367" i="17"/>
  <c r="DN367" i="17"/>
  <c r="DO367" i="17"/>
  <c r="DP367" i="17"/>
  <c r="DQ367" i="17"/>
  <c r="DR367" i="17"/>
  <c r="DS367" i="17"/>
  <c r="DT367" i="17"/>
  <c r="DU367" i="17"/>
  <c r="DV367" i="17"/>
  <c r="DW367" i="17"/>
  <c r="DX367" i="17"/>
  <c r="DY367" i="17"/>
  <c r="DZ367" i="17"/>
  <c r="EA367" i="17"/>
  <c r="EB367" i="17"/>
  <c r="EC367" i="17"/>
  <c r="ED367" i="17"/>
  <c r="EE367" i="17"/>
  <c r="EF367" i="17"/>
  <c r="EG367" i="17"/>
  <c r="EH367" i="17"/>
  <c r="EI367" i="17"/>
  <c r="EJ367" i="17"/>
  <c r="EK367" i="17"/>
  <c r="EL367" i="17"/>
  <c r="EM367" i="17"/>
  <c r="EN367" i="17"/>
  <c r="EO367" i="17"/>
  <c r="EP367" i="17"/>
  <c r="EQ367" i="17"/>
  <c r="ER367" i="17"/>
  <c r="ES367" i="17"/>
  <c r="ET367" i="17"/>
  <c r="EU367" i="17"/>
  <c r="EV367" i="17"/>
  <c r="EW367" i="17"/>
  <c r="EX367" i="17"/>
  <c r="EY367" i="17"/>
  <c r="EZ367" i="17"/>
  <c r="FA367" i="17"/>
  <c r="FB367" i="17"/>
  <c r="FC367" i="17"/>
  <c r="FD367" i="17"/>
  <c r="FE367" i="17"/>
  <c r="FF367" i="17"/>
  <c r="FG367" i="17"/>
  <c r="FH367" i="17"/>
  <c r="FI367" i="17"/>
  <c r="FJ367" i="17"/>
  <c r="FK367" i="17"/>
  <c r="FL367" i="17"/>
  <c r="FM367" i="17"/>
  <c r="FN367" i="17"/>
  <c r="FO367" i="17"/>
  <c r="FP367" i="17"/>
  <c r="FQ367" i="17"/>
  <c r="FR367" i="17"/>
  <c r="FS367" i="17"/>
  <c r="FT367" i="17"/>
  <c r="FU367" i="17"/>
  <c r="FV367" i="17"/>
  <c r="FW367" i="17"/>
  <c r="FX367" i="17"/>
  <c r="FY367" i="17"/>
  <c r="FZ367" i="17"/>
  <c r="GA367" i="17"/>
  <c r="GB367" i="17"/>
  <c r="GC367" i="17"/>
  <c r="GD367" i="17"/>
  <c r="GE367" i="17"/>
  <c r="GF367" i="17"/>
  <c r="GG367" i="17"/>
  <c r="GH367" i="17"/>
  <c r="GI367" i="17"/>
  <c r="GJ367" i="17"/>
  <c r="GK367" i="17"/>
  <c r="GL367" i="17"/>
  <c r="GM367" i="17"/>
  <c r="GN367" i="17"/>
  <c r="GO367" i="17"/>
  <c r="GP367" i="17"/>
  <c r="GQ367" i="17"/>
  <c r="GR367" i="17"/>
  <c r="GS367" i="17"/>
  <c r="GT367" i="17"/>
  <c r="GU367" i="17"/>
  <c r="GV367" i="17"/>
  <c r="GW367" i="17"/>
  <c r="GX367" i="17"/>
  <c r="GY367" i="17"/>
  <c r="GZ367" i="17"/>
  <c r="HA367" i="17"/>
  <c r="HB367" i="17"/>
  <c r="HC367" i="17"/>
  <c r="HD367" i="17"/>
  <c r="HE367" i="17"/>
  <c r="HF367" i="17"/>
  <c r="HG367" i="17"/>
  <c r="HH367" i="17"/>
  <c r="HI367" i="17"/>
  <c r="HJ367" i="17"/>
  <c r="HK367" i="17"/>
  <c r="HL367" i="17"/>
  <c r="HM367" i="17"/>
  <c r="HN367" i="17"/>
  <c r="HO367" i="17"/>
  <c r="HP367" i="17"/>
  <c r="HQ367" i="17"/>
  <c r="HR367" i="17"/>
  <c r="HS367" i="17"/>
  <c r="HT367" i="17"/>
  <c r="HU367" i="17"/>
  <c r="HV367" i="17"/>
  <c r="HW367" i="17"/>
  <c r="HX367" i="17"/>
  <c r="HY367" i="17"/>
  <c r="HZ367" i="17"/>
  <c r="IA367" i="17"/>
  <c r="IB367" i="17"/>
  <c r="IC367" i="17"/>
  <c r="ID367" i="17"/>
  <c r="IE367" i="17"/>
  <c r="IF367" i="17"/>
  <c r="IG367" i="17"/>
  <c r="IH367" i="17"/>
  <c r="II367" i="17"/>
  <c r="IJ367" i="17"/>
  <c r="IK367" i="17"/>
  <c r="IL367" i="17"/>
  <c r="IM367" i="17"/>
  <c r="IN367" i="17"/>
  <c r="IO367" i="17"/>
  <c r="IP367" i="17"/>
  <c r="IQ367" i="17"/>
  <c r="IR367" i="17"/>
  <c r="IS367" i="17"/>
  <c r="IT367" i="17"/>
  <c r="IU367" i="17"/>
  <c r="IV367" i="17"/>
  <c r="A366" i="17"/>
  <c r="B366" i="17"/>
  <c r="C366" i="17"/>
  <c r="D366" i="17"/>
  <c r="E366" i="17"/>
  <c r="F366" i="17"/>
  <c r="G366" i="17"/>
  <c r="H366" i="17"/>
  <c r="I366" i="17"/>
  <c r="J366" i="17"/>
  <c r="K366" i="17"/>
  <c r="L366" i="17"/>
  <c r="M366" i="17"/>
  <c r="N366" i="17"/>
  <c r="O366" i="17"/>
  <c r="P366" i="17"/>
  <c r="Q366" i="17"/>
  <c r="R366" i="17"/>
  <c r="S366" i="17"/>
  <c r="T366" i="17"/>
  <c r="U366" i="17"/>
  <c r="V366" i="17"/>
  <c r="X366" i="17"/>
  <c r="Y366" i="17"/>
  <c r="Z366" i="17"/>
  <c r="AA366" i="17"/>
  <c r="AB366" i="17"/>
  <c r="AC366" i="17"/>
  <c r="AD366" i="17"/>
  <c r="AE366" i="17"/>
  <c r="AF366" i="17"/>
  <c r="AG366" i="17"/>
  <c r="AH366" i="17"/>
  <c r="AI366" i="17"/>
  <c r="AJ366" i="17"/>
  <c r="AK366" i="17"/>
  <c r="AL366" i="17"/>
  <c r="AM366" i="17"/>
  <c r="AN366" i="17"/>
  <c r="AO366" i="17"/>
  <c r="AP366" i="17"/>
  <c r="AQ366" i="17"/>
  <c r="AR366" i="17"/>
  <c r="AS366" i="17"/>
  <c r="AT366" i="17"/>
  <c r="AU366" i="17"/>
  <c r="AV366" i="17"/>
  <c r="AW366" i="17"/>
  <c r="AX366" i="17"/>
  <c r="AY366" i="17"/>
  <c r="AZ366" i="17"/>
  <c r="BA366" i="17"/>
  <c r="BB366" i="17"/>
  <c r="BC366" i="17"/>
  <c r="BD366" i="17"/>
  <c r="BE366" i="17"/>
  <c r="BF366" i="17"/>
  <c r="BG366" i="17"/>
  <c r="BH366" i="17"/>
  <c r="BI366" i="17"/>
  <c r="BJ366" i="17"/>
  <c r="BK366" i="17"/>
  <c r="BL366" i="17"/>
  <c r="BM366" i="17"/>
  <c r="BN366" i="17"/>
  <c r="BO366" i="17"/>
  <c r="BP366" i="17"/>
  <c r="BQ366" i="17"/>
  <c r="BR366" i="17"/>
  <c r="BS366" i="17"/>
  <c r="BT366" i="17"/>
  <c r="BU366" i="17"/>
  <c r="BV366" i="17"/>
  <c r="BW366" i="17"/>
  <c r="BX366" i="17"/>
  <c r="BY366" i="17"/>
  <c r="BZ366" i="17"/>
  <c r="CA366" i="17"/>
  <c r="CB366" i="17"/>
  <c r="CC366" i="17"/>
  <c r="CD366" i="17"/>
  <c r="CE366" i="17"/>
  <c r="CF366" i="17"/>
  <c r="CG366" i="17"/>
  <c r="CH366" i="17"/>
  <c r="CI366" i="17"/>
  <c r="CJ366" i="17"/>
  <c r="CK366" i="17"/>
  <c r="CL366" i="17"/>
  <c r="CM366" i="17"/>
  <c r="CN366" i="17"/>
  <c r="CO366" i="17"/>
  <c r="CP366" i="17"/>
  <c r="CQ366" i="17"/>
  <c r="CR366" i="17"/>
  <c r="CS366" i="17"/>
  <c r="CT366" i="17"/>
  <c r="CU366" i="17"/>
  <c r="CV366" i="17"/>
  <c r="CW366" i="17"/>
  <c r="CX366" i="17"/>
  <c r="CY366" i="17"/>
  <c r="CZ366" i="17"/>
  <c r="DA366" i="17"/>
  <c r="DB366" i="17"/>
  <c r="DC366" i="17"/>
  <c r="DD366" i="17"/>
  <c r="DE366" i="17"/>
  <c r="DF366" i="17"/>
  <c r="DG366" i="17"/>
  <c r="DH366" i="17"/>
  <c r="DI366" i="17"/>
  <c r="DJ366" i="17"/>
  <c r="DK366" i="17"/>
  <c r="DL366" i="17"/>
  <c r="DM366" i="17"/>
  <c r="DN366" i="17"/>
  <c r="DO366" i="17"/>
  <c r="DP366" i="17"/>
  <c r="DQ366" i="17"/>
  <c r="DR366" i="17"/>
  <c r="DS366" i="17"/>
  <c r="DT366" i="17"/>
  <c r="DU366" i="17"/>
  <c r="DV366" i="17"/>
  <c r="DW366" i="17"/>
  <c r="DX366" i="17"/>
  <c r="DY366" i="17"/>
  <c r="DZ366" i="17"/>
  <c r="EA366" i="17"/>
  <c r="EB366" i="17"/>
  <c r="EC366" i="17"/>
  <c r="ED366" i="17"/>
  <c r="EE366" i="17"/>
  <c r="EF366" i="17"/>
  <c r="EG366" i="17"/>
  <c r="EH366" i="17"/>
  <c r="EI366" i="17"/>
  <c r="EJ366" i="17"/>
  <c r="EK366" i="17"/>
  <c r="EL366" i="17"/>
  <c r="EM366" i="17"/>
  <c r="EN366" i="17"/>
  <c r="EO366" i="17"/>
  <c r="EP366" i="17"/>
  <c r="EQ366" i="17"/>
  <c r="ER366" i="17"/>
  <c r="ES366" i="17"/>
  <c r="ET366" i="17"/>
  <c r="EU366" i="17"/>
  <c r="EV366" i="17"/>
  <c r="EW366" i="17"/>
  <c r="EX366" i="17"/>
  <c r="EY366" i="17"/>
  <c r="EZ366" i="17"/>
  <c r="FA366" i="17"/>
  <c r="FB366" i="17"/>
  <c r="FC366" i="17"/>
  <c r="FD366" i="17"/>
  <c r="FE366" i="17"/>
  <c r="FF366" i="17"/>
  <c r="FG366" i="17"/>
  <c r="FH366" i="17"/>
  <c r="FI366" i="17"/>
  <c r="FJ366" i="17"/>
  <c r="FK366" i="17"/>
  <c r="FL366" i="17"/>
  <c r="FM366" i="17"/>
  <c r="FN366" i="17"/>
  <c r="FO366" i="17"/>
  <c r="FP366" i="17"/>
  <c r="FQ366" i="17"/>
  <c r="FR366" i="17"/>
  <c r="FS366" i="17"/>
  <c r="FT366" i="17"/>
  <c r="FU366" i="17"/>
  <c r="FV366" i="17"/>
  <c r="FW366" i="17"/>
  <c r="FX366" i="17"/>
  <c r="FY366" i="17"/>
  <c r="FZ366" i="17"/>
  <c r="GA366" i="17"/>
  <c r="GB366" i="17"/>
  <c r="GC366" i="17"/>
  <c r="GD366" i="17"/>
  <c r="GE366" i="17"/>
  <c r="GF366" i="17"/>
  <c r="GG366" i="17"/>
  <c r="GH366" i="17"/>
  <c r="GI366" i="17"/>
  <c r="GJ366" i="17"/>
  <c r="GK366" i="17"/>
  <c r="GL366" i="17"/>
  <c r="GM366" i="17"/>
  <c r="GN366" i="17"/>
  <c r="GO366" i="17"/>
  <c r="GP366" i="17"/>
  <c r="GQ366" i="17"/>
  <c r="GR366" i="17"/>
  <c r="GS366" i="17"/>
  <c r="GT366" i="17"/>
  <c r="GU366" i="17"/>
  <c r="GV366" i="17"/>
  <c r="GW366" i="17"/>
  <c r="GX366" i="17"/>
  <c r="GY366" i="17"/>
  <c r="GZ366" i="17"/>
  <c r="HA366" i="17"/>
  <c r="HB366" i="17"/>
  <c r="HC366" i="17"/>
  <c r="HD366" i="17"/>
  <c r="HE366" i="17"/>
  <c r="HF366" i="17"/>
  <c r="HG366" i="17"/>
  <c r="HH366" i="17"/>
  <c r="HI366" i="17"/>
  <c r="HJ366" i="17"/>
  <c r="HK366" i="17"/>
  <c r="HL366" i="17"/>
  <c r="HM366" i="17"/>
  <c r="HN366" i="17"/>
  <c r="HO366" i="17"/>
  <c r="HP366" i="17"/>
  <c r="HQ366" i="17"/>
  <c r="HR366" i="17"/>
  <c r="HS366" i="17"/>
  <c r="HT366" i="17"/>
  <c r="HU366" i="17"/>
  <c r="HV366" i="17"/>
  <c r="HW366" i="17"/>
  <c r="HX366" i="17"/>
  <c r="HY366" i="17"/>
  <c r="HZ366" i="17"/>
  <c r="IA366" i="17"/>
  <c r="IB366" i="17"/>
  <c r="IC366" i="17"/>
  <c r="ID366" i="17"/>
  <c r="IE366" i="17"/>
  <c r="IF366" i="17"/>
  <c r="IG366" i="17"/>
  <c r="IH366" i="17"/>
  <c r="II366" i="17"/>
  <c r="IJ366" i="17"/>
  <c r="IK366" i="17"/>
  <c r="IL366" i="17"/>
  <c r="IM366" i="17"/>
  <c r="IN366" i="17"/>
  <c r="IO366" i="17"/>
  <c r="IP366" i="17"/>
  <c r="IQ366" i="17"/>
  <c r="IR366" i="17"/>
  <c r="IS366" i="17"/>
  <c r="IT366" i="17"/>
  <c r="IU366" i="17"/>
  <c r="IV366" i="17"/>
  <c r="A365" i="17"/>
  <c r="B365" i="17"/>
  <c r="C365" i="17"/>
  <c r="D365" i="17"/>
  <c r="E365" i="17"/>
  <c r="F365" i="17"/>
  <c r="G365" i="17"/>
  <c r="H365" i="17"/>
  <c r="I365" i="17"/>
  <c r="J365" i="17"/>
  <c r="K365" i="17"/>
  <c r="L365" i="17"/>
  <c r="M365" i="17"/>
  <c r="N365" i="17"/>
  <c r="O365" i="17"/>
  <c r="P365" i="17"/>
  <c r="Q365" i="17"/>
  <c r="R365" i="17"/>
  <c r="S365" i="17"/>
  <c r="T365" i="17"/>
  <c r="U365" i="17"/>
  <c r="V365" i="17"/>
  <c r="W365" i="17"/>
  <c r="X365" i="17"/>
  <c r="Y365" i="17"/>
  <c r="Z365" i="17"/>
  <c r="AA365" i="17"/>
  <c r="AB365" i="17"/>
  <c r="AC365" i="17"/>
  <c r="AD365" i="17"/>
  <c r="AE365" i="17"/>
  <c r="AF365" i="17"/>
  <c r="AG365" i="17"/>
  <c r="AH365" i="17"/>
  <c r="AI365" i="17"/>
  <c r="AJ365" i="17"/>
  <c r="AK365" i="17"/>
  <c r="AL365" i="17"/>
  <c r="AM365" i="17"/>
  <c r="AN365" i="17"/>
  <c r="AO365" i="17"/>
  <c r="AP365" i="17"/>
  <c r="AQ365" i="17"/>
  <c r="AR365" i="17"/>
  <c r="AS365" i="17"/>
  <c r="AT365" i="17"/>
  <c r="AU365" i="17"/>
  <c r="AV365" i="17"/>
  <c r="AW365" i="17"/>
  <c r="AX365" i="17"/>
  <c r="AY365" i="17"/>
  <c r="AZ365" i="17"/>
  <c r="BA365" i="17"/>
  <c r="BB365" i="17"/>
  <c r="BC365" i="17"/>
  <c r="BD365" i="17"/>
  <c r="BE365" i="17"/>
  <c r="BF365" i="17"/>
  <c r="BG365" i="17"/>
  <c r="BH365" i="17"/>
  <c r="BI365" i="17"/>
  <c r="BJ365" i="17"/>
  <c r="BK365" i="17"/>
  <c r="BL365" i="17"/>
  <c r="BM365" i="17"/>
  <c r="BN365" i="17"/>
  <c r="BO365" i="17"/>
  <c r="BP365" i="17"/>
  <c r="BQ365" i="17"/>
  <c r="BR365" i="17"/>
  <c r="BS365" i="17"/>
  <c r="BT365" i="17"/>
  <c r="BU365" i="17"/>
  <c r="BV365" i="17"/>
  <c r="BW365" i="17"/>
  <c r="BX365" i="17"/>
  <c r="BY365" i="17"/>
  <c r="BZ365" i="17"/>
  <c r="CA365" i="17"/>
  <c r="CB365" i="17"/>
  <c r="CC365" i="17"/>
  <c r="CD365" i="17"/>
  <c r="CE365" i="17"/>
  <c r="CF365" i="17"/>
  <c r="CG365" i="17"/>
  <c r="CH365" i="17"/>
  <c r="CI365" i="17"/>
  <c r="CJ365" i="17"/>
  <c r="CK365" i="17"/>
  <c r="CL365" i="17"/>
  <c r="CM365" i="17"/>
  <c r="CN365" i="17"/>
  <c r="CO365" i="17"/>
  <c r="CP365" i="17"/>
  <c r="CQ365" i="17"/>
  <c r="CR365" i="17"/>
  <c r="CS365" i="17"/>
  <c r="CT365" i="17"/>
  <c r="CU365" i="17"/>
  <c r="CV365" i="17"/>
  <c r="CW365" i="17"/>
  <c r="CX365" i="17"/>
  <c r="CY365" i="17"/>
  <c r="CZ365" i="17"/>
  <c r="DA365" i="17"/>
  <c r="DB365" i="17"/>
  <c r="DC365" i="17"/>
  <c r="DD365" i="17"/>
  <c r="DE365" i="17"/>
  <c r="DF365" i="17"/>
  <c r="DG365" i="17"/>
  <c r="DH365" i="17"/>
  <c r="DI365" i="17"/>
  <c r="DJ365" i="17"/>
  <c r="DK365" i="17"/>
  <c r="DL365" i="17"/>
  <c r="DM365" i="17"/>
  <c r="DN365" i="17"/>
  <c r="DO365" i="17"/>
  <c r="DP365" i="17"/>
  <c r="DQ365" i="17"/>
  <c r="DR365" i="17"/>
  <c r="DS365" i="17"/>
  <c r="DT365" i="17"/>
  <c r="DU365" i="17"/>
  <c r="DV365" i="17"/>
  <c r="DW365" i="17"/>
  <c r="DX365" i="17"/>
  <c r="DY365" i="17"/>
  <c r="DZ365" i="17"/>
  <c r="EA365" i="17"/>
  <c r="EB365" i="17"/>
  <c r="EC365" i="17"/>
  <c r="ED365" i="17"/>
  <c r="EE365" i="17"/>
  <c r="EF365" i="17"/>
  <c r="EG365" i="17"/>
  <c r="EH365" i="17"/>
  <c r="EI365" i="17"/>
  <c r="EJ365" i="17"/>
  <c r="EK365" i="17"/>
  <c r="EL365" i="17"/>
  <c r="EM365" i="17"/>
  <c r="EN365" i="17"/>
  <c r="EO365" i="17"/>
  <c r="EP365" i="17"/>
  <c r="EQ365" i="17"/>
  <c r="ER365" i="17"/>
  <c r="ES365" i="17"/>
  <c r="ET365" i="17"/>
  <c r="EU365" i="17"/>
  <c r="EV365" i="17"/>
  <c r="EW365" i="17"/>
  <c r="EX365" i="17"/>
  <c r="EY365" i="17"/>
  <c r="EZ365" i="17"/>
  <c r="FA365" i="17"/>
  <c r="FB365" i="17"/>
  <c r="FC365" i="17"/>
  <c r="FD365" i="17"/>
  <c r="FE365" i="17"/>
  <c r="FF365" i="17"/>
  <c r="FG365" i="17"/>
  <c r="FH365" i="17"/>
  <c r="FI365" i="17"/>
  <c r="FJ365" i="17"/>
  <c r="FK365" i="17"/>
  <c r="FL365" i="17"/>
  <c r="FM365" i="17"/>
  <c r="FN365" i="17"/>
  <c r="FO365" i="17"/>
  <c r="FP365" i="17"/>
  <c r="FQ365" i="17"/>
  <c r="FR365" i="17"/>
  <c r="FS365" i="17"/>
  <c r="FT365" i="17"/>
  <c r="FU365" i="17"/>
  <c r="FV365" i="17"/>
  <c r="FW365" i="17"/>
  <c r="FX365" i="17"/>
  <c r="FY365" i="17"/>
  <c r="FZ365" i="17"/>
  <c r="GA365" i="17"/>
  <c r="GB365" i="17"/>
  <c r="GC365" i="17"/>
  <c r="GD365" i="17"/>
  <c r="GE365" i="17"/>
  <c r="GF365" i="17"/>
  <c r="GG365" i="17"/>
  <c r="GH365" i="17"/>
  <c r="GI365" i="17"/>
  <c r="GJ365" i="17"/>
  <c r="GK365" i="17"/>
  <c r="GL365" i="17"/>
  <c r="GM365" i="17"/>
  <c r="GN365" i="17"/>
  <c r="GO365" i="17"/>
  <c r="GP365" i="17"/>
  <c r="GQ365" i="17"/>
  <c r="GR365" i="17"/>
  <c r="GS365" i="17"/>
  <c r="GT365" i="17"/>
  <c r="GU365" i="17"/>
  <c r="GV365" i="17"/>
  <c r="GW365" i="17"/>
  <c r="GX365" i="17"/>
  <c r="GY365" i="17"/>
  <c r="GZ365" i="17"/>
  <c r="HA365" i="17"/>
  <c r="HB365" i="17"/>
  <c r="HC365" i="17"/>
  <c r="HD365" i="17"/>
  <c r="HE365" i="17"/>
  <c r="HF365" i="17"/>
  <c r="HG365" i="17"/>
  <c r="HH365" i="17"/>
  <c r="HI365" i="17"/>
  <c r="HJ365" i="17"/>
  <c r="HK365" i="17"/>
  <c r="HL365" i="17"/>
  <c r="HM365" i="17"/>
  <c r="HN365" i="17"/>
  <c r="HO365" i="17"/>
  <c r="HP365" i="17"/>
  <c r="HQ365" i="17"/>
  <c r="HR365" i="17"/>
  <c r="HS365" i="17"/>
  <c r="HT365" i="17"/>
  <c r="HU365" i="17"/>
  <c r="HV365" i="17"/>
  <c r="HW365" i="17"/>
  <c r="HX365" i="17"/>
  <c r="HY365" i="17"/>
  <c r="HZ365" i="17"/>
  <c r="IA365" i="17"/>
  <c r="IB365" i="17"/>
  <c r="IC365" i="17"/>
  <c r="ID365" i="17"/>
  <c r="IE365" i="17"/>
  <c r="IF365" i="17"/>
  <c r="IG365" i="17"/>
  <c r="IH365" i="17"/>
  <c r="II365" i="17"/>
  <c r="IJ365" i="17"/>
  <c r="IK365" i="17"/>
  <c r="IL365" i="17"/>
  <c r="IM365" i="17"/>
  <c r="IN365" i="17"/>
  <c r="IO365" i="17"/>
  <c r="IP365" i="17"/>
  <c r="IQ365" i="17"/>
  <c r="IR365" i="17"/>
  <c r="IS365" i="17"/>
  <c r="IT365" i="17"/>
  <c r="IU365" i="17"/>
  <c r="IV365" i="17"/>
  <c r="A364" i="17"/>
  <c r="B364" i="17"/>
  <c r="C364" i="17"/>
  <c r="D364" i="17"/>
  <c r="E364" i="17"/>
  <c r="F364" i="17"/>
  <c r="G364" i="17"/>
  <c r="H364" i="17"/>
  <c r="I364" i="17"/>
  <c r="J364" i="17"/>
  <c r="K364" i="17"/>
  <c r="L364" i="17"/>
  <c r="M364" i="17"/>
  <c r="N364" i="17"/>
  <c r="O364" i="17"/>
  <c r="P364" i="17"/>
  <c r="Q364" i="17"/>
  <c r="R364" i="17"/>
  <c r="S364" i="17"/>
  <c r="T364" i="17"/>
  <c r="U364" i="17"/>
  <c r="W364" i="17"/>
  <c r="X364" i="17"/>
  <c r="Y364" i="17"/>
  <c r="Z364" i="17"/>
  <c r="AA364" i="17"/>
  <c r="AB364" i="17"/>
  <c r="AC364" i="17"/>
  <c r="AD364" i="17"/>
  <c r="AE364" i="17"/>
  <c r="AF364" i="17"/>
  <c r="AG364" i="17"/>
  <c r="AH364" i="17"/>
  <c r="AI364" i="17"/>
  <c r="AJ364" i="17"/>
  <c r="AK364" i="17"/>
  <c r="AL364" i="17"/>
  <c r="AM364" i="17"/>
  <c r="AN364" i="17"/>
  <c r="AO364" i="17"/>
  <c r="AP364" i="17"/>
  <c r="AQ364" i="17"/>
  <c r="AR364" i="17"/>
  <c r="AS364" i="17"/>
  <c r="AT364" i="17"/>
  <c r="AU364" i="17"/>
  <c r="AV364" i="17"/>
  <c r="AW364" i="17"/>
  <c r="AX364" i="17"/>
  <c r="AY364" i="17"/>
  <c r="AZ364" i="17"/>
  <c r="BA364" i="17"/>
  <c r="BB364" i="17"/>
  <c r="BC364" i="17"/>
  <c r="BD364" i="17"/>
  <c r="BE364" i="17"/>
  <c r="BF364" i="17"/>
  <c r="BG364" i="17"/>
  <c r="BH364" i="17"/>
  <c r="BI364" i="17"/>
  <c r="BJ364" i="17"/>
  <c r="BK364" i="17"/>
  <c r="BL364" i="17"/>
  <c r="BM364" i="17"/>
  <c r="BN364" i="17"/>
  <c r="BO364" i="17"/>
  <c r="BP364" i="17"/>
  <c r="BQ364" i="17"/>
  <c r="BR364" i="17"/>
  <c r="BS364" i="17"/>
  <c r="BT364" i="17"/>
  <c r="BU364" i="17"/>
  <c r="BV364" i="17"/>
  <c r="BW364" i="17"/>
  <c r="BX364" i="17"/>
  <c r="BY364" i="17"/>
  <c r="BZ364" i="17"/>
  <c r="CA364" i="17"/>
  <c r="CB364" i="17"/>
  <c r="CC364" i="17"/>
  <c r="CD364" i="17"/>
  <c r="CE364" i="17"/>
  <c r="CF364" i="17"/>
  <c r="CG364" i="17"/>
  <c r="CH364" i="17"/>
  <c r="CI364" i="17"/>
  <c r="CJ364" i="17"/>
  <c r="CK364" i="17"/>
  <c r="CL364" i="17"/>
  <c r="CM364" i="17"/>
  <c r="CN364" i="17"/>
  <c r="CO364" i="17"/>
  <c r="CP364" i="17"/>
  <c r="CQ364" i="17"/>
  <c r="CR364" i="17"/>
  <c r="CS364" i="17"/>
  <c r="CT364" i="17"/>
  <c r="CU364" i="17"/>
  <c r="CV364" i="17"/>
  <c r="CW364" i="17"/>
  <c r="CX364" i="17"/>
  <c r="CY364" i="17"/>
  <c r="CZ364" i="17"/>
  <c r="DA364" i="17"/>
  <c r="DB364" i="17"/>
  <c r="DC364" i="17"/>
  <c r="DD364" i="17"/>
  <c r="DE364" i="17"/>
  <c r="DF364" i="17"/>
  <c r="DG364" i="17"/>
  <c r="DH364" i="17"/>
  <c r="DI364" i="17"/>
  <c r="DJ364" i="17"/>
  <c r="DK364" i="17"/>
  <c r="DL364" i="17"/>
  <c r="DM364" i="17"/>
  <c r="DN364" i="17"/>
  <c r="DO364" i="17"/>
  <c r="DP364" i="17"/>
  <c r="DQ364" i="17"/>
  <c r="DR364" i="17"/>
  <c r="DS364" i="17"/>
  <c r="DT364" i="17"/>
  <c r="DU364" i="17"/>
  <c r="DV364" i="17"/>
  <c r="DW364" i="17"/>
  <c r="DX364" i="17"/>
  <c r="DY364" i="17"/>
  <c r="DZ364" i="17"/>
  <c r="EA364" i="17"/>
  <c r="EB364" i="17"/>
  <c r="EC364" i="17"/>
  <c r="ED364" i="17"/>
  <c r="EE364" i="17"/>
  <c r="EF364" i="17"/>
  <c r="EG364" i="17"/>
  <c r="EH364" i="17"/>
  <c r="EI364" i="17"/>
  <c r="EJ364" i="17"/>
  <c r="EK364" i="17"/>
  <c r="EL364" i="17"/>
  <c r="EM364" i="17"/>
  <c r="EN364" i="17"/>
  <c r="EO364" i="17"/>
  <c r="EP364" i="17"/>
  <c r="EQ364" i="17"/>
  <c r="ER364" i="17"/>
  <c r="ES364" i="17"/>
  <c r="ET364" i="17"/>
  <c r="EU364" i="17"/>
  <c r="EV364" i="17"/>
  <c r="EW364" i="17"/>
  <c r="EX364" i="17"/>
  <c r="EY364" i="17"/>
  <c r="EZ364" i="17"/>
  <c r="FA364" i="17"/>
  <c r="FB364" i="17"/>
  <c r="FC364" i="17"/>
  <c r="FD364" i="17"/>
  <c r="FE364" i="17"/>
  <c r="FF364" i="17"/>
  <c r="FG364" i="17"/>
  <c r="FH364" i="17"/>
  <c r="FI364" i="17"/>
  <c r="FJ364" i="17"/>
  <c r="FK364" i="17"/>
  <c r="FL364" i="17"/>
  <c r="FM364" i="17"/>
  <c r="FN364" i="17"/>
  <c r="FO364" i="17"/>
  <c r="FP364" i="17"/>
  <c r="FQ364" i="17"/>
  <c r="FR364" i="17"/>
  <c r="FS364" i="17"/>
  <c r="FT364" i="17"/>
  <c r="FU364" i="17"/>
  <c r="FV364" i="17"/>
  <c r="FW364" i="17"/>
  <c r="FX364" i="17"/>
  <c r="FY364" i="17"/>
  <c r="FZ364" i="17"/>
  <c r="GA364" i="17"/>
  <c r="GB364" i="17"/>
  <c r="GC364" i="17"/>
  <c r="GD364" i="17"/>
  <c r="GE364" i="17"/>
  <c r="GF364" i="17"/>
  <c r="GG364" i="17"/>
  <c r="GH364" i="17"/>
  <c r="GI364" i="17"/>
  <c r="GJ364" i="17"/>
  <c r="GK364" i="17"/>
  <c r="GL364" i="17"/>
  <c r="GM364" i="17"/>
  <c r="GN364" i="17"/>
  <c r="GO364" i="17"/>
  <c r="GP364" i="17"/>
  <c r="GQ364" i="17"/>
  <c r="GR364" i="17"/>
  <c r="GS364" i="17"/>
  <c r="GT364" i="17"/>
  <c r="GU364" i="17"/>
  <c r="GV364" i="17"/>
  <c r="GW364" i="17"/>
  <c r="GX364" i="17"/>
  <c r="GY364" i="17"/>
  <c r="GZ364" i="17"/>
  <c r="HA364" i="17"/>
  <c r="HB364" i="17"/>
  <c r="HC364" i="17"/>
  <c r="HD364" i="17"/>
  <c r="HE364" i="17"/>
  <c r="HF364" i="17"/>
  <c r="HG364" i="17"/>
  <c r="HH364" i="17"/>
  <c r="HI364" i="17"/>
  <c r="HJ364" i="17"/>
  <c r="HK364" i="17"/>
  <c r="HL364" i="17"/>
  <c r="HM364" i="17"/>
  <c r="HN364" i="17"/>
  <c r="HO364" i="17"/>
  <c r="HP364" i="17"/>
  <c r="HQ364" i="17"/>
  <c r="HR364" i="17"/>
  <c r="HS364" i="17"/>
  <c r="HT364" i="17"/>
  <c r="HU364" i="17"/>
  <c r="HV364" i="17"/>
  <c r="HW364" i="17"/>
  <c r="HX364" i="17"/>
  <c r="HY364" i="17"/>
  <c r="HZ364" i="17"/>
  <c r="IA364" i="17"/>
  <c r="IB364" i="17"/>
  <c r="IC364" i="17"/>
  <c r="ID364" i="17"/>
  <c r="IE364" i="17"/>
  <c r="IF364" i="17"/>
  <c r="IG364" i="17"/>
  <c r="IH364" i="17"/>
  <c r="II364" i="17"/>
  <c r="IJ364" i="17"/>
  <c r="IK364" i="17"/>
  <c r="IL364" i="17"/>
  <c r="IM364" i="17"/>
  <c r="IN364" i="17"/>
  <c r="IO364" i="17"/>
  <c r="IP364" i="17"/>
  <c r="IQ364" i="17"/>
  <c r="IR364" i="17"/>
  <c r="IS364" i="17"/>
  <c r="IT364" i="17"/>
  <c r="IU364" i="17"/>
  <c r="IV364" i="17"/>
  <c r="A363" i="17"/>
  <c r="B363" i="17"/>
  <c r="C363" i="17"/>
  <c r="D363" i="17"/>
  <c r="E363" i="17"/>
  <c r="F363" i="17"/>
  <c r="G363" i="17"/>
  <c r="H363" i="17"/>
  <c r="I363" i="17"/>
  <c r="J363" i="17"/>
  <c r="K363" i="17"/>
  <c r="L363" i="17"/>
  <c r="M363" i="17"/>
  <c r="N363" i="17"/>
  <c r="O363" i="17"/>
  <c r="P363" i="17"/>
  <c r="Q363" i="17"/>
  <c r="R363" i="17"/>
  <c r="S363" i="17"/>
  <c r="T363" i="17"/>
  <c r="U363" i="17"/>
  <c r="V363" i="17"/>
  <c r="W363" i="17"/>
  <c r="X363" i="17"/>
  <c r="Y363" i="17"/>
  <c r="Z363" i="17"/>
  <c r="AA363" i="17"/>
  <c r="AB363" i="17"/>
  <c r="AC363" i="17"/>
  <c r="AD363" i="17"/>
  <c r="AE363" i="17"/>
  <c r="AF363" i="17"/>
  <c r="AG363" i="17"/>
  <c r="AH363" i="17"/>
  <c r="AI363" i="17"/>
  <c r="AJ363" i="17"/>
  <c r="AK363" i="17"/>
  <c r="AL363" i="17"/>
  <c r="AM363" i="17"/>
  <c r="AN363" i="17"/>
  <c r="AO363" i="17"/>
  <c r="AP363" i="17"/>
  <c r="AQ363" i="17"/>
  <c r="AR363" i="17"/>
  <c r="AS363" i="17"/>
  <c r="AT363" i="17"/>
  <c r="AU363" i="17"/>
  <c r="AV363" i="17"/>
  <c r="AW363" i="17"/>
  <c r="AX363" i="17"/>
  <c r="AY363" i="17"/>
  <c r="AZ363" i="17"/>
  <c r="BA363" i="17"/>
  <c r="BB363" i="17"/>
  <c r="BC363" i="17"/>
  <c r="BD363" i="17"/>
  <c r="BE363" i="17"/>
  <c r="BF363" i="17"/>
  <c r="BG363" i="17"/>
  <c r="BH363" i="17"/>
  <c r="BI363" i="17"/>
  <c r="BJ363" i="17"/>
  <c r="BK363" i="17"/>
  <c r="BL363" i="17"/>
  <c r="BM363" i="17"/>
  <c r="BN363" i="17"/>
  <c r="BO363" i="17"/>
  <c r="BP363" i="17"/>
  <c r="BQ363" i="17"/>
  <c r="BR363" i="17"/>
  <c r="BS363" i="17"/>
  <c r="BT363" i="17"/>
  <c r="BU363" i="17"/>
  <c r="BV363" i="17"/>
  <c r="BW363" i="17"/>
  <c r="BX363" i="17"/>
  <c r="BY363" i="17"/>
  <c r="BZ363" i="17"/>
  <c r="CA363" i="17"/>
  <c r="CB363" i="17"/>
  <c r="CC363" i="17"/>
  <c r="CD363" i="17"/>
  <c r="CE363" i="17"/>
  <c r="CF363" i="17"/>
  <c r="CG363" i="17"/>
  <c r="CH363" i="17"/>
  <c r="CI363" i="17"/>
  <c r="CJ363" i="17"/>
  <c r="CK363" i="17"/>
  <c r="CL363" i="17"/>
  <c r="CM363" i="17"/>
  <c r="CN363" i="17"/>
  <c r="CO363" i="17"/>
  <c r="CP363" i="17"/>
  <c r="CQ363" i="17"/>
  <c r="CR363" i="17"/>
  <c r="CS363" i="17"/>
  <c r="CT363" i="17"/>
  <c r="CU363" i="17"/>
  <c r="CV363" i="17"/>
  <c r="CW363" i="17"/>
  <c r="CX363" i="17"/>
  <c r="CY363" i="17"/>
  <c r="CZ363" i="17"/>
  <c r="DA363" i="17"/>
  <c r="DB363" i="17"/>
  <c r="DC363" i="17"/>
  <c r="DD363" i="17"/>
  <c r="DE363" i="17"/>
  <c r="DF363" i="17"/>
  <c r="DG363" i="17"/>
  <c r="DH363" i="17"/>
  <c r="DI363" i="17"/>
  <c r="DJ363" i="17"/>
  <c r="DK363" i="17"/>
  <c r="DL363" i="17"/>
  <c r="DM363" i="17"/>
  <c r="DN363" i="17"/>
  <c r="DO363" i="17"/>
  <c r="DP363" i="17"/>
  <c r="DQ363" i="17"/>
  <c r="DR363" i="17"/>
  <c r="DS363" i="17"/>
  <c r="DT363" i="17"/>
  <c r="DU363" i="17"/>
  <c r="DV363" i="17"/>
  <c r="DW363" i="17"/>
  <c r="DX363" i="17"/>
  <c r="DY363" i="17"/>
  <c r="DZ363" i="17"/>
  <c r="EA363" i="17"/>
  <c r="EB363" i="17"/>
  <c r="EC363" i="17"/>
  <c r="ED363" i="17"/>
  <c r="EE363" i="17"/>
  <c r="EF363" i="17"/>
  <c r="EG363" i="17"/>
  <c r="EH363" i="17"/>
  <c r="EI363" i="17"/>
  <c r="EJ363" i="17"/>
  <c r="EK363" i="17"/>
  <c r="EL363" i="17"/>
  <c r="EM363" i="17"/>
  <c r="EN363" i="17"/>
  <c r="EO363" i="17"/>
  <c r="EP363" i="17"/>
  <c r="EQ363" i="17"/>
  <c r="ER363" i="17"/>
  <c r="ES363" i="17"/>
  <c r="ET363" i="17"/>
  <c r="EU363" i="17"/>
  <c r="EV363" i="17"/>
  <c r="EW363" i="17"/>
  <c r="EX363" i="17"/>
  <c r="EY363" i="17"/>
  <c r="EZ363" i="17"/>
  <c r="FA363" i="17"/>
  <c r="FB363" i="17"/>
  <c r="FC363" i="17"/>
  <c r="FD363" i="17"/>
  <c r="FE363" i="17"/>
  <c r="FF363" i="17"/>
  <c r="FG363" i="17"/>
  <c r="FH363" i="17"/>
  <c r="FI363" i="17"/>
  <c r="FJ363" i="17"/>
  <c r="FK363" i="17"/>
  <c r="FL363" i="17"/>
  <c r="FM363" i="17"/>
  <c r="FN363" i="17"/>
  <c r="FO363" i="17"/>
  <c r="FP363" i="17"/>
  <c r="FQ363" i="17"/>
  <c r="FR363" i="17"/>
  <c r="FS363" i="17"/>
  <c r="FT363" i="17"/>
  <c r="FU363" i="17"/>
  <c r="FV363" i="17"/>
  <c r="FW363" i="17"/>
  <c r="FX363" i="17"/>
  <c r="FY363" i="17"/>
  <c r="FZ363" i="17"/>
  <c r="GA363" i="17"/>
  <c r="GB363" i="17"/>
  <c r="GC363" i="17"/>
  <c r="GD363" i="17"/>
  <c r="GE363" i="17"/>
  <c r="GF363" i="17"/>
  <c r="GG363" i="17"/>
  <c r="GH363" i="17"/>
  <c r="GI363" i="17"/>
  <c r="GJ363" i="17"/>
  <c r="GK363" i="17"/>
  <c r="GL363" i="17"/>
  <c r="GM363" i="17"/>
  <c r="GN363" i="17"/>
  <c r="GO363" i="17"/>
  <c r="GP363" i="17"/>
  <c r="GQ363" i="17"/>
  <c r="GR363" i="17"/>
  <c r="GS363" i="17"/>
  <c r="GT363" i="17"/>
  <c r="GU363" i="17"/>
  <c r="GV363" i="17"/>
  <c r="GW363" i="17"/>
  <c r="GX363" i="17"/>
  <c r="GY363" i="17"/>
  <c r="GZ363" i="17"/>
  <c r="HA363" i="17"/>
  <c r="HB363" i="17"/>
  <c r="HC363" i="17"/>
  <c r="HD363" i="17"/>
  <c r="HE363" i="17"/>
  <c r="HF363" i="17"/>
  <c r="HG363" i="17"/>
  <c r="HH363" i="17"/>
  <c r="HI363" i="17"/>
  <c r="HJ363" i="17"/>
  <c r="HK363" i="17"/>
  <c r="HL363" i="17"/>
  <c r="HM363" i="17"/>
  <c r="HN363" i="17"/>
  <c r="HO363" i="17"/>
  <c r="HP363" i="17"/>
  <c r="HQ363" i="17"/>
  <c r="HR363" i="17"/>
  <c r="HS363" i="17"/>
  <c r="HT363" i="17"/>
  <c r="HU363" i="17"/>
  <c r="HV363" i="17"/>
  <c r="HW363" i="17"/>
  <c r="HX363" i="17"/>
  <c r="HY363" i="17"/>
  <c r="HZ363" i="17"/>
  <c r="IA363" i="17"/>
  <c r="IB363" i="17"/>
  <c r="IC363" i="17"/>
  <c r="ID363" i="17"/>
  <c r="IE363" i="17"/>
  <c r="IF363" i="17"/>
  <c r="IG363" i="17"/>
  <c r="IH363" i="17"/>
  <c r="II363" i="17"/>
  <c r="IJ363" i="17"/>
  <c r="IK363" i="17"/>
  <c r="IL363" i="17"/>
  <c r="IM363" i="17"/>
  <c r="IN363" i="17"/>
  <c r="IO363" i="17"/>
  <c r="IP363" i="17"/>
  <c r="IQ363" i="17"/>
  <c r="IR363" i="17"/>
  <c r="IS363" i="17"/>
  <c r="IT363" i="17"/>
  <c r="IU363" i="17"/>
  <c r="IV363" i="17"/>
  <c r="A362" i="17"/>
  <c r="B362" i="17"/>
  <c r="C362" i="17"/>
  <c r="D362" i="17"/>
  <c r="E362" i="17"/>
  <c r="F362" i="17"/>
  <c r="G362" i="17"/>
  <c r="H362" i="17"/>
  <c r="I362" i="17"/>
  <c r="J362" i="17"/>
  <c r="K362" i="17"/>
  <c r="L362" i="17"/>
  <c r="M362" i="17"/>
  <c r="N362" i="17"/>
  <c r="O362" i="17"/>
  <c r="P362" i="17"/>
  <c r="Q362" i="17"/>
  <c r="R362" i="17"/>
  <c r="S362" i="17"/>
  <c r="T362" i="17"/>
  <c r="V362" i="17"/>
  <c r="W362" i="17"/>
  <c r="X362" i="17"/>
  <c r="Y362" i="17"/>
  <c r="Z362" i="17"/>
  <c r="AA362" i="17"/>
  <c r="AB362" i="17"/>
  <c r="AC362" i="17"/>
  <c r="AD362" i="17"/>
  <c r="AE362" i="17"/>
  <c r="AF362" i="17"/>
  <c r="AG362" i="17"/>
  <c r="AH362" i="17"/>
  <c r="AI362" i="17"/>
  <c r="AJ362" i="17"/>
  <c r="AK362" i="17"/>
  <c r="AL362" i="17"/>
  <c r="AM362" i="17"/>
  <c r="AN362" i="17"/>
  <c r="AO362" i="17"/>
  <c r="AP362" i="17"/>
  <c r="AQ362" i="17"/>
  <c r="AR362" i="17"/>
  <c r="AS362" i="17"/>
  <c r="AT362" i="17"/>
  <c r="AU362" i="17"/>
  <c r="AV362" i="17"/>
  <c r="AW362" i="17"/>
  <c r="AX362" i="17"/>
  <c r="AY362" i="17"/>
  <c r="AZ362" i="17"/>
  <c r="BA362" i="17"/>
  <c r="BB362" i="17"/>
  <c r="BC362" i="17"/>
  <c r="BD362" i="17"/>
  <c r="BE362" i="17"/>
  <c r="BF362" i="17"/>
  <c r="BG362" i="17"/>
  <c r="BH362" i="17"/>
  <c r="BI362" i="17"/>
  <c r="BJ362" i="17"/>
  <c r="BK362" i="17"/>
  <c r="BL362" i="17"/>
  <c r="BM362" i="17"/>
  <c r="BN362" i="17"/>
  <c r="BO362" i="17"/>
  <c r="BP362" i="17"/>
  <c r="BQ362" i="17"/>
  <c r="BR362" i="17"/>
  <c r="BS362" i="17"/>
  <c r="BT362" i="17"/>
  <c r="BU362" i="17"/>
  <c r="BV362" i="17"/>
  <c r="BW362" i="17"/>
  <c r="BX362" i="17"/>
  <c r="BY362" i="17"/>
  <c r="BZ362" i="17"/>
  <c r="CA362" i="17"/>
  <c r="CB362" i="17"/>
  <c r="CC362" i="17"/>
  <c r="CD362" i="17"/>
  <c r="CE362" i="17"/>
  <c r="CF362" i="17"/>
  <c r="CG362" i="17"/>
  <c r="CH362" i="17"/>
  <c r="CI362" i="17"/>
  <c r="CJ362" i="17"/>
  <c r="CK362" i="17"/>
  <c r="CL362" i="17"/>
  <c r="CM362" i="17"/>
  <c r="CN362" i="17"/>
  <c r="CO362" i="17"/>
  <c r="CP362" i="17"/>
  <c r="CQ362" i="17"/>
  <c r="CR362" i="17"/>
  <c r="CS362" i="17"/>
  <c r="CT362" i="17"/>
  <c r="CU362" i="17"/>
  <c r="CV362" i="17"/>
  <c r="CW362" i="17"/>
  <c r="CX362" i="17"/>
  <c r="CY362" i="17"/>
  <c r="CZ362" i="17"/>
  <c r="DA362" i="17"/>
  <c r="DB362" i="17"/>
  <c r="DC362" i="17"/>
  <c r="DD362" i="17"/>
  <c r="DE362" i="17"/>
  <c r="DF362" i="17"/>
  <c r="DG362" i="17"/>
  <c r="DH362" i="17"/>
  <c r="DI362" i="17"/>
  <c r="DJ362" i="17"/>
  <c r="DK362" i="17"/>
  <c r="DL362" i="17"/>
  <c r="DM362" i="17"/>
  <c r="DN362" i="17"/>
  <c r="DO362" i="17"/>
  <c r="DP362" i="17"/>
  <c r="DQ362" i="17"/>
  <c r="DR362" i="17"/>
  <c r="DS362" i="17"/>
  <c r="DT362" i="17"/>
  <c r="DU362" i="17"/>
  <c r="DV362" i="17"/>
  <c r="DW362" i="17"/>
  <c r="DX362" i="17"/>
  <c r="DY362" i="17"/>
  <c r="DZ362" i="17"/>
  <c r="EA362" i="17"/>
  <c r="EB362" i="17"/>
  <c r="EC362" i="17"/>
  <c r="ED362" i="17"/>
  <c r="EE362" i="17"/>
  <c r="EF362" i="17"/>
  <c r="EG362" i="17"/>
  <c r="EH362" i="17"/>
  <c r="EI362" i="17"/>
  <c r="EJ362" i="17"/>
  <c r="EK362" i="17"/>
  <c r="EL362" i="17"/>
  <c r="EM362" i="17"/>
  <c r="EN362" i="17"/>
  <c r="EO362" i="17"/>
  <c r="EP362" i="17"/>
  <c r="EQ362" i="17"/>
  <c r="ER362" i="17"/>
  <c r="ES362" i="17"/>
  <c r="ET362" i="17"/>
  <c r="EU362" i="17"/>
  <c r="EV362" i="17"/>
  <c r="EW362" i="17"/>
  <c r="EX362" i="17"/>
  <c r="EY362" i="17"/>
  <c r="EZ362" i="17"/>
  <c r="FA362" i="17"/>
  <c r="FB362" i="17"/>
  <c r="FC362" i="17"/>
  <c r="FD362" i="17"/>
  <c r="FE362" i="17"/>
  <c r="FF362" i="17"/>
  <c r="FG362" i="17"/>
  <c r="FH362" i="17"/>
  <c r="FI362" i="17"/>
  <c r="FJ362" i="17"/>
  <c r="FK362" i="17"/>
  <c r="FL362" i="17"/>
  <c r="FM362" i="17"/>
  <c r="FN362" i="17"/>
  <c r="FO362" i="17"/>
  <c r="FP362" i="17"/>
  <c r="FQ362" i="17"/>
  <c r="FR362" i="17"/>
  <c r="FS362" i="17"/>
  <c r="FT362" i="17"/>
  <c r="FU362" i="17"/>
  <c r="FV362" i="17"/>
  <c r="FW362" i="17"/>
  <c r="FX362" i="17"/>
  <c r="FY362" i="17"/>
  <c r="FZ362" i="17"/>
  <c r="GA362" i="17"/>
  <c r="GB362" i="17"/>
  <c r="GC362" i="17"/>
  <c r="GD362" i="17"/>
  <c r="GE362" i="17"/>
  <c r="GF362" i="17"/>
  <c r="GG362" i="17"/>
  <c r="GH362" i="17"/>
  <c r="GI362" i="17"/>
  <c r="GJ362" i="17"/>
  <c r="GK362" i="17"/>
  <c r="GL362" i="17"/>
  <c r="GM362" i="17"/>
  <c r="GN362" i="17"/>
  <c r="GO362" i="17"/>
  <c r="GP362" i="17"/>
  <c r="GQ362" i="17"/>
  <c r="GR362" i="17"/>
  <c r="GS362" i="17"/>
  <c r="GT362" i="17"/>
  <c r="GU362" i="17"/>
  <c r="GV362" i="17"/>
  <c r="GW362" i="17"/>
  <c r="GX362" i="17"/>
  <c r="GY362" i="17"/>
  <c r="GZ362" i="17"/>
  <c r="HA362" i="17"/>
  <c r="HB362" i="17"/>
  <c r="HC362" i="17"/>
  <c r="HD362" i="17"/>
  <c r="HE362" i="17"/>
  <c r="HF362" i="17"/>
  <c r="HG362" i="17"/>
  <c r="HH362" i="17"/>
  <c r="HI362" i="17"/>
  <c r="HJ362" i="17"/>
  <c r="HK362" i="17"/>
  <c r="HL362" i="17"/>
  <c r="HM362" i="17"/>
  <c r="HN362" i="17"/>
  <c r="HO362" i="17"/>
  <c r="HP362" i="17"/>
  <c r="HQ362" i="17"/>
  <c r="HR362" i="17"/>
  <c r="HS362" i="17"/>
  <c r="HT362" i="17"/>
  <c r="HU362" i="17"/>
  <c r="HV362" i="17"/>
  <c r="HW362" i="17"/>
  <c r="HX362" i="17"/>
  <c r="HY362" i="17"/>
  <c r="HZ362" i="17"/>
  <c r="IA362" i="17"/>
  <c r="IB362" i="17"/>
  <c r="IC362" i="17"/>
  <c r="ID362" i="17"/>
  <c r="IE362" i="17"/>
  <c r="IF362" i="17"/>
  <c r="IG362" i="17"/>
  <c r="IH362" i="17"/>
  <c r="II362" i="17"/>
  <c r="IJ362" i="17"/>
  <c r="IK362" i="17"/>
  <c r="IL362" i="17"/>
  <c r="IM362" i="17"/>
  <c r="IN362" i="17"/>
  <c r="IO362" i="17"/>
  <c r="IP362" i="17"/>
  <c r="IQ362" i="17"/>
  <c r="IR362" i="17"/>
  <c r="IS362" i="17"/>
  <c r="IT362" i="17"/>
  <c r="IU362" i="17"/>
  <c r="IV362" i="17"/>
  <c r="A361" i="17"/>
  <c r="B361" i="17"/>
  <c r="C361" i="17"/>
  <c r="D361" i="17"/>
  <c r="E361" i="17"/>
  <c r="F361" i="17"/>
  <c r="G361" i="17"/>
  <c r="H361" i="17"/>
  <c r="I361" i="17"/>
  <c r="J361" i="17"/>
  <c r="K361" i="17"/>
  <c r="L361" i="17"/>
  <c r="M361" i="17"/>
  <c r="N361" i="17"/>
  <c r="O361" i="17"/>
  <c r="P361" i="17"/>
  <c r="Q361" i="17"/>
  <c r="R361" i="17"/>
  <c r="S361" i="17"/>
  <c r="T361" i="17"/>
  <c r="U361" i="17"/>
  <c r="V361" i="17"/>
  <c r="W361" i="17"/>
  <c r="X361" i="17"/>
  <c r="Y361" i="17"/>
  <c r="Z361" i="17"/>
  <c r="AA361" i="17"/>
  <c r="AB361" i="17"/>
  <c r="AC361" i="17"/>
  <c r="AD361" i="17"/>
  <c r="AE361" i="17"/>
  <c r="AF361" i="17"/>
  <c r="AG361" i="17"/>
  <c r="AH361" i="17"/>
  <c r="AI361" i="17"/>
  <c r="AJ361" i="17"/>
  <c r="AK361" i="17"/>
  <c r="AL361" i="17"/>
  <c r="AM361" i="17"/>
  <c r="AN361" i="17"/>
  <c r="AO361" i="17"/>
  <c r="AP361" i="17"/>
  <c r="AQ361" i="17"/>
  <c r="AR361" i="17"/>
  <c r="AS361" i="17"/>
  <c r="AT361" i="17"/>
  <c r="AU361" i="17"/>
  <c r="AV361" i="17"/>
  <c r="AW361" i="17"/>
  <c r="AX361" i="17"/>
  <c r="AY361" i="17"/>
  <c r="AZ361" i="17"/>
  <c r="BA361" i="17"/>
  <c r="BB361" i="17"/>
  <c r="BC361" i="17"/>
  <c r="BD361" i="17"/>
  <c r="BE361" i="17"/>
  <c r="BF361" i="17"/>
  <c r="BG361" i="17"/>
  <c r="BH361" i="17"/>
  <c r="BI361" i="17"/>
  <c r="BJ361" i="17"/>
  <c r="BK361" i="17"/>
  <c r="BL361" i="17"/>
  <c r="BM361" i="17"/>
  <c r="BN361" i="17"/>
  <c r="BO361" i="17"/>
  <c r="BP361" i="17"/>
  <c r="BQ361" i="17"/>
  <c r="BR361" i="17"/>
  <c r="BS361" i="17"/>
  <c r="BT361" i="17"/>
  <c r="BU361" i="17"/>
  <c r="BV361" i="17"/>
  <c r="BW361" i="17"/>
  <c r="BX361" i="17"/>
  <c r="BY361" i="17"/>
  <c r="BZ361" i="17"/>
  <c r="CA361" i="17"/>
  <c r="CB361" i="17"/>
  <c r="CC361" i="17"/>
  <c r="CD361" i="17"/>
  <c r="CE361" i="17"/>
  <c r="CF361" i="17"/>
  <c r="CG361" i="17"/>
  <c r="CH361" i="17"/>
  <c r="CI361" i="17"/>
  <c r="CJ361" i="17"/>
  <c r="CK361" i="17"/>
  <c r="CL361" i="17"/>
  <c r="CM361" i="17"/>
  <c r="CN361" i="17"/>
  <c r="CO361" i="17"/>
  <c r="CP361" i="17"/>
  <c r="CQ361" i="17"/>
  <c r="CR361" i="17"/>
  <c r="CS361" i="17"/>
  <c r="CT361" i="17"/>
  <c r="CU361" i="17"/>
  <c r="CV361" i="17"/>
  <c r="CW361" i="17"/>
  <c r="CX361" i="17"/>
  <c r="CY361" i="17"/>
  <c r="CZ361" i="17"/>
  <c r="DA361" i="17"/>
  <c r="DB361" i="17"/>
  <c r="DC361" i="17"/>
  <c r="DD361" i="17"/>
  <c r="DE361" i="17"/>
  <c r="DF361" i="17"/>
  <c r="DG361" i="17"/>
  <c r="DH361" i="17"/>
  <c r="DI361" i="17"/>
  <c r="DJ361" i="17"/>
  <c r="DK361" i="17"/>
  <c r="DL361" i="17"/>
  <c r="DM361" i="17"/>
  <c r="DN361" i="17"/>
  <c r="DO361" i="17"/>
  <c r="DP361" i="17"/>
  <c r="DQ361" i="17"/>
  <c r="DR361" i="17"/>
  <c r="DS361" i="17"/>
  <c r="DT361" i="17"/>
  <c r="DU361" i="17"/>
  <c r="DV361" i="17"/>
  <c r="DW361" i="17"/>
  <c r="DX361" i="17"/>
  <c r="DY361" i="17"/>
  <c r="DZ361" i="17"/>
  <c r="EA361" i="17"/>
  <c r="EB361" i="17"/>
  <c r="EC361" i="17"/>
  <c r="ED361" i="17"/>
  <c r="EE361" i="17"/>
  <c r="EF361" i="17"/>
  <c r="EG361" i="17"/>
  <c r="EH361" i="17"/>
  <c r="EI361" i="17"/>
  <c r="EJ361" i="17"/>
  <c r="EK361" i="17"/>
  <c r="EL361" i="17"/>
  <c r="EM361" i="17"/>
  <c r="EN361" i="17"/>
  <c r="EO361" i="17"/>
  <c r="EP361" i="17"/>
  <c r="EQ361" i="17"/>
  <c r="ER361" i="17"/>
  <c r="ES361" i="17"/>
  <c r="ET361" i="17"/>
  <c r="EU361" i="17"/>
  <c r="EV361" i="17"/>
  <c r="EW361" i="17"/>
  <c r="EX361" i="17"/>
  <c r="EY361" i="17"/>
  <c r="EZ361" i="17"/>
  <c r="FA361" i="17"/>
  <c r="FB361" i="17"/>
  <c r="FC361" i="17"/>
  <c r="FD361" i="17"/>
  <c r="FE361" i="17"/>
  <c r="FF361" i="17"/>
  <c r="FG361" i="17"/>
  <c r="FH361" i="17"/>
  <c r="FI361" i="17"/>
  <c r="FJ361" i="17"/>
  <c r="FK361" i="17"/>
  <c r="FL361" i="17"/>
  <c r="FM361" i="17"/>
  <c r="FN361" i="17"/>
  <c r="FO361" i="17"/>
  <c r="FP361" i="17"/>
  <c r="FQ361" i="17"/>
  <c r="FR361" i="17"/>
  <c r="FS361" i="17"/>
  <c r="FT361" i="17"/>
  <c r="FU361" i="17"/>
  <c r="FV361" i="17"/>
  <c r="FW361" i="17"/>
  <c r="FX361" i="17"/>
  <c r="FY361" i="17"/>
  <c r="FZ361" i="17"/>
  <c r="GA361" i="17"/>
  <c r="GB361" i="17"/>
  <c r="GC361" i="17"/>
  <c r="GD361" i="17"/>
  <c r="GE361" i="17"/>
  <c r="GF361" i="17"/>
  <c r="GG361" i="17"/>
  <c r="GH361" i="17"/>
  <c r="GI361" i="17"/>
  <c r="GJ361" i="17"/>
  <c r="GK361" i="17"/>
  <c r="GL361" i="17"/>
  <c r="GM361" i="17"/>
  <c r="GN361" i="17"/>
  <c r="GO361" i="17"/>
  <c r="GP361" i="17"/>
  <c r="GQ361" i="17"/>
  <c r="GR361" i="17"/>
  <c r="GS361" i="17"/>
  <c r="GT361" i="17"/>
  <c r="GU361" i="17"/>
  <c r="GV361" i="17"/>
  <c r="GW361" i="17"/>
  <c r="GX361" i="17"/>
  <c r="GY361" i="17"/>
  <c r="GZ361" i="17"/>
  <c r="HA361" i="17"/>
  <c r="HB361" i="17"/>
  <c r="HC361" i="17"/>
  <c r="HD361" i="17"/>
  <c r="HE361" i="17"/>
  <c r="HF361" i="17"/>
  <c r="HG361" i="17"/>
  <c r="HH361" i="17"/>
  <c r="HI361" i="17"/>
  <c r="HJ361" i="17"/>
  <c r="HK361" i="17"/>
  <c r="HL361" i="17"/>
  <c r="HM361" i="17"/>
  <c r="HN361" i="17"/>
  <c r="HO361" i="17"/>
  <c r="HP361" i="17"/>
  <c r="HQ361" i="17"/>
  <c r="HR361" i="17"/>
  <c r="HS361" i="17"/>
  <c r="HT361" i="17"/>
  <c r="HU361" i="17"/>
  <c r="HV361" i="17"/>
  <c r="HW361" i="17"/>
  <c r="HX361" i="17"/>
  <c r="HY361" i="17"/>
  <c r="HZ361" i="17"/>
  <c r="IA361" i="17"/>
  <c r="IB361" i="17"/>
  <c r="IC361" i="17"/>
  <c r="ID361" i="17"/>
  <c r="IE361" i="17"/>
  <c r="IF361" i="17"/>
  <c r="IG361" i="17"/>
  <c r="IH361" i="17"/>
  <c r="II361" i="17"/>
  <c r="IJ361" i="17"/>
  <c r="IK361" i="17"/>
  <c r="IL361" i="17"/>
  <c r="IM361" i="17"/>
  <c r="IN361" i="17"/>
  <c r="IO361" i="17"/>
  <c r="IP361" i="17"/>
  <c r="IQ361" i="17"/>
  <c r="IR361" i="17"/>
  <c r="IS361" i="17"/>
  <c r="IT361" i="17"/>
  <c r="IU361" i="17"/>
  <c r="IV361" i="17"/>
  <c r="A360" i="17"/>
  <c r="B360" i="17"/>
  <c r="C360" i="17"/>
  <c r="D360" i="17"/>
  <c r="E360" i="17"/>
  <c r="F360" i="17"/>
  <c r="G360" i="17"/>
  <c r="H360" i="17"/>
  <c r="I360" i="17"/>
  <c r="J360" i="17"/>
  <c r="K360" i="17"/>
  <c r="L360" i="17"/>
  <c r="M360" i="17"/>
  <c r="N360" i="17"/>
  <c r="O360" i="17"/>
  <c r="P360" i="17"/>
  <c r="Q360" i="17"/>
  <c r="R360" i="17"/>
  <c r="S360" i="17"/>
  <c r="U360" i="17"/>
  <c r="V360" i="17"/>
  <c r="W360" i="17"/>
  <c r="X360" i="17"/>
  <c r="Y360" i="17"/>
  <c r="Z360" i="17"/>
  <c r="AA360" i="17"/>
  <c r="AB360" i="17"/>
  <c r="AC360" i="17"/>
  <c r="AD360" i="17"/>
  <c r="AE360" i="17"/>
  <c r="AF360" i="17"/>
  <c r="AG360" i="17"/>
  <c r="AH360" i="17"/>
  <c r="AI360" i="17"/>
  <c r="AJ360" i="17"/>
  <c r="AK360" i="17"/>
  <c r="AL360" i="17"/>
  <c r="AM360" i="17"/>
  <c r="AN360" i="17"/>
  <c r="AO360" i="17"/>
  <c r="AP360" i="17"/>
  <c r="AQ360" i="17"/>
  <c r="AR360" i="17"/>
  <c r="AS360" i="17"/>
  <c r="AT360" i="17"/>
  <c r="AU360" i="17"/>
  <c r="AV360" i="17"/>
  <c r="AW360" i="17"/>
  <c r="AX360" i="17"/>
  <c r="AY360" i="17"/>
  <c r="AZ360" i="17"/>
  <c r="BA360" i="17"/>
  <c r="BB360" i="17"/>
  <c r="BC360" i="17"/>
  <c r="BD360" i="17"/>
  <c r="BE360" i="17"/>
  <c r="BF360" i="17"/>
  <c r="BG360" i="17"/>
  <c r="BH360" i="17"/>
  <c r="BI360" i="17"/>
  <c r="BJ360" i="17"/>
  <c r="BK360" i="17"/>
  <c r="BL360" i="17"/>
  <c r="BM360" i="17"/>
  <c r="BN360" i="17"/>
  <c r="BO360" i="17"/>
  <c r="BP360" i="17"/>
  <c r="BQ360" i="17"/>
  <c r="BR360" i="17"/>
  <c r="BS360" i="17"/>
  <c r="BT360" i="17"/>
  <c r="BU360" i="17"/>
  <c r="BV360" i="17"/>
  <c r="BW360" i="17"/>
  <c r="BX360" i="17"/>
  <c r="BY360" i="17"/>
  <c r="BZ360" i="17"/>
  <c r="CA360" i="17"/>
  <c r="CB360" i="17"/>
  <c r="CC360" i="17"/>
  <c r="CD360" i="17"/>
  <c r="CE360" i="17"/>
  <c r="CF360" i="17"/>
  <c r="CG360" i="17"/>
  <c r="CH360" i="17"/>
  <c r="CI360" i="17"/>
  <c r="CJ360" i="17"/>
  <c r="CK360" i="17"/>
  <c r="CL360" i="17"/>
  <c r="CM360" i="17"/>
  <c r="CN360" i="17"/>
  <c r="CO360" i="17"/>
  <c r="CP360" i="17"/>
  <c r="CQ360" i="17"/>
  <c r="CR360" i="17"/>
  <c r="CS360" i="17"/>
  <c r="CT360" i="17"/>
  <c r="CU360" i="17"/>
  <c r="CV360" i="17"/>
  <c r="CW360" i="17"/>
  <c r="CX360" i="17"/>
  <c r="CY360" i="17"/>
  <c r="CZ360" i="17"/>
  <c r="DA360" i="17"/>
  <c r="DB360" i="17"/>
  <c r="DC360" i="17"/>
  <c r="DD360" i="17"/>
  <c r="DE360" i="17"/>
  <c r="DF360" i="17"/>
  <c r="DG360" i="17"/>
  <c r="DH360" i="17"/>
  <c r="DI360" i="17"/>
  <c r="DJ360" i="17"/>
  <c r="DK360" i="17"/>
  <c r="DL360" i="17"/>
  <c r="DM360" i="17"/>
  <c r="DN360" i="17"/>
  <c r="DO360" i="17"/>
  <c r="DP360" i="17"/>
  <c r="DQ360" i="17"/>
  <c r="DR360" i="17"/>
  <c r="DS360" i="17"/>
  <c r="DT360" i="17"/>
  <c r="DU360" i="17"/>
  <c r="DV360" i="17"/>
  <c r="DW360" i="17"/>
  <c r="DX360" i="17"/>
  <c r="DY360" i="17"/>
  <c r="DZ360" i="17"/>
  <c r="EA360" i="17"/>
  <c r="EB360" i="17"/>
  <c r="EC360" i="17"/>
  <c r="ED360" i="17"/>
  <c r="EE360" i="17"/>
  <c r="EF360" i="17"/>
  <c r="EG360" i="17"/>
  <c r="EH360" i="17"/>
  <c r="EI360" i="17"/>
  <c r="EJ360" i="17"/>
  <c r="EK360" i="17"/>
  <c r="EL360" i="17"/>
  <c r="EM360" i="17"/>
  <c r="EN360" i="17"/>
  <c r="EO360" i="17"/>
  <c r="EP360" i="17"/>
  <c r="EQ360" i="17"/>
  <c r="ER360" i="17"/>
  <c r="ES360" i="17"/>
  <c r="ET360" i="17"/>
  <c r="EU360" i="17"/>
  <c r="EV360" i="17"/>
  <c r="EW360" i="17"/>
  <c r="EX360" i="17"/>
  <c r="EY360" i="17"/>
  <c r="EZ360" i="17"/>
  <c r="FA360" i="17"/>
  <c r="FB360" i="17"/>
  <c r="FC360" i="17"/>
  <c r="FD360" i="17"/>
  <c r="FE360" i="17"/>
  <c r="FF360" i="17"/>
  <c r="FG360" i="17"/>
  <c r="FH360" i="17"/>
  <c r="FI360" i="17"/>
  <c r="FJ360" i="17"/>
  <c r="FK360" i="17"/>
  <c r="FL360" i="17"/>
  <c r="FM360" i="17"/>
  <c r="FN360" i="17"/>
  <c r="FO360" i="17"/>
  <c r="FP360" i="17"/>
  <c r="FQ360" i="17"/>
  <c r="FR360" i="17"/>
  <c r="FS360" i="17"/>
  <c r="FT360" i="17"/>
  <c r="FU360" i="17"/>
  <c r="FV360" i="17"/>
  <c r="FW360" i="17"/>
  <c r="FX360" i="17"/>
  <c r="FY360" i="17"/>
  <c r="FZ360" i="17"/>
  <c r="GA360" i="17"/>
  <c r="GB360" i="17"/>
  <c r="GC360" i="17"/>
  <c r="GD360" i="17"/>
  <c r="GE360" i="17"/>
  <c r="GF360" i="17"/>
  <c r="GG360" i="17"/>
  <c r="GH360" i="17"/>
  <c r="GI360" i="17"/>
  <c r="GJ360" i="17"/>
  <c r="GK360" i="17"/>
  <c r="GL360" i="17"/>
  <c r="GM360" i="17"/>
  <c r="GN360" i="17"/>
  <c r="GO360" i="17"/>
  <c r="GP360" i="17"/>
  <c r="GQ360" i="17"/>
  <c r="GR360" i="17"/>
  <c r="GS360" i="17"/>
  <c r="GT360" i="17"/>
  <c r="GU360" i="17"/>
  <c r="GV360" i="17"/>
  <c r="GW360" i="17"/>
  <c r="GX360" i="17"/>
  <c r="GY360" i="17"/>
  <c r="GZ360" i="17"/>
  <c r="HA360" i="17"/>
  <c r="HB360" i="17"/>
  <c r="HC360" i="17"/>
  <c r="HD360" i="17"/>
  <c r="HE360" i="17"/>
  <c r="HF360" i="17"/>
  <c r="HG360" i="17"/>
  <c r="HH360" i="17"/>
  <c r="HI360" i="17"/>
  <c r="HJ360" i="17"/>
  <c r="HK360" i="17"/>
  <c r="HL360" i="17"/>
  <c r="HM360" i="17"/>
  <c r="HN360" i="17"/>
  <c r="HO360" i="17"/>
  <c r="HP360" i="17"/>
  <c r="HQ360" i="17"/>
  <c r="HR360" i="17"/>
  <c r="HS360" i="17"/>
  <c r="HT360" i="17"/>
  <c r="HU360" i="17"/>
  <c r="HV360" i="17"/>
  <c r="HW360" i="17"/>
  <c r="HX360" i="17"/>
  <c r="HY360" i="17"/>
  <c r="HZ360" i="17"/>
  <c r="IA360" i="17"/>
  <c r="IB360" i="17"/>
  <c r="IC360" i="17"/>
  <c r="ID360" i="17"/>
  <c r="IE360" i="17"/>
  <c r="IF360" i="17"/>
  <c r="IG360" i="17"/>
  <c r="IH360" i="17"/>
  <c r="II360" i="17"/>
  <c r="IJ360" i="17"/>
  <c r="IK360" i="17"/>
  <c r="IL360" i="17"/>
  <c r="IM360" i="17"/>
  <c r="IN360" i="17"/>
  <c r="IO360" i="17"/>
  <c r="IP360" i="17"/>
  <c r="IQ360" i="17"/>
  <c r="IR360" i="17"/>
  <c r="IS360" i="17"/>
  <c r="IT360" i="17"/>
  <c r="IU360" i="17"/>
  <c r="IV360" i="17"/>
  <c r="A359" i="17"/>
  <c r="B359" i="17"/>
  <c r="C359" i="17"/>
  <c r="D359" i="17"/>
  <c r="E359" i="17"/>
  <c r="F359" i="17"/>
  <c r="G359" i="17"/>
  <c r="H359" i="17"/>
  <c r="I359" i="17"/>
  <c r="J359" i="17"/>
  <c r="K359" i="17"/>
  <c r="L359" i="17"/>
  <c r="M359" i="17"/>
  <c r="N359" i="17"/>
  <c r="O359" i="17"/>
  <c r="P359" i="17"/>
  <c r="Q359" i="17"/>
  <c r="R359" i="17"/>
  <c r="S359" i="17"/>
  <c r="T359" i="17"/>
  <c r="U359" i="17"/>
  <c r="V359" i="17"/>
  <c r="W359" i="17"/>
  <c r="X359" i="17"/>
  <c r="Y359" i="17"/>
  <c r="Z359" i="17"/>
  <c r="AA359" i="17"/>
  <c r="AB359" i="17"/>
  <c r="AC359" i="17"/>
  <c r="AD359" i="17"/>
  <c r="AE359" i="17"/>
  <c r="AF359" i="17"/>
  <c r="AG359" i="17"/>
  <c r="AH359" i="17"/>
  <c r="AI359" i="17"/>
  <c r="AJ359" i="17"/>
  <c r="AK359" i="17"/>
  <c r="AL359" i="17"/>
  <c r="AM359" i="17"/>
  <c r="AN359" i="17"/>
  <c r="AO359" i="17"/>
  <c r="AP359" i="17"/>
  <c r="AQ359" i="17"/>
  <c r="AR359" i="17"/>
  <c r="AS359" i="17"/>
  <c r="AT359" i="17"/>
  <c r="AU359" i="17"/>
  <c r="AV359" i="17"/>
  <c r="AW359" i="17"/>
  <c r="AX359" i="17"/>
  <c r="AY359" i="17"/>
  <c r="AZ359" i="17"/>
  <c r="BA359" i="17"/>
  <c r="BB359" i="17"/>
  <c r="BC359" i="17"/>
  <c r="BD359" i="17"/>
  <c r="BE359" i="17"/>
  <c r="BF359" i="17"/>
  <c r="BG359" i="17"/>
  <c r="BH359" i="17"/>
  <c r="BI359" i="17"/>
  <c r="BJ359" i="17"/>
  <c r="BK359" i="17"/>
  <c r="BL359" i="17"/>
  <c r="BM359" i="17"/>
  <c r="BN359" i="17"/>
  <c r="BO359" i="17"/>
  <c r="BP359" i="17"/>
  <c r="BQ359" i="17"/>
  <c r="BR359" i="17"/>
  <c r="BS359" i="17"/>
  <c r="BT359" i="17"/>
  <c r="BU359" i="17"/>
  <c r="BV359" i="17"/>
  <c r="BW359" i="17"/>
  <c r="BX359" i="17"/>
  <c r="BY359" i="17"/>
  <c r="BZ359" i="17"/>
  <c r="CA359" i="17"/>
  <c r="CB359" i="17"/>
  <c r="CC359" i="17"/>
  <c r="CD359" i="17"/>
  <c r="CE359" i="17"/>
  <c r="CF359" i="17"/>
  <c r="CG359" i="17"/>
  <c r="CH359" i="17"/>
  <c r="CI359" i="17"/>
  <c r="CJ359" i="17"/>
  <c r="CK359" i="17"/>
  <c r="CL359" i="17"/>
  <c r="CM359" i="17"/>
  <c r="CN359" i="17"/>
  <c r="CO359" i="17"/>
  <c r="CP359" i="17"/>
  <c r="CQ359" i="17"/>
  <c r="CR359" i="17"/>
  <c r="CS359" i="17"/>
  <c r="CT359" i="17"/>
  <c r="CU359" i="17"/>
  <c r="CV359" i="17"/>
  <c r="CW359" i="17"/>
  <c r="CX359" i="17"/>
  <c r="CY359" i="17"/>
  <c r="CZ359" i="17"/>
  <c r="DA359" i="17"/>
  <c r="DB359" i="17"/>
  <c r="DC359" i="17"/>
  <c r="DD359" i="17"/>
  <c r="DE359" i="17"/>
  <c r="DF359" i="17"/>
  <c r="DG359" i="17"/>
  <c r="DH359" i="17"/>
  <c r="DI359" i="17"/>
  <c r="DJ359" i="17"/>
  <c r="DK359" i="17"/>
  <c r="DL359" i="17"/>
  <c r="DM359" i="17"/>
  <c r="DN359" i="17"/>
  <c r="DO359" i="17"/>
  <c r="DP359" i="17"/>
  <c r="DQ359" i="17"/>
  <c r="DR359" i="17"/>
  <c r="DS359" i="17"/>
  <c r="DT359" i="17"/>
  <c r="DU359" i="17"/>
  <c r="DV359" i="17"/>
  <c r="DW359" i="17"/>
  <c r="DX359" i="17"/>
  <c r="DY359" i="17"/>
  <c r="DZ359" i="17"/>
  <c r="EA359" i="17"/>
  <c r="EB359" i="17"/>
  <c r="EC359" i="17"/>
  <c r="ED359" i="17"/>
  <c r="EE359" i="17"/>
  <c r="EF359" i="17"/>
  <c r="EG359" i="17"/>
  <c r="EH359" i="17"/>
  <c r="EI359" i="17"/>
  <c r="EJ359" i="17"/>
  <c r="EK359" i="17"/>
  <c r="EL359" i="17"/>
  <c r="EM359" i="17"/>
  <c r="EN359" i="17"/>
  <c r="EO359" i="17"/>
  <c r="EP359" i="17"/>
  <c r="EQ359" i="17"/>
  <c r="ER359" i="17"/>
  <c r="ES359" i="17"/>
  <c r="ET359" i="17"/>
  <c r="EU359" i="17"/>
  <c r="EV359" i="17"/>
  <c r="EW359" i="17"/>
  <c r="EX359" i="17"/>
  <c r="EY359" i="17"/>
  <c r="EZ359" i="17"/>
  <c r="FA359" i="17"/>
  <c r="FB359" i="17"/>
  <c r="FC359" i="17"/>
  <c r="FD359" i="17"/>
  <c r="FE359" i="17"/>
  <c r="FF359" i="17"/>
  <c r="FG359" i="17"/>
  <c r="FH359" i="17"/>
  <c r="FI359" i="17"/>
  <c r="FJ359" i="17"/>
  <c r="FK359" i="17"/>
  <c r="FL359" i="17"/>
  <c r="FM359" i="17"/>
  <c r="FN359" i="17"/>
  <c r="FO359" i="17"/>
  <c r="FP359" i="17"/>
  <c r="FQ359" i="17"/>
  <c r="FR359" i="17"/>
  <c r="FS359" i="17"/>
  <c r="FT359" i="17"/>
  <c r="FU359" i="17"/>
  <c r="FV359" i="17"/>
  <c r="FW359" i="17"/>
  <c r="FX359" i="17"/>
  <c r="FY359" i="17"/>
  <c r="FZ359" i="17"/>
  <c r="GA359" i="17"/>
  <c r="GB359" i="17"/>
  <c r="GC359" i="17"/>
  <c r="GD359" i="17"/>
  <c r="GE359" i="17"/>
  <c r="GF359" i="17"/>
  <c r="GG359" i="17"/>
  <c r="GH359" i="17"/>
  <c r="GI359" i="17"/>
  <c r="GJ359" i="17"/>
  <c r="GK359" i="17"/>
  <c r="GL359" i="17"/>
  <c r="GM359" i="17"/>
  <c r="GN359" i="17"/>
  <c r="GO359" i="17"/>
  <c r="GP359" i="17"/>
  <c r="GQ359" i="17"/>
  <c r="GR359" i="17"/>
  <c r="GS359" i="17"/>
  <c r="GT359" i="17"/>
  <c r="GU359" i="17"/>
  <c r="GV359" i="17"/>
  <c r="GW359" i="17"/>
  <c r="GX359" i="17"/>
  <c r="GY359" i="17"/>
  <c r="GZ359" i="17"/>
  <c r="HA359" i="17"/>
  <c r="HB359" i="17"/>
  <c r="HC359" i="17"/>
  <c r="HD359" i="17"/>
  <c r="HE359" i="17"/>
  <c r="HF359" i="17"/>
  <c r="HG359" i="17"/>
  <c r="HH359" i="17"/>
  <c r="HI359" i="17"/>
  <c r="HJ359" i="17"/>
  <c r="HK359" i="17"/>
  <c r="HL359" i="17"/>
  <c r="HM359" i="17"/>
  <c r="HN359" i="17"/>
  <c r="HO359" i="17"/>
  <c r="HP359" i="17"/>
  <c r="HQ359" i="17"/>
  <c r="HR359" i="17"/>
  <c r="HS359" i="17"/>
  <c r="HT359" i="17"/>
  <c r="HU359" i="17"/>
  <c r="HV359" i="17"/>
  <c r="HW359" i="17"/>
  <c r="HX359" i="17"/>
  <c r="HY359" i="17"/>
  <c r="HZ359" i="17"/>
  <c r="IA359" i="17"/>
  <c r="IB359" i="17"/>
  <c r="IC359" i="17"/>
  <c r="ID359" i="17"/>
  <c r="IE359" i="17"/>
  <c r="IF359" i="17"/>
  <c r="IG359" i="17"/>
  <c r="IH359" i="17"/>
  <c r="II359" i="17"/>
  <c r="IJ359" i="17"/>
  <c r="IK359" i="17"/>
  <c r="IL359" i="17"/>
  <c r="IM359" i="17"/>
  <c r="IN359" i="17"/>
  <c r="IO359" i="17"/>
  <c r="IP359" i="17"/>
  <c r="IQ359" i="17"/>
  <c r="IR359" i="17"/>
  <c r="IS359" i="17"/>
  <c r="IT359" i="17"/>
  <c r="IU359" i="17"/>
  <c r="IV359" i="17"/>
  <c r="A358" i="17"/>
  <c r="B358" i="17"/>
  <c r="C358" i="17"/>
  <c r="D358" i="17"/>
  <c r="E358" i="17"/>
  <c r="F358" i="17"/>
  <c r="G358" i="17"/>
  <c r="H358" i="17"/>
  <c r="I358" i="17"/>
  <c r="J358" i="17"/>
  <c r="K358" i="17"/>
  <c r="L358" i="17"/>
  <c r="M358" i="17"/>
  <c r="N358" i="17"/>
  <c r="O358" i="17"/>
  <c r="P358" i="17"/>
  <c r="Q358" i="17"/>
  <c r="R358" i="17"/>
  <c r="S358" i="17"/>
  <c r="T358" i="17"/>
  <c r="U358" i="17"/>
  <c r="V358" i="17"/>
  <c r="W358" i="17"/>
  <c r="X358" i="17"/>
  <c r="Y358" i="17"/>
  <c r="Z358" i="17"/>
  <c r="AA358" i="17"/>
  <c r="AB358" i="17"/>
  <c r="AC358" i="17"/>
  <c r="AD358" i="17"/>
  <c r="AE358" i="17"/>
  <c r="AF358" i="17"/>
  <c r="AG358" i="17"/>
  <c r="AH358" i="17"/>
  <c r="AI358" i="17"/>
  <c r="AJ358" i="17"/>
  <c r="AK358" i="17"/>
  <c r="AL358" i="17"/>
  <c r="AM358" i="17"/>
  <c r="AN358" i="17"/>
  <c r="AO358" i="17"/>
  <c r="AP358" i="17"/>
  <c r="AQ358" i="17"/>
  <c r="AR358" i="17"/>
  <c r="AS358" i="17"/>
  <c r="AT358" i="17"/>
  <c r="AU358" i="17"/>
  <c r="AV358" i="17"/>
  <c r="AW358" i="17"/>
  <c r="AX358" i="17"/>
  <c r="AY358" i="17"/>
  <c r="AZ358" i="17"/>
  <c r="BA358" i="17"/>
  <c r="BB358" i="17"/>
  <c r="BC358" i="17"/>
  <c r="BD358" i="17"/>
  <c r="BE358" i="17"/>
  <c r="BF358" i="17"/>
  <c r="BG358" i="17"/>
  <c r="BH358" i="17"/>
  <c r="BI358" i="17"/>
  <c r="BJ358" i="17"/>
  <c r="BK358" i="17"/>
  <c r="BL358" i="17"/>
  <c r="BM358" i="17"/>
  <c r="BN358" i="17"/>
  <c r="BO358" i="17"/>
  <c r="BP358" i="17"/>
  <c r="BQ358" i="17"/>
  <c r="BR358" i="17"/>
  <c r="BS358" i="17"/>
  <c r="BT358" i="17"/>
  <c r="BU358" i="17"/>
  <c r="BV358" i="17"/>
  <c r="BW358" i="17"/>
  <c r="BX358" i="17"/>
  <c r="BY358" i="17"/>
  <c r="BZ358" i="17"/>
  <c r="CA358" i="17"/>
  <c r="CB358" i="17"/>
  <c r="CC358" i="17"/>
  <c r="CD358" i="17"/>
  <c r="CE358" i="17"/>
  <c r="CF358" i="17"/>
  <c r="CG358" i="17"/>
  <c r="CH358" i="17"/>
  <c r="CI358" i="17"/>
  <c r="CJ358" i="17"/>
  <c r="CK358" i="17"/>
  <c r="CL358" i="17"/>
  <c r="CM358" i="17"/>
  <c r="CN358" i="17"/>
  <c r="CO358" i="17"/>
  <c r="CP358" i="17"/>
  <c r="CQ358" i="17"/>
  <c r="CR358" i="17"/>
  <c r="CS358" i="17"/>
  <c r="CT358" i="17"/>
  <c r="CU358" i="17"/>
  <c r="CV358" i="17"/>
  <c r="CW358" i="17"/>
  <c r="CX358" i="17"/>
  <c r="CY358" i="17"/>
  <c r="CZ358" i="17"/>
  <c r="DA358" i="17"/>
  <c r="DB358" i="17"/>
  <c r="DC358" i="17"/>
  <c r="DD358" i="17"/>
  <c r="DE358" i="17"/>
  <c r="DF358" i="17"/>
  <c r="DG358" i="17"/>
  <c r="DH358" i="17"/>
  <c r="DI358" i="17"/>
  <c r="DJ358" i="17"/>
  <c r="DK358" i="17"/>
  <c r="DL358" i="17"/>
  <c r="DM358" i="17"/>
  <c r="DN358" i="17"/>
  <c r="DO358" i="17"/>
  <c r="DP358" i="17"/>
  <c r="DQ358" i="17"/>
  <c r="DR358" i="17"/>
  <c r="DS358" i="17"/>
  <c r="DT358" i="17"/>
  <c r="DU358" i="17"/>
  <c r="DV358" i="17"/>
  <c r="DW358" i="17"/>
  <c r="DX358" i="17"/>
  <c r="DY358" i="17"/>
  <c r="DZ358" i="17"/>
  <c r="EA358" i="17"/>
  <c r="EB358" i="17"/>
  <c r="EC358" i="17"/>
  <c r="ED358" i="17"/>
  <c r="EE358" i="17"/>
  <c r="EF358" i="17"/>
  <c r="EG358" i="17"/>
  <c r="EH358" i="17"/>
  <c r="EI358" i="17"/>
  <c r="EJ358" i="17"/>
  <c r="EK358" i="17"/>
  <c r="EL358" i="17"/>
  <c r="EM358" i="17"/>
  <c r="EN358" i="17"/>
  <c r="EO358" i="17"/>
  <c r="EP358" i="17"/>
  <c r="EQ358" i="17"/>
  <c r="ER358" i="17"/>
  <c r="ES358" i="17"/>
  <c r="ET358" i="17"/>
  <c r="EU358" i="17"/>
  <c r="EV358" i="17"/>
  <c r="EW358" i="17"/>
  <c r="EX358" i="17"/>
  <c r="EY358" i="17"/>
  <c r="EZ358" i="17"/>
  <c r="FA358" i="17"/>
  <c r="FB358" i="17"/>
  <c r="FC358" i="17"/>
  <c r="FD358" i="17"/>
  <c r="FE358" i="17"/>
  <c r="FF358" i="17"/>
  <c r="FG358" i="17"/>
  <c r="FH358" i="17"/>
  <c r="FI358" i="17"/>
  <c r="FJ358" i="17"/>
  <c r="FK358" i="17"/>
  <c r="FL358" i="17"/>
  <c r="FM358" i="17"/>
  <c r="FN358" i="17"/>
  <c r="FO358" i="17"/>
  <c r="FP358" i="17"/>
  <c r="FQ358" i="17"/>
  <c r="FR358" i="17"/>
  <c r="FS358" i="17"/>
  <c r="FT358" i="17"/>
  <c r="FU358" i="17"/>
  <c r="FV358" i="17"/>
  <c r="FW358" i="17"/>
  <c r="FX358" i="17"/>
  <c r="FY358" i="17"/>
  <c r="FZ358" i="17"/>
  <c r="GA358" i="17"/>
  <c r="GB358" i="17"/>
  <c r="GC358" i="17"/>
  <c r="GD358" i="17"/>
  <c r="GE358" i="17"/>
  <c r="GF358" i="17"/>
  <c r="GG358" i="17"/>
  <c r="GH358" i="17"/>
  <c r="GI358" i="17"/>
  <c r="GJ358" i="17"/>
  <c r="GK358" i="17"/>
  <c r="GL358" i="17"/>
  <c r="GM358" i="17"/>
  <c r="GN358" i="17"/>
  <c r="GO358" i="17"/>
  <c r="GP358" i="17"/>
  <c r="GQ358" i="17"/>
  <c r="GR358" i="17"/>
  <c r="GS358" i="17"/>
  <c r="GT358" i="17"/>
  <c r="GU358" i="17"/>
  <c r="GV358" i="17"/>
  <c r="GW358" i="17"/>
  <c r="GX358" i="17"/>
  <c r="GY358" i="17"/>
  <c r="GZ358" i="17"/>
  <c r="HA358" i="17"/>
  <c r="HB358" i="17"/>
  <c r="HC358" i="17"/>
  <c r="HD358" i="17"/>
  <c r="HE358" i="17"/>
  <c r="HF358" i="17"/>
  <c r="HG358" i="17"/>
  <c r="HH358" i="17"/>
  <c r="HI358" i="17"/>
  <c r="HJ358" i="17"/>
  <c r="HK358" i="17"/>
  <c r="HL358" i="17"/>
  <c r="HM358" i="17"/>
  <c r="HN358" i="17"/>
  <c r="HO358" i="17"/>
  <c r="HP358" i="17"/>
  <c r="HQ358" i="17"/>
  <c r="HR358" i="17"/>
  <c r="HS358" i="17"/>
  <c r="HT358" i="17"/>
  <c r="HU358" i="17"/>
  <c r="HV358" i="17"/>
  <c r="HW358" i="17"/>
  <c r="HX358" i="17"/>
  <c r="HY358" i="17"/>
  <c r="HZ358" i="17"/>
  <c r="IA358" i="17"/>
  <c r="IB358" i="17"/>
  <c r="IC358" i="17"/>
  <c r="ID358" i="17"/>
  <c r="IE358" i="17"/>
  <c r="IF358" i="17"/>
  <c r="IG358" i="17"/>
  <c r="IH358" i="17"/>
  <c r="II358" i="17"/>
  <c r="IJ358" i="17"/>
  <c r="IK358" i="17"/>
  <c r="IL358" i="17"/>
  <c r="IM358" i="17"/>
  <c r="IN358" i="17"/>
  <c r="IO358" i="17"/>
  <c r="IP358" i="17"/>
  <c r="IQ358" i="17"/>
  <c r="IR358" i="17"/>
  <c r="IS358" i="17"/>
  <c r="IT358" i="17"/>
  <c r="IU358" i="17"/>
  <c r="IV358" i="17"/>
  <c r="A357" i="17"/>
  <c r="B357" i="17"/>
  <c r="C357" i="17"/>
  <c r="D357" i="17"/>
  <c r="E357" i="17"/>
  <c r="F357" i="17"/>
  <c r="G357" i="17"/>
  <c r="H357" i="17"/>
  <c r="I357" i="17"/>
  <c r="J357" i="17"/>
  <c r="K357" i="17"/>
  <c r="L357" i="17"/>
  <c r="M357" i="17"/>
  <c r="N357" i="17"/>
  <c r="O357" i="17"/>
  <c r="P357" i="17"/>
  <c r="Q357" i="17"/>
  <c r="R357" i="17"/>
  <c r="S357" i="17"/>
  <c r="T357" i="17"/>
  <c r="U357" i="17"/>
  <c r="V357" i="17"/>
  <c r="W357" i="17"/>
  <c r="X357" i="17"/>
  <c r="Y357" i="17"/>
  <c r="Z357" i="17"/>
  <c r="AA357" i="17"/>
  <c r="AB357" i="17"/>
  <c r="AC357" i="17"/>
  <c r="AD357" i="17"/>
  <c r="AE357" i="17"/>
  <c r="AF357" i="17"/>
  <c r="AG357" i="17"/>
  <c r="AH357" i="17"/>
  <c r="AI357" i="17"/>
  <c r="AJ357" i="17"/>
  <c r="AK357" i="17"/>
  <c r="AL357" i="17"/>
  <c r="AM357" i="17"/>
  <c r="AN357" i="17"/>
  <c r="AO357" i="17"/>
  <c r="AP357" i="17"/>
  <c r="AQ357" i="17"/>
  <c r="AR357" i="17"/>
  <c r="AS357" i="17"/>
  <c r="AT357" i="17"/>
  <c r="AU357" i="17"/>
  <c r="AV357" i="17"/>
  <c r="AW357" i="17"/>
  <c r="AX357" i="17"/>
  <c r="AY357" i="17"/>
  <c r="AZ357" i="17"/>
  <c r="BA357" i="17"/>
  <c r="BB357" i="17"/>
  <c r="BC357" i="17"/>
  <c r="BD357" i="17"/>
  <c r="BE357" i="17"/>
  <c r="BF357" i="17"/>
  <c r="BG357" i="17"/>
  <c r="BH357" i="17"/>
  <c r="BI357" i="17"/>
  <c r="BJ357" i="17"/>
  <c r="BK357" i="17"/>
  <c r="BL357" i="17"/>
  <c r="BM357" i="17"/>
  <c r="BN357" i="17"/>
  <c r="BO357" i="17"/>
  <c r="BP357" i="17"/>
  <c r="BQ357" i="17"/>
  <c r="BR357" i="17"/>
  <c r="BS357" i="17"/>
  <c r="BT357" i="17"/>
  <c r="BU357" i="17"/>
  <c r="BV357" i="17"/>
  <c r="BW357" i="17"/>
  <c r="BX357" i="17"/>
  <c r="BY357" i="17"/>
  <c r="BZ357" i="17"/>
  <c r="CA357" i="17"/>
  <c r="CB357" i="17"/>
  <c r="CC357" i="17"/>
  <c r="CD357" i="17"/>
  <c r="CE357" i="17"/>
  <c r="CF357" i="17"/>
  <c r="CG357" i="17"/>
  <c r="CH357" i="17"/>
  <c r="CI357" i="17"/>
  <c r="CJ357" i="17"/>
  <c r="CK357" i="17"/>
  <c r="CL357" i="17"/>
  <c r="CM357" i="17"/>
  <c r="CN357" i="17"/>
  <c r="CO357" i="17"/>
  <c r="CP357" i="17"/>
  <c r="CQ357" i="17"/>
  <c r="CR357" i="17"/>
  <c r="CS357" i="17"/>
  <c r="CT357" i="17"/>
  <c r="CU357" i="17"/>
  <c r="CV357" i="17"/>
  <c r="CW357" i="17"/>
  <c r="CX357" i="17"/>
  <c r="CY357" i="17"/>
  <c r="CZ357" i="17"/>
  <c r="DA357" i="17"/>
  <c r="DB357" i="17"/>
  <c r="DC357" i="17"/>
  <c r="DD357" i="17"/>
  <c r="DE357" i="17"/>
  <c r="DF357" i="17"/>
  <c r="DG357" i="17"/>
  <c r="DH357" i="17"/>
  <c r="DI357" i="17"/>
  <c r="DJ357" i="17"/>
  <c r="DK357" i="17"/>
  <c r="DL357" i="17"/>
  <c r="DM357" i="17"/>
  <c r="DN357" i="17"/>
  <c r="DO357" i="17"/>
  <c r="DP357" i="17"/>
  <c r="DQ357" i="17"/>
  <c r="DR357" i="17"/>
  <c r="DS357" i="17"/>
  <c r="DT357" i="17"/>
  <c r="DU357" i="17"/>
  <c r="DV357" i="17"/>
  <c r="DW357" i="17"/>
  <c r="DX357" i="17"/>
  <c r="DY357" i="17"/>
  <c r="DZ357" i="17"/>
  <c r="EA357" i="17"/>
  <c r="EB357" i="17"/>
  <c r="EC357" i="17"/>
  <c r="ED357" i="17"/>
  <c r="EE357" i="17"/>
  <c r="EF357" i="17"/>
  <c r="EG357" i="17"/>
  <c r="EH357" i="17"/>
  <c r="EI357" i="17"/>
  <c r="EJ357" i="17"/>
  <c r="EK357" i="17"/>
  <c r="EL357" i="17"/>
  <c r="EM357" i="17"/>
  <c r="EN357" i="17"/>
  <c r="EO357" i="17"/>
  <c r="EP357" i="17"/>
  <c r="EQ357" i="17"/>
  <c r="ER357" i="17"/>
  <c r="ES357" i="17"/>
  <c r="ET357" i="17"/>
  <c r="EU357" i="17"/>
  <c r="EV357" i="17"/>
  <c r="EW357" i="17"/>
  <c r="EX357" i="17"/>
  <c r="EY357" i="17"/>
  <c r="EZ357" i="17"/>
  <c r="FA357" i="17"/>
  <c r="FB357" i="17"/>
  <c r="FC357" i="17"/>
  <c r="FD357" i="17"/>
  <c r="FE357" i="17"/>
  <c r="FF357" i="17"/>
  <c r="FG357" i="17"/>
  <c r="FH357" i="17"/>
  <c r="FI357" i="17"/>
  <c r="FJ357" i="17"/>
  <c r="FK357" i="17"/>
  <c r="FL357" i="17"/>
  <c r="FM357" i="17"/>
  <c r="FN357" i="17"/>
  <c r="FO357" i="17"/>
  <c r="FP357" i="17"/>
  <c r="FQ357" i="17"/>
  <c r="FR357" i="17"/>
  <c r="FS357" i="17"/>
  <c r="FT357" i="17"/>
  <c r="FU357" i="17"/>
  <c r="FV357" i="17"/>
  <c r="FW357" i="17"/>
  <c r="FX357" i="17"/>
  <c r="FY357" i="17"/>
  <c r="FZ357" i="17"/>
  <c r="GA357" i="17"/>
  <c r="GB357" i="17"/>
  <c r="GC357" i="17"/>
  <c r="GD357" i="17"/>
  <c r="GE357" i="17"/>
  <c r="GF357" i="17"/>
  <c r="GG357" i="17"/>
  <c r="GH357" i="17"/>
  <c r="GI357" i="17"/>
  <c r="GJ357" i="17"/>
  <c r="GK357" i="17"/>
  <c r="GL357" i="17"/>
  <c r="GM357" i="17"/>
  <c r="GN357" i="17"/>
  <c r="GO357" i="17"/>
  <c r="GP357" i="17"/>
  <c r="GQ357" i="17"/>
  <c r="GR357" i="17"/>
  <c r="GS357" i="17"/>
  <c r="GT357" i="17"/>
  <c r="GU357" i="17"/>
  <c r="GV357" i="17"/>
  <c r="GW357" i="17"/>
  <c r="GX357" i="17"/>
  <c r="GY357" i="17"/>
  <c r="GZ357" i="17"/>
  <c r="HA357" i="17"/>
  <c r="HB357" i="17"/>
  <c r="HC357" i="17"/>
  <c r="HD357" i="17"/>
  <c r="HE357" i="17"/>
  <c r="HF357" i="17"/>
  <c r="HG357" i="17"/>
  <c r="HH357" i="17"/>
  <c r="HI357" i="17"/>
  <c r="HJ357" i="17"/>
  <c r="HK357" i="17"/>
  <c r="HL357" i="17"/>
  <c r="HM357" i="17"/>
  <c r="HN357" i="17"/>
  <c r="HO357" i="17"/>
  <c r="HP357" i="17"/>
  <c r="HQ357" i="17"/>
  <c r="HR357" i="17"/>
  <c r="HS357" i="17"/>
  <c r="HT357" i="17"/>
  <c r="HU357" i="17"/>
  <c r="HV357" i="17"/>
  <c r="HW357" i="17"/>
  <c r="HX357" i="17"/>
  <c r="HY357" i="17"/>
  <c r="HZ357" i="17"/>
  <c r="IA357" i="17"/>
  <c r="IB357" i="17"/>
  <c r="IC357" i="17"/>
  <c r="ID357" i="17"/>
  <c r="IE357" i="17"/>
  <c r="IF357" i="17"/>
  <c r="IG357" i="17"/>
  <c r="IH357" i="17"/>
  <c r="II357" i="17"/>
  <c r="IJ357" i="17"/>
  <c r="IK357" i="17"/>
  <c r="IL357" i="17"/>
  <c r="IM357" i="17"/>
  <c r="IN357" i="17"/>
  <c r="IO357" i="17"/>
  <c r="IP357" i="17"/>
  <c r="IQ357" i="17"/>
  <c r="IR357" i="17"/>
  <c r="IS357" i="17"/>
  <c r="IT357" i="17"/>
  <c r="IU357" i="17"/>
  <c r="IV357" i="17"/>
  <c r="A356" i="17"/>
  <c r="B356" i="17"/>
  <c r="C356" i="17"/>
  <c r="D356" i="17"/>
  <c r="E356" i="17"/>
  <c r="F356" i="17"/>
  <c r="G356" i="17"/>
  <c r="H356" i="17"/>
  <c r="I356" i="17"/>
  <c r="J356" i="17"/>
  <c r="K356" i="17"/>
  <c r="L356" i="17"/>
  <c r="M356" i="17"/>
  <c r="N356" i="17"/>
  <c r="O356" i="17"/>
  <c r="P356" i="17"/>
  <c r="Q356" i="17"/>
  <c r="R356" i="17"/>
  <c r="S356" i="17"/>
  <c r="T356" i="17"/>
  <c r="U356" i="17"/>
  <c r="V356" i="17"/>
  <c r="W356" i="17"/>
  <c r="X356" i="17"/>
  <c r="Y356" i="17"/>
  <c r="Z356" i="17"/>
  <c r="AA356" i="17"/>
  <c r="AB356" i="17"/>
  <c r="AC356" i="17"/>
  <c r="AD356" i="17"/>
  <c r="AE356" i="17"/>
  <c r="AF356" i="17"/>
  <c r="AG356" i="17"/>
  <c r="AH356" i="17"/>
  <c r="AI356" i="17"/>
  <c r="AJ356" i="17"/>
  <c r="AK356" i="17"/>
  <c r="AL356" i="17"/>
  <c r="AM356" i="17"/>
  <c r="AN356" i="17"/>
  <c r="AO356" i="17"/>
  <c r="AP356" i="17"/>
  <c r="AQ356" i="17"/>
  <c r="AR356" i="17"/>
  <c r="AS356" i="17"/>
  <c r="AT356" i="17"/>
  <c r="AU356" i="17"/>
  <c r="AV356" i="17"/>
  <c r="AW356" i="17"/>
  <c r="AX356" i="17"/>
  <c r="AY356" i="17"/>
  <c r="AZ356" i="17"/>
  <c r="BA356" i="17"/>
  <c r="BB356" i="17"/>
  <c r="BC356" i="17"/>
  <c r="BD356" i="17"/>
  <c r="BE356" i="17"/>
  <c r="BF356" i="17"/>
  <c r="BG356" i="17"/>
  <c r="BH356" i="17"/>
  <c r="BI356" i="17"/>
  <c r="BJ356" i="17"/>
  <c r="BK356" i="17"/>
  <c r="BL356" i="17"/>
  <c r="BM356" i="17"/>
  <c r="BN356" i="17"/>
  <c r="BO356" i="17"/>
  <c r="BP356" i="17"/>
  <c r="BQ356" i="17"/>
  <c r="BR356" i="17"/>
  <c r="BS356" i="17"/>
  <c r="BT356" i="17"/>
  <c r="BU356" i="17"/>
  <c r="BV356" i="17"/>
  <c r="BW356" i="17"/>
  <c r="BX356" i="17"/>
  <c r="BY356" i="17"/>
  <c r="BZ356" i="17"/>
  <c r="CA356" i="17"/>
  <c r="CB356" i="17"/>
  <c r="CC356" i="17"/>
  <c r="CD356" i="17"/>
  <c r="CE356" i="17"/>
  <c r="CF356" i="17"/>
  <c r="CG356" i="17"/>
  <c r="CH356" i="17"/>
  <c r="CI356" i="17"/>
  <c r="CJ356" i="17"/>
  <c r="CK356" i="17"/>
  <c r="CL356" i="17"/>
  <c r="CM356" i="17"/>
  <c r="CN356" i="17"/>
  <c r="CO356" i="17"/>
  <c r="CP356" i="17"/>
  <c r="CQ356" i="17"/>
  <c r="CR356" i="17"/>
  <c r="CS356" i="17"/>
  <c r="CT356" i="17"/>
  <c r="CU356" i="17"/>
  <c r="CV356" i="17"/>
  <c r="CW356" i="17"/>
  <c r="CX356" i="17"/>
  <c r="CY356" i="17"/>
  <c r="CZ356" i="17"/>
  <c r="DA356" i="17"/>
  <c r="DB356" i="17"/>
  <c r="DC356" i="17"/>
  <c r="DD356" i="17"/>
  <c r="DE356" i="17"/>
  <c r="DF356" i="17"/>
  <c r="DG356" i="17"/>
  <c r="DH356" i="17"/>
  <c r="DI356" i="17"/>
  <c r="DJ356" i="17"/>
  <c r="DK356" i="17"/>
  <c r="DL356" i="17"/>
  <c r="DM356" i="17"/>
  <c r="DN356" i="17"/>
  <c r="DO356" i="17"/>
  <c r="DP356" i="17"/>
  <c r="DQ356" i="17"/>
  <c r="DR356" i="17"/>
  <c r="DS356" i="17"/>
  <c r="DT356" i="17"/>
  <c r="DU356" i="17"/>
  <c r="DV356" i="17"/>
  <c r="DW356" i="17"/>
  <c r="DX356" i="17"/>
  <c r="DY356" i="17"/>
  <c r="DZ356" i="17"/>
  <c r="EA356" i="17"/>
  <c r="EB356" i="17"/>
  <c r="EC356" i="17"/>
  <c r="ED356" i="17"/>
  <c r="EE356" i="17"/>
  <c r="EF356" i="17"/>
  <c r="EG356" i="17"/>
  <c r="EH356" i="17"/>
  <c r="EI356" i="17"/>
  <c r="EJ356" i="17"/>
  <c r="EK356" i="17"/>
  <c r="EL356" i="17"/>
  <c r="EM356" i="17"/>
  <c r="EN356" i="17"/>
  <c r="EO356" i="17"/>
  <c r="EP356" i="17"/>
  <c r="EQ356" i="17"/>
  <c r="ER356" i="17"/>
  <c r="ES356" i="17"/>
  <c r="ET356" i="17"/>
  <c r="EU356" i="17"/>
  <c r="EV356" i="17"/>
  <c r="EW356" i="17"/>
  <c r="EX356" i="17"/>
  <c r="EY356" i="17"/>
  <c r="EZ356" i="17"/>
  <c r="FA356" i="17"/>
  <c r="FB356" i="17"/>
  <c r="FC356" i="17"/>
  <c r="FD356" i="17"/>
  <c r="FE356" i="17"/>
  <c r="FF356" i="17"/>
  <c r="FG356" i="17"/>
  <c r="FH356" i="17"/>
  <c r="FI356" i="17"/>
  <c r="FJ356" i="17"/>
  <c r="FK356" i="17"/>
  <c r="FL356" i="17"/>
  <c r="FM356" i="17"/>
  <c r="FN356" i="17"/>
  <c r="FO356" i="17"/>
  <c r="FP356" i="17"/>
  <c r="FQ356" i="17"/>
  <c r="FR356" i="17"/>
  <c r="FS356" i="17"/>
  <c r="FT356" i="17"/>
  <c r="FU356" i="17"/>
  <c r="FV356" i="17"/>
  <c r="FW356" i="17"/>
  <c r="FX356" i="17"/>
  <c r="FY356" i="17"/>
  <c r="FZ356" i="17"/>
  <c r="GA356" i="17"/>
  <c r="GB356" i="17"/>
  <c r="GC356" i="17"/>
  <c r="GD356" i="17"/>
  <c r="GE356" i="17"/>
  <c r="GF356" i="17"/>
  <c r="GG356" i="17"/>
  <c r="GH356" i="17"/>
  <c r="GI356" i="17"/>
  <c r="GJ356" i="17"/>
  <c r="GK356" i="17"/>
  <c r="GL356" i="17"/>
  <c r="GM356" i="17"/>
  <c r="GN356" i="17"/>
  <c r="GO356" i="17"/>
  <c r="GP356" i="17"/>
  <c r="GQ356" i="17"/>
  <c r="GR356" i="17"/>
  <c r="GS356" i="17"/>
  <c r="GT356" i="17"/>
  <c r="GU356" i="17"/>
  <c r="GV356" i="17"/>
  <c r="GW356" i="17"/>
  <c r="GX356" i="17"/>
  <c r="GY356" i="17"/>
  <c r="GZ356" i="17"/>
  <c r="HA356" i="17"/>
  <c r="HB356" i="17"/>
  <c r="HC356" i="17"/>
  <c r="HD356" i="17"/>
  <c r="HE356" i="17"/>
  <c r="HF356" i="17"/>
  <c r="HG356" i="17"/>
  <c r="HH356" i="17"/>
  <c r="HI356" i="17"/>
  <c r="HJ356" i="17"/>
  <c r="HK356" i="17"/>
  <c r="HL356" i="17"/>
  <c r="HM356" i="17"/>
  <c r="HN356" i="17"/>
  <c r="HO356" i="17"/>
  <c r="HP356" i="17"/>
  <c r="HQ356" i="17"/>
  <c r="HR356" i="17"/>
  <c r="HS356" i="17"/>
  <c r="HT356" i="17"/>
  <c r="HU356" i="17"/>
  <c r="HV356" i="17"/>
  <c r="HW356" i="17"/>
  <c r="HX356" i="17"/>
  <c r="HY356" i="17"/>
  <c r="HZ356" i="17"/>
  <c r="IA356" i="17"/>
  <c r="IB356" i="17"/>
  <c r="IC356" i="17"/>
  <c r="ID356" i="17"/>
  <c r="IE356" i="17"/>
  <c r="IF356" i="17"/>
  <c r="IG356" i="17"/>
  <c r="IH356" i="17"/>
  <c r="II356" i="17"/>
  <c r="IJ356" i="17"/>
  <c r="IK356" i="17"/>
  <c r="IL356" i="17"/>
  <c r="IM356" i="17"/>
  <c r="IN356" i="17"/>
  <c r="IO356" i="17"/>
  <c r="IP356" i="17"/>
  <c r="IQ356" i="17"/>
  <c r="IR356" i="17"/>
  <c r="IS356" i="17"/>
  <c r="IT356" i="17"/>
  <c r="IU356" i="17"/>
  <c r="IV356" i="17"/>
  <c r="A355" i="17"/>
  <c r="B355" i="17"/>
  <c r="C355" i="17"/>
  <c r="D355" i="17"/>
  <c r="E355" i="17"/>
  <c r="F355" i="17"/>
  <c r="G355" i="17"/>
  <c r="H355" i="17"/>
  <c r="I355" i="17"/>
  <c r="J355" i="17"/>
  <c r="K355" i="17"/>
  <c r="L355" i="17"/>
  <c r="M355" i="17"/>
  <c r="N355" i="17"/>
  <c r="O355" i="17"/>
  <c r="P355" i="17"/>
  <c r="Q355" i="17"/>
  <c r="R355" i="17"/>
  <c r="S355" i="17"/>
  <c r="T355" i="17"/>
  <c r="U355" i="17"/>
  <c r="V355" i="17"/>
  <c r="W355" i="17"/>
  <c r="X355" i="17"/>
  <c r="Y355" i="17"/>
  <c r="Z355" i="17"/>
  <c r="AA355" i="17"/>
  <c r="AB355" i="17"/>
  <c r="AC355" i="17"/>
  <c r="AD355" i="17"/>
  <c r="AE355" i="17"/>
  <c r="AF355" i="17"/>
  <c r="AG355" i="17"/>
  <c r="AH355" i="17"/>
  <c r="AI355" i="17"/>
  <c r="AJ355" i="17"/>
  <c r="AK355" i="17"/>
  <c r="AL355" i="17"/>
  <c r="AM355" i="17"/>
  <c r="AN355" i="17"/>
  <c r="AO355" i="17"/>
  <c r="AP355" i="17"/>
  <c r="AQ355" i="17"/>
  <c r="AR355" i="17"/>
  <c r="AS355" i="17"/>
  <c r="AT355" i="17"/>
  <c r="AU355" i="17"/>
  <c r="AV355" i="17"/>
  <c r="AW355" i="17"/>
  <c r="AX355" i="17"/>
  <c r="AY355" i="17"/>
  <c r="AZ355" i="17"/>
  <c r="BA355" i="17"/>
  <c r="BB355" i="17"/>
  <c r="BC355" i="17"/>
  <c r="BD355" i="17"/>
  <c r="BE355" i="17"/>
  <c r="BF355" i="17"/>
  <c r="BG355" i="17"/>
  <c r="BH355" i="17"/>
  <c r="BI355" i="17"/>
  <c r="BJ355" i="17"/>
  <c r="BK355" i="17"/>
  <c r="BL355" i="17"/>
  <c r="BM355" i="17"/>
  <c r="BN355" i="17"/>
  <c r="BO355" i="17"/>
  <c r="BP355" i="17"/>
  <c r="BQ355" i="17"/>
  <c r="BR355" i="17"/>
  <c r="BS355" i="17"/>
  <c r="BT355" i="17"/>
  <c r="BU355" i="17"/>
  <c r="BV355" i="17"/>
  <c r="BW355" i="17"/>
  <c r="BX355" i="17"/>
  <c r="BY355" i="17"/>
  <c r="BZ355" i="17"/>
  <c r="CA355" i="17"/>
  <c r="CB355" i="17"/>
  <c r="CC355" i="17"/>
  <c r="CD355" i="17"/>
  <c r="CE355" i="17"/>
  <c r="CF355" i="17"/>
  <c r="CG355" i="17"/>
  <c r="CH355" i="17"/>
  <c r="CI355" i="17"/>
  <c r="CJ355" i="17"/>
  <c r="CK355" i="17"/>
  <c r="CL355" i="17"/>
  <c r="CM355" i="17"/>
  <c r="CN355" i="17"/>
  <c r="CO355" i="17"/>
  <c r="CP355" i="17"/>
  <c r="CQ355" i="17"/>
  <c r="CR355" i="17"/>
  <c r="CS355" i="17"/>
  <c r="CT355" i="17"/>
  <c r="CU355" i="17"/>
  <c r="CV355" i="17"/>
  <c r="CW355" i="17"/>
  <c r="CX355" i="17"/>
  <c r="CY355" i="17"/>
  <c r="CZ355" i="17"/>
  <c r="DA355" i="17"/>
  <c r="DB355" i="17"/>
  <c r="DC355" i="17"/>
  <c r="DD355" i="17"/>
  <c r="DE355" i="17"/>
  <c r="DF355" i="17"/>
  <c r="DG355" i="17"/>
  <c r="DH355" i="17"/>
  <c r="DI355" i="17"/>
  <c r="DJ355" i="17"/>
  <c r="DK355" i="17"/>
  <c r="DL355" i="17"/>
  <c r="DM355" i="17"/>
  <c r="DN355" i="17"/>
  <c r="DO355" i="17"/>
  <c r="DP355" i="17"/>
  <c r="DQ355" i="17"/>
  <c r="DR355" i="17"/>
  <c r="DS355" i="17"/>
  <c r="DT355" i="17"/>
  <c r="DU355" i="17"/>
  <c r="DV355" i="17"/>
  <c r="DW355" i="17"/>
  <c r="DX355" i="17"/>
  <c r="DY355" i="17"/>
  <c r="DZ355" i="17"/>
  <c r="EA355" i="17"/>
  <c r="EB355" i="17"/>
  <c r="EC355" i="17"/>
  <c r="ED355" i="17"/>
  <c r="EE355" i="17"/>
  <c r="EF355" i="17"/>
  <c r="EG355" i="17"/>
  <c r="EH355" i="17"/>
  <c r="EI355" i="17"/>
  <c r="EJ355" i="17"/>
  <c r="EK355" i="17"/>
  <c r="EL355" i="17"/>
  <c r="EM355" i="17"/>
  <c r="EN355" i="17"/>
  <c r="EO355" i="17"/>
  <c r="EP355" i="17"/>
  <c r="EQ355" i="17"/>
  <c r="ER355" i="17"/>
  <c r="ES355" i="17"/>
  <c r="ET355" i="17"/>
  <c r="EU355" i="17"/>
  <c r="EV355" i="17"/>
  <c r="EW355" i="17"/>
  <c r="EX355" i="17"/>
  <c r="EY355" i="17"/>
  <c r="EZ355" i="17"/>
  <c r="FA355" i="17"/>
  <c r="FB355" i="17"/>
  <c r="FC355" i="17"/>
  <c r="FD355" i="17"/>
  <c r="FE355" i="17"/>
  <c r="FF355" i="17"/>
  <c r="FG355" i="17"/>
  <c r="FH355" i="17"/>
  <c r="FI355" i="17"/>
  <c r="FJ355" i="17"/>
  <c r="FK355" i="17"/>
  <c r="FL355" i="17"/>
  <c r="FM355" i="17"/>
  <c r="FN355" i="17"/>
  <c r="FO355" i="17"/>
  <c r="FP355" i="17"/>
  <c r="FQ355" i="17"/>
  <c r="FR355" i="17"/>
  <c r="FS355" i="17"/>
  <c r="FT355" i="17"/>
  <c r="FU355" i="17"/>
  <c r="FV355" i="17"/>
  <c r="FW355" i="17"/>
  <c r="FX355" i="17"/>
  <c r="FY355" i="17"/>
  <c r="FZ355" i="17"/>
  <c r="GA355" i="17"/>
  <c r="GB355" i="17"/>
  <c r="GC355" i="17"/>
  <c r="GD355" i="17"/>
  <c r="GE355" i="17"/>
  <c r="GF355" i="17"/>
  <c r="GG355" i="17"/>
  <c r="GH355" i="17"/>
  <c r="GI355" i="17"/>
  <c r="GJ355" i="17"/>
  <c r="GK355" i="17"/>
  <c r="GL355" i="17"/>
  <c r="GM355" i="17"/>
  <c r="GN355" i="17"/>
  <c r="GO355" i="17"/>
  <c r="GP355" i="17"/>
  <c r="GQ355" i="17"/>
  <c r="GR355" i="17"/>
  <c r="GS355" i="17"/>
  <c r="GT355" i="17"/>
  <c r="GU355" i="17"/>
  <c r="GV355" i="17"/>
  <c r="GW355" i="17"/>
  <c r="GX355" i="17"/>
  <c r="GY355" i="17"/>
  <c r="GZ355" i="17"/>
  <c r="HA355" i="17"/>
  <c r="HB355" i="17"/>
  <c r="HC355" i="17"/>
  <c r="HD355" i="17"/>
  <c r="HE355" i="17"/>
  <c r="HF355" i="17"/>
  <c r="HG355" i="17"/>
  <c r="HH355" i="17"/>
  <c r="HI355" i="17"/>
  <c r="HJ355" i="17"/>
  <c r="HK355" i="17"/>
  <c r="HL355" i="17"/>
  <c r="HM355" i="17"/>
  <c r="HN355" i="17"/>
  <c r="HO355" i="17"/>
  <c r="HP355" i="17"/>
  <c r="HQ355" i="17"/>
  <c r="HR355" i="17"/>
  <c r="HS355" i="17"/>
  <c r="HT355" i="17"/>
  <c r="HU355" i="17"/>
  <c r="HV355" i="17"/>
  <c r="HW355" i="17"/>
  <c r="HX355" i="17"/>
  <c r="HY355" i="17"/>
  <c r="HZ355" i="17"/>
  <c r="IA355" i="17"/>
  <c r="IB355" i="17"/>
  <c r="IC355" i="17"/>
  <c r="ID355" i="17"/>
  <c r="IE355" i="17"/>
  <c r="IF355" i="17"/>
  <c r="IG355" i="17"/>
  <c r="IH355" i="17"/>
  <c r="II355" i="17"/>
  <c r="IJ355" i="17"/>
  <c r="IK355" i="17"/>
  <c r="IL355" i="17"/>
  <c r="IM355" i="17"/>
  <c r="IN355" i="17"/>
  <c r="IO355" i="17"/>
  <c r="IP355" i="17"/>
  <c r="IQ355" i="17"/>
  <c r="IR355" i="17"/>
  <c r="IS355" i="17"/>
  <c r="IT355" i="17"/>
  <c r="IU355" i="17"/>
  <c r="IV355" i="17"/>
  <c r="A354" i="17"/>
  <c r="B354" i="17"/>
  <c r="C354" i="17"/>
  <c r="D354" i="17"/>
  <c r="E354" i="17"/>
  <c r="F354" i="17"/>
  <c r="G354" i="17"/>
  <c r="H354" i="17"/>
  <c r="I354" i="17"/>
  <c r="J354" i="17"/>
  <c r="K354" i="17"/>
  <c r="L354" i="17"/>
  <c r="M354" i="17"/>
  <c r="N354" i="17"/>
  <c r="O354" i="17"/>
  <c r="P354" i="17"/>
  <c r="Q354" i="17"/>
  <c r="R354" i="17"/>
  <c r="S354" i="17"/>
  <c r="T354" i="17"/>
  <c r="U354" i="17"/>
  <c r="V354" i="17"/>
  <c r="W354" i="17"/>
  <c r="X354" i="17"/>
  <c r="Y354" i="17"/>
  <c r="Z354" i="17"/>
  <c r="AA354" i="17"/>
  <c r="AB354" i="17"/>
  <c r="AC354" i="17"/>
  <c r="AD354" i="17"/>
  <c r="AE354" i="17"/>
  <c r="AF354" i="17"/>
  <c r="AG354" i="17"/>
  <c r="AH354" i="17"/>
  <c r="AI354" i="17"/>
  <c r="AJ354" i="17"/>
  <c r="AK354" i="17"/>
  <c r="AL354" i="17"/>
  <c r="AM354" i="17"/>
  <c r="AN354" i="17"/>
  <c r="AO354" i="17"/>
  <c r="AP354" i="17"/>
  <c r="AQ354" i="17"/>
  <c r="AR354" i="17"/>
  <c r="AS354" i="17"/>
  <c r="AT354" i="17"/>
  <c r="AU354" i="17"/>
  <c r="AV354" i="17"/>
  <c r="AW354" i="17"/>
  <c r="AX354" i="17"/>
  <c r="AY354" i="17"/>
  <c r="AZ354" i="17"/>
  <c r="BA354" i="17"/>
  <c r="BB354" i="17"/>
  <c r="BC354" i="17"/>
  <c r="BD354" i="17"/>
  <c r="BE354" i="17"/>
  <c r="BF354" i="17"/>
  <c r="BG354" i="17"/>
  <c r="BH354" i="17"/>
  <c r="BI354" i="17"/>
  <c r="BJ354" i="17"/>
  <c r="BK354" i="17"/>
  <c r="BL354" i="17"/>
  <c r="BM354" i="17"/>
  <c r="BN354" i="17"/>
  <c r="BO354" i="17"/>
  <c r="BP354" i="17"/>
  <c r="BQ354" i="17"/>
  <c r="BR354" i="17"/>
  <c r="BS354" i="17"/>
  <c r="BT354" i="17"/>
  <c r="BU354" i="17"/>
  <c r="BV354" i="17"/>
  <c r="BW354" i="17"/>
  <c r="BX354" i="17"/>
  <c r="BY354" i="17"/>
  <c r="BZ354" i="17"/>
  <c r="CA354" i="17"/>
  <c r="CB354" i="17"/>
  <c r="CC354" i="17"/>
  <c r="CD354" i="17"/>
  <c r="CE354" i="17"/>
  <c r="CF354" i="17"/>
  <c r="CG354" i="17"/>
  <c r="CH354" i="17"/>
  <c r="CI354" i="17"/>
  <c r="CJ354" i="17"/>
  <c r="CK354" i="17"/>
  <c r="CL354" i="17"/>
  <c r="CM354" i="17"/>
  <c r="CN354" i="17"/>
  <c r="CO354" i="17"/>
  <c r="CP354" i="17"/>
  <c r="CQ354" i="17"/>
  <c r="CR354" i="17"/>
  <c r="CS354" i="17"/>
  <c r="CT354" i="17"/>
  <c r="CU354" i="17"/>
  <c r="CV354" i="17"/>
  <c r="CW354" i="17"/>
  <c r="CX354" i="17"/>
  <c r="CY354" i="17"/>
  <c r="CZ354" i="17"/>
  <c r="DA354" i="17"/>
  <c r="DB354" i="17"/>
  <c r="DC354" i="17"/>
  <c r="DD354" i="17"/>
  <c r="DE354" i="17"/>
  <c r="DF354" i="17"/>
  <c r="DG354" i="17"/>
  <c r="DH354" i="17"/>
  <c r="DI354" i="17"/>
  <c r="DJ354" i="17"/>
  <c r="DK354" i="17"/>
  <c r="DL354" i="17"/>
  <c r="DM354" i="17"/>
  <c r="DN354" i="17"/>
  <c r="DO354" i="17"/>
  <c r="DP354" i="17"/>
  <c r="DQ354" i="17"/>
  <c r="DR354" i="17"/>
  <c r="DS354" i="17"/>
  <c r="DT354" i="17"/>
  <c r="DU354" i="17"/>
  <c r="DV354" i="17"/>
  <c r="DW354" i="17"/>
  <c r="DX354" i="17"/>
  <c r="DY354" i="17"/>
  <c r="DZ354" i="17"/>
  <c r="EA354" i="17"/>
  <c r="EB354" i="17"/>
  <c r="EC354" i="17"/>
  <c r="ED354" i="17"/>
  <c r="EE354" i="17"/>
  <c r="EF354" i="17"/>
  <c r="EG354" i="17"/>
  <c r="EH354" i="17"/>
  <c r="EI354" i="17"/>
  <c r="EJ354" i="17"/>
  <c r="EK354" i="17"/>
  <c r="EL354" i="17"/>
  <c r="EM354" i="17"/>
  <c r="EN354" i="17"/>
  <c r="EO354" i="17"/>
  <c r="EP354" i="17"/>
  <c r="EQ354" i="17"/>
  <c r="ER354" i="17"/>
  <c r="ES354" i="17"/>
  <c r="ET354" i="17"/>
  <c r="EU354" i="17"/>
  <c r="EV354" i="17"/>
  <c r="EW354" i="17"/>
  <c r="EX354" i="17"/>
  <c r="EY354" i="17"/>
  <c r="EZ354" i="17"/>
  <c r="FA354" i="17"/>
  <c r="FB354" i="17"/>
  <c r="FC354" i="17"/>
  <c r="FD354" i="17"/>
  <c r="FE354" i="17"/>
  <c r="FF354" i="17"/>
  <c r="FG354" i="17"/>
  <c r="FH354" i="17"/>
  <c r="FI354" i="17"/>
  <c r="FJ354" i="17"/>
  <c r="FK354" i="17"/>
  <c r="FL354" i="17"/>
  <c r="FM354" i="17"/>
  <c r="FN354" i="17"/>
  <c r="FO354" i="17"/>
  <c r="FP354" i="17"/>
  <c r="FQ354" i="17"/>
  <c r="FR354" i="17"/>
  <c r="FS354" i="17"/>
  <c r="FT354" i="17"/>
  <c r="FU354" i="17"/>
  <c r="FV354" i="17"/>
  <c r="FW354" i="17"/>
  <c r="FX354" i="17"/>
  <c r="FY354" i="17"/>
  <c r="FZ354" i="17"/>
  <c r="GA354" i="17"/>
  <c r="GB354" i="17"/>
  <c r="GC354" i="17"/>
  <c r="GD354" i="17"/>
  <c r="GE354" i="17"/>
  <c r="GF354" i="17"/>
  <c r="GG354" i="17"/>
  <c r="GH354" i="17"/>
  <c r="GI354" i="17"/>
  <c r="GJ354" i="17"/>
  <c r="GK354" i="17"/>
  <c r="GL354" i="17"/>
  <c r="GM354" i="17"/>
  <c r="GN354" i="17"/>
  <c r="GO354" i="17"/>
  <c r="GP354" i="17"/>
  <c r="GQ354" i="17"/>
  <c r="GR354" i="17"/>
  <c r="GS354" i="17"/>
  <c r="GT354" i="17"/>
  <c r="GU354" i="17"/>
  <c r="GV354" i="17"/>
  <c r="GW354" i="17"/>
  <c r="GX354" i="17"/>
  <c r="GY354" i="17"/>
  <c r="GZ354" i="17"/>
  <c r="HA354" i="17"/>
  <c r="HB354" i="17"/>
  <c r="HC354" i="17"/>
  <c r="HD354" i="17"/>
  <c r="HE354" i="17"/>
  <c r="HF354" i="17"/>
  <c r="HG354" i="17"/>
  <c r="HH354" i="17"/>
  <c r="HI354" i="17"/>
  <c r="HJ354" i="17"/>
  <c r="HK354" i="17"/>
  <c r="HL354" i="17"/>
  <c r="HM354" i="17"/>
  <c r="HN354" i="17"/>
  <c r="HO354" i="17"/>
  <c r="HP354" i="17"/>
  <c r="HQ354" i="17"/>
  <c r="HR354" i="17"/>
  <c r="HS354" i="17"/>
  <c r="HT354" i="17"/>
  <c r="HU354" i="17"/>
  <c r="HV354" i="17"/>
  <c r="HW354" i="17"/>
  <c r="HX354" i="17"/>
  <c r="HY354" i="17"/>
  <c r="HZ354" i="17"/>
  <c r="IA354" i="17"/>
  <c r="IB354" i="17"/>
  <c r="IC354" i="17"/>
  <c r="ID354" i="17"/>
  <c r="IE354" i="17"/>
  <c r="IF354" i="17"/>
  <c r="IG354" i="17"/>
  <c r="IH354" i="17"/>
  <c r="II354" i="17"/>
  <c r="IJ354" i="17"/>
  <c r="IK354" i="17"/>
  <c r="IL354" i="17"/>
  <c r="IM354" i="17"/>
  <c r="IN354" i="17"/>
  <c r="IO354" i="17"/>
  <c r="IP354" i="17"/>
  <c r="IQ354" i="17"/>
  <c r="IR354" i="17"/>
  <c r="IS354" i="17"/>
  <c r="IT354" i="17"/>
  <c r="IU354" i="17"/>
  <c r="IV354" i="17"/>
  <c r="A353" i="17"/>
  <c r="B353" i="17"/>
  <c r="C353" i="17"/>
  <c r="D353" i="17"/>
  <c r="E353" i="17"/>
  <c r="F353" i="17"/>
  <c r="G353" i="17"/>
  <c r="H353" i="17"/>
  <c r="I353" i="17"/>
  <c r="J353" i="17"/>
  <c r="K353" i="17"/>
  <c r="L353" i="17"/>
  <c r="M353" i="17"/>
  <c r="N353" i="17"/>
  <c r="O353" i="17"/>
  <c r="P353" i="17"/>
  <c r="Q353" i="17"/>
  <c r="R353" i="17"/>
  <c r="S353" i="17"/>
  <c r="T353" i="17"/>
  <c r="U353" i="17"/>
  <c r="V353" i="17"/>
  <c r="W353" i="17"/>
  <c r="X353" i="17"/>
  <c r="Y353" i="17"/>
  <c r="Z353" i="17"/>
  <c r="AA353" i="17"/>
  <c r="AB353" i="17"/>
  <c r="AC353" i="17"/>
  <c r="AD353" i="17"/>
  <c r="AE353" i="17"/>
  <c r="AF353" i="17"/>
  <c r="AG353" i="17"/>
  <c r="AH353" i="17"/>
  <c r="AI353" i="17"/>
  <c r="AJ353" i="17"/>
  <c r="AK353" i="17"/>
  <c r="AL353" i="17"/>
  <c r="AM353" i="17"/>
  <c r="AN353" i="17"/>
  <c r="AO353" i="17"/>
  <c r="AP353" i="17"/>
  <c r="AQ353" i="17"/>
  <c r="AR353" i="17"/>
  <c r="AS353" i="17"/>
  <c r="AT353" i="17"/>
  <c r="AU353" i="17"/>
  <c r="AV353" i="17"/>
  <c r="AW353" i="17"/>
  <c r="AX353" i="17"/>
  <c r="AY353" i="17"/>
  <c r="AZ353" i="17"/>
  <c r="BA353" i="17"/>
  <c r="BB353" i="17"/>
  <c r="BC353" i="17"/>
  <c r="BD353" i="17"/>
  <c r="BE353" i="17"/>
  <c r="BF353" i="17"/>
  <c r="BG353" i="17"/>
  <c r="BH353" i="17"/>
  <c r="BI353" i="17"/>
  <c r="BJ353" i="17"/>
  <c r="BK353" i="17"/>
  <c r="BL353" i="17"/>
  <c r="BM353" i="17"/>
  <c r="BN353" i="17"/>
  <c r="BO353" i="17"/>
  <c r="BP353" i="17"/>
  <c r="BQ353" i="17"/>
  <c r="BR353" i="17"/>
  <c r="BS353" i="17"/>
  <c r="BT353" i="17"/>
  <c r="BU353" i="17"/>
  <c r="BV353" i="17"/>
  <c r="BW353" i="17"/>
  <c r="BX353" i="17"/>
  <c r="BY353" i="17"/>
  <c r="BZ353" i="17"/>
  <c r="CA353" i="17"/>
  <c r="CB353" i="17"/>
  <c r="CC353" i="17"/>
  <c r="CD353" i="17"/>
  <c r="CE353" i="17"/>
  <c r="CF353" i="17"/>
  <c r="CG353" i="17"/>
  <c r="CH353" i="17"/>
  <c r="CI353" i="17"/>
  <c r="CJ353" i="17"/>
  <c r="CK353" i="17"/>
  <c r="CL353" i="17"/>
  <c r="CM353" i="17"/>
  <c r="CN353" i="17"/>
  <c r="CO353" i="17"/>
  <c r="CP353" i="17"/>
  <c r="CQ353" i="17"/>
  <c r="CR353" i="17"/>
  <c r="CS353" i="17"/>
  <c r="CT353" i="17"/>
  <c r="CU353" i="17"/>
  <c r="CV353" i="17"/>
  <c r="CW353" i="17"/>
  <c r="CX353" i="17"/>
  <c r="CY353" i="17"/>
  <c r="CZ353" i="17"/>
  <c r="DA353" i="17"/>
  <c r="DB353" i="17"/>
  <c r="DC353" i="17"/>
  <c r="DD353" i="17"/>
  <c r="DE353" i="17"/>
  <c r="DF353" i="17"/>
  <c r="DG353" i="17"/>
  <c r="DH353" i="17"/>
  <c r="DI353" i="17"/>
  <c r="DJ353" i="17"/>
  <c r="DK353" i="17"/>
  <c r="DL353" i="17"/>
  <c r="DM353" i="17"/>
  <c r="DN353" i="17"/>
  <c r="DO353" i="17"/>
  <c r="DP353" i="17"/>
  <c r="DQ353" i="17"/>
  <c r="DR353" i="17"/>
  <c r="DS353" i="17"/>
  <c r="DT353" i="17"/>
  <c r="DU353" i="17"/>
  <c r="DV353" i="17"/>
  <c r="DW353" i="17"/>
  <c r="DX353" i="17"/>
  <c r="DY353" i="17"/>
  <c r="DZ353" i="17"/>
  <c r="EA353" i="17"/>
  <c r="EB353" i="17"/>
  <c r="EC353" i="17"/>
  <c r="ED353" i="17"/>
  <c r="EE353" i="17"/>
  <c r="EF353" i="17"/>
  <c r="EG353" i="17"/>
  <c r="EH353" i="17"/>
  <c r="EI353" i="17"/>
  <c r="EJ353" i="17"/>
  <c r="EK353" i="17"/>
  <c r="EL353" i="17"/>
  <c r="EM353" i="17"/>
  <c r="EN353" i="17"/>
  <c r="EO353" i="17"/>
  <c r="EP353" i="17"/>
  <c r="EQ353" i="17"/>
  <c r="ER353" i="17"/>
  <c r="ES353" i="17"/>
  <c r="ET353" i="17"/>
  <c r="EU353" i="17"/>
  <c r="EV353" i="17"/>
  <c r="EW353" i="17"/>
  <c r="EX353" i="17"/>
  <c r="EY353" i="17"/>
  <c r="EZ353" i="17"/>
  <c r="FA353" i="17"/>
  <c r="FB353" i="17"/>
  <c r="FC353" i="17"/>
  <c r="FD353" i="17"/>
  <c r="FE353" i="17"/>
  <c r="FF353" i="17"/>
  <c r="FG353" i="17"/>
  <c r="FH353" i="17"/>
  <c r="FI353" i="17"/>
  <c r="FJ353" i="17"/>
  <c r="FK353" i="17"/>
  <c r="FL353" i="17"/>
  <c r="FM353" i="17"/>
  <c r="FN353" i="17"/>
  <c r="FO353" i="17"/>
  <c r="FP353" i="17"/>
  <c r="FQ353" i="17"/>
  <c r="FR353" i="17"/>
  <c r="FS353" i="17"/>
  <c r="FT353" i="17"/>
  <c r="FU353" i="17"/>
  <c r="FV353" i="17"/>
  <c r="FW353" i="17"/>
  <c r="FX353" i="17"/>
  <c r="FY353" i="17"/>
  <c r="FZ353" i="17"/>
  <c r="GA353" i="17"/>
  <c r="GB353" i="17"/>
  <c r="GC353" i="17"/>
  <c r="GD353" i="17"/>
  <c r="GE353" i="17"/>
  <c r="GF353" i="17"/>
  <c r="GG353" i="17"/>
  <c r="GH353" i="17"/>
  <c r="GI353" i="17"/>
  <c r="GJ353" i="17"/>
  <c r="GK353" i="17"/>
  <c r="GL353" i="17"/>
  <c r="GM353" i="17"/>
  <c r="GN353" i="17"/>
  <c r="GO353" i="17"/>
  <c r="GP353" i="17"/>
  <c r="GQ353" i="17"/>
  <c r="GR353" i="17"/>
  <c r="GS353" i="17"/>
  <c r="GT353" i="17"/>
  <c r="GU353" i="17"/>
  <c r="GV353" i="17"/>
  <c r="GW353" i="17"/>
  <c r="GX353" i="17"/>
  <c r="GY353" i="17"/>
  <c r="GZ353" i="17"/>
  <c r="HA353" i="17"/>
  <c r="HB353" i="17"/>
  <c r="HC353" i="17"/>
  <c r="HD353" i="17"/>
  <c r="HE353" i="17"/>
  <c r="HF353" i="17"/>
  <c r="HG353" i="17"/>
  <c r="HH353" i="17"/>
  <c r="HI353" i="17"/>
  <c r="HJ353" i="17"/>
  <c r="HK353" i="17"/>
  <c r="HL353" i="17"/>
  <c r="HM353" i="17"/>
  <c r="HN353" i="17"/>
  <c r="HO353" i="17"/>
  <c r="HP353" i="17"/>
  <c r="HQ353" i="17"/>
  <c r="HR353" i="17"/>
  <c r="HS353" i="17"/>
  <c r="HT353" i="17"/>
  <c r="HU353" i="17"/>
  <c r="HV353" i="17"/>
  <c r="HW353" i="17"/>
  <c r="HX353" i="17"/>
  <c r="HY353" i="17"/>
  <c r="HZ353" i="17"/>
  <c r="IA353" i="17"/>
  <c r="IB353" i="17"/>
  <c r="IC353" i="17"/>
  <c r="ID353" i="17"/>
  <c r="IE353" i="17"/>
  <c r="IF353" i="17"/>
  <c r="IG353" i="17"/>
  <c r="IH353" i="17"/>
  <c r="II353" i="17"/>
  <c r="IJ353" i="17"/>
  <c r="IK353" i="17"/>
  <c r="IL353" i="17"/>
  <c r="IM353" i="17"/>
  <c r="IN353" i="17"/>
  <c r="IO353" i="17"/>
  <c r="IP353" i="17"/>
  <c r="IQ353" i="17"/>
  <c r="IR353" i="17"/>
  <c r="IS353" i="17"/>
  <c r="IT353" i="17"/>
  <c r="IU353" i="17"/>
  <c r="IV353" i="17"/>
  <c r="A352" i="17"/>
  <c r="B352" i="17"/>
  <c r="C352" i="17"/>
  <c r="D352" i="17"/>
  <c r="E352" i="17"/>
  <c r="F352" i="17"/>
  <c r="G352" i="17"/>
  <c r="H352" i="17"/>
  <c r="I352" i="17"/>
  <c r="J352" i="17"/>
  <c r="K352" i="17"/>
  <c r="L352" i="17"/>
  <c r="M352" i="17"/>
  <c r="N352" i="17"/>
  <c r="O352" i="17"/>
  <c r="P352" i="17"/>
  <c r="Q352" i="17"/>
  <c r="R352" i="17"/>
  <c r="S352" i="17"/>
  <c r="T352" i="17"/>
  <c r="U352" i="17"/>
  <c r="V352" i="17"/>
  <c r="W352" i="17"/>
  <c r="X352" i="17"/>
  <c r="Y352" i="17"/>
  <c r="Z352" i="17"/>
  <c r="AA352" i="17"/>
  <c r="AB352" i="17"/>
  <c r="AC352" i="17"/>
  <c r="AD352" i="17"/>
  <c r="AE352" i="17"/>
  <c r="AF352" i="17"/>
  <c r="AG352" i="17"/>
  <c r="AH352" i="17"/>
  <c r="AI352" i="17"/>
  <c r="AJ352" i="17"/>
  <c r="AK352" i="17"/>
  <c r="AL352" i="17"/>
  <c r="AM352" i="17"/>
  <c r="AN352" i="17"/>
  <c r="AO352" i="17"/>
  <c r="AP352" i="17"/>
  <c r="AQ352" i="17"/>
  <c r="AR352" i="17"/>
  <c r="AS352" i="17"/>
  <c r="AT352" i="17"/>
  <c r="AU352" i="17"/>
  <c r="AV352" i="17"/>
  <c r="AW352" i="17"/>
  <c r="AX352" i="17"/>
  <c r="AY352" i="17"/>
  <c r="AZ352" i="17"/>
  <c r="BA352" i="17"/>
  <c r="BB352" i="17"/>
  <c r="BC352" i="17"/>
  <c r="BD352" i="17"/>
  <c r="BE352" i="17"/>
  <c r="BF352" i="17"/>
  <c r="BG352" i="17"/>
  <c r="BH352" i="17"/>
  <c r="BI352" i="17"/>
  <c r="BJ352" i="17"/>
  <c r="BK352" i="17"/>
  <c r="BL352" i="17"/>
  <c r="BM352" i="17"/>
  <c r="BN352" i="17"/>
  <c r="BO352" i="17"/>
  <c r="BP352" i="17"/>
  <c r="BQ352" i="17"/>
  <c r="BR352" i="17"/>
  <c r="BS352" i="17"/>
  <c r="BT352" i="17"/>
  <c r="BU352" i="17"/>
  <c r="BV352" i="17"/>
  <c r="BW352" i="17"/>
  <c r="BX352" i="17"/>
  <c r="BY352" i="17"/>
  <c r="BZ352" i="17"/>
  <c r="CA352" i="17"/>
  <c r="CB352" i="17"/>
  <c r="CC352" i="17"/>
  <c r="CD352" i="17"/>
  <c r="CE352" i="17"/>
  <c r="CF352" i="17"/>
  <c r="CG352" i="17"/>
  <c r="CH352" i="17"/>
  <c r="CI352" i="17"/>
  <c r="CJ352" i="17"/>
  <c r="CK352" i="17"/>
  <c r="CL352" i="17"/>
  <c r="CM352" i="17"/>
  <c r="CN352" i="17"/>
  <c r="CO352" i="17"/>
  <c r="CP352" i="17"/>
  <c r="CQ352" i="17"/>
  <c r="CR352" i="17"/>
  <c r="CS352" i="17"/>
  <c r="CT352" i="17"/>
  <c r="CU352" i="17"/>
  <c r="CV352" i="17"/>
  <c r="CW352" i="17"/>
  <c r="CX352" i="17"/>
  <c r="CY352" i="17"/>
  <c r="CZ352" i="17"/>
  <c r="DA352" i="17"/>
  <c r="DB352" i="17"/>
  <c r="DC352" i="17"/>
  <c r="DD352" i="17"/>
  <c r="DE352" i="17"/>
  <c r="DF352" i="17"/>
  <c r="DG352" i="17"/>
  <c r="DH352" i="17"/>
  <c r="DI352" i="17"/>
  <c r="DJ352" i="17"/>
  <c r="DK352" i="17"/>
  <c r="DL352" i="17"/>
  <c r="DM352" i="17"/>
  <c r="DN352" i="17"/>
  <c r="DO352" i="17"/>
  <c r="DP352" i="17"/>
  <c r="DQ352" i="17"/>
  <c r="DR352" i="17"/>
  <c r="DS352" i="17"/>
  <c r="DT352" i="17"/>
  <c r="DU352" i="17"/>
  <c r="DV352" i="17"/>
  <c r="DW352" i="17"/>
  <c r="DX352" i="17"/>
  <c r="DY352" i="17"/>
  <c r="DZ352" i="17"/>
  <c r="EA352" i="17"/>
  <c r="EB352" i="17"/>
  <c r="EC352" i="17"/>
  <c r="ED352" i="17"/>
  <c r="EE352" i="17"/>
  <c r="EF352" i="17"/>
  <c r="EG352" i="17"/>
  <c r="EH352" i="17"/>
  <c r="EI352" i="17"/>
  <c r="EJ352" i="17"/>
  <c r="EK352" i="17"/>
  <c r="EL352" i="17"/>
  <c r="EM352" i="17"/>
  <c r="EN352" i="17"/>
  <c r="EO352" i="17"/>
  <c r="EP352" i="17"/>
  <c r="EQ352" i="17"/>
  <c r="ER352" i="17"/>
  <c r="ES352" i="17"/>
  <c r="ET352" i="17"/>
  <c r="EU352" i="17"/>
  <c r="EV352" i="17"/>
  <c r="EW352" i="17"/>
  <c r="EX352" i="17"/>
  <c r="EY352" i="17"/>
  <c r="EZ352" i="17"/>
  <c r="FA352" i="17"/>
  <c r="FB352" i="17"/>
  <c r="FC352" i="17"/>
  <c r="FD352" i="17"/>
  <c r="FE352" i="17"/>
  <c r="FF352" i="17"/>
  <c r="FG352" i="17"/>
  <c r="FH352" i="17"/>
  <c r="FI352" i="17"/>
  <c r="FJ352" i="17"/>
  <c r="FK352" i="17"/>
  <c r="FL352" i="17"/>
  <c r="FM352" i="17"/>
  <c r="FN352" i="17"/>
  <c r="FO352" i="17"/>
  <c r="FP352" i="17"/>
  <c r="FQ352" i="17"/>
  <c r="FR352" i="17"/>
  <c r="FS352" i="17"/>
  <c r="FT352" i="17"/>
  <c r="FU352" i="17"/>
  <c r="FV352" i="17"/>
  <c r="FW352" i="17"/>
  <c r="FX352" i="17"/>
  <c r="FY352" i="17"/>
  <c r="FZ352" i="17"/>
  <c r="GA352" i="17"/>
  <c r="GB352" i="17"/>
  <c r="GC352" i="17"/>
  <c r="GD352" i="17"/>
  <c r="GE352" i="17"/>
  <c r="GF352" i="17"/>
  <c r="GG352" i="17"/>
  <c r="GH352" i="17"/>
  <c r="GI352" i="17"/>
  <c r="GJ352" i="17"/>
  <c r="GK352" i="17"/>
  <c r="GL352" i="17"/>
  <c r="GM352" i="17"/>
  <c r="GN352" i="17"/>
  <c r="GO352" i="17"/>
  <c r="GP352" i="17"/>
  <c r="GQ352" i="17"/>
  <c r="GR352" i="17"/>
  <c r="GS352" i="17"/>
  <c r="GT352" i="17"/>
  <c r="GU352" i="17"/>
  <c r="GV352" i="17"/>
  <c r="GW352" i="17"/>
  <c r="GX352" i="17"/>
  <c r="GY352" i="17"/>
  <c r="GZ352" i="17"/>
  <c r="HA352" i="17"/>
  <c r="HB352" i="17"/>
  <c r="HC352" i="17"/>
  <c r="HD352" i="17"/>
  <c r="HE352" i="17"/>
  <c r="HF352" i="17"/>
  <c r="HG352" i="17"/>
  <c r="HH352" i="17"/>
  <c r="HI352" i="17"/>
  <c r="HJ352" i="17"/>
  <c r="HK352" i="17"/>
  <c r="HL352" i="17"/>
  <c r="HM352" i="17"/>
  <c r="HN352" i="17"/>
  <c r="HO352" i="17"/>
  <c r="HP352" i="17"/>
  <c r="HQ352" i="17"/>
  <c r="HR352" i="17"/>
  <c r="HS352" i="17"/>
  <c r="HT352" i="17"/>
  <c r="HU352" i="17"/>
  <c r="HV352" i="17"/>
  <c r="HW352" i="17"/>
  <c r="HX352" i="17"/>
  <c r="HY352" i="17"/>
  <c r="HZ352" i="17"/>
  <c r="IA352" i="17"/>
  <c r="IB352" i="17"/>
  <c r="IC352" i="17"/>
  <c r="ID352" i="17"/>
  <c r="IE352" i="17"/>
  <c r="IF352" i="17"/>
  <c r="IG352" i="17"/>
  <c r="IH352" i="17"/>
  <c r="II352" i="17"/>
  <c r="IJ352" i="17"/>
  <c r="IK352" i="17"/>
  <c r="IL352" i="17"/>
  <c r="IM352" i="17"/>
  <c r="IN352" i="17"/>
  <c r="IO352" i="17"/>
  <c r="IP352" i="17"/>
  <c r="IQ352" i="17"/>
  <c r="IR352" i="17"/>
  <c r="IS352" i="17"/>
  <c r="IT352" i="17"/>
  <c r="IU352" i="17"/>
  <c r="IV352" i="17"/>
  <c r="A351" i="17"/>
  <c r="B351" i="17"/>
  <c r="C351" i="17"/>
  <c r="D351" i="17"/>
  <c r="E351" i="17"/>
  <c r="F351" i="17"/>
  <c r="G351" i="17"/>
  <c r="H351" i="17"/>
  <c r="I351" i="17"/>
  <c r="J351" i="17"/>
  <c r="K351" i="17"/>
  <c r="L351" i="17"/>
  <c r="M351" i="17"/>
  <c r="N351" i="17"/>
  <c r="O351" i="17"/>
  <c r="P351" i="17"/>
  <c r="Q351" i="17"/>
  <c r="R351" i="17"/>
  <c r="S351" i="17"/>
  <c r="T351" i="17"/>
  <c r="U351" i="17"/>
  <c r="V351" i="17"/>
  <c r="W351" i="17"/>
  <c r="X351" i="17"/>
  <c r="Y351" i="17"/>
  <c r="Z351" i="17"/>
  <c r="AA351" i="17"/>
  <c r="AB351" i="17"/>
  <c r="AC351" i="17"/>
  <c r="AD351" i="17"/>
  <c r="AE351" i="17"/>
  <c r="AF351" i="17"/>
  <c r="AG351" i="17"/>
  <c r="AH351" i="17"/>
  <c r="AI351" i="17"/>
  <c r="AJ351" i="17"/>
  <c r="AK351" i="17"/>
  <c r="AL351" i="17"/>
  <c r="AM351" i="17"/>
  <c r="AN351" i="17"/>
  <c r="AO351" i="17"/>
  <c r="AP351" i="17"/>
  <c r="AQ351" i="17"/>
  <c r="AR351" i="17"/>
  <c r="AS351" i="17"/>
  <c r="AT351" i="17"/>
  <c r="AU351" i="17"/>
  <c r="AV351" i="17"/>
  <c r="AW351" i="17"/>
  <c r="AX351" i="17"/>
  <c r="AY351" i="17"/>
  <c r="AZ351" i="17"/>
  <c r="BA351" i="17"/>
  <c r="BB351" i="17"/>
  <c r="BC351" i="17"/>
  <c r="BD351" i="17"/>
  <c r="BE351" i="17"/>
  <c r="BF351" i="17"/>
  <c r="BG351" i="17"/>
  <c r="BH351" i="17"/>
  <c r="BI351" i="17"/>
  <c r="BJ351" i="17"/>
  <c r="BK351" i="17"/>
  <c r="BL351" i="17"/>
  <c r="BM351" i="17"/>
  <c r="BN351" i="17"/>
  <c r="BO351" i="17"/>
  <c r="BP351" i="17"/>
  <c r="BQ351" i="17"/>
  <c r="BR351" i="17"/>
  <c r="BS351" i="17"/>
  <c r="BT351" i="17"/>
  <c r="BU351" i="17"/>
  <c r="BV351" i="17"/>
  <c r="BW351" i="17"/>
  <c r="BX351" i="17"/>
  <c r="BY351" i="17"/>
  <c r="BZ351" i="17"/>
  <c r="CA351" i="17"/>
  <c r="CB351" i="17"/>
  <c r="CC351" i="17"/>
  <c r="CD351" i="17"/>
  <c r="CE351" i="17"/>
  <c r="CF351" i="17"/>
  <c r="CG351" i="17"/>
  <c r="CH351" i="17"/>
  <c r="CI351" i="17"/>
  <c r="CJ351" i="17"/>
  <c r="CK351" i="17"/>
  <c r="CL351" i="17"/>
  <c r="CM351" i="17"/>
  <c r="CN351" i="17"/>
  <c r="CO351" i="17"/>
  <c r="CP351" i="17"/>
  <c r="CQ351" i="17"/>
  <c r="CR351" i="17"/>
  <c r="CS351" i="17"/>
  <c r="CT351" i="17"/>
  <c r="CU351" i="17"/>
  <c r="CV351" i="17"/>
  <c r="CW351" i="17"/>
  <c r="CX351" i="17"/>
  <c r="CY351" i="17"/>
  <c r="CZ351" i="17"/>
  <c r="DA351" i="17"/>
  <c r="DB351" i="17"/>
  <c r="DC351" i="17"/>
  <c r="DD351" i="17"/>
  <c r="DE351" i="17"/>
  <c r="DF351" i="17"/>
  <c r="DG351" i="17"/>
  <c r="DH351" i="17"/>
  <c r="DI351" i="17"/>
  <c r="DJ351" i="17"/>
  <c r="DK351" i="17"/>
  <c r="DL351" i="17"/>
  <c r="DM351" i="17"/>
  <c r="DN351" i="17"/>
  <c r="DO351" i="17"/>
  <c r="DP351" i="17"/>
  <c r="DQ351" i="17"/>
  <c r="DR351" i="17"/>
  <c r="DS351" i="17"/>
  <c r="DT351" i="17"/>
  <c r="DU351" i="17"/>
  <c r="DV351" i="17"/>
  <c r="DW351" i="17"/>
  <c r="DX351" i="17"/>
  <c r="DY351" i="17"/>
  <c r="DZ351" i="17"/>
  <c r="EA351" i="17"/>
  <c r="EB351" i="17"/>
  <c r="EC351" i="17"/>
  <c r="ED351" i="17"/>
  <c r="EE351" i="17"/>
  <c r="EF351" i="17"/>
  <c r="EG351" i="17"/>
  <c r="EH351" i="17"/>
  <c r="EI351" i="17"/>
  <c r="EJ351" i="17"/>
  <c r="EK351" i="17"/>
  <c r="EL351" i="17"/>
  <c r="EM351" i="17"/>
  <c r="EN351" i="17"/>
  <c r="EO351" i="17"/>
  <c r="EP351" i="17"/>
  <c r="EQ351" i="17"/>
  <c r="ER351" i="17"/>
  <c r="ES351" i="17"/>
  <c r="ET351" i="17"/>
  <c r="EU351" i="17"/>
  <c r="EV351" i="17"/>
  <c r="EW351" i="17"/>
  <c r="EX351" i="17"/>
  <c r="EY351" i="17"/>
  <c r="EZ351" i="17"/>
  <c r="FA351" i="17"/>
  <c r="FB351" i="17"/>
  <c r="FC351" i="17"/>
  <c r="FD351" i="17"/>
  <c r="FE351" i="17"/>
  <c r="FF351" i="17"/>
  <c r="FG351" i="17"/>
  <c r="FH351" i="17"/>
  <c r="FI351" i="17"/>
  <c r="FJ351" i="17"/>
  <c r="FK351" i="17"/>
  <c r="FL351" i="17"/>
  <c r="FM351" i="17"/>
  <c r="FN351" i="17"/>
  <c r="FO351" i="17"/>
  <c r="FP351" i="17"/>
  <c r="FQ351" i="17"/>
  <c r="FR351" i="17"/>
  <c r="FS351" i="17"/>
  <c r="FT351" i="17"/>
  <c r="FU351" i="17"/>
  <c r="FV351" i="17"/>
  <c r="FW351" i="17"/>
  <c r="FX351" i="17"/>
  <c r="FY351" i="17"/>
  <c r="FZ351" i="17"/>
  <c r="GA351" i="17"/>
  <c r="GB351" i="17"/>
  <c r="GC351" i="17"/>
  <c r="GD351" i="17"/>
  <c r="GE351" i="17"/>
  <c r="GF351" i="17"/>
  <c r="GG351" i="17"/>
  <c r="GH351" i="17"/>
  <c r="GI351" i="17"/>
  <c r="GJ351" i="17"/>
  <c r="GK351" i="17"/>
  <c r="GL351" i="17"/>
  <c r="GM351" i="17"/>
  <c r="GN351" i="17"/>
  <c r="GO351" i="17"/>
  <c r="GP351" i="17"/>
  <c r="GQ351" i="17"/>
  <c r="GR351" i="17"/>
  <c r="GS351" i="17"/>
  <c r="GT351" i="17"/>
  <c r="GU351" i="17"/>
  <c r="GV351" i="17"/>
  <c r="GW351" i="17"/>
  <c r="GX351" i="17"/>
  <c r="GY351" i="17"/>
  <c r="GZ351" i="17"/>
  <c r="HA351" i="17"/>
  <c r="HB351" i="17"/>
  <c r="HC351" i="17"/>
  <c r="HD351" i="17"/>
  <c r="HE351" i="17"/>
  <c r="HF351" i="17"/>
  <c r="HG351" i="17"/>
  <c r="HH351" i="17"/>
  <c r="HI351" i="17"/>
  <c r="HJ351" i="17"/>
  <c r="HK351" i="17"/>
  <c r="HL351" i="17"/>
  <c r="HM351" i="17"/>
  <c r="HN351" i="17"/>
  <c r="HO351" i="17"/>
  <c r="HP351" i="17"/>
  <c r="HQ351" i="17"/>
  <c r="HR351" i="17"/>
  <c r="HS351" i="17"/>
  <c r="HT351" i="17"/>
  <c r="HU351" i="17"/>
  <c r="HV351" i="17"/>
  <c r="HW351" i="17"/>
  <c r="HX351" i="17"/>
  <c r="HY351" i="17"/>
  <c r="HZ351" i="17"/>
  <c r="IA351" i="17"/>
  <c r="IB351" i="17"/>
  <c r="IC351" i="17"/>
  <c r="ID351" i="17"/>
  <c r="IE351" i="17"/>
  <c r="IF351" i="17"/>
  <c r="IG351" i="17"/>
  <c r="IH351" i="17"/>
  <c r="II351" i="17"/>
  <c r="IJ351" i="17"/>
  <c r="IK351" i="17"/>
  <c r="IL351" i="17"/>
  <c r="IM351" i="17"/>
  <c r="IN351" i="17"/>
  <c r="IO351" i="17"/>
  <c r="IP351" i="17"/>
  <c r="IQ351" i="17"/>
  <c r="IR351" i="17"/>
  <c r="IS351" i="17"/>
  <c r="IT351" i="17"/>
  <c r="IU351" i="17"/>
  <c r="IV351" i="17"/>
  <c r="A350" i="17"/>
  <c r="B350" i="17"/>
  <c r="C350" i="17"/>
  <c r="D350" i="17"/>
  <c r="E350" i="17"/>
  <c r="F350" i="17"/>
  <c r="G350" i="17"/>
  <c r="H350" i="17"/>
  <c r="I350" i="17"/>
  <c r="J350" i="17"/>
  <c r="K350" i="17"/>
  <c r="L350" i="17"/>
  <c r="M350" i="17"/>
  <c r="N350" i="17"/>
  <c r="O350" i="17"/>
  <c r="P350" i="17"/>
  <c r="Q350" i="17"/>
  <c r="S350" i="17"/>
  <c r="T350" i="17"/>
  <c r="U350" i="17"/>
  <c r="V350" i="17"/>
  <c r="W350" i="17"/>
  <c r="X350" i="17"/>
  <c r="Y350" i="17"/>
  <c r="Z350" i="17"/>
  <c r="AA350" i="17"/>
  <c r="AB350" i="17"/>
  <c r="AC350" i="17"/>
  <c r="AD350" i="17"/>
  <c r="AE350" i="17"/>
  <c r="AF350" i="17"/>
  <c r="AG350" i="17"/>
  <c r="AH350" i="17"/>
  <c r="AI350" i="17"/>
  <c r="AJ350" i="17"/>
  <c r="AK350" i="17"/>
  <c r="AL350" i="17"/>
  <c r="AM350" i="17"/>
  <c r="AN350" i="17"/>
  <c r="AO350" i="17"/>
  <c r="AP350" i="17"/>
  <c r="AQ350" i="17"/>
  <c r="AR350" i="17"/>
  <c r="AS350" i="17"/>
  <c r="AT350" i="17"/>
  <c r="AU350" i="17"/>
  <c r="AV350" i="17"/>
  <c r="AW350" i="17"/>
  <c r="AX350" i="17"/>
  <c r="AY350" i="17"/>
  <c r="AZ350" i="17"/>
  <c r="BA350" i="17"/>
  <c r="BB350" i="17"/>
  <c r="BC350" i="17"/>
  <c r="BD350" i="17"/>
  <c r="BE350" i="17"/>
  <c r="BF350" i="17"/>
  <c r="BG350" i="17"/>
  <c r="BH350" i="17"/>
  <c r="BI350" i="17"/>
  <c r="BJ350" i="17"/>
  <c r="BK350" i="17"/>
  <c r="BL350" i="17"/>
  <c r="BM350" i="17"/>
  <c r="BN350" i="17"/>
  <c r="BO350" i="17"/>
  <c r="BP350" i="17"/>
  <c r="BQ350" i="17"/>
  <c r="BR350" i="17"/>
  <c r="BS350" i="17"/>
  <c r="BT350" i="17"/>
  <c r="BU350" i="17"/>
  <c r="BV350" i="17"/>
  <c r="BW350" i="17"/>
  <c r="BX350" i="17"/>
  <c r="BY350" i="17"/>
  <c r="BZ350" i="17"/>
  <c r="CA350" i="17"/>
  <c r="CB350" i="17"/>
  <c r="CC350" i="17"/>
  <c r="CD350" i="17"/>
  <c r="CE350" i="17"/>
  <c r="CF350" i="17"/>
  <c r="CG350" i="17"/>
  <c r="CH350" i="17"/>
  <c r="CI350" i="17"/>
  <c r="CJ350" i="17"/>
  <c r="CK350" i="17"/>
  <c r="CL350" i="17"/>
  <c r="CM350" i="17"/>
  <c r="CN350" i="17"/>
  <c r="CO350" i="17"/>
  <c r="CP350" i="17"/>
  <c r="CQ350" i="17"/>
  <c r="CR350" i="17"/>
  <c r="CS350" i="17"/>
  <c r="CT350" i="17"/>
  <c r="CU350" i="17"/>
  <c r="CV350" i="17"/>
  <c r="CW350" i="17"/>
  <c r="CX350" i="17"/>
  <c r="CY350" i="17"/>
  <c r="CZ350" i="17"/>
  <c r="DA350" i="17"/>
  <c r="DB350" i="17"/>
  <c r="DC350" i="17"/>
  <c r="DD350" i="17"/>
  <c r="DE350" i="17"/>
  <c r="DF350" i="17"/>
  <c r="DG350" i="17"/>
  <c r="DH350" i="17"/>
  <c r="DI350" i="17"/>
  <c r="DJ350" i="17"/>
  <c r="DK350" i="17"/>
  <c r="DL350" i="17"/>
  <c r="DM350" i="17"/>
  <c r="DN350" i="17"/>
  <c r="DO350" i="17"/>
  <c r="DP350" i="17"/>
  <c r="DQ350" i="17"/>
  <c r="DR350" i="17"/>
  <c r="DS350" i="17"/>
  <c r="DT350" i="17"/>
  <c r="DU350" i="17"/>
  <c r="DV350" i="17"/>
  <c r="DW350" i="17"/>
  <c r="DX350" i="17"/>
  <c r="DY350" i="17"/>
  <c r="DZ350" i="17"/>
  <c r="EA350" i="17"/>
  <c r="EB350" i="17"/>
  <c r="EC350" i="17"/>
  <c r="ED350" i="17"/>
  <c r="EE350" i="17"/>
  <c r="EF350" i="17"/>
  <c r="EG350" i="17"/>
  <c r="EH350" i="17"/>
  <c r="EI350" i="17"/>
  <c r="EJ350" i="17"/>
  <c r="EK350" i="17"/>
  <c r="EL350" i="17"/>
  <c r="EM350" i="17"/>
  <c r="EN350" i="17"/>
  <c r="EO350" i="17"/>
  <c r="EP350" i="17"/>
  <c r="EQ350" i="17"/>
  <c r="ER350" i="17"/>
  <c r="ES350" i="17"/>
  <c r="ET350" i="17"/>
  <c r="EU350" i="17"/>
  <c r="EV350" i="17"/>
  <c r="EW350" i="17"/>
  <c r="EX350" i="17"/>
  <c r="EY350" i="17"/>
  <c r="EZ350" i="17"/>
  <c r="FA350" i="17"/>
  <c r="FB350" i="17"/>
  <c r="FC350" i="17"/>
  <c r="FD350" i="17"/>
  <c r="FE350" i="17"/>
  <c r="FF350" i="17"/>
  <c r="FG350" i="17"/>
  <c r="FH350" i="17"/>
  <c r="FI350" i="17"/>
  <c r="FJ350" i="17"/>
  <c r="FK350" i="17"/>
  <c r="FL350" i="17"/>
  <c r="FM350" i="17"/>
  <c r="FN350" i="17"/>
  <c r="FO350" i="17"/>
  <c r="FP350" i="17"/>
  <c r="FQ350" i="17"/>
  <c r="FR350" i="17"/>
  <c r="FS350" i="17"/>
  <c r="FT350" i="17"/>
  <c r="FU350" i="17"/>
  <c r="FV350" i="17"/>
  <c r="FW350" i="17"/>
  <c r="FX350" i="17"/>
  <c r="FY350" i="17"/>
  <c r="FZ350" i="17"/>
  <c r="GA350" i="17"/>
  <c r="GB350" i="17"/>
  <c r="GC350" i="17"/>
  <c r="GD350" i="17"/>
  <c r="GE350" i="17"/>
  <c r="GF350" i="17"/>
  <c r="GG350" i="17"/>
  <c r="GH350" i="17"/>
  <c r="GI350" i="17"/>
  <c r="GJ350" i="17"/>
  <c r="GK350" i="17"/>
  <c r="GL350" i="17"/>
  <c r="GM350" i="17"/>
  <c r="GN350" i="17"/>
  <c r="GO350" i="17"/>
  <c r="GP350" i="17"/>
  <c r="GQ350" i="17"/>
  <c r="GR350" i="17"/>
  <c r="GS350" i="17"/>
  <c r="GT350" i="17"/>
  <c r="GU350" i="17"/>
  <c r="GV350" i="17"/>
  <c r="GW350" i="17"/>
  <c r="GX350" i="17"/>
  <c r="GY350" i="17"/>
  <c r="GZ350" i="17"/>
  <c r="HA350" i="17"/>
  <c r="HB350" i="17"/>
  <c r="HC350" i="17"/>
  <c r="HD350" i="17"/>
  <c r="HE350" i="17"/>
  <c r="HF350" i="17"/>
  <c r="HG350" i="17"/>
  <c r="HH350" i="17"/>
  <c r="HI350" i="17"/>
  <c r="HJ350" i="17"/>
  <c r="HK350" i="17"/>
  <c r="HL350" i="17"/>
  <c r="HM350" i="17"/>
  <c r="HN350" i="17"/>
  <c r="HO350" i="17"/>
  <c r="HP350" i="17"/>
  <c r="HQ350" i="17"/>
  <c r="HR350" i="17"/>
  <c r="HS350" i="17"/>
  <c r="HT350" i="17"/>
  <c r="HU350" i="17"/>
  <c r="HV350" i="17"/>
  <c r="HW350" i="17"/>
  <c r="HX350" i="17"/>
  <c r="HY350" i="17"/>
  <c r="HZ350" i="17"/>
  <c r="IA350" i="17"/>
  <c r="IB350" i="17"/>
  <c r="IC350" i="17"/>
  <c r="ID350" i="17"/>
  <c r="IE350" i="17"/>
  <c r="IF350" i="17"/>
  <c r="IG350" i="17"/>
  <c r="IH350" i="17"/>
  <c r="II350" i="17"/>
  <c r="IJ350" i="17"/>
  <c r="IK350" i="17"/>
  <c r="IL350" i="17"/>
  <c r="IM350" i="17"/>
  <c r="IN350" i="17"/>
  <c r="IO350" i="17"/>
  <c r="IP350" i="17"/>
  <c r="IQ350" i="17"/>
  <c r="IR350" i="17"/>
  <c r="IS350" i="17"/>
  <c r="IT350" i="17"/>
  <c r="IU350" i="17"/>
  <c r="IV350" i="17"/>
  <c r="A349" i="17"/>
  <c r="B349" i="17"/>
  <c r="C349" i="17"/>
  <c r="D349" i="17"/>
  <c r="E349" i="17"/>
  <c r="F349" i="17"/>
  <c r="G349" i="17"/>
  <c r="H349" i="17"/>
  <c r="I349" i="17"/>
  <c r="J349" i="17"/>
  <c r="K349" i="17"/>
  <c r="L349" i="17"/>
  <c r="M349" i="17"/>
  <c r="N349" i="17"/>
  <c r="O349" i="17"/>
  <c r="P349" i="17"/>
  <c r="Q349" i="17"/>
  <c r="R349" i="17"/>
  <c r="S349" i="17"/>
  <c r="T349" i="17"/>
  <c r="U349" i="17"/>
  <c r="V349" i="17"/>
  <c r="W349" i="17"/>
  <c r="X349" i="17"/>
  <c r="Y349" i="17"/>
  <c r="Z349" i="17"/>
  <c r="AA349" i="17"/>
  <c r="AB349" i="17"/>
  <c r="AC349" i="17"/>
  <c r="AD349" i="17"/>
  <c r="AE349" i="17"/>
  <c r="AF349" i="17"/>
  <c r="AG349" i="17"/>
  <c r="AH349" i="17"/>
  <c r="AI349" i="17"/>
  <c r="AJ349" i="17"/>
  <c r="AK349" i="17"/>
  <c r="AL349" i="17"/>
  <c r="AM349" i="17"/>
  <c r="AN349" i="17"/>
  <c r="AO349" i="17"/>
  <c r="AP349" i="17"/>
  <c r="AQ349" i="17"/>
  <c r="AR349" i="17"/>
  <c r="AS349" i="17"/>
  <c r="AT349" i="17"/>
  <c r="AU349" i="17"/>
  <c r="AV349" i="17"/>
  <c r="AW349" i="17"/>
  <c r="AX349" i="17"/>
  <c r="AY349" i="17"/>
  <c r="AZ349" i="17"/>
  <c r="BA349" i="17"/>
  <c r="BB349" i="17"/>
  <c r="BC349" i="17"/>
  <c r="BD349" i="17"/>
  <c r="BE349" i="17"/>
  <c r="BF349" i="17"/>
  <c r="BG349" i="17"/>
  <c r="BH349" i="17"/>
  <c r="BI349" i="17"/>
  <c r="BJ349" i="17"/>
  <c r="BK349" i="17"/>
  <c r="BL349" i="17"/>
  <c r="BM349" i="17"/>
  <c r="BN349" i="17"/>
  <c r="BO349" i="17"/>
  <c r="BP349" i="17"/>
  <c r="BQ349" i="17"/>
  <c r="BR349" i="17"/>
  <c r="BS349" i="17"/>
  <c r="BT349" i="17"/>
  <c r="BU349" i="17"/>
  <c r="BV349" i="17"/>
  <c r="BW349" i="17"/>
  <c r="BX349" i="17"/>
  <c r="BY349" i="17"/>
  <c r="BZ349" i="17"/>
  <c r="CA349" i="17"/>
  <c r="CB349" i="17"/>
  <c r="CC349" i="17"/>
  <c r="CD349" i="17"/>
  <c r="CE349" i="17"/>
  <c r="CF349" i="17"/>
  <c r="CG349" i="17"/>
  <c r="CH349" i="17"/>
  <c r="CI349" i="17"/>
  <c r="CJ349" i="17"/>
  <c r="CK349" i="17"/>
  <c r="CL349" i="17"/>
  <c r="CM349" i="17"/>
  <c r="CN349" i="17"/>
  <c r="CO349" i="17"/>
  <c r="CP349" i="17"/>
  <c r="CQ349" i="17"/>
  <c r="CR349" i="17"/>
  <c r="CS349" i="17"/>
  <c r="CT349" i="17"/>
  <c r="CU349" i="17"/>
  <c r="CV349" i="17"/>
  <c r="CW349" i="17"/>
  <c r="CX349" i="17"/>
  <c r="CY349" i="17"/>
  <c r="CZ349" i="17"/>
  <c r="DA349" i="17"/>
  <c r="DB349" i="17"/>
  <c r="DC349" i="17"/>
  <c r="DD349" i="17"/>
  <c r="DE349" i="17"/>
  <c r="DF349" i="17"/>
  <c r="DG349" i="17"/>
  <c r="DH349" i="17"/>
  <c r="DI349" i="17"/>
  <c r="DJ349" i="17"/>
  <c r="DK349" i="17"/>
  <c r="DL349" i="17"/>
  <c r="DM349" i="17"/>
  <c r="DN349" i="17"/>
  <c r="DO349" i="17"/>
  <c r="DP349" i="17"/>
  <c r="DQ349" i="17"/>
  <c r="DR349" i="17"/>
  <c r="DS349" i="17"/>
  <c r="DT349" i="17"/>
  <c r="DU349" i="17"/>
  <c r="DV349" i="17"/>
  <c r="DW349" i="17"/>
  <c r="DX349" i="17"/>
  <c r="DY349" i="17"/>
  <c r="DZ349" i="17"/>
  <c r="EA349" i="17"/>
  <c r="EB349" i="17"/>
  <c r="EC349" i="17"/>
  <c r="ED349" i="17"/>
  <c r="EE349" i="17"/>
  <c r="EF349" i="17"/>
  <c r="EG349" i="17"/>
  <c r="EH349" i="17"/>
  <c r="EI349" i="17"/>
  <c r="EJ349" i="17"/>
  <c r="EK349" i="17"/>
  <c r="EL349" i="17"/>
  <c r="EM349" i="17"/>
  <c r="EN349" i="17"/>
  <c r="EO349" i="17"/>
  <c r="EP349" i="17"/>
  <c r="EQ349" i="17"/>
  <c r="ER349" i="17"/>
  <c r="ES349" i="17"/>
  <c r="ET349" i="17"/>
  <c r="EU349" i="17"/>
  <c r="EV349" i="17"/>
  <c r="EW349" i="17"/>
  <c r="EX349" i="17"/>
  <c r="EY349" i="17"/>
  <c r="EZ349" i="17"/>
  <c r="FA349" i="17"/>
  <c r="FB349" i="17"/>
  <c r="FC349" i="17"/>
  <c r="FD349" i="17"/>
  <c r="FE349" i="17"/>
  <c r="FF349" i="17"/>
  <c r="FG349" i="17"/>
  <c r="FH349" i="17"/>
  <c r="FI349" i="17"/>
  <c r="FJ349" i="17"/>
  <c r="FK349" i="17"/>
  <c r="FL349" i="17"/>
  <c r="FM349" i="17"/>
  <c r="FN349" i="17"/>
  <c r="FO349" i="17"/>
  <c r="FP349" i="17"/>
  <c r="FQ349" i="17"/>
  <c r="FR349" i="17"/>
  <c r="FS349" i="17"/>
  <c r="FT349" i="17"/>
  <c r="FU349" i="17"/>
  <c r="FV349" i="17"/>
  <c r="FW349" i="17"/>
  <c r="FX349" i="17"/>
  <c r="FY349" i="17"/>
  <c r="FZ349" i="17"/>
  <c r="GA349" i="17"/>
  <c r="GB349" i="17"/>
  <c r="GC349" i="17"/>
  <c r="GD349" i="17"/>
  <c r="GE349" i="17"/>
  <c r="GF349" i="17"/>
  <c r="GG349" i="17"/>
  <c r="GH349" i="17"/>
  <c r="GI349" i="17"/>
  <c r="GJ349" i="17"/>
  <c r="GK349" i="17"/>
  <c r="GL349" i="17"/>
  <c r="GM349" i="17"/>
  <c r="GN349" i="17"/>
  <c r="GO349" i="17"/>
  <c r="GP349" i="17"/>
  <c r="GQ349" i="17"/>
  <c r="GR349" i="17"/>
  <c r="GS349" i="17"/>
  <c r="GT349" i="17"/>
  <c r="GU349" i="17"/>
  <c r="GV349" i="17"/>
  <c r="GW349" i="17"/>
  <c r="GX349" i="17"/>
  <c r="GY349" i="17"/>
  <c r="GZ349" i="17"/>
  <c r="HA349" i="17"/>
  <c r="HB349" i="17"/>
  <c r="HC349" i="17"/>
  <c r="HD349" i="17"/>
  <c r="HE349" i="17"/>
  <c r="HF349" i="17"/>
  <c r="HG349" i="17"/>
  <c r="HH349" i="17"/>
  <c r="HI349" i="17"/>
  <c r="HJ349" i="17"/>
  <c r="HK349" i="17"/>
  <c r="HL349" i="17"/>
  <c r="HM349" i="17"/>
  <c r="HN349" i="17"/>
  <c r="HO349" i="17"/>
  <c r="HP349" i="17"/>
  <c r="HQ349" i="17"/>
  <c r="HR349" i="17"/>
  <c r="HS349" i="17"/>
  <c r="HT349" i="17"/>
  <c r="HU349" i="17"/>
  <c r="HV349" i="17"/>
  <c r="HW349" i="17"/>
  <c r="HX349" i="17"/>
  <c r="HY349" i="17"/>
  <c r="HZ349" i="17"/>
  <c r="IA349" i="17"/>
  <c r="IB349" i="17"/>
  <c r="IC349" i="17"/>
  <c r="ID349" i="17"/>
  <c r="IE349" i="17"/>
  <c r="IF349" i="17"/>
  <c r="IG349" i="17"/>
  <c r="IH349" i="17"/>
  <c r="II349" i="17"/>
  <c r="IJ349" i="17"/>
  <c r="IK349" i="17"/>
  <c r="IL349" i="17"/>
  <c r="IM349" i="17"/>
  <c r="IN349" i="17"/>
  <c r="IO349" i="17"/>
  <c r="IP349" i="17"/>
  <c r="IQ349" i="17"/>
  <c r="IR349" i="17"/>
  <c r="IS349" i="17"/>
  <c r="IT349" i="17"/>
  <c r="IU349" i="17"/>
  <c r="IV349" i="17"/>
  <c r="U362" i="17"/>
  <c r="V364" i="17"/>
  <c r="U389" i="17"/>
  <c r="V391" i="17"/>
  <c r="W393" i="17"/>
  <c r="N199" i="1"/>
  <c r="I199" i="1"/>
  <c r="H199" i="1"/>
  <c r="G199" i="1"/>
  <c r="F199" i="1"/>
  <c r="N203" i="1"/>
  <c r="I203" i="1"/>
  <c r="H203" i="1"/>
  <c r="G203" i="1"/>
  <c r="F203" i="1"/>
  <c r="E203" i="1"/>
  <c r="N206" i="1"/>
  <c r="I206" i="1"/>
  <c r="H206" i="1"/>
  <c r="G206" i="1"/>
  <c r="F206" i="1"/>
  <c r="M14" i="1"/>
  <c r="N14" i="1"/>
  <c r="M16" i="1"/>
  <c r="N16" i="1" s="1"/>
  <c r="M17" i="1"/>
  <c r="C348" i="17"/>
  <c r="D348" i="17"/>
  <c r="E348" i="17"/>
  <c r="A347" i="17"/>
  <c r="B347" i="17"/>
  <c r="C347" i="17"/>
  <c r="D347" i="17"/>
  <c r="E347" i="17"/>
  <c r="F347" i="17"/>
  <c r="G347" i="17"/>
  <c r="H347" i="17"/>
  <c r="I347" i="17"/>
  <c r="J347" i="17"/>
  <c r="K347" i="17"/>
  <c r="N347" i="17"/>
  <c r="O347" i="17"/>
  <c r="P347" i="17"/>
  <c r="A346" i="17"/>
  <c r="B346" i="17"/>
  <c r="C346" i="17"/>
  <c r="D346" i="17"/>
  <c r="E346" i="17"/>
  <c r="F346" i="17"/>
  <c r="G346" i="17"/>
  <c r="H346" i="17"/>
  <c r="I346" i="17"/>
  <c r="J346" i="17"/>
  <c r="K346" i="17"/>
  <c r="L346" i="17"/>
  <c r="M346" i="17"/>
  <c r="N346" i="17"/>
  <c r="O346" i="17"/>
  <c r="P346" i="17"/>
  <c r="Q346" i="17"/>
  <c r="R346" i="17"/>
  <c r="S346" i="17"/>
  <c r="T346" i="17"/>
  <c r="U346" i="17"/>
  <c r="V346" i="17"/>
  <c r="W346" i="17"/>
  <c r="X346" i="17"/>
  <c r="Y346" i="17"/>
  <c r="Z346" i="17"/>
  <c r="AA346" i="17"/>
  <c r="AB346" i="17"/>
  <c r="AC346" i="17"/>
  <c r="AD346" i="17"/>
  <c r="AE346" i="17"/>
  <c r="AF346" i="17"/>
  <c r="AG346" i="17"/>
  <c r="AH346" i="17"/>
  <c r="AI346" i="17"/>
  <c r="AJ346" i="17"/>
  <c r="AK346" i="17"/>
  <c r="AL346" i="17"/>
  <c r="AM346" i="17"/>
  <c r="AN346" i="17"/>
  <c r="AO346" i="17"/>
  <c r="AP346" i="17"/>
  <c r="AQ346" i="17"/>
  <c r="AR346" i="17"/>
  <c r="AS346" i="17"/>
  <c r="AT346" i="17"/>
  <c r="AU346" i="17"/>
  <c r="AV346" i="17"/>
  <c r="AW346" i="17"/>
  <c r="AX346" i="17"/>
  <c r="AY346" i="17"/>
  <c r="AZ346" i="17"/>
  <c r="BA346" i="17"/>
  <c r="BB346" i="17"/>
  <c r="BC346" i="17"/>
  <c r="BD346" i="17"/>
  <c r="BE346" i="17"/>
  <c r="BF346" i="17"/>
  <c r="BG346" i="17"/>
  <c r="BH346" i="17"/>
  <c r="BI346" i="17"/>
  <c r="BJ346" i="17"/>
  <c r="BK346" i="17"/>
  <c r="BL346" i="17"/>
  <c r="BM346" i="17"/>
  <c r="BN346" i="17"/>
  <c r="BO346" i="17"/>
  <c r="BP346" i="17"/>
  <c r="BQ346" i="17"/>
  <c r="BR346" i="17"/>
  <c r="BS346" i="17"/>
  <c r="BT346" i="17"/>
  <c r="BU346" i="17"/>
  <c r="BV346" i="17"/>
  <c r="BW346" i="17"/>
  <c r="BX346" i="17"/>
  <c r="BY346" i="17"/>
  <c r="BZ346" i="17"/>
  <c r="CA346" i="17"/>
  <c r="CB346" i="17"/>
  <c r="CC346" i="17"/>
  <c r="CD346" i="17"/>
  <c r="CE346" i="17"/>
  <c r="CF346" i="17"/>
  <c r="CG346" i="17"/>
  <c r="CH346" i="17"/>
  <c r="CI346" i="17"/>
  <c r="CJ346" i="17"/>
  <c r="CK346" i="17"/>
  <c r="CL346" i="17"/>
  <c r="CM346" i="17"/>
  <c r="CN346" i="17"/>
  <c r="CO346" i="17"/>
  <c r="CP346" i="17"/>
  <c r="CQ346" i="17"/>
  <c r="CR346" i="17"/>
  <c r="CS346" i="17"/>
  <c r="CT346" i="17"/>
  <c r="CU346" i="17"/>
  <c r="CV346" i="17"/>
  <c r="CW346" i="17"/>
  <c r="CX346" i="17"/>
  <c r="CY346" i="17"/>
  <c r="CZ346" i="17"/>
  <c r="DA346" i="17"/>
  <c r="DB346" i="17"/>
  <c r="DC346" i="17"/>
  <c r="DD346" i="17"/>
  <c r="DE346" i="17"/>
  <c r="DF346" i="17"/>
  <c r="DG346" i="17"/>
  <c r="DH346" i="17"/>
  <c r="DI346" i="17"/>
  <c r="DJ346" i="17"/>
  <c r="DK346" i="17"/>
  <c r="DL346" i="17"/>
  <c r="DM346" i="17"/>
  <c r="DN346" i="17"/>
  <c r="DO346" i="17"/>
  <c r="DP346" i="17"/>
  <c r="DQ346" i="17"/>
  <c r="DR346" i="17"/>
  <c r="DS346" i="17"/>
  <c r="DT346" i="17"/>
  <c r="DU346" i="17"/>
  <c r="DV346" i="17"/>
  <c r="DW346" i="17"/>
  <c r="DX346" i="17"/>
  <c r="DY346" i="17"/>
  <c r="DZ346" i="17"/>
  <c r="EA346" i="17"/>
  <c r="EB346" i="17"/>
  <c r="EC346" i="17"/>
  <c r="ED346" i="17"/>
  <c r="EE346" i="17"/>
  <c r="EF346" i="17"/>
  <c r="EG346" i="17"/>
  <c r="EH346" i="17"/>
  <c r="EI346" i="17"/>
  <c r="EJ346" i="17"/>
  <c r="EK346" i="17"/>
  <c r="EL346" i="17"/>
  <c r="EM346" i="17"/>
  <c r="EN346" i="17"/>
  <c r="EO346" i="17"/>
  <c r="EP346" i="17"/>
  <c r="EQ346" i="17"/>
  <c r="ER346" i="17"/>
  <c r="ES346" i="17"/>
  <c r="ET346" i="17"/>
  <c r="EU346" i="17"/>
  <c r="EV346" i="17"/>
  <c r="EW346" i="17"/>
  <c r="EX346" i="17"/>
  <c r="EY346" i="17"/>
  <c r="EZ346" i="17"/>
  <c r="FA346" i="17"/>
  <c r="FB346" i="17"/>
  <c r="FC346" i="17"/>
  <c r="FD346" i="17"/>
  <c r="FE346" i="17"/>
  <c r="FF346" i="17"/>
  <c r="FG346" i="17"/>
  <c r="FH346" i="17"/>
  <c r="FI346" i="17"/>
  <c r="FJ346" i="17"/>
  <c r="FK346" i="17"/>
  <c r="FL346" i="17"/>
  <c r="FM346" i="17"/>
  <c r="FN346" i="17"/>
  <c r="FO346" i="17"/>
  <c r="FP346" i="17"/>
  <c r="FQ346" i="17"/>
  <c r="FR346" i="17"/>
  <c r="FS346" i="17"/>
  <c r="FT346" i="17"/>
  <c r="FU346" i="17"/>
  <c r="FV346" i="17"/>
  <c r="FW346" i="17"/>
  <c r="FX346" i="17"/>
  <c r="FY346" i="17"/>
  <c r="FZ346" i="17"/>
  <c r="GA346" i="17"/>
  <c r="GB346" i="17"/>
  <c r="GC346" i="17"/>
  <c r="GD346" i="17"/>
  <c r="GE346" i="17"/>
  <c r="GF346" i="17"/>
  <c r="GG346" i="17"/>
  <c r="GH346" i="17"/>
  <c r="GI346" i="17"/>
  <c r="GJ346" i="17"/>
  <c r="GK346" i="17"/>
  <c r="GL346" i="17"/>
  <c r="GM346" i="17"/>
  <c r="GN346" i="17"/>
  <c r="GO346" i="17"/>
  <c r="GP346" i="17"/>
  <c r="GQ346" i="17"/>
  <c r="GR346" i="17"/>
  <c r="GS346" i="17"/>
  <c r="GT346" i="17"/>
  <c r="GU346" i="17"/>
  <c r="GV346" i="17"/>
  <c r="GW346" i="17"/>
  <c r="GX346" i="17"/>
  <c r="GY346" i="17"/>
  <c r="GZ346" i="17"/>
  <c r="HA346" i="17"/>
  <c r="HB346" i="17"/>
  <c r="HC346" i="17"/>
  <c r="HD346" i="17"/>
  <c r="HE346" i="17"/>
  <c r="HF346" i="17"/>
  <c r="HG346" i="17"/>
  <c r="HH346" i="17"/>
  <c r="HI346" i="17"/>
  <c r="HJ346" i="17"/>
  <c r="HK346" i="17"/>
  <c r="HL346" i="17"/>
  <c r="HM346" i="17"/>
  <c r="HN346" i="17"/>
  <c r="HO346" i="17"/>
  <c r="HP346" i="17"/>
  <c r="HQ346" i="17"/>
  <c r="HR346" i="17"/>
  <c r="HS346" i="17"/>
  <c r="HT346" i="17"/>
  <c r="HU346" i="17"/>
  <c r="HV346" i="17"/>
  <c r="HW346" i="17"/>
  <c r="HX346" i="17"/>
  <c r="HY346" i="17"/>
  <c r="HZ346" i="17"/>
  <c r="IA346" i="17"/>
  <c r="IB346" i="17"/>
  <c r="IC346" i="17"/>
  <c r="ID346" i="17"/>
  <c r="IE346" i="17"/>
  <c r="IF346" i="17"/>
  <c r="IG346" i="17"/>
  <c r="IH346" i="17"/>
  <c r="II346" i="17"/>
  <c r="IJ346" i="17"/>
  <c r="IK346" i="17"/>
  <c r="IL346" i="17"/>
  <c r="IM346" i="17"/>
  <c r="IN346" i="17"/>
  <c r="IO346" i="17"/>
  <c r="IP346" i="17"/>
  <c r="IQ346" i="17"/>
  <c r="IR346" i="17"/>
  <c r="IS346" i="17"/>
  <c r="IT346" i="17"/>
  <c r="IU346" i="17"/>
  <c r="IV346" i="17"/>
  <c r="A345" i="17"/>
  <c r="B345" i="17"/>
  <c r="C345" i="17"/>
  <c r="D345" i="17"/>
  <c r="E345" i="17"/>
  <c r="F345" i="17"/>
  <c r="G345" i="17"/>
  <c r="H345" i="17"/>
  <c r="I345" i="17"/>
  <c r="J345" i="17"/>
  <c r="K345" i="17"/>
  <c r="L345" i="17"/>
  <c r="M345" i="17"/>
  <c r="N345" i="17"/>
  <c r="O345" i="17"/>
  <c r="P345" i="17"/>
  <c r="Q345" i="17"/>
  <c r="R345" i="17"/>
  <c r="S345" i="17"/>
  <c r="T345" i="17"/>
  <c r="U345" i="17"/>
  <c r="V345" i="17"/>
  <c r="W345" i="17"/>
  <c r="X345" i="17"/>
  <c r="Y345" i="17"/>
  <c r="Z345" i="17"/>
  <c r="AA345" i="17"/>
  <c r="AB345" i="17"/>
  <c r="AC345" i="17"/>
  <c r="AD345" i="17"/>
  <c r="AE345" i="17"/>
  <c r="AF345" i="17"/>
  <c r="AG345" i="17"/>
  <c r="AH345" i="17"/>
  <c r="AI345" i="17"/>
  <c r="AJ345" i="17"/>
  <c r="AK345" i="17"/>
  <c r="AL345" i="17"/>
  <c r="AM345" i="17"/>
  <c r="AN345" i="17"/>
  <c r="AO345" i="17"/>
  <c r="AP345" i="17"/>
  <c r="AQ345" i="17"/>
  <c r="AR345" i="17"/>
  <c r="AS345" i="17"/>
  <c r="AT345" i="17"/>
  <c r="AU345" i="17"/>
  <c r="AV345" i="17"/>
  <c r="AW345" i="17"/>
  <c r="AX345" i="17"/>
  <c r="AY345" i="17"/>
  <c r="AZ345" i="17"/>
  <c r="BA345" i="17"/>
  <c r="BB345" i="17"/>
  <c r="BC345" i="17"/>
  <c r="BD345" i="17"/>
  <c r="BE345" i="17"/>
  <c r="BF345" i="17"/>
  <c r="BG345" i="17"/>
  <c r="BH345" i="17"/>
  <c r="BI345" i="17"/>
  <c r="BJ345" i="17"/>
  <c r="BK345" i="17"/>
  <c r="BL345" i="17"/>
  <c r="BM345" i="17"/>
  <c r="BN345" i="17"/>
  <c r="BO345" i="17"/>
  <c r="BP345" i="17"/>
  <c r="BQ345" i="17"/>
  <c r="BR345" i="17"/>
  <c r="BS345" i="17"/>
  <c r="BT345" i="17"/>
  <c r="BU345" i="17"/>
  <c r="BV345" i="17"/>
  <c r="BW345" i="17"/>
  <c r="BX345" i="17"/>
  <c r="BY345" i="17"/>
  <c r="BZ345" i="17"/>
  <c r="CA345" i="17"/>
  <c r="CB345" i="17"/>
  <c r="CC345" i="17"/>
  <c r="CD345" i="17"/>
  <c r="CE345" i="17"/>
  <c r="CF345" i="17"/>
  <c r="CG345" i="17"/>
  <c r="CH345" i="17"/>
  <c r="CI345" i="17"/>
  <c r="CJ345" i="17"/>
  <c r="CK345" i="17"/>
  <c r="CL345" i="17"/>
  <c r="CM345" i="17"/>
  <c r="CN345" i="17"/>
  <c r="CO345" i="17"/>
  <c r="CP345" i="17"/>
  <c r="CQ345" i="17"/>
  <c r="CR345" i="17"/>
  <c r="CS345" i="17"/>
  <c r="CT345" i="17"/>
  <c r="CU345" i="17"/>
  <c r="CV345" i="17"/>
  <c r="CW345" i="17"/>
  <c r="CX345" i="17"/>
  <c r="CY345" i="17"/>
  <c r="CZ345" i="17"/>
  <c r="DA345" i="17"/>
  <c r="DB345" i="17"/>
  <c r="DC345" i="17"/>
  <c r="DD345" i="17"/>
  <c r="DE345" i="17"/>
  <c r="DF345" i="17"/>
  <c r="DG345" i="17"/>
  <c r="DH345" i="17"/>
  <c r="DI345" i="17"/>
  <c r="DJ345" i="17"/>
  <c r="DK345" i="17"/>
  <c r="DL345" i="17"/>
  <c r="DM345" i="17"/>
  <c r="DN345" i="17"/>
  <c r="DO345" i="17"/>
  <c r="DP345" i="17"/>
  <c r="DQ345" i="17"/>
  <c r="DR345" i="17"/>
  <c r="DS345" i="17"/>
  <c r="DT345" i="17"/>
  <c r="DU345" i="17"/>
  <c r="DV345" i="17"/>
  <c r="DW345" i="17"/>
  <c r="DX345" i="17"/>
  <c r="DY345" i="17"/>
  <c r="DZ345" i="17"/>
  <c r="EA345" i="17"/>
  <c r="EB345" i="17"/>
  <c r="EC345" i="17"/>
  <c r="ED345" i="17"/>
  <c r="EE345" i="17"/>
  <c r="EF345" i="17"/>
  <c r="EG345" i="17"/>
  <c r="EH345" i="17"/>
  <c r="EI345" i="17"/>
  <c r="EJ345" i="17"/>
  <c r="EK345" i="17"/>
  <c r="EL345" i="17"/>
  <c r="EM345" i="17"/>
  <c r="EN345" i="17"/>
  <c r="EO345" i="17"/>
  <c r="EP345" i="17"/>
  <c r="EQ345" i="17"/>
  <c r="ER345" i="17"/>
  <c r="ES345" i="17"/>
  <c r="ET345" i="17"/>
  <c r="EU345" i="17"/>
  <c r="EV345" i="17"/>
  <c r="EW345" i="17"/>
  <c r="EX345" i="17"/>
  <c r="EY345" i="17"/>
  <c r="EZ345" i="17"/>
  <c r="FA345" i="17"/>
  <c r="FB345" i="17"/>
  <c r="FC345" i="17"/>
  <c r="FD345" i="17"/>
  <c r="FE345" i="17"/>
  <c r="FF345" i="17"/>
  <c r="FG345" i="17"/>
  <c r="FH345" i="17"/>
  <c r="FI345" i="17"/>
  <c r="FJ345" i="17"/>
  <c r="FK345" i="17"/>
  <c r="FL345" i="17"/>
  <c r="FM345" i="17"/>
  <c r="FN345" i="17"/>
  <c r="FO345" i="17"/>
  <c r="FP345" i="17"/>
  <c r="FQ345" i="17"/>
  <c r="FR345" i="17"/>
  <c r="FS345" i="17"/>
  <c r="FT345" i="17"/>
  <c r="FU345" i="17"/>
  <c r="FV345" i="17"/>
  <c r="FW345" i="17"/>
  <c r="FX345" i="17"/>
  <c r="FY345" i="17"/>
  <c r="FZ345" i="17"/>
  <c r="GA345" i="17"/>
  <c r="GB345" i="17"/>
  <c r="GC345" i="17"/>
  <c r="GD345" i="17"/>
  <c r="GE345" i="17"/>
  <c r="GF345" i="17"/>
  <c r="GG345" i="17"/>
  <c r="GH345" i="17"/>
  <c r="GI345" i="17"/>
  <c r="GJ345" i="17"/>
  <c r="GK345" i="17"/>
  <c r="GL345" i="17"/>
  <c r="GM345" i="17"/>
  <c r="GN345" i="17"/>
  <c r="GO345" i="17"/>
  <c r="GP345" i="17"/>
  <c r="GQ345" i="17"/>
  <c r="GR345" i="17"/>
  <c r="GS345" i="17"/>
  <c r="GT345" i="17"/>
  <c r="GU345" i="17"/>
  <c r="GV345" i="17"/>
  <c r="GW345" i="17"/>
  <c r="GX345" i="17"/>
  <c r="GY345" i="17"/>
  <c r="GZ345" i="17"/>
  <c r="HA345" i="17"/>
  <c r="HB345" i="17"/>
  <c r="HC345" i="17"/>
  <c r="HD345" i="17"/>
  <c r="HE345" i="17"/>
  <c r="HF345" i="17"/>
  <c r="HG345" i="17"/>
  <c r="HH345" i="17"/>
  <c r="HI345" i="17"/>
  <c r="HJ345" i="17"/>
  <c r="HK345" i="17"/>
  <c r="HL345" i="17"/>
  <c r="HM345" i="17"/>
  <c r="HN345" i="17"/>
  <c r="HO345" i="17"/>
  <c r="HP345" i="17"/>
  <c r="HQ345" i="17"/>
  <c r="HR345" i="17"/>
  <c r="HS345" i="17"/>
  <c r="HT345" i="17"/>
  <c r="HU345" i="17"/>
  <c r="HV345" i="17"/>
  <c r="HW345" i="17"/>
  <c r="HX345" i="17"/>
  <c r="HY345" i="17"/>
  <c r="HZ345" i="17"/>
  <c r="IA345" i="17"/>
  <c r="IB345" i="17"/>
  <c r="IC345" i="17"/>
  <c r="ID345" i="17"/>
  <c r="IE345" i="17"/>
  <c r="IF345" i="17"/>
  <c r="IG345" i="17"/>
  <c r="IH345" i="17"/>
  <c r="II345" i="17"/>
  <c r="IJ345" i="17"/>
  <c r="IK345" i="17"/>
  <c r="IL345" i="17"/>
  <c r="IM345" i="17"/>
  <c r="IN345" i="17"/>
  <c r="IO345" i="17"/>
  <c r="IP345" i="17"/>
  <c r="IQ345" i="17"/>
  <c r="IR345" i="17"/>
  <c r="IS345" i="17"/>
  <c r="IT345" i="17"/>
  <c r="IU345" i="17"/>
  <c r="IV345" i="17"/>
  <c r="A344" i="17"/>
  <c r="B344" i="17"/>
  <c r="C344" i="17"/>
  <c r="D344" i="17"/>
  <c r="E344" i="17"/>
  <c r="F344" i="17"/>
  <c r="G344" i="17"/>
  <c r="H344" i="17"/>
  <c r="I344" i="17"/>
  <c r="J344" i="17"/>
  <c r="K344" i="17"/>
  <c r="L344" i="17"/>
  <c r="M344" i="17"/>
  <c r="N344" i="17"/>
  <c r="O344" i="17"/>
  <c r="P344" i="17"/>
  <c r="Q344" i="17"/>
  <c r="R344" i="17"/>
  <c r="S344" i="17"/>
  <c r="T344" i="17"/>
  <c r="U344" i="17"/>
  <c r="V344" i="17"/>
  <c r="W344" i="17"/>
  <c r="X344" i="17"/>
  <c r="Y344" i="17"/>
  <c r="Z344" i="17"/>
  <c r="AA344" i="17"/>
  <c r="AB344" i="17"/>
  <c r="AC344" i="17"/>
  <c r="AD344" i="17"/>
  <c r="AE344" i="17"/>
  <c r="AF344" i="17"/>
  <c r="AG344" i="17"/>
  <c r="AH344" i="17"/>
  <c r="AI344" i="17"/>
  <c r="AJ344" i="17"/>
  <c r="AK344" i="17"/>
  <c r="AL344" i="17"/>
  <c r="AM344" i="17"/>
  <c r="AN344" i="17"/>
  <c r="AO344" i="17"/>
  <c r="AP344" i="17"/>
  <c r="AQ344" i="17"/>
  <c r="AR344" i="17"/>
  <c r="AS344" i="17"/>
  <c r="AT344" i="17"/>
  <c r="AU344" i="17"/>
  <c r="AV344" i="17"/>
  <c r="AW344" i="17"/>
  <c r="AX344" i="17"/>
  <c r="AY344" i="17"/>
  <c r="AZ344" i="17"/>
  <c r="BA344" i="17"/>
  <c r="BB344" i="17"/>
  <c r="BC344" i="17"/>
  <c r="BD344" i="17"/>
  <c r="BE344" i="17"/>
  <c r="BF344" i="17"/>
  <c r="BG344" i="17"/>
  <c r="BH344" i="17"/>
  <c r="BI344" i="17"/>
  <c r="BJ344" i="17"/>
  <c r="BK344" i="17"/>
  <c r="BL344" i="17"/>
  <c r="BM344" i="17"/>
  <c r="BN344" i="17"/>
  <c r="BO344" i="17"/>
  <c r="BP344" i="17"/>
  <c r="BQ344" i="17"/>
  <c r="BR344" i="17"/>
  <c r="BS344" i="17"/>
  <c r="BT344" i="17"/>
  <c r="BU344" i="17"/>
  <c r="BV344" i="17"/>
  <c r="BW344" i="17"/>
  <c r="BX344" i="17"/>
  <c r="BY344" i="17"/>
  <c r="BZ344" i="17"/>
  <c r="CA344" i="17"/>
  <c r="CB344" i="17"/>
  <c r="CC344" i="17"/>
  <c r="CD344" i="17"/>
  <c r="CE344" i="17"/>
  <c r="CF344" i="17"/>
  <c r="CG344" i="17"/>
  <c r="CH344" i="17"/>
  <c r="CI344" i="17"/>
  <c r="CJ344" i="17"/>
  <c r="CK344" i="17"/>
  <c r="CL344" i="17"/>
  <c r="CM344" i="17"/>
  <c r="CN344" i="17"/>
  <c r="CO344" i="17"/>
  <c r="CP344" i="17"/>
  <c r="CQ344" i="17"/>
  <c r="CR344" i="17"/>
  <c r="CS344" i="17"/>
  <c r="CT344" i="17"/>
  <c r="CU344" i="17"/>
  <c r="CV344" i="17"/>
  <c r="CW344" i="17"/>
  <c r="CX344" i="17"/>
  <c r="CY344" i="17"/>
  <c r="CZ344" i="17"/>
  <c r="DA344" i="17"/>
  <c r="DB344" i="17"/>
  <c r="DC344" i="17"/>
  <c r="DD344" i="17"/>
  <c r="DE344" i="17"/>
  <c r="DF344" i="17"/>
  <c r="DG344" i="17"/>
  <c r="DH344" i="17"/>
  <c r="DI344" i="17"/>
  <c r="DJ344" i="17"/>
  <c r="DK344" i="17"/>
  <c r="DL344" i="17"/>
  <c r="DM344" i="17"/>
  <c r="DN344" i="17"/>
  <c r="DO344" i="17"/>
  <c r="DP344" i="17"/>
  <c r="DQ344" i="17"/>
  <c r="DR344" i="17"/>
  <c r="DS344" i="17"/>
  <c r="DT344" i="17"/>
  <c r="DU344" i="17"/>
  <c r="DV344" i="17"/>
  <c r="DW344" i="17"/>
  <c r="DX344" i="17"/>
  <c r="DY344" i="17"/>
  <c r="DZ344" i="17"/>
  <c r="EA344" i="17"/>
  <c r="EB344" i="17"/>
  <c r="EC344" i="17"/>
  <c r="ED344" i="17"/>
  <c r="EE344" i="17"/>
  <c r="EF344" i="17"/>
  <c r="EG344" i="17"/>
  <c r="EH344" i="17"/>
  <c r="EI344" i="17"/>
  <c r="EJ344" i="17"/>
  <c r="EK344" i="17"/>
  <c r="EL344" i="17"/>
  <c r="EM344" i="17"/>
  <c r="EN344" i="17"/>
  <c r="EO344" i="17"/>
  <c r="EP344" i="17"/>
  <c r="EQ344" i="17"/>
  <c r="ER344" i="17"/>
  <c r="ES344" i="17"/>
  <c r="ET344" i="17"/>
  <c r="EU344" i="17"/>
  <c r="EV344" i="17"/>
  <c r="EW344" i="17"/>
  <c r="EX344" i="17"/>
  <c r="EY344" i="17"/>
  <c r="EZ344" i="17"/>
  <c r="FA344" i="17"/>
  <c r="FB344" i="17"/>
  <c r="FC344" i="17"/>
  <c r="FD344" i="17"/>
  <c r="FE344" i="17"/>
  <c r="FF344" i="17"/>
  <c r="FG344" i="17"/>
  <c r="FH344" i="17"/>
  <c r="FI344" i="17"/>
  <c r="FJ344" i="17"/>
  <c r="FK344" i="17"/>
  <c r="FL344" i="17"/>
  <c r="FM344" i="17"/>
  <c r="FN344" i="17"/>
  <c r="FO344" i="17"/>
  <c r="FP344" i="17"/>
  <c r="FQ344" i="17"/>
  <c r="FR344" i="17"/>
  <c r="FS344" i="17"/>
  <c r="FT344" i="17"/>
  <c r="FU344" i="17"/>
  <c r="FV344" i="17"/>
  <c r="FW344" i="17"/>
  <c r="FX344" i="17"/>
  <c r="FY344" i="17"/>
  <c r="FZ344" i="17"/>
  <c r="GA344" i="17"/>
  <c r="GB344" i="17"/>
  <c r="GC344" i="17"/>
  <c r="GD344" i="17"/>
  <c r="GE344" i="17"/>
  <c r="GF344" i="17"/>
  <c r="GG344" i="17"/>
  <c r="GH344" i="17"/>
  <c r="GI344" i="17"/>
  <c r="GJ344" i="17"/>
  <c r="GK344" i="17"/>
  <c r="GL344" i="17"/>
  <c r="GM344" i="17"/>
  <c r="GN344" i="17"/>
  <c r="GO344" i="17"/>
  <c r="GP344" i="17"/>
  <c r="GQ344" i="17"/>
  <c r="GR344" i="17"/>
  <c r="GS344" i="17"/>
  <c r="GT344" i="17"/>
  <c r="GU344" i="17"/>
  <c r="GV344" i="17"/>
  <c r="GW344" i="17"/>
  <c r="GX344" i="17"/>
  <c r="GY344" i="17"/>
  <c r="GZ344" i="17"/>
  <c r="HA344" i="17"/>
  <c r="HB344" i="17"/>
  <c r="HC344" i="17"/>
  <c r="HD344" i="17"/>
  <c r="HE344" i="17"/>
  <c r="HF344" i="17"/>
  <c r="HG344" i="17"/>
  <c r="HH344" i="17"/>
  <c r="HI344" i="17"/>
  <c r="HJ344" i="17"/>
  <c r="HK344" i="17"/>
  <c r="HL344" i="17"/>
  <c r="HM344" i="17"/>
  <c r="HN344" i="17"/>
  <c r="HO344" i="17"/>
  <c r="HP344" i="17"/>
  <c r="HQ344" i="17"/>
  <c r="HR344" i="17"/>
  <c r="HS344" i="17"/>
  <c r="HT344" i="17"/>
  <c r="HU344" i="17"/>
  <c r="HV344" i="17"/>
  <c r="HW344" i="17"/>
  <c r="HX344" i="17"/>
  <c r="HY344" i="17"/>
  <c r="HZ344" i="17"/>
  <c r="IA344" i="17"/>
  <c r="IB344" i="17"/>
  <c r="IC344" i="17"/>
  <c r="ID344" i="17"/>
  <c r="IE344" i="17"/>
  <c r="IF344" i="17"/>
  <c r="IG344" i="17"/>
  <c r="IH344" i="17"/>
  <c r="II344" i="17"/>
  <c r="IJ344" i="17"/>
  <c r="IK344" i="17"/>
  <c r="IL344" i="17"/>
  <c r="IM344" i="17"/>
  <c r="IN344" i="17"/>
  <c r="IO344" i="17"/>
  <c r="IP344" i="17"/>
  <c r="IQ344" i="17"/>
  <c r="IR344" i="17"/>
  <c r="IS344" i="17"/>
  <c r="IT344" i="17"/>
  <c r="IU344" i="17"/>
  <c r="IV344" i="17"/>
  <c r="A343" i="17"/>
  <c r="B343" i="17"/>
  <c r="C343" i="17"/>
  <c r="D343" i="17"/>
  <c r="E343" i="17"/>
  <c r="F343" i="17"/>
  <c r="G343" i="17"/>
  <c r="H343" i="17"/>
  <c r="I343" i="17"/>
  <c r="J343" i="17"/>
  <c r="K343" i="17"/>
  <c r="L343" i="17"/>
  <c r="M343" i="17"/>
  <c r="N343" i="17"/>
  <c r="O343" i="17"/>
  <c r="P343" i="17"/>
  <c r="Q343" i="17"/>
  <c r="R343" i="17"/>
  <c r="S343" i="17"/>
  <c r="T343" i="17"/>
  <c r="U343" i="17"/>
  <c r="V343" i="17"/>
  <c r="W343" i="17"/>
  <c r="X343" i="17"/>
  <c r="Y343" i="17"/>
  <c r="Z343" i="17"/>
  <c r="AA343" i="17"/>
  <c r="AB343" i="17"/>
  <c r="AC343" i="17"/>
  <c r="AD343" i="17"/>
  <c r="AE343" i="17"/>
  <c r="AF343" i="17"/>
  <c r="AG343" i="17"/>
  <c r="AH343" i="17"/>
  <c r="AI343" i="17"/>
  <c r="AJ343" i="17"/>
  <c r="AK343" i="17"/>
  <c r="AL343" i="17"/>
  <c r="AM343" i="17"/>
  <c r="AN343" i="17"/>
  <c r="AO343" i="17"/>
  <c r="AP343" i="17"/>
  <c r="AQ343" i="17"/>
  <c r="AR343" i="17"/>
  <c r="AS343" i="17"/>
  <c r="AT343" i="17"/>
  <c r="AU343" i="17"/>
  <c r="AV343" i="17"/>
  <c r="AW343" i="17"/>
  <c r="AX343" i="17"/>
  <c r="AY343" i="17"/>
  <c r="AZ343" i="17"/>
  <c r="BA343" i="17"/>
  <c r="BB343" i="17"/>
  <c r="BC343" i="17"/>
  <c r="BD343" i="17"/>
  <c r="BE343" i="17"/>
  <c r="BF343" i="17"/>
  <c r="BG343" i="17"/>
  <c r="BH343" i="17"/>
  <c r="BI343" i="17"/>
  <c r="BJ343" i="17"/>
  <c r="BK343" i="17"/>
  <c r="BL343" i="17"/>
  <c r="BM343" i="17"/>
  <c r="BN343" i="17"/>
  <c r="BO343" i="17"/>
  <c r="BP343" i="17"/>
  <c r="BQ343" i="17"/>
  <c r="BR343" i="17"/>
  <c r="BS343" i="17"/>
  <c r="BT343" i="17"/>
  <c r="BU343" i="17"/>
  <c r="BV343" i="17"/>
  <c r="BW343" i="17"/>
  <c r="BX343" i="17"/>
  <c r="BY343" i="17"/>
  <c r="BZ343" i="17"/>
  <c r="CA343" i="17"/>
  <c r="CB343" i="17"/>
  <c r="CC343" i="17"/>
  <c r="CD343" i="17"/>
  <c r="CE343" i="17"/>
  <c r="CF343" i="17"/>
  <c r="CG343" i="17"/>
  <c r="CH343" i="17"/>
  <c r="CI343" i="17"/>
  <c r="CJ343" i="17"/>
  <c r="CK343" i="17"/>
  <c r="CL343" i="17"/>
  <c r="CM343" i="17"/>
  <c r="CN343" i="17"/>
  <c r="CO343" i="17"/>
  <c r="CP343" i="17"/>
  <c r="CQ343" i="17"/>
  <c r="CR343" i="17"/>
  <c r="CS343" i="17"/>
  <c r="CT343" i="17"/>
  <c r="CU343" i="17"/>
  <c r="CV343" i="17"/>
  <c r="CW343" i="17"/>
  <c r="CX343" i="17"/>
  <c r="CY343" i="17"/>
  <c r="CZ343" i="17"/>
  <c r="DA343" i="17"/>
  <c r="DB343" i="17"/>
  <c r="DC343" i="17"/>
  <c r="DD343" i="17"/>
  <c r="DE343" i="17"/>
  <c r="DF343" i="17"/>
  <c r="DG343" i="17"/>
  <c r="DH343" i="17"/>
  <c r="DI343" i="17"/>
  <c r="DJ343" i="17"/>
  <c r="DK343" i="17"/>
  <c r="DL343" i="17"/>
  <c r="DM343" i="17"/>
  <c r="DN343" i="17"/>
  <c r="DO343" i="17"/>
  <c r="DP343" i="17"/>
  <c r="DQ343" i="17"/>
  <c r="DR343" i="17"/>
  <c r="DS343" i="17"/>
  <c r="DT343" i="17"/>
  <c r="DU343" i="17"/>
  <c r="DV343" i="17"/>
  <c r="DW343" i="17"/>
  <c r="DX343" i="17"/>
  <c r="DY343" i="17"/>
  <c r="DZ343" i="17"/>
  <c r="EA343" i="17"/>
  <c r="EB343" i="17"/>
  <c r="EC343" i="17"/>
  <c r="ED343" i="17"/>
  <c r="EE343" i="17"/>
  <c r="EF343" i="17"/>
  <c r="EG343" i="17"/>
  <c r="EH343" i="17"/>
  <c r="EI343" i="17"/>
  <c r="EJ343" i="17"/>
  <c r="EK343" i="17"/>
  <c r="EL343" i="17"/>
  <c r="EM343" i="17"/>
  <c r="EN343" i="17"/>
  <c r="EO343" i="17"/>
  <c r="EP343" i="17"/>
  <c r="EQ343" i="17"/>
  <c r="ER343" i="17"/>
  <c r="ES343" i="17"/>
  <c r="ET343" i="17"/>
  <c r="EU343" i="17"/>
  <c r="EV343" i="17"/>
  <c r="EW343" i="17"/>
  <c r="EX343" i="17"/>
  <c r="EY343" i="17"/>
  <c r="EZ343" i="17"/>
  <c r="FA343" i="17"/>
  <c r="FB343" i="17"/>
  <c r="FC343" i="17"/>
  <c r="FD343" i="17"/>
  <c r="FE343" i="17"/>
  <c r="FF343" i="17"/>
  <c r="FG343" i="17"/>
  <c r="FH343" i="17"/>
  <c r="FI343" i="17"/>
  <c r="FJ343" i="17"/>
  <c r="FK343" i="17"/>
  <c r="FL343" i="17"/>
  <c r="FM343" i="17"/>
  <c r="FN343" i="17"/>
  <c r="FO343" i="17"/>
  <c r="FP343" i="17"/>
  <c r="FQ343" i="17"/>
  <c r="FR343" i="17"/>
  <c r="FS343" i="17"/>
  <c r="FT343" i="17"/>
  <c r="FU343" i="17"/>
  <c r="FV343" i="17"/>
  <c r="FW343" i="17"/>
  <c r="FX343" i="17"/>
  <c r="FY343" i="17"/>
  <c r="FZ343" i="17"/>
  <c r="GA343" i="17"/>
  <c r="GB343" i="17"/>
  <c r="GC343" i="17"/>
  <c r="GD343" i="17"/>
  <c r="GE343" i="17"/>
  <c r="GF343" i="17"/>
  <c r="GG343" i="17"/>
  <c r="GH343" i="17"/>
  <c r="GI343" i="17"/>
  <c r="GJ343" i="17"/>
  <c r="GK343" i="17"/>
  <c r="GL343" i="17"/>
  <c r="GM343" i="17"/>
  <c r="GN343" i="17"/>
  <c r="GO343" i="17"/>
  <c r="GP343" i="17"/>
  <c r="GQ343" i="17"/>
  <c r="GR343" i="17"/>
  <c r="GS343" i="17"/>
  <c r="GT343" i="17"/>
  <c r="GU343" i="17"/>
  <c r="GV343" i="17"/>
  <c r="GW343" i="17"/>
  <c r="GX343" i="17"/>
  <c r="GY343" i="17"/>
  <c r="GZ343" i="17"/>
  <c r="HA343" i="17"/>
  <c r="HB343" i="17"/>
  <c r="HC343" i="17"/>
  <c r="HD343" i="17"/>
  <c r="HE343" i="17"/>
  <c r="HF343" i="17"/>
  <c r="HG343" i="17"/>
  <c r="HH343" i="17"/>
  <c r="HI343" i="17"/>
  <c r="HJ343" i="17"/>
  <c r="HK343" i="17"/>
  <c r="HL343" i="17"/>
  <c r="HM343" i="17"/>
  <c r="HN343" i="17"/>
  <c r="HO343" i="17"/>
  <c r="HP343" i="17"/>
  <c r="HQ343" i="17"/>
  <c r="HR343" i="17"/>
  <c r="HS343" i="17"/>
  <c r="HT343" i="17"/>
  <c r="HU343" i="17"/>
  <c r="HV343" i="17"/>
  <c r="HW343" i="17"/>
  <c r="HX343" i="17"/>
  <c r="HY343" i="17"/>
  <c r="HZ343" i="17"/>
  <c r="IA343" i="17"/>
  <c r="IB343" i="17"/>
  <c r="IC343" i="17"/>
  <c r="ID343" i="17"/>
  <c r="IE343" i="17"/>
  <c r="IF343" i="17"/>
  <c r="IG343" i="17"/>
  <c r="IH343" i="17"/>
  <c r="II343" i="17"/>
  <c r="IJ343" i="17"/>
  <c r="IK343" i="17"/>
  <c r="IL343" i="17"/>
  <c r="IM343" i="17"/>
  <c r="IN343" i="17"/>
  <c r="IO343" i="17"/>
  <c r="IP343" i="17"/>
  <c r="IQ343" i="17"/>
  <c r="IR343" i="17"/>
  <c r="IS343" i="17"/>
  <c r="IT343" i="17"/>
  <c r="IU343" i="17"/>
  <c r="IV343" i="17"/>
  <c r="A342" i="17"/>
  <c r="B342" i="17"/>
  <c r="C342" i="17"/>
  <c r="D342" i="17"/>
  <c r="E342" i="17"/>
  <c r="F342" i="17"/>
  <c r="G342" i="17"/>
  <c r="H342" i="17"/>
  <c r="I342" i="17"/>
  <c r="J342" i="17"/>
  <c r="K342" i="17"/>
  <c r="L342" i="17"/>
  <c r="M342" i="17"/>
  <c r="N342" i="17"/>
  <c r="O342" i="17"/>
  <c r="P342" i="17"/>
  <c r="Q342" i="17"/>
  <c r="R342" i="17"/>
  <c r="S342" i="17"/>
  <c r="T342" i="17"/>
  <c r="U342" i="17"/>
  <c r="V342" i="17"/>
  <c r="W342" i="17"/>
  <c r="X342" i="17"/>
  <c r="Y342" i="17"/>
  <c r="Z342" i="17"/>
  <c r="AA342" i="17"/>
  <c r="AB342" i="17"/>
  <c r="AC342" i="17"/>
  <c r="AD342" i="17"/>
  <c r="AE342" i="17"/>
  <c r="AF342" i="17"/>
  <c r="AG342" i="17"/>
  <c r="AH342" i="17"/>
  <c r="AI342" i="17"/>
  <c r="AJ342" i="17"/>
  <c r="AK342" i="17"/>
  <c r="AL342" i="17"/>
  <c r="AM342" i="17"/>
  <c r="AN342" i="17"/>
  <c r="AO342" i="17"/>
  <c r="AP342" i="17"/>
  <c r="AQ342" i="17"/>
  <c r="AR342" i="17"/>
  <c r="AS342" i="17"/>
  <c r="AT342" i="17"/>
  <c r="AU342" i="17"/>
  <c r="AV342" i="17"/>
  <c r="AW342" i="17"/>
  <c r="AX342" i="17"/>
  <c r="AY342" i="17"/>
  <c r="AZ342" i="17"/>
  <c r="BA342" i="17"/>
  <c r="BB342" i="17"/>
  <c r="BC342" i="17"/>
  <c r="BD342" i="17"/>
  <c r="BE342" i="17"/>
  <c r="BF342" i="17"/>
  <c r="BG342" i="17"/>
  <c r="BH342" i="17"/>
  <c r="BI342" i="17"/>
  <c r="BJ342" i="17"/>
  <c r="BK342" i="17"/>
  <c r="BL342" i="17"/>
  <c r="BM342" i="17"/>
  <c r="BN342" i="17"/>
  <c r="BO342" i="17"/>
  <c r="BP342" i="17"/>
  <c r="BQ342" i="17"/>
  <c r="BR342" i="17"/>
  <c r="BS342" i="17"/>
  <c r="BT342" i="17"/>
  <c r="BU342" i="17"/>
  <c r="BV342" i="17"/>
  <c r="BW342" i="17"/>
  <c r="BX342" i="17"/>
  <c r="BY342" i="17"/>
  <c r="BZ342" i="17"/>
  <c r="CA342" i="17"/>
  <c r="CB342" i="17"/>
  <c r="CC342" i="17"/>
  <c r="CD342" i="17"/>
  <c r="CE342" i="17"/>
  <c r="CF342" i="17"/>
  <c r="CG342" i="17"/>
  <c r="CH342" i="17"/>
  <c r="CI342" i="17"/>
  <c r="CJ342" i="17"/>
  <c r="CK342" i="17"/>
  <c r="CL342" i="17"/>
  <c r="CM342" i="17"/>
  <c r="CN342" i="17"/>
  <c r="CO342" i="17"/>
  <c r="CP342" i="17"/>
  <c r="CQ342" i="17"/>
  <c r="CR342" i="17"/>
  <c r="CS342" i="17"/>
  <c r="CT342" i="17"/>
  <c r="CU342" i="17"/>
  <c r="CV342" i="17"/>
  <c r="CW342" i="17"/>
  <c r="CX342" i="17"/>
  <c r="CY342" i="17"/>
  <c r="CZ342" i="17"/>
  <c r="DA342" i="17"/>
  <c r="DB342" i="17"/>
  <c r="DC342" i="17"/>
  <c r="DD342" i="17"/>
  <c r="DE342" i="17"/>
  <c r="DF342" i="17"/>
  <c r="DG342" i="17"/>
  <c r="DH342" i="17"/>
  <c r="DI342" i="17"/>
  <c r="DJ342" i="17"/>
  <c r="DK342" i="17"/>
  <c r="DL342" i="17"/>
  <c r="DM342" i="17"/>
  <c r="DN342" i="17"/>
  <c r="DO342" i="17"/>
  <c r="DP342" i="17"/>
  <c r="DQ342" i="17"/>
  <c r="DR342" i="17"/>
  <c r="DS342" i="17"/>
  <c r="DT342" i="17"/>
  <c r="DU342" i="17"/>
  <c r="DV342" i="17"/>
  <c r="DW342" i="17"/>
  <c r="DX342" i="17"/>
  <c r="DY342" i="17"/>
  <c r="DZ342" i="17"/>
  <c r="EA342" i="17"/>
  <c r="EB342" i="17"/>
  <c r="EC342" i="17"/>
  <c r="ED342" i="17"/>
  <c r="EE342" i="17"/>
  <c r="EF342" i="17"/>
  <c r="EG342" i="17"/>
  <c r="EH342" i="17"/>
  <c r="EI342" i="17"/>
  <c r="EJ342" i="17"/>
  <c r="EK342" i="17"/>
  <c r="EL342" i="17"/>
  <c r="EM342" i="17"/>
  <c r="EN342" i="17"/>
  <c r="EO342" i="17"/>
  <c r="EP342" i="17"/>
  <c r="EQ342" i="17"/>
  <c r="ER342" i="17"/>
  <c r="ES342" i="17"/>
  <c r="ET342" i="17"/>
  <c r="EU342" i="17"/>
  <c r="EV342" i="17"/>
  <c r="EW342" i="17"/>
  <c r="EX342" i="17"/>
  <c r="EY342" i="17"/>
  <c r="EZ342" i="17"/>
  <c r="FA342" i="17"/>
  <c r="FB342" i="17"/>
  <c r="FC342" i="17"/>
  <c r="FD342" i="17"/>
  <c r="FE342" i="17"/>
  <c r="FF342" i="17"/>
  <c r="FG342" i="17"/>
  <c r="FH342" i="17"/>
  <c r="FI342" i="17"/>
  <c r="FJ342" i="17"/>
  <c r="FK342" i="17"/>
  <c r="FL342" i="17"/>
  <c r="FM342" i="17"/>
  <c r="FN342" i="17"/>
  <c r="FO342" i="17"/>
  <c r="FP342" i="17"/>
  <c r="FQ342" i="17"/>
  <c r="FR342" i="17"/>
  <c r="FS342" i="17"/>
  <c r="FT342" i="17"/>
  <c r="FU342" i="17"/>
  <c r="FV342" i="17"/>
  <c r="FW342" i="17"/>
  <c r="FX342" i="17"/>
  <c r="FY342" i="17"/>
  <c r="FZ342" i="17"/>
  <c r="GA342" i="17"/>
  <c r="GB342" i="17"/>
  <c r="GC342" i="17"/>
  <c r="GD342" i="17"/>
  <c r="GE342" i="17"/>
  <c r="GF342" i="17"/>
  <c r="GG342" i="17"/>
  <c r="GH342" i="17"/>
  <c r="GI342" i="17"/>
  <c r="GJ342" i="17"/>
  <c r="GK342" i="17"/>
  <c r="GL342" i="17"/>
  <c r="GM342" i="17"/>
  <c r="GN342" i="17"/>
  <c r="GO342" i="17"/>
  <c r="GP342" i="17"/>
  <c r="GQ342" i="17"/>
  <c r="GR342" i="17"/>
  <c r="GS342" i="17"/>
  <c r="GT342" i="17"/>
  <c r="GU342" i="17"/>
  <c r="GV342" i="17"/>
  <c r="GW342" i="17"/>
  <c r="GX342" i="17"/>
  <c r="GY342" i="17"/>
  <c r="GZ342" i="17"/>
  <c r="HA342" i="17"/>
  <c r="HB342" i="17"/>
  <c r="HC342" i="17"/>
  <c r="HD342" i="17"/>
  <c r="HE342" i="17"/>
  <c r="HF342" i="17"/>
  <c r="HG342" i="17"/>
  <c r="HH342" i="17"/>
  <c r="HI342" i="17"/>
  <c r="HJ342" i="17"/>
  <c r="HK342" i="17"/>
  <c r="HL342" i="17"/>
  <c r="HM342" i="17"/>
  <c r="HN342" i="17"/>
  <c r="HO342" i="17"/>
  <c r="HP342" i="17"/>
  <c r="HQ342" i="17"/>
  <c r="HR342" i="17"/>
  <c r="HS342" i="17"/>
  <c r="HT342" i="17"/>
  <c r="HU342" i="17"/>
  <c r="HV342" i="17"/>
  <c r="HW342" i="17"/>
  <c r="HX342" i="17"/>
  <c r="HY342" i="17"/>
  <c r="HZ342" i="17"/>
  <c r="IA342" i="17"/>
  <c r="IB342" i="17"/>
  <c r="IC342" i="17"/>
  <c r="ID342" i="17"/>
  <c r="IE342" i="17"/>
  <c r="IF342" i="17"/>
  <c r="IG342" i="17"/>
  <c r="IH342" i="17"/>
  <c r="II342" i="17"/>
  <c r="IJ342" i="17"/>
  <c r="IK342" i="17"/>
  <c r="IL342" i="17"/>
  <c r="IM342" i="17"/>
  <c r="IN342" i="17"/>
  <c r="IO342" i="17"/>
  <c r="IP342" i="17"/>
  <c r="IQ342" i="17"/>
  <c r="IR342" i="17"/>
  <c r="IS342" i="17"/>
  <c r="IT342" i="17"/>
  <c r="IU342" i="17"/>
  <c r="IV342" i="17"/>
  <c r="A341" i="17"/>
  <c r="B341" i="17"/>
  <c r="C341" i="17"/>
  <c r="D341" i="17"/>
  <c r="E341" i="17"/>
  <c r="F341" i="17"/>
  <c r="G341" i="17"/>
  <c r="H341" i="17"/>
  <c r="I341" i="17"/>
  <c r="J341" i="17"/>
  <c r="K341" i="17"/>
  <c r="L341" i="17"/>
  <c r="M341" i="17"/>
  <c r="N341" i="17"/>
  <c r="O341" i="17"/>
  <c r="P341" i="17"/>
  <c r="Q341" i="17"/>
  <c r="R341" i="17"/>
  <c r="S341" i="17"/>
  <c r="T341" i="17"/>
  <c r="U341" i="17"/>
  <c r="V341" i="17"/>
  <c r="W341" i="17"/>
  <c r="X341" i="17"/>
  <c r="Y341" i="17"/>
  <c r="Z341" i="17"/>
  <c r="AA341" i="17"/>
  <c r="AB341" i="17"/>
  <c r="AC341" i="17"/>
  <c r="AD341" i="17"/>
  <c r="AE341" i="17"/>
  <c r="AF341" i="17"/>
  <c r="AG341" i="17"/>
  <c r="AH341" i="17"/>
  <c r="AI341" i="17"/>
  <c r="AJ341" i="17"/>
  <c r="AK341" i="17"/>
  <c r="AL341" i="17"/>
  <c r="AM341" i="17"/>
  <c r="AN341" i="17"/>
  <c r="AO341" i="17"/>
  <c r="AP341" i="17"/>
  <c r="AQ341" i="17"/>
  <c r="AR341" i="17"/>
  <c r="AS341" i="17"/>
  <c r="AT341" i="17"/>
  <c r="AU341" i="17"/>
  <c r="AV341" i="17"/>
  <c r="AW341" i="17"/>
  <c r="AX341" i="17"/>
  <c r="AY341" i="17"/>
  <c r="AZ341" i="17"/>
  <c r="BA341" i="17"/>
  <c r="BB341" i="17"/>
  <c r="BC341" i="17"/>
  <c r="BD341" i="17"/>
  <c r="BE341" i="17"/>
  <c r="BF341" i="17"/>
  <c r="BG341" i="17"/>
  <c r="BH341" i="17"/>
  <c r="BI341" i="17"/>
  <c r="BJ341" i="17"/>
  <c r="BK341" i="17"/>
  <c r="BL341" i="17"/>
  <c r="BM341" i="17"/>
  <c r="BN341" i="17"/>
  <c r="BO341" i="17"/>
  <c r="BP341" i="17"/>
  <c r="BQ341" i="17"/>
  <c r="BR341" i="17"/>
  <c r="BS341" i="17"/>
  <c r="BT341" i="17"/>
  <c r="BU341" i="17"/>
  <c r="BV341" i="17"/>
  <c r="BW341" i="17"/>
  <c r="BX341" i="17"/>
  <c r="BY341" i="17"/>
  <c r="BZ341" i="17"/>
  <c r="CA341" i="17"/>
  <c r="CB341" i="17"/>
  <c r="CC341" i="17"/>
  <c r="CD341" i="17"/>
  <c r="CE341" i="17"/>
  <c r="CF341" i="17"/>
  <c r="CG341" i="17"/>
  <c r="CH341" i="17"/>
  <c r="CI341" i="17"/>
  <c r="CJ341" i="17"/>
  <c r="CK341" i="17"/>
  <c r="CL341" i="17"/>
  <c r="CM341" i="17"/>
  <c r="CN341" i="17"/>
  <c r="CO341" i="17"/>
  <c r="CP341" i="17"/>
  <c r="CQ341" i="17"/>
  <c r="CR341" i="17"/>
  <c r="CS341" i="17"/>
  <c r="CT341" i="17"/>
  <c r="CU341" i="17"/>
  <c r="CV341" i="17"/>
  <c r="CW341" i="17"/>
  <c r="CX341" i="17"/>
  <c r="CY341" i="17"/>
  <c r="CZ341" i="17"/>
  <c r="DA341" i="17"/>
  <c r="DB341" i="17"/>
  <c r="DC341" i="17"/>
  <c r="DD341" i="17"/>
  <c r="DE341" i="17"/>
  <c r="DF341" i="17"/>
  <c r="DG341" i="17"/>
  <c r="DH341" i="17"/>
  <c r="DI341" i="17"/>
  <c r="DJ341" i="17"/>
  <c r="DK341" i="17"/>
  <c r="DL341" i="17"/>
  <c r="DM341" i="17"/>
  <c r="DN341" i="17"/>
  <c r="DO341" i="17"/>
  <c r="DP341" i="17"/>
  <c r="DQ341" i="17"/>
  <c r="DR341" i="17"/>
  <c r="DS341" i="17"/>
  <c r="DT341" i="17"/>
  <c r="DU341" i="17"/>
  <c r="DV341" i="17"/>
  <c r="DW341" i="17"/>
  <c r="DX341" i="17"/>
  <c r="DY341" i="17"/>
  <c r="DZ341" i="17"/>
  <c r="EA341" i="17"/>
  <c r="EB341" i="17"/>
  <c r="EC341" i="17"/>
  <c r="ED341" i="17"/>
  <c r="EE341" i="17"/>
  <c r="EF341" i="17"/>
  <c r="EG341" i="17"/>
  <c r="EH341" i="17"/>
  <c r="EI341" i="17"/>
  <c r="EJ341" i="17"/>
  <c r="EK341" i="17"/>
  <c r="EL341" i="17"/>
  <c r="EM341" i="17"/>
  <c r="EN341" i="17"/>
  <c r="EO341" i="17"/>
  <c r="EP341" i="17"/>
  <c r="EQ341" i="17"/>
  <c r="ER341" i="17"/>
  <c r="ES341" i="17"/>
  <c r="ET341" i="17"/>
  <c r="EU341" i="17"/>
  <c r="EV341" i="17"/>
  <c r="EW341" i="17"/>
  <c r="EX341" i="17"/>
  <c r="EY341" i="17"/>
  <c r="EZ341" i="17"/>
  <c r="FA341" i="17"/>
  <c r="FB341" i="17"/>
  <c r="FC341" i="17"/>
  <c r="FD341" i="17"/>
  <c r="FE341" i="17"/>
  <c r="FF341" i="17"/>
  <c r="FG341" i="17"/>
  <c r="FH341" i="17"/>
  <c r="FI341" i="17"/>
  <c r="FJ341" i="17"/>
  <c r="FK341" i="17"/>
  <c r="FL341" i="17"/>
  <c r="FM341" i="17"/>
  <c r="FN341" i="17"/>
  <c r="FO341" i="17"/>
  <c r="FP341" i="17"/>
  <c r="FQ341" i="17"/>
  <c r="FR341" i="17"/>
  <c r="FS341" i="17"/>
  <c r="FT341" i="17"/>
  <c r="FU341" i="17"/>
  <c r="FV341" i="17"/>
  <c r="FW341" i="17"/>
  <c r="FX341" i="17"/>
  <c r="FY341" i="17"/>
  <c r="FZ341" i="17"/>
  <c r="GA341" i="17"/>
  <c r="GB341" i="17"/>
  <c r="GC341" i="17"/>
  <c r="GD341" i="17"/>
  <c r="GE341" i="17"/>
  <c r="GF341" i="17"/>
  <c r="GG341" i="17"/>
  <c r="GH341" i="17"/>
  <c r="GI341" i="17"/>
  <c r="GJ341" i="17"/>
  <c r="GK341" i="17"/>
  <c r="GL341" i="17"/>
  <c r="GM341" i="17"/>
  <c r="GN341" i="17"/>
  <c r="GO341" i="17"/>
  <c r="GP341" i="17"/>
  <c r="GQ341" i="17"/>
  <c r="GR341" i="17"/>
  <c r="GS341" i="17"/>
  <c r="GT341" i="17"/>
  <c r="GU341" i="17"/>
  <c r="GV341" i="17"/>
  <c r="GW341" i="17"/>
  <c r="GX341" i="17"/>
  <c r="GY341" i="17"/>
  <c r="GZ341" i="17"/>
  <c r="HA341" i="17"/>
  <c r="HB341" i="17"/>
  <c r="HC341" i="17"/>
  <c r="HD341" i="17"/>
  <c r="HE341" i="17"/>
  <c r="HF341" i="17"/>
  <c r="HG341" i="17"/>
  <c r="HH341" i="17"/>
  <c r="HI341" i="17"/>
  <c r="HJ341" i="17"/>
  <c r="HK341" i="17"/>
  <c r="HL341" i="17"/>
  <c r="HM341" i="17"/>
  <c r="HN341" i="17"/>
  <c r="HO341" i="17"/>
  <c r="HP341" i="17"/>
  <c r="HQ341" i="17"/>
  <c r="HR341" i="17"/>
  <c r="HS341" i="17"/>
  <c r="HT341" i="17"/>
  <c r="HU341" i="17"/>
  <c r="HV341" i="17"/>
  <c r="HW341" i="17"/>
  <c r="HX341" i="17"/>
  <c r="HY341" i="17"/>
  <c r="HZ341" i="17"/>
  <c r="IA341" i="17"/>
  <c r="IB341" i="17"/>
  <c r="IC341" i="17"/>
  <c r="ID341" i="17"/>
  <c r="IE341" i="17"/>
  <c r="IF341" i="17"/>
  <c r="IG341" i="17"/>
  <c r="IH341" i="17"/>
  <c r="II341" i="17"/>
  <c r="IJ341" i="17"/>
  <c r="IK341" i="17"/>
  <c r="IL341" i="17"/>
  <c r="IM341" i="17"/>
  <c r="IN341" i="17"/>
  <c r="IO341" i="17"/>
  <c r="IP341" i="17"/>
  <c r="IQ341" i="17"/>
  <c r="IR341" i="17"/>
  <c r="IS341" i="17"/>
  <c r="IT341" i="17"/>
  <c r="IU341" i="17"/>
  <c r="IV341" i="17"/>
  <c r="A340" i="17"/>
  <c r="B340" i="17"/>
  <c r="C340" i="17"/>
  <c r="D340" i="17"/>
  <c r="E340" i="17"/>
  <c r="F340" i="17"/>
  <c r="G340" i="17"/>
  <c r="H340" i="17"/>
  <c r="I340" i="17"/>
  <c r="J340" i="17"/>
  <c r="K340" i="17"/>
  <c r="L340" i="17"/>
  <c r="M340" i="17"/>
  <c r="N340" i="17"/>
  <c r="O340" i="17"/>
  <c r="P340" i="17"/>
  <c r="Q340" i="17"/>
  <c r="R340" i="17"/>
  <c r="S340" i="17"/>
  <c r="T340" i="17"/>
  <c r="U340" i="17"/>
  <c r="V340" i="17"/>
  <c r="W340" i="17"/>
  <c r="X340" i="17"/>
  <c r="Y340" i="17"/>
  <c r="Z340" i="17"/>
  <c r="AA340" i="17"/>
  <c r="AB340" i="17"/>
  <c r="AC340" i="17"/>
  <c r="AD340" i="17"/>
  <c r="AE340" i="17"/>
  <c r="AF340" i="17"/>
  <c r="AG340" i="17"/>
  <c r="AH340" i="17"/>
  <c r="AI340" i="17"/>
  <c r="AJ340" i="17"/>
  <c r="AK340" i="17"/>
  <c r="AL340" i="17"/>
  <c r="AM340" i="17"/>
  <c r="AN340" i="17"/>
  <c r="AO340" i="17"/>
  <c r="AP340" i="17"/>
  <c r="AQ340" i="17"/>
  <c r="AR340" i="17"/>
  <c r="AS340" i="17"/>
  <c r="AT340" i="17"/>
  <c r="AU340" i="17"/>
  <c r="AV340" i="17"/>
  <c r="AW340" i="17"/>
  <c r="AX340" i="17"/>
  <c r="AY340" i="17"/>
  <c r="AZ340" i="17"/>
  <c r="BA340" i="17"/>
  <c r="BB340" i="17"/>
  <c r="BC340" i="17"/>
  <c r="BD340" i="17"/>
  <c r="BE340" i="17"/>
  <c r="BF340" i="17"/>
  <c r="BG340" i="17"/>
  <c r="BH340" i="17"/>
  <c r="BI340" i="17"/>
  <c r="BJ340" i="17"/>
  <c r="BK340" i="17"/>
  <c r="BL340" i="17"/>
  <c r="BM340" i="17"/>
  <c r="BN340" i="17"/>
  <c r="BO340" i="17"/>
  <c r="BP340" i="17"/>
  <c r="BQ340" i="17"/>
  <c r="BR340" i="17"/>
  <c r="BS340" i="17"/>
  <c r="BT340" i="17"/>
  <c r="BU340" i="17"/>
  <c r="BV340" i="17"/>
  <c r="BW340" i="17"/>
  <c r="BX340" i="17"/>
  <c r="BY340" i="17"/>
  <c r="BZ340" i="17"/>
  <c r="CA340" i="17"/>
  <c r="CB340" i="17"/>
  <c r="CC340" i="17"/>
  <c r="CD340" i="17"/>
  <c r="CE340" i="17"/>
  <c r="CF340" i="17"/>
  <c r="CG340" i="17"/>
  <c r="CH340" i="17"/>
  <c r="CI340" i="17"/>
  <c r="CJ340" i="17"/>
  <c r="CK340" i="17"/>
  <c r="CL340" i="17"/>
  <c r="CM340" i="17"/>
  <c r="CN340" i="17"/>
  <c r="CO340" i="17"/>
  <c r="CP340" i="17"/>
  <c r="CQ340" i="17"/>
  <c r="CR340" i="17"/>
  <c r="CS340" i="17"/>
  <c r="CT340" i="17"/>
  <c r="CU340" i="17"/>
  <c r="CV340" i="17"/>
  <c r="CW340" i="17"/>
  <c r="CX340" i="17"/>
  <c r="CY340" i="17"/>
  <c r="CZ340" i="17"/>
  <c r="DA340" i="17"/>
  <c r="DB340" i="17"/>
  <c r="DC340" i="17"/>
  <c r="DD340" i="17"/>
  <c r="DE340" i="17"/>
  <c r="DF340" i="17"/>
  <c r="DG340" i="17"/>
  <c r="DH340" i="17"/>
  <c r="DI340" i="17"/>
  <c r="DJ340" i="17"/>
  <c r="DK340" i="17"/>
  <c r="DL340" i="17"/>
  <c r="DM340" i="17"/>
  <c r="DN340" i="17"/>
  <c r="DO340" i="17"/>
  <c r="DP340" i="17"/>
  <c r="DQ340" i="17"/>
  <c r="DR340" i="17"/>
  <c r="DS340" i="17"/>
  <c r="DT340" i="17"/>
  <c r="DU340" i="17"/>
  <c r="DV340" i="17"/>
  <c r="DW340" i="17"/>
  <c r="DX340" i="17"/>
  <c r="DY340" i="17"/>
  <c r="DZ340" i="17"/>
  <c r="EA340" i="17"/>
  <c r="EB340" i="17"/>
  <c r="EC340" i="17"/>
  <c r="ED340" i="17"/>
  <c r="EE340" i="17"/>
  <c r="EF340" i="17"/>
  <c r="EG340" i="17"/>
  <c r="EH340" i="17"/>
  <c r="EI340" i="17"/>
  <c r="EJ340" i="17"/>
  <c r="EK340" i="17"/>
  <c r="EL340" i="17"/>
  <c r="EM340" i="17"/>
  <c r="EN340" i="17"/>
  <c r="EO340" i="17"/>
  <c r="EP340" i="17"/>
  <c r="EQ340" i="17"/>
  <c r="ER340" i="17"/>
  <c r="ES340" i="17"/>
  <c r="ET340" i="17"/>
  <c r="EU340" i="17"/>
  <c r="EV340" i="17"/>
  <c r="EW340" i="17"/>
  <c r="EX340" i="17"/>
  <c r="EY340" i="17"/>
  <c r="EZ340" i="17"/>
  <c r="FA340" i="17"/>
  <c r="FB340" i="17"/>
  <c r="FC340" i="17"/>
  <c r="FD340" i="17"/>
  <c r="FE340" i="17"/>
  <c r="FF340" i="17"/>
  <c r="FG340" i="17"/>
  <c r="FH340" i="17"/>
  <c r="FI340" i="17"/>
  <c r="FJ340" i="17"/>
  <c r="FK340" i="17"/>
  <c r="FL340" i="17"/>
  <c r="FM340" i="17"/>
  <c r="FN340" i="17"/>
  <c r="FO340" i="17"/>
  <c r="FP340" i="17"/>
  <c r="FQ340" i="17"/>
  <c r="FR340" i="17"/>
  <c r="FS340" i="17"/>
  <c r="FT340" i="17"/>
  <c r="FU340" i="17"/>
  <c r="FV340" i="17"/>
  <c r="FW340" i="17"/>
  <c r="FX340" i="17"/>
  <c r="FY340" i="17"/>
  <c r="FZ340" i="17"/>
  <c r="GA340" i="17"/>
  <c r="GB340" i="17"/>
  <c r="GC340" i="17"/>
  <c r="GD340" i="17"/>
  <c r="GE340" i="17"/>
  <c r="GF340" i="17"/>
  <c r="GG340" i="17"/>
  <c r="GH340" i="17"/>
  <c r="GI340" i="17"/>
  <c r="GJ340" i="17"/>
  <c r="GK340" i="17"/>
  <c r="GL340" i="17"/>
  <c r="GM340" i="17"/>
  <c r="GN340" i="17"/>
  <c r="GO340" i="17"/>
  <c r="GP340" i="17"/>
  <c r="GQ340" i="17"/>
  <c r="GR340" i="17"/>
  <c r="GS340" i="17"/>
  <c r="GT340" i="17"/>
  <c r="GU340" i="17"/>
  <c r="GV340" i="17"/>
  <c r="GW340" i="17"/>
  <c r="GX340" i="17"/>
  <c r="GY340" i="17"/>
  <c r="GZ340" i="17"/>
  <c r="HA340" i="17"/>
  <c r="HB340" i="17"/>
  <c r="HC340" i="17"/>
  <c r="HD340" i="17"/>
  <c r="HE340" i="17"/>
  <c r="HF340" i="17"/>
  <c r="HG340" i="17"/>
  <c r="HH340" i="17"/>
  <c r="HI340" i="17"/>
  <c r="HJ340" i="17"/>
  <c r="HK340" i="17"/>
  <c r="HL340" i="17"/>
  <c r="HM340" i="17"/>
  <c r="HN340" i="17"/>
  <c r="HO340" i="17"/>
  <c r="HP340" i="17"/>
  <c r="HQ340" i="17"/>
  <c r="HR340" i="17"/>
  <c r="HS340" i="17"/>
  <c r="HT340" i="17"/>
  <c r="HU340" i="17"/>
  <c r="HV340" i="17"/>
  <c r="HW340" i="17"/>
  <c r="HX340" i="17"/>
  <c r="HY340" i="17"/>
  <c r="HZ340" i="17"/>
  <c r="IA340" i="17"/>
  <c r="IB340" i="17"/>
  <c r="IC340" i="17"/>
  <c r="ID340" i="17"/>
  <c r="IE340" i="17"/>
  <c r="IF340" i="17"/>
  <c r="IG340" i="17"/>
  <c r="IH340" i="17"/>
  <c r="II340" i="17"/>
  <c r="IJ340" i="17"/>
  <c r="IK340" i="17"/>
  <c r="IL340" i="17"/>
  <c r="IM340" i="17"/>
  <c r="IN340" i="17"/>
  <c r="IO340" i="17"/>
  <c r="IP340" i="17"/>
  <c r="IQ340" i="17"/>
  <c r="IR340" i="17"/>
  <c r="IS340" i="17"/>
  <c r="IT340" i="17"/>
  <c r="IU340" i="17"/>
  <c r="IV340" i="17"/>
  <c r="A339" i="17"/>
  <c r="B339" i="17"/>
  <c r="C339" i="17"/>
  <c r="D339" i="17"/>
  <c r="E339" i="17"/>
  <c r="F339" i="17"/>
  <c r="G339" i="17"/>
  <c r="H339" i="17"/>
  <c r="I339" i="17"/>
  <c r="J339" i="17"/>
  <c r="K339" i="17"/>
  <c r="L339" i="17"/>
  <c r="M339" i="17"/>
  <c r="N339" i="17"/>
  <c r="O339" i="17"/>
  <c r="P339" i="17"/>
  <c r="Q339" i="17"/>
  <c r="R339" i="17"/>
  <c r="S339" i="17"/>
  <c r="T339" i="17"/>
  <c r="U339" i="17"/>
  <c r="V339" i="17"/>
  <c r="W339" i="17"/>
  <c r="X339" i="17"/>
  <c r="Y339" i="17"/>
  <c r="Z339" i="17"/>
  <c r="AA339" i="17"/>
  <c r="AB339" i="17"/>
  <c r="AC339" i="17"/>
  <c r="AD339" i="17"/>
  <c r="AE339" i="17"/>
  <c r="AF339" i="17"/>
  <c r="AG339" i="17"/>
  <c r="AH339" i="17"/>
  <c r="AI339" i="17"/>
  <c r="AJ339" i="17"/>
  <c r="AK339" i="17"/>
  <c r="AL339" i="17"/>
  <c r="AM339" i="17"/>
  <c r="AN339" i="17"/>
  <c r="AO339" i="17"/>
  <c r="AP339" i="17"/>
  <c r="AQ339" i="17"/>
  <c r="AR339" i="17"/>
  <c r="AS339" i="17"/>
  <c r="AT339" i="17"/>
  <c r="AU339" i="17"/>
  <c r="AV339" i="17"/>
  <c r="AW339" i="17"/>
  <c r="AX339" i="17"/>
  <c r="AY339" i="17"/>
  <c r="AZ339" i="17"/>
  <c r="BA339" i="17"/>
  <c r="BB339" i="17"/>
  <c r="BC339" i="17"/>
  <c r="BD339" i="17"/>
  <c r="BE339" i="17"/>
  <c r="BF339" i="17"/>
  <c r="BG339" i="17"/>
  <c r="BH339" i="17"/>
  <c r="BI339" i="17"/>
  <c r="BJ339" i="17"/>
  <c r="BK339" i="17"/>
  <c r="BL339" i="17"/>
  <c r="BM339" i="17"/>
  <c r="BN339" i="17"/>
  <c r="BO339" i="17"/>
  <c r="BP339" i="17"/>
  <c r="BQ339" i="17"/>
  <c r="BR339" i="17"/>
  <c r="BS339" i="17"/>
  <c r="BT339" i="17"/>
  <c r="BU339" i="17"/>
  <c r="BV339" i="17"/>
  <c r="BW339" i="17"/>
  <c r="BX339" i="17"/>
  <c r="BY339" i="17"/>
  <c r="BZ339" i="17"/>
  <c r="CA339" i="17"/>
  <c r="CB339" i="17"/>
  <c r="CC339" i="17"/>
  <c r="CD339" i="17"/>
  <c r="CE339" i="17"/>
  <c r="CF339" i="17"/>
  <c r="CG339" i="17"/>
  <c r="CH339" i="17"/>
  <c r="CI339" i="17"/>
  <c r="CJ339" i="17"/>
  <c r="CK339" i="17"/>
  <c r="CL339" i="17"/>
  <c r="CM339" i="17"/>
  <c r="CN339" i="17"/>
  <c r="CO339" i="17"/>
  <c r="CP339" i="17"/>
  <c r="CQ339" i="17"/>
  <c r="CR339" i="17"/>
  <c r="CS339" i="17"/>
  <c r="CT339" i="17"/>
  <c r="CU339" i="17"/>
  <c r="CV339" i="17"/>
  <c r="CW339" i="17"/>
  <c r="CX339" i="17"/>
  <c r="CY339" i="17"/>
  <c r="CZ339" i="17"/>
  <c r="DA339" i="17"/>
  <c r="DB339" i="17"/>
  <c r="DC339" i="17"/>
  <c r="DD339" i="17"/>
  <c r="DE339" i="17"/>
  <c r="DF339" i="17"/>
  <c r="DG339" i="17"/>
  <c r="DH339" i="17"/>
  <c r="DI339" i="17"/>
  <c r="DJ339" i="17"/>
  <c r="DK339" i="17"/>
  <c r="DL339" i="17"/>
  <c r="DM339" i="17"/>
  <c r="DN339" i="17"/>
  <c r="DO339" i="17"/>
  <c r="DP339" i="17"/>
  <c r="DQ339" i="17"/>
  <c r="DR339" i="17"/>
  <c r="DS339" i="17"/>
  <c r="DT339" i="17"/>
  <c r="DU339" i="17"/>
  <c r="DV339" i="17"/>
  <c r="DW339" i="17"/>
  <c r="DX339" i="17"/>
  <c r="DY339" i="17"/>
  <c r="DZ339" i="17"/>
  <c r="EA339" i="17"/>
  <c r="EB339" i="17"/>
  <c r="EC339" i="17"/>
  <c r="ED339" i="17"/>
  <c r="EE339" i="17"/>
  <c r="EF339" i="17"/>
  <c r="EG339" i="17"/>
  <c r="EH339" i="17"/>
  <c r="EI339" i="17"/>
  <c r="EJ339" i="17"/>
  <c r="EK339" i="17"/>
  <c r="EL339" i="17"/>
  <c r="EM339" i="17"/>
  <c r="EN339" i="17"/>
  <c r="EO339" i="17"/>
  <c r="EP339" i="17"/>
  <c r="EQ339" i="17"/>
  <c r="ER339" i="17"/>
  <c r="ES339" i="17"/>
  <c r="ET339" i="17"/>
  <c r="EU339" i="17"/>
  <c r="EV339" i="17"/>
  <c r="EW339" i="17"/>
  <c r="EX339" i="17"/>
  <c r="EY339" i="17"/>
  <c r="EZ339" i="17"/>
  <c r="FA339" i="17"/>
  <c r="FB339" i="17"/>
  <c r="FC339" i="17"/>
  <c r="FD339" i="17"/>
  <c r="FE339" i="17"/>
  <c r="FF339" i="17"/>
  <c r="FG339" i="17"/>
  <c r="FH339" i="17"/>
  <c r="FI339" i="17"/>
  <c r="FJ339" i="17"/>
  <c r="FK339" i="17"/>
  <c r="FL339" i="17"/>
  <c r="FM339" i="17"/>
  <c r="FN339" i="17"/>
  <c r="FO339" i="17"/>
  <c r="FP339" i="17"/>
  <c r="FQ339" i="17"/>
  <c r="FR339" i="17"/>
  <c r="FS339" i="17"/>
  <c r="FT339" i="17"/>
  <c r="FU339" i="17"/>
  <c r="FV339" i="17"/>
  <c r="FW339" i="17"/>
  <c r="FX339" i="17"/>
  <c r="FY339" i="17"/>
  <c r="FZ339" i="17"/>
  <c r="GA339" i="17"/>
  <c r="GB339" i="17"/>
  <c r="GC339" i="17"/>
  <c r="GD339" i="17"/>
  <c r="GE339" i="17"/>
  <c r="GF339" i="17"/>
  <c r="GG339" i="17"/>
  <c r="GH339" i="17"/>
  <c r="GI339" i="17"/>
  <c r="GJ339" i="17"/>
  <c r="GK339" i="17"/>
  <c r="GL339" i="17"/>
  <c r="GM339" i="17"/>
  <c r="GN339" i="17"/>
  <c r="GO339" i="17"/>
  <c r="GP339" i="17"/>
  <c r="GQ339" i="17"/>
  <c r="GR339" i="17"/>
  <c r="GS339" i="17"/>
  <c r="GT339" i="17"/>
  <c r="GU339" i="17"/>
  <c r="GV339" i="17"/>
  <c r="GW339" i="17"/>
  <c r="GX339" i="17"/>
  <c r="GY339" i="17"/>
  <c r="GZ339" i="17"/>
  <c r="HA339" i="17"/>
  <c r="HB339" i="17"/>
  <c r="HC339" i="17"/>
  <c r="HD339" i="17"/>
  <c r="HE339" i="17"/>
  <c r="HF339" i="17"/>
  <c r="HG339" i="17"/>
  <c r="HH339" i="17"/>
  <c r="HI339" i="17"/>
  <c r="HJ339" i="17"/>
  <c r="HK339" i="17"/>
  <c r="HL339" i="17"/>
  <c r="HM339" i="17"/>
  <c r="HN339" i="17"/>
  <c r="HO339" i="17"/>
  <c r="HP339" i="17"/>
  <c r="HQ339" i="17"/>
  <c r="HR339" i="17"/>
  <c r="HS339" i="17"/>
  <c r="HT339" i="17"/>
  <c r="HU339" i="17"/>
  <c r="HV339" i="17"/>
  <c r="HW339" i="17"/>
  <c r="HX339" i="17"/>
  <c r="HY339" i="17"/>
  <c r="HZ339" i="17"/>
  <c r="IA339" i="17"/>
  <c r="IB339" i="17"/>
  <c r="IC339" i="17"/>
  <c r="ID339" i="17"/>
  <c r="IE339" i="17"/>
  <c r="IF339" i="17"/>
  <c r="IG339" i="17"/>
  <c r="IH339" i="17"/>
  <c r="II339" i="17"/>
  <c r="IJ339" i="17"/>
  <c r="IK339" i="17"/>
  <c r="IL339" i="17"/>
  <c r="IM339" i="17"/>
  <c r="IN339" i="17"/>
  <c r="IO339" i="17"/>
  <c r="IP339" i="17"/>
  <c r="IQ339" i="17"/>
  <c r="IR339" i="17"/>
  <c r="IS339" i="17"/>
  <c r="IT339" i="17"/>
  <c r="IU339" i="17"/>
  <c r="IV339" i="17"/>
  <c r="A338" i="17"/>
  <c r="B338" i="17"/>
  <c r="C338" i="17"/>
  <c r="D338" i="17"/>
  <c r="E338" i="17"/>
  <c r="F338" i="17"/>
  <c r="G338" i="17"/>
  <c r="H338" i="17"/>
  <c r="I338" i="17"/>
  <c r="J338" i="17"/>
  <c r="K338" i="17"/>
  <c r="L338" i="17"/>
  <c r="M338" i="17"/>
  <c r="N338" i="17"/>
  <c r="O338" i="17"/>
  <c r="P338" i="17"/>
  <c r="Q338" i="17"/>
  <c r="R338" i="17"/>
  <c r="S338" i="17"/>
  <c r="T338" i="17"/>
  <c r="U338" i="17"/>
  <c r="V338" i="17"/>
  <c r="W338" i="17"/>
  <c r="X338" i="17"/>
  <c r="Y338" i="17"/>
  <c r="Z338" i="17"/>
  <c r="AA338" i="17"/>
  <c r="AB338" i="17"/>
  <c r="AC338" i="17"/>
  <c r="AD338" i="17"/>
  <c r="AE338" i="17"/>
  <c r="AF338" i="17"/>
  <c r="AG338" i="17"/>
  <c r="AH338" i="17"/>
  <c r="AI338" i="17"/>
  <c r="AJ338" i="17"/>
  <c r="AK338" i="17"/>
  <c r="AL338" i="17"/>
  <c r="AM338" i="17"/>
  <c r="AN338" i="17"/>
  <c r="AO338" i="17"/>
  <c r="AP338" i="17"/>
  <c r="AQ338" i="17"/>
  <c r="AR338" i="17"/>
  <c r="AS338" i="17"/>
  <c r="AT338" i="17"/>
  <c r="AU338" i="17"/>
  <c r="AV338" i="17"/>
  <c r="AW338" i="17"/>
  <c r="AX338" i="17"/>
  <c r="AY338" i="17"/>
  <c r="AZ338" i="17"/>
  <c r="BA338" i="17"/>
  <c r="BB338" i="17"/>
  <c r="BC338" i="17"/>
  <c r="BD338" i="17"/>
  <c r="BE338" i="17"/>
  <c r="BF338" i="17"/>
  <c r="BG338" i="17"/>
  <c r="BH338" i="17"/>
  <c r="BI338" i="17"/>
  <c r="BJ338" i="17"/>
  <c r="BK338" i="17"/>
  <c r="BL338" i="17"/>
  <c r="BM338" i="17"/>
  <c r="BN338" i="17"/>
  <c r="BO338" i="17"/>
  <c r="BP338" i="17"/>
  <c r="BQ338" i="17"/>
  <c r="BR338" i="17"/>
  <c r="BS338" i="17"/>
  <c r="BT338" i="17"/>
  <c r="BU338" i="17"/>
  <c r="BV338" i="17"/>
  <c r="BW338" i="17"/>
  <c r="BX338" i="17"/>
  <c r="BY338" i="17"/>
  <c r="BZ338" i="17"/>
  <c r="CA338" i="17"/>
  <c r="CB338" i="17"/>
  <c r="CC338" i="17"/>
  <c r="CD338" i="17"/>
  <c r="CE338" i="17"/>
  <c r="CF338" i="17"/>
  <c r="CG338" i="17"/>
  <c r="CH338" i="17"/>
  <c r="CI338" i="17"/>
  <c r="CJ338" i="17"/>
  <c r="CK338" i="17"/>
  <c r="CL338" i="17"/>
  <c r="CM338" i="17"/>
  <c r="CN338" i="17"/>
  <c r="CO338" i="17"/>
  <c r="CP338" i="17"/>
  <c r="CQ338" i="17"/>
  <c r="CR338" i="17"/>
  <c r="CS338" i="17"/>
  <c r="CT338" i="17"/>
  <c r="CU338" i="17"/>
  <c r="CV338" i="17"/>
  <c r="CW338" i="17"/>
  <c r="CX338" i="17"/>
  <c r="CY338" i="17"/>
  <c r="CZ338" i="17"/>
  <c r="DA338" i="17"/>
  <c r="DB338" i="17"/>
  <c r="DC338" i="17"/>
  <c r="DD338" i="17"/>
  <c r="DE338" i="17"/>
  <c r="DF338" i="17"/>
  <c r="DG338" i="17"/>
  <c r="DH338" i="17"/>
  <c r="DI338" i="17"/>
  <c r="DJ338" i="17"/>
  <c r="DK338" i="17"/>
  <c r="DL338" i="17"/>
  <c r="DM338" i="17"/>
  <c r="DN338" i="17"/>
  <c r="DO338" i="17"/>
  <c r="DP338" i="17"/>
  <c r="DQ338" i="17"/>
  <c r="DR338" i="17"/>
  <c r="DS338" i="17"/>
  <c r="DT338" i="17"/>
  <c r="DU338" i="17"/>
  <c r="DV338" i="17"/>
  <c r="DW338" i="17"/>
  <c r="DX338" i="17"/>
  <c r="DY338" i="17"/>
  <c r="DZ338" i="17"/>
  <c r="EA338" i="17"/>
  <c r="EB338" i="17"/>
  <c r="EC338" i="17"/>
  <c r="ED338" i="17"/>
  <c r="EE338" i="17"/>
  <c r="EF338" i="17"/>
  <c r="EG338" i="17"/>
  <c r="EH338" i="17"/>
  <c r="EI338" i="17"/>
  <c r="EJ338" i="17"/>
  <c r="EK338" i="17"/>
  <c r="EL338" i="17"/>
  <c r="EM338" i="17"/>
  <c r="EN338" i="17"/>
  <c r="EO338" i="17"/>
  <c r="EP338" i="17"/>
  <c r="EQ338" i="17"/>
  <c r="ER338" i="17"/>
  <c r="ES338" i="17"/>
  <c r="ET338" i="17"/>
  <c r="EU338" i="17"/>
  <c r="EV338" i="17"/>
  <c r="EW338" i="17"/>
  <c r="EX338" i="17"/>
  <c r="EY338" i="17"/>
  <c r="EZ338" i="17"/>
  <c r="FA338" i="17"/>
  <c r="FB338" i="17"/>
  <c r="FC338" i="17"/>
  <c r="FD338" i="17"/>
  <c r="FE338" i="17"/>
  <c r="FF338" i="17"/>
  <c r="FG338" i="17"/>
  <c r="FH338" i="17"/>
  <c r="FI338" i="17"/>
  <c r="FJ338" i="17"/>
  <c r="FK338" i="17"/>
  <c r="FL338" i="17"/>
  <c r="FM338" i="17"/>
  <c r="FN338" i="17"/>
  <c r="FO338" i="17"/>
  <c r="FP338" i="17"/>
  <c r="FQ338" i="17"/>
  <c r="FR338" i="17"/>
  <c r="FS338" i="17"/>
  <c r="FT338" i="17"/>
  <c r="FU338" i="17"/>
  <c r="FV338" i="17"/>
  <c r="FW338" i="17"/>
  <c r="FX338" i="17"/>
  <c r="FY338" i="17"/>
  <c r="FZ338" i="17"/>
  <c r="GA338" i="17"/>
  <c r="GB338" i="17"/>
  <c r="GC338" i="17"/>
  <c r="GD338" i="17"/>
  <c r="GE338" i="17"/>
  <c r="GF338" i="17"/>
  <c r="GG338" i="17"/>
  <c r="GH338" i="17"/>
  <c r="GI338" i="17"/>
  <c r="GJ338" i="17"/>
  <c r="GK338" i="17"/>
  <c r="GL338" i="17"/>
  <c r="GM338" i="17"/>
  <c r="GN338" i="17"/>
  <c r="GO338" i="17"/>
  <c r="GP338" i="17"/>
  <c r="GQ338" i="17"/>
  <c r="GR338" i="17"/>
  <c r="GS338" i="17"/>
  <c r="GT338" i="17"/>
  <c r="GU338" i="17"/>
  <c r="GV338" i="17"/>
  <c r="GW338" i="17"/>
  <c r="GX338" i="17"/>
  <c r="GY338" i="17"/>
  <c r="GZ338" i="17"/>
  <c r="HA338" i="17"/>
  <c r="HB338" i="17"/>
  <c r="HC338" i="17"/>
  <c r="HD338" i="17"/>
  <c r="HE338" i="17"/>
  <c r="HF338" i="17"/>
  <c r="HG338" i="17"/>
  <c r="HH338" i="17"/>
  <c r="HI338" i="17"/>
  <c r="HJ338" i="17"/>
  <c r="HK338" i="17"/>
  <c r="HL338" i="17"/>
  <c r="HM338" i="17"/>
  <c r="HN338" i="17"/>
  <c r="HO338" i="17"/>
  <c r="HP338" i="17"/>
  <c r="HQ338" i="17"/>
  <c r="HR338" i="17"/>
  <c r="HS338" i="17"/>
  <c r="HT338" i="17"/>
  <c r="HU338" i="17"/>
  <c r="HV338" i="17"/>
  <c r="HW338" i="17"/>
  <c r="HX338" i="17"/>
  <c r="HY338" i="17"/>
  <c r="HZ338" i="17"/>
  <c r="IA338" i="17"/>
  <c r="IB338" i="17"/>
  <c r="IC338" i="17"/>
  <c r="ID338" i="17"/>
  <c r="IE338" i="17"/>
  <c r="IF338" i="17"/>
  <c r="IG338" i="17"/>
  <c r="IH338" i="17"/>
  <c r="II338" i="17"/>
  <c r="IJ338" i="17"/>
  <c r="IK338" i="17"/>
  <c r="IL338" i="17"/>
  <c r="IM338" i="17"/>
  <c r="IN338" i="17"/>
  <c r="IO338" i="17"/>
  <c r="IP338" i="17"/>
  <c r="IQ338" i="17"/>
  <c r="IR338" i="17"/>
  <c r="IS338" i="17"/>
  <c r="IT338" i="17"/>
  <c r="IU338" i="17"/>
  <c r="IV338" i="17"/>
  <c r="A337" i="17"/>
  <c r="B337" i="17"/>
  <c r="C337" i="17"/>
  <c r="D337" i="17"/>
  <c r="E337" i="17"/>
  <c r="F337" i="17"/>
  <c r="G337" i="17"/>
  <c r="H337" i="17"/>
  <c r="I337" i="17"/>
  <c r="J337" i="17"/>
  <c r="K337" i="17"/>
  <c r="L337" i="17"/>
  <c r="M337" i="17"/>
  <c r="N337" i="17"/>
  <c r="O337" i="17"/>
  <c r="P337" i="17"/>
  <c r="Q337" i="17"/>
  <c r="R337" i="17"/>
  <c r="S337" i="17"/>
  <c r="T337" i="17"/>
  <c r="U337" i="17"/>
  <c r="V337" i="17"/>
  <c r="W337" i="17"/>
  <c r="X337" i="17"/>
  <c r="Y337" i="17"/>
  <c r="Z337" i="17"/>
  <c r="AA337" i="17"/>
  <c r="AB337" i="17"/>
  <c r="AC337" i="17"/>
  <c r="AD337" i="17"/>
  <c r="AE337" i="17"/>
  <c r="AF337" i="17"/>
  <c r="AG337" i="17"/>
  <c r="AH337" i="17"/>
  <c r="AI337" i="17"/>
  <c r="AJ337" i="17"/>
  <c r="AK337" i="17"/>
  <c r="AL337" i="17"/>
  <c r="AM337" i="17"/>
  <c r="AN337" i="17"/>
  <c r="AO337" i="17"/>
  <c r="AP337" i="17"/>
  <c r="AQ337" i="17"/>
  <c r="AR337" i="17"/>
  <c r="AS337" i="17"/>
  <c r="AT337" i="17"/>
  <c r="AU337" i="17"/>
  <c r="AV337" i="17"/>
  <c r="AW337" i="17"/>
  <c r="AX337" i="17"/>
  <c r="AY337" i="17"/>
  <c r="AZ337" i="17"/>
  <c r="BA337" i="17"/>
  <c r="BB337" i="17"/>
  <c r="BC337" i="17"/>
  <c r="BD337" i="17"/>
  <c r="BE337" i="17"/>
  <c r="BF337" i="17"/>
  <c r="BG337" i="17"/>
  <c r="BH337" i="17"/>
  <c r="BI337" i="17"/>
  <c r="BJ337" i="17"/>
  <c r="BK337" i="17"/>
  <c r="BL337" i="17"/>
  <c r="BM337" i="17"/>
  <c r="BN337" i="17"/>
  <c r="BO337" i="17"/>
  <c r="BP337" i="17"/>
  <c r="BQ337" i="17"/>
  <c r="BR337" i="17"/>
  <c r="BS337" i="17"/>
  <c r="BT337" i="17"/>
  <c r="BU337" i="17"/>
  <c r="BV337" i="17"/>
  <c r="BW337" i="17"/>
  <c r="BX337" i="17"/>
  <c r="BY337" i="17"/>
  <c r="BZ337" i="17"/>
  <c r="CA337" i="17"/>
  <c r="CB337" i="17"/>
  <c r="CC337" i="17"/>
  <c r="CD337" i="17"/>
  <c r="CE337" i="17"/>
  <c r="CF337" i="17"/>
  <c r="CG337" i="17"/>
  <c r="CH337" i="17"/>
  <c r="CI337" i="17"/>
  <c r="CJ337" i="17"/>
  <c r="CK337" i="17"/>
  <c r="CL337" i="17"/>
  <c r="CM337" i="17"/>
  <c r="CN337" i="17"/>
  <c r="CO337" i="17"/>
  <c r="CP337" i="17"/>
  <c r="CQ337" i="17"/>
  <c r="CR337" i="17"/>
  <c r="CS337" i="17"/>
  <c r="CT337" i="17"/>
  <c r="CU337" i="17"/>
  <c r="CV337" i="17"/>
  <c r="CW337" i="17"/>
  <c r="CX337" i="17"/>
  <c r="CY337" i="17"/>
  <c r="CZ337" i="17"/>
  <c r="DA337" i="17"/>
  <c r="DB337" i="17"/>
  <c r="DC337" i="17"/>
  <c r="DD337" i="17"/>
  <c r="DE337" i="17"/>
  <c r="DF337" i="17"/>
  <c r="DG337" i="17"/>
  <c r="DH337" i="17"/>
  <c r="DI337" i="17"/>
  <c r="DJ337" i="17"/>
  <c r="DK337" i="17"/>
  <c r="DL337" i="17"/>
  <c r="DM337" i="17"/>
  <c r="DN337" i="17"/>
  <c r="DO337" i="17"/>
  <c r="DP337" i="17"/>
  <c r="DQ337" i="17"/>
  <c r="DR337" i="17"/>
  <c r="DS337" i="17"/>
  <c r="DT337" i="17"/>
  <c r="DU337" i="17"/>
  <c r="DV337" i="17"/>
  <c r="DW337" i="17"/>
  <c r="DX337" i="17"/>
  <c r="DY337" i="17"/>
  <c r="DZ337" i="17"/>
  <c r="EA337" i="17"/>
  <c r="EB337" i="17"/>
  <c r="EC337" i="17"/>
  <c r="ED337" i="17"/>
  <c r="EE337" i="17"/>
  <c r="EF337" i="17"/>
  <c r="EG337" i="17"/>
  <c r="EH337" i="17"/>
  <c r="EI337" i="17"/>
  <c r="EJ337" i="17"/>
  <c r="EK337" i="17"/>
  <c r="EL337" i="17"/>
  <c r="EM337" i="17"/>
  <c r="EN337" i="17"/>
  <c r="EO337" i="17"/>
  <c r="EP337" i="17"/>
  <c r="EQ337" i="17"/>
  <c r="ER337" i="17"/>
  <c r="ES337" i="17"/>
  <c r="ET337" i="17"/>
  <c r="EU337" i="17"/>
  <c r="EV337" i="17"/>
  <c r="EW337" i="17"/>
  <c r="EX337" i="17"/>
  <c r="EY337" i="17"/>
  <c r="EZ337" i="17"/>
  <c r="FA337" i="17"/>
  <c r="FB337" i="17"/>
  <c r="FC337" i="17"/>
  <c r="FD337" i="17"/>
  <c r="FE337" i="17"/>
  <c r="FF337" i="17"/>
  <c r="FG337" i="17"/>
  <c r="FH337" i="17"/>
  <c r="FI337" i="17"/>
  <c r="FJ337" i="17"/>
  <c r="FK337" i="17"/>
  <c r="FL337" i="17"/>
  <c r="FM337" i="17"/>
  <c r="FN337" i="17"/>
  <c r="FO337" i="17"/>
  <c r="FP337" i="17"/>
  <c r="FQ337" i="17"/>
  <c r="FR337" i="17"/>
  <c r="FS337" i="17"/>
  <c r="FT337" i="17"/>
  <c r="FU337" i="17"/>
  <c r="FV337" i="17"/>
  <c r="FW337" i="17"/>
  <c r="FX337" i="17"/>
  <c r="FY337" i="17"/>
  <c r="FZ337" i="17"/>
  <c r="GA337" i="17"/>
  <c r="GB337" i="17"/>
  <c r="GC337" i="17"/>
  <c r="GD337" i="17"/>
  <c r="GE337" i="17"/>
  <c r="GF337" i="17"/>
  <c r="GG337" i="17"/>
  <c r="GH337" i="17"/>
  <c r="GI337" i="17"/>
  <c r="GJ337" i="17"/>
  <c r="GK337" i="17"/>
  <c r="GL337" i="17"/>
  <c r="GM337" i="17"/>
  <c r="GN337" i="17"/>
  <c r="GO337" i="17"/>
  <c r="GP337" i="17"/>
  <c r="GQ337" i="17"/>
  <c r="GR337" i="17"/>
  <c r="GS337" i="17"/>
  <c r="GT337" i="17"/>
  <c r="GU337" i="17"/>
  <c r="GV337" i="17"/>
  <c r="GW337" i="17"/>
  <c r="GX337" i="17"/>
  <c r="GY337" i="17"/>
  <c r="GZ337" i="17"/>
  <c r="HA337" i="17"/>
  <c r="HB337" i="17"/>
  <c r="HC337" i="17"/>
  <c r="HD337" i="17"/>
  <c r="HE337" i="17"/>
  <c r="HF337" i="17"/>
  <c r="HG337" i="17"/>
  <c r="HH337" i="17"/>
  <c r="HI337" i="17"/>
  <c r="HJ337" i="17"/>
  <c r="HK337" i="17"/>
  <c r="HL337" i="17"/>
  <c r="HM337" i="17"/>
  <c r="HN337" i="17"/>
  <c r="HO337" i="17"/>
  <c r="HP337" i="17"/>
  <c r="HQ337" i="17"/>
  <c r="HR337" i="17"/>
  <c r="HS337" i="17"/>
  <c r="HT337" i="17"/>
  <c r="HU337" i="17"/>
  <c r="HV337" i="17"/>
  <c r="HW337" i="17"/>
  <c r="HX337" i="17"/>
  <c r="HY337" i="17"/>
  <c r="HZ337" i="17"/>
  <c r="IA337" i="17"/>
  <c r="IB337" i="17"/>
  <c r="IC337" i="17"/>
  <c r="ID337" i="17"/>
  <c r="IE337" i="17"/>
  <c r="IF337" i="17"/>
  <c r="IG337" i="17"/>
  <c r="IH337" i="17"/>
  <c r="II337" i="17"/>
  <c r="IJ337" i="17"/>
  <c r="IK337" i="17"/>
  <c r="IL337" i="17"/>
  <c r="IM337" i="17"/>
  <c r="IN337" i="17"/>
  <c r="IO337" i="17"/>
  <c r="IP337" i="17"/>
  <c r="IQ337" i="17"/>
  <c r="IR337" i="17"/>
  <c r="IS337" i="17"/>
  <c r="IT337" i="17"/>
  <c r="IU337" i="17"/>
  <c r="IV337" i="17"/>
  <c r="A336" i="17"/>
  <c r="B336" i="17"/>
  <c r="C336" i="17"/>
  <c r="D336" i="17"/>
  <c r="E336" i="17"/>
  <c r="F336" i="17"/>
  <c r="G336" i="17"/>
  <c r="H336" i="17"/>
  <c r="I336" i="17"/>
  <c r="J336" i="17"/>
  <c r="K336" i="17"/>
  <c r="L336" i="17"/>
  <c r="M336" i="17"/>
  <c r="N336" i="17"/>
  <c r="O336" i="17"/>
  <c r="P336" i="17"/>
  <c r="Q336" i="17"/>
  <c r="R336" i="17"/>
  <c r="S336" i="17"/>
  <c r="T336" i="17"/>
  <c r="U336" i="17"/>
  <c r="V336" i="17"/>
  <c r="W336" i="17"/>
  <c r="X336" i="17"/>
  <c r="Y336" i="17"/>
  <c r="Z336" i="17"/>
  <c r="AA336" i="17"/>
  <c r="AB336" i="17"/>
  <c r="AC336" i="17"/>
  <c r="AD336" i="17"/>
  <c r="AE336" i="17"/>
  <c r="AF336" i="17"/>
  <c r="AG336" i="17"/>
  <c r="AH336" i="17"/>
  <c r="AI336" i="17"/>
  <c r="AJ336" i="17"/>
  <c r="AK336" i="17"/>
  <c r="AL336" i="17"/>
  <c r="AM336" i="17"/>
  <c r="AN336" i="17"/>
  <c r="AO336" i="17"/>
  <c r="AP336" i="17"/>
  <c r="AQ336" i="17"/>
  <c r="AR336" i="17"/>
  <c r="AS336" i="17"/>
  <c r="AT336" i="17"/>
  <c r="AU336" i="17"/>
  <c r="AV336" i="17"/>
  <c r="AW336" i="17"/>
  <c r="AX336" i="17"/>
  <c r="AY336" i="17"/>
  <c r="AZ336" i="17"/>
  <c r="BA336" i="17"/>
  <c r="BB336" i="17"/>
  <c r="BC336" i="17"/>
  <c r="BD336" i="17"/>
  <c r="BE336" i="17"/>
  <c r="BF336" i="17"/>
  <c r="BG336" i="17"/>
  <c r="BH336" i="17"/>
  <c r="BI336" i="17"/>
  <c r="BJ336" i="17"/>
  <c r="BK336" i="17"/>
  <c r="BL336" i="17"/>
  <c r="BM336" i="17"/>
  <c r="BN336" i="17"/>
  <c r="BO336" i="17"/>
  <c r="BP336" i="17"/>
  <c r="BQ336" i="17"/>
  <c r="BR336" i="17"/>
  <c r="BS336" i="17"/>
  <c r="BT336" i="17"/>
  <c r="BU336" i="17"/>
  <c r="BV336" i="17"/>
  <c r="BW336" i="17"/>
  <c r="BX336" i="17"/>
  <c r="BY336" i="17"/>
  <c r="BZ336" i="17"/>
  <c r="CA336" i="17"/>
  <c r="CB336" i="17"/>
  <c r="CC336" i="17"/>
  <c r="CD336" i="17"/>
  <c r="CE336" i="17"/>
  <c r="CF336" i="17"/>
  <c r="CG336" i="17"/>
  <c r="CH336" i="17"/>
  <c r="CI336" i="17"/>
  <c r="CJ336" i="17"/>
  <c r="CK336" i="17"/>
  <c r="CL336" i="17"/>
  <c r="CM336" i="17"/>
  <c r="CN336" i="17"/>
  <c r="CO336" i="17"/>
  <c r="CP336" i="17"/>
  <c r="CQ336" i="17"/>
  <c r="CR336" i="17"/>
  <c r="CS336" i="17"/>
  <c r="CT336" i="17"/>
  <c r="CU336" i="17"/>
  <c r="CV336" i="17"/>
  <c r="CW336" i="17"/>
  <c r="CX336" i="17"/>
  <c r="CY336" i="17"/>
  <c r="CZ336" i="17"/>
  <c r="DA336" i="17"/>
  <c r="DB336" i="17"/>
  <c r="DC336" i="17"/>
  <c r="DD336" i="17"/>
  <c r="DE336" i="17"/>
  <c r="DF336" i="17"/>
  <c r="DG336" i="17"/>
  <c r="DH336" i="17"/>
  <c r="DI336" i="17"/>
  <c r="DJ336" i="17"/>
  <c r="DK336" i="17"/>
  <c r="DL336" i="17"/>
  <c r="DM336" i="17"/>
  <c r="DN336" i="17"/>
  <c r="DO336" i="17"/>
  <c r="DP336" i="17"/>
  <c r="DQ336" i="17"/>
  <c r="DR336" i="17"/>
  <c r="DS336" i="17"/>
  <c r="DT336" i="17"/>
  <c r="DU336" i="17"/>
  <c r="DV336" i="17"/>
  <c r="DW336" i="17"/>
  <c r="DX336" i="17"/>
  <c r="DY336" i="17"/>
  <c r="DZ336" i="17"/>
  <c r="EA336" i="17"/>
  <c r="EB336" i="17"/>
  <c r="EC336" i="17"/>
  <c r="ED336" i="17"/>
  <c r="EE336" i="17"/>
  <c r="EF336" i="17"/>
  <c r="EG336" i="17"/>
  <c r="EH336" i="17"/>
  <c r="EI336" i="17"/>
  <c r="EJ336" i="17"/>
  <c r="EK336" i="17"/>
  <c r="EL336" i="17"/>
  <c r="EM336" i="17"/>
  <c r="EN336" i="17"/>
  <c r="EO336" i="17"/>
  <c r="EP336" i="17"/>
  <c r="EQ336" i="17"/>
  <c r="ER336" i="17"/>
  <c r="ES336" i="17"/>
  <c r="ET336" i="17"/>
  <c r="EU336" i="17"/>
  <c r="EV336" i="17"/>
  <c r="EW336" i="17"/>
  <c r="EX336" i="17"/>
  <c r="EY336" i="17"/>
  <c r="EZ336" i="17"/>
  <c r="FA336" i="17"/>
  <c r="FB336" i="17"/>
  <c r="FC336" i="17"/>
  <c r="FD336" i="17"/>
  <c r="FE336" i="17"/>
  <c r="FF336" i="17"/>
  <c r="FG336" i="17"/>
  <c r="FH336" i="17"/>
  <c r="FI336" i="17"/>
  <c r="FJ336" i="17"/>
  <c r="FK336" i="17"/>
  <c r="FL336" i="17"/>
  <c r="FM336" i="17"/>
  <c r="FN336" i="17"/>
  <c r="FO336" i="17"/>
  <c r="FP336" i="17"/>
  <c r="FQ336" i="17"/>
  <c r="FR336" i="17"/>
  <c r="FS336" i="17"/>
  <c r="FT336" i="17"/>
  <c r="FU336" i="17"/>
  <c r="FV336" i="17"/>
  <c r="FW336" i="17"/>
  <c r="FX336" i="17"/>
  <c r="FY336" i="17"/>
  <c r="FZ336" i="17"/>
  <c r="GA336" i="17"/>
  <c r="GB336" i="17"/>
  <c r="GC336" i="17"/>
  <c r="GD336" i="17"/>
  <c r="GE336" i="17"/>
  <c r="GF336" i="17"/>
  <c r="GG336" i="17"/>
  <c r="GH336" i="17"/>
  <c r="GI336" i="17"/>
  <c r="GJ336" i="17"/>
  <c r="GK336" i="17"/>
  <c r="GL336" i="17"/>
  <c r="GM336" i="17"/>
  <c r="GN336" i="17"/>
  <c r="GO336" i="17"/>
  <c r="GP336" i="17"/>
  <c r="GQ336" i="17"/>
  <c r="GR336" i="17"/>
  <c r="GS336" i="17"/>
  <c r="GT336" i="17"/>
  <c r="GU336" i="17"/>
  <c r="GV336" i="17"/>
  <c r="GW336" i="17"/>
  <c r="GX336" i="17"/>
  <c r="GY336" i="17"/>
  <c r="GZ336" i="17"/>
  <c r="HA336" i="17"/>
  <c r="HB336" i="17"/>
  <c r="HC336" i="17"/>
  <c r="HD336" i="17"/>
  <c r="HE336" i="17"/>
  <c r="HF336" i="17"/>
  <c r="HG336" i="17"/>
  <c r="HH336" i="17"/>
  <c r="HI336" i="17"/>
  <c r="HJ336" i="17"/>
  <c r="HK336" i="17"/>
  <c r="HL336" i="17"/>
  <c r="HM336" i="17"/>
  <c r="HN336" i="17"/>
  <c r="HO336" i="17"/>
  <c r="HP336" i="17"/>
  <c r="HQ336" i="17"/>
  <c r="HR336" i="17"/>
  <c r="HS336" i="17"/>
  <c r="HT336" i="17"/>
  <c r="HU336" i="17"/>
  <c r="HV336" i="17"/>
  <c r="HW336" i="17"/>
  <c r="HX336" i="17"/>
  <c r="HY336" i="17"/>
  <c r="HZ336" i="17"/>
  <c r="IA336" i="17"/>
  <c r="IB336" i="17"/>
  <c r="IC336" i="17"/>
  <c r="ID336" i="17"/>
  <c r="IE336" i="17"/>
  <c r="IF336" i="17"/>
  <c r="IG336" i="17"/>
  <c r="IH336" i="17"/>
  <c r="II336" i="17"/>
  <c r="IJ336" i="17"/>
  <c r="IK336" i="17"/>
  <c r="IL336" i="17"/>
  <c r="IM336" i="17"/>
  <c r="IN336" i="17"/>
  <c r="IO336" i="17"/>
  <c r="IP336" i="17"/>
  <c r="IQ336" i="17"/>
  <c r="IR336" i="17"/>
  <c r="IS336" i="17"/>
  <c r="IT336" i="17"/>
  <c r="IU336" i="17"/>
  <c r="IV336" i="17"/>
  <c r="A335" i="17"/>
  <c r="B335" i="17"/>
  <c r="C335" i="17"/>
  <c r="D335" i="17"/>
  <c r="E335" i="17"/>
  <c r="F335" i="17"/>
  <c r="G335" i="17"/>
  <c r="H335" i="17"/>
  <c r="I335" i="17"/>
  <c r="J335" i="17"/>
  <c r="K335" i="17"/>
  <c r="L335" i="17"/>
  <c r="M335" i="17"/>
  <c r="N335" i="17"/>
  <c r="O335" i="17"/>
  <c r="P335" i="17"/>
  <c r="Q335" i="17"/>
  <c r="R335" i="17"/>
  <c r="S335" i="17"/>
  <c r="T335" i="17"/>
  <c r="U335" i="17"/>
  <c r="V335" i="17"/>
  <c r="W335" i="17"/>
  <c r="X335" i="17"/>
  <c r="Y335" i="17"/>
  <c r="Z335" i="17"/>
  <c r="AA335" i="17"/>
  <c r="AB335" i="17"/>
  <c r="AC335" i="17"/>
  <c r="AD335" i="17"/>
  <c r="AE335" i="17"/>
  <c r="AF335" i="17"/>
  <c r="AG335" i="17"/>
  <c r="AH335" i="17"/>
  <c r="AI335" i="17"/>
  <c r="AJ335" i="17"/>
  <c r="AK335" i="17"/>
  <c r="AL335" i="17"/>
  <c r="AM335" i="17"/>
  <c r="AN335" i="17"/>
  <c r="AO335" i="17"/>
  <c r="AP335" i="17"/>
  <c r="AQ335" i="17"/>
  <c r="AR335" i="17"/>
  <c r="AS335" i="17"/>
  <c r="AT335" i="17"/>
  <c r="AU335" i="17"/>
  <c r="AV335" i="17"/>
  <c r="AW335" i="17"/>
  <c r="AX335" i="17"/>
  <c r="AY335" i="17"/>
  <c r="AZ335" i="17"/>
  <c r="BA335" i="17"/>
  <c r="BB335" i="17"/>
  <c r="BC335" i="17"/>
  <c r="BD335" i="17"/>
  <c r="BE335" i="17"/>
  <c r="BF335" i="17"/>
  <c r="BG335" i="17"/>
  <c r="BH335" i="17"/>
  <c r="BI335" i="17"/>
  <c r="BJ335" i="17"/>
  <c r="BK335" i="17"/>
  <c r="BL335" i="17"/>
  <c r="BM335" i="17"/>
  <c r="BN335" i="17"/>
  <c r="BO335" i="17"/>
  <c r="BP335" i="17"/>
  <c r="BQ335" i="17"/>
  <c r="BR335" i="17"/>
  <c r="BS335" i="17"/>
  <c r="BT335" i="17"/>
  <c r="BU335" i="17"/>
  <c r="BV335" i="17"/>
  <c r="BW335" i="17"/>
  <c r="BX335" i="17"/>
  <c r="BY335" i="17"/>
  <c r="BZ335" i="17"/>
  <c r="CA335" i="17"/>
  <c r="CB335" i="17"/>
  <c r="CC335" i="17"/>
  <c r="CD335" i="17"/>
  <c r="CE335" i="17"/>
  <c r="CF335" i="17"/>
  <c r="CG335" i="17"/>
  <c r="CH335" i="17"/>
  <c r="CI335" i="17"/>
  <c r="CJ335" i="17"/>
  <c r="CK335" i="17"/>
  <c r="CL335" i="17"/>
  <c r="CM335" i="17"/>
  <c r="CN335" i="17"/>
  <c r="CO335" i="17"/>
  <c r="CP335" i="17"/>
  <c r="CQ335" i="17"/>
  <c r="CR335" i="17"/>
  <c r="CS335" i="17"/>
  <c r="CT335" i="17"/>
  <c r="CU335" i="17"/>
  <c r="CV335" i="17"/>
  <c r="CW335" i="17"/>
  <c r="CX335" i="17"/>
  <c r="CY335" i="17"/>
  <c r="CZ335" i="17"/>
  <c r="DA335" i="17"/>
  <c r="DB335" i="17"/>
  <c r="DC335" i="17"/>
  <c r="DD335" i="17"/>
  <c r="DE335" i="17"/>
  <c r="DF335" i="17"/>
  <c r="DG335" i="17"/>
  <c r="DH335" i="17"/>
  <c r="DI335" i="17"/>
  <c r="DJ335" i="17"/>
  <c r="DK335" i="17"/>
  <c r="DL335" i="17"/>
  <c r="DM335" i="17"/>
  <c r="DN335" i="17"/>
  <c r="DO335" i="17"/>
  <c r="DP335" i="17"/>
  <c r="DQ335" i="17"/>
  <c r="DR335" i="17"/>
  <c r="DS335" i="17"/>
  <c r="DT335" i="17"/>
  <c r="DU335" i="17"/>
  <c r="DV335" i="17"/>
  <c r="DW335" i="17"/>
  <c r="DX335" i="17"/>
  <c r="DY335" i="17"/>
  <c r="DZ335" i="17"/>
  <c r="EA335" i="17"/>
  <c r="EB335" i="17"/>
  <c r="EC335" i="17"/>
  <c r="ED335" i="17"/>
  <c r="EE335" i="17"/>
  <c r="EF335" i="17"/>
  <c r="EG335" i="17"/>
  <c r="EH335" i="17"/>
  <c r="EI335" i="17"/>
  <c r="EJ335" i="17"/>
  <c r="EK335" i="17"/>
  <c r="EL335" i="17"/>
  <c r="EM335" i="17"/>
  <c r="EN335" i="17"/>
  <c r="EO335" i="17"/>
  <c r="EP335" i="17"/>
  <c r="EQ335" i="17"/>
  <c r="ER335" i="17"/>
  <c r="ES335" i="17"/>
  <c r="ET335" i="17"/>
  <c r="EU335" i="17"/>
  <c r="EV335" i="17"/>
  <c r="EW335" i="17"/>
  <c r="EX335" i="17"/>
  <c r="EY335" i="17"/>
  <c r="EZ335" i="17"/>
  <c r="FA335" i="17"/>
  <c r="FB335" i="17"/>
  <c r="FC335" i="17"/>
  <c r="FD335" i="17"/>
  <c r="FE335" i="17"/>
  <c r="FF335" i="17"/>
  <c r="FG335" i="17"/>
  <c r="FH335" i="17"/>
  <c r="FI335" i="17"/>
  <c r="FJ335" i="17"/>
  <c r="FK335" i="17"/>
  <c r="FL335" i="17"/>
  <c r="FM335" i="17"/>
  <c r="FN335" i="17"/>
  <c r="FO335" i="17"/>
  <c r="FP335" i="17"/>
  <c r="FQ335" i="17"/>
  <c r="FR335" i="17"/>
  <c r="FS335" i="17"/>
  <c r="FT335" i="17"/>
  <c r="FU335" i="17"/>
  <c r="FV335" i="17"/>
  <c r="FW335" i="17"/>
  <c r="FX335" i="17"/>
  <c r="FY335" i="17"/>
  <c r="FZ335" i="17"/>
  <c r="GA335" i="17"/>
  <c r="GB335" i="17"/>
  <c r="GC335" i="17"/>
  <c r="GD335" i="17"/>
  <c r="GE335" i="17"/>
  <c r="GF335" i="17"/>
  <c r="GG335" i="17"/>
  <c r="GH335" i="17"/>
  <c r="GI335" i="17"/>
  <c r="GJ335" i="17"/>
  <c r="GK335" i="17"/>
  <c r="GL335" i="17"/>
  <c r="GM335" i="17"/>
  <c r="GN335" i="17"/>
  <c r="GO335" i="17"/>
  <c r="GP335" i="17"/>
  <c r="GQ335" i="17"/>
  <c r="GR335" i="17"/>
  <c r="GS335" i="17"/>
  <c r="GT335" i="17"/>
  <c r="GU335" i="17"/>
  <c r="GV335" i="17"/>
  <c r="GW335" i="17"/>
  <c r="GX335" i="17"/>
  <c r="GY335" i="17"/>
  <c r="GZ335" i="17"/>
  <c r="HA335" i="17"/>
  <c r="HB335" i="17"/>
  <c r="HC335" i="17"/>
  <c r="HD335" i="17"/>
  <c r="HE335" i="17"/>
  <c r="HF335" i="17"/>
  <c r="HG335" i="17"/>
  <c r="HH335" i="17"/>
  <c r="HI335" i="17"/>
  <c r="HJ335" i="17"/>
  <c r="HK335" i="17"/>
  <c r="HL335" i="17"/>
  <c r="HM335" i="17"/>
  <c r="HN335" i="17"/>
  <c r="HO335" i="17"/>
  <c r="HP335" i="17"/>
  <c r="HQ335" i="17"/>
  <c r="HR335" i="17"/>
  <c r="HS335" i="17"/>
  <c r="HT335" i="17"/>
  <c r="HU335" i="17"/>
  <c r="HV335" i="17"/>
  <c r="HW335" i="17"/>
  <c r="HX335" i="17"/>
  <c r="HY335" i="17"/>
  <c r="HZ335" i="17"/>
  <c r="IA335" i="17"/>
  <c r="IB335" i="17"/>
  <c r="IC335" i="17"/>
  <c r="ID335" i="17"/>
  <c r="IE335" i="17"/>
  <c r="IF335" i="17"/>
  <c r="IG335" i="17"/>
  <c r="IH335" i="17"/>
  <c r="II335" i="17"/>
  <c r="IJ335" i="17"/>
  <c r="IK335" i="17"/>
  <c r="IL335" i="17"/>
  <c r="IM335" i="17"/>
  <c r="IN335" i="17"/>
  <c r="IO335" i="17"/>
  <c r="IP335" i="17"/>
  <c r="IQ335" i="17"/>
  <c r="IR335" i="17"/>
  <c r="IS335" i="17"/>
  <c r="IT335" i="17"/>
  <c r="IU335" i="17"/>
  <c r="IV335" i="17"/>
  <c r="A334" i="17"/>
  <c r="B334" i="17"/>
  <c r="C334" i="17"/>
  <c r="D334" i="17"/>
  <c r="E334" i="17"/>
  <c r="F334" i="17"/>
  <c r="G334" i="17"/>
  <c r="H334" i="17"/>
  <c r="I334" i="17"/>
  <c r="J334" i="17"/>
  <c r="K334" i="17"/>
  <c r="L334" i="17"/>
  <c r="M334" i="17"/>
  <c r="N334" i="17"/>
  <c r="O334" i="17"/>
  <c r="P334" i="17"/>
  <c r="Q334" i="17"/>
  <c r="R334" i="17"/>
  <c r="S334" i="17"/>
  <c r="T334" i="17"/>
  <c r="U334" i="17"/>
  <c r="V334" i="17"/>
  <c r="W334" i="17"/>
  <c r="X334" i="17"/>
  <c r="Y334" i="17"/>
  <c r="Z334" i="17"/>
  <c r="AA334" i="17"/>
  <c r="AB334" i="17"/>
  <c r="AC334" i="17"/>
  <c r="AD334" i="17"/>
  <c r="AE334" i="17"/>
  <c r="AF334" i="17"/>
  <c r="AG334" i="17"/>
  <c r="AH334" i="17"/>
  <c r="AI334" i="17"/>
  <c r="AJ334" i="17"/>
  <c r="AK334" i="17"/>
  <c r="AL334" i="17"/>
  <c r="AM334" i="17"/>
  <c r="AN334" i="17"/>
  <c r="AO334" i="17"/>
  <c r="AP334" i="17"/>
  <c r="AQ334" i="17"/>
  <c r="AR334" i="17"/>
  <c r="AS334" i="17"/>
  <c r="AT334" i="17"/>
  <c r="AU334" i="17"/>
  <c r="AV334" i="17"/>
  <c r="AW334" i="17"/>
  <c r="AX334" i="17"/>
  <c r="AY334" i="17"/>
  <c r="AZ334" i="17"/>
  <c r="BA334" i="17"/>
  <c r="BB334" i="17"/>
  <c r="BC334" i="17"/>
  <c r="BD334" i="17"/>
  <c r="BE334" i="17"/>
  <c r="BF334" i="17"/>
  <c r="BG334" i="17"/>
  <c r="BH334" i="17"/>
  <c r="BI334" i="17"/>
  <c r="BJ334" i="17"/>
  <c r="BK334" i="17"/>
  <c r="BL334" i="17"/>
  <c r="BM334" i="17"/>
  <c r="BN334" i="17"/>
  <c r="BO334" i="17"/>
  <c r="BP334" i="17"/>
  <c r="BQ334" i="17"/>
  <c r="BR334" i="17"/>
  <c r="BS334" i="17"/>
  <c r="BT334" i="17"/>
  <c r="BU334" i="17"/>
  <c r="BV334" i="17"/>
  <c r="BW334" i="17"/>
  <c r="BX334" i="17"/>
  <c r="BY334" i="17"/>
  <c r="BZ334" i="17"/>
  <c r="CA334" i="17"/>
  <c r="CB334" i="17"/>
  <c r="CC334" i="17"/>
  <c r="CD334" i="17"/>
  <c r="CE334" i="17"/>
  <c r="CF334" i="17"/>
  <c r="CG334" i="17"/>
  <c r="CH334" i="17"/>
  <c r="CI334" i="17"/>
  <c r="CJ334" i="17"/>
  <c r="CK334" i="17"/>
  <c r="CL334" i="17"/>
  <c r="CM334" i="17"/>
  <c r="CN334" i="17"/>
  <c r="CO334" i="17"/>
  <c r="CP334" i="17"/>
  <c r="CQ334" i="17"/>
  <c r="CR334" i="17"/>
  <c r="CS334" i="17"/>
  <c r="CT334" i="17"/>
  <c r="CU334" i="17"/>
  <c r="CV334" i="17"/>
  <c r="CW334" i="17"/>
  <c r="CX334" i="17"/>
  <c r="CY334" i="17"/>
  <c r="CZ334" i="17"/>
  <c r="DA334" i="17"/>
  <c r="DB334" i="17"/>
  <c r="DC334" i="17"/>
  <c r="DD334" i="17"/>
  <c r="DE334" i="17"/>
  <c r="DF334" i="17"/>
  <c r="DG334" i="17"/>
  <c r="DH334" i="17"/>
  <c r="DI334" i="17"/>
  <c r="DJ334" i="17"/>
  <c r="DK334" i="17"/>
  <c r="DL334" i="17"/>
  <c r="DM334" i="17"/>
  <c r="DN334" i="17"/>
  <c r="DO334" i="17"/>
  <c r="DP334" i="17"/>
  <c r="DQ334" i="17"/>
  <c r="DR334" i="17"/>
  <c r="DS334" i="17"/>
  <c r="DT334" i="17"/>
  <c r="DU334" i="17"/>
  <c r="DV334" i="17"/>
  <c r="DW334" i="17"/>
  <c r="DX334" i="17"/>
  <c r="DY334" i="17"/>
  <c r="DZ334" i="17"/>
  <c r="EA334" i="17"/>
  <c r="EB334" i="17"/>
  <c r="EC334" i="17"/>
  <c r="ED334" i="17"/>
  <c r="EE334" i="17"/>
  <c r="EF334" i="17"/>
  <c r="EG334" i="17"/>
  <c r="EH334" i="17"/>
  <c r="EI334" i="17"/>
  <c r="EJ334" i="17"/>
  <c r="EK334" i="17"/>
  <c r="EL334" i="17"/>
  <c r="EM334" i="17"/>
  <c r="EN334" i="17"/>
  <c r="EO334" i="17"/>
  <c r="EP334" i="17"/>
  <c r="EQ334" i="17"/>
  <c r="ER334" i="17"/>
  <c r="ES334" i="17"/>
  <c r="ET334" i="17"/>
  <c r="EU334" i="17"/>
  <c r="EV334" i="17"/>
  <c r="EW334" i="17"/>
  <c r="EX334" i="17"/>
  <c r="EY334" i="17"/>
  <c r="EZ334" i="17"/>
  <c r="FA334" i="17"/>
  <c r="FB334" i="17"/>
  <c r="FC334" i="17"/>
  <c r="FD334" i="17"/>
  <c r="FE334" i="17"/>
  <c r="FF334" i="17"/>
  <c r="FG334" i="17"/>
  <c r="FH334" i="17"/>
  <c r="FI334" i="17"/>
  <c r="FJ334" i="17"/>
  <c r="FK334" i="17"/>
  <c r="FL334" i="17"/>
  <c r="FM334" i="17"/>
  <c r="FN334" i="17"/>
  <c r="FO334" i="17"/>
  <c r="FP334" i="17"/>
  <c r="FQ334" i="17"/>
  <c r="FR334" i="17"/>
  <c r="FS334" i="17"/>
  <c r="FT334" i="17"/>
  <c r="FU334" i="17"/>
  <c r="FV334" i="17"/>
  <c r="FW334" i="17"/>
  <c r="FX334" i="17"/>
  <c r="FY334" i="17"/>
  <c r="FZ334" i="17"/>
  <c r="GA334" i="17"/>
  <c r="GB334" i="17"/>
  <c r="GC334" i="17"/>
  <c r="GD334" i="17"/>
  <c r="GE334" i="17"/>
  <c r="GF334" i="17"/>
  <c r="GG334" i="17"/>
  <c r="GH334" i="17"/>
  <c r="GI334" i="17"/>
  <c r="GJ334" i="17"/>
  <c r="GK334" i="17"/>
  <c r="GL334" i="17"/>
  <c r="GM334" i="17"/>
  <c r="GN334" i="17"/>
  <c r="GO334" i="17"/>
  <c r="GP334" i="17"/>
  <c r="GQ334" i="17"/>
  <c r="GR334" i="17"/>
  <c r="GS334" i="17"/>
  <c r="GT334" i="17"/>
  <c r="GU334" i="17"/>
  <c r="GV334" i="17"/>
  <c r="GW334" i="17"/>
  <c r="GX334" i="17"/>
  <c r="GY334" i="17"/>
  <c r="GZ334" i="17"/>
  <c r="HA334" i="17"/>
  <c r="HB334" i="17"/>
  <c r="HC334" i="17"/>
  <c r="HD334" i="17"/>
  <c r="HE334" i="17"/>
  <c r="HF334" i="17"/>
  <c r="HG334" i="17"/>
  <c r="HH334" i="17"/>
  <c r="HI334" i="17"/>
  <c r="HJ334" i="17"/>
  <c r="HK334" i="17"/>
  <c r="HL334" i="17"/>
  <c r="HM334" i="17"/>
  <c r="HN334" i="17"/>
  <c r="HO334" i="17"/>
  <c r="HP334" i="17"/>
  <c r="HQ334" i="17"/>
  <c r="HR334" i="17"/>
  <c r="HS334" i="17"/>
  <c r="HT334" i="17"/>
  <c r="HU334" i="17"/>
  <c r="HV334" i="17"/>
  <c r="HW334" i="17"/>
  <c r="HX334" i="17"/>
  <c r="HY334" i="17"/>
  <c r="HZ334" i="17"/>
  <c r="IA334" i="17"/>
  <c r="IB334" i="17"/>
  <c r="IC334" i="17"/>
  <c r="ID334" i="17"/>
  <c r="IE334" i="17"/>
  <c r="IF334" i="17"/>
  <c r="IG334" i="17"/>
  <c r="IH334" i="17"/>
  <c r="II334" i="17"/>
  <c r="IJ334" i="17"/>
  <c r="IK334" i="17"/>
  <c r="IL334" i="17"/>
  <c r="IM334" i="17"/>
  <c r="IN334" i="17"/>
  <c r="IO334" i="17"/>
  <c r="IP334" i="17"/>
  <c r="IQ334" i="17"/>
  <c r="IR334" i="17"/>
  <c r="IS334" i="17"/>
  <c r="IT334" i="17"/>
  <c r="IU334" i="17"/>
  <c r="IV334" i="17"/>
  <c r="A333" i="17"/>
  <c r="B333" i="17"/>
  <c r="C333" i="17"/>
  <c r="D333" i="17"/>
  <c r="E333" i="17"/>
  <c r="F333" i="17"/>
  <c r="G333" i="17"/>
  <c r="H333" i="17"/>
  <c r="I333" i="17"/>
  <c r="J333" i="17"/>
  <c r="K333" i="17"/>
  <c r="L333" i="17"/>
  <c r="M333" i="17"/>
  <c r="N333" i="17"/>
  <c r="O333" i="17"/>
  <c r="P333" i="17"/>
  <c r="Q333" i="17"/>
  <c r="R333" i="17"/>
  <c r="S333" i="17"/>
  <c r="T333" i="17"/>
  <c r="U333" i="17"/>
  <c r="V333" i="17"/>
  <c r="W333" i="17"/>
  <c r="X333" i="17"/>
  <c r="Y333" i="17"/>
  <c r="Z333" i="17"/>
  <c r="AA333" i="17"/>
  <c r="AB333" i="17"/>
  <c r="AC333" i="17"/>
  <c r="AD333" i="17"/>
  <c r="AE333" i="17"/>
  <c r="AF333" i="17"/>
  <c r="AG333" i="17"/>
  <c r="AH333" i="17"/>
  <c r="AI333" i="17"/>
  <c r="AJ333" i="17"/>
  <c r="AK333" i="17"/>
  <c r="AL333" i="17"/>
  <c r="AM333" i="17"/>
  <c r="AN333" i="17"/>
  <c r="AO333" i="17"/>
  <c r="AP333" i="17"/>
  <c r="AQ333" i="17"/>
  <c r="AR333" i="17"/>
  <c r="AS333" i="17"/>
  <c r="AT333" i="17"/>
  <c r="AU333" i="17"/>
  <c r="AV333" i="17"/>
  <c r="AW333" i="17"/>
  <c r="AX333" i="17"/>
  <c r="AY333" i="17"/>
  <c r="AZ333" i="17"/>
  <c r="BA333" i="17"/>
  <c r="BB333" i="17"/>
  <c r="BC333" i="17"/>
  <c r="BD333" i="17"/>
  <c r="BE333" i="17"/>
  <c r="BF333" i="17"/>
  <c r="BG333" i="17"/>
  <c r="BH333" i="17"/>
  <c r="BI333" i="17"/>
  <c r="BJ333" i="17"/>
  <c r="BK333" i="17"/>
  <c r="BL333" i="17"/>
  <c r="BM333" i="17"/>
  <c r="BN333" i="17"/>
  <c r="BO333" i="17"/>
  <c r="BP333" i="17"/>
  <c r="BQ333" i="17"/>
  <c r="BR333" i="17"/>
  <c r="BS333" i="17"/>
  <c r="BT333" i="17"/>
  <c r="BU333" i="17"/>
  <c r="BV333" i="17"/>
  <c r="BW333" i="17"/>
  <c r="BX333" i="17"/>
  <c r="BY333" i="17"/>
  <c r="BZ333" i="17"/>
  <c r="CA333" i="17"/>
  <c r="CB333" i="17"/>
  <c r="CC333" i="17"/>
  <c r="CD333" i="17"/>
  <c r="CE333" i="17"/>
  <c r="CF333" i="17"/>
  <c r="CG333" i="17"/>
  <c r="CH333" i="17"/>
  <c r="CI333" i="17"/>
  <c r="CJ333" i="17"/>
  <c r="CK333" i="17"/>
  <c r="CL333" i="17"/>
  <c r="CM333" i="17"/>
  <c r="CN333" i="17"/>
  <c r="CO333" i="17"/>
  <c r="CP333" i="17"/>
  <c r="CQ333" i="17"/>
  <c r="CR333" i="17"/>
  <c r="CS333" i="17"/>
  <c r="CT333" i="17"/>
  <c r="CU333" i="17"/>
  <c r="CV333" i="17"/>
  <c r="CW333" i="17"/>
  <c r="CX333" i="17"/>
  <c r="CY333" i="17"/>
  <c r="CZ333" i="17"/>
  <c r="DA333" i="17"/>
  <c r="DB333" i="17"/>
  <c r="DC333" i="17"/>
  <c r="DD333" i="17"/>
  <c r="DE333" i="17"/>
  <c r="DF333" i="17"/>
  <c r="DG333" i="17"/>
  <c r="DH333" i="17"/>
  <c r="DI333" i="17"/>
  <c r="DJ333" i="17"/>
  <c r="DK333" i="17"/>
  <c r="DL333" i="17"/>
  <c r="DM333" i="17"/>
  <c r="DN333" i="17"/>
  <c r="DO333" i="17"/>
  <c r="DP333" i="17"/>
  <c r="DQ333" i="17"/>
  <c r="DR333" i="17"/>
  <c r="DS333" i="17"/>
  <c r="DT333" i="17"/>
  <c r="DU333" i="17"/>
  <c r="DV333" i="17"/>
  <c r="DW333" i="17"/>
  <c r="DX333" i="17"/>
  <c r="DY333" i="17"/>
  <c r="DZ333" i="17"/>
  <c r="EA333" i="17"/>
  <c r="EB333" i="17"/>
  <c r="EC333" i="17"/>
  <c r="ED333" i="17"/>
  <c r="EE333" i="17"/>
  <c r="EF333" i="17"/>
  <c r="EG333" i="17"/>
  <c r="EH333" i="17"/>
  <c r="EI333" i="17"/>
  <c r="EJ333" i="17"/>
  <c r="EK333" i="17"/>
  <c r="EL333" i="17"/>
  <c r="EM333" i="17"/>
  <c r="EN333" i="17"/>
  <c r="EO333" i="17"/>
  <c r="EP333" i="17"/>
  <c r="EQ333" i="17"/>
  <c r="ER333" i="17"/>
  <c r="ES333" i="17"/>
  <c r="ET333" i="17"/>
  <c r="EU333" i="17"/>
  <c r="EV333" i="17"/>
  <c r="EW333" i="17"/>
  <c r="EX333" i="17"/>
  <c r="EY333" i="17"/>
  <c r="EZ333" i="17"/>
  <c r="FA333" i="17"/>
  <c r="FB333" i="17"/>
  <c r="FC333" i="17"/>
  <c r="FD333" i="17"/>
  <c r="FE333" i="17"/>
  <c r="FF333" i="17"/>
  <c r="FG333" i="17"/>
  <c r="FH333" i="17"/>
  <c r="FI333" i="17"/>
  <c r="FJ333" i="17"/>
  <c r="FK333" i="17"/>
  <c r="FL333" i="17"/>
  <c r="FM333" i="17"/>
  <c r="FN333" i="17"/>
  <c r="FO333" i="17"/>
  <c r="FP333" i="17"/>
  <c r="FQ333" i="17"/>
  <c r="FR333" i="17"/>
  <c r="FS333" i="17"/>
  <c r="FT333" i="17"/>
  <c r="FU333" i="17"/>
  <c r="FV333" i="17"/>
  <c r="FW333" i="17"/>
  <c r="FX333" i="17"/>
  <c r="FY333" i="17"/>
  <c r="FZ333" i="17"/>
  <c r="GA333" i="17"/>
  <c r="GB333" i="17"/>
  <c r="GC333" i="17"/>
  <c r="GD333" i="17"/>
  <c r="GE333" i="17"/>
  <c r="GF333" i="17"/>
  <c r="GG333" i="17"/>
  <c r="GH333" i="17"/>
  <c r="GI333" i="17"/>
  <c r="GJ333" i="17"/>
  <c r="GK333" i="17"/>
  <c r="GL333" i="17"/>
  <c r="GM333" i="17"/>
  <c r="GN333" i="17"/>
  <c r="GO333" i="17"/>
  <c r="GP333" i="17"/>
  <c r="GQ333" i="17"/>
  <c r="GR333" i="17"/>
  <c r="GS333" i="17"/>
  <c r="GT333" i="17"/>
  <c r="GU333" i="17"/>
  <c r="GV333" i="17"/>
  <c r="GW333" i="17"/>
  <c r="GX333" i="17"/>
  <c r="GY333" i="17"/>
  <c r="GZ333" i="17"/>
  <c r="HA333" i="17"/>
  <c r="HB333" i="17"/>
  <c r="HC333" i="17"/>
  <c r="HD333" i="17"/>
  <c r="HE333" i="17"/>
  <c r="HF333" i="17"/>
  <c r="HG333" i="17"/>
  <c r="HH333" i="17"/>
  <c r="HI333" i="17"/>
  <c r="HJ333" i="17"/>
  <c r="HK333" i="17"/>
  <c r="HL333" i="17"/>
  <c r="HM333" i="17"/>
  <c r="HN333" i="17"/>
  <c r="HO333" i="17"/>
  <c r="HP333" i="17"/>
  <c r="HQ333" i="17"/>
  <c r="HR333" i="17"/>
  <c r="HS333" i="17"/>
  <c r="HT333" i="17"/>
  <c r="HU333" i="17"/>
  <c r="HV333" i="17"/>
  <c r="HW333" i="17"/>
  <c r="HX333" i="17"/>
  <c r="HY333" i="17"/>
  <c r="HZ333" i="17"/>
  <c r="IA333" i="17"/>
  <c r="IB333" i="17"/>
  <c r="IC333" i="17"/>
  <c r="ID333" i="17"/>
  <c r="IE333" i="17"/>
  <c r="IF333" i="17"/>
  <c r="IG333" i="17"/>
  <c r="IH333" i="17"/>
  <c r="II333" i="17"/>
  <c r="IJ333" i="17"/>
  <c r="IK333" i="17"/>
  <c r="IL333" i="17"/>
  <c r="IM333" i="17"/>
  <c r="IN333" i="17"/>
  <c r="IO333" i="17"/>
  <c r="IP333" i="17"/>
  <c r="IQ333" i="17"/>
  <c r="IR333" i="17"/>
  <c r="IS333" i="17"/>
  <c r="IT333" i="17"/>
  <c r="IU333" i="17"/>
  <c r="IV333" i="17"/>
  <c r="A332" i="17"/>
  <c r="B332" i="17"/>
  <c r="C332" i="17"/>
  <c r="D332" i="17"/>
  <c r="E332" i="17"/>
  <c r="F332" i="17"/>
  <c r="G332" i="17"/>
  <c r="H332" i="17"/>
  <c r="I332" i="17"/>
  <c r="J332" i="17"/>
  <c r="K332" i="17"/>
  <c r="L332" i="17"/>
  <c r="M332" i="17"/>
  <c r="N332" i="17"/>
  <c r="O332" i="17"/>
  <c r="P332" i="17"/>
  <c r="Q332" i="17"/>
  <c r="R332" i="17"/>
  <c r="S332" i="17"/>
  <c r="T332" i="17"/>
  <c r="U332" i="17"/>
  <c r="V332" i="17"/>
  <c r="W332" i="17"/>
  <c r="X332" i="17"/>
  <c r="Y332" i="17"/>
  <c r="Z332" i="17"/>
  <c r="AA332" i="17"/>
  <c r="AB332" i="17"/>
  <c r="AC332" i="17"/>
  <c r="AD332" i="17"/>
  <c r="AE332" i="17"/>
  <c r="AF332" i="17"/>
  <c r="AG332" i="17"/>
  <c r="AH332" i="17"/>
  <c r="AI332" i="17"/>
  <c r="AJ332" i="17"/>
  <c r="AK332" i="17"/>
  <c r="AL332" i="17"/>
  <c r="AM332" i="17"/>
  <c r="AN332" i="17"/>
  <c r="AO332" i="17"/>
  <c r="AP332" i="17"/>
  <c r="AQ332" i="17"/>
  <c r="AR332" i="17"/>
  <c r="AS332" i="17"/>
  <c r="AT332" i="17"/>
  <c r="AU332" i="17"/>
  <c r="AV332" i="17"/>
  <c r="AW332" i="17"/>
  <c r="AX332" i="17"/>
  <c r="AY332" i="17"/>
  <c r="AZ332" i="17"/>
  <c r="BA332" i="17"/>
  <c r="BB332" i="17"/>
  <c r="BC332" i="17"/>
  <c r="BD332" i="17"/>
  <c r="BE332" i="17"/>
  <c r="BF332" i="17"/>
  <c r="BG332" i="17"/>
  <c r="BH332" i="17"/>
  <c r="BI332" i="17"/>
  <c r="BJ332" i="17"/>
  <c r="BK332" i="17"/>
  <c r="BL332" i="17"/>
  <c r="BM332" i="17"/>
  <c r="BN332" i="17"/>
  <c r="BO332" i="17"/>
  <c r="BP332" i="17"/>
  <c r="BQ332" i="17"/>
  <c r="BR332" i="17"/>
  <c r="BS332" i="17"/>
  <c r="BT332" i="17"/>
  <c r="BU332" i="17"/>
  <c r="BV332" i="17"/>
  <c r="BW332" i="17"/>
  <c r="BX332" i="17"/>
  <c r="BY332" i="17"/>
  <c r="BZ332" i="17"/>
  <c r="CA332" i="17"/>
  <c r="CB332" i="17"/>
  <c r="CC332" i="17"/>
  <c r="CD332" i="17"/>
  <c r="CE332" i="17"/>
  <c r="CF332" i="17"/>
  <c r="CG332" i="17"/>
  <c r="CH332" i="17"/>
  <c r="CI332" i="17"/>
  <c r="CJ332" i="17"/>
  <c r="CK332" i="17"/>
  <c r="CL332" i="17"/>
  <c r="CM332" i="17"/>
  <c r="CN332" i="17"/>
  <c r="CO332" i="17"/>
  <c r="CP332" i="17"/>
  <c r="CQ332" i="17"/>
  <c r="CR332" i="17"/>
  <c r="CS332" i="17"/>
  <c r="CT332" i="17"/>
  <c r="CU332" i="17"/>
  <c r="CV332" i="17"/>
  <c r="CW332" i="17"/>
  <c r="CX332" i="17"/>
  <c r="CY332" i="17"/>
  <c r="CZ332" i="17"/>
  <c r="DA332" i="17"/>
  <c r="DB332" i="17"/>
  <c r="DC332" i="17"/>
  <c r="DD332" i="17"/>
  <c r="DE332" i="17"/>
  <c r="DF332" i="17"/>
  <c r="DG332" i="17"/>
  <c r="DH332" i="17"/>
  <c r="DI332" i="17"/>
  <c r="DJ332" i="17"/>
  <c r="DK332" i="17"/>
  <c r="DL332" i="17"/>
  <c r="DM332" i="17"/>
  <c r="DN332" i="17"/>
  <c r="DO332" i="17"/>
  <c r="DP332" i="17"/>
  <c r="DQ332" i="17"/>
  <c r="DR332" i="17"/>
  <c r="DS332" i="17"/>
  <c r="DT332" i="17"/>
  <c r="DU332" i="17"/>
  <c r="DV332" i="17"/>
  <c r="DW332" i="17"/>
  <c r="DX332" i="17"/>
  <c r="DY332" i="17"/>
  <c r="DZ332" i="17"/>
  <c r="EA332" i="17"/>
  <c r="EB332" i="17"/>
  <c r="EC332" i="17"/>
  <c r="ED332" i="17"/>
  <c r="EE332" i="17"/>
  <c r="EF332" i="17"/>
  <c r="EG332" i="17"/>
  <c r="EH332" i="17"/>
  <c r="EI332" i="17"/>
  <c r="EJ332" i="17"/>
  <c r="EK332" i="17"/>
  <c r="EL332" i="17"/>
  <c r="EM332" i="17"/>
  <c r="EN332" i="17"/>
  <c r="EO332" i="17"/>
  <c r="EP332" i="17"/>
  <c r="EQ332" i="17"/>
  <c r="ER332" i="17"/>
  <c r="ES332" i="17"/>
  <c r="ET332" i="17"/>
  <c r="EU332" i="17"/>
  <c r="EV332" i="17"/>
  <c r="EW332" i="17"/>
  <c r="EX332" i="17"/>
  <c r="EY332" i="17"/>
  <c r="EZ332" i="17"/>
  <c r="FA332" i="17"/>
  <c r="FB332" i="17"/>
  <c r="FC332" i="17"/>
  <c r="FD332" i="17"/>
  <c r="FE332" i="17"/>
  <c r="FF332" i="17"/>
  <c r="FG332" i="17"/>
  <c r="FH332" i="17"/>
  <c r="FI332" i="17"/>
  <c r="FJ332" i="17"/>
  <c r="FK332" i="17"/>
  <c r="FL332" i="17"/>
  <c r="FM332" i="17"/>
  <c r="FN332" i="17"/>
  <c r="FO332" i="17"/>
  <c r="FP332" i="17"/>
  <c r="FQ332" i="17"/>
  <c r="FR332" i="17"/>
  <c r="FS332" i="17"/>
  <c r="FT332" i="17"/>
  <c r="FU332" i="17"/>
  <c r="FV332" i="17"/>
  <c r="FW332" i="17"/>
  <c r="FX332" i="17"/>
  <c r="FY332" i="17"/>
  <c r="FZ332" i="17"/>
  <c r="GA332" i="17"/>
  <c r="GB332" i="17"/>
  <c r="GC332" i="17"/>
  <c r="GD332" i="17"/>
  <c r="GE332" i="17"/>
  <c r="GF332" i="17"/>
  <c r="GG332" i="17"/>
  <c r="GH332" i="17"/>
  <c r="GI332" i="17"/>
  <c r="GJ332" i="17"/>
  <c r="GK332" i="17"/>
  <c r="GL332" i="17"/>
  <c r="GM332" i="17"/>
  <c r="GN332" i="17"/>
  <c r="GO332" i="17"/>
  <c r="GP332" i="17"/>
  <c r="GQ332" i="17"/>
  <c r="GR332" i="17"/>
  <c r="GS332" i="17"/>
  <c r="GT332" i="17"/>
  <c r="GU332" i="17"/>
  <c r="GV332" i="17"/>
  <c r="GW332" i="17"/>
  <c r="GX332" i="17"/>
  <c r="GY332" i="17"/>
  <c r="GZ332" i="17"/>
  <c r="HA332" i="17"/>
  <c r="HB332" i="17"/>
  <c r="HC332" i="17"/>
  <c r="HD332" i="17"/>
  <c r="HE332" i="17"/>
  <c r="HF332" i="17"/>
  <c r="HG332" i="17"/>
  <c r="HH332" i="17"/>
  <c r="HI332" i="17"/>
  <c r="HJ332" i="17"/>
  <c r="HK332" i="17"/>
  <c r="HL332" i="17"/>
  <c r="HM332" i="17"/>
  <c r="HN332" i="17"/>
  <c r="HO332" i="17"/>
  <c r="HP332" i="17"/>
  <c r="HQ332" i="17"/>
  <c r="HR332" i="17"/>
  <c r="HS332" i="17"/>
  <c r="HT332" i="17"/>
  <c r="HU332" i="17"/>
  <c r="HV332" i="17"/>
  <c r="HW332" i="17"/>
  <c r="HX332" i="17"/>
  <c r="HY332" i="17"/>
  <c r="HZ332" i="17"/>
  <c r="IA332" i="17"/>
  <c r="IB332" i="17"/>
  <c r="IC332" i="17"/>
  <c r="ID332" i="17"/>
  <c r="IE332" i="17"/>
  <c r="IF332" i="17"/>
  <c r="IG332" i="17"/>
  <c r="IH332" i="17"/>
  <c r="II332" i="17"/>
  <c r="IJ332" i="17"/>
  <c r="IK332" i="17"/>
  <c r="IL332" i="17"/>
  <c r="IM332" i="17"/>
  <c r="IN332" i="17"/>
  <c r="IO332" i="17"/>
  <c r="IP332" i="17"/>
  <c r="IQ332" i="17"/>
  <c r="IR332" i="17"/>
  <c r="IS332" i="17"/>
  <c r="IT332" i="17"/>
  <c r="IU332" i="17"/>
  <c r="IV332" i="17"/>
  <c r="A331" i="17"/>
  <c r="B331" i="17"/>
  <c r="C331" i="17"/>
  <c r="D331" i="17"/>
  <c r="E331" i="17"/>
  <c r="F331" i="17"/>
  <c r="G331" i="17"/>
  <c r="H331" i="17"/>
  <c r="I331" i="17"/>
  <c r="J331" i="17"/>
  <c r="K331" i="17"/>
  <c r="L331" i="17"/>
  <c r="M331" i="17"/>
  <c r="N331" i="17"/>
  <c r="O331" i="17"/>
  <c r="P331" i="17"/>
  <c r="Q331" i="17"/>
  <c r="R331" i="17"/>
  <c r="S331" i="17"/>
  <c r="T331" i="17"/>
  <c r="U331" i="17"/>
  <c r="V331" i="17"/>
  <c r="W331" i="17"/>
  <c r="X331" i="17"/>
  <c r="Y331" i="17"/>
  <c r="Z331" i="17"/>
  <c r="AA331" i="17"/>
  <c r="AB331" i="17"/>
  <c r="AC331" i="17"/>
  <c r="AD331" i="17"/>
  <c r="AE331" i="17"/>
  <c r="AF331" i="17"/>
  <c r="AG331" i="17"/>
  <c r="AH331" i="17"/>
  <c r="AI331" i="17"/>
  <c r="AJ331" i="17"/>
  <c r="AK331" i="17"/>
  <c r="AL331" i="17"/>
  <c r="AM331" i="17"/>
  <c r="AN331" i="17"/>
  <c r="AO331" i="17"/>
  <c r="AP331" i="17"/>
  <c r="AQ331" i="17"/>
  <c r="AR331" i="17"/>
  <c r="AS331" i="17"/>
  <c r="AT331" i="17"/>
  <c r="AU331" i="17"/>
  <c r="AV331" i="17"/>
  <c r="AW331" i="17"/>
  <c r="AX331" i="17"/>
  <c r="AY331" i="17"/>
  <c r="AZ331" i="17"/>
  <c r="BA331" i="17"/>
  <c r="BB331" i="17"/>
  <c r="BC331" i="17"/>
  <c r="BD331" i="17"/>
  <c r="BE331" i="17"/>
  <c r="BF331" i="17"/>
  <c r="BG331" i="17"/>
  <c r="BH331" i="17"/>
  <c r="BI331" i="17"/>
  <c r="BJ331" i="17"/>
  <c r="BK331" i="17"/>
  <c r="BL331" i="17"/>
  <c r="BM331" i="17"/>
  <c r="BN331" i="17"/>
  <c r="BO331" i="17"/>
  <c r="BP331" i="17"/>
  <c r="BQ331" i="17"/>
  <c r="BR331" i="17"/>
  <c r="BS331" i="17"/>
  <c r="BT331" i="17"/>
  <c r="BU331" i="17"/>
  <c r="BV331" i="17"/>
  <c r="BW331" i="17"/>
  <c r="BX331" i="17"/>
  <c r="BY331" i="17"/>
  <c r="BZ331" i="17"/>
  <c r="CA331" i="17"/>
  <c r="CB331" i="17"/>
  <c r="CC331" i="17"/>
  <c r="CD331" i="17"/>
  <c r="CE331" i="17"/>
  <c r="CF331" i="17"/>
  <c r="CG331" i="17"/>
  <c r="CH331" i="17"/>
  <c r="CI331" i="17"/>
  <c r="CJ331" i="17"/>
  <c r="CK331" i="17"/>
  <c r="CL331" i="17"/>
  <c r="CM331" i="17"/>
  <c r="CN331" i="17"/>
  <c r="CO331" i="17"/>
  <c r="CP331" i="17"/>
  <c r="CQ331" i="17"/>
  <c r="CR331" i="17"/>
  <c r="CS331" i="17"/>
  <c r="CT331" i="17"/>
  <c r="CU331" i="17"/>
  <c r="CV331" i="17"/>
  <c r="CW331" i="17"/>
  <c r="CX331" i="17"/>
  <c r="CY331" i="17"/>
  <c r="CZ331" i="17"/>
  <c r="DA331" i="17"/>
  <c r="DB331" i="17"/>
  <c r="DC331" i="17"/>
  <c r="DD331" i="17"/>
  <c r="DE331" i="17"/>
  <c r="DF331" i="17"/>
  <c r="DG331" i="17"/>
  <c r="DH331" i="17"/>
  <c r="DI331" i="17"/>
  <c r="DJ331" i="17"/>
  <c r="DK331" i="17"/>
  <c r="DL331" i="17"/>
  <c r="DM331" i="17"/>
  <c r="DN331" i="17"/>
  <c r="DO331" i="17"/>
  <c r="DP331" i="17"/>
  <c r="DQ331" i="17"/>
  <c r="DR331" i="17"/>
  <c r="DS331" i="17"/>
  <c r="DT331" i="17"/>
  <c r="DU331" i="17"/>
  <c r="DV331" i="17"/>
  <c r="DW331" i="17"/>
  <c r="DX331" i="17"/>
  <c r="DY331" i="17"/>
  <c r="DZ331" i="17"/>
  <c r="EA331" i="17"/>
  <c r="EB331" i="17"/>
  <c r="EC331" i="17"/>
  <c r="ED331" i="17"/>
  <c r="EE331" i="17"/>
  <c r="EF331" i="17"/>
  <c r="EG331" i="17"/>
  <c r="EH331" i="17"/>
  <c r="EI331" i="17"/>
  <c r="EJ331" i="17"/>
  <c r="EK331" i="17"/>
  <c r="EL331" i="17"/>
  <c r="EM331" i="17"/>
  <c r="EN331" i="17"/>
  <c r="EO331" i="17"/>
  <c r="EP331" i="17"/>
  <c r="EQ331" i="17"/>
  <c r="ER331" i="17"/>
  <c r="ES331" i="17"/>
  <c r="ET331" i="17"/>
  <c r="EU331" i="17"/>
  <c r="EV331" i="17"/>
  <c r="EW331" i="17"/>
  <c r="EX331" i="17"/>
  <c r="EY331" i="17"/>
  <c r="EZ331" i="17"/>
  <c r="FA331" i="17"/>
  <c r="FB331" i="17"/>
  <c r="FC331" i="17"/>
  <c r="FD331" i="17"/>
  <c r="FE331" i="17"/>
  <c r="FF331" i="17"/>
  <c r="FG331" i="17"/>
  <c r="FH331" i="17"/>
  <c r="FI331" i="17"/>
  <c r="FJ331" i="17"/>
  <c r="FK331" i="17"/>
  <c r="FL331" i="17"/>
  <c r="FM331" i="17"/>
  <c r="FN331" i="17"/>
  <c r="FO331" i="17"/>
  <c r="FP331" i="17"/>
  <c r="FQ331" i="17"/>
  <c r="FR331" i="17"/>
  <c r="FS331" i="17"/>
  <c r="FT331" i="17"/>
  <c r="FU331" i="17"/>
  <c r="FV331" i="17"/>
  <c r="FW331" i="17"/>
  <c r="FX331" i="17"/>
  <c r="FY331" i="17"/>
  <c r="FZ331" i="17"/>
  <c r="GA331" i="17"/>
  <c r="GB331" i="17"/>
  <c r="GC331" i="17"/>
  <c r="GD331" i="17"/>
  <c r="GE331" i="17"/>
  <c r="GF331" i="17"/>
  <c r="GG331" i="17"/>
  <c r="GH331" i="17"/>
  <c r="GI331" i="17"/>
  <c r="GJ331" i="17"/>
  <c r="GK331" i="17"/>
  <c r="GL331" i="17"/>
  <c r="GM331" i="17"/>
  <c r="GN331" i="17"/>
  <c r="GO331" i="17"/>
  <c r="GP331" i="17"/>
  <c r="GQ331" i="17"/>
  <c r="GR331" i="17"/>
  <c r="GS331" i="17"/>
  <c r="GT331" i="17"/>
  <c r="GU331" i="17"/>
  <c r="GV331" i="17"/>
  <c r="GW331" i="17"/>
  <c r="GX331" i="17"/>
  <c r="GY331" i="17"/>
  <c r="GZ331" i="17"/>
  <c r="HA331" i="17"/>
  <c r="HB331" i="17"/>
  <c r="HC331" i="17"/>
  <c r="HD331" i="17"/>
  <c r="HE331" i="17"/>
  <c r="HF331" i="17"/>
  <c r="HG331" i="17"/>
  <c r="HH331" i="17"/>
  <c r="HI331" i="17"/>
  <c r="HJ331" i="17"/>
  <c r="HK331" i="17"/>
  <c r="HL331" i="17"/>
  <c r="HM331" i="17"/>
  <c r="HN331" i="17"/>
  <c r="HO331" i="17"/>
  <c r="HP331" i="17"/>
  <c r="HQ331" i="17"/>
  <c r="HR331" i="17"/>
  <c r="HS331" i="17"/>
  <c r="HT331" i="17"/>
  <c r="HU331" i="17"/>
  <c r="HV331" i="17"/>
  <c r="HW331" i="17"/>
  <c r="HX331" i="17"/>
  <c r="HY331" i="17"/>
  <c r="HZ331" i="17"/>
  <c r="IA331" i="17"/>
  <c r="IB331" i="17"/>
  <c r="IC331" i="17"/>
  <c r="ID331" i="17"/>
  <c r="IE331" i="17"/>
  <c r="IF331" i="17"/>
  <c r="IG331" i="17"/>
  <c r="IH331" i="17"/>
  <c r="II331" i="17"/>
  <c r="IJ331" i="17"/>
  <c r="IK331" i="17"/>
  <c r="IL331" i="17"/>
  <c r="IM331" i="17"/>
  <c r="IN331" i="17"/>
  <c r="IO331" i="17"/>
  <c r="IP331" i="17"/>
  <c r="IQ331" i="17"/>
  <c r="IR331" i="17"/>
  <c r="IS331" i="17"/>
  <c r="IT331" i="17"/>
  <c r="IU331" i="17"/>
  <c r="IV331" i="17"/>
  <c r="A330" i="17"/>
  <c r="B330" i="17"/>
  <c r="C330" i="17"/>
  <c r="D330" i="17"/>
  <c r="E330" i="17"/>
  <c r="F330" i="17"/>
  <c r="G330" i="17"/>
  <c r="H330" i="17"/>
  <c r="I330" i="17"/>
  <c r="J330" i="17"/>
  <c r="K330" i="17"/>
  <c r="L330" i="17"/>
  <c r="M330" i="17"/>
  <c r="N330" i="17"/>
  <c r="O330" i="17"/>
  <c r="P330" i="17"/>
  <c r="Q330" i="17"/>
  <c r="R330" i="17"/>
  <c r="S330" i="17"/>
  <c r="T330" i="17"/>
  <c r="U330" i="17"/>
  <c r="V330" i="17"/>
  <c r="W330" i="17"/>
  <c r="X330" i="17"/>
  <c r="Y330" i="17"/>
  <c r="Z330" i="17"/>
  <c r="AA330" i="17"/>
  <c r="AB330" i="17"/>
  <c r="AC330" i="17"/>
  <c r="AD330" i="17"/>
  <c r="AE330" i="17"/>
  <c r="AF330" i="17"/>
  <c r="AG330" i="17"/>
  <c r="AH330" i="17"/>
  <c r="AI330" i="17"/>
  <c r="AJ330" i="17"/>
  <c r="AK330" i="17"/>
  <c r="AL330" i="17"/>
  <c r="AM330" i="17"/>
  <c r="AN330" i="17"/>
  <c r="AO330" i="17"/>
  <c r="AP330" i="17"/>
  <c r="AQ330" i="17"/>
  <c r="AR330" i="17"/>
  <c r="AS330" i="17"/>
  <c r="AT330" i="17"/>
  <c r="AU330" i="17"/>
  <c r="AV330" i="17"/>
  <c r="AW330" i="17"/>
  <c r="AX330" i="17"/>
  <c r="AY330" i="17"/>
  <c r="AZ330" i="17"/>
  <c r="BA330" i="17"/>
  <c r="BB330" i="17"/>
  <c r="BC330" i="17"/>
  <c r="BD330" i="17"/>
  <c r="BE330" i="17"/>
  <c r="BF330" i="17"/>
  <c r="BG330" i="17"/>
  <c r="BH330" i="17"/>
  <c r="BI330" i="17"/>
  <c r="BJ330" i="17"/>
  <c r="BK330" i="17"/>
  <c r="BL330" i="17"/>
  <c r="BM330" i="17"/>
  <c r="BN330" i="17"/>
  <c r="BO330" i="17"/>
  <c r="BP330" i="17"/>
  <c r="BQ330" i="17"/>
  <c r="BR330" i="17"/>
  <c r="BS330" i="17"/>
  <c r="BT330" i="17"/>
  <c r="BU330" i="17"/>
  <c r="BV330" i="17"/>
  <c r="BW330" i="17"/>
  <c r="BX330" i="17"/>
  <c r="BY330" i="17"/>
  <c r="BZ330" i="17"/>
  <c r="CA330" i="17"/>
  <c r="CB330" i="17"/>
  <c r="CC330" i="17"/>
  <c r="CD330" i="17"/>
  <c r="CE330" i="17"/>
  <c r="CF330" i="17"/>
  <c r="CG330" i="17"/>
  <c r="CH330" i="17"/>
  <c r="CI330" i="17"/>
  <c r="CJ330" i="17"/>
  <c r="CK330" i="17"/>
  <c r="CL330" i="17"/>
  <c r="CM330" i="17"/>
  <c r="CN330" i="17"/>
  <c r="CO330" i="17"/>
  <c r="CP330" i="17"/>
  <c r="CQ330" i="17"/>
  <c r="CR330" i="17"/>
  <c r="CS330" i="17"/>
  <c r="CT330" i="17"/>
  <c r="CU330" i="17"/>
  <c r="CV330" i="17"/>
  <c r="CW330" i="17"/>
  <c r="CX330" i="17"/>
  <c r="CY330" i="17"/>
  <c r="CZ330" i="17"/>
  <c r="DA330" i="17"/>
  <c r="DB330" i="17"/>
  <c r="DC330" i="17"/>
  <c r="DD330" i="17"/>
  <c r="DE330" i="17"/>
  <c r="DF330" i="17"/>
  <c r="DG330" i="17"/>
  <c r="DH330" i="17"/>
  <c r="DI330" i="17"/>
  <c r="DJ330" i="17"/>
  <c r="DK330" i="17"/>
  <c r="DL330" i="17"/>
  <c r="DM330" i="17"/>
  <c r="DN330" i="17"/>
  <c r="DO330" i="17"/>
  <c r="DP330" i="17"/>
  <c r="DQ330" i="17"/>
  <c r="DR330" i="17"/>
  <c r="DS330" i="17"/>
  <c r="DT330" i="17"/>
  <c r="DU330" i="17"/>
  <c r="DV330" i="17"/>
  <c r="DW330" i="17"/>
  <c r="DX330" i="17"/>
  <c r="DY330" i="17"/>
  <c r="DZ330" i="17"/>
  <c r="EA330" i="17"/>
  <c r="EB330" i="17"/>
  <c r="EC330" i="17"/>
  <c r="ED330" i="17"/>
  <c r="EE330" i="17"/>
  <c r="EF330" i="17"/>
  <c r="EG330" i="17"/>
  <c r="EH330" i="17"/>
  <c r="EI330" i="17"/>
  <c r="EJ330" i="17"/>
  <c r="EK330" i="17"/>
  <c r="EL330" i="17"/>
  <c r="EM330" i="17"/>
  <c r="EN330" i="17"/>
  <c r="EO330" i="17"/>
  <c r="EP330" i="17"/>
  <c r="EQ330" i="17"/>
  <c r="ER330" i="17"/>
  <c r="ES330" i="17"/>
  <c r="ET330" i="17"/>
  <c r="EU330" i="17"/>
  <c r="EV330" i="17"/>
  <c r="EW330" i="17"/>
  <c r="EX330" i="17"/>
  <c r="EY330" i="17"/>
  <c r="EZ330" i="17"/>
  <c r="FA330" i="17"/>
  <c r="FB330" i="17"/>
  <c r="FC330" i="17"/>
  <c r="FD330" i="17"/>
  <c r="FE330" i="17"/>
  <c r="FF330" i="17"/>
  <c r="FG330" i="17"/>
  <c r="FH330" i="17"/>
  <c r="FI330" i="17"/>
  <c r="FJ330" i="17"/>
  <c r="FK330" i="17"/>
  <c r="FL330" i="17"/>
  <c r="FM330" i="17"/>
  <c r="FN330" i="17"/>
  <c r="FO330" i="17"/>
  <c r="FP330" i="17"/>
  <c r="FQ330" i="17"/>
  <c r="FR330" i="17"/>
  <c r="FS330" i="17"/>
  <c r="FT330" i="17"/>
  <c r="FU330" i="17"/>
  <c r="FV330" i="17"/>
  <c r="FW330" i="17"/>
  <c r="FX330" i="17"/>
  <c r="FY330" i="17"/>
  <c r="FZ330" i="17"/>
  <c r="GA330" i="17"/>
  <c r="GB330" i="17"/>
  <c r="GC330" i="17"/>
  <c r="GD330" i="17"/>
  <c r="GE330" i="17"/>
  <c r="GF330" i="17"/>
  <c r="GG330" i="17"/>
  <c r="GH330" i="17"/>
  <c r="GI330" i="17"/>
  <c r="GJ330" i="17"/>
  <c r="GK330" i="17"/>
  <c r="GL330" i="17"/>
  <c r="GM330" i="17"/>
  <c r="GN330" i="17"/>
  <c r="GO330" i="17"/>
  <c r="GP330" i="17"/>
  <c r="GQ330" i="17"/>
  <c r="GR330" i="17"/>
  <c r="GS330" i="17"/>
  <c r="GT330" i="17"/>
  <c r="GU330" i="17"/>
  <c r="GV330" i="17"/>
  <c r="GW330" i="17"/>
  <c r="GX330" i="17"/>
  <c r="GY330" i="17"/>
  <c r="GZ330" i="17"/>
  <c r="HA330" i="17"/>
  <c r="HB330" i="17"/>
  <c r="HC330" i="17"/>
  <c r="HD330" i="17"/>
  <c r="HE330" i="17"/>
  <c r="HF330" i="17"/>
  <c r="HG330" i="17"/>
  <c r="HH330" i="17"/>
  <c r="HI330" i="17"/>
  <c r="HJ330" i="17"/>
  <c r="HK330" i="17"/>
  <c r="HL330" i="17"/>
  <c r="HM330" i="17"/>
  <c r="HN330" i="17"/>
  <c r="HO330" i="17"/>
  <c r="HP330" i="17"/>
  <c r="HQ330" i="17"/>
  <c r="HR330" i="17"/>
  <c r="HS330" i="17"/>
  <c r="HT330" i="17"/>
  <c r="HU330" i="17"/>
  <c r="HV330" i="17"/>
  <c r="HW330" i="17"/>
  <c r="HX330" i="17"/>
  <c r="HY330" i="17"/>
  <c r="HZ330" i="17"/>
  <c r="IA330" i="17"/>
  <c r="IB330" i="17"/>
  <c r="IC330" i="17"/>
  <c r="ID330" i="17"/>
  <c r="IE330" i="17"/>
  <c r="IF330" i="17"/>
  <c r="IG330" i="17"/>
  <c r="IH330" i="17"/>
  <c r="II330" i="17"/>
  <c r="IJ330" i="17"/>
  <c r="IK330" i="17"/>
  <c r="IL330" i="17"/>
  <c r="IM330" i="17"/>
  <c r="IN330" i="17"/>
  <c r="IO330" i="17"/>
  <c r="IP330" i="17"/>
  <c r="IQ330" i="17"/>
  <c r="IR330" i="17"/>
  <c r="IS330" i="17"/>
  <c r="IT330" i="17"/>
  <c r="IU330" i="17"/>
  <c r="IV330" i="17"/>
  <c r="A329" i="17"/>
  <c r="B329" i="17"/>
  <c r="C329" i="17"/>
  <c r="D329" i="17"/>
  <c r="E329" i="17"/>
  <c r="F329" i="17"/>
  <c r="G329" i="17"/>
  <c r="H329" i="17"/>
  <c r="I329" i="17"/>
  <c r="J329" i="17"/>
  <c r="K329" i="17"/>
  <c r="L329" i="17"/>
  <c r="M329" i="17"/>
  <c r="N329" i="17"/>
  <c r="O329" i="17"/>
  <c r="P329" i="17"/>
  <c r="Q329" i="17"/>
  <c r="R329" i="17"/>
  <c r="S329" i="17"/>
  <c r="T329" i="17"/>
  <c r="U329" i="17"/>
  <c r="V329" i="17"/>
  <c r="W329" i="17"/>
  <c r="X329" i="17"/>
  <c r="Y329" i="17"/>
  <c r="Z329" i="17"/>
  <c r="AA329" i="17"/>
  <c r="AB329" i="17"/>
  <c r="AC329" i="17"/>
  <c r="AD329" i="17"/>
  <c r="AE329" i="17"/>
  <c r="AF329" i="17"/>
  <c r="AG329" i="17"/>
  <c r="AH329" i="17"/>
  <c r="AI329" i="17"/>
  <c r="AJ329" i="17"/>
  <c r="AK329" i="17"/>
  <c r="AL329" i="17"/>
  <c r="AM329" i="17"/>
  <c r="AN329" i="17"/>
  <c r="AO329" i="17"/>
  <c r="AP329" i="17"/>
  <c r="AQ329" i="17"/>
  <c r="AR329" i="17"/>
  <c r="AS329" i="17"/>
  <c r="AT329" i="17"/>
  <c r="AU329" i="17"/>
  <c r="AV329" i="17"/>
  <c r="AW329" i="17"/>
  <c r="AX329" i="17"/>
  <c r="AY329" i="17"/>
  <c r="AZ329" i="17"/>
  <c r="BA329" i="17"/>
  <c r="BB329" i="17"/>
  <c r="BC329" i="17"/>
  <c r="BD329" i="17"/>
  <c r="BE329" i="17"/>
  <c r="BF329" i="17"/>
  <c r="BG329" i="17"/>
  <c r="BH329" i="17"/>
  <c r="BI329" i="17"/>
  <c r="BJ329" i="17"/>
  <c r="BK329" i="17"/>
  <c r="BL329" i="17"/>
  <c r="BM329" i="17"/>
  <c r="BN329" i="17"/>
  <c r="BO329" i="17"/>
  <c r="BP329" i="17"/>
  <c r="BQ329" i="17"/>
  <c r="BR329" i="17"/>
  <c r="BS329" i="17"/>
  <c r="BT329" i="17"/>
  <c r="BU329" i="17"/>
  <c r="BV329" i="17"/>
  <c r="BW329" i="17"/>
  <c r="BX329" i="17"/>
  <c r="BY329" i="17"/>
  <c r="BZ329" i="17"/>
  <c r="CA329" i="17"/>
  <c r="CB329" i="17"/>
  <c r="CC329" i="17"/>
  <c r="CD329" i="17"/>
  <c r="CE329" i="17"/>
  <c r="CF329" i="17"/>
  <c r="CG329" i="17"/>
  <c r="CH329" i="17"/>
  <c r="CI329" i="17"/>
  <c r="CJ329" i="17"/>
  <c r="CK329" i="17"/>
  <c r="CL329" i="17"/>
  <c r="CM329" i="17"/>
  <c r="CN329" i="17"/>
  <c r="CO329" i="17"/>
  <c r="CP329" i="17"/>
  <c r="CQ329" i="17"/>
  <c r="CR329" i="17"/>
  <c r="CS329" i="17"/>
  <c r="CT329" i="17"/>
  <c r="CU329" i="17"/>
  <c r="CV329" i="17"/>
  <c r="CW329" i="17"/>
  <c r="CX329" i="17"/>
  <c r="CY329" i="17"/>
  <c r="CZ329" i="17"/>
  <c r="DA329" i="17"/>
  <c r="DB329" i="17"/>
  <c r="DC329" i="17"/>
  <c r="DD329" i="17"/>
  <c r="DE329" i="17"/>
  <c r="DF329" i="17"/>
  <c r="DG329" i="17"/>
  <c r="DH329" i="17"/>
  <c r="DI329" i="17"/>
  <c r="DJ329" i="17"/>
  <c r="DK329" i="17"/>
  <c r="DL329" i="17"/>
  <c r="DM329" i="17"/>
  <c r="DN329" i="17"/>
  <c r="DO329" i="17"/>
  <c r="DP329" i="17"/>
  <c r="DQ329" i="17"/>
  <c r="DR329" i="17"/>
  <c r="DS329" i="17"/>
  <c r="DT329" i="17"/>
  <c r="DU329" i="17"/>
  <c r="DV329" i="17"/>
  <c r="DW329" i="17"/>
  <c r="DX329" i="17"/>
  <c r="DY329" i="17"/>
  <c r="DZ329" i="17"/>
  <c r="EA329" i="17"/>
  <c r="EB329" i="17"/>
  <c r="EC329" i="17"/>
  <c r="ED329" i="17"/>
  <c r="EE329" i="17"/>
  <c r="EF329" i="17"/>
  <c r="EG329" i="17"/>
  <c r="EH329" i="17"/>
  <c r="EI329" i="17"/>
  <c r="EJ329" i="17"/>
  <c r="EK329" i="17"/>
  <c r="EL329" i="17"/>
  <c r="EM329" i="17"/>
  <c r="EN329" i="17"/>
  <c r="EO329" i="17"/>
  <c r="EP329" i="17"/>
  <c r="EQ329" i="17"/>
  <c r="ER329" i="17"/>
  <c r="ES329" i="17"/>
  <c r="ET329" i="17"/>
  <c r="EU329" i="17"/>
  <c r="EV329" i="17"/>
  <c r="EW329" i="17"/>
  <c r="EX329" i="17"/>
  <c r="EY329" i="17"/>
  <c r="EZ329" i="17"/>
  <c r="FA329" i="17"/>
  <c r="FB329" i="17"/>
  <c r="FC329" i="17"/>
  <c r="FD329" i="17"/>
  <c r="FE329" i="17"/>
  <c r="FF329" i="17"/>
  <c r="FG329" i="17"/>
  <c r="FH329" i="17"/>
  <c r="FI329" i="17"/>
  <c r="FJ329" i="17"/>
  <c r="FK329" i="17"/>
  <c r="FL329" i="17"/>
  <c r="FM329" i="17"/>
  <c r="FN329" i="17"/>
  <c r="FO329" i="17"/>
  <c r="FP329" i="17"/>
  <c r="FQ329" i="17"/>
  <c r="FR329" i="17"/>
  <c r="FS329" i="17"/>
  <c r="FT329" i="17"/>
  <c r="FU329" i="17"/>
  <c r="FV329" i="17"/>
  <c r="FW329" i="17"/>
  <c r="FX329" i="17"/>
  <c r="FY329" i="17"/>
  <c r="FZ329" i="17"/>
  <c r="GA329" i="17"/>
  <c r="GB329" i="17"/>
  <c r="GC329" i="17"/>
  <c r="GD329" i="17"/>
  <c r="GE329" i="17"/>
  <c r="GF329" i="17"/>
  <c r="GG329" i="17"/>
  <c r="GH329" i="17"/>
  <c r="GI329" i="17"/>
  <c r="GJ329" i="17"/>
  <c r="GK329" i="17"/>
  <c r="GL329" i="17"/>
  <c r="GM329" i="17"/>
  <c r="GN329" i="17"/>
  <c r="GO329" i="17"/>
  <c r="GP329" i="17"/>
  <c r="GQ329" i="17"/>
  <c r="GR329" i="17"/>
  <c r="GS329" i="17"/>
  <c r="GT329" i="17"/>
  <c r="GU329" i="17"/>
  <c r="GV329" i="17"/>
  <c r="GW329" i="17"/>
  <c r="GX329" i="17"/>
  <c r="GY329" i="17"/>
  <c r="GZ329" i="17"/>
  <c r="HA329" i="17"/>
  <c r="HB329" i="17"/>
  <c r="HC329" i="17"/>
  <c r="HD329" i="17"/>
  <c r="HE329" i="17"/>
  <c r="HF329" i="17"/>
  <c r="HG329" i="17"/>
  <c r="HH329" i="17"/>
  <c r="HI329" i="17"/>
  <c r="HJ329" i="17"/>
  <c r="HK329" i="17"/>
  <c r="HL329" i="17"/>
  <c r="HM329" i="17"/>
  <c r="HN329" i="17"/>
  <c r="HO329" i="17"/>
  <c r="HP329" i="17"/>
  <c r="HQ329" i="17"/>
  <c r="HR329" i="17"/>
  <c r="HS329" i="17"/>
  <c r="HT329" i="17"/>
  <c r="HU329" i="17"/>
  <c r="HV329" i="17"/>
  <c r="HW329" i="17"/>
  <c r="HX329" i="17"/>
  <c r="HY329" i="17"/>
  <c r="HZ329" i="17"/>
  <c r="IA329" i="17"/>
  <c r="IB329" i="17"/>
  <c r="IC329" i="17"/>
  <c r="ID329" i="17"/>
  <c r="IE329" i="17"/>
  <c r="IF329" i="17"/>
  <c r="IG329" i="17"/>
  <c r="IH329" i="17"/>
  <c r="II329" i="17"/>
  <c r="IJ329" i="17"/>
  <c r="IK329" i="17"/>
  <c r="IL329" i="17"/>
  <c r="IM329" i="17"/>
  <c r="IN329" i="17"/>
  <c r="IO329" i="17"/>
  <c r="IP329" i="17"/>
  <c r="IQ329" i="17"/>
  <c r="IR329" i="17"/>
  <c r="IS329" i="17"/>
  <c r="IT329" i="17"/>
  <c r="IU329" i="17"/>
  <c r="IV329" i="17"/>
  <c r="A328" i="17"/>
  <c r="B328" i="17"/>
  <c r="C328" i="17"/>
  <c r="D328" i="17"/>
  <c r="E328" i="17"/>
  <c r="F328" i="17"/>
  <c r="G328" i="17"/>
  <c r="H328" i="17"/>
  <c r="I328" i="17"/>
  <c r="J328" i="17"/>
  <c r="K328" i="17"/>
  <c r="L328" i="17"/>
  <c r="M328" i="17"/>
  <c r="N328" i="17"/>
  <c r="O328" i="17"/>
  <c r="P328" i="17"/>
  <c r="Q328" i="17"/>
  <c r="R328" i="17"/>
  <c r="S328" i="17"/>
  <c r="T328" i="17"/>
  <c r="U328" i="17"/>
  <c r="V328" i="17"/>
  <c r="W328" i="17"/>
  <c r="X328" i="17"/>
  <c r="Y328" i="17"/>
  <c r="Z328" i="17"/>
  <c r="AA328" i="17"/>
  <c r="AB328" i="17"/>
  <c r="AC328" i="17"/>
  <c r="AD328" i="17"/>
  <c r="AE328" i="17"/>
  <c r="AF328" i="17"/>
  <c r="AG328" i="17"/>
  <c r="AH328" i="17"/>
  <c r="AI328" i="17"/>
  <c r="AJ328" i="17"/>
  <c r="AK328" i="17"/>
  <c r="AL328" i="17"/>
  <c r="AM328" i="17"/>
  <c r="AN328" i="17"/>
  <c r="AO328" i="17"/>
  <c r="AP328" i="17"/>
  <c r="AQ328" i="17"/>
  <c r="AR328" i="17"/>
  <c r="AS328" i="17"/>
  <c r="AT328" i="17"/>
  <c r="AU328" i="17"/>
  <c r="AV328" i="17"/>
  <c r="AW328" i="17"/>
  <c r="AX328" i="17"/>
  <c r="AY328" i="17"/>
  <c r="AZ328" i="17"/>
  <c r="BA328" i="17"/>
  <c r="BB328" i="17"/>
  <c r="BC328" i="17"/>
  <c r="BD328" i="17"/>
  <c r="BE328" i="17"/>
  <c r="BF328" i="17"/>
  <c r="BG328" i="17"/>
  <c r="BH328" i="17"/>
  <c r="BI328" i="17"/>
  <c r="BJ328" i="17"/>
  <c r="BK328" i="17"/>
  <c r="BL328" i="17"/>
  <c r="BM328" i="17"/>
  <c r="BN328" i="17"/>
  <c r="BO328" i="17"/>
  <c r="BP328" i="17"/>
  <c r="BQ328" i="17"/>
  <c r="BR328" i="17"/>
  <c r="BS328" i="17"/>
  <c r="BT328" i="17"/>
  <c r="BU328" i="17"/>
  <c r="BV328" i="17"/>
  <c r="BW328" i="17"/>
  <c r="BX328" i="17"/>
  <c r="BY328" i="17"/>
  <c r="BZ328" i="17"/>
  <c r="CA328" i="17"/>
  <c r="CB328" i="17"/>
  <c r="CC328" i="17"/>
  <c r="CD328" i="17"/>
  <c r="CE328" i="17"/>
  <c r="CF328" i="17"/>
  <c r="CG328" i="17"/>
  <c r="CH328" i="17"/>
  <c r="CI328" i="17"/>
  <c r="CJ328" i="17"/>
  <c r="CK328" i="17"/>
  <c r="CL328" i="17"/>
  <c r="CM328" i="17"/>
  <c r="CN328" i="17"/>
  <c r="CO328" i="17"/>
  <c r="CP328" i="17"/>
  <c r="CQ328" i="17"/>
  <c r="CR328" i="17"/>
  <c r="CS328" i="17"/>
  <c r="CT328" i="17"/>
  <c r="CU328" i="17"/>
  <c r="CV328" i="17"/>
  <c r="CW328" i="17"/>
  <c r="CX328" i="17"/>
  <c r="CY328" i="17"/>
  <c r="CZ328" i="17"/>
  <c r="DA328" i="17"/>
  <c r="DB328" i="17"/>
  <c r="DC328" i="17"/>
  <c r="DD328" i="17"/>
  <c r="DE328" i="17"/>
  <c r="DF328" i="17"/>
  <c r="DG328" i="17"/>
  <c r="DH328" i="17"/>
  <c r="DI328" i="17"/>
  <c r="DJ328" i="17"/>
  <c r="DK328" i="17"/>
  <c r="DL328" i="17"/>
  <c r="DM328" i="17"/>
  <c r="DN328" i="17"/>
  <c r="DO328" i="17"/>
  <c r="DP328" i="17"/>
  <c r="DQ328" i="17"/>
  <c r="DR328" i="17"/>
  <c r="DS328" i="17"/>
  <c r="DT328" i="17"/>
  <c r="DU328" i="17"/>
  <c r="DV328" i="17"/>
  <c r="DW328" i="17"/>
  <c r="DX328" i="17"/>
  <c r="DY328" i="17"/>
  <c r="DZ328" i="17"/>
  <c r="EA328" i="17"/>
  <c r="EB328" i="17"/>
  <c r="EC328" i="17"/>
  <c r="ED328" i="17"/>
  <c r="EE328" i="17"/>
  <c r="EF328" i="17"/>
  <c r="EG328" i="17"/>
  <c r="EH328" i="17"/>
  <c r="EI328" i="17"/>
  <c r="EJ328" i="17"/>
  <c r="EK328" i="17"/>
  <c r="EL328" i="17"/>
  <c r="EM328" i="17"/>
  <c r="EN328" i="17"/>
  <c r="EO328" i="17"/>
  <c r="EP328" i="17"/>
  <c r="EQ328" i="17"/>
  <c r="ER328" i="17"/>
  <c r="ES328" i="17"/>
  <c r="ET328" i="17"/>
  <c r="EU328" i="17"/>
  <c r="EV328" i="17"/>
  <c r="EW328" i="17"/>
  <c r="EX328" i="17"/>
  <c r="EY328" i="17"/>
  <c r="EZ328" i="17"/>
  <c r="FA328" i="17"/>
  <c r="FB328" i="17"/>
  <c r="FC328" i="17"/>
  <c r="FD328" i="17"/>
  <c r="FE328" i="17"/>
  <c r="FF328" i="17"/>
  <c r="FG328" i="17"/>
  <c r="FH328" i="17"/>
  <c r="FI328" i="17"/>
  <c r="FJ328" i="17"/>
  <c r="FK328" i="17"/>
  <c r="FL328" i="17"/>
  <c r="FM328" i="17"/>
  <c r="FN328" i="17"/>
  <c r="FO328" i="17"/>
  <c r="FP328" i="17"/>
  <c r="FQ328" i="17"/>
  <c r="FR328" i="17"/>
  <c r="FS328" i="17"/>
  <c r="FT328" i="17"/>
  <c r="FU328" i="17"/>
  <c r="FV328" i="17"/>
  <c r="FW328" i="17"/>
  <c r="FX328" i="17"/>
  <c r="FY328" i="17"/>
  <c r="FZ328" i="17"/>
  <c r="GA328" i="17"/>
  <c r="GB328" i="17"/>
  <c r="GC328" i="17"/>
  <c r="GD328" i="17"/>
  <c r="GE328" i="17"/>
  <c r="GF328" i="17"/>
  <c r="GG328" i="17"/>
  <c r="GH328" i="17"/>
  <c r="GI328" i="17"/>
  <c r="GJ328" i="17"/>
  <c r="GK328" i="17"/>
  <c r="GL328" i="17"/>
  <c r="GM328" i="17"/>
  <c r="GN328" i="17"/>
  <c r="GO328" i="17"/>
  <c r="GP328" i="17"/>
  <c r="GQ328" i="17"/>
  <c r="GR328" i="17"/>
  <c r="GS328" i="17"/>
  <c r="GT328" i="17"/>
  <c r="GU328" i="17"/>
  <c r="GV328" i="17"/>
  <c r="GW328" i="17"/>
  <c r="GX328" i="17"/>
  <c r="GY328" i="17"/>
  <c r="GZ328" i="17"/>
  <c r="HA328" i="17"/>
  <c r="HB328" i="17"/>
  <c r="HC328" i="17"/>
  <c r="HD328" i="17"/>
  <c r="HE328" i="17"/>
  <c r="HF328" i="17"/>
  <c r="HG328" i="17"/>
  <c r="HH328" i="17"/>
  <c r="HI328" i="17"/>
  <c r="HJ328" i="17"/>
  <c r="HK328" i="17"/>
  <c r="HL328" i="17"/>
  <c r="HM328" i="17"/>
  <c r="HN328" i="17"/>
  <c r="HO328" i="17"/>
  <c r="HP328" i="17"/>
  <c r="HQ328" i="17"/>
  <c r="HR328" i="17"/>
  <c r="HS328" i="17"/>
  <c r="HT328" i="17"/>
  <c r="HU328" i="17"/>
  <c r="HV328" i="17"/>
  <c r="HW328" i="17"/>
  <c r="HX328" i="17"/>
  <c r="HY328" i="17"/>
  <c r="HZ328" i="17"/>
  <c r="IA328" i="17"/>
  <c r="IB328" i="17"/>
  <c r="IC328" i="17"/>
  <c r="ID328" i="17"/>
  <c r="IE328" i="17"/>
  <c r="IF328" i="17"/>
  <c r="IG328" i="17"/>
  <c r="IH328" i="17"/>
  <c r="II328" i="17"/>
  <c r="IJ328" i="17"/>
  <c r="IK328" i="17"/>
  <c r="IL328" i="17"/>
  <c r="IM328" i="17"/>
  <c r="IN328" i="17"/>
  <c r="IO328" i="17"/>
  <c r="IP328" i="17"/>
  <c r="IQ328" i="17"/>
  <c r="IR328" i="17"/>
  <c r="IS328" i="17"/>
  <c r="IT328" i="17"/>
  <c r="IU328" i="17"/>
  <c r="IV328" i="17"/>
  <c r="A327" i="17"/>
  <c r="B327" i="17"/>
  <c r="C327" i="17"/>
  <c r="D327" i="17"/>
  <c r="E327" i="17"/>
  <c r="F327" i="17"/>
  <c r="G327" i="17"/>
  <c r="H327" i="17"/>
  <c r="I327" i="17"/>
  <c r="J327" i="17"/>
  <c r="K327" i="17"/>
  <c r="L327" i="17"/>
  <c r="M327" i="17"/>
  <c r="N327" i="17"/>
  <c r="O327" i="17"/>
  <c r="P327" i="17"/>
  <c r="Q327" i="17"/>
  <c r="R327" i="17"/>
  <c r="S327" i="17"/>
  <c r="T327" i="17"/>
  <c r="U327" i="17"/>
  <c r="V327" i="17"/>
  <c r="W327" i="17"/>
  <c r="X327" i="17"/>
  <c r="Y327" i="17"/>
  <c r="Z327" i="17"/>
  <c r="AA327" i="17"/>
  <c r="AB327" i="17"/>
  <c r="AC327" i="17"/>
  <c r="AD327" i="17"/>
  <c r="AE327" i="17"/>
  <c r="AF327" i="17"/>
  <c r="AG327" i="17"/>
  <c r="AH327" i="17"/>
  <c r="AI327" i="17"/>
  <c r="AJ327" i="17"/>
  <c r="AK327" i="17"/>
  <c r="AL327" i="17"/>
  <c r="AM327" i="17"/>
  <c r="AN327" i="17"/>
  <c r="AO327" i="17"/>
  <c r="AP327" i="17"/>
  <c r="AQ327" i="17"/>
  <c r="AR327" i="17"/>
  <c r="AS327" i="17"/>
  <c r="AT327" i="17"/>
  <c r="AU327" i="17"/>
  <c r="AV327" i="17"/>
  <c r="AW327" i="17"/>
  <c r="AX327" i="17"/>
  <c r="AY327" i="17"/>
  <c r="AZ327" i="17"/>
  <c r="BA327" i="17"/>
  <c r="BB327" i="17"/>
  <c r="BC327" i="17"/>
  <c r="BD327" i="17"/>
  <c r="BE327" i="17"/>
  <c r="BF327" i="17"/>
  <c r="BG327" i="17"/>
  <c r="BH327" i="17"/>
  <c r="BI327" i="17"/>
  <c r="BJ327" i="17"/>
  <c r="BK327" i="17"/>
  <c r="BL327" i="17"/>
  <c r="BM327" i="17"/>
  <c r="BN327" i="17"/>
  <c r="BO327" i="17"/>
  <c r="BP327" i="17"/>
  <c r="BQ327" i="17"/>
  <c r="BR327" i="17"/>
  <c r="BS327" i="17"/>
  <c r="BT327" i="17"/>
  <c r="BU327" i="17"/>
  <c r="BV327" i="17"/>
  <c r="BW327" i="17"/>
  <c r="BX327" i="17"/>
  <c r="BY327" i="17"/>
  <c r="BZ327" i="17"/>
  <c r="CA327" i="17"/>
  <c r="CB327" i="17"/>
  <c r="CC327" i="17"/>
  <c r="CD327" i="17"/>
  <c r="CE327" i="17"/>
  <c r="CF327" i="17"/>
  <c r="CG327" i="17"/>
  <c r="CH327" i="17"/>
  <c r="CI327" i="17"/>
  <c r="CJ327" i="17"/>
  <c r="CK327" i="17"/>
  <c r="CL327" i="17"/>
  <c r="CM327" i="17"/>
  <c r="CN327" i="17"/>
  <c r="CO327" i="17"/>
  <c r="CP327" i="17"/>
  <c r="CQ327" i="17"/>
  <c r="CR327" i="17"/>
  <c r="CS327" i="17"/>
  <c r="CT327" i="17"/>
  <c r="CU327" i="17"/>
  <c r="CV327" i="17"/>
  <c r="CW327" i="17"/>
  <c r="CX327" i="17"/>
  <c r="CY327" i="17"/>
  <c r="CZ327" i="17"/>
  <c r="DA327" i="17"/>
  <c r="DB327" i="17"/>
  <c r="DC327" i="17"/>
  <c r="DD327" i="17"/>
  <c r="DE327" i="17"/>
  <c r="DF327" i="17"/>
  <c r="DG327" i="17"/>
  <c r="DH327" i="17"/>
  <c r="DI327" i="17"/>
  <c r="DJ327" i="17"/>
  <c r="DK327" i="17"/>
  <c r="DL327" i="17"/>
  <c r="DM327" i="17"/>
  <c r="DN327" i="17"/>
  <c r="DO327" i="17"/>
  <c r="DP327" i="17"/>
  <c r="DQ327" i="17"/>
  <c r="DR327" i="17"/>
  <c r="DS327" i="17"/>
  <c r="DT327" i="17"/>
  <c r="DU327" i="17"/>
  <c r="DV327" i="17"/>
  <c r="DW327" i="17"/>
  <c r="DX327" i="17"/>
  <c r="DY327" i="17"/>
  <c r="DZ327" i="17"/>
  <c r="EA327" i="17"/>
  <c r="EB327" i="17"/>
  <c r="EC327" i="17"/>
  <c r="ED327" i="17"/>
  <c r="EE327" i="17"/>
  <c r="EF327" i="17"/>
  <c r="EG327" i="17"/>
  <c r="EH327" i="17"/>
  <c r="EI327" i="17"/>
  <c r="EJ327" i="17"/>
  <c r="EK327" i="17"/>
  <c r="EL327" i="17"/>
  <c r="EM327" i="17"/>
  <c r="EN327" i="17"/>
  <c r="EO327" i="17"/>
  <c r="EP327" i="17"/>
  <c r="EQ327" i="17"/>
  <c r="ER327" i="17"/>
  <c r="ES327" i="17"/>
  <c r="ET327" i="17"/>
  <c r="EU327" i="17"/>
  <c r="EV327" i="17"/>
  <c r="EW327" i="17"/>
  <c r="EX327" i="17"/>
  <c r="EY327" i="17"/>
  <c r="EZ327" i="17"/>
  <c r="FA327" i="17"/>
  <c r="FB327" i="17"/>
  <c r="FC327" i="17"/>
  <c r="FD327" i="17"/>
  <c r="FE327" i="17"/>
  <c r="FF327" i="17"/>
  <c r="FG327" i="17"/>
  <c r="FH327" i="17"/>
  <c r="FI327" i="17"/>
  <c r="FJ327" i="17"/>
  <c r="FK327" i="17"/>
  <c r="FL327" i="17"/>
  <c r="FM327" i="17"/>
  <c r="FN327" i="17"/>
  <c r="FO327" i="17"/>
  <c r="FP327" i="17"/>
  <c r="FQ327" i="17"/>
  <c r="FR327" i="17"/>
  <c r="FS327" i="17"/>
  <c r="FT327" i="17"/>
  <c r="FU327" i="17"/>
  <c r="FV327" i="17"/>
  <c r="FW327" i="17"/>
  <c r="FX327" i="17"/>
  <c r="FY327" i="17"/>
  <c r="FZ327" i="17"/>
  <c r="GA327" i="17"/>
  <c r="GB327" i="17"/>
  <c r="GC327" i="17"/>
  <c r="GD327" i="17"/>
  <c r="GE327" i="17"/>
  <c r="GF327" i="17"/>
  <c r="GG327" i="17"/>
  <c r="GH327" i="17"/>
  <c r="GI327" i="17"/>
  <c r="GJ327" i="17"/>
  <c r="GK327" i="17"/>
  <c r="GL327" i="17"/>
  <c r="GM327" i="17"/>
  <c r="GN327" i="17"/>
  <c r="GO327" i="17"/>
  <c r="GP327" i="17"/>
  <c r="GQ327" i="17"/>
  <c r="GR327" i="17"/>
  <c r="GS327" i="17"/>
  <c r="GT327" i="17"/>
  <c r="GU327" i="17"/>
  <c r="GV327" i="17"/>
  <c r="GW327" i="17"/>
  <c r="GX327" i="17"/>
  <c r="GY327" i="17"/>
  <c r="GZ327" i="17"/>
  <c r="HA327" i="17"/>
  <c r="HB327" i="17"/>
  <c r="HC327" i="17"/>
  <c r="HD327" i="17"/>
  <c r="HE327" i="17"/>
  <c r="HF327" i="17"/>
  <c r="HG327" i="17"/>
  <c r="HH327" i="17"/>
  <c r="HI327" i="17"/>
  <c r="HJ327" i="17"/>
  <c r="HK327" i="17"/>
  <c r="HL327" i="17"/>
  <c r="HM327" i="17"/>
  <c r="HN327" i="17"/>
  <c r="HO327" i="17"/>
  <c r="HP327" i="17"/>
  <c r="HQ327" i="17"/>
  <c r="HR327" i="17"/>
  <c r="HS327" i="17"/>
  <c r="HT327" i="17"/>
  <c r="HU327" i="17"/>
  <c r="HV327" i="17"/>
  <c r="HW327" i="17"/>
  <c r="HX327" i="17"/>
  <c r="HY327" i="17"/>
  <c r="HZ327" i="17"/>
  <c r="IA327" i="17"/>
  <c r="IB327" i="17"/>
  <c r="IC327" i="17"/>
  <c r="ID327" i="17"/>
  <c r="IE327" i="17"/>
  <c r="IF327" i="17"/>
  <c r="IG327" i="17"/>
  <c r="IH327" i="17"/>
  <c r="II327" i="17"/>
  <c r="IJ327" i="17"/>
  <c r="IK327" i="17"/>
  <c r="IL327" i="17"/>
  <c r="IM327" i="17"/>
  <c r="IN327" i="17"/>
  <c r="IO327" i="17"/>
  <c r="IP327" i="17"/>
  <c r="IQ327" i="17"/>
  <c r="IR327" i="17"/>
  <c r="IS327" i="17"/>
  <c r="IT327" i="17"/>
  <c r="IU327" i="17"/>
  <c r="IV327" i="17"/>
  <c r="A326" i="17"/>
  <c r="B326" i="17"/>
  <c r="C326" i="17"/>
  <c r="D326" i="17"/>
  <c r="E326" i="17"/>
  <c r="F326" i="17"/>
  <c r="G326" i="17"/>
  <c r="H326" i="17"/>
  <c r="I326" i="17"/>
  <c r="J326" i="17"/>
  <c r="K326" i="17"/>
  <c r="L326" i="17"/>
  <c r="M326" i="17"/>
  <c r="N326" i="17"/>
  <c r="O326" i="17"/>
  <c r="P326" i="17"/>
  <c r="Q326" i="17"/>
  <c r="R326" i="17"/>
  <c r="S326" i="17"/>
  <c r="T326" i="17"/>
  <c r="U326" i="17"/>
  <c r="V326" i="17"/>
  <c r="W326" i="17"/>
  <c r="X326" i="17"/>
  <c r="Y326" i="17"/>
  <c r="Z326" i="17"/>
  <c r="AA326" i="17"/>
  <c r="AB326" i="17"/>
  <c r="AC326" i="17"/>
  <c r="AD326" i="17"/>
  <c r="AE326" i="17"/>
  <c r="AF326" i="17"/>
  <c r="AG326" i="17"/>
  <c r="AH326" i="17"/>
  <c r="AI326" i="17"/>
  <c r="AJ326" i="17"/>
  <c r="AK326" i="17"/>
  <c r="AL326" i="17"/>
  <c r="AM326" i="17"/>
  <c r="AN326" i="17"/>
  <c r="AO326" i="17"/>
  <c r="AP326" i="17"/>
  <c r="AQ326" i="17"/>
  <c r="AR326" i="17"/>
  <c r="AS326" i="17"/>
  <c r="AT326" i="17"/>
  <c r="AU326" i="17"/>
  <c r="AV326" i="17"/>
  <c r="AW326" i="17"/>
  <c r="AX326" i="17"/>
  <c r="AY326" i="17"/>
  <c r="AZ326" i="17"/>
  <c r="BA326" i="17"/>
  <c r="BB326" i="17"/>
  <c r="BC326" i="17"/>
  <c r="BD326" i="17"/>
  <c r="BE326" i="17"/>
  <c r="BF326" i="17"/>
  <c r="BG326" i="17"/>
  <c r="BH326" i="17"/>
  <c r="BI326" i="17"/>
  <c r="BJ326" i="17"/>
  <c r="BK326" i="17"/>
  <c r="BL326" i="17"/>
  <c r="BM326" i="17"/>
  <c r="BN326" i="17"/>
  <c r="BO326" i="17"/>
  <c r="BP326" i="17"/>
  <c r="BQ326" i="17"/>
  <c r="BR326" i="17"/>
  <c r="BS326" i="17"/>
  <c r="BT326" i="17"/>
  <c r="BU326" i="17"/>
  <c r="BV326" i="17"/>
  <c r="BW326" i="17"/>
  <c r="BX326" i="17"/>
  <c r="BY326" i="17"/>
  <c r="BZ326" i="17"/>
  <c r="CA326" i="17"/>
  <c r="CB326" i="17"/>
  <c r="CC326" i="17"/>
  <c r="CD326" i="17"/>
  <c r="CE326" i="17"/>
  <c r="CF326" i="17"/>
  <c r="CG326" i="17"/>
  <c r="CH326" i="17"/>
  <c r="CI326" i="17"/>
  <c r="CJ326" i="17"/>
  <c r="CK326" i="17"/>
  <c r="CL326" i="17"/>
  <c r="CM326" i="17"/>
  <c r="CN326" i="17"/>
  <c r="CO326" i="17"/>
  <c r="CP326" i="17"/>
  <c r="CQ326" i="17"/>
  <c r="CR326" i="17"/>
  <c r="CS326" i="17"/>
  <c r="CT326" i="17"/>
  <c r="CU326" i="17"/>
  <c r="CV326" i="17"/>
  <c r="CW326" i="17"/>
  <c r="CX326" i="17"/>
  <c r="CY326" i="17"/>
  <c r="CZ326" i="17"/>
  <c r="DA326" i="17"/>
  <c r="DB326" i="17"/>
  <c r="DC326" i="17"/>
  <c r="DD326" i="17"/>
  <c r="DE326" i="17"/>
  <c r="DF326" i="17"/>
  <c r="DG326" i="17"/>
  <c r="DH326" i="17"/>
  <c r="DI326" i="17"/>
  <c r="DJ326" i="17"/>
  <c r="DK326" i="17"/>
  <c r="DL326" i="17"/>
  <c r="DM326" i="17"/>
  <c r="DN326" i="17"/>
  <c r="DO326" i="17"/>
  <c r="DP326" i="17"/>
  <c r="DQ326" i="17"/>
  <c r="DR326" i="17"/>
  <c r="DS326" i="17"/>
  <c r="DT326" i="17"/>
  <c r="DU326" i="17"/>
  <c r="DV326" i="17"/>
  <c r="DW326" i="17"/>
  <c r="DX326" i="17"/>
  <c r="DY326" i="17"/>
  <c r="DZ326" i="17"/>
  <c r="EA326" i="17"/>
  <c r="EB326" i="17"/>
  <c r="EC326" i="17"/>
  <c r="ED326" i="17"/>
  <c r="EE326" i="17"/>
  <c r="EF326" i="17"/>
  <c r="EG326" i="17"/>
  <c r="EH326" i="17"/>
  <c r="EI326" i="17"/>
  <c r="EJ326" i="17"/>
  <c r="EK326" i="17"/>
  <c r="EL326" i="17"/>
  <c r="EM326" i="17"/>
  <c r="EN326" i="17"/>
  <c r="EO326" i="17"/>
  <c r="EP326" i="17"/>
  <c r="EQ326" i="17"/>
  <c r="ER326" i="17"/>
  <c r="ES326" i="17"/>
  <c r="ET326" i="17"/>
  <c r="EU326" i="17"/>
  <c r="EV326" i="17"/>
  <c r="EW326" i="17"/>
  <c r="EX326" i="17"/>
  <c r="EY326" i="17"/>
  <c r="EZ326" i="17"/>
  <c r="FA326" i="17"/>
  <c r="FB326" i="17"/>
  <c r="FC326" i="17"/>
  <c r="FD326" i="17"/>
  <c r="FE326" i="17"/>
  <c r="FF326" i="17"/>
  <c r="FG326" i="17"/>
  <c r="FH326" i="17"/>
  <c r="FI326" i="17"/>
  <c r="FJ326" i="17"/>
  <c r="FK326" i="17"/>
  <c r="FL326" i="17"/>
  <c r="FM326" i="17"/>
  <c r="FN326" i="17"/>
  <c r="FO326" i="17"/>
  <c r="FP326" i="17"/>
  <c r="FQ326" i="17"/>
  <c r="FR326" i="17"/>
  <c r="FS326" i="17"/>
  <c r="FT326" i="17"/>
  <c r="FU326" i="17"/>
  <c r="FV326" i="17"/>
  <c r="FW326" i="17"/>
  <c r="FX326" i="17"/>
  <c r="FY326" i="17"/>
  <c r="FZ326" i="17"/>
  <c r="GA326" i="17"/>
  <c r="GB326" i="17"/>
  <c r="GC326" i="17"/>
  <c r="GD326" i="17"/>
  <c r="GE326" i="17"/>
  <c r="GF326" i="17"/>
  <c r="GG326" i="17"/>
  <c r="GH326" i="17"/>
  <c r="GI326" i="17"/>
  <c r="GJ326" i="17"/>
  <c r="GK326" i="17"/>
  <c r="GL326" i="17"/>
  <c r="GM326" i="17"/>
  <c r="GN326" i="17"/>
  <c r="GO326" i="17"/>
  <c r="GP326" i="17"/>
  <c r="GQ326" i="17"/>
  <c r="GR326" i="17"/>
  <c r="GS326" i="17"/>
  <c r="GT326" i="17"/>
  <c r="GU326" i="17"/>
  <c r="GV326" i="17"/>
  <c r="GW326" i="17"/>
  <c r="GX326" i="17"/>
  <c r="GY326" i="17"/>
  <c r="GZ326" i="17"/>
  <c r="HA326" i="17"/>
  <c r="HB326" i="17"/>
  <c r="HC326" i="17"/>
  <c r="HD326" i="17"/>
  <c r="HE326" i="17"/>
  <c r="HF326" i="17"/>
  <c r="HG326" i="17"/>
  <c r="HH326" i="17"/>
  <c r="HI326" i="17"/>
  <c r="HJ326" i="17"/>
  <c r="HK326" i="17"/>
  <c r="HL326" i="17"/>
  <c r="HM326" i="17"/>
  <c r="HN326" i="17"/>
  <c r="HO326" i="17"/>
  <c r="HP326" i="17"/>
  <c r="HQ326" i="17"/>
  <c r="HR326" i="17"/>
  <c r="HS326" i="17"/>
  <c r="HT326" i="17"/>
  <c r="HU326" i="17"/>
  <c r="HV326" i="17"/>
  <c r="HW326" i="17"/>
  <c r="HX326" i="17"/>
  <c r="HY326" i="17"/>
  <c r="HZ326" i="17"/>
  <c r="IA326" i="17"/>
  <c r="IB326" i="17"/>
  <c r="IC326" i="17"/>
  <c r="ID326" i="17"/>
  <c r="IE326" i="17"/>
  <c r="IF326" i="17"/>
  <c r="IG326" i="17"/>
  <c r="IH326" i="17"/>
  <c r="II326" i="17"/>
  <c r="IJ326" i="17"/>
  <c r="IK326" i="17"/>
  <c r="IL326" i="17"/>
  <c r="IM326" i="17"/>
  <c r="IN326" i="17"/>
  <c r="IO326" i="17"/>
  <c r="IP326" i="17"/>
  <c r="IQ326" i="17"/>
  <c r="IR326" i="17"/>
  <c r="IS326" i="17"/>
  <c r="IT326" i="17"/>
  <c r="IU326" i="17"/>
  <c r="IV326" i="17"/>
  <c r="A325" i="17"/>
  <c r="B325" i="17"/>
  <c r="C325" i="17"/>
  <c r="D325" i="17"/>
  <c r="E325" i="17"/>
  <c r="F325" i="17"/>
  <c r="G325" i="17"/>
  <c r="H325" i="17"/>
  <c r="I325" i="17"/>
  <c r="J325" i="17"/>
  <c r="K325" i="17"/>
  <c r="L325" i="17"/>
  <c r="M325" i="17"/>
  <c r="N325" i="17"/>
  <c r="O325" i="17"/>
  <c r="P325" i="17"/>
  <c r="Q325" i="17"/>
  <c r="R325" i="17"/>
  <c r="S325" i="17"/>
  <c r="T325" i="17"/>
  <c r="U325" i="17"/>
  <c r="V325" i="17"/>
  <c r="W325" i="17"/>
  <c r="X325" i="17"/>
  <c r="Y325" i="17"/>
  <c r="Z325" i="17"/>
  <c r="AA325" i="17"/>
  <c r="AB325" i="17"/>
  <c r="AC325" i="17"/>
  <c r="AD325" i="17"/>
  <c r="AE325" i="17"/>
  <c r="AF325" i="17"/>
  <c r="AG325" i="17"/>
  <c r="AH325" i="17"/>
  <c r="AI325" i="17"/>
  <c r="AJ325" i="17"/>
  <c r="AK325" i="17"/>
  <c r="AL325" i="17"/>
  <c r="AM325" i="17"/>
  <c r="AN325" i="17"/>
  <c r="AO325" i="17"/>
  <c r="AP325" i="17"/>
  <c r="AQ325" i="17"/>
  <c r="AR325" i="17"/>
  <c r="AS325" i="17"/>
  <c r="AT325" i="17"/>
  <c r="AU325" i="17"/>
  <c r="AV325" i="17"/>
  <c r="AW325" i="17"/>
  <c r="AX325" i="17"/>
  <c r="AY325" i="17"/>
  <c r="AZ325" i="17"/>
  <c r="BA325" i="17"/>
  <c r="BB325" i="17"/>
  <c r="BC325" i="17"/>
  <c r="BD325" i="17"/>
  <c r="BE325" i="17"/>
  <c r="BF325" i="17"/>
  <c r="BG325" i="17"/>
  <c r="BH325" i="17"/>
  <c r="BI325" i="17"/>
  <c r="BJ325" i="17"/>
  <c r="BK325" i="17"/>
  <c r="BL325" i="17"/>
  <c r="BM325" i="17"/>
  <c r="BN325" i="17"/>
  <c r="BO325" i="17"/>
  <c r="BP325" i="17"/>
  <c r="BQ325" i="17"/>
  <c r="BR325" i="17"/>
  <c r="BS325" i="17"/>
  <c r="BT325" i="17"/>
  <c r="BU325" i="17"/>
  <c r="BV325" i="17"/>
  <c r="BW325" i="17"/>
  <c r="BX325" i="17"/>
  <c r="BY325" i="17"/>
  <c r="BZ325" i="17"/>
  <c r="CA325" i="17"/>
  <c r="CB325" i="17"/>
  <c r="CC325" i="17"/>
  <c r="CD325" i="17"/>
  <c r="CE325" i="17"/>
  <c r="CF325" i="17"/>
  <c r="CG325" i="17"/>
  <c r="CH325" i="17"/>
  <c r="CI325" i="17"/>
  <c r="CJ325" i="17"/>
  <c r="CK325" i="17"/>
  <c r="CL325" i="17"/>
  <c r="CM325" i="17"/>
  <c r="CN325" i="17"/>
  <c r="CO325" i="17"/>
  <c r="CP325" i="17"/>
  <c r="CQ325" i="17"/>
  <c r="CR325" i="17"/>
  <c r="CS325" i="17"/>
  <c r="CT325" i="17"/>
  <c r="CU325" i="17"/>
  <c r="CV325" i="17"/>
  <c r="CW325" i="17"/>
  <c r="CX325" i="17"/>
  <c r="CY325" i="17"/>
  <c r="CZ325" i="17"/>
  <c r="DA325" i="17"/>
  <c r="DB325" i="17"/>
  <c r="DC325" i="17"/>
  <c r="DD325" i="17"/>
  <c r="DE325" i="17"/>
  <c r="DF325" i="17"/>
  <c r="DG325" i="17"/>
  <c r="DH325" i="17"/>
  <c r="DI325" i="17"/>
  <c r="DJ325" i="17"/>
  <c r="DK325" i="17"/>
  <c r="DL325" i="17"/>
  <c r="DM325" i="17"/>
  <c r="DN325" i="17"/>
  <c r="DO325" i="17"/>
  <c r="DP325" i="17"/>
  <c r="DQ325" i="17"/>
  <c r="DR325" i="17"/>
  <c r="DS325" i="17"/>
  <c r="DT325" i="17"/>
  <c r="DU325" i="17"/>
  <c r="DV325" i="17"/>
  <c r="DW325" i="17"/>
  <c r="DX325" i="17"/>
  <c r="DY325" i="17"/>
  <c r="DZ325" i="17"/>
  <c r="EA325" i="17"/>
  <c r="EB325" i="17"/>
  <c r="EC325" i="17"/>
  <c r="ED325" i="17"/>
  <c r="EE325" i="17"/>
  <c r="EF325" i="17"/>
  <c r="EG325" i="17"/>
  <c r="EH325" i="17"/>
  <c r="EI325" i="17"/>
  <c r="EJ325" i="17"/>
  <c r="EK325" i="17"/>
  <c r="EL325" i="17"/>
  <c r="EM325" i="17"/>
  <c r="EN325" i="17"/>
  <c r="EO325" i="17"/>
  <c r="EP325" i="17"/>
  <c r="EQ325" i="17"/>
  <c r="ER325" i="17"/>
  <c r="ES325" i="17"/>
  <c r="ET325" i="17"/>
  <c r="EU325" i="17"/>
  <c r="EV325" i="17"/>
  <c r="EW325" i="17"/>
  <c r="EX325" i="17"/>
  <c r="EY325" i="17"/>
  <c r="EZ325" i="17"/>
  <c r="FA325" i="17"/>
  <c r="FB325" i="17"/>
  <c r="FC325" i="17"/>
  <c r="FD325" i="17"/>
  <c r="FE325" i="17"/>
  <c r="FF325" i="17"/>
  <c r="FG325" i="17"/>
  <c r="FH325" i="17"/>
  <c r="FI325" i="17"/>
  <c r="FJ325" i="17"/>
  <c r="FK325" i="17"/>
  <c r="FL325" i="17"/>
  <c r="FM325" i="17"/>
  <c r="FN325" i="17"/>
  <c r="FO325" i="17"/>
  <c r="FP325" i="17"/>
  <c r="FQ325" i="17"/>
  <c r="FR325" i="17"/>
  <c r="FS325" i="17"/>
  <c r="FT325" i="17"/>
  <c r="FU325" i="17"/>
  <c r="FV325" i="17"/>
  <c r="FW325" i="17"/>
  <c r="FX325" i="17"/>
  <c r="FY325" i="17"/>
  <c r="FZ325" i="17"/>
  <c r="GA325" i="17"/>
  <c r="GB325" i="17"/>
  <c r="GC325" i="17"/>
  <c r="GD325" i="17"/>
  <c r="GE325" i="17"/>
  <c r="GF325" i="17"/>
  <c r="GG325" i="17"/>
  <c r="GH325" i="17"/>
  <c r="GI325" i="17"/>
  <c r="GJ325" i="17"/>
  <c r="GK325" i="17"/>
  <c r="GL325" i="17"/>
  <c r="GM325" i="17"/>
  <c r="GN325" i="17"/>
  <c r="GO325" i="17"/>
  <c r="GP325" i="17"/>
  <c r="GQ325" i="17"/>
  <c r="GR325" i="17"/>
  <c r="GS325" i="17"/>
  <c r="GT325" i="17"/>
  <c r="GU325" i="17"/>
  <c r="GV325" i="17"/>
  <c r="GW325" i="17"/>
  <c r="GX325" i="17"/>
  <c r="GY325" i="17"/>
  <c r="GZ325" i="17"/>
  <c r="HA325" i="17"/>
  <c r="HB325" i="17"/>
  <c r="HC325" i="17"/>
  <c r="HD325" i="17"/>
  <c r="HE325" i="17"/>
  <c r="HF325" i="17"/>
  <c r="HG325" i="17"/>
  <c r="HH325" i="17"/>
  <c r="HI325" i="17"/>
  <c r="HJ325" i="17"/>
  <c r="HK325" i="17"/>
  <c r="HL325" i="17"/>
  <c r="HM325" i="17"/>
  <c r="HN325" i="17"/>
  <c r="HO325" i="17"/>
  <c r="HP325" i="17"/>
  <c r="HQ325" i="17"/>
  <c r="HR325" i="17"/>
  <c r="HS325" i="17"/>
  <c r="HT325" i="17"/>
  <c r="HU325" i="17"/>
  <c r="HV325" i="17"/>
  <c r="HW325" i="17"/>
  <c r="HX325" i="17"/>
  <c r="HY325" i="17"/>
  <c r="HZ325" i="17"/>
  <c r="IA325" i="17"/>
  <c r="IB325" i="17"/>
  <c r="IC325" i="17"/>
  <c r="ID325" i="17"/>
  <c r="IE325" i="17"/>
  <c r="IF325" i="17"/>
  <c r="IG325" i="17"/>
  <c r="IH325" i="17"/>
  <c r="II325" i="17"/>
  <c r="IJ325" i="17"/>
  <c r="IK325" i="17"/>
  <c r="IL325" i="17"/>
  <c r="IM325" i="17"/>
  <c r="IN325" i="17"/>
  <c r="IO325" i="17"/>
  <c r="IP325" i="17"/>
  <c r="IQ325" i="17"/>
  <c r="IR325" i="17"/>
  <c r="IS325" i="17"/>
  <c r="IT325" i="17"/>
  <c r="IU325" i="17"/>
  <c r="IV325" i="17"/>
  <c r="A324" i="17"/>
  <c r="B324" i="17"/>
  <c r="C324" i="17"/>
  <c r="D324" i="17"/>
  <c r="E324" i="17"/>
  <c r="F324" i="17"/>
  <c r="G324" i="17"/>
  <c r="H324" i="17"/>
  <c r="I324" i="17"/>
  <c r="J324" i="17"/>
  <c r="K324" i="17"/>
  <c r="L324" i="17"/>
  <c r="M324" i="17"/>
  <c r="N324" i="17"/>
  <c r="O324" i="17"/>
  <c r="P324" i="17"/>
  <c r="Q324" i="17"/>
  <c r="R324" i="17"/>
  <c r="S324" i="17"/>
  <c r="T324" i="17"/>
  <c r="U324" i="17"/>
  <c r="V324" i="17"/>
  <c r="W324" i="17"/>
  <c r="X324" i="17"/>
  <c r="Y324" i="17"/>
  <c r="Z324" i="17"/>
  <c r="AA324" i="17"/>
  <c r="AB324" i="17"/>
  <c r="AC324" i="17"/>
  <c r="AD324" i="17"/>
  <c r="AE324" i="17"/>
  <c r="AF324" i="17"/>
  <c r="AG324" i="17"/>
  <c r="AH324" i="17"/>
  <c r="AI324" i="17"/>
  <c r="AJ324" i="17"/>
  <c r="AK324" i="17"/>
  <c r="AL324" i="17"/>
  <c r="AM324" i="17"/>
  <c r="AN324" i="17"/>
  <c r="AO324" i="17"/>
  <c r="AP324" i="17"/>
  <c r="AQ324" i="17"/>
  <c r="AR324" i="17"/>
  <c r="AS324" i="17"/>
  <c r="AT324" i="17"/>
  <c r="AU324" i="17"/>
  <c r="AV324" i="17"/>
  <c r="AW324" i="17"/>
  <c r="AX324" i="17"/>
  <c r="AY324" i="17"/>
  <c r="AZ324" i="17"/>
  <c r="BA324" i="17"/>
  <c r="BB324" i="17"/>
  <c r="BC324" i="17"/>
  <c r="BD324" i="17"/>
  <c r="BE324" i="17"/>
  <c r="BF324" i="17"/>
  <c r="BG324" i="17"/>
  <c r="BH324" i="17"/>
  <c r="BI324" i="17"/>
  <c r="BJ324" i="17"/>
  <c r="BK324" i="17"/>
  <c r="BL324" i="17"/>
  <c r="BM324" i="17"/>
  <c r="BN324" i="17"/>
  <c r="BO324" i="17"/>
  <c r="BP324" i="17"/>
  <c r="BQ324" i="17"/>
  <c r="BR324" i="17"/>
  <c r="BS324" i="17"/>
  <c r="BT324" i="17"/>
  <c r="BU324" i="17"/>
  <c r="BV324" i="17"/>
  <c r="BW324" i="17"/>
  <c r="BX324" i="17"/>
  <c r="BY324" i="17"/>
  <c r="BZ324" i="17"/>
  <c r="CA324" i="17"/>
  <c r="CB324" i="17"/>
  <c r="CC324" i="17"/>
  <c r="CD324" i="17"/>
  <c r="CE324" i="17"/>
  <c r="CF324" i="17"/>
  <c r="CG324" i="17"/>
  <c r="CH324" i="17"/>
  <c r="CI324" i="17"/>
  <c r="CJ324" i="17"/>
  <c r="CK324" i="17"/>
  <c r="CL324" i="17"/>
  <c r="CM324" i="17"/>
  <c r="CN324" i="17"/>
  <c r="CO324" i="17"/>
  <c r="CP324" i="17"/>
  <c r="CQ324" i="17"/>
  <c r="CR324" i="17"/>
  <c r="CS324" i="17"/>
  <c r="CT324" i="17"/>
  <c r="CU324" i="17"/>
  <c r="CV324" i="17"/>
  <c r="CW324" i="17"/>
  <c r="CX324" i="17"/>
  <c r="CY324" i="17"/>
  <c r="CZ324" i="17"/>
  <c r="DA324" i="17"/>
  <c r="DB324" i="17"/>
  <c r="DC324" i="17"/>
  <c r="DD324" i="17"/>
  <c r="DE324" i="17"/>
  <c r="DF324" i="17"/>
  <c r="DG324" i="17"/>
  <c r="DH324" i="17"/>
  <c r="DI324" i="17"/>
  <c r="DJ324" i="17"/>
  <c r="DK324" i="17"/>
  <c r="DL324" i="17"/>
  <c r="DM324" i="17"/>
  <c r="DN324" i="17"/>
  <c r="DO324" i="17"/>
  <c r="DP324" i="17"/>
  <c r="DQ324" i="17"/>
  <c r="DR324" i="17"/>
  <c r="DS324" i="17"/>
  <c r="DT324" i="17"/>
  <c r="DU324" i="17"/>
  <c r="DV324" i="17"/>
  <c r="DW324" i="17"/>
  <c r="DX324" i="17"/>
  <c r="DY324" i="17"/>
  <c r="DZ324" i="17"/>
  <c r="EA324" i="17"/>
  <c r="EB324" i="17"/>
  <c r="EC324" i="17"/>
  <c r="ED324" i="17"/>
  <c r="EE324" i="17"/>
  <c r="EF324" i="17"/>
  <c r="EG324" i="17"/>
  <c r="EH324" i="17"/>
  <c r="EI324" i="17"/>
  <c r="EJ324" i="17"/>
  <c r="EK324" i="17"/>
  <c r="EL324" i="17"/>
  <c r="EM324" i="17"/>
  <c r="EN324" i="17"/>
  <c r="EO324" i="17"/>
  <c r="EP324" i="17"/>
  <c r="EQ324" i="17"/>
  <c r="ER324" i="17"/>
  <c r="ES324" i="17"/>
  <c r="ET324" i="17"/>
  <c r="EU324" i="17"/>
  <c r="EV324" i="17"/>
  <c r="EW324" i="17"/>
  <c r="EX324" i="17"/>
  <c r="EY324" i="17"/>
  <c r="EZ324" i="17"/>
  <c r="FA324" i="17"/>
  <c r="FB324" i="17"/>
  <c r="FC324" i="17"/>
  <c r="FD324" i="17"/>
  <c r="FE324" i="17"/>
  <c r="FF324" i="17"/>
  <c r="FG324" i="17"/>
  <c r="FH324" i="17"/>
  <c r="FI324" i="17"/>
  <c r="FJ324" i="17"/>
  <c r="FK324" i="17"/>
  <c r="FL324" i="17"/>
  <c r="FM324" i="17"/>
  <c r="FN324" i="17"/>
  <c r="FO324" i="17"/>
  <c r="FP324" i="17"/>
  <c r="FQ324" i="17"/>
  <c r="FR324" i="17"/>
  <c r="FS324" i="17"/>
  <c r="FT324" i="17"/>
  <c r="FU324" i="17"/>
  <c r="FV324" i="17"/>
  <c r="FW324" i="17"/>
  <c r="FX324" i="17"/>
  <c r="FY324" i="17"/>
  <c r="FZ324" i="17"/>
  <c r="GA324" i="17"/>
  <c r="GB324" i="17"/>
  <c r="GC324" i="17"/>
  <c r="GD324" i="17"/>
  <c r="GE324" i="17"/>
  <c r="GF324" i="17"/>
  <c r="GG324" i="17"/>
  <c r="GH324" i="17"/>
  <c r="GI324" i="17"/>
  <c r="GJ324" i="17"/>
  <c r="GK324" i="17"/>
  <c r="GL324" i="17"/>
  <c r="GM324" i="17"/>
  <c r="GN324" i="17"/>
  <c r="GO324" i="17"/>
  <c r="GP324" i="17"/>
  <c r="GQ324" i="17"/>
  <c r="GR324" i="17"/>
  <c r="GS324" i="17"/>
  <c r="GT324" i="17"/>
  <c r="GU324" i="17"/>
  <c r="GV324" i="17"/>
  <c r="GW324" i="17"/>
  <c r="GX324" i="17"/>
  <c r="GY324" i="17"/>
  <c r="GZ324" i="17"/>
  <c r="HA324" i="17"/>
  <c r="HB324" i="17"/>
  <c r="HC324" i="17"/>
  <c r="HD324" i="17"/>
  <c r="HE324" i="17"/>
  <c r="HF324" i="17"/>
  <c r="HG324" i="17"/>
  <c r="HH324" i="17"/>
  <c r="HI324" i="17"/>
  <c r="HJ324" i="17"/>
  <c r="HK324" i="17"/>
  <c r="HL324" i="17"/>
  <c r="HM324" i="17"/>
  <c r="HN324" i="17"/>
  <c r="HO324" i="17"/>
  <c r="HP324" i="17"/>
  <c r="HQ324" i="17"/>
  <c r="HR324" i="17"/>
  <c r="HS324" i="17"/>
  <c r="HT324" i="17"/>
  <c r="HU324" i="17"/>
  <c r="HV324" i="17"/>
  <c r="HW324" i="17"/>
  <c r="HX324" i="17"/>
  <c r="HY324" i="17"/>
  <c r="HZ324" i="17"/>
  <c r="IA324" i="17"/>
  <c r="IB324" i="17"/>
  <c r="IC324" i="17"/>
  <c r="ID324" i="17"/>
  <c r="IE324" i="17"/>
  <c r="IF324" i="17"/>
  <c r="IG324" i="17"/>
  <c r="IH324" i="17"/>
  <c r="II324" i="17"/>
  <c r="IJ324" i="17"/>
  <c r="IK324" i="17"/>
  <c r="IL324" i="17"/>
  <c r="IM324" i="17"/>
  <c r="IN324" i="17"/>
  <c r="IO324" i="17"/>
  <c r="IP324" i="17"/>
  <c r="IQ324" i="17"/>
  <c r="IR324" i="17"/>
  <c r="IS324" i="17"/>
  <c r="IT324" i="17"/>
  <c r="IU324" i="17"/>
  <c r="IV324" i="17"/>
  <c r="A323" i="17"/>
  <c r="B323" i="17"/>
  <c r="C323" i="17"/>
  <c r="D323" i="17"/>
  <c r="E323" i="17"/>
  <c r="F323" i="17"/>
  <c r="G323" i="17"/>
  <c r="H323" i="17"/>
  <c r="I323" i="17"/>
  <c r="J323" i="17"/>
  <c r="K323" i="17"/>
  <c r="L323" i="17"/>
  <c r="M323" i="17"/>
  <c r="N323" i="17"/>
  <c r="O323" i="17"/>
  <c r="P323" i="17"/>
  <c r="Q323" i="17"/>
  <c r="R323" i="17"/>
  <c r="S323" i="17"/>
  <c r="T323" i="17"/>
  <c r="U323" i="17"/>
  <c r="V323" i="17"/>
  <c r="W323" i="17"/>
  <c r="X323" i="17"/>
  <c r="Y323" i="17"/>
  <c r="Z323" i="17"/>
  <c r="AA323" i="17"/>
  <c r="AB323" i="17"/>
  <c r="AC323" i="17"/>
  <c r="AD323" i="17"/>
  <c r="AE323" i="17"/>
  <c r="AF323" i="17"/>
  <c r="AG323" i="17"/>
  <c r="AH323" i="17"/>
  <c r="AI323" i="17"/>
  <c r="AJ323" i="17"/>
  <c r="AK323" i="17"/>
  <c r="AL323" i="17"/>
  <c r="AM323" i="17"/>
  <c r="AN323" i="17"/>
  <c r="AO323" i="17"/>
  <c r="AP323" i="17"/>
  <c r="AQ323" i="17"/>
  <c r="AR323" i="17"/>
  <c r="AS323" i="17"/>
  <c r="AT323" i="17"/>
  <c r="AU323" i="17"/>
  <c r="AV323" i="17"/>
  <c r="AW323" i="17"/>
  <c r="AX323" i="17"/>
  <c r="AY323" i="17"/>
  <c r="AZ323" i="17"/>
  <c r="BA323" i="17"/>
  <c r="BB323" i="17"/>
  <c r="BC323" i="17"/>
  <c r="BD323" i="17"/>
  <c r="BE323" i="17"/>
  <c r="BF323" i="17"/>
  <c r="BG323" i="17"/>
  <c r="BH323" i="17"/>
  <c r="BI323" i="17"/>
  <c r="BJ323" i="17"/>
  <c r="BK323" i="17"/>
  <c r="BL323" i="17"/>
  <c r="BM323" i="17"/>
  <c r="BN323" i="17"/>
  <c r="BO323" i="17"/>
  <c r="BP323" i="17"/>
  <c r="BQ323" i="17"/>
  <c r="BR323" i="17"/>
  <c r="BS323" i="17"/>
  <c r="BT323" i="17"/>
  <c r="BU323" i="17"/>
  <c r="BV323" i="17"/>
  <c r="BW323" i="17"/>
  <c r="BX323" i="17"/>
  <c r="BY323" i="17"/>
  <c r="BZ323" i="17"/>
  <c r="CA323" i="17"/>
  <c r="CB323" i="17"/>
  <c r="CC323" i="17"/>
  <c r="CD323" i="17"/>
  <c r="CE323" i="17"/>
  <c r="CF323" i="17"/>
  <c r="CG323" i="17"/>
  <c r="CH323" i="17"/>
  <c r="CI323" i="17"/>
  <c r="CJ323" i="17"/>
  <c r="CK323" i="17"/>
  <c r="CL323" i="17"/>
  <c r="CM323" i="17"/>
  <c r="CN323" i="17"/>
  <c r="CO323" i="17"/>
  <c r="CP323" i="17"/>
  <c r="CQ323" i="17"/>
  <c r="CR323" i="17"/>
  <c r="CS323" i="17"/>
  <c r="CT323" i="17"/>
  <c r="CU323" i="17"/>
  <c r="CV323" i="17"/>
  <c r="CW323" i="17"/>
  <c r="CX323" i="17"/>
  <c r="CY323" i="17"/>
  <c r="CZ323" i="17"/>
  <c r="DA323" i="17"/>
  <c r="DB323" i="17"/>
  <c r="DC323" i="17"/>
  <c r="DD323" i="17"/>
  <c r="DE323" i="17"/>
  <c r="DF323" i="17"/>
  <c r="DG323" i="17"/>
  <c r="DH323" i="17"/>
  <c r="DI323" i="17"/>
  <c r="DJ323" i="17"/>
  <c r="DK323" i="17"/>
  <c r="DL323" i="17"/>
  <c r="DM323" i="17"/>
  <c r="DN323" i="17"/>
  <c r="DO323" i="17"/>
  <c r="DP323" i="17"/>
  <c r="DQ323" i="17"/>
  <c r="DR323" i="17"/>
  <c r="DS323" i="17"/>
  <c r="DT323" i="17"/>
  <c r="DU323" i="17"/>
  <c r="DV323" i="17"/>
  <c r="DW323" i="17"/>
  <c r="DX323" i="17"/>
  <c r="DY323" i="17"/>
  <c r="DZ323" i="17"/>
  <c r="EA323" i="17"/>
  <c r="EB323" i="17"/>
  <c r="EC323" i="17"/>
  <c r="ED323" i="17"/>
  <c r="EE323" i="17"/>
  <c r="EF323" i="17"/>
  <c r="EG323" i="17"/>
  <c r="EH323" i="17"/>
  <c r="EI323" i="17"/>
  <c r="EJ323" i="17"/>
  <c r="EK323" i="17"/>
  <c r="EL323" i="17"/>
  <c r="EM323" i="17"/>
  <c r="EN323" i="17"/>
  <c r="EO323" i="17"/>
  <c r="EP323" i="17"/>
  <c r="EQ323" i="17"/>
  <c r="ER323" i="17"/>
  <c r="ES323" i="17"/>
  <c r="ET323" i="17"/>
  <c r="EU323" i="17"/>
  <c r="EV323" i="17"/>
  <c r="EW323" i="17"/>
  <c r="EX323" i="17"/>
  <c r="EY323" i="17"/>
  <c r="EZ323" i="17"/>
  <c r="FA323" i="17"/>
  <c r="FB323" i="17"/>
  <c r="FC323" i="17"/>
  <c r="FD323" i="17"/>
  <c r="FE323" i="17"/>
  <c r="FF323" i="17"/>
  <c r="FG323" i="17"/>
  <c r="FH323" i="17"/>
  <c r="FI323" i="17"/>
  <c r="FJ323" i="17"/>
  <c r="FK323" i="17"/>
  <c r="FL323" i="17"/>
  <c r="FM323" i="17"/>
  <c r="FN323" i="17"/>
  <c r="FO323" i="17"/>
  <c r="FP323" i="17"/>
  <c r="FQ323" i="17"/>
  <c r="FR323" i="17"/>
  <c r="FS323" i="17"/>
  <c r="FT323" i="17"/>
  <c r="FU323" i="17"/>
  <c r="FV323" i="17"/>
  <c r="FW323" i="17"/>
  <c r="FX323" i="17"/>
  <c r="FY323" i="17"/>
  <c r="FZ323" i="17"/>
  <c r="GA323" i="17"/>
  <c r="GB323" i="17"/>
  <c r="GC323" i="17"/>
  <c r="GD323" i="17"/>
  <c r="GE323" i="17"/>
  <c r="GF323" i="17"/>
  <c r="GG323" i="17"/>
  <c r="GH323" i="17"/>
  <c r="GI323" i="17"/>
  <c r="GJ323" i="17"/>
  <c r="GK323" i="17"/>
  <c r="GL323" i="17"/>
  <c r="GM323" i="17"/>
  <c r="GN323" i="17"/>
  <c r="GO323" i="17"/>
  <c r="GP323" i="17"/>
  <c r="GQ323" i="17"/>
  <c r="GR323" i="17"/>
  <c r="GS323" i="17"/>
  <c r="GT323" i="17"/>
  <c r="GU323" i="17"/>
  <c r="GV323" i="17"/>
  <c r="GW323" i="17"/>
  <c r="GX323" i="17"/>
  <c r="GY323" i="17"/>
  <c r="GZ323" i="17"/>
  <c r="HA323" i="17"/>
  <c r="HB323" i="17"/>
  <c r="HC323" i="17"/>
  <c r="HD323" i="17"/>
  <c r="HE323" i="17"/>
  <c r="HF323" i="17"/>
  <c r="HG323" i="17"/>
  <c r="HH323" i="17"/>
  <c r="HI323" i="17"/>
  <c r="HJ323" i="17"/>
  <c r="HK323" i="17"/>
  <c r="HL323" i="17"/>
  <c r="HM323" i="17"/>
  <c r="HN323" i="17"/>
  <c r="HO323" i="17"/>
  <c r="HP323" i="17"/>
  <c r="HQ323" i="17"/>
  <c r="HR323" i="17"/>
  <c r="HS323" i="17"/>
  <c r="HT323" i="17"/>
  <c r="HU323" i="17"/>
  <c r="HV323" i="17"/>
  <c r="HW323" i="17"/>
  <c r="HX323" i="17"/>
  <c r="HY323" i="17"/>
  <c r="HZ323" i="17"/>
  <c r="IA323" i="17"/>
  <c r="IB323" i="17"/>
  <c r="IC323" i="17"/>
  <c r="ID323" i="17"/>
  <c r="IE323" i="17"/>
  <c r="IF323" i="17"/>
  <c r="IG323" i="17"/>
  <c r="IH323" i="17"/>
  <c r="II323" i="17"/>
  <c r="IJ323" i="17"/>
  <c r="IK323" i="17"/>
  <c r="IL323" i="17"/>
  <c r="IM323" i="17"/>
  <c r="IN323" i="17"/>
  <c r="IO323" i="17"/>
  <c r="IP323" i="17"/>
  <c r="IQ323" i="17"/>
  <c r="IR323" i="17"/>
  <c r="IS323" i="17"/>
  <c r="IT323" i="17"/>
  <c r="IU323" i="17"/>
  <c r="IV323" i="17"/>
  <c r="A322" i="17"/>
  <c r="B322" i="17"/>
  <c r="C322" i="17"/>
  <c r="D322" i="17"/>
  <c r="E322" i="17"/>
  <c r="F322" i="17"/>
  <c r="G322" i="17"/>
  <c r="H322" i="17"/>
  <c r="I322" i="17"/>
  <c r="J322" i="17"/>
  <c r="K322" i="17"/>
  <c r="L322" i="17"/>
  <c r="M322" i="17"/>
  <c r="N322" i="17"/>
  <c r="O322" i="17"/>
  <c r="P322" i="17"/>
  <c r="Q322" i="17"/>
  <c r="R322" i="17"/>
  <c r="S322" i="17"/>
  <c r="T322" i="17"/>
  <c r="U322" i="17"/>
  <c r="V322" i="17"/>
  <c r="W322" i="17"/>
  <c r="X322" i="17"/>
  <c r="Y322" i="17"/>
  <c r="Z322" i="17"/>
  <c r="AA322" i="17"/>
  <c r="AB322" i="17"/>
  <c r="AC322" i="17"/>
  <c r="AD322" i="17"/>
  <c r="AE322" i="17"/>
  <c r="AF322" i="17"/>
  <c r="AG322" i="17"/>
  <c r="AH322" i="17"/>
  <c r="AI322" i="17"/>
  <c r="AJ322" i="17"/>
  <c r="AK322" i="17"/>
  <c r="AL322" i="17"/>
  <c r="AM322" i="17"/>
  <c r="AN322" i="17"/>
  <c r="AO322" i="17"/>
  <c r="AP322" i="17"/>
  <c r="AQ322" i="17"/>
  <c r="AR322" i="17"/>
  <c r="AS322" i="17"/>
  <c r="AT322" i="17"/>
  <c r="AU322" i="17"/>
  <c r="AV322" i="17"/>
  <c r="AW322" i="17"/>
  <c r="AX322" i="17"/>
  <c r="AY322" i="17"/>
  <c r="AZ322" i="17"/>
  <c r="BA322" i="17"/>
  <c r="BB322" i="17"/>
  <c r="BC322" i="17"/>
  <c r="BD322" i="17"/>
  <c r="BE322" i="17"/>
  <c r="BF322" i="17"/>
  <c r="BG322" i="17"/>
  <c r="BH322" i="17"/>
  <c r="BI322" i="17"/>
  <c r="BJ322" i="17"/>
  <c r="BK322" i="17"/>
  <c r="BL322" i="17"/>
  <c r="BM322" i="17"/>
  <c r="BN322" i="17"/>
  <c r="BO322" i="17"/>
  <c r="BP322" i="17"/>
  <c r="BQ322" i="17"/>
  <c r="BR322" i="17"/>
  <c r="BS322" i="17"/>
  <c r="BT322" i="17"/>
  <c r="BU322" i="17"/>
  <c r="BV322" i="17"/>
  <c r="BW322" i="17"/>
  <c r="BX322" i="17"/>
  <c r="BY322" i="17"/>
  <c r="BZ322" i="17"/>
  <c r="CA322" i="17"/>
  <c r="CB322" i="17"/>
  <c r="CC322" i="17"/>
  <c r="CD322" i="17"/>
  <c r="CE322" i="17"/>
  <c r="CF322" i="17"/>
  <c r="CG322" i="17"/>
  <c r="CH322" i="17"/>
  <c r="CI322" i="17"/>
  <c r="CJ322" i="17"/>
  <c r="CK322" i="17"/>
  <c r="CL322" i="17"/>
  <c r="CM322" i="17"/>
  <c r="CN322" i="17"/>
  <c r="CO322" i="17"/>
  <c r="CP322" i="17"/>
  <c r="CQ322" i="17"/>
  <c r="CR322" i="17"/>
  <c r="CS322" i="17"/>
  <c r="CT322" i="17"/>
  <c r="CU322" i="17"/>
  <c r="CV322" i="17"/>
  <c r="CW322" i="17"/>
  <c r="CX322" i="17"/>
  <c r="CY322" i="17"/>
  <c r="CZ322" i="17"/>
  <c r="DA322" i="17"/>
  <c r="DB322" i="17"/>
  <c r="DC322" i="17"/>
  <c r="DD322" i="17"/>
  <c r="DE322" i="17"/>
  <c r="DF322" i="17"/>
  <c r="DG322" i="17"/>
  <c r="DH322" i="17"/>
  <c r="DI322" i="17"/>
  <c r="DJ322" i="17"/>
  <c r="DK322" i="17"/>
  <c r="DL322" i="17"/>
  <c r="DM322" i="17"/>
  <c r="DN322" i="17"/>
  <c r="DO322" i="17"/>
  <c r="DP322" i="17"/>
  <c r="DQ322" i="17"/>
  <c r="DR322" i="17"/>
  <c r="DS322" i="17"/>
  <c r="DT322" i="17"/>
  <c r="DU322" i="17"/>
  <c r="DV322" i="17"/>
  <c r="DW322" i="17"/>
  <c r="DX322" i="17"/>
  <c r="DY322" i="17"/>
  <c r="DZ322" i="17"/>
  <c r="EA322" i="17"/>
  <c r="EB322" i="17"/>
  <c r="EC322" i="17"/>
  <c r="ED322" i="17"/>
  <c r="EE322" i="17"/>
  <c r="EF322" i="17"/>
  <c r="EG322" i="17"/>
  <c r="EH322" i="17"/>
  <c r="EI322" i="17"/>
  <c r="EJ322" i="17"/>
  <c r="EK322" i="17"/>
  <c r="EL322" i="17"/>
  <c r="EM322" i="17"/>
  <c r="EN322" i="17"/>
  <c r="EO322" i="17"/>
  <c r="EP322" i="17"/>
  <c r="EQ322" i="17"/>
  <c r="ER322" i="17"/>
  <c r="ES322" i="17"/>
  <c r="ET322" i="17"/>
  <c r="EU322" i="17"/>
  <c r="EV322" i="17"/>
  <c r="EW322" i="17"/>
  <c r="EX322" i="17"/>
  <c r="EY322" i="17"/>
  <c r="EZ322" i="17"/>
  <c r="FA322" i="17"/>
  <c r="FB322" i="17"/>
  <c r="FC322" i="17"/>
  <c r="FD322" i="17"/>
  <c r="FE322" i="17"/>
  <c r="FF322" i="17"/>
  <c r="FG322" i="17"/>
  <c r="FH322" i="17"/>
  <c r="FI322" i="17"/>
  <c r="FJ322" i="17"/>
  <c r="FK322" i="17"/>
  <c r="FL322" i="17"/>
  <c r="FM322" i="17"/>
  <c r="FN322" i="17"/>
  <c r="FO322" i="17"/>
  <c r="FP322" i="17"/>
  <c r="FQ322" i="17"/>
  <c r="FR322" i="17"/>
  <c r="FS322" i="17"/>
  <c r="FT322" i="17"/>
  <c r="FU322" i="17"/>
  <c r="FV322" i="17"/>
  <c r="FW322" i="17"/>
  <c r="FX322" i="17"/>
  <c r="FY322" i="17"/>
  <c r="FZ322" i="17"/>
  <c r="GA322" i="17"/>
  <c r="GB322" i="17"/>
  <c r="GC322" i="17"/>
  <c r="GD322" i="17"/>
  <c r="GE322" i="17"/>
  <c r="GF322" i="17"/>
  <c r="GG322" i="17"/>
  <c r="GH322" i="17"/>
  <c r="GI322" i="17"/>
  <c r="GJ322" i="17"/>
  <c r="GK322" i="17"/>
  <c r="GL322" i="17"/>
  <c r="GM322" i="17"/>
  <c r="GN322" i="17"/>
  <c r="GO322" i="17"/>
  <c r="GP322" i="17"/>
  <c r="GQ322" i="17"/>
  <c r="GR322" i="17"/>
  <c r="GS322" i="17"/>
  <c r="GT322" i="17"/>
  <c r="GU322" i="17"/>
  <c r="GV322" i="17"/>
  <c r="GW322" i="17"/>
  <c r="GX322" i="17"/>
  <c r="GY322" i="17"/>
  <c r="GZ322" i="17"/>
  <c r="HA322" i="17"/>
  <c r="HB322" i="17"/>
  <c r="HC322" i="17"/>
  <c r="HD322" i="17"/>
  <c r="HE322" i="17"/>
  <c r="HF322" i="17"/>
  <c r="HG322" i="17"/>
  <c r="HH322" i="17"/>
  <c r="HI322" i="17"/>
  <c r="HJ322" i="17"/>
  <c r="HK322" i="17"/>
  <c r="HL322" i="17"/>
  <c r="HM322" i="17"/>
  <c r="HN322" i="17"/>
  <c r="HO322" i="17"/>
  <c r="HP322" i="17"/>
  <c r="HQ322" i="17"/>
  <c r="HR322" i="17"/>
  <c r="HS322" i="17"/>
  <c r="HT322" i="17"/>
  <c r="HU322" i="17"/>
  <c r="HV322" i="17"/>
  <c r="HW322" i="17"/>
  <c r="HX322" i="17"/>
  <c r="HY322" i="17"/>
  <c r="HZ322" i="17"/>
  <c r="IA322" i="17"/>
  <c r="IB322" i="17"/>
  <c r="IC322" i="17"/>
  <c r="ID322" i="17"/>
  <c r="IE322" i="17"/>
  <c r="IF322" i="17"/>
  <c r="IG322" i="17"/>
  <c r="IH322" i="17"/>
  <c r="II322" i="17"/>
  <c r="IJ322" i="17"/>
  <c r="IK322" i="17"/>
  <c r="IL322" i="17"/>
  <c r="IM322" i="17"/>
  <c r="IN322" i="17"/>
  <c r="IO322" i="17"/>
  <c r="IP322" i="17"/>
  <c r="IQ322" i="17"/>
  <c r="IR322" i="17"/>
  <c r="IS322" i="17"/>
  <c r="IT322" i="17"/>
  <c r="IU322" i="17"/>
  <c r="IV322" i="17"/>
  <c r="A321" i="17"/>
  <c r="B321" i="17"/>
  <c r="C321" i="17"/>
  <c r="D321" i="17"/>
  <c r="E321" i="17"/>
  <c r="F321" i="17"/>
  <c r="G321" i="17"/>
  <c r="H321" i="17"/>
  <c r="I321" i="17"/>
  <c r="J321" i="17"/>
  <c r="K321" i="17"/>
  <c r="L321" i="17"/>
  <c r="M321" i="17"/>
  <c r="N321" i="17"/>
  <c r="O321" i="17"/>
  <c r="P321" i="17"/>
  <c r="Q321" i="17"/>
  <c r="R321" i="17"/>
  <c r="S321" i="17"/>
  <c r="T321" i="17"/>
  <c r="U321" i="17"/>
  <c r="V321" i="17"/>
  <c r="W321" i="17"/>
  <c r="X321" i="17"/>
  <c r="Y321" i="17"/>
  <c r="Z321" i="17"/>
  <c r="AA321" i="17"/>
  <c r="AB321" i="17"/>
  <c r="AC321" i="17"/>
  <c r="AD321" i="17"/>
  <c r="AE321" i="17"/>
  <c r="AF321" i="17"/>
  <c r="AG321" i="17"/>
  <c r="AH321" i="17"/>
  <c r="AI321" i="17"/>
  <c r="AJ321" i="17"/>
  <c r="AK321" i="17"/>
  <c r="AL321" i="17"/>
  <c r="AM321" i="17"/>
  <c r="AN321" i="17"/>
  <c r="AO321" i="17"/>
  <c r="AP321" i="17"/>
  <c r="AQ321" i="17"/>
  <c r="AR321" i="17"/>
  <c r="AS321" i="17"/>
  <c r="AT321" i="17"/>
  <c r="AU321" i="17"/>
  <c r="AV321" i="17"/>
  <c r="AW321" i="17"/>
  <c r="AX321" i="17"/>
  <c r="AY321" i="17"/>
  <c r="AZ321" i="17"/>
  <c r="BA321" i="17"/>
  <c r="BB321" i="17"/>
  <c r="BC321" i="17"/>
  <c r="BD321" i="17"/>
  <c r="BE321" i="17"/>
  <c r="BF321" i="17"/>
  <c r="BG321" i="17"/>
  <c r="BH321" i="17"/>
  <c r="BI321" i="17"/>
  <c r="BJ321" i="17"/>
  <c r="BK321" i="17"/>
  <c r="BL321" i="17"/>
  <c r="BM321" i="17"/>
  <c r="BN321" i="17"/>
  <c r="BO321" i="17"/>
  <c r="BP321" i="17"/>
  <c r="BQ321" i="17"/>
  <c r="BR321" i="17"/>
  <c r="BS321" i="17"/>
  <c r="BT321" i="17"/>
  <c r="BU321" i="17"/>
  <c r="BV321" i="17"/>
  <c r="BW321" i="17"/>
  <c r="BX321" i="17"/>
  <c r="BY321" i="17"/>
  <c r="BZ321" i="17"/>
  <c r="CA321" i="17"/>
  <c r="CB321" i="17"/>
  <c r="CC321" i="17"/>
  <c r="CD321" i="17"/>
  <c r="CE321" i="17"/>
  <c r="CF321" i="17"/>
  <c r="CG321" i="17"/>
  <c r="CH321" i="17"/>
  <c r="CI321" i="17"/>
  <c r="CJ321" i="17"/>
  <c r="CK321" i="17"/>
  <c r="CL321" i="17"/>
  <c r="CM321" i="17"/>
  <c r="CN321" i="17"/>
  <c r="CO321" i="17"/>
  <c r="CP321" i="17"/>
  <c r="CQ321" i="17"/>
  <c r="CR321" i="17"/>
  <c r="CS321" i="17"/>
  <c r="CT321" i="17"/>
  <c r="CU321" i="17"/>
  <c r="CV321" i="17"/>
  <c r="CW321" i="17"/>
  <c r="CX321" i="17"/>
  <c r="CY321" i="17"/>
  <c r="CZ321" i="17"/>
  <c r="DA321" i="17"/>
  <c r="DB321" i="17"/>
  <c r="DC321" i="17"/>
  <c r="DD321" i="17"/>
  <c r="DE321" i="17"/>
  <c r="DF321" i="17"/>
  <c r="DG321" i="17"/>
  <c r="DH321" i="17"/>
  <c r="DI321" i="17"/>
  <c r="DJ321" i="17"/>
  <c r="DK321" i="17"/>
  <c r="DL321" i="17"/>
  <c r="DM321" i="17"/>
  <c r="DN321" i="17"/>
  <c r="DO321" i="17"/>
  <c r="DP321" i="17"/>
  <c r="DQ321" i="17"/>
  <c r="DR321" i="17"/>
  <c r="DS321" i="17"/>
  <c r="DT321" i="17"/>
  <c r="DU321" i="17"/>
  <c r="DV321" i="17"/>
  <c r="DW321" i="17"/>
  <c r="DX321" i="17"/>
  <c r="DY321" i="17"/>
  <c r="DZ321" i="17"/>
  <c r="EA321" i="17"/>
  <c r="EB321" i="17"/>
  <c r="EC321" i="17"/>
  <c r="ED321" i="17"/>
  <c r="EE321" i="17"/>
  <c r="EF321" i="17"/>
  <c r="EG321" i="17"/>
  <c r="EH321" i="17"/>
  <c r="EI321" i="17"/>
  <c r="EJ321" i="17"/>
  <c r="EK321" i="17"/>
  <c r="EL321" i="17"/>
  <c r="EM321" i="17"/>
  <c r="EN321" i="17"/>
  <c r="EO321" i="17"/>
  <c r="EP321" i="17"/>
  <c r="EQ321" i="17"/>
  <c r="ER321" i="17"/>
  <c r="ES321" i="17"/>
  <c r="ET321" i="17"/>
  <c r="EU321" i="17"/>
  <c r="EV321" i="17"/>
  <c r="EW321" i="17"/>
  <c r="EX321" i="17"/>
  <c r="EY321" i="17"/>
  <c r="EZ321" i="17"/>
  <c r="FA321" i="17"/>
  <c r="FB321" i="17"/>
  <c r="FC321" i="17"/>
  <c r="FD321" i="17"/>
  <c r="FE321" i="17"/>
  <c r="FF321" i="17"/>
  <c r="FG321" i="17"/>
  <c r="FH321" i="17"/>
  <c r="FI321" i="17"/>
  <c r="FJ321" i="17"/>
  <c r="FK321" i="17"/>
  <c r="FL321" i="17"/>
  <c r="FM321" i="17"/>
  <c r="FN321" i="17"/>
  <c r="FO321" i="17"/>
  <c r="FP321" i="17"/>
  <c r="FQ321" i="17"/>
  <c r="FR321" i="17"/>
  <c r="FS321" i="17"/>
  <c r="FT321" i="17"/>
  <c r="FU321" i="17"/>
  <c r="FV321" i="17"/>
  <c r="FW321" i="17"/>
  <c r="FX321" i="17"/>
  <c r="FY321" i="17"/>
  <c r="FZ321" i="17"/>
  <c r="GA321" i="17"/>
  <c r="GB321" i="17"/>
  <c r="GC321" i="17"/>
  <c r="GD321" i="17"/>
  <c r="GE321" i="17"/>
  <c r="GF321" i="17"/>
  <c r="GG321" i="17"/>
  <c r="GH321" i="17"/>
  <c r="GI321" i="17"/>
  <c r="GJ321" i="17"/>
  <c r="GK321" i="17"/>
  <c r="GL321" i="17"/>
  <c r="GM321" i="17"/>
  <c r="GN321" i="17"/>
  <c r="GO321" i="17"/>
  <c r="GP321" i="17"/>
  <c r="GQ321" i="17"/>
  <c r="GR321" i="17"/>
  <c r="GS321" i="17"/>
  <c r="GT321" i="17"/>
  <c r="GU321" i="17"/>
  <c r="GV321" i="17"/>
  <c r="GW321" i="17"/>
  <c r="GX321" i="17"/>
  <c r="GY321" i="17"/>
  <c r="GZ321" i="17"/>
  <c r="HA321" i="17"/>
  <c r="HB321" i="17"/>
  <c r="HC321" i="17"/>
  <c r="HD321" i="17"/>
  <c r="HE321" i="17"/>
  <c r="HF321" i="17"/>
  <c r="HG321" i="17"/>
  <c r="HH321" i="17"/>
  <c r="HI321" i="17"/>
  <c r="HJ321" i="17"/>
  <c r="HK321" i="17"/>
  <c r="HL321" i="17"/>
  <c r="HM321" i="17"/>
  <c r="HN321" i="17"/>
  <c r="HO321" i="17"/>
  <c r="HP321" i="17"/>
  <c r="HQ321" i="17"/>
  <c r="HR321" i="17"/>
  <c r="HS321" i="17"/>
  <c r="HT321" i="17"/>
  <c r="HU321" i="17"/>
  <c r="HV321" i="17"/>
  <c r="HW321" i="17"/>
  <c r="HX321" i="17"/>
  <c r="HY321" i="17"/>
  <c r="HZ321" i="17"/>
  <c r="IA321" i="17"/>
  <c r="IB321" i="17"/>
  <c r="IC321" i="17"/>
  <c r="ID321" i="17"/>
  <c r="IE321" i="17"/>
  <c r="IF321" i="17"/>
  <c r="IG321" i="17"/>
  <c r="IH321" i="17"/>
  <c r="II321" i="17"/>
  <c r="IJ321" i="17"/>
  <c r="IK321" i="17"/>
  <c r="IL321" i="17"/>
  <c r="IM321" i="17"/>
  <c r="IN321" i="17"/>
  <c r="IO321" i="17"/>
  <c r="IP321" i="17"/>
  <c r="IQ321" i="17"/>
  <c r="IR321" i="17"/>
  <c r="IS321" i="17"/>
  <c r="IT321" i="17"/>
  <c r="IU321" i="17"/>
  <c r="IV321" i="17"/>
  <c r="A320" i="17"/>
  <c r="B320" i="17"/>
  <c r="C320" i="17"/>
  <c r="D320" i="17"/>
  <c r="E320" i="17"/>
  <c r="F320" i="17"/>
  <c r="G320" i="17"/>
  <c r="H320" i="17"/>
  <c r="I320" i="17"/>
  <c r="J320" i="17"/>
  <c r="K320" i="17"/>
  <c r="L320" i="17"/>
  <c r="M320" i="17"/>
  <c r="N320" i="17"/>
  <c r="O320" i="17"/>
  <c r="P320" i="17"/>
  <c r="Q320" i="17"/>
  <c r="R320" i="17"/>
  <c r="S320" i="17"/>
  <c r="T320" i="17"/>
  <c r="U320" i="17"/>
  <c r="V320" i="17"/>
  <c r="W320" i="17"/>
  <c r="X320" i="17"/>
  <c r="Y320" i="17"/>
  <c r="Z320" i="17"/>
  <c r="AA320" i="17"/>
  <c r="AB320" i="17"/>
  <c r="AC320" i="17"/>
  <c r="AD320" i="17"/>
  <c r="AE320" i="17"/>
  <c r="AF320" i="17"/>
  <c r="AG320" i="17"/>
  <c r="AH320" i="17"/>
  <c r="AI320" i="17"/>
  <c r="AJ320" i="17"/>
  <c r="AK320" i="17"/>
  <c r="AL320" i="17"/>
  <c r="AM320" i="17"/>
  <c r="AN320" i="17"/>
  <c r="AO320" i="17"/>
  <c r="AP320" i="17"/>
  <c r="AQ320" i="17"/>
  <c r="AR320" i="17"/>
  <c r="AS320" i="17"/>
  <c r="AT320" i="17"/>
  <c r="AU320" i="17"/>
  <c r="AV320" i="17"/>
  <c r="AW320" i="17"/>
  <c r="AX320" i="17"/>
  <c r="AY320" i="17"/>
  <c r="AZ320" i="17"/>
  <c r="BA320" i="17"/>
  <c r="BB320" i="17"/>
  <c r="BC320" i="17"/>
  <c r="BD320" i="17"/>
  <c r="BE320" i="17"/>
  <c r="BF320" i="17"/>
  <c r="BG320" i="17"/>
  <c r="BH320" i="17"/>
  <c r="BI320" i="17"/>
  <c r="BJ320" i="17"/>
  <c r="BK320" i="17"/>
  <c r="BL320" i="17"/>
  <c r="BM320" i="17"/>
  <c r="BN320" i="17"/>
  <c r="BO320" i="17"/>
  <c r="BP320" i="17"/>
  <c r="BQ320" i="17"/>
  <c r="BR320" i="17"/>
  <c r="BS320" i="17"/>
  <c r="BT320" i="17"/>
  <c r="BU320" i="17"/>
  <c r="BV320" i="17"/>
  <c r="BW320" i="17"/>
  <c r="BX320" i="17"/>
  <c r="BY320" i="17"/>
  <c r="BZ320" i="17"/>
  <c r="CA320" i="17"/>
  <c r="CB320" i="17"/>
  <c r="CC320" i="17"/>
  <c r="CD320" i="17"/>
  <c r="CE320" i="17"/>
  <c r="CF320" i="17"/>
  <c r="CG320" i="17"/>
  <c r="CH320" i="17"/>
  <c r="CI320" i="17"/>
  <c r="CJ320" i="17"/>
  <c r="CK320" i="17"/>
  <c r="CL320" i="17"/>
  <c r="CM320" i="17"/>
  <c r="CN320" i="17"/>
  <c r="CO320" i="17"/>
  <c r="CP320" i="17"/>
  <c r="CQ320" i="17"/>
  <c r="CR320" i="17"/>
  <c r="CS320" i="17"/>
  <c r="CT320" i="17"/>
  <c r="CU320" i="17"/>
  <c r="CV320" i="17"/>
  <c r="CW320" i="17"/>
  <c r="CX320" i="17"/>
  <c r="CY320" i="17"/>
  <c r="CZ320" i="17"/>
  <c r="DA320" i="17"/>
  <c r="DB320" i="17"/>
  <c r="DC320" i="17"/>
  <c r="DD320" i="17"/>
  <c r="DE320" i="17"/>
  <c r="DF320" i="17"/>
  <c r="DG320" i="17"/>
  <c r="DH320" i="17"/>
  <c r="DI320" i="17"/>
  <c r="DJ320" i="17"/>
  <c r="DK320" i="17"/>
  <c r="DL320" i="17"/>
  <c r="DM320" i="17"/>
  <c r="DN320" i="17"/>
  <c r="DO320" i="17"/>
  <c r="DP320" i="17"/>
  <c r="DQ320" i="17"/>
  <c r="DR320" i="17"/>
  <c r="DS320" i="17"/>
  <c r="DT320" i="17"/>
  <c r="DU320" i="17"/>
  <c r="DV320" i="17"/>
  <c r="DW320" i="17"/>
  <c r="DX320" i="17"/>
  <c r="DY320" i="17"/>
  <c r="DZ320" i="17"/>
  <c r="EA320" i="17"/>
  <c r="EB320" i="17"/>
  <c r="EC320" i="17"/>
  <c r="ED320" i="17"/>
  <c r="EE320" i="17"/>
  <c r="EF320" i="17"/>
  <c r="EG320" i="17"/>
  <c r="EH320" i="17"/>
  <c r="EI320" i="17"/>
  <c r="EJ320" i="17"/>
  <c r="EK320" i="17"/>
  <c r="EL320" i="17"/>
  <c r="EM320" i="17"/>
  <c r="EN320" i="17"/>
  <c r="EO320" i="17"/>
  <c r="EP320" i="17"/>
  <c r="EQ320" i="17"/>
  <c r="ER320" i="17"/>
  <c r="ES320" i="17"/>
  <c r="ET320" i="17"/>
  <c r="EU320" i="17"/>
  <c r="EV320" i="17"/>
  <c r="EW320" i="17"/>
  <c r="EX320" i="17"/>
  <c r="EY320" i="17"/>
  <c r="EZ320" i="17"/>
  <c r="FA320" i="17"/>
  <c r="FB320" i="17"/>
  <c r="FC320" i="17"/>
  <c r="FD320" i="17"/>
  <c r="FE320" i="17"/>
  <c r="FF320" i="17"/>
  <c r="FG320" i="17"/>
  <c r="FH320" i="17"/>
  <c r="FI320" i="17"/>
  <c r="FJ320" i="17"/>
  <c r="FK320" i="17"/>
  <c r="FL320" i="17"/>
  <c r="FM320" i="17"/>
  <c r="FN320" i="17"/>
  <c r="FO320" i="17"/>
  <c r="FP320" i="17"/>
  <c r="FQ320" i="17"/>
  <c r="FR320" i="17"/>
  <c r="FS320" i="17"/>
  <c r="FT320" i="17"/>
  <c r="FU320" i="17"/>
  <c r="FV320" i="17"/>
  <c r="FW320" i="17"/>
  <c r="FX320" i="17"/>
  <c r="FY320" i="17"/>
  <c r="FZ320" i="17"/>
  <c r="GA320" i="17"/>
  <c r="GB320" i="17"/>
  <c r="GC320" i="17"/>
  <c r="GD320" i="17"/>
  <c r="GE320" i="17"/>
  <c r="GF320" i="17"/>
  <c r="GG320" i="17"/>
  <c r="GH320" i="17"/>
  <c r="GI320" i="17"/>
  <c r="GJ320" i="17"/>
  <c r="GK320" i="17"/>
  <c r="GL320" i="17"/>
  <c r="GM320" i="17"/>
  <c r="GN320" i="17"/>
  <c r="GO320" i="17"/>
  <c r="GP320" i="17"/>
  <c r="GQ320" i="17"/>
  <c r="GR320" i="17"/>
  <c r="GS320" i="17"/>
  <c r="GT320" i="17"/>
  <c r="GU320" i="17"/>
  <c r="GV320" i="17"/>
  <c r="GW320" i="17"/>
  <c r="GX320" i="17"/>
  <c r="GY320" i="17"/>
  <c r="GZ320" i="17"/>
  <c r="HA320" i="17"/>
  <c r="HB320" i="17"/>
  <c r="HC320" i="17"/>
  <c r="HD320" i="17"/>
  <c r="HE320" i="17"/>
  <c r="HF320" i="17"/>
  <c r="HG320" i="17"/>
  <c r="HH320" i="17"/>
  <c r="HI320" i="17"/>
  <c r="HJ320" i="17"/>
  <c r="HK320" i="17"/>
  <c r="HL320" i="17"/>
  <c r="HM320" i="17"/>
  <c r="HN320" i="17"/>
  <c r="HO320" i="17"/>
  <c r="HP320" i="17"/>
  <c r="HQ320" i="17"/>
  <c r="HR320" i="17"/>
  <c r="HS320" i="17"/>
  <c r="HT320" i="17"/>
  <c r="HU320" i="17"/>
  <c r="HV320" i="17"/>
  <c r="HW320" i="17"/>
  <c r="HX320" i="17"/>
  <c r="HY320" i="17"/>
  <c r="HZ320" i="17"/>
  <c r="IA320" i="17"/>
  <c r="IB320" i="17"/>
  <c r="IC320" i="17"/>
  <c r="ID320" i="17"/>
  <c r="IE320" i="17"/>
  <c r="IF320" i="17"/>
  <c r="IG320" i="17"/>
  <c r="IH320" i="17"/>
  <c r="II320" i="17"/>
  <c r="IJ320" i="17"/>
  <c r="IK320" i="17"/>
  <c r="IL320" i="17"/>
  <c r="IM320" i="17"/>
  <c r="IN320" i="17"/>
  <c r="IO320" i="17"/>
  <c r="IP320" i="17"/>
  <c r="IQ320" i="17"/>
  <c r="IR320" i="17"/>
  <c r="IS320" i="17"/>
  <c r="IT320" i="17"/>
  <c r="IU320" i="17"/>
  <c r="IV320" i="17"/>
  <c r="A319" i="17"/>
  <c r="B319" i="17"/>
  <c r="C319" i="17"/>
  <c r="D319" i="17"/>
  <c r="E319" i="17"/>
  <c r="F319" i="17"/>
  <c r="G319" i="17"/>
  <c r="H319" i="17"/>
  <c r="I319" i="17"/>
  <c r="J319" i="17"/>
  <c r="K319" i="17"/>
  <c r="L319" i="17"/>
  <c r="M319" i="17"/>
  <c r="N319" i="17"/>
  <c r="O319" i="17"/>
  <c r="P319" i="17"/>
  <c r="Q319" i="17"/>
  <c r="R319" i="17"/>
  <c r="S319" i="17"/>
  <c r="T319" i="17"/>
  <c r="U319" i="17"/>
  <c r="V319" i="17"/>
  <c r="W319" i="17"/>
  <c r="X319" i="17"/>
  <c r="Y319" i="17"/>
  <c r="Z319" i="17"/>
  <c r="AA319" i="17"/>
  <c r="AB319" i="17"/>
  <c r="AC319" i="17"/>
  <c r="AD319" i="17"/>
  <c r="AE319" i="17"/>
  <c r="AF319" i="17"/>
  <c r="AG319" i="17"/>
  <c r="AH319" i="17"/>
  <c r="AI319" i="17"/>
  <c r="AJ319" i="17"/>
  <c r="AK319" i="17"/>
  <c r="AL319" i="17"/>
  <c r="AM319" i="17"/>
  <c r="AN319" i="17"/>
  <c r="AO319" i="17"/>
  <c r="AP319" i="17"/>
  <c r="AQ319" i="17"/>
  <c r="AR319" i="17"/>
  <c r="AS319" i="17"/>
  <c r="AT319" i="17"/>
  <c r="AU319" i="17"/>
  <c r="AV319" i="17"/>
  <c r="AW319" i="17"/>
  <c r="AX319" i="17"/>
  <c r="AY319" i="17"/>
  <c r="AZ319" i="17"/>
  <c r="BA319" i="17"/>
  <c r="BB319" i="17"/>
  <c r="BC319" i="17"/>
  <c r="BD319" i="17"/>
  <c r="BE319" i="17"/>
  <c r="BF319" i="17"/>
  <c r="BG319" i="17"/>
  <c r="BH319" i="17"/>
  <c r="BI319" i="17"/>
  <c r="BJ319" i="17"/>
  <c r="BK319" i="17"/>
  <c r="BL319" i="17"/>
  <c r="BM319" i="17"/>
  <c r="BN319" i="17"/>
  <c r="BO319" i="17"/>
  <c r="BP319" i="17"/>
  <c r="BQ319" i="17"/>
  <c r="BR319" i="17"/>
  <c r="BS319" i="17"/>
  <c r="BT319" i="17"/>
  <c r="BU319" i="17"/>
  <c r="BV319" i="17"/>
  <c r="BW319" i="17"/>
  <c r="BX319" i="17"/>
  <c r="BY319" i="17"/>
  <c r="BZ319" i="17"/>
  <c r="CA319" i="17"/>
  <c r="CB319" i="17"/>
  <c r="CC319" i="17"/>
  <c r="CD319" i="17"/>
  <c r="CE319" i="17"/>
  <c r="CF319" i="17"/>
  <c r="CG319" i="17"/>
  <c r="CH319" i="17"/>
  <c r="CI319" i="17"/>
  <c r="CJ319" i="17"/>
  <c r="CK319" i="17"/>
  <c r="CL319" i="17"/>
  <c r="CM319" i="17"/>
  <c r="CN319" i="17"/>
  <c r="CO319" i="17"/>
  <c r="CP319" i="17"/>
  <c r="CQ319" i="17"/>
  <c r="CR319" i="17"/>
  <c r="CS319" i="17"/>
  <c r="CT319" i="17"/>
  <c r="CU319" i="17"/>
  <c r="CV319" i="17"/>
  <c r="CW319" i="17"/>
  <c r="CX319" i="17"/>
  <c r="CY319" i="17"/>
  <c r="CZ319" i="17"/>
  <c r="DA319" i="17"/>
  <c r="DB319" i="17"/>
  <c r="DC319" i="17"/>
  <c r="DD319" i="17"/>
  <c r="DE319" i="17"/>
  <c r="DF319" i="17"/>
  <c r="DG319" i="17"/>
  <c r="DH319" i="17"/>
  <c r="DI319" i="17"/>
  <c r="DJ319" i="17"/>
  <c r="DK319" i="17"/>
  <c r="DL319" i="17"/>
  <c r="DM319" i="17"/>
  <c r="DN319" i="17"/>
  <c r="DO319" i="17"/>
  <c r="DP319" i="17"/>
  <c r="DQ319" i="17"/>
  <c r="DR319" i="17"/>
  <c r="DS319" i="17"/>
  <c r="DT319" i="17"/>
  <c r="DU319" i="17"/>
  <c r="DV319" i="17"/>
  <c r="DW319" i="17"/>
  <c r="DX319" i="17"/>
  <c r="DY319" i="17"/>
  <c r="DZ319" i="17"/>
  <c r="EA319" i="17"/>
  <c r="EB319" i="17"/>
  <c r="EC319" i="17"/>
  <c r="ED319" i="17"/>
  <c r="EE319" i="17"/>
  <c r="EF319" i="17"/>
  <c r="EG319" i="17"/>
  <c r="EH319" i="17"/>
  <c r="EI319" i="17"/>
  <c r="EJ319" i="17"/>
  <c r="EK319" i="17"/>
  <c r="EL319" i="17"/>
  <c r="EM319" i="17"/>
  <c r="EN319" i="17"/>
  <c r="EO319" i="17"/>
  <c r="EP319" i="17"/>
  <c r="EQ319" i="17"/>
  <c r="ER319" i="17"/>
  <c r="ES319" i="17"/>
  <c r="ET319" i="17"/>
  <c r="EU319" i="17"/>
  <c r="EV319" i="17"/>
  <c r="EW319" i="17"/>
  <c r="EX319" i="17"/>
  <c r="EY319" i="17"/>
  <c r="EZ319" i="17"/>
  <c r="FA319" i="17"/>
  <c r="FB319" i="17"/>
  <c r="FC319" i="17"/>
  <c r="FD319" i="17"/>
  <c r="FE319" i="17"/>
  <c r="FF319" i="17"/>
  <c r="FG319" i="17"/>
  <c r="FH319" i="17"/>
  <c r="FI319" i="17"/>
  <c r="FJ319" i="17"/>
  <c r="FK319" i="17"/>
  <c r="FL319" i="17"/>
  <c r="FM319" i="17"/>
  <c r="FN319" i="17"/>
  <c r="FO319" i="17"/>
  <c r="FP319" i="17"/>
  <c r="FQ319" i="17"/>
  <c r="FR319" i="17"/>
  <c r="FS319" i="17"/>
  <c r="FT319" i="17"/>
  <c r="FU319" i="17"/>
  <c r="FV319" i="17"/>
  <c r="FW319" i="17"/>
  <c r="FX319" i="17"/>
  <c r="FY319" i="17"/>
  <c r="FZ319" i="17"/>
  <c r="GA319" i="17"/>
  <c r="GB319" i="17"/>
  <c r="GC319" i="17"/>
  <c r="GD319" i="17"/>
  <c r="GE319" i="17"/>
  <c r="GF319" i="17"/>
  <c r="GG319" i="17"/>
  <c r="GH319" i="17"/>
  <c r="GI319" i="17"/>
  <c r="GJ319" i="17"/>
  <c r="GK319" i="17"/>
  <c r="GL319" i="17"/>
  <c r="GM319" i="17"/>
  <c r="GN319" i="17"/>
  <c r="GO319" i="17"/>
  <c r="GP319" i="17"/>
  <c r="GQ319" i="17"/>
  <c r="GR319" i="17"/>
  <c r="GS319" i="17"/>
  <c r="GT319" i="17"/>
  <c r="GU319" i="17"/>
  <c r="GV319" i="17"/>
  <c r="GW319" i="17"/>
  <c r="GX319" i="17"/>
  <c r="GY319" i="17"/>
  <c r="GZ319" i="17"/>
  <c r="HA319" i="17"/>
  <c r="HB319" i="17"/>
  <c r="HC319" i="17"/>
  <c r="HD319" i="17"/>
  <c r="HE319" i="17"/>
  <c r="HF319" i="17"/>
  <c r="HG319" i="17"/>
  <c r="HH319" i="17"/>
  <c r="HI319" i="17"/>
  <c r="HJ319" i="17"/>
  <c r="HK319" i="17"/>
  <c r="HL319" i="17"/>
  <c r="HM319" i="17"/>
  <c r="HN319" i="17"/>
  <c r="HO319" i="17"/>
  <c r="HP319" i="17"/>
  <c r="HQ319" i="17"/>
  <c r="HR319" i="17"/>
  <c r="HS319" i="17"/>
  <c r="HT319" i="17"/>
  <c r="HU319" i="17"/>
  <c r="HV319" i="17"/>
  <c r="HW319" i="17"/>
  <c r="HX319" i="17"/>
  <c r="HY319" i="17"/>
  <c r="HZ319" i="17"/>
  <c r="IA319" i="17"/>
  <c r="IB319" i="17"/>
  <c r="IC319" i="17"/>
  <c r="ID319" i="17"/>
  <c r="IE319" i="17"/>
  <c r="IF319" i="17"/>
  <c r="IG319" i="17"/>
  <c r="IH319" i="17"/>
  <c r="II319" i="17"/>
  <c r="IJ319" i="17"/>
  <c r="IK319" i="17"/>
  <c r="IL319" i="17"/>
  <c r="IM319" i="17"/>
  <c r="IN319" i="17"/>
  <c r="IO319" i="17"/>
  <c r="IP319" i="17"/>
  <c r="IQ319" i="17"/>
  <c r="IR319" i="17"/>
  <c r="IS319" i="17"/>
  <c r="IT319" i="17"/>
  <c r="IU319" i="17"/>
  <c r="IV319" i="17"/>
  <c r="A318" i="17"/>
  <c r="B318" i="17"/>
  <c r="C318" i="17"/>
  <c r="D318" i="17"/>
  <c r="E318" i="17"/>
  <c r="F318" i="17"/>
  <c r="G318" i="17"/>
  <c r="H318" i="17"/>
  <c r="I318" i="17"/>
  <c r="J318" i="17"/>
  <c r="K318" i="17"/>
  <c r="L318" i="17"/>
  <c r="M318" i="17"/>
  <c r="N318" i="17"/>
  <c r="O318" i="17"/>
  <c r="P318" i="17"/>
  <c r="Q318" i="17"/>
  <c r="R318" i="17"/>
  <c r="S318" i="17"/>
  <c r="T318" i="17"/>
  <c r="U318" i="17"/>
  <c r="V318" i="17"/>
  <c r="W318" i="17"/>
  <c r="X318" i="17"/>
  <c r="Y318" i="17"/>
  <c r="Z318" i="17"/>
  <c r="AA318" i="17"/>
  <c r="AB318" i="17"/>
  <c r="AC318" i="17"/>
  <c r="AD318" i="17"/>
  <c r="AE318" i="17"/>
  <c r="AF318" i="17"/>
  <c r="AG318" i="17"/>
  <c r="AH318" i="17"/>
  <c r="AI318" i="17"/>
  <c r="AJ318" i="17"/>
  <c r="AK318" i="17"/>
  <c r="AL318" i="17"/>
  <c r="AM318" i="17"/>
  <c r="AN318" i="17"/>
  <c r="AO318" i="17"/>
  <c r="AP318" i="17"/>
  <c r="AQ318" i="17"/>
  <c r="AR318" i="17"/>
  <c r="AS318" i="17"/>
  <c r="AT318" i="17"/>
  <c r="AU318" i="17"/>
  <c r="AV318" i="17"/>
  <c r="AW318" i="17"/>
  <c r="AX318" i="17"/>
  <c r="AY318" i="17"/>
  <c r="AZ318" i="17"/>
  <c r="BA318" i="17"/>
  <c r="BB318" i="17"/>
  <c r="BC318" i="17"/>
  <c r="BD318" i="17"/>
  <c r="BE318" i="17"/>
  <c r="BF318" i="17"/>
  <c r="BG318" i="17"/>
  <c r="BH318" i="17"/>
  <c r="BI318" i="17"/>
  <c r="BJ318" i="17"/>
  <c r="BK318" i="17"/>
  <c r="BL318" i="17"/>
  <c r="BM318" i="17"/>
  <c r="BN318" i="17"/>
  <c r="BO318" i="17"/>
  <c r="BP318" i="17"/>
  <c r="BQ318" i="17"/>
  <c r="BR318" i="17"/>
  <c r="BS318" i="17"/>
  <c r="BT318" i="17"/>
  <c r="BU318" i="17"/>
  <c r="BV318" i="17"/>
  <c r="BW318" i="17"/>
  <c r="BX318" i="17"/>
  <c r="BY318" i="17"/>
  <c r="BZ318" i="17"/>
  <c r="CA318" i="17"/>
  <c r="CB318" i="17"/>
  <c r="CC318" i="17"/>
  <c r="CD318" i="17"/>
  <c r="CE318" i="17"/>
  <c r="CF318" i="17"/>
  <c r="CG318" i="17"/>
  <c r="CH318" i="17"/>
  <c r="CI318" i="17"/>
  <c r="CJ318" i="17"/>
  <c r="CK318" i="17"/>
  <c r="CL318" i="17"/>
  <c r="CM318" i="17"/>
  <c r="CN318" i="17"/>
  <c r="CO318" i="17"/>
  <c r="CP318" i="17"/>
  <c r="CQ318" i="17"/>
  <c r="CR318" i="17"/>
  <c r="CS318" i="17"/>
  <c r="CT318" i="17"/>
  <c r="CU318" i="17"/>
  <c r="CV318" i="17"/>
  <c r="CW318" i="17"/>
  <c r="CX318" i="17"/>
  <c r="CY318" i="17"/>
  <c r="CZ318" i="17"/>
  <c r="DA318" i="17"/>
  <c r="DB318" i="17"/>
  <c r="DC318" i="17"/>
  <c r="DD318" i="17"/>
  <c r="DE318" i="17"/>
  <c r="DF318" i="17"/>
  <c r="DG318" i="17"/>
  <c r="DH318" i="17"/>
  <c r="DI318" i="17"/>
  <c r="DJ318" i="17"/>
  <c r="DK318" i="17"/>
  <c r="DL318" i="17"/>
  <c r="DM318" i="17"/>
  <c r="DN318" i="17"/>
  <c r="DO318" i="17"/>
  <c r="DP318" i="17"/>
  <c r="DQ318" i="17"/>
  <c r="DR318" i="17"/>
  <c r="DS318" i="17"/>
  <c r="DT318" i="17"/>
  <c r="DU318" i="17"/>
  <c r="DV318" i="17"/>
  <c r="DW318" i="17"/>
  <c r="DX318" i="17"/>
  <c r="DY318" i="17"/>
  <c r="DZ318" i="17"/>
  <c r="EA318" i="17"/>
  <c r="EB318" i="17"/>
  <c r="EC318" i="17"/>
  <c r="ED318" i="17"/>
  <c r="EE318" i="17"/>
  <c r="EF318" i="17"/>
  <c r="EG318" i="17"/>
  <c r="EH318" i="17"/>
  <c r="EI318" i="17"/>
  <c r="EJ318" i="17"/>
  <c r="EK318" i="17"/>
  <c r="EL318" i="17"/>
  <c r="EM318" i="17"/>
  <c r="EN318" i="17"/>
  <c r="EO318" i="17"/>
  <c r="EP318" i="17"/>
  <c r="EQ318" i="17"/>
  <c r="ER318" i="17"/>
  <c r="ES318" i="17"/>
  <c r="ET318" i="17"/>
  <c r="EU318" i="17"/>
  <c r="EV318" i="17"/>
  <c r="EW318" i="17"/>
  <c r="EX318" i="17"/>
  <c r="EY318" i="17"/>
  <c r="EZ318" i="17"/>
  <c r="FA318" i="17"/>
  <c r="FB318" i="17"/>
  <c r="FC318" i="17"/>
  <c r="FD318" i="17"/>
  <c r="FE318" i="17"/>
  <c r="FF318" i="17"/>
  <c r="FG318" i="17"/>
  <c r="FH318" i="17"/>
  <c r="FI318" i="17"/>
  <c r="FJ318" i="17"/>
  <c r="FK318" i="17"/>
  <c r="FL318" i="17"/>
  <c r="FM318" i="17"/>
  <c r="FN318" i="17"/>
  <c r="FO318" i="17"/>
  <c r="FP318" i="17"/>
  <c r="FQ318" i="17"/>
  <c r="FR318" i="17"/>
  <c r="FS318" i="17"/>
  <c r="FT318" i="17"/>
  <c r="FU318" i="17"/>
  <c r="FV318" i="17"/>
  <c r="FW318" i="17"/>
  <c r="FX318" i="17"/>
  <c r="FY318" i="17"/>
  <c r="FZ318" i="17"/>
  <c r="GA318" i="17"/>
  <c r="GB318" i="17"/>
  <c r="GC318" i="17"/>
  <c r="GD318" i="17"/>
  <c r="GE318" i="17"/>
  <c r="GF318" i="17"/>
  <c r="GG318" i="17"/>
  <c r="GH318" i="17"/>
  <c r="GI318" i="17"/>
  <c r="GJ318" i="17"/>
  <c r="GK318" i="17"/>
  <c r="GL318" i="17"/>
  <c r="GM318" i="17"/>
  <c r="GN318" i="17"/>
  <c r="GO318" i="17"/>
  <c r="GP318" i="17"/>
  <c r="GQ318" i="17"/>
  <c r="GR318" i="17"/>
  <c r="GS318" i="17"/>
  <c r="GT318" i="17"/>
  <c r="GU318" i="17"/>
  <c r="GV318" i="17"/>
  <c r="GW318" i="17"/>
  <c r="GX318" i="17"/>
  <c r="GY318" i="17"/>
  <c r="GZ318" i="17"/>
  <c r="HA318" i="17"/>
  <c r="HB318" i="17"/>
  <c r="HC318" i="17"/>
  <c r="HD318" i="17"/>
  <c r="HE318" i="17"/>
  <c r="HF318" i="17"/>
  <c r="HG318" i="17"/>
  <c r="HH318" i="17"/>
  <c r="HI318" i="17"/>
  <c r="HJ318" i="17"/>
  <c r="HK318" i="17"/>
  <c r="HL318" i="17"/>
  <c r="HM318" i="17"/>
  <c r="HN318" i="17"/>
  <c r="HO318" i="17"/>
  <c r="HP318" i="17"/>
  <c r="HQ318" i="17"/>
  <c r="HR318" i="17"/>
  <c r="HS318" i="17"/>
  <c r="HT318" i="17"/>
  <c r="HU318" i="17"/>
  <c r="HV318" i="17"/>
  <c r="HW318" i="17"/>
  <c r="HX318" i="17"/>
  <c r="HY318" i="17"/>
  <c r="HZ318" i="17"/>
  <c r="IA318" i="17"/>
  <c r="IB318" i="17"/>
  <c r="IC318" i="17"/>
  <c r="ID318" i="17"/>
  <c r="IE318" i="17"/>
  <c r="IF318" i="17"/>
  <c r="IG318" i="17"/>
  <c r="IH318" i="17"/>
  <c r="II318" i="17"/>
  <c r="IJ318" i="17"/>
  <c r="IK318" i="17"/>
  <c r="IL318" i="17"/>
  <c r="IM318" i="17"/>
  <c r="IN318" i="17"/>
  <c r="IO318" i="17"/>
  <c r="IP318" i="17"/>
  <c r="IQ318" i="17"/>
  <c r="IR318" i="17"/>
  <c r="IS318" i="17"/>
  <c r="IT318" i="17"/>
  <c r="IU318" i="17"/>
  <c r="IV318" i="17"/>
  <c r="A317" i="17"/>
  <c r="B317" i="17"/>
  <c r="C317" i="17"/>
  <c r="D317" i="17"/>
  <c r="E317" i="17"/>
  <c r="F317" i="17"/>
  <c r="G317" i="17"/>
  <c r="H317" i="17"/>
  <c r="I317" i="17"/>
  <c r="J317" i="17"/>
  <c r="K317" i="17"/>
  <c r="L317" i="17"/>
  <c r="M317" i="17"/>
  <c r="N317" i="17"/>
  <c r="O317" i="17"/>
  <c r="P317" i="17"/>
  <c r="Q317" i="17"/>
  <c r="R317" i="17"/>
  <c r="S317" i="17"/>
  <c r="T317" i="17"/>
  <c r="U317" i="17"/>
  <c r="V317" i="17"/>
  <c r="W317" i="17"/>
  <c r="X317" i="17"/>
  <c r="Y317" i="17"/>
  <c r="Z317" i="17"/>
  <c r="AA317" i="17"/>
  <c r="AB317" i="17"/>
  <c r="AC317" i="17"/>
  <c r="AD317" i="17"/>
  <c r="AE317" i="17"/>
  <c r="AF317" i="17"/>
  <c r="AG317" i="17"/>
  <c r="AH317" i="17"/>
  <c r="AI317" i="17"/>
  <c r="AJ317" i="17"/>
  <c r="AK317" i="17"/>
  <c r="AL317" i="17"/>
  <c r="AM317" i="17"/>
  <c r="AN317" i="17"/>
  <c r="AO317" i="17"/>
  <c r="AP317" i="17"/>
  <c r="AQ317" i="17"/>
  <c r="AR317" i="17"/>
  <c r="AS317" i="17"/>
  <c r="AT317" i="17"/>
  <c r="AU317" i="17"/>
  <c r="AV317" i="17"/>
  <c r="AW317" i="17"/>
  <c r="AX317" i="17"/>
  <c r="AY317" i="17"/>
  <c r="AZ317" i="17"/>
  <c r="BA317" i="17"/>
  <c r="BB317" i="17"/>
  <c r="BC317" i="17"/>
  <c r="BD317" i="17"/>
  <c r="BE317" i="17"/>
  <c r="BF317" i="17"/>
  <c r="BG317" i="17"/>
  <c r="BH317" i="17"/>
  <c r="BI317" i="17"/>
  <c r="BJ317" i="17"/>
  <c r="BK317" i="17"/>
  <c r="BL317" i="17"/>
  <c r="BM317" i="17"/>
  <c r="BN317" i="17"/>
  <c r="BO317" i="17"/>
  <c r="BP317" i="17"/>
  <c r="BQ317" i="17"/>
  <c r="BR317" i="17"/>
  <c r="BS317" i="17"/>
  <c r="BT317" i="17"/>
  <c r="BU317" i="17"/>
  <c r="BV317" i="17"/>
  <c r="BW317" i="17"/>
  <c r="BX317" i="17"/>
  <c r="BY317" i="17"/>
  <c r="BZ317" i="17"/>
  <c r="CA317" i="17"/>
  <c r="CB317" i="17"/>
  <c r="CC317" i="17"/>
  <c r="CD317" i="17"/>
  <c r="CE317" i="17"/>
  <c r="CF317" i="17"/>
  <c r="CG317" i="17"/>
  <c r="CH317" i="17"/>
  <c r="CI317" i="17"/>
  <c r="CJ317" i="17"/>
  <c r="CK317" i="17"/>
  <c r="CL317" i="17"/>
  <c r="CM317" i="17"/>
  <c r="CN317" i="17"/>
  <c r="CO317" i="17"/>
  <c r="CP317" i="17"/>
  <c r="CQ317" i="17"/>
  <c r="CR317" i="17"/>
  <c r="CS317" i="17"/>
  <c r="CT317" i="17"/>
  <c r="CU317" i="17"/>
  <c r="CV317" i="17"/>
  <c r="CW317" i="17"/>
  <c r="CX317" i="17"/>
  <c r="CY317" i="17"/>
  <c r="CZ317" i="17"/>
  <c r="DA317" i="17"/>
  <c r="DB317" i="17"/>
  <c r="DC317" i="17"/>
  <c r="DD317" i="17"/>
  <c r="DE317" i="17"/>
  <c r="DF317" i="17"/>
  <c r="DG317" i="17"/>
  <c r="DH317" i="17"/>
  <c r="DI317" i="17"/>
  <c r="DJ317" i="17"/>
  <c r="DK317" i="17"/>
  <c r="DL317" i="17"/>
  <c r="DM317" i="17"/>
  <c r="DN317" i="17"/>
  <c r="DO317" i="17"/>
  <c r="DP317" i="17"/>
  <c r="DQ317" i="17"/>
  <c r="DR317" i="17"/>
  <c r="DS317" i="17"/>
  <c r="DT317" i="17"/>
  <c r="DU317" i="17"/>
  <c r="DV317" i="17"/>
  <c r="DW317" i="17"/>
  <c r="DX317" i="17"/>
  <c r="DY317" i="17"/>
  <c r="DZ317" i="17"/>
  <c r="EA317" i="17"/>
  <c r="EB317" i="17"/>
  <c r="EC317" i="17"/>
  <c r="ED317" i="17"/>
  <c r="EE317" i="17"/>
  <c r="EF317" i="17"/>
  <c r="EG317" i="17"/>
  <c r="EH317" i="17"/>
  <c r="EI317" i="17"/>
  <c r="EJ317" i="17"/>
  <c r="EK317" i="17"/>
  <c r="EL317" i="17"/>
  <c r="EM317" i="17"/>
  <c r="EN317" i="17"/>
  <c r="EO317" i="17"/>
  <c r="EP317" i="17"/>
  <c r="EQ317" i="17"/>
  <c r="ER317" i="17"/>
  <c r="ES317" i="17"/>
  <c r="ET317" i="17"/>
  <c r="EU317" i="17"/>
  <c r="EV317" i="17"/>
  <c r="EW317" i="17"/>
  <c r="EX317" i="17"/>
  <c r="EY317" i="17"/>
  <c r="EZ317" i="17"/>
  <c r="FA317" i="17"/>
  <c r="FB317" i="17"/>
  <c r="FC317" i="17"/>
  <c r="FD317" i="17"/>
  <c r="FE317" i="17"/>
  <c r="FF317" i="17"/>
  <c r="FG317" i="17"/>
  <c r="FH317" i="17"/>
  <c r="FI317" i="17"/>
  <c r="FJ317" i="17"/>
  <c r="FK317" i="17"/>
  <c r="FL317" i="17"/>
  <c r="FM317" i="17"/>
  <c r="FN317" i="17"/>
  <c r="FO317" i="17"/>
  <c r="FP317" i="17"/>
  <c r="FQ317" i="17"/>
  <c r="FR317" i="17"/>
  <c r="FS317" i="17"/>
  <c r="FT317" i="17"/>
  <c r="FU317" i="17"/>
  <c r="FV317" i="17"/>
  <c r="FW317" i="17"/>
  <c r="FX317" i="17"/>
  <c r="FY317" i="17"/>
  <c r="FZ317" i="17"/>
  <c r="GA317" i="17"/>
  <c r="GB317" i="17"/>
  <c r="GC317" i="17"/>
  <c r="GD317" i="17"/>
  <c r="GE317" i="17"/>
  <c r="GF317" i="17"/>
  <c r="GG317" i="17"/>
  <c r="GH317" i="17"/>
  <c r="GI317" i="17"/>
  <c r="GJ317" i="17"/>
  <c r="GK317" i="17"/>
  <c r="GL317" i="17"/>
  <c r="GM317" i="17"/>
  <c r="GN317" i="17"/>
  <c r="GO317" i="17"/>
  <c r="GP317" i="17"/>
  <c r="GQ317" i="17"/>
  <c r="GR317" i="17"/>
  <c r="GS317" i="17"/>
  <c r="GT317" i="17"/>
  <c r="GU317" i="17"/>
  <c r="GV317" i="17"/>
  <c r="GW317" i="17"/>
  <c r="GX317" i="17"/>
  <c r="GY317" i="17"/>
  <c r="GZ317" i="17"/>
  <c r="HA317" i="17"/>
  <c r="HB317" i="17"/>
  <c r="HC317" i="17"/>
  <c r="HD317" i="17"/>
  <c r="HE317" i="17"/>
  <c r="HF317" i="17"/>
  <c r="HG317" i="17"/>
  <c r="HH317" i="17"/>
  <c r="HI317" i="17"/>
  <c r="HJ317" i="17"/>
  <c r="HK317" i="17"/>
  <c r="HL317" i="17"/>
  <c r="HM317" i="17"/>
  <c r="HN317" i="17"/>
  <c r="HO317" i="17"/>
  <c r="HP317" i="17"/>
  <c r="HQ317" i="17"/>
  <c r="HR317" i="17"/>
  <c r="HS317" i="17"/>
  <c r="HT317" i="17"/>
  <c r="HU317" i="17"/>
  <c r="HV317" i="17"/>
  <c r="HW317" i="17"/>
  <c r="HX317" i="17"/>
  <c r="HY317" i="17"/>
  <c r="HZ317" i="17"/>
  <c r="IA317" i="17"/>
  <c r="IB317" i="17"/>
  <c r="IC317" i="17"/>
  <c r="ID317" i="17"/>
  <c r="IE317" i="17"/>
  <c r="IF317" i="17"/>
  <c r="IG317" i="17"/>
  <c r="IH317" i="17"/>
  <c r="II317" i="17"/>
  <c r="IJ317" i="17"/>
  <c r="IK317" i="17"/>
  <c r="IL317" i="17"/>
  <c r="IM317" i="17"/>
  <c r="IN317" i="17"/>
  <c r="IO317" i="17"/>
  <c r="IP317" i="17"/>
  <c r="IQ317" i="17"/>
  <c r="IR317" i="17"/>
  <c r="IS317" i="17"/>
  <c r="IT317" i="17"/>
  <c r="IU317" i="17"/>
  <c r="IV317" i="17"/>
  <c r="A316" i="17"/>
  <c r="B316" i="17"/>
  <c r="C316" i="17"/>
  <c r="D316" i="17"/>
  <c r="E316" i="17"/>
  <c r="F316" i="17"/>
  <c r="G316" i="17"/>
  <c r="H316" i="17"/>
  <c r="I316" i="17"/>
  <c r="J316" i="17"/>
  <c r="K316" i="17"/>
  <c r="L316" i="17"/>
  <c r="M316" i="17"/>
  <c r="N316" i="17"/>
  <c r="O316" i="17"/>
  <c r="P316" i="17"/>
  <c r="Q316" i="17"/>
  <c r="R316" i="17"/>
  <c r="S316" i="17"/>
  <c r="T316" i="17"/>
  <c r="U316" i="17"/>
  <c r="V316" i="17"/>
  <c r="W316" i="17"/>
  <c r="X316" i="17"/>
  <c r="Y316" i="17"/>
  <c r="Z316" i="17"/>
  <c r="AA316" i="17"/>
  <c r="AB316" i="17"/>
  <c r="AC316" i="17"/>
  <c r="AD316" i="17"/>
  <c r="AE316" i="17"/>
  <c r="AF316" i="17"/>
  <c r="AG316" i="17"/>
  <c r="AH316" i="17"/>
  <c r="AI316" i="17"/>
  <c r="AJ316" i="17"/>
  <c r="AK316" i="17"/>
  <c r="AL316" i="17"/>
  <c r="AM316" i="17"/>
  <c r="AN316" i="17"/>
  <c r="AO316" i="17"/>
  <c r="AP316" i="17"/>
  <c r="AQ316" i="17"/>
  <c r="AR316" i="17"/>
  <c r="AS316" i="17"/>
  <c r="AT316" i="17"/>
  <c r="AU316" i="17"/>
  <c r="AV316" i="17"/>
  <c r="AW316" i="17"/>
  <c r="AX316" i="17"/>
  <c r="AY316" i="17"/>
  <c r="AZ316" i="17"/>
  <c r="BA316" i="17"/>
  <c r="BB316" i="17"/>
  <c r="BC316" i="17"/>
  <c r="BD316" i="17"/>
  <c r="BE316" i="17"/>
  <c r="BF316" i="17"/>
  <c r="BG316" i="17"/>
  <c r="BH316" i="17"/>
  <c r="BI316" i="17"/>
  <c r="BJ316" i="17"/>
  <c r="BK316" i="17"/>
  <c r="BL316" i="17"/>
  <c r="BM316" i="17"/>
  <c r="BN316" i="17"/>
  <c r="BO316" i="17"/>
  <c r="BP316" i="17"/>
  <c r="BQ316" i="17"/>
  <c r="BR316" i="17"/>
  <c r="BS316" i="17"/>
  <c r="BT316" i="17"/>
  <c r="BU316" i="17"/>
  <c r="BV316" i="17"/>
  <c r="BW316" i="17"/>
  <c r="BX316" i="17"/>
  <c r="BY316" i="17"/>
  <c r="BZ316" i="17"/>
  <c r="CA316" i="17"/>
  <c r="CB316" i="17"/>
  <c r="CC316" i="17"/>
  <c r="CD316" i="17"/>
  <c r="CE316" i="17"/>
  <c r="CF316" i="17"/>
  <c r="CG316" i="17"/>
  <c r="CH316" i="17"/>
  <c r="CI316" i="17"/>
  <c r="CJ316" i="17"/>
  <c r="CK316" i="17"/>
  <c r="CL316" i="17"/>
  <c r="CM316" i="17"/>
  <c r="CN316" i="17"/>
  <c r="CO316" i="17"/>
  <c r="CP316" i="17"/>
  <c r="CQ316" i="17"/>
  <c r="CR316" i="17"/>
  <c r="CS316" i="17"/>
  <c r="CT316" i="17"/>
  <c r="CU316" i="17"/>
  <c r="CV316" i="17"/>
  <c r="CW316" i="17"/>
  <c r="CX316" i="17"/>
  <c r="CY316" i="17"/>
  <c r="CZ316" i="17"/>
  <c r="DA316" i="17"/>
  <c r="DB316" i="17"/>
  <c r="DC316" i="17"/>
  <c r="DD316" i="17"/>
  <c r="DE316" i="17"/>
  <c r="DF316" i="17"/>
  <c r="DG316" i="17"/>
  <c r="DH316" i="17"/>
  <c r="DI316" i="17"/>
  <c r="DJ316" i="17"/>
  <c r="DK316" i="17"/>
  <c r="DL316" i="17"/>
  <c r="DM316" i="17"/>
  <c r="DN316" i="17"/>
  <c r="DO316" i="17"/>
  <c r="DP316" i="17"/>
  <c r="DQ316" i="17"/>
  <c r="DR316" i="17"/>
  <c r="DS316" i="17"/>
  <c r="DT316" i="17"/>
  <c r="DU316" i="17"/>
  <c r="DV316" i="17"/>
  <c r="DW316" i="17"/>
  <c r="DX316" i="17"/>
  <c r="DY316" i="17"/>
  <c r="DZ316" i="17"/>
  <c r="EA316" i="17"/>
  <c r="EB316" i="17"/>
  <c r="EC316" i="17"/>
  <c r="ED316" i="17"/>
  <c r="EE316" i="17"/>
  <c r="EF316" i="17"/>
  <c r="EG316" i="17"/>
  <c r="EH316" i="17"/>
  <c r="EI316" i="17"/>
  <c r="EJ316" i="17"/>
  <c r="EK316" i="17"/>
  <c r="EL316" i="17"/>
  <c r="EM316" i="17"/>
  <c r="EN316" i="17"/>
  <c r="EO316" i="17"/>
  <c r="EP316" i="17"/>
  <c r="EQ316" i="17"/>
  <c r="ER316" i="17"/>
  <c r="ES316" i="17"/>
  <c r="ET316" i="17"/>
  <c r="EU316" i="17"/>
  <c r="EV316" i="17"/>
  <c r="EW316" i="17"/>
  <c r="EX316" i="17"/>
  <c r="EY316" i="17"/>
  <c r="EZ316" i="17"/>
  <c r="FA316" i="17"/>
  <c r="FB316" i="17"/>
  <c r="FC316" i="17"/>
  <c r="FD316" i="17"/>
  <c r="FE316" i="17"/>
  <c r="FF316" i="17"/>
  <c r="FG316" i="17"/>
  <c r="FH316" i="17"/>
  <c r="FI316" i="17"/>
  <c r="FJ316" i="17"/>
  <c r="FK316" i="17"/>
  <c r="FL316" i="17"/>
  <c r="FM316" i="17"/>
  <c r="FN316" i="17"/>
  <c r="FO316" i="17"/>
  <c r="FP316" i="17"/>
  <c r="FQ316" i="17"/>
  <c r="FR316" i="17"/>
  <c r="FS316" i="17"/>
  <c r="FT316" i="17"/>
  <c r="FU316" i="17"/>
  <c r="FV316" i="17"/>
  <c r="FW316" i="17"/>
  <c r="FX316" i="17"/>
  <c r="FY316" i="17"/>
  <c r="FZ316" i="17"/>
  <c r="GA316" i="17"/>
  <c r="GB316" i="17"/>
  <c r="GC316" i="17"/>
  <c r="GD316" i="17"/>
  <c r="GE316" i="17"/>
  <c r="GF316" i="17"/>
  <c r="GG316" i="17"/>
  <c r="GH316" i="17"/>
  <c r="GI316" i="17"/>
  <c r="GJ316" i="17"/>
  <c r="GK316" i="17"/>
  <c r="GL316" i="17"/>
  <c r="GM316" i="17"/>
  <c r="GN316" i="17"/>
  <c r="GO316" i="17"/>
  <c r="GP316" i="17"/>
  <c r="GQ316" i="17"/>
  <c r="GR316" i="17"/>
  <c r="GS316" i="17"/>
  <c r="GT316" i="17"/>
  <c r="GU316" i="17"/>
  <c r="GV316" i="17"/>
  <c r="GW316" i="17"/>
  <c r="GX316" i="17"/>
  <c r="GY316" i="17"/>
  <c r="GZ316" i="17"/>
  <c r="HA316" i="17"/>
  <c r="HB316" i="17"/>
  <c r="HC316" i="17"/>
  <c r="HD316" i="17"/>
  <c r="HE316" i="17"/>
  <c r="HF316" i="17"/>
  <c r="HG316" i="17"/>
  <c r="HH316" i="17"/>
  <c r="HI316" i="17"/>
  <c r="HJ316" i="17"/>
  <c r="HK316" i="17"/>
  <c r="HL316" i="17"/>
  <c r="HM316" i="17"/>
  <c r="HN316" i="17"/>
  <c r="HO316" i="17"/>
  <c r="HP316" i="17"/>
  <c r="HQ316" i="17"/>
  <c r="HR316" i="17"/>
  <c r="HS316" i="17"/>
  <c r="HT316" i="17"/>
  <c r="HU316" i="17"/>
  <c r="HV316" i="17"/>
  <c r="HW316" i="17"/>
  <c r="HX316" i="17"/>
  <c r="HY316" i="17"/>
  <c r="HZ316" i="17"/>
  <c r="IA316" i="17"/>
  <c r="IB316" i="17"/>
  <c r="IC316" i="17"/>
  <c r="ID316" i="17"/>
  <c r="IE316" i="17"/>
  <c r="IF316" i="17"/>
  <c r="IG316" i="17"/>
  <c r="IH316" i="17"/>
  <c r="II316" i="17"/>
  <c r="IJ316" i="17"/>
  <c r="IK316" i="17"/>
  <c r="IL316" i="17"/>
  <c r="IM316" i="17"/>
  <c r="IN316" i="17"/>
  <c r="IO316" i="17"/>
  <c r="IP316" i="17"/>
  <c r="IQ316" i="17"/>
  <c r="IR316" i="17"/>
  <c r="IS316" i="17"/>
  <c r="IT316" i="17"/>
  <c r="IU316" i="17"/>
  <c r="IV316" i="17"/>
  <c r="A315" i="17"/>
  <c r="B315" i="17"/>
  <c r="C315" i="17"/>
  <c r="D315" i="17"/>
  <c r="E315" i="17"/>
  <c r="F315" i="17"/>
  <c r="G315" i="17"/>
  <c r="H315" i="17"/>
  <c r="I315" i="17"/>
  <c r="J315" i="17"/>
  <c r="K315" i="17"/>
  <c r="L315" i="17"/>
  <c r="M315" i="17"/>
  <c r="N315" i="17"/>
  <c r="O315" i="17"/>
  <c r="P315" i="17"/>
  <c r="Q315" i="17"/>
  <c r="R315" i="17"/>
  <c r="S315" i="17"/>
  <c r="T315" i="17"/>
  <c r="U315" i="17"/>
  <c r="V315" i="17"/>
  <c r="W315" i="17"/>
  <c r="X315" i="17"/>
  <c r="Y315" i="17"/>
  <c r="Z315" i="17"/>
  <c r="AA315" i="17"/>
  <c r="AB315" i="17"/>
  <c r="AC315" i="17"/>
  <c r="AD315" i="17"/>
  <c r="AE315" i="17"/>
  <c r="AF315" i="17"/>
  <c r="AG315" i="17"/>
  <c r="AH315" i="17"/>
  <c r="AI315" i="17"/>
  <c r="AJ315" i="17"/>
  <c r="AK315" i="17"/>
  <c r="AL315" i="17"/>
  <c r="AM315" i="17"/>
  <c r="AN315" i="17"/>
  <c r="AO315" i="17"/>
  <c r="AP315" i="17"/>
  <c r="AQ315" i="17"/>
  <c r="AR315" i="17"/>
  <c r="AS315" i="17"/>
  <c r="AT315" i="17"/>
  <c r="AU315" i="17"/>
  <c r="AV315" i="17"/>
  <c r="AW315" i="17"/>
  <c r="AX315" i="17"/>
  <c r="AY315" i="17"/>
  <c r="AZ315" i="17"/>
  <c r="BA315" i="17"/>
  <c r="BB315" i="17"/>
  <c r="BC315" i="17"/>
  <c r="BD315" i="17"/>
  <c r="BE315" i="17"/>
  <c r="BF315" i="17"/>
  <c r="BG315" i="17"/>
  <c r="BH315" i="17"/>
  <c r="BI315" i="17"/>
  <c r="BJ315" i="17"/>
  <c r="BK315" i="17"/>
  <c r="BL315" i="17"/>
  <c r="BM315" i="17"/>
  <c r="BN315" i="17"/>
  <c r="BO315" i="17"/>
  <c r="BP315" i="17"/>
  <c r="BQ315" i="17"/>
  <c r="BR315" i="17"/>
  <c r="BS315" i="17"/>
  <c r="BT315" i="17"/>
  <c r="BU315" i="17"/>
  <c r="BV315" i="17"/>
  <c r="BW315" i="17"/>
  <c r="BX315" i="17"/>
  <c r="BY315" i="17"/>
  <c r="BZ315" i="17"/>
  <c r="CA315" i="17"/>
  <c r="CB315" i="17"/>
  <c r="CC315" i="17"/>
  <c r="CD315" i="17"/>
  <c r="CE315" i="17"/>
  <c r="CF315" i="17"/>
  <c r="CG315" i="17"/>
  <c r="CH315" i="17"/>
  <c r="CI315" i="17"/>
  <c r="CJ315" i="17"/>
  <c r="CK315" i="17"/>
  <c r="CL315" i="17"/>
  <c r="CM315" i="17"/>
  <c r="CN315" i="17"/>
  <c r="CO315" i="17"/>
  <c r="CP315" i="17"/>
  <c r="CQ315" i="17"/>
  <c r="CR315" i="17"/>
  <c r="CS315" i="17"/>
  <c r="CT315" i="17"/>
  <c r="CU315" i="17"/>
  <c r="CV315" i="17"/>
  <c r="CW315" i="17"/>
  <c r="CX315" i="17"/>
  <c r="CY315" i="17"/>
  <c r="CZ315" i="17"/>
  <c r="DA315" i="17"/>
  <c r="DB315" i="17"/>
  <c r="DC315" i="17"/>
  <c r="DD315" i="17"/>
  <c r="DE315" i="17"/>
  <c r="DF315" i="17"/>
  <c r="DG315" i="17"/>
  <c r="DH315" i="17"/>
  <c r="DI315" i="17"/>
  <c r="DJ315" i="17"/>
  <c r="DK315" i="17"/>
  <c r="DL315" i="17"/>
  <c r="DM315" i="17"/>
  <c r="DN315" i="17"/>
  <c r="DO315" i="17"/>
  <c r="DP315" i="17"/>
  <c r="DQ315" i="17"/>
  <c r="DR315" i="17"/>
  <c r="DS315" i="17"/>
  <c r="DT315" i="17"/>
  <c r="DU315" i="17"/>
  <c r="DV315" i="17"/>
  <c r="DW315" i="17"/>
  <c r="DX315" i="17"/>
  <c r="DY315" i="17"/>
  <c r="DZ315" i="17"/>
  <c r="EA315" i="17"/>
  <c r="EB315" i="17"/>
  <c r="EC315" i="17"/>
  <c r="ED315" i="17"/>
  <c r="EE315" i="17"/>
  <c r="EF315" i="17"/>
  <c r="EG315" i="17"/>
  <c r="EH315" i="17"/>
  <c r="EI315" i="17"/>
  <c r="EJ315" i="17"/>
  <c r="EK315" i="17"/>
  <c r="EL315" i="17"/>
  <c r="EM315" i="17"/>
  <c r="EN315" i="17"/>
  <c r="EO315" i="17"/>
  <c r="EP315" i="17"/>
  <c r="EQ315" i="17"/>
  <c r="ER315" i="17"/>
  <c r="ES315" i="17"/>
  <c r="ET315" i="17"/>
  <c r="EU315" i="17"/>
  <c r="EV315" i="17"/>
  <c r="EW315" i="17"/>
  <c r="EX315" i="17"/>
  <c r="EY315" i="17"/>
  <c r="EZ315" i="17"/>
  <c r="FA315" i="17"/>
  <c r="FB315" i="17"/>
  <c r="FC315" i="17"/>
  <c r="FD315" i="17"/>
  <c r="FE315" i="17"/>
  <c r="FF315" i="17"/>
  <c r="FG315" i="17"/>
  <c r="FH315" i="17"/>
  <c r="FI315" i="17"/>
  <c r="FJ315" i="17"/>
  <c r="FK315" i="17"/>
  <c r="FL315" i="17"/>
  <c r="FM315" i="17"/>
  <c r="FN315" i="17"/>
  <c r="FO315" i="17"/>
  <c r="FP315" i="17"/>
  <c r="FQ315" i="17"/>
  <c r="FR315" i="17"/>
  <c r="FS315" i="17"/>
  <c r="FT315" i="17"/>
  <c r="FU315" i="17"/>
  <c r="FV315" i="17"/>
  <c r="FW315" i="17"/>
  <c r="FX315" i="17"/>
  <c r="FY315" i="17"/>
  <c r="FZ315" i="17"/>
  <c r="GA315" i="17"/>
  <c r="GB315" i="17"/>
  <c r="GC315" i="17"/>
  <c r="GD315" i="17"/>
  <c r="GE315" i="17"/>
  <c r="GF315" i="17"/>
  <c r="GG315" i="17"/>
  <c r="GH315" i="17"/>
  <c r="GI315" i="17"/>
  <c r="GJ315" i="17"/>
  <c r="GK315" i="17"/>
  <c r="GL315" i="17"/>
  <c r="GM315" i="17"/>
  <c r="GN315" i="17"/>
  <c r="GO315" i="17"/>
  <c r="GP315" i="17"/>
  <c r="GQ315" i="17"/>
  <c r="GR315" i="17"/>
  <c r="GS315" i="17"/>
  <c r="GT315" i="17"/>
  <c r="GU315" i="17"/>
  <c r="GV315" i="17"/>
  <c r="GW315" i="17"/>
  <c r="GX315" i="17"/>
  <c r="GY315" i="17"/>
  <c r="GZ315" i="17"/>
  <c r="HA315" i="17"/>
  <c r="HB315" i="17"/>
  <c r="HC315" i="17"/>
  <c r="HD315" i="17"/>
  <c r="HE315" i="17"/>
  <c r="HF315" i="17"/>
  <c r="HG315" i="17"/>
  <c r="HH315" i="17"/>
  <c r="HI315" i="17"/>
  <c r="HJ315" i="17"/>
  <c r="HK315" i="17"/>
  <c r="HL315" i="17"/>
  <c r="HM315" i="17"/>
  <c r="HN315" i="17"/>
  <c r="HO315" i="17"/>
  <c r="HP315" i="17"/>
  <c r="HQ315" i="17"/>
  <c r="HR315" i="17"/>
  <c r="HS315" i="17"/>
  <c r="HT315" i="17"/>
  <c r="HU315" i="17"/>
  <c r="HV315" i="17"/>
  <c r="HW315" i="17"/>
  <c r="HX315" i="17"/>
  <c r="HY315" i="17"/>
  <c r="HZ315" i="17"/>
  <c r="IA315" i="17"/>
  <c r="IB315" i="17"/>
  <c r="IC315" i="17"/>
  <c r="ID315" i="17"/>
  <c r="IE315" i="17"/>
  <c r="IF315" i="17"/>
  <c r="IG315" i="17"/>
  <c r="IH315" i="17"/>
  <c r="II315" i="17"/>
  <c r="IJ315" i="17"/>
  <c r="IK315" i="17"/>
  <c r="IL315" i="17"/>
  <c r="IM315" i="17"/>
  <c r="IN315" i="17"/>
  <c r="IO315" i="17"/>
  <c r="IP315" i="17"/>
  <c r="IQ315" i="17"/>
  <c r="IR315" i="17"/>
  <c r="IS315" i="17"/>
  <c r="IT315" i="17"/>
  <c r="IU315" i="17"/>
  <c r="IV315" i="17"/>
  <c r="A314" i="17"/>
  <c r="B314" i="17"/>
  <c r="C314" i="17"/>
  <c r="D314" i="17"/>
  <c r="E314" i="17"/>
  <c r="F314" i="17"/>
  <c r="G314" i="17"/>
  <c r="H314" i="17"/>
  <c r="I314" i="17"/>
  <c r="J314" i="17"/>
  <c r="K314" i="17"/>
  <c r="L314" i="17"/>
  <c r="M314" i="17"/>
  <c r="N314" i="17"/>
  <c r="O314" i="17"/>
  <c r="P314" i="17"/>
  <c r="Q314" i="17"/>
  <c r="R314" i="17"/>
  <c r="S314" i="17"/>
  <c r="T314" i="17"/>
  <c r="U314" i="17"/>
  <c r="V314" i="17"/>
  <c r="W314" i="17"/>
  <c r="X314" i="17"/>
  <c r="Y314" i="17"/>
  <c r="Z314" i="17"/>
  <c r="AA314" i="17"/>
  <c r="AB314" i="17"/>
  <c r="AC314" i="17"/>
  <c r="AD314" i="17"/>
  <c r="AE314" i="17"/>
  <c r="AF314" i="17"/>
  <c r="AG314" i="17"/>
  <c r="AH314" i="17"/>
  <c r="AI314" i="17"/>
  <c r="AJ314" i="17"/>
  <c r="AK314" i="17"/>
  <c r="AL314" i="17"/>
  <c r="AM314" i="17"/>
  <c r="AN314" i="17"/>
  <c r="AO314" i="17"/>
  <c r="AP314" i="17"/>
  <c r="AQ314" i="17"/>
  <c r="AR314" i="17"/>
  <c r="AS314" i="17"/>
  <c r="AT314" i="17"/>
  <c r="AU314" i="17"/>
  <c r="AV314" i="17"/>
  <c r="AW314" i="17"/>
  <c r="AX314" i="17"/>
  <c r="AY314" i="17"/>
  <c r="AZ314" i="17"/>
  <c r="BA314" i="17"/>
  <c r="BB314" i="17"/>
  <c r="BC314" i="17"/>
  <c r="BD314" i="17"/>
  <c r="BE314" i="17"/>
  <c r="BF314" i="17"/>
  <c r="BG314" i="17"/>
  <c r="BH314" i="17"/>
  <c r="BI314" i="17"/>
  <c r="BJ314" i="17"/>
  <c r="BK314" i="17"/>
  <c r="BL314" i="17"/>
  <c r="BM314" i="17"/>
  <c r="BN314" i="17"/>
  <c r="BO314" i="17"/>
  <c r="BP314" i="17"/>
  <c r="BQ314" i="17"/>
  <c r="BR314" i="17"/>
  <c r="BS314" i="17"/>
  <c r="BT314" i="17"/>
  <c r="BU314" i="17"/>
  <c r="BV314" i="17"/>
  <c r="BW314" i="17"/>
  <c r="BX314" i="17"/>
  <c r="BY314" i="17"/>
  <c r="BZ314" i="17"/>
  <c r="CA314" i="17"/>
  <c r="CB314" i="17"/>
  <c r="CC314" i="17"/>
  <c r="CD314" i="17"/>
  <c r="CE314" i="17"/>
  <c r="CF314" i="17"/>
  <c r="CG314" i="17"/>
  <c r="CH314" i="17"/>
  <c r="CI314" i="17"/>
  <c r="CJ314" i="17"/>
  <c r="CK314" i="17"/>
  <c r="CL314" i="17"/>
  <c r="CM314" i="17"/>
  <c r="CN314" i="17"/>
  <c r="CO314" i="17"/>
  <c r="CP314" i="17"/>
  <c r="CQ314" i="17"/>
  <c r="CR314" i="17"/>
  <c r="CS314" i="17"/>
  <c r="CT314" i="17"/>
  <c r="CU314" i="17"/>
  <c r="CV314" i="17"/>
  <c r="CW314" i="17"/>
  <c r="CX314" i="17"/>
  <c r="CY314" i="17"/>
  <c r="CZ314" i="17"/>
  <c r="DA314" i="17"/>
  <c r="DB314" i="17"/>
  <c r="DC314" i="17"/>
  <c r="DD314" i="17"/>
  <c r="DE314" i="17"/>
  <c r="DF314" i="17"/>
  <c r="DG314" i="17"/>
  <c r="DH314" i="17"/>
  <c r="DI314" i="17"/>
  <c r="DJ314" i="17"/>
  <c r="DK314" i="17"/>
  <c r="DL314" i="17"/>
  <c r="DM314" i="17"/>
  <c r="DN314" i="17"/>
  <c r="DO314" i="17"/>
  <c r="DP314" i="17"/>
  <c r="DQ314" i="17"/>
  <c r="DR314" i="17"/>
  <c r="DS314" i="17"/>
  <c r="DT314" i="17"/>
  <c r="DU314" i="17"/>
  <c r="DV314" i="17"/>
  <c r="DW314" i="17"/>
  <c r="DX314" i="17"/>
  <c r="DY314" i="17"/>
  <c r="DZ314" i="17"/>
  <c r="EA314" i="17"/>
  <c r="EB314" i="17"/>
  <c r="EC314" i="17"/>
  <c r="ED314" i="17"/>
  <c r="EE314" i="17"/>
  <c r="EF314" i="17"/>
  <c r="EG314" i="17"/>
  <c r="EH314" i="17"/>
  <c r="EI314" i="17"/>
  <c r="EJ314" i="17"/>
  <c r="EK314" i="17"/>
  <c r="EL314" i="17"/>
  <c r="EM314" i="17"/>
  <c r="EN314" i="17"/>
  <c r="EO314" i="17"/>
  <c r="EP314" i="17"/>
  <c r="EQ314" i="17"/>
  <c r="ER314" i="17"/>
  <c r="ES314" i="17"/>
  <c r="ET314" i="17"/>
  <c r="EU314" i="17"/>
  <c r="EV314" i="17"/>
  <c r="EW314" i="17"/>
  <c r="EX314" i="17"/>
  <c r="EY314" i="17"/>
  <c r="EZ314" i="17"/>
  <c r="FA314" i="17"/>
  <c r="FB314" i="17"/>
  <c r="FC314" i="17"/>
  <c r="FD314" i="17"/>
  <c r="FE314" i="17"/>
  <c r="FF314" i="17"/>
  <c r="FG314" i="17"/>
  <c r="FH314" i="17"/>
  <c r="FI314" i="17"/>
  <c r="FJ314" i="17"/>
  <c r="FK314" i="17"/>
  <c r="FL314" i="17"/>
  <c r="FM314" i="17"/>
  <c r="FN314" i="17"/>
  <c r="FO314" i="17"/>
  <c r="FP314" i="17"/>
  <c r="FQ314" i="17"/>
  <c r="FR314" i="17"/>
  <c r="FS314" i="17"/>
  <c r="FT314" i="17"/>
  <c r="FU314" i="17"/>
  <c r="FV314" i="17"/>
  <c r="FW314" i="17"/>
  <c r="FX314" i="17"/>
  <c r="FY314" i="17"/>
  <c r="FZ314" i="17"/>
  <c r="GA314" i="17"/>
  <c r="GB314" i="17"/>
  <c r="GC314" i="17"/>
  <c r="GD314" i="17"/>
  <c r="GE314" i="17"/>
  <c r="GF314" i="17"/>
  <c r="GG314" i="17"/>
  <c r="GH314" i="17"/>
  <c r="GI314" i="17"/>
  <c r="GJ314" i="17"/>
  <c r="GK314" i="17"/>
  <c r="GL314" i="17"/>
  <c r="GM314" i="17"/>
  <c r="GN314" i="17"/>
  <c r="GO314" i="17"/>
  <c r="GP314" i="17"/>
  <c r="GQ314" i="17"/>
  <c r="GR314" i="17"/>
  <c r="GS314" i="17"/>
  <c r="GT314" i="17"/>
  <c r="GU314" i="17"/>
  <c r="GV314" i="17"/>
  <c r="GW314" i="17"/>
  <c r="GX314" i="17"/>
  <c r="GY314" i="17"/>
  <c r="GZ314" i="17"/>
  <c r="HA314" i="17"/>
  <c r="HB314" i="17"/>
  <c r="HC314" i="17"/>
  <c r="HD314" i="17"/>
  <c r="HE314" i="17"/>
  <c r="HF314" i="17"/>
  <c r="HG314" i="17"/>
  <c r="HH314" i="17"/>
  <c r="HI314" i="17"/>
  <c r="HJ314" i="17"/>
  <c r="HK314" i="17"/>
  <c r="HL314" i="17"/>
  <c r="HM314" i="17"/>
  <c r="HN314" i="17"/>
  <c r="HO314" i="17"/>
  <c r="HP314" i="17"/>
  <c r="HQ314" i="17"/>
  <c r="HR314" i="17"/>
  <c r="HS314" i="17"/>
  <c r="HT314" i="17"/>
  <c r="HU314" i="17"/>
  <c r="HV314" i="17"/>
  <c r="HW314" i="17"/>
  <c r="HX314" i="17"/>
  <c r="HY314" i="17"/>
  <c r="HZ314" i="17"/>
  <c r="IA314" i="17"/>
  <c r="IB314" i="17"/>
  <c r="IC314" i="17"/>
  <c r="ID314" i="17"/>
  <c r="IE314" i="17"/>
  <c r="IF314" i="17"/>
  <c r="IG314" i="17"/>
  <c r="IH314" i="17"/>
  <c r="II314" i="17"/>
  <c r="IJ314" i="17"/>
  <c r="IK314" i="17"/>
  <c r="IL314" i="17"/>
  <c r="IM314" i="17"/>
  <c r="IN314" i="17"/>
  <c r="IO314" i="17"/>
  <c r="IP314" i="17"/>
  <c r="IQ314" i="17"/>
  <c r="IR314" i="17"/>
  <c r="IS314" i="17"/>
  <c r="IT314" i="17"/>
  <c r="IU314" i="17"/>
  <c r="IV314" i="17"/>
  <c r="A313" i="17"/>
  <c r="B313" i="17"/>
  <c r="C313" i="17"/>
  <c r="D313" i="17"/>
  <c r="E313" i="17"/>
  <c r="F313" i="17"/>
  <c r="G313" i="17"/>
  <c r="H313" i="17"/>
  <c r="I313" i="17"/>
  <c r="J313" i="17"/>
  <c r="K313" i="17"/>
  <c r="L313" i="17"/>
  <c r="M313" i="17"/>
  <c r="N313" i="17"/>
  <c r="O313" i="17"/>
  <c r="P313" i="17"/>
  <c r="Q313" i="17"/>
  <c r="R313" i="17"/>
  <c r="S313" i="17"/>
  <c r="T313" i="17"/>
  <c r="U313" i="17"/>
  <c r="V313" i="17"/>
  <c r="W313" i="17"/>
  <c r="X313" i="17"/>
  <c r="Y313" i="17"/>
  <c r="Z313" i="17"/>
  <c r="AA313" i="17"/>
  <c r="AB313" i="17"/>
  <c r="AC313" i="17"/>
  <c r="AD313" i="17"/>
  <c r="AE313" i="17"/>
  <c r="AF313" i="17"/>
  <c r="AG313" i="17"/>
  <c r="AH313" i="17"/>
  <c r="AI313" i="17"/>
  <c r="AJ313" i="17"/>
  <c r="AK313" i="17"/>
  <c r="AL313" i="17"/>
  <c r="AM313" i="17"/>
  <c r="AN313" i="17"/>
  <c r="AO313" i="17"/>
  <c r="AP313" i="17"/>
  <c r="AQ313" i="17"/>
  <c r="AR313" i="17"/>
  <c r="AS313" i="17"/>
  <c r="AT313" i="17"/>
  <c r="AU313" i="17"/>
  <c r="AV313" i="17"/>
  <c r="AW313" i="17"/>
  <c r="AX313" i="17"/>
  <c r="AY313" i="17"/>
  <c r="AZ313" i="17"/>
  <c r="BA313" i="17"/>
  <c r="BB313" i="17"/>
  <c r="BC313" i="17"/>
  <c r="BD313" i="17"/>
  <c r="BE313" i="17"/>
  <c r="BF313" i="17"/>
  <c r="BG313" i="17"/>
  <c r="BH313" i="17"/>
  <c r="BI313" i="17"/>
  <c r="BJ313" i="17"/>
  <c r="BK313" i="17"/>
  <c r="BL313" i="17"/>
  <c r="BM313" i="17"/>
  <c r="BN313" i="17"/>
  <c r="BO313" i="17"/>
  <c r="BP313" i="17"/>
  <c r="BQ313" i="17"/>
  <c r="BR313" i="17"/>
  <c r="BS313" i="17"/>
  <c r="BT313" i="17"/>
  <c r="BU313" i="17"/>
  <c r="BV313" i="17"/>
  <c r="BW313" i="17"/>
  <c r="BX313" i="17"/>
  <c r="BY313" i="17"/>
  <c r="BZ313" i="17"/>
  <c r="CA313" i="17"/>
  <c r="CB313" i="17"/>
  <c r="CC313" i="17"/>
  <c r="CD313" i="17"/>
  <c r="CE313" i="17"/>
  <c r="CF313" i="17"/>
  <c r="CG313" i="17"/>
  <c r="CH313" i="17"/>
  <c r="CI313" i="17"/>
  <c r="CJ313" i="17"/>
  <c r="CK313" i="17"/>
  <c r="CL313" i="17"/>
  <c r="CM313" i="17"/>
  <c r="CN313" i="17"/>
  <c r="CO313" i="17"/>
  <c r="CP313" i="17"/>
  <c r="CQ313" i="17"/>
  <c r="CR313" i="17"/>
  <c r="CS313" i="17"/>
  <c r="CT313" i="17"/>
  <c r="CU313" i="17"/>
  <c r="CV313" i="17"/>
  <c r="CW313" i="17"/>
  <c r="CX313" i="17"/>
  <c r="CY313" i="17"/>
  <c r="CZ313" i="17"/>
  <c r="DA313" i="17"/>
  <c r="DB313" i="17"/>
  <c r="DC313" i="17"/>
  <c r="DD313" i="17"/>
  <c r="DE313" i="17"/>
  <c r="DF313" i="17"/>
  <c r="DG313" i="17"/>
  <c r="DH313" i="17"/>
  <c r="DI313" i="17"/>
  <c r="DJ313" i="17"/>
  <c r="DK313" i="17"/>
  <c r="DL313" i="17"/>
  <c r="DM313" i="17"/>
  <c r="DN313" i="17"/>
  <c r="DO313" i="17"/>
  <c r="DP313" i="17"/>
  <c r="DQ313" i="17"/>
  <c r="DR313" i="17"/>
  <c r="DS313" i="17"/>
  <c r="DT313" i="17"/>
  <c r="DU313" i="17"/>
  <c r="DV313" i="17"/>
  <c r="DW313" i="17"/>
  <c r="DX313" i="17"/>
  <c r="DY313" i="17"/>
  <c r="DZ313" i="17"/>
  <c r="EA313" i="17"/>
  <c r="EB313" i="17"/>
  <c r="EC313" i="17"/>
  <c r="ED313" i="17"/>
  <c r="EE313" i="17"/>
  <c r="EF313" i="17"/>
  <c r="EG313" i="17"/>
  <c r="EH313" i="17"/>
  <c r="EI313" i="17"/>
  <c r="EJ313" i="17"/>
  <c r="EK313" i="17"/>
  <c r="EL313" i="17"/>
  <c r="EM313" i="17"/>
  <c r="EN313" i="17"/>
  <c r="EO313" i="17"/>
  <c r="EP313" i="17"/>
  <c r="EQ313" i="17"/>
  <c r="ER313" i="17"/>
  <c r="ES313" i="17"/>
  <c r="ET313" i="17"/>
  <c r="EU313" i="17"/>
  <c r="EV313" i="17"/>
  <c r="EW313" i="17"/>
  <c r="EX313" i="17"/>
  <c r="EY313" i="17"/>
  <c r="EZ313" i="17"/>
  <c r="FA313" i="17"/>
  <c r="FB313" i="17"/>
  <c r="FC313" i="17"/>
  <c r="FD313" i="17"/>
  <c r="FE313" i="17"/>
  <c r="FF313" i="17"/>
  <c r="FG313" i="17"/>
  <c r="FH313" i="17"/>
  <c r="FI313" i="17"/>
  <c r="FJ313" i="17"/>
  <c r="FK313" i="17"/>
  <c r="FL313" i="17"/>
  <c r="FM313" i="17"/>
  <c r="FN313" i="17"/>
  <c r="FO313" i="17"/>
  <c r="FP313" i="17"/>
  <c r="FQ313" i="17"/>
  <c r="FR313" i="17"/>
  <c r="FS313" i="17"/>
  <c r="FT313" i="17"/>
  <c r="FU313" i="17"/>
  <c r="FV313" i="17"/>
  <c r="FW313" i="17"/>
  <c r="FX313" i="17"/>
  <c r="FY313" i="17"/>
  <c r="FZ313" i="17"/>
  <c r="GA313" i="17"/>
  <c r="GB313" i="17"/>
  <c r="GC313" i="17"/>
  <c r="GD313" i="17"/>
  <c r="GE313" i="17"/>
  <c r="GF313" i="17"/>
  <c r="GG313" i="17"/>
  <c r="GH313" i="17"/>
  <c r="GI313" i="17"/>
  <c r="GJ313" i="17"/>
  <c r="GK313" i="17"/>
  <c r="GL313" i="17"/>
  <c r="GM313" i="17"/>
  <c r="GN313" i="17"/>
  <c r="GO313" i="17"/>
  <c r="GP313" i="17"/>
  <c r="GQ313" i="17"/>
  <c r="GR313" i="17"/>
  <c r="GS313" i="17"/>
  <c r="GT313" i="17"/>
  <c r="GU313" i="17"/>
  <c r="GV313" i="17"/>
  <c r="GW313" i="17"/>
  <c r="GX313" i="17"/>
  <c r="GY313" i="17"/>
  <c r="GZ313" i="17"/>
  <c r="HA313" i="17"/>
  <c r="HB313" i="17"/>
  <c r="HC313" i="17"/>
  <c r="HD313" i="17"/>
  <c r="HE313" i="17"/>
  <c r="HF313" i="17"/>
  <c r="HG313" i="17"/>
  <c r="HH313" i="17"/>
  <c r="HI313" i="17"/>
  <c r="HJ313" i="17"/>
  <c r="HK313" i="17"/>
  <c r="HL313" i="17"/>
  <c r="HM313" i="17"/>
  <c r="HN313" i="17"/>
  <c r="HO313" i="17"/>
  <c r="HP313" i="17"/>
  <c r="HQ313" i="17"/>
  <c r="HR313" i="17"/>
  <c r="HS313" i="17"/>
  <c r="HT313" i="17"/>
  <c r="HU313" i="17"/>
  <c r="HV313" i="17"/>
  <c r="HW313" i="17"/>
  <c r="HX313" i="17"/>
  <c r="HY313" i="17"/>
  <c r="HZ313" i="17"/>
  <c r="IA313" i="17"/>
  <c r="IB313" i="17"/>
  <c r="IC313" i="17"/>
  <c r="ID313" i="17"/>
  <c r="IE313" i="17"/>
  <c r="IF313" i="17"/>
  <c r="IG313" i="17"/>
  <c r="IH313" i="17"/>
  <c r="II313" i="17"/>
  <c r="IJ313" i="17"/>
  <c r="IK313" i="17"/>
  <c r="IL313" i="17"/>
  <c r="IM313" i="17"/>
  <c r="IN313" i="17"/>
  <c r="IO313" i="17"/>
  <c r="IP313" i="17"/>
  <c r="IQ313" i="17"/>
  <c r="IR313" i="17"/>
  <c r="IS313" i="17"/>
  <c r="IT313" i="17"/>
  <c r="IU313" i="17"/>
  <c r="IV313" i="17"/>
  <c r="A312" i="17"/>
  <c r="B312" i="17"/>
  <c r="C312" i="17"/>
  <c r="D312" i="17"/>
  <c r="E312" i="17"/>
  <c r="F312" i="17"/>
  <c r="G312" i="17"/>
  <c r="H312" i="17"/>
  <c r="I312" i="17"/>
  <c r="J312" i="17"/>
  <c r="K312" i="17"/>
  <c r="L312" i="17"/>
  <c r="M312" i="17"/>
  <c r="N312" i="17"/>
  <c r="O312" i="17"/>
  <c r="P312" i="17"/>
  <c r="Q312" i="17"/>
  <c r="R312" i="17"/>
  <c r="S312" i="17"/>
  <c r="T312" i="17"/>
  <c r="U312" i="17"/>
  <c r="V312" i="17"/>
  <c r="W312" i="17"/>
  <c r="X312" i="17"/>
  <c r="Y312" i="17"/>
  <c r="Z312" i="17"/>
  <c r="AA312" i="17"/>
  <c r="AB312" i="17"/>
  <c r="AC312" i="17"/>
  <c r="AD312" i="17"/>
  <c r="AE312" i="17"/>
  <c r="AF312" i="17"/>
  <c r="AG312" i="17"/>
  <c r="AH312" i="17"/>
  <c r="AI312" i="17"/>
  <c r="AJ312" i="17"/>
  <c r="AK312" i="17"/>
  <c r="AL312" i="17"/>
  <c r="AM312" i="17"/>
  <c r="AN312" i="17"/>
  <c r="AO312" i="17"/>
  <c r="AP312" i="17"/>
  <c r="AQ312" i="17"/>
  <c r="AR312" i="17"/>
  <c r="AS312" i="17"/>
  <c r="AT312" i="17"/>
  <c r="AU312" i="17"/>
  <c r="AV312" i="17"/>
  <c r="AW312" i="17"/>
  <c r="AX312" i="17"/>
  <c r="AY312" i="17"/>
  <c r="AZ312" i="17"/>
  <c r="BA312" i="17"/>
  <c r="BB312" i="17"/>
  <c r="BC312" i="17"/>
  <c r="BD312" i="17"/>
  <c r="BE312" i="17"/>
  <c r="BF312" i="17"/>
  <c r="BG312" i="17"/>
  <c r="BH312" i="17"/>
  <c r="BI312" i="17"/>
  <c r="BJ312" i="17"/>
  <c r="BK312" i="17"/>
  <c r="BL312" i="17"/>
  <c r="BM312" i="17"/>
  <c r="BN312" i="17"/>
  <c r="BO312" i="17"/>
  <c r="BP312" i="17"/>
  <c r="BQ312" i="17"/>
  <c r="BR312" i="17"/>
  <c r="BS312" i="17"/>
  <c r="BT312" i="17"/>
  <c r="BU312" i="17"/>
  <c r="BV312" i="17"/>
  <c r="BW312" i="17"/>
  <c r="BX312" i="17"/>
  <c r="BY312" i="17"/>
  <c r="BZ312" i="17"/>
  <c r="CA312" i="17"/>
  <c r="CB312" i="17"/>
  <c r="CC312" i="17"/>
  <c r="CD312" i="17"/>
  <c r="CE312" i="17"/>
  <c r="CF312" i="17"/>
  <c r="CG312" i="17"/>
  <c r="CH312" i="17"/>
  <c r="CI312" i="17"/>
  <c r="CJ312" i="17"/>
  <c r="CK312" i="17"/>
  <c r="CL312" i="17"/>
  <c r="CM312" i="17"/>
  <c r="CN312" i="17"/>
  <c r="CO312" i="17"/>
  <c r="CP312" i="17"/>
  <c r="CQ312" i="17"/>
  <c r="CR312" i="17"/>
  <c r="CS312" i="17"/>
  <c r="CT312" i="17"/>
  <c r="CU312" i="17"/>
  <c r="CV312" i="17"/>
  <c r="CW312" i="17"/>
  <c r="CX312" i="17"/>
  <c r="CY312" i="17"/>
  <c r="CZ312" i="17"/>
  <c r="DA312" i="17"/>
  <c r="DB312" i="17"/>
  <c r="DC312" i="17"/>
  <c r="DD312" i="17"/>
  <c r="DE312" i="17"/>
  <c r="DF312" i="17"/>
  <c r="DG312" i="17"/>
  <c r="DH312" i="17"/>
  <c r="DI312" i="17"/>
  <c r="DJ312" i="17"/>
  <c r="DK312" i="17"/>
  <c r="DL312" i="17"/>
  <c r="DM312" i="17"/>
  <c r="DN312" i="17"/>
  <c r="DO312" i="17"/>
  <c r="DP312" i="17"/>
  <c r="DQ312" i="17"/>
  <c r="DR312" i="17"/>
  <c r="DS312" i="17"/>
  <c r="DT312" i="17"/>
  <c r="DU312" i="17"/>
  <c r="DV312" i="17"/>
  <c r="DW312" i="17"/>
  <c r="DX312" i="17"/>
  <c r="DY312" i="17"/>
  <c r="DZ312" i="17"/>
  <c r="EA312" i="17"/>
  <c r="EB312" i="17"/>
  <c r="EC312" i="17"/>
  <c r="ED312" i="17"/>
  <c r="EE312" i="17"/>
  <c r="EF312" i="17"/>
  <c r="EG312" i="17"/>
  <c r="EH312" i="17"/>
  <c r="EI312" i="17"/>
  <c r="EJ312" i="17"/>
  <c r="EK312" i="17"/>
  <c r="EL312" i="17"/>
  <c r="EM312" i="17"/>
  <c r="EN312" i="17"/>
  <c r="EO312" i="17"/>
  <c r="EP312" i="17"/>
  <c r="EQ312" i="17"/>
  <c r="ER312" i="17"/>
  <c r="ES312" i="17"/>
  <c r="ET312" i="17"/>
  <c r="EU312" i="17"/>
  <c r="EV312" i="17"/>
  <c r="EW312" i="17"/>
  <c r="EX312" i="17"/>
  <c r="EY312" i="17"/>
  <c r="EZ312" i="17"/>
  <c r="FA312" i="17"/>
  <c r="FB312" i="17"/>
  <c r="FC312" i="17"/>
  <c r="FD312" i="17"/>
  <c r="FE312" i="17"/>
  <c r="FF312" i="17"/>
  <c r="FG312" i="17"/>
  <c r="FH312" i="17"/>
  <c r="FI312" i="17"/>
  <c r="FJ312" i="17"/>
  <c r="FK312" i="17"/>
  <c r="FL312" i="17"/>
  <c r="FM312" i="17"/>
  <c r="FN312" i="17"/>
  <c r="FO312" i="17"/>
  <c r="FP312" i="17"/>
  <c r="FQ312" i="17"/>
  <c r="FR312" i="17"/>
  <c r="FS312" i="17"/>
  <c r="FT312" i="17"/>
  <c r="FU312" i="17"/>
  <c r="FV312" i="17"/>
  <c r="FW312" i="17"/>
  <c r="FX312" i="17"/>
  <c r="FY312" i="17"/>
  <c r="FZ312" i="17"/>
  <c r="GA312" i="17"/>
  <c r="GB312" i="17"/>
  <c r="GC312" i="17"/>
  <c r="GD312" i="17"/>
  <c r="GE312" i="17"/>
  <c r="GF312" i="17"/>
  <c r="GG312" i="17"/>
  <c r="GH312" i="17"/>
  <c r="GI312" i="17"/>
  <c r="GJ312" i="17"/>
  <c r="GK312" i="17"/>
  <c r="GL312" i="17"/>
  <c r="GM312" i="17"/>
  <c r="GN312" i="17"/>
  <c r="GO312" i="17"/>
  <c r="GP312" i="17"/>
  <c r="GQ312" i="17"/>
  <c r="GR312" i="17"/>
  <c r="GS312" i="17"/>
  <c r="GT312" i="17"/>
  <c r="GU312" i="17"/>
  <c r="GV312" i="17"/>
  <c r="GW312" i="17"/>
  <c r="GX312" i="17"/>
  <c r="GY312" i="17"/>
  <c r="GZ312" i="17"/>
  <c r="HA312" i="17"/>
  <c r="HB312" i="17"/>
  <c r="HC312" i="17"/>
  <c r="HD312" i="17"/>
  <c r="HE312" i="17"/>
  <c r="HF312" i="17"/>
  <c r="HG312" i="17"/>
  <c r="HH312" i="17"/>
  <c r="HI312" i="17"/>
  <c r="HJ312" i="17"/>
  <c r="HK312" i="17"/>
  <c r="HL312" i="17"/>
  <c r="HM312" i="17"/>
  <c r="HN312" i="17"/>
  <c r="HO312" i="17"/>
  <c r="HP312" i="17"/>
  <c r="HQ312" i="17"/>
  <c r="HR312" i="17"/>
  <c r="HS312" i="17"/>
  <c r="HT312" i="17"/>
  <c r="HU312" i="17"/>
  <c r="HV312" i="17"/>
  <c r="HW312" i="17"/>
  <c r="HX312" i="17"/>
  <c r="HY312" i="17"/>
  <c r="HZ312" i="17"/>
  <c r="IA312" i="17"/>
  <c r="IB312" i="17"/>
  <c r="IC312" i="17"/>
  <c r="ID312" i="17"/>
  <c r="IE312" i="17"/>
  <c r="IF312" i="17"/>
  <c r="IG312" i="17"/>
  <c r="IH312" i="17"/>
  <c r="II312" i="17"/>
  <c r="IJ312" i="17"/>
  <c r="IK312" i="17"/>
  <c r="IL312" i="17"/>
  <c r="IM312" i="17"/>
  <c r="IN312" i="17"/>
  <c r="IO312" i="17"/>
  <c r="IP312" i="17"/>
  <c r="IQ312" i="17"/>
  <c r="IR312" i="17"/>
  <c r="IS312" i="17"/>
  <c r="IT312" i="17"/>
  <c r="IU312" i="17"/>
  <c r="IV312" i="17"/>
  <c r="A311" i="17"/>
  <c r="B311" i="17"/>
  <c r="C311" i="17"/>
  <c r="D311" i="17"/>
  <c r="E311" i="17"/>
  <c r="F311" i="17"/>
  <c r="G311" i="17"/>
  <c r="H311" i="17"/>
  <c r="I311" i="17"/>
  <c r="J311" i="17"/>
  <c r="K311" i="17"/>
  <c r="L311" i="17"/>
  <c r="M311" i="17"/>
  <c r="N311" i="17"/>
  <c r="O311" i="17"/>
  <c r="P311" i="17"/>
  <c r="Q311" i="17"/>
  <c r="R311" i="17"/>
  <c r="S311" i="17"/>
  <c r="T311" i="17"/>
  <c r="U311" i="17"/>
  <c r="V311" i="17"/>
  <c r="W311" i="17"/>
  <c r="X311" i="17"/>
  <c r="Y311" i="17"/>
  <c r="Z311" i="17"/>
  <c r="AA311" i="17"/>
  <c r="AB311" i="17"/>
  <c r="AC311" i="17"/>
  <c r="AD311" i="17"/>
  <c r="AE311" i="17"/>
  <c r="AF311" i="17"/>
  <c r="AG311" i="17"/>
  <c r="AH311" i="17"/>
  <c r="AI311" i="17"/>
  <c r="AJ311" i="17"/>
  <c r="AK311" i="17"/>
  <c r="AL311" i="17"/>
  <c r="AM311" i="17"/>
  <c r="AN311" i="17"/>
  <c r="AO311" i="17"/>
  <c r="AP311" i="17"/>
  <c r="AQ311" i="17"/>
  <c r="AR311" i="17"/>
  <c r="AS311" i="17"/>
  <c r="AT311" i="17"/>
  <c r="AU311" i="17"/>
  <c r="AV311" i="17"/>
  <c r="AW311" i="17"/>
  <c r="AX311" i="17"/>
  <c r="AY311" i="17"/>
  <c r="AZ311" i="17"/>
  <c r="BA311" i="17"/>
  <c r="BB311" i="17"/>
  <c r="BC311" i="17"/>
  <c r="BD311" i="17"/>
  <c r="BE311" i="17"/>
  <c r="BF311" i="17"/>
  <c r="BG311" i="17"/>
  <c r="BH311" i="17"/>
  <c r="BI311" i="17"/>
  <c r="BJ311" i="17"/>
  <c r="BK311" i="17"/>
  <c r="BL311" i="17"/>
  <c r="BM311" i="17"/>
  <c r="BN311" i="17"/>
  <c r="BO311" i="17"/>
  <c r="BP311" i="17"/>
  <c r="BQ311" i="17"/>
  <c r="BR311" i="17"/>
  <c r="BS311" i="17"/>
  <c r="BT311" i="17"/>
  <c r="BU311" i="17"/>
  <c r="BV311" i="17"/>
  <c r="BW311" i="17"/>
  <c r="BX311" i="17"/>
  <c r="BY311" i="17"/>
  <c r="BZ311" i="17"/>
  <c r="CA311" i="17"/>
  <c r="CB311" i="17"/>
  <c r="CC311" i="17"/>
  <c r="CD311" i="17"/>
  <c r="CE311" i="17"/>
  <c r="CF311" i="17"/>
  <c r="CG311" i="17"/>
  <c r="CH311" i="17"/>
  <c r="CI311" i="17"/>
  <c r="CJ311" i="17"/>
  <c r="CK311" i="17"/>
  <c r="CL311" i="17"/>
  <c r="CM311" i="17"/>
  <c r="CN311" i="17"/>
  <c r="CO311" i="17"/>
  <c r="CP311" i="17"/>
  <c r="CQ311" i="17"/>
  <c r="CR311" i="17"/>
  <c r="CS311" i="17"/>
  <c r="CT311" i="17"/>
  <c r="CU311" i="17"/>
  <c r="CV311" i="17"/>
  <c r="CW311" i="17"/>
  <c r="CX311" i="17"/>
  <c r="CY311" i="17"/>
  <c r="CZ311" i="17"/>
  <c r="DA311" i="17"/>
  <c r="DB311" i="17"/>
  <c r="DC311" i="17"/>
  <c r="DD311" i="17"/>
  <c r="DE311" i="17"/>
  <c r="DF311" i="17"/>
  <c r="DG311" i="17"/>
  <c r="DH311" i="17"/>
  <c r="DI311" i="17"/>
  <c r="DJ311" i="17"/>
  <c r="DK311" i="17"/>
  <c r="DL311" i="17"/>
  <c r="DM311" i="17"/>
  <c r="DN311" i="17"/>
  <c r="DO311" i="17"/>
  <c r="DP311" i="17"/>
  <c r="DQ311" i="17"/>
  <c r="DR311" i="17"/>
  <c r="DS311" i="17"/>
  <c r="DT311" i="17"/>
  <c r="DU311" i="17"/>
  <c r="DV311" i="17"/>
  <c r="DW311" i="17"/>
  <c r="DX311" i="17"/>
  <c r="DY311" i="17"/>
  <c r="DZ311" i="17"/>
  <c r="EA311" i="17"/>
  <c r="EB311" i="17"/>
  <c r="EC311" i="17"/>
  <c r="ED311" i="17"/>
  <c r="EE311" i="17"/>
  <c r="EF311" i="17"/>
  <c r="EG311" i="17"/>
  <c r="EH311" i="17"/>
  <c r="EI311" i="17"/>
  <c r="EJ311" i="17"/>
  <c r="EK311" i="17"/>
  <c r="EL311" i="17"/>
  <c r="EM311" i="17"/>
  <c r="EN311" i="17"/>
  <c r="EO311" i="17"/>
  <c r="EP311" i="17"/>
  <c r="EQ311" i="17"/>
  <c r="ER311" i="17"/>
  <c r="ES311" i="17"/>
  <c r="ET311" i="17"/>
  <c r="EU311" i="17"/>
  <c r="EV311" i="17"/>
  <c r="EW311" i="17"/>
  <c r="EX311" i="17"/>
  <c r="EY311" i="17"/>
  <c r="EZ311" i="17"/>
  <c r="FA311" i="17"/>
  <c r="FB311" i="17"/>
  <c r="FC311" i="17"/>
  <c r="FD311" i="17"/>
  <c r="FE311" i="17"/>
  <c r="FF311" i="17"/>
  <c r="FG311" i="17"/>
  <c r="FH311" i="17"/>
  <c r="FI311" i="17"/>
  <c r="FJ311" i="17"/>
  <c r="FK311" i="17"/>
  <c r="FL311" i="17"/>
  <c r="FM311" i="17"/>
  <c r="FN311" i="17"/>
  <c r="FO311" i="17"/>
  <c r="FP311" i="17"/>
  <c r="FQ311" i="17"/>
  <c r="FR311" i="17"/>
  <c r="FS311" i="17"/>
  <c r="FT311" i="17"/>
  <c r="FU311" i="17"/>
  <c r="FV311" i="17"/>
  <c r="FW311" i="17"/>
  <c r="FX311" i="17"/>
  <c r="FY311" i="17"/>
  <c r="FZ311" i="17"/>
  <c r="GA311" i="17"/>
  <c r="GB311" i="17"/>
  <c r="GC311" i="17"/>
  <c r="GD311" i="17"/>
  <c r="GE311" i="17"/>
  <c r="GF311" i="17"/>
  <c r="GG311" i="17"/>
  <c r="GH311" i="17"/>
  <c r="GI311" i="17"/>
  <c r="GJ311" i="17"/>
  <c r="GK311" i="17"/>
  <c r="GL311" i="17"/>
  <c r="GM311" i="17"/>
  <c r="GN311" i="17"/>
  <c r="GO311" i="17"/>
  <c r="GP311" i="17"/>
  <c r="GQ311" i="17"/>
  <c r="GR311" i="17"/>
  <c r="GS311" i="17"/>
  <c r="GT311" i="17"/>
  <c r="GU311" i="17"/>
  <c r="GV311" i="17"/>
  <c r="GW311" i="17"/>
  <c r="GX311" i="17"/>
  <c r="GY311" i="17"/>
  <c r="GZ311" i="17"/>
  <c r="HA311" i="17"/>
  <c r="HB311" i="17"/>
  <c r="HC311" i="17"/>
  <c r="HD311" i="17"/>
  <c r="HE311" i="17"/>
  <c r="HF311" i="17"/>
  <c r="HG311" i="17"/>
  <c r="HH311" i="17"/>
  <c r="HI311" i="17"/>
  <c r="HJ311" i="17"/>
  <c r="HK311" i="17"/>
  <c r="HL311" i="17"/>
  <c r="HM311" i="17"/>
  <c r="HN311" i="17"/>
  <c r="HO311" i="17"/>
  <c r="HP311" i="17"/>
  <c r="HQ311" i="17"/>
  <c r="HR311" i="17"/>
  <c r="HS311" i="17"/>
  <c r="HT311" i="17"/>
  <c r="HU311" i="17"/>
  <c r="HV311" i="17"/>
  <c r="HW311" i="17"/>
  <c r="HX311" i="17"/>
  <c r="HY311" i="17"/>
  <c r="HZ311" i="17"/>
  <c r="IA311" i="17"/>
  <c r="IB311" i="17"/>
  <c r="IC311" i="17"/>
  <c r="ID311" i="17"/>
  <c r="IE311" i="17"/>
  <c r="IF311" i="17"/>
  <c r="IG311" i="17"/>
  <c r="IH311" i="17"/>
  <c r="II311" i="17"/>
  <c r="IJ311" i="17"/>
  <c r="IK311" i="17"/>
  <c r="IL311" i="17"/>
  <c r="IM311" i="17"/>
  <c r="IN311" i="17"/>
  <c r="IO311" i="17"/>
  <c r="IP311" i="17"/>
  <c r="IQ311" i="17"/>
  <c r="IR311" i="17"/>
  <c r="IS311" i="17"/>
  <c r="IT311" i="17"/>
  <c r="IU311" i="17"/>
  <c r="IV311" i="17"/>
  <c r="A310" i="17"/>
  <c r="B310" i="17"/>
  <c r="C310" i="17"/>
  <c r="D310" i="17"/>
  <c r="E310" i="17"/>
  <c r="F310" i="17"/>
  <c r="G310" i="17"/>
  <c r="H310" i="17"/>
  <c r="I310" i="17"/>
  <c r="J310" i="17"/>
  <c r="K310" i="17"/>
  <c r="L310" i="17"/>
  <c r="M310" i="17"/>
  <c r="N310" i="17"/>
  <c r="O310" i="17"/>
  <c r="P310" i="17"/>
  <c r="Q310" i="17"/>
  <c r="R310" i="17"/>
  <c r="S310" i="17"/>
  <c r="T310" i="17"/>
  <c r="U310" i="17"/>
  <c r="V310" i="17"/>
  <c r="W310" i="17"/>
  <c r="X310" i="17"/>
  <c r="Y310" i="17"/>
  <c r="Z310" i="17"/>
  <c r="AA310" i="17"/>
  <c r="AB310" i="17"/>
  <c r="AC310" i="17"/>
  <c r="AD310" i="17"/>
  <c r="AE310" i="17"/>
  <c r="AF310" i="17"/>
  <c r="AG310" i="17"/>
  <c r="AH310" i="17"/>
  <c r="AI310" i="17"/>
  <c r="AJ310" i="17"/>
  <c r="AK310" i="17"/>
  <c r="AL310" i="17"/>
  <c r="AM310" i="17"/>
  <c r="AN310" i="17"/>
  <c r="AO310" i="17"/>
  <c r="AP310" i="17"/>
  <c r="AQ310" i="17"/>
  <c r="AR310" i="17"/>
  <c r="AS310" i="17"/>
  <c r="AT310" i="17"/>
  <c r="AU310" i="17"/>
  <c r="AV310" i="17"/>
  <c r="AW310" i="17"/>
  <c r="AX310" i="17"/>
  <c r="AY310" i="17"/>
  <c r="AZ310" i="17"/>
  <c r="BA310" i="17"/>
  <c r="BB310" i="17"/>
  <c r="BC310" i="17"/>
  <c r="BD310" i="17"/>
  <c r="BE310" i="17"/>
  <c r="BF310" i="17"/>
  <c r="BG310" i="17"/>
  <c r="BH310" i="17"/>
  <c r="BI310" i="17"/>
  <c r="BJ310" i="17"/>
  <c r="BK310" i="17"/>
  <c r="BL310" i="17"/>
  <c r="BM310" i="17"/>
  <c r="BN310" i="17"/>
  <c r="BO310" i="17"/>
  <c r="BP310" i="17"/>
  <c r="BQ310" i="17"/>
  <c r="BR310" i="17"/>
  <c r="BS310" i="17"/>
  <c r="BT310" i="17"/>
  <c r="BU310" i="17"/>
  <c r="BV310" i="17"/>
  <c r="BW310" i="17"/>
  <c r="BX310" i="17"/>
  <c r="BY310" i="17"/>
  <c r="BZ310" i="17"/>
  <c r="CA310" i="17"/>
  <c r="CB310" i="17"/>
  <c r="CC310" i="17"/>
  <c r="CD310" i="17"/>
  <c r="CE310" i="17"/>
  <c r="CF310" i="17"/>
  <c r="CG310" i="17"/>
  <c r="CH310" i="17"/>
  <c r="CI310" i="17"/>
  <c r="CJ310" i="17"/>
  <c r="CK310" i="17"/>
  <c r="CL310" i="17"/>
  <c r="CM310" i="17"/>
  <c r="CN310" i="17"/>
  <c r="CO310" i="17"/>
  <c r="CP310" i="17"/>
  <c r="CQ310" i="17"/>
  <c r="CR310" i="17"/>
  <c r="CS310" i="17"/>
  <c r="CT310" i="17"/>
  <c r="CU310" i="17"/>
  <c r="CV310" i="17"/>
  <c r="CW310" i="17"/>
  <c r="CX310" i="17"/>
  <c r="CY310" i="17"/>
  <c r="CZ310" i="17"/>
  <c r="DA310" i="17"/>
  <c r="DB310" i="17"/>
  <c r="DC310" i="17"/>
  <c r="DD310" i="17"/>
  <c r="DE310" i="17"/>
  <c r="DF310" i="17"/>
  <c r="DG310" i="17"/>
  <c r="DH310" i="17"/>
  <c r="DI310" i="17"/>
  <c r="DJ310" i="17"/>
  <c r="DK310" i="17"/>
  <c r="DL310" i="17"/>
  <c r="DM310" i="17"/>
  <c r="DN310" i="17"/>
  <c r="DO310" i="17"/>
  <c r="DP310" i="17"/>
  <c r="DQ310" i="17"/>
  <c r="DR310" i="17"/>
  <c r="DS310" i="17"/>
  <c r="DT310" i="17"/>
  <c r="DU310" i="17"/>
  <c r="DV310" i="17"/>
  <c r="DW310" i="17"/>
  <c r="DX310" i="17"/>
  <c r="DY310" i="17"/>
  <c r="DZ310" i="17"/>
  <c r="EA310" i="17"/>
  <c r="EB310" i="17"/>
  <c r="EC310" i="17"/>
  <c r="ED310" i="17"/>
  <c r="EE310" i="17"/>
  <c r="EF310" i="17"/>
  <c r="EG310" i="17"/>
  <c r="EH310" i="17"/>
  <c r="EI310" i="17"/>
  <c r="EJ310" i="17"/>
  <c r="EK310" i="17"/>
  <c r="EL310" i="17"/>
  <c r="EM310" i="17"/>
  <c r="EN310" i="17"/>
  <c r="EO310" i="17"/>
  <c r="EP310" i="17"/>
  <c r="EQ310" i="17"/>
  <c r="ER310" i="17"/>
  <c r="ES310" i="17"/>
  <c r="ET310" i="17"/>
  <c r="EU310" i="17"/>
  <c r="EV310" i="17"/>
  <c r="EW310" i="17"/>
  <c r="EX310" i="17"/>
  <c r="EY310" i="17"/>
  <c r="EZ310" i="17"/>
  <c r="FA310" i="17"/>
  <c r="FB310" i="17"/>
  <c r="FC310" i="17"/>
  <c r="FD310" i="17"/>
  <c r="FE310" i="17"/>
  <c r="FF310" i="17"/>
  <c r="FG310" i="17"/>
  <c r="FH310" i="17"/>
  <c r="FI310" i="17"/>
  <c r="FJ310" i="17"/>
  <c r="FK310" i="17"/>
  <c r="FL310" i="17"/>
  <c r="FM310" i="17"/>
  <c r="FN310" i="17"/>
  <c r="FO310" i="17"/>
  <c r="FP310" i="17"/>
  <c r="FQ310" i="17"/>
  <c r="FR310" i="17"/>
  <c r="FS310" i="17"/>
  <c r="FT310" i="17"/>
  <c r="FU310" i="17"/>
  <c r="FV310" i="17"/>
  <c r="FW310" i="17"/>
  <c r="FX310" i="17"/>
  <c r="FY310" i="17"/>
  <c r="FZ310" i="17"/>
  <c r="GA310" i="17"/>
  <c r="GB310" i="17"/>
  <c r="GC310" i="17"/>
  <c r="GD310" i="17"/>
  <c r="GE310" i="17"/>
  <c r="GF310" i="17"/>
  <c r="GG310" i="17"/>
  <c r="GH310" i="17"/>
  <c r="GI310" i="17"/>
  <c r="GJ310" i="17"/>
  <c r="GK310" i="17"/>
  <c r="GL310" i="17"/>
  <c r="GM310" i="17"/>
  <c r="GN310" i="17"/>
  <c r="GO310" i="17"/>
  <c r="GP310" i="17"/>
  <c r="GQ310" i="17"/>
  <c r="GR310" i="17"/>
  <c r="GS310" i="17"/>
  <c r="GT310" i="17"/>
  <c r="GU310" i="17"/>
  <c r="GV310" i="17"/>
  <c r="GW310" i="17"/>
  <c r="GX310" i="17"/>
  <c r="GY310" i="17"/>
  <c r="GZ310" i="17"/>
  <c r="HA310" i="17"/>
  <c r="HB310" i="17"/>
  <c r="HC310" i="17"/>
  <c r="HD310" i="17"/>
  <c r="HE310" i="17"/>
  <c r="HF310" i="17"/>
  <c r="HG310" i="17"/>
  <c r="HH310" i="17"/>
  <c r="HI310" i="17"/>
  <c r="HJ310" i="17"/>
  <c r="HK310" i="17"/>
  <c r="HL310" i="17"/>
  <c r="HM310" i="17"/>
  <c r="HN310" i="17"/>
  <c r="HO310" i="17"/>
  <c r="HP310" i="17"/>
  <c r="HQ310" i="17"/>
  <c r="HR310" i="17"/>
  <c r="HS310" i="17"/>
  <c r="HT310" i="17"/>
  <c r="HU310" i="17"/>
  <c r="HV310" i="17"/>
  <c r="HW310" i="17"/>
  <c r="HX310" i="17"/>
  <c r="HY310" i="17"/>
  <c r="HZ310" i="17"/>
  <c r="IA310" i="17"/>
  <c r="IB310" i="17"/>
  <c r="IC310" i="17"/>
  <c r="ID310" i="17"/>
  <c r="IE310" i="17"/>
  <c r="IF310" i="17"/>
  <c r="IG310" i="17"/>
  <c r="IH310" i="17"/>
  <c r="II310" i="17"/>
  <c r="IJ310" i="17"/>
  <c r="IK310" i="17"/>
  <c r="IL310" i="17"/>
  <c r="IM310" i="17"/>
  <c r="IN310" i="17"/>
  <c r="IO310" i="17"/>
  <c r="IP310" i="17"/>
  <c r="IQ310" i="17"/>
  <c r="IR310" i="17"/>
  <c r="IS310" i="17"/>
  <c r="IT310" i="17"/>
  <c r="IU310" i="17"/>
  <c r="IV310" i="17"/>
  <c r="A309" i="17"/>
  <c r="B309" i="17"/>
  <c r="C309" i="17"/>
  <c r="D309" i="17"/>
  <c r="E309" i="17"/>
  <c r="F309" i="17"/>
  <c r="G309" i="17"/>
  <c r="H309" i="17"/>
  <c r="I309" i="17"/>
  <c r="J309" i="17"/>
  <c r="K309" i="17"/>
  <c r="L309" i="17"/>
  <c r="M309" i="17"/>
  <c r="N309" i="17"/>
  <c r="O309" i="17"/>
  <c r="P309" i="17"/>
  <c r="Q309" i="17"/>
  <c r="R309" i="17"/>
  <c r="S309" i="17"/>
  <c r="T309" i="17"/>
  <c r="U309" i="17"/>
  <c r="V309" i="17"/>
  <c r="W309" i="17"/>
  <c r="X309" i="17"/>
  <c r="Y309" i="17"/>
  <c r="Z309" i="17"/>
  <c r="AA309" i="17"/>
  <c r="AB309" i="17"/>
  <c r="AC309" i="17"/>
  <c r="AD309" i="17"/>
  <c r="AE309" i="17"/>
  <c r="AF309" i="17"/>
  <c r="AG309" i="17"/>
  <c r="AH309" i="17"/>
  <c r="AI309" i="17"/>
  <c r="AJ309" i="17"/>
  <c r="AK309" i="17"/>
  <c r="AL309" i="17"/>
  <c r="AM309" i="17"/>
  <c r="AN309" i="17"/>
  <c r="AO309" i="17"/>
  <c r="AP309" i="17"/>
  <c r="AQ309" i="17"/>
  <c r="AR309" i="17"/>
  <c r="AS309" i="17"/>
  <c r="AT309" i="17"/>
  <c r="AU309" i="17"/>
  <c r="AV309" i="17"/>
  <c r="AW309" i="17"/>
  <c r="AX309" i="17"/>
  <c r="AY309" i="17"/>
  <c r="AZ309" i="17"/>
  <c r="BA309" i="17"/>
  <c r="BB309" i="17"/>
  <c r="BC309" i="17"/>
  <c r="BD309" i="17"/>
  <c r="BE309" i="17"/>
  <c r="BF309" i="17"/>
  <c r="BG309" i="17"/>
  <c r="BH309" i="17"/>
  <c r="BI309" i="17"/>
  <c r="BJ309" i="17"/>
  <c r="BK309" i="17"/>
  <c r="BL309" i="17"/>
  <c r="BM309" i="17"/>
  <c r="BN309" i="17"/>
  <c r="BO309" i="17"/>
  <c r="BP309" i="17"/>
  <c r="BQ309" i="17"/>
  <c r="BR309" i="17"/>
  <c r="BS309" i="17"/>
  <c r="BT309" i="17"/>
  <c r="BU309" i="17"/>
  <c r="BV309" i="17"/>
  <c r="BW309" i="17"/>
  <c r="BX309" i="17"/>
  <c r="BY309" i="17"/>
  <c r="BZ309" i="17"/>
  <c r="CA309" i="17"/>
  <c r="CB309" i="17"/>
  <c r="CC309" i="17"/>
  <c r="CD309" i="17"/>
  <c r="CE309" i="17"/>
  <c r="CF309" i="17"/>
  <c r="CG309" i="17"/>
  <c r="CH309" i="17"/>
  <c r="CI309" i="17"/>
  <c r="CJ309" i="17"/>
  <c r="CK309" i="17"/>
  <c r="CL309" i="17"/>
  <c r="CM309" i="17"/>
  <c r="CN309" i="17"/>
  <c r="CO309" i="17"/>
  <c r="CP309" i="17"/>
  <c r="CQ309" i="17"/>
  <c r="CR309" i="17"/>
  <c r="CS309" i="17"/>
  <c r="CT309" i="17"/>
  <c r="CU309" i="17"/>
  <c r="CV309" i="17"/>
  <c r="CW309" i="17"/>
  <c r="CX309" i="17"/>
  <c r="CY309" i="17"/>
  <c r="CZ309" i="17"/>
  <c r="DA309" i="17"/>
  <c r="DB309" i="17"/>
  <c r="DC309" i="17"/>
  <c r="DD309" i="17"/>
  <c r="DE309" i="17"/>
  <c r="DF309" i="17"/>
  <c r="DG309" i="17"/>
  <c r="DH309" i="17"/>
  <c r="DI309" i="17"/>
  <c r="DJ309" i="17"/>
  <c r="DK309" i="17"/>
  <c r="DL309" i="17"/>
  <c r="DM309" i="17"/>
  <c r="DN309" i="17"/>
  <c r="DO309" i="17"/>
  <c r="DP309" i="17"/>
  <c r="DQ309" i="17"/>
  <c r="DR309" i="17"/>
  <c r="DS309" i="17"/>
  <c r="DT309" i="17"/>
  <c r="DU309" i="17"/>
  <c r="DV309" i="17"/>
  <c r="DW309" i="17"/>
  <c r="DX309" i="17"/>
  <c r="DY309" i="17"/>
  <c r="DZ309" i="17"/>
  <c r="EA309" i="17"/>
  <c r="EB309" i="17"/>
  <c r="EC309" i="17"/>
  <c r="ED309" i="17"/>
  <c r="EE309" i="17"/>
  <c r="EF309" i="17"/>
  <c r="EG309" i="17"/>
  <c r="EH309" i="17"/>
  <c r="EI309" i="17"/>
  <c r="EJ309" i="17"/>
  <c r="EK309" i="17"/>
  <c r="EL309" i="17"/>
  <c r="EM309" i="17"/>
  <c r="EN309" i="17"/>
  <c r="EO309" i="17"/>
  <c r="EP309" i="17"/>
  <c r="EQ309" i="17"/>
  <c r="ER309" i="17"/>
  <c r="ES309" i="17"/>
  <c r="ET309" i="17"/>
  <c r="EU309" i="17"/>
  <c r="EV309" i="17"/>
  <c r="EW309" i="17"/>
  <c r="EX309" i="17"/>
  <c r="EY309" i="17"/>
  <c r="EZ309" i="17"/>
  <c r="FA309" i="17"/>
  <c r="FB309" i="17"/>
  <c r="FC309" i="17"/>
  <c r="FD309" i="17"/>
  <c r="FE309" i="17"/>
  <c r="FF309" i="17"/>
  <c r="FG309" i="17"/>
  <c r="FH309" i="17"/>
  <c r="FI309" i="17"/>
  <c r="FJ309" i="17"/>
  <c r="FK309" i="17"/>
  <c r="FL309" i="17"/>
  <c r="FM309" i="17"/>
  <c r="FN309" i="17"/>
  <c r="FO309" i="17"/>
  <c r="FP309" i="17"/>
  <c r="FQ309" i="17"/>
  <c r="FR309" i="17"/>
  <c r="FS309" i="17"/>
  <c r="FT309" i="17"/>
  <c r="FU309" i="17"/>
  <c r="FV309" i="17"/>
  <c r="FW309" i="17"/>
  <c r="FX309" i="17"/>
  <c r="FY309" i="17"/>
  <c r="FZ309" i="17"/>
  <c r="GA309" i="17"/>
  <c r="GB309" i="17"/>
  <c r="GC309" i="17"/>
  <c r="GD309" i="17"/>
  <c r="GE309" i="17"/>
  <c r="GF309" i="17"/>
  <c r="GG309" i="17"/>
  <c r="GH309" i="17"/>
  <c r="GI309" i="17"/>
  <c r="GJ309" i="17"/>
  <c r="GK309" i="17"/>
  <c r="GL309" i="17"/>
  <c r="GM309" i="17"/>
  <c r="GN309" i="17"/>
  <c r="GO309" i="17"/>
  <c r="GP309" i="17"/>
  <c r="GQ309" i="17"/>
  <c r="GR309" i="17"/>
  <c r="GS309" i="17"/>
  <c r="GT309" i="17"/>
  <c r="GU309" i="17"/>
  <c r="GV309" i="17"/>
  <c r="GW309" i="17"/>
  <c r="GX309" i="17"/>
  <c r="GY309" i="17"/>
  <c r="GZ309" i="17"/>
  <c r="HA309" i="17"/>
  <c r="HB309" i="17"/>
  <c r="HC309" i="17"/>
  <c r="HD309" i="17"/>
  <c r="HE309" i="17"/>
  <c r="HF309" i="17"/>
  <c r="HG309" i="17"/>
  <c r="HH309" i="17"/>
  <c r="HI309" i="17"/>
  <c r="HJ309" i="17"/>
  <c r="HK309" i="17"/>
  <c r="HL309" i="17"/>
  <c r="HM309" i="17"/>
  <c r="HN309" i="17"/>
  <c r="HO309" i="17"/>
  <c r="HP309" i="17"/>
  <c r="HQ309" i="17"/>
  <c r="HR309" i="17"/>
  <c r="HS309" i="17"/>
  <c r="HT309" i="17"/>
  <c r="HU309" i="17"/>
  <c r="HV309" i="17"/>
  <c r="HW309" i="17"/>
  <c r="HX309" i="17"/>
  <c r="HY309" i="17"/>
  <c r="HZ309" i="17"/>
  <c r="IA309" i="17"/>
  <c r="IB309" i="17"/>
  <c r="IC309" i="17"/>
  <c r="ID309" i="17"/>
  <c r="IE309" i="17"/>
  <c r="IF309" i="17"/>
  <c r="IG309" i="17"/>
  <c r="IH309" i="17"/>
  <c r="II309" i="17"/>
  <c r="IJ309" i="17"/>
  <c r="IK309" i="17"/>
  <c r="IL309" i="17"/>
  <c r="IM309" i="17"/>
  <c r="IN309" i="17"/>
  <c r="IO309" i="17"/>
  <c r="IP309" i="17"/>
  <c r="IQ309" i="17"/>
  <c r="IR309" i="17"/>
  <c r="IS309" i="17"/>
  <c r="IT309" i="17"/>
  <c r="IU309" i="17"/>
  <c r="IV309" i="17"/>
  <c r="A308" i="17"/>
  <c r="B308" i="17"/>
  <c r="C308" i="17"/>
  <c r="D308" i="17"/>
  <c r="E308" i="17"/>
  <c r="F308" i="17"/>
  <c r="G308" i="17"/>
  <c r="H308" i="17"/>
  <c r="I308" i="17"/>
  <c r="J308" i="17"/>
  <c r="K308" i="17"/>
  <c r="L308" i="17"/>
  <c r="M308" i="17"/>
  <c r="N308" i="17"/>
  <c r="O308" i="17"/>
  <c r="P308" i="17"/>
  <c r="Q308" i="17"/>
  <c r="R308" i="17"/>
  <c r="S308" i="17"/>
  <c r="T308" i="17"/>
  <c r="U308" i="17"/>
  <c r="V308" i="17"/>
  <c r="W308" i="17"/>
  <c r="X308" i="17"/>
  <c r="Y308" i="17"/>
  <c r="Z308" i="17"/>
  <c r="AA308" i="17"/>
  <c r="AB308" i="17"/>
  <c r="AC308" i="17"/>
  <c r="AD308" i="17"/>
  <c r="AE308" i="17"/>
  <c r="AF308" i="17"/>
  <c r="AG308" i="17"/>
  <c r="AH308" i="17"/>
  <c r="AI308" i="17"/>
  <c r="AJ308" i="17"/>
  <c r="AK308" i="17"/>
  <c r="AL308" i="17"/>
  <c r="AM308" i="17"/>
  <c r="AN308" i="17"/>
  <c r="AO308" i="17"/>
  <c r="AP308" i="17"/>
  <c r="AQ308" i="17"/>
  <c r="AR308" i="17"/>
  <c r="AS308" i="17"/>
  <c r="AT308" i="17"/>
  <c r="AU308" i="17"/>
  <c r="AV308" i="17"/>
  <c r="AW308" i="17"/>
  <c r="AX308" i="17"/>
  <c r="AY308" i="17"/>
  <c r="AZ308" i="17"/>
  <c r="BA308" i="17"/>
  <c r="BB308" i="17"/>
  <c r="BC308" i="17"/>
  <c r="BD308" i="17"/>
  <c r="BE308" i="17"/>
  <c r="BF308" i="17"/>
  <c r="BG308" i="17"/>
  <c r="BH308" i="17"/>
  <c r="BI308" i="17"/>
  <c r="BJ308" i="17"/>
  <c r="BK308" i="17"/>
  <c r="BL308" i="17"/>
  <c r="BM308" i="17"/>
  <c r="BN308" i="17"/>
  <c r="BO308" i="17"/>
  <c r="BP308" i="17"/>
  <c r="BQ308" i="17"/>
  <c r="BR308" i="17"/>
  <c r="BS308" i="17"/>
  <c r="BT308" i="17"/>
  <c r="BU308" i="17"/>
  <c r="BV308" i="17"/>
  <c r="BW308" i="17"/>
  <c r="BX308" i="17"/>
  <c r="BY308" i="17"/>
  <c r="BZ308" i="17"/>
  <c r="CA308" i="17"/>
  <c r="CB308" i="17"/>
  <c r="CC308" i="17"/>
  <c r="CD308" i="17"/>
  <c r="CE308" i="17"/>
  <c r="CF308" i="17"/>
  <c r="CG308" i="17"/>
  <c r="CH308" i="17"/>
  <c r="CI308" i="17"/>
  <c r="CJ308" i="17"/>
  <c r="CK308" i="17"/>
  <c r="CL308" i="17"/>
  <c r="CM308" i="17"/>
  <c r="CN308" i="17"/>
  <c r="CO308" i="17"/>
  <c r="CP308" i="17"/>
  <c r="CQ308" i="17"/>
  <c r="CR308" i="17"/>
  <c r="CS308" i="17"/>
  <c r="CT308" i="17"/>
  <c r="CU308" i="17"/>
  <c r="CV308" i="17"/>
  <c r="CW308" i="17"/>
  <c r="CX308" i="17"/>
  <c r="CY308" i="17"/>
  <c r="CZ308" i="17"/>
  <c r="DA308" i="17"/>
  <c r="DB308" i="17"/>
  <c r="DC308" i="17"/>
  <c r="DD308" i="17"/>
  <c r="DE308" i="17"/>
  <c r="DF308" i="17"/>
  <c r="DG308" i="17"/>
  <c r="DH308" i="17"/>
  <c r="DI308" i="17"/>
  <c r="DJ308" i="17"/>
  <c r="DK308" i="17"/>
  <c r="DL308" i="17"/>
  <c r="DM308" i="17"/>
  <c r="DN308" i="17"/>
  <c r="DO308" i="17"/>
  <c r="DP308" i="17"/>
  <c r="DQ308" i="17"/>
  <c r="DR308" i="17"/>
  <c r="DS308" i="17"/>
  <c r="DT308" i="17"/>
  <c r="DU308" i="17"/>
  <c r="DV308" i="17"/>
  <c r="DW308" i="17"/>
  <c r="DX308" i="17"/>
  <c r="DY308" i="17"/>
  <c r="DZ308" i="17"/>
  <c r="EA308" i="17"/>
  <c r="EB308" i="17"/>
  <c r="EC308" i="17"/>
  <c r="ED308" i="17"/>
  <c r="EE308" i="17"/>
  <c r="EF308" i="17"/>
  <c r="EG308" i="17"/>
  <c r="EH308" i="17"/>
  <c r="EI308" i="17"/>
  <c r="EJ308" i="17"/>
  <c r="EK308" i="17"/>
  <c r="EL308" i="17"/>
  <c r="EM308" i="17"/>
  <c r="EN308" i="17"/>
  <c r="EO308" i="17"/>
  <c r="EP308" i="17"/>
  <c r="EQ308" i="17"/>
  <c r="ER308" i="17"/>
  <c r="ES308" i="17"/>
  <c r="ET308" i="17"/>
  <c r="EU308" i="17"/>
  <c r="EV308" i="17"/>
  <c r="EW308" i="17"/>
  <c r="EX308" i="17"/>
  <c r="EY308" i="17"/>
  <c r="EZ308" i="17"/>
  <c r="FA308" i="17"/>
  <c r="FB308" i="17"/>
  <c r="FC308" i="17"/>
  <c r="FD308" i="17"/>
  <c r="FE308" i="17"/>
  <c r="FF308" i="17"/>
  <c r="FG308" i="17"/>
  <c r="FH308" i="17"/>
  <c r="FI308" i="17"/>
  <c r="FJ308" i="17"/>
  <c r="FK308" i="17"/>
  <c r="FL308" i="17"/>
  <c r="FM308" i="17"/>
  <c r="FN308" i="17"/>
  <c r="FO308" i="17"/>
  <c r="FP308" i="17"/>
  <c r="FQ308" i="17"/>
  <c r="FR308" i="17"/>
  <c r="FS308" i="17"/>
  <c r="FT308" i="17"/>
  <c r="FU308" i="17"/>
  <c r="FV308" i="17"/>
  <c r="FW308" i="17"/>
  <c r="FX308" i="17"/>
  <c r="FY308" i="17"/>
  <c r="FZ308" i="17"/>
  <c r="GA308" i="17"/>
  <c r="GB308" i="17"/>
  <c r="GC308" i="17"/>
  <c r="GD308" i="17"/>
  <c r="GE308" i="17"/>
  <c r="GF308" i="17"/>
  <c r="GG308" i="17"/>
  <c r="GH308" i="17"/>
  <c r="GI308" i="17"/>
  <c r="GJ308" i="17"/>
  <c r="GK308" i="17"/>
  <c r="GL308" i="17"/>
  <c r="GM308" i="17"/>
  <c r="GN308" i="17"/>
  <c r="GO308" i="17"/>
  <c r="GP308" i="17"/>
  <c r="GQ308" i="17"/>
  <c r="GR308" i="17"/>
  <c r="GS308" i="17"/>
  <c r="GT308" i="17"/>
  <c r="GU308" i="17"/>
  <c r="GV308" i="17"/>
  <c r="GW308" i="17"/>
  <c r="GX308" i="17"/>
  <c r="GY308" i="17"/>
  <c r="GZ308" i="17"/>
  <c r="HA308" i="17"/>
  <c r="HB308" i="17"/>
  <c r="HC308" i="17"/>
  <c r="HD308" i="17"/>
  <c r="HE308" i="17"/>
  <c r="HF308" i="17"/>
  <c r="HG308" i="17"/>
  <c r="HH308" i="17"/>
  <c r="HI308" i="17"/>
  <c r="HJ308" i="17"/>
  <c r="HK308" i="17"/>
  <c r="HL308" i="17"/>
  <c r="HM308" i="17"/>
  <c r="HN308" i="17"/>
  <c r="HO308" i="17"/>
  <c r="HP308" i="17"/>
  <c r="HQ308" i="17"/>
  <c r="HR308" i="17"/>
  <c r="HS308" i="17"/>
  <c r="HT308" i="17"/>
  <c r="HU308" i="17"/>
  <c r="HV308" i="17"/>
  <c r="HW308" i="17"/>
  <c r="HX308" i="17"/>
  <c r="HY308" i="17"/>
  <c r="HZ308" i="17"/>
  <c r="IA308" i="17"/>
  <c r="IB308" i="17"/>
  <c r="IC308" i="17"/>
  <c r="ID308" i="17"/>
  <c r="IE308" i="17"/>
  <c r="IF308" i="17"/>
  <c r="IG308" i="17"/>
  <c r="IH308" i="17"/>
  <c r="II308" i="17"/>
  <c r="IJ308" i="17"/>
  <c r="IK308" i="17"/>
  <c r="IL308" i="17"/>
  <c r="IM308" i="17"/>
  <c r="IN308" i="17"/>
  <c r="IO308" i="17"/>
  <c r="IP308" i="17"/>
  <c r="IQ308" i="17"/>
  <c r="IR308" i="17"/>
  <c r="IS308" i="17"/>
  <c r="IT308" i="17"/>
  <c r="IU308" i="17"/>
  <c r="IV308" i="17"/>
  <c r="A307" i="17"/>
  <c r="B307" i="17"/>
  <c r="C307" i="17"/>
  <c r="D307" i="17"/>
  <c r="E307" i="17"/>
  <c r="F307" i="17"/>
  <c r="G307" i="17"/>
  <c r="H307" i="17"/>
  <c r="I307" i="17"/>
  <c r="J307" i="17"/>
  <c r="K307" i="17"/>
  <c r="L307" i="17"/>
  <c r="M307" i="17"/>
  <c r="N307" i="17"/>
  <c r="O307" i="17"/>
  <c r="P307" i="17"/>
  <c r="Q307" i="17"/>
  <c r="R307" i="17"/>
  <c r="S307" i="17"/>
  <c r="T307" i="17"/>
  <c r="U307" i="17"/>
  <c r="V307" i="17"/>
  <c r="W307" i="17"/>
  <c r="X307" i="17"/>
  <c r="Y307" i="17"/>
  <c r="Z307" i="17"/>
  <c r="AA307" i="17"/>
  <c r="AB307" i="17"/>
  <c r="AC307" i="17"/>
  <c r="AD307" i="17"/>
  <c r="AE307" i="17"/>
  <c r="AF307" i="17"/>
  <c r="AG307" i="17"/>
  <c r="AH307" i="17"/>
  <c r="AI307" i="17"/>
  <c r="AJ307" i="17"/>
  <c r="AK307" i="17"/>
  <c r="AL307" i="17"/>
  <c r="AM307" i="17"/>
  <c r="AN307" i="17"/>
  <c r="AO307" i="17"/>
  <c r="AP307" i="17"/>
  <c r="AQ307" i="17"/>
  <c r="AR307" i="17"/>
  <c r="AS307" i="17"/>
  <c r="AT307" i="17"/>
  <c r="AU307" i="17"/>
  <c r="AV307" i="17"/>
  <c r="AW307" i="17"/>
  <c r="AX307" i="17"/>
  <c r="AY307" i="17"/>
  <c r="AZ307" i="17"/>
  <c r="BA307" i="17"/>
  <c r="BB307" i="17"/>
  <c r="BC307" i="17"/>
  <c r="BD307" i="17"/>
  <c r="BE307" i="17"/>
  <c r="BF307" i="17"/>
  <c r="BG307" i="17"/>
  <c r="BH307" i="17"/>
  <c r="BI307" i="17"/>
  <c r="BJ307" i="17"/>
  <c r="BK307" i="17"/>
  <c r="BL307" i="17"/>
  <c r="BM307" i="17"/>
  <c r="BN307" i="17"/>
  <c r="BO307" i="17"/>
  <c r="BP307" i="17"/>
  <c r="BQ307" i="17"/>
  <c r="BR307" i="17"/>
  <c r="BS307" i="17"/>
  <c r="BT307" i="17"/>
  <c r="BU307" i="17"/>
  <c r="BV307" i="17"/>
  <c r="BW307" i="17"/>
  <c r="BX307" i="17"/>
  <c r="BY307" i="17"/>
  <c r="BZ307" i="17"/>
  <c r="CA307" i="17"/>
  <c r="CB307" i="17"/>
  <c r="CC307" i="17"/>
  <c r="CD307" i="17"/>
  <c r="CE307" i="17"/>
  <c r="CF307" i="17"/>
  <c r="CG307" i="17"/>
  <c r="CH307" i="17"/>
  <c r="CI307" i="17"/>
  <c r="CJ307" i="17"/>
  <c r="CK307" i="17"/>
  <c r="CL307" i="17"/>
  <c r="CM307" i="17"/>
  <c r="CN307" i="17"/>
  <c r="CO307" i="17"/>
  <c r="CP307" i="17"/>
  <c r="CQ307" i="17"/>
  <c r="CR307" i="17"/>
  <c r="CS307" i="17"/>
  <c r="CT307" i="17"/>
  <c r="CU307" i="17"/>
  <c r="CV307" i="17"/>
  <c r="CW307" i="17"/>
  <c r="CX307" i="17"/>
  <c r="CY307" i="17"/>
  <c r="CZ307" i="17"/>
  <c r="DA307" i="17"/>
  <c r="DB307" i="17"/>
  <c r="DC307" i="17"/>
  <c r="DD307" i="17"/>
  <c r="DE307" i="17"/>
  <c r="DF307" i="17"/>
  <c r="DG307" i="17"/>
  <c r="DH307" i="17"/>
  <c r="DI307" i="17"/>
  <c r="DJ307" i="17"/>
  <c r="DK307" i="17"/>
  <c r="DL307" i="17"/>
  <c r="DM307" i="17"/>
  <c r="DN307" i="17"/>
  <c r="DO307" i="17"/>
  <c r="DP307" i="17"/>
  <c r="DQ307" i="17"/>
  <c r="DR307" i="17"/>
  <c r="DS307" i="17"/>
  <c r="DT307" i="17"/>
  <c r="DU307" i="17"/>
  <c r="DV307" i="17"/>
  <c r="DW307" i="17"/>
  <c r="DX307" i="17"/>
  <c r="DY307" i="17"/>
  <c r="DZ307" i="17"/>
  <c r="EA307" i="17"/>
  <c r="EB307" i="17"/>
  <c r="EC307" i="17"/>
  <c r="ED307" i="17"/>
  <c r="EE307" i="17"/>
  <c r="EF307" i="17"/>
  <c r="EG307" i="17"/>
  <c r="EH307" i="17"/>
  <c r="EI307" i="17"/>
  <c r="EJ307" i="17"/>
  <c r="EK307" i="17"/>
  <c r="EL307" i="17"/>
  <c r="EM307" i="17"/>
  <c r="EN307" i="17"/>
  <c r="EO307" i="17"/>
  <c r="EP307" i="17"/>
  <c r="EQ307" i="17"/>
  <c r="ER307" i="17"/>
  <c r="ES307" i="17"/>
  <c r="ET307" i="17"/>
  <c r="EU307" i="17"/>
  <c r="EV307" i="17"/>
  <c r="EW307" i="17"/>
  <c r="EX307" i="17"/>
  <c r="EY307" i="17"/>
  <c r="EZ307" i="17"/>
  <c r="FA307" i="17"/>
  <c r="FB307" i="17"/>
  <c r="FC307" i="17"/>
  <c r="FD307" i="17"/>
  <c r="FE307" i="17"/>
  <c r="FF307" i="17"/>
  <c r="FG307" i="17"/>
  <c r="FH307" i="17"/>
  <c r="FI307" i="17"/>
  <c r="FJ307" i="17"/>
  <c r="FK307" i="17"/>
  <c r="FL307" i="17"/>
  <c r="FM307" i="17"/>
  <c r="FN307" i="17"/>
  <c r="FO307" i="17"/>
  <c r="FP307" i="17"/>
  <c r="FQ307" i="17"/>
  <c r="FR307" i="17"/>
  <c r="FS307" i="17"/>
  <c r="FT307" i="17"/>
  <c r="FU307" i="17"/>
  <c r="FV307" i="17"/>
  <c r="FW307" i="17"/>
  <c r="FX307" i="17"/>
  <c r="FY307" i="17"/>
  <c r="FZ307" i="17"/>
  <c r="GA307" i="17"/>
  <c r="GB307" i="17"/>
  <c r="GC307" i="17"/>
  <c r="GD307" i="17"/>
  <c r="GE307" i="17"/>
  <c r="GF307" i="17"/>
  <c r="GG307" i="17"/>
  <c r="GH307" i="17"/>
  <c r="GI307" i="17"/>
  <c r="GJ307" i="17"/>
  <c r="GK307" i="17"/>
  <c r="GL307" i="17"/>
  <c r="GM307" i="17"/>
  <c r="GN307" i="17"/>
  <c r="GO307" i="17"/>
  <c r="GP307" i="17"/>
  <c r="GQ307" i="17"/>
  <c r="GR307" i="17"/>
  <c r="GS307" i="17"/>
  <c r="GT307" i="17"/>
  <c r="GU307" i="17"/>
  <c r="GV307" i="17"/>
  <c r="GW307" i="17"/>
  <c r="GX307" i="17"/>
  <c r="GY307" i="17"/>
  <c r="GZ307" i="17"/>
  <c r="HA307" i="17"/>
  <c r="HB307" i="17"/>
  <c r="HC307" i="17"/>
  <c r="HD307" i="17"/>
  <c r="HE307" i="17"/>
  <c r="HF307" i="17"/>
  <c r="HG307" i="17"/>
  <c r="HH307" i="17"/>
  <c r="HI307" i="17"/>
  <c r="HJ307" i="17"/>
  <c r="HK307" i="17"/>
  <c r="HL307" i="17"/>
  <c r="HM307" i="17"/>
  <c r="HN307" i="17"/>
  <c r="HO307" i="17"/>
  <c r="HP307" i="17"/>
  <c r="HQ307" i="17"/>
  <c r="HR307" i="17"/>
  <c r="HS307" i="17"/>
  <c r="HT307" i="17"/>
  <c r="HU307" i="17"/>
  <c r="HV307" i="17"/>
  <c r="HW307" i="17"/>
  <c r="HX307" i="17"/>
  <c r="HY307" i="17"/>
  <c r="HZ307" i="17"/>
  <c r="IA307" i="17"/>
  <c r="IB307" i="17"/>
  <c r="IC307" i="17"/>
  <c r="ID307" i="17"/>
  <c r="IE307" i="17"/>
  <c r="IF307" i="17"/>
  <c r="IG307" i="17"/>
  <c r="IH307" i="17"/>
  <c r="II307" i="17"/>
  <c r="IJ307" i="17"/>
  <c r="IK307" i="17"/>
  <c r="IL307" i="17"/>
  <c r="IM307" i="17"/>
  <c r="IN307" i="17"/>
  <c r="IO307" i="17"/>
  <c r="IP307" i="17"/>
  <c r="IQ307" i="17"/>
  <c r="IR307" i="17"/>
  <c r="IS307" i="17"/>
  <c r="IT307" i="17"/>
  <c r="IU307" i="17"/>
  <c r="IV307" i="17"/>
  <c r="A306" i="17"/>
  <c r="B306" i="17"/>
  <c r="C306" i="17"/>
  <c r="D306" i="17"/>
  <c r="E306" i="17"/>
  <c r="F306" i="17"/>
  <c r="G306" i="17"/>
  <c r="H306" i="17"/>
  <c r="I306" i="17"/>
  <c r="J306" i="17"/>
  <c r="K306" i="17"/>
  <c r="L306" i="17"/>
  <c r="M306" i="17"/>
  <c r="N306" i="17"/>
  <c r="O306" i="17"/>
  <c r="P306" i="17"/>
  <c r="Q306" i="17"/>
  <c r="R306" i="17"/>
  <c r="S306" i="17"/>
  <c r="T306" i="17"/>
  <c r="U306" i="17"/>
  <c r="V306" i="17"/>
  <c r="W306" i="17"/>
  <c r="X306" i="17"/>
  <c r="Y306" i="17"/>
  <c r="Z306" i="17"/>
  <c r="AA306" i="17"/>
  <c r="AB306" i="17"/>
  <c r="AC306" i="17"/>
  <c r="AD306" i="17"/>
  <c r="AE306" i="17"/>
  <c r="AF306" i="17"/>
  <c r="AG306" i="17"/>
  <c r="AH306" i="17"/>
  <c r="AI306" i="17"/>
  <c r="AJ306" i="17"/>
  <c r="AK306" i="17"/>
  <c r="AL306" i="17"/>
  <c r="AM306" i="17"/>
  <c r="AN306" i="17"/>
  <c r="AO306" i="17"/>
  <c r="AP306" i="17"/>
  <c r="AQ306" i="17"/>
  <c r="AR306" i="17"/>
  <c r="AS306" i="17"/>
  <c r="AT306" i="17"/>
  <c r="AU306" i="17"/>
  <c r="AV306" i="17"/>
  <c r="AW306" i="17"/>
  <c r="AX306" i="17"/>
  <c r="AY306" i="17"/>
  <c r="AZ306" i="17"/>
  <c r="BA306" i="17"/>
  <c r="BB306" i="17"/>
  <c r="BC306" i="17"/>
  <c r="BD306" i="17"/>
  <c r="BE306" i="17"/>
  <c r="BF306" i="17"/>
  <c r="BG306" i="17"/>
  <c r="BH306" i="17"/>
  <c r="BI306" i="17"/>
  <c r="BJ306" i="17"/>
  <c r="BK306" i="17"/>
  <c r="BL306" i="17"/>
  <c r="BM306" i="17"/>
  <c r="BN306" i="17"/>
  <c r="BO306" i="17"/>
  <c r="BP306" i="17"/>
  <c r="BQ306" i="17"/>
  <c r="BR306" i="17"/>
  <c r="BS306" i="17"/>
  <c r="BT306" i="17"/>
  <c r="BU306" i="17"/>
  <c r="BV306" i="17"/>
  <c r="BW306" i="17"/>
  <c r="BX306" i="17"/>
  <c r="BY306" i="17"/>
  <c r="BZ306" i="17"/>
  <c r="CA306" i="17"/>
  <c r="CB306" i="17"/>
  <c r="CC306" i="17"/>
  <c r="CD306" i="17"/>
  <c r="CE306" i="17"/>
  <c r="CF306" i="17"/>
  <c r="CG306" i="17"/>
  <c r="CH306" i="17"/>
  <c r="CI306" i="17"/>
  <c r="CJ306" i="17"/>
  <c r="CK306" i="17"/>
  <c r="CL306" i="17"/>
  <c r="CM306" i="17"/>
  <c r="CN306" i="17"/>
  <c r="CO306" i="17"/>
  <c r="CP306" i="17"/>
  <c r="CQ306" i="17"/>
  <c r="CR306" i="17"/>
  <c r="CS306" i="17"/>
  <c r="CT306" i="17"/>
  <c r="CU306" i="17"/>
  <c r="CV306" i="17"/>
  <c r="CW306" i="17"/>
  <c r="CX306" i="17"/>
  <c r="CY306" i="17"/>
  <c r="CZ306" i="17"/>
  <c r="DA306" i="17"/>
  <c r="DB306" i="17"/>
  <c r="DC306" i="17"/>
  <c r="DD306" i="17"/>
  <c r="DE306" i="17"/>
  <c r="DF306" i="17"/>
  <c r="DG306" i="17"/>
  <c r="DH306" i="17"/>
  <c r="DI306" i="17"/>
  <c r="DJ306" i="17"/>
  <c r="DK306" i="17"/>
  <c r="DL306" i="17"/>
  <c r="DM306" i="17"/>
  <c r="DN306" i="17"/>
  <c r="DO306" i="17"/>
  <c r="DP306" i="17"/>
  <c r="DQ306" i="17"/>
  <c r="DR306" i="17"/>
  <c r="DS306" i="17"/>
  <c r="DT306" i="17"/>
  <c r="DU306" i="17"/>
  <c r="DV306" i="17"/>
  <c r="DW306" i="17"/>
  <c r="DX306" i="17"/>
  <c r="DY306" i="17"/>
  <c r="DZ306" i="17"/>
  <c r="EA306" i="17"/>
  <c r="EB306" i="17"/>
  <c r="EC306" i="17"/>
  <c r="ED306" i="17"/>
  <c r="EE306" i="17"/>
  <c r="EF306" i="17"/>
  <c r="EG306" i="17"/>
  <c r="EH306" i="17"/>
  <c r="EI306" i="17"/>
  <c r="EJ306" i="17"/>
  <c r="EK306" i="17"/>
  <c r="EL306" i="17"/>
  <c r="EM306" i="17"/>
  <c r="EN306" i="17"/>
  <c r="EO306" i="17"/>
  <c r="EP306" i="17"/>
  <c r="EQ306" i="17"/>
  <c r="ER306" i="17"/>
  <c r="ES306" i="17"/>
  <c r="ET306" i="17"/>
  <c r="EU306" i="17"/>
  <c r="EV306" i="17"/>
  <c r="EW306" i="17"/>
  <c r="EX306" i="17"/>
  <c r="EY306" i="17"/>
  <c r="EZ306" i="17"/>
  <c r="FA306" i="17"/>
  <c r="FB306" i="17"/>
  <c r="FC306" i="17"/>
  <c r="FD306" i="17"/>
  <c r="FE306" i="17"/>
  <c r="FF306" i="17"/>
  <c r="FG306" i="17"/>
  <c r="FH306" i="17"/>
  <c r="FI306" i="17"/>
  <c r="FJ306" i="17"/>
  <c r="FK306" i="17"/>
  <c r="FL306" i="17"/>
  <c r="FM306" i="17"/>
  <c r="FN306" i="17"/>
  <c r="FO306" i="17"/>
  <c r="FP306" i="17"/>
  <c r="FQ306" i="17"/>
  <c r="FR306" i="17"/>
  <c r="FS306" i="17"/>
  <c r="FT306" i="17"/>
  <c r="FU306" i="17"/>
  <c r="FV306" i="17"/>
  <c r="FW306" i="17"/>
  <c r="FX306" i="17"/>
  <c r="FY306" i="17"/>
  <c r="FZ306" i="17"/>
  <c r="GA306" i="17"/>
  <c r="GB306" i="17"/>
  <c r="GC306" i="17"/>
  <c r="GD306" i="17"/>
  <c r="GE306" i="17"/>
  <c r="GF306" i="17"/>
  <c r="GG306" i="17"/>
  <c r="GH306" i="17"/>
  <c r="GI306" i="17"/>
  <c r="GJ306" i="17"/>
  <c r="GK306" i="17"/>
  <c r="GL306" i="17"/>
  <c r="GM306" i="17"/>
  <c r="GN306" i="17"/>
  <c r="GO306" i="17"/>
  <c r="GP306" i="17"/>
  <c r="GQ306" i="17"/>
  <c r="GR306" i="17"/>
  <c r="GS306" i="17"/>
  <c r="GT306" i="17"/>
  <c r="GU306" i="17"/>
  <c r="GV306" i="17"/>
  <c r="GW306" i="17"/>
  <c r="GX306" i="17"/>
  <c r="GY306" i="17"/>
  <c r="GZ306" i="17"/>
  <c r="HA306" i="17"/>
  <c r="HB306" i="17"/>
  <c r="HC306" i="17"/>
  <c r="HD306" i="17"/>
  <c r="HE306" i="17"/>
  <c r="HF306" i="17"/>
  <c r="HG306" i="17"/>
  <c r="HH306" i="17"/>
  <c r="HI306" i="17"/>
  <c r="HJ306" i="17"/>
  <c r="HK306" i="17"/>
  <c r="HL306" i="17"/>
  <c r="HM306" i="17"/>
  <c r="HN306" i="17"/>
  <c r="HO306" i="17"/>
  <c r="HP306" i="17"/>
  <c r="HQ306" i="17"/>
  <c r="HR306" i="17"/>
  <c r="HS306" i="17"/>
  <c r="HT306" i="17"/>
  <c r="HU306" i="17"/>
  <c r="HV306" i="17"/>
  <c r="HW306" i="17"/>
  <c r="HX306" i="17"/>
  <c r="HY306" i="17"/>
  <c r="HZ306" i="17"/>
  <c r="IA306" i="17"/>
  <c r="IB306" i="17"/>
  <c r="IC306" i="17"/>
  <c r="ID306" i="17"/>
  <c r="IE306" i="17"/>
  <c r="IF306" i="17"/>
  <c r="IG306" i="17"/>
  <c r="IH306" i="17"/>
  <c r="II306" i="17"/>
  <c r="IJ306" i="17"/>
  <c r="IK306" i="17"/>
  <c r="IL306" i="17"/>
  <c r="IM306" i="17"/>
  <c r="IN306" i="17"/>
  <c r="IO306" i="17"/>
  <c r="IP306" i="17"/>
  <c r="IQ306" i="17"/>
  <c r="IR306" i="17"/>
  <c r="IS306" i="17"/>
  <c r="IT306" i="17"/>
  <c r="IU306" i="17"/>
  <c r="IV306" i="17"/>
  <c r="A305" i="17"/>
  <c r="B305" i="17"/>
  <c r="C305" i="17"/>
  <c r="D305" i="17"/>
  <c r="E305" i="17"/>
  <c r="F305" i="17"/>
  <c r="G305" i="17"/>
  <c r="H305" i="17"/>
  <c r="I305" i="17"/>
  <c r="J305" i="17"/>
  <c r="K305" i="17"/>
  <c r="L305" i="17"/>
  <c r="M305" i="17"/>
  <c r="N305" i="17"/>
  <c r="O305" i="17"/>
  <c r="P305" i="17"/>
  <c r="Q305" i="17"/>
  <c r="R305" i="17"/>
  <c r="S305" i="17"/>
  <c r="T305" i="17"/>
  <c r="U305" i="17"/>
  <c r="V305" i="17"/>
  <c r="W305" i="17"/>
  <c r="X305" i="17"/>
  <c r="Y305" i="17"/>
  <c r="Z305" i="17"/>
  <c r="AA305" i="17"/>
  <c r="AB305" i="17"/>
  <c r="AC305" i="17"/>
  <c r="AD305" i="17"/>
  <c r="AE305" i="17"/>
  <c r="AF305" i="17"/>
  <c r="AG305" i="17"/>
  <c r="AH305" i="17"/>
  <c r="AI305" i="17"/>
  <c r="AJ305" i="17"/>
  <c r="AK305" i="17"/>
  <c r="AL305" i="17"/>
  <c r="AM305" i="17"/>
  <c r="AN305" i="17"/>
  <c r="AO305" i="17"/>
  <c r="AP305" i="17"/>
  <c r="AQ305" i="17"/>
  <c r="AR305" i="17"/>
  <c r="AS305" i="17"/>
  <c r="AT305" i="17"/>
  <c r="AU305" i="17"/>
  <c r="AV305" i="17"/>
  <c r="AW305" i="17"/>
  <c r="AX305" i="17"/>
  <c r="AY305" i="17"/>
  <c r="AZ305" i="17"/>
  <c r="BA305" i="17"/>
  <c r="BB305" i="17"/>
  <c r="BC305" i="17"/>
  <c r="BD305" i="17"/>
  <c r="BE305" i="17"/>
  <c r="BF305" i="17"/>
  <c r="BG305" i="17"/>
  <c r="BH305" i="17"/>
  <c r="BI305" i="17"/>
  <c r="BJ305" i="17"/>
  <c r="BK305" i="17"/>
  <c r="BL305" i="17"/>
  <c r="BM305" i="17"/>
  <c r="BN305" i="17"/>
  <c r="BO305" i="17"/>
  <c r="BP305" i="17"/>
  <c r="BQ305" i="17"/>
  <c r="BR305" i="17"/>
  <c r="BS305" i="17"/>
  <c r="BT305" i="17"/>
  <c r="BU305" i="17"/>
  <c r="BV305" i="17"/>
  <c r="BW305" i="17"/>
  <c r="BX305" i="17"/>
  <c r="BY305" i="17"/>
  <c r="BZ305" i="17"/>
  <c r="CA305" i="17"/>
  <c r="CB305" i="17"/>
  <c r="CC305" i="17"/>
  <c r="CD305" i="17"/>
  <c r="CE305" i="17"/>
  <c r="CF305" i="17"/>
  <c r="CG305" i="17"/>
  <c r="CH305" i="17"/>
  <c r="CI305" i="17"/>
  <c r="CJ305" i="17"/>
  <c r="CK305" i="17"/>
  <c r="CL305" i="17"/>
  <c r="CM305" i="17"/>
  <c r="CN305" i="17"/>
  <c r="CO305" i="17"/>
  <c r="CP305" i="17"/>
  <c r="CQ305" i="17"/>
  <c r="CR305" i="17"/>
  <c r="CS305" i="17"/>
  <c r="CT305" i="17"/>
  <c r="CU305" i="17"/>
  <c r="CV305" i="17"/>
  <c r="CW305" i="17"/>
  <c r="CX305" i="17"/>
  <c r="CY305" i="17"/>
  <c r="CZ305" i="17"/>
  <c r="DA305" i="17"/>
  <c r="DB305" i="17"/>
  <c r="DC305" i="17"/>
  <c r="DD305" i="17"/>
  <c r="DE305" i="17"/>
  <c r="DF305" i="17"/>
  <c r="DG305" i="17"/>
  <c r="DH305" i="17"/>
  <c r="DI305" i="17"/>
  <c r="DJ305" i="17"/>
  <c r="DK305" i="17"/>
  <c r="DL305" i="17"/>
  <c r="DM305" i="17"/>
  <c r="DN305" i="17"/>
  <c r="DO305" i="17"/>
  <c r="DP305" i="17"/>
  <c r="DQ305" i="17"/>
  <c r="DR305" i="17"/>
  <c r="DS305" i="17"/>
  <c r="DT305" i="17"/>
  <c r="DU305" i="17"/>
  <c r="DV305" i="17"/>
  <c r="DW305" i="17"/>
  <c r="DX305" i="17"/>
  <c r="DY305" i="17"/>
  <c r="DZ305" i="17"/>
  <c r="EA305" i="17"/>
  <c r="EB305" i="17"/>
  <c r="EC305" i="17"/>
  <c r="ED305" i="17"/>
  <c r="EE305" i="17"/>
  <c r="EF305" i="17"/>
  <c r="EG305" i="17"/>
  <c r="EH305" i="17"/>
  <c r="EI305" i="17"/>
  <c r="EJ305" i="17"/>
  <c r="EK305" i="17"/>
  <c r="EL305" i="17"/>
  <c r="EM305" i="17"/>
  <c r="EN305" i="17"/>
  <c r="EO305" i="17"/>
  <c r="EP305" i="17"/>
  <c r="EQ305" i="17"/>
  <c r="ER305" i="17"/>
  <c r="ES305" i="17"/>
  <c r="ET305" i="17"/>
  <c r="EU305" i="17"/>
  <c r="EV305" i="17"/>
  <c r="EW305" i="17"/>
  <c r="EX305" i="17"/>
  <c r="EY305" i="17"/>
  <c r="EZ305" i="17"/>
  <c r="FA305" i="17"/>
  <c r="FB305" i="17"/>
  <c r="FC305" i="17"/>
  <c r="FD305" i="17"/>
  <c r="FE305" i="17"/>
  <c r="FF305" i="17"/>
  <c r="FG305" i="17"/>
  <c r="FH305" i="17"/>
  <c r="FI305" i="17"/>
  <c r="FJ305" i="17"/>
  <c r="FK305" i="17"/>
  <c r="FL305" i="17"/>
  <c r="FM305" i="17"/>
  <c r="FN305" i="17"/>
  <c r="FO305" i="17"/>
  <c r="FP305" i="17"/>
  <c r="FQ305" i="17"/>
  <c r="FR305" i="17"/>
  <c r="FS305" i="17"/>
  <c r="FT305" i="17"/>
  <c r="FU305" i="17"/>
  <c r="FV305" i="17"/>
  <c r="FW305" i="17"/>
  <c r="FX305" i="17"/>
  <c r="FY305" i="17"/>
  <c r="FZ305" i="17"/>
  <c r="GA305" i="17"/>
  <c r="GB305" i="17"/>
  <c r="GC305" i="17"/>
  <c r="GD305" i="17"/>
  <c r="GE305" i="17"/>
  <c r="GF305" i="17"/>
  <c r="GG305" i="17"/>
  <c r="GH305" i="17"/>
  <c r="GI305" i="17"/>
  <c r="GJ305" i="17"/>
  <c r="GK305" i="17"/>
  <c r="GL305" i="17"/>
  <c r="GM305" i="17"/>
  <c r="GN305" i="17"/>
  <c r="GO305" i="17"/>
  <c r="GP305" i="17"/>
  <c r="GQ305" i="17"/>
  <c r="GR305" i="17"/>
  <c r="GS305" i="17"/>
  <c r="GT305" i="17"/>
  <c r="GU305" i="17"/>
  <c r="GV305" i="17"/>
  <c r="GW305" i="17"/>
  <c r="GX305" i="17"/>
  <c r="GY305" i="17"/>
  <c r="GZ305" i="17"/>
  <c r="HA305" i="17"/>
  <c r="HB305" i="17"/>
  <c r="HC305" i="17"/>
  <c r="HD305" i="17"/>
  <c r="HE305" i="17"/>
  <c r="HF305" i="17"/>
  <c r="HG305" i="17"/>
  <c r="HH305" i="17"/>
  <c r="HI305" i="17"/>
  <c r="HJ305" i="17"/>
  <c r="HK305" i="17"/>
  <c r="HL305" i="17"/>
  <c r="HM305" i="17"/>
  <c r="HN305" i="17"/>
  <c r="HO305" i="17"/>
  <c r="HP305" i="17"/>
  <c r="HQ305" i="17"/>
  <c r="HR305" i="17"/>
  <c r="HS305" i="17"/>
  <c r="HT305" i="17"/>
  <c r="HU305" i="17"/>
  <c r="HV305" i="17"/>
  <c r="HW305" i="17"/>
  <c r="HX305" i="17"/>
  <c r="HY305" i="17"/>
  <c r="HZ305" i="17"/>
  <c r="IA305" i="17"/>
  <c r="IB305" i="17"/>
  <c r="IC305" i="17"/>
  <c r="ID305" i="17"/>
  <c r="IE305" i="17"/>
  <c r="IF305" i="17"/>
  <c r="IG305" i="17"/>
  <c r="IH305" i="17"/>
  <c r="II305" i="17"/>
  <c r="IJ305" i="17"/>
  <c r="IK305" i="17"/>
  <c r="IL305" i="17"/>
  <c r="IM305" i="17"/>
  <c r="IN305" i="17"/>
  <c r="IO305" i="17"/>
  <c r="IP305" i="17"/>
  <c r="IQ305" i="17"/>
  <c r="IR305" i="17"/>
  <c r="IS305" i="17"/>
  <c r="IT305" i="17"/>
  <c r="IU305" i="17"/>
  <c r="IV305" i="17"/>
  <c r="A304" i="17"/>
  <c r="B304" i="17"/>
  <c r="C304" i="17"/>
  <c r="D304" i="17"/>
  <c r="E304" i="17"/>
  <c r="F304" i="17"/>
  <c r="G304" i="17"/>
  <c r="H304" i="17"/>
  <c r="I304" i="17"/>
  <c r="J304" i="17"/>
  <c r="K304" i="17"/>
  <c r="L304" i="17"/>
  <c r="M304" i="17"/>
  <c r="N304" i="17"/>
  <c r="O304" i="17"/>
  <c r="P304" i="17"/>
  <c r="Q304" i="17"/>
  <c r="R304" i="17"/>
  <c r="S304" i="17"/>
  <c r="T304" i="17"/>
  <c r="U304" i="17"/>
  <c r="V304" i="17"/>
  <c r="W304" i="17"/>
  <c r="X304" i="17"/>
  <c r="Y304" i="17"/>
  <c r="Z304" i="17"/>
  <c r="AA304" i="17"/>
  <c r="AB304" i="17"/>
  <c r="AC304" i="17"/>
  <c r="AD304" i="17"/>
  <c r="AE304" i="17"/>
  <c r="AF304" i="17"/>
  <c r="AG304" i="17"/>
  <c r="AH304" i="17"/>
  <c r="AI304" i="17"/>
  <c r="AJ304" i="17"/>
  <c r="AK304" i="17"/>
  <c r="AL304" i="17"/>
  <c r="AM304" i="17"/>
  <c r="AN304" i="17"/>
  <c r="AO304" i="17"/>
  <c r="AP304" i="17"/>
  <c r="AQ304" i="17"/>
  <c r="AR304" i="17"/>
  <c r="AS304" i="17"/>
  <c r="AT304" i="17"/>
  <c r="AU304" i="17"/>
  <c r="AV304" i="17"/>
  <c r="AW304" i="17"/>
  <c r="AX304" i="17"/>
  <c r="AY304" i="17"/>
  <c r="AZ304" i="17"/>
  <c r="BA304" i="17"/>
  <c r="BB304" i="17"/>
  <c r="BC304" i="17"/>
  <c r="BD304" i="17"/>
  <c r="BE304" i="17"/>
  <c r="BF304" i="17"/>
  <c r="BG304" i="17"/>
  <c r="BH304" i="17"/>
  <c r="BI304" i="17"/>
  <c r="BJ304" i="17"/>
  <c r="BK304" i="17"/>
  <c r="BL304" i="17"/>
  <c r="BM304" i="17"/>
  <c r="BN304" i="17"/>
  <c r="BO304" i="17"/>
  <c r="BP304" i="17"/>
  <c r="BQ304" i="17"/>
  <c r="BR304" i="17"/>
  <c r="BS304" i="17"/>
  <c r="BT304" i="17"/>
  <c r="BU304" i="17"/>
  <c r="BV304" i="17"/>
  <c r="BW304" i="17"/>
  <c r="BX304" i="17"/>
  <c r="BY304" i="17"/>
  <c r="BZ304" i="17"/>
  <c r="CA304" i="17"/>
  <c r="CB304" i="17"/>
  <c r="CC304" i="17"/>
  <c r="CD304" i="17"/>
  <c r="CE304" i="17"/>
  <c r="CF304" i="17"/>
  <c r="CG304" i="17"/>
  <c r="CH304" i="17"/>
  <c r="CI304" i="17"/>
  <c r="CJ304" i="17"/>
  <c r="CK304" i="17"/>
  <c r="CL304" i="17"/>
  <c r="CM304" i="17"/>
  <c r="CN304" i="17"/>
  <c r="CO304" i="17"/>
  <c r="CP304" i="17"/>
  <c r="CQ304" i="17"/>
  <c r="CR304" i="17"/>
  <c r="CS304" i="17"/>
  <c r="CT304" i="17"/>
  <c r="CU304" i="17"/>
  <c r="CV304" i="17"/>
  <c r="CW304" i="17"/>
  <c r="CX304" i="17"/>
  <c r="CY304" i="17"/>
  <c r="CZ304" i="17"/>
  <c r="DA304" i="17"/>
  <c r="DB304" i="17"/>
  <c r="DC304" i="17"/>
  <c r="DD304" i="17"/>
  <c r="DE304" i="17"/>
  <c r="DF304" i="17"/>
  <c r="DG304" i="17"/>
  <c r="DH304" i="17"/>
  <c r="DI304" i="17"/>
  <c r="DJ304" i="17"/>
  <c r="DK304" i="17"/>
  <c r="DL304" i="17"/>
  <c r="DM304" i="17"/>
  <c r="DN304" i="17"/>
  <c r="DO304" i="17"/>
  <c r="DP304" i="17"/>
  <c r="DQ304" i="17"/>
  <c r="DR304" i="17"/>
  <c r="DS304" i="17"/>
  <c r="DT304" i="17"/>
  <c r="DU304" i="17"/>
  <c r="DV304" i="17"/>
  <c r="DW304" i="17"/>
  <c r="DX304" i="17"/>
  <c r="DY304" i="17"/>
  <c r="DZ304" i="17"/>
  <c r="EA304" i="17"/>
  <c r="EB304" i="17"/>
  <c r="EC304" i="17"/>
  <c r="ED304" i="17"/>
  <c r="EE304" i="17"/>
  <c r="EF304" i="17"/>
  <c r="EG304" i="17"/>
  <c r="EH304" i="17"/>
  <c r="EI304" i="17"/>
  <c r="EJ304" i="17"/>
  <c r="EK304" i="17"/>
  <c r="EL304" i="17"/>
  <c r="EM304" i="17"/>
  <c r="EN304" i="17"/>
  <c r="EO304" i="17"/>
  <c r="EP304" i="17"/>
  <c r="EQ304" i="17"/>
  <c r="ER304" i="17"/>
  <c r="ES304" i="17"/>
  <c r="ET304" i="17"/>
  <c r="EU304" i="17"/>
  <c r="EV304" i="17"/>
  <c r="EW304" i="17"/>
  <c r="EX304" i="17"/>
  <c r="EY304" i="17"/>
  <c r="EZ304" i="17"/>
  <c r="FA304" i="17"/>
  <c r="FB304" i="17"/>
  <c r="FC304" i="17"/>
  <c r="FD304" i="17"/>
  <c r="FE304" i="17"/>
  <c r="FF304" i="17"/>
  <c r="FG304" i="17"/>
  <c r="FH304" i="17"/>
  <c r="FI304" i="17"/>
  <c r="FJ304" i="17"/>
  <c r="FK304" i="17"/>
  <c r="FL304" i="17"/>
  <c r="FM304" i="17"/>
  <c r="FN304" i="17"/>
  <c r="FO304" i="17"/>
  <c r="FP304" i="17"/>
  <c r="FQ304" i="17"/>
  <c r="FR304" i="17"/>
  <c r="FS304" i="17"/>
  <c r="FT304" i="17"/>
  <c r="FU304" i="17"/>
  <c r="FV304" i="17"/>
  <c r="FW304" i="17"/>
  <c r="FX304" i="17"/>
  <c r="FY304" i="17"/>
  <c r="FZ304" i="17"/>
  <c r="GA304" i="17"/>
  <c r="GB304" i="17"/>
  <c r="GC304" i="17"/>
  <c r="GD304" i="17"/>
  <c r="GE304" i="17"/>
  <c r="GF304" i="17"/>
  <c r="GG304" i="17"/>
  <c r="GH304" i="17"/>
  <c r="GI304" i="17"/>
  <c r="GJ304" i="17"/>
  <c r="GK304" i="17"/>
  <c r="GL304" i="17"/>
  <c r="GM304" i="17"/>
  <c r="GN304" i="17"/>
  <c r="GO304" i="17"/>
  <c r="GP304" i="17"/>
  <c r="GQ304" i="17"/>
  <c r="GR304" i="17"/>
  <c r="GS304" i="17"/>
  <c r="GT304" i="17"/>
  <c r="GU304" i="17"/>
  <c r="GV304" i="17"/>
  <c r="GW304" i="17"/>
  <c r="GX304" i="17"/>
  <c r="GY304" i="17"/>
  <c r="GZ304" i="17"/>
  <c r="HA304" i="17"/>
  <c r="HB304" i="17"/>
  <c r="HC304" i="17"/>
  <c r="HD304" i="17"/>
  <c r="HE304" i="17"/>
  <c r="HF304" i="17"/>
  <c r="HG304" i="17"/>
  <c r="HH304" i="17"/>
  <c r="HI304" i="17"/>
  <c r="HJ304" i="17"/>
  <c r="HK304" i="17"/>
  <c r="HL304" i="17"/>
  <c r="HM304" i="17"/>
  <c r="HN304" i="17"/>
  <c r="HO304" i="17"/>
  <c r="HP304" i="17"/>
  <c r="HQ304" i="17"/>
  <c r="HR304" i="17"/>
  <c r="HS304" i="17"/>
  <c r="HT304" i="17"/>
  <c r="HU304" i="17"/>
  <c r="HV304" i="17"/>
  <c r="HW304" i="17"/>
  <c r="HX304" i="17"/>
  <c r="HY304" i="17"/>
  <c r="HZ304" i="17"/>
  <c r="IA304" i="17"/>
  <c r="IB304" i="17"/>
  <c r="IC304" i="17"/>
  <c r="ID304" i="17"/>
  <c r="IE304" i="17"/>
  <c r="IF304" i="17"/>
  <c r="IG304" i="17"/>
  <c r="IH304" i="17"/>
  <c r="II304" i="17"/>
  <c r="IJ304" i="17"/>
  <c r="IK304" i="17"/>
  <c r="IL304" i="17"/>
  <c r="IM304" i="17"/>
  <c r="IN304" i="17"/>
  <c r="IO304" i="17"/>
  <c r="IP304" i="17"/>
  <c r="IQ304" i="17"/>
  <c r="IR304" i="17"/>
  <c r="IS304" i="17"/>
  <c r="IT304" i="17"/>
  <c r="IU304" i="17"/>
  <c r="IV304" i="17"/>
  <c r="N211" i="1"/>
  <c r="I211" i="1"/>
  <c r="H211" i="1"/>
  <c r="G211" i="1"/>
  <c r="F211" i="1"/>
  <c r="N198" i="1"/>
  <c r="I198" i="1"/>
  <c r="H198" i="1"/>
  <c r="G198" i="1"/>
  <c r="F198" i="1"/>
  <c r="N197" i="1"/>
  <c r="I197" i="1"/>
  <c r="H197" i="1"/>
  <c r="G197" i="1"/>
  <c r="F197" i="1"/>
  <c r="I14" i="1"/>
  <c r="H14" i="1"/>
  <c r="G14" i="1"/>
  <c r="F14" i="1"/>
  <c r="E14" i="1"/>
  <c r="N268" i="1"/>
  <c r="I268" i="1"/>
  <c r="H268" i="1"/>
  <c r="G268" i="1"/>
  <c r="F268" i="1"/>
  <c r="N341" i="1"/>
  <c r="I341" i="1"/>
  <c r="H341" i="1"/>
  <c r="G341" i="1"/>
  <c r="F341" i="1"/>
  <c r="A303" i="17"/>
  <c r="B303" i="17"/>
  <c r="C303" i="17"/>
  <c r="D303" i="17"/>
  <c r="E303" i="17"/>
  <c r="F303" i="17"/>
  <c r="G303" i="17"/>
  <c r="H303" i="17"/>
  <c r="I303" i="17"/>
  <c r="J303" i="17"/>
  <c r="K303" i="17"/>
  <c r="L303" i="17"/>
  <c r="M303" i="17"/>
  <c r="N303" i="17"/>
  <c r="O303" i="17"/>
  <c r="P303" i="17"/>
  <c r="Q303" i="17"/>
  <c r="R303" i="17"/>
  <c r="S303" i="17"/>
  <c r="T303" i="17"/>
  <c r="U303" i="17"/>
  <c r="V303" i="17"/>
  <c r="W303" i="17"/>
  <c r="X303" i="17"/>
  <c r="Y303" i="17"/>
  <c r="Z303" i="17"/>
  <c r="AA303" i="17"/>
  <c r="AB303" i="17"/>
  <c r="AC303" i="17"/>
  <c r="AD303" i="17"/>
  <c r="AE303" i="17"/>
  <c r="AF303" i="17"/>
  <c r="AG303" i="17"/>
  <c r="AH303" i="17"/>
  <c r="AI303" i="17"/>
  <c r="AJ303" i="17"/>
  <c r="AK303" i="17"/>
  <c r="AL303" i="17"/>
  <c r="AM303" i="17"/>
  <c r="AN303" i="17"/>
  <c r="AO303" i="17"/>
  <c r="AP303" i="17"/>
  <c r="AQ303" i="17"/>
  <c r="AR303" i="17"/>
  <c r="AS303" i="17"/>
  <c r="AT303" i="17"/>
  <c r="AU303" i="17"/>
  <c r="AV303" i="17"/>
  <c r="AW303" i="17"/>
  <c r="AX303" i="17"/>
  <c r="AY303" i="17"/>
  <c r="AZ303" i="17"/>
  <c r="BA303" i="17"/>
  <c r="BB303" i="17"/>
  <c r="BC303" i="17"/>
  <c r="BD303" i="17"/>
  <c r="BE303" i="17"/>
  <c r="BF303" i="17"/>
  <c r="BG303" i="17"/>
  <c r="BH303" i="17"/>
  <c r="BI303" i="17"/>
  <c r="BJ303" i="17"/>
  <c r="BK303" i="17"/>
  <c r="BL303" i="17"/>
  <c r="BM303" i="17"/>
  <c r="BN303" i="17"/>
  <c r="BO303" i="17"/>
  <c r="BP303" i="17"/>
  <c r="BQ303" i="17"/>
  <c r="BR303" i="17"/>
  <c r="BS303" i="17"/>
  <c r="BT303" i="17"/>
  <c r="BU303" i="17"/>
  <c r="BV303" i="17"/>
  <c r="BW303" i="17"/>
  <c r="BX303" i="17"/>
  <c r="BY303" i="17"/>
  <c r="BZ303" i="17"/>
  <c r="CA303" i="17"/>
  <c r="CB303" i="17"/>
  <c r="CC303" i="17"/>
  <c r="CD303" i="17"/>
  <c r="CE303" i="17"/>
  <c r="CF303" i="17"/>
  <c r="CG303" i="17"/>
  <c r="CH303" i="17"/>
  <c r="CI303" i="17"/>
  <c r="CJ303" i="17"/>
  <c r="CK303" i="17"/>
  <c r="CL303" i="17"/>
  <c r="CM303" i="17"/>
  <c r="CN303" i="17"/>
  <c r="CO303" i="17"/>
  <c r="CP303" i="17"/>
  <c r="CQ303" i="17"/>
  <c r="CR303" i="17"/>
  <c r="CS303" i="17"/>
  <c r="CT303" i="17"/>
  <c r="CU303" i="17"/>
  <c r="CV303" i="17"/>
  <c r="CW303" i="17"/>
  <c r="CX303" i="17"/>
  <c r="CY303" i="17"/>
  <c r="CZ303" i="17"/>
  <c r="DA303" i="17"/>
  <c r="DB303" i="17"/>
  <c r="DC303" i="17"/>
  <c r="DD303" i="17"/>
  <c r="DE303" i="17"/>
  <c r="DF303" i="17"/>
  <c r="DG303" i="17"/>
  <c r="DH303" i="17"/>
  <c r="DI303" i="17"/>
  <c r="DJ303" i="17"/>
  <c r="DK303" i="17"/>
  <c r="DL303" i="17"/>
  <c r="DM303" i="17"/>
  <c r="DN303" i="17"/>
  <c r="DO303" i="17"/>
  <c r="DP303" i="17"/>
  <c r="DQ303" i="17"/>
  <c r="DR303" i="17"/>
  <c r="DS303" i="17"/>
  <c r="DT303" i="17"/>
  <c r="DU303" i="17"/>
  <c r="DV303" i="17"/>
  <c r="DW303" i="17"/>
  <c r="DX303" i="17"/>
  <c r="DY303" i="17"/>
  <c r="DZ303" i="17"/>
  <c r="EA303" i="17"/>
  <c r="EB303" i="17"/>
  <c r="EC303" i="17"/>
  <c r="ED303" i="17"/>
  <c r="EE303" i="17"/>
  <c r="EF303" i="17"/>
  <c r="EG303" i="17"/>
  <c r="EH303" i="17"/>
  <c r="EI303" i="17"/>
  <c r="EJ303" i="17"/>
  <c r="EK303" i="17"/>
  <c r="EL303" i="17"/>
  <c r="EM303" i="17"/>
  <c r="EN303" i="17"/>
  <c r="EO303" i="17"/>
  <c r="EP303" i="17"/>
  <c r="EQ303" i="17"/>
  <c r="ER303" i="17"/>
  <c r="ES303" i="17"/>
  <c r="ET303" i="17"/>
  <c r="EU303" i="17"/>
  <c r="EV303" i="17"/>
  <c r="EW303" i="17"/>
  <c r="EX303" i="17"/>
  <c r="EY303" i="17"/>
  <c r="EZ303" i="17"/>
  <c r="FA303" i="17"/>
  <c r="FB303" i="17"/>
  <c r="FC303" i="17"/>
  <c r="FD303" i="17"/>
  <c r="FE303" i="17"/>
  <c r="FF303" i="17"/>
  <c r="FG303" i="17"/>
  <c r="FH303" i="17"/>
  <c r="FI303" i="17"/>
  <c r="FJ303" i="17"/>
  <c r="FK303" i="17"/>
  <c r="FL303" i="17"/>
  <c r="FM303" i="17"/>
  <c r="FN303" i="17"/>
  <c r="FO303" i="17"/>
  <c r="FP303" i="17"/>
  <c r="FQ303" i="17"/>
  <c r="FR303" i="17"/>
  <c r="FS303" i="17"/>
  <c r="FT303" i="17"/>
  <c r="FU303" i="17"/>
  <c r="FV303" i="17"/>
  <c r="FW303" i="17"/>
  <c r="FX303" i="17"/>
  <c r="FY303" i="17"/>
  <c r="FZ303" i="17"/>
  <c r="GA303" i="17"/>
  <c r="GB303" i="17"/>
  <c r="GC303" i="17"/>
  <c r="GD303" i="17"/>
  <c r="GE303" i="17"/>
  <c r="GF303" i="17"/>
  <c r="GG303" i="17"/>
  <c r="GH303" i="17"/>
  <c r="GI303" i="17"/>
  <c r="GJ303" i="17"/>
  <c r="GK303" i="17"/>
  <c r="GL303" i="17"/>
  <c r="GM303" i="17"/>
  <c r="GN303" i="17"/>
  <c r="GO303" i="17"/>
  <c r="GP303" i="17"/>
  <c r="GQ303" i="17"/>
  <c r="GR303" i="17"/>
  <c r="GS303" i="17"/>
  <c r="GT303" i="17"/>
  <c r="GU303" i="17"/>
  <c r="GV303" i="17"/>
  <c r="GW303" i="17"/>
  <c r="GX303" i="17"/>
  <c r="GY303" i="17"/>
  <c r="GZ303" i="17"/>
  <c r="HA303" i="17"/>
  <c r="HB303" i="17"/>
  <c r="HC303" i="17"/>
  <c r="HD303" i="17"/>
  <c r="HE303" i="17"/>
  <c r="HF303" i="17"/>
  <c r="HG303" i="17"/>
  <c r="HH303" i="17"/>
  <c r="HI303" i="17"/>
  <c r="HJ303" i="17"/>
  <c r="HK303" i="17"/>
  <c r="HL303" i="17"/>
  <c r="HM303" i="17"/>
  <c r="HN303" i="17"/>
  <c r="HO303" i="17"/>
  <c r="HP303" i="17"/>
  <c r="HQ303" i="17"/>
  <c r="HT303" i="17"/>
  <c r="HU303" i="17"/>
  <c r="HV303" i="17"/>
  <c r="A302" i="17"/>
  <c r="B302" i="17"/>
  <c r="C302" i="17"/>
  <c r="D302" i="17"/>
  <c r="E302" i="17"/>
  <c r="F302" i="17"/>
  <c r="G302" i="17"/>
  <c r="H302" i="17"/>
  <c r="I302" i="17"/>
  <c r="J302" i="17"/>
  <c r="K302" i="17"/>
  <c r="L302" i="17"/>
  <c r="M302" i="17"/>
  <c r="N302" i="17"/>
  <c r="O302" i="17"/>
  <c r="P302" i="17"/>
  <c r="Q302" i="17"/>
  <c r="R302" i="17"/>
  <c r="S302" i="17"/>
  <c r="T302" i="17"/>
  <c r="U302" i="17"/>
  <c r="V302" i="17"/>
  <c r="W302" i="17"/>
  <c r="X302" i="17"/>
  <c r="Y302" i="17"/>
  <c r="Z302" i="17"/>
  <c r="AA302" i="17"/>
  <c r="AB302" i="17"/>
  <c r="AC302" i="17"/>
  <c r="AD302" i="17"/>
  <c r="AE302" i="17"/>
  <c r="AF302" i="17"/>
  <c r="AG302" i="17"/>
  <c r="AH302" i="17"/>
  <c r="AI302" i="17"/>
  <c r="AJ302" i="17"/>
  <c r="AK302" i="17"/>
  <c r="AL302" i="17"/>
  <c r="AM302" i="17"/>
  <c r="AN302" i="17"/>
  <c r="AO302" i="17"/>
  <c r="AP302" i="17"/>
  <c r="AQ302" i="17"/>
  <c r="AR302" i="17"/>
  <c r="AS302" i="17"/>
  <c r="AT302" i="17"/>
  <c r="AU302" i="17"/>
  <c r="AV302" i="17"/>
  <c r="AW302" i="17"/>
  <c r="AX302" i="17"/>
  <c r="AY302" i="17"/>
  <c r="AZ302" i="17"/>
  <c r="BA302" i="17"/>
  <c r="BB302" i="17"/>
  <c r="BC302" i="17"/>
  <c r="BD302" i="17"/>
  <c r="BE302" i="17"/>
  <c r="BF302" i="17"/>
  <c r="BG302" i="17"/>
  <c r="BH302" i="17"/>
  <c r="BI302" i="17"/>
  <c r="BJ302" i="17"/>
  <c r="BK302" i="17"/>
  <c r="BL302" i="17"/>
  <c r="BM302" i="17"/>
  <c r="BN302" i="17"/>
  <c r="BO302" i="17"/>
  <c r="BP302" i="17"/>
  <c r="BQ302" i="17"/>
  <c r="BR302" i="17"/>
  <c r="BS302" i="17"/>
  <c r="BT302" i="17"/>
  <c r="BU302" i="17"/>
  <c r="BV302" i="17"/>
  <c r="BW302" i="17"/>
  <c r="BX302" i="17"/>
  <c r="BY302" i="17"/>
  <c r="BZ302" i="17"/>
  <c r="CA302" i="17"/>
  <c r="CB302" i="17"/>
  <c r="CC302" i="17"/>
  <c r="CD302" i="17"/>
  <c r="CE302" i="17"/>
  <c r="CF302" i="17"/>
  <c r="CG302" i="17"/>
  <c r="CH302" i="17"/>
  <c r="CI302" i="17"/>
  <c r="CJ302" i="17"/>
  <c r="CK302" i="17"/>
  <c r="CL302" i="17"/>
  <c r="CM302" i="17"/>
  <c r="CN302" i="17"/>
  <c r="CO302" i="17"/>
  <c r="CP302" i="17"/>
  <c r="CQ302" i="17"/>
  <c r="CR302" i="17"/>
  <c r="CS302" i="17"/>
  <c r="CT302" i="17"/>
  <c r="CU302" i="17"/>
  <c r="CV302" i="17"/>
  <c r="CW302" i="17"/>
  <c r="CX302" i="17"/>
  <c r="CY302" i="17"/>
  <c r="CZ302" i="17"/>
  <c r="DA302" i="17"/>
  <c r="DB302" i="17"/>
  <c r="DC302" i="17"/>
  <c r="DD302" i="17"/>
  <c r="DE302" i="17"/>
  <c r="DF302" i="17"/>
  <c r="DG302" i="17"/>
  <c r="DH302" i="17"/>
  <c r="DI302" i="17"/>
  <c r="DJ302" i="17"/>
  <c r="DK302" i="17"/>
  <c r="DL302" i="17"/>
  <c r="DM302" i="17"/>
  <c r="DN302" i="17"/>
  <c r="DO302" i="17"/>
  <c r="DP302" i="17"/>
  <c r="DQ302" i="17"/>
  <c r="DR302" i="17"/>
  <c r="DS302" i="17"/>
  <c r="DT302" i="17"/>
  <c r="DU302" i="17"/>
  <c r="DV302" i="17"/>
  <c r="DW302" i="17"/>
  <c r="DX302" i="17"/>
  <c r="DY302" i="17"/>
  <c r="DZ302" i="17"/>
  <c r="EA302" i="17"/>
  <c r="EB302" i="17"/>
  <c r="EC302" i="17"/>
  <c r="ED302" i="17"/>
  <c r="EE302" i="17"/>
  <c r="EF302" i="17"/>
  <c r="EG302" i="17"/>
  <c r="EH302" i="17"/>
  <c r="EI302" i="17"/>
  <c r="EJ302" i="17"/>
  <c r="EK302" i="17"/>
  <c r="EL302" i="17"/>
  <c r="EM302" i="17"/>
  <c r="EN302" i="17"/>
  <c r="EO302" i="17"/>
  <c r="EP302" i="17"/>
  <c r="EQ302" i="17"/>
  <c r="ER302" i="17"/>
  <c r="ES302" i="17"/>
  <c r="ET302" i="17"/>
  <c r="EU302" i="17"/>
  <c r="EV302" i="17"/>
  <c r="EW302" i="17"/>
  <c r="EX302" i="17"/>
  <c r="EY302" i="17"/>
  <c r="EZ302" i="17"/>
  <c r="FA302" i="17"/>
  <c r="FB302" i="17"/>
  <c r="FC302" i="17"/>
  <c r="FD302" i="17"/>
  <c r="FE302" i="17"/>
  <c r="FF302" i="17"/>
  <c r="FG302" i="17"/>
  <c r="FH302" i="17"/>
  <c r="FI302" i="17"/>
  <c r="FJ302" i="17"/>
  <c r="FK302" i="17"/>
  <c r="FL302" i="17"/>
  <c r="FM302" i="17"/>
  <c r="FN302" i="17"/>
  <c r="FO302" i="17"/>
  <c r="FP302" i="17"/>
  <c r="FQ302" i="17"/>
  <c r="FR302" i="17"/>
  <c r="FS302" i="17"/>
  <c r="FT302" i="17"/>
  <c r="FU302" i="17"/>
  <c r="FV302" i="17"/>
  <c r="FW302" i="17"/>
  <c r="FX302" i="17"/>
  <c r="FY302" i="17"/>
  <c r="FZ302" i="17"/>
  <c r="GA302" i="17"/>
  <c r="GB302" i="17"/>
  <c r="GC302" i="17"/>
  <c r="GD302" i="17"/>
  <c r="GE302" i="17"/>
  <c r="GF302" i="17"/>
  <c r="GG302" i="17"/>
  <c r="GH302" i="17"/>
  <c r="GI302" i="17"/>
  <c r="GJ302" i="17"/>
  <c r="GK302" i="17"/>
  <c r="GL302" i="17"/>
  <c r="GM302" i="17"/>
  <c r="GN302" i="17"/>
  <c r="GO302" i="17"/>
  <c r="GP302" i="17"/>
  <c r="GQ302" i="17"/>
  <c r="GR302" i="17"/>
  <c r="GS302" i="17"/>
  <c r="GT302" i="17"/>
  <c r="GU302" i="17"/>
  <c r="GV302" i="17"/>
  <c r="GW302" i="17"/>
  <c r="GX302" i="17"/>
  <c r="GY302" i="17"/>
  <c r="GZ302" i="17"/>
  <c r="HA302" i="17"/>
  <c r="HB302" i="17"/>
  <c r="HC302" i="17"/>
  <c r="HD302" i="17"/>
  <c r="HE302" i="17"/>
  <c r="HF302" i="17"/>
  <c r="HG302" i="17"/>
  <c r="HH302" i="17"/>
  <c r="HI302" i="17"/>
  <c r="HJ302" i="17"/>
  <c r="HK302" i="17"/>
  <c r="HL302" i="17"/>
  <c r="HM302" i="17"/>
  <c r="HN302" i="17"/>
  <c r="HO302" i="17"/>
  <c r="HP302" i="17"/>
  <c r="HQ302" i="17"/>
  <c r="HR302" i="17"/>
  <c r="HS302" i="17"/>
  <c r="HT302" i="17"/>
  <c r="HU302" i="17"/>
  <c r="HV302" i="17"/>
  <c r="HW302" i="17"/>
  <c r="HX302" i="17"/>
  <c r="HY302" i="17"/>
  <c r="HZ302" i="17"/>
  <c r="IA302" i="17"/>
  <c r="IB302" i="17"/>
  <c r="IC302" i="17"/>
  <c r="ID302" i="17"/>
  <c r="IE302" i="17"/>
  <c r="IF302" i="17"/>
  <c r="IG302" i="17"/>
  <c r="IH302" i="17"/>
  <c r="II302" i="17"/>
  <c r="IJ302" i="17"/>
  <c r="IK302" i="17"/>
  <c r="IL302" i="17"/>
  <c r="IM302" i="17"/>
  <c r="IN302" i="17"/>
  <c r="IO302" i="17"/>
  <c r="IP302" i="17"/>
  <c r="IQ302" i="17"/>
  <c r="IR302" i="17"/>
  <c r="IS302" i="17"/>
  <c r="IT302" i="17"/>
  <c r="IU302" i="17"/>
  <c r="IV302" i="17"/>
  <c r="A301" i="17"/>
  <c r="B301" i="17"/>
  <c r="C301" i="17"/>
  <c r="D301" i="17"/>
  <c r="E301" i="17"/>
  <c r="F301" i="17"/>
  <c r="G301" i="17"/>
  <c r="H301" i="17"/>
  <c r="I301" i="17"/>
  <c r="J301" i="17"/>
  <c r="K301" i="17"/>
  <c r="L301" i="17"/>
  <c r="M301" i="17"/>
  <c r="N301" i="17"/>
  <c r="O301" i="17"/>
  <c r="P301" i="17"/>
  <c r="Q301" i="17"/>
  <c r="R301" i="17"/>
  <c r="S301" i="17"/>
  <c r="T301" i="17"/>
  <c r="V301" i="17"/>
  <c r="W301" i="17"/>
  <c r="X301" i="17"/>
  <c r="Y301" i="17"/>
  <c r="Z301" i="17"/>
  <c r="AA301" i="17"/>
  <c r="AB301" i="17"/>
  <c r="AC301" i="17"/>
  <c r="AD301" i="17"/>
  <c r="AE301" i="17"/>
  <c r="AF301" i="17"/>
  <c r="AG301" i="17"/>
  <c r="AH301" i="17"/>
  <c r="AI301" i="17"/>
  <c r="AJ301" i="17"/>
  <c r="AK301" i="17"/>
  <c r="AL301" i="17"/>
  <c r="AM301" i="17"/>
  <c r="AN301" i="17"/>
  <c r="AO301" i="17"/>
  <c r="AP301" i="17"/>
  <c r="AQ301" i="17"/>
  <c r="AR301" i="17"/>
  <c r="AS301" i="17"/>
  <c r="AT301" i="17"/>
  <c r="AU301" i="17"/>
  <c r="AV301" i="17"/>
  <c r="AW301" i="17"/>
  <c r="AX301" i="17"/>
  <c r="AY301" i="17"/>
  <c r="AZ301" i="17"/>
  <c r="BA301" i="17"/>
  <c r="BB301" i="17"/>
  <c r="BC301" i="17"/>
  <c r="BD301" i="17"/>
  <c r="BE301" i="17"/>
  <c r="BF301" i="17"/>
  <c r="BG301" i="17"/>
  <c r="BH301" i="17"/>
  <c r="BI301" i="17"/>
  <c r="BJ301" i="17"/>
  <c r="BK301" i="17"/>
  <c r="BL301" i="17"/>
  <c r="BM301" i="17"/>
  <c r="BN301" i="17"/>
  <c r="BO301" i="17"/>
  <c r="BP301" i="17"/>
  <c r="BQ301" i="17"/>
  <c r="BR301" i="17"/>
  <c r="BS301" i="17"/>
  <c r="BT301" i="17"/>
  <c r="BU301" i="17"/>
  <c r="BV301" i="17"/>
  <c r="BW301" i="17"/>
  <c r="BX301" i="17"/>
  <c r="BY301" i="17"/>
  <c r="BZ301" i="17"/>
  <c r="CA301" i="17"/>
  <c r="CB301" i="17"/>
  <c r="CC301" i="17"/>
  <c r="CD301" i="17"/>
  <c r="CE301" i="17"/>
  <c r="CF301" i="17"/>
  <c r="CG301" i="17"/>
  <c r="CH301" i="17"/>
  <c r="CI301" i="17"/>
  <c r="CJ301" i="17"/>
  <c r="CK301" i="17"/>
  <c r="CL301" i="17"/>
  <c r="CM301" i="17"/>
  <c r="CN301" i="17"/>
  <c r="CO301" i="17"/>
  <c r="CP301" i="17"/>
  <c r="CQ301" i="17"/>
  <c r="CR301" i="17"/>
  <c r="CS301" i="17"/>
  <c r="CT301" i="17"/>
  <c r="CU301" i="17"/>
  <c r="CV301" i="17"/>
  <c r="CW301" i="17"/>
  <c r="CX301" i="17"/>
  <c r="CY301" i="17"/>
  <c r="CZ301" i="17"/>
  <c r="DA301" i="17"/>
  <c r="DB301" i="17"/>
  <c r="DC301" i="17"/>
  <c r="DD301" i="17"/>
  <c r="DE301" i="17"/>
  <c r="DF301" i="17"/>
  <c r="DG301" i="17"/>
  <c r="DH301" i="17"/>
  <c r="DI301" i="17"/>
  <c r="DJ301" i="17"/>
  <c r="DK301" i="17"/>
  <c r="DL301" i="17"/>
  <c r="DM301" i="17"/>
  <c r="DN301" i="17"/>
  <c r="DO301" i="17"/>
  <c r="DP301" i="17"/>
  <c r="DQ301" i="17"/>
  <c r="DR301" i="17"/>
  <c r="DS301" i="17"/>
  <c r="DT301" i="17"/>
  <c r="DU301" i="17"/>
  <c r="DV301" i="17"/>
  <c r="DW301" i="17"/>
  <c r="DX301" i="17"/>
  <c r="DY301" i="17"/>
  <c r="DZ301" i="17"/>
  <c r="EA301" i="17"/>
  <c r="EB301" i="17"/>
  <c r="EC301" i="17"/>
  <c r="ED301" i="17"/>
  <c r="EE301" i="17"/>
  <c r="EF301" i="17"/>
  <c r="EG301" i="17"/>
  <c r="EH301" i="17"/>
  <c r="EI301" i="17"/>
  <c r="EJ301" i="17"/>
  <c r="EK301" i="17"/>
  <c r="EL301" i="17"/>
  <c r="EM301" i="17"/>
  <c r="EN301" i="17"/>
  <c r="EO301" i="17"/>
  <c r="EP301" i="17"/>
  <c r="EQ301" i="17"/>
  <c r="ER301" i="17"/>
  <c r="ES301" i="17"/>
  <c r="ET301" i="17"/>
  <c r="EU301" i="17"/>
  <c r="EV301" i="17"/>
  <c r="EW301" i="17"/>
  <c r="EX301" i="17"/>
  <c r="EY301" i="17"/>
  <c r="EZ301" i="17"/>
  <c r="FA301" i="17"/>
  <c r="FB301" i="17"/>
  <c r="FC301" i="17"/>
  <c r="FD301" i="17"/>
  <c r="FE301" i="17"/>
  <c r="FF301" i="17"/>
  <c r="FG301" i="17"/>
  <c r="FH301" i="17"/>
  <c r="FI301" i="17"/>
  <c r="FJ301" i="17"/>
  <c r="FK301" i="17"/>
  <c r="FL301" i="17"/>
  <c r="FM301" i="17"/>
  <c r="FN301" i="17"/>
  <c r="FO301" i="17"/>
  <c r="FP301" i="17"/>
  <c r="FQ301" i="17"/>
  <c r="FR301" i="17"/>
  <c r="FS301" i="17"/>
  <c r="FT301" i="17"/>
  <c r="FU301" i="17"/>
  <c r="FV301" i="17"/>
  <c r="FW301" i="17"/>
  <c r="FX301" i="17"/>
  <c r="FY301" i="17"/>
  <c r="FZ301" i="17"/>
  <c r="GA301" i="17"/>
  <c r="GB301" i="17"/>
  <c r="GC301" i="17"/>
  <c r="GD301" i="17"/>
  <c r="GE301" i="17"/>
  <c r="GF301" i="17"/>
  <c r="GG301" i="17"/>
  <c r="GH301" i="17"/>
  <c r="GI301" i="17"/>
  <c r="GJ301" i="17"/>
  <c r="GK301" i="17"/>
  <c r="GL301" i="17"/>
  <c r="GM301" i="17"/>
  <c r="GN301" i="17"/>
  <c r="GO301" i="17"/>
  <c r="GP301" i="17"/>
  <c r="GQ301" i="17"/>
  <c r="GR301" i="17"/>
  <c r="GS301" i="17"/>
  <c r="GT301" i="17"/>
  <c r="GU301" i="17"/>
  <c r="GV301" i="17"/>
  <c r="GW301" i="17"/>
  <c r="GX301" i="17"/>
  <c r="GY301" i="17"/>
  <c r="GZ301" i="17"/>
  <c r="HA301" i="17"/>
  <c r="HB301" i="17"/>
  <c r="HC301" i="17"/>
  <c r="HD301" i="17"/>
  <c r="HE301" i="17"/>
  <c r="HF301" i="17"/>
  <c r="HG301" i="17"/>
  <c r="HH301" i="17"/>
  <c r="HI301" i="17"/>
  <c r="HJ301" i="17"/>
  <c r="HK301" i="17"/>
  <c r="HL301" i="17"/>
  <c r="HM301" i="17"/>
  <c r="HN301" i="17"/>
  <c r="HO301" i="17"/>
  <c r="HP301" i="17"/>
  <c r="HQ301" i="17"/>
  <c r="HR301" i="17"/>
  <c r="HS301" i="17"/>
  <c r="HT301" i="17"/>
  <c r="HU301" i="17"/>
  <c r="HV301" i="17"/>
  <c r="HW301" i="17"/>
  <c r="HX301" i="17"/>
  <c r="HY301" i="17"/>
  <c r="HZ301" i="17"/>
  <c r="IA301" i="17"/>
  <c r="IB301" i="17"/>
  <c r="IC301" i="17"/>
  <c r="ID301" i="17"/>
  <c r="IE301" i="17"/>
  <c r="IF301" i="17"/>
  <c r="IG301" i="17"/>
  <c r="IH301" i="17"/>
  <c r="II301" i="17"/>
  <c r="IJ301" i="17"/>
  <c r="IK301" i="17"/>
  <c r="IL301" i="17"/>
  <c r="IM301" i="17"/>
  <c r="IN301" i="17"/>
  <c r="IO301" i="17"/>
  <c r="IP301" i="17"/>
  <c r="IQ301" i="17"/>
  <c r="IR301" i="17"/>
  <c r="IS301" i="17"/>
  <c r="IT301" i="17"/>
  <c r="IU301" i="17"/>
  <c r="IV301" i="17"/>
  <c r="A300" i="17"/>
  <c r="B300" i="17"/>
  <c r="C300" i="17"/>
  <c r="D300" i="17"/>
  <c r="E300" i="17"/>
  <c r="F300" i="17"/>
  <c r="G300" i="17"/>
  <c r="H300" i="17"/>
  <c r="I300" i="17"/>
  <c r="J300" i="17"/>
  <c r="K300" i="17"/>
  <c r="L300" i="17"/>
  <c r="M300" i="17"/>
  <c r="N300" i="17"/>
  <c r="O300" i="17"/>
  <c r="P300" i="17"/>
  <c r="Q300" i="17"/>
  <c r="R300" i="17"/>
  <c r="S300" i="17"/>
  <c r="T300" i="17"/>
  <c r="U300" i="17"/>
  <c r="V300" i="17"/>
  <c r="W300" i="17"/>
  <c r="X300" i="17"/>
  <c r="Y300" i="17"/>
  <c r="Z300" i="17"/>
  <c r="AA300" i="17"/>
  <c r="AB300" i="17"/>
  <c r="AC300" i="17"/>
  <c r="AD300" i="17"/>
  <c r="AE300" i="17"/>
  <c r="AF300" i="17"/>
  <c r="AG300" i="17"/>
  <c r="AH300" i="17"/>
  <c r="AI300" i="17"/>
  <c r="AJ300" i="17"/>
  <c r="AK300" i="17"/>
  <c r="AL300" i="17"/>
  <c r="AM300" i="17"/>
  <c r="AN300" i="17"/>
  <c r="AO300" i="17"/>
  <c r="AP300" i="17"/>
  <c r="AQ300" i="17"/>
  <c r="AR300" i="17"/>
  <c r="AS300" i="17"/>
  <c r="AT300" i="17"/>
  <c r="AU300" i="17"/>
  <c r="AV300" i="17"/>
  <c r="AW300" i="17"/>
  <c r="AX300" i="17"/>
  <c r="AY300" i="17"/>
  <c r="AZ300" i="17"/>
  <c r="BA300" i="17"/>
  <c r="BB300" i="17"/>
  <c r="BC300" i="17"/>
  <c r="BD300" i="17"/>
  <c r="BE300" i="17"/>
  <c r="BF300" i="17"/>
  <c r="BG300" i="17"/>
  <c r="BH300" i="17"/>
  <c r="BI300" i="17"/>
  <c r="BJ300" i="17"/>
  <c r="BK300" i="17"/>
  <c r="BL300" i="17"/>
  <c r="BM300" i="17"/>
  <c r="BN300" i="17"/>
  <c r="BO300" i="17"/>
  <c r="BP300" i="17"/>
  <c r="BQ300" i="17"/>
  <c r="BR300" i="17"/>
  <c r="BS300" i="17"/>
  <c r="BT300" i="17"/>
  <c r="BU300" i="17"/>
  <c r="BV300" i="17"/>
  <c r="BW300" i="17"/>
  <c r="BX300" i="17"/>
  <c r="BY300" i="17"/>
  <c r="BZ300" i="17"/>
  <c r="CA300" i="17"/>
  <c r="CB300" i="17"/>
  <c r="CC300" i="17"/>
  <c r="CD300" i="17"/>
  <c r="CE300" i="17"/>
  <c r="CF300" i="17"/>
  <c r="CG300" i="17"/>
  <c r="CH300" i="17"/>
  <c r="CI300" i="17"/>
  <c r="CJ300" i="17"/>
  <c r="CK300" i="17"/>
  <c r="CL300" i="17"/>
  <c r="CM300" i="17"/>
  <c r="CN300" i="17"/>
  <c r="CO300" i="17"/>
  <c r="CP300" i="17"/>
  <c r="CQ300" i="17"/>
  <c r="CR300" i="17"/>
  <c r="CS300" i="17"/>
  <c r="CT300" i="17"/>
  <c r="CU300" i="17"/>
  <c r="CV300" i="17"/>
  <c r="CW300" i="17"/>
  <c r="CX300" i="17"/>
  <c r="CY300" i="17"/>
  <c r="CZ300" i="17"/>
  <c r="DA300" i="17"/>
  <c r="DB300" i="17"/>
  <c r="DC300" i="17"/>
  <c r="DD300" i="17"/>
  <c r="DE300" i="17"/>
  <c r="DF300" i="17"/>
  <c r="DG300" i="17"/>
  <c r="DH300" i="17"/>
  <c r="DI300" i="17"/>
  <c r="DJ300" i="17"/>
  <c r="DK300" i="17"/>
  <c r="DL300" i="17"/>
  <c r="DM300" i="17"/>
  <c r="DN300" i="17"/>
  <c r="DO300" i="17"/>
  <c r="DP300" i="17"/>
  <c r="DQ300" i="17"/>
  <c r="DR300" i="17"/>
  <c r="DS300" i="17"/>
  <c r="DT300" i="17"/>
  <c r="DU300" i="17"/>
  <c r="DV300" i="17"/>
  <c r="DW300" i="17"/>
  <c r="DX300" i="17"/>
  <c r="DY300" i="17"/>
  <c r="DZ300" i="17"/>
  <c r="EA300" i="17"/>
  <c r="EB300" i="17"/>
  <c r="EC300" i="17"/>
  <c r="ED300" i="17"/>
  <c r="EE300" i="17"/>
  <c r="EF300" i="17"/>
  <c r="EG300" i="17"/>
  <c r="EH300" i="17"/>
  <c r="EI300" i="17"/>
  <c r="EJ300" i="17"/>
  <c r="EK300" i="17"/>
  <c r="EL300" i="17"/>
  <c r="EM300" i="17"/>
  <c r="EN300" i="17"/>
  <c r="EO300" i="17"/>
  <c r="EP300" i="17"/>
  <c r="EQ300" i="17"/>
  <c r="ER300" i="17"/>
  <c r="ES300" i="17"/>
  <c r="ET300" i="17"/>
  <c r="EU300" i="17"/>
  <c r="EV300" i="17"/>
  <c r="EW300" i="17"/>
  <c r="EX300" i="17"/>
  <c r="EY300" i="17"/>
  <c r="EZ300" i="17"/>
  <c r="FA300" i="17"/>
  <c r="FB300" i="17"/>
  <c r="FC300" i="17"/>
  <c r="FD300" i="17"/>
  <c r="FE300" i="17"/>
  <c r="FF300" i="17"/>
  <c r="FG300" i="17"/>
  <c r="FH300" i="17"/>
  <c r="FI300" i="17"/>
  <c r="FJ300" i="17"/>
  <c r="FK300" i="17"/>
  <c r="FL300" i="17"/>
  <c r="FM300" i="17"/>
  <c r="FN300" i="17"/>
  <c r="FO300" i="17"/>
  <c r="FP300" i="17"/>
  <c r="FQ300" i="17"/>
  <c r="FR300" i="17"/>
  <c r="FS300" i="17"/>
  <c r="FT300" i="17"/>
  <c r="FU300" i="17"/>
  <c r="FV300" i="17"/>
  <c r="FW300" i="17"/>
  <c r="FX300" i="17"/>
  <c r="FY300" i="17"/>
  <c r="FZ300" i="17"/>
  <c r="GA300" i="17"/>
  <c r="GB300" i="17"/>
  <c r="GC300" i="17"/>
  <c r="GD300" i="17"/>
  <c r="GE300" i="17"/>
  <c r="GF300" i="17"/>
  <c r="GG300" i="17"/>
  <c r="GH300" i="17"/>
  <c r="GI300" i="17"/>
  <c r="GJ300" i="17"/>
  <c r="GK300" i="17"/>
  <c r="GL300" i="17"/>
  <c r="GM300" i="17"/>
  <c r="GN300" i="17"/>
  <c r="GO300" i="17"/>
  <c r="GP300" i="17"/>
  <c r="GQ300" i="17"/>
  <c r="GR300" i="17"/>
  <c r="GS300" i="17"/>
  <c r="GT300" i="17"/>
  <c r="GU300" i="17"/>
  <c r="GV300" i="17"/>
  <c r="GW300" i="17"/>
  <c r="GX300" i="17"/>
  <c r="GY300" i="17"/>
  <c r="GZ300" i="17"/>
  <c r="HA300" i="17"/>
  <c r="HB300" i="17"/>
  <c r="HC300" i="17"/>
  <c r="HD300" i="17"/>
  <c r="HE300" i="17"/>
  <c r="HF300" i="17"/>
  <c r="HG300" i="17"/>
  <c r="HH300" i="17"/>
  <c r="HI300" i="17"/>
  <c r="HJ300" i="17"/>
  <c r="HK300" i="17"/>
  <c r="HL300" i="17"/>
  <c r="HM300" i="17"/>
  <c r="HN300" i="17"/>
  <c r="HO300" i="17"/>
  <c r="HP300" i="17"/>
  <c r="HQ300" i="17"/>
  <c r="HR300" i="17"/>
  <c r="HS300" i="17"/>
  <c r="HT300" i="17"/>
  <c r="HU300" i="17"/>
  <c r="HV300" i="17"/>
  <c r="HW300" i="17"/>
  <c r="HX300" i="17"/>
  <c r="HY300" i="17"/>
  <c r="HZ300" i="17"/>
  <c r="IA300" i="17"/>
  <c r="IB300" i="17"/>
  <c r="IC300" i="17"/>
  <c r="ID300" i="17"/>
  <c r="IE300" i="17"/>
  <c r="IF300" i="17"/>
  <c r="IG300" i="17"/>
  <c r="IH300" i="17"/>
  <c r="II300" i="17"/>
  <c r="IJ300" i="17"/>
  <c r="IK300" i="17"/>
  <c r="IL300" i="17"/>
  <c r="IM300" i="17"/>
  <c r="IN300" i="17"/>
  <c r="IO300" i="17"/>
  <c r="IP300" i="17"/>
  <c r="IQ300" i="17"/>
  <c r="IR300" i="17"/>
  <c r="IS300" i="17"/>
  <c r="IT300" i="17"/>
  <c r="IU300" i="17"/>
  <c r="IV300" i="17"/>
  <c r="M38" i="1"/>
  <c r="N38" i="1" s="1"/>
  <c r="I38" i="1"/>
  <c r="H38" i="1"/>
  <c r="G38" i="1"/>
  <c r="F38" i="1"/>
  <c r="E38" i="1"/>
  <c r="A299" i="17"/>
  <c r="B299" i="17"/>
  <c r="C299" i="17"/>
  <c r="D299" i="17"/>
  <c r="E299" i="17"/>
  <c r="F299" i="17"/>
  <c r="G299" i="17"/>
  <c r="H299" i="17"/>
  <c r="I299" i="17"/>
  <c r="J299" i="17"/>
  <c r="K299" i="17"/>
  <c r="L299" i="17"/>
  <c r="M299" i="17"/>
  <c r="N299" i="17"/>
  <c r="O299" i="17"/>
  <c r="P299" i="17"/>
  <c r="Q299" i="17"/>
  <c r="R299" i="17"/>
  <c r="S299" i="17"/>
  <c r="T299" i="17"/>
  <c r="U299" i="17"/>
  <c r="V299" i="17"/>
  <c r="W299" i="17"/>
  <c r="X299" i="17"/>
  <c r="Y299" i="17"/>
  <c r="Z299" i="17"/>
  <c r="AA299" i="17"/>
  <c r="AB299" i="17"/>
  <c r="AC299" i="17"/>
  <c r="AD299" i="17"/>
  <c r="AE299" i="17"/>
  <c r="AF299" i="17"/>
  <c r="AG299" i="17"/>
  <c r="AH299" i="17"/>
  <c r="AI299" i="17"/>
  <c r="AJ299" i="17"/>
  <c r="AK299" i="17"/>
  <c r="AL299" i="17"/>
  <c r="AM299" i="17"/>
  <c r="AN299" i="17"/>
  <c r="AO299" i="17"/>
  <c r="AP299" i="17"/>
  <c r="AQ299" i="17"/>
  <c r="AR299" i="17"/>
  <c r="AS299" i="17"/>
  <c r="AT299" i="17"/>
  <c r="AU299" i="17"/>
  <c r="AV299" i="17"/>
  <c r="AW299" i="17"/>
  <c r="AX299" i="17"/>
  <c r="AY299" i="17"/>
  <c r="AZ299" i="17"/>
  <c r="BA299" i="17"/>
  <c r="BB299" i="17"/>
  <c r="BC299" i="17"/>
  <c r="BD299" i="17"/>
  <c r="BE299" i="17"/>
  <c r="BF299" i="17"/>
  <c r="BG299" i="17"/>
  <c r="BH299" i="17"/>
  <c r="BI299" i="17"/>
  <c r="BJ299" i="17"/>
  <c r="BK299" i="17"/>
  <c r="BL299" i="17"/>
  <c r="BM299" i="17"/>
  <c r="BN299" i="17"/>
  <c r="BO299" i="17"/>
  <c r="BP299" i="17"/>
  <c r="BQ299" i="17"/>
  <c r="BR299" i="17"/>
  <c r="BS299" i="17"/>
  <c r="BT299" i="17"/>
  <c r="BU299" i="17"/>
  <c r="BV299" i="17"/>
  <c r="BW299" i="17"/>
  <c r="BX299" i="17"/>
  <c r="BY299" i="17"/>
  <c r="BZ299" i="17"/>
  <c r="CA299" i="17"/>
  <c r="CB299" i="17"/>
  <c r="CC299" i="17"/>
  <c r="CD299" i="17"/>
  <c r="CE299" i="17"/>
  <c r="CF299" i="17"/>
  <c r="CG299" i="17"/>
  <c r="CH299" i="17"/>
  <c r="CI299" i="17"/>
  <c r="CJ299" i="17"/>
  <c r="CK299" i="17"/>
  <c r="CL299" i="17"/>
  <c r="CM299" i="17"/>
  <c r="CN299" i="17"/>
  <c r="CO299" i="17"/>
  <c r="CP299" i="17"/>
  <c r="CQ299" i="17"/>
  <c r="CR299" i="17"/>
  <c r="CS299" i="17"/>
  <c r="CT299" i="17"/>
  <c r="CU299" i="17"/>
  <c r="CV299" i="17"/>
  <c r="CW299" i="17"/>
  <c r="CX299" i="17"/>
  <c r="CY299" i="17"/>
  <c r="CZ299" i="17"/>
  <c r="DA299" i="17"/>
  <c r="DB299" i="17"/>
  <c r="DC299" i="17"/>
  <c r="DD299" i="17"/>
  <c r="DE299" i="17"/>
  <c r="DF299" i="17"/>
  <c r="DG299" i="17"/>
  <c r="DH299" i="17"/>
  <c r="DI299" i="17"/>
  <c r="DJ299" i="17"/>
  <c r="DK299" i="17"/>
  <c r="DL299" i="17"/>
  <c r="DM299" i="17"/>
  <c r="DN299" i="17"/>
  <c r="DO299" i="17"/>
  <c r="DP299" i="17"/>
  <c r="DQ299" i="17"/>
  <c r="DR299" i="17"/>
  <c r="DS299" i="17"/>
  <c r="DT299" i="17"/>
  <c r="DU299" i="17"/>
  <c r="DV299" i="17"/>
  <c r="DW299" i="17"/>
  <c r="DX299" i="17"/>
  <c r="DY299" i="17"/>
  <c r="DZ299" i="17"/>
  <c r="EA299" i="17"/>
  <c r="EB299" i="17"/>
  <c r="EC299" i="17"/>
  <c r="ED299" i="17"/>
  <c r="EE299" i="17"/>
  <c r="EF299" i="17"/>
  <c r="EG299" i="17"/>
  <c r="EH299" i="17"/>
  <c r="EI299" i="17"/>
  <c r="EJ299" i="17"/>
  <c r="EK299" i="17"/>
  <c r="EL299" i="17"/>
  <c r="EM299" i="17"/>
  <c r="EN299" i="17"/>
  <c r="EO299" i="17"/>
  <c r="EP299" i="17"/>
  <c r="EQ299" i="17"/>
  <c r="ER299" i="17"/>
  <c r="ES299" i="17"/>
  <c r="ET299" i="17"/>
  <c r="EU299" i="17"/>
  <c r="EV299" i="17"/>
  <c r="EW299" i="17"/>
  <c r="EX299" i="17"/>
  <c r="EY299" i="17"/>
  <c r="EZ299" i="17"/>
  <c r="FA299" i="17"/>
  <c r="FB299" i="17"/>
  <c r="FC299" i="17"/>
  <c r="FD299" i="17"/>
  <c r="FE299" i="17"/>
  <c r="FF299" i="17"/>
  <c r="FG299" i="17"/>
  <c r="FJ299" i="17"/>
  <c r="FK299" i="17"/>
  <c r="FL299" i="17"/>
  <c r="FM299" i="17"/>
  <c r="FN299" i="17"/>
  <c r="A298" i="17"/>
  <c r="B298" i="17"/>
  <c r="C298" i="17"/>
  <c r="D298" i="17"/>
  <c r="E298" i="17"/>
  <c r="F298" i="17"/>
  <c r="G298" i="17"/>
  <c r="H298" i="17"/>
  <c r="I298" i="17"/>
  <c r="J298" i="17"/>
  <c r="K298" i="17"/>
  <c r="L298" i="17"/>
  <c r="M298" i="17"/>
  <c r="N298" i="17"/>
  <c r="O298" i="17"/>
  <c r="P298" i="17"/>
  <c r="Q298" i="17"/>
  <c r="R298" i="17"/>
  <c r="S298" i="17"/>
  <c r="T298" i="17"/>
  <c r="U298" i="17"/>
  <c r="V298" i="17"/>
  <c r="W298" i="17"/>
  <c r="X298" i="17"/>
  <c r="Y298" i="17"/>
  <c r="Z298" i="17"/>
  <c r="AA298" i="17"/>
  <c r="AB298" i="17"/>
  <c r="AC298" i="17"/>
  <c r="AD298" i="17"/>
  <c r="AE298" i="17"/>
  <c r="AF298" i="17"/>
  <c r="AG298" i="17"/>
  <c r="AH298" i="17"/>
  <c r="AI298" i="17"/>
  <c r="AJ298" i="17"/>
  <c r="AK298" i="17"/>
  <c r="AL298" i="17"/>
  <c r="AM298" i="17"/>
  <c r="AN298" i="17"/>
  <c r="AO298" i="17"/>
  <c r="AP298" i="17"/>
  <c r="AQ298" i="17"/>
  <c r="AR298" i="17"/>
  <c r="AS298" i="17"/>
  <c r="AT298" i="17"/>
  <c r="AU298" i="17"/>
  <c r="AV298" i="17"/>
  <c r="AW298" i="17"/>
  <c r="AX298" i="17"/>
  <c r="AY298" i="17"/>
  <c r="AZ298" i="17"/>
  <c r="BA298" i="17"/>
  <c r="BB298" i="17"/>
  <c r="BC298" i="17"/>
  <c r="BD298" i="17"/>
  <c r="BE298" i="17"/>
  <c r="BF298" i="17"/>
  <c r="BG298" i="17"/>
  <c r="BH298" i="17"/>
  <c r="BI298" i="17"/>
  <c r="BJ298" i="17"/>
  <c r="BK298" i="17"/>
  <c r="BL298" i="17"/>
  <c r="BM298" i="17"/>
  <c r="BN298" i="17"/>
  <c r="BO298" i="17"/>
  <c r="BP298" i="17"/>
  <c r="BQ298" i="17"/>
  <c r="BR298" i="17"/>
  <c r="BS298" i="17"/>
  <c r="BT298" i="17"/>
  <c r="BU298" i="17"/>
  <c r="BV298" i="17"/>
  <c r="BW298" i="17"/>
  <c r="BX298" i="17"/>
  <c r="BY298" i="17"/>
  <c r="BZ298" i="17"/>
  <c r="CA298" i="17"/>
  <c r="CB298" i="17"/>
  <c r="CC298" i="17"/>
  <c r="CD298" i="17"/>
  <c r="CE298" i="17"/>
  <c r="CF298" i="17"/>
  <c r="CG298" i="17"/>
  <c r="CH298" i="17"/>
  <c r="CI298" i="17"/>
  <c r="CJ298" i="17"/>
  <c r="CK298" i="17"/>
  <c r="CL298" i="17"/>
  <c r="CM298" i="17"/>
  <c r="CN298" i="17"/>
  <c r="CO298" i="17"/>
  <c r="CP298" i="17"/>
  <c r="CQ298" i="17"/>
  <c r="CR298" i="17"/>
  <c r="CS298" i="17"/>
  <c r="CT298" i="17"/>
  <c r="CU298" i="17"/>
  <c r="CV298" i="17"/>
  <c r="CW298" i="17"/>
  <c r="CX298" i="17"/>
  <c r="CY298" i="17"/>
  <c r="CZ298" i="17"/>
  <c r="DA298" i="17"/>
  <c r="DB298" i="17"/>
  <c r="DC298" i="17"/>
  <c r="DD298" i="17"/>
  <c r="DE298" i="17"/>
  <c r="DF298" i="17"/>
  <c r="DG298" i="17"/>
  <c r="DH298" i="17"/>
  <c r="DI298" i="17"/>
  <c r="DJ298" i="17"/>
  <c r="DK298" i="17"/>
  <c r="DL298" i="17"/>
  <c r="DM298" i="17"/>
  <c r="DN298" i="17"/>
  <c r="DO298" i="17"/>
  <c r="DP298" i="17"/>
  <c r="DQ298" i="17"/>
  <c r="DR298" i="17"/>
  <c r="DS298" i="17"/>
  <c r="DT298" i="17"/>
  <c r="DU298" i="17"/>
  <c r="DV298" i="17"/>
  <c r="DW298" i="17"/>
  <c r="DX298" i="17"/>
  <c r="DY298" i="17"/>
  <c r="DZ298" i="17"/>
  <c r="EA298" i="17"/>
  <c r="EB298" i="17"/>
  <c r="EC298" i="17"/>
  <c r="ED298" i="17"/>
  <c r="EE298" i="17"/>
  <c r="EF298" i="17"/>
  <c r="EG298" i="17"/>
  <c r="EH298" i="17"/>
  <c r="EI298" i="17"/>
  <c r="EJ298" i="17"/>
  <c r="EK298" i="17"/>
  <c r="EL298" i="17"/>
  <c r="EM298" i="17"/>
  <c r="EN298" i="17"/>
  <c r="EO298" i="17"/>
  <c r="EP298" i="17"/>
  <c r="EQ298" i="17"/>
  <c r="ER298" i="17"/>
  <c r="ES298" i="17"/>
  <c r="ET298" i="17"/>
  <c r="EU298" i="17"/>
  <c r="EV298" i="17"/>
  <c r="EW298" i="17"/>
  <c r="EX298" i="17"/>
  <c r="EY298" i="17"/>
  <c r="EZ298" i="17"/>
  <c r="FA298" i="17"/>
  <c r="FB298" i="17"/>
  <c r="FC298" i="17"/>
  <c r="FD298" i="17"/>
  <c r="FE298" i="17"/>
  <c r="FF298" i="17"/>
  <c r="FG298" i="17"/>
  <c r="FH298" i="17"/>
  <c r="FI298" i="17"/>
  <c r="FJ298" i="17"/>
  <c r="FK298" i="17"/>
  <c r="FL298" i="17"/>
  <c r="FM298" i="17"/>
  <c r="FN298" i="17"/>
  <c r="FO298" i="17"/>
  <c r="FP298" i="17"/>
  <c r="FQ298" i="17"/>
  <c r="FR298" i="17"/>
  <c r="FS298" i="17"/>
  <c r="FT298" i="17"/>
  <c r="FU298" i="17"/>
  <c r="FV298" i="17"/>
  <c r="FW298" i="17"/>
  <c r="FX298" i="17"/>
  <c r="FY298" i="17"/>
  <c r="FZ298" i="17"/>
  <c r="GA298" i="17"/>
  <c r="GB298" i="17"/>
  <c r="GC298" i="17"/>
  <c r="GD298" i="17"/>
  <c r="GE298" i="17"/>
  <c r="GF298" i="17"/>
  <c r="GG298" i="17"/>
  <c r="GH298" i="17"/>
  <c r="GI298" i="17"/>
  <c r="GJ298" i="17"/>
  <c r="GK298" i="17"/>
  <c r="GL298" i="17"/>
  <c r="GM298" i="17"/>
  <c r="GN298" i="17"/>
  <c r="GO298" i="17"/>
  <c r="GP298" i="17"/>
  <c r="GQ298" i="17"/>
  <c r="GR298" i="17"/>
  <c r="GS298" i="17"/>
  <c r="GT298" i="17"/>
  <c r="GU298" i="17"/>
  <c r="GV298" i="17"/>
  <c r="GW298" i="17"/>
  <c r="GX298" i="17"/>
  <c r="GY298" i="17"/>
  <c r="GZ298" i="17"/>
  <c r="HA298" i="17"/>
  <c r="HB298" i="17"/>
  <c r="HC298" i="17"/>
  <c r="HD298" i="17"/>
  <c r="HE298" i="17"/>
  <c r="HF298" i="17"/>
  <c r="HG298" i="17"/>
  <c r="HH298" i="17"/>
  <c r="HI298" i="17"/>
  <c r="HJ298" i="17"/>
  <c r="HK298" i="17"/>
  <c r="HL298" i="17"/>
  <c r="HM298" i="17"/>
  <c r="HN298" i="17"/>
  <c r="HO298" i="17"/>
  <c r="HP298" i="17"/>
  <c r="HQ298" i="17"/>
  <c r="HR298" i="17"/>
  <c r="HS298" i="17"/>
  <c r="HT298" i="17"/>
  <c r="HU298" i="17"/>
  <c r="HV298" i="17"/>
  <c r="HW298" i="17"/>
  <c r="HX298" i="17"/>
  <c r="HY298" i="17"/>
  <c r="HZ298" i="17"/>
  <c r="IA298" i="17"/>
  <c r="IB298" i="17"/>
  <c r="IC298" i="17"/>
  <c r="ID298" i="17"/>
  <c r="IE298" i="17"/>
  <c r="IF298" i="17"/>
  <c r="IG298" i="17"/>
  <c r="IH298" i="17"/>
  <c r="II298" i="17"/>
  <c r="IJ298" i="17"/>
  <c r="IK298" i="17"/>
  <c r="IL298" i="17"/>
  <c r="IM298" i="17"/>
  <c r="IN298" i="17"/>
  <c r="IO298" i="17"/>
  <c r="IP298" i="17"/>
  <c r="IQ298" i="17"/>
  <c r="IR298" i="17"/>
  <c r="IS298" i="17"/>
  <c r="IT298" i="17"/>
  <c r="IU298" i="17"/>
  <c r="IV298" i="17"/>
  <c r="A297" i="17"/>
  <c r="B297" i="17"/>
  <c r="C297" i="17"/>
  <c r="D297" i="17"/>
  <c r="E297" i="17"/>
  <c r="F297" i="17"/>
  <c r="G297" i="17"/>
  <c r="H297" i="17"/>
  <c r="I297" i="17"/>
  <c r="J297" i="17"/>
  <c r="K297" i="17"/>
  <c r="L297" i="17"/>
  <c r="M297" i="17"/>
  <c r="N297" i="17"/>
  <c r="O297" i="17"/>
  <c r="P297" i="17"/>
  <c r="Q297" i="17"/>
  <c r="R297" i="17"/>
  <c r="S297" i="17"/>
  <c r="T297" i="17"/>
  <c r="U297" i="17"/>
  <c r="V297" i="17"/>
  <c r="W297" i="17"/>
  <c r="X297" i="17"/>
  <c r="Y297" i="17"/>
  <c r="Z297" i="17"/>
  <c r="AA297" i="17"/>
  <c r="AB297" i="17"/>
  <c r="AC297" i="17"/>
  <c r="AD297" i="17"/>
  <c r="AE297" i="17"/>
  <c r="AF297" i="17"/>
  <c r="AG297" i="17"/>
  <c r="AH297" i="17"/>
  <c r="AI297" i="17"/>
  <c r="AJ297" i="17"/>
  <c r="AK297" i="17"/>
  <c r="AL297" i="17"/>
  <c r="AM297" i="17"/>
  <c r="AN297" i="17"/>
  <c r="AO297" i="17"/>
  <c r="AP297" i="17"/>
  <c r="AQ297" i="17"/>
  <c r="AR297" i="17"/>
  <c r="AS297" i="17"/>
  <c r="AT297" i="17"/>
  <c r="AU297" i="17"/>
  <c r="AV297" i="17"/>
  <c r="AW297" i="17"/>
  <c r="AX297" i="17"/>
  <c r="AY297" i="17"/>
  <c r="AZ297" i="17"/>
  <c r="BA297" i="17"/>
  <c r="BB297" i="17"/>
  <c r="BC297" i="17"/>
  <c r="BD297" i="17"/>
  <c r="BE297" i="17"/>
  <c r="BF297" i="17"/>
  <c r="BG297" i="17"/>
  <c r="BH297" i="17"/>
  <c r="BI297" i="17"/>
  <c r="BJ297" i="17"/>
  <c r="BK297" i="17"/>
  <c r="BL297" i="17"/>
  <c r="BM297" i="17"/>
  <c r="BN297" i="17"/>
  <c r="BO297" i="17"/>
  <c r="BP297" i="17"/>
  <c r="BQ297" i="17"/>
  <c r="BR297" i="17"/>
  <c r="BS297" i="17"/>
  <c r="BT297" i="17"/>
  <c r="BU297" i="17"/>
  <c r="BV297" i="17"/>
  <c r="BW297" i="17"/>
  <c r="BX297" i="17"/>
  <c r="BY297" i="17"/>
  <c r="BZ297" i="17"/>
  <c r="CA297" i="17"/>
  <c r="CB297" i="17"/>
  <c r="CC297" i="17"/>
  <c r="CD297" i="17"/>
  <c r="CE297" i="17"/>
  <c r="CF297" i="17"/>
  <c r="CG297" i="17"/>
  <c r="CH297" i="17"/>
  <c r="CI297" i="17"/>
  <c r="CJ297" i="17"/>
  <c r="CK297" i="17"/>
  <c r="CL297" i="17"/>
  <c r="CM297" i="17"/>
  <c r="CN297" i="17"/>
  <c r="CO297" i="17"/>
  <c r="CP297" i="17"/>
  <c r="CQ297" i="17"/>
  <c r="CR297" i="17"/>
  <c r="CS297" i="17"/>
  <c r="CT297" i="17"/>
  <c r="CU297" i="17"/>
  <c r="CV297" i="17"/>
  <c r="CW297" i="17"/>
  <c r="CX297" i="17"/>
  <c r="CY297" i="17"/>
  <c r="CZ297" i="17"/>
  <c r="DA297" i="17"/>
  <c r="DB297" i="17"/>
  <c r="DC297" i="17"/>
  <c r="DD297" i="17"/>
  <c r="DE297" i="17"/>
  <c r="DF297" i="17"/>
  <c r="DG297" i="17"/>
  <c r="DH297" i="17"/>
  <c r="DI297" i="17"/>
  <c r="DJ297" i="17"/>
  <c r="DK297" i="17"/>
  <c r="DL297" i="17"/>
  <c r="DM297" i="17"/>
  <c r="DN297" i="17"/>
  <c r="DO297" i="17"/>
  <c r="DP297" i="17"/>
  <c r="DQ297" i="17"/>
  <c r="DR297" i="17"/>
  <c r="DS297" i="17"/>
  <c r="DT297" i="17"/>
  <c r="DU297" i="17"/>
  <c r="DV297" i="17"/>
  <c r="DW297" i="17"/>
  <c r="DX297" i="17"/>
  <c r="DY297" i="17"/>
  <c r="DZ297" i="17"/>
  <c r="EA297" i="17"/>
  <c r="EB297" i="17"/>
  <c r="EC297" i="17"/>
  <c r="ED297" i="17"/>
  <c r="EE297" i="17"/>
  <c r="EF297" i="17"/>
  <c r="EG297" i="17"/>
  <c r="EH297" i="17"/>
  <c r="EI297" i="17"/>
  <c r="EJ297" i="17"/>
  <c r="EK297" i="17"/>
  <c r="EL297" i="17"/>
  <c r="EM297" i="17"/>
  <c r="EN297" i="17"/>
  <c r="EO297" i="17"/>
  <c r="EP297" i="17"/>
  <c r="EQ297" i="17"/>
  <c r="ER297" i="17"/>
  <c r="ES297" i="17"/>
  <c r="ET297" i="17"/>
  <c r="EU297" i="17"/>
  <c r="EV297" i="17"/>
  <c r="EW297" i="17"/>
  <c r="EX297" i="17"/>
  <c r="EY297" i="17"/>
  <c r="EZ297" i="17"/>
  <c r="FA297" i="17"/>
  <c r="FB297" i="17"/>
  <c r="FC297" i="17"/>
  <c r="FD297" i="17"/>
  <c r="FE297" i="17"/>
  <c r="FF297" i="17"/>
  <c r="FG297" i="17"/>
  <c r="FH297" i="17"/>
  <c r="FI297" i="17"/>
  <c r="FJ297" i="17"/>
  <c r="FK297" i="17"/>
  <c r="FL297" i="17"/>
  <c r="FM297" i="17"/>
  <c r="FN297" i="17"/>
  <c r="FO297" i="17"/>
  <c r="FP297" i="17"/>
  <c r="FQ297" i="17"/>
  <c r="FR297" i="17"/>
  <c r="FS297" i="17"/>
  <c r="FT297" i="17"/>
  <c r="FU297" i="17"/>
  <c r="FV297" i="17"/>
  <c r="FW297" i="17"/>
  <c r="FX297" i="17"/>
  <c r="FY297" i="17"/>
  <c r="FZ297" i="17"/>
  <c r="GA297" i="17"/>
  <c r="GB297" i="17"/>
  <c r="GC297" i="17"/>
  <c r="GD297" i="17"/>
  <c r="GE297" i="17"/>
  <c r="GF297" i="17"/>
  <c r="GG297" i="17"/>
  <c r="GH297" i="17"/>
  <c r="GI297" i="17"/>
  <c r="GJ297" i="17"/>
  <c r="GK297" i="17"/>
  <c r="GL297" i="17"/>
  <c r="GM297" i="17"/>
  <c r="GN297" i="17"/>
  <c r="GO297" i="17"/>
  <c r="GP297" i="17"/>
  <c r="GQ297" i="17"/>
  <c r="GR297" i="17"/>
  <c r="GS297" i="17"/>
  <c r="GT297" i="17"/>
  <c r="GU297" i="17"/>
  <c r="GV297" i="17"/>
  <c r="GW297" i="17"/>
  <c r="GX297" i="17"/>
  <c r="GY297" i="17"/>
  <c r="GZ297" i="17"/>
  <c r="HA297" i="17"/>
  <c r="HB297" i="17"/>
  <c r="HC297" i="17"/>
  <c r="HD297" i="17"/>
  <c r="HE297" i="17"/>
  <c r="HF297" i="17"/>
  <c r="HG297" i="17"/>
  <c r="HH297" i="17"/>
  <c r="HI297" i="17"/>
  <c r="HJ297" i="17"/>
  <c r="HK297" i="17"/>
  <c r="HL297" i="17"/>
  <c r="HM297" i="17"/>
  <c r="HN297" i="17"/>
  <c r="HO297" i="17"/>
  <c r="HP297" i="17"/>
  <c r="HQ297" i="17"/>
  <c r="HR297" i="17"/>
  <c r="HS297" i="17"/>
  <c r="HT297" i="17"/>
  <c r="HU297" i="17"/>
  <c r="HV297" i="17"/>
  <c r="HW297" i="17"/>
  <c r="HX297" i="17"/>
  <c r="HY297" i="17"/>
  <c r="HZ297" i="17"/>
  <c r="IA297" i="17"/>
  <c r="IB297" i="17"/>
  <c r="IC297" i="17"/>
  <c r="ID297" i="17"/>
  <c r="IE297" i="17"/>
  <c r="IF297" i="17"/>
  <c r="IG297" i="17"/>
  <c r="IH297" i="17"/>
  <c r="II297" i="17"/>
  <c r="IJ297" i="17"/>
  <c r="IK297" i="17"/>
  <c r="IL297" i="17"/>
  <c r="IM297" i="17"/>
  <c r="IN297" i="17"/>
  <c r="IO297" i="17"/>
  <c r="IP297" i="17"/>
  <c r="IQ297" i="17"/>
  <c r="IR297" i="17"/>
  <c r="IS297" i="17"/>
  <c r="IT297" i="17"/>
  <c r="IU297" i="17"/>
  <c r="IV297" i="17"/>
  <c r="A296" i="17"/>
  <c r="B296" i="17"/>
  <c r="C296" i="17"/>
  <c r="D296" i="17"/>
  <c r="E296" i="17"/>
  <c r="F296" i="17"/>
  <c r="G296" i="17"/>
  <c r="H296" i="17"/>
  <c r="I296" i="17"/>
  <c r="J296" i="17"/>
  <c r="K296" i="17"/>
  <c r="L296" i="17"/>
  <c r="M296" i="17"/>
  <c r="N296" i="17"/>
  <c r="O296" i="17"/>
  <c r="P296" i="17"/>
  <c r="Q296" i="17"/>
  <c r="R296" i="17"/>
  <c r="S296" i="17"/>
  <c r="T296" i="17"/>
  <c r="U296" i="17"/>
  <c r="V296" i="17"/>
  <c r="W296" i="17"/>
  <c r="X296" i="17"/>
  <c r="Y296" i="17"/>
  <c r="Z296" i="17"/>
  <c r="AA296" i="17"/>
  <c r="AB296" i="17"/>
  <c r="AC296" i="17"/>
  <c r="AD296" i="17"/>
  <c r="AE296" i="17"/>
  <c r="AF296" i="17"/>
  <c r="AG296" i="17"/>
  <c r="AH296" i="17"/>
  <c r="AI296" i="17"/>
  <c r="AJ296" i="17"/>
  <c r="AK296" i="17"/>
  <c r="AL296" i="17"/>
  <c r="AM296" i="17"/>
  <c r="AN296" i="17"/>
  <c r="AO296" i="17"/>
  <c r="AP296" i="17"/>
  <c r="AQ296" i="17"/>
  <c r="AR296" i="17"/>
  <c r="AS296" i="17"/>
  <c r="AT296" i="17"/>
  <c r="AU296" i="17"/>
  <c r="AV296" i="17"/>
  <c r="AW296" i="17"/>
  <c r="AX296" i="17"/>
  <c r="AY296" i="17"/>
  <c r="AZ296" i="17"/>
  <c r="BA296" i="17"/>
  <c r="BB296" i="17"/>
  <c r="BC296" i="17"/>
  <c r="BD296" i="17"/>
  <c r="BE296" i="17"/>
  <c r="BF296" i="17"/>
  <c r="BG296" i="17"/>
  <c r="BH296" i="17"/>
  <c r="BI296" i="17"/>
  <c r="BJ296" i="17"/>
  <c r="BK296" i="17"/>
  <c r="BL296" i="17"/>
  <c r="BM296" i="17"/>
  <c r="BN296" i="17"/>
  <c r="BO296" i="17"/>
  <c r="BP296" i="17"/>
  <c r="BQ296" i="17"/>
  <c r="BR296" i="17"/>
  <c r="BS296" i="17"/>
  <c r="BT296" i="17"/>
  <c r="BU296" i="17"/>
  <c r="BV296" i="17"/>
  <c r="BW296" i="17"/>
  <c r="BX296" i="17"/>
  <c r="BY296" i="17"/>
  <c r="BZ296" i="17"/>
  <c r="CA296" i="17"/>
  <c r="CB296" i="17"/>
  <c r="CC296" i="17"/>
  <c r="CD296" i="17"/>
  <c r="CE296" i="17"/>
  <c r="CF296" i="17"/>
  <c r="CG296" i="17"/>
  <c r="CH296" i="17"/>
  <c r="CI296" i="17"/>
  <c r="CJ296" i="17"/>
  <c r="CK296" i="17"/>
  <c r="CL296" i="17"/>
  <c r="CM296" i="17"/>
  <c r="CN296" i="17"/>
  <c r="CO296" i="17"/>
  <c r="CP296" i="17"/>
  <c r="CQ296" i="17"/>
  <c r="CR296" i="17"/>
  <c r="CS296" i="17"/>
  <c r="CT296" i="17"/>
  <c r="CU296" i="17"/>
  <c r="CV296" i="17"/>
  <c r="CW296" i="17"/>
  <c r="CX296" i="17"/>
  <c r="CY296" i="17"/>
  <c r="CZ296" i="17"/>
  <c r="DA296" i="17"/>
  <c r="DB296" i="17"/>
  <c r="DC296" i="17"/>
  <c r="DD296" i="17"/>
  <c r="DE296" i="17"/>
  <c r="DF296" i="17"/>
  <c r="DG296" i="17"/>
  <c r="DH296" i="17"/>
  <c r="DI296" i="17"/>
  <c r="DJ296" i="17"/>
  <c r="DK296" i="17"/>
  <c r="DL296" i="17"/>
  <c r="DM296" i="17"/>
  <c r="DN296" i="17"/>
  <c r="DO296" i="17"/>
  <c r="DP296" i="17"/>
  <c r="DQ296" i="17"/>
  <c r="DR296" i="17"/>
  <c r="DS296" i="17"/>
  <c r="DT296" i="17"/>
  <c r="DU296" i="17"/>
  <c r="DV296" i="17"/>
  <c r="DW296" i="17"/>
  <c r="DX296" i="17"/>
  <c r="DY296" i="17"/>
  <c r="DZ296" i="17"/>
  <c r="EA296" i="17"/>
  <c r="EB296" i="17"/>
  <c r="EC296" i="17"/>
  <c r="ED296" i="17"/>
  <c r="EE296" i="17"/>
  <c r="EF296" i="17"/>
  <c r="EG296" i="17"/>
  <c r="EH296" i="17"/>
  <c r="EI296" i="17"/>
  <c r="EJ296" i="17"/>
  <c r="EK296" i="17"/>
  <c r="EL296" i="17"/>
  <c r="EM296" i="17"/>
  <c r="EN296" i="17"/>
  <c r="EO296" i="17"/>
  <c r="EP296" i="17"/>
  <c r="EQ296" i="17"/>
  <c r="ER296" i="17"/>
  <c r="ES296" i="17"/>
  <c r="ET296" i="17"/>
  <c r="EU296" i="17"/>
  <c r="EV296" i="17"/>
  <c r="EW296" i="17"/>
  <c r="EX296" i="17"/>
  <c r="EY296" i="17"/>
  <c r="EZ296" i="17"/>
  <c r="FA296" i="17"/>
  <c r="FB296" i="17"/>
  <c r="FC296" i="17"/>
  <c r="FD296" i="17"/>
  <c r="FE296" i="17"/>
  <c r="FF296" i="17"/>
  <c r="FG296" i="17"/>
  <c r="FH296" i="17"/>
  <c r="FI296" i="17"/>
  <c r="FJ296" i="17"/>
  <c r="FK296" i="17"/>
  <c r="FL296" i="17"/>
  <c r="FM296" i="17"/>
  <c r="FN296" i="17"/>
  <c r="FO296" i="17"/>
  <c r="FP296" i="17"/>
  <c r="FQ296" i="17"/>
  <c r="FR296" i="17"/>
  <c r="FS296" i="17"/>
  <c r="FT296" i="17"/>
  <c r="FU296" i="17"/>
  <c r="FV296" i="17"/>
  <c r="FW296" i="17"/>
  <c r="FX296" i="17"/>
  <c r="FY296" i="17"/>
  <c r="FZ296" i="17"/>
  <c r="GA296" i="17"/>
  <c r="GB296" i="17"/>
  <c r="GC296" i="17"/>
  <c r="GD296" i="17"/>
  <c r="GE296" i="17"/>
  <c r="GF296" i="17"/>
  <c r="GG296" i="17"/>
  <c r="GH296" i="17"/>
  <c r="GI296" i="17"/>
  <c r="GJ296" i="17"/>
  <c r="GK296" i="17"/>
  <c r="GL296" i="17"/>
  <c r="GM296" i="17"/>
  <c r="GN296" i="17"/>
  <c r="GO296" i="17"/>
  <c r="GP296" i="17"/>
  <c r="GQ296" i="17"/>
  <c r="GR296" i="17"/>
  <c r="GS296" i="17"/>
  <c r="GT296" i="17"/>
  <c r="GU296" i="17"/>
  <c r="GV296" i="17"/>
  <c r="GW296" i="17"/>
  <c r="GX296" i="17"/>
  <c r="GY296" i="17"/>
  <c r="GZ296" i="17"/>
  <c r="HA296" i="17"/>
  <c r="HB296" i="17"/>
  <c r="HC296" i="17"/>
  <c r="HD296" i="17"/>
  <c r="HE296" i="17"/>
  <c r="HF296" i="17"/>
  <c r="HG296" i="17"/>
  <c r="HH296" i="17"/>
  <c r="HI296" i="17"/>
  <c r="HJ296" i="17"/>
  <c r="HK296" i="17"/>
  <c r="HL296" i="17"/>
  <c r="HM296" i="17"/>
  <c r="HN296" i="17"/>
  <c r="HO296" i="17"/>
  <c r="HP296" i="17"/>
  <c r="HQ296" i="17"/>
  <c r="HR296" i="17"/>
  <c r="HS296" i="17"/>
  <c r="HT296" i="17"/>
  <c r="HU296" i="17"/>
  <c r="HV296" i="17"/>
  <c r="HW296" i="17"/>
  <c r="HX296" i="17"/>
  <c r="HY296" i="17"/>
  <c r="HZ296" i="17"/>
  <c r="IA296" i="17"/>
  <c r="IB296" i="17"/>
  <c r="IC296" i="17"/>
  <c r="ID296" i="17"/>
  <c r="IE296" i="17"/>
  <c r="IF296" i="17"/>
  <c r="IG296" i="17"/>
  <c r="IH296" i="17"/>
  <c r="II296" i="17"/>
  <c r="IJ296" i="17"/>
  <c r="IK296" i="17"/>
  <c r="IL296" i="17"/>
  <c r="IM296" i="17"/>
  <c r="IN296" i="17"/>
  <c r="IO296" i="17"/>
  <c r="IP296" i="17"/>
  <c r="IQ296" i="17"/>
  <c r="IR296" i="17"/>
  <c r="IS296" i="17"/>
  <c r="IT296" i="17"/>
  <c r="IU296" i="17"/>
  <c r="IV296" i="17"/>
  <c r="A295" i="17"/>
  <c r="B295" i="17"/>
  <c r="C295" i="17"/>
  <c r="D295" i="17"/>
  <c r="E295" i="17"/>
  <c r="F295" i="17"/>
  <c r="G295" i="17"/>
  <c r="H295" i="17"/>
  <c r="I295" i="17"/>
  <c r="J295" i="17"/>
  <c r="K295" i="17"/>
  <c r="L295" i="17"/>
  <c r="M295" i="17"/>
  <c r="N295" i="17"/>
  <c r="O295" i="17"/>
  <c r="P295" i="17"/>
  <c r="Q295" i="17"/>
  <c r="R295" i="17"/>
  <c r="S295" i="17"/>
  <c r="T295" i="17"/>
  <c r="U295" i="17"/>
  <c r="V295" i="17"/>
  <c r="W295" i="17"/>
  <c r="X295" i="17"/>
  <c r="Y295" i="17"/>
  <c r="Z295" i="17"/>
  <c r="AA295" i="17"/>
  <c r="AB295" i="17"/>
  <c r="AC295" i="17"/>
  <c r="AD295" i="17"/>
  <c r="AE295" i="17"/>
  <c r="AF295" i="17"/>
  <c r="AG295" i="17"/>
  <c r="AH295" i="17"/>
  <c r="AI295" i="17"/>
  <c r="AJ295" i="17"/>
  <c r="AK295" i="17"/>
  <c r="AL295" i="17"/>
  <c r="AM295" i="17"/>
  <c r="AN295" i="17"/>
  <c r="AO295" i="17"/>
  <c r="AP295" i="17"/>
  <c r="AQ295" i="17"/>
  <c r="AR295" i="17"/>
  <c r="AS295" i="17"/>
  <c r="AT295" i="17"/>
  <c r="AU295" i="17"/>
  <c r="AV295" i="17"/>
  <c r="AW295" i="17"/>
  <c r="AX295" i="17"/>
  <c r="AY295" i="17"/>
  <c r="AZ295" i="17"/>
  <c r="BA295" i="17"/>
  <c r="BB295" i="17"/>
  <c r="BC295" i="17"/>
  <c r="BD295" i="17"/>
  <c r="BE295" i="17"/>
  <c r="BF295" i="17"/>
  <c r="BG295" i="17"/>
  <c r="BH295" i="17"/>
  <c r="BI295" i="17"/>
  <c r="BJ295" i="17"/>
  <c r="BK295" i="17"/>
  <c r="BL295" i="17"/>
  <c r="BM295" i="17"/>
  <c r="BN295" i="17"/>
  <c r="BO295" i="17"/>
  <c r="BP295" i="17"/>
  <c r="BQ295" i="17"/>
  <c r="BR295" i="17"/>
  <c r="BS295" i="17"/>
  <c r="BT295" i="17"/>
  <c r="BU295" i="17"/>
  <c r="BV295" i="17"/>
  <c r="BW295" i="17"/>
  <c r="BX295" i="17"/>
  <c r="BY295" i="17"/>
  <c r="BZ295" i="17"/>
  <c r="CA295" i="17"/>
  <c r="CB295" i="17"/>
  <c r="CC295" i="17"/>
  <c r="CD295" i="17"/>
  <c r="CE295" i="17"/>
  <c r="CF295" i="17"/>
  <c r="CG295" i="17"/>
  <c r="CH295" i="17"/>
  <c r="CI295" i="17"/>
  <c r="CJ295" i="17"/>
  <c r="CK295" i="17"/>
  <c r="CL295" i="17"/>
  <c r="CM295" i="17"/>
  <c r="CN295" i="17"/>
  <c r="CO295" i="17"/>
  <c r="CP295" i="17"/>
  <c r="CQ295" i="17"/>
  <c r="CR295" i="17"/>
  <c r="CS295" i="17"/>
  <c r="CT295" i="17"/>
  <c r="CU295" i="17"/>
  <c r="CV295" i="17"/>
  <c r="CW295" i="17"/>
  <c r="CX295" i="17"/>
  <c r="CY295" i="17"/>
  <c r="CZ295" i="17"/>
  <c r="DA295" i="17"/>
  <c r="DB295" i="17"/>
  <c r="DC295" i="17"/>
  <c r="DD295" i="17"/>
  <c r="DE295" i="17"/>
  <c r="DF295" i="17"/>
  <c r="DG295" i="17"/>
  <c r="DH295" i="17"/>
  <c r="DI295" i="17"/>
  <c r="DJ295" i="17"/>
  <c r="DK295" i="17"/>
  <c r="DL295" i="17"/>
  <c r="DM295" i="17"/>
  <c r="DN295" i="17"/>
  <c r="DO295" i="17"/>
  <c r="DP295" i="17"/>
  <c r="DQ295" i="17"/>
  <c r="DR295" i="17"/>
  <c r="DS295" i="17"/>
  <c r="DT295" i="17"/>
  <c r="DU295" i="17"/>
  <c r="DV295" i="17"/>
  <c r="DW295" i="17"/>
  <c r="DX295" i="17"/>
  <c r="DY295" i="17"/>
  <c r="DZ295" i="17"/>
  <c r="EA295" i="17"/>
  <c r="EB295" i="17"/>
  <c r="EC295" i="17"/>
  <c r="ED295" i="17"/>
  <c r="EE295" i="17"/>
  <c r="EF295" i="17"/>
  <c r="EG295" i="17"/>
  <c r="EH295" i="17"/>
  <c r="EI295" i="17"/>
  <c r="EJ295" i="17"/>
  <c r="EK295" i="17"/>
  <c r="EL295" i="17"/>
  <c r="EM295" i="17"/>
  <c r="EN295" i="17"/>
  <c r="EO295" i="17"/>
  <c r="EP295" i="17"/>
  <c r="EQ295" i="17"/>
  <c r="ER295" i="17"/>
  <c r="ES295" i="17"/>
  <c r="ET295" i="17"/>
  <c r="EU295" i="17"/>
  <c r="EV295" i="17"/>
  <c r="EW295" i="17"/>
  <c r="EX295" i="17"/>
  <c r="EY295" i="17"/>
  <c r="EZ295" i="17"/>
  <c r="FA295" i="17"/>
  <c r="FB295" i="17"/>
  <c r="FC295" i="17"/>
  <c r="FD295" i="17"/>
  <c r="FE295" i="17"/>
  <c r="FF295" i="17"/>
  <c r="FG295" i="17"/>
  <c r="FH295" i="17"/>
  <c r="FI295" i="17"/>
  <c r="FJ295" i="17"/>
  <c r="FK295" i="17"/>
  <c r="FL295" i="17"/>
  <c r="FM295" i="17"/>
  <c r="FN295" i="17"/>
  <c r="FO295" i="17"/>
  <c r="FP295" i="17"/>
  <c r="FQ295" i="17"/>
  <c r="FR295" i="17"/>
  <c r="FS295" i="17"/>
  <c r="FT295" i="17"/>
  <c r="FU295" i="17"/>
  <c r="FV295" i="17"/>
  <c r="FW295" i="17"/>
  <c r="FX295" i="17"/>
  <c r="FY295" i="17"/>
  <c r="FZ295" i="17"/>
  <c r="GA295" i="17"/>
  <c r="GB295" i="17"/>
  <c r="GC295" i="17"/>
  <c r="GD295" i="17"/>
  <c r="GE295" i="17"/>
  <c r="GF295" i="17"/>
  <c r="GG295" i="17"/>
  <c r="GH295" i="17"/>
  <c r="GI295" i="17"/>
  <c r="GJ295" i="17"/>
  <c r="GK295" i="17"/>
  <c r="GL295" i="17"/>
  <c r="GM295" i="17"/>
  <c r="GN295" i="17"/>
  <c r="GO295" i="17"/>
  <c r="GP295" i="17"/>
  <c r="GQ295" i="17"/>
  <c r="GR295" i="17"/>
  <c r="GS295" i="17"/>
  <c r="GT295" i="17"/>
  <c r="GU295" i="17"/>
  <c r="GV295" i="17"/>
  <c r="GW295" i="17"/>
  <c r="GX295" i="17"/>
  <c r="GY295" i="17"/>
  <c r="GZ295" i="17"/>
  <c r="HA295" i="17"/>
  <c r="HB295" i="17"/>
  <c r="HC295" i="17"/>
  <c r="HD295" i="17"/>
  <c r="HE295" i="17"/>
  <c r="HF295" i="17"/>
  <c r="HG295" i="17"/>
  <c r="HH295" i="17"/>
  <c r="HI295" i="17"/>
  <c r="HJ295" i="17"/>
  <c r="HK295" i="17"/>
  <c r="HL295" i="17"/>
  <c r="HM295" i="17"/>
  <c r="HN295" i="17"/>
  <c r="HO295" i="17"/>
  <c r="HP295" i="17"/>
  <c r="HQ295" i="17"/>
  <c r="HR295" i="17"/>
  <c r="HS295" i="17"/>
  <c r="HT295" i="17"/>
  <c r="HU295" i="17"/>
  <c r="HV295" i="17"/>
  <c r="HW295" i="17"/>
  <c r="HX295" i="17"/>
  <c r="HY295" i="17"/>
  <c r="HZ295" i="17"/>
  <c r="IA295" i="17"/>
  <c r="IB295" i="17"/>
  <c r="IC295" i="17"/>
  <c r="ID295" i="17"/>
  <c r="IE295" i="17"/>
  <c r="IF295" i="17"/>
  <c r="IG295" i="17"/>
  <c r="IH295" i="17"/>
  <c r="II295" i="17"/>
  <c r="IJ295" i="17"/>
  <c r="IK295" i="17"/>
  <c r="IL295" i="17"/>
  <c r="IM295" i="17"/>
  <c r="IN295" i="17"/>
  <c r="IO295" i="17"/>
  <c r="IP295" i="17"/>
  <c r="IQ295" i="17"/>
  <c r="IR295" i="17"/>
  <c r="IS295" i="17"/>
  <c r="IT295" i="17"/>
  <c r="IU295" i="17"/>
  <c r="IV295" i="17"/>
  <c r="A294" i="17"/>
  <c r="B294" i="17"/>
  <c r="C294" i="17"/>
  <c r="D294" i="17"/>
  <c r="E294" i="17"/>
  <c r="F294" i="17"/>
  <c r="G294" i="17"/>
  <c r="H294" i="17"/>
  <c r="I294" i="17"/>
  <c r="J294" i="17"/>
  <c r="K294" i="17"/>
  <c r="L294" i="17"/>
  <c r="M294" i="17"/>
  <c r="N294" i="17"/>
  <c r="O294" i="17"/>
  <c r="P294" i="17"/>
  <c r="Q294" i="17"/>
  <c r="R294" i="17"/>
  <c r="S294" i="17"/>
  <c r="T294" i="17"/>
  <c r="U294" i="17"/>
  <c r="V294" i="17"/>
  <c r="W294" i="17"/>
  <c r="X294" i="17"/>
  <c r="Y294" i="17"/>
  <c r="Z294" i="17"/>
  <c r="AA294" i="17"/>
  <c r="AB294" i="17"/>
  <c r="AC294" i="17"/>
  <c r="AD294" i="17"/>
  <c r="AE294" i="17"/>
  <c r="AF294" i="17"/>
  <c r="AG294" i="17"/>
  <c r="AH294" i="17"/>
  <c r="AI294" i="17"/>
  <c r="AJ294" i="17"/>
  <c r="AK294" i="17"/>
  <c r="AL294" i="17"/>
  <c r="AM294" i="17"/>
  <c r="AN294" i="17"/>
  <c r="AO294" i="17"/>
  <c r="AP294" i="17"/>
  <c r="AQ294" i="17"/>
  <c r="AR294" i="17"/>
  <c r="AS294" i="17"/>
  <c r="AT294" i="17"/>
  <c r="AU294" i="17"/>
  <c r="AV294" i="17"/>
  <c r="AW294" i="17"/>
  <c r="AX294" i="17"/>
  <c r="AY294" i="17"/>
  <c r="AZ294" i="17"/>
  <c r="BA294" i="17"/>
  <c r="BB294" i="17"/>
  <c r="BC294" i="17"/>
  <c r="BD294" i="17"/>
  <c r="BE294" i="17"/>
  <c r="BF294" i="17"/>
  <c r="BG294" i="17"/>
  <c r="BH294" i="17"/>
  <c r="BI294" i="17"/>
  <c r="BJ294" i="17"/>
  <c r="BK294" i="17"/>
  <c r="BL294" i="17"/>
  <c r="BM294" i="17"/>
  <c r="BN294" i="17"/>
  <c r="BO294" i="17"/>
  <c r="BP294" i="17"/>
  <c r="BQ294" i="17"/>
  <c r="BR294" i="17"/>
  <c r="BS294" i="17"/>
  <c r="BT294" i="17"/>
  <c r="BU294" i="17"/>
  <c r="BV294" i="17"/>
  <c r="BW294" i="17"/>
  <c r="BX294" i="17"/>
  <c r="BY294" i="17"/>
  <c r="BZ294" i="17"/>
  <c r="CA294" i="17"/>
  <c r="CB294" i="17"/>
  <c r="CC294" i="17"/>
  <c r="CD294" i="17"/>
  <c r="CE294" i="17"/>
  <c r="CF294" i="17"/>
  <c r="CG294" i="17"/>
  <c r="CH294" i="17"/>
  <c r="CI294" i="17"/>
  <c r="CJ294" i="17"/>
  <c r="CK294" i="17"/>
  <c r="CL294" i="17"/>
  <c r="CM294" i="17"/>
  <c r="CN294" i="17"/>
  <c r="CO294" i="17"/>
  <c r="CP294" i="17"/>
  <c r="CQ294" i="17"/>
  <c r="CR294" i="17"/>
  <c r="CS294" i="17"/>
  <c r="CT294" i="17"/>
  <c r="CU294" i="17"/>
  <c r="CV294" i="17"/>
  <c r="CW294" i="17"/>
  <c r="CX294" i="17"/>
  <c r="CY294" i="17"/>
  <c r="CZ294" i="17"/>
  <c r="DA294" i="17"/>
  <c r="DB294" i="17"/>
  <c r="DC294" i="17"/>
  <c r="DD294" i="17"/>
  <c r="DE294" i="17"/>
  <c r="DF294" i="17"/>
  <c r="DG294" i="17"/>
  <c r="DH294" i="17"/>
  <c r="DI294" i="17"/>
  <c r="DJ294" i="17"/>
  <c r="DK294" i="17"/>
  <c r="DL294" i="17"/>
  <c r="DM294" i="17"/>
  <c r="DN294" i="17"/>
  <c r="DO294" i="17"/>
  <c r="DP294" i="17"/>
  <c r="DQ294" i="17"/>
  <c r="DR294" i="17"/>
  <c r="DS294" i="17"/>
  <c r="DT294" i="17"/>
  <c r="DU294" i="17"/>
  <c r="DV294" i="17"/>
  <c r="DW294" i="17"/>
  <c r="DX294" i="17"/>
  <c r="DY294" i="17"/>
  <c r="DZ294" i="17"/>
  <c r="EA294" i="17"/>
  <c r="EB294" i="17"/>
  <c r="EC294" i="17"/>
  <c r="ED294" i="17"/>
  <c r="EE294" i="17"/>
  <c r="EF294" i="17"/>
  <c r="EG294" i="17"/>
  <c r="EH294" i="17"/>
  <c r="EI294" i="17"/>
  <c r="EJ294" i="17"/>
  <c r="EK294" i="17"/>
  <c r="EL294" i="17"/>
  <c r="EM294" i="17"/>
  <c r="EN294" i="17"/>
  <c r="EO294" i="17"/>
  <c r="EP294" i="17"/>
  <c r="EQ294" i="17"/>
  <c r="ER294" i="17"/>
  <c r="ES294" i="17"/>
  <c r="ET294" i="17"/>
  <c r="EU294" i="17"/>
  <c r="EV294" i="17"/>
  <c r="EW294" i="17"/>
  <c r="EX294" i="17"/>
  <c r="EY294" i="17"/>
  <c r="EZ294" i="17"/>
  <c r="FA294" i="17"/>
  <c r="FB294" i="17"/>
  <c r="FC294" i="17"/>
  <c r="FD294" i="17"/>
  <c r="FE294" i="17"/>
  <c r="FF294" i="17"/>
  <c r="FG294" i="17"/>
  <c r="FH294" i="17"/>
  <c r="FI294" i="17"/>
  <c r="FJ294" i="17"/>
  <c r="FK294" i="17"/>
  <c r="FL294" i="17"/>
  <c r="FM294" i="17"/>
  <c r="FN294" i="17"/>
  <c r="FO294" i="17"/>
  <c r="FP294" i="17"/>
  <c r="FQ294" i="17"/>
  <c r="FR294" i="17"/>
  <c r="FS294" i="17"/>
  <c r="FT294" i="17"/>
  <c r="FU294" i="17"/>
  <c r="FV294" i="17"/>
  <c r="FW294" i="17"/>
  <c r="FX294" i="17"/>
  <c r="FY294" i="17"/>
  <c r="FZ294" i="17"/>
  <c r="GA294" i="17"/>
  <c r="GB294" i="17"/>
  <c r="GC294" i="17"/>
  <c r="GD294" i="17"/>
  <c r="GE294" i="17"/>
  <c r="GF294" i="17"/>
  <c r="GG294" i="17"/>
  <c r="GH294" i="17"/>
  <c r="GI294" i="17"/>
  <c r="GJ294" i="17"/>
  <c r="GK294" i="17"/>
  <c r="GL294" i="17"/>
  <c r="GM294" i="17"/>
  <c r="GN294" i="17"/>
  <c r="GO294" i="17"/>
  <c r="GP294" i="17"/>
  <c r="GQ294" i="17"/>
  <c r="GR294" i="17"/>
  <c r="GS294" i="17"/>
  <c r="GT294" i="17"/>
  <c r="GU294" i="17"/>
  <c r="GV294" i="17"/>
  <c r="GW294" i="17"/>
  <c r="GX294" i="17"/>
  <c r="GY294" i="17"/>
  <c r="GZ294" i="17"/>
  <c r="HA294" i="17"/>
  <c r="HB294" i="17"/>
  <c r="HC294" i="17"/>
  <c r="HD294" i="17"/>
  <c r="HE294" i="17"/>
  <c r="HF294" i="17"/>
  <c r="HG294" i="17"/>
  <c r="HH294" i="17"/>
  <c r="HI294" i="17"/>
  <c r="HJ294" i="17"/>
  <c r="HK294" i="17"/>
  <c r="HL294" i="17"/>
  <c r="HM294" i="17"/>
  <c r="HN294" i="17"/>
  <c r="HO294" i="17"/>
  <c r="HP294" i="17"/>
  <c r="HQ294" i="17"/>
  <c r="HR294" i="17"/>
  <c r="HS294" i="17"/>
  <c r="HT294" i="17"/>
  <c r="HU294" i="17"/>
  <c r="HV294" i="17"/>
  <c r="HW294" i="17"/>
  <c r="HX294" i="17"/>
  <c r="HY294" i="17"/>
  <c r="HZ294" i="17"/>
  <c r="IA294" i="17"/>
  <c r="IB294" i="17"/>
  <c r="IC294" i="17"/>
  <c r="ID294" i="17"/>
  <c r="IE294" i="17"/>
  <c r="IF294" i="17"/>
  <c r="IG294" i="17"/>
  <c r="IH294" i="17"/>
  <c r="II294" i="17"/>
  <c r="IJ294" i="17"/>
  <c r="IK294" i="17"/>
  <c r="IL294" i="17"/>
  <c r="IM294" i="17"/>
  <c r="IN294" i="17"/>
  <c r="IO294" i="17"/>
  <c r="IP294" i="17"/>
  <c r="IQ294" i="17"/>
  <c r="IR294" i="17"/>
  <c r="IS294" i="17"/>
  <c r="IT294" i="17"/>
  <c r="IU294" i="17"/>
  <c r="IV294" i="17"/>
  <c r="A293" i="17"/>
  <c r="B293" i="17"/>
  <c r="C293" i="17"/>
  <c r="D293" i="17"/>
  <c r="E293" i="17"/>
  <c r="F293" i="17"/>
  <c r="G293" i="17"/>
  <c r="H293" i="17"/>
  <c r="I293" i="17"/>
  <c r="J293" i="17"/>
  <c r="K293" i="17"/>
  <c r="L293" i="17"/>
  <c r="M293" i="17"/>
  <c r="N293" i="17"/>
  <c r="O293" i="17"/>
  <c r="P293" i="17"/>
  <c r="Q293" i="17"/>
  <c r="R293" i="17"/>
  <c r="S293" i="17"/>
  <c r="T293" i="17"/>
  <c r="U293" i="17"/>
  <c r="V293" i="17"/>
  <c r="W293" i="17"/>
  <c r="X293" i="17"/>
  <c r="Y293" i="17"/>
  <c r="Z293" i="17"/>
  <c r="AA293" i="17"/>
  <c r="AB293" i="17"/>
  <c r="AC293" i="17"/>
  <c r="AD293" i="17"/>
  <c r="AE293" i="17"/>
  <c r="AF293" i="17"/>
  <c r="AG293" i="17"/>
  <c r="AH293" i="17"/>
  <c r="AI293" i="17"/>
  <c r="AJ293" i="17"/>
  <c r="AK293" i="17"/>
  <c r="AL293" i="17"/>
  <c r="AM293" i="17"/>
  <c r="AN293" i="17"/>
  <c r="AO293" i="17"/>
  <c r="AP293" i="17"/>
  <c r="AQ293" i="17"/>
  <c r="AR293" i="17"/>
  <c r="AS293" i="17"/>
  <c r="AT293" i="17"/>
  <c r="AU293" i="17"/>
  <c r="AV293" i="17"/>
  <c r="AW293" i="17"/>
  <c r="AX293" i="17"/>
  <c r="AY293" i="17"/>
  <c r="AZ293" i="17"/>
  <c r="BA293" i="17"/>
  <c r="BB293" i="17"/>
  <c r="BC293" i="17"/>
  <c r="BD293" i="17"/>
  <c r="BE293" i="17"/>
  <c r="BF293" i="17"/>
  <c r="BG293" i="17"/>
  <c r="BH293" i="17"/>
  <c r="BI293" i="17"/>
  <c r="BJ293" i="17"/>
  <c r="BK293" i="17"/>
  <c r="BL293" i="17"/>
  <c r="BM293" i="17"/>
  <c r="BN293" i="17"/>
  <c r="BO293" i="17"/>
  <c r="BP293" i="17"/>
  <c r="BQ293" i="17"/>
  <c r="BR293" i="17"/>
  <c r="BS293" i="17"/>
  <c r="BT293" i="17"/>
  <c r="BU293" i="17"/>
  <c r="BV293" i="17"/>
  <c r="BW293" i="17"/>
  <c r="BX293" i="17"/>
  <c r="BY293" i="17"/>
  <c r="BZ293" i="17"/>
  <c r="CA293" i="17"/>
  <c r="CB293" i="17"/>
  <c r="CC293" i="17"/>
  <c r="CD293" i="17"/>
  <c r="CE293" i="17"/>
  <c r="CF293" i="17"/>
  <c r="CG293" i="17"/>
  <c r="CH293" i="17"/>
  <c r="CI293" i="17"/>
  <c r="CJ293" i="17"/>
  <c r="CK293" i="17"/>
  <c r="CL293" i="17"/>
  <c r="CM293" i="17"/>
  <c r="CN293" i="17"/>
  <c r="CO293" i="17"/>
  <c r="CP293" i="17"/>
  <c r="CQ293" i="17"/>
  <c r="CR293" i="17"/>
  <c r="CS293" i="17"/>
  <c r="CT293" i="17"/>
  <c r="CU293" i="17"/>
  <c r="CV293" i="17"/>
  <c r="CW293" i="17"/>
  <c r="CX293" i="17"/>
  <c r="CY293" i="17"/>
  <c r="CZ293" i="17"/>
  <c r="DA293" i="17"/>
  <c r="DB293" i="17"/>
  <c r="DC293" i="17"/>
  <c r="DD293" i="17"/>
  <c r="DE293" i="17"/>
  <c r="DF293" i="17"/>
  <c r="DG293" i="17"/>
  <c r="DH293" i="17"/>
  <c r="DI293" i="17"/>
  <c r="DJ293" i="17"/>
  <c r="DK293" i="17"/>
  <c r="DL293" i="17"/>
  <c r="DM293" i="17"/>
  <c r="DN293" i="17"/>
  <c r="DO293" i="17"/>
  <c r="DP293" i="17"/>
  <c r="DQ293" i="17"/>
  <c r="DR293" i="17"/>
  <c r="DS293" i="17"/>
  <c r="DT293" i="17"/>
  <c r="DU293" i="17"/>
  <c r="DV293" i="17"/>
  <c r="DW293" i="17"/>
  <c r="DX293" i="17"/>
  <c r="DY293" i="17"/>
  <c r="DZ293" i="17"/>
  <c r="EA293" i="17"/>
  <c r="EB293" i="17"/>
  <c r="EC293" i="17"/>
  <c r="ED293" i="17"/>
  <c r="EE293" i="17"/>
  <c r="EF293" i="17"/>
  <c r="EG293" i="17"/>
  <c r="EH293" i="17"/>
  <c r="EI293" i="17"/>
  <c r="EJ293" i="17"/>
  <c r="EK293" i="17"/>
  <c r="EL293" i="17"/>
  <c r="EM293" i="17"/>
  <c r="EN293" i="17"/>
  <c r="EO293" i="17"/>
  <c r="EP293" i="17"/>
  <c r="EQ293" i="17"/>
  <c r="ER293" i="17"/>
  <c r="ES293" i="17"/>
  <c r="ET293" i="17"/>
  <c r="EU293" i="17"/>
  <c r="EV293" i="17"/>
  <c r="EW293" i="17"/>
  <c r="EX293" i="17"/>
  <c r="EY293" i="17"/>
  <c r="EZ293" i="17"/>
  <c r="FA293" i="17"/>
  <c r="FB293" i="17"/>
  <c r="FC293" i="17"/>
  <c r="FD293" i="17"/>
  <c r="FE293" i="17"/>
  <c r="FF293" i="17"/>
  <c r="FG293" i="17"/>
  <c r="FH293" i="17"/>
  <c r="FI293" i="17"/>
  <c r="FJ293" i="17"/>
  <c r="FK293" i="17"/>
  <c r="FL293" i="17"/>
  <c r="FM293" i="17"/>
  <c r="FN293" i="17"/>
  <c r="FO293" i="17"/>
  <c r="FP293" i="17"/>
  <c r="FQ293" i="17"/>
  <c r="FR293" i="17"/>
  <c r="FS293" i="17"/>
  <c r="FT293" i="17"/>
  <c r="FU293" i="17"/>
  <c r="FV293" i="17"/>
  <c r="FW293" i="17"/>
  <c r="FX293" i="17"/>
  <c r="FY293" i="17"/>
  <c r="FZ293" i="17"/>
  <c r="GA293" i="17"/>
  <c r="GB293" i="17"/>
  <c r="GC293" i="17"/>
  <c r="GD293" i="17"/>
  <c r="GE293" i="17"/>
  <c r="GF293" i="17"/>
  <c r="GG293" i="17"/>
  <c r="GH293" i="17"/>
  <c r="GI293" i="17"/>
  <c r="GJ293" i="17"/>
  <c r="GK293" i="17"/>
  <c r="GL293" i="17"/>
  <c r="GM293" i="17"/>
  <c r="GN293" i="17"/>
  <c r="GO293" i="17"/>
  <c r="GP293" i="17"/>
  <c r="GQ293" i="17"/>
  <c r="GR293" i="17"/>
  <c r="GS293" i="17"/>
  <c r="GT293" i="17"/>
  <c r="GU293" i="17"/>
  <c r="GV293" i="17"/>
  <c r="GW293" i="17"/>
  <c r="GX293" i="17"/>
  <c r="GY293" i="17"/>
  <c r="GZ293" i="17"/>
  <c r="HA293" i="17"/>
  <c r="HB293" i="17"/>
  <c r="HC293" i="17"/>
  <c r="HD293" i="17"/>
  <c r="HE293" i="17"/>
  <c r="HF293" i="17"/>
  <c r="HG293" i="17"/>
  <c r="HH293" i="17"/>
  <c r="HI293" i="17"/>
  <c r="HJ293" i="17"/>
  <c r="HK293" i="17"/>
  <c r="HL293" i="17"/>
  <c r="HM293" i="17"/>
  <c r="HN293" i="17"/>
  <c r="HO293" i="17"/>
  <c r="HP293" i="17"/>
  <c r="HQ293" i="17"/>
  <c r="HR293" i="17"/>
  <c r="HS293" i="17"/>
  <c r="HT293" i="17"/>
  <c r="HU293" i="17"/>
  <c r="HV293" i="17"/>
  <c r="HW293" i="17"/>
  <c r="HX293" i="17"/>
  <c r="HY293" i="17"/>
  <c r="HZ293" i="17"/>
  <c r="IA293" i="17"/>
  <c r="IB293" i="17"/>
  <c r="IC293" i="17"/>
  <c r="ID293" i="17"/>
  <c r="IE293" i="17"/>
  <c r="IF293" i="17"/>
  <c r="IG293" i="17"/>
  <c r="IH293" i="17"/>
  <c r="II293" i="17"/>
  <c r="IJ293" i="17"/>
  <c r="IK293" i="17"/>
  <c r="IL293" i="17"/>
  <c r="IM293" i="17"/>
  <c r="IN293" i="17"/>
  <c r="IO293" i="17"/>
  <c r="IP293" i="17"/>
  <c r="IQ293" i="17"/>
  <c r="IR293" i="17"/>
  <c r="IS293" i="17"/>
  <c r="IT293" i="17"/>
  <c r="IU293" i="17"/>
  <c r="IV293" i="17"/>
  <c r="A292" i="17"/>
  <c r="B292" i="17"/>
  <c r="C292" i="17"/>
  <c r="D292" i="17"/>
  <c r="E292" i="17"/>
  <c r="F292" i="17"/>
  <c r="G292" i="17"/>
  <c r="H292" i="17"/>
  <c r="I292" i="17"/>
  <c r="J292" i="17"/>
  <c r="K292" i="17"/>
  <c r="L292" i="17"/>
  <c r="M292" i="17"/>
  <c r="N292" i="17"/>
  <c r="O292" i="17"/>
  <c r="P292" i="17"/>
  <c r="Q292" i="17"/>
  <c r="R292" i="17"/>
  <c r="S292" i="17"/>
  <c r="T292" i="17"/>
  <c r="U292" i="17"/>
  <c r="V292" i="17"/>
  <c r="W292" i="17"/>
  <c r="X292" i="17"/>
  <c r="Y292" i="17"/>
  <c r="Z292" i="17"/>
  <c r="AA292" i="17"/>
  <c r="AB292" i="17"/>
  <c r="AC292" i="17"/>
  <c r="AD292" i="17"/>
  <c r="AE292" i="17"/>
  <c r="AF292" i="17"/>
  <c r="AG292" i="17"/>
  <c r="AH292" i="17"/>
  <c r="AI292" i="17"/>
  <c r="AJ292" i="17"/>
  <c r="AK292" i="17"/>
  <c r="AL292" i="17"/>
  <c r="AM292" i="17"/>
  <c r="AN292" i="17"/>
  <c r="AO292" i="17"/>
  <c r="AP292" i="17"/>
  <c r="AQ292" i="17"/>
  <c r="AR292" i="17"/>
  <c r="AS292" i="17"/>
  <c r="AT292" i="17"/>
  <c r="AU292" i="17"/>
  <c r="AV292" i="17"/>
  <c r="AW292" i="17"/>
  <c r="AX292" i="17"/>
  <c r="AY292" i="17"/>
  <c r="AZ292" i="17"/>
  <c r="BA292" i="17"/>
  <c r="BB292" i="17"/>
  <c r="BC292" i="17"/>
  <c r="BD292" i="17"/>
  <c r="BE292" i="17"/>
  <c r="BF292" i="17"/>
  <c r="BG292" i="17"/>
  <c r="BH292" i="17"/>
  <c r="BI292" i="17"/>
  <c r="BJ292" i="17"/>
  <c r="BK292" i="17"/>
  <c r="BL292" i="17"/>
  <c r="BM292" i="17"/>
  <c r="BN292" i="17"/>
  <c r="BO292" i="17"/>
  <c r="BP292" i="17"/>
  <c r="BQ292" i="17"/>
  <c r="BR292" i="17"/>
  <c r="BS292" i="17"/>
  <c r="BT292" i="17"/>
  <c r="BU292" i="17"/>
  <c r="BV292" i="17"/>
  <c r="BW292" i="17"/>
  <c r="BX292" i="17"/>
  <c r="BY292" i="17"/>
  <c r="BZ292" i="17"/>
  <c r="CA292" i="17"/>
  <c r="CB292" i="17"/>
  <c r="CC292" i="17"/>
  <c r="CD292" i="17"/>
  <c r="CE292" i="17"/>
  <c r="CF292" i="17"/>
  <c r="CG292" i="17"/>
  <c r="CH292" i="17"/>
  <c r="CI292" i="17"/>
  <c r="CJ292" i="17"/>
  <c r="CK292" i="17"/>
  <c r="CL292" i="17"/>
  <c r="CM292" i="17"/>
  <c r="CN292" i="17"/>
  <c r="CO292" i="17"/>
  <c r="CP292" i="17"/>
  <c r="CQ292" i="17"/>
  <c r="CR292" i="17"/>
  <c r="CS292" i="17"/>
  <c r="CT292" i="17"/>
  <c r="CU292" i="17"/>
  <c r="CV292" i="17"/>
  <c r="CW292" i="17"/>
  <c r="CX292" i="17"/>
  <c r="CY292" i="17"/>
  <c r="CZ292" i="17"/>
  <c r="DA292" i="17"/>
  <c r="DB292" i="17"/>
  <c r="DC292" i="17"/>
  <c r="DD292" i="17"/>
  <c r="DE292" i="17"/>
  <c r="DF292" i="17"/>
  <c r="DG292" i="17"/>
  <c r="DH292" i="17"/>
  <c r="DI292" i="17"/>
  <c r="DJ292" i="17"/>
  <c r="DK292" i="17"/>
  <c r="DL292" i="17"/>
  <c r="DM292" i="17"/>
  <c r="DN292" i="17"/>
  <c r="DO292" i="17"/>
  <c r="DP292" i="17"/>
  <c r="DQ292" i="17"/>
  <c r="DR292" i="17"/>
  <c r="DS292" i="17"/>
  <c r="DT292" i="17"/>
  <c r="DU292" i="17"/>
  <c r="DV292" i="17"/>
  <c r="DW292" i="17"/>
  <c r="DX292" i="17"/>
  <c r="DY292" i="17"/>
  <c r="DZ292" i="17"/>
  <c r="EA292" i="17"/>
  <c r="EB292" i="17"/>
  <c r="EC292" i="17"/>
  <c r="ED292" i="17"/>
  <c r="EE292" i="17"/>
  <c r="EF292" i="17"/>
  <c r="EG292" i="17"/>
  <c r="EH292" i="17"/>
  <c r="EI292" i="17"/>
  <c r="EJ292" i="17"/>
  <c r="EK292" i="17"/>
  <c r="EL292" i="17"/>
  <c r="EM292" i="17"/>
  <c r="EN292" i="17"/>
  <c r="EO292" i="17"/>
  <c r="EP292" i="17"/>
  <c r="EQ292" i="17"/>
  <c r="ER292" i="17"/>
  <c r="ES292" i="17"/>
  <c r="ET292" i="17"/>
  <c r="EU292" i="17"/>
  <c r="EV292" i="17"/>
  <c r="EW292" i="17"/>
  <c r="EX292" i="17"/>
  <c r="EY292" i="17"/>
  <c r="EZ292" i="17"/>
  <c r="FA292" i="17"/>
  <c r="FB292" i="17"/>
  <c r="FC292" i="17"/>
  <c r="FD292" i="17"/>
  <c r="FE292" i="17"/>
  <c r="FF292" i="17"/>
  <c r="FG292" i="17"/>
  <c r="FH292" i="17"/>
  <c r="FI292" i="17"/>
  <c r="FJ292" i="17"/>
  <c r="FK292" i="17"/>
  <c r="FL292" i="17"/>
  <c r="FM292" i="17"/>
  <c r="FN292" i="17"/>
  <c r="FO292" i="17"/>
  <c r="FP292" i="17"/>
  <c r="FQ292" i="17"/>
  <c r="FR292" i="17"/>
  <c r="FS292" i="17"/>
  <c r="FT292" i="17"/>
  <c r="FU292" i="17"/>
  <c r="FV292" i="17"/>
  <c r="FW292" i="17"/>
  <c r="FX292" i="17"/>
  <c r="FY292" i="17"/>
  <c r="FZ292" i="17"/>
  <c r="GA292" i="17"/>
  <c r="GB292" i="17"/>
  <c r="GC292" i="17"/>
  <c r="GD292" i="17"/>
  <c r="GE292" i="17"/>
  <c r="GF292" i="17"/>
  <c r="GG292" i="17"/>
  <c r="GH292" i="17"/>
  <c r="GI292" i="17"/>
  <c r="GJ292" i="17"/>
  <c r="GK292" i="17"/>
  <c r="GL292" i="17"/>
  <c r="GM292" i="17"/>
  <c r="GN292" i="17"/>
  <c r="GO292" i="17"/>
  <c r="GP292" i="17"/>
  <c r="GQ292" i="17"/>
  <c r="GR292" i="17"/>
  <c r="GS292" i="17"/>
  <c r="GT292" i="17"/>
  <c r="GU292" i="17"/>
  <c r="GV292" i="17"/>
  <c r="GW292" i="17"/>
  <c r="GX292" i="17"/>
  <c r="GY292" i="17"/>
  <c r="GZ292" i="17"/>
  <c r="HA292" i="17"/>
  <c r="HB292" i="17"/>
  <c r="HC292" i="17"/>
  <c r="HD292" i="17"/>
  <c r="HE292" i="17"/>
  <c r="HF292" i="17"/>
  <c r="HG292" i="17"/>
  <c r="HH292" i="17"/>
  <c r="HI292" i="17"/>
  <c r="HJ292" i="17"/>
  <c r="HK292" i="17"/>
  <c r="HL292" i="17"/>
  <c r="HM292" i="17"/>
  <c r="HN292" i="17"/>
  <c r="HO292" i="17"/>
  <c r="HP292" i="17"/>
  <c r="HQ292" i="17"/>
  <c r="HR292" i="17"/>
  <c r="HS292" i="17"/>
  <c r="HT292" i="17"/>
  <c r="HU292" i="17"/>
  <c r="HV292" i="17"/>
  <c r="HW292" i="17"/>
  <c r="HX292" i="17"/>
  <c r="HY292" i="17"/>
  <c r="HZ292" i="17"/>
  <c r="IA292" i="17"/>
  <c r="IB292" i="17"/>
  <c r="IC292" i="17"/>
  <c r="ID292" i="17"/>
  <c r="IE292" i="17"/>
  <c r="IF292" i="17"/>
  <c r="IG292" i="17"/>
  <c r="IH292" i="17"/>
  <c r="II292" i="17"/>
  <c r="IJ292" i="17"/>
  <c r="IK292" i="17"/>
  <c r="IL292" i="17"/>
  <c r="IM292" i="17"/>
  <c r="IN292" i="17"/>
  <c r="IO292" i="17"/>
  <c r="IP292" i="17"/>
  <c r="IQ292" i="17"/>
  <c r="IR292" i="17"/>
  <c r="IS292" i="17"/>
  <c r="IT292" i="17"/>
  <c r="IU292" i="17"/>
  <c r="IV292" i="17"/>
  <c r="A291" i="17"/>
  <c r="B291" i="17"/>
  <c r="C291" i="17"/>
  <c r="D291" i="17"/>
  <c r="E291" i="17"/>
  <c r="F291" i="17"/>
  <c r="G291" i="17"/>
  <c r="H291" i="17"/>
  <c r="I291" i="17"/>
  <c r="J291" i="17"/>
  <c r="K291" i="17"/>
  <c r="L291" i="17"/>
  <c r="M291" i="17"/>
  <c r="N291" i="17"/>
  <c r="O291" i="17"/>
  <c r="P291" i="17"/>
  <c r="Q291" i="17"/>
  <c r="R291" i="17"/>
  <c r="S291" i="17"/>
  <c r="T291" i="17"/>
  <c r="U291" i="17"/>
  <c r="V291" i="17"/>
  <c r="W291" i="17"/>
  <c r="X291" i="17"/>
  <c r="Y291" i="17"/>
  <c r="Z291" i="17"/>
  <c r="AA291" i="17"/>
  <c r="AB291" i="17"/>
  <c r="AC291" i="17"/>
  <c r="AD291" i="17"/>
  <c r="AE291" i="17"/>
  <c r="AF291" i="17"/>
  <c r="AG291" i="17"/>
  <c r="AH291" i="17"/>
  <c r="AI291" i="17"/>
  <c r="AJ291" i="17"/>
  <c r="AK291" i="17"/>
  <c r="AL291" i="17"/>
  <c r="AM291" i="17"/>
  <c r="AN291" i="17"/>
  <c r="AO291" i="17"/>
  <c r="AP291" i="17"/>
  <c r="AQ291" i="17"/>
  <c r="AR291" i="17"/>
  <c r="AS291" i="17"/>
  <c r="AT291" i="17"/>
  <c r="AU291" i="17"/>
  <c r="AV291" i="17"/>
  <c r="AW291" i="17"/>
  <c r="AX291" i="17"/>
  <c r="AY291" i="17"/>
  <c r="AZ291" i="17"/>
  <c r="BA291" i="17"/>
  <c r="BB291" i="17"/>
  <c r="BC291" i="17"/>
  <c r="BD291" i="17"/>
  <c r="BE291" i="17"/>
  <c r="BF291" i="17"/>
  <c r="BG291" i="17"/>
  <c r="BH291" i="17"/>
  <c r="BI291" i="17"/>
  <c r="BJ291" i="17"/>
  <c r="BK291" i="17"/>
  <c r="BL291" i="17"/>
  <c r="BM291" i="17"/>
  <c r="BN291" i="17"/>
  <c r="BO291" i="17"/>
  <c r="BP291" i="17"/>
  <c r="BQ291" i="17"/>
  <c r="BR291" i="17"/>
  <c r="BS291" i="17"/>
  <c r="BT291" i="17"/>
  <c r="BU291" i="17"/>
  <c r="BV291" i="17"/>
  <c r="BW291" i="17"/>
  <c r="BX291" i="17"/>
  <c r="BY291" i="17"/>
  <c r="BZ291" i="17"/>
  <c r="CA291" i="17"/>
  <c r="CB291" i="17"/>
  <c r="CC291" i="17"/>
  <c r="CD291" i="17"/>
  <c r="CE291" i="17"/>
  <c r="CF291" i="17"/>
  <c r="CG291" i="17"/>
  <c r="CH291" i="17"/>
  <c r="CI291" i="17"/>
  <c r="CJ291" i="17"/>
  <c r="CK291" i="17"/>
  <c r="CL291" i="17"/>
  <c r="CM291" i="17"/>
  <c r="CN291" i="17"/>
  <c r="CO291" i="17"/>
  <c r="CP291" i="17"/>
  <c r="CQ291" i="17"/>
  <c r="CR291" i="17"/>
  <c r="CS291" i="17"/>
  <c r="CT291" i="17"/>
  <c r="CU291" i="17"/>
  <c r="CV291" i="17"/>
  <c r="CW291" i="17"/>
  <c r="CX291" i="17"/>
  <c r="CY291" i="17"/>
  <c r="CZ291" i="17"/>
  <c r="DA291" i="17"/>
  <c r="DB291" i="17"/>
  <c r="DC291" i="17"/>
  <c r="DD291" i="17"/>
  <c r="DE291" i="17"/>
  <c r="DF291" i="17"/>
  <c r="DG291" i="17"/>
  <c r="DH291" i="17"/>
  <c r="DI291" i="17"/>
  <c r="DJ291" i="17"/>
  <c r="DK291" i="17"/>
  <c r="DL291" i="17"/>
  <c r="DM291" i="17"/>
  <c r="DN291" i="17"/>
  <c r="DO291" i="17"/>
  <c r="DP291" i="17"/>
  <c r="DQ291" i="17"/>
  <c r="DR291" i="17"/>
  <c r="DS291" i="17"/>
  <c r="DT291" i="17"/>
  <c r="DU291" i="17"/>
  <c r="DV291" i="17"/>
  <c r="DW291" i="17"/>
  <c r="DX291" i="17"/>
  <c r="DY291" i="17"/>
  <c r="DZ291" i="17"/>
  <c r="EA291" i="17"/>
  <c r="EB291" i="17"/>
  <c r="EC291" i="17"/>
  <c r="ED291" i="17"/>
  <c r="EE291" i="17"/>
  <c r="EF291" i="17"/>
  <c r="EG291" i="17"/>
  <c r="EH291" i="17"/>
  <c r="EI291" i="17"/>
  <c r="EJ291" i="17"/>
  <c r="EK291" i="17"/>
  <c r="EL291" i="17"/>
  <c r="EM291" i="17"/>
  <c r="EN291" i="17"/>
  <c r="EO291" i="17"/>
  <c r="EP291" i="17"/>
  <c r="EQ291" i="17"/>
  <c r="ER291" i="17"/>
  <c r="ES291" i="17"/>
  <c r="ET291" i="17"/>
  <c r="EU291" i="17"/>
  <c r="EV291" i="17"/>
  <c r="EW291" i="17"/>
  <c r="EX291" i="17"/>
  <c r="EY291" i="17"/>
  <c r="EZ291" i="17"/>
  <c r="FA291" i="17"/>
  <c r="FB291" i="17"/>
  <c r="FC291" i="17"/>
  <c r="FD291" i="17"/>
  <c r="FE291" i="17"/>
  <c r="FF291" i="17"/>
  <c r="FG291" i="17"/>
  <c r="FH291" i="17"/>
  <c r="FI291" i="17"/>
  <c r="FJ291" i="17"/>
  <c r="FK291" i="17"/>
  <c r="FL291" i="17"/>
  <c r="FM291" i="17"/>
  <c r="FN291" i="17"/>
  <c r="FO291" i="17"/>
  <c r="FP291" i="17"/>
  <c r="FQ291" i="17"/>
  <c r="FR291" i="17"/>
  <c r="FS291" i="17"/>
  <c r="FT291" i="17"/>
  <c r="FU291" i="17"/>
  <c r="FV291" i="17"/>
  <c r="FW291" i="17"/>
  <c r="FX291" i="17"/>
  <c r="FY291" i="17"/>
  <c r="FZ291" i="17"/>
  <c r="GA291" i="17"/>
  <c r="GB291" i="17"/>
  <c r="GC291" i="17"/>
  <c r="GD291" i="17"/>
  <c r="GE291" i="17"/>
  <c r="GF291" i="17"/>
  <c r="GG291" i="17"/>
  <c r="GH291" i="17"/>
  <c r="GI291" i="17"/>
  <c r="GJ291" i="17"/>
  <c r="GK291" i="17"/>
  <c r="GL291" i="17"/>
  <c r="GM291" i="17"/>
  <c r="GN291" i="17"/>
  <c r="GO291" i="17"/>
  <c r="GP291" i="17"/>
  <c r="GQ291" i="17"/>
  <c r="GR291" i="17"/>
  <c r="GS291" i="17"/>
  <c r="GT291" i="17"/>
  <c r="GU291" i="17"/>
  <c r="GV291" i="17"/>
  <c r="GW291" i="17"/>
  <c r="GX291" i="17"/>
  <c r="GY291" i="17"/>
  <c r="GZ291" i="17"/>
  <c r="HA291" i="17"/>
  <c r="HB291" i="17"/>
  <c r="HC291" i="17"/>
  <c r="HD291" i="17"/>
  <c r="HE291" i="17"/>
  <c r="HF291" i="17"/>
  <c r="HG291" i="17"/>
  <c r="HH291" i="17"/>
  <c r="HI291" i="17"/>
  <c r="HJ291" i="17"/>
  <c r="HK291" i="17"/>
  <c r="HL291" i="17"/>
  <c r="HM291" i="17"/>
  <c r="HN291" i="17"/>
  <c r="HO291" i="17"/>
  <c r="HP291" i="17"/>
  <c r="HQ291" i="17"/>
  <c r="HR291" i="17"/>
  <c r="HS291" i="17"/>
  <c r="HT291" i="17"/>
  <c r="HU291" i="17"/>
  <c r="HV291" i="17"/>
  <c r="HW291" i="17"/>
  <c r="HX291" i="17"/>
  <c r="HY291" i="17"/>
  <c r="HZ291" i="17"/>
  <c r="IA291" i="17"/>
  <c r="IB291" i="17"/>
  <c r="IC291" i="17"/>
  <c r="ID291" i="17"/>
  <c r="IE291" i="17"/>
  <c r="IF291" i="17"/>
  <c r="IG291" i="17"/>
  <c r="IH291" i="17"/>
  <c r="II291" i="17"/>
  <c r="IJ291" i="17"/>
  <c r="IK291" i="17"/>
  <c r="IL291" i="17"/>
  <c r="IM291" i="17"/>
  <c r="IN291" i="17"/>
  <c r="IO291" i="17"/>
  <c r="IP291" i="17"/>
  <c r="IQ291" i="17"/>
  <c r="IR291" i="17"/>
  <c r="IS291" i="17"/>
  <c r="IT291" i="17"/>
  <c r="IU291" i="17"/>
  <c r="IV291" i="17"/>
  <c r="A290" i="17"/>
  <c r="B290" i="17"/>
  <c r="C290" i="17"/>
  <c r="D290" i="17"/>
  <c r="E290" i="17"/>
  <c r="F290" i="17"/>
  <c r="G290" i="17"/>
  <c r="H290" i="17"/>
  <c r="I290" i="17"/>
  <c r="J290" i="17"/>
  <c r="K290" i="17"/>
  <c r="L290" i="17"/>
  <c r="M290" i="17"/>
  <c r="N290" i="17"/>
  <c r="O290" i="17"/>
  <c r="P290" i="17"/>
  <c r="Q290" i="17"/>
  <c r="R290" i="17"/>
  <c r="S290" i="17"/>
  <c r="T290" i="17"/>
  <c r="U290" i="17"/>
  <c r="V290" i="17"/>
  <c r="W290" i="17"/>
  <c r="X290" i="17"/>
  <c r="Y290" i="17"/>
  <c r="Z290" i="17"/>
  <c r="AA290" i="17"/>
  <c r="AB290" i="17"/>
  <c r="AC290" i="17"/>
  <c r="AD290" i="17"/>
  <c r="AE290" i="17"/>
  <c r="AF290" i="17"/>
  <c r="AG290" i="17"/>
  <c r="AH290" i="17"/>
  <c r="AI290" i="17"/>
  <c r="AJ290" i="17"/>
  <c r="AK290" i="17"/>
  <c r="AL290" i="17"/>
  <c r="AM290" i="17"/>
  <c r="AN290" i="17"/>
  <c r="AO290" i="17"/>
  <c r="AP290" i="17"/>
  <c r="AQ290" i="17"/>
  <c r="AR290" i="17"/>
  <c r="AS290" i="17"/>
  <c r="AT290" i="17"/>
  <c r="AU290" i="17"/>
  <c r="AV290" i="17"/>
  <c r="AW290" i="17"/>
  <c r="AX290" i="17"/>
  <c r="AY290" i="17"/>
  <c r="AZ290" i="17"/>
  <c r="BA290" i="17"/>
  <c r="BB290" i="17"/>
  <c r="BC290" i="17"/>
  <c r="BD290" i="17"/>
  <c r="BE290" i="17"/>
  <c r="BF290" i="17"/>
  <c r="BG290" i="17"/>
  <c r="BH290" i="17"/>
  <c r="BI290" i="17"/>
  <c r="BJ290" i="17"/>
  <c r="BK290" i="17"/>
  <c r="BL290" i="17"/>
  <c r="BM290" i="17"/>
  <c r="BN290" i="17"/>
  <c r="BO290" i="17"/>
  <c r="BP290" i="17"/>
  <c r="BQ290" i="17"/>
  <c r="BR290" i="17"/>
  <c r="BS290" i="17"/>
  <c r="BT290" i="17"/>
  <c r="BU290" i="17"/>
  <c r="BV290" i="17"/>
  <c r="BW290" i="17"/>
  <c r="BX290" i="17"/>
  <c r="BY290" i="17"/>
  <c r="BZ290" i="17"/>
  <c r="CA290" i="17"/>
  <c r="CB290" i="17"/>
  <c r="CC290" i="17"/>
  <c r="CD290" i="17"/>
  <c r="CE290" i="17"/>
  <c r="CF290" i="17"/>
  <c r="CG290" i="17"/>
  <c r="CH290" i="17"/>
  <c r="CI290" i="17"/>
  <c r="CJ290" i="17"/>
  <c r="CK290" i="17"/>
  <c r="CL290" i="17"/>
  <c r="CM290" i="17"/>
  <c r="CN290" i="17"/>
  <c r="CO290" i="17"/>
  <c r="CP290" i="17"/>
  <c r="CQ290" i="17"/>
  <c r="CR290" i="17"/>
  <c r="CS290" i="17"/>
  <c r="CT290" i="17"/>
  <c r="CU290" i="17"/>
  <c r="CV290" i="17"/>
  <c r="CW290" i="17"/>
  <c r="CX290" i="17"/>
  <c r="CY290" i="17"/>
  <c r="CZ290" i="17"/>
  <c r="DA290" i="17"/>
  <c r="DB290" i="17"/>
  <c r="DC290" i="17"/>
  <c r="DD290" i="17"/>
  <c r="DE290" i="17"/>
  <c r="DF290" i="17"/>
  <c r="DG290" i="17"/>
  <c r="DH290" i="17"/>
  <c r="DI290" i="17"/>
  <c r="DJ290" i="17"/>
  <c r="DK290" i="17"/>
  <c r="DL290" i="17"/>
  <c r="DM290" i="17"/>
  <c r="DN290" i="17"/>
  <c r="DO290" i="17"/>
  <c r="DP290" i="17"/>
  <c r="DQ290" i="17"/>
  <c r="DR290" i="17"/>
  <c r="DS290" i="17"/>
  <c r="DT290" i="17"/>
  <c r="DU290" i="17"/>
  <c r="DV290" i="17"/>
  <c r="DW290" i="17"/>
  <c r="DX290" i="17"/>
  <c r="DY290" i="17"/>
  <c r="DZ290" i="17"/>
  <c r="EA290" i="17"/>
  <c r="EB290" i="17"/>
  <c r="EC290" i="17"/>
  <c r="ED290" i="17"/>
  <c r="EE290" i="17"/>
  <c r="EF290" i="17"/>
  <c r="EG290" i="17"/>
  <c r="EH290" i="17"/>
  <c r="EI290" i="17"/>
  <c r="EJ290" i="17"/>
  <c r="EK290" i="17"/>
  <c r="EL290" i="17"/>
  <c r="EM290" i="17"/>
  <c r="EN290" i="17"/>
  <c r="EO290" i="17"/>
  <c r="EP290" i="17"/>
  <c r="EQ290" i="17"/>
  <c r="ER290" i="17"/>
  <c r="ES290" i="17"/>
  <c r="ET290" i="17"/>
  <c r="EU290" i="17"/>
  <c r="EV290" i="17"/>
  <c r="EW290" i="17"/>
  <c r="EX290" i="17"/>
  <c r="EY290" i="17"/>
  <c r="EZ290" i="17"/>
  <c r="FA290" i="17"/>
  <c r="FB290" i="17"/>
  <c r="FC290" i="17"/>
  <c r="FD290" i="17"/>
  <c r="FE290" i="17"/>
  <c r="FF290" i="17"/>
  <c r="FG290" i="17"/>
  <c r="FH290" i="17"/>
  <c r="FI290" i="17"/>
  <c r="FJ290" i="17"/>
  <c r="FK290" i="17"/>
  <c r="FL290" i="17"/>
  <c r="FM290" i="17"/>
  <c r="FN290" i="17"/>
  <c r="FO290" i="17"/>
  <c r="FP290" i="17"/>
  <c r="FQ290" i="17"/>
  <c r="FR290" i="17"/>
  <c r="FS290" i="17"/>
  <c r="FT290" i="17"/>
  <c r="FU290" i="17"/>
  <c r="FV290" i="17"/>
  <c r="FW290" i="17"/>
  <c r="FX290" i="17"/>
  <c r="FY290" i="17"/>
  <c r="FZ290" i="17"/>
  <c r="GA290" i="17"/>
  <c r="GB290" i="17"/>
  <c r="GC290" i="17"/>
  <c r="GD290" i="17"/>
  <c r="GE290" i="17"/>
  <c r="GF290" i="17"/>
  <c r="GG290" i="17"/>
  <c r="GH290" i="17"/>
  <c r="GI290" i="17"/>
  <c r="GJ290" i="17"/>
  <c r="GK290" i="17"/>
  <c r="GL290" i="17"/>
  <c r="GM290" i="17"/>
  <c r="GN290" i="17"/>
  <c r="GO290" i="17"/>
  <c r="GP290" i="17"/>
  <c r="GQ290" i="17"/>
  <c r="GR290" i="17"/>
  <c r="GS290" i="17"/>
  <c r="GT290" i="17"/>
  <c r="GU290" i="17"/>
  <c r="GV290" i="17"/>
  <c r="GW290" i="17"/>
  <c r="GX290" i="17"/>
  <c r="GY290" i="17"/>
  <c r="GZ290" i="17"/>
  <c r="HA290" i="17"/>
  <c r="HB290" i="17"/>
  <c r="HC290" i="17"/>
  <c r="HD290" i="17"/>
  <c r="HE290" i="17"/>
  <c r="HF290" i="17"/>
  <c r="HG290" i="17"/>
  <c r="HH290" i="17"/>
  <c r="HI290" i="17"/>
  <c r="HJ290" i="17"/>
  <c r="HK290" i="17"/>
  <c r="HL290" i="17"/>
  <c r="HM290" i="17"/>
  <c r="HN290" i="17"/>
  <c r="HO290" i="17"/>
  <c r="HP290" i="17"/>
  <c r="HQ290" i="17"/>
  <c r="HR290" i="17"/>
  <c r="HS290" i="17"/>
  <c r="HT290" i="17"/>
  <c r="HU290" i="17"/>
  <c r="HV290" i="17"/>
  <c r="HW290" i="17"/>
  <c r="HX290" i="17"/>
  <c r="HY290" i="17"/>
  <c r="HZ290" i="17"/>
  <c r="IA290" i="17"/>
  <c r="IB290" i="17"/>
  <c r="IC290" i="17"/>
  <c r="ID290" i="17"/>
  <c r="IE290" i="17"/>
  <c r="IF290" i="17"/>
  <c r="IG290" i="17"/>
  <c r="IH290" i="17"/>
  <c r="II290" i="17"/>
  <c r="IJ290" i="17"/>
  <c r="IK290" i="17"/>
  <c r="IL290" i="17"/>
  <c r="IM290" i="17"/>
  <c r="IN290" i="17"/>
  <c r="IO290" i="17"/>
  <c r="IP290" i="17"/>
  <c r="IQ290" i="17"/>
  <c r="IR290" i="17"/>
  <c r="IS290" i="17"/>
  <c r="IT290" i="17"/>
  <c r="IU290" i="17"/>
  <c r="IV290" i="17"/>
  <c r="A289" i="17"/>
  <c r="B289" i="17"/>
  <c r="C289" i="17"/>
  <c r="D289" i="17"/>
  <c r="E289" i="17"/>
  <c r="F289" i="17"/>
  <c r="G289" i="17"/>
  <c r="H289" i="17"/>
  <c r="I289" i="17"/>
  <c r="J289" i="17"/>
  <c r="K289" i="17"/>
  <c r="L289" i="17"/>
  <c r="M289" i="17"/>
  <c r="N289" i="17"/>
  <c r="O289" i="17"/>
  <c r="P289" i="17"/>
  <c r="Q289" i="17"/>
  <c r="R289" i="17"/>
  <c r="S289" i="17"/>
  <c r="T289" i="17"/>
  <c r="U289" i="17"/>
  <c r="V289" i="17"/>
  <c r="W289" i="17"/>
  <c r="X289" i="17"/>
  <c r="Y289" i="17"/>
  <c r="Z289" i="17"/>
  <c r="AA289" i="17"/>
  <c r="AB289" i="17"/>
  <c r="AC289" i="17"/>
  <c r="AD289" i="17"/>
  <c r="AE289" i="17"/>
  <c r="AF289" i="17"/>
  <c r="AG289" i="17"/>
  <c r="AH289" i="17"/>
  <c r="AI289" i="17"/>
  <c r="AJ289" i="17"/>
  <c r="AK289" i="17"/>
  <c r="AL289" i="17"/>
  <c r="AM289" i="17"/>
  <c r="AN289" i="17"/>
  <c r="AO289" i="17"/>
  <c r="AP289" i="17"/>
  <c r="AQ289" i="17"/>
  <c r="AR289" i="17"/>
  <c r="AS289" i="17"/>
  <c r="AT289" i="17"/>
  <c r="AU289" i="17"/>
  <c r="AV289" i="17"/>
  <c r="AW289" i="17"/>
  <c r="AX289" i="17"/>
  <c r="AY289" i="17"/>
  <c r="AZ289" i="17"/>
  <c r="BA289" i="17"/>
  <c r="BB289" i="17"/>
  <c r="BC289" i="17"/>
  <c r="BD289" i="17"/>
  <c r="BE289" i="17"/>
  <c r="BF289" i="17"/>
  <c r="BG289" i="17"/>
  <c r="BH289" i="17"/>
  <c r="BI289" i="17"/>
  <c r="BJ289" i="17"/>
  <c r="BK289" i="17"/>
  <c r="BL289" i="17"/>
  <c r="BM289" i="17"/>
  <c r="BN289" i="17"/>
  <c r="BO289" i="17"/>
  <c r="BP289" i="17"/>
  <c r="BQ289" i="17"/>
  <c r="BR289" i="17"/>
  <c r="BS289" i="17"/>
  <c r="BT289" i="17"/>
  <c r="BU289" i="17"/>
  <c r="BV289" i="17"/>
  <c r="BW289" i="17"/>
  <c r="BX289" i="17"/>
  <c r="BY289" i="17"/>
  <c r="BZ289" i="17"/>
  <c r="CA289" i="17"/>
  <c r="CB289" i="17"/>
  <c r="CC289" i="17"/>
  <c r="CD289" i="17"/>
  <c r="CE289" i="17"/>
  <c r="CF289" i="17"/>
  <c r="CG289" i="17"/>
  <c r="CH289" i="17"/>
  <c r="CI289" i="17"/>
  <c r="CJ289" i="17"/>
  <c r="CK289" i="17"/>
  <c r="CL289" i="17"/>
  <c r="CM289" i="17"/>
  <c r="CN289" i="17"/>
  <c r="CO289" i="17"/>
  <c r="CP289" i="17"/>
  <c r="CQ289" i="17"/>
  <c r="CR289" i="17"/>
  <c r="CS289" i="17"/>
  <c r="CT289" i="17"/>
  <c r="CU289" i="17"/>
  <c r="CV289" i="17"/>
  <c r="CW289" i="17"/>
  <c r="CX289" i="17"/>
  <c r="CY289" i="17"/>
  <c r="CZ289" i="17"/>
  <c r="DA289" i="17"/>
  <c r="DB289" i="17"/>
  <c r="DC289" i="17"/>
  <c r="DD289" i="17"/>
  <c r="DE289" i="17"/>
  <c r="DF289" i="17"/>
  <c r="DG289" i="17"/>
  <c r="DH289" i="17"/>
  <c r="DI289" i="17"/>
  <c r="DJ289" i="17"/>
  <c r="DK289" i="17"/>
  <c r="DL289" i="17"/>
  <c r="DM289" i="17"/>
  <c r="DN289" i="17"/>
  <c r="DO289" i="17"/>
  <c r="DP289" i="17"/>
  <c r="DQ289" i="17"/>
  <c r="DR289" i="17"/>
  <c r="DS289" i="17"/>
  <c r="DT289" i="17"/>
  <c r="DU289" i="17"/>
  <c r="DV289" i="17"/>
  <c r="DW289" i="17"/>
  <c r="DX289" i="17"/>
  <c r="DY289" i="17"/>
  <c r="DZ289" i="17"/>
  <c r="EA289" i="17"/>
  <c r="EB289" i="17"/>
  <c r="EC289" i="17"/>
  <c r="ED289" i="17"/>
  <c r="EE289" i="17"/>
  <c r="EF289" i="17"/>
  <c r="EG289" i="17"/>
  <c r="EH289" i="17"/>
  <c r="EI289" i="17"/>
  <c r="EJ289" i="17"/>
  <c r="EK289" i="17"/>
  <c r="EL289" i="17"/>
  <c r="EM289" i="17"/>
  <c r="EN289" i="17"/>
  <c r="EO289" i="17"/>
  <c r="EP289" i="17"/>
  <c r="EQ289" i="17"/>
  <c r="ER289" i="17"/>
  <c r="ES289" i="17"/>
  <c r="ET289" i="17"/>
  <c r="EU289" i="17"/>
  <c r="EV289" i="17"/>
  <c r="EW289" i="17"/>
  <c r="EX289" i="17"/>
  <c r="EY289" i="17"/>
  <c r="EZ289" i="17"/>
  <c r="FA289" i="17"/>
  <c r="FB289" i="17"/>
  <c r="FC289" i="17"/>
  <c r="FD289" i="17"/>
  <c r="FE289" i="17"/>
  <c r="FF289" i="17"/>
  <c r="FG289" i="17"/>
  <c r="FH289" i="17"/>
  <c r="FI289" i="17"/>
  <c r="FJ289" i="17"/>
  <c r="FK289" i="17"/>
  <c r="FL289" i="17"/>
  <c r="FM289" i="17"/>
  <c r="FN289" i="17"/>
  <c r="FO289" i="17"/>
  <c r="FP289" i="17"/>
  <c r="FQ289" i="17"/>
  <c r="FR289" i="17"/>
  <c r="FS289" i="17"/>
  <c r="FT289" i="17"/>
  <c r="FU289" i="17"/>
  <c r="FV289" i="17"/>
  <c r="FW289" i="17"/>
  <c r="FX289" i="17"/>
  <c r="FY289" i="17"/>
  <c r="FZ289" i="17"/>
  <c r="GA289" i="17"/>
  <c r="GB289" i="17"/>
  <c r="GC289" i="17"/>
  <c r="GD289" i="17"/>
  <c r="GE289" i="17"/>
  <c r="GF289" i="17"/>
  <c r="GG289" i="17"/>
  <c r="GH289" i="17"/>
  <c r="GI289" i="17"/>
  <c r="GJ289" i="17"/>
  <c r="GK289" i="17"/>
  <c r="GL289" i="17"/>
  <c r="GM289" i="17"/>
  <c r="GN289" i="17"/>
  <c r="GO289" i="17"/>
  <c r="GP289" i="17"/>
  <c r="GQ289" i="17"/>
  <c r="GR289" i="17"/>
  <c r="GS289" i="17"/>
  <c r="GT289" i="17"/>
  <c r="GU289" i="17"/>
  <c r="GV289" i="17"/>
  <c r="GW289" i="17"/>
  <c r="GX289" i="17"/>
  <c r="GY289" i="17"/>
  <c r="GZ289" i="17"/>
  <c r="HA289" i="17"/>
  <c r="HB289" i="17"/>
  <c r="HC289" i="17"/>
  <c r="HD289" i="17"/>
  <c r="HE289" i="17"/>
  <c r="HF289" i="17"/>
  <c r="HG289" i="17"/>
  <c r="HH289" i="17"/>
  <c r="HI289" i="17"/>
  <c r="HJ289" i="17"/>
  <c r="HK289" i="17"/>
  <c r="HL289" i="17"/>
  <c r="HM289" i="17"/>
  <c r="HN289" i="17"/>
  <c r="HO289" i="17"/>
  <c r="HP289" i="17"/>
  <c r="HQ289" i="17"/>
  <c r="HR289" i="17"/>
  <c r="HS289" i="17"/>
  <c r="HT289" i="17"/>
  <c r="HU289" i="17"/>
  <c r="HV289" i="17"/>
  <c r="HW289" i="17"/>
  <c r="HX289" i="17"/>
  <c r="HY289" i="17"/>
  <c r="HZ289" i="17"/>
  <c r="IA289" i="17"/>
  <c r="IB289" i="17"/>
  <c r="IC289" i="17"/>
  <c r="ID289" i="17"/>
  <c r="IE289" i="17"/>
  <c r="IF289" i="17"/>
  <c r="IG289" i="17"/>
  <c r="IH289" i="17"/>
  <c r="II289" i="17"/>
  <c r="IJ289" i="17"/>
  <c r="IK289" i="17"/>
  <c r="IL289" i="17"/>
  <c r="IM289" i="17"/>
  <c r="IN289" i="17"/>
  <c r="IO289" i="17"/>
  <c r="IP289" i="17"/>
  <c r="IQ289" i="17"/>
  <c r="IR289" i="17"/>
  <c r="IS289" i="17"/>
  <c r="IT289" i="17"/>
  <c r="IU289" i="17"/>
  <c r="IV289" i="17"/>
  <c r="A288" i="17"/>
  <c r="B288" i="17"/>
  <c r="C288" i="17"/>
  <c r="D288" i="17"/>
  <c r="E288" i="17"/>
  <c r="F288" i="17"/>
  <c r="G288" i="17"/>
  <c r="H288" i="17"/>
  <c r="I288" i="17"/>
  <c r="J288" i="17"/>
  <c r="K288" i="17"/>
  <c r="L288" i="17"/>
  <c r="M288" i="17"/>
  <c r="N288" i="17"/>
  <c r="O288" i="17"/>
  <c r="P288" i="17"/>
  <c r="Q288" i="17"/>
  <c r="R288" i="17"/>
  <c r="S288" i="17"/>
  <c r="T288" i="17"/>
  <c r="U288" i="17"/>
  <c r="V288" i="17"/>
  <c r="W288" i="17"/>
  <c r="X288" i="17"/>
  <c r="Y288" i="17"/>
  <c r="Z288" i="17"/>
  <c r="AA288" i="17"/>
  <c r="AB288" i="17"/>
  <c r="AC288" i="17"/>
  <c r="AD288" i="17"/>
  <c r="AE288" i="17"/>
  <c r="AF288" i="17"/>
  <c r="AG288" i="17"/>
  <c r="AH288" i="17"/>
  <c r="AI288" i="17"/>
  <c r="AJ288" i="17"/>
  <c r="AK288" i="17"/>
  <c r="AL288" i="17"/>
  <c r="AM288" i="17"/>
  <c r="AN288" i="17"/>
  <c r="AO288" i="17"/>
  <c r="AP288" i="17"/>
  <c r="AQ288" i="17"/>
  <c r="AR288" i="17"/>
  <c r="AS288" i="17"/>
  <c r="AT288" i="17"/>
  <c r="AU288" i="17"/>
  <c r="AV288" i="17"/>
  <c r="AW288" i="17"/>
  <c r="AX288" i="17"/>
  <c r="AY288" i="17"/>
  <c r="AZ288" i="17"/>
  <c r="BA288" i="17"/>
  <c r="BB288" i="17"/>
  <c r="BC288" i="17"/>
  <c r="BD288" i="17"/>
  <c r="BE288" i="17"/>
  <c r="BF288" i="17"/>
  <c r="BG288" i="17"/>
  <c r="BH288" i="17"/>
  <c r="BI288" i="17"/>
  <c r="BJ288" i="17"/>
  <c r="BK288" i="17"/>
  <c r="BL288" i="17"/>
  <c r="BM288" i="17"/>
  <c r="BN288" i="17"/>
  <c r="BO288" i="17"/>
  <c r="BP288" i="17"/>
  <c r="BQ288" i="17"/>
  <c r="BR288" i="17"/>
  <c r="BS288" i="17"/>
  <c r="BT288" i="17"/>
  <c r="BU288" i="17"/>
  <c r="BV288" i="17"/>
  <c r="BW288" i="17"/>
  <c r="BX288" i="17"/>
  <c r="BY288" i="17"/>
  <c r="BZ288" i="17"/>
  <c r="CA288" i="17"/>
  <c r="CB288" i="17"/>
  <c r="CC288" i="17"/>
  <c r="CD288" i="17"/>
  <c r="CE288" i="17"/>
  <c r="CF288" i="17"/>
  <c r="CG288" i="17"/>
  <c r="CH288" i="17"/>
  <c r="CI288" i="17"/>
  <c r="CJ288" i="17"/>
  <c r="CK288" i="17"/>
  <c r="CL288" i="17"/>
  <c r="CM288" i="17"/>
  <c r="CN288" i="17"/>
  <c r="CO288" i="17"/>
  <c r="CP288" i="17"/>
  <c r="CQ288" i="17"/>
  <c r="CR288" i="17"/>
  <c r="CS288" i="17"/>
  <c r="CT288" i="17"/>
  <c r="CU288" i="17"/>
  <c r="CV288" i="17"/>
  <c r="CW288" i="17"/>
  <c r="CX288" i="17"/>
  <c r="CY288" i="17"/>
  <c r="CZ288" i="17"/>
  <c r="DA288" i="17"/>
  <c r="DB288" i="17"/>
  <c r="DC288" i="17"/>
  <c r="DD288" i="17"/>
  <c r="DE288" i="17"/>
  <c r="DF288" i="17"/>
  <c r="DG288" i="17"/>
  <c r="DH288" i="17"/>
  <c r="DI288" i="17"/>
  <c r="DJ288" i="17"/>
  <c r="DK288" i="17"/>
  <c r="DL288" i="17"/>
  <c r="DM288" i="17"/>
  <c r="DN288" i="17"/>
  <c r="DO288" i="17"/>
  <c r="DP288" i="17"/>
  <c r="DQ288" i="17"/>
  <c r="DR288" i="17"/>
  <c r="DS288" i="17"/>
  <c r="DT288" i="17"/>
  <c r="DU288" i="17"/>
  <c r="DV288" i="17"/>
  <c r="DW288" i="17"/>
  <c r="DX288" i="17"/>
  <c r="DY288" i="17"/>
  <c r="DZ288" i="17"/>
  <c r="EA288" i="17"/>
  <c r="EB288" i="17"/>
  <c r="EC288" i="17"/>
  <c r="ED288" i="17"/>
  <c r="EE288" i="17"/>
  <c r="EF288" i="17"/>
  <c r="EG288" i="17"/>
  <c r="EH288" i="17"/>
  <c r="EI288" i="17"/>
  <c r="EJ288" i="17"/>
  <c r="EK288" i="17"/>
  <c r="EL288" i="17"/>
  <c r="EM288" i="17"/>
  <c r="EN288" i="17"/>
  <c r="EO288" i="17"/>
  <c r="EP288" i="17"/>
  <c r="EQ288" i="17"/>
  <c r="ER288" i="17"/>
  <c r="ES288" i="17"/>
  <c r="ET288" i="17"/>
  <c r="EU288" i="17"/>
  <c r="EV288" i="17"/>
  <c r="EW288" i="17"/>
  <c r="EX288" i="17"/>
  <c r="EY288" i="17"/>
  <c r="EZ288" i="17"/>
  <c r="FA288" i="17"/>
  <c r="FB288" i="17"/>
  <c r="FC288" i="17"/>
  <c r="FD288" i="17"/>
  <c r="FE288" i="17"/>
  <c r="FF288" i="17"/>
  <c r="FG288" i="17"/>
  <c r="FH288" i="17"/>
  <c r="FI288" i="17"/>
  <c r="FJ288" i="17"/>
  <c r="FK288" i="17"/>
  <c r="FL288" i="17"/>
  <c r="FM288" i="17"/>
  <c r="FN288" i="17"/>
  <c r="FO288" i="17"/>
  <c r="FP288" i="17"/>
  <c r="FQ288" i="17"/>
  <c r="FR288" i="17"/>
  <c r="FS288" i="17"/>
  <c r="FT288" i="17"/>
  <c r="FU288" i="17"/>
  <c r="FV288" i="17"/>
  <c r="FW288" i="17"/>
  <c r="FX288" i="17"/>
  <c r="FY288" i="17"/>
  <c r="FZ288" i="17"/>
  <c r="GA288" i="17"/>
  <c r="GB288" i="17"/>
  <c r="GC288" i="17"/>
  <c r="GD288" i="17"/>
  <c r="GE288" i="17"/>
  <c r="GF288" i="17"/>
  <c r="GG288" i="17"/>
  <c r="GH288" i="17"/>
  <c r="GI288" i="17"/>
  <c r="GJ288" i="17"/>
  <c r="GK288" i="17"/>
  <c r="GL288" i="17"/>
  <c r="GM288" i="17"/>
  <c r="GN288" i="17"/>
  <c r="GO288" i="17"/>
  <c r="GP288" i="17"/>
  <c r="GQ288" i="17"/>
  <c r="GR288" i="17"/>
  <c r="GS288" i="17"/>
  <c r="GT288" i="17"/>
  <c r="GU288" i="17"/>
  <c r="GV288" i="17"/>
  <c r="GW288" i="17"/>
  <c r="GX288" i="17"/>
  <c r="GY288" i="17"/>
  <c r="GZ288" i="17"/>
  <c r="HA288" i="17"/>
  <c r="HB288" i="17"/>
  <c r="HC288" i="17"/>
  <c r="HD288" i="17"/>
  <c r="HE288" i="17"/>
  <c r="HF288" i="17"/>
  <c r="HG288" i="17"/>
  <c r="HH288" i="17"/>
  <c r="HI288" i="17"/>
  <c r="HJ288" i="17"/>
  <c r="HK288" i="17"/>
  <c r="HL288" i="17"/>
  <c r="HM288" i="17"/>
  <c r="HN288" i="17"/>
  <c r="HO288" i="17"/>
  <c r="HP288" i="17"/>
  <c r="HQ288" i="17"/>
  <c r="HR288" i="17"/>
  <c r="HS288" i="17"/>
  <c r="HT288" i="17"/>
  <c r="HU288" i="17"/>
  <c r="HV288" i="17"/>
  <c r="HW288" i="17"/>
  <c r="HX288" i="17"/>
  <c r="HY288" i="17"/>
  <c r="HZ288" i="17"/>
  <c r="IA288" i="17"/>
  <c r="IB288" i="17"/>
  <c r="IC288" i="17"/>
  <c r="ID288" i="17"/>
  <c r="IE288" i="17"/>
  <c r="IF288" i="17"/>
  <c r="IG288" i="17"/>
  <c r="IH288" i="17"/>
  <c r="II288" i="17"/>
  <c r="IJ288" i="17"/>
  <c r="IK288" i="17"/>
  <c r="IL288" i="17"/>
  <c r="IM288" i="17"/>
  <c r="IN288" i="17"/>
  <c r="IO288" i="17"/>
  <c r="IP288" i="17"/>
  <c r="IQ288" i="17"/>
  <c r="IR288" i="17"/>
  <c r="IS288" i="17"/>
  <c r="IT288" i="17"/>
  <c r="IU288" i="17"/>
  <c r="IV288" i="17"/>
  <c r="A287" i="17"/>
  <c r="B287" i="17"/>
  <c r="C287" i="17"/>
  <c r="D287" i="17"/>
  <c r="E287" i="17"/>
  <c r="F287" i="17"/>
  <c r="G287" i="17"/>
  <c r="H287" i="17"/>
  <c r="I287" i="17"/>
  <c r="J287" i="17"/>
  <c r="K287" i="17"/>
  <c r="L287" i="17"/>
  <c r="M287" i="17"/>
  <c r="N287" i="17"/>
  <c r="O287" i="17"/>
  <c r="P287" i="17"/>
  <c r="Q287" i="17"/>
  <c r="R287" i="17"/>
  <c r="S287" i="17"/>
  <c r="T287" i="17"/>
  <c r="U287" i="17"/>
  <c r="V287" i="17"/>
  <c r="W287" i="17"/>
  <c r="X287" i="17"/>
  <c r="Y287" i="17"/>
  <c r="Z287" i="17"/>
  <c r="AA287" i="17"/>
  <c r="AB287" i="17"/>
  <c r="AC287" i="17"/>
  <c r="AD287" i="17"/>
  <c r="AE287" i="17"/>
  <c r="AF287" i="17"/>
  <c r="AG287" i="17"/>
  <c r="AH287" i="17"/>
  <c r="AI287" i="17"/>
  <c r="AJ287" i="17"/>
  <c r="AK287" i="17"/>
  <c r="AL287" i="17"/>
  <c r="AM287" i="17"/>
  <c r="AN287" i="17"/>
  <c r="AO287" i="17"/>
  <c r="AP287" i="17"/>
  <c r="AQ287" i="17"/>
  <c r="AR287" i="17"/>
  <c r="AS287" i="17"/>
  <c r="AT287" i="17"/>
  <c r="AU287" i="17"/>
  <c r="AV287" i="17"/>
  <c r="AW287" i="17"/>
  <c r="AX287" i="17"/>
  <c r="AY287" i="17"/>
  <c r="AZ287" i="17"/>
  <c r="BA287" i="17"/>
  <c r="BB287" i="17"/>
  <c r="BC287" i="17"/>
  <c r="BD287" i="17"/>
  <c r="BE287" i="17"/>
  <c r="BF287" i="17"/>
  <c r="BG287" i="17"/>
  <c r="BH287" i="17"/>
  <c r="BI287" i="17"/>
  <c r="BJ287" i="17"/>
  <c r="BK287" i="17"/>
  <c r="BL287" i="17"/>
  <c r="BM287" i="17"/>
  <c r="BN287" i="17"/>
  <c r="BO287" i="17"/>
  <c r="BP287" i="17"/>
  <c r="BQ287" i="17"/>
  <c r="BR287" i="17"/>
  <c r="BS287" i="17"/>
  <c r="BT287" i="17"/>
  <c r="BU287" i="17"/>
  <c r="BV287" i="17"/>
  <c r="BW287" i="17"/>
  <c r="BX287" i="17"/>
  <c r="BY287" i="17"/>
  <c r="BZ287" i="17"/>
  <c r="CA287" i="17"/>
  <c r="CB287" i="17"/>
  <c r="CC287" i="17"/>
  <c r="CD287" i="17"/>
  <c r="CE287" i="17"/>
  <c r="CF287" i="17"/>
  <c r="CG287" i="17"/>
  <c r="CH287" i="17"/>
  <c r="CI287" i="17"/>
  <c r="CJ287" i="17"/>
  <c r="CK287" i="17"/>
  <c r="CL287" i="17"/>
  <c r="CM287" i="17"/>
  <c r="CN287" i="17"/>
  <c r="CO287" i="17"/>
  <c r="CP287" i="17"/>
  <c r="CQ287" i="17"/>
  <c r="CR287" i="17"/>
  <c r="CS287" i="17"/>
  <c r="CT287" i="17"/>
  <c r="CU287" i="17"/>
  <c r="CV287" i="17"/>
  <c r="CW287" i="17"/>
  <c r="CX287" i="17"/>
  <c r="CY287" i="17"/>
  <c r="CZ287" i="17"/>
  <c r="DA287" i="17"/>
  <c r="DB287" i="17"/>
  <c r="DC287" i="17"/>
  <c r="DD287" i="17"/>
  <c r="DE287" i="17"/>
  <c r="DF287" i="17"/>
  <c r="DG287" i="17"/>
  <c r="DH287" i="17"/>
  <c r="DI287" i="17"/>
  <c r="DJ287" i="17"/>
  <c r="DK287" i="17"/>
  <c r="DL287" i="17"/>
  <c r="DM287" i="17"/>
  <c r="DN287" i="17"/>
  <c r="DO287" i="17"/>
  <c r="DP287" i="17"/>
  <c r="DQ287" i="17"/>
  <c r="DR287" i="17"/>
  <c r="DS287" i="17"/>
  <c r="DT287" i="17"/>
  <c r="DU287" i="17"/>
  <c r="DV287" i="17"/>
  <c r="DW287" i="17"/>
  <c r="DX287" i="17"/>
  <c r="DY287" i="17"/>
  <c r="DZ287" i="17"/>
  <c r="EA287" i="17"/>
  <c r="EB287" i="17"/>
  <c r="EC287" i="17"/>
  <c r="ED287" i="17"/>
  <c r="EE287" i="17"/>
  <c r="EF287" i="17"/>
  <c r="EG287" i="17"/>
  <c r="EH287" i="17"/>
  <c r="EI287" i="17"/>
  <c r="EJ287" i="17"/>
  <c r="EK287" i="17"/>
  <c r="EL287" i="17"/>
  <c r="EM287" i="17"/>
  <c r="EN287" i="17"/>
  <c r="EO287" i="17"/>
  <c r="EP287" i="17"/>
  <c r="EQ287" i="17"/>
  <c r="ER287" i="17"/>
  <c r="ES287" i="17"/>
  <c r="ET287" i="17"/>
  <c r="EU287" i="17"/>
  <c r="EV287" i="17"/>
  <c r="EW287" i="17"/>
  <c r="EX287" i="17"/>
  <c r="EY287" i="17"/>
  <c r="EZ287" i="17"/>
  <c r="FA287" i="17"/>
  <c r="FB287" i="17"/>
  <c r="FC287" i="17"/>
  <c r="FD287" i="17"/>
  <c r="FE287" i="17"/>
  <c r="FF287" i="17"/>
  <c r="FG287" i="17"/>
  <c r="FH287" i="17"/>
  <c r="FI287" i="17"/>
  <c r="FJ287" i="17"/>
  <c r="FK287" i="17"/>
  <c r="FL287" i="17"/>
  <c r="FM287" i="17"/>
  <c r="FN287" i="17"/>
  <c r="FO287" i="17"/>
  <c r="FP287" i="17"/>
  <c r="FQ287" i="17"/>
  <c r="FR287" i="17"/>
  <c r="FS287" i="17"/>
  <c r="FT287" i="17"/>
  <c r="FU287" i="17"/>
  <c r="FV287" i="17"/>
  <c r="FW287" i="17"/>
  <c r="FX287" i="17"/>
  <c r="FY287" i="17"/>
  <c r="FZ287" i="17"/>
  <c r="GA287" i="17"/>
  <c r="GB287" i="17"/>
  <c r="GC287" i="17"/>
  <c r="GD287" i="17"/>
  <c r="GE287" i="17"/>
  <c r="GF287" i="17"/>
  <c r="GG287" i="17"/>
  <c r="GH287" i="17"/>
  <c r="GI287" i="17"/>
  <c r="GJ287" i="17"/>
  <c r="GK287" i="17"/>
  <c r="GL287" i="17"/>
  <c r="GM287" i="17"/>
  <c r="GN287" i="17"/>
  <c r="GO287" i="17"/>
  <c r="GP287" i="17"/>
  <c r="GQ287" i="17"/>
  <c r="GR287" i="17"/>
  <c r="GS287" i="17"/>
  <c r="GT287" i="17"/>
  <c r="GU287" i="17"/>
  <c r="GV287" i="17"/>
  <c r="GW287" i="17"/>
  <c r="GX287" i="17"/>
  <c r="GY287" i="17"/>
  <c r="GZ287" i="17"/>
  <c r="HA287" i="17"/>
  <c r="HB287" i="17"/>
  <c r="HC287" i="17"/>
  <c r="HD287" i="17"/>
  <c r="HE287" i="17"/>
  <c r="HF287" i="17"/>
  <c r="HG287" i="17"/>
  <c r="HH287" i="17"/>
  <c r="HI287" i="17"/>
  <c r="HJ287" i="17"/>
  <c r="HK287" i="17"/>
  <c r="HL287" i="17"/>
  <c r="HM287" i="17"/>
  <c r="HN287" i="17"/>
  <c r="HO287" i="17"/>
  <c r="HP287" i="17"/>
  <c r="HQ287" i="17"/>
  <c r="HR287" i="17"/>
  <c r="HS287" i="17"/>
  <c r="HT287" i="17"/>
  <c r="HU287" i="17"/>
  <c r="HV287" i="17"/>
  <c r="HW287" i="17"/>
  <c r="HX287" i="17"/>
  <c r="HY287" i="17"/>
  <c r="HZ287" i="17"/>
  <c r="IA287" i="17"/>
  <c r="IB287" i="17"/>
  <c r="IC287" i="17"/>
  <c r="ID287" i="17"/>
  <c r="IE287" i="17"/>
  <c r="IF287" i="17"/>
  <c r="IG287" i="17"/>
  <c r="IH287" i="17"/>
  <c r="II287" i="17"/>
  <c r="IJ287" i="17"/>
  <c r="IK287" i="17"/>
  <c r="IL287" i="17"/>
  <c r="IM287" i="17"/>
  <c r="IN287" i="17"/>
  <c r="IO287" i="17"/>
  <c r="IP287" i="17"/>
  <c r="IQ287" i="17"/>
  <c r="IR287" i="17"/>
  <c r="IS287" i="17"/>
  <c r="IT287" i="17"/>
  <c r="IU287" i="17"/>
  <c r="IV287" i="17"/>
  <c r="A286" i="17"/>
  <c r="B286" i="17"/>
  <c r="C286" i="17"/>
  <c r="D286" i="17"/>
  <c r="E286" i="17"/>
  <c r="F286" i="17"/>
  <c r="G286" i="17"/>
  <c r="H286" i="17"/>
  <c r="I286" i="17"/>
  <c r="J286" i="17"/>
  <c r="K286" i="17"/>
  <c r="L286" i="17"/>
  <c r="M286" i="17"/>
  <c r="N286" i="17"/>
  <c r="O286" i="17"/>
  <c r="P286" i="17"/>
  <c r="Q286" i="17"/>
  <c r="R286" i="17"/>
  <c r="S286" i="17"/>
  <c r="T286" i="17"/>
  <c r="U286" i="17"/>
  <c r="V286" i="17"/>
  <c r="W286" i="17"/>
  <c r="X286" i="17"/>
  <c r="Y286" i="17"/>
  <c r="Z286" i="17"/>
  <c r="AA286" i="17"/>
  <c r="AB286" i="17"/>
  <c r="AC286" i="17"/>
  <c r="AD286" i="17"/>
  <c r="AE286" i="17"/>
  <c r="AF286" i="17"/>
  <c r="AG286" i="17"/>
  <c r="AH286" i="17"/>
  <c r="AI286" i="17"/>
  <c r="AJ286" i="17"/>
  <c r="AK286" i="17"/>
  <c r="AL286" i="17"/>
  <c r="AM286" i="17"/>
  <c r="AN286" i="17"/>
  <c r="AO286" i="17"/>
  <c r="AP286" i="17"/>
  <c r="AQ286" i="17"/>
  <c r="AR286" i="17"/>
  <c r="AS286" i="17"/>
  <c r="AT286" i="17"/>
  <c r="AU286" i="17"/>
  <c r="AV286" i="17"/>
  <c r="AW286" i="17"/>
  <c r="AX286" i="17"/>
  <c r="AY286" i="17"/>
  <c r="AZ286" i="17"/>
  <c r="BA286" i="17"/>
  <c r="BB286" i="17"/>
  <c r="BC286" i="17"/>
  <c r="BD286" i="17"/>
  <c r="BE286" i="17"/>
  <c r="BF286" i="17"/>
  <c r="BG286" i="17"/>
  <c r="BH286" i="17"/>
  <c r="BI286" i="17"/>
  <c r="BJ286" i="17"/>
  <c r="BK286" i="17"/>
  <c r="BL286" i="17"/>
  <c r="BM286" i="17"/>
  <c r="BN286" i="17"/>
  <c r="BO286" i="17"/>
  <c r="BP286" i="17"/>
  <c r="BQ286" i="17"/>
  <c r="BR286" i="17"/>
  <c r="BS286" i="17"/>
  <c r="BT286" i="17"/>
  <c r="BU286" i="17"/>
  <c r="BV286" i="17"/>
  <c r="BW286" i="17"/>
  <c r="BX286" i="17"/>
  <c r="BY286" i="17"/>
  <c r="BZ286" i="17"/>
  <c r="CA286" i="17"/>
  <c r="CB286" i="17"/>
  <c r="CC286" i="17"/>
  <c r="CD286" i="17"/>
  <c r="CE286" i="17"/>
  <c r="CF286" i="17"/>
  <c r="CG286" i="17"/>
  <c r="CH286" i="17"/>
  <c r="CI286" i="17"/>
  <c r="CJ286" i="17"/>
  <c r="CK286" i="17"/>
  <c r="CL286" i="17"/>
  <c r="CM286" i="17"/>
  <c r="CN286" i="17"/>
  <c r="CO286" i="17"/>
  <c r="CP286" i="17"/>
  <c r="CQ286" i="17"/>
  <c r="CR286" i="17"/>
  <c r="CS286" i="17"/>
  <c r="CT286" i="17"/>
  <c r="CU286" i="17"/>
  <c r="CV286" i="17"/>
  <c r="CW286" i="17"/>
  <c r="CX286" i="17"/>
  <c r="CY286" i="17"/>
  <c r="CZ286" i="17"/>
  <c r="DA286" i="17"/>
  <c r="DB286" i="17"/>
  <c r="DC286" i="17"/>
  <c r="DD286" i="17"/>
  <c r="DE286" i="17"/>
  <c r="DF286" i="17"/>
  <c r="DG286" i="17"/>
  <c r="DH286" i="17"/>
  <c r="DI286" i="17"/>
  <c r="DJ286" i="17"/>
  <c r="DK286" i="17"/>
  <c r="DL286" i="17"/>
  <c r="DM286" i="17"/>
  <c r="DN286" i="17"/>
  <c r="DO286" i="17"/>
  <c r="DP286" i="17"/>
  <c r="DQ286" i="17"/>
  <c r="DR286" i="17"/>
  <c r="DS286" i="17"/>
  <c r="DT286" i="17"/>
  <c r="DU286" i="17"/>
  <c r="DV286" i="17"/>
  <c r="DW286" i="17"/>
  <c r="DX286" i="17"/>
  <c r="DY286" i="17"/>
  <c r="DZ286" i="17"/>
  <c r="EA286" i="17"/>
  <c r="EB286" i="17"/>
  <c r="EC286" i="17"/>
  <c r="ED286" i="17"/>
  <c r="EE286" i="17"/>
  <c r="EF286" i="17"/>
  <c r="EG286" i="17"/>
  <c r="EH286" i="17"/>
  <c r="EI286" i="17"/>
  <c r="EJ286" i="17"/>
  <c r="EK286" i="17"/>
  <c r="EL286" i="17"/>
  <c r="EM286" i="17"/>
  <c r="EN286" i="17"/>
  <c r="EO286" i="17"/>
  <c r="EP286" i="17"/>
  <c r="EQ286" i="17"/>
  <c r="ER286" i="17"/>
  <c r="ES286" i="17"/>
  <c r="ET286" i="17"/>
  <c r="EU286" i="17"/>
  <c r="EV286" i="17"/>
  <c r="EW286" i="17"/>
  <c r="EX286" i="17"/>
  <c r="EY286" i="17"/>
  <c r="EZ286" i="17"/>
  <c r="FA286" i="17"/>
  <c r="FB286" i="17"/>
  <c r="FC286" i="17"/>
  <c r="FD286" i="17"/>
  <c r="FE286" i="17"/>
  <c r="FF286" i="17"/>
  <c r="FG286" i="17"/>
  <c r="FH286" i="17"/>
  <c r="FI286" i="17"/>
  <c r="FJ286" i="17"/>
  <c r="FK286" i="17"/>
  <c r="FL286" i="17"/>
  <c r="FM286" i="17"/>
  <c r="FN286" i="17"/>
  <c r="FO286" i="17"/>
  <c r="FP286" i="17"/>
  <c r="FQ286" i="17"/>
  <c r="FR286" i="17"/>
  <c r="FS286" i="17"/>
  <c r="FT286" i="17"/>
  <c r="FU286" i="17"/>
  <c r="FV286" i="17"/>
  <c r="FW286" i="17"/>
  <c r="FX286" i="17"/>
  <c r="FY286" i="17"/>
  <c r="FZ286" i="17"/>
  <c r="GA286" i="17"/>
  <c r="GB286" i="17"/>
  <c r="GC286" i="17"/>
  <c r="GD286" i="17"/>
  <c r="GE286" i="17"/>
  <c r="GF286" i="17"/>
  <c r="GG286" i="17"/>
  <c r="GH286" i="17"/>
  <c r="GI286" i="17"/>
  <c r="GJ286" i="17"/>
  <c r="GK286" i="17"/>
  <c r="GL286" i="17"/>
  <c r="GM286" i="17"/>
  <c r="GN286" i="17"/>
  <c r="GO286" i="17"/>
  <c r="GP286" i="17"/>
  <c r="GQ286" i="17"/>
  <c r="GR286" i="17"/>
  <c r="GS286" i="17"/>
  <c r="GT286" i="17"/>
  <c r="GU286" i="17"/>
  <c r="GV286" i="17"/>
  <c r="GW286" i="17"/>
  <c r="GX286" i="17"/>
  <c r="GY286" i="17"/>
  <c r="GZ286" i="17"/>
  <c r="HA286" i="17"/>
  <c r="HB286" i="17"/>
  <c r="HC286" i="17"/>
  <c r="HD286" i="17"/>
  <c r="HE286" i="17"/>
  <c r="HF286" i="17"/>
  <c r="HG286" i="17"/>
  <c r="HH286" i="17"/>
  <c r="HI286" i="17"/>
  <c r="HJ286" i="17"/>
  <c r="HK286" i="17"/>
  <c r="HL286" i="17"/>
  <c r="HM286" i="17"/>
  <c r="HN286" i="17"/>
  <c r="HO286" i="17"/>
  <c r="HP286" i="17"/>
  <c r="HQ286" i="17"/>
  <c r="HR286" i="17"/>
  <c r="HS286" i="17"/>
  <c r="HT286" i="17"/>
  <c r="HU286" i="17"/>
  <c r="HV286" i="17"/>
  <c r="HW286" i="17"/>
  <c r="HX286" i="17"/>
  <c r="HY286" i="17"/>
  <c r="HZ286" i="17"/>
  <c r="IA286" i="17"/>
  <c r="IB286" i="17"/>
  <c r="IC286" i="17"/>
  <c r="ID286" i="17"/>
  <c r="IE286" i="17"/>
  <c r="IF286" i="17"/>
  <c r="IG286" i="17"/>
  <c r="IH286" i="17"/>
  <c r="II286" i="17"/>
  <c r="IJ286" i="17"/>
  <c r="IK286" i="17"/>
  <c r="IL286" i="17"/>
  <c r="IM286" i="17"/>
  <c r="IN286" i="17"/>
  <c r="IO286" i="17"/>
  <c r="IP286" i="17"/>
  <c r="IQ286" i="17"/>
  <c r="IR286" i="17"/>
  <c r="IS286" i="17"/>
  <c r="IT286" i="17"/>
  <c r="IU286" i="17"/>
  <c r="IV286" i="17"/>
  <c r="A285" i="17"/>
  <c r="B285" i="17"/>
  <c r="C285" i="17"/>
  <c r="D285" i="17"/>
  <c r="E285" i="17"/>
  <c r="F285" i="17"/>
  <c r="G285" i="17"/>
  <c r="H285" i="17"/>
  <c r="I285" i="17"/>
  <c r="J285" i="17"/>
  <c r="K285" i="17"/>
  <c r="L285" i="17"/>
  <c r="M285" i="17"/>
  <c r="N285" i="17"/>
  <c r="O285" i="17"/>
  <c r="P285" i="17"/>
  <c r="Q285" i="17"/>
  <c r="R285" i="17"/>
  <c r="S285" i="17"/>
  <c r="T285" i="17"/>
  <c r="U285" i="17"/>
  <c r="V285" i="17"/>
  <c r="W285" i="17"/>
  <c r="X285" i="17"/>
  <c r="Y285" i="17"/>
  <c r="Z285" i="17"/>
  <c r="AA285" i="17"/>
  <c r="AB285" i="17"/>
  <c r="AC285" i="17"/>
  <c r="AD285" i="17"/>
  <c r="AE285" i="17"/>
  <c r="AF285" i="17"/>
  <c r="AG285" i="17"/>
  <c r="AH285" i="17"/>
  <c r="AI285" i="17"/>
  <c r="AJ285" i="17"/>
  <c r="AK285" i="17"/>
  <c r="AL285" i="17"/>
  <c r="AM285" i="17"/>
  <c r="AN285" i="17"/>
  <c r="AO285" i="17"/>
  <c r="AP285" i="17"/>
  <c r="AQ285" i="17"/>
  <c r="AR285" i="17"/>
  <c r="AS285" i="17"/>
  <c r="AT285" i="17"/>
  <c r="AU285" i="17"/>
  <c r="AV285" i="17"/>
  <c r="AW285" i="17"/>
  <c r="AX285" i="17"/>
  <c r="AY285" i="17"/>
  <c r="AZ285" i="17"/>
  <c r="BA285" i="17"/>
  <c r="BB285" i="17"/>
  <c r="BC285" i="17"/>
  <c r="BD285" i="17"/>
  <c r="BE285" i="17"/>
  <c r="BF285" i="17"/>
  <c r="BG285" i="17"/>
  <c r="BH285" i="17"/>
  <c r="BI285" i="17"/>
  <c r="BJ285" i="17"/>
  <c r="BK285" i="17"/>
  <c r="BL285" i="17"/>
  <c r="BM285" i="17"/>
  <c r="BN285" i="17"/>
  <c r="BO285" i="17"/>
  <c r="BP285" i="17"/>
  <c r="BQ285" i="17"/>
  <c r="BR285" i="17"/>
  <c r="BS285" i="17"/>
  <c r="BT285" i="17"/>
  <c r="BU285" i="17"/>
  <c r="BV285" i="17"/>
  <c r="BW285" i="17"/>
  <c r="BX285" i="17"/>
  <c r="BY285" i="17"/>
  <c r="BZ285" i="17"/>
  <c r="CA285" i="17"/>
  <c r="CB285" i="17"/>
  <c r="CC285" i="17"/>
  <c r="CD285" i="17"/>
  <c r="CE285" i="17"/>
  <c r="CF285" i="17"/>
  <c r="CG285" i="17"/>
  <c r="CH285" i="17"/>
  <c r="CI285" i="17"/>
  <c r="CJ285" i="17"/>
  <c r="CK285" i="17"/>
  <c r="CL285" i="17"/>
  <c r="CM285" i="17"/>
  <c r="CN285" i="17"/>
  <c r="CO285" i="17"/>
  <c r="CP285" i="17"/>
  <c r="CQ285" i="17"/>
  <c r="CR285" i="17"/>
  <c r="CS285" i="17"/>
  <c r="CT285" i="17"/>
  <c r="CU285" i="17"/>
  <c r="CV285" i="17"/>
  <c r="CW285" i="17"/>
  <c r="CX285" i="17"/>
  <c r="CY285" i="17"/>
  <c r="CZ285" i="17"/>
  <c r="DA285" i="17"/>
  <c r="DB285" i="17"/>
  <c r="DC285" i="17"/>
  <c r="DD285" i="17"/>
  <c r="DE285" i="17"/>
  <c r="DF285" i="17"/>
  <c r="DG285" i="17"/>
  <c r="DH285" i="17"/>
  <c r="DI285" i="17"/>
  <c r="DJ285" i="17"/>
  <c r="DK285" i="17"/>
  <c r="DL285" i="17"/>
  <c r="DM285" i="17"/>
  <c r="DN285" i="17"/>
  <c r="DO285" i="17"/>
  <c r="DP285" i="17"/>
  <c r="DQ285" i="17"/>
  <c r="DR285" i="17"/>
  <c r="DS285" i="17"/>
  <c r="DT285" i="17"/>
  <c r="DU285" i="17"/>
  <c r="DV285" i="17"/>
  <c r="DW285" i="17"/>
  <c r="DX285" i="17"/>
  <c r="DY285" i="17"/>
  <c r="DZ285" i="17"/>
  <c r="EA285" i="17"/>
  <c r="EB285" i="17"/>
  <c r="EC285" i="17"/>
  <c r="ED285" i="17"/>
  <c r="EE285" i="17"/>
  <c r="EF285" i="17"/>
  <c r="EG285" i="17"/>
  <c r="EH285" i="17"/>
  <c r="EI285" i="17"/>
  <c r="EJ285" i="17"/>
  <c r="EK285" i="17"/>
  <c r="EL285" i="17"/>
  <c r="EM285" i="17"/>
  <c r="EN285" i="17"/>
  <c r="EO285" i="17"/>
  <c r="EP285" i="17"/>
  <c r="EQ285" i="17"/>
  <c r="ER285" i="17"/>
  <c r="ES285" i="17"/>
  <c r="ET285" i="17"/>
  <c r="EU285" i="17"/>
  <c r="EV285" i="17"/>
  <c r="EW285" i="17"/>
  <c r="EX285" i="17"/>
  <c r="EY285" i="17"/>
  <c r="EZ285" i="17"/>
  <c r="FA285" i="17"/>
  <c r="FB285" i="17"/>
  <c r="FC285" i="17"/>
  <c r="FD285" i="17"/>
  <c r="FE285" i="17"/>
  <c r="FF285" i="17"/>
  <c r="FG285" i="17"/>
  <c r="FH285" i="17"/>
  <c r="FI285" i="17"/>
  <c r="FJ285" i="17"/>
  <c r="FK285" i="17"/>
  <c r="FL285" i="17"/>
  <c r="FM285" i="17"/>
  <c r="FN285" i="17"/>
  <c r="FO285" i="17"/>
  <c r="FP285" i="17"/>
  <c r="FQ285" i="17"/>
  <c r="FR285" i="17"/>
  <c r="FS285" i="17"/>
  <c r="FT285" i="17"/>
  <c r="FU285" i="17"/>
  <c r="FV285" i="17"/>
  <c r="FW285" i="17"/>
  <c r="FX285" i="17"/>
  <c r="FY285" i="17"/>
  <c r="FZ285" i="17"/>
  <c r="GA285" i="17"/>
  <c r="GB285" i="17"/>
  <c r="GC285" i="17"/>
  <c r="GD285" i="17"/>
  <c r="GE285" i="17"/>
  <c r="GF285" i="17"/>
  <c r="GG285" i="17"/>
  <c r="GH285" i="17"/>
  <c r="GI285" i="17"/>
  <c r="GJ285" i="17"/>
  <c r="GK285" i="17"/>
  <c r="GL285" i="17"/>
  <c r="GM285" i="17"/>
  <c r="GN285" i="17"/>
  <c r="GO285" i="17"/>
  <c r="GP285" i="17"/>
  <c r="GQ285" i="17"/>
  <c r="GR285" i="17"/>
  <c r="GS285" i="17"/>
  <c r="GT285" i="17"/>
  <c r="GU285" i="17"/>
  <c r="GV285" i="17"/>
  <c r="GW285" i="17"/>
  <c r="GX285" i="17"/>
  <c r="GY285" i="17"/>
  <c r="GZ285" i="17"/>
  <c r="HA285" i="17"/>
  <c r="HB285" i="17"/>
  <c r="HC285" i="17"/>
  <c r="HD285" i="17"/>
  <c r="HE285" i="17"/>
  <c r="HF285" i="17"/>
  <c r="HG285" i="17"/>
  <c r="HH285" i="17"/>
  <c r="HI285" i="17"/>
  <c r="HJ285" i="17"/>
  <c r="HK285" i="17"/>
  <c r="HL285" i="17"/>
  <c r="HM285" i="17"/>
  <c r="HN285" i="17"/>
  <c r="HO285" i="17"/>
  <c r="HP285" i="17"/>
  <c r="HQ285" i="17"/>
  <c r="HR285" i="17"/>
  <c r="HS285" i="17"/>
  <c r="HT285" i="17"/>
  <c r="HU285" i="17"/>
  <c r="HV285" i="17"/>
  <c r="HW285" i="17"/>
  <c r="HX285" i="17"/>
  <c r="HY285" i="17"/>
  <c r="HZ285" i="17"/>
  <c r="IA285" i="17"/>
  <c r="IB285" i="17"/>
  <c r="IC285" i="17"/>
  <c r="ID285" i="17"/>
  <c r="IE285" i="17"/>
  <c r="IF285" i="17"/>
  <c r="IG285" i="17"/>
  <c r="IH285" i="17"/>
  <c r="II285" i="17"/>
  <c r="IJ285" i="17"/>
  <c r="IK285" i="17"/>
  <c r="IL285" i="17"/>
  <c r="IM285" i="17"/>
  <c r="IN285" i="17"/>
  <c r="IO285" i="17"/>
  <c r="IP285" i="17"/>
  <c r="IQ285" i="17"/>
  <c r="IR285" i="17"/>
  <c r="IS285" i="17"/>
  <c r="IT285" i="17"/>
  <c r="IU285" i="17"/>
  <c r="IV285" i="17"/>
  <c r="A284" i="17"/>
  <c r="B284" i="17"/>
  <c r="C284" i="17"/>
  <c r="D284" i="17"/>
  <c r="E284" i="17"/>
  <c r="F284" i="17"/>
  <c r="G284" i="17"/>
  <c r="H284" i="17"/>
  <c r="I284" i="17"/>
  <c r="J284" i="17"/>
  <c r="K284" i="17"/>
  <c r="L284" i="17"/>
  <c r="M284" i="17"/>
  <c r="N284" i="17"/>
  <c r="O284" i="17"/>
  <c r="P284" i="17"/>
  <c r="Q284" i="17"/>
  <c r="R284" i="17"/>
  <c r="S284" i="17"/>
  <c r="T284" i="17"/>
  <c r="U284" i="17"/>
  <c r="V284" i="17"/>
  <c r="W284" i="17"/>
  <c r="X284" i="17"/>
  <c r="Y284" i="17"/>
  <c r="Z284" i="17"/>
  <c r="AA284" i="17"/>
  <c r="AB284" i="17"/>
  <c r="AC284" i="17"/>
  <c r="AD284" i="17"/>
  <c r="AE284" i="17"/>
  <c r="AF284" i="17"/>
  <c r="AG284" i="17"/>
  <c r="AH284" i="17"/>
  <c r="AI284" i="17"/>
  <c r="AJ284" i="17"/>
  <c r="AK284" i="17"/>
  <c r="AL284" i="17"/>
  <c r="AM284" i="17"/>
  <c r="AN284" i="17"/>
  <c r="AO284" i="17"/>
  <c r="AP284" i="17"/>
  <c r="AQ284" i="17"/>
  <c r="AR284" i="17"/>
  <c r="AS284" i="17"/>
  <c r="AT284" i="17"/>
  <c r="AU284" i="17"/>
  <c r="AV284" i="17"/>
  <c r="AW284" i="17"/>
  <c r="AX284" i="17"/>
  <c r="AY284" i="17"/>
  <c r="AZ284" i="17"/>
  <c r="BA284" i="17"/>
  <c r="BB284" i="17"/>
  <c r="BC284" i="17"/>
  <c r="BD284" i="17"/>
  <c r="BE284" i="17"/>
  <c r="BF284" i="17"/>
  <c r="BG284" i="17"/>
  <c r="BH284" i="17"/>
  <c r="BI284" i="17"/>
  <c r="BJ284" i="17"/>
  <c r="BK284" i="17"/>
  <c r="BL284" i="17"/>
  <c r="BM284" i="17"/>
  <c r="BN284" i="17"/>
  <c r="BO284" i="17"/>
  <c r="BP284" i="17"/>
  <c r="BQ284" i="17"/>
  <c r="BR284" i="17"/>
  <c r="BS284" i="17"/>
  <c r="BT284" i="17"/>
  <c r="BU284" i="17"/>
  <c r="BV284" i="17"/>
  <c r="BW284" i="17"/>
  <c r="BX284" i="17"/>
  <c r="BY284" i="17"/>
  <c r="BZ284" i="17"/>
  <c r="CA284" i="17"/>
  <c r="CB284" i="17"/>
  <c r="CC284" i="17"/>
  <c r="CD284" i="17"/>
  <c r="CE284" i="17"/>
  <c r="CF284" i="17"/>
  <c r="CG284" i="17"/>
  <c r="CH284" i="17"/>
  <c r="CI284" i="17"/>
  <c r="CJ284" i="17"/>
  <c r="CK284" i="17"/>
  <c r="CL284" i="17"/>
  <c r="CM284" i="17"/>
  <c r="CN284" i="17"/>
  <c r="CO284" i="17"/>
  <c r="CP284" i="17"/>
  <c r="CQ284" i="17"/>
  <c r="CR284" i="17"/>
  <c r="CS284" i="17"/>
  <c r="CT284" i="17"/>
  <c r="CU284" i="17"/>
  <c r="CV284" i="17"/>
  <c r="CW284" i="17"/>
  <c r="CX284" i="17"/>
  <c r="CY284" i="17"/>
  <c r="CZ284" i="17"/>
  <c r="DA284" i="17"/>
  <c r="DB284" i="17"/>
  <c r="DC284" i="17"/>
  <c r="DD284" i="17"/>
  <c r="DE284" i="17"/>
  <c r="DF284" i="17"/>
  <c r="DG284" i="17"/>
  <c r="DH284" i="17"/>
  <c r="DI284" i="17"/>
  <c r="DJ284" i="17"/>
  <c r="DK284" i="17"/>
  <c r="DL284" i="17"/>
  <c r="DM284" i="17"/>
  <c r="DN284" i="17"/>
  <c r="DO284" i="17"/>
  <c r="DP284" i="17"/>
  <c r="DQ284" i="17"/>
  <c r="DR284" i="17"/>
  <c r="DS284" i="17"/>
  <c r="DT284" i="17"/>
  <c r="DU284" i="17"/>
  <c r="DV284" i="17"/>
  <c r="DW284" i="17"/>
  <c r="DX284" i="17"/>
  <c r="DY284" i="17"/>
  <c r="DZ284" i="17"/>
  <c r="EA284" i="17"/>
  <c r="EB284" i="17"/>
  <c r="EC284" i="17"/>
  <c r="ED284" i="17"/>
  <c r="EE284" i="17"/>
  <c r="EF284" i="17"/>
  <c r="EG284" i="17"/>
  <c r="EH284" i="17"/>
  <c r="EI284" i="17"/>
  <c r="EJ284" i="17"/>
  <c r="EK284" i="17"/>
  <c r="EL284" i="17"/>
  <c r="EM284" i="17"/>
  <c r="EN284" i="17"/>
  <c r="EO284" i="17"/>
  <c r="EP284" i="17"/>
  <c r="EQ284" i="17"/>
  <c r="ER284" i="17"/>
  <c r="ES284" i="17"/>
  <c r="ET284" i="17"/>
  <c r="EU284" i="17"/>
  <c r="EV284" i="17"/>
  <c r="EW284" i="17"/>
  <c r="EX284" i="17"/>
  <c r="EY284" i="17"/>
  <c r="EZ284" i="17"/>
  <c r="FA284" i="17"/>
  <c r="FB284" i="17"/>
  <c r="FC284" i="17"/>
  <c r="FD284" i="17"/>
  <c r="FE284" i="17"/>
  <c r="FF284" i="17"/>
  <c r="FG284" i="17"/>
  <c r="FH284" i="17"/>
  <c r="FI284" i="17"/>
  <c r="FJ284" i="17"/>
  <c r="FK284" i="17"/>
  <c r="FL284" i="17"/>
  <c r="FM284" i="17"/>
  <c r="FN284" i="17"/>
  <c r="FO284" i="17"/>
  <c r="FP284" i="17"/>
  <c r="FQ284" i="17"/>
  <c r="FR284" i="17"/>
  <c r="FS284" i="17"/>
  <c r="FT284" i="17"/>
  <c r="FU284" i="17"/>
  <c r="FV284" i="17"/>
  <c r="FW284" i="17"/>
  <c r="FX284" i="17"/>
  <c r="FY284" i="17"/>
  <c r="FZ284" i="17"/>
  <c r="GA284" i="17"/>
  <c r="GB284" i="17"/>
  <c r="GC284" i="17"/>
  <c r="GD284" i="17"/>
  <c r="GE284" i="17"/>
  <c r="GF284" i="17"/>
  <c r="GG284" i="17"/>
  <c r="GH284" i="17"/>
  <c r="GI284" i="17"/>
  <c r="GJ284" i="17"/>
  <c r="GK284" i="17"/>
  <c r="GL284" i="17"/>
  <c r="GM284" i="17"/>
  <c r="GN284" i="17"/>
  <c r="GO284" i="17"/>
  <c r="GP284" i="17"/>
  <c r="GQ284" i="17"/>
  <c r="GR284" i="17"/>
  <c r="GS284" i="17"/>
  <c r="GT284" i="17"/>
  <c r="GU284" i="17"/>
  <c r="GV284" i="17"/>
  <c r="GW284" i="17"/>
  <c r="GX284" i="17"/>
  <c r="GY284" i="17"/>
  <c r="GZ284" i="17"/>
  <c r="HA284" i="17"/>
  <c r="HB284" i="17"/>
  <c r="HC284" i="17"/>
  <c r="HD284" i="17"/>
  <c r="HE284" i="17"/>
  <c r="HF284" i="17"/>
  <c r="HG284" i="17"/>
  <c r="HH284" i="17"/>
  <c r="HI284" i="17"/>
  <c r="HJ284" i="17"/>
  <c r="HK284" i="17"/>
  <c r="HL284" i="17"/>
  <c r="HM284" i="17"/>
  <c r="HN284" i="17"/>
  <c r="HO284" i="17"/>
  <c r="HP284" i="17"/>
  <c r="HQ284" i="17"/>
  <c r="HR284" i="17"/>
  <c r="HS284" i="17"/>
  <c r="HT284" i="17"/>
  <c r="HU284" i="17"/>
  <c r="HV284" i="17"/>
  <c r="HW284" i="17"/>
  <c r="HX284" i="17"/>
  <c r="HY284" i="17"/>
  <c r="HZ284" i="17"/>
  <c r="IA284" i="17"/>
  <c r="IB284" i="17"/>
  <c r="IC284" i="17"/>
  <c r="ID284" i="17"/>
  <c r="IE284" i="17"/>
  <c r="IF284" i="17"/>
  <c r="IG284" i="17"/>
  <c r="IH284" i="17"/>
  <c r="II284" i="17"/>
  <c r="IJ284" i="17"/>
  <c r="IK284" i="17"/>
  <c r="IL284" i="17"/>
  <c r="IM284" i="17"/>
  <c r="IN284" i="17"/>
  <c r="IO284" i="17"/>
  <c r="IP284" i="17"/>
  <c r="IQ284" i="17"/>
  <c r="IR284" i="17"/>
  <c r="IS284" i="17"/>
  <c r="IT284" i="17"/>
  <c r="IU284" i="17"/>
  <c r="IV284" i="17"/>
  <c r="A283" i="17"/>
  <c r="B283" i="17"/>
  <c r="C283" i="17"/>
  <c r="D283" i="17"/>
  <c r="E283" i="17"/>
  <c r="F283" i="17"/>
  <c r="G283" i="17"/>
  <c r="H283" i="17"/>
  <c r="I283" i="17"/>
  <c r="J283" i="17"/>
  <c r="K283" i="17"/>
  <c r="L283" i="17"/>
  <c r="M283" i="17"/>
  <c r="N283" i="17"/>
  <c r="O283" i="17"/>
  <c r="P283" i="17"/>
  <c r="Q283" i="17"/>
  <c r="R283" i="17"/>
  <c r="S283" i="17"/>
  <c r="T283" i="17"/>
  <c r="U283" i="17"/>
  <c r="V283" i="17"/>
  <c r="W283" i="17"/>
  <c r="X283" i="17"/>
  <c r="Y283" i="17"/>
  <c r="Z283" i="17"/>
  <c r="AA283" i="17"/>
  <c r="AB283" i="17"/>
  <c r="AC283" i="17"/>
  <c r="AD283" i="17"/>
  <c r="AE283" i="17"/>
  <c r="AF283" i="17"/>
  <c r="AG283" i="17"/>
  <c r="AH283" i="17"/>
  <c r="AI283" i="17"/>
  <c r="AJ283" i="17"/>
  <c r="AK283" i="17"/>
  <c r="AL283" i="17"/>
  <c r="AM283" i="17"/>
  <c r="AN283" i="17"/>
  <c r="AO283" i="17"/>
  <c r="AP283" i="17"/>
  <c r="AQ283" i="17"/>
  <c r="AR283" i="17"/>
  <c r="AS283" i="17"/>
  <c r="AT283" i="17"/>
  <c r="AU283" i="17"/>
  <c r="AV283" i="17"/>
  <c r="AW283" i="17"/>
  <c r="AX283" i="17"/>
  <c r="AY283" i="17"/>
  <c r="AZ283" i="17"/>
  <c r="BA283" i="17"/>
  <c r="BB283" i="17"/>
  <c r="BC283" i="17"/>
  <c r="BD283" i="17"/>
  <c r="BE283" i="17"/>
  <c r="BF283" i="17"/>
  <c r="BG283" i="17"/>
  <c r="BH283" i="17"/>
  <c r="BI283" i="17"/>
  <c r="BJ283" i="17"/>
  <c r="BK283" i="17"/>
  <c r="BL283" i="17"/>
  <c r="BM283" i="17"/>
  <c r="BN283" i="17"/>
  <c r="BO283" i="17"/>
  <c r="BP283" i="17"/>
  <c r="BQ283" i="17"/>
  <c r="BR283" i="17"/>
  <c r="BS283" i="17"/>
  <c r="BT283" i="17"/>
  <c r="BU283" i="17"/>
  <c r="BV283" i="17"/>
  <c r="BW283" i="17"/>
  <c r="BX283" i="17"/>
  <c r="BY283" i="17"/>
  <c r="BZ283" i="17"/>
  <c r="CA283" i="17"/>
  <c r="CB283" i="17"/>
  <c r="CC283" i="17"/>
  <c r="CD283" i="17"/>
  <c r="CE283" i="17"/>
  <c r="CF283" i="17"/>
  <c r="CG283" i="17"/>
  <c r="CH283" i="17"/>
  <c r="CI283" i="17"/>
  <c r="CJ283" i="17"/>
  <c r="CK283" i="17"/>
  <c r="CL283" i="17"/>
  <c r="CM283" i="17"/>
  <c r="CN283" i="17"/>
  <c r="CO283" i="17"/>
  <c r="CP283" i="17"/>
  <c r="CQ283" i="17"/>
  <c r="CR283" i="17"/>
  <c r="CS283" i="17"/>
  <c r="CT283" i="17"/>
  <c r="CU283" i="17"/>
  <c r="CV283" i="17"/>
  <c r="CW283" i="17"/>
  <c r="CX283" i="17"/>
  <c r="CY283" i="17"/>
  <c r="CZ283" i="17"/>
  <c r="DA283" i="17"/>
  <c r="DB283" i="17"/>
  <c r="DC283" i="17"/>
  <c r="DD283" i="17"/>
  <c r="DE283" i="17"/>
  <c r="DF283" i="17"/>
  <c r="DG283" i="17"/>
  <c r="DH283" i="17"/>
  <c r="DI283" i="17"/>
  <c r="DJ283" i="17"/>
  <c r="DK283" i="17"/>
  <c r="DL283" i="17"/>
  <c r="DM283" i="17"/>
  <c r="DN283" i="17"/>
  <c r="DO283" i="17"/>
  <c r="DP283" i="17"/>
  <c r="DQ283" i="17"/>
  <c r="DR283" i="17"/>
  <c r="DS283" i="17"/>
  <c r="DT283" i="17"/>
  <c r="DU283" i="17"/>
  <c r="DV283" i="17"/>
  <c r="DW283" i="17"/>
  <c r="DX283" i="17"/>
  <c r="DY283" i="17"/>
  <c r="DZ283" i="17"/>
  <c r="EA283" i="17"/>
  <c r="EB283" i="17"/>
  <c r="EC283" i="17"/>
  <c r="ED283" i="17"/>
  <c r="EE283" i="17"/>
  <c r="EF283" i="17"/>
  <c r="EG283" i="17"/>
  <c r="EH283" i="17"/>
  <c r="EI283" i="17"/>
  <c r="EJ283" i="17"/>
  <c r="EK283" i="17"/>
  <c r="EL283" i="17"/>
  <c r="EM283" i="17"/>
  <c r="EN283" i="17"/>
  <c r="EO283" i="17"/>
  <c r="EP283" i="17"/>
  <c r="EQ283" i="17"/>
  <c r="ER283" i="17"/>
  <c r="ES283" i="17"/>
  <c r="ET283" i="17"/>
  <c r="EU283" i="17"/>
  <c r="EV283" i="17"/>
  <c r="EW283" i="17"/>
  <c r="EX283" i="17"/>
  <c r="EY283" i="17"/>
  <c r="EZ283" i="17"/>
  <c r="FA283" i="17"/>
  <c r="FB283" i="17"/>
  <c r="FC283" i="17"/>
  <c r="FD283" i="17"/>
  <c r="FE283" i="17"/>
  <c r="FF283" i="17"/>
  <c r="FG283" i="17"/>
  <c r="FH283" i="17"/>
  <c r="FI283" i="17"/>
  <c r="FJ283" i="17"/>
  <c r="FK283" i="17"/>
  <c r="FL283" i="17"/>
  <c r="FM283" i="17"/>
  <c r="FN283" i="17"/>
  <c r="FO283" i="17"/>
  <c r="FP283" i="17"/>
  <c r="FQ283" i="17"/>
  <c r="FR283" i="17"/>
  <c r="FS283" i="17"/>
  <c r="FT283" i="17"/>
  <c r="FU283" i="17"/>
  <c r="FV283" i="17"/>
  <c r="FW283" i="17"/>
  <c r="FX283" i="17"/>
  <c r="FY283" i="17"/>
  <c r="FZ283" i="17"/>
  <c r="GA283" i="17"/>
  <c r="GB283" i="17"/>
  <c r="GC283" i="17"/>
  <c r="GD283" i="17"/>
  <c r="GE283" i="17"/>
  <c r="GF283" i="17"/>
  <c r="GG283" i="17"/>
  <c r="GH283" i="17"/>
  <c r="GI283" i="17"/>
  <c r="GJ283" i="17"/>
  <c r="GK283" i="17"/>
  <c r="GL283" i="17"/>
  <c r="GM283" i="17"/>
  <c r="GN283" i="17"/>
  <c r="GO283" i="17"/>
  <c r="GP283" i="17"/>
  <c r="GQ283" i="17"/>
  <c r="GR283" i="17"/>
  <c r="GS283" i="17"/>
  <c r="GT283" i="17"/>
  <c r="GU283" i="17"/>
  <c r="GV283" i="17"/>
  <c r="GW283" i="17"/>
  <c r="GX283" i="17"/>
  <c r="GY283" i="17"/>
  <c r="GZ283" i="17"/>
  <c r="HA283" i="17"/>
  <c r="HB283" i="17"/>
  <c r="HC283" i="17"/>
  <c r="HD283" i="17"/>
  <c r="HE283" i="17"/>
  <c r="HF283" i="17"/>
  <c r="HG283" i="17"/>
  <c r="HH283" i="17"/>
  <c r="HI283" i="17"/>
  <c r="HJ283" i="17"/>
  <c r="HK283" i="17"/>
  <c r="HL283" i="17"/>
  <c r="HM283" i="17"/>
  <c r="HN283" i="17"/>
  <c r="HO283" i="17"/>
  <c r="HP283" i="17"/>
  <c r="HQ283" i="17"/>
  <c r="HR283" i="17"/>
  <c r="HS283" i="17"/>
  <c r="HT283" i="17"/>
  <c r="HU283" i="17"/>
  <c r="HV283" i="17"/>
  <c r="HW283" i="17"/>
  <c r="HX283" i="17"/>
  <c r="HY283" i="17"/>
  <c r="HZ283" i="17"/>
  <c r="IA283" i="17"/>
  <c r="IB283" i="17"/>
  <c r="IC283" i="17"/>
  <c r="ID283" i="17"/>
  <c r="IE283" i="17"/>
  <c r="IF283" i="17"/>
  <c r="IG283" i="17"/>
  <c r="IH283" i="17"/>
  <c r="II283" i="17"/>
  <c r="IJ283" i="17"/>
  <c r="IK283" i="17"/>
  <c r="IL283" i="17"/>
  <c r="IM283" i="17"/>
  <c r="IN283" i="17"/>
  <c r="IO283" i="17"/>
  <c r="IP283" i="17"/>
  <c r="IQ283" i="17"/>
  <c r="IR283" i="17"/>
  <c r="IS283" i="17"/>
  <c r="IT283" i="17"/>
  <c r="IU283" i="17"/>
  <c r="IV283" i="17"/>
  <c r="A282" i="17"/>
  <c r="B282" i="17"/>
  <c r="C282" i="17"/>
  <c r="D282" i="17"/>
  <c r="E282" i="17"/>
  <c r="F282" i="17"/>
  <c r="G282" i="17"/>
  <c r="H282" i="17"/>
  <c r="I282" i="17"/>
  <c r="J282" i="17"/>
  <c r="K282" i="17"/>
  <c r="L282" i="17"/>
  <c r="M282" i="17"/>
  <c r="N282" i="17"/>
  <c r="O282" i="17"/>
  <c r="P282" i="17"/>
  <c r="Q282" i="17"/>
  <c r="R282" i="17"/>
  <c r="S282" i="17"/>
  <c r="T282" i="17"/>
  <c r="U282" i="17"/>
  <c r="V282" i="17"/>
  <c r="W282" i="17"/>
  <c r="X282" i="17"/>
  <c r="Y282" i="17"/>
  <c r="Z282" i="17"/>
  <c r="AA282" i="17"/>
  <c r="AB282" i="17"/>
  <c r="AC282" i="17"/>
  <c r="AD282" i="17"/>
  <c r="AE282" i="17"/>
  <c r="AF282" i="17"/>
  <c r="AG282" i="17"/>
  <c r="AH282" i="17"/>
  <c r="AI282" i="17"/>
  <c r="AJ282" i="17"/>
  <c r="AK282" i="17"/>
  <c r="AL282" i="17"/>
  <c r="AM282" i="17"/>
  <c r="AN282" i="17"/>
  <c r="AO282" i="17"/>
  <c r="AP282" i="17"/>
  <c r="AQ282" i="17"/>
  <c r="AR282" i="17"/>
  <c r="AS282" i="17"/>
  <c r="AT282" i="17"/>
  <c r="AU282" i="17"/>
  <c r="AV282" i="17"/>
  <c r="AW282" i="17"/>
  <c r="AX282" i="17"/>
  <c r="AY282" i="17"/>
  <c r="AZ282" i="17"/>
  <c r="BA282" i="17"/>
  <c r="BB282" i="17"/>
  <c r="BC282" i="17"/>
  <c r="BD282" i="17"/>
  <c r="BE282" i="17"/>
  <c r="BF282" i="17"/>
  <c r="BG282" i="17"/>
  <c r="BH282" i="17"/>
  <c r="BI282" i="17"/>
  <c r="BJ282" i="17"/>
  <c r="BK282" i="17"/>
  <c r="BL282" i="17"/>
  <c r="BM282" i="17"/>
  <c r="BN282" i="17"/>
  <c r="BO282" i="17"/>
  <c r="BP282" i="17"/>
  <c r="BQ282" i="17"/>
  <c r="BR282" i="17"/>
  <c r="BS282" i="17"/>
  <c r="BT282" i="17"/>
  <c r="BU282" i="17"/>
  <c r="BV282" i="17"/>
  <c r="BW282" i="17"/>
  <c r="BX282" i="17"/>
  <c r="BY282" i="17"/>
  <c r="BZ282" i="17"/>
  <c r="CA282" i="17"/>
  <c r="CB282" i="17"/>
  <c r="CC282" i="17"/>
  <c r="CD282" i="17"/>
  <c r="CE282" i="17"/>
  <c r="CF282" i="17"/>
  <c r="CG282" i="17"/>
  <c r="CH282" i="17"/>
  <c r="CI282" i="17"/>
  <c r="CJ282" i="17"/>
  <c r="CK282" i="17"/>
  <c r="CL282" i="17"/>
  <c r="CM282" i="17"/>
  <c r="CN282" i="17"/>
  <c r="CO282" i="17"/>
  <c r="CP282" i="17"/>
  <c r="CQ282" i="17"/>
  <c r="CR282" i="17"/>
  <c r="CS282" i="17"/>
  <c r="CT282" i="17"/>
  <c r="CU282" i="17"/>
  <c r="CV282" i="17"/>
  <c r="CW282" i="17"/>
  <c r="CX282" i="17"/>
  <c r="CY282" i="17"/>
  <c r="CZ282" i="17"/>
  <c r="DA282" i="17"/>
  <c r="DB282" i="17"/>
  <c r="DC282" i="17"/>
  <c r="DD282" i="17"/>
  <c r="DE282" i="17"/>
  <c r="DF282" i="17"/>
  <c r="DG282" i="17"/>
  <c r="DH282" i="17"/>
  <c r="DI282" i="17"/>
  <c r="DJ282" i="17"/>
  <c r="DK282" i="17"/>
  <c r="DL282" i="17"/>
  <c r="DM282" i="17"/>
  <c r="DN282" i="17"/>
  <c r="DO282" i="17"/>
  <c r="DP282" i="17"/>
  <c r="DQ282" i="17"/>
  <c r="DR282" i="17"/>
  <c r="DS282" i="17"/>
  <c r="DT282" i="17"/>
  <c r="DU282" i="17"/>
  <c r="DV282" i="17"/>
  <c r="DW282" i="17"/>
  <c r="DX282" i="17"/>
  <c r="DY282" i="17"/>
  <c r="DZ282" i="17"/>
  <c r="EA282" i="17"/>
  <c r="EB282" i="17"/>
  <c r="EC282" i="17"/>
  <c r="ED282" i="17"/>
  <c r="EE282" i="17"/>
  <c r="EF282" i="17"/>
  <c r="EG282" i="17"/>
  <c r="EH282" i="17"/>
  <c r="EI282" i="17"/>
  <c r="EJ282" i="17"/>
  <c r="EK282" i="17"/>
  <c r="EL282" i="17"/>
  <c r="EM282" i="17"/>
  <c r="EN282" i="17"/>
  <c r="EO282" i="17"/>
  <c r="EP282" i="17"/>
  <c r="EQ282" i="17"/>
  <c r="ER282" i="17"/>
  <c r="ES282" i="17"/>
  <c r="ET282" i="17"/>
  <c r="EU282" i="17"/>
  <c r="EV282" i="17"/>
  <c r="EW282" i="17"/>
  <c r="EX282" i="17"/>
  <c r="EY282" i="17"/>
  <c r="EZ282" i="17"/>
  <c r="FA282" i="17"/>
  <c r="FB282" i="17"/>
  <c r="FC282" i="17"/>
  <c r="FD282" i="17"/>
  <c r="FE282" i="17"/>
  <c r="FF282" i="17"/>
  <c r="FG282" i="17"/>
  <c r="FH282" i="17"/>
  <c r="FI282" i="17"/>
  <c r="FJ282" i="17"/>
  <c r="FK282" i="17"/>
  <c r="FL282" i="17"/>
  <c r="FM282" i="17"/>
  <c r="FN282" i="17"/>
  <c r="FO282" i="17"/>
  <c r="FP282" i="17"/>
  <c r="FQ282" i="17"/>
  <c r="FR282" i="17"/>
  <c r="FS282" i="17"/>
  <c r="FT282" i="17"/>
  <c r="FU282" i="17"/>
  <c r="FV282" i="17"/>
  <c r="FW282" i="17"/>
  <c r="FX282" i="17"/>
  <c r="FY282" i="17"/>
  <c r="FZ282" i="17"/>
  <c r="GA282" i="17"/>
  <c r="GB282" i="17"/>
  <c r="GC282" i="17"/>
  <c r="GD282" i="17"/>
  <c r="GE282" i="17"/>
  <c r="GF282" i="17"/>
  <c r="GG282" i="17"/>
  <c r="GH282" i="17"/>
  <c r="GI282" i="17"/>
  <c r="GJ282" i="17"/>
  <c r="GK282" i="17"/>
  <c r="GL282" i="17"/>
  <c r="GM282" i="17"/>
  <c r="GN282" i="17"/>
  <c r="GO282" i="17"/>
  <c r="GP282" i="17"/>
  <c r="GQ282" i="17"/>
  <c r="GR282" i="17"/>
  <c r="GS282" i="17"/>
  <c r="GT282" i="17"/>
  <c r="GU282" i="17"/>
  <c r="GV282" i="17"/>
  <c r="GW282" i="17"/>
  <c r="GX282" i="17"/>
  <c r="GY282" i="17"/>
  <c r="GZ282" i="17"/>
  <c r="HA282" i="17"/>
  <c r="HB282" i="17"/>
  <c r="HC282" i="17"/>
  <c r="HD282" i="17"/>
  <c r="HE282" i="17"/>
  <c r="HF282" i="17"/>
  <c r="HG282" i="17"/>
  <c r="HH282" i="17"/>
  <c r="HI282" i="17"/>
  <c r="HJ282" i="17"/>
  <c r="HK282" i="17"/>
  <c r="HL282" i="17"/>
  <c r="HM282" i="17"/>
  <c r="HN282" i="17"/>
  <c r="HO282" i="17"/>
  <c r="HP282" i="17"/>
  <c r="HQ282" i="17"/>
  <c r="HR282" i="17"/>
  <c r="HS282" i="17"/>
  <c r="HT282" i="17"/>
  <c r="HU282" i="17"/>
  <c r="HV282" i="17"/>
  <c r="HW282" i="17"/>
  <c r="HX282" i="17"/>
  <c r="HY282" i="17"/>
  <c r="HZ282" i="17"/>
  <c r="IA282" i="17"/>
  <c r="IB282" i="17"/>
  <c r="IC282" i="17"/>
  <c r="ID282" i="17"/>
  <c r="IE282" i="17"/>
  <c r="IF282" i="17"/>
  <c r="IG282" i="17"/>
  <c r="IH282" i="17"/>
  <c r="II282" i="17"/>
  <c r="IJ282" i="17"/>
  <c r="IK282" i="17"/>
  <c r="IL282" i="17"/>
  <c r="IM282" i="17"/>
  <c r="IN282" i="17"/>
  <c r="IO282" i="17"/>
  <c r="IP282" i="17"/>
  <c r="IQ282" i="17"/>
  <c r="IR282" i="17"/>
  <c r="IS282" i="17"/>
  <c r="IT282" i="17"/>
  <c r="IU282" i="17"/>
  <c r="IV282" i="17"/>
  <c r="A281" i="17"/>
  <c r="B281" i="17"/>
  <c r="C281" i="17"/>
  <c r="D281" i="17"/>
  <c r="E281" i="17"/>
  <c r="F281" i="17"/>
  <c r="G281" i="17"/>
  <c r="H281" i="17"/>
  <c r="I281" i="17"/>
  <c r="J281" i="17"/>
  <c r="K281" i="17"/>
  <c r="L281" i="17"/>
  <c r="M281" i="17"/>
  <c r="N281" i="17"/>
  <c r="O281" i="17"/>
  <c r="P281" i="17"/>
  <c r="Q281" i="17"/>
  <c r="R281" i="17"/>
  <c r="S281" i="17"/>
  <c r="T281" i="17"/>
  <c r="U281" i="17"/>
  <c r="V281" i="17"/>
  <c r="W281" i="17"/>
  <c r="X281" i="17"/>
  <c r="Y281" i="17"/>
  <c r="Z281" i="17"/>
  <c r="AA281" i="17"/>
  <c r="AB281" i="17"/>
  <c r="AC281" i="17"/>
  <c r="AD281" i="17"/>
  <c r="AE281" i="17"/>
  <c r="AF281" i="17"/>
  <c r="AG281" i="17"/>
  <c r="AH281" i="17"/>
  <c r="AI281" i="17"/>
  <c r="AJ281" i="17"/>
  <c r="AK281" i="17"/>
  <c r="AL281" i="17"/>
  <c r="AM281" i="17"/>
  <c r="AN281" i="17"/>
  <c r="AO281" i="17"/>
  <c r="AP281" i="17"/>
  <c r="AQ281" i="17"/>
  <c r="AR281" i="17"/>
  <c r="AS281" i="17"/>
  <c r="AT281" i="17"/>
  <c r="AU281" i="17"/>
  <c r="AV281" i="17"/>
  <c r="AW281" i="17"/>
  <c r="AX281" i="17"/>
  <c r="AY281" i="17"/>
  <c r="AZ281" i="17"/>
  <c r="BA281" i="17"/>
  <c r="BB281" i="17"/>
  <c r="BC281" i="17"/>
  <c r="BD281" i="17"/>
  <c r="BE281" i="17"/>
  <c r="BF281" i="17"/>
  <c r="BG281" i="17"/>
  <c r="BH281" i="17"/>
  <c r="BI281" i="17"/>
  <c r="BJ281" i="17"/>
  <c r="BK281" i="17"/>
  <c r="BL281" i="17"/>
  <c r="BM281" i="17"/>
  <c r="BN281" i="17"/>
  <c r="BO281" i="17"/>
  <c r="BP281" i="17"/>
  <c r="BQ281" i="17"/>
  <c r="BR281" i="17"/>
  <c r="BS281" i="17"/>
  <c r="BT281" i="17"/>
  <c r="BU281" i="17"/>
  <c r="BV281" i="17"/>
  <c r="BW281" i="17"/>
  <c r="BX281" i="17"/>
  <c r="BY281" i="17"/>
  <c r="BZ281" i="17"/>
  <c r="CA281" i="17"/>
  <c r="CB281" i="17"/>
  <c r="CC281" i="17"/>
  <c r="CD281" i="17"/>
  <c r="CE281" i="17"/>
  <c r="CF281" i="17"/>
  <c r="CG281" i="17"/>
  <c r="CH281" i="17"/>
  <c r="CI281" i="17"/>
  <c r="CJ281" i="17"/>
  <c r="CK281" i="17"/>
  <c r="CL281" i="17"/>
  <c r="CM281" i="17"/>
  <c r="CN281" i="17"/>
  <c r="CO281" i="17"/>
  <c r="CP281" i="17"/>
  <c r="CQ281" i="17"/>
  <c r="CR281" i="17"/>
  <c r="CS281" i="17"/>
  <c r="CT281" i="17"/>
  <c r="CU281" i="17"/>
  <c r="CV281" i="17"/>
  <c r="CW281" i="17"/>
  <c r="CX281" i="17"/>
  <c r="CY281" i="17"/>
  <c r="CZ281" i="17"/>
  <c r="DA281" i="17"/>
  <c r="DB281" i="17"/>
  <c r="DC281" i="17"/>
  <c r="DD281" i="17"/>
  <c r="DE281" i="17"/>
  <c r="DF281" i="17"/>
  <c r="DG281" i="17"/>
  <c r="DH281" i="17"/>
  <c r="DI281" i="17"/>
  <c r="DJ281" i="17"/>
  <c r="DK281" i="17"/>
  <c r="DL281" i="17"/>
  <c r="DM281" i="17"/>
  <c r="DN281" i="17"/>
  <c r="DO281" i="17"/>
  <c r="DP281" i="17"/>
  <c r="DQ281" i="17"/>
  <c r="DR281" i="17"/>
  <c r="DS281" i="17"/>
  <c r="DT281" i="17"/>
  <c r="DU281" i="17"/>
  <c r="DV281" i="17"/>
  <c r="DW281" i="17"/>
  <c r="DX281" i="17"/>
  <c r="DY281" i="17"/>
  <c r="DZ281" i="17"/>
  <c r="EA281" i="17"/>
  <c r="EB281" i="17"/>
  <c r="EC281" i="17"/>
  <c r="ED281" i="17"/>
  <c r="EE281" i="17"/>
  <c r="EF281" i="17"/>
  <c r="EG281" i="17"/>
  <c r="EH281" i="17"/>
  <c r="EI281" i="17"/>
  <c r="EJ281" i="17"/>
  <c r="EK281" i="17"/>
  <c r="EL281" i="17"/>
  <c r="EM281" i="17"/>
  <c r="EN281" i="17"/>
  <c r="EO281" i="17"/>
  <c r="EP281" i="17"/>
  <c r="EQ281" i="17"/>
  <c r="ER281" i="17"/>
  <c r="ES281" i="17"/>
  <c r="ET281" i="17"/>
  <c r="EU281" i="17"/>
  <c r="EV281" i="17"/>
  <c r="EW281" i="17"/>
  <c r="EX281" i="17"/>
  <c r="EY281" i="17"/>
  <c r="EZ281" i="17"/>
  <c r="FA281" i="17"/>
  <c r="FB281" i="17"/>
  <c r="FC281" i="17"/>
  <c r="FD281" i="17"/>
  <c r="FE281" i="17"/>
  <c r="FF281" i="17"/>
  <c r="FG281" i="17"/>
  <c r="FH281" i="17"/>
  <c r="FI281" i="17"/>
  <c r="FJ281" i="17"/>
  <c r="FK281" i="17"/>
  <c r="FL281" i="17"/>
  <c r="FM281" i="17"/>
  <c r="FN281" i="17"/>
  <c r="FO281" i="17"/>
  <c r="FP281" i="17"/>
  <c r="FQ281" i="17"/>
  <c r="FR281" i="17"/>
  <c r="FS281" i="17"/>
  <c r="FT281" i="17"/>
  <c r="FU281" i="17"/>
  <c r="FV281" i="17"/>
  <c r="FW281" i="17"/>
  <c r="FX281" i="17"/>
  <c r="FY281" i="17"/>
  <c r="FZ281" i="17"/>
  <c r="GA281" i="17"/>
  <c r="GB281" i="17"/>
  <c r="GC281" i="17"/>
  <c r="GD281" i="17"/>
  <c r="GE281" i="17"/>
  <c r="GF281" i="17"/>
  <c r="GG281" i="17"/>
  <c r="GH281" i="17"/>
  <c r="GI281" i="17"/>
  <c r="GJ281" i="17"/>
  <c r="GK281" i="17"/>
  <c r="GL281" i="17"/>
  <c r="GM281" i="17"/>
  <c r="GN281" i="17"/>
  <c r="GO281" i="17"/>
  <c r="GP281" i="17"/>
  <c r="GQ281" i="17"/>
  <c r="GR281" i="17"/>
  <c r="GS281" i="17"/>
  <c r="GT281" i="17"/>
  <c r="GU281" i="17"/>
  <c r="GV281" i="17"/>
  <c r="GW281" i="17"/>
  <c r="GX281" i="17"/>
  <c r="GY281" i="17"/>
  <c r="GZ281" i="17"/>
  <c r="HA281" i="17"/>
  <c r="HB281" i="17"/>
  <c r="HC281" i="17"/>
  <c r="HD281" i="17"/>
  <c r="HE281" i="17"/>
  <c r="HF281" i="17"/>
  <c r="HG281" i="17"/>
  <c r="HH281" i="17"/>
  <c r="HI281" i="17"/>
  <c r="HJ281" i="17"/>
  <c r="HK281" i="17"/>
  <c r="HL281" i="17"/>
  <c r="HM281" i="17"/>
  <c r="HN281" i="17"/>
  <c r="HO281" i="17"/>
  <c r="HP281" i="17"/>
  <c r="HQ281" i="17"/>
  <c r="HR281" i="17"/>
  <c r="HS281" i="17"/>
  <c r="HT281" i="17"/>
  <c r="HU281" i="17"/>
  <c r="HV281" i="17"/>
  <c r="HW281" i="17"/>
  <c r="HX281" i="17"/>
  <c r="HY281" i="17"/>
  <c r="HZ281" i="17"/>
  <c r="IA281" i="17"/>
  <c r="IB281" i="17"/>
  <c r="IC281" i="17"/>
  <c r="ID281" i="17"/>
  <c r="IE281" i="17"/>
  <c r="IF281" i="17"/>
  <c r="IG281" i="17"/>
  <c r="IH281" i="17"/>
  <c r="II281" i="17"/>
  <c r="IJ281" i="17"/>
  <c r="IK281" i="17"/>
  <c r="IL281" i="17"/>
  <c r="IM281" i="17"/>
  <c r="IN281" i="17"/>
  <c r="IO281" i="17"/>
  <c r="IP281" i="17"/>
  <c r="IQ281" i="17"/>
  <c r="IR281" i="17"/>
  <c r="IS281" i="17"/>
  <c r="IT281" i="17"/>
  <c r="IU281" i="17"/>
  <c r="IV281" i="17"/>
  <c r="A280" i="17"/>
  <c r="B280" i="17"/>
  <c r="C280" i="17"/>
  <c r="D280" i="17"/>
  <c r="E280" i="17"/>
  <c r="F280" i="17"/>
  <c r="G280" i="17"/>
  <c r="H280" i="17"/>
  <c r="I280" i="17"/>
  <c r="J280" i="17"/>
  <c r="K280" i="17"/>
  <c r="L280" i="17"/>
  <c r="M280" i="17"/>
  <c r="N280" i="17"/>
  <c r="O280" i="17"/>
  <c r="P280" i="17"/>
  <c r="Q280" i="17"/>
  <c r="R280" i="17"/>
  <c r="S280" i="17"/>
  <c r="T280" i="17"/>
  <c r="U280" i="17"/>
  <c r="V280" i="17"/>
  <c r="W280" i="17"/>
  <c r="X280" i="17"/>
  <c r="Y280" i="17"/>
  <c r="Z280" i="17"/>
  <c r="AA280" i="17"/>
  <c r="AB280" i="17"/>
  <c r="AC280" i="17"/>
  <c r="AD280" i="17"/>
  <c r="AE280" i="17"/>
  <c r="AF280" i="17"/>
  <c r="AG280" i="17"/>
  <c r="AH280" i="17"/>
  <c r="AI280" i="17"/>
  <c r="AJ280" i="17"/>
  <c r="AK280" i="17"/>
  <c r="AL280" i="17"/>
  <c r="AM280" i="17"/>
  <c r="AN280" i="17"/>
  <c r="AO280" i="17"/>
  <c r="AP280" i="17"/>
  <c r="AQ280" i="17"/>
  <c r="AR280" i="17"/>
  <c r="AS280" i="17"/>
  <c r="AT280" i="17"/>
  <c r="AU280" i="17"/>
  <c r="AV280" i="17"/>
  <c r="AW280" i="17"/>
  <c r="AX280" i="17"/>
  <c r="AY280" i="17"/>
  <c r="AZ280" i="17"/>
  <c r="BA280" i="17"/>
  <c r="BB280" i="17"/>
  <c r="BC280" i="17"/>
  <c r="BD280" i="17"/>
  <c r="BE280" i="17"/>
  <c r="BF280" i="17"/>
  <c r="BG280" i="17"/>
  <c r="BH280" i="17"/>
  <c r="BI280" i="17"/>
  <c r="BJ280" i="17"/>
  <c r="BK280" i="17"/>
  <c r="BL280" i="17"/>
  <c r="BM280" i="17"/>
  <c r="BN280" i="17"/>
  <c r="BO280" i="17"/>
  <c r="BP280" i="17"/>
  <c r="BQ280" i="17"/>
  <c r="BR280" i="17"/>
  <c r="BS280" i="17"/>
  <c r="BT280" i="17"/>
  <c r="BU280" i="17"/>
  <c r="BV280" i="17"/>
  <c r="BW280" i="17"/>
  <c r="BX280" i="17"/>
  <c r="BY280" i="17"/>
  <c r="BZ280" i="17"/>
  <c r="CA280" i="17"/>
  <c r="CB280" i="17"/>
  <c r="CC280" i="17"/>
  <c r="CD280" i="17"/>
  <c r="CE280" i="17"/>
  <c r="CF280" i="17"/>
  <c r="CG280" i="17"/>
  <c r="CH280" i="17"/>
  <c r="CI280" i="17"/>
  <c r="CJ280" i="17"/>
  <c r="CK280" i="17"/>
  <c r="CL280" i="17"/>
  <c r="CM280" i="17"/>
  <c r="CN280" i="17"/>
  <c r="CO280" i="17"/>
  <c r="CP280" i="17"/>
  <c r="CQ280" i="17"/>
  <c r="CR280" i="17"/>
  <c r="CS280" i="17"/>
  <c r="CT280" i="17"/>
  <c r="CU280" i="17"/>
  <c r="CV280" i="17"/>
  <c r="CW280" i="17"/>
  <c r="CX280" i="17"/>
  <c r="CY280" i="17"/>
  <c r="CZ280" i="17"/>
  <c r="DA280" i="17"/>
  <c r="DB280" i="17"/>
  <c r="DC280" i="17"/>
  <c r="DD280" i="17"/>
  <c r="DE280" i="17"/>
  <c r="DF280" i="17"/>
  <c r="DG280" i="17"/>
  <c r="DH280" i="17"/>
  <c r="DI280" i="17"/>
  <c r="DJ280" i="17"/>
  <c r="DK280" i="17"/>
  <c r="DL280" i="17"/>
  <c r="DM280" i="17"/>
  <c r="DN280" i="17"/>
  <c r="DO280" i="17"/>
  <c r="DP280" i="17"/>
  <c r="DQ280" i="17"/>
  <c r="DR280" i="17"/>
  <c r="DS280" i="17"/>
  <c r="DT280" i="17"/>
  <c r="DU280" i="17"/>
  <c r="DV280" i="17"/>
  <c r="DW280" i="17"/>
  <c r="DX280" i="17"/>
  <c r="DY280" i="17"/>
  <c r="DZ280" i="17"/>
  <c r="EA280" i="17"/>
  <c r="EB280" i="17"/>
  <c r="EC280" i="17"/>
  <c r="ED280" i="17"/>
  <c r="EE280" i="17"/>
  <c r="EF280" i="17"/>
  <c r="EG280" i="17"/>
  <c r="EH280" i="17"/>
  <c r="EI280" i="17"/>
  <c r="EJ280" i="17"/>
  <c r="EK280" i="17"/>
  <c r="EL280" i="17"/>
  <c r="EM280" i="17"/>
  <c r="EN280" i="17"/>
  <c r="EO280" i="17"/>
  <c r="EP280" i="17"/>
  <c r="EQ280" i="17"/>
  <c r="ER280" i="17"/>
  <c r="ES280" i="17"/>
  <c r="ET280" i="17"/>
  <c r="EU280" i="17"/>
  <c r="EV280" i="17"/>
  <c r="EW280" i="17"/>
  <c r="EX280" i="17"/>
  <c r="EY280" i="17"/>
  <c r="EZ280" i="17"/>
  <c r="FA280" i="17"/>
  <c r="FB280" i="17"/>
  <c r="FC280" i="17"/>
  <c r="FD280" i="17"/>
  <c r="FE280" i="17"/>
  <c r="FF280" i="17"/>
  <c r="FG280" i="17"/>
  <c r="FH280" i="17"/>
  <c r="FI280" i="17"/>
  <c r="FJ280" i="17"/>
  <c r="FK280" i="17"/>
  <c r="FL280" i="17"/>
  <c r="FM280" i="17"/>
  <c r="FN280" i="17"/>
  <c r="FO280" i="17"/>
  <c r="FP280" i="17"/>
  <c r="FQ280" i="17"/>
  <c r="FR280" i="17"/>
  <c r="FS280" i="17"/>
  <c r="FT280" i="17"/>
  <c r="FU280" i="17"/>
  <c r="FV280" i="17"/>
  <c r="FW280" i="17"/>
  <c r="FX280" i="17"/>
  <c r="FY280" i="17"/>
  <c r="FZ280" i="17"/>
  <c r="GA280" i="17"/>
  <c r="GB280" i="17"/>
  <c r="GC280" i="17"/>
  <c r="GD280" i="17"/>
  <c r="GE280" i="17"/>
  <c r="GF280" i="17"/>
  <c r="GG280" i="17"/>
  <c r="GH280" i="17"/>
  <c r="GI280" i="17"/>
  <c r="GJ280" i="17"/>
  <c r="GK280" i="17"/>
  <c r="GL280" i="17"/>
  <c r="GM280" i="17"/>
  <c r="GN280" i="17"/>
  <c r="GO280" i="17"/>
  <c r="GP280" i="17"/>
  <c r="GQ280" i="17"/>
  <c r="GR280" i="17"/>
  <c r="GS280" i="17"/>
  <c r="GT280" i="17"/>
  <c r="GU280" i="17"/>
  <c r="GV280" i="17"/>
  <c r="GW280" i="17"/>
  <c r="GX280" i="17"/>
  <c r="GY280" i="17"/>
  <c r="GZ280" i="17"/>
  <c r="HA280" i="17"/>
  <c r="HB280" i="17"/>
  <c r="HC280" i="17"/>
  <c r="HD280" i="17"/>
  <c r="HE280" i="17"/>
  <c r="HF280" i="17"/>
  <c r="HG280" i="17"/>
  <c r="HH280" i="17"/>
  <c r="HI280" i="17"/>
  <c r="HJ280" i="17"/>
  <c r="HK280" i="17"/>
  <c r="HL280" i="17"/>
  <c r="HM280" i="17"/>
  <c r="HN280" i="17"/>
  <c r="HO280" i="17"/>
  <c r="HP280" i="17"/>
  <c r="HQ280" i="17"/>
  <c r="HR280" i="17"/>
  <c r="HS280" i="17"/>
  <c r="HT280" i="17"/>
  <c r="HU280" i="17"/>
  <c r="HV280" i="17"/>
  <c r="HW280" i="17"/>
  <c r="HX280" i="17"/>
  <c r="HY280" i="17"/>
  <c r="HZ280" i="17"/>
  <c r="IA280" i="17"/>
  <c r="IB280" i="17"/>
  <c r="IC280" i="17"/>
  <c r="ID280" i="17"/>
  <c r="IE280" i="17"/>
  <c r="IF280" i="17"/>
  <c r="IG280" i="17"/>
  <c r="IH280" i="17"/>
  <c r="II280" i="17"/>
  <c r="IJ280" i="17"/>
  <c r="IK280" i="17"/>
  <c r="IL280" i="17"/>
  <c r="IM280" i="17"/>
  <c r="IN280" i="17"/>
  <c r="IO280" i="17"/>
  <c r="IP280" i="17"/>
  <c r="IQ280" i="17"/>
  <c r="IR280" i="17"/>
  <c r="IS280" i="17"/>
  <c r="IT280" i="17"/>
  <c r="IU280" i="17"/>
  <c r="IV280" i="17"/>
  <c r="A279" i="17"/>
  <c r="B279" i="17"/>
  <c r="C279" i="17"/>
  <c r="D279" i="17"/>
  <c r="E279" i="17"/>
  <c r="F279" i="17"/>
  <c r="G279" i="17"/>
  <c r="H279" i="17"/>
  <c r="I279" i="17"/>
  <c r="J279" i="17"/>
  <c r="K279" i="17"/>
  <c r="L279" i="17"/>
  <c r="M279" i="17"/>
  <c r="N279" i="17"/>
  <c r="O279" i="17"/>
  <c r="P279" i="17"/>
  <c r="Q279" i="17"/>
  <c r="R279" i="17"/>
  <c r="S279" i="17"/>
  <c r="T279" i="17"/>
  <c r="U279" i="17"/>
  <c r="V279" i="17"/>
  <c r="W279" i="17"/>
  <c r="X279" i="17"/>
  <c r="Y279" i="17"/>
  <c r="Z279" i="17"/>
  <c r="AA279" i="17"/>
  <c r="AB279" i="17"/>
  <c r="AC279" i="17"/>
  <c r="AD279" i="17"/>
  <c r="AE279" i="17"/>
  <c r="AF279" i="17"/>
  <c r="AG279" i="17"/>
  <c r="AH279" i="17"/>
  <c r="AI279" i="17"/>
  <c r="AJ279" i="17"/>
  <c r="AK279" i="17"/>
  <c r="AL279" i="17"/>
  <c r="AM279" i="17"/>
  <c r="AN279" i="17"/>
  <c r="AO279" i="17"/>
  <c r="AP279" i="17"/>
  <c r="AQ279" i="17"/>
  <c r="AR279" i="17"/>
  <c r="AS279" i="17"/>
  <c r="AT279" i="17"/>
  <c r="AU279" i="17"/>
  <c r="AV279" i="17"/>
  <c r="AW279" i="17"/>
  <c r="AX279" i="17"/>
  <c r="AY279" i="17"/>
  <c r="AZ279" i="17"/>
  <c r="BA279" i="17"/>
  <c r="BB279" i="17"/>
  <c r="BC279" i="17"/>
  <c r="BD279" i="17"/>
  <c r="BE279" i="17"/>
  <c r="BF279" i="17"/>
  <c r="BG279" i="17"/>
  <c r="BH279" i="17"/>
  <c r="BI279" i="17"/>
  <c r="BJ279" i="17"/>
  <c r="BK279" i="17"/>
  <c r="BL279" i="17"/>
  <c r="BM279" i="17"/>
  <c r="BN279" i="17"/>
  <c r="BO279" i="17"/>
  <c r="BP279" i="17"/>
  <c r="BQ279" i="17"/>
  <c r="BR279" i="17"/>
  <c r="BS279" i="17"/>
  <c r="BT279" i="17"/>
  <c r="BU279" i="17"/>
  <c r="BV279" i="17"/>
  <c r="BW279" i="17"/>
  <c r="BX279" i="17"/>
  <c r="BY279" i="17"/>
  <c r="BZ279" i="17"/>
  <c r="CA279" i="17"/>
  <c r="CB279" i="17"/>
  <c r="CC279" i="17"/>
  <c r="CD279" i="17"/>
  <c r="CE279" i="17"/>
  <c r="CF279" i="17"/>
  <c r="CG279" i="17"/>
  <c r="CH279" i="17"/>
  <c r="CI279" i="17"/>
  <c r="CJ279" i="17"/>
  <c r="CK279" i="17"/>
  <c r="CL279" i="17"/>
  <c r="CM279" i="17"/>
  <c r="CN279" i="17"/>
  <c r="CO279" i="17"/>
  <c r="CP279" i="17"/>
  <c r="CQ279" i="17"/>
  <c r="CR279" i="17"/>
  <c r="CS279" i="17"/>
  <c r="CT279" i="17"/>
  <c r="CU279" i="17"/>
  <c r="CV279" i="17"/>
  <c r="CW279" i="17"/>
  <c r="CX279" i="17"/>
  <c r="CY279" i="17"/>
  <c r="CZ279" i="17"/>
  <c r="DA279" i="17"/>
  <c r="DB279" i="17"/>
  <c r="DC279" i="17"/>
  <c r="DD279" i="17"/>
  <c r="DE279" i="17"/>
  <c r="DF279" i="17"/>
  <c r="DG279" i="17"/>
  <c r="DH279" i="17"/>
  <c r="DI279" i="17"/>
  <c r="DJ279" i="17"/>
  <c r="DK279" i="17"/>
  <c r="DL279" i="17"/>
  <c r="DM279" i="17"/>
  <c r="DN279" i="17"/>
  <c r="DO279" i="17"/>
  <c r="DP279" i="17"/>
  <c r="DQ279" i="17"/>
  <c r="DR279" i="17"/>
  <c r="DS279" i="17"/>
  <c r="DT279" i="17"/>
  <c r="DU279" i="17"/>
  <c r="DV279" i="17"/>
  <c r="DW279" i="17"/>
  <c r="DX279" i="17"/>
  <c r="DY279" i="17"/>
  <c r="DZ279" i="17"/>
  <c r="EA279" i="17"/>
  <c r="EB279" i="17"/>
  <c r="EC279" i="17"/>
  <c r="ED279" i="17"/>
  <c r="EE279" i="17"/>
  <c r="EF279" i="17"/>
  <c r="EG279" i="17"/>
  <c r="EH279" i="17"/>
  <c r="EI279" i="17"/>
  <c r="EJ279" i="17"/>
  <c r="EK279" i="17"/>
  <c r="EL279" i="17"/>
  <c r="EM279" i="17"/>
  <c r="EN279" i="17"/>
  <c r="EO279" i="17"/>
  <c r="EP279" i="17"/>
  <c r="EQ279" i="17"/>
  <c r="ER279" i="17"/>
  <c r="ES279" i="17"/>
  <c r="ET279" i="17"/>
  <c r="EU279" i="17"/>
  <c r="EV279" i="17"/>
  <c r="EW279" i="17"/>
  <c r="EX279" i="17"/>
  <c r="EY279" i="17"/>
  <c r="EZ279" i="17"/>
  <c r="FA279" i="17"/>
  <c r="FB279" i="17"/>
  <c r="FC279" i="17"/>
  <c r="FD279" i="17"/>
  <c r="FE279" i="17"/>
  <c r="FF279" i="17"/>
  <c r="FG279" i="17"/>
  <c r="FH279" i="17"/>
  <c r="FI279" i="17"/>
  <c r="FJ279" i="17"/>
  <c r="FK279" i="17"/>
  <c r="FL279" i="17"/>
  <c r="FM279" i="17"/>
  <c r="FN279" i="17"/>
  <c r="FO279" i="17"/>
  <c r="FP279" i="17"/>
  <c r="FQ279" i="17"/>
  <c r="FR279" i="17"/>
  <c r="FS279" i="17"/>
  <c r="FT279" i="17"/>
  <c r="FU279" i="17"/>
  <c r="FV279" i="17"/>
  <c r="FW279" i="17"/>
  <c r="FX279" i="17"/>
  <c r="FY279" i="17"/>
  <c r="FZ279" i="17"/>
  <c r="GA279" i="17"/>
  <c r="GB279" i="17"/>
  <c r="GC279" i="17"/>
  <c r="GD279" i="17"/>
  <c r="GE279" i="17"/>
  <c r="GF279" i="17"/>
  <c r="GG279" i="17"/>
  <c r="GH279" i="17"/>
  <c r="GI279" i="17"/>
  <c r="GJ279" i="17"/>
  <c r="GK279" i="17"/>
  <c r="GL279" i="17"/>
  <c r="GM279" i="17"/>
  <c r="GN279" i="17"/>
  <c r="GO279" i="17"/>
  <c r="GP279" i="17"/>
  <c r="GQ279" i="17"/>
  <c r="GR279" i="17"/>
  <c r="GS279" i="17"/>
  <c r="GT279" i="17"/>
  <c r="GU279" i="17"/>
  <c r="GV279" i="17"/>
  <c r="GW279" i="17"/>
  <c r="GX279" i="17"/>
  <c r="GY279" i="17"/>
  <c r="GZ279" i="17"/>
  <c r="HA279" i="17"/>
  <c r="HB279" i="17"/>
  <c r="HC279" i="17"/>
  <c r="HD279" i="17"/>
  <c r="HE279" i="17"/>
  <c r="HF279" i="17"/>
  <c r="HG279" i="17"/>
  <c r="HH279" i="17"/>
  <c r="HI279" i="17"/>
  <c r="HJ279" i="17"/>
  <c r="HK279" i="17"/>
  <c r="HL279" i="17"/>
  <c r="HM279" i="17"/>
  <c r="HN279" i="17"/>
  <c r="HO279" i="17"/>
  <c r="HP279" i="17"/>
  <c r="HQ279" i="17"/>
  <c r="HR279" i="17"/>
  <c r="HS279" i="17"/>
  <c r="HT279" i="17"/>
  <c r="HU279" i="17"/>
  <c r="HV279" i="17"/>
  <c r="HW279" i="17"/>
  <c r="HX279" i="17"/>
  <c r="HY279" i="17"/>
  <c r="HZ279" i="17"/>
  <c r="IA279" i="17"/>
  <c r="IB279" i="17"/>
  <c r="IC279" i="17"/>
  <c r="ID279" i="17"/>
  <c r="IE279" i="17"/>
  <c r="IF279" i="17"/>
  <c r="IG279" i="17"/>
  <c r="IH279" i="17"/>
  <c r="II279" i="17"/>
  <c r="IJ279" i="17"/>
  <c r="IK279" i="17"/>
  <c r="IL279" i="17"/>
  <c r="IM279" i="17"/>
  <c r="IN279" i="17"/>
  <c r="IO279" i="17"/>
  <c r="IP279" i="17"/>
  <c r="IQ279" i="17"/>
  <c r="IR279" i="17"/>
  <c r="IS279" i="17"/>
  <c r="IT279" i="17"/>
  <c r="IU279" i="17"/>
  <c r="IV279" i="17"/>
  <c r="A278" i="17"/>
  <c r="B278" i="17"/>
  <c r="C278" i="17"/>
  <c r="D278" i="17"/>
  <c r="E278" i="17"/>
  <c r="F278" i="17"/>
  <c r="G278" i="17"/>
  <c r="H278" i="17"/>
  <c r="I278" i="17"/>
  <c r="J278" i="17"/>
  <c r="K278" i="17"/>
  <c r="L278" i="17"/>
  <c r="M278" i="17"/>
  <c r="N278" i="17"/>
  <c r="O278" i="17"/>
  <c r="P278" i="17"/>
  <c r="Q278" i="17"/>
  <c r="R278" i="17"/>
  <c r="S278" i="17"/>
  <c r="T278" i="17"/>
  <c r="U278" i="17"/>
  <c r="V278" i="17"/>
  <c r="W278" i="17"/>
  <c r="X278" i="17"/>
  <c r="Y278" i="17"/>
  <c r="Z278" i="17"/>
  <c r="AA278" i="17"/>
  <c r="AB278" i="17"/>
  <c r="AC278" i="17"/>
  <c r="AD278" i="17"/>
  <c r="AE278" i="17"/>
  <c r="AF278" i="17"/>
  <c r="AG278" i="17"/>
  <c r="AH278" i="17"/>
  <c r="AI278" i="17"/>
  <c r="AJ278" i="17"/>
  <c r="AK278" i="17"/>
  <c r="AL278" i="17"/>
  <c r="AM278" i="17"/>
  <c r="AN278" i="17"/>
  <c r="AO278" i="17"/>
  <c r="AP278" i="17"/>
  <c r="AQ278" i="17"/>
  <c r="AR278" i="17"/>
  <c r="AS278" i="17"/>
  <c r="AT278" i="17"/>
  <c r="AU278" i="17"/>
  <c r="AV278" i="17"/>
  <c r="AW278" i="17"/>
  <c r="AX278" i="17"/>
  <c r="AY278" i="17"/>
  <c r="AZ278" i="17"/>
  <c r="BA278" i="17"/>
  <c r="BB278" i="17"/>
  <c r="BC278" i="17"/>
  <c r="BD278" i="17"/>
  <c r="BE278" i="17"/>
  <c r="BF278" i="17"/>
  <c r="BG278" i="17"/>
  <c r="BH278" i="17"/>
  <c r="BI278" i="17"/>
  <c r="BJ278" i="17"/>
  <c r="BK278" i="17"/>
  <c r="BL278" i="17"/>
  <c r="BM278" i="17"/>
  <c r="BN278" i="17"/>
  <c r="BO278" i="17"/>
  <c r="BP278" i="17"/>
  <c r="BQ278" i="17"/>
  <c r="BR278" i="17"/>
  <c r="BS278" i="17"/>
  <c r="BT278" i="17"/>
  <c r="BU278" i="17"/>
  <c r="BV278" i="17"/>
  <c r="BW278" i="17"/>
  <c r="BX278" i="17"/>
  <c r="BY278" i="17"/>
  <c r="BZ278" i="17"/>
  <c r="CA278" i="17"/>
  <c r="CB278" i="17"/>
  <c r="CC278" i="17"/>
  <c r="CD278" i="17"/>
  <c r="CE278" i="17"/>
  <c r="CF278" i="17"/>
  <c r="CG278" i="17"/>
  <c r="CH278" i="17"/>
  <c r="CI278" i="17"/>
  <c r="CJ278" i="17"/>
  <c r="CK278" i="17"/>
  <c r="CL278" i="17"/>
  <c r="CM278" i="17"/>
  <c r="CN278" i="17"/>
  <c r="CO278" i="17"/>
  <c r="CP278" i="17"/>
  <c r="CQ278" i="17"/>
  <c r="CR278" i="17"/>
  <c r="CS278" i="17"/>
  <c r="CT278" i="17"/>
  <c r="CU278" i="17"/>
  <c r="CV278" i="17"/>
  <c r="CW278" i="17"/>
  <c r="CX278" i="17"/>
  <c r="CY278" i="17"/>
  <c r="CZ278" i="17"/>
  <c r="DA278" i="17"/>
  <c r="DB278" i="17"/>
  <c r="DC278" i="17"/>
  <c r="DD278" i="17"/>
  <c r="DE278" i="17"/>
  <c r="DF278" i="17"/>
  <c r="DG278" i="17"/>
  <c r="DH278" i="17"/>
  <c r="DI278" i="17"/>
  <c r="DJ278" i="17"/>
  <c r="DK278" i="17"/>
  <c r="DL278" i="17"/>
  <c r="DM278" i="17"/>
  <c r="DN278" i="17"/>
  <c r="DO278" i="17"/>
  <c r="DP278" i="17"/>
  <c r="DQ278" i="17"/>
  <c r="DR278" i="17"/>
  <c r="DS278" i="17"/>
  <c r="DT278" i="17"/>
  <c r="DU278" i="17"/>
  <c r="DV278" i="17"/>
  <c r="DW278" i="17"/>
  <c r="DX278" i="17"/>
  <c r="DY278" i="17"/>
  <c r="DZ278" i="17"/>
  <c r="EA278" i="17"/>
  <c r="EB278" i="17"/>
  <c r="EC278" i="17"/>
  <c r="ED278" i="17"/>
  <c r="EE278" i="17"/>
  <c r="EF278" i="17"/>
  <c r="EG278" i="17"/>
  <c r="EH278" i="17"/>
  <c r="EI278" i="17"/>
  <c r="EJ278" i="17"/>
  <c r="EK278" i="17"/>
  <c r="EL278" i="17"/>
  <c r="EM278" i="17"/>
  <c r="EN278" i="17"/>
  <c r="EO278" i="17"/>
  <c r="EP278" i="17"/>
  <c r="EQ278" i="17"/>
  <c r="ER278" i="17"/>
  <c r="ES278" i="17"/>
  <c r="ET278" i="17"/>
  <c r="EU278" i="17"/>
  <c r="EV278" i="17"/>
  <c r="EW278" i="17"/>
  <c r="EX278" i="17"/>
  <c r="EY278" i="17"/>
  <c r="EZ278" i="17"/>
  <c r="FA278" i="17"/>
  <c r="FB278" i="17"/>
  <c r="FC278" i="17"/>
  <c r="FD278" i="17"/>
  <c r="FE278" i="17"/>
  <c r="FF278" i="17"/>
  <c r="FG278" i="17"/>
  <c r="FH278" i="17"/>
  <c r="FI278" i="17"/>
  <c r="FJ278" i="17"/>
  <c r="FK278" i="17"/>
  <c r="FL278" i="17"/>
  <c r="FM278" i="17"/>
  <c r="FN278" i="17"/>
  <c r="FO278" i="17"/>
  <c r="FP278" i="17"/>
  <c r="FQ278" i="17"/>
  <c r="FR278" i="17"/>
  <c r="FS278" i="17"/>
  <c r="FT278" i="17"/>
  <c r="FU278" i="17"/>
  <c r="FV278" i="17"/>
  <c r="FW278" i="17"/>
  <c r="FX278" i="17"/>
  <c r="FY278" i="17"/>
  <c r="FZ278" i="17"/>
  <c r="GA278" i="17"/>
  <c r="GB278" i="17"/>
  <c r="GC278" i="17"/>
  <c r="GD278" i="17"/>
  <c r="GE278" i="17"/>
  <c r="GF278" i="17"/>
  <c r="GG278" i="17"/>
  <c r="GH278" i="17"/>
  <c r="GI278" i="17"/>
  <c r="GJ278" i="17"/>
  <c r="GK278" i="17"/>
  <c r="GL278" i="17"/>
  <c r="GM278" i="17"/>
  <c r="GN278" i="17"/>
  <c r="GO278" i="17"/>
  <c r="GP278" i="17"/>
  <c r="GQ278" i="17"/>
  <c r="GR278" i="17"/>
  <c r="GS278" i="17"/>
  <c r="GT278" i="17"/>
  <c r="GU278" i="17"/>
  <c r="GV278" i="17"/>
  <c r="GW278" i="17"/>
  <c r="GX278" i="17"/>
  <c r="GY278" i="17"/>
  <c r="GZ278" i="17"/>
  <c r="HA278" i="17"/>
  <c r="HB278" i="17"/>
  <c r="HC278" i="17"/>
  <c r="HD278" i="17"/>
  <c r="HE278" i="17"/>
  <c r="HF278" i="17"/>
  <c r="HG278" i="17"/>
  <c r="HH278" i="17"/>
  <c r="HI278" i="17"/>
  <c r="HJ278" i="17"/>
  <c r="HK278" i="17"/>
  <c r="HL278" i="17"/>
  <c r="HM278" i="17"/>
  <c r="HN278" i="17"/>
  <c r="HO278" i="17"/>
  <c r="HP278" i="17"/>
  <c r="HQ278" i="17"/>
  <c r="HR278" i="17"/>
  <c r="HS278" i="17"/>
  <c r="HT278" i="17"/>
  <c r="HU278" i="17"/>
  <c r="HV278" i="17"/>
  <c r="HW278" i="17"/>
  <c r="HX278" i="17"/>
  <c r="HY278" i="17"/>
  <c r="HZ278" i="17"/>
  <c r="IA278" i="17"/>
  <c r="IB278" i="17"/>
  <c r="IC278" i="17"/>
  <c r="ID278" i="17"/>
  <c r="IE278" i="17"/>
  <c r="IF278" i="17"/>
  <c r="IG278" i="17"/>
  <c r="IH278" i="17"/>
  <c r="II278" i="17"/>
  <c r="IJ278" i="17"/>
  <c r="IK278" i="17"/>
  <c r="IL278" i="17"/>
  <c r="IM278" i="17"/>
  <c r="IN278" i="17"/>
  <c r="IO278" i="17"/>
  <c r="IP278" i="17"/>
  <c r="IQ278" i="17"/>
  <c r="IR278" i="17"/>
  <c r="IS278" i="17"/>
  <c r="IT278" i="17"/>
  <c r="IU278" i="17"/>
  <c r="IV278" i="17"/>
  <c r="A277" i="17"/>
  <c r="B277" i="17"/>
  <c r="C277" i="17"/>
  <c r="D277" i="17"/>
  <c r="E277" i="17"/>
  <c r="F277" i="17"/>
  <c r="G277" i="17"/>
  <c r="H277" i="17"/>
  <c r="I277" i="17"/>
  <c r="J277" i="17"/>
  <c r="K277" i="17"/>
  <c r="L277" i="17"/>
  <c r="M277" i="17"/>
  <c r="N277" i="17"/>
  <c r="O277" i="17"/>
  <c r="P277" i="17"/>
  <c r="Q277" i="17"/>
  <c r="R277" i="17"/>
  <c r="S277" i="17"/>
  <c r="T277" i="17"/>
  <c r="U277" i="17"/>
  <c r="V277" i="17"/>
  <c r="W277" i="17"/>
  <c r="X277" i="17"/>
  <c r="Y277" i="17"/>
  <c r="Z277" i="17"/>
  <c r="AA277" i="17"/>
  <c r="AB277" i="17"/>
  <c r="AC277" i="17"/>
  <c r="AD277" i="17"/>
  <c r="AE277" i="17"/>
  <c r="AF277" i="17"/>
  <c r="AG277" i="17"/>
  <c r="AH277" i="17"/>
  <c r="AI277" i="17"/>
  <c r="AJ277" i="17"/>
  <c r="AK277" i="17"/>
  <c r="AL277" i="17"/>
  <c r="AM277" i="17"/>
  <c r="AN277" i="17"/>
  <c r="AO277" i="17"/>
  <c r="AP277" i="17"/>
  <c r="AQ277" i="17"/>
  <c r="AR277" i="17"/>
  <c r="AS277" i="17"/>
  <c r="AT277" i="17"/>
  <c r="AU277" i="17"/>
  <c r="AV277" i="17"/>
  <c r="AW277" i="17"/>
  <c r="AX277" i="17"/>
  <c r="AY277" i="17"/>
  <c r="AZ277" i="17"/>
  <c r="BA277" i="17"/>
  <c r="BB277" i="17"/>
  <c r="BC277" i="17"/>
  <c r="BD277" i="17"/>
  <c r="BE277" i="17"/>
  <c r="BF277" i="17"/>
  <c r="BG277" i="17"/>
  <c r="BH277" i="17"/>
  <c r="BI277" i="17"/>
  <c r="BJ277" i="17"/>
  <c r="BK277" i="17"/>
  <c r="BL277" i="17"/>
  <c r="BM277" i="17"/>
  <c r="BN277" i="17"/>
  <c r="BO277" i="17"/>
  <c r="BP277" i="17"/>
  <c r="BQ277" i="17"/>
  <c r="BR277" i="17"/>
  <c r="BS277" i="17"/>
  <c r="BT277" i="17"/>
  <c r="BU277" i="17"/>
  <c r="BV277" i="17"/>
  <c r="BW277" i="17"/>
  <c r="BX277" i="17"/>
  <c r="BY277" i="17"/>
  <c r="BZ277" i="17"/>
  <c r="CA277" i="17"/>
  <c r="CB277" i="17"/>
  <c r="CC277" i="17"/>
  <c r="CD277" i="17"/>
  <c r="CE277" i="17"/>
  <c r="CF277" i="17"/>
  <c r="CG277" i="17"/>
  <c r="CH277" i="17"/>
  <c r="CI277" i="17"/>
  <c r="CJ277" i="17"/>
  <c r="CK277" i="17"/>
  <c r="CL277" i="17"/>
  <c r="CM277" i="17"/>
  <c r="CN277" i="17"/>
  <c r="CO277" i="17"/>
  <c r="CP277" i="17"/>
  <c r="CQ277" i="17"/>
  <c r="CR277" i="17"/>
  <c r="CS277" i="17"/>
  <c r="CT277" i="17"/>
  <c r="CU277" i="17"/>
  <c r="CV277" i="17"/>
  <c r="CW277" i="17"/>
  <c r="CX277" i="17"/>
  <c r="CY277" i="17"/>
  <c r="CZ277" i="17"/>
  <c r="DA277" i="17"/>
  <c r="DB277" i="17"/>
  <c r="DC277" i="17"/>
  <c r="DD277" i="17"/>
  <c r="DE277" i="17"/>
  <c r="DF277" i="17"/>
  <c r="DG277" i="17"/>
  <c r="DH277" i="17"/>
  <c r="DI277" i="17"/>
  <c r="DJ277" i="17"/>
  <c r="DK277" i="17"/>
  <c r="DL277" i="17"/>
  <c r="DM277" i="17"/>
  <c r="DN277" i="17"/>
  <c r="DO277" i="17"/>
  <c r="DP277" i="17"/>
  <c r="DQ277" i="17"/>
  <c r="DR277" i="17"/>
  <c r="DS277" i="17"/>
  <c r="DT277" i="17"/>
  <c r="DU277" i="17"/>
  <c r="DV277" i="17"/>
  <c r="DW277" i="17"/>
  <c r="DX277" i="17"/>
  <c r="DY277" i="17"/>
  <c r="DZ277" i="17"/>
  <c r="EA277" i="17"/>
  <c r="EB277" i="17"/>
  <c r="EC277" i="17"/>
  <c r="ED277" i="17"/>
  <c r="EE277" i="17"/>
  <c r="EF277" i="17"/>
  <c r="EG277" i="17"/>
  <c r="EH277" i="17"/>
  <c r="EI277" i="17"/>
  <c r="EJ277" i="17"/>
  <c r="EK277" i="17"/>
  <c r="EL277" i="17"/>
  <c r="EM277" i="17"/>
  <c r="EN277" i="17"/>
  <c r="EO277" i="17"/>
  <c r="EP277" i="17"/>
  <c r="EQ277" i="17"/>
  <c r="ER277" i="17"/>
  <c r="ES277" i="17"/>
  <c r="ET277" i="17"/>
  <c r="EU277" i="17"/>
  <c r="EV277" i="17"/>
  <c r="EW277" i="17"/>
  <c r="EX277" i="17"/>
  <c r="EY277" i="17"/>
  <c r="EZ277" i="17"/>
  <c r="FA277" i="17"/>
  <c r="FB277" i="17"/>
  <c r="FC277" i="17"/>
  <c r="FD277" i="17"/>
  <c r="FE277" i="17"/>
  <c r="FF277" i="17"/>
  <c r="FG277" i="17"/>
  <c r="FH277" i="17"/>
  <c r="FI277" i="17"/>
  <c r="FJ277" i="17"/>
  <c r="FK277" i="17"/>
  <c r="FL277" i="17"/>
  <c r="FM277" i="17"/>
  <c r="FN277" i="17"/>
  <c r="FO277" i="17"/>
  <c r="FP277" i="17"/>
  <c r="FQ277" i="17"/>
  <c r="FR277" i="17"/>
  <c r="FS277" i="17"/>
  <c r="FT277" i="17"/>
  <c r="FU277" i="17"/>
  <c r="FV277" i="17"/>
  <c r="FW277" i="17"/>
  <c r="FX277" i="17"/>
  <c r="FY277" i="17"/>
  <c r="FZ277" i="17"/>
  <c r="GA277" i="17"/>
  <c r="GB277" i="17"/>
  <c r="GC277" i="17"/>
  <c r="GD277" i="17"/>
  <c r="GE277" i="17"/>
  <c r="GF277" i="17"/>
  <c r="GG277" i="17"/>
  <c r="GH277" i="17"/>
  <c r="GI277" i="17"/>
  <c r="GJ277" i="17"/>
  <c r="GK277" i="17"/>
  <c r="GL277" i="17"/>
  <c r="GM277" i="17"/>
  <c r="GN277" i="17"/>
  <c r="GO277" i="17"/>
  <c r="GP277" i="17"/>
  <c r="GQ277" i="17"/>
  <c r="GR277" i="17"/>
  <c r="GS277" i="17"/>
  <c r="GT277" i="17"/>
  <c r="GU277" i="17"/>
  <c r="GV277" i="17"/>
  <c r="GW277" i="17"/>
  <c r="GX277" i="17"/>
  <c r="GY277" i="17"/>
  <c r="GZ277" i="17"/>
  <c r="HA277" i="17"/>
  <c r="HB277" i="17"/>
  <c r="HC277" i="17"/>
  <c r="HD277" i="17"/>
  <c r="HE277" i="17"/>
  <c r="HF277" i="17"/>
  <c r="HG277" i="17"/>
  <c r="HH277" i="17"/>
  <c r="HI277" i="17"/>
  <c r="HJ277" i="17"/>
  <c r="HK277" i="17"/>
  <c r="HL277" i="17"/>
  <c r="HM277" i="17"/>
  <c r="HN277" i="17"/>
  <c r="HO277" i="17"/>
  <c r="HP277" i="17"/>
  <c r="HQ277" i="17"/>
  <c r="HR277" i="17"/>
  <c r="HS277" i="17"/>
  <c r="HT277" i="17"/>
  <c r="HU277" i="17"/>
  <c r="HV277" i="17"/>
  <c r="HW277" i="17"/>
  <c r="HX277" i="17"/>
  <c r="HY277" i="17"/>
  <c r="HZ277" i="17"/>
  <c r="IA277" i="17"/>
  <c r="IB277" i="17"/>
  <c r="IC277" i="17"/>
  <c r="ID277" i="17"/>
  <c r="IE277" i="17"/>
  <c r="IF277" i="17"/>
  <c r="IG277" i="17"/>
  <c r="IH277" i="17"/>
  <c r="II277" i="17"/>
  <c r="IJ277" i="17"/>
  <c r="IK277" i="17"/>
  <c r="IL277" i="17"/>
  <c r="IM277" i="17"/>
  <c r="IN277" i="17"/>
  <c r="IO277" i="17"/>
  <c r="IP277" i="17"/>
  <c r="IQ277" i="17"/>
  <c r="IR277" i="17"/>
  <c r="IS277" i="17"/>
  <c r="IT277" i="17"/>
  <c r="IU277" i="17"/>
  <c r="IV277" i="17"/>
  <c r="A276" i="17"/>
  <c r="B276" i="17"/>
  <c r="C276" i="17"/>
  <c r="D276" i="17"/>
  <c r="E276" i="17"/>
  <c r="F276" i="17"/>
  <c r="G276" i="17"/>
  <c r="H276" i="17"/>
  <c r="I276" i="17"/>
  <c r="J276" i="17"/>
  <c r="K276" i="17"/>
  <c r="L276" i="17"/>
  <c r="M276" i="17"/>
  <c r="N276" i="17"/>
  <c r="O276" i="17"/>
  <c r="P276" i="17"/>
  <c r="Q276" i="17"/>
  <c r="R276" i="17"/>
  <c r="S276" i="17"/>
  <c r="T276" i="17"/>
  <c r="U276" i="17"/>
  <c r="V276" i="17"/>
  <c r="W276" i="17"/>
  <c r="X276" i="17"/>
  <c r="Y276" i="17"/>
  <c r="Z276" i="17"/>
  <c r="AA276" i="17"/>
  <c r="AB276" i="17"/>
  <c r="AC276" i="17"/>
  <c r="AD276" i="17"/>
  <c r="AE276" i="17"/>
  <c r="AF276" i="17"/>
  <c r="AG276" i="17"/>
  <c r="AH276" i="17"/>
  <c r="AI276" i="17"/>
  <c r="AJ276" i="17"/>
  <c r="AK276" i="17"/>
  <c r="AL276" i="17"/>
  <c r="AM276" i="17"/>
  <c r="AN276" i="17"/>
  <c r="AO276" i="17"/>
  <c r="AP276" i="17"/>
  <c r="AQ276" i="17"/>
  <c r="AR276" i="17"/>
  <c r="AS276" i="17"/>
  <c r="AT276" i="17"/>
  <c r="AU276" i="17"/>
  <c r="AV276" i="17"/>
  <c r="AW276" i="17"/>
  <c r="AX276" i="17"/>
  <c r="AY276" i="17"/>
  <c r="AZ276" i="17"/>
  <c r="BA276" i="17"/>
  <c r="BB276" i="17"/>
  <c r="BC276" i="17"/>
  <c r="BD276" i="17"/>
  <c r="BE276" i="17"/>
  <c r="BF276" i="17"/>
  <c r="BG276" i="17"/>
  <c r="BH276" i="17"/>
  <c r="BI276" i="17"/>
  <c r="BJ276" i="17"/>
  <c r="BK276" i="17"/>
  <c r="BL276" i="17"/>
  <c r="BM276" i="17"/>
  <c r="BN276" i="17"/>
  <c r="BO276" i="17"/>
  <c r="BP276" i="17"/>
  <c r="BQ276" i="17"/>
  <c r="BR276" i="17"/>
  <c r="BS276" i="17"/>
  <c r="BT276" i="17"/>
  <c r="BU276" i="17"/>
  <c r="BV276" i="17"/>
  <c r="BW276" i="17"/>
  <c r="BX276" i="17"/>
  <c r="BY276" i="17"/>
  <c r="BZ276" i="17"/>
  <c r="CA276" i="17"/>
  <c r="CB276" i="17"/>
  <c r="CC276" i="17"/>
  <c r="CD276" i="17"/>
  <c r="CE276" i="17"/>
  <c r="CF276" i="17"/>
  <c r="CG276" i="17"/>
  <c r="CH276" i="17"/>
  <c r="CI276" i="17"/>
  <c r="CJ276" i="17"/>
  <c r="CK276" i="17"/>
  <c r="CL276" i="17"/>
  <c r="CM276" i="17"/>
  <c r="CN276" i="17"/>
  <c r="CO276" i="17"/>
  <c r="CP276" i="17"/>
  <c r="CQ276" i="17"/>
  <c r="CR276" i="17"/>
  <c r="CS276" i="17"/>
  <c r="CT276" i="17"/>
  <c r="CU276" i="17"/>
  <c r="CV276" i="17"/>
  <c r="CW276" i="17"/>
  <c r="CX276" i="17"/>
  <c r="CY276" i="17"/>
  <c r="CZ276" i="17"/>
  <c r="DA276" i="17"/>
  <c r="DB276" i="17"/>
  <c r="DC276" i="17"/>
  <c r="DD276" i="17"/>
  <c r="DE276" i="17"/>
  <c r="DF276" i="17"/>
  <c r="DG276" i="17"/>
  <c r="DH276" i="17"/>
  <c r="DI276" i="17"/>
  <c r="DJ276" i="17"/>
  <c r="DK276" i="17"/>
  <c r="DL276" i="17"/>
  <c r="DM276" i="17"/>
  <c r="DN276" i="17"/>
  <c r="DO276" i="17"/>
  <c r="DP276" i="17"/>
  <c r="DQ276" i="17"/>
  <c r="DR276" i="17"/>
  <c r="DS276" i="17"/>
  <c r="DT276" i="17"/>
  <c r="DU276" i="17"/>
  <c r="DV276" i="17"/>
  <c r="DW276" i="17"/>
  <c r="DX276" i="17"/>
  <c r="DY276" i="17"/>
  <c r="DZ276" i="17"/>
  <c r="EA276" i="17"/>
  <c r="EB276" i="17"/>
  <c r="EC276" i="17"/>
  <c r="ED276" i="17"/>
  <c r="EE276" i="17"/>
  <c r="EF276" i="17"/>
  <c r="EG276" i="17"/>
  <c r="EH276" i="17"/>
  <c r="EI276" i="17"/>
  <c r="EJ276" i="17"/>
  <c r="EK276" i="17"/>
  <c r="EL276" i="17"/>
  <c r="EM276" i="17"/>
  <c r="EN276" i="17"/>
  <c r="EO276" i="17"/>
  <c r="EP276" i="17"/>
  <c r="EQ276" i="17"/>
  <c r="ER276" i="17"/>
  <c r="ES276" i="17"/>
  <c r="ET276" i="17"/>
  <c r="EU276" i="17"/>
  <c r="EV276" i="17"/>
  <c r="EW276" i="17"/>
  <c r="EX276" i="17"/>
  <c r="EY276" i="17"/>
  <c r="EZ276" i="17"/>
  <c r="FA276" i="17"/>
  <c r="FB276" i="17"/>
  <c r="FC276" i="17"/>
  <c r="FD276" i="17"/>
  <c r="FE276" i="17"/>
  <c r="FF276" i="17"/>
  <c r="FG276" i="17"/>
  <c r="FH276" i="17"/>
  <c r="FI276" i="17"/>
  <c r="FJ276" i="17"/>
  <c r="FK276" i="17"/>
  <c r="FL276" i="17"/>
  <c r="FM276" i="17"/>
  <c r="FN276" i="17"/>
  <c r="FO276" i="17"/>
  <c r="FP276" i="17"/>
  <c r="FQ276" i="17"/>
  <c r="FR276" i="17"/>
  <c r="FS276" i="17"/>
  <c r="FT276" i="17"/>
  <c r="FU276" i="17"/>
  <c r="FV276" i="17"/>
  <c r="FW276" i="17"/>
  <c r="FX276" i="17"/>
  <c r="FY276" i="17"/>
  <c r="FZ276" i="17"/>
  <c r="GA276" i="17"/>
  <c r="GB276" i="17"/>
  <c r="GC276" i="17"/>
  <c r="GD276" i="17"/>
  <c r="GE276" i="17"/>
  <c r="GF276" i="17"/>
  <c r="GG276" i="17"/>
  <c r="GH276" i="17"/>
  <c r="GI276" i="17"/>
  <c r="GJ276" i="17"/>
  <c r="GK276" i="17"/>
  <c r="GL276" i="17"/>
  <c r="GM276" i="17"/>
  <c r="GN276" i="17"/>
  <c r="GO276" i="17"/>
  <c r="GP276" i="17"/>
  <c r="GQ276" i="17"/>
  <c r="GR276" i="17"/>
  <c r="GS276" i="17"/>
  <c r="GT276" i="17"/>
  <c r="GU276" i="17"/>
  <c r="GV276" i="17"/>
  <c r="GW276" i="17"/>
  <c r="GX276" i="17"/>
  <c r="GY276" i="17"/>
  <c r="GZ276" i="17"/>
  <c r="HA276" i="17"/>
  <c r="HB276" i="17"/>
  <c r="HC276" i="17"/>
  <c r="HD276" i="17"/>
  <c r="HE276" i="17"/>
  <c r="HF276" i="17"/>
  <c r="HG276" i="17"/>
  <c r="HH276" i="17"/>
  <c r="HI276" i="17"/>
  <c r="HJ276" i="17"/>
  <c r="HK276" i="17"/>
  <c r="HL276" i="17"/>
  <c r="HM276" i="17"/>
  <c r="HN276" i="17"/>
  <c r="HO276" i="17"/>
  <c r="HP276" i="17"/>
  <c r="HQ276" i="17"/>
  <c r="HR276" i="17"/>
  <c r="HS276" i="17"/>
  <c r="HT276" i="17"/>
  <c r="HU276" i="17"/>
  <c r="HV276" i="17"/>
  <c r="HW276" i="17"/>
  <c r="HX276" i="17"/>
  <c r="HY276" i="17"/>
  <c r="HZ276" i="17"/>
  <c r="IA276" i="17"/>
  <c r="IB276" i="17"/>
  <c r="IC276" i="17"/>
  <c r="ID276" i="17"/>
  <c r="IE276" i="17"/>
  <c r="IF276" i="17"/>
  <c r="IG276" i="17"/>
  <c r="IH276" i="17"/>
  <c r="II276" i="17"/>
  <c r="IJ276" i="17"/>
  <c r="IK276" i="17"/>
  <c r="IL276" i="17"/>
  <c r="IM276" i="17"/>
  <c r="IN276" i="17"/>
  <c r="IO276" i="17"/>
  <c r="IP276" i="17"/>
  <c r="IQ276" i="17"/>
  <c r="IR276" i="17"/>
  <c r="IS276" i="17"/>
  <c r="IT276" i="17"/>
  <c r="IU276" i="17"/>
  <c r="IV276" i="17"/>
  <c r="A275" i="17"/>
  <c r="B275" i="17"/>
  <c r="C275" i="17"/>
  <c r="D275" i="17"/>
  <c r="E275" i="17"/>
  <c r="F275" i="17"/>
  <c r="G275" i="17"/>
  <c r="H275" i="17"/>
  <c r="I275" i="17"/>
  <c r="J275" i="17"/>
  <c r="K275" i="17"/>
  <c r="L275" i="17"/>
  <c r="M275" i="17"/>
  <c r="N275" i="17"/>
  <c r="O275" i="17"/>
  <c r="P275" i="17"/>
  <c r="Q275" i="17"/>
  <c r="R275" i="17"/>
  <c r="S275" i="17"/>
  <c r="T275" i="17"/>
  <c r="U275" i="17"/>
  <c r="V275" i="17"/>
  <c r="W275" i="17"/>
  <c r="X275" i="17"/>
  <c r="Y275" i="17"/>
  <c r="Z275" i="17"/>
  <c r="AA275" i="17"/>
  <c r="AB275" i="17"/>
  <c r="AC275" i="17"/>
  <c r="AD275" i="17"/>
  <c r="AE275" i="17"/>
  <c r="AF275" i="17"/>
  <c r="AG275" i="17"/>
  <c r="AH275" i="17"/>
  <c r="AI275" i="17"/>
  <c r="AJ275" i="17"/>
  <c r="AK275" i="17"/>
  <c r="AL275" i="17"/>
  <c r="AM275" i="17"/>
  <c r="AN275" i="17"/>
  <c r="AO275" i="17"/>
  <c r="AP275" i="17"/>
  <c r="AQ275" i="17"/>
  <c r="AR275" i="17"/>
  <c r="AS275" i="17"/>
  <c r="AT275" i="17"/>
  <c r="AU275" i="17"/>
  <c r="AV275" i="17"/>
  <c r="AW275" i="17"/>
  <c r="AX275" i="17"/>
  <c r="AY275" i="17"/>
  <c r="AZ275" i="17"/>
  <c r="BA275" i="17"/>
  <c r="BB275" i="17"/>
  <c r="BC275" i="17"/>
  <c r="BD275" i="17"/>
  <c r="BE275" i="17"/>
  <c r="BF275" i="17"/>
  <c r="BG275" i="17"/>
  <c r="BH275" i="17"/>
  <c r="BI275" i="17"/>
  <c r="BJ275" i="17"/>
  <c r="BK275" i="17"/>
  <c r="BL275" i="17"/>
  <c r="BM275" i="17"/>
  <c r="BN275" i="17"/>
  <c r="BO275" i="17"/>
  <c r="BP275" i="17"/>
  <c r="BQ275" i="17"/>
  <c r="BR275" i="17"/>
  <c r="BS275" i="17"/>
  <c r="BT275" i="17"/>
  <c r="BU275" i="17"/>
  <c r="BV275" i="17"/>
  <c r="BW275" i="17"/>
  <c r="BX275" i="17"/>
  <c r="BY275" i="17"/>
  <c r="BZ275" i="17"/>
  <c r="CA275" i="17"/>
  <c r="CB275" i="17"/>
  <c r="CC275" i="17"/>
  <c r="CD275" i="17"/>
  <c r="CE275" i="17"/>
  <c r="CF275" i="17"/>
  <c r="CG275" i="17"/>
  <c r="CH275" i="17"/>
  <c r="CI275" i="17"/>
  <c r="CJ275" i="17"/>
  <c r="CK275" i="17"/>
  <c r="CL275" i="17"/>
  <c r="CM275" i="17"/>
  <c r="CN275" i="17"/>
  <c r="CO275" i="17"/>
  <c r="CP275" i="17"/>
  <c r="CQ275" i="17"/>
  <c r="CR275" i="17"/>
  <c r="CS275" i="17"/>
  <c r="CT275" i="17"/>
  <c r="CU275" i="17"/>
  <c r="CV275" i="17"/>
  <c r="CW275" i="17"/>
  <c r="CX275" i="17"/>
  <c r="CY275" i="17"/>
  <c r="CZ275" i="17"/>
  <c r="DA275" i="17"/>
  <c r="DB275" i="17"/>
  <c r="DC275" i="17"/>
  <c r="DD275" i="17"/>
  <c r="DE275" i="17"/>
  <c r="DF275" i="17"/>
  <c r="DG275" i="17"/>
  <c r="DH275" i="17"/>
  <c r="DI275" i="17"/>
  <c r="DJ275" i="17"/>
  <c r="DK275" i="17"/>
  <c r="DL275" i="17"/>
  <c r="DM275" i="17"/>
  <c r="DN275" i="17"/>
  <c r="DO275" i="17"/>
  <c r="DP275" i="17"/>
  <c r="DQ275" i="17"/>
  <c r="DR275" i="17"/>
  <c r="DS275" i="17"/>
  <c r="DT275" i="17"/>
  <c r="DU275" i="17"/>
  <c r="DV275" i="17"/>
  <c r="DW275" i="17"/>
  <c r="DX275" i="17"/>
  <c r="DY275" i="17"/>
  <c r="DZ275" i="17"/>
  <c r="EA275" i="17"/>
  <c r="EB275" i="17"/>
  <c r="EC275" i="17"/>
  <c r="ED275" i="17"/>
  <c r="EE275" i="17"/>
  <c r="EF275" i="17"/>
  <c r="EG275" i="17"/>
  <c r="EH275" i="17"/>
  <c r="EI275" i="17"/>
  <c r="EJ275" i="17"/>
  <c r="EK275" i="17"/>
  <c r="EL275" i="17"/>
  <c r="EM275" i="17"/>
  <c r="EN275" i="17"/>
  <c r="EO275" i="17"/>
  <c r="EP275" i="17"/>
  <c r="EQ275" i="17"/>
  <c r="ER275" i="17"/>
  <c r="ES275" i="17"/>
  <c r="ET275" i="17"/>
  <c r="EU275" i="17"/>
  <c r="EV275" i="17"/>
  <c r="EW275" i="17"/>
  <c r="EX275" i="17"/>
  <c r="EY275" i="17"/>
  <c r="EZ275" i="17"/>
  <c r="FA275" i="17"/>
  <c r="FB275" i="17"/>
  <c r="FC275" i="17"/>
  <c r="FD275" i="17"/>
  <c r="FE275" i="17"/>
  <c r="FF275" i="17"/>
  <c r="FG275" i="17"/>
  <c r="FH275" i="17"/>
  <c r="FI275" i="17"/>
  <c r="FJ275" i="17"/>
  <c r="FK275" i="17"/>
  <c r="FL275" i="17"/>
  <c r="FM275" i="17"/>
  <c r="FN275" i="17"/>
  <c r="FO275" i="17"/>
  <c r="FP275" i="17"/>
  <c r="FQ275" i="17"/>
  <c r="FR275" i="17"/>
  <c r="FS275" i="17"/>
  <c r="FT275" i="17"/>
  <c r="FU275" i="17"/>
  <c r="FV275" i="17"/>
  <c r="FW275" i="17"/>
  <c r="FX275" i="17"/>
  <c r="FY275" i="17"/>
  <c r="FZ275" i="17"/>
  <c r="GA275" i="17"/>
  <c r="GB275" i="17"/>
  <c r="GC275" i="17"/>
  <c r="GD275" i="17"/>
  <c r="GE275" i="17"/>
  <c r="GF275" i="17"/>
  <c r="GG275" i="17"/>
  <c r="GH275" i="17"/>
  <c r="GI275" i="17"/>
  <c r="GJ275" i="17"/>
  <c r="GK275" i="17"/>
  <c r="GL275" i="17"/>
  <c r="GM275" i="17"/>
  <c r="GN275" i="17"/>
  <c r="GO275" i="17"/>
  <c r="GP275" i="17"/>
  <c r="GQ275" i="17"/>
  <c r="GR275" i="17"/>
  <c r="GS275" i="17"/>
  <c r="GT275" i="17"/>
  <c r="GU275" i="17"/>
  <c r="GV275" i="17"/>
  <c r="GW275" i="17"/>
  <c r="GX275" i="17"/>
  <c r="GY275" i="17"/>
  <c r="GZ275" i="17"/>
  <c r="HA275" i="17"/>
  <c r="HB275" i="17"/>
  <c r="HC275" i="17"/>
  <c r="HD275" i="17"/>
  <c r="HE275" i="17"/>
  <c r="HF275" i="17"/>
  <c r="HG275" i="17"/>
  <c r="HH275" i="17"/>
  <c r="HI275" i="17"/>
  <c r="HJ275" i="17"/>
  <c r="HK275" i="17"/>
  <c r="HL275" i="17"/>
  <c r="HM275" i="17"/>
  <c r="HN275" i="17"/>
  <c r="HO275" i="17"/>
  <c r="HP275" i="17"/>
  <c r="HQ275" i="17"/>
  <c r="HR275" i="17"/>
  <c r="HS275" i="17"/>
  <c r="HT275" i="17"/>
  <c r="HU275" i="17"/>
  <c r="HV275" i="17"/>
  <c r="HW275" i="17"/>
  <c r="HX275" i="17"/>
  <c r="HY275" i="17"/>
  <c r="HZ275" i="17"/>
  <c r="IA275" i="17"/>
  <c r="IB275" i="17"/>
  <c r="IC275" i="17"/>
  <c r="ID275" i="17"/>
  <c r="IE275" i="17"/>
  <c r="IF275" i="17"/>
  <c r="IG275" i="17"/>
  <c r="IH275" i="17"/>
  <c r="II275" i="17"/>
  <c r="IJ275" i="17"/>
  <c r="IK275" i="17"/>
  <c r="IL275" i="17"/>
  <c r="IM275" i="17"/>
  <c r="IN275" i="17"/>
  <c r="IO275" i="17"/>
  <c r="IP275" i="17"/>
  <c r="IQ275" i="17"/>
  <c r="IR275" i="17"/>
  <c r="IS275" i="17"/>
  <c r="IT275" i="17"/>
  <c r="IU275" i="17"/>
  <c r="IV275" i="17"/>
  <c r="A274" i="17"/>
  <c r="B274" i="17"/>
  <c r="C274" i="17"/>
  <c r="D274" i="17"/>
  <c r="E274" i="17"/>
  <c r="F274" i="17"/>
  <c r="G274" i="17"/>
  <c r="H274" i="17"/>
  <c r="I274" i="17"/>
  <c r="J274" i="17"/>
  <c r="K274" i="17"/>
  <c r="L274" i="17"/>
  <c r="M274" i="17"/>
  <c r="N274" i="17"/>
  <c r="O274" i="17"/>
  <c r="P274" i="17"/>
  <c r="Q274" i="17"/>
  <c r="R274" i="17"/>
  <c r="S274" i="17"/>
  <c r="T274" i="17"/>
  <c r="U274" i="17"/>
  <c r="V274" i="17"/>
  <c r="W274" i="17"/>
  <c r="X274" i="17"/>
  <c r="Y274" i="17"/>
  <c r="Z274" i="17"/>
  <c r="AA274" i="17"/>
  <c r="AB274" i="17"/>
  <c r="AC274" i="17"/>
  <c r="AD274" i="17"/>
  <c r="AE274" i="17"/>
  <c r="AF274" i="17"/>
  <c r="AG274" i="17"/>
  <c r="AH274" i="17"/>
  <c r="AI274" i="17"/>
  <c r="AJ274" i="17"/>
  <c r="AK274" i="17"/>
  <c r="AL274" i="17"/>
  <c r="AM274" i="17"/>
  <c r="AN274" i="17"/>
  <c r="AO274" i="17"/>
  <c r="AP274" i="17"/>
  <c r="AQ274" i="17"/>
  <c r="AR274" i="17"/>
  <c r="AS274" i="17"/>
  <c r="AT274" i="17"/>
  <c r="AU274" i="17"/>
  <c r="AV274" i="17"/>
  <c r="AW274" i="17"/>
  <c r="AX274" i="17"/>
  <c r="AY274" i="17"/>
  <c r="AZ274" i="17"/>
  <c r="BA274" i="17"/>
  <c r="BB274" i="17"/>
  <c r="BC274" i="17"/>
  <c r="BD274" i="17"/>
  <c r="BE274" i="17"/>
  <c r="BF274" i="17"/>
  <c r="BG274" i="17"/>
  <c r="BH274" i="17"/>
  <c r="BI274" i="17"/>
  <c r="BJ274" i="17"/>
  <c r="BK274" i="17"/>
  <c r="BL274" i="17"/>
  <c r="BM274" i="17"/>
  <c r="BN274" i="17"/>
  <c r="BO274" i="17"/>
  <c r="BP274" i="17"/>
  <c r="BQ274" i="17"/>
  <c r="BR274" i="17"/>
  <c r="BS274" i="17"/>
  <c r="BT274" i="17"/>
  <c r="BU274" i="17"/>
  <c r="BV274" i="17"/>
  <c r="BW274" i="17"/>
  <c r="BX274" i="17"/>
  <c r="BY274" i="17"/>
  <c r="BZ274" i="17"/>
  <c r="CA274" i="17"/>
  <c r="CB274" i="17"/>
  <c r="CC274" i="17"/>
  <c r="CD274" i="17"/>
  <c r="CE274" i="17"/>
  <c r="CF274" i="17"/>
  <c r="CG274" i="17"/>
  <c r="CH274" i="17"/>
  <c r="CI274" i="17"/>
  <c r="CJ274" i="17"/>
  <c r="CK274" i="17"/>
  <c r="CL274" i="17"/>
  <c r="CM274" i="17"/>
  <c r="CN274" i="17"/>
  <c r="CO274" i="17"/>
  <c r="CP274" i="17"/>
  <c r="CQ274" i="17"/>
  <c r="CR274" i="17"/>
  <c r="CS274" i="17"/>
  <c r="CT274" i="17"/>
  <c r="CU274" i="17"/>
  <c r="CV274" i="17"/>
  <c r="CW274" i="17"/>
  <c r="CX274" i="17"/>
  <c r="CY274" i="17"/>
  <c r="CZ274" i="17"/>
  <c r="DA274" i="17"/>
  <c r="DB274" i="17"/>
  <c r="DC274" i="17"/>
  <c r="DD274" i="17"/>
  <c r="DE274" i="17"/>
  <c r="DF274" i="17"/>
  <c r="DG274" i="17"/>
  <c r="DH274" i="17"/>
  <c r="DI274" i="17"/>
  <c r="DJ274" i="17"/>
  <c r="DK274" i="17"/>
  <c r="DL274" i="17"/>
  <c r="DM274" i="17"/>
  <c r="DN274" i="17"/>
  <c r="DO274" i="17"/>
  <c r="DP274" i="17"/>
  <c r="DQ274" i="17"/>
  <c r="DR274" i="17"/>
  <c r="DS274" i="17"/>
  <c r="DT274" i="17"/>
  <c r="DU274" i="17"/>
  <c r="DV274" i="17"/>
  <c r="DW274" i="17"/>
  <c r="DX274" i="17"/>
  <c r="DY274" i="17"/>
  <c r="DZ274" i="17"/>
  <c r="EA274" i="17"/>
  <c r="EB274" i="17"/>
  <c r="EC274" i="17"/>
  <c r="ED274" i="17"/>
  <c r="EE274" i="17"/>
  <c r="EF274" i="17"/>
  <c r="EG274" i="17"/>
  <c r="EH274" i="17"/>
  <c r="EI274" i="17"/>
  <c r="EJ274" i="17"/>
  <c r="EK274" i="17"/>
  <c r="EL274" i="17"/>
  <c r="EM274" i="17"/>
  <c r="EN274" i="17"/>
  <c r="EO274" i="17"/>
  <c r="EP274" i="17"/>
  <c r="EQ274" i="17"/>
  <c r="ER274" i="17"/>
  <c r="ES274" i="17"/>
  <c r="ET274" i="17"/>
  <c r="EU274" i="17"/>
  <c r="EV274" i="17"/>
  <c r="EW274" i="17"/>
  <c r="EX274" i="17"/>
  <c r="EY274" i="17"/>
  <c r="EZ274" i="17"/>
  <c r="FA274" i="17"/>
  <c r="FB274" i="17"/>
  <c r="FC274" i="17"/>
  <c r="FD274" i="17"/>
  <c r="FE274" i="17"/>
  <c r="FF274" i="17"/>
  <c r="FG274" i="17"/>
  <c r="FH274" i="17"/>
  <c r="FI274" i="17"/>
  <c r="FJ274" i="17"/>
  <c r="FK274" i="17"/>
  <c r="FL274" i="17"/>
  <c r="FM274" i="17"/>
  <c r="FN274" i="17"/>
  <c r="FO274" i="17"/>
  <c r="FP274" i="17"/>
  <c r="FQ274" i="17"/>
  <c r="FR274" i="17"/>
  <c r="FS274" i="17"/>
  <c r="FT274" i="17"/>
  <c r="FU274" i="17"/>
  <c r="FV274" i="17"/>
  <c r="FW274" i="17"/>
  <c r="FX274" i="17"/>
  <c r="FY274" i="17"/>
  <c r="FZ274" i="17"/>
  <c r="GA274" i="17"/>
  <c r="GB274" i="17"/>
  <c r="GC274" i="17"/>
  <c r="GD274" i="17"/>
  <c r="GE274" i="17"/>
  <c r="GF274" i="17"/>
  <c r="GG274" i="17"/>
  <c r="GH274" i="17"/>
  <c r="GI274" i="17"/>
  <c r="GJ274" i="17"/>
  <c r="GK274" i="17"/>
  <c r="GL274" i="17"/>
  <c r="GM274" i="17"/>
  <c r="GN274" i="17"/>
  <c r="GO274" i="17"/>
  <c r="GP274" i="17"/>
  <c r="GQ274" i="17"/>
  <c r="GR274" i="17"/>
  <c r="GS274" i="17"/>
  <c r="GT274" i="17"/>
  <c r="GU274" i="17"/>
  <c r="GV274" i="17"/>
  <c r="GW274" i="17"/>
  <c r="GX274" i="17"/>
  <c r="GY274" i="17"/>
  <c r="GZ274" i="17"/>
  <c r="HA274" i="17"/>
  <c r="HB274" i="17"/>
  <c r="HC274" i="17"/>
  <c r="HD274" i="17"/>
  <c r="HE274" i="17"/>
  <c r="HF274" i="17"/>
  <c r="HG274" i="17"/>
  <c r="HH274" i="17"/>
  <c r="HI274" i="17"/>
  <c r="HJ274" i="17"/>
  <c r="HK274" i="17"/>
  <c r="HL274" i="17"/>
  <c r="HM274" i="17"/>
  <c r="HN274" i="17"/>
  <c r="HO274" i="17"/>
  <c r="HP274" i="17"/>
  <c r="HQ274" i="17"/>
  <c r="HR274" i="17"/>
  <c r="HS274" i="17"/>
  <c r="HT274" i="17"/>
  <c r="HU274" i="17"/>
  <c r="HV274" i="17"/>
  <c r="HW274" i="17"/>
  <c r="HX274" i="17"/>
  <c r="HY274" i="17"/>
  <c r="HZ274" i="17"/>
  <c r="IA274" i="17"/>
  <c r="IB274" i="17"/>
  <c r="IC274" i="17"/>
  <c r="ID274" i="17"/>
  <c r="IE274" i="17"/>
  <c r="IF274" i="17"/>
  <c r="IG274" i="17"/>
  <c r="IH274" i="17"/>
  <c r="II274" i="17"/>
  <c r="IJ274" i="17"/>
  <c r="IK274" i="17"/>
  <c r="IL274" i="17"/>
  <c r="IM274" i="17"/>
  <c r="IN274" i="17"/>
  <c r="IO274" i="17"/>
  <c r="IP274" i="17"/>
  <c r="IQ274" i="17"/>
  <c r="IR274" i="17"/>
  <c r="IS274" i="17"/>
  <c r="IT274" i="17"/>
  <c r="IU274" i="17"/>
  <c r="IV274" i="17"/>
  <c r="A273" i="17"/>
  <c r="B273" i="17"/>
  <c r="C273" i="17"/>
  <c r="D273" i="17"/>
  <c r="E273" i="17"/>
  <c r="F273" i="17"/>
  <c r="G273" i="17"/>
  <c r="H273" i="17"/>
  <c r="I273" i="17"/>
  <c r="J273" i="17"/>
  <c r="K273" i="17"/>
  <c r="L273" i="17"/>
  <c r="M273" i="17"/>
  <c r="N273" i="17"/>
  <c r="O273" i="17"/>
  <c r="P273" i="17"/>
  <c r="Q273" i="17"/>
  <c r="R273" i="17"/>
  <c r="S273" i="17"/>
  <c r="T273" i="17"/>
  <c r="U273" i="17"/>
  <c r="V273" i="17"/>
  <c r="W273" i="17"/>
  <c r="X273" i="17"/>
  <c r="Y273" i="17"/>
  <c r="Z273" i="17"/>
  <c r="AA273" i="17"/>
  <c r="AB273" i="17"/>
  <c r="AC273" i="17"/>
  <c r="AD273" i="17"/>
  <c r="AE273" i="17"/>
  <c r="AF273" i="17"/>
  <c r="AG273" i="17"/>
  <c r="AH273" i="17"/>
  <c r="AI273" i="17"/>
  <c r="AJ273" i="17"/>
  <c r="AK273" i="17"/>
  <c r="AL273" i="17"/>
  <c r="AM273" i="17"/>
  <c r="AN273" i="17"/>
  <c r="AO273" i="17"/>
  <c r="AP273" i="17"/>
  <c r="AQ273" i="17"/>
  <c r="AR273" i="17"/>
  <c r="AS273" i="17"/>
  <c r="AT273" i="17"/>
  <c r="AU273" i="17"/>
  <c r="AV273" i="17"/>
  <c r="AW273" i="17"/>
  <c r="AX273" i="17"/>
  <c r="AY273" i="17"/>
  <c r="AZ273" i="17"/>
  <c r="BA273" i="17"/>
  <c r="BB273" i="17"/>
  <c r="BC273" i="17"/>
  <c r="BD273" i="17"/>
  <c r="BE273" i="17"/>
  <c r="BF273" i="17"/>
  <c r="BG273" i="17"/>
  <c r="BH273" i="17"/>
  <c r="BI273" i="17"/>
  <c r="BJ273" i="17"/>
  <c r="BK273" i="17"/>
  <c r="BL273" i="17"/>
  <c r="BM273" i="17"/>
  <c r="BN273" i="17"/>
  <c r="BO273" i="17"/>
  <c r="BP273" i="17"/>
  <c r="BQ273" i="17"/>
  <c r="BR273" i="17"/>
  <c r="BS273" i="17"/>
  <c r="BT273" i="17"/>
  <c r="BU273" i="17"/>
  <c r="BV273" i="17"/>
  <c r="BW273" i="17"/>
  <c r="BX273" i="17"/>
  <c r="BY273" i="17"/>
  <c r="BZ273" i="17"/>
  <c r="CA273" i="17"/>
  <c r="CB273" i="17"/>
  <c r="CC273" i="17"/>
  <c r="CD273" i="17"/>
  <c r="CE273" i="17"/>
  <c r="CF273" i="17"/>
  <c r="CG273" i="17"/>
  <c r="CH273" i="17"/>
  <c r="CI273" i="17"/>
  <c r="CJ273" i="17"/>
  <c r="CK273" i="17"/>
  <c r="CL273" i="17"/>
  <c r="CM273" i="17"/>
  <c r="CN273" i="17"/>
  <c r="CO273" i="17"/>
  <c r="CP273" i="17"/>
  <c r="CQ273" i="17"/>
  <c r="CR273" i="17"/>
  <c r="CS273" i="17"/>
  <c r="CT273" i="17"/>
  <c r="CU273" i="17"/>
  <c r="CV273" i="17"/>
  <c r="CW273" i="17"/>
  <c r="CX273" i="17"/>
  <c r="CY273" i="17"/>
  <c r="CZ273" i="17"/>
  <c r="DA273" i="17"/>
  <c r="DB273" i="17"/>
  <c r="DC273" i="17"/>
  <c r="DD273" i="17"/>
  <c r="DE273" i="17"/>
  <c r="DF273" i="17"/>
  <c r="DG273" i="17"/>
  <c r="DH273" i="17"/>
  <c r="DI273" i="17"/>
  <c r="DJ273" i="17"/>
  <c r="DK273" i="17"/>
  <c r="DL273" i="17"/>
  <c r="DM273" i="17"/>
  <c r="DN273" i="17"/>
  <c r="DO273" i="17"/>
  <c r="DP273" i="17"/>
  <c r="DQ273" i="17"/>
  <c r="DR273" i="17"/>
  <c r="DS273" i="17"/>
  <c r="DT273" i="17"/>
  <c r="DU273" i="17"/>
  <c r="DV273" i="17"/>
  <c r="DW273" i="17"/>
  <c r="DX273" i="17"/>
  <c r="DY273" i="17"/>
  <c r="DZ273" i="17"/>
  <c r="EA273" i="17"/>
  <c r="EB273" i="17"/>
  <c r="EC273" i="17"/>
  <c r="ED273" i="17"/>
  <c r="EE273" i="17"/>
  <c r="EF273" i="17"/>
  <c r="EG273" i="17"/>
  <c r="EH273" i="17"/>
  <c r="EI273" i="17"/>
  <c r="EJ273" i="17"/>
  <c r="EK273" i="17"/>
  <c r="EL273" i="17"/>
  <c r="EM273" i="17"/>
  <c r="EN273" i="17"/>
  <c r="EO273" i="17"/>
  <c r="EP273" i="17"/>
  <c r="EQ273" i="17"/>
  <c r="ER273" i="17"/>
  <c r="ES273" i="17"/>
  <c r="ET273" i="17"/>
  <c r="EU273" i="17"/>
  <c r="EV273" i="17"/>
  <c r="EW273" i="17"/>
  <c r="EX273" i="17"/>
  <c r="EY273" i="17"/>
  <c r="EZ273" i="17"/>
  <c r="FA273" i="17"/>
  <c r="FB273" i="17"/>
  <c r="FC273" i="17"/>
  <c r="FD273" i="17"/>
  <c r="FE273" i="17"/>
  <c r="FF273" i="17"/>
  <c r="FG273" i="17"/>
  <c r="FH273" i="17"/>
  <c r="FI273" i="17"/>
  <c r="FJ273" i="17"/>
  <c r="FK273" i="17"/>
  <c r="FL273" i="17"/>
  <c r="FM273" i="17"/>
  <c r="FN273" i="17"/>
  <c r="FO273" i="17"/>
  <c r="FP273" i="17"/>
  <c r="FQ273" i="17"/>
  <c r="FR273" i="17"/>
  <c r="FS273" i="17"/>
  <c r="FT273" i="17"/>
  <c r="FU273" i="17"/>
  <c r="FV273" i="17"/>
  <c r="FW273" i="17"/>
  <c r="FX273" i="17"/>
  <c r="FY273" i="17"/>
  <c r="FZ273" i="17"/>
  <c r="GA273" i="17"/>
  <c r="GB273" i="17"/>
  <c r="GC273" i="17"/>
  <c r="GD273" i="17"/>
  <c r="GE273" i="17"/>
  <c r="GF273" i="17"/>
  <c r="GG273" i="17"/>
  <c r="GH273" i="17"/>
  <c r="GI273" i="17"/>
  <c r="GJ273" i="17"/>
  <c r="GK273" i="17"/>
  <c r="GL273" i="17"/>
  <c r="GM273" i="17"/>
  <c r="GN273" i="17"/>
  <c r="GO273" i="17"/>
  <c r="GP273" i="17"/>
  <c r="GQ273" i="17"/>
  <c r="GR273" i="17"/>
  <c r="GS273" i="17"/>
  <c r="GT273" i="17"/>
  <c r="GU273" i="17"/>
  <c r="GV273" i="17"/>
  <c r="GW273" i="17"/>
  <c r="GX273" i="17"/>
  <c r="GY273" i="17"/>
  <c r="GZ273" i="17"/>
  <c r="HA273" i="17"/>
  <c r="HB273" i="17"/>
  <c r="HC273" i="17"/>
  <c r="HD273" i="17"/>
  <c r="HE273" i="17"/>
  <c r="HF273" i="17"/>
  <c r="HG273" i="17"/>
  <c r="HH273" i="17"/>
  <c r="HI273" i="17"/>
  <c r="HJ273" i="17"/>
  <c r="HK273" i="17"/>
  <c r="HL273" i="17"/>
  <c r="HM273" i="17"/>
  <c r="HN273" i="17"/>
  <c r="HO273" i="17"/>
  <c r="HP273" i="17"/>
  <c r="HQ273" i="17"/>
  <c r="HR273" i="17"/>
  <c r="HS273" i="17"/>
  <c r="HT273" i="17"/>
  <c r="HU273" i="17"/>
  <c r="HV273" i="17"/>
  <c r="HW273" i="17"/>
  <c r="HX273" i="17"/>
  <c r="HY273" i="17"/>
  <c r="HZ273" i="17"/>
  <c r="IA273" i="17"/>
  <c r="IB273" i="17"/>
  <c r="IC273" i="17"/>
  <c r="ID273" i="17"/>
  <c r="IE273" i="17"/>
  <c r="IF273" i="17"/>
  <c r="IG273" i="17"/>
  <c r="IH273" i="17"/>
  <c r="II273" i="17"/>
  <c r="IJ273" i="17"/>
  <c r="IK273" i="17"/>
  <c r="IL273" i="17"/>
  <c r="IM273" i="17"/>
  <c r="IN273" i="17"/>
  <c r="IO273" i="17"/>
  <c r="IP273" i="17"/>
  <c r="IQ273" i="17"/>
  <c r="IR273" i="17"/>
  <c r="IS273" i="17"/>
  <c r="IT273" i="17"/>
  <c r="IU273" i="17"/>
  <c r="IV273" i="17"/>
  <c r="A272" i="17"/>
  <c r="B272" i="17"/>
  <c r="C272" i="17"/>
  <c r="D272" i="17"/>
  <c r="E272" i="17"/>
  <c r="F272" i="17"/>
  <c r="G272" i="17"/>
  <c r="H272" i="17"/>
  <c r="I272" i="17"/>
  <c r="J272" i="17"/>
  <c r="L272" i="17"/>
  <c r="M272" i="17"/>
  <c r="N272" i="17"/>
  <c r="O272" i="17"/>
  <c r="P272" i="17"/>
  <c r="Q272" i="17"/>
  <c r="R272" i="17"/>
  <c r="S272" i="17"/>
  <c r="T272" i="17"/>
  <c r="U272" i="17"/>
  <c r="V272" i="17"/>
  <c r="W272" i="17"/>
  <c r="X272" i="17"/>
  <c r="Y272" i="17"/>
  <c r="Z272" i="17"/>
  <c r="AA272" i="17"/>
  <c r="AB272" i="17"/>
  <c r="AC272" i="17"/>
  <c r="AD272" i="17"/>
  <c r="AE272" i="17"/>
  <c r="AF272" i="17"/>
  <c r="AG272" i="17"/>
  <c r="AH272" i="17"/>
  <c r="AI272" i="17"/>
  <c r="AJ272" i="17"/>
  <c r="AK272" i="17"/>
  <c r="AL272" i="17"/>
  <c r="AM272" i="17"/>
  <c r="AN272" i="17"/>
  <c r="AO272" i="17"/>
  <c r="AP272" i="17"/>
  <c r="AQ272" i="17"/>
  <c r="AR272" i="17"/>
  <c r="AS272" i="17"/>
  <c r="AT272" i="17"/>
  <c r="AU272" i="17"/>
  <c r="AV272" i="17"/>
  <c r="AW272" i="17"/>
  <c r="AX272" i="17"/>
  <c r="AY272" i="17"/>
  <c r="AZ272" i="17"/>
  <c r="BA272" i="17"/>
  <c r="BB272" i="17"/>
  <c r="BC272" i="17"/>
  <c r="BD272" i="17"/>
  <c r="BE272" i="17"/>
  <c r="BF272" i="17"/>
  <c r="BG272" i="17"/>
  <c r="BH272" i="17"/>
  <c r="BI272" i="17"/>
  <c r="BJ272" i="17"/>
  <c r="BK272" i="17"/>
  <c r="BL272" i="17"/>
  <c r="BM272" i="17"/>
  <c r="BN272" i="17"/>
  <c r="BO272" i="17"/>
  <c r="BP272" i="17"/>
  <c r="BQ272" i="17"/>
  <c r="BR272" i="17"/>
  <c r="BS272" i="17"/>
  <c r="BT272" i="17"/>
  <c r="BU272" i="17"/>
  <c r="BV272" i="17"/>
  <c r="BW272" i="17"/>
  <c r="BX272" i="17"/>
  <c r="BY272" i="17"/>
  <c r="BZ272" i="17"/>
  <c r="CA272" i="17"/>
  <c r="CB272" i="17"/>
  <c r="CC272" i="17"/>
  <c r="CD272" i="17"/>
  <c r="CE272" i="17"/>
  <c r="CF272" i="17"/>
  <c r="CG272" i="17"/>
  <c r="CH272" i="17"/>
  <c r="CI272" i="17"/>
  <c r="CJ272" i="17"/>
  <c r="CK272" i="17"/>
  <c r="CL272" i="17"/>
  <c r="CM272" i="17"/>
  <c r="CN272" i="17"/>
  <c r="CO272" i="17"/>
  <c r="CP272" i="17"/>
  <c r="CQ272" i="17"/>
  <c r="CR272" i="17"/>
  <c r="CS272" i="17"/>
  <c r="CT272" i="17"/>
  <c r="CU272" i="17"/>
  <c r="CV272" i="17"/>
  <c r="CW272" i="17"/>
  <c r="CX272" i="17"/>
  <c r="CY272" i="17"/>
  <c r="CZ272" i="17"/>
  <c r="DA272" i="17"/>
  <c r="DB272" i="17"/>
  <c r="DC272" i="17"/>
  <c r="DD272" i="17"/>
  <c r="DE272" i="17"/>
  <c r="DF272" i="17"/>
  <c r="DG272" i="17"/>
  <c r="DH272" i="17"/>
  <c r="DI272" i="17"/>
  <c r="DJ272" i="17"/>
  <c r="DK272" i="17"/>
  <c r="DL272" i="17"/>
  <c r="DM272" i="17"/>
  <c r="DN272" i="17"/>
  <c r="DO272" i="17"/>
  <c r="DP272" i="17"/>
  <c r="DQ272" i="17"/>
  <c r="DR272" i="17"/>
  <c r="DS272" i="17"/>
  <c r="DT272" i="17"/>
  <c r="DU272" i="17"/>
  <c r="DV272" i="17"/>
  <c r="DW272" i="17"/>
  <c r="DX272" i="17"/>
  <c r="DY272" i="17"/>
  <c r="DZ272" i="17"/>
  <c r="EA272" i="17"/>
  <c r="EB272" i="17"/>
  <c r="EC272" i="17"/>
  <c r="ED272" i="17"/>
  <c r="EE272" i="17"/>
  <c r="EF272" i="17"/>
  <c r="EG272" i="17"/>
  <c r="EH272" i="17"/>
  <c r="EI272" i="17"/>
  <c r="EJ272" i="17"/>
  <c r="EK272" i="17"/>
  <c r="EL272" i="17"/>
  <c r="EM272" i="17"/>
  <c r="EN272" i="17"/>
  <c r="EO272" i="17"/>
  <c r="EP272" i="17"/>
  <c r="EQ272" i="17"/>
  <c r="ER272" i="17"/>
  <c r="ES272" i="17"/>
  <c r="ET272" i="17"/>
  <c r="EU272" i="17"/>
  <c r="EV272" i="17"/>
  <c r="EW272" i="17"/>
  <c r="EX272" i="17"/>
  <c r="EY272" i="17"/>
  <c r="EZ272" i="17"/>
  <c r="FA272" i="17"/>
  <c r="FB272" i="17"/>
  <c r="FC272" i="17"/>
  <c r="FD272" i="17"/>
  <c r="FE272" i="17"/>
  <c r="FF272" i="17"/>
  <c r="FG272" i="17"/>
  <c r="FH272" i="17"/>
  <c r="FI272" i="17"/>
  <c r="FJ272" i="17"/>
  <c r="FK272" i="17"/>
  <c r="FL272" i="17"/>
  <c r="FM272" i="17"/>
  <c r="FN272" i="17"/>
  <c r="FO272" i="17"/>
  <c r="FP272" i="17"/>
  <c r="FQ272" i="17"/>
  <c r="FR272" i="17"/>
  <c r="FS272" i="17"/>
  <c r="FT272" i="17"/>
  <c r="FU272" i="17"/>
  <c r="FV272" i="17"/>
  <c r="FW272" i="17"/>
  <c r="FX272" i="17"/>
  <c r="FY272" i="17"/>
  <c r="FZ272" i="17"/>
  <c r="GA272" i="17"/>
  <c r="GB272" i="17"/>
  <c r="GC272" i="17"/>
  <c r="GD272" i="17"/>
  <c r="GE272" i="17"/>
  <c r="GF272" i="17"/>
  <c r="GG272" i="17"/>
  <c r="GH272" i="17"/>
  <c r="GI272" i="17"/>
  <c r="GJ272" i="17"/>
  <c r="GK272" i="17"/>
  <c r="GL272" i="17"/>
  <c r="GM272" i="17"/>
  <c r="GN272" i="17"/>
  <c r="GO272" i="17"/>
  <c r="GP272" i="17"/>
  <c r="GQ272" i="17"/>
  <c r="GR272" i="17"/>
  <c r="GS272" i="17"/>
  <c r="GT272" i="17"/>
  <c r="GU272" i="17"/>
  <c r="GV272" i="17"/>
  <c r="GW272" i="17"/>
  <c r="GX272" i="17"/>
  <c r="GY272" i="17"/>
  <c r="GZ272" i="17"/>
  <c r="HA272" i="17"/>
  <c r="HB272" i="17"/>
  <c r="HC272" i="17"/>
  <c r="HD272" i="17"/>
  <c r="HE272" i="17"/>
  <c r="HF272" i="17"/>
  <c r="HG272" i="17"/>
  <c r="HH272" i="17"/>
  <c r="HI272" i="17"/>
  <c r="HJ272" i="17"/>
  <c r="HK272" i="17"/>
  <c r="HL272" i="17"/>
  <c r="HM272" i="17"/>
  <c r="HN272" i="17"/>
  <c r="HO272" i="17"/>
  <c r="HP272" i="17"/>
  <c r="HQ272" i="17"/>
  <c r="HR272" i="17"/>
  <c r="HS272" i="17"/>
  <c r="HT272" i="17"/>
  <c r="HU272" i="17"/>
  <c r="HV272" i="17"/>
  <c r="HW272" i="17"/>
  <c r="HX272" i="17"/>
  <c r="HY272" i="17"/>
  <c r="HZ272" i="17"/>
  <c r="IA272" i="17"/>
  <c r="IB272" i="17"/>
  <c r="IC272" i="17"/>
  <c r="ID272" i="17"/>
  <c r="IE272" i="17"/>
  <c r="IF272" i="17"/>
  <c r="IG272" i="17"/>
  <c r="IH272" i="17"/>
  <c r="II272" i="17"/>
  <c r="IJ272" i="17"/>
  <c r="IK272" i="17"/>
  <c r="IL272" i="17"/>
  <c r="IM272" i="17"/>
  <c r="IN272" i="17"/>
  <c r="IO272" i="17"/>
  <c r="IP272" i="17"/>
  <c r="IQ272" i="17"/>
  <c r="IR272" i="17"/>
  <c r="IS272" i="17"/>
  <c r="IT272" i="17"/>
  <c r="IU272" i="17"/>
  <c r="IV272" i="17"/>
  <c r="A271" i="17"/>
  <c r="B271" i="17"/>
  <c r="C271" i="17"/>
  <c r="D271" i="17"/>
  <c r="E271" i="17"/>
  <c r="F271" i="17"/>
  <c r="G271" i="17"/>
  <c r="H271" i="17"/>
  <c r="I271" i="17"/>
  <c r="J271" i="17"/>
  <c r="K271" i="17"/>
  <c r="L271" i="17"/>
  <c r="M271" i="17"/>
  <c r="N271" i="17"/>
  <c r="O271" i="17"/>
  <c r="P271" i="17"/>
  <c r="Q271" i="17"/>
  <c r="R271" i="17"/>
  <c r="S271" i="17"/>
  <c r="T271" i="17"/>
  <c r="U271" i="17"/>
  <c r="V271" i="17"/>
  <c r="W271" i="17"/>
  <c r="X271" i="17"/>
  <c r="Y271" i="17"/>
  <c r="Z271" i="17"/>
  <c r="AA271" i="17"/>
  <c r="AB271" i="17"/>
  <c r="AC271" i="17"/>
  <c r="AD271" i="17"/>
  <c r="AE271" i="17"/>
  <c r="AF271" i="17"/>
  <c r="AG271" i="17"/>
  <c r="AH271" i="17"/>
  <c r="AI271" i="17"/>
  <c r="AJ271" i="17"/>
  <c r="AK271" i="17"/>
  <c r="AL271" i="17"/>
  <c r="AM271" i="17"/>
  <c r="AN271" i="17"/>
  <c r="AO271" i="17"/>
  <c r="AP271" i="17"/>
  <c r="AQ271" i="17"/>
  <c r="AR271" i="17"/>
  <c r="AS271" i="17"/>
  <c r="AT271" i="17"/>
  <c r="AU271" i="17"/>
  <c r="AV271" i="17"/>
  <c r="AW271" i="17"/>
  <c r="AX271" i="17"/>
  <c r="AY271" i="17"/>
  <c r="AZ271" i="17"/>
  <c r="BA271" i="17"/>
  <c r="BB271" i="17"/>
  <c r="BC271" i="17"/>
  <c r="BD271" i="17"/>
  <c r="BE271" i="17"/>
  <c r="BF271" i="17"/>
  <c r="BG271" i="17"/>
  <c r="BH271" i="17"/>
  <c r="BI271" i="17"/>
  <c r="BJ271" i="17"/>
  <c r="BK271" i="17"/>
  <c r="BL271" i="17"/>
  <c r="BM271" i="17"/>
  <c r="BN271" i="17"/>
  <c r="BO271" i="17"/>
  <c r="BP271" i="17"/>
  <c r="BQ271" i="17"/>
  <c r="BR271" i="17"/>
  <c r="BS271" i="17"/>
  <c r="BT271" i="17"/>
  <c r="BU271" i="17"/>
  <c r="BV271" i="17"/>
  <c r="BW271" i="17"/>
  <c r="BX271" i="17"/>
  <c r="BY271" i="17"/>
  <c r="BZ271" i="17"/>
  <c r="CA271" i="17"/>
  <c r="CB271" i="17"/>
  <c r="CC271" i="17"/>
  <c r="CD271" i="17"/>
  <c r="CE271" i="17"/>
  <c r="CF271" i="17"/>
  <c r="CG271" i="17"/>
  <c r="CH271" i="17"/>
  <c r="CI271" i="17"/>
  <c r="CJ271" i="17"/>
  <c r="CK271" i="17"/>
  <c r="CL271" i="17"/>
  <c r="CM271" i="17"/>
  <c r="CN271" i="17"/>
  <c r="CO271" i="17"/>
  <c r="CP271" i="17"/>
  <c r="CQ271" i="17"/>
  <c r="CR271" i="17"/>
  <c r="CS271" i="17"/>
  <c r="CT271" i="17"/>
  <c r="CU271" i="17"/>
  <c r="CV271" i="17"/>
  <c r="CW271" i="17"/>
  <c r="CX271" i="17"/>
  <c r="CY271" i="17"/>
  <c r="CZ271" i="17"/>
  <c r="DA271" i="17"/>
  <c r="DB271" i="17"/>
  <c r="DC271" i="17"/>
  <c r="DD271" i="17"/>
  <c r="DE271" i="17"/>
  <c r="DF271" i="17"/>
  <c r="DG271" i="17"/>
  <c r="DH271" i="17"/>
  <c r="DI271" i="17"/>
  <c r="DJ271" i="17"/>
  <c r="DK271" i="17"/>
  <c r="DL271" i="17"/>
  <c r="DM271" i="17"/>
  <c r="DN271" i="17"/>
  <c r="DO271" i="17"/>
  <c r="DP271" i="17"/>
  <c r="DQ271" i="17"/>
  <c r="DR271" i="17"/>
  <c r="DS271" i="17"/>
  <c r="DT271" i="17"/>
  <c r="DU271" i="17"/>
  <c r="DV271" i="17"/>
  <c r="DW271" i="17"/>
  <c r="DX271" i="17"/>
  <c r="DY271" i="17"/>
  <c r="DZ271" i="17"/>
  <c r="EA271" i="17"/>
  <c r="EB271" i="17"/>
  <c r="EC271" i="17"/>
  <c r="ED271" i="17"/>
  <c r="EE271" i="17"/>
  <c r="EF271" i="17"/>
  <c r="EG271" i="17"/>
  <c r="EH271" i="17"/>
  <c r="EI271" i="17"/>
  <c r="EJ271" i="17"/>
  <c r="EK271" i="17"/>
  <c r="EL271" i="17"/>
  <c r="EM271" i="17"/>
  <c r="EN271" i="17"/>
  <c r="EO271" i="17"/>
  <c r="EP271" i="17"/>
  <c r="EQ271" i="17"/>
  <c r="ER271" i="17"/>
  <c r="ES271" i="17"/>
  <c r="ET271" i="17"/>
  <c r="EU271" i="17"/>
  <c r="EV271" i="17"/>
  <c r="EW271" i="17"/>
  <c r="EX271" i="17"/>
  <c r="EY271" i="17"/>
  <c r="EZ271" i="17"/>
  <c r="FA271" i="17"/>
  <c r="FB271" i="17"/>
  <c r="FC271" i="17"/>
  <c r="FD271" i="17"/>
  <c r="FE271" i="17"/>
  <c r="FF271" i="17"/>
  <c r="FG271" i="17"/>
  <c r="FH271" i="17"/>
  <c r="FI271" i="17"/>
  <c r="FJ271" i="17"/>
  <c r="FK271" i="17"/>
  <c r="FL271" i="17"/>
  <c r="FM271" i="17"/>
  <c r="FN271" i="17"/>
  <c r="FO271" i="17"/>
  <c r="FP271" i="17"/>
  <c r="FQ271" i="17"/>
  <c r="FR271" i="17"/>
  <c r="FS271" i="17"/>
  <c r="FT271" i="17"/>
  <c r="FU271" i="17"/>
  <c r="FV271" i="17"/>
  <c r="FW271" i="17"/>
  <c r="FX271" i="17"/>
  <c r="FY271" i="17"/>
  <c r="FZ271" i="17"/>
  <c r="GA271" i="17"/>
  <c r="GB271" i="17"/>
  <c r="GC271" i="17"/>
  <c r="GD271" i="17"/>
  <c r="GE271" i="17"/>
  <c r="GF271" i="17"/>
  <c r="GG271" i="17"/>
  <c r="GH271" i="17"/>
  <c r="GI271" i="17"/>
  <c r="GJ271" i="17"/>
  <c r="GK271" i="17"/>
  <c r="GL271" i="17"/>
  <c r="GM271" i="17"/>
  <c r="GN271" i="17"/>
  <c r="GO271" i="17"/>
  <c r="GP271" i="17"/>
  <c r="GQ271" i="17"/>
  <c r="GR271" i="17"/>
  <c r="GS271" i="17"/>
  <c r="GT271" i="17"/>
  <c r="GU271" i="17"/>
  <c r="GV271" i="17"/>
  <c r="GW271" i="17"/>
  <c r="GX271" i="17"/>
  <c r="GY271" i="17"/>
  <c r="GZ271" i="17"/>
  <c r="HA271" i="17"/>
  <c r="HB271" i="17"/>
  <c r="HC271" i="17"/>
  <c r="HD271" i="17"/>
  <c r="HE271" i="17"/>
  <c r="HF271" i="17"/>
  <c r="HG271" i="17"/>
  <c r="HH271" i="17"/>
  <c r="HI271" i="17"/>
  <c r="HJ271" i="17"/>
  <c r="HK271" i="17"/>
  <c r="HL271" i="17"/>
  <c r="HM271" i="17"/>
  <c r="HN271" i="17"/>
  <c r="HO271" i="17"/>
  <c r="HP271" i="17"/>
  <c r="HQ271" i="17"/>
  <c r="HR271" i="17"/>
  <c r="HS271" i="17"/>
  <c r="HT271" i="17"/>
  <c r="HU271" i="17"/>
  <c r="HV271" i="17"/>
  <c r="HW271" i="17"/>
  <c r="HX271" i="17"/>
  <c r="HY271" i="17"/>
  <c r="HZ271" i="17"/>
  <c r="IA271" i="17"/>
  <c r="IB271" i="17"/>
  <c r="IC271" i="17"/>
  <c r="ID271" i="17"/>
  <c r="IE271" i="17"/>
  <c r="IF271" i="17"/>
  <c r="IG271" i="17"/>
  <c r="IH271" i="17"/>
  <c r="II271" i="17"/>
  <c r="IJ271" i="17"/>
  <c r="IK271" i="17"/>
  <c r="IL271" i="17"/>
  <c r="IM271" i="17"/>
  <c r="IN271" i="17"/>
  <c r="IO271" i="17"/>
  <c r="IP271" i="17"/>
  <c r="IQ271" i="17"/>
  <c r="IR271" i="17"/>
  <c r="IS271" i="17"/>
  <c r="IT271" i="17"/>
  <c r="IU271" i="17"/>
  <c r="IV271" i="17"/>
  <c r="A270" i="17"/>
  <c r="B270" i="17"/>
  <c r="C270" i="17"/>
  <c r="D270" i="17"/>
  <c r="E270" i="17"/>
  <c r="F270" i="17"/>
  <c r="G270" i="17"/>
  <c r="H270" i="17"/>
  <c r="I270" i="17"/>
  <c r="J270" i="17"/>
  <c r="K270" i="17"/>
  <c r="L270" i="17"/>
  <c r="M270" i="17"/>
  <c r="N270" i="17"/>
  <c r="O270" i="17"/>
  <c r="P270" i="17"/>
  <c r="Q270" i="17"/>
  <c r="R270" i="17"/>
  <c r="S270" i="17"/>
  <c r="T270" i="17"/>
  <c r="U270" i="17"/>
  <c r="V270" i="17"/>
  <c r="W270" i="17"/>
  <c r="X270" i="17"/>
  <c r="Y270" i="17"/>
  <c r="Z270" i="17"/>
  <c r="AA270" i="17"/>
  <c r="AB270" i="17"/>
  <c r="AC270" i="17"/>
  <c r="AD270" i="17"/>
  <c r="AE270" i="17"/>
  <c r="AF270" i="17"/>
  <c r="AG270" i="17"/>
  <c r="AH270" i="17"/>
  <c r="AI270" i="17"/>
  <c r="AJ270" i="17"/>
  <c r="AK270" i="17"/>
  <c r="AL270" i="17"/>
  <c r="AM270" i="17"/>
  <c r="AN270" i="17"/>
  <c r="AO270" i="17"/>
  <c r="AP270" i="17"/>
  <c r="AQ270" i="17"/>
  <c r="AR270" i="17"/>
  <c r="AS270" i="17"/>
  <c r="AT270" i="17"/>
  <c r="AU270" i="17"/>
  <c r="AV270" i="17"/>
  <c r="AW270" i="17"/>
  <c r="AX270" i="17"/>
  <c r="AY270" i="17"/>
  <c r="AZ270" i="17"/>
  <c r="BA270" i="17"/>
  <c r="BB270" i="17"/>
  <c r="BC270" i="17"/>
  <c r="BD270" i="17"/>
  <c r="BE270" i="17"/>
  <c r="BF270" i="17"/>
  <c r="BG270" i="17"/>
  <c r="BH270" i="17"/>
  <c r="BI270" i="17"/>
  <c r="BJ270" i="17"/>
  <c r="BK270" i="17"/>
  <c r="BL270" i="17"/>
  <c r="BM270" i="17"/>
  <c r="BN270" i="17"/>
  <c r="BO270" i="17"/>
  <c r="BP270" i="17"/>
  <c r="BQ270" i="17"/>
  <c r="BR270" i="17"/>
  <c r="BS270" i="17"/>
  <c r="BT270" i="17"/>
  <c r="BU270" i="17"/>
  <c r="BV270" i="17"/>
  <c r="BW270" i="17"/>
  <c r="BX270" i="17"/>
  <c r="BY270" i="17"/>
  <c r="BZ270" i="17"/>
  <c r="CA270" i="17"/>
  <c r="CB270" i="17"/>
  <c r="CC270" i="17"/>
  <c r="CD270" i="17"/>
  <c r="CE270" i="17"/>
  <c r="CF270" i="17"/>
  <c r="CG270" i="17"/>
  <c r="CH270" i="17"/>
  <c r="CI270" i="17"/>
  <c r="CJ270" i="17"/>
  <c r="CK270" i="17"/>
  <c r="CL270" i="17"/>
  <c r="CM270" i="17"/>
  <c r="CN270" i="17"/>
  <c r="CO270" i="17"/>
  <c r="CP270" i="17"/>
  <c r="CQ270" i="17"/>
  <c r="CR270" i="17"/>
  <c r="CS270" i="17"/>
  <c r="CT270" i="17"/>
  <c r="CU270" i="17"/>
  <c r="CV270" i="17"/>
  <c r="CW270" i="17"/>
  <c r="CX270" i="17"/>
  <c r="CY270" i="17"/>
  <c r="CZ270" i="17"/>
  <c r="DA270" i="17"/>
  <c r="DB270" i="17"/>
  <c r="DC270" i="17"/>
  <c r="DD270" i="17"/>
  <c r="DE270" i="17"/>
  <c r="DF270" i="17"/>
  <c r="DG270" i="17"/>
  <c r="DH270" i="17"/>
  <c r="DI270" i="17"/>
  <c r="DJ270" i="17"/>
  <c r="DK270" i="17"/>
  <c r="DL270" i="17"/>
  <c r="DM270" i="17"/>
  <c r="DN270" i="17"/>
  <c r="DO270" i="17"/>
  <c r="DP270" i="17"/>
  <c r="DQ270" i="17"/>
  <c r="DR270" i="17"/>
  <c r="DS270" i="17"/>
  <c r="DT270" i="17"/>
  <c r="DU270" i="17"/>
  <c r="DV270" i="17"/>
  <c r="DW270" i="17"/>
  <c r="DX270" i="17"/>
  <c r="DY270" i="17"/>
  <c r="DZ270" i="17"/>
  <c r="EA270" i="17"/>
  <c r="EB270" i="17"/>
  <c r="EC270" i="17"/>
  <c r="ED270" i="17"/>
  <c r="EE270" i="17"/>
  <c r="EF270" i="17"/>
  <c r="EG270" i="17"/>
  <c r="EH270" i="17"/>
  <c r="EI270" i="17"/>
  <c r="EJ270" i="17"/>
  <c r="EK270" i="17"/>
  <c r="EL270" i="17"/>
  <c r="EM270" i="17"/>
  <c r="EN270" i="17"/>
  <c r="EO270" i="17"/>
  <c r="EP270" i="17"/>
  <c r="EQ270" i="17"/>
  <c r="ER270" i="17"/>
  <c r="ES270" i="17"/>
  <c r="ET270" i="17"/>
  <c r="EU270" i="17"/>
  <c r="EV270" i="17"/>
  <c r="EW270" i="17"/>
  <c r="EX270" i="17"/>
  <c r="EY270" i="17"/>
  <c r="EZ270" i="17"/>
  <c r="FA270" i="17"/>
  <c r="FB270" i="17"/>
  <c r="FC270" i="17"/>
  <c r="FD270" i="17"/>
  <c r="FE270" i="17"/>
  <c r="FF270" i="17"/>
  <c r="FG270" i="17"/>
  <c r="FH270" i="17"/>
  <c r="FI270" i="17"/>
  <c r="FJ270" i="17"/>
  <c r="FK270" i="17"/>
  <c r="FL270" i="17"/>
  <c r="FM270" i="17"/>
  <c r="FN270" i="17"/>
  <c r="FO270" i="17"/>
  <c r="FP270" i="17"/>
  <c r="FQ270" i="17"/>
  <c r="FR270" i="17"/>
  <c r="FS270" i="17"/>
  <c r="FT270" i="17"/>
  <c r="FU270" i="17"/>
  <c r="FV270" i="17"/>
  <c r="FW270" i="17"/>
  <c r="FX270" i="17"/>
  <c r="FY270" i="17"/>
  <c r="FZ270" i="17"/>
  <c r="GA270" i="17"/>
  <c r="GB270" i="17"/>
  <c r="GC270" i="17"/>
  <c r="GD270" i="17"/>
  <c r="GE270" i="17"/>
  <c r="GF270" i="17"/>
  <c r="GG270" i="17"/>
  <c r="GH270" i="17"/>
  <c r="GI270" i="17"/>
  <c r="GJ270" i="17"/>
  <c r="GK270" i="17"/>
  <c r="GL270" i="17"/>
  <c r="GM270" i="17"/>
  <c r="GN270" i="17"/>
  <c r="GO270" i="17"/>
  <c r="GP270" i="17"/>
  <c r="GQ270" i="17"/>
  <c r="GR270" i="17"/>
  <c r="GS270" i="17"/>
  <c r="GT270" i="17"/>
  <c r="GU270" i="17"/>
  <c r="GV270" i="17"/>
  <c r="GW270" i="17"/>
  <c r="GX270" i="17"/>
  <c r="GY270" i="17"/>
  <c r="GZ270" i="17"/>
  <c r="HA270" i="17"/>
  <c r="HB270" i="17"/>
  <c r="HC270" i="17"/>
  <c r="HD270" i="17"/>
  <c r="HE270" i="17"/>
  <c r="HF270" i="17"/>
  <c r="HG270" i="17"/>
  <c r="HH270" i="17"/>
  <c r="HI270" i="17"/>
  <c r="HJ270" i="17"/>
  <c r="HK270" i="17"/>
  <c r="HL270" i="17"/>
  <c r="HM270" i="17"/>
  <c r="HN270" i="17"/>
  <c r="HO270" i="17"/>
  <c r="HP270" i="17"/>
  <c r="HQ270" i="17"/>
  <c r="HR270" i="17"/>
  <c r="HS270" i="17"/>
  <c r="HT270" i="17"/>
  <c r="HU270" i="17"/>
  <c r="HV270" i="17"/>
  <c r="HW270" i="17"/>
  <c r="HX270" i="17"/>
  <c r="HY270" i="17"/>
  <c r="HZ270" i="17"/>
  <c r="IA270" i="17"/>
  <c r="IB270" i="17"/>
  <c r="IC270" i="17"/>
  <c r="ID270" i="17"/>
  <c r="IE270" i="17"/>
  <c r="IF270" i="17"/>
  <c r="IG270" i="17"/>
  <c r="IH270" i="17"/>
  <c r="II270" i="17"/>
  <c r="IJ270" i="17"/>
  <c r="IK270" i="17"/>
  <c r="IL270" i="17"/>
  <c r="IM270" i="17"/>
  <c r="IN270" i="17"/>
  <c r="IO270" i="17"/>
  <c r="IP270" i="17"/>
  <c r="IQ270" i="17"/>
  <c r="IR270" i="17"/>
  <c r="IS270" i="17"/>
  <c r="IT270" i="17"/>
  <c r="IU270" i="17"/>
  <c r="IV270" i="17"/>
  <c r="A269" i="17"/>
  <c r="B269" i="17"/>
  <c r="C269" i="17"/>
  <c r="D269" i="17"/>
  <c r="E269" i="17"/>
  <c r="F269" i="17"/>
  <c r="G269" i="17"/>
  <c r="H269" i="17"/>
  <c r="I269" i="17"/>
  <c r="J269" i="17"/>
  <c r="K269" i="17"/>
  <c r="L269" i="17"/>
  <c r="M269" i="17"/>
  <c r="N269" i="17"/>
  <c r="O269" i="17"/>
  <c r="P269" i="17"/>
  <c r="Q269" i="17"/>
  <c r="R269" i="17"/>
  <c r="S269" i="17"/>
  <c r="T269" i="17"/>
  <c r="U269" i="17"/>
  <c r="V269" i="17"/>
  <c r="W269" i="17"/>
  <c r="X269" i="17"/>
  <c r="Y269" i="17"/>
  <c r="Z269" i="17"/>
  <c r="AA269" i="17"/>
  <c r="AB269" i="17"/>
  <c r="AC269" i="17"/>
  <c r="AD269" i="17"/>
  <c r="AE269" i="17"/>
  <c r="AF269" i="17"/>
  <c r="AG269" i="17"/>
  <c r="AH269" i="17"/>
  <c r="AI269" i="17"/>
  <c r="AJ269" i="17"/>
  <c r="AK269" i="17"/>
  <c r="AL269" i="17"/>
  <c r="AM269" i="17"/>
  <c r="AN269" i="17"/>
  <c r="AO269" i="17"/>
  <c r="AP269" i="17"/>
  <c r="AQ269" i="17"/>
  <c r="AR269" i="17"/>
  <c r="AS269" i="17"/>
  <c r="AT269" i="17"/>
  <c r="AU269" i="17"/>
  <c r="AV269" i="17"/>
  <c r="AW269" i="17"/>
  <c r="AX269" i="17"/>
  <c r="AY269" i="17"/>
  <c r="AZ269" i="17"/>
  <c r="BA269" i="17"/>
  <c r="BB269" i="17"/>
  <c r="BC269" i="17"/>
  <c r="BD269" i="17"/>
  <c r="BE269" i="17"/>
  <c r="BF269" i="17"/>
  <c r="BG269" i="17"/>
  <c r="BH269" i="17"/>
  <c r="BI269" i="17"/>
  <c r="BJ269" i="17"/>
  <c r="BK269" i="17"/>
  <c r="BL269" i="17"/>
  <c r="BM269" i="17"/>
  <c r="BN269" i="17"/>
  <c r="BO269" i="17"/>
  <c r="BP269" i="17"/>
  <c r="BQ269" i="17"/>
  <c r="BR269" i="17"/>
  <c r="BS269" i="17"/>
  <c r="BT269" i="17"/>
  <c r="BU269" i="17"/>
  <c r="BV269" i="17"/>
  <c r="BW269" i="17"/>
  <c r="BX269" i="17"/>
  <c r="BY269" i="17"/>
  <c r="BZ269" i="17"/>
  <c r="CA269" i="17"/>
  <c r="CB269" i="17"/>
  <c r="CC269" i="17"/>
  <c r="CD269" i="17"/>
  <c r="CE269" i="17"/>
  <c r="CF269" i="17"/>
  <c r="CG269" i="17"/>
  <c r="CH269" i="17"/>
  <c r="CI269" i="17"/>
  <c r="CJ269" i="17"/>
  <c r="CK269" i="17"/>
  <c r="CL269" i="17"/>
  <c r="CM269" i="17"/>
  <c r="CN269" i="17"/>
  <c r="CO269" i="17"/>
  <c r="CP269" i="17"/>
  <c r="CQ269" i="17"/>
  <c r="CR269" i="17"/>
  <c r="CS269" i="17"/>
  <c r="CT269" i="17"/>
  <c r="CU269" i="17"/>
  <c r="CV269" i="17"/>
  <c r="CW269" i="17"/>
  <c r="CX269" i="17"/>
  <c r="CY269" i="17"/>
  <c r="CZ269" i="17"/>
  <c r="DA269" i="17"/>
  <c r="DB269" i="17"/>
  <c r="DC269" i="17"/>
  <c r="DD269" i="17"/>
  <c r="DE269" i="17"/>
  <c r="DF269" i="17"/>
  <c r="DG269" i="17"/>
  <c r="DH269" i="17"/>
  <c r="DI269" i="17"/>
  <c r="DJ269" i="17"/>
  <c r="DK269" i="17"/>
  <c r="DL269" i="17"/>
  <c r="DM269" i="17"/>
  <c r="DN269" i="17"/>
  <c r="DO269" i="17"/>
  <c r="DP269" i="17"/>
  <c r="DQ269" i="17"/>
  <c r="DR269" i="17"/>
  <c r="DS269" i="17"/>
  <c r="DT269" i="17"/>
  <c r="DU269" i="17"/>
  <c r="DV269" i="17"/>
  <c r="DW269" i="17"/>
  <c r="DX269" i="17"/>
  <c r="DY269" i="17"/>
  <c r="DZ269" i="17"/>
  <c r="EA269" i="17"/>
  <c r="EB269" i="17"/>
  <c r="EC269" i="17"/>
  <c r="ED269" i="17"/>
  <c r="EE269" i="17"/>
  <c r="EF269" i="17"/>
  <c r="EG269" i="17"/>
  <c r="EH269" i="17"/>
  <c r="EI269" i="17"/>
  <c r="EJ269" i="17"/>
  <c r="EK269" i="17"/>
  <c r="EL269" i="17"/>
  <c r="EM269" i="17"/>
  <c r="EN269" i="17"/>
  <c r="EO269" i="17"/>
  <c r="EP269" i="17"/>
  <c r="EQ269" i="17"/>
  <c r="ER269" i="17"/>
  <c r="ES269" i="17"/>
  <c r="ET269" i="17"/>
  <c r="EU269" i="17"/>
  <c r="EV269" i="17"/>
  <c r="EW269" i="17"/>
  <c r="EX269" i="17"/>
  <c r="EY269" i="17"/>
  <c r="EZ269" i="17"/>
  <c r="FA269" i="17"/>
  <c r="FB269" i="17"/>
  <c r="FC269" i="17"/>
  <c r="FD269" i="17"/>
  <c r="FE269" i="17"/>
  <c r="FF269" i="17"/>
  <c r="FG269" i="17"/>
  <c r="FH269" i="17"/>
  <c r="FI269" i="17"/>
  <c r="FJ269" i="17"/>
  <c r="FK269" i="17"/>
  <c r="FL269" i="17"/>
  <c r="FM269" i="17"/>
  <c r="FN269" i="17"/>
  <c r="FO269" i="17"/>
  <c r="FP269" i="17"/>
  <c r="FQ269" i="17"/>
  <c r="FR269" i="17"/>
  <c r="FS269" i="17"/>
  <c r="FT269" i="17"/>
  <c r="FU269" i="17"/>
  <c r="FV269" i="17"/>
  <c r="FW269" i="17"/>
  <c r="FX269" i="17"/>
  <c r="FY269" i="17"/>
  <c r="FZ269" i="17"/>
  <c r="GA269" i="17"/>
  <c r="GB269" i="17"/>
  <c r="GC269" i="17"/>
  <c r="GD269" i="17"/>
  <c r="GE269" i="17"/>
  <c r="GF269" i="17"/>
  <c r="GG269" i="17"/>
  <c r="GH269" i="17"/>
  <c r="GI269" i="17"/>
  <c r="GJ269" i="17"/>
  <c r="GK269" i="17"/>
  <c r="GL269" i="17"/>
  <c r="GM269" i="17"/>
  <c r="GN269" i="17"/>
  <c r="GO269" i="17"/>
  <c r="GP269" i="17"/>
  <c r="GQ269" i="17"/>
  <c r="GR269" i="17"/>
  <c r="GS269" i="17"/>
  <c r="GT269" i="17"/>
  <c r="GU269" i="17"/>
  <c r="GV269" i="17"/>
  <c r="GW269" i="17"/>
  <c r="GX269" i="17"/>
  <c r="GY269" i="17"/>
  <c r="GZ269" i="17"/>
  <c r="HA269" i="17"/>
  <c r="HB269" i="17"/>
  <c r="HC269" i="17"/>
  <c r="HD269" i="17"/>
  <c r="HE269" i="17"/>
  <c r="HF269" i="17"/>
  <c r="HG269" i="17"/>
  <c r="HH269" i="17"/>
  <c r="HI269" i="17"/>
  <c r="HJ269" i="17"/>
  <c r="HK269" i="17"/>
  <c r="HL269" i="17"/>
  <c r="HM269" i="17"/>
  <c r="HN269" i="17"/>
  <c r="HO269" i="17"/>
  <c r="HP269" i="17"/>
  <c r="HQ269" i="17"/>
  <c r="HR269" i="17"/>
  <c r="HS269" i="17"/>
  <c r="HT269" i="17"/>
  <c r="HU269" i="17"/>
  <c r="HV269" i="17"/>
  <c r="HW269" i="17"/>
  <c r="HX269" i="17"/>
  <c r="HY269" i="17"/>
  <c r="HZ269" i="17"/>
  <c r="IA269" i="17"/>
  <c r="IB269" i="17"/>
  <c r="IC269" i="17"/>
  <c r="ID269" i="17"/>
  <c r="IE269" i="17"/>
  <c r="IF269" i="17"/>
  <c r="IG269" i="17"/>
  <c r="IH269" i="17"/>
  <c r="II269" i="17"/>
  <c r="IJ269" i="17"/>
  <c r="IK269" i="17"/>
  <c r="IL269" i="17"/>
  <c r="IM269" i="17"/>
  <c r="IN269" i="17"/>
  <c r="IO269" i="17"/>
  <c r="IP269" i="17"/>
  <c r="IQ269" i="17"/>
  <c r="IR269" i="17"/>
  <c r="IS269" i="17"/>
  <c r="IT269" i="17"/>
  <c r="IU269" i="17"/>
  <c r="IV269" i="17"/>
  <c r="A268" i="17"/>
  <c r="B268" i="17"/>
  <c r="C268" i="17"/>
  <c r="D268" i="17"/>
  <c r="E268" i="17"/>
  <c r="F268" i="17"/>
  <c r="G268" i="17"/>
  <c r="H268" i="17"/>
  <c r="I268" i="17"/>
  <c r="J268" i="17"/>
  <c r="K268" i="17"/>
  <c r="L268" i="17"/>
  <c r="M268" i="17"/>
  <c r="N268" i="17"/>
  <c r="O268" i="17"/>
  <c r="P268" i="17"/>
  <c r="Q268" i="17"/>
  <c r="R268" i="17"/>
  <c r="S268" i="17"/>
  <c r="T268" i="17"/>
  <c r="U268" i="17"/>
  <c r="V268" i="17"/>
  <c r="W268" i="17"/>
  <c r="X268" i="17"/>
  <c r="Y268" i="17"/>
  <c r="Z268" i="17"/>
  <c r="AA268" i="17"/>
  <c r="AB268" i="17"/>
  <c r="AC268" i="17"/>
  <c r="AD268" i="17"/>
  <c r="AE268" i="17"/>
  <c r="AF268" i="17"/>
  <c r="AG268" i="17"/>
  <c r="AH268" i="17"/>
  <c r="AI268" i="17"/>
  <c r="AJ268" i="17"/>
  <c r="AK268" i="17"/>
  <c r="AL268" i="17"/>
  <c r="AM268" i="17"/>
  <c r="AN268" i="17"/>
  <c r="AO268" i="17"/>
  <c r="AP268" i="17"/>
  <c r="AQ268" i="17"/>
  <c r="AR268" i="17"/>
  <c r="AS268" i="17"/>
  <c r="AT268" i="17"/>
  <c r="AU268" i="17"/>
  <c r="AV268" i="17"/>
  <c r="AW268" i="17"/>
  <c r="AX268" i="17"/>
  <c r="AY268" i="17"/>
  <c r="AZ268" i="17"/>
  <c r="BA268" i="17"/>
  <c r="BB268" i="17"/>
  <c r="BC268" i="17"/>
  <c r="BD268" i="17"/>
  <c r="BE268" i="17"/>
  <c r="BF268" i="17"/>
  <c r="BG268" i="17"/>
  <c r="BH268" i="17"/>
  <c r="BI268" i="17"/>
  <c r="BJ268" i="17"/>
  <c r="BK268" i="17"/>
  <c r="BL268" i="17"/>
  <c r="BM268" i="17"/>
  <c r="BN268" i="17"/>
  <c r="BO268" i="17"/>
  <c r="BP268" i="17"/>
  <c r="BQ268" i="17"/>
  <c r="BR268" i="17"/>
  <c r="BS268" i="17"/>
  <c r="BT268" i="17"/>
  <c r="BU268" i="17"/>
  <c r="BV268" i="17"/>
  <c r="BW268" i="17"/>
  <c r="BX268" i="17"/>
  <c r="BY268" i="17"/>
  <c r="BZ268" i="17"/>
  <c r="CA268" i="17"/>
  <c r="CB268" i="17"/>
  <c r="CC268" i="17"/>
  <c r="CD268" i="17"/>
  <c r="CE268" i="17"/>
  <c r="CF268" i="17"/>
  <c r="CG268" i="17"/>
  <c r="CH268" i="17"/>
  <c r="CI268" i="17"/>
  <c r="CJ268" i="17"/>
  <c r="CK268" i="17"/>
  <c r="CL268" i="17"/>
  <c r="CM268" i="17"/>
  <c r="CN268" i="17"/>
  <c r="CO268" i="17"/>
  <c r="CP268" i="17"/>
  <c r="CQ268" i="17"/>
  <c r="CR268" i="17"/>
  <c r="CS268" i="17"/>
  <c r="CT268" i="17"/>
  <c r="CU268" i="17"/>
  <c r="CV268" i="17"/>
  <c r="CW268" i="17"/>
  <c r="CX268" i="17"/>
  <c r="CY268" i="17"/>
  <c r="CZ268" i="17"/>
  <c r="DA268" i="17"/>
  <c r="DB268" i="17"/>
  <c r="DC268" i="17"/>
  <c r="DD268" i="17"/>
  <c r="DE268" i="17"/>
  <c r="DF268" i="17"/>
  <c r="DG268" i="17"/>
  <c r="DH268" i="17"/>
  <c r="DI268" i="17"/>
  <c r="DJ268" i="17"/>
  <c r="DK268" i="17"/>
  <c r="DL268" i="17"/>
  <c r="DM268" i="17"/>
  <c r="DN268" i="17"/>
  <c r="DO268" i="17"/>
  <c r="DP268" i="17"/>
  <c r="DQ268" i="17"/>
  <c r="DR268" i="17"/>
  <c r="DS268" i="17"/>
  <c r="DT268" i="17"/>
  <c r="DU268" i="17"/>
  <c r="DV268" i="17"/>
  <c r="DW268" i="17"/>
  <c r="DX268" i="17"/>
  <c r="DY268" i="17"/>
  <c r="DZ268" i="17"/>
  <c r="EA268" i="17"/>
  <c r="EB268" i="17"/>
  <c r="EC268" i="17"/>
  <c r="ED268" i="17"/>
  <c r="EE268" i="17"/>
  <c r="EF268" i="17"/>
  <c r="EG268" i="17"/>
  <c r="EH268" i="17"/>
  <c r="EI268" i="17"/>
  <c r="EJ268" i="17"/>
  <c r="EK268" i="17"/>
  <c r="EL268" i="17"/>
  <c r="EM268" i="17"/>
  <c r="EN268" i="17"/>
  <c r="EO268" i="17"/>
  <c r="EP268" i="17"/>
  <c r="EQ268" i="17"/>
  <c r="ER268" i="17"/>
  <c r="ES268" i="17"/>
  <c r="ET268" i="17"/>
  <c r="EU268" i="17"/>
  <c r="EV268" i="17"/>
  <c r="EW268" i="17"/>
  <c r="EX268" i="17"/>
  <c r="EY268" i="17"/>
  <c r="EZ268" i="17"/>
  <c r="FA268" i="17"/>
  <c r="FB268" i="17"/>
  <c r="FC268" i="17"/>
  <c r="FD268" i="17"/>
  <c r="FE268" i="17"/>
  <c r="FF268" i="17"/>
  <c r="FG268" i="17"/>
  <c r="FH268" i="17"/>
  <c r="FI268" i="17"/>
  <c r="FJ268" i="17"/>
  <c r="FK268" i="17"/>
  <c r="FL268" i="17"/>
  <c r="FM268" i="17"/>
  <c r="FN268" i="17"/>
  <c r="FO268" i="17"/>
  <c r="FP268" i="17"/>
  <c r="FQ268" i="17"/>
  <c r="FR268" i="17"/>
  <c r="FS268" i="17"/>
  <c r="FT268" i="17"/>
  <c r="FU268" i="17"/>
  <c r="FV268" i="17"/>
  <c r="FW268" i="17"/>
  <c r="FX268" i="17"/>
  <c r="FY268" i="17"/>
  <c r="FZ268" i="17"/>
  <c r="GA268" i="17"/>
  <c r="GB268" i="17"/>
  <c r="GC268" i="17"/>
  <c r="GD268" i="17"/>
  <c r="GE268" i="17"/>
  <c r="GF268" i="17"/>
  <c r="GG268" i="17"/>
  <c r="GH268" i="17"/>
  <c r="GI268" i="17"/>
  <c r="GJ268" i="17"/>
  <c r="GK268" i="17"/>
  <c r="GL268" i="17"/>
  <c r="GM268" i="17"/>
  <c r="GN268" i="17"/>
  <c r="GO268" i="17"/>
  <c r="GP268" i="17"/>
  <c r="GQ268" i="17"/>
  <c r="GR268" i="17"/>
  <c r="GS268" i="17"/>
  <c r="GT268" i="17"/>
  <c r="GU268" i="17"/>
  <c r="GV268" i="17"/>
  <c r="GW268" i="17"/>
  <c r="GX268" i="17"/>
  <c r="GY268" i="17"/>
  <c r="GZ268" i="17"/>
  <c r="HA268" i="17"/>
  <c r="HB268" i="17"/>
  <c r="HC268" i="17"/>
  <c r="HD268" i="17"/>
  <c r="HE268" i="17"/>
  <c r="HF268" i="17"/>
  <c r="HG268" i="17"/>
  <c r="HH268" i="17"/>
  <c r="HI268" i="17"/>
  <c r="HJ268" i="17"/>
  <c r="HK268" i="17"/>
  <c r="HL268" i="17"/>
  <c r="HM268" i="17"/>
  <c r="HN268" i="17"/>
  <c r="HO268" i="17"/>
  <c r="HP268" i="17"/>
  <c r="HQ268" i="17"/>
  <c r="HR268" i="17"/>
  <c r="HS268" i="17"/>
  <c r="HT268" i="17"/>
  <c r="HU268" i="17"/>
  <c r="HV268" i="17"/>
  <c r="HW268" i="17"/>
  <c r="HX268" i="17"/>
  <c r="HY268" i="17"/>
  <c r="HZ268" i="17"/>
  <c r="IA268" i="17"/>
  <c r="IB268" i="17"/>
  <c r="IC268" i="17"/>
  <c r="ID268" i="17"/>
  <c r="IE268" i="17"/>
  <c r="IF268" i="17"/>
  <c r="IG268" i="17"/>
  <c r="IH268" i="17"/>
  <c r="II268" i="17"/>
  <c r="IJ268" i="17"/>
  <c r="IK268" i="17"/>
  <c r="IL268" i="17"/>
  <c r="IM268" i="17"/>
  <c r="IN268" i="17"/>
  <c r="IO268" i="17"/>
  <c r="IP268" i="17"/>
  <c r="IQ268" i="17"/>
  <c r="IR268" i="17"/>
  <c r="IS268" i="17"/>
  <c r="IT268" i="17"/>
  <c r="IU268" i="17"/>
  <c r="IV268" i="17"/>
  <c r="A267" i="17"/>
  <c r="B267" i="17"/>
  <c r="C267" i="17"/>
  <c r="D267" i="17"/>
  <c r="E267" i="17"/>
  <c r="F267" i="17"/>
  <c r="G267" i="17"/>
  <c r="H267" i="17"/>
  <c r="I267" i="17"/>
  <c r="J267" i="17"/>
  <c r="K267" i="17"/>
  <c r="L267" i="17"/>
  <c r="M267" i="17"/>
  <c r="N267" i="17"/>
  <c r="O267" i="17"/>
  <c r="P267" i="17"/>
  <c r="Q267" i="17"/>
  <c r="R267" i="17"/>
  <c r="S267" i="17"/>
  <c r="T267" i="17"/>
  <c r="U267" i="17"/>
  <c r="V267" i="17"/>
  <c r="W267" i="17"/>
  <c r="X267" i="17"/>
  <c r="Y267" i="17"/>
  <c r="Z267" i="17"/>
  <c r="AA267" i="17"/>
  <c r="AB267" i="17"/>
  <c r="AC267" i="17"/>
  <c r="AD267" i="17"/>
  <c r="AE267" i="17"/>
  <c r="AF267" i="17"/>
  <c r="AG267" i="17"/>
  <c r="AH267" i="17"/>
  <c r="AI267" i="17"/>
  <c r="AJ267" i="17"/>
  <c r="AK267" i="17"/>
  <c r="AL267" i="17"/>
  <c r="AM267" i="17"/>
  <c r="AN267" i="17"/>
  <c r="AO267" i="17"/>
  <c r="AP267" i="17"/>
  <c r="AQ267" i="17"/>
  <c r="AR267" i="17"/>
  <c r="AS267" i="17"/>
  <c r="AT267" i="17"/>
  <c r="AU267" i="17"/>
  <c r="AV267" i="17"/>
  <c r="AW267" i="17"/>
  <c r="AX267" i="17"/>
  <c r="AY267" i="17"/>
  <c r="AZ267" i="17"/>
  <c r="BA267" i="17"/>
  <c r="BB267" i="17"/>
  <c r="BC267" i="17"/>
  <c r="BD267" i="17"/>
  <c r="BE267" i="17"/>
  <c r="BF267" i="17"/>
  <c r="BG267" i="17"/>
  <c r="BH267" i="17"/>
  <c r="BI267" i="17"/>
  <c r="BJ267" i="17"/>
  <c r="BK267" i="17"/>
  <c r="BL267" i="17"/>
  <c r="BM267" i="17"/>
  <c r="BN267" i="17"/>
  <c r="BO267" i="17"/>
  <c r="BP267" i="17"/>
  <c r="BQ267" i="17"/>
  <c r="BR267" i="17"/>
  <c r="BS267" i="17"/>
  <c r="BT267" i="17"/>
  <c r="BU267" i="17"/>
  <c r="BV267" i="17"/>
  <c r="BW267" i="17"/>
  <c r="BX267" i="17"/>
  <c r="BY267" i="17"/>
  <c r="BZ267" i="17"/>
  <c r="CA267" i="17"/>
  <c r="CB267" i="17"/>
  <c r="CC267" i="17"/>
  <c r="CD267" i="17"/>
  <c r="CE267" i="17"/>
  <c r="CF267" i="17"/>
  <c r="CG267" i="17"/>
  <c r="CH267" i="17"/>
  <c r="CI267" i="17"/>
  <c r="CJ267" i="17"/>
  <c r="CK267" i="17"/>
  <c r="CL267" i="17"/>
  <c r="CM267" i="17"/>
  <c r="CN267" i="17"/>
  <c r="CO267" i="17"/>
  <c r="CP267" i="17"/>
  <c r="CQ267" i="17"/>
  <c r="CR267" i="17"/>
  <c r="CS267" i="17"/>
  <c r="CT267" i="17"/>
  <c r="CU267" i="17"/>
  <c r="CV267" i="17"/>
  <c r="CW267" i="17"/>
  <c r="CX267" i="17"/>
  <c r="CY267" i="17"/>
  <c r="CZ267" i="17"/>
  <c r="DA267" i="17"/>
  <c r="DB267" i="17"/>
  <c r="DC267" i="17"/>
  <c r="DD267" i="17"/>
  <c r="DE267" i="17"/>
  <c r="DF267" i="17"/>
  <c r="DG267" i="17"/>
  <c r="DH267" i="17"/>
  <c r="DI267" i="17"/>
  <c r="DJ267" i="17"/>
  <c r="DK267" i="17"/>
  <c r="DL267" i="17"/>
  <c r="DM267" i="17"/>
  <c r="DN267" i="17"/>
  <c r="DO267" i="17"/>
  <c r="DP267" i="17"/>
  <c r="DQ267" i="17"/>
  <c r="DR267" i="17"/>
  <c r="DS267" i="17"/>
  <c r="DT267" i="17"/>
  <c r="DU267" i="17"/>
  <c r="DV267" i="17"/>
  <c r="DW267" i="17"/>
  <c r="DX267" i="17"/>
  <c r="DY267" i="17"/>
  <c r="DZ267" i="17"/>
  <c r="EA267" i="17"/>
  <c r="EB267" i="17"/>
  <c r="EC267" i="17"/>
  <c r="ED267" i="17"/>
  <c r="EE267" i="17"/>
  <c r="EF267" i="17"/>
  <c r="EG267" i="17"/>
  <c r="EH267" i="17"/>
  <c r="EI267" i="17"/>
  <c r="EJ267" i="17"/>
  <c r="EK267" i="17"/>
  <c r="EL267" i="17"/>
  <c r="EM267" i="17"/>
  <c r="EN267" i="17"/>
  <c r="EO267" i="17"/>
  <c r="EP267" i="17"/>
  <c r="EQ267" i="17"/>
  <c r="ER267" i="17"/>
  <c r="ES267" i="17"/>
  <c r="ET267" i="17"/>
  <c r="EU267" i="17"/>
  <c r="EV267" i="17"/>
  <c r="EW267" i="17"/>
  <c r="EX267" i="17"/>
  <c r="EY267" i="17"/>
  <c r="EZ267" i="17"/>
  <c r="FA267" i="17"/>
  <c r="FB267" i="17"/>
  <c r="FC267" i="17"/>
  <c r="FD267" i="17"/>
  <c r="FE267" i="17"/>
  <c r="FF267" i="17"/>
  <c r="FG267" i="17"/>
  <c r="FH267" i="17"/>
  <c r="FI267" i="17"/>
  <c r="FJ267" i="17"/>
  <c r="FK267" i="17"/>
  <c r="FL267" i="17"/>
  <c r="FM267" i="17"/>
  <c r="FN267" i="17"/>
  <c r="FO267" i="17"/>
  <c r="FP267" i="17"/>
  <c r="FQ267" i="17"/>
  <c r="FR267" i="17"/>
  <c r="FS267" i="17"/>
  <c r="FT267" i="17"/>
  <c r="FU267" i="17"/>
  <c r="FV267" i="17"/>
  <c r="FW267" i="17"/>
  <c r="FX267" i="17"/>
  <c r="FY267" i="17"/>
  <c r="FZ267" i="17"/>
  <c r="GA267" i="17"/>
  <c r="GB267" i="17"/>
  <c r="GC267" i="17"/>
  <c r="GD267" i="17"/>
  <c r="GE267" i="17"/>
  <c r="GF267" i="17"/>
  <c r="GG267" i="17"/>
  <c r="GH267" i="17"/>
  <c r="GI267" i="17"/>
  <c r="GJ267" i="17"/>
  <c r="GK267" i="17"/>
  <c r="GL267" i="17"/>
  <c r="GM267" i="17"/>
  <c r="GN267" i="17"/>
  <c r="GO267" i="17"/>
  <c r="GP267" i="17"/>
  <c r="GQ267" i="17"/>
  <c r="GR267" i="17"/>
  <c r="GS267" i="17"/>
  <c r="GT267" i="17"/>
  <c r="GU267" i="17"/>
  <c r="GV267" i="17"/>
  <c r="GW267" i="17"/>
  <c r="GX267" i="17"/>
  <c r="GY267" i="17"/>
  <c r="GZ267" i="17"/>
  <c r="HA267" i="17"/>
  <c r="HB267" i="17"/>
  <c r="HC267" i="17"/>
  <c r="HD267" i="17"/>
  <c r="HE267" i="17"/>
  <c r="HF267" i="17"/>
  <c r="HG267" i="17"/>
  <c r="HH267" i="17"/>
  <c r="HI267" i="17"/>
  <c r="HJ267" i="17"/>
  <c r="HK267" i="17"/>
  <c r="HL267" i="17"/>
  <c r="HM267" i="17"/>
  <c r="HN267" i="17"/>
  <c r="HO267" i="17"/>
  <c r="HP267" i="17"/>
  <c r="HQ267" i="17"/>
  <c r="HR267" i="17"/>
  <c r="HS267" i="17"/>
  <c r="HT267" i="17"/>
  <c r="HU267" i="17"/>
  <c r="HV267" i="17"/>
  <c r="HW267" i="17"/>
  <c r="HX267" i="17"/>
  <c r="HY267" i="17"/>
  <c r="HZ267" i="17"/>
  <c r="IA267" i="17"/>
  <c r="IB267" i="17"/>
  <c r="IC267" i="17"/>
  <c r="ID267" i="17"/>
  <c r="IE267" i="17"/>
  <c r="IF267" i="17"/>
  <c r="IG267" i="17"/>
  <c r="IH267" i="17"/>
  <c r="II267" i="17"/>
  <c r="IJ267" i="17"/>
  <c r="IK267" i="17"/>
  <c r="IL267" i="17"/>
  <c r="IM267" i="17"/>
  <c r="IN267" i="17"/>
  <c r="IO267" i="17"/>
  <c r="IP267" i="17"/>
  <c r="IQ267" i="17"/>
  <c r="IR267" i="17"/>
  <c r="IS267" i="17"/>
  <c r="IT267" i="17"/>
  <c r="IU267" i="17"/>
  <c r="IV267" i="17"/>
  <c r="A266" i="17"/>
  <c r="B266" i="17"/>
  <c r="C266" i="17"/>
  <c r="D266" i="17"/>
  <c r="E266" i="17"/>
  <c r="F266" i="17"/>
  <c r="G266" i="17"/>
  <c r="H266" i="17"/>
  <c r="I266" i="17"/>
  <c r="J266" i="17"/>
  <c r="K266" i="17"/>
  <c r="L266" i="17"/>
  <c r="M266" i="17"/>
  <c r="N266" i="17"/>
  <c r="O266" i="17"/>
  <c r="P266" i="17"/>
  <c r="Q266" i="17"/>
  <c r="R266" i="17"/>
  <c r="S266" i="17"/>
  <c r="T266" i="17"/>
  <c r="U266" i="17"/>
  <c r="V266" i="17"/>
  <c r="W266" i="17"/>
  <c r="X266" i="17"/>
  <c r="Y266" i="17"/>
  <c r="Z266" i="17"/>
  <c r="AA266" i="17"/>
  <c r="AB266" i="17"/>
  <c r="AC266" i="17"/>
  <c r="AD266" i="17"/>
  <c r="AE266" i="17"/>
  <c r="AF266" i="17"/>
  <c r="AG266" i="17"/>
  <c r="AH266" i="17"/>
  <c r="AI266" i="17"/>
  <c r="AJ266" i="17"/>
  <c r="AK266" i="17"/>
  <c r="AL266" i="17"/>
  <c r="AM266" i="17"/>
  <c r="AN266" i="17"/>
  <c r="AO266" i="17"/>
  <c r="AP266" i="17"/>
  <c r="AQ266" i="17"/>
  <c r="AR266" i="17"/>
  <c r="AS266" i="17"/>
  <c r="AT266" i="17"/>
  <c r="AU266" i="17"/>
  <c r="AV266" i="17"/>
  <c r="AW266" i="17"/>
  <c r="AX266" i="17"/>
  <c r="AY266" i="17"/>
  <c r="AZ266" i="17"/>
  <c r="BA266" i="17"/>
  <c r="BB266" i="17"/>
  <c r="BC266" i="17"/>
  <c r="BD266" i="17"/>
  <c r="BE266" i="17"/>
  <c r="BF266" i="17"/>
  <c r="BG266" i="17"/>
  <c r="BH266" i="17"/>
  <c r="BI266" i="17"/>
  <c r="BJ266" i="17"/>
  <c r="BK266" i="17"/>
  <c r="BL266" i="17"/>
  <c r="BM266" i="17"/>
  <c r="BN266" i="17"/>
  <c r="BO266" i="17"/>
  <c r="BP266" i="17"/>
  <c r="BQ266" i="17"/>
  <c r="BR266" i="17"/>
  <c r="BS266" i="17"/>
  <c r="BT266" i="17"/>
  <c r="BU266" i="17"/>
  <c r="BV266" i="17"/>
  <c r="BW266" i="17"/>
  <c r="BX266" i="17"/>
  <c r="BY266" i="17"/>
  <c r="BZ266" i="17"/>
  <c r="CA266" i="17"/>
  <c r="CB266" i="17"/>
  <c r="CC266" i="17"/>
  <c r="CD266" i="17"/>
  <c r="CE266" i="17"/>
  <c r="CF266" i="17"/>
  <c r="CG266" i="17"/>
  <c r="CH266" i="17"/>
  <c r="CI266" i="17"/>
  <c r="CJ266" i="17"/>
  <c r="CK266" i="17"/>
  <c r="CL266" i="17"/>
  <c r="CM266" i="17"/>
  <c r="CN266" i="17"/>
  <c r="CO266" i="17"/>
  <c r="CP266" i="17"/>
  <c r="CQ266" i="17"/>
  <c r="CR266" i="17"/>
  <c r="CS266" i="17"/>
  <c r="CT266" i="17"/>
  <c r="CU266" i="17"/>
  <c r="CV266" i="17"/>
  <c r="CW266" i="17"/>
  <c r="CX266" i="17"/>
  <c r="CY266" i="17"/>
  <c r="CZ266" i="17"/>
  <c r="DA266" i="17"/>
  <c r="DB266" i="17"/>
  <c r="DC266" i="17"/>
  <c r="DD266" i="17"/>
  <c r="DE266" i="17"/>
  <c r="DF266" i="17"/>
  <c r="DG266" i="17"/>
  <c r="DH266" i="17"/>
  <c r="DI266" i="17"/>
  <c r="DJ266" i="17"/>
  <c r="DK266" i="17"/>
  <c r="DL266" i="17"/>
  <c r="DM266" i="17"/>
  <c r="DN266" i="17"/>
  <c r="DO266" i="17"/>
  <c r="DP266" i="17"/>
  <c r="DQ266" i="17"/>
  <c r="DR266" i="17"/>
  <c r="DS266" i="17"/>
  <c r="DT266" i="17"/>
  <c r="DU266" i="17"/>
  <c r="DV266" i="17"/>
  <c r="DW266" i="17"/>
  <c r="DX266" i="17"/>
  <c r="DY266" i="17"/>
  <c r="DZ266" i="17"/>
  <c r="EA266" i="17"/>
  <c r="EB266" i="17"/>
  <c r="EC266" i="17"/>
  <c r="ED266" i="17"/>
  <c r="EE266" i="17"/>
  <c r="EF266" i="17"/>
  <c r="EG266" i="17"/>
  <c r="EH266" i="17"/>
  <c r="EI266" i="17"/>
  <c r="EJ266" i="17"/>
  <c r="EK266" i="17"/>
  <c r="EL266" i="17"/>
  <c r="EM266" i="17"/>
  <c r="EN266" i="17"/>
  <c r="EO266" i="17"/>
  <c r="EP266" i="17"/>
  <c r="EQ266" i="17"/>
  <c r="ER266" i="17"/>
  <c r="ES266" i="17"/>
  <c r="ET266" i="17"/>
  <c r="EU266" i="17"/>
  <c r="EV266" i="17"/>
  <c r="EW266" i="17"/>
  <c r="EX266" i="17"/>
  <c r="EY266" i="17"/>
  <c r="EZ266" i="17"/>
  <c r="FA266" i="17"/>
  <c r="FB266" i="17"/>
  <c r="FC266" i="17"/>
  <c r="FD266" i="17"/>
  <c r="FE266" i="17"/>
  <c r="FF266" i="17"/>
  <c r="FG266" i="17"/>
  <c r="FH266" i="17"/>
  <c r="FI266" i="17"/>
  <c r="FJ266" i="17"/>
  <c r="FK266" i="17"/>
  <c r="FL266" i="17"/>
  <c r="FM266" i="17"/>
  <c r="FN266" i="17"/>
  <c r="FO266" i="17"/>
  <c r="FP266" i="17"/>
  <c r="FQ266" i="17"/>
  <c r="FR266" i="17"/>
  <c r="FS266" i="17"/>
  <c r="FT266" i="17"/>
  <c r="FU266" i="17"/>
  <c r="FV266" i="17"/>
  <c r="FW266" i="17"/>
  <c r="FX266" i="17"/>
  <c r="FY266" i="17"/>
  <c r="FZ266" i="17"/>
  <c r="GA266" i="17"/>
  <c r="GB266" i="17"/>
  <c r="GC266" i="17"/>
  <c r="GD266" i="17"/>
  <c r="GE266" i="17"/>
  <c r="GF266" i="17"/>
  <c r="GG266" i="17"/>
  <c r="GH266" i="17"/>
  <c r="GI266" i="17"/>
  <c r="GJ266" i="17"/>
  <c r="GK266" i="17"/>
  <c r="GL266" i="17"/>
  <c r="GM266" i="17"/>
  <c r="GN266" i="17"/>
  <c r="GO266" i="17"/>
  <c r="GP266" i="17"/>
  <c r="GQ266" i="17"/>
  <c r="GR266" i="17"/>
  <c r="GS266" i="17"/>
  <c r="GT266" i="17"/>
  <c r="GU266" i="17"/>
  <c r="GV266" i="17"/>
  <c r="GW266" i="17"/>
  <c r="GX266" i="17"/>
  <c r="GY266" i="17"/>
  <c r="GZ266" i="17"/>
  <c r="HA266" i="17"/>
  <c r="HB266" i="17"/>
  <c r="HC266" i="17"/>
  <c r="HD266" i="17"/>
  <c r="HE266" i="17"/>
  <c r="HF266" i="17"/>
  <c r="HG266" i="17"/>
  <c r="HH266" i="17"/>
  <c r="HI266" i="17"/>
  <c r="HJ266" i="17"/>
  <c r="HK266" i="17"/>
  <c r="HL266" i="17"/>
  <c r="HM266" i="17"/>
  <c r="HN266" i="17"/>
  <c r="HO266" i="17"/>
  <c r="HP266" i="17"/>
  <c r="HQ266" i="17"/>
  <c r="HR266" i="17"/>
  <c r="HS266" i="17"/>
  <c r="HT266" i="17"/>
  <c r="HU266" i="17"/>
  <c r="HV266" i="17"/>
  <c r="HW266" i="17"/>
  <c r="HX266" i="17"/>
  <c r="HY266" i="17"/>
  <c r="HZ266" i="17"/>
  <c r="IA266" i="17"/>
  <c r="IB266" i="17"/>
  <c r="IC266" i="17"/>
  <c r="ID266" i="17"/>
  <c r="IE266" i="17"/>
  <c r="IF266" i="17"/>
  <c r="IG266" i="17"/>
  <c r="IH266" i="17"/>
  <c r="II266" i="17"/>
  <c r="IJ266" i="17"/>
  <c r="IK266" i="17"/>
  <c r="IL266" i="17"/>
  <c r="IM266" i="17"/>
  <c r="IN266" i="17"/>
  <c r="IO266" i="17"/>
  <c r="IP266" i="17"/>
  <c r="IQ266" i="17"/>
  <c r="IR266" i="17"/>
  <c r="IS266" i="17"/>
  <c r="IT266" i="17"/>
  <c r="IU266" i="17"/>
  <c r="IV266" i="17"/>
  <c r="A265" i="17"/>
  <c r="B265" i="17"/>
  <c r="C265" i="17"/>
  <c r="D265" i="17"/>
  <c r="E265" i="17"/>
  <c r="F265" i="17"/>
  <c r="G265" i="17"/>
  <c r="H265" i="17"/>
  <c r="I265" i="17"/>
  <c r="J265" i="17"/>
  <c r="K265" i="17"/>
  <c r="L265" i="17"/>
  <c r="M265" i="17"/>
  <c r="N265" i="17"/>
  <c r="O265" i="17"/>
  <c r="P265" i="17"/>
  <c r="Q265" i="17"/>
  <c r="R265" i="17"/>
  <c r="S265" i="17"/>
  <c r="T265" i="17"/>
  <c r="U265" i="17"/>
  <c r="V265" i="17"/>
  <c r="W265" i="17"/>
  <c r="X265" i="17"/>
  <c r="Y265" i="17"/>
  <c r="Z265" i="17"/>
  <c r="AA265" i="17"/>
  <c r="AB265" i="17"/>
  <c r="AC265" i="17"/>
  <c r="AD265" i="17"/>
  <c r="AE265" i="17"/>
  <c r="AF265" i="17"/>
  <c r="AG265" i="17"/>
  <c r="AH265" i="17"/>
  <c r="AI265" i="17"/>
  <c r="AJ265" i="17"/>
  <c r="AK265" i="17"/>
  <c r="AL265" i="17"/>
  <c r="AM265" i="17"/>
  <c r="AN265" i="17"/>
  <c r="AO265" i="17"/>
  <c r="AP265" i="17"/>
  <c r="AQ265" i="17"/>
  <c r="AR265" i="17"/>
  <c r="AS265" i="17"/>
  <c r="AT265" i="17"/>
  <c r="AU265" i="17"/>
  <c r="AV265" i="17"/>
  <c r="AW265" i="17"/>
  <c r="AX265" i="17"/>
  <c r="AY265" i="17"/>
  <c r="AZ265" i="17"/>
  <c r="BA265" i="17"/>
  <c r="BB265" i="17"/>
  <c r="BC265" i="17"/>
  <c r="BD265" i="17"/>
  <c r="BE265" i="17"/>
  <c r="BF265" i="17"/>
  <c r="BG265" i="17"/>
  <c r="BH265" i="17"/>
  <c r="BI265" i="17"/>
  <c r="BJ265" i="17"/>
  <c r="BK265" i="17"/>
  <c r="BL265" i="17"/>
  <c r="BM265" i="17"/>
  <c r="BN265" i="17"/>
  <c r="BO265" i="17"/>
  <c r="BP265" i="17"/>
  <c r="BQ265" i="17"/>
  <c r="BR265" i="17"/>
  <c r="BS265" i="17"/>
  <c r="BT265" i="17"/>
  <c r="BU265" i="17"/>
  <c r="BV265" i="17"/>
  <c r="BW265" i="17"/>
  <c r="BX265" i="17"/>
  <c r="BY265" i="17"/>
  <c r="BZ265" i="17"/>
  <c r="CA265" i="17"/>
  <c r="CB265" i="17"/>
  <c r="CC265" i="17"/>
  <c r="CD265" i="17"/>
  <c r="CE265" i="17"/>
  <c r="CF265" i="17"/>
  <c r="CG265" i="17"/>
  <c r="CH265" i="17"/>
  <c r="CI265" i="17"/>
  <c r="CJ265" i="17"/>
  <c r="CK265" i="17"/>
  <c r="CL265" i="17"/>
  <c r="CM265" i="17"/>
  <c r="CN265" i="17"/>
  <c r="CO265" i="17"/>
  <c r="CP265" i="17"/>
  <c r="CQ265" i="17"/>
  <c r="CR265" i="17"/>
  <c r="CS265" i="17"/>
  <c r="CT265" i="17"/>
  <c r="CU265" i="17"/>
  <c r="CV265" i="17"/>
  <c r="CW265" i="17"/>
  <c r="CX265" i="17"/>
  <c r="CY265" i="17"/>
  <c r="CZ265" i="17"/>
  <c r="DA265" i="17"/>
  <c r="DB265" i="17"/>
  <c r="DC265" i="17"/>
  <c r="DD265" i="17"/>
  <c r="DE265" i="17"/>
  <c r="DF265" i="17"/>
  <c r="DG265" i="17"/>
  <c r="DH265" i="17"/>
  <c r="DI265" i="17"/>
  <c r="DJ265" i="17"/>
  <c r="DK265" i="17"/>
  <c r="DL265" i="17"/>
  <c r="DM265" i="17"/>
  <c r="DN265" i="17"/>
  <c r="DO265" i="17"/>
  <c r="DP265" i="17"/>
  <c r="DQ265" i="17"/>
  <c r="DR265" i="17"/>
  <c r="DS265" i="17"/>
  <c r="DT265" i="17"/>
  <c r="DU265" i="17"/>
  <c r="DV265" i="17"/>
  <c r="DW265" i="17"/>
  <c r="DX265" i="17"/>
  <c r="DY265" i="17"/>
  <c r="DZ265" i="17"/>
  <c r="EA265" i="17"/>
  <c r="EB265" i="17"/>
  <c r="EC265" i="17"/>
  <c r="ED265" i="17"/>
  <c r="EE265" i="17"/>
  <c r="EF265" i="17"/>
  <c r="EG265" i="17"/>
  <c r="EH265" i="17"/>
  <c r="EI265" i="17"/>
  <c r="EJ265" i="17"/>
  <c r="EK265" i="17"/>
  <c r="EL265" i="17"/>
  <c r="EM265" i="17"/>
  <c r="EN265" i="17"/>
  <c r="EO265" i="17"/>
  <c r="EP265" i="17"/>
  <c r="EQ265" i="17"/>
  <c r="ER265" i="17"/>
  <c r="ES265" i="17"/>
  <c r="ET265" i="17"/>
  <c r="EU265" i="17"/>
  <c r="EV265" i="17"/>
  <c r="EW265" i="17"/>
  <c r="EX265" i="17"/>
  <c r="EY265" i="17"/>
  <c r="EZ265" i="17"/>
  <c r="FA265" i="17"/>
  <c r="FB265" i="17"/>
  <c r="FC265" i="17"/>
  <c r="FD265" i="17"/>
  <c r="FE265" i="17"/>
  <c r="FF265" i="17"/>
  <c r="FG265" i="17"/>
  <c r="FH265" i="17"/>
  <c r="FI265" i="17"/>
  <c r="FJ265" i="17"/>
  <c r="FK265" i="17"/>
  <c r="FL265" i="17"/>
  <c r="FM265" i="17"/>
  <c r="FN265" i="17"/>
  <c r="FO265" i="17"/>
  <c r="FP265" i="17"/>
  <c r="FQ265" i="17"/>
  <c r="FR265" i="17"/>
  <c r="FS265" i="17"/>
  <c r="FT265" i="17"/>
  <c r="FU265" i="17"/>
  <c r="FV265" i="17"/>
  <c r="FW265" i="17"/>
  <c r="FX265" i="17"/>
  <c r="FY265" i="17"/>
  <c r="FZ265" i="17"/>
  <c r="GA265" i="17"/>
  <c r="GB265" i="17"/>
  <c r="GC265" i="17"/>
  <c r="GD265" i="17"/>
  <c r="GE265" i="17"/>
  <c r="GF265" i="17"/>
  <c r="GG265" i="17"/>
  <c r="GH265" i="17"/>
  <c r="GI265" i="17"/>
  <c r="GJ265" i="17"/>
  <c r="GK265" i="17"/>
  <c r="GL265" i="17"/>
  <c r="GM265" i="17"/>
  <c r="GN265" i="17"/>
  <c r="GO265" i="17"/>
  <c r="GP265" i="17"/>
  <c r="GQ265" i="17"/>
  <c r="GR265" i="17"/>
  <c r="GS265" i="17"/>
  <c r="GT265" i="17"/>
  <c r="GU265" i="17"/>
  <c r="GV265" i="17"/>
  <c r="GW265" i="17"/>
  <c r="GX265" i="17"/>
  <c r="GY265" i="17"/>
  <c r="GZ265" i="17"/>
  <c r="HA265" i="17"/>
  <c r="HB265" i="17"/>
  <c r="HC265" i="17"/>
  <c r="HD265" i="17"/>
  <c r="HE265" i="17"/>
  <c r="HF265" i="17"/>
  <c r="HG265" i="17"/>
  <c r="HH265" i="17"/>
  <c r="HI265" i="17"/>
  <c r="HJ265" i="17"/>
  <c r="HK265" i="17"/>
  <c r="HL265" i="17"/>
  <c r="HM265" i="17"/>
  <c r="HN265" i="17"/>
  <c r="HO265" i="17"/>
  <c r="HP265" i="17"/>
  <c r="HQ265" i="17"/>
  <c r="HR265" i="17"/>
  <c r="HS265" i="17"/>
  <c r="HT265" i="17"/>
  <c r="HU265" i="17"/>
  <c r="HV265" i="17"/>
  <c r="HW265" i="17"/>
  <c r="HX265" i="17"/>
  <c r="HY265" i="17"/>
  <c r="HZ265" i="17"/>
  <c r="IA265" i="17"/>
  <c r="IB265" i="17"/>
  <c r="IC265" i="17"/>
  <c r="ID265" i="17"/>
  <c r="IE265" i="17"/>
  <c r="IF265" i="17"/>
  <c r="IG265" i="17"/>
  <c r="IH265" i="17"/>
  <c r="II265" i="17"/>
  <c r="IJ265" i="17"/>
  <c r="IK265" i="17"/>
  <c r="IL265" i="17"/>
  <c r="IM265" i="17"/>
  <c r="IN265" i="17"/>
  <c r="IO265" i="17"/>
  <c r="IP265" i="17"/>
  <c r="IQ265" i="17"/>
  <c r="IR265" i="17"/>
  <c r="IS265" i="17"/>
  <c r="IT265" i="17"/>
  <c r="IU265" i="17"/>
  <c r="IV265" i="17"/>
  <c r="A264" i="17"/>
  <c r="B264" i="17"/>
  <c r="C264" i="17"/>
  <c r="D264" i="17"/>
  <c r="E264" i="17"/>
  <c r="F264" i="17"/>
  <c r="G264" i="17"/>
  <c r="H264" i="17"/>
  <c r="I264" i="17"/>
  <c r="J264" i="17"/>
  <c r="K264" i="17"/>
  <c r="M264" i="17"/>
  <c r="N264" i="17"/>
  <c r="O264" i="17"/>
  <c r="P264" i="17"/>
  <c r="Q264" i="17"/>
  <c r="R264" i="17"/>
  <c r="S264" i="17"/>
  <c r="T264" i="17"/>
  <c r="U264" i="17"/>
  <c r="V264" i="17"/>
  <c r="W264" i="17"/>
  <c r="X264" i="17"/>
  <c r="Y264" i="17"/>
  <c r="Z264" i="17"/>
  <c r="AA264" i="17"/>
  <c r="AB264" i="17"/>
  <c r="AC264" i="17"/>
  <c r="AD264" i="17"/>
  <c r="AE264" i="17"/>
  <c r="AF264" i="17"/>
  <c r="AG264" i="17"/>
  <c r="AH264" i="17"/>
  <c r="AI264" i="17"/>
  <c r="AJ264" i="17"/>
  <c r="AK264" i="17"/>
  <c r="AL264" i="17"/>
  <c r="AM264" i="17"/>
  <c r="AN264" i="17"/>
  <c r="AO264" i="17"/>
  <c r="AP264" i="17"/>
  <c r="AQ264" i="17"/>
  <c r="AR264" i="17"/>
  <c r="AS264" i="17"/>
  <c r="AT264" i="17"/>
  <c r="AU264" i="17"/>
  <c r="AV264" i="17"/>
  <c r="AW264" i="17"/>
  <c r="AX264" i="17"/>
  <c r="AY264" i="17"/>
  <c r="AZ264" i="17"/>
  <c r="BA264" i="17"/>
  <c r="BB264" i="17"/>
  <c r="BC264" i="17"/>
  <c r="BD264" i="17"/>
  <c r="BE264" i="17"/>
  <c r="BF264" i="17"/>
  <c r="BG264" i="17"/>
  <c r="BH264" i="17"/>
  <c r="BI264" i="17"/>
  <c r="BJ264" i="17"/>
  <c r="BK264" i="17"/>
  <c r="BL264" i="17"/>
  <c r="BM264" i="17"/>
  <c r="BN264" i="17"/>
  <c r="BO264" i="17"/>
  <c r="BP264" i="17"/>
  <c r="BQ264" i="17"/>
  <c r="BR264" i="17"/>
  <c r="BS264" i="17"/>
  <c r="BT264" i="17"/>
  <c r="BU264" i="17"/>
  <c r="BV264" i="17"/>
  <c r="BW264" i="17"/>
  <c r="BX264" i="17"/>
  <c r="BY264" i="17"/>
  <c r="BZ264" i="17"/>
  <c r="CA264" i="17"/>
  <c r="CB264" i="17"/>
  <c r="CC264" i="17"/>
  <c r="CD264" i="17"/>
  <c r="CE264" i="17"/>
  <c r="CF264" i="17"/>
  <c r="CG264" i="17"/>
  <c r="CH264" i="17"/>
  <c r="CI264" i="17"/>
  <c r="CJ264" i="17"/>
  <c r="CK264" i="17"/>
  <c r="CL264" i="17"/>
  <c r="CM264" i="17"/>
  <c r="CN264" i="17"/>
  <c r="CO264" i="17"/>
  <c r="CP264" i="17"/>
  <c r="CQ264" i="17"/>
  <c r="CR264" i="17"/>
  <c r="CS264" i="17"/>
  <c r="CT264" i="17"/>
  <c r="CU264" i="17"/>
  <c r="CV264" i="17"/>
  <c r="CW264" i="17"/>
  <c r="CX264" i="17"/>
  <c r="CY264" i="17"/>
  <c r="CZ264" i="17"/>
  <c r="DA264" i="17"/>
  <c r="DB264" i="17"/>
  <c r="DC264" i="17"/>
  <c r="DD264" i="17"/>
  <c r="DE264" i="17"/>
  <c r="DF264" i="17"/>
  <c r="DG264" i="17"/>
  <c r="DH264" i="17"/>
  <c r="DI264" i="17"/>
  <c r="DJ264" i="17"/>
  <c r="DK264" i="17"/>
  <c r="DL264" i="17"/>
  <c r="DM264" i="17"/>
  <c r="DN264" i="17"/>
  <c r="DO264" i="17"/>
  <c r="DP264" i="17"/>
  <c r="DQ264" i="17"/>
  <c r="DR264" i="17"/>
  <c r="DS264" i="17"/>
  <c r="DT264" i="17"/>
  <c r="DU264" i="17"/>
  <c r="DV264" i="17"/>
  <c r="DW264" i="17"/>
  <c r="DX264" i="17"/>
  <c r="DY264" i="17"/>
  <c r="DZ264" i="17"/>
  <c r="EA264" i="17"/>
  <c r="EB264" i="17"/>
  <c r="EC264" i="17"/>
  <c r="ED264" i="17"/>
  <c r="EE264" i="17"/>
  <c r="EF264" i="17"/>
  <c r="EG264" i="17"/>
  <c r="EH264" i="17"/>
  <c r="EI264" i="17"/>
  <c r="EJ264" i="17"/>
  <c r="EK264" i="17"/>
  <c r="EL264" i="17"/>
  <c r="EM264" i="17"/>
  <c r="EN264" i="17"/>
  <c r="EO264" i="17"/>
  <c r="EP264" i="17"/>
  <c r="EQ264" i="17"/>
  <c r="ER264" i="17"/>
  <c r="ES264" i="17"/>
  <c r="ET264" i="17"/>
  <c r="EU264" i="17"/>
  <c r="EV264" i="17"/>
  <c r="EW264" i="17"/>
  <c r="EX264" i="17"/>
  <c r="EY264" i="17"/>
  <c r="EZ264" i="17"/>
  <c r="FA264" i="17"/>
  <c r="FB264" i="17"/>
  <c r="FC264" i="17"/>
  <c r="FD264" i="17"/>
  <c r="FE264" i="17"/>
  <c r="FF264" i="17"/>
  <c r="FG264" i="17"/>
  <c r="FH264" i="17"/>
  <c r="FI264" i="17"/>
  <c r="FJ264" i="17"/>
  <c r="FK264" i="17"/>
  <c r="FL264" i="17"/>
  <c r="FM264" i="17"/>
  <c r="FN264" i="17"/>
  <c r="FO264" i="17"/>
  <c r="FP264" i="17"/>
  <c r="FQ264" i="17"/>
  <c r="FR264" i="17"/>
  <c r="FS264" i="17"/>
  <c r="FT264" i="17"/>
  <c r="FU264" i="17"/>
  <c r="FV264" i="17"/>
  <c r="FW264" i="17"/>
  <c r="FX264" i="17"/>
  <c r="FY264" i="17"/>
  <c r="FZ264" i="17"/>
  <c r="GA264" i="17"/>
  <c r="GB264" i="17"/>
  <c r="GC264" i="17"/>
  <c r="GD264" i="17"/>
  <c r="GE264" i="17"/>
  <c r="GF264" i="17"/>
  <c r="GG264" i="17"/>
  <c r="GH264" i="17"/>
  <c r="GI264" i="17"/>
  <c r="GJ264" i="17"/>
  <c r="GK264" i="17"/>
  <c r="GL264" i="17"/>
  <c r="GM264" i="17"/>
  <c r="GN264" i="17"/>
  <c r="GO264" i="17"/>
  <c r="GP264" i="17"/>
  <c r="GQ264" i="17"/>
  <c r="GR264" i="17"/>
  <c r="GS264" i="17"/>
  <c r="GT264" i="17"/>
  <c r="GU264" i="17"/>
  <c r="GV264" i="17"/>
  <c r="GW264" i="17"/>
  <c r="GX264" i="17"/>
  <c r="GY264" i="17"/>
  <c r="GZ264" i="17"/>
  <c r="HA264" i="17"/>
  <c r="HB264" i="17"/>
  <c r="HC264" i="17"/>
  <c r="HD264" i="17"/>
  <c r="HE264" i="17"/>
  <c r="HF264" i="17"/>
  <c r="HG264" i="17"/>
  <c r="HH264" i="17"/>
  <c r="HI264" i="17"/>
  <c r="HJ264" i="17"/>
  <c r="HK264" i="17"/>
  <c r="HL264" i="17"/>
  <c r="HM264" i="17"/>
  <c r="HN264" i="17"/>
  <c r="HO264" i="17"/>
  <c r="HP264" i="17"/>
  <c r="HQ264" i="17"/>
  <c r="HR264" i="17"/>
  <c r="HS264" i="17"/>
  <c r="HT264" i="17"/>
  <c r="HU264" i="17"/>
  <c r="HV264" i="17"/>
  <c r="HW264" i="17"/>
  <c r="HX264" i="17"/>
  <c r="HY264" i="17"/>
  <c r="HZ264" i="17"/>
  <c r="IA264" i="17"/>
  <c r="IB264" i="17"/>
  <c r="IC264" i="17"/>
  <c r="ID264" i="17"/>
  <c r="IE264" i="17"/>
  <c r="IF264" i="17"/>
  <c r="IG264" i="17"/>
  <c r="IH264" i="17"/>
  <c r="II264" i="17"/>
  <c r="IJ264" i="17"/>
  <c r="IK264" i="17"/>
  <c r="IL264" i="17"/>
  <c r="IM264" i="17"/>
  <c r="IN264" i="17"/>
  <c r="IO264" i="17"/>
  <c r="IP264" i="17"/>
  <c r="IQ264" i="17"/>
  <c r="IR264" i="17"/>
  <c r="IS264" i="17"/>
  <c r="IT264" i="17"/>
  <c r="IU264" i="17"/>
  <c r="IV264" i="17"/>
  <c r="A263" i="17"/>
  <c r="B263" i="17"/>
  <c r="C263" i="17"/>
  <c r="D263" i="17"/>
  <c r="E263" i="17"/>
  <c r="F263" i="17"/>
  <c r="G263" i="17"/>
  <c r="H263" i="17"/>
  <c r="I263" i="17"/>
  <c r="J263" i="17"/>
  <c r="K263" i="17"/>
  <c r="L263" i="17"/>
  <c r="M263" i="17"/>
  <c r="N263" i="17"/>
  <c r="O263" i="17"/>
  <c r="P263" i="17"/>
  <c r="Q263" i="17"/>
  <c r="R263" i="17"/>
  <c r="S263" i="17"/>
  <c r="T263" i="17"/>
  <c r="U263" i="17"/>
  <c r="V263" i="17"/>
  <c r="W263" i="17"/>
  <c r="X263" i="17"/>
  <c r="Y263" i="17"/>
  <c r="Z263" i="17"/>
  <c r="AA263" i="17"/>
  <c r="AB263" i="17"/>
  <c r="AC263" i="17"/>
  <c r="AD263" i="17"/>
  <c r="AE263" i="17"/>
  <c r="AF263" i="17"/>
  <c r="AG263" i="17"/>
  <c r="AH263" i="17"/>
  <c r="AI263" i="17"/>
  <c r="AJ263" i="17"/>
  <c r="AK263" i="17"/>
  <c r="AL263" i="17"/>
  <c r="AM263" i="17"/>
  <c r="AN263" i="17"/>
  <c r="AO263" i="17"/>
  <c r="AP263" i="17"/>
  <c r="AQ263" i="17"/>
  <c r="AR263" i="17"/>
  <c r="AS263" i="17"/>
  <c r="AT263" i="17"/>
  <c r="AU263" i="17"/>
  <c r="AV263" i="17"/>
  <c r="AW263" i="17"/>
  <c r="AX263" i="17"/>
  <c r="AY263" i="17"/>
  <c r="AZ263" i="17"/>
  <c r="BA263" i="17"/>
  <c r="BB263" i="17"/>
  <c r="BC263" i="17"/>
  <c r="BD263" i="17"/>
  <c r="BE263" i="17"/>
  <c r="BF263" i="17"/>
  <c r="BG263" i="17"/>
  <c r="BH263" i="17"/>
  <c r="BI263" i="17"/>
  <c r="BJ263" i="17"/>
  <c r="BK263" i="17"/>
  <c r="BL263" i="17"/>
  <c r="BM263" i="17"/>
  <c r="BN263" i="17"/>
  <c r="BO263" i="17"/>
  <c r="BP263" i="17"/>
  <c r="BQ263" i="17"/>
  <c r="BR263" i="17"/>
  <c r="BS263" i="17"/>
  <c r="BT263" i="17"/>
  <c r="BU263" i="17"/>
  <c r="BV263" i="17"/>
  <c r="BW263" i="17"/>
  <c r="BX263" i="17"/>
  <c r="BY263" i="17"/>
  <c r="BZ263" i="17"/>
  <c r="CA263" i="17"/>
  <c r="CB263" i="17"/>
  <c r="CC263" i="17"/>
  <c r="CD263" i="17"/>
  <c r="CE263" i="17"/>
  <c r="CF263" i="17"/>
  <c r="CG263" i="17"/>
  <c r="CH263" i="17"/>
  <c r="CI263" i="17"/>
  <c r="CJ263" i="17"/>
  <c r="CK263" i="17"/>
  <c r="CL263" i="17"/>
  <c r="CM263" i="17"/>
  <c r="CN263" i="17"/>
  <c r="CO263" i="17"/>
  <c r="CP263" i="17"/>
  <c r="CQ263" i="17"/>
  <c r="CR263" i="17"/>
  <c r="CS263" i="17"/>
  <c r="CT263" i="17"/>
  <c r="CU263" i="17"/>
  <c r="CV263" i="17"/>
  <c r="CW263" i="17"/>
  <c r="CX263" i="17"/>
  <c r="CY263" i="17"/>
  <c r="CZ263" i="17"/>
  <c r="DA263" i="17"/>
  <c r="DB263" i="17"/>
  <c r="DC263" i="17"/>
  <c r="DD263" i="17"/>
  <c r="DE263" i="17"/>
  <c r="DF263" i="17"/>
  <c r="DG263" i="17"/>
  <c r="DH263" i="17"/>
  <c r="DI263" i="17"/>
  <c r="DJ263" i="17"/>
  <c r="DK263" i="17"/>
  <c r="DL263" i="17"/>
  <c r="DM263" i="17"/>
  <c r="DN263" i="17"/>
  <c r="DO263" i="17"/>
  <c r="DP263" i="17"/>
  <c r="DQ263" i="17"/>
  <c r="DR263" i="17"/>
  <c r="DS263" i="17"/>
  <c r="DT263" i="17"/>
  <c r="DU263" i="17"/>
  <c r="DV263" i="17"/>
  <c r="DW263" i="17"/>
  <c r="DX263" i="17"/>
  <c r="DY263" i="17"/>
  <c r="DZ263" i="17"/>
  <c r="EA263" i="17"/>
  <c r="EB263" i="17"/>
  <c r="EC263" i="17"/>
  <c r="ED263" i="17"/>
  <c r="EE263" i="17"/>
  <c r="EF263" i="17"/>
  <c r="EG263" i="17"/>
  <c r="EH263" i="17"/>
  <c r="EI263" i="17"/>
  <c r="EJ263" i="17"/>
  <c r="EK263" i="17"/>
  <c r="EL263" i="17"/>
  <c r="EM263" i="17"/>
  <c r="EN263" i="17"/>
  <c r="EO263" i="17"/>
  <c r="EP263" i="17"/>
  <c r="EQ263" i="17"/>
  <c r="ER263" i="17"/>
  <c r="ES263" i="17"/>
  <c r="ET263" i="17"/>
  <c r="EU263" i="17"/>
  <c r="EV263" i="17"/>
  <c r="EW263" i="17"/>
  <c r="EX263" i="17"/>
  <c r="EY263" i="17"/>
  <c r="EZ263" i="17"/>
  <c r="FA263" i="17"/>
  <c r="FB263" i="17"/>
  <c r="FC263" i="17"/>
  <c r="FD263" i="17"/>
  <c r="FE263" i="17"/>
  <c r="FF263" i="17"/>
  <c r="FG263" i="17"/>
  <c r="FH263" i="17"/>
  <c r="FI263" i="17"/>
  <c r="FJ263" i="17"/>
  <c r="FK263" i="17"/>
  <c r="FL263" i="17"/>
  <c r="FM263" i="17"/>
  <c r="FN263" i="17"/>
  <c r="FO263" i="17"/>
  <c r="FP263" i="17"/>
  <c r="FQ263" i="17"/>
  <c r="FR263" i="17"/>
  <c r="FS263" i="17"/>
  <c r="FT263" i="17"/>
  <c r="FU263" i="17"/>
  <c r="FV263" i="17"/>
  <c r="FW263" i="17"/>
  <c r="FX263" i="17"/>
  <c r="FY263" i="17"/>
  <c r="FZ263" i="17"/>
  <c r="GA263" i="17"/>
  <c r="GB263" i="17"/>
  <c r="GC263" i="17"/>
  <c r="GD263" i="17"/>
  <c r="GE263" i="17"/>
  <c r="GF263" i="17"/>
  <c r="GG263" i="17"/>
  <c r="GH263" i="17"/>
  <c r="GI263" i="17"/>
  <c r="GJ263" i="17"/>
  <c r="GK263" i="17"/>
  <c r="GL263" i="17"/>
  <c r="GM263" i="17"/>
  <c r="GN263" i="17"/>
  <c r="GO263" i="17"/>
  <c r="GP263" i="17"/>
  <c r="GQ263" i="17"/>
  <c r="GR263" i="17"/>
  <c r="GS263" i="17"/>
  <c r="GT263" i="17"/>
  <c r="GU263" i="17"/>
  <c r="GV263" i="17"/>
  <c r="GW263" i="17"/>
  <c r="GX263" i="17"/>
  <c r="GY263" i="17"/>
  <c r="GZ263" i="17"/>
  <c r="HA263" i="17"/>
  <c r="HB263" i="17"/>
  <c r="HC263" i="17"/>
  <c r="HD263" i="17"/>
  <c r="HE263" i="17"/>
  <c r="HF263" i="17"/>
  <c r="HG263" i="17"/>
  <c r="HH263" i="17"/>
  <c r="HI263" i="17"/>
  <c r="HJ263" i="17"/>
  <c r="HK263" i="17"/>
  <c r="HL263" i="17"/>
  <c r="HM263" i="17"/>
  <c r="HN263" i="17"/>
  <c r="HO263" i="17"/>
  <c r="HP263" i="17"/>
  <c r="HQ263" i="17"/>
  <c r="HR263" i="17"/>
  <c r="HS263" i="17"/>
  <c r="HT263" i="17"/>
  <c r="HU263" i="17"/>
  <c r="HV263" i="17"/>
  <c r="HW263" i="17"/>
  <c r="HX263" i="17"/>
  <c r="HY263" i="17"/>
  <c r="HZ263" i="17"/>
  <c r="IA263" i="17"/>
  <c r="IB263" i="17"/>
  <c r="IC263" i="17"/>
  <c r="ID263" i="17"/>
  <c r="IE263" i="17"/>
  <c r="IF263" i="17"/>
  <c r="IG263" i="17"/>
  <c r="IH263" i="17"/>
  <c r="II263" i="17"/>
  <c r="IJ263" i="17"/>
  <c r="IK263" i="17"/>
  <c r="IL263" i="17"/>
  <c r="IM263" i="17"/>
  <c r="IN263" i="17"/>
  <c r="IO263" i="17"/>
  <c r="IP263" i="17"/>
  <c r="IQ263" i="17"/>
  <c r="IR263" i="17"/>
  <c r="IS263" i="17"/>
  <c r="IT263" i="17"/>
  <c r="IU263" i="17"/>
  <c r="IV263" i="17"/>
  <c r="A262" i="17"/>
  <c r="B262" i="17"/>
  <c r="C262" i="17"/>
  <c r="D262" i="17"/>
  <c r="E262" i="17"/>
  <c r="F262" i="17"/>
  <c r="G262" i="17"/>
  <c r="H262" i="17"/>
  <c r="I262" i="17"/>
  <c r="J262" i="17"/>
  <c r="K262" i="17"/>
  <c r="L262" i="17"/>
  <c r="M262" i="17"/>
  <c r="N262" i="17"/>
  <c r="O262" i="17"/>
  <c r="P262" i="17"/>
  <c r="Q262" i="17"/>
  <c r="R262" i="17"/>
  <c r="S262" i="17"/>
  <c r="T262" i="17"/>
  <c r="U262" i="17"/>
  <c r="V262" i="17"/>
  <c r="W262" i="17"/>
  <c r="X262" i="17"/>
  <c r="Y262" i="17"/>
  <c r="Z262" i="17"/>
  <c r="AA262" i="17"/>
  <c r="AB262" i="17"/>
  <c r="AC262" i="17"/>
  <c r="AD262" i="17"/>
  <c r="AE262" i="17"/>
  <c r="AF262" i="17"/>
  <c r="AG262" i="17"/>
  <c r="AH262" i="17"/>
  <c r="AI262" i="17"/>
  <c r="AJ262" i="17"/>
  <c r="AK262" i="17"/>
  <c r="AL262" i="17"/>
  <c r="AM262" i="17"/>
  <c r="AN262" i="17"/>
  <c r="AO262" i="17"/>
  <c r="AP262" i="17"/>
  <c r="AQ262" i="17"/>
  <c r="AR262" i="17"/>
  <c r="AS262" i="17"/>
  <c r="AT262" i="17"/>
  <c r="AU262" i="17"/>
  <c r="AV262" i="17"/>
  <c r="AW262" i="17"/>
  <c r="AX262" i="17"/>
  <c r="AY262" i="17"/>
  <c r="AZ262" i="17"/>
  <c r="BA262" i="17"/>
  <c r="BB262" i="17"/>
  <c r="BC262" i="17"/>
  <c r="BD262" i="17"/>
  <c r="BE262" i="17"/>
  <c r="BF262" i="17"/>
  <c r="BG262" i="17"/>
  <c r="BH262" i="17"/>
  <c r="BI262" i="17"/>
  <c r="BJ262" i="17"/>
  <c r="BK262" i="17"/>
  <c r="BL262" i="17"/>
  <c r="BM262" i="17"/>
  <c r="BN262" i="17"/>
  <c r="BO262" i="17"/>
  <c r="BP262" i="17"/>
  <c r="BQ262" i="17"/>
  <c r="BR262" i="17"/>
  <c r="BS262" i="17"/>
  <c r="BT262" i="17"/>
  <c r="BU262" i="17"/>
  <c r="BV262" i="17"/>
  <c r="BW262" i="17"/>
  <c r="BX262" i="17"/>
  <c r="BY262" i="17"/>
  <c r="BZ262" i="17"/>
  <c r="CA262" i="17"/>
  <c r="CB262" i="17"/>
  <c r="CC262" i="17"/>
  <c r="CD262" i="17"/>
  <c r="CE262" i="17"/>
  <c r="CF262" i="17"/>
  <c r="CG262" i="17"/>
  <c r="CH262" i="17"/>
  <c r="CI262" i="17"/>
  <c r="CJ262" i="17"/>
  <c r="CK262" i="17"/>
  <c r="CL262" i="17"/>
  <c r="CM262" i="17"/>
  <c r="CN262" i="17"/>
  <c r="CO262" i="17"/>
  <c r="CP262" i="17"/>
  <c r="CQ262" i="17"/>
  <c r="CR262" i="17"/>
  <c r="CS262" i="17"/>
  <c r="CT262" i="17"/>
  <c r="CU262" i="17"/>
  <c r="CV262" i="17"/>
  <c r="CW262" i="17"/>
  <c r="CX262" i="17"/>
  <c r="CY262" i="17"/>
  <c r="CZ262" i="17"/>
  <c r="DA262" i="17"/>
  <c r="DB262" i="17"/>
  <c r="DC262" i="17"/>
  <c r="DD262" i="17"/>
  <c r="DE262" i="17"/>
  <c r="DF262" i="17"/>
  <c r="DG262" i="17"/>
  <c r="DH262" i="17"/>
  <c r="DI262" i="17"/>
  <c r="DJ262" i="17"/>
  <c r="DK262" i="17"/>
  <c r="DL262" i="17"/>
  <c r="DM262" i="17"/>
  <c r="DN262" i="17"/>
  <c r="DO262" i="17"/>
  <c r="DP262" i="17"/>
  <c r="DQ262" i="17"/>
  <c r="DR262" i="17"/>
  <c r="DS262" i="17"/>
  <c r="DT262" i="17"/>
  <c r="DU262" i="17"/>
  <c r="DV262" i="17"/>
  <c r="DW262" i="17"/>
  <c r="DX262" i="17"/>
  <c r="DY262" i="17"/>
  <c r="DZ262" i="17"/>
  <c r="EA262" i="17"/>
  <c r="EB262" i="17"/>
  <c r="EC262" i="17"/>
  <c r="ED262" i="17"/>
  <c r="EE262" i="17"/>
  <c r="EF262" i="17"/>
  <c r="EG262" i="17"/>
  <c r="EH262" i="17"/>
  <c r="EI262" i="17"/>
  <c r="EJ262" i="17"/>
  <c r="EK262" i="17"/>
  <c r="EL262" i="17"/>
  <c r="EM262" i="17"/>
  <c r="EN262" i="17"/>
  <c r="EO262" i="17"/>
  <c r="EP262" i="17"/>
  <c r="EQ262" i="17"/>
  <c r="ER262" i="17"/>
  <c r="ES262" i="17"/>
  <c r="ET262" i="17"/>
  <c r="EU262" i="17"/>
  <c r="EV262" i="17"/>
  <c r="EW262" i="17"/>
  <c r="EX262" i="17"/>
  <c r="EY262" i="17"/>
  <c r="EZ262" i="17"/>
  <c r="FA262" i="17"/>
  <c r="FB262" i="17"/>
  <c r="FC262" i="17"/>
  <c r="FD262" i="17"/>
  <c r="FE262" i="17"/>
  <c r="FF262" i="17"/>
  <c r="FG262" i="17"/>
  <c r="FH262" i="17"/>
  <c r="FI262" i="17"/>
  <c r="FJ262" i="17"/>
  <c r="FK262" i="17"/>
  <c r="FL262" i="17"/>
  <c r="FM262" i="17"/>
  <c r="FN262" i="17"/>
  <c r="FO262" i="17"/>
  <c r="FP262" i="17"/>
  <c r="FQ262" i="17"/>
  <c r="FR262" i="17"/>
  <c r="FS262" i="17"/>
  <c r="FT262" i="17"/>
  <c r="FU262" i="17"/>
  <c r="FV262" i="17"/>
  <c r="FW262" i="17"/>
  <c r="FX262" i="17"/>
  <c r="FY262" i="17"/>
  <c r="FZ262" i="17"/>
  <c r="GA262" i="17"/>
  <c r="GB262" i="17"/>
  <c r="GC262" i="17"/>
  <c r="GD262" i="17"/>
  <c r="GE262" i="17"/>
  <c r="GF262" i="17"/>
  <c r="GG262" i="17"/>
  <c r="GH262" i="17"/>
  <c r="GI262" i="17"/>
  <c r="GJ262" i="17"/>
  <c r="GK262" i="17"/>
  <c r="GL262" i="17"/>
  <c r="GM262" i="17"/>
  <c r="GN262" i="17"/>
  <c r="GO262" i="17"/>
  <c r="GP262" i="17"/>
  <c r="GQ262" i="17"/>
  <c r="GR262" i="17"/>
  <c r="GS262" i="17"/>
  <c r="GT262" i="17"/>
  <c r="GU262" i="17"/>
  <c r="GV262" i="17"/>
  <c r="GW262" i="17"/>
  <c r="GX262" i="17"/>
  <c r="GY262" i="17"/>
  <c r="GZ262" i="17"/>
  <c r="HA262" i="17"/>
  <c r="HB262" i="17"/>
  <c r="HC262" i="17"/>
  <c r="HD262" i="17"/>
  <c r="HE262" i="17"/>
  <c r="HF262" i="17"/>
  <c r="HG262" i="17"/>
  <c r="HH262" i="17"/>
  <c r="HI262" i="17"/>
  <c r="HJ262" i="17"/>
  <c r="HK262" i="17"/>
  <c r="HL262" i="17"/>
  <c r="HM262" i="17"/>
  <c r="HN262" i="17"/>
  <c r="HO262" i="17"/>
  <c r="HP262" i="17"/>
  <c r="HQ262" i="17"/>
  <c r="HR262" i="17"/>
  <c r="HS262" i="17"/>
  <c r="HT262" i="17"/>
  <c r="HU262" i="17"/>
  <c r="HV262" i="17"/>
  <c r="HW262" i="17"/>
  <c r="HX262" i="17"/>
  <c r="HY262" i="17"/>
  <c r="HZ262" i="17"/>
  <c r="IA262" i="17"/>
  <c r="IB262" i="17"/>
  <c r="IC262" i="17"/>
  <c r="ID262" i="17"/>
  <c r="IE262" i="17"/>
  <c r="IF262" i="17"/>
  <c r="IG262" i="17"/>
  <c r="IH262" i="17"/>
  <c r="II262" i="17"/>
  <c r="IJ262" i="17"/>
  <c r="IK262" i="17"/>
  <c r="IL262" i="17"/>
  <c r="IM262" i="17"/>
  <c r="IN262" i="17"/>
  <c r="IO262" i="17"/>
  <c r="IP262" i="17"/>
  <c r="IQ262" i="17"/>
  <c r="IR262" i="17"/>
  <c r="IS262" i="17"/>
  <c r="IT262" i="17"/>
  <c r="IU262" i="17"/>
  <c r="IV262" i="17"/>
  <c r="A261" i="17"/>
  <c r="B261" i="17"/>
  <c r="C261" i="17"/>
  <c r="D261" i="17"/>
  <c r="E261" i="17"/>
  <c r="F261" i="17"/>
  <c r="G261" i="17"/>
  <c r="H261" i="17"/>
  <c r="I261" i="17"/>
  <c r="J261" i="17"/>
  <c r="K261" i="17"/>
  <c r="L261" i="17"/>
  <c r="M261" i="17"/>
  <c r="N261" i="17"/>
  <c r="O261" i="17"/>
  <c r="P261" i="17"/>
  <c r="Q261" i="17"/>
  <c r="R261" i="17"/>
  <c r="S261" i="17"/>
  <c r="T261" i="17"/>
  <c r="U261" i="17"/>
  <c r="V261" i="17"/>
  <c r="W261" i="17"/>
  <c r="X261" i="17"/>
  <c r="Y261" i="17"/>
  <c r="Z261" i="17"/>
  <c r="AA261" i="17"/>
  <c r="AB261" i="17"/>
  <c r="AC261" i="17"/>
  <c r="AD261" i="17"/>
  <c r="AE261" i="17"/>
  <c r="AF261" i="17"/>
  <c r="AG261" i="17"/>
  <c r="AH261" i="17"/>
  <c r="AI261" i="17"/>
  <c r="AJ261" i="17"/>
  <c r="AK261" i="17"/>
  <c r="AL261" i="17"/>
  <c r="AM261" i="17"/>
  <c r="AN261" i="17"/>
  <c r="AO261" i="17"/>
  <c r="AP261" i="17"/>
  <c r="AQ261" i="17"/>
  <c r="AR261" i="17"/>
  <c r="AS261" i="17"/>
  <c r="AT261" i="17"/>
  <c r="AU261" i="17"/>
  <c r="AV261" i="17"/>
  <c r="AW261" i="17"/>
  <c r="AX261" i="17"/>
  <c r="AY261" i="17"/>
  <c r="AZ261" i="17"/>
  <c r="BA261" i="17"/>
  <c r="BB261" i="17"/>
  <c r="BC261" i="17"/>
  <c r="BD261" i="17"/>
  <c r="BE261" i="17"/>
  <c r="BF261" i="17"/>
  <c r="BG261" i="17"/>
  <c r="BH261" i="17"/>
  <c r="BI261" i="17"/>
  <c r="BJ261" i="17"/>
  <c r="BK261" i="17"/>
  <c r="BL261" i="17"/>
  <c r="BM261" i="17"/>
  <c r="BN261" i="17"/>
  <c r="BO261" i="17"/>
  <c r="BP261" i="17"/>
  <c r="BQ261" i="17"/>
  <c r="BR261" i="17"/>
  <c r="BS261" i="17"/>
  <c r="BT261" i="17"/>
  <c r="BU261" i="17"/>
  <c r="BV261" i="17"/>
  <c r="BW261" i="17"/>
  <c r="BX261" i="17"/>
  <c r="BY261" i="17"/>
  <c r="BZ261" i="17"/>
  <c r="CA261" i="17"/>
  <c r="CB261" i="17"/>
  <c r="CC261" i="17"/>
  <c r="CD261" i="17"/>
  <c r="CE261" i="17"/>
  <c r="CF261" i="17"/>
  <c r="CG261" i="17"/>
  <c r="CH261" i="17"/>
  <c r="CI261" i="17"/>
  <c r="CJ261" i="17"/>
  <c r="CK261" i="17"/>
  <c r="CL261" i="17"/>
  <c r="CM261" i="17"/>
  <c r="CN261" i="17"/>
  <c r="CO261" i="17"/>
  <c r="CP261" i="17"/>
  <c r="CQ261" i="17"/>
  <c r="CR261" i="17"/>
  <c r="CS261" i="17"/>
  <c r="CT261" i="17"/>
  <c r="CU261" i="17"/>
  <c r="CV261" i="17"/>
  <c r="CW261" i="17"/>
  <c r="CX261" i="17"/>
  <c r="CY261" i="17"/>
  <c r="CZ261" i="17"/>
  <c r="DA261" i="17"/>
  <c r="DB261" i="17"/>
  <c r="DC261" i="17"/>
  <c r="DD261" i="17"/>
  <c r="DE261" i="17"/>
  <c r="DF261" i="17"/>
  <c r="DG261" i="17"/>
  <c r="DH261" i="17"/>
  <c r="DI261" i="17"/>
  <c r="DJ261" i="17"/>
  <c r="DK261" i="17"/>
  <c r="DL261" i="17"/>
  <c r="DM261" i="17"/>
  <c r="DN261" i="17"/>
  <c r="DO261" i="17"/>
  <c r="DP261" i="17"/>
  <c r="DQ261" i="17"/>
  <c r="DR261" i="17"/>
  <c r="DS261" i="17"/>
  <c r="DT261" i="17"/>
  <c r="DU261" i="17"/>
  <c r="DV261" i="17"/>
  <c r="DW261" i="17"/>
  <c r="DX261" i="17"/>
  <c r="DY261" i="17"/>
  <c r="DZ261" i="17"/>
  <c r="EA261" i="17"/>
  <c r="EB261" i="17"/>
  <c r="EC261" i="17"/>
  <c r="ED261" i="17"/>
  <c r="EE261" i="17"/>
  <c r="EF261" i="17"/>
  <c r="EG261" i="17"/>
  <c r="EH261" i="17"/>
  <c r="EI261" i="17"/>
  <c r="EJ261" i="17"/>
  <c r="EK261" i="17"/>
  <c r="EL261" i="17"/>
  <c r="EM261" i="17"/>
  <c r="EN261" i="17"/>
  <c r="EO261" i="17"/>
  <c r="EP261" i="17"/>
  <c r="EQ261" i="17"/>
  <c r="ER261" i="17"/>
  <c r="ES261" i="17"/>
  <c r="ET261" i="17"/>
  <c r="EU261" i="17"/>
  <c r="EV261" i="17"/>
  <c r="EW261" i="17"/>
  <c r="EX261" i="17"/>
  <c r="EY261" i="17"/>
  <c r="EZ261" i="17"/>
  <c r="FA261" i="17"/>
  <c r="FB261" i="17"/>
  <c r="FC261" i="17"/>
  <c r="FD261" i="17"/>
  <c r="FE261" i="17"/>
  <c r="FF261" i="17"/>
  <c r="FG261" i="17"/>
  <c r="FH261" i="17"/>
  <c r="FI261" i="17"/>
  <c r="FJ261" i="17"/>
  <c r="FK261" i="17"/>
  <c r="FL261" i="17"/>
  <c r="FM261" i="17"/>
  <c r="FN261" i="17"/>
  <c r="FO261" i="17"/>
  <c r="FP261" i="17"/>
  <c r="FQ261" i="17"/>
  <c r="FR261" i="17"/>
  <c r="FS261" i="17"/>
  <c r="FT261" i="17"/>
  <c r="FU261" i="17"/>
  <c r="FV261" i="17"/>
  <c r="FW261" i="17"/>
  <c r="FX261" i="17"/>
  <c r="FY261" i="17"/>
  <c r="FZ261" i="17"/>
  <c r="GA261" i="17"/>
  <c r="GB261" i="17"/>
  <c r="GC261" i="17"/>
  <c r="GD261" i="17"/>
  <c r="GE261" i="17"/>
  <c r="GF261" i="17"/>
  <c r="GG261" i="17"/>
  <c r="GH261" i="17"/>
  <c r="GI261" i="17"/>
  <c r="GJ261" i="17"/>
  <c r="GK261" i="17"/>
  <c r="GL261" i="17"/>
  <c r="GM261" i="17"/>
  <c r="GN261" i="17"/>
  <c r="GO261" i="17"/>
  <c r="GP261" i="17"/>
  <c r="GQ261" i="17"/>
  <c r="GR261" i="17"/>
  <c r="GS261" i="17"/>
  <c r="GT261" i="17"/>
  <c r="GU261" i="17"/>
  <c r="GV261" i="17"/>
  <c r="GW261" i="17"/>
  <c r="GX261" i="17"/>
  <c r="GY261" i="17"/>
  <c r="GZ261" i="17"/>
  <c r="HA261" i="17"/>
  <c r="HB261" i="17"/>
  <c r="HC261" i="17"/>
  <c r="HD261" i="17"/>
  <c r="HE261" i="17"/>
  <c r="HF261" i="17"/>
  <c r="HG261" i="17"/>
  <c r="HH261" i="17"/>
  <c r="HI261" i="17"/>
  <c r="HJ261" i="17"/>
  <c r="HK261" i="17"/>
  <c r="HL261" i="17"/>
  <c r="HM261" i="17"/>
  <c r="HN261" i="17"/>
  <c r="HO261" i="17"/>
  <c r="HP261" i="17"/>
  <c r="HQ261" i="17"/>
  <c r="HR261" i="17"/>
  <c r="HS261" i="17"/>
  <c r="HT261" i="17"/>
  <c r="HU261" i="17"/>
  <c r="HV261" i="17"/>
  <c r="HW261" i="17"/>
  <c r="HX261" i="17"/>
  <c r="HY261" i="17"/>
  <c r="HZ261" i="17"/>
  <c r="IA261" i="17"/>
  <c r="IB261" i="17"/>
  <c r="IC261" i="17"/>
  <c r="ID261" i="17"/>
  <c r="IE261" i="17"/>
  <c r="IF261" i="17"/>
  <c r="IG261" i="17"/>
  <c r="IH261" i="17"/>
  <c r="II261" i="17"/>
  <c r="IJ261" i="17"/>
  <c r="IK261" i="17"/>
  <c r="IL261" i="17"/>
  <c r="IM261" i="17"/>
  <c r="IN261" i="17"/>
  <c r="IO261" i="17"/>
  <c r="IP261" i="17"/>
  <c r="IQ261" i="17"/>
  <c r="IR261" i="17"/>
  <c r="IS261" i="17"/>
  <c r="IT261" i="17"/>
  <c r="IU261" i="17"/>
  <c r="IV261" i="17"/>
  <c r="A260" i="17"/>
  <c r="B260" i="17"/>
  <c r="C260" i="17"/>
  <c r="D260" i="17"/>
  <c r="E260" i="17"/>
  <c r="F260" i="17"/>
  <c r="G260" i="17"/>
  <c r="H260" i="17"/>
  <c r="I260" i="17"/>
  <c r="J260" i="17"/>
  <c r="K260" i="17"/>
  <c r="L260" i="17"/>
  <c r="M260" i="17"/>
  <c r="N260" i="17"/>
  <c r="O260" i="17"/>
  <c r="P260" i="17"/>
  <c r="Q260" i="17"/>
  <c r="R260" i="17"/>
  <c r="S260" i="17"/>
  <c r="T260" i="17"/>
  <c r="U260" i="17"/>
  <c r="V260" i="17"/>
  <c r="W260" i="17"/>
  <c r="X260" i="17"/>
  <c r="Y260" i="17"/>
  <c r="Z260" i="17"/>
  <c r="AA260" i="17"/>
  <c r="AB260" i="17"/>
  <c r="AC260" i="17"/>
  <c r="AD260" i="17"/>
  <c r="AE260" i="17"/>
  <c r="AF260" i="17"/>
  <c r="AG260" i="17"/>
  <c r="AH260" i="17"/>
  <c r="AI260" i="17"/>
  <c r="AJ260" i="17"/>
  <c r="AK260" i="17"/>
  <c r="AL260" i="17"/>
  <c r="AM260" i="17"/>
  <c r="AN260" i="17"/>
  <c r="AO260" i="17"/>
  <c r="AP260" i="17"/>
  <c r="AQ260" i="17"/>
  <c r="AR260" i="17"/>
  <c r="AS260" i="17"/>
  <c r="AT260" i="17"/>
  <c r="AU260" i="17"/>
  <c r="AV260" i="17"/>
  <c r="AW260" i="17"/>
  <c r="AX260" i="17"/>
  <c r="AY260" i="17"/>
  <c r="AZ260" i="17"/>
  <c r="BA260" i="17"/>
  <c r="BB260" i="17"/>
  <c r="BC260" i="17"/>
  <c r="BD260" i="17"/>
  <c r="BE260" i="17"/>
  <c r="BF260" i="17"/>
  <c r="BG260" i="17"/>
  <c r="BH260" i="17"/>
  <c r="BI260" i="17"/>
  <c r="BJ260" i="17"/>
  <c r="BK260" i="17"/>
  <c r="BL260" i="17"/>
  <c r="BM260" i="17"/>
  <c r="BN260" i="17"/>
  <c r="BO260" i="17"/>
  <c r="BP260" i="17"/>
  <c r="BQ260" i="17"/>
  <c r="BR260" i="17"/>
  <c r="BS260" i="17"/>
  <c r="BT260" i="17"/>
  <c r="BU260" i="17"/>
  <c r="BV260" i="17"/>
  <c r="BW260" i="17"/>
  <c r="BX260" i="17"/>
  <c r="BY260" i="17"/>
  <c r="BZ260" i="17"/>
  <c r="CA260" i="17"/>
  <c r="CB260" i="17"/>
  <c r="CC260" i="17"/>
  <c r="CD260" i="17"/>
  <c r="CE260" i="17"/>
  <c r="CF260" i="17"/>
  <c r="CG260" i="17"/>
  <c r="CH260" i="17"/>
  <c r="CI260" i="17"/>
  <c r="CJ260" i="17"/>
  <c r="CK260" i="17"/>
  <c r="CL260" i="17"/>
  <c r="CM260" i="17"/>
  <c r="CN260" i="17"/>
  <c r="CO260" i="17"/>
  <c r="CP260" i="17"/>
  <c r="CQ260" i="17"/>
  <c r="CR260" i="17"/>
  <c r="CS260" i="17"/>
  <c r="CT260" i="17"/>
  <c r="CU260" i="17"/>
  <c r="CV260" i="17"/>
  <c r="CW260" i="17"/>
  <c r="CX260" i="17"/>
  <c r="CY260" i="17"/>
  <c r="CZ260" i="17"/>
  <c r="DA260" i="17"/>
  <c r="DB260" i="17"/>
  <c r="DC260" i="17"/>
  <c r="DD260" i="17"/>
  <c r="DE260" i="17"/>
  <c r="DF260" i="17"/>
  <c r="DG260" i="17"/>
  <c r="DH260" i="17"/>
  <c r="DI260" i="17"/>
  <c r="DJ260" i="17"/>
  <c r="DK260" i="17"/>
  <c r="DL260" i="17"/>
  <c r="DM260" i="17"/>
  <c r="DN260" i="17"/>
  <c r="DO260" i="17"/>
  <c r="DP260" i="17"/>
  <c r="DQ260" i="17"/>
  <c r="DR260" i="17"/>
  <c r="DS260" i="17"/>
  <c r="DT260" i="17"/>
  <c r="DU260" i="17"/>
  <c r="DV260" i="17"/>
  <c r="DW260" i="17"/>
  <c r="DX260" i="17"/>
  <c r="DY260" i="17"/>
  <c r="DZ260" i="17"/>
  <c r="EA260" i="17"/>
  <c r="EB260" i="17"/>
  <c r="EC260" i="17"/>
  <c r="ED260" i="17"/>
  <c r="EE260" i="17"/>
  <c r="EF260" i="17"/>
  <c r="EG260" i="17"/>
  <c r="EH260" i="17"/>
  <c r="EI260" i="17"/>
  <c r="EJ260" i="17"/>
  <c r="EK260" i="17"/>
  <c r="EL260" i="17"/>
  <c r="EM260" i="17"/>
  <c r="EN260" i="17"/>
  <c r="EO260" i="17"/>
  <c r="EP260" i="17"/>
  <c r="EQ260" i="17"/>
  <c r="ER260" i="17"/>
  <c r="ES260" i="17"/>
  <c r="ET260" i="17"/>
  <c r="EU260" i="17"/>
  <c r="EV260" i="17"/>
  <c r="EW260" i="17"/>
  <c r="EX260" i="17"/>
  <c r="EY260" i="17"/>
  <c r="EZ260" i="17"/>
  <c r="FA260" i="17"/>
  <c r="FB260" i="17"/>
  <c r="FC260" i="17"/>
  <c r="FD260" i="17"/>
  <c r="FE260" i="17"/>
  <c r="FF260" i="17"/>
  <c r="FG260" i="17"/>
  <c r="FH260" i="17"/>
  <c r="FI260" i="17"/>
  <c r="FJ260" i="17"/>
  <c r="FK260" i="17"/>
  <c r="FL260" i="17"/>
  <c r="FM260" i="17"/>
  <c r="FN260" i="17"/>
  <c r="FO260" i="17"/>
  <c r="FP260" i="17"/>
  <c r="FQ260" i="17"/>
  <c r="FR260" i="17"/>
  <c r="FS260" i="17"/>
  <c r="FT260" i="17"/>
  <c r="FU260" i="17"/>
  <c r="FV260" i="17"/>
  <c r="FW260" i="17"/>
  <c r="FX260" i="17"/>
  <c r="FY260" i="17"/>
  <c r="FZ260" i="17"/>
  <c r="GA260" i="17"/>
  <c r="GB260" i="17"/>
  <c r="GC260" i="17"/>
  <c r="GD260" i="17"/>
  <c r="GE260" i="17"/>
  <c r="GF260" i="17"/>
  <c r="GG260" i="17"/>
  <c r="GH260" i="17"/>
  <c r="GI260" i="17"/>
  <c r="GJ260" i="17"/>
  <c r="GK260" i="17"/>
  <c r="GL260" i="17"/>
  <c r="GM260" i="17"/>
  <c r="GN260" i="17"/>
  <c r="GO260" i="17"/>
  <c r="GP260" i="17"/>
  <c r="GQ260" i="17"/>
  <c r="GR260" i="17"/>
  <c r="GS260" i="17"/>
  <c r="GT260" i="17"/>
  <c r="GU260" i="17"/>
  <c r="GV260" i="17"/>
  <c r="GW260" i="17"/>
  <c r="GX260" i="17"/>
  <c r="GY260" i="17"/>
  <c r="GZ260" i="17"/>
  <c r="HA260" i="17"/>
  <c r="HB260" i="17"/>
  <c r="HC260" i="17"/>
  <c r="HD260" i="17"/>
  <c r="HE260" i="17"/>
  <c r="HF260" i="17"/>
  <c r="HG260" i="17"/>
  <c r="HH260" i="17"/>
  <c r="HI260" i="17"/>
  <c r="HJ260" i="17"/>
  <c r="HK260" i="17"/>
  <c r="HL260" i="17"/>
  <c r="HM260" i="17"/>
  <c r="HN260" i="17"/>
  <c r="HO260" i="17"/>
  <c r="HP260" i="17"/>
  <c r="HQ260" i="17"/>
  <c r="HR260" i="17"/>
  <c r="HS260" i="17"/>
  <c r="HT260" i="17"/>
  <c r="HU260" i="17"/>
  <c r="HV260" i="17"/>
  <c r="HW260" i="17"/>
  <c r="HX260" i="17"/>
  <c r="HY260" i="17"/>
  <c r="HZ260" i="17"/>
  <c r="IA260" i="17"/>
  <c r="IB260" i="17"/>
  <c r="IC260" i="17"/>
  <c r="ID260" i="17"/>
  <c r="IE260" i="17"/>
  <c r="IF260" i="17"/>
  <c r="IG260" i="17"/>
  <c r="IH260" i="17"/>
  <c r="II260" i="17"/>
  <c r="IJ260" i="17"/>
  <c r="IK260" i="17"/>
  <c r="IL260" i="17"/>
  <c r="IM260" i="17"/>
  <c r="IN260" i="17"/>
  <c r="IO260" i="17"/>
  <c r="IP260" i="17"/>
  <c r="IQ260" i="17"/>
  <c r="IR260" i="17"/>
  <c r="IS260" i="17"/>
  <c r="IT260" i="17"/>
  <c r="IU260" i="17"/>
  <c r="IV260" i="17"/>
  <c r="A259" i="17"/>
  <c r="B259" i="17"/>
  <c r="C259" i="17"/>
  <c r="D259" i="17"/>
  <c r="E259" i="17"/>
  <c r="F259" i="17"/>
  <c r="G259" i="17"/>
  <c r="H259" i="17"/>
  <c r="I259" i="17"/>
  <c r="J259" i="17"/>
  <c r="K259" i="17"/>
  <c r="L259" i="17"/>
  <c r="M259" i="17"/>
  <c r="N259" i="17"/>
  <c r="O259" i="17"/>
  <c r="P259" i="17"/>
  <c r="Q259" i="17"/>
  <c r="R259" i="17"/>
  <c r="S259" i="17"/>
  <c r="T259" i="17"/>
  <c r="U259" i="17"/>
  <c r="V259" i="17"/>
  <c r="W259" i="17"/>
  <c r="X259" i="17"/>
  <c r="Y259" i="17"/>
  <c r="Z259" i="17"/>
  <c r="AA259" i="17"/>
  <c r="AB259" i="17"/>
  <c r="AC259" i="17"/>
  <c r="AD259" i="17"/>
  <c r="AE259" i="17"/>
  <c r="AF259" i="17"/>
  <c r="AG259" i="17"/>
  <c r="AH259" i="17"/>
  <c r="AI259" i="17"/>
  <c r="AJ259" i="17"/>
  <c r="AK259" i="17"/>
  <c r="AL259" i="17"/>
  <c r="AM259" i="17"/>
  <c r="AN259" i="17"/>
  <c r="AO259" i="17"/>
  <c r="AP259" i="17"/>
  <c r="AQ259" i="17"/>
  <c r="AR259" i="17"/>
  <c r="AS259" i="17"/>
  <c r="AT259" i="17"/>
  <c r="AU259" i="17"/>
  <c r="AV259" i="17"/>
  <c r="AW259" i="17"/>
  <c r="AX259" i="17"/>
  <c r="AY259" i="17"/>
  <c r="AZ259" i="17"/>
  <c r="BA259" i="17"/>
  <c r="BB259" i="17"/>
  <c r="BC259" i="17"/>
  <c r="BD259" i="17"/>
  <c r="BE259" i="17"/>
  <c r="BF259" i="17"/>
  <c r="BG259" i="17"/>
  <c r="BH259" i="17"/>
  <c r="BI259" i="17"/>
  <c r="BJ259" i="17"/>
  <c r="BK259" i="17"/>
  <c r="BL259" i="17"/>
  <c r="BM259" i="17"/>
  <c r="BN259" i="17"/>
  <c r="BO259" i="17"/>
  <c r="BP259" i="17"/>
  <c r="BQ259" i="17"/>
  <c r="BR259" i="17"/>
  <c r="BS259" i="17"/>
  <c r="BT259" i="17"/>
  <c r="BU259" i="17"/>
  <c r="BV259" i="17"/>
  <c r="BW259" i="17"/>
  <c r="BX259" i="17"/>
  <c r="BY259" i="17"/>
  <c r="BZ259" i="17"/>
  <c r="CA259" i="17"/>
  <c r="CB259" i="17"/>
  <c r="CC259" i="17"/>
  <c r="CD259" i="17"/>
  <c r="CE259" i="17"/>
  <c r="CF259" i="17"/>
  <c r="CG259" i="17"/>
  <c r="CH259" i="17"/>
  <c r="CI259" i="17"/>
  <c r="CJ259" i="17"/>
  <c r="CK259" i="17"/>
  <c r="CL259" i="17"/>
  <c r="CM259" i="17"/>
  <c r="CN259" i="17"/>
  <c r="CO259" i="17"/>
  <c r="CP259" i="17"/>
  <c r="CQ259" i="17"/>
  <c r="CR259" i="17"/>
  <c r="CS259" i="17"/>
  <c r="CT259" i="17"/>
  <c r="CU259" i="17"/>
  <c r="CV259" i="17"/>
  <c r="CW259" i="17"/>
  <c r="CX259" i="17"/>
  <c r="CY259" i="17"/>
  <c r="CZ259" i="17"/>
  <c r="DA259" i="17"/>
  <c r="DB259" i="17"/>
  <c r="DC259" i="17"/>
  <c r="DD259" i="17"/>
  <c r="DE259" i="17"/>
  <c r="DF259" i="17"/>
  <c r="DG259" i="17"/>
  <c r="DH259" i="17"/>
  <c r="DI259" i="17"/>
  <c r="DJ259" i="17"/>
  <c r="DK259" i="17"/>
  <c r="DL259" i="17"/>
  <c r="DM259" i="17"/>
  <c r="DN259" i="17"/>
  <c r="DO259" i="17"/>
  <c r="DP259" i="17"/>
  <c r="DQ259" i="17"/>
  <c r="DR259" i="17"/>
  <c r="DS259" i="17"/>
  <c r="DT259" i="17"/>
  <c r="DU259" i="17"/>
  <c r="DV259" i="17"/>
  <c r="DW259" i="17"/>
  <c r="DX259" i="17"/>
  <c r="DY259" i="17"/>
  <c r="DZ259" i="17"/>
  <c r="EA259" i="17"/>
  <c r="EB259" i="17"/>
  <c r="EC259" i="17"/>
  <c r="ED259" i="17"/>
  <c r="EE259" i="17"/>
  <c r="EF259" i="17"/>
  <c r="EG259" i="17"/>
  <c r="EH259" i="17"/>
  <c r="EI259" i="17"/>
  <c r="EJ259" i="17"/>
  <c r="EK259" i="17"/>
  <c r="EL259" i="17"/>
  <c r="EM259" i="17"/>
  <c r="EN259" i="17"/>
  <c r="EO259" i="17"/>
  <c r="EP259" i="17"/>
  <c r="EQ259" i="17"/>
  <c r="ER259" i="17"/>
  <c r="ES259" i="17"/>
  <c r="ET259" i="17"/>
  <c r="EU259" i="17"/>
  <c r="EV259" i="17"/>
  <c r="EW259" i="17"/>
  <c r="EX259" i="17"/>
  <c r="EY259" i="17"/>
  <c r="EZ259" i="17"/>
  <c r="FA259" i="17"/>
  <c r="FB259" i="17"/>
  <c r="FC259" i="17"/>
  <c r="FD259" i="17"/>
  <c r="FE259" i="17"/>
  <c r="FF259" i="17"/>
  <c r="FG259" i="17"/>
  <c r="FH259" i="17"/>
  <c r="FI259" i="17"/>
  <c r="FJ259" i="17"/>
  <c r="FK259" i="17"/>
  <c r="FL259" i="17"/>
  <c r="FM259" i="17"/>
  <c r="FN259" i="17"/>
  <c r="FO259" i="17"/>
  <c r="FP259" i="17"/>
  <c r="FQ259" i="17"/>
  <c r="FR259" i="17"/>
  <c r="FS259" i="17"/>
  <c r="FT259" i="17"/>
  <c r="FU259" i="17"/>
  <c r="FV259" i="17"/>
  <c r="FW259" i="17"/>
  <c r="FX259" i="17"/>
  <c r="FY259" i="17"/>
  <c r="FZ259" i="17"/>
  <c r="GA259" i="17"/>
  <c r="GB259" i="17"/>
  <c r="GC259" i="17"/>
  <c r="GD259" i="17"/>
  <c r="GE259" i="17"/>
  <c r="GF259" i="17"/>
  <c r="GG259" i="17"/>
  <c r="GH259" i="17"/>
  <c r="GI259" i="17"/>
  <c r="GJ259" i="17"/>
  <c r="GK259" i="17"/>
  <c r="GL259" i="17"/>
  <c r="GM259" i="17"/>
  <c r="GN259" i="17"/>
  <c r="GO259" i="17"/>
  <c r="GP259" i="17"/>
  <c r="GQ259" i="17"/>
  <c r="GR259" i="17"/>
  <c r="GS259" i="17"/>
  <c r="GT259" i="17"/>
  <c r="GU259" i="17"/>
  <c r="GV259" i="17"/>
  <c r="GW259" i="17"/>
  <c r="GX259" i="17"/>
  <c r="GY259" i="17"/>
  <c r="GZ259" i="17"/>
  <c r="HA259" i="17"/>
  <c r="HB259" i="17"/>
  <c r="HC259" i="17"/>
  <c r="HD259" i="17"/>
  <c r="HE259" i="17"/>
  <c r="HF259" i="17"/>
  <c r="HG259" i="17"/>
  <c r="HH259" i="17"/>
  <c r="HI259" i="17"/>
  <c r="HJ259" i="17"/>
  <c r="HK259" i="17"/>
  <c r="HL259" i="17"/>
  <c r="HM259" i="17"/>
  <c r="HN259" i="17"/>
  <c r="HO259" i="17"/>
  <c r="HP259" i="17"/>
  <c r="HQ259" i="17"/>
  <c r="HR259" i="17"/>
  <c r="HS259" i="17"/>
  <c r="HT259" i="17"/>
  <c r="HU259" i="17"/>
  <c r="HV259" i="17"/>
  <c r="HW259" i="17"/>
  <c r="HX259" i="17"/>
  <c r="HY259" i="17"/>
  <c r="HZ259" i="17"/>
  <c r="IA259" i="17"/>
  <c r="IB259" i="17"/>
  <c r="IC259" i="17"/>
  <c r="ID259" i="17"/>
  <c r="IE259" i="17"/>
  <c r="IF259" i="17"/>
  <c r="IG259" i="17"/>
  <c r="IH259" i="17"/>
  <c r="II259" i="17"/>
  <c r="IJ259" i="17"/>
  <c r="IK259" i="17"/>
  <c r="IL259" i="17"/>
  <c r="IM259" i="17"/>
  <c r="IN259" i="17"/>
  <c r="IO259" i="17"/>
  <c r="IP259" i="17"/>
  <c r="IQ259" i="17"/>
  <c r="IR259" i="17"/>
  <c r="IS259" i="17"/>
  <c r="IT259" i="17"/>
  <c r="IU259" i="17"/>
  <c r="IV259" i="17"/>
  <c r="A258" i="17"/>
  <c r="B258" i="17"/>
  <c r="C258" i="17"/>
  <c r="D258" i="17"/>
  <c r="E258" i="17"/>
  <c r="F258" i="17"/>
  <c r="G258" i="17"/>
  <c r="H258" i="17"/>
  <c r="I258" i="17"/>
  <c r="J258" i="17"/>
  <c r="K258" i="17"/>
  <c r="L258" i="17"/>
  <c r="M258" i="17"/>
  <c r="N258" i="17"/>
  <c r="O258" i="17"/>
  <c r="P258" i="17"/>
  <c r="Q258" i="17"/>
  <c r="R258" i="17"/>
  <c r="S258" i="17"/>
  <c r="T258" i="17"/>
  <c r="U258" i="17"/>
  <c r="V258" i="17"/>
  <c r="W258" i="17"/>
  <c r="X258" i="17"/>
  <c r="Y258" i="17"/>
  <c r="Z258" i="17"/>
  <c r="AA258" i="17"/>
  <c r="AB258" i="17"/>
  <c r="AC258" i="17"/>
  <c r="AD258" i="17"/>
  <c r="AE258" i="17"/>
  <c r="AF258" i="17"/>
  <c r="AG258" i="17"/>
  <c r="AH258" i="17"/>
  <c r="AI258" i="17"/>
  <c r="AJ258" i="17"/>
  <c r="AK258" i="17"/>
  <c r="AL258" i="17"/>
  <c r="AM258" i="17"/>
  <c r="AN258" i="17"/>
  <c r="AO258" i="17"/>
  <c r="AP258" i="17"/>
  <c r="AQ258" i="17"/>
  <c r="AR258" i="17"/>
  <c r="AS258" i="17"/>
  <c r="AT258" i="17"/>
  <c r="AU258" i="17"/>
  <c r="AV258" i="17"/>
  <c r="AW258" i="17"/>
  <c r="AX258" i="17"/>
  <c r="AY258" i="17"/>
  <c r="AZ258" i="17"/>
  <c r="BA258" i="17"/>
  <c r="BB258" i="17"/>
  <c r="BC258" i="17"/>
  <c r="BD258" i="17"/>
  <c r="BE258" i="17"/>
  <c r="BF258" i="17"/>
  <c r="BG258" i="17"/>
  <c r="BH258" i="17"/>
  <c r="BI258" i="17"/>
  <c r="BJ258" i="17"/>
  <c r="BK258" i="17"/>
  <c r="BL258" i="17"/>
  <c r="BM258" i="17"/>
  <c r="BN258" i="17"/>
  <c r="BO258" i="17"/>
  <c r="BP258" i="17"/>
  <c r="BQ258" i="17"/>
  <c r="BR258" i="17"/>
  <c r="BS258" i="17"/>
  <c r="BT258" i="17"/>
  <c r="BU258" i="17"/>
  <c r="BV258" i="17"/>
  <c r="BW258" i="17"/>
  <c r="BX258" i="17"/>
  <c r="BY258" i="17"/>
  <c r="BZ258" i="17"/>
  <c r="CA258" i="17"/>
  <c r="CB258" i="17"/>
  <c r="CC258" i="17"/>
  <c r="CD258" i="17"/>
  <c r="CE258" i="17"/>
  <c r="CF258" i="17"/>
  <c r="CG258" i="17"/>
  <c r="CH258" i="17"/>
  <c r="CI258" i="17"/>
  <c r="CJ258" i="17"/>
  <c r="CK258" i="17"/>
  <c r="CL258" i="17"/>
  <c r="CM258" i="17"/>
  <c r="CN258" i="17"/>
  <c r="CO258" i="17"/>
  <c r="CP258" i="17"/>
  <c r="CQ258" i="17"/>
  <c r="CR258" i="17"/>
  <c r="CS258" i="17"/>
  <c r="CT258" i="17"/>
  <c r="CU258" i="17"/>
  <c r="CV258" i="17"/>
  <c r="CW258" i="17"/>
  <c r="CX258" i="17"/>
  <c r="CY258" i="17"/>
  <c r="CZ258" i="17"/>
  <c r="DA258" i="17"/>
  <c r="DB258" i="17"/>
  <c r="DC258" i="17"/>
  <c r="DD258" i="17"/>
  <c r="DE258" i="17"/>
  <c r="DF258" i="17"/>
  <c r="DG258" i="17"/>
  <c r="DH258" i="17"/>
  <c r="DI258" i="17"/>
  <c r="DJ258" i="17"/>
  <c r="DK258" i="17"/>
  <c r="DL258" i="17"/>
  <c r="DM258" i="17"/>
  <c r="DN258" i="17"/>
  <c r="DO258" i="17"/>
  <c r="DP258" i="17"/>
  <c r="DQ258" i="17"/>
  <c r="DR258" i="17"/>
  <c r="DS258" i="17"/>
  <c r="DT258" i="17"/>
  <c r="DU258" i="17"/>
  <c r="DV258" i="17"/>
  <c r="DW258" i="17"/>
  <c r="DX258" i="17"/>
  <c r="DY258" i="17"/>
  <c r="DZ258" i="17"/>
  <c r="EA258" i="17"/>
  <c r="EB258" i="17"/>
  <c r="EC258" i="17"/>
  <c r="ED258" i="17"/>
  <c r="EE258" i="17"/>
  <c r="EF258" i="17"/>
  <c r="EG258" i="17"/>
  <c r="EH258" i="17"/>
  <c r="EI258" i="17"/>
  <c r="EJ258" i="17"/>
  <c r="EK258" i="17"/>
  <c r="EL258" i="17"/>
  <c r="EM258" i="17"/>
  <c r="EN258" i="17"/>
  <c r="EO258" i="17"/>
  <c r="EP258" i="17"/>
  <c r="EQ258" i="17"/>
  <c r="ER258" i="17"/>
  <c r="ES258" i="17"/>
  <c r="ET258" i="17"/>
  <c r="EU258" i="17"/>
  <c r="EV258" i="17"/>
  <c r="EW258" i="17"/>
  <c r="EX258" i="17"/>
  <c r="EY258" i="17"/>
  <c r="EZ258" i="17"/>
  <c r="FA258" i="17"/>
  <c r="FB258" i="17"/>
  <c r="FC258" i="17"/>
  <c r="FD258" i="17"/>
  <c r="FE258" i="17"/>
  <c r="FF258" i="17"/>
  <c r="FG258" i="17"/>
  <c r="FH258" i="17"/>
  <c r="FI258" i="17"/>
  <c r="FJ258" i="17"/>
  <c r="FK258" i="17"/>
  <c r="FL258" i="17"/>
  <c r="FM258" i="17"/>
  <c r="FN258" i="17"/>
  <c r="FO258" i="17"/>
  <c r="FP258" i="17"/>
  <c r="FQ258" i="17"/>
  <c r="FR258" i="17"/>
  <c r="FS258" i="17"/>
  <c r="FT258" i="17"/>
  <c r="FU258" i="17"/>
  <c r="FV258" i="17"/>
  <c r="FW258" i="17"/>
  <c r="FX258" i="17"/>
  <c r="FY258" i="17"/>
  <c r="FZ258" i="17"/>
  <c r="GA258" i="17"/>
  <c r="GB258" i="17"/>
  <c r="GC258" i="17"/>
  <c r="GD258" i="17"/>
  <c r="GE258" i="17"/>
  <c r="GF258" i="17"/>
  <c r="GG258" i="17"/>
  <c r="GH258" i="17"/>
  <c r="GI258" i="17"/>
  <c r="GJ258" i="17"/>
  <c r="GK258" i="17"/>
  <c r="GL258" i="17"/>
  <c r="GM258" i="17"/>
  <c r="GN258" i="17"/>
  <c r="GO258" i="17"/>
  <c r="GP258" i="17"/>
  <c r="GQ258" i="17"/>
  <c r="GR258" i="17"/>
  <c r="GS258" i="17"/>
  <c r="GT258" i="17"/>
  <c r="GU258" i="17"/>
  <c r="GV258" i="17"/>
  <c r="GW258" i="17"/>
  <c r="GX258" i="17"/>
  <c r="GY258" i="17"/>
  <c r="GZ258" i="17"/>
  <c r="HA258" i="17"/>
  <c r="HB258" i="17"/>
  <c r="HC258" i="17"/>
  <c r="HD258" i="17"/>
  <c r="HE258" i="17"/>
  <c r="HF258" i="17"/>
  <c r="HG258" i="17"/>
  <c r="HH258" i="17"/>
  <c r="HI258" i="17"/>
  <c r="HJ258" i="17"/>
  <c r="HK258" i="17"/>
  <c r="HL258" i="17"/>
  <c r="HM258" i="17"/>
  <c r="HN258" i="17"/>
  <c r="HO258" i="17"/>
  <c r="HP258" i="17"/>
  <c r="HQ258" i="17"/>
  <c r="HR258" i="17"/>
  <c r="HS258" i="17"/>
  <c r="HT258" i="17"/>
  <c r="HU258" i="17"/>
  <c r="HV258" i="17"/>
  <c r="HW258" i="17"/>
  <c r="HX258" i="17"/>
  <c r="HY258" i="17"/>
  <c r="HZ258" i="17"/>
  <c r="IA258" i="17"/>
  <c r="IB258" i="17"/>
  <c r="IC258" i="17"/>
  <c r="ID258" i="17"/>
  <c r="IE258" i="17"/>
  <c r="IF258" i="17"/>
  <c r="IG258" i="17"/>
  <c r="IH258" i="17"/>
  <c r="II258" i="17"/>
  <c r="IJ258" i="17"/>
  <c r="IK258" i="17"/>
  <c r="IL258" i="17"/>
  <c r="IM258" i="17"/>
  <c r="IN258" i="17"/>
  <c r="IO258" i="17"/>
  <c r="IP258" i="17"/>
  <c r="IQ258" i="17"/>
  <c r="IR258" i="17"/>
  <c r="IS258" i="17"/>
  <c r="IT258" i="17"/>
  <c r="IU258" i="17"/>
  <c r="IV258" i="17"/>
  <c r="A257" i="17"/>
  <c r="B257" i="17"/>
  <c r="C257" i="17"/>
  <c r="D257" i="17"/>
  <c r="E257" i="17"/>
  <c r="F257" i="17"/>
  <c r="G257" i="17"/>
  <c r="H257" i="17"/>
  <c r="I257" i="17"/>
  <c r="J257" i="17"/>
  <c r="K257" i="17"/>
  <c r="L257" i="17"/>
  <c r="M257" i="17"/>
  <c r="N257" i="17"/>
  <c r="O257" i="17"/>
  <c r="P257" i="17"/>
  <c r="Q257" i="17"/>
  <c r="R257" i="17"/>
  <c r="S257" i="17"/>
  <c r="T257" i="17"/>
  <c r="U257" i="17"/>
  <c r="V257" i="17"/>
  <c r="W257" i="17"/>
  <c r="X257" i="17"/>
  <c r="Y257" i="17"/>
  <c r="Z257" i="17"/>
  <c r="AA257" i="17"/>
  <c r="AB257" i="17"/>
  <c r="AC257" i="17"/>
  <c r="AD257" i="17"/>
  <c r="AE257" i="17"/>
  <c r="AF257" i="17"/>
  <c r="AG257" i="17"/>
  <c r="AH257" i="17"/>
  <c r="AI257" i="17"/>
  <c r="AJ257" i="17"/>
  <c r="AK257" i="17"/>
  <c r="AL257" i="17"/>
  <c r="AM257" i="17"/>
  <c r="AN257" i="17"/>
  <c r="AO257" i="17"/>
  <c r="AP257" i="17"/>
  <c r="AQ257" i="17"/>
  <c r="AR257" i="17"/>
  <c r="AS257" i="17"/>
  <c r="AT257" i="17"/>
  <c r="AU257" i="17"/>
  <c r="AV257" i="17"/>
  <c r="AW257" i="17"/>
  <c r="AX257" i="17"/>
  <c r="AY257" i="17"/>
  <c r="AZ257" i="17"/>
  <c r="BA257" i="17"/>
  <c r="BB257" i="17"/>
  <c r="BC257" i="17"/>
  <c r="BD257" i="17"/>
  <c r="BE257" i="17"/>
  <c r="BF257" i="17"/>
  <c r="BG257" i="17"/>
  <c r="BH257" i="17"/>
  <c r="BI257" i="17"/>
  <c r="BJ257" i="17"/>
  <c r="BK257" i="17"/>
  <c r="BL257" i="17"/>
  <c r="BM257" i="17"/>
  <c r="BN257" i="17"/>
  <c r="BO257" i="17"/>
  <c r="BP257" i="17"/>
  <c r="BQ257" i="17"/>
  <c r="BR257" i="17"/>
  <c r="BS257" i="17"/>
  <c r="BT257" i="17"/>
  <c r="BU257" i="17"/>
  <c r="BV257" i="17"/>
  <c r="BW257" i="17"/>
  <c r="BX257" i="17"/>
  <c r="BY257" i="17"/>
  <c r="BZ257" i="17"/>
  <c r="CA257" i="17"/>
  <c r="CB257" i="17"/>
  <c r="CC257" i="17"/>
  <c r="CD257" i="17"/>
  <c r="CE257" i="17"/>
  <c r="CF257" i="17"/>
  <c r="CG257" i="17"/>
  <c r="CH257" i="17"/>
  <c r="CI257" i="17"/>
  <c r="CJ257" i="17"/>
  <c r="CK257" i="17"/>
  <c r="CL257" i="17"/>
  <c r="CM257" i="17"/>
  <c r="CN257" i="17"/>
  <c r="CO257" i="17"/>
  <c r="CP257" i="17"/>
  <c r="CQ257" i="17"/>
  <c r="CR257" i="17"/>
  <c r="CS257" i="17"/>
  <c r="CT257" i="17"/>
  <c r="CU257" i="17"/>
  <c r="CV257" i="17"/>
  <c r="CW257" i="17"/>
  <c r="CX257" i="17"/>
  <c r="CY257" i="17"/>
  <c r="CZ257" i="17"/>
  <c r="DA257" i="17"/>
  <c r="DB257" i="17"/>
  <c r="DC257" i="17"/>
  <c r="DD257" i="17"/>
  <c r="DE257" i="17"/>
  <c r="DF257" i="17"/>
  <c r="DG257" i="17"/>
  <c r="DH257" i="17"/>
  <c r="DI257" i="17"/>
  <c r="DJ257" i="17"/>
  <c r="DK257" i="17"/>
  <c r="DL257" i="17"/>
  <c r="DM257" i="17"/>
  <c r="DN257" i="17"/>
  <c r="DO257" i="17"/>
  <c r="DP257" i="17"/>
  <c r="DQ257" i="17"/>
  <c r="DR257" i="17"/>
  <c r="DS257" i="17"/>
  <c r="DT257" i="17"/>
  <c r="DU257" i="17"/>
  <c r="DV257" i="17"/>
  <c r="DW257" i="17"/>
  <c r="DX257" i="17"/>
  <c r="DY257" i="17"/>
  <c r="DZ257" i="17"/>
  <c r="EA257" i="17"/>
  <c r="EB257" i="17"/>
  <c r="EC257" i="17"/>
  <c r="ED257" i="17"/>
  <c r="EE257" i="17"/>
  <c r="EF257" i="17"/>
  <c r="EG257" i="17"/>
  <c r="EH257" i="17"/>
  <c r="EI257" i="17"/>
  <c r="EJ257" i="17"/>
  <c r="EK257" i="17"/>
  <c r="EL257" i="17"/>
  <c r="EM257" i="17"/>
  <c r="EN257" i="17"/>
  <c r="EO257" i="17"/>
  <c r="EP257" i="17"/>
  <c r="EQ257" i="17"/>
  <c r="ER257" i="17"/>
  <c r="ES257" i="17"/>
  <c r="ET257" i="17"/>
  <c r="EU257" i="17"/>
  <c r="EV257" i="17"/>
  <c r="EW257" i="17"/>
  <c r="EX257" i="17"/>
  <c r="EY257" i="17"/>
  <c r="EZ257" i="17"/>
  <c r="FA257" i="17"/>
  <c r="FB257" i="17"/>
  <c r="FC257" i="17"/>
  <c r="FD257" i="17"/>
  <c r="FE257" i="17"/>
  <c r="FF257" i="17"/>
  <c r="FG257" i="17"/>
  <c r="FH257" i="17"/>
  <c r="FI257" i="17"/>
  <c r="FJ257" i="17"/>
  <c r="FK257" i="17"/>
  <c r="FL257" i="17"/>
  <c r="FM257" i="17"/>
  <c r="FN257" i="17"/>
  <c r="FO257" i="17"/>
  <c r="FP257" i="17"/>
  <c r="FQ257" i="17"/>
  <c r="FR257" i="17"/>
  <c r="FS257" i="17"/>
  <c r="FT257" i="17"/>
  <c r="FU257" i="17"/>
  <c r="FV257" i="17"/>
  <c r="FW257" i="17"/>
  <c r="FX257" i="17"/>
  <c r="FY257" i="17"/>
  <c r="FZ257" i="17"/>
  <c r="GA257" i="17"/>
  <c r="GB257" i="17"/>
  <c r="GC257" i="17"/>
  <c r="GD257" i="17"/>
  <c r="GE257" i="17"/>
  <c r="GF257" i="17"/>
  <c r="GG257" i="17"/>
  <c r="GH257" i="17"/>
  <c r="GI257" i="17"/>
  <c r="GJ257" i="17"/>
  <c r="GK257" i="17"/>
  <c r="GL257" i="17"/>
  <c r="GM257" i="17"/>
  <c r="GN257" i="17"/>
  <c r="GO257" i="17"/>
  <c r="GP257" i="17"/>
  <c r="GQ257" i="17"/>
  <c r="GR257" i="17"/>
  <c r="GS257" i="17"/>
  <c r="GT257" i="17"/>
  <c r="GU257" i="17"/>
  <c r="GV257" i="17"/>
  <c r="GW257" i="17"/>
  <c r="GX257" i="17"/>
  <c r="GY257" i="17"/>
  <c r="GZ257" i="17"/>
  <c r="HA257" i="17"/>
  <c r="HB257" i="17"/>
  <c r="HC257" i="17"/>
  <c r="HD257" i="17"/>
  <c r="HE257" i="17"/>
  <c r="HF257" i="17"/>
  <c r="HG257" i="17"/>
  <c r="HH257" i="17"/>
  <c r="HI257" i="17"/>
  <c r="HJ257" i="17"/>
  <c r="HK257" i="17"/>
  <c r="HL257" i="17"/>
  <c r="HM257" i="17"/>
  <c r="HN257" i="17"/>
  <c r="HO257" i="17"/>
  <c r="HP257" i="17"/>
  <c r="HQ257" i="17"/>
  <c r="HR257" i="17"/>
  <c r="HS257" i="17"/>
  <c r="HT257" i="17"/>
  <c r="HU257" i="17"/>
  <c r="HV257" i="17"/>
  <c r="HW257" i="17"/>
  <c r="HX257" i="17"/>
  <c r="HY257" i="17"/>
  <c r="HZ257" i="17"/>
  <c r="IA257" i="17"/>
  <c r="IB257" i="17"/>
  <c r="IC257" i="17"/>
  <c r="ID257" i="17"/>
  <c r="IE257" i="17"/>
  <c r="IF257" i="17"/>
  <c r="IG257" i="17"/>
  <c r="IH257" i="17"/>
  <c r="II257" i="17"/>
  <c r="IJ257" i="17"/>
  <c r="IK257" i="17"/>
  <c r="IL257" i="17"/>
  <c r="IM257" i="17"/>
  <c r="IN257" i="17"/>
  <c r="IO257" i="17"/>
  <c r="IP257" i="17"/>
  <c r="IQ257" i="17"/>
  <c r="IR257" i="17"/>
  <c r="IS257" i="17"/>
  <c r="IT257" i="17"/>
  <c r="IU257" i="17"/>
  <c r="IV257" i="17"/>
  <c r="A256" i="17"/>
  <c r="B256" i="17"/>
  <c r="C256" i="17"/>
  <c r="D256" i="17"/>
  <c r="E256" i="17"/>
  <c r="F256" i="17"/>
  <c r="G256" i="17"/>
  <c r="H256" i="17"/>
  <c r="I256" i="17"/>
  <c r="J256" i="17"/>
  <c r="K256" i="17"/>
  <c r="L256" i="17"/>
  <c r="M256" i="17"/>
  <c r="N256" i="17"/>
  <c r="O256" i="17"/>
  <c r="P256" i="17"/>
  <c r="Q256" i="17"/>
  <c r="R256" i="17"/>
  <c r="S256" i="17"/>
  <c r="T256" i="17"/>
  <c r="U256" i="17"/>
  <c r="V256" i="17"/>
  <c r="W256" i="17"/>
  <c r="X256" i="17"/>
  <c r="Y256" i="17"/>
  <c r="Z256" i="17"/>
  <c r="AA256" i="17"/>
  <c r="AB256" i="17"/>
  <c r="AC256" i="17"/>
  <c r="AD256" i="17"/>
  <c r="AE256" i="17"/>
  <c r="AF256" i="17"/>
  <c r="AG256" i="17"/>
  <c r="AH256" i="17"/>
  <c r="AI256" i="17"/>
  <c r="AJ256" i="17"/>
  <c r="AK256" i="17"/>
  <c r="AL256" i="17"/>
  <c r="AM256" i="17"/>
  <c r="AN256" i="17"/>
  <c r="AO256" i="17"/>
  <c r="AP256" i="17"/>
  <c r="AQ256" i="17"/>
  <c r="AR256" i="17"/>
  <c r="AS256" i="17"/>
  <c r="AT256" i="17"/>
  <c r="AU256" i="17"/>
  <c r="AV256" i="17"/>
  <c r="AW256" i="17"/>
  <c r="AX256" i="17"/>
  <c r="AY256" i="17"/>
  <c r="AZ256" i="17"/>
  <c r="BA256" i="17"/>
  <c r="BB256" i="17"/>
  <c r="BC256" i="17"/>
  <c r="BD256" i="17"/>
  <c r="BE256" i="17"/>
  <c r="BF256" i="17"/>
  <c r="BG256" i="17"/>
  <c r="BH256" i="17"/>
  <c r="BI256" i="17"/>
  <c r="BJ256" i="17"/>
  <c r="BK256" i="17"/>
  <c r="BL256" i="17"/>
  <c r="BM256" i="17"/>
  <c r="BN256" i="17"/>
  <c r="BO256" i="17"/>
  <c r="BP256" i="17"/>
  <c r="BQ256" i="17"/>
  <c r="BR256" i="17"/>
  <c r="BS256" i="17"/>
  <c r="BT256" i="17"/>
  <c r="BU256" i="17"/>
  <c r="BV256" i="17"/>
  <c r="BW256" i="17"/>
  <c r="BX256" i="17"/>
  <c r="BY256" i="17"/>
  <c r="BZ256" i="17"/>
  <c r="CA256" i="17"/>
  <c r="CB256" i="17"/>
  <c r="CC256" i="17"/>
  <c r="CD256" i="17"/>
  <c r="CE256" i="17"/>
  <c r="CF256" i="17"/>
  <c r="CG256" i="17"/>
  <c r="CH256" i="17"/>
  <c r="CI256" i="17"/>
  <c r="CJ256" i="17"/>
  <c r="CK256" i="17"/>
  <c r="CL256" i="17"/>
  <c r="CM256" i="17"/>
  <c r="CN256" i="17"/>
  <c r="CO256" i="17"/>
  <c r="CP256" i="17"/>
  <c r="CQ256" i="17"/>
  <c r="CR256" i="17"/>
  <c r="CS256" i="17"/>
  <c r="CT256" i="17"/>
  <c r="CU256" i="17"/>
  <c r="CV256" i="17"/>
  <c r="CW256" i="17"/>
  <c r="CX256" i="17"/>
  <c r="CY256" i="17"/>
  <c r="CZ256" i="17"/>
  <c r="DA256" i="17"/>
  <c r="DB256" i="17"/>
  <c r="DC256" i="17"/>
  <c r="DD256" i="17"/>
  <c r="DE256" i="17"/>
  <c r="DF256" i="17"/>
  <c r="DG256" i="17"/>
  <c r="DH256" i="17"/>
  <c r="DI256" i="17"/>
  <c r="DJ256" i="17"/>
  <c r="DK256" i="17"/>
  <c r="DL256" i="17"/>
  <c r="DM256" i="17"/>
  <c r="DN256" i="17"/>
  <c r="DO256" i="17"/>
  <c r="DP256" i="17"/>
  <c r="DQ256" i="17"/>
  <c r="DR256" i="17"/>
  <c r="DS256" i="17"/>
  <c r="DT256" i="17"/>
  <c r="DU256" i="17"/>
  <c r="DV256" i="17"/>
  <c r="DW256" i="17"/>
  <c r="DX256" i="17"/>
  <c r="DY256" i="17"/>
  <c r="DZ256" i="17"/>
  <c r="EA256" i="17"/>
  <c r="EB256" i="17"/>
  <c r="EC256" i="17"/>
  <c r="ED256" i="17"/>
  <c r="EE256" i="17"/>
  <c r="EF256" i="17"/>
  <c r="EG256" i="17"/>
  <c r="EH256" i="17"/>
  <c r="EI256" i="17"/>
  <c r="EJ256" i="17"/>
  <c r="EK256" i="17"/>
  <c r="EL256" i="17"/>
  <c r="EM256" i="17"/>
  <c r="EN256" i="17"/>
  <c r="EO256" i="17"/>
  <c r="EP256" i="17"/>
  <c r="EQ256" i="17"/>
  <c r="ER256" i="17"/>
  <c r="ES256" i="17"/>
  <c r="ET256" i="17"/>
  <c r="EU256" i="17"/>
  <c r="EV256" i="17"/>
  <c r="EW256" i="17"/>
  <c r="EX256" i="17"/>
  <c r="EY256" i="17"/>
  <c r="EZ256" i="17"/>
  <c r="FA256" i="17"/>
  <c r="FB256" i="17"/>
  <c r="FC256" i="17"/>
  <c r="FD256" i="17"/>
  <c r="FE256" i="17"/>
  <c r="FF256" i="17"/>
  <c r="FG256" i="17"/>
  <c r="FH256" i="17"/>
  <c r="FI256" i="17"/>
  <c r="FJ256" i="17"/>
  <c r="FK256" i="17"/>
  <c r="FL256" i="17"/>
  <c r="FM256" i="17"/>
  <c r="FN256" i="17"/>
  <c r="FO256" i="17"/>
  <c r="FP256" i="17"/>
  <c r="FQ256" i="17"/>
  <c r="FR256" i="17"/>
  <c r="FS256" i="17"/>
  <c r="FT256" i="17"/>
  <c r="FU256" i="17"/>
  <c r="FV256" i="17"/>
  <c r="FW256" i="17"/>
  <c r="FX256" i="17"/>
  <c r="FY256" i="17"/>
  <c r="FZ256" i="17"/>
  <c r="GA256" i="17"/>
  <c r="GB256" i="17"/>
  <c r="GC256" i="17"/>
  <c r="GD256" i="17"/>
  <c r="GE256" i="17"/>
  <c r="GF256" i="17"/>
  <c r="GG256" i="17"/>
  <c r="GH256" i="17"/>
  <c r="GI256" i="17"/>
  <c r="GJ256" i="17"/>
  <c r="GK256" i="17"/>
  <c r="GL256" i="17"/>
  <c r="GM256" i="17"/>
  <c r="GN256" i="17"/>
  <c r="GO256" i="17"/>
  <c r="GP256" i="17"/>
  <c r="GQ256" i="17"/>
  <c r="GR256" i="17"/>
  <c r="GS256" i="17"/>
  <c r="GT256" i="17"/>
  <c r="GU256" i="17"/>
  <c r="GV256" i="17"/>
  <c r="GW256" i="17"/>
  <c r="GX256" i="17"/>
  <c r="GY256" i="17"/>
  <c r="GZ256" i="17"/>
  <c r="HA256" i="17"/>
  <c r="HB256" i="17"/>
  <c r="HC256" i="17"/>
  <c r="HD256" i="17"/>
  <c r="HE256" i="17"/>
  <c r="HF256" i="17"/>
  <c r="HG256" i="17"/>
  <c r="HH256" i="17"/>
  <c r="HI256" i="17"/>
  <c r="HJ256" i="17"/>
  <c r="HK256" i="17"/>
  <c r="HL256" i="17"/>
  <c r="HM256" i="17"/>
  <c r="HN256" i="17"/>
  <c r="HO256" i="17"/>
  <c r="HP256" i="17"/>
  <c r="HQ256" i="17"/>
  <c r="HR256" i="17"/>
  <c r="HS256" i="17"/>
  <c r="HT256" i="17"/>
  <c r="HU256" i="17"/>
  <c r="HV256" i="17"/>
  <c r="HW256" i="17"/>
  <c r="HX256" i="17"/>
  <c r="HY256" i="17"/>
  <c r="HZ256" i="17"/>
  <c r="IA256" i="17"/>
  <c r="IB256" i="17"/>
  <c r="IC256" i="17"/>
  <c r="ID256" i="17"/>
  <c r="IE256" i="17"/>
  <c r="IF256" i="17"/>
  <c r="IG256" i="17"/>
  <c r="IH256" i="17"/>
  <c r="II256" i="17"/>
  <c r="IJ256" i="17"/>
  <c r="IK256" i="17"/>
  <c r="IL256" i="17"/>
  <c r="IM256" i="17"/>
  <c r="IN256" i="17"/>
  <c r="IO256" i="17"/>
  <c r="IP256" i="17"/>
  <c r="IQ256" i="17"/>
  <c r="IR256" i="17"/>
  <c r="IS256" i="17"/>
  <c r="IT256" i="17"/>
  <c r="IU256" i="17"/>
  <c r="IV256" i="17"/>
  <c r="A255" i="17"/>
  <c r="B255" i="17"/>
  <c r="C255" i="17"/>
  <c r="D255" i="17"/>
  <c r="E255" i="17"/>
  <c r="F255" i="17"/>
  <c r="G255" i="17"/>
  <c r="H255" i="17"/>
  <c r="I255" i="17"/>
  <c r="J255" i="17"/>
  <c r="K255" i="17"/>
  <c r="L255" i="17"/>
  <c r="M255" i="17"/>
  <c r="N255" i="17"/>
  <c r="O255" i="17"/>
  <c r="P255" i="17"/>
  <c r="Q255" i="17"/>
  <c r="R255" i="17"/>
  <c r="S255" i="17"/>
  <c r="T255" i="17"/>
  <c r="U255" i="17"/>
  <c r="V255" i="17"/>
  <c r="W255" i="17"/>
  <c r="X255" i="17"/>
  <c r="Y255" i="17"/>
  <c r="Z255" i="17"/>
  <c r="AA255" i="17"/>
  <c r="AB255" i="17"/>
  <c r="AC255" i="17"/>
  <c r="AD255" i="17"/>
  <c r="AE255" i="17"/>
  <c r="AF255" i="17"/>
  <c r="AG255" i="17"/>
  <c r="AH255" i="17"/>
  <c r="AI255" i="17"/>
  <c r="AJ255" i="17"/>
  <c r="AK255" i="17"/>
  <c r="AL255" i="17"/>
  <c r="AM255" i="17"/>
  <c r="AN255" i="17"/>
  <c r="AO255" i="17"/>
  <c r="AP255" i="17"/>
  <c r="AQ255" i="17"/>
  <c r="AR255" i="17"/>
  <c r="AS255" i="17"/>
  <c r="AT255" i="17"/>
  <c r="AU255" i="17"/>
  <c r="AV255" i="17"/>
  <c r="AW255" i="17"/>
  <c r="AX255" i="17"/>
  <c r="AY255" i="17"/>
  <c r="AZ255" i="17"/>
  <c r="BA255" i="17"/>
  <c r="BB255" i="17"/>
  <c r="BC255" i="17"/>
  <c r="BD255" i="17"/>
  <c r="BE255" i="17"/>
  <c r="BF255" i="17"/>
  <c r="BG255" i="17"/>
  <c r="BH255" i="17"/>
  <c r="BI255" i="17"/>
  <c r="BJ255" i="17"/>
  <c r="BK255" i="17"/>
  <c r="BL255" i="17"/>
  <c r="BM255" i="17"/>
  <c r="BN255" i="17"/>
  <c r="BO255" i="17"/>
  <c r="BP255" i="17"/>
  <c r="BQ255" i="17"/>
  <c r="BR255" i="17"/>
  <c r="BS255" i="17"/>
  <c r="BT255" i="17"/>
  <c r="BU255" i="17"/>
  <c r="BV255" i="17"/>
  <c r="BW255" i="17"/>
  <c r="BX255" i="17"/>
  <c r="BY255" i="17"/>
  <c r="BZ255" i="17"/>
  <c r="CA255" i="17"/>
  <c r="CB255" i="17"/>
  <c r="CC255" i="17"/>
  <c r="CD255" i="17"/>
  <c r="CE255" i="17"/>
  <c r="CF255" i="17"/>
  <c r="CG255" i="17"/>
  <c r="CH255" i="17"/>
  <c r="CI255" i="17"/>
  <c r="CJ255" i="17"/>
  <c r="CK255" i="17"/>
  <c r="CL255" i="17"/>
  <c r="CM255" i="17"/>
  <c r="CN255" i="17"/>
  <c r="CO255" i="17"/>
  <c r="CP255" i="17"/>
  <c r="CQ255" i="17"/>
  <c r="CR255" i="17"/>
  <c r="CS255" i="17"/>
  <c r="CT255" i="17"/>
  <c r="CU255" i="17"/>
  <c r="CV255" i="17"/>
  <c r="CW255" i="17"/>
  <c r="CX255" i="17"/>
  <c r="CY255" i="17"/>
  <c r="CZ255" i="17"/>
  <c r="DA255" i="17"/>
  <c r="DB255" i="17"/>
  <c r="DC255" i="17"/>
  <c r="DD255" i="17"/>
  <c r="DE255" i="17"/>
  <c r="DF255" i="17"/>
  <c r="DG255" i="17"/>
  <c r="DH255" i="17"/>
  <c r="DI255" i="17"/>
  <c r="DJ255" i="17"/>
  <c r="DK255" i="17"/>
  <c r="DL255" i="17"/>
  <c r="DM255" i="17"/>
  <c r="DN255" i="17"/>
  <c r="DO255" i="17"/>
  <c r="DP255" i="17"/>
  <c r="DQ255" i="17"/>
  <c r="DR255" i="17"/>
  <c r="DS255" i="17"/>
  <c r="DT255" i="17"/>
  <c r="DU255" i="17"/>
  <c r="DV255" i="17"/>
  <c r="DW255" i="17"/>
  <c r="DX255" i="17"/>
  <c r="DY255" i="17"/>
  <c r="DZ255" i="17"/>
  <c r="EA255" i="17"/>
  <c r="EB255" i="17"/>
  <c r="EC255" i="17"/>
  <c r="ED255" i="17"/>
  <c r="EE255" i="17"/>
  <c r="EF255" i="17"/>
  <c r="EG255" i="17"/>
  <c r="EH255" i="17"/>
  <c r="EI255" i="17"/>
  <c r="EJ255" i="17"/>
  <c r="EK255" i="17"/>
  <c r="EL255" i="17"/>
  <c r="EM255" i="17"/>
  <c r="EN255" i="17"/>
  <c r="EO255" i="17"/>
  <c r="EP255" i="17"/>
  <c r="EQ255" i="17"/>
  <c r="ER255" i="17"/>
  <c r="ES255" i="17"/>
  <c r="ET255" i="17"/>
  <c r="EU255" i="17"/>
  <c r="EV255" i="17"/>
  <c r="EW255" i="17"/>
  <c r="EX255" i="17"/>
  <c r="EY255" i="17"/>
  <c r="EZ255" i="17"/>
  <c r="FA255" i="17"/>
  <c r="FB255" i="17"/>
  <c r="FC255" i="17"/>
  <c r="FD255" i="17"/>
  <c r="FE255" i="17"/>
  <c r="FF255" i="17"/>
  <c r="FG255" i="17"/>
  <c r="FH255" i="17"/>
  <c r="FI255" i="17"/>
  <c r="FJ255" i="17"/>
  <c r="FK255" i="17"/>
  <c r="FL255" i="17"/>
  <c r="FM255" i="17"/>
  <c r="FN255" i="17"/>
  <c r="FO255" i="17"/>
  <c r="FP255" i="17"/>
  <c r="FQ255" i="17"/>
  <c r="FR255" i="17"/>
  <c r="FS255" i="17"/>
  <c r="FT255" i="17"/>
  <c r="FU255" i="17"/>
  <c r="FV255" i="17"/>
  <c r="FW255" i="17"/>
  <c r="FX255" i="17"/>
  <c r="FY255" i="17"/>
  <c r="FZ255" i="17"/>
  <c r="GA255" i="17"/>
  <c r="GB255" i="17"/>
  <c r="GC255" i="17"/>
  <c r="GD255" i="17"/>
  <c r="GE255" i="17"/>
  <c r="GF255" i="17"/>
  <c r="GG255" i="17"/>
  <c r="GH255" i="17"/>
  <c r="GI255" i="17"/>
  <c r="GJ255" i="17"/>
  <c r="GK255" i="17"/>
  <c r="GL255" i="17"/>
  <c r="GM255" i="17"/>
  <c r="GN255" i="17"/>
  <c r="GO255" i="17"/>
  <c r="GP255" i="17"/>
  <c r="GQ255" i="17"/>
  <c r="GR255" i="17"/>
  <c r="GS255" i="17"/>
  <c r="GT255" i="17"/>
  <c r="GU255" i="17"/>
  <c r="GV255" i="17"/>
  <c r="GW255" i="17"/>
  <c r="GX255" i="17"/>
  <c r="GY255" i="17"/>
  <c r="GZ255" i="17"/>
  <c r="HA255" i="17"/>
  <c r="HB255" i="17"/>
  <c r="HC255" i="17"/>
  <c r="HD255" i="17"/>
  <c r="HE255" i="17"/>
  <c r="HF255" i="17"/>
  <c r="HG255" i="17"/>
  <c r="HH255" i="17"/>
  <c r="HI255" i="17"/>
  <c r="HJ255" i="17"/>
  <c r="HK255" i="17"/>
  <c r="HL255" i="17"/>
  <c r="HM255" i="17"/>
  <c r="HN255" i="17"/>
  <c r="HO255" i="17"/>
  <c r="HP255" i="17"/>
  <c r="HQ255" i="17"/>
  <c r="HR255" i="17"/>
  <c r="HS255" i="17"/>
  <c r="HT255" i="17"/>
  <c r="HU255" i="17"/>
  <c r="HV255" i="17"/>
  <c r="HW255" i="17"/>
  <c r="HX255" i="17"/>
  <c r="HY255" i="17"/>
  <c r="HZ255" i="17"/>
  <c r="IA255" i="17"/>
  <c r="IB255" i="17"/>
  <c r="IC255" i="17"/>
  <c r="ID255" i="17"/>
  <c r="IE255" i="17"/>
  <c r="IF255" i="17"/>
  <c r="IG255" i="17"/>
  <c r="IH255" i="17"/>
  <c r="II255" i="17"/>
  <c r="IJ255" i="17"/>
  <c r="IK255" i="17"/>
  <c r="IL255" i="17"/>
  <c r="IM255" i="17"/>
  <c r="IN255" i="17"/>
  <c r="IO255" i="17"/>
  <c r="IP255" i="17"/>
  <c r="IQ255" i="17"/>
  <c r="IR255" i="17"/>
  <c r="IS255" i="17"/>
  <c r="IT255" i="17"/>
  <c r="IU255" i="17"/>
  <c r="IV255" i="17"/>
  <c r="A254" i="17"/>
  <c r="B254" i="17"/>
  <c r="C254" i="17"/>
  <c r="D254" i="17"/>
  <c r="E254" i="17"/>
  <c r="F254" i="17"/>
  <c r="G254" i="17"/>
  <c r="H254" i="17"/>
  <c r="I254" i="17"/>
  <c r="J254" i="17"/>
  <c r="K254" i="17"/>
  <c r="L254" i="17"/>
  <c r="M254" i="17"/>
  <c r="N254" i="17"/>
  <c r="O254" i="17"/>
  <c r="P254" i="17"/>
  <c r="Q254" i="17"/>
  <c r="R254" i="17"/>
  <c r="S254" i="17"/>
  <c r="T254" i="17"/>
  <c r="U254" i="17"/>
  <c r="V254" i="17"/>
  <c r="W254" i="17"/>
  <c r="X254" i="17"/>
  <c r="Y254" i="17"/>
  <c r="Z254" i="17"/>
  <c r="AA254" i="17"/>
  <c r="AB254" i="17"/>
  <c r="AC254" i="17"/>
  <c r="AD254" i="17"/>
  <c r="AE254" i="17"/>
  <c r="AF254" i="17"/>
  <c r="AG254" i="17"/>
  <c r="AH254" i="17"/>
  <c r="AI254" i="17"/>
  <c r="AJ254" i="17"/>
  <c r="AK254" i="17"/>
  <c r="AL254" i="17"/>
  <c r="AM254" i="17"/>
  <c r="AN254" i="17"/>
  <c r="AO254" i="17"/>
  <c r="AP254" i="17"/>
  <c r="AQ254" i="17"/>
  <c r="AR254" i="17"/>
  <c r="AS254" i="17"/>
  <c r="AT254" i="17"/>
  <c r="AU254" i="17"/>
  <c r="AV254" i="17"/>
  <c r="AW254" i="17"/>
  <c r="AX254" i="17"/>
  <c r="AY254" i="17"/>
  <c r="AZ254" i="17"/>
  <c r="BA254" i="17"/>
  <c r="BB254" i="17"/>
  <c r="BC254" i="17"/>
  <c r="BD254" i="17"/>
  <c r="BE254" i="17"/>
  <c r="BF254" i="17"/>
  <c r="BG254" i="17"/>
  <c r="BH254" i="17"/>
  <c r="BI254" i="17"/>
  <c r="BJ254" i="17"/>
  <c r="BK254" i="17"/>
  <c r="BL254" i="17"/>
  <c r="BM254" i="17"/>
  <c r="BN254" i="17"/>
  <c r="BO254" i="17"/>
  <c r="BP254" i="17"/>
  <c r="BQ254" i="17"/>
  <c r="BR254" i="17"/>
  <c r="BS254" i="17"/>
  <c r="BT254" i="17"/>
  <c r="BU254" i="17"/>
  <c r="BV254" i="17"/>
  <c r="BW254" i="17"/>
  <c r="BX254" i="17"/>
  <c r="BY254" i="17"/>
  <c r="BZ254" i="17"/>
  <c r="CA254" i="17"/>
  <c r="CB254" i="17"/>
  <c r="CC254" i="17"/>
  <c r="CD254" i="17"/>
  <c r="CE254" i="17"/>
  <c r="CF254" i="17"/>
  <c r="CG254" i="17"/>
  <c r="CH254" i="17"/>
  <c r="CI254" i="17"/>
  <c r="CJ254" i="17"/>
  <c r="CK254" i="17"/>
  <c r="CL254" i="17"/>
  <c r="CM254" i="17"/>
  <c r="CN254" i="17"/>
  <c r="CO254" i="17"/>
  <c r="CP254" i="17"/>
  <c r="CQ254" i="17"/>
  <c r="CR254" i="17"/>
  <c r="CS254" i="17"/>
  <c r="CT254" i="17"/>
  <c r="CU254" i="17"/>
  <c r="CV254" i="17"/>
  <c r="CW254" i="17"/>
  <c r="CX254" i="17"/>
  <c r="CY254" i="17"/>
  <c r="CZ254" i="17"/>
  <c r="DA254" i="17"/>
  <c r="DB254" i="17"/>
  <c r="DC254" i="17"/>
  <c r="DD254" i="17"/>
  <c r="DE254" i="17"/>
  <c r="DF254" i="17"/>
  <c r="DG254" i="17"/>
  <c r="DH254" i="17"/>
  <c r="DI254" i="17"/>
  <c r="DJ254" i="17"/>
  <c r="DK254" i="17"/>
  <c r="DL254" i="17"/>
  <c r="DM254" i="17"/>
  <c r="DN254" i="17"/>
  <c r="DO254" i="17"/>
  <c r="DP254" i="17"/>
  <c r="DQ254" i="17"/>
  <c r="DR254" i="17"/>
  <c r="DS254" i="17"/>
  <c r="DT254" i="17"/>
  <c r="DU254" i="17"/>
  <c r="DV254" i="17"/>
  <c r="DW254" i="17"/>
  <c r="DX254" i="17"/>
  <c r="DY254" i="17"/>
  <c r="DZ254" i="17"/>
  <c r="EA254" i="17"/>
  <c r="EB254" i="17"/>
  <c r="EC254" i="17"/>
  <c r="ED254" i="17"/>
  <c r="EE254" i="17"/>
  <c r="EF254" i="17"/>
  <c r="EG254" i="17"/>
  <c r="EH254" i="17"/>
  <c r="EI254" i="17"/>
  <c r="EJ254" i="17"/>
  <c r="EK254" i="17"/>
  <c r="EL254" i="17"/>
  <c r="EM254" i="17"/>
  <c r="EN254" i="17"/>
  <c r="EO254" i="17"/>
  <c r="EP254" i="17"/>
  <c r="EQ254" i="17"/>
  <c r="ER254" i="17"/>
  <c r="ES254" i="17"/>
  <c r="ET254" i="17"/>
  <c r="EU254" i="17"/>
  <c r="EV254" i="17"/>
  <c r="EW254" i="17"/>
  <c r="EX254" i="17"/>
  <c r="EY254" i="17"/>
  <c r="EZ254" i="17"/>
  <c r="FA254" i="17"/>
  <c r="FB254" i="17"/>
  <c r="FC254" i="17"/>
  <c r="FD254" i="17"/>
  <c r="FE254" i="17"/>
  <c r="FF254" i="17"/>
  <c r="FG254" i="17"/>
  <c r="FH254" i="17"/>
  <c r="FI254" i="17"/>
  <c r="FJ254" i="17"/>
  <c r="FK254" i="17"/>
  <c r="FL254" i="17"/>
  <c r="FM254" i="17"/>
  <c r="FN254" i="17"/>
  <c r="FO254" i="17"/>
  <c r="FP254" i="17"/>
  <c r="FQ254" i="17"/>
  <c r="FR254" i="17"/>
  <c r="FS254" i="17"/>
  <c r="FT254" i="17"/>
  <c r="FU254" i="17"/>
  <c r="FV254" i="17"/>
  <c r="FW254" i="17"/>
  <c r="FX254" i="17"/>
  <c r="FY254" i="17"/>
  <c r="FZ254" i="17"/>
  <c r="GA254" i="17"/>
  <c r="GB254" i="17"/>
  <c r="GC254" i="17"/>
  <c r="GD254" i="17"/>
  <c r="GE254" i="17"/>
  <c r="GF254" i="17"/>
  <c r="GG254" i="17"/>
  <c r="GH254" i="17"/>
  <c r="GI254" i="17"/>
  <c r="GJ254" i="17"/>
  <c r="GK254" i="17"/>
  <c r="GL254" i="17"/>
  <c r="GM254" i="17"/>
  <c r="GN254" i="17"/>
  <c r="GO254" i="17"/>
  <c r="GP254" i="17"/>
  <c r="GQ254" i="17"/>
  <c r="GR254" i="17"/>
  <c r="GS254" i="17"/>
  <c r="GT254" i="17"/>
  <c r="GU254" i="17"/>
  <c r="GV254" i="17"/>
  <c r="GW254" i="17"/>
  <c r="GX254" i="17"/>
  <c r="GY254" i="17"/>
  <c r="GZ254" i="17"/>
  <c r="HA254" i="17"/>
  <c r="HB254" i="17"/>
  <c r="HC254" i="17"/>
  <c r="HD254" i="17"/>
  <c r="HE254" i="17"/>
  <c r="HF254" i="17"/>
  <c r="HG254" i="17"/>
  <c r="HH254" i="17"/>
  <c r="HI254" i="17"/>
  <c r="HJ254" i="17"/>
  <c r="HK254" i="17"/>
  <c r="HL254" i="17"/>
  <c r="HM254" i="17"/>
  <c r="HN254" i="17"/>
  <c r="HO254" i="17"/>
  <c r="HP254" i="17"/>
  <c r="HQ254" i="17"/>
  <c r="HR254" i="17"/>
  <c r="HS254" i="17"/>
  <c r="HT254" i="17"/>
  <c r="HU254" i="17"/>
  <c r="HV254" i="17"/>
  <c r="HW254" i="17"/>
  <c r="HX254" i="17"/>
  <c r="HY254" i="17"/>
  <c r="HZ254" i="17"/>
  <c r="IA254" i="17"/>
  <c r="IB254" i="17"/>
  <c r="IC254" i="17"/>
  <c r="ID254" i="17"/>
  <c r="IE254" i="17"/>
  <c r="IF254" i="17"/>
  <c r="IG254" i="17"/>
  <c r="IH254" i="17"/>
  <c r="II254" i="17"/>
  <c r="IJ254" i="17"/>
  <c r="IK254" i="17"/>
  <c r="IL254" i="17"/>
  <c r="IM254" i="17"/>
  <c r="IN254" i="17"/>
  <c r="IO254" i="17"/>
  <c r="IP254" i="17"/>
  <c r="IQ254" i="17"/>
  <c r="IR254" i="17"/>
  <c r="IS254" i="17"/>
  <c r="IT254" i="17"/>
  <c r="IU254" i="17"/>
  <c r="IV254" i="17"/>
  <c r="A253" i="17"/>
  <c r="B253" i="17"/>
  <c r="C253" i="17"/>
  <c r="D253" i="17"/>
  <c r="E253" i="17"/>
  <c r="F253" i="17"/>
  <c r="G253" i="17"/>
  <c r="H253" i="17"/>
  <c r="I253" i="17"/>
  <c r="J253" i="17"/>
  <c r="K253" i="17"/>
  <c r="L253" i="17"/>
  <c r="M253" i="17"/>
  <c r="N253" i="17"/>
  <c r="O253" i="17"/>
  <c r="P253" i="17"/>
  <c r="Q253" i="17"/>
  <c r="R253" i="17"/>
  <c r="S253" i="17"/>
  <c r="T253" i="17"/>
  <c r="U253" i="17"/>
  <c r="V253" i="17"/>
  <c r="W253" i="17"/>
  <c r="X253" i="17"/>
  <c r="Y253" i="17"/>
  <c r="Z253" i="17"/>
  <c r="AA253" i="17"/>
  <c r="AB253" i="17"/>
  <c r="AC253" i="17"/>
  <c r="AD253" i="17"/>
  <c r="AE253" i="17"/>
  <c r="AF253" i="17"/>
  <c r="AG253" i="17"/>
  <c r="AH253" i="17"/>
  <c r="AI253" i="17"/>
  <c r="AJ253" i="17"/>
  <c r="AK253" i="17"/>
  <c r="AL253" i="17"/>
  <c r="AM253" i="17"/>
  <c r="AN253" i="17"/>
  <c r="AO253" i="17"/>
  <c r="AP253" i="17"/>
  <c r="AQ253" i="17"/>
  <c r="AR253" i="17"/>
  <c r="AS253" i="17"/>
  <c r="AT253" i="17"/>
  <c r="AU253" i="17"/>
  <c r="AV253" i="17"/>
  <c r="AW253" i="17"/>
  <c r="AX253" i="17"/>
  <c r="AY253" i="17"/>
  <c r="AZ253" i="17"/>
  <c r="BA253" i="17"/>
  <c r="BB253" i="17"/>
  <c r="BC253" i="17"/>
  <c r="BD253" i="17"/>
  <c r="BE253" i="17"/>
  <c r="BF253" i="17"/>
  <c r="BG253" i="17"/>
  <c r="BH253" i="17"/>
  <c r="BI253" i="17"/>
  <c r="BJ253" i="17"/>
  <c r="BK253" i="17"/>
  <c r="BL253" i="17"/>
  <c r="BM253" i="17"/>
  <c r="BN253" i="17"/>
  <c r="BO253" i="17"/>
  <c r="BP253" i="17"/>
  <c r="BQ253" i="17"/>
  <c r="BR253" i="17"/>
  <c r="BS253" i="17"/>
  <c r="BT253" i="17"/>
  <c r="BU253" i="17"/>
  <c r="BV253" i="17"/>
  <c r="BW253" i="17"/>
  <c r="BX253" i="17"/>
  <c r="BY253" i="17"/>
  <c r="BZ253" i="17"/>
  <c r="CA253" i="17"/>
  <c r="CB253" i="17"/>
  <c r="CC253" i="17"/>
  <c r="CD253" i="17"/>
  <c r="CE253" i="17"/>
  <c r="CF253" i="17"/>
  <c r="CG253" i="17"/>
  <c r="CH253" i="17"/>
  <c r="CI253" i="17"/>
  <c r="CJ253" i="17"/>
  <c r="CK253" i="17"/>
  <c r="CL253" i="17"/>
  <c r="CM253" i="17"/>
  <c r="CN253" i="17"/>
  <c r="CO253" i="17"/>
  <c r="CP253" i="17"/>
  <c r="CQ253" i="17"/>
  <c r="CR253" i="17"/>
  <c r="CS253" i="17"/>
  <c r="CT253" i="17"/>
  <c r="CU253" i="17"/>
  <c r="CV253" i="17"/>
  <c r="CW253" i="17"/>
  <c r="CX253" i="17"/>
  <c r="CY253" i="17"/>
  <c r="CZ253" i="17"/>
  <c r="DA253" i="17"/>
  <c r="DB253" i="17"/>
  <c r="DC253" i="17"/>
  <c r="DD253" i="17"/>
  <c r="DE253" i="17"/>
  <c r="DF253" i="17"/>
  <c r="DG253" i="17"/>
  <c r="DH253" i="17"/>
  <c r="DI253" i="17"/>
  <c r="DJ253" i="17"/>
  <c r="DK253" i="17"/>
  <c r="DL253" i="17"/>
  <c r="DM253" i="17"/>
  <c r="DN253" i="17"/>
  <c r="DO253" i="17"/>
  <c r="DP253" i="17"/>
  <c r="DQ253" i="17"/>
  <c r="DR253" i="17"/>
  <c r="DS253" i="17"/>
  <c r="DT253" i="17"/>
  <c r="DU253" i="17"/>
  <c r="DV253" i="17"/>
  <c r="DW253" i="17"/>
  <c r="DX253" i="17"/>
  <c r="DY253" i="17"/>
  <c r="DZ253" i="17"/>
  <c r="EA253" i="17"/>
  <c r="EB253" i="17"/>
  <c r="EC253" i="17"/>
  <c r="ED253" i="17"/>
  <c r="EE253" i="17"/>
  <c r="EF253" i="17"/>
  <c r="EG253" i="17"/>
  <c r="EH253" i="17"/>
  <c r="EI253" i="17"/>
  <c r="EJ253" i="17"/>
  <c r="EK253" i="17"/>
  <c r="EL253" i="17"/>
  <c r="EM253" i="17"/>
  <c r="EN253" i="17"/>
  <c r="EO253" i="17"/>
  <c r="EP253" i="17"/>
  <c r="EQ253" i="17"/>
  <c r="ER253" i="17"/>
  <c r="ES253" i="17"/>
  <c r="ET253" i="17"/>
  <c r="EU253" i="17"/>
  <c r="EV253" i="17"/>
  <c r="EW253" i="17"/>
  <c r="EX253" i="17"/>
  <c r="EY253" i="17"/>
  <c r="EZ253" i="17"/>
  <c r="FA253" i="17"/>
  <c r="FB253" i="17"/>
  <c r="FC253" i="17"/>
  <c r="FD253" i="17"/>
  <c r="FE253" i="17"/>
  <c r="FF253" i="17"/>
  <c r="FG253" i="17"/>
  <c r="FH253" i="17"/>
  <c r="FI253" i="17"/>
  <c r="FJ253" i="17"/>
  <c r="FK253" i="17"/>
  <c r="FL253" i="17"/>
  <c r="FM253" i="17"/>
  <c r="FN253" i="17"/>
  <c r="FO253" i="17"/>
  <c r="FP253" i="17"/>
  <c r="FQ253" i="17"/>
  <c r="FR253" i="17"/>
  <c r="FS253" i="17"/>
  <c r="FT253" i="17"/>
  <c r="FU253" i="17"/>
  <c r="FV253" i="17"/>
  <c r="FW253" i="17"/>
  <c r="FX253" i="17"/>
  <c r="FY253" i="17"/>
  <c r="FZ253" i="17"/>
  <c r="GA253" i="17"/>
  <c r="GB253" i="17"/>
  <c r="GC253" i="17"/>
  <c r="GD253" i="17"/>
  <c r="GE253" i="17"/>
  <c r="GF253" i="17"/>
  <c r="GG253" i="17"/>
  <c r="GH253" i="17"/>
  <c r="GI253" i="17"/>
  <c r="GJ253" i="17"/>
  <c r="GK253" i="17"/>
  <c r="GL253" i="17"/>
  <c r="GM253" i="17"/>
  <c r="GN253" i="17"/>
  <c r="GO253" i="17"/>
  <c r="GP253" i="17"/>
  <c r="GQ253" i="17"/>
  <c r="GR253" i="17"/>
  <c r="GS253" i="17"/>
  <c r="GT253" i="17"/>
  <c r="GU253" i="17"/>
  <c r="GV253" i="17"/>
  <c r="GW253" i="17"/>
  <c r="GX253" i="17"/>
  <c r="GY253" i="17"/>
  <c r="GZ253" i="17"/>
  <c r="HA253" i="17"/>
  <c r="HB253" i="17"/>
  <c r="HC253" i="17"/>
  <c r="HD253" i="17"/>
  <c r="HE253" i="17"/>
  <c r="HF253" i="17"/>
  <c r="HG253" i="17"/>
  <c r="HH253" i="17"/>
  <c r="HI253" i="17"/>
  <c r="HJ253" i="17"/>
  <c r="HK253" i="17"/>
  <c r="HL253" i="17"/>
  <c r="HM253" i="17"/>
  <c r="HN253" i="17"/>
  <c r="HO253" i="17"/>
  <c r="HP253" i="17"/>
  <c r="HQ253" i="17"/>
  <c r="HR253" i="17"/>
  <c r="HS253" i="17"/>
  <c r="HT253" i="17"/>
  <c r="HU253" i="17"/>
  <c r="HV253" i="17"/>
  <c r="HW253" i="17"/>
  <c r="HX253" i="17"/>
  <c r="HY253" i="17"/>
  <c r="HZ253" i="17"/>
  <c r="IA253" i="17"/>
  <c r="IB253" i="17"/>
  <c r="IC253" i="17"/>
  <c r="ID253" i="17"/>
  <c r="IE253" i="17"/>
  <c r="IF253" i="17"/>
  <c r="IG253" i="17"/>
  <c r="IH253" i="17"/>
  <c r="II253" i="17"/>
  <c r="IJ253" i="17"/>
  <c r="IK253" i="17"/>
  <c r="IL253" i="17"/>
  <c r="IM253" i="17"/>
  <c r="IN253" i="17"/>
  <c r="IO253" i="17"/>
  <c r="IP253" i="17"/>
  <c r="IQ253" i="17"/>
  <c r="IR253" i="17"/>
  <c r="IS253" i="17"/>
  <c r="IT253" i="17"/>
  <c r="IU253" i="17"/>
  <c r="IV253" i="17"/>
  <c r="A252" i="17"/>
  <c r="B252" i="17"/>
  <c r="C252" i="17"/>
  <c r="D252" i="17"/>
  <c r="E252" i="17"/>
  <c r="F252" i="17"/>
  <c r="G252" i="17"/>
  <c r="H252" i="17"/>
  <c r="I252" i="17"/>
  <c r="J252" i="17"/>
  <c r="K252" i="17"/>
  <c r="L252" i="17"/>
  <c r="M252" i="17"/>
  <c r="N252" i="17"/>
  <c r="O252" i="17"/>
  <c r="P252" i="17"/>
  <c r="Q252" i="17"/>
  <c r="R252" i="17"/>
  <c r="S252" i="17"/>
  <c r="T252" i="17"/>
  <c r="U252" i="17"/>
  <c r="V252" i="17"/>
  <c r="W252" i="17"/>
  <c r="X252" i="17"/>
  <c r="Y252" i="17"/>
  <c r="Z252" i="17"/>
  <c r="AA252" i="17"/>
  <c r="AB252" i="17"/>
  <c r="AC252" i="17"/>
  <c r="AD252" i="17"/>
  <c r="AE252" i="17"/>
  <c r="AF252" i="17"/>
  <c r="AG252" i="17"/>
  <c r="AH252" i="17"/>
  <c r="AI252" i="17"/>
  <c r="AJ252" i="17"/>
  <c r="AK252" i="17"/>
  <c r="AL252" i="17"/>
  <c r="AM252" i="17"/>
  <c r="AN252" i="17"/>
  <c r="AO252" i="17"/>
  <c r="AP252" i="17"/>
  <c r="AQ252" i="17"/>
  <c r="AR252" i="17"/>
  <c r="AS252" i="17"/>
  <c r="AT252" i="17"/>
  <c r="AU252" i="17"/>
  <c r="AV252" i="17"/>
  <c r="AW252" i="17"/>
  <c r="AX252" i="17"/>
  <c r="AY252" i="17"/>
  <c r="AZ252" i="17"/>
  <c r="BA252" i="17"/>
  <c r="BB252" i="17"/>
  <c r="BC252" i="17"/>
  <c r="BD252" i="17"/>
  <c r="BE252" i="17"/>
  <c r="BF252" i="17"/>
  <c r="BG252" i="17"/>
  <c r="BH252" i="17"/>
  <c r="BI252" i="17"/>
  <c r="BJ252" i="17"/>
  <c r="BK252" i="17"/>
  <c r="BL252" i="17"/>
  <c r="BM252" i="17"/>
  <c r="BN252" i="17"/>
  <c r="BO252" i="17"/>
  <c r="BP252" i="17"/>
  <c r="BQ252" i="17"/>
  <c r="BR252" i="17"/>
  <c r="BS252" i="17"/>
  <c r="BT252" i="17"/>
  <c r="BU252" i="17"/>
  <c r="BV252" i="17"/>
  <c r="BW252" i="17"/>
  <c r="BX252" i="17"/>
  <c r="BY252" i="17"/>
  <c r="BZ252" i="17"/>
  <c r="CA252" i="17"/>
  <c r="CB252" i="17"/>
  <c r="CC252" i="17"/>
  <c r="CD252" i="17"/>
  <c r="CE252" i="17"/>
  <c r="CF252" i="17"/>
  <c r="CG252" i="17"/>
  <c r="CH252" i="17"/>
  <c r="CI252" i="17"/>
  <c r="CJ252" i="17"/>
  <c r="CK252" i="17"/>
  <c r="CL252" i="17"/>
  <c r="CM252" i="17"/>
  <c r="CN252" i="17"/>
  <c r="CO252" i="17"/>
  <c r="CP252" i="17"/>
  <c r="CQ252" i="17"/>
  <c r="CR252" i="17"/>
  <c r="CS252" i="17"/>
  <c r="CT252" i="17"/>
  <c r="CU252" i="17"/>
  <c r="CV252" i="17"/>
  <c r="CW252" i="17"/>
  <c r="CX252" i="17"/>
  <c r="CY252" i="17"/>
  <c r="CZ252" i="17"/>
  <c r="DA252" i="17"/>
  <c r="DB252" i="17"/>
  <c r="DC252" i="17"/>
  <c r="DD252" i="17"/>
  <c r="DE252" i="17"/>
  <c r="DF252" i="17"/>
  <c r="DG252" i="17"/>
  <c r="DH252" i="17"/>
  <c r="DI252" i="17"/>
  <c r="DJ252" i="17"/>
  <c r="DK252" i="17"/>
  <c r="DL252" i="17"/>
  <c r="DM252" i="17"/>
  <c r="DN252" i="17"/>
  <c r="DO252" i="17"/>
  <c r="DP252" i="17"/>
  <c r="DQ252" i="17"/>
  <c r="DR252" i="17"/>
  <c r="DS252" i="17"/>
  <c r="DT252" i="17"/>
  <c r="DU252" i="17"/>
  <c r="DV252" i="17"/>
  <c r="DW252" i="17"/>
  <c r="DX252" i="17"/>
  <c r="DY252" i="17"/>
  <c r="DZ252" i="17"/>
  <c r="EA252" i="17"/>
  <c r="EB252" i="17"/>
  <c r="EC252" i="17"/>
  <c r="ED252" i="17"/>
  <c r="EE252" i="17"/>
  <c r="EF252" i="17"/>
  <c r="EG252" i="17"/>
  <c r="EH252" i="17"/>
  <c r="EI252" i="17"/>
  <c r="EJ252" i="17"/>
  <c r="EK252" i="17"/>
  <c r="EL252" i="17"/>
  <c r="EM252" i="17"/>
  <c r="EN252" i="17"/>
  <c r="EO252" i="17"/>
  <c r="EP252" i="17"/>
  <c r="EQ252" i="17"/>
  <c r="ER252" i="17"/>
  <c r="ES252" i="17"/>
  <c r="ET252" i="17"/>
  <c r="EU252" i="17"/>
  <c r="EV252" i="17"/>
  <c r="EW252" i="17"/>
  <c r="EX252" i="17"/>
  <c r="EY252" i="17"/>
  <c r="EZ252" i="17"/>
  <c r="FA252" i="17"/>
  <c r="FB252" i="17"/>
  <c r="FC252" i="17"/>
  <c r="FD252" i="17"/>
  <c r="FE252" i="17"/>
  <c r="FF252" i="17"/>
  <c r="FG252" i="17"/>
  <c r="FH252" i="17"/>
  <c r="FI252" i="17"/>
  <c r="FJ252" i="17"/>
  <c r="FK252" i="17"/>
  <c r="FL252" i="17"/>
  <c r="FM252" i="17"/>
  <c r="FN252" i="17"/>
  <c r="FO252" i="17"/>
  <c r="FP252" i="17"/>
  <c r="FQ252" i="17"/>
  <c r="FR252" i="17"/>
  <c r="FS252" i="17"/>
  <c r="FT252" i="17"/>
  <c r="FU252" i="17"/>
  <c r="FV252" i="17"/>
  <c r="FW252" i="17"/>
  <c r="FX252" i="17"/>
  <c r="FY252" i="17"/>
  <c r="FZ252" i="17"/>
  <c r="GA252" i="17"/>
  <c r="GB252" i="17"/>
  <c r="GC252" i="17"/>
  <c r="GD252" i="17"/>
  <c r="GE252" i="17"/>
  <c r="GF252" i="17"/>
  <c r="GG252" i="17"/>
  <c r="GH252" i="17"/>
  <c r="GI252" i="17"/>
  <c r="GJ252" i="17"/>
  <c r="GK252" i="17"/>
  <c r="GL252" i="17"/>
  <c r="GM252" i="17"/>
  <c r="GN252" i="17"/>
  <c r="GO252" i="17"/>
  <c r="GP252" i="17"/>
  <c r="GQ252" i="17"/>
  <c r="GR252" i="17"/>
  <c r="GS252" i="17"/>
  <c r="GT252" i="17"/>
  <c r="GU252" i="17"/>
  <c r="GV252" i="17"/>
  <c r="GW252" i="17"/>
  <c r="GX252" i="17"/>
  <c r="GY252" i="17"/>
  <c r="GZ252" i="17"/>
  <c r="HA252" i="17"/>
  <c r="HB252" i="17"/>
  <c r="HC252" i="17"/>
  <c r="HD252" i="17"/>
  <c r="HE252" i="17"/>
  <c r="HF252" i="17"/>
  <c r="HG252" i="17"/>
  <c r="HH252" i="17"/>
  <c r="HI252" i="17"/>
  <c r="HJ252" i="17"/>
  <c r="HK252" i="17"/>
  <c r="HL252" i="17"/>
  <c r="HM252" i="17"/>
  <c r="HN252" i="17"/>
  <c r="HO252" i="17"/>
  <c r="HP252" i="17"/>
  <c r="HQ252" i="17"/>
  <c r="HR252" i="17"/>
  <c r="HS252" i="17"/>
  <c r="HT252" i="17"/>
  <c r="HU252" i="17"/>
  <c r="HV252" i="17"/>
  <c r="HW252" i="17"/>
  <c r="HX252" i="17"/>
  <c r="HY252" i="17"/>
  <c r="HZ252" i="17"/>
  <c r="IA252" i="17"/>
  <c r="IB252" i="17"/>
  <c r="IC252" i="17"/>
  <c r="ID252" i="17"/>
  <c r="IE252" i="17"/>
  <c r="IF252" i="17"/>
  <c r="IG252" i="17"/>
  <c r="IH252" i="17"/>
  <c r="II252" i="17"/>
  <c r="IJ252" i="17"/>
  <c r="IK252" i="17"/>
  <c r="IL252" i="17"/>
  <c r="IM252" i="17"/>
  <c r="IN252" i="17"/>
  <c r="IO252" i="17"/>
  <c r="IP252" i="17"/>
  <c r="IQ252" i="17"/>
  <c r="IR252" i="17"/>
  <c r="IS252" i="17"/>
  <c r="IT252" i="17"/>
  <c r="IU252" i="17"/>
  <c r="IV252" i="17"/>
  <c r="L134" i="19"/>
  <c r="L66" i="19"/>
  <c r="E87" i="1"/>
  <c r="E90" i="1"/>
  <c r="E93" i="1"/>
  <c r="E99" i="1"/>
  <c r="E110" i="1"/>
  <c r="E269" i="1"/>
  <c r="E287" i="1"/>
  <c r="E317" i="1"/>
  <c r="E322" i="1"/>
  <c r="E336" i="1"/>
  <c r="E344" i="1"/>
  <c r="E53" i="1"/>
  <c r="E13" i="1"/>
  <c r="E17" i="1"/>
  <c r="E21" i="1"/>
  <c r="E22" i="1"/>
  <c r="E30" i="1"/>
  <c r="E35" i="1"/>
  <c r="E36" i="1"/>
  <c r="E37" i="1"/>
  <c r="E40" i="1"/>
  <c r="E41" i="1"/>
  <c r="E47" i="1"/>
  <c r="E50" i="1"/>
  <c r="E52" i="1"/>
  <c r="E54" i="1"/>
  <c r="E57" i="1"/>
  <c r="E58" i="1"/>
  <c r="E59" i="1"/>
  <c r="E60" i="1"/>
  <c r="E61" i="1"/>
  <c r="E63" i="1"/>
  <c r="E67" i="1"/>
  <c r="E76" i="1"/>
  <c r="E206" i="1"/>
  <c r="B801" i="19"/>
  <c r="B800" i="19"/>
  <c r="B799" i="19"/>
  <c r="B798" i="19"/>
  <c r="B797" i="19"/>
  <c r="B796" i="19"/>
  <c r="B795" i="19"/>
  <c r="B794" i="19"/>
  <c r="B793" i="19"/>
  <c r="B792" i="19"/>
  <c r="B791" i="19"/>
  <c r="B790" i="19"/>
  <c r="B789" i="19"/>
  <c r="B788" i="19"/>
  <c r="B787" i="19"/>
  <c r="B786" i="19"/>
  <c r="B785" i="19"/>
  <c r="B784" i="19"/>
  <c r="B783" i="19"/>
  <c r="B782" i="19"/>
  <c r="B781" i="19"/>
  <c r="B780" i="19"/>
  <c r="B779" i="19"/>
  <c r="B778" i="19"/>
  <c r="B777" i="19"/>
  <c r="B776" i="19"/>
  <c r="B775" i="19"/>
  <c r="B774" i="19"/>
  <c r="B773" i="19"/>
  <c r="B772" i="19"/>
  <c r="B771" i="19"/>
  <c r="B770" i="19"/>
  <c r="B769" i="19"/>
  <c r="B768" i="19"/>
  <c r="B767" i="19"/>
  <c r="B766" i="19"/>
  <c r="B765" i="19"/>
  <c r="B764" i="19"/>
  <c r="B763" i="19"/>
  <c r="B762" i="19"/>
  <c r="B761" i="19"/>
  <c r="B760" i="19"/>
  <c r="B759" i="19"/>
  <c r="B758" i="19"/>
  <c r="B757" i="19"/>
  <c r="B756" i="19"/>
  <c r="B755" i="19"/>
  <c r="B754" i="19"/>
  <c r="B753" i="19"/>
  <c r="B752" i="19"/>
  <c r="B751" i="19"/>
  <c r="B750" i="19"/>
  <c r="B749" i="19"/>
  <c r="B748" i="19"/>
  <c r="B747" i="19"/>
  <c r="B746" i="19"/>
  <c r="B745" i="19"/>
  <c r="B744" i="19"/>
  <c r="B743" i="19"/>
  <c r="B742" i="19"/>
  <c r="B741" i="19"/>
  <c r="B740" i="19"/>
  <c r="B739" i="19"/>
  <c r="B738" i="19"/>
  <c r="B737" i="19"/>
  <c r="B736" i="19"/>
  <c r="B735" i="19"/>
  <c r="B734" i="19"/>
  <c r="B733" i="19"/>
  <c r="B732" i="19"/>
  <c r="B731" i="19"/>
  <c r="B730" i="19"/>
  <c r="B729" i="19"/>
  <c r="B728" i="19"/>
  <c r="B727" i="19"/>
  <c r="B726" i="19"/>
  <c r="B725" i="19"/>
  <c r="B724" i="19"/>
  <c r="B723" i="19"/>
  <c r="B722" i="19"/>
  <c r="B721" i="19"/>
  <c r="B720" i="19"/>
  <c r="B719" i="19"/>
  <c r="B718" i="19"/>
  <c r="B717" i="19"/>
  <c r="B716" i="19"/>
  <c r="B715" i="19"/>
  <c r="B714" i="19"/>
  <c r="B713" i="19"/>
  <c r="B712" i="19"/>
  <c r="B711" i="19"/>
  <c r="B710" i="19"/>
  <c r="B709" i="19"/>
  <c r="B708" i="19"/>
  <c r="B707" i="19"/>
  <c r="B706" i="19"/>
  <c r="B705" i="19"/>
  <c r="B704" i="19"/>
  <c r="B703" i="19"/>
  <c r="B702" i="19"/>
  <c r="B701" i="19"/>
  <c r="B700" i="19"/>
  <c r="B699" i="19"/>
  <c r="B698" i="19"/>
  <c r="B697" i="19"/>
  <c r="B696" i="19"/>
  <c r="B695" i="19"/>
  <c r="B694" i="19"/>
  <c r="B693" i="19"/>
  <c r="B692" i="19"/>
  <c r="B691" i="19"/>
  <c r="B690" i="19"/>
  <c r="B689" i="19"/>
  <c r="B688" i="19"/>
  <c r="B687" i="19"/>
  <c r="B686" i="19"/>
  <c r="B685" i="19"/>
  <c r="B684" i="19"/>
  <c r="B683" i="19"/>
  <c r="B682" i="19"/>
  <c r="B681" i="19"/>
  <c r="B680" i="19"/>
  <c r="B679" i="19"/>
  <c r="B678" i="19"/>
  <c r="B677" i="19"/>
  <c r="B676" i="19"/>
  <c r="B675" i="19"/>
  <c r="B674" i="19"/>
  <c r="B673" i="19"/>
  <c r="B672" i="19"/>
  <c r="B671" i="19"/>
  <c r="B670" i="19"/>
  <c r="B669" i="19"/>
  <c r="B668" i="19"/>
  <c r="B667" i="19"/>
  <c r="B666" i="19"/>
  <c r="B665" i="19"/>
  <c r="B664" i="19"/>
  <c r="B663" i="19"/>
  <c r="B662" i="19"/>
  <c r="B661" i="19"/>
  <c r="B660" i="19"/>
  <c r="B659" i="19"/>
  <c r="B658" i="19"/>
  <c r="B657" i="19"/>
  <c r="B656" i="19"/>
  <c r="B655" i="19"/>
  <c r="B654" i="19"/>
  <c r="B653" i="19"/>
  <c r="B652" i="19"/>
  <c r="B651" i="19"/>
  <c r="B650" i="19"/>
  <c r="B649" i="19"/>
  <c r="B648" i="19"/>
  <c r="B647" i="19"/>
  <c r="B646" i="19"/>
  <c r="B645" i="19"/>
  <c r="B644" i="19"/>
  <c r="B643" i="19"/>
  <c r="B642" i="19"/>
  <c r="B641" i="19"/>
  <c r="B640" i="19"/>
  <c r="B639" i="19"/>
  <c r="B638" i="19"/>
  <c r="B637" i="19"/>
  <c r="B636" i="19"/>
  <c r="B635" i="19"/>
  <c r="B634" i="19"/>
  <c r="B633" i="19"/>
  <c r="B632" i="19"/>
  <c r="B631" i="19"/>
  <c r="B630" i="19"/>
  <c r="B629" i="19"/>
  <c r="B628" i="19"/>
  <c r="B627" i="19"/>
  <c r="B626" i="19"/>
  <c r="B625" i="19"/>
  <c r="B624" i="19"/>
  <c r="B623" i="19"/>
  <c r="B622" i="19"/>
  <c r="B621" i="19"/>
  <c r="B620" i="19"/>
  <c r="B619" i="19"/>
  <c r="B618" i="19"/>
  <c r="B617" i="19"/>
  <c r="B616" i="19"/>
  <c r="B615" i="19"/>
  <c r="B614" i="19"/>
  <c r="B613" i="19"/>
  <c r="B612" i="19"/>
  <c r="B611" i="19"/>
  <c r="B610" i="19"/>
  <c r="B609" i="19"/>
  <c r="B608" i="19"/>
  <c r="B607" i="19"/>
  <c r="B606" i="19"/>
  <c r="B605" i="19"/>
  <c r="B604" i="19"/>
  <c r="B603" i="19"/>
  <c r="B602" i="19"/>
  <c r="B601" i="19"/>
  <c r="B600" i="19"/>
  <c r="B599" i="19"/>
  <c r="B598" i="19"/>
  <c r="B597" i="19"/>
  <c r="B596" i="19"/>
  <c r="B595" i="19"/>
  <c r="B594" i="19"/>
  <c r="B593" i="19"/>
  <c r="B592" i="19"/>
  <c r="B591" i="19"/>
  <c r="B590" i="19"/>
  <c r="B589" i="19"/>
  <c r="B588" i="19"/>
  <c r="B587" i="19"/>
  <c r="B586" i="19"/>
  <c r="B585" i="19"/>
  <c r="B584" i="19"/>
  <c r="B583" i="19"/>
  <c r="B582" i="19"/>
  <c r="B581" i="19"/>
  <c r="B580" i="19"/>
  <c r="B579" i="19"/>
  <c r="B578" i="19"/>
  <c r="B577" i="19"/>
  <c r="B576" i="19"/>
  <c r="B575" i="19"/>
  <c r="B574" i="19"/>
  <c r="B573" i="19"/>
  <c r="B572" i="19"/>
  <c r="B571" i="19"/>
  <c r="B570" i="19"/>
  <c r="B569" i="19"/>
  <c r="B568" i="19"/>
  <c r="B567" i="19"/>
  <c r="B566" i="19"/>
  <c r="B565" i="19"/>
  <c r="B564" i="19"/>
  <c r="B563" i="19"/>
  <c r="B562" i="19"/>
  <c r="B561" i="19"/>
  <c r="B560" i="19"/>
  <c r="B559" i="19"/>
  <c r="B558" i="19"/>
  <c r="B557" i="19"/>
  <c r="B556" i="19"/>
  <c r="B555" i="19"/>
  <c r="B554" i="19"/>
  <c r="B553" i="19"/>
  <c r="B552" i="19"/>
  <c r="B551" i="19"/>
  <c r="B550" i="19"/>
  <c r="B549" i="19"/>
  <c r="B548" i="19"/>
  <c r="B547" i="19"/>
  <c r="B546" i="19"/>
  <c r="B545" i="19"/>
  <c r="B544" i="19"/>
  <c r="B543" i="19"/>
  <c r="B542" i="19"/>
  <c r="B541" i="19"/>
  <c r="B540" i="19"/>
  <c r="B539" i="19"/>
  <c r="B538" i="19"/>
  <c r="B537" i="19"/>
  <c r="B536" i="19"/>
  <c r="B535" i="19"/>
  <c r="B534" i="19"/>
  <c r="B533" i="19"/>
  <c r="B532" i="19"/>
  <c r="B531" i="19"/>
  <c r="B530" i="19"/>
  <c r="B529" i="19"/>
  <c r="B528" i="19"/>
  <c r="B527" i="19"/>
  <c r="B526" i="19"/>
  <c r="B525" i="19"/>
  <c r="B524" i="19"/>
  <c r="B523" i="19"/>
  <c r="B522" i="19"/>
  <c r="B521" i="19"/>
  <c r="B520" i="19"/>
  <c r="B519" i="19"/>
  <c r="B518" i="19"/>
  <c r="B517" i="19"/>
  <c r="B516" i="19"/>
  <c r="B515" i="19"/>
  <c r="B514" i="19"/>
  <c r="B513" i="19"/>
  <c r="B512" i="19"/>
  <c r="B511" i="19"/>
  <c r="B510" i="19"/>
  <c r="B509" i="19"/>
  <c r="B508" i="19"/>
  <c r="B507" i="19"/>
  <c r="B506" i="19"/>
  <c r="B505" i="19"/>
  <c r="B504" i="19"/>
  <c r="B503" i="19"/>
  <c r="B502" i="19"/>
  <c r="B501" i="19"/>
  <c r="B500" i="19"/>
  <c r="B499" i="19"/>
  <c r="L47" i="19"/>
  <c r="L133" i="19"/>
  <c r="E343" i="1"/>
  <c r="L197" i="19"/>
  <c r="L196" i="19"/>
  <c r="L194" i="19"/>
  <c r="L193" i="19"/>
  <c r="L45" i="19"/>
  <c r="E337" i="1"/>
  <c r="L243" i="19"/>
  <c r="L242" i="19"/>
  <c r="L128" i="19"/>
  <c r="L264" i="17" s="1"/>
  <c r="E334" i="1"/>
  <c r="E73" i="1"/>
  <c r="L264" i="19"/>
  <c r="L227" i="19"/>
  <c r="L245" i="19"/>
  <c r="L29" i="19"/>
  <c r="L239" i="19"/>
  <c r="L238" i="19"/>
  <c r="L221" i="19"/>
  <c r="L126" i="19"/>
  <c r="L99" i="19"/>
  <c r="L192" i="19"/>
  <c r="L124" i="19"/>
  <c r="L85" i="19"/>
  <c r="L220" i="19"/>
  <c r="L219" i="19"/>
  <c r="L218" i="19"/>
  <c r="L217" i="19"/>
  <c r="L252" i="19"/>
  <c r="L44" i="19"/>
  <c r="L190" i="19"/>
  <c r="L189" i="19"/>
  <c r="L123" i="19"/>
  <c r="E69" i="1"/>
  <c r="L82" i="19"/>
  <c r="E68" i="1"/>
  <c r="L122" i="19"/>
  <c r="L214" i="19"/>
  <c r="L236" i="19"/>
  <c r="L121" i="19"/>
  <c r="L43" i="19"/>
  <c r="E299" i="1"/>
  <c r="L120" i="19"/>
  <c r="E66" i="1"/>
  <c r="L213" i="19"/>
  <c r="L119" i="19"/>
  <c r="E296" i="1"/>
  <c r="L28" i="19"/>
  <c r="E64" i="1"/>
  <c r="L115" i="19"/>
  <c r="L42" i="19"/>
  <c r="L114" i="19"/>
  <c r="O168" i="19"/>
  <c r="L27" i="19"/>
  <c r="L187" i="19"/>
  <c r="S166" i="19"/>
  <c r="L212" i="19"/>
  <c r="L41" i="19"/>
  <c r="E271" i="1"/>
  <c r="E270" i="1"/>
  <c r="L40" i="19"/>
  <c r="E268" i="1"/>
  <c r="L112" i="19"/>
  <c r="L110" i="19"/>
  <c r="E56" i="1"/>
  <c r="L235" i="19"/>
  <c r="L39" i="19"/>
  <c r="L109" i="19"/>
  <c r="E51" i="1"/>
  <c r="L38" i="19"/>
  <c r="E227" i="1"/>
  <c r="E48" i="1"/>
  <c r="L186" i="19"/>
  <c r="L251" i="19"/>
  <c r="L250" i="19"/>
  <c r="L185" i="19"/>
  <c r="L184" i="19"/>
  <c r="L37" i="19"/>
  <c r="L79" i="19"/>
  <c r="L54" i="19"/>
  <c r="L244" i="19"/>
  <c r="E43" i="1"/>
  <c r="L106" i="19"/>
  <c r="L226" i="19"/>
  <c r="L65" i="19"/>
  <c r="L36" i="19"/>
  <c r="L182" i="19"/>
  <c r="L210" i="19"/>
  <c r="L225" i="19"/>
  <c r="L76" i="19"/>
  <c r="L208" i="19"/>
  <c r="L84" i="19"/>
  <c r="L139" i="19"/>
  <c r="L138" i="19"/>
  <c r="L198" i="19"/>
  <c r="L248" i="19"/>
  <c r="L207" i="19"/>
  <c r="L181" i="19"/>
  <c r="E210" i="1"/>
  <c r="L180" i="19"/>
  <c r="E33" i="1"/>
  <c r="E45" i="1"/>
  <c r="L179" i="19"/>
  <c r="L58" i="19"/>
  <c r="L57" i="19"/>
  <c r="L56" i="19"/>
  <c r="L206" i="19"/>
  <c r="L177" i="19"/>
  <c r="L135" i="19"/>
  <c r="L176" i="19"/>
  <c r="L175" i="19"/>
  <c r="E28" i="1"/>
  <c r="L104" i="19"/>
  <c r="E27" i="1"/>
  <c r="L173" i="19"/>
  <c r="L15" i="19"/>
  <c r="L55" i="19"/>
  <c r="L170" i="19"/>
  <c r="L174" i="19"/>
  <c r="L169" i="19"/>
  <c r="L168" i="19"/>
  <c r="L103" i="19"/>
  <c r="L166" i="19"/>
  <c r="L74" i="19"/>
  <c r="E120" i="1"/>
  <c r="L102" i="19"/>
  <c r="L204" i="19"/>
  <c r="L203" i="19"/>
  <c r="L101" i="19"/>
  <c r="E23" i="1"/>
  <c r="L202" i="19"/>
  <c r="L165" i="19"/>
  <c r="L35" i="19"/>
  <c r="L34" i="19"/>
  <c r="L100" i="19"/>
  <c r="L83" i="19"/>
  <c r="L73" i="19"/>
  <c r="L164" i="19"/>
  <c r="E18" i="1"/>
  <c r="L171" i="19"/>
  <c r="L32" i="19"/>
  <c r="L162" i="19"/>
  <c r="L161" i="19"/>
  <c r="L247" i="19"/>
  <c r="L246" i="19"/>
  <c r="L96" i="19"/>
  <c r="L52" i="19"/>
  <c r="L51" i="19"/>
  <c r="L50" i="19"/>
  <c r="L113" i="19"/>
  <c r="L108" i="19"/>
  <c r="E259" i="1"/>
  <c r="L132" i="19"/>
  <c r="L90" i="19"/>
  <c r="E12" i="1"/>
  <c r="L89" i="19"/>
  <c r="E86" i="1"/>
  <c r="L233" i="19"/>
  <c r="E134" i="1"/>
  <c r="E83" i="1"/>
  <c r="E81" i="1"/>
  <c r="L69" i="19"/>
  <c r="L160" i="19"/>
  <c r="E34" i="1"/>
  <c r="L48" i="19"/>
  <c r="E194" i="1"/>
  <c r="E307" i="1"/>
  <c r="E103" i="1"/>
  <c r="E141" i="1"/>
  <c r="E144" i="1"/>
  <c r="E142" i="1"/>
  <c r="E198" i="1"/>
  <c r="E199" i="1"/>
  <c r="E181" i="1"/>
  <c r="E182" i="1"/>
  <c r="E107" i="1"/>
  <c r="E105" i="1"/>
  <c r="E155" i="1"/>
  <c r="E100" i="1"/>
  <c r="E101" i="1"/>
  <c r="E140" i="1"/>
  <c r="E85" i="1"/>
  <c r="E312" i="1"/>
  <c r="E300" i="1"/>
  <c r="E32" i="1"/>
  <c r="E31" i="1"/>
  <c r="E115" i="1"/>
  <c r="E124" i="1"/>
  <c r="E186" i="1"/>
  <c r="E150" i="1"/>
  <c r="E149" i="1"/>
  <c r="E109" i="1"/>
  <c r="E108" i="1"/>
  <c r="E295" i="1"/>
  <c r="E153" i="1"/>
  <c r="E325" i="1"/>
  <c r="E241" i="1"/>
  <c r="E311" i="1"/>
  <c r="E313" i="1"/>
  <c r="E310" i="1"/>
  <c r="E321" i="1"/>
  <c r="E319" i="1"/>
  <c r="E238" i="1"/>
  <c r="E197" i="1"/>
  <c r="E148" i="1"/>
  <c r="E138" i="1"/>
  <c r="E252" i="1"/>
  <c r="E223" i="1"/>
  <c r="E308" i="1"/>
  <c r="E305" i="1"/>
  <c r="E265" i="1"/>
  <c r="E297" i="1"/>
  <c r="E91" i="1"/>
  <c r="E92" i="1"/>
  <c r="E306" i="1"/>
  <c r="E302" i="1"/>
  <c r="E96" i="1"/>
  <c r="E98" i="1"/>
  <c r="E169" i="1"/>
  <c r="E111" i="1"/>
  <c r="E114" i="1"/>
  <c r="E116" i="1"/>
  <c r="E119" i="1"/>
  <c r="E170" i="1"/>
  <c r="E152" i="1"/>
  <c r="E104" i="1"/>
  <c r="E315" i="1"/>
  <c r="E242" i="1"/>
  <c r="E294" i="1"/>
  <c r="E184" i="1"/>
  <c r="E264" i="1"/>
  <c r="E286" i="1"/>
  <c r="E250" i="1"/>
  <c r="E249" i="1"/>
  <c r="E221" i="1"/>
  <c r="E217" i="1"/>
  <c r="E256" i="1"/>
  <c r="E254" i="1"/>
  <c r="E261" i="1"/>
  <c r="E245" i="1"/>
  <c r="E289" i="1"/>
  <c r="E288" i="1"/>
  <c r="E282" i="1"/>
  <c r="E285" i="1"/>
  <c r="E247" i="1"/>
  <c r="E293" i="1"/>
  <c r="E292" i="1"/>
  <c r="E281" i="1"/>
  <c r="E279" i="1"/>
  <c r="E211" i="1"/>
  <c r="E219" i="1"/>
  <c r="E273" i="1"/>
  <c r="E277" i="1"/>
  <c r="K272" i="17"/>
  <c r="E332" i="1"/>
  <c r="E161" i="1"/>
  <c r="E166" i="1"/>
  <c r="E178" i="1"/>
  <c r="E165" i="1"/>
  <c r="E214" i="1"/>
  <c r="E226" i="1"/>
  <c r="E225" i="1"/>
  <c r="E176" i="1"/>
  <c r="E164" i="1"/>
  <c r="E341" i="1"/>
  <c r="E162" i="1"/>
  <c r="E185" i="1"/>
  <c r="E62" i="1"/>
  <c r="E77" i="1"/>
  <c r="E65" i="1"/>
  <c r="E72" i="1"/>
  <c r="E29" i="1"/>
  <c r="E232" i="1"/>
  <c r="E39" i="1"/>
  <c r="E44" i="1"/>
  <c r="E19" i="1"/>
  <c r="E46" i="1"/>
  <c r="E139" i="1"/>
  <c r="E216" i="1"/>
  <c r="E243" i="1"/>
  <c r="E15" i="1"/>
  <c r="E16" i="1"/>
  <c r="E168" i="1"/>
  <c r="E284" i="1"/>
  <c r="E10" i="1"/>
  <c r="E333" i="1"/>
  <c r="E117" i="1"/>
  <c r="E301" i="1"/>
  <c r="E248" i="1"/>
  <c r="E318" i="1"/>
  <c r="E320" i="1"/>
  <c r="E215" i="1"/>
  <c r="E338" i="1"/>
  <c r="E94" i="1"/>
  <c r="E20" i="1"/>
  <c r="E24" i="1"/>
  <c r="E25" i="1"/>
  <c r="E179" i="1"/>
  <c r="E180" i="1"/>
  <c r="E42" i="1"/>
  <c r="E102" i="1"/>
  <c r="E163" i="1"/>
  <c r="E71" i="1"/>
  <c r="E342" i="1"/>
  <c r="A251" i="17"/>
  <c r="B251" i="17"/>
  <c r="C251" i="17"/>
  <c r="D251" i="17"/>
  <c r="E251" i="17"/>
  <c r="F251" i="17"/>
  <c r="G251" i="17"/>
  <c r="H251" i="17"/>
  <c r="I251" i="17"/>
  <c r="J251" i="17"/>
  <c r="K251" i="17"/>
  <c r="L251" i="17"/>
  <c r="M251" i="17"/>
  <c r="N251" i="17"/>
  <c r="O251" i="17"/>
  <c r="P251" i="17"/>
  <c r="Q251" i="17"/>
  <c r="R251" i="17"/>
  <c r="S251" i="17"/>
  <c r="T251" i="17"/>
  <c r="U251" i="17"/>
  <c r="V251" i="17"/>
  <c r="W251" i="17"/>
  <c r="X251" i="17"/>
  <c r="Y251" i="17"/>
  <c r="Z251" i="17"/>
  <c r="AA251" i="17"/>
  <c r="AB251" i="17"/>
  <c r="AC251" i="17"/>
  <c r="AD251" i="17"/>
  <c r="AE251" i="17"/>
  <c r="AF251" i="17"/>
  <c r="AG251" i="17"/>
  <c r="AH251" i="17"/>
  <c r="AI251" i="17"/>
  <c r="AJ251" i="17"/>
  <c r="AK251" i="17"/>
  <c r="AL251" i="17"/>
  <c r="AM251" i="17"/>
  <c r="AN251" i="17"/>
  <c r="AO251" i="17"/>
  <c r="AP251" i="17"/>
  <c r="AQ251" i="17"/>
  <c r="AR251" i="17"/>
  <c r="AS251" i="17"/>
  <c r="AT251" i="17"/>
  <c r="AU251" i="17"/>
  <c r="AV251" i="17"/>
  <c r="AW251" i="17"/>
  <c r="AX251" i="17"/>
  <c r="AY251" i="17"/>
  <c r="AZ251" i="17"/>
  <c r="BA251" i="17"/>
  <c r="BB251" i="17"/>
  <c r="BC251" i="17"/>
  <c r="BD251" i="17"/>
  <c r="BE251" i="17"/>
  <c r="BF251" i="17"/>
  <c r="BG251" i="17"/>
  <c r="BH251" i="17"/>
  <c r="BI251" i="17"/>
  <c r="BJ251" i="17"/>
  <c r="BK251" i="17"/>
  <c r="BL251" i="17"/>
  <c r="BM251" i="17"/>
  <c r="BN251" i="17"/>
  <c r="BO251" i="17"/>
  <c r="BP251" i="17"/>
  <c r="BQ251" i="17"/>
  <c r="BR251" i="17"/>
  <c r="BS251" i="17"/>
  <c r="BT251" i="17"/>
  <c r="BU251" i="17"/>
  <c r="BV251" i="17"/>
  <c r="BW251" i="17"/>
  <c r="BX251" i="17"/>
  <c r="BY251" i="17"/>
  <c r="BZ251" i="17"/>
  <c r="CA251" i="17"/>
  <c r="CB251" i="17"/>
  <c r="CC251" i="17"/>
  <c r="CD251" i="17"/>
  <c r="CE251" i="17"/>
  <c r="CF251" i="17"/>
  <c r="CG251" i="17"/>
  <c r="CH251" i="17"/>
  <c r="CI251" i="17"/>
  <c r="CJ251" i="17"/>
  <c r="CK251" i="17"/>
  <c r="CL251" i="17"/>
  <c r="CM251" i="17"/>
  <c r="CN251" i="17"/>
  <c r="CO251" i="17"/>
  <c r="CP251" i="17"/>
  <c r="CQ251" i="17"/>
  <c r="CR251" i="17"/>
  <c r="CS251" i="17"/>
  <c r="CT251" i="17"/>
  <c r="CU251" i="17"/>
  <c r="CV251" i="17"/>
  <c r="CW251" i="17"/>
  <c r="CX251" i="17"/>
  <c r="CY251" i="17"/>
  <c r="CZ251" i="17"/>
  <c r="DA251" i="17"/>
  <c r="DB251" i="17"/>
  <c r="DC251" i="17"/>
  <c r="DD251" i="17"/>
  <c r="DE251" i="17"/>
  <c r="DF251" i="17"/>
  <c r="DG251" i="17"/>
  <c r="DH251" i="17"/>
  <c r="DI251" i="17"/>
  <c r="DJ251" i="17"/>
  <c r="DK251" i="17"/>
  <c r="DL251" i="17"/>
  <c r="DM251" i="17"/>
  <c r="DN251" i="17"/>
  <c r="DO251" i="17"/>
  <c r="DP251" i="17"/>
  <c r="DQ251" i="17"/>
  <c r="DR251" i="17"/>
  <c r="DS251" i="17"/>
  <c r="DT251" i="17"/>
  <c r="DU251" i="17"/>
  <c r="DV251" i="17"/>
  <c r="DW251" i="17"/>
  <c r="DX251" i="17"/>
  <c r="DY251" i="17"/>
  <c r="DZ251" i="17"/>
  <c r="EA251" i="17"/>
  <c r="EB251" i="17"/>
  <c r="EC251" i="17"/>
  <c r="ED251" i="17"/>
  <c r="EE251" i="17"/>
  <c r="EF251" i="17"/>
  <c r="EG251" i="17"/>
  <c r="EJ251" i="17"/>
  <c r="EK251" i="17"/>
  <c r="EL251" i="17"/>
  <c r="A250" i="17"/>
  <c r="B250" i="17"/>
  <c r="C250" i="17"/>
  <c r="D250" i="17"/>
  <c r="E250" i="17"/>
  <c r="F250" i="17"/>
  <c r="G250" i="17"/>
  <c r="H250" i="17"/>
  <c r="I250" i="17"/>
  <c r="J250" i="17"/>
  <c r="K250" i="17"/>
  <c r="L250" i="17"/>
  <c r="M250" i="17"/>
  <c r="N250" i="17"/>
  <c r="O250" i="17"/>
  <c r="P250" i="17"/>
  <c r="Q250" i="17"/>
  <c r="R250" i="17"/>
  <c r="S250" i="17"/>
  <c r="T250" i="17"/>
  <c r="U250" i="17"/>
  <c r="V250" i="17"/>
  <c r="W250" i="17"/>
  <c r="X250" i="17"/>
  <c r="Y250" i="17"/>
  <c r="Z250" i="17"/>
  <c r="AA250" i="17"/>
  <c r="AB250" i="17"/>
  <c r="AC250" i="17"/>
  <c r="AD250" i="17"/>
  <c r="AE250" i="17"/>
  <c r="AF250" i="17"/>
  <c r="AG250" i="17"/>
  <c r="AH250" i="17"/>
  <c r="AI250" i="17"/>
  <c r="AJ250" i="17"/>
  <c r="AK250" i="17"/>
  <c r="AL250" i="17"/>
  <c r="AM250" i="17"/>
  <c r="AN250" i="17"/>
  <c r="AO250" i="17"/>
  <c r="AP250" i="17"/>
  <c r="AQ250" i="17"/>
  <c r="AR250" i="17"/>
  <c r="AS250" i="17"/>
  <c r="AT250" i="17"/>
  <c r="AU250" i="17"/>
  <c r="AV250" i="17"/>
  <c r="AW250" i="17"/>
  <c r="AX250" i="17"/>
  <c r="AY250" i="17"/>
  <c r="AZ250" i="17"/>
  <c r="BA250" i="17"/>
  <c r="BB250" i="17"/>
  <c r="BC250" i="17"/>
  <c r="BD250" i="17"/>
  <c r="BE250" i="17"/>
  <c r="BF250" i="17"/>
  <c r="BG250" i="17"/>
  <c r="BH250" i="17"/>
  <c r="BI250" i="17"/>
  <c r="BJ250" i="17"/>
  <c r="BK250" i="17"/>
  <c r="BL250" i="17"/>
  <c r="BM250" i="17"/>
  <c r="BN250" i="17"/>
  <c r="BO250" i="17"/>
  <c r="BP250" i="17"/>
  <c r="BQ250" i="17"/>
  <c r="BR250" i="17"/>
  <c r="BS250" i="17"/>
  <c r="BT250" i="17"/>
  <c r="BU250" i="17"/>
  <c r="BV250" i="17"/>
  <c r="BW250" i="17"/>
  <c r="BX250" i="17"/>
  <c r="BY250" i="17"/>
  <c r="BZ250" i="17"/>
  <c r="CA250" i="17"/>
  <c r="CB250" i="17"/>
  <c r="CC250" i="17"/>
  <c r="CD250" i="17"/>
  <c r="CE250" i="17"/>
  <c r="CF250" i="17"/>
  <c r="CG250" i="17"/>
  <c r="CH250" i="17"/>
  <c r="CI250" i="17"/>
  <c r="CJ250" i="17"/>
  <c r="CK250" i="17"/>
  <c r="CL250" i="17"/>
  <c r="CM250" i="17"/>
  <c r="CN250" i="17"/>
  <c r="CO250" i="17"/>
  <c r="CP250" i="17"/>
  <c r="CQ250" i="17"/>
  <c r="CR250" i="17"/>
  <c r="CS250" i="17"/>
  <c r="CT250" i="17"/>
  <c r="CU250" i="17"/>
  <c r="CV250" i="17"/>
  <c r="CW250" i="17"/>
  <c r="CX250" i="17"/>
  <c r="CY250" i="17"/>
  <c r="CZ250" i="17"/>
  <c r="DA250" i="17"/>
  <c r="DB250" i="17"/>
  <c r="DC250" i="17"/>
  <c r="DD250" i="17"/>
  <c r="DE250" i="17"/>
  <c r="DF250" i="17"/>
  <c r="DG250" i="17"/>
  <c r="DH250" i="17"/>
  <c r="DI250" i="17"/>
  <c r="DJ250" i="17"/>
  <c r="DK250" i="17"/>
  <c r="DL250" i="17"/>
  <c r="DM250" i="17"/>
  <c r="DN250" i="17"/>
  <c r="DO250" i="17"/>
  <c r="DP250" i="17"/>
  <c r="DQ250" i="17"/>
  <c r="DR250" i="17"/>
  <c r="DS250" i="17"/>
  <c r="DT250" i="17"/>
  <c r="DU250" i="17"/>
  <c r="DV250" i="17"/>
  <c r="DW250" i="17"/>
  <c r="DX250" i="17"/>
  <c r="DY250" i="17"/>
  <c r="DZ250" i="17"/>
  <c r="EA250" i="17"/>
  <c r="EB250" i="17"/>
  <c r="EC250" i="17"/>
  <c r="ED250" i="17"/>
  <c r="EE250" i="17"/>
  <c r="EF250" i="17"/>
  <c r="EG250" i="17"/>
  <c r="EH250" i="17"/>
  <c r="EI250" i="17"/>
  <c r="EJ250" i="17"/>
  <c r="EK250" i="17"/>
  <c r="EL250" i="17"/>
  <c r="EM250" i="17"/>
  <c r="EN250" i="17"/>
  <c r="EO250" i="17"/>
  <c r="EP250" i="17"/>
  <c r="EQ250" i="17"/>
  <c r="ER250" i="17"/>
  <c r="ES250" i="17"/>
  <c r="ET250" i="17"/>
  <c r="EU250" i="17"/>
  <c r="EV250" i="17"/>
  <c r="EW250" i="17"/>
  <c r="EX250" i="17"/>
  <c r="EY250" i="17"/>
  <c r="EZ250" i="17"/>
  <c r="FA250" i="17"/>
  <c r="FB250" i="17"/>
  <c r="FC250" i="17"/>
  <c r="FD250" i="17"/>
  <c r="FE250" i="17"/>
  <c r="FF250" i="17"/>
  <c r="FG250" i="17"/>
  <c r="FH250" i="17"/>
  <c r="FI250" i="17"/>
  <c r="FJ250" i="17"/>
  <c r="FK250" i="17"/>
  <c r="FL250" i="17"/>
  <c r="FM250" i="17"/>
  <c r="FN250" i="17"/>
  <c r="FO250" i="17"/>
  <c r="FP250" i="17"/>
  <c r="FQ250" i="17"/>
  <c r="FR250" i="17"/>
  <c r="FS250" i="17"/>
  <c r="FT250" i="17"/>
  <c r="FU250" i="17"/>
  <c r="FV250" i="17"/>
  <c r="FW250" i="17"/>
  <c r="FX250" i="17"/>
  <c r="FY250" i="17"/>
  <c r="FZ250" i="17"/>
  <c r="GA250" i="17"/>
  <c r="GB250" i="17"/>
  <c r="GC250" i="17"/>
  <c r="GD250" i="17"/>
  <c r="GE250" i="17"/>
  <c r="GF250" i="17"/>
  <c r="GG250" i="17"/>
  <c r="GH250" i="17"/>
  <c r="GI250" i="17"/>
  <c r="GJ250" i="17"/>
  <c r="GK250" i="17"/>
  <c r="GL250" i="17"/>
  <c r="GM250" i="17"/>
  <c r="GN250" i="17"/>
  <c r="GO250" i="17"/>
  <c r="GP250" i="17"/>
  <c r="GQ250" i="17"/>
  <c r="GR250" i="17"/>
  <c r="GS250" i="17"/>
  <c r="GT250" i="17"/>
  <c r="GU250" i="17"/>
  <c r="GV250" i="17"/>
  <c r="GW250" i="17"/>
  <c r="GX250" i="17"/>
  <c r="GY250" i="17"/>
  <c r="GZ250" i="17"/>
  <c r="HA250" i="17"/>
  <c r="HB250" i="17"/>
  <c r="HC250" i="17"/>
  <c r="HD250" i="17"/>
  <c r="HE250" i="17"/>
  <c r="HF250" i="17"/>
  <c r="HG250" i="17"/>
  <c r="HH250" i="17"/>
  <c r="HI250" i="17"/>
  <c r="HJ250" i="17"/>
  <c r="HK250" i="17"/>
  <c r="HL250" i="17"/>
  <c r="HM250" i="17"/>
  <c r="HN250" i="17"/>
  <c r="HO250" i="17"/>
  <c r="HP250" i="17"/>
  <c r="HQ250" i="17"/>
  <c r="HR250" i="17"/>
  <c r="HS250" i="17"/>
  <c r="HT250" i="17"/>
  <c r="HU250" i="17"/>
  <c r="HV250" i="17"/>
  <c r="HW250" i="17"/>
  <c r="HX250" i="17"/>
  <c r="HY250" i="17"/>
  <c r="HZ250" i="17"/>
  <c r="IA250" i="17"/>
  <c r="IB250" i="17"/>
  <c r="IC250" i="17"/>
  <c r="ID250" i="17"/>
  <c r="IE250" i="17"/>
  <c r="IF250" i="17"/>
  <c r="IG250" i="17"/>
  <c r="IH250" i="17"/>
  <c r="II250" i="17"/>
  <c r="IJ250" i="17"/>
  <c r="IK250" i="17"/>
  <c r="IL250" i="17"/>
  <c r="IM250" i="17"/>
  <c r="IN250" i="17"/>
  <c r="IO250" i="17"/>
  <c r="IP250" i="17"/>
  <c r="IQ250" i="17"/>
  <c r="IR250" i="17"/>
  <c r="IS250" i="17"/>
  <c r="IT250" i="17"/>
  <c r="IU250" i="17"/>
  <c r="IV250" i="17"/>
  <c r="A249" i="17"/>
  <c r="B249" i="17"/>
  <c r="C249" i="17"/>
  <c r="D249" i="17"/>
  <c r="E249" i="17"/>
  <c r="F249" i="17"/>
  <c r="G249" i="17"/>
  <c r="H249" i="17"/>
  <c r="I249" i="17"/>
  <c r="J249" i="17"/>
  <c r="K249" i="17"/>
  <c r="L249" i="17"/>
  <c r="M249" i="17"/>
  <c r="N249" i="17"/>
  <c r="O249" i="17"/>
  <c r="P249" i="17"/>
  <c r="Q249" i="17"/>
  <c r="R249" i="17"/>
  <c r="S249" i="17"/>
  <c r="T249" i="17"/>
  <c r="U249" i="17"/>
  <c r="V249" i="17"/>
  <c r="W249" i="17"/>
  <c r="X249" i="17"/>
  <c r="Y249" i="17"/>
  <c r="Z249" i="17"/>
  <c r="AA249" i="17"/>
  <c r="AB249" i="17"/>
  <c r="AC249" i="17"/>
  <c r="AD249" i="17"/>
  <c r="AE249" i="17"/>
  <c r="AF249" i="17"/>
  <c r="AG249" i="17"/>
  <c r="AH249" i="17"/>
  <c r="AI249" i="17"/>
  <c r="AJ249" i="17"/>
  <c r="AK249" i="17"/>
  <c r="AL249" i="17"/>
  <c r="AM249" i="17"/>
  <c r="AN249" i="17"/>
  <c r="AO249" i="17"/>
  <c r="AP249" i="17"/>
  <c r="AQ249" i="17"/>
  <c r="AR249" i="17"/>
  <c r="AS249" i="17"/>
  <c r="AT249" i="17"/>
  <c r="AU249" i="17"/>
  <c r="AV249" i="17"/>
  <c r="AW249" i="17"/>
  <c r="AX249" i="17"/>
  <c r="AY249" i="17"/>
  <c r="AZ249" i="17"/>
  <c r="BA249" i="17"/>
  <c r="BB249" i="17"/>
  <c r="BC249" i="17"/>
  <c r="BD249" i="17"/>
  <c r="BE249" i="17"/>
  <c r="BF249" i="17"/>
  <c r="BG249" i="17"/>
  <c r="BH249" i="17"/>
  <c r="BI249" i="17"/>
  <c r="BJ249" i="17"/>
  <c r="BK249" i="17"/>
  <c r="BL249" i="17"/>
  <c r="BM249" i="17"/>
  <c r="BN249" i="17"/>
  <c r="BO249" i="17"/>
  <c r="BP249" i="17"/>
  <c r="BQ249" i="17"/>
  <c r="BR249" i="17"/>
  <c r="BS249" i="17"/>
  <c r="BT249" i="17"/>
  <c r="BU249" i="17"/>
  <c r="BV249" i="17"/>
  <c r="BW249" i="17"/>
  <c r="BX249" i="17"/>
  <c r="BY249" i="17"/>
  <c r="BZ249" i="17"/>
  <c r="CA249" i="17"/>
  <c r="CB249" i="17"/>
  <c r="CC249" i="17"/>
  <c r="CD249" i="17"/>
  <c r="CE249" i="17"/>
  <c r="CF249" i="17"/>
  <c r="CG249" i="17"/>
  <c r="CH249" i="17"/>
  <c r="CI249" i="17"/>
  <c r="CJ249" i="17"/>
  <c r="CK249" i="17"/>
  <c r="CL249" i="17"/>
  <c r="CM249" i="17"/>
  <c r="CN249" i="17"/>
  <c r="CO249" i="17"/>
  <c r="CP249" i="17"/>
  <c r="CQ249" i="17"/>
  <c r="CR249" i="17"/>
  <c r="CS249" i="17"/>
  <c r="CT249" i="17"/>
  <c r="CU249" i="17"/>
  <c r="CV249" i="17"/>
  <c r="CW249" i="17"/>
  <c r="CX249" i="17"/>
  <c r="CY249" i="17"/>
  <c r="CZ249" i="17"/>
  <c r="DA249" i="17"/>
  <c r="DB249" i="17"/>
  <c r="DC249" i="17"/>
  <c r="DD249" i="17"/>
  <c r="DE249" i="17"/>
  <c r="DF249" i="17"/>
  <c r="DG249" i="17"/>
  <c r="DH249" i="17"/>
  <c r="DI249" i="17"/>
  <c r="DJ249" i="17"/>
  <c r="DK249" i="17"/>
  <c r="DL249" i="17"/>
  <c r="DM249" i="17"/>
  <c r="DN249" i="17"/>
  <c r="DO249" i="17"/>
  <c r="DP249" i="17"/>
  <c r="DQ249" i="17"/>
  <c r="DR249" i="17"/>
  <c r="DS249" i="17"/>
  <c r="DT249" i="17"/>
  <c r="DU249" i="17"/>
  <c r="DV249" i="17"/>
  <c r="DW249" i="17"/>
  <c r="DX249" i="17"/>
  <c r="DY249" i="17"/>
  <c r="DZ249" i="17"/>
  <c r="EA249" i="17"/>
  <c r="EB249" i="17"/>
  <c r="EC249" i="17"/>
  <c r="ED249" i="17"/>
  <c r="EE249" i="17"/>
  <c r="EF249" i="17"/>
  <c r="EG249" i="17"/>
  <c r="EH249" i="17"/>
  <c r="EI249" i="17"/>
  <c r="EJ249" i="17"/>
  <c r="EK249" i="17"/>
  <c r="EL249" i="17"/>
  <c r="EM249" i="17"/>
  <c r="EN249" i="17"/>
  <c r="EO249" i="17"/>
  <c r="EP249" i="17"/>
  <c r="EQ249" i="17"/>
  <c r="ER249" i="17"/>
  <c r="ES249" i="17"/>
  <c r="ET249" i="17"/>
  <c r="EU249" i="17"/>
  <c r="EV249" i="17"/>
  <c r="EW249" i="17"/>
  <c r="EX249" i="17"/>
  <c r="EY249" i="17"/>
  <c r="EZ249" i="17"/>
  <c r="FA249" i="17"/>
  <c r="FB249" i="17"/>
  <c r="FC249" i="17"/>
  <c r="FD249" i="17"/>
  <c r="FE249" i="17"/>
  <c r="FF249" i="17"/>
  <c r="FG249" i="17"/>
  <c r="FH249" i="17"/>
  <c r="FI249" i="17"/>
  <c r="FJ249" i="17"/>
  <c r="FK249" i="17"/>
  <c r="FL249" i="17"/>
  <c r="FM249" i="17"/>
  <c r="FN249" i="17"/>
  <c r="FO249" i="17"/>
  <c r="FP249" i="17"/>
  <c r="FQ249" i="17"/>
  <c r="FR249" i="17"/>
  <c r="FS249" i="17"/>
  <c r="FT249" i="17"/>
  <c r="FU249" i="17"/>
  <c r="FV249" i="17"/>
  <c r="FW249" i="17"/>
  <c r="FX249" i="17"/>
  <c r="FY249" i="17"/>
  <c r="FZ249" i="17"/>
  <c r="GA249" i="17"/>
  <c r="GB249" i="17"/>
  <c r="GC249" i="17"/>
  <c r="GD249" i="17"/>
  <c r="GE249" i="17"/>
  <c r="GF249" i="17"/>
  <c r="GG249" i="17"/>
  <c r="GH249" i="17"/>
  <c r="GI249" i="17"/>
  <c r="GJ249" i="17"/>
  <c r="GK249" i="17"/>
  <c r="GL249" i="17"/>
  <c r="GM249" i="17"/>
  <c r="GN249" i="17"/>
  <c r="GO249" i="17"/>
  <c r="GP249" i="17"/>
  <c r="GQ249" i="17"/>
  <c r="GR249" i="17"/>
  <c r="GS249" i="17"/>
  <c r="GT249" i="17"/>
  <c r="GU249" i="17"/>
  <c r="GV249" i="17"/>
  <c r="GW249" i="17"/>
  <c r="GX249" i="17"/>
  <c r="GY249" i="17"/>
  <c r="GZ249" i="17"/>
  <c r="HA249" i="17"/>
  <c r="HB249" i="17"/>
  <c r="HC249" i="17"/>
  <c r="HD249" i="17"/>
  <c r="HE249" i="17"/>
  <c r="HF249" i="17"/>
  <c r="HG249" i="17"/>
  <c r="HH249" i="17"/>
  <c r="HI249" i="17"/>
  <c r="HJ249" i="17"/>
  <c r="HK249" i="17"/>
  <c r="HL249" i="17"/>
  <c r="HM249" i="17"/>
  <c r="HN249" i="17"/>
  <c r="HO249" i="17"/>
  <c r="HP249" i="17"/>
  <c r="HQ249" i="17"/>
  <c r="HR249" i="17"/>
  <c r="HS249" i="17"/>
  <c r="HT249" i="17"/>
  <c r="HU249" i="17"/>
  <c r="HV249" i="17"/>
  <c r="HW249" i="17"/>
  <c r="HX249" i="17"/>
  <c r="HY249" i="17"/>
  <c r="HZ249" i="17"/>
  <c r="IA249" i="17"/>
  <c r="IB249" i="17"/>
  <c r="IC249" i="17"/>
  <c r="ID249" i="17"/>
  <c r="IE249" i="17"/>
  <c r="IF249" i="17"/>
  <c r="IG249" i="17"/>
  <c r="IH249" i="17"/>
  <c r="II249" i="17"/>
  <c r="IJ249" i="17"/>
  <c r="IK249" i="17"/>
  <c r="IL249" i="17"/>
  <c r="IM249" i="17"/>
  <c r="IN249" i="17"/>
  <c r="IO249" i="17"/>
  <c r="IP249" i="17"/>
  <c r="IQ249" i="17"/>
  <c r="IR249" i="17"/>
  <c r="IS249" i="17"/>
  <c r="IT249" i="17"/>
  <c r="IU249" i="17"/>
  <c r="IV249" i="17"/>
  <c r="A248" i="17"/>
  <c r="B248" i="17"/>
  <c r="C248" i="17"/>
  <c r="D248" i="17"/>
  <c r="E248" i="17"/>
  <c r="F248" i="17"/>
  <c r="G248" i="17"/>
  <c r="H248" i="17"/>
  <c r="I248" i="17"/>
  <c r="J248" i="17"/>
  <c r="K248" i="17"/>
  <c r="L248" i="17"/>
  <c r="M248" i="17"/>
  <c r="N248" i="17"/>
  <c r="O248" i="17"/>
  <c r="P248" i="17"/>
  <c r="Q248" i="17"/>
  <c r="R248" i="17"/>
  <c r="S248" i="17"/>
  <c r="T248" i="17"/>
  <c r="U248" i="17"/>
  <c r="V248" i="17"/>
  <c r="W248" i="17"/>
  <c r="X248" i="17"/>
  <c r="Y248" i="17"/>
  <c r="Z248" i="17"/>
  <c r="AA248" i="17"/>
  <c r="AB248" i="17"/>
  <c r="AC248" i="17"/>
  <c r="AD248" i="17"/>
  <c r="AE248" i="17"/>
  <c r="AF248" i="17"/>
  <c r="AG248" i="17"/>
  <c r="AH248" i="17"/>
  <c r="AI248" i="17"/>
  <c r="AJ248" i="17"/>
  <c r="AK248" i="17"/>
  <c r="AL248" i="17"/>
  <c r="AM248" i="17"/>
  <c r="AN248" i="17"/>
  <c r="AO248" i="17"/>
  <c r="AP248" i="17"/>
  <c r="AQ248" i="17"/>
  <c r="AR248" i="17"/>
  <c r="AS248" i="17"/>
  <c r="AT248" i="17"/>
  <c r="AU248" i="17"/>
  <c r="AV248" i="17"/>
  <c r="AW248" i="17"/>
  <c r="AX248" i="17"/>
  <c r="AY248" i="17"/>
  <c r="AZ248" i="17"/>
  <c r="BA248" i="17"/>
  <c r="BB248" i="17"/>
  <c r="BC248" i="17"/>
  <c r="BD248" i="17"/>
  <c r="BE248" i="17"/>
  <c r="BF248" i="17"/>
  <c r="BG248" i="17"/>
  <c r="BH248" i="17"/>
  <c r="BI248" i="17"/>
  <c r="BJ248" i="17"/>
  <c r="BK248" i="17"/>
  <c r="BL248" i="17"/>
  <c r="BM248" i="17"/>
  <c r="BN248" i="17"/>
  <c r="BO248" i="17"/>
  <c r="BP248" i="17"/>
  <c r="BQ248" i="17"/>
  <c r="BR248" i="17"/>
  <c r="BS248" i="17"/>
  <c r="BT248" i="17"/>
  <c r="BU248" i="17"/>
  <c r="BV248" i="17"/>
  <c r="BW248" i="17"/>
  <c r="BX248" i="17"/>
  <c r="BY248" i="17"/>
  <c r="BZ248" i="17"/>
  <c r="CA248" i="17"/>
  <c r="CB248" i="17"/>
  <c r="CC248" i="17"/>
  <c r="CD248" i="17"/>
  <c r="CE248" i="17"/>
  <c r="CF248" i="17"/>
  <c r="CG248" i="17"/>
  <c r="CH248" i="17"/>
  <c r="CI248" i="17"/>
  <c r="CJ248" i="17"/>
  <c r="CK248" i="17"/>
  <c r="CL248" i="17"/>
  <c r="CM248" i="17"/>
  <c r="CN248" i="17"/>
  <c r="CO248" i="17"/>
  <c r="CP248" i="17"/>
  <c r="CQ248" i="17"/>
  <c r="CR248" i="17"/>
  <c r="CS248" i="17"/>
  <c r="CT248" i="17"/>
  <c r="CU248" i="17"/>
  <c r="CV248" i="17"/>
  <c r="CW248" i="17"/>
  <c r="CX248" i="17"/>
  <c r="CY248" i="17"/>
  <c r="CZ248" i="17"/>
  <c r="DA248" i="17"/>
  <c r="DB248" i="17"/>
  <c r="DC248" i="17"/>
  <c r="DD248" i="17"/>
  <c r="DE248" i="17"/>
  <c r="DF248" i="17"/>
  <c r="DG248" i="17"/>
  <c r="DH248" i="17"/>
  <c r="DI248" i="17"/>
  <c r="DJ248" i="17"/>
  <c r="DK248" i="17"/>
  <c r="DL248" i="17"/>
  <c r="DM248" i="17"/>
  <c r="DN248" i="17"/>
  <c r="DO248" i="17"/>
  <c r="DP248" i="17"/>
  <c r="DQ248" i="17"/>
  <c r="DR248" i="17"/>
  <c r="DS248" i="17"/>
  <c r="DV248" i="17"/>
  <c r="DW248" i="17"/>
  <c r="DX248" i="17"/>
  <c r="A247" i="17"/>
  <c r="B247" i="17"/>
  <c r="C247" i="17"/>
  <c r="D247" i="17"/>
  <c r="E247" i="17"/>
  <c r="F247" i="17"/>
  <c r="G247" i="17"/>
  <c r="H247" i="17"/>
  <c r="I247" i="17"/>
  <c r="J247" i="17"/>
  <c r="K247" i="17"/>
  <c r="L247" i="17"/>
  <c r="M247" i="17"/>
  <c r="N247" i="17"/>
  <c r="O247" i="17"/>
  <c r="P247" i="17"/>
  <c r="Q247" i="17"/>
  <c r="R247" i="17"/>
  <c r="S247" i="17"/>
  <c r="T247" i="17"/>
  <c r="U247" i="17"/>
  <c r="V247" i="17"/>
  <c r="W247" i="17"/>
  <c r="X247" i="17"/>
  <c r="Y247" i="17"/>
  <c r="Z247" i="17"/>
  <c r="AA247" i="17"/>
  <c r="AB247" i="17"/>
  <c r="AC247" i="17"/>
  <c r="AD247" i="17"/>
  <c r="AE247" i="17"/>
  <c r="AF247" i="17"/>
  <c r="AG247" i="17"/>
  <c r="AH247" i="17"/>
  <c r="AI247" i="17"/>
  <c r="AJ247" i="17"/>
  <c r="AK247" i="17"/>
  <c r="AL247" i="17"/>
  <c r="AM247" i="17"/>
  <c r="AN247" i="17"/>
  <c r="AO247" i="17"/>
  <c r="AP247" i="17"/>
  <c r="AQ247" i="17"/>
  <c r="AR247" i="17"/>
  <c r="AS247" i="17"/>
  <c r="AT247" i="17"/>
  <c r="AU247" i="17"/>
  <c r="AV247" i="17"/>
  <c r="AW247" i="17"/>
  <c r="AX247" i="17"/>
  <c r="AY247" i="17"/>
  <c r="AZ247" i="17"/>
  <c r="BA247" i="17"/>
  <c r="BB247" i="17"/>
  <c r="BC247" i="17"/>
  <c r="BD247" i="17"/>
  <c r="BE247" i="17"/>
  <c r="BF247" i="17"/>
  <c r="BG247" i="17"/>
  <c r="BH247" i="17"/>
  <c r="BI247" i="17"/>
  <c r="BJ247" i="17"/>
  <c r="BK247" i="17"/>
  <c r="BL247" i="17"/>
  <c r="BM247" i="17"/>
  <c r="BN247" i="17"/>
  <c r="BO247" i="17"/>
  <c r="BP247" i="17"/>
  <c r="BQ247" i="17"/>
  <c r="BR247" i="17"/>
  <c r="BS247" i="17"/>
  <c r="BT247" i="17"/>
  <c r="BU247" i="17"/>
  <c r="BV247" i="17"/>
  <c r="BW247" i="17"/>
  <c r="BX247" i="17"/>
  <c r="BY247" i="17"/>
  <c r="BZ247" i="17"/>
  <c r="CA247" i="17"/>
  <c r="CB247" i="17"/>
  <c r="CC247" i="17"/>
  <c r="CD247" i="17"/>
  <c r="CE247" i="17"/>
  <c r="CF247" i="17"/>
  <c r="CG247" i="17"/>
  <c r="CH247" i="17"/>
  <c r="CI247" i="17"/>
  <c r="CJ247" i="17"/>
  <c r="CK247" i="17"/>
  <c r="CL247" i="17"/>
  <c r="CM247" i="17"/>
  <c r="CN247" i="17"/>
  <c r="CO247" i="17"/>
  <c r="CP247" i="17"/>
  <c r="CQ247" i="17"/>
  <c r="CR247" i="17"/>
  <c r="CS247" i="17"/>
  <c r="CT247" i="17"/>
  <c r="CU247" i="17"/>
  <c r="CV247" i="17"/>
  <c r="CW247" i="17"/>
  <c r="CX247" i="17"/>
  <c r="CY247" i="17"/>
  <c r="CZ247" i="17"/>
  <c r="DA247" i="17"/>
  <c r="DB247" i="17"/>
  <c r="DC247" i="17"/>
  <c r="DD247" i="17"/>
  <c r="DE247" i="17"/>
  <c r="DF247" i="17"/>
  <c r="DG247" i="17"/>
  <c r="DH247" i="17"/>
  <c r="DI247" i="17"/>
  <c r="DJ247" i="17"/>
  <c r="DK247" i="17"/>
  <c r="DL247" i="17"/>
  <c r="DM247" i="17"/>
  <c r="DN247" i="17"/>
  <c r="DO247" i="17"/>
  <c r="DP247" i="17"/>
  <c r="DQ247" i="17"/>
  <c r="DR247" i="17"/>
  <c r="DS247" i="17"/>
  <c r="DT247" i="17"/>
  <c r="DU247" i="17"/>
  <c r="DV247" i="17"/>
  <c r="DW247" i="17"/>
  <c r="DX247" i="17"/>
  <c r="DY247" i="17"/>
  <c r="DZ247" i="17"/>
  <c r="EA247" i="17"/>
  <c r="EB247" i="17"/>
  <c r="EC247" i="17"/>
  <c r="ED247" i="17"/>
  <c r="EE247" i="17"/>
  <c r="EF247" i="17"/>
  <c r="EG247" i="17"/>
  <c r="EH247" i="17"/>
  <c r="EI247" i="17"/>
  <c r="EJ247" i="17"/>
  <c r="EK247" i="17"/>
  <c r="EL247" i="17"/>
  <c r="EM247" i="17"/>
  <c r="EN247" i="17"/>
  <c r="EO247" i="17"/>
  <c r="EP247" i="17"/>
  <c r="EQ247" i="17"/>
  <c r="ER247" i="17"/>
  <c r="ES247" i="17"/>
  <c r="ET247" i="17"/>
  <c r="EU247" i="17"/>
  <c r="EV247" i="17"/>
  <c r="EW247" i="17"/>
  <c r="EX247" i="17"/>
  <c r="EY247" i="17"/>
  <c r="EZ247" i="17"/>
  <c r="FA247" i="17"/>
  <c r="FB247" i="17"/>
  <c r="FC247" i="17"/>
  <c r="FD247" i="17"/>
  <c r="FE247" i="17"/>
  <c r="FF247" i="17"/>
  <c r="FG247" i="17"/>
  <c r="FH247" i="17"/>
  <c r="FI247" i="17"/>
  <c r="FJ247" i="17"/>
  <c r="FK247" i="17"/>
  <c r="FL247" i="17"/>
  <c r="FM247" i="17"/>
  <c r="FN247" i="17"/>
  <c r="FO247" i="17"/>
  <c r="FP247" i="17"/>
  <c r="FQ247" i="17"/>
  <c r="FR247" i="17"/>
  <c r="FS247" i="17"/>
  <c r="FT247" i="17"/>
  <c r="FU247" i="17"/>
  <c r="FV247" i="17"/>
  <c r="FW247" i="17"/>
  <c r="FX247" i="17"/>
  <c r="FY247" i="17"/>
  <c r="FZ247" i="17"/>
  <c r="GA247" i="17"/>
  <c r="GB247" i="17"/>
  <c r="GC247" i="17"/>
  <c r="GD247" i="17"/>
  <c r="GE247" i="17"/>
  <c r="GF247" i="17"/>
  <c r="GG247" i="17"/>
  <c r="GH247" i="17"/>
  <c r="GI247" i="17"/>
  <c r="GJ247" i="17"/>
  <c r="GK247" i="17"/>
  <c r="GL247" i="17"/>
  <c r="GM247" i="17"/>
  <c r="GN247" i="17"/>
  <c r="GO247" i="17"/>
  <c r="GP247" i="17"/>
  <c r="GQ247" i="17"/>
  <c r="GR247" i="17"/>
  <c r="GS247" i="17"/>
  <c r="GT247" i="17"/>
  <c r="GU247" i="17"/>
  <c r="GV247" i="17"/>
  <c r="GW247" i="17"/>
  <c r="GX247" i="17"/>
  <c r="GY247" i="17"/>
  <c r="GZ247" i="17"/>
  <c r="HA247" i="17"/>
  <c r="HB247" i="17"/>
  <c r="HC247" i="17"/>
  <c r="HD247" i="17"/>
  <c r="HE247" i="17"/>
  <c r="HF247" i="17"/>
  <c r="HG247" i="17"/>
  <c r="HH247" i="17"/>
  <c r="HI247" i="17"/>
  <c r="HJ247" i="17"/>
  <c r="HK247" i="17"/>
  <c r="HL247" i="17"/>
  <c r="HM247" i="17"/>
  <c r="HN247" i="17"/>
  <c r="HO247" i="17"/>
  <c r="HP247" i="17"/>
  <c r="HQ247" i="17"/>
  <c r="HR247" i="17"/>
  <c r="HS247" i="17"/>
  <c r="HT247" i="17"/>
  <c r="HU247" i="17"/>
  <c r="HV247" i="17"/>
  <c r="HW247" i="17"/>
  <c r="HX247" i="17"/>
  <c r="HY247" i="17"/>
  <c r="HZ247" i="17"/>
  <c r="IA247" i="17"/>
  <c r="IB247" i="17"/>
  <c r="IC247" i="17"/>
  <c r="ID247" i="17"/>
  <c r="IE247" i="17"/>
  <c r="IF247" i="17"/>
  <c r="IG247" i="17"/>
  <c r="IH247" i="17"/>
  <c r="II247" i="17"/>
  <c r="IJ247" i="17"/>
  <c r="IK247" i="17"/>
  <c r="IL247" i="17"/>
  <c r="IM247" i="17"/>
  <c r="IN247" i="17"/>
  <c r="IO247" i="17"/>
  <c r="IP247" i="17"/>
  <c r="IQ247" i="17"/>
  <c r="IR247" i="17"/>
  <c r="IS247" i="17"/>
  <c r="IT247" i="17"/>
  <c r="IU247" i="17"/>
  <c r="IV247" i="17"/>
  <c r="C246" i="17"/>
  <c r="D246" i="17"/>
  <c r="E246" i="17"/>
  <c r="A245" i="17"/>
  <c r="B245" i="17"/>
  <c r="C245" i="17"/>
  <c r="D245" i="17"/>
  <c r="E245" i="17"/>
  <c r="F245" i="17"/>
  <c r="G245" i="17"/>
  <c r="H245" i="17"/>
  <c r="I245" i="17"/>
  <c r="J245" i="17"/>
  <c r="K245" i="17"/>
  <c r="L245" i="17"/>
  <c r="M245" i="17"/>
  <c r="N245" i="17"/>
  <c r="O245" i="17"/>
  <c r="P245" i="17"/>
  <c r="Q245" i="17"/>
  <c r="R245" i="17"/>
  <c r="S245" i="17"/>
  <c r="T245" i="17"/>
  <c r="U245" i="17"/>
  <c r="V245" i="17"/>
  <c r="W245" i="17"/>
  <c r="X245" i="17"/>
  <c r="Y245" i="17"/>
  <c r="Z245" i="17"/>
  <c r="AA245" i="17"/>
  <c r="AB245" i="17"/>
  <c r="AC245" i="17"/>
  <c r="AD245" i="17"/>
  <c r="AE245" i="17"/>
  <c r="AF245" i="17"/>
  <c r="AG245" i="17"/>
  <c r="AH245" i="17"/>
  <c r="AI245" i="17"/>
  <c r="AJ245" i="17"/>
  <c r="AK245" i="17"/>
  <c r="AL245" i="17"/>
  <c r="AM245" i="17"/>
  <c r="AN245" i="17"/>
  <c r="AO245" i="17"/>
  <c r="AP245" i="17"/>
  <c r="AQ245" i="17"/>
  <c r="AR245" i="17"/>
  <c r="AS245" i="17"/>
  <c r="AT245" i="17"/>
  <c r="AU245" i="17"/>
  <c r="AV245" i="17"/>
  <c r="AW245" i="17"/>
  <c r="AX245" i="17"/>
  <c r="AY245" i="17"/>
  <c r="AZ245" i="17"/>
  <c r="BA245" i="17"/>
  <c r="BB245" i="17"/>
  <c r="BC245" i="17"/>
  <c r="BD245" i="17"/>
  <c r="BE245" i="17"/>
  <c r="BF245" i="17"/>
  <c r="BG245" i="17"/>
  <c r="BH245" i="17"/>
  <c r="BI245" i="17"/>
  <c r="BJ245" i="17"/>
  <c r="BK245" i="17"/>
  <c r="BL245" i="17"/>
  <c r="BM245" i="17"/>
  <c r="BN245" i="17"/>
  <c r="BO245" i="17"/>
  <c r="BP245" i="17"/>
  <c r="BQ245" i="17"/>
  <c r="BR245" i="17"/>
  <c r="BS245" i="17"/>
  <c r="BT245" i="17"/>
  <c r="BU245" i="17"/>
  <c r="BV245" i="17"/>
  <c r="BW245" i="17"/>
  <c r="BX245" i="17"/>
  <c r="BY245" i="17"/>
  <c r="BZ245" i="17"/>
  <c r="CA245" i="17"/>
  <c r="CB245" i="17"/>
  <c r="CC245" i="17"/>
  <c r="CD245" i="17"/>
  <c r="CE245" i="17"/>
  <c r="CF245" i="17"/>
  <c r="CG245" i="17"/>
  <c r="CH245" i="17"/>
  <c r="CI245" i="17"/>
  <c r="CJ245" i="17"/>
  <c r="CK245" i="17"/>
  <c r="CL245" i="17"/>
  <c r="CM245" i="17"/>
  <c r="CN245" i="17"/>
  <c r="CO245" i="17"/>
  <c r="CP245" i="17"/>
  <c r="CQ245" i="17"/>
  <c r="CR245" i="17"/>
  <c r="CS245" i="17"/>
  <c r="CT245" i="17"/>
  <c r="CU245" i="17"/>
  <c r="CV245" i="17"/>
  <c r="CW245" i="17"/>
  <c r="CX245" i="17"/>
  <c r="CY245" i="17"/>
  <c r="CZ245" i="17"/>
  <c r="DA245" i="17"/>
  <c r="DB245" i="17"/>
  <c r="DC245" i="17"/>
  <c r="DD245" i="17"/>
  <c r="DE245" i="17"/>
  <c r="DF245" i="17"/>
  <c r="DG245" i="17"/>
  <c r="DH245" i="17"/>
  <c r="DI245" i="17"/>
  <c r="DJ245" i="17"/>
  <c r="DK245" i="17"/>
  <c r="DL245" i="17"/>
  <c r="DM245" i="17"/>
  <c r="DN245" i="17"/>
  <c r="DO245" i="17"/>
  <c r="DP245" i="17"/>
  <c r="DQ245" i="17"/>
  <c r="DR245" i="17"/>
  <c r="DS245" i="17"/>
  <c r="DT245" i="17"/>
  <c r="DU245" i="17"/>
  <c r="DV245" i="17"/>
  <c r="DW245" i="17"/>
  <c r="DX245" i="17"/>
  <c r="DY245" i="17"/>
  <c r="DZ245" i="17"/>
  <c r="EA245" i="17"/>
  <c r="EB245" i="17"/>
  <c r="EC245" i="17"/>
  <c r="ED245" i="17"/>
  <c r="EE245" i="17"/>
  <c r="EF245" i="17"/>
  <c r="EG245" i="17"/>
  <c r="EH245" i="17"/>
  <c r="EI245" i="17"/>
  <c r="EJ245" i="17"/>
  <c r="EK245" i="17"/>
  <c r="EL245" i="17"/>
  <c r="EM245" i="17"/>
  <c r="EN245" i="17"/>
  <c r="EO245" i="17"/>
  <c r="EP245" i="17"/>
  <c r="EQ245" i="17"/>
  <c r="ER245" i="17"/>
  <c r="ES245" i="17"/>
  <c r="ET245" i="17"/>
  <c r="EU245" i="17"/>
  <c r="EV245" i="17"/>
  <c r="EW245" i="17"/>
  <c r="EX245" i="17"/>
  <c r="EY245" i="17"/>
  <c r="EZ245" i="17"/>
  <c r="FA245" i="17"/>
  <c r="FB245" i="17"/>
  <c r="FC245" i="17"/>
  <c r="FD245" i="17"/>
  <c r="FE245" i="17"/>
  <c r="FF245" i="17"/>
  <c r="FG245" i="17"/>
  <c r="FH245" i="17"/>
  <c r="FI245" i="17"/>
  <c r="FJ245" i="17"/>
  <c r="FK245" i="17"/>
  <c r="FL245" i="17"/>
  <c r="FM245" i="17"/>
  <c r="FN245" i="17"/>
  <c r="FO245" i="17"/>
  <c r="FP245" i="17"/>
  <c r="FQ245" i="17"/>
  <c r="FR245" i="17"/>
  <c r="FS245" i="17"/>
  <c r="FT245" i="17"/>
  <c r="FU245" i="17"/>
  <c r="FV245" i="17"/>
  <c r="FW245" i="17"/>
  <c r="FX245" i="17"/>
  <c r="FY245" i="17"/>
  <c r="FZ245" i="17"/>
  <c r="GA245" i="17"/>
  <c r="GB245" i="17"/>
  <c r="GC245" i="17"/>
  <c r="GD245" i="17"/>
  <c r="GE245" i="17"/>
  <c r="GF245" i="17"/>
  <c r="GG245" i="17"/>
  <c r="GH245" i="17"/>
  <c r="GI245" i="17"/>
  <c r="GJ245" i="17"/>
  <c r="GP245" i="17"/>
  <c r="GQ245" i="17"/>
  <c r="GR245" i="17"/>
  <c r="A244" i="17"/>
  <c r="B244" i="17"/>
  <c r="C244" i="17"/>
  <c r="D244" i="17"/>
  <c r="E244" i="17"/>
  <c r="F244" i="17"/>
  <c r="G244" i="17"/>
  <c r="H244" i="17"/>
  <c r="I244" i="17"/>
  <c r="J244" i="17"/>
  <c r="K244" i="17"/>
  <c r="L244" i="17"/>
  <c r="M244" i="17"/>
  <c r="N244" i="17"/>
  <c r="O244" i="17"/>
  <c r="P244" i="17"/>
  <c r="Q244" i="17"/>
  <c r="R244" i="17"/>
  <c r="S244" i="17"/>
  <c r="T244" i="17"/>
  <c r="U244" i="17"/>
  <c r="V244" i="17"/>
  <c r="W244" i="17"/>
  <c r="X244" i="17"/>
  <c r="Y244" i="17"/>
  <c r="Z244" i="17"/>
  <c r="AA244" i="17"/>
  <c r="AB244" i="17"/>
  <c r="AC244" i="17"/>
  <c r="AD244" i="17"/>
  <c r="AE244" i="17"/>
  <c r="AF244" i="17"/>
  <c r="AG244" i="17"/>
  <c r="AH244" i="17"/>
  <c r="AI244" i="17"/>
  <c r="AJ244" i="17"/>
  <c r="AK244" i="17"/>
  <c r="AL244" i="17"/>
  <c r="AM244" i="17"/>
  <c r="AN244" i="17"/>
  <c r="AO244" i="17"/>
  <c r="AP244" i="17"/>
  <c r="AQ244" i="17"/>
  <c r="AR244" i="17"/>
  <c r="AS244" i="17"/>
  <c r="AT244" i="17"/>
  <c r="AU244" i="17"/>
  <c r="AV244" i="17"/>
  <c r="AW244" i="17"/>
  <c r="AX244" i="17"/>
  <c r="AY244" i="17"/>
  <c r="AZ244" i="17"/>
  <c r="BA244" i="17"/>
  <c r="BB244" i="17"/>
  <c r="BC244" i="17"/>
  <c r="BD244" i="17"/>
  <c r="BE244" i="17"/>
  <c r="BF244" i="17"/>
  <c r="BG244" i="17"/>
  <c r="BH244" i="17"/>
  <c r="BI244" i="17"/>
  <c r="BJ244" i="17"/>
  <c r="BK244" i="17"/>
  <c r="BL244" i="17"/>
  <c r="BM244" i="17"/>
  <c r="BN244" i="17"/>
  <c r="BO244" i="17"/>
  <c r="BP244" i="17"/>
  <c r="BQ244" i="17"/>
  <c r="BR244" i="17"/>
  <c r="BS244" i="17"/>
  <c r="BT244" i="17"/>
  <c r="BU244" i="17"/>
  <c r="BV244" i="17"/>
  <c r="BW244" i="17"/>
  <c r="BX244" i="17"/>
  <c r="BY244" i="17"/>
  <c r="BZ244" i="17"/>
  <c r="CA244" i="17"/>
  <c r="CB244" i="17"/>
  <c r="CC244" i="17"/>
  <c r="CD244" i="17"/>
  <c r="CE244" i="17"/>
  <c r="CF244" i="17"/>
  <c r="CG244" i="17"/>
  <c r="CH244" i="17"/>
  <c r="CI244" i="17"/>
  <c r="CJ244" i="17"/>
  <c r="CK244" i="17"/>
  <c r="CL244" i="17"/>
  <c r="CM244" i="17"/>
  <c r="CN244" i="17"/>
  <c r="CO244" i="17"/>
  <c r="CP244" i="17"/>
  <c r="CQ244" i="17"/>
  <c r="CR244" i="17"/>
  <c r="CS244" i="17"/>
  <c r="CT244" i="17"/>
  <c r="CU244" i="17"/>
  <c r="CV244" i="17"/>
  <c r="CW244" i="17"/>
  <c r="CX244" i="17"/>
  <c r="CY244" i="17"/>
  <c r="CZ244" i="17"/>
  <c r="DA244" i="17"/>
  <c r="DB244" i="17"/>
  <c r="DC244" i="17"/>
  <c r="DD244" i="17"/>
  <c r="DE244" i="17"/>
  <c r="DF244" i="17"/>
  <c r="DG244" i="17"/>
  <c r="DH244" i="17"/>
  <c r="DI244" i="17"/>
  <c r="DJ244" i="17"/>
  <c r="DK244" i="17"/>
  <c r="DL244" i="17"/>
  <c r="DM244" i="17"/>
  <c r="DN244" i="17"/>
  <c r="DO244" i="17"/>
  <c r="DP244" i="17"/>
  <c r="DQ244" i="17"/>
  <c r="DR244" i="17"/>
  <c r="DS244" i="17"/>
  <c r="DT244" i="17"/>
  <c r="DU244" i="17"/>
  <c r="DV244" i="17"/>
  <c r="DW244" i="17"/>
  <c r="DX244" i="17"/>
  <c r="DY244" i="17"/>
  <c r="DZ244" i="17"/>
  <c r="EA244" i="17"/>
  <c r="EB244" i="17"/>
  <c r="EC244" i="17"/>
  <c r="ED244" i="17"/>
  <c r="EE244" i="17"/>
  <c r="EF244" i="17"/>
  <c r="EG244" i="17"/>
  <c r="EH244" i="17"/>
  <c r="EI244" i="17"/>
  <c r="EJ244" i="17"/>
  <c r="EK244" i="17"/>
  <c r="EL244" i="17"/>
  <c r="EM244" i="17"/>
  <c r="EN244" i="17"/>
  <c r="EO244" i="17"/>
  <c r="EP244" i="17"/>
  <c r="EQ244" i="17"/>
  <c r="ER244" i="17"/>
  <c r="ES244" i="17"/>
  <c r="ET244" i="17"/>
  <c r="EU244" i="17"/>
  <c r="EV244" i="17"/>
  <c r="EW244" i="17"/>
  <c r="EX244" i="17"/>
  <c r="EY244" i="17"/>
  <c r="EZ244" i="17"/>
  <c r="FA244" i="17"/>
  <c r="FB244" i="17"/>
  <c r="FC244" i="17"/>
  <c r="FD244" i="17"/>
  <c r="FE244" i="17"/>
  <c r="FF244" i="17"/>
  <c r="FG244" i="17"/>
  <c r="FH244" i="17"/>
  <c r="FI244" i="17"/>
  <c r="FJ244" i="17"/>
  <c r="FK244" i="17"/>
  <c r="FL244" i="17"/>
  <c r="FM244" i="17"/>
  <c r="FN244" i="17"/>
  <c r="FO244" i="17"/>
  <c r="FP244" i="17"/>
  <c r="FQ244" i="17"/>
  <c r="FR244" i="17"/>
  <c r="FS244" i="17"/>
  <c r="FT244" i="17"/>
  <c r="FU244" i="17"/>
  <c r="FV244" i="17"/>
  <c r="FW244" i="17"/>
  <c r="FX244" i="17"/>
  <c r="FY244" i="17"/>
  <c r="FZ244" i="17"/>
  <c r="GA244" i="17"/>
  <c r="GB244" i="17"/>
  <c r="GC244" i="17"/>
  <c r="GD244" i="17"/>
  <c r="GE244" i="17"/>
  <c r="GF244" i="17"/>
  <c r="GG244" i="17"/>
  <c r="GH244" i="17"/>
  <c r="GI244" i="17"/>
  <c r="GJ244" i="17"/>
  <c r="GK244" i="17"/>
  <c r="GL244" i="17"/>
  <c r="GM244" i="17"/>
  <c r="GN244" i="17"/>
  <c r="GO244" i="17"/>
  <c r="GP244" i="17"/>
  <c r="GQ244" i="17"/>
  <c r="GR244" i="17"/>
  <c r="GS244" i="17"/>
  <c r="GT244" i="17"/>
  <c r="GU244" i="17"/>
  <c r="GV244" i="17"/>
  <c r="GW244" i="17"/>
  <c r="GX244" i="17"/>
  <c r="GY244" i="17"/>
  <c r="GZ244" i="17"/>
  <c r="HA244" i="17"/>
  <c r="HB244" i="17"/>
  <c r="HC244" i="17"/>
  <c r="HD244" i="17"/>
  <c r="HE244" i="17"/>
  <c r="HF244" i="17"/>
  <c r="HG244" i="17"/>
  <c r="HH244" i="17"/>
  <c r="HI244" i="17"/>
  <c r="HJ244" i="17"/>
  <c r="HK244" i="17"/>
  <c r="HL244" i="17"/>
  <c r="HM244" i="17"/>
  <c r="HN244" i="17"/>
  <c r="HO244" i="17"/>
  <c r="HP244" i="17"/>
  <c r="HQ244" i="17"/>
  <c r="HR244" i="17"/>
  <c r="HS244" i="17"/>
  <c r="HT244" i="17"/>
  <c r="HU244" i="17"/>
  <c r="HV244" i="17"/>
  <c r="HW244" i="17"/>
  <c r="HX244" i="17"/>
  <c r="HY244" i="17"/>
  <c r="HZ244" i="17"/>
  <c r="IA244" i="17"/>
  <c r="IB244" i="17"/>
  <c r="IC244" i="17"/>
  <c r="ID244" i="17"/>
  <c r="IE244" i="17"/>
  <c r="IF244" i="17"/>
  <c r="IG244" i="17"/>
  <c r="IH244" i="17"/>
  <c r="II244" i="17"/>
  <c r="IJ244" i="17"/>
  <c r="IK244" i="17"/>
  <c r="IL244" i="17"/>
  <c r="IM244" i="17"/>
  <c r="IN244" i="17"/>
  <c r="IO244" i="17"/>
  <c r="IP244" i="17"/>
  <c r="IQ244" i="17"/>
  <c r="IR244" i="17"/>
  <c r="IS244" i="17"/>
  <c r="IT244" i="17"/>
  <c r="IU244" i="17"/>
  <c r="IV244" i="17"/>
  <c r="A243" i="17"/>
  <c r="B243" i="17"/>
  <c r="C243" i="17"/>
  <c r="D243" i="17"/>
  <c r="E243" i="17"/>
  <c r="F243" i="17"/>
  <c r="G243" i="17"/>
  <c r="H243" i="17"/>
  <c r="I243" i="17"/>
  <c r="J243" i="17"/>
  <c r="K243" i="17"/>
  <c r="L243" i="17"/>
  <c r="M243" i="17"/>
  <c r="N243" i="17"/>
  <c r="O243" i="17"/>
  <c r="P243" i="17"/>
  <c r="Q243" i="17"/>
  <c r="R243" i="17"/>
  <c r="S243" i="17"/>
  <c r="T243" i="17"/>
  <c r="U243" i="17"/>
  <c r="V243" i="17"/>
  <c r="W243" i="17"/>
  <c r="X243" i="17"/>
  <c r="Y243" i="17"/>
  <c r="Z243" i="17"/>
  <c r="AA243" i="17"/>
  <c r="AB243" i="17"/>
  <c r="AC243" i="17"/>
  <c r="AD243" i="17"/>
  <c r="AE243" i="17"/>
  <c r="AF243" i="17"/>
  <c r="AG243" i="17"/>
  <c r="AH243" i="17"/>
  <c r="AI243" i="17"/>
  <c r="AJ243" i="17"/>
  <c r="AK243" i="17"/>
  <c r="AL243" i="17"/>
  <c r="AM243" i="17"/>
  <c r="AN243" i="17"/>
  <c r="AO243" i="17"/>
  <c r="AP243" i="17"/>
  <c r="AQ243" i="17"/>
  <c r="AR243" i="17"/>
  <c r="AS243" i="17"/>
  <c r="AT243" i="17"/>
  <c r="AU243" i="17"/>
  <c r="AV243" i="17"/>
  <c r="AW243" i="17"/>
  <c r="AX243" i="17"/>
  <c r="AY243" i="17"/>
  <c r="AZ243" i="17"/>
  <c r="BA243" i="17"/>
  <c r="BB243" i="17"/>
  <c r="BC243" i="17"/>
  <c r="BD243" i="17"/>
  <c r="BE243" i="17"/>
  <c r="BF243" i="17"/>
  <c r="BG243" i="17"/>
  <c r="BH243" i="17"/>
  <c r="BI243" i="17"/>
  <c r="BJ243" i="17"/>
  <c r="BK243" i="17"/>
  <c r="BL243" i="17"/>
  <c r="BM243" i="17"/>
  <c r="BN243" i="17"/>
  <c r="BO243" i="17"/>
  <c r="BP243" i="17"/>
  <c r="BQ243" i="17"/>
  <c r="BR243" i="17"/>
  <c r="BS243" i="17"/>
  <c r="BT243" i="17"/>
  <c r="BU243" i="17"/>
  <c r="BV243" i="17"/>
  <c r="BW243" i="17"/>
  <c r="BX243" i="17"/>
  <c r="BY243" i="17"/>
  <c r="BZ243" i="17"/>
  <c r="CA243" i="17"/>
  <c r="CB243" i="17"/>
  <c r="CC243" i="17"/>
  <c r="CD243" i="17"/>
  <c r="CE243" i="17"/>
  <c r="CF243" i="17"/>
  <c r="CG243" i="17"/>
  <c r="CH243" i="17"/>
  <c r="CI243" i="17"/>
  <c r="CJ243" i="17"/>
  <c r="CK243" i="17"/>
  <c r="CL243" i="17"/>
  <c r="CM243" i="17"/>
  <c r="CN243" i="17"/>
  <c r="CO243" i="17"/>
  <c r="CP243" i="17"/>
  <c r="CQ243" i="17"/>
  <c r="CR243" i="17"/>
  <c r="CS243" i="17"/>
  <c r="CT243" i="17"/>
  <c r="CU243" i="17"/>
  <c r="CV243" i="17"/>
  <c r="CW243" i="17"/>
  <c r="CX243" i="17"/>
  <c r="CY243" i="17"/>
  <c r="CZ243" i="17"/>
  <c r="DA243" i="17"/>
  <c r="DB243" i="17"/>
  <c r="DC243" i="17"/>
  <c r="DD243" i="17"/>
  <c r="DE243" i="17"/>
  <c r="DF243" i="17"/>
  <c r="DG243" i="17"/>
  <c r="DH243" i="17"/>
  <c r="DI243" i="17"/>
  <c r="DJ243" i="17"/>
  <c r="DK243" i="17"/>
  <c r="DL243" i="17"/>
  <c r="DM243" i="17"/>
  <c r="DN243" i="17"/>
  <c r="DO243" i="17"/>
  <c r="DP243" i="17"/>
  <c r="DQ243" i="17"/>
  <c r="DR243" i="17"/>
  <c r="DS243" i="17"/>
  <c r="DT243" i="17"/>
  <c r="DU243" i="17"/>
  <c r="DV243" i="17"/>
  <c r="DW243" i="17"/>
  <c r="DX243" i="17"/>
  <c r="DY243" i="17"/>
  <c r="DZ243" i="17"/>
  <c r="EA243" i="17"/>
  <c r="EB243" i="17"/>
  <c r="EC243" i="17"/>
  <c r="ED243" i="17"/>
  <c r="EE243" i="17"/>
  <c r="EF243" i="17"/>
  <c r="EG243" i="17"/>
  <c r="EH243" i="17"/>
  <c r="EI243" i="17"/>
  <c r="EJ243" i="17"/>
  <c r="EK243" i="17"/>
  <c r="EL243" i="17"/>
  <c r="EM243" i="17"/>
  <c r="EN243" i="17"/>
  <c r="EO243" i="17"/>
  <c r="EP243" i="17"/>
  <c r="EQ243" i="17"/>
  <c r="ER243" i="17"/>
  <c r="ES243" i="17"/>
  <c r="ET243" i="17"/>
  <c r="EU243" i="17"/>
  <c r="EV243" i="17"/>
  <c r="EW243" i="17"/>
  <c r="EX243" i="17"/>
  <c r="EY243" i="17"/>
  <c r="EZ243" i="17"/>
  <c r="FA243" i="17"/>
  <c r="FB243" i="17"/>
  <c r="FC243" i="17"/>
  <c r="FD243" i="17"/>
  <c r="FE243" i="17"/>
  <c r="FF243" i="17"/>
  <c r="FG243" i="17"/>
  <c r="FH243" i="17"/>
  <c r="FI243" i="17"/>
  <c r="FJ243" i="17"/>
  <c r="FK243" i="17"/>
  <c r="FL243" i="17"/>
  <c r="FM243" i="17"/>
  <c r="FN243" i="17"/>
  <c r="FO243" i="17"/>
  <c r="FP243" i="17"/>
  <c r="FQ243" i="17"/>
  <c r="FR243" i="17"/>
  <c r="FS243" i="17"/>
  <c r="FT243" i="17"/>
  <c r="FU243" i="17"/>
  <c r="FV243" i="17"/>
  <c r="FW243" i="17"/>
  <c r="FX243" i="17"/>
  <c r="FY243" i="17"/>
  <c r="FZ243" i="17"/>
  <c r="GA243" i="17"/>
  <c r="GB243" i="17"/>
  <c r="GC243" i="17"/>
  <c r="GD243" i="17"/>
  <c r="GE243" i="17"/>
  <c r="GF243" i="17"/>
  <c r="GG243" i="17"/>
  <c r="GH243" i="17"/>
  <c r="GI243" i="17"/>
  <c r="GJ243" i="17"/>
  <c r="GK243" i="17"/>
  <c r="GL243" i="17"/>
  <c r="GM243" i="17"/>
  <c r="GN243" i="17"/>
  <c r="GO243" i="17"/>
  <c r="GP243" i="17"/>
  <c r="GQ243" i="17"/>
  <c r="GR243" i="17"/>
  <c r="GS243" i="17"/>
  <c r="GT243" i="17"/>
  <c r="GU243" i="17"/>
  <c r="GV243" i="17"/>
  <c r="GW243" i="17"/>
  <c r="GX243" i="17"/>
  <c r="GY243" i="17"/>
  <c r="GZ243" i="17"/>
  <c r="HA243" i="17"/>
  <c r="HB243" i="17"/>
  <c r="HC243" i="17"/>
  <c r="HD243" i="17"/>
  <c r="HE243" i="17"/>
  <c r="HF243" i="17"/>
  <c r="HG243" i="17"/>
  <c r="HH243" i="17"/>
  <c r="HI243" i="17"/>
  <c r="HJ243" i="17"/>
  <c r="HK243" i="17"/>
  <c r="HL243" i="17"/>
  <c r="HM243" i="17"/>
  <c r="HN243" i="17"/>
  <c r="HO243" i="17"/>
  <c r="HP243" i="17"/>
  <c r="HQ243" i="17"/>
  <c r="HR243" i="17"/>
  <c r="HS243" i="17"/>
  <c r="HT243" i="17"/>
  <c r="HU243" i="17"/>
  <c r="HV243" i="17"/>
  <c r="HW243" i="17"/>
  <c r="HX243" i="17"/>
  <c r="HY243" i="17"/>
  <c r="HZ243" i="17"/>
  <c r="IA243" i="17"/>
  <c r="IB243" i="17"/>
  <c r="IC243" i="17"/>
  <c r="ID243" i="17"/>
  <c r="IE243" i="17"/>
  <c r="IF243" i="17"/>
  <c r="IG243" i="17"/>
  <c r="IH243" i="17"/>
  <c r="II243" i="17"/>
  <c r="IJ243" i="17"/>
  <c r="IK243" i="17"/>
  <c r="IL243" i="17"/>
  <c r="IM243" i="17"/>
  <c r="IN243" i="17"/>
  <c r="IO243" i="17"/>
  <c r="IP243" i="17"/>
  <c r="IQ243" i="17"/>
  <c r="IR243" i="17"/>
  <c r="IS243" i="17"/>
  <c r="IT243" i="17"/>
  <c r="IU243" i="17"/>
  <c r="IV243" i="17"/>
  <c r="A242" i="17"/>
  <c r="B242" i="17"/>
  <c r="C242" i="17"/>
  <c r="D242" i="17"/>
  <c r="E242" i="17"/>
  <c r="F242" i="17"/>
  <c r="G242" i="17"/>
  <c r="H242" i="17"/>
  <c r="I242" i="17"/>
  <c r="J242" i="17"/>
  <c r="K242" i="17"/>
  <c r="L242" i="17"/>
  <c r="M242" i="17"/>
  <c r="N242" i="17"/>
  <c r="O242" i="17"/>
  <c r="P242" i="17"/>
  <c r="Q242" i="17"/>
  <c r="R242" i="17"/>
  <c r="S242" i="17"/>
  <c r="T242" i="17"/>
  <c r="U242" i="17"/>
  <c r="V242" i="17"/>
  <c r="W242" i="17"/>
  <c r="X242" i="17"/>
  <c r="Y242" i="17"/>
  <c r="Z242" i="17"/>
  <c r="AA242" i="17"/>
  <c r="AB242" i="17"/>
  <c r="AC242" i="17"/>
  <c r="AD242" i="17"/>
  <c r="AE242" i="17"/>
  <c r="AF242" i="17"/>
  <c r="AG242" i="17"/>
  <c r="AH242" i="17"/>
  <c r="AI242" i="17"/>
  <c r="AJ242" i="17"/>
  <c r="AK242" i="17"/>
  <c r="AL242" i="17"/>
  <c r="AM242" i="17"/>
  <c r="AN242" i="17"/>
  <c r="AO242" i="17"/>
  <c r="AP242" i="17"/>
  <c r="AQ242" i="17"/>
  <c r="AR242" i="17"/>
  <c r="AS242" i="17"/>
  <c r="AT242" i="17"/>
  <c r="AU242" i="17"/>
  <c r="AV242" i="17"/>
  <c r="AW242" i="17"/>
  <c r="AX242" i="17"/>
  <c r="AY242" i="17"/>
  <c r="AZ242" i="17"/>
  <c r="BA242" i="17"/>
  <c r="BB242" i="17"/>
  <c r="BC242" i="17"/>
  <c r="BD242" i="17"/>
  <c r="BE242" i="17"/>
  <c r="BF242" i="17"/>
  <c r="BG242" i="17"/>
  <c r="BH242" i="17"/>
  <c r="BI242" i="17"/>
  <c r="BJ242" i="17"/>
  <c r="BK242" i="17"/>
  <c r="BL242" i="17"/>
  <c r="BM242" i="17"/>
  <c r="BN242" i="17"/>
  <c r="BO242" i="17"/>
  <c r="BP242" i="17"/>
  <c r="BQ242" i="17"/>
  <c r="BR242" i="17"/>
  <c r="BS242" i="17"/>
  <c r="BT242" i="17"/>
  <c r="BU242" i="17"/>
  <c r="BV242" i="17"/>
  <c r="BW242" i="17"/>
  <c r="BX242" i="17"/>
  <c r="BY242" i="17"/>
  <c r="BZ242" i="17"/>
  <c r="CA242" i="17"/>
  <c r="CB242" i="17"/>
  <c r="CC242" i="17"/>
  <c r="CD242" i="17"/>
  <c r="CE242" i="17"/>
  <c r="CF242" i="17"/>
  <c r="CG242" i="17"/>
  <c r="CH242" i="17"/>
  <c r="CI242" i="17"/>
  <c r="CJ242" i="17"/>
  <c r="CK242" i="17"/>
  <c r="CL242" i="17"/>
  <c r="CM242" i="17"/>
  <c r="CN242" i="17"/>
  <c r="CO242" i="17"/>
  <c r="CP242" i="17"/>
  <c r="CQ242" i="17"/>
  <c r="CR242" i="17"/>
  <c r="CS242" i="17"/>
  <c r="CT242" i="17"/>
  <c r="CU242" i="17"/>
  <c r="CV242" i="17"/>
  <c r="CW242" i="17"/>
  <c r="CX242" i="17"/>
  <c r="CY242" i="17"/>
  <c r="CZ242" i="17"/>
  <c r="DA242" i="17"/>
  <c r="DB242" i="17"/>
  <c r="DC242" i="17"/>
  <c r="DD242" i="17"/>
  <c r="DE242" i="17"/>
  <c r="DF242" i="17"/>
  <c r="DG242" i="17"/>
  <c r="DH242" i="17"/>
  <c r="DI242" i="17"/>
  <c r="DJ242" i="17"/>
  <c r="DK242" i="17"/>
  <c r="DL242" i="17"/>
  <c r="DM242" i="17"/>
  <c r="DN242" i="17"/>
  <c r="DO242" i="17"/>
  <c r="DP242" i="17"/>
  <c r="DQ242" i="17"/>
  <c r="DR242" i="17"/>
  <c r="DS242" i="17"/>
  <c r="DT242" i="17"/>
  <c r="DU242" i="17"/>
  <c r="DV242" i="17"/>
  <c r="DW242" i="17"/>
  <c r="DX242" i="17"/>
  <c r="DY242" i="17"/>
  <c r="DZ242" i="17"/>
  <c r="EA242" i="17"/>
  <c r="EB242" i="17"/>
  <c r="EC242" i="17"/>
  <c r="ED242" i="17"/>
  <c r="EE242" i="17"/>
  <c r="EF242" i="17"/>
  <c r="EG242" i="17"/>
  <c r="EH242" i="17"/>
  <c r="EI242" i="17"/>
  <c r="EJ242" i="17"/>
  <c r="EK242" i="17"/>
  <c r="EL242" i="17"/>
  <c r="EM242" i="17"/>
  <c r="EN242" i="17"/>
  <c r="EO242" i="17"/>
  <c r="EP242" i="17"/>
  <c r="EQ242" i="17"/>
  <c r="ER242" i="17"/>
  <c r="ES242" i="17"/>
  <c r="ET242" i="17"/>
  <c r="EU242" i="17"/>
  <c r="EV242" i="17"/>
  <c r="EW242" i="17"/>
  <c r="EX242" i="17"/>
  <c r="EY242" i="17"/>
  <c r="EZ242" i="17"/>
  <c r="FA242" i="17"/>
  <c r="FB242" i="17"/>
  <c r="FC242" i="17"/>
  <c r="FD242" i="17"/>
  <c r="FE242" i="17"/>
  <c r="FF242" i="17"/>
  <c r="FG242" i="17"/>
  <c r="FH242" i="17"/>
  <c r="FI242" i="17"/>
  <c r="FJ242" i="17"/>
  <c r="FK242" i="17"/>
  <c r="FL242" i="17"/>
  <c r="FM242" i="17"/>
  <c r="FN242" i="17"/>
  <c r="FO242" i="17"/>
  <c r="FP242" i="17"/>
  <c r="FQ242" i="17"/>
  <c r="FR242" i="17"/>
  <c r="FS242" i="17"/>
  <c r="FT242" i="17"/>
  <c r="FU242" i="17"/>
  <c r="FV242" i="17"/>
  <c r="FW242" i="17"/>
  <c r="FX242" i="17"/>
  <c r="FY242" i="17"/>
  <c r="FZ242" i="17"/>
  <c r="GA242" i="17"/>
  <c r="GB242" i="17"/>
  <c r="GC242" i="17"/>
  <c r="GD242" i="17"/>
  <c r="GE242" i="17"/>
  <c r="GF242" i="17"/>
  <c r="GG242" i="17"/>
  <c r="GH242" i="17"/>
  <c r="GI242" i="17"/>
  <c r="GJ242" i="17"/>
  <c r="GK242" i="17"/>
  <c r="GL242" i="17"/>
  <c r="GM242" i="17"/>
  <c r="GN242" i="17"/>
  <c r="GO242" i="17"/>
  <c r="GP242" i="17"/>
  <c r="GQ242" i="17"/>
  <c r="GR242" i="17"/>
  <c r="GS242" i="17"/>
  <c r="GT242" i="17"/>
  <c r="GU242" i="17"/>
  <c r="GV242" i="17"/>
  <c r="GW242" i="17"/>
  <c r="GX242" i="17"/>
  <c r="GY242" i="17"/>
  <c r="GZ242" i="17"/>
  <c r="HA242" i="17"/>
  <c r="HB242" i="17"/>
  <c r="HC242" i="17"/>
  <c r="HD242" i="17"/>
  <c r="HE242" i="17"/>
  <c r="HF242" i="17"/>
  <c r="HG242" i="17"/>
  <c r="HH242" i="17"/>
  <c r="HI242" i="17"/>
  <c r="HJ242" i="17"/>
  <c r="HK242" i="17"/>
  <c r="HL242" i="17"/>
  <c r="HM242" i="17"/>
  <c r="HN242" i="17"/>
  <c r="HO242" i="17"/>
  <c r="HP242" i="17"/>
  <c r="HQ242" i="17"/>
  <c r="HR242" i="17"/>
  <c r="HS242" i="17"/>
  <c r="HT242" i="17"/>
  <c r="HU242" i="17"/>
  <c r="HV242" i="17"/>
  <c r="HW242" i="17"/>
  <c r="HX242" i="17"/>
  <c r="HY242" i="17"/>
  <c r="HZ242" i="17"/>
  <c r="IA242" i="17"/>
  <c r="IB242" i="17"/>
  <c r="IC242" i="17"/>
  <c r="ID242" i="17"/>
  <c r="IE242" i="17"/>
  <c r="IF242" i="17"/>
  <c r="IG242" i="17"/>
  <c r="IH242" i="17"/>
  <c r="II242" i="17"/>
  <c r="IJ242" i="17"/>
  <c r="IK242" i="17"/>
  <c r="IL242" i="17"/>
  <c r="IM242" i="17"/>
  <c r="IN242" i="17"/>
  <c r="IO242" i="17"/>
  <c r="IP242" i="17"/>
  <c r="IQ242" i="17"/>
  <c r="IR242" i="17"/>
  <c r="IS242" i="17"/>
  <c r="IT242" i="17"/>
  <c r="IU242" i="17"/>
  <c r="IV242" i="17"/>
  <c r="A241" i="17"/>
  <c r="B241" i="17"/>
  <c r="C241" i="17"/>
  <c r="D241" i="17"/>
  <c r="E241" i="17"/>
  <c r="F241" i="17"/>
  <c r="G241" i="17"/>
  <c r="H241" i="17"/>
  <c r="I241" i="17"/>
  <c r="J241" i="17"/>
  <c r="K241" i="17"/>
  <c r="L241" i="17"/>
  <c r="M241" i="17"/>
  <c r="N241" i="17"/>
  <c r="O241" i="17"/>
  <c r="P241" i="17"/>
  <c r="Q241" i="17"/>
  <c r="R241" i="17"/>
  <c r="S241" i="17"/>
  <c r="T241" i="17"/>
  <c r="U241" i="17"/>
  <c r="V241" i="17"/>
  <c r="W241" i="17"/>
  <c r="X241" i="17"/>
  <c r="Y241" i="17"/>
  <c r="Z241" i="17"/>
  <c r="AA241" i="17"/>
  <c r="AB241" i="17"/>
  <c r="AC241" i="17"/>
  <c r="AD241" i="17"/>
  <c r="AE241" i="17"/>
  <c r="AF241" i="17"/>
  <c r="AG241" i="17"/>
  <c r="AH241" i="17"/>
  <c r="AI241" i="17"/>
  <c r="AJ241" i="17"/>
  <c r="AK241" i="17"/>
  <c r="AL241" i="17"/>
  <c r="AM241" i="17"/>
  <c r="AN241" i="17"/>
  <c r="AO241" i="17"/>
  <c r="AP241" i="17"/>
  <c r="AQ241" i="17"/>
  <c r="AR241" i="17"/>
  <c r="AS241" i="17"/>
  <c r="AT241" i="17"/>
  <c r="AU241" i="17"/>
  <c r="AV241" i="17"/>
  <c r="AW241" i="17"/>
  <c r="AX241" i="17"/>
  <c r="AY241" i="17"/>
  <c r="AZ241" i="17"/>
  <c r="BA241" i="17"/>
  <c r="BB241" i="17"/>
  <c r="BC241" i="17"/>
  <c r="BD241" i="17"/>
  <c r="BE241" i="17"/>
  <c r="BF241" i="17"/>
  <c r="BG241" i="17"/>
  <c r="BH241" i="17"/>
  <c r="BI241" i="17"/>
  <c r="BJ241" i="17"/>
  <c r="BK241" i="17"/>
  <c r="BL241" i="17"/>
  <c r="BM241" i="17"/>
  <c r="BN241" i="17"/>
  <c r="BO241" i="17"/>
  <c r="BP241" i="17"/>
  <c r="BQ241" i="17"/>
  <c r="BR241" i="17"/>
  <c r="BS241" i="17"/>
  <c r="BT241" i="17"/>
  <c r="BU241" i="17"/>
  <c r="BV241" i="17"/>
  <c r="BW241" i="17"/>
  <c r="BX241" i="17"/>
  <c r="BY241" i="17"/>
  <c r="BZ241" i="17"/>
  <c r="CA241" i="17"/>
  <c r="CB241" i="17"/>
  <c r="CC241" i="17"/>
  <c r="CD241" i="17"/>
  <c r="CE241" i="17"/>
  <c r="CF241" i="17"/>
  <c r="CG241" i="17"/>
  <c r="CH241" i="17"/>
  <c r="CI241" i="17"/>
  <c r="CJ241" i="17"/>
  <c r="CK241" i="17"/>
  <c r="CL241" i="17"/>
  <c r="CM241" i="17"/>
  <c r="CN241" i="17"/>
  <c r="CO241" i="17"/>
  <c r="CP241" i="17"/>
  <c r="CQ241" i="17"/>
  <c r="CR241" i="17"/>
  <c r="CS241" i="17"/>
  <c r="CT241" i="17"/>
  <c r="CU241" i="17"/>
  <c r="CV241" i="17"/>
  <c r="CW241" i="17"/>
  <c r="CX241" i="17"/>
  <c r="CY241" i="17"/>
  <c r="CZ241" i="17"/>
  <c r="DA241" i="17"/>
  <c r="DB241" i="17"/>
  <c r="DC241" i="17"/>
  <c r="DD241" i="17"/>
  <c r="DE241" i="17"/>
  <c r="DF241" i="17"/>
  <c r="DG241" i="17"/>
  <c r="DH241" i="17"/>
  <c r="DI241" i="17"/>
  <c r="DJ241" i="17"/>
  <c r="DK241" i="17"/>
  <c r="DL241" i="17"/>
  <c r="DM241" i="17"/>
  <c r="DN241" i="17"/>
  <c r="DO241" i="17"/>
  <c r="DP241" i="17"/>
  <c r="DQ241" i="17"/>
  <c r="DR241" i="17"/>
  <c r="DS241" i="17"/>
  <c r="DT241" i="17"/>
  <c r="DU241" i="17"/>
  <c r="DV241" i="17"/>
  <c r="DW241" i="17"/>
  <c r="DX241" i="17"/>
  <c r="DY241" i="17"/>
  <c r="DZ241" i="17"/>
  <c r="EA241" i="17"/>
  <c r="EB241" i="17"/>
  <c r="EC241" i="17"/>
  <c r="ED241" i="17"/>
  <c r="EE241" i="17"/>
  <c r="EF241" i="17"/>
  <c r="EG241" i="17"/>
  <c r="EH241" i="17"/>
  <c r="EI241" i="17"/>
  <c r="EJ241" i="17"/>
  <c r="EK241" i="17"/>
  <c r="EL241" i="17"/>
  <c r="EM241" i="17"/>
  <c r="EN241" i="17"/>
  <c r="EO241" i="17"/>
  <c r="EP241" i="17"/>
  <c r="EQ241" i="17"/>
  <c r="ER241" i="17"/>
  <c r="ES241" i="17"/>
  <c r="ET241" i="17"/>
  <c r="EU241" i="17"/>
  <c r="EV241" i="17"/>
  <c r="EW241" i="17"/>
  <c r="EX241" i="17"/>
  <c r="EY241" i="17"/>
  <c r="EZ241" i="17"/>
  <c r="FA241" i="17"/>
  <c r="FB241" i="17"/>
  <c r="FC241" i="17"/>
  <c r="FD241" i="17"/>
  <c r="FE241" i="17"/>
  <c r="FF241" i="17"/>
  <c r="FG241" i="17"/>
  <c r="FH241" i="17"/>
  <c r="FI241" i="17"/>
  <c r="FJ241" i="17"/>
  <c r="FK241" i="17"/>
  <c r="FL241" i="17"/>
  <c r="FM241" i="17"/>
  <c r="FN241" i="17"/>
  <c r="FO241" i="17"/>
  <c r="FP241" i="17"/>
  <c r="FQ241" i="17"/>
  <c r="FR241" i="17"/>
  <c r="FS241" i="17"/>
  <c r="FT241" i="17"/>
  <c r="FU241" i="17"/>
  <c r="FV241" i="17"/>
  <c r="FW241" i="17"/>
  <c r="FX241" i="17"/>
  <c r="FY241" i="17"/>
  <c r="FZ241" i="17"/>
  <c r="GA241" i="17"/>
  <c r="GB241" i="17"/>
  <c r="GC241" i="17"/>
  <c r="GD241" i="17"/>
  <c r="GE241" i="17"/>
  <c r="GF241" i="17"/>
  <c r="GG241" i="17"/>
  <c r="GH241" i="17"/>
  <c r="GI241" i="17"/>
  <c r="GJ241" i="17"/>
  <c r="GK241" i="17"/>
  <c r="GL241" i="17"/>
  <c r="GM241" i="17"/>
  <c r="GN241" i="17"/>
  <c r="GO241" i="17"/>
  <c r="GP241" i="17"/>
  <c r="GQ241" i="17"/>
  <c r="GR241" i="17"/>
  <c r="GS241" i="17"/>
  <c r="GT241" i="17"/>
  <c r="GU241" i="17"/>
  <c r="GV241" i="17"/>
  <c r="GW241" i="17"/>
  <c r="GX241" i="17"/>
  <c r="GY241" i="17"/>
  <c r="GZ241" i="17"/>
  <c r="HA241" i="17"/>
  <c r="HB241" i="17"/>
  <c r="HC241" i="17"/>
  <c r="HD241" i="17"/>
  <c r="HE241" i="17"/>
  <c r="HF241" i="17"/>
  <c r="HG241" i="17"/>
  <c r="HH241" i="17"/>
  <c r="HI241" i="17"/>
  <c r="HJ241" i="17"/>
  <c r="HK241" i="17"/>
  <c r="HL241" i="17"/>
  <c r="HM241" i="17"/>
  <c r="HN241" i="17"/>
  <c r="HO241" i="17"/>
  <c r="HP241" i="17"/>
  <c r="HQ241" i="17"/>
  <c r="HR241" i="17"/>
  <c r="HS241" i="17"/>
  <c r="HT241" i="17"/>
  <c r="HU241" i="17"/>
  <c r="HV241" i="17"/>
  <c r="HW241" i="17"/>
  <c r="HX241" i="17"/>
  <c r="HY241" i="17"/>
  <c r="HZ241" i="17"/>
  <c r="IA241" i="17"/>
  <c r="IB241" i="17"/>
  <c r="IC241" i="17"/>
  <c r="ID241" i="17"/>
  <c r="IE241" i="17"/>
  <c r="IF241" i="17"/>
  <c r="IG241" i="17"/>
  <c r="IH241" i="17"/>
  <c r="II241" i="17"/>
  <c r="IJ241" i="17"/>
  <c r="IK241" i="17"/>
  <c r="IL241" i="17"/>
  <c r="IM241" i="17"/>
  <c r="IN241" i="17"/>
  <c r="IO241" i="17"/>
  <c r="IP241" i="17"/>
  <c r="IQ241" i="17"/>
  <c r="IR241" i="17"/>
  <c r="IS241" i="17"/>
  <c r="IT241" i="17"/>
  <c r="IU241" i="17"/>
  <c r="IV241" i="17"/>
  <c r="A240" i="17"/>
  <c r="B240" i="17"/>
  <c r="C240" i="17"/>
  <c r="D240" i="17"/>
  <c r="E240" i="17"/>
  <c r="F240" i="17"/>
  <c r="G240" i="17"/>
  <c r="H240" i="17"/>
  <c r="I240" i="17"/>
  <c r="J240" i="17"/>
  <c r="K240" i="17"/>
  <c r="L240" i="17"/>
  <c r="M240" i="17"/>
  <c r="N240" i="17"/>
  <c r="O240" i="17"/>
  <c r="P240" i="17"/>
  <c r="Q240" i="17"/>
  <c r="R240" i="17"/>
  <c r="S240" i="17"/>
  <c r="T240" i="17"/>
  <c r="U240" i="17"/>
  <c r="V240" i="17"/>
  <c r="W240" i="17"/>
  <c r="X240" i="17"/>
  <c r="Y240" i="17"/>
  <c r="Z240" i="17"/>
  <c r="AA240" i="17"/>
  <c r="AB240" i="17"/>
  <c r="AC240" i="17"/>
  <c r="AD240" i="17"/>
  <c r="AE240" i="17"/>
  <c r="AF240" i="17"/>
  <c r="AG240" i="17"/>
  <c r="AH240" i="17"/>
  <c r="AI240" i="17"/>
  <c r="AJ240" i="17"/>
  <c r="AK240" i="17"/>
  <c r="AL240" i="17"/>
  <c r="AM240" i="17"/>
  <c r="AN240" i="17"/>
  <c r="AO240" i="17"/>
  <c r="AP240" i="17"/>
  <c r="AQ240" i="17"/>
  <c r="AR240" i="17"/>
  <c r="AS240" i="17"/>
  <c r="AT240" i="17"/>
  <c r="AU240" i="17"/>
  <c r="AV240" i="17"/>
  <c r="AW240" i="17"/>
  <c r="AX240" i="17"/>
  <c r="AY240" i="17"/>
  <c r="AZ240" i="17"/>
  <c r="BA240" i="17"/>
  <c r="BB240" i="17"/>
  <c r="BC240" i="17"/>
  <c r="BD240" i="17"/>
  <c r="BE240" i="17"/>
  <c r="BF240" i="17"/>
  <c r="BG240" i="17"/>
  <c r="BH240" i="17"/>
  <c r="BI240" i="17"/>
  <c r="BJ240" i="17"/>
  <c r="BK240" i="17"/>
  <c r="BL240" i="17"/>
  <c r="BM240" i="17"/>
  <c r="BN240" i="17"/>
  <c r="BO240" i="17"/>
  <c r="BP240" i="17"/>
  <c r="BQ240" i="17"/>
  <c r="BR240" i="17"/>
  <c r="BS240" i="17"/>
  <c r="BT240" i="17"/>
  <c r="BU240" i="17"/>
  <c r="BV240" i="17"/>
  <c r="BW240" i="17"/>
  <c r="BX240" i="17"/>
  <c r="BY240" i="17"/>
  <c r="BZ240" i="17"/>
  <c r="CA240" i="17"/>
  <c r="CB240" i="17"/>
  <c r="CC240" i="17"/>
  <c r="CD240" i="17"/>
  <c r="CE240" i="17"/>
  <c r="CF240" i="17"/>
  <c r="CG240" i="17"/>
  <c r="CH240" i="17"/>
  <c r="CI240" i="17"/>
  <c r="CJ240" i="17"/>
  <c r="CK240" i="17"/>
  <c r="CL240" i="17"/>
  <c r="CM240" i="17"/>
  <c r="CN240" i="17"/>
  <c r="CO240" i="17"/>
  <c r="CP240" i="17"/>
  <c r="CQ240" i="17"/>
  <c r="CR240" i="17"/>
  <c r="CS240" i="17"/>
  <c r="CT240" i="17"/>
  <c r="CU240" i="17"/>
  <c r="CV240" i="17"/>
  <c r="CW240" i="17"/>
  <c r="CX240" i="17"/>
  <c r="CY240" i="17"/>
  <c r="CZ240" i="17"/>
  <c r="DA240" i="17"/>
  <c r="DB240" i="17"/>
  <c r="DC240" i="17"/>
  <c r="DD240" i="17"/>
  <c r="DE240" i="17"/>
  <c r="DF240" i="17"/>
  <c r="DG240" i="17"/>
  <c r="DH240" i="17"/>
  <c r="DI240" i="17"/>
  <c r="DJ240" i="17"/>
  <c r="DK240" i="17"/>
  <c r="DL240" i="17"/>
  <c r="DM240" i="17"/>
  <c r="DN240" i="17"/>
  <c r="DO240" i="17"/>
  <c r="DP240" i="17"/>
  <c r="DQ240" i="17"/>
  <c r="DR240" i="17"/>
  <c r="DS240" i="17"/>
  <c r="DT240" i="17"/>
  <c r="DU240" i="17"/>
  <c r="DV240" i="17"/>
  <c r="DW240" i="17"/>
  <c r="DX240" i="17"/>
  <c r="DY240" i="17"/>
  <c r="DZ240" i="17"/>
  <c r="EA240" i="17"/>
  <c r="EB240" i="17"/>
  <c r="EC240" i="17"/>
  <c r="ED240" i="17"/>
  <c r="EE240" i="17"/>
  <c r="EF240" i="17"/>
  <c r="EG240" i="17"/>
  <c r="EH240" i="17"/>
  <c r="EI240" i="17"/>
  <c r="EJ240" i="17"/>
  <c r="EK240" i="17"/>
  <c r="EL240" i="17"/>
  <c r="EM240" i="17"/>
  <c r="EN240" i="17"/>
  <c r="EO240" i="17"/>
  <c r="EP240" i="17"/>
  <c r="EQ240" i="17"/>
  <c r="ER240" i="17"/>
  <c r="ES240" i="17"/>
  <c r="ET240" i="17"/>
  <c r="EU240" i="17"/>
  <c r="EV240" i="17"/>
  <c r="EW240" i="17"/>
  <c r="EX240" i="17"/>
  <c r="EY240" i="17"/>
  <c r="EZ240" i="17"/>
  <c r="FA240" i="17"/>
  <c r="FB240" i="17"/>
  <c r="FC240" i="17"/>
  <c r="FD240" i="17"/>
  <c r="FE240" i="17"/>
  <c r="FF240" i="17"/>
  <c r="FG240" i="17"/>
  <c r="FH240" i="17"/>
  <c r="FI240" i="17"/>
  <c r="FJ240" i="17"/>
  <c r="FK240" i="17"/>
  <c r="FL240" i="17"/>
  <c r="FM240" i="17"/>
  <c r="FN240" i="17"/>
  <c r="FO240" i="17"/>
  <c r="FP240" i="17"/>
  <c r="FQ240" i="17"/>
  <c r="FR240" i="17"/>
  <c r="FS240" i="17"/>
  <c r="FT240" i="17"/>
  <c r="FU240" i="17"/>
  <c r="FV240" i="17"/>
  <c r="FW240" i="17"/>
  <c r="FX240" i="17"/>
  <c r="FY240" i="17"/>
  <c r="FZ240" i="17"/>
  <c r="GA240" i="17"/>
  <c r="GB240" i="17"/>
  <c r="GC240" i="17"/>
  <c r="GD240" i="17"/>
  <c r="GE240" i="17"/>
  <c r="GF240" i="17"/>
  <c r="GG240" i="17"/>
  <c r="GH240" i="17"/>
  <c r="GI240" i="17"/>
  <c r="GJ240" i="17"/>
  <c r="GK240" i="17"/>
  <c r="GL240" i="17"/>
  <c r="GM240" i="17"/>
  <c r="GN240" i="17"/>
  <c r="GO240" i="17"/>
  <c r="GP240" i="17"/>
  <c r="GQ240" i="17"/>
  <c r="GR240" i="17"/>
  <c r="GS240" i="17"/>
  <c r="GT240" i="17"/>
  <c r="GU240" i="17"/>
  <c r="GV240" i="17"/>
  <c r="GW240" i="17"/>
  <c r="GX240" i="17"/>
  <c r="GY240" i="17"/>
  <c r="GZ240" i="17"/>
  <c r="HA240" i="17"/>
  <c r="HB240" i="17"/>
  <c r="HC240" i="17"/>
  <c r="HD240" i="17"/>
  <c r="HE240" i="17"/>
  <c r="HF240" i="17"/>
  <c r="HG240" i="17"/>
  <c r="HH240" i="17"/>
  <c r="HI240" i="17"/>
  <c r="HJ240" i="17"/>
  <c r="HK240" i="17"/>
  <c r="HL240" i="17"/>
  <c r="HM240" i="17"/>
  <c r="HN240" i="17"/>
  <c r="HO240" i="17"/>
  <c r="HP240" i="17"/>
  <c r="HQ240" i="17"/>
  <c r="HR240" i="17"/>
  <c r="HS240" i="17"/>
  <c r="HT240" i="17"/>
  <c r="HU240" i="17"/>
  <c r="HV240" i="17"/>
  <c r="HW240" i="17"/>
  <c r="HX240" i="17"/>
  <c r="HY240" i="17"/>
  <c r="HZ240" i="17"/>
  <c r="IA240" i="17"/>
  <c r="IB240" i="17"/>
  <c r="IC240" i="17"/>
  <c r="ID240" i="17"/>
  <c r="IE240" i="17"/>
  <c r="IF240" i="17"/>
  <c r="IG240" i="17"/>
  <c r="IH240" i="17"/>
  <c r="II240" i="17"/>
  <c r="IJ240" i="17"/>
  <c r="IK240" i="17"/>
  <c r="IL240" i="17"/>
  <c r="IM240" i="17"/>
  <c r="IN240" i="17"/>
  <c r="IO240" i="17"/>
  <c r="IP240" i="17"/>
  <c r="IQ240" i="17"/>
  <c r="IR240" i="17"/>
  <c r="IS240" i="17"/>
  <c r="IT240" i="17"/>
  <c r="IU240" i="17"/>
  <c r="IV240" i="17"/>
  <c r="A239" i="17"/>
  <c r="B239" i="17"/>
  <c r="C239" i="17"/>
  <c r="D239" i="17"/>
  <c r="E239" i="17"/>
  <c r="F239" i="17"/>
  <c r="G239" i="17"/>
  <c r="H239" i="17"/>
  <c r="I239" i="17"/>
  <c r="J239" i="17"/>
  <c r="K239" i="17"/>
  <c r="L239" i="17"/>
  <c r="M239" i="17"/>
  <c r="N239" i="17"/>
  <c r="O239" i="17"/>
  <c r="P239" i="17"/>
  <c r="Q239" i="17"/>
  <c r="R239" i="17"/>
  <c r="S239" i="17"/>
  <c r="T239" i="17"/>
  <c r="U239" i="17"/>
  <c r="V239" i="17"/>
  <c r="W239" i="17"/>
  <c r="X239" i="17"/>
  <c r="Y239" i="17"/>
  <c r="Z239" i="17"/>
  <c r="AA239" i="17"/>
  <c r="AB239" i="17"/>
  <c r="AC239" i="17"/>
  <c r="AD239" i="17"/>
  <c r="AE239" i="17"/>
  <c r="AF239" i="17"/>
  <c r="AG239" i="17"/>
  <c r="AH239" i="17"/>
  <c r="AI239" i="17"/>
  <c r="AJ239" i="17"/>
  <c r="AK239" i="17"/>
  <c r="AL239" i="17"/>
  <c r="AM239" i="17"/>
  <c r="AN239" i="17"/>
  <c r="AO239" i="17"/>
  <c r="AP239" i="17"/>
  <c r="AQ239" i="17"/>
  <c r="AR239" i="17"/>
  <c r="AS239" i="17"/>
  <c r="AT239" i="17"/>
  <c r="AU239" i="17"/>
  <c r="AV239" i="17"/>
  <c r="AW239" i="17"/>
  <c r="AX239" i="17"/>
  <c r="AY239" i="17"/>
  <c r="AZ239" i="17"/>
  <c r="BA239" i="17"/>
  <c r="BB239" i="17"/>
  <c r="BC239" i="17"/>
  <c r="BD239" i="17"/>
  <c r="BE239" i="17"/>
  <c r="BF239" i="17"/>
  <c r="BG239" i="17"/>
  <c r="BH239" i="17"/>
  <c r="BI239" i="17"/>
  <c r="BJ239" i="17"/>
  <c r="BK239" i="17"/>
  <c r="BL239" i="17"/>
  <c r="BM239" i="17"/>
  <c r="BN239" i="17"/>
  <c r="BO239" i="17"/>
  <c r="BP239" i="17"/>
  <c r="BQ239" i="17"/>
  <c r="BR239" i="17"/>
  <c r="BS239" i="17"/>
  <c r="BT239" i="17"/>
  <c r="BU239" i="17"/>
  <c r="BV239" i="17"/>
  <c r="BW239" i="17"/>
  <c r="BX239" i="17"/>
  <c r="BY239" i="17"/>
  <c r="BZ239" i="17"/>
  <c r="CA239" i="17"/>
  <c r="CB239" i="17"/>
  <c r="CC239" i="17"/>
  <c r="CD239" i="17"/>
  <c r="CE239" i="17"/>
  <c r="CF239" i="17"/>
  <c r="CG239" i="17"/>
  <c r="CH239" i="17"/>
  <c r="CI239" i="17"/>
  <c r="CJ239" i="17"/>
  <c r="CK239" i="17"/>
  <c r="CL239" i="17"/>
  <c r="CM239" i="17"/>
  <c r="CN239" i="17"/>
  <c r="CO239" i="17"/>
  <c r="CP239" i="17"/>
  <c r="CQ239" i="17"/>
  <c r="CR239" i="17"/>
  <c r="CS239" i="17"/>
  <c r="CT239" i="17"/>
  <c r="CU239" i="17"/>
  <c r="CV239" i="17"/>
  <c r="CW239" i="17"/>
  <c r="CX239" i="17"/>
  <c r="CY239" i="17"/>
  <c r="CZ239" i="17"/>
  <c r="DA239" i="17"/>
  <c r="DB239" i="17"/>
  <c r="DC239" i="17"/>
  <c r="DD239" i="17"/>
  <c r="DE239" i="17"/>
  <c r="DF239" i="17"/>
  <c r="DG239" i="17"/>
  <c r="DH239" i="17"/>
  <c r="DI239" i="17"/>
  <c r="DJ239" i="17"/>
  <c r="DK239" i="17"/>
  <c r="DL239" i="17"/>
  <c r="DM239" i="17"/>
  <c r="DN239" i="17"/>
  <c r="DO239" i="17"/>
  <c r="DP239" i="17"/>
  <c r="DQ239" i="17"/>
  <c r="DR239" i="17"/>
  <c r="DS239" i="17"/>
  <c r="DT239" i="17"/>
  <c r="DU239" i="17"/>
  <c r="DV239" i="17"/>
  <c r="DW239" i="17"/>
  <c r="DX239" i="17"/>
  <c r="DY239" i="17"/>
  <c r="DZ239" i="17"/>
  <c r="EA239" i="17"/>
  <c r="EB239" i="17"/>
  <c r="EC239" i="17"/>
  <c r="ED239" i="17"/>
  <c r="EE239" i="17"/>
  <c r="EF239" i="17"/>
  <c r="EG239" i="17"/>
  <c r="EH239" i="17"/>
  <c r="EI239" i="17"/>
  <c r="EJ239" i="17"/>
  <c r="EK239" i="17"/>
  <c r="EL239" i="17"/>
  <c r="EM239" i="17"/>
  <c r="EN239" i="17"/>
  <c r="EO239" i="17"/>
  <c r="EP239" i="17"/>
  <c r="EQ239" i="17"/>
  <c r="ER239" i="17"/>
  <c r="ES239" i="17"/>
  <c r="ET239" i="17"/>
  <c r="EU239" i="17"/>
  <c r="EV239" i="17"/>
  <c r="EW239" i="17"/>
  <c r="EX239" i="17"/>
  <c r="EY239" i="17"/>
  <c r="EZ239" i="17"/>
  <c r="FA239" i="17"/>
  <c r="FB239" i="17"/>
  <c r="FC239" i="17"/>
  <c r="FD239" i="17"/>
  <c r="FE239" i="17"/>
  <c r="FF239" i="17"/>
  <c r="FG239" i="17"/>
  <c r="FH239" i="17"/>
  <c r="FI239" i="17"/>
  <c r="FJ239" i="17"/>
  <c r="FK239" i="17"/>
  <c r="FL239" i="17"/>
  <c r="FM239" i="17"/>
  <c r="FN239" i="17"/>
  <c r="FO239" i="17"/>
  <c r="FP239" i="17"/>
  <c r="FQ239" i="17"/>
  <c r="FR239" i="17"/>
  <c r="FS239" i="17"/>
  <c r="FT239" i="17"/>
  <c r="FU239" i="17"/>
  <c r="FV239" i="17"/>
  <c r="FW239" i="17"/>
  <c r="FX239" i="17"/>
  <c r="FY239" i="17"/>
  <c r="FZ239" i="17"/>
  <c r="GA239" i="17"/>
  <c r="GB239" i="17"/>
  <c r="GC239" i="17"/>
  <c r="GD239" i="17"/>
  <c r="GE239" i="17"/>
  <c r="GF239" i="17"/>
  <c r="GG239" i="17"/>
  <c r="GH239" i="17"/>
  <c r="GI239" i="17"/>
  <c r="GJ239" i="17"/>
  <c r="GK239" i="17"/>
  <c r="GL239" i="17"/>
  <c r="GM239" i="17"/>
  <c r="GN239" i="17"/>
  <c r="GO239" i="17"/>
  <c r="GP239" i="17"/>
  <c r="GQ239" i="17"/>
  <c r="GR239" i="17"/>
  <c r="GS239" i="17"/>
  <c r="GT239" i="17"/>
  <c r="GU239" i="17"/>
  <c r="GV239" i="17"/>
  <c r="GW239" i="17"/>
  <c r="GX239" i="17"/>
  <c r="GY239" i="17"/>
  <c r="GZ239" i="17"/>
  <c r="HA239" i="17"/>
  <c r="HB239" i="17"/>
  <c r="HC239" i="17"/>
  <c r="HD239" i="17"/>
  <c r="HE239" i="17"/>
  <c r="HF239" i="17"/>
  <c r="HG239" i="17"/>
  <c r="HH239" i="17"/>
  <c r="HI239" i="17"/>
  <c r="HJ239" i="17"/>
  <c r="HK239" i="17"/>
  <c r="HL239" i="17"/>
  <c r="HM239" i="17"/>
  <c r="HN239" i="17"/>
  <c r="HO239" i="17"/>
  <c r="HP239" i="17"/>
  <c r="HQ239" i="17"/>
  <c r="HR239" i="17"/>
  <c r="HS239" i="17"/>
  <c r="HT239" i="17"/>
  <c r="HU239" i="17"/>
  <c r="HV239" i="17"/>
  <c r="HW239" i="17"/>
  <c r="HX239" i="17"/>
  <c r="HY239" i="17"/>
  <c r="HZ239" i="17"/>
  <c r="IA239" i="17"/>
  <c r="IB239" i="17"/>
  <c r="IC239" i="17"/>
  <c r="ID239" i="17"/>
  <c r="IE239" i="17"/>
  <c r="IF239" i="17"/>
  <c r="IG239" i="17"/>
  <c r="IH239" i="17"/>
  <c r="II239" i="17"/>
  <c r="IJ239" i="17"/>
  <c r="IK239" i="17"/>
  <c r="IL239" i="17"/>
  <c r="IM239" i="17"/>
  <c r="IN239" i="17"/>
  <c r="IO239" i="17"/>
  <c r="IP239" i="17"/>
  <c r="IQ239" i="17"/>
  <c r="IR239" i="17"/>
  <c r="IS239" i="17"/>
  <c r="IT239" i="17"/>
  <c r="IU239" i="17"/>
  <c r="IV239" i="17"/>
  <c r="A238" i="17"/>
  <c r="B238" i="17"/>
  <c r="C238" i="17"/>
  <c r="D238" i="17"/>
  <c r="E238" i="17"/>
  <c r="F238" i="17"/>
  <c r="G238" i="17"/>
  <c r="H238" i="17"/>
  <c r="I238" i="17"/>
  <c r="J238" i="17"/>
  <c r="K238" i="17"/>
  <c r="L238" i="17"/>
  <c r="M238" i="17"/>
  <c r="N238" i="17"/>
  <c r="O238" i="17"/>
  <c r="P238" i="17"/>
  <c r="Q238" i="17"/>
  <c r="R238" i="17"/>
  <c r="S238" i="17"/>
  <c r="T238" i="17"/>
  <c r="U238" i="17"/>
  <c r="V238" i="17"/>
  <c r="W238" i="17"/>
  <c r="X238" i="17"/>
  <c r="Y238" i="17"/>
  <c r="Z238" i="17"/>
  <c r="AA238" i="17"/>
  <c r="AB238" i="17"/>
  <c r="AC238" i="17"/>
  <c r="AD238" i="17"/>
  <c r="AE238" i="17"/>
  <c r="AF238" i="17"/>
  <c r="AG238" i="17"/>
  <c r="AH238" i="17"/>
  <c r="AI238" i="17"/>
  <c r="AJ238" i="17"/>
  <c r="AK238" i="17"/>
  <c r="AL238" i="17"/>
  <c r="AM238" i="17"/>
  <c r="AN238" i="17"/>
  <c r="AO238" i="17"/>
  <c r="AP238" i="17"/>
  <c r="AQ238" i="17"/>
  <c r="AR238" i="17"/>
  <c r="AS238" i="17"/>
  <c r="AT238" i="17"/>
  <c r="AU238" i="17"/>
  <c r="AV238" i="17"/>
  <c r="AW238" i="17"/>
  <c r="AX238" i="17"/>
  <c r="AY238" i="17"/>
  <c r="AZ238" i="17"/>
  <c r="BA238" i="17"/>
  <c r="BB238" i="17"/>
  <c r="BC238" i="17"/>
  <c r="BD238" i="17"/>
  <c r="BE238" i="17"/>
  <c r="BF238" i="17"/>
  <c r="BG238" i="17"/>
  <c r="BH238" i="17"/>
  <c r="BI238" i="17"/>
  <c r="BJ238" i="17"/>
  <c r="BK238" i="17"/>
  <c r="BL238" i="17"/>
  <c r="BM238" i="17"/>
  <c r="BN238" i="17"/>
  <c r="BO238" i="17"/>
  <c r="BP238" i="17"/>
  <c r="BQ238" i="17"/>
  <c r="BR238" i="17"/>
  <c r="BS238" i="17"/>
  <c r="BT238" i="17"/>
  <c r="BU238" i="17"/>
  <c r="BV238" i="17"/>
  <c r="BW238" i="17"/>
  <c r="BX238" i="17"/>
  <c r="BY238" i="17"/>
  <c r="BZ238" i="17"/>
  <c r="CA238" i="17"/>
  <c r="CB238" i="17"/>
  <c r="CC238" i="17"/>
  <c r="CD238" i="17"/>
  <c r="CE238" i="17"/>
  <c r="CF238" i="17"/>
  <c r="CG238" i="17"/>
  <c r="CH238" i="17"/>
  <c r="CI238" i="17"/>
  <c r="CJ238" i="17"/>
  <c r="CK238" i="17"/>
  <c r="CL238" i="17"/>
  <c r="CM238" i="17"/>
  <c r="CN238" i="17"/>
  <c r="CO238" i="17"/>
  <c r="CP238" i="17"/>
  <c r="CQ238" i="17"/>
  <c r="CR238" i="17"/>
  <c r="CS238" i="17"/>
  <c r="CT238" i="17"/>
  <c r="CU238" i="17"/>
  <c r="CV238" i="17"/>
  <c r="CW238" i="17"/>
  <c r="CX238" i="17"/>
  <c r="CY238" i="17"/>
  <c r="CZ238" i="17"/>
  <c r="DA238" i="17"/>
  <c r="DB238" i="17"/>
  <c r="DC238" i="17"/>
  <c r="DD238" i="17"/>
  <c r="DE238" i="17"/>
  <c r="DF238" i="17"/>
  <c r="DG238" i="17"/>
  <c r="DH238" i="17"/>
  <c r="DI238" i="17"/>
  <c r="DJ238" i="17"/>
  <c r="DK238" i="17"/>
  <c r="DL238" i="17"/>
  <c r="DM238" i="17"/>
  <c r="DN238" i="17"/>
  <c r="DO238" i="17"/>
  <c r="DP238" i="17"/>
  <c r="DQ238" i="17"/>
  <c r="DR238" i="17"/>
  <c r="DS238" i="17"/>
  <c r="DT238" i="17"/>
  <c r="DU238" i="17"/>
  <c r="DV238" i="17"/>
  <c r="DW238" i="17"/>
  <c r="DX238" i="17"/>
  <c r="DY238" i="17"/>
  <c r="DZ238" i="17"/>
  <c r="EA238" i="17"/>
  <c r="EB238" i="17"/>
  <c r="EC238" i="17"/>
  <c r="ED238" i="17"/>
  <c r="EE238" i="17"/>
  <c r="EF238" i="17"/>
  <c r="EG238" i="17"/>
  <c r="EH238" i="17"/>
  <c r="EI238" i="17"/>
  <c r="EJ238" i="17"/>
  <c r="EK238" i="17"/>
  <c r="EL238" i="17"/>
  <c r="EM238" i="17"/>
  <c r="EN238" i="17"/>
  <c r="EO238" i="17"/>
  <c r="EP238" i="17"/>
  <c r="EQ238" i="17"/>
  <c r="ER238" i="17"/>
  <c r="ES238" i="17"/>
  <c r="ET238" i="17"/>
  <c r="EU238" i="17"/>
  <c r="EV238" i="17"/>
  <c r="EW238" i="17"/>
  <c r="EX238" i="17"/>
  <c r="EY238" i="17"/>
  <c r="EZ238" i="17"/>
  <c r="FA238" i="17"/>
  <c r="FB238" i="17"/>
  <c r="FC238" i="17"/>
  <c r="FD238" i="17"/>
  <c r="FE238" i="17"/>
  <c r="FF238" i="17"/>
  <c r="FG238" i="17"/>
  <c r="FH238" i="17"/>
  <c r="FI238" i="17"/>
  <c r="FJ238" i="17"/>
  <c r="FK238" i="17"/>
  <c r="FL238" i="17"/>
  <c r="FM238" i="17"/>
  <c r="FN238" i="17"/>
  <c r="FO238" i="17"/>
  <c r="FP238" i="17"/>
  <c r="FQ238" i="17"/>
  <c r="FR238" i="17"/>
  <c r="FS238" i="17"/>
  <c r="FT238" i="17"/>
  <c r="FU238" i="17"/>
  <c r="FV238" i="17"/>
  <c r="FW238" i="17"/>
  <c r="FX238" i="17"/>
  <c r="FY238" i="17"/>
  <c r="FZ238" i="17"/>
  <c r="GA238" i="17"/>
  <c r="GB238" i="17"/>
  <c r="GC238" i="17"/>
  <c r="GD238" i="17"/>
  <c r="GE238" i="17"/>
  <c r="GF238" i="17"/>
  <c r="GG238" i="17"/>
  <c r="GH238" i="17"/>
  <c r="GI238" i="17"/>
  <c r="GJ238" i="17"/>
  <c r="GK238" i="17"/>
  <c r="GL238" i="17"/>
  <c r="GM238" i="17"/>
  <c r="GN238" i="17"/>
  <c r="GO238" i="17"/>
  <c r="GP238" i="17"/>
  <c r="GQ238" i="17"/>
  <c r="GR238" i="17"/>
  <c r="GS238" i="17"/>
  <c r="GT238" i="17"/>
  <c r="GU238" i="17"/>
  <c r="GV238" i="17"/>
  <c r="GW238" i="17"/>
  <c r="GX238" i="17"/>
  <c r="GY238" i="17"/>
  <c r="GZ238" i="17"/>
  <c r="HA238" i="17"/>
  <c r="HB238" i="17"/>
  <c r="HC238" i="17"/>
  <c r="HD238" i="17"/>
  <c r="HE238" i="17"/>
  <c r="HF238" i="17"/>
  <c r="HG238" i="17"/>
  <c r="HH238" i="17"/>
  <c r="HI238" i="17"/>
  <c r="HJ238" i="17"/>
  <c r="HK238" i="17"/>
  <c r="HL238" i="17"/>
  <c r="HM238" i="17"/>
  <c r="HN238" i="17"/>
  <c r="HO238" i="17"/>
  <c r="HP238" i="17"/>
  <c r="HQ238" i="17"/>
  <c r="HR238" i="17"/>
  <c r="HS238" i="17"/>
  <c r="HT238" i="17"/>
  <c r="HU238" i="17"/>
  <c r="HV238" i="17"/>
  <c r="HW238" i="17"/>
  <c r="HX238" i="17"/>
  <c r="HY238" i="17"/>
  <c r="HZ238" i="17"/>
  <c r="IA238" i="17"/>
  <c r="IB238" i="17"/>
  <c r="IC238" i="17"/>
  <c r="ID238" i="17"/>
  <c r="IE238" i="17"/>
  <c r="IF238" i="17"/>
  <c r="IG238" i="17"/>
  <c r="IH238" i="17"/>
  <c r="II238" i="17"/>
  <c r="IJ238" i="17"/>
  <c r="IK238" i="17"/>
  <c r="IL238" i="17"/>
  <c r="IM238" i="17"/>
  <c r="IN238" i="17"/>
  <c r="IO238" i="17"/>
  <c r="IP238" i="17"/>
  <c r="IQ238" i="17"/>
  <c r="IR238" i="17"/>
  <c r="IS238" i="17"/>
  <c r="IT238" i="17"/>
  <c r="IU238" i="17"/>
  <c r="IV238" i="17"/>
  <c r="A237" i="17"/>
  <c r="B237" i="17"/>
  <c r="C237" i="17"/>
  <c r="D237" i="17"/>
  <c r="E237" i="17"/>
  <c r="F237" i="17"/>
  <c r="G237" i="17"/>
  <c r="H237" i="17"/>
  <c r="I237" i="17"/>
  <c r="J237" i="17"/>
  <c r="K237" i="17"/>
  <c r="L237" i="17"/>
  <c r="M237" i="17"/>
  <c r="N237" i="17"/>
  <c r="O237" i="17"/>
  <c r="P237" i="17"/>
  <c r="Q237" i="17"/>
  <c r="R237" i="17"/>
  <c r="S237" i="17"/>
  <c r="T237" i="17"/>
  <c r="U237" i="17"/>
  <c r="V237" i="17"/>
  <c r="W237" i="17"/>
  <c r="X237" i="17"/>
  <c r="Y237" i="17"/>
  <c r="Z237" i="17"/>
  <c r="AA237" i="17"/>
  <c r="AB237" i="17"/>
  <c r="AC237" i="17"/>
  <c r="AD237" i="17"/>
  <c r="AE237" i="17"/>
  <c r="AF237" i="17"/>
  <c r="AG237" i="17"/>
  <c r="AH237" i="17"/>
  <c r="AI237" i="17"/>
  <c r="AJ237" i="17"/>
  <c r="AK237" i="17"/>
  <c r="AL237" i="17"/>
  <c r="AM237" i="17"/>
  <c r="AN237" i="17"/>
  <c r="AO237" i="17"/>
  <c r="AP237" i="17"/>
  <c r="AQ237" i="17"/>
  <c r="AR237" i="17"/>
  <c r="AS237" i="17"/>
  <c r="AT237" i="17"/>
  <c r="AU237" i="17"/>
  <c r="AV237" i="17"/>
  <c r="AW237" i="17"/>
  <c r="AX237" i="17"/>
  <c r="AY237" i="17"/>
  <c r="AZ237" i="17"/>
  <c r="BA237" i="17"/>
  <c r="BB237" i="17"/>
  <c r="BC237" i="17"/>
  <c r="BD237" i="17"/>
  <c r="BE237" i="17"/>
  <c r="BF237" i="17"/>
  <c r="BG237" i="17"/>
  <c r="BH237" i="17"/>
  <c r="BI237" i="17"/>
  <c r="BJ237" i="17"/>
  <c r="BK237" i="17"/>
  <c r="BL237" i="17"/>
  <c r="BM237" i="17"/>
  <c r="BN237" i="17"/>
  <c r="BO237" i="17"/>
  <c r="BP237" i="17"/>
  <c r="BQ237" i="17"/>
  <c r="BR237" i="17"/>
  <c r="BS237" i="17"/>
  <c r="BT237" i="17"/>
  <c r="BU237" i="17"/>
  <c r="BV237" i="17"/>
  <c r="BW237" i="17"/>
  <c r="BX237" i="17"/>
  <c r="BY237" i="17"/>
  <c r="BZ237" i="17"/>
  <c r="CA237" i="17"/>
  <c r="CB237" i="17"/>
  <c r="CC237" i="17"/>
  <c r="CD237" i="17"/>
  <c r="CE237" i="17"/>
  <c r="CF237" i="17"/>
  <c r="CG237" i="17"/>
  <c r="CH237" i="17"/>
  <c r="CI237" i="17"/>
  <c r="CJ237" i="17"/>
  <c r="CK237" i="17"/>
  <c r="CL237" i="17"/>
  <c r="CM237" i="17"/>
  <c r="CN237" i="17"/>
  <c r="CO237" i="17"/>
  <c r="CP237" i="17"/>
  <c r="CQ237" i="17"/>
  <c r="CR237" i="17"/>
  <c r="CS237" i="17"/>
  <c r="CT237" i="17"/>
  <c r="CU237" i="17"/>
  <c r="CV237" i="17"/>
  <c r="CW237" i="17"/>
  <c r="CX237" i="17"/>
  <c r="CY237" i="17"/>
  <c r="CZ237" i="17"/>
  <c r="DA237" i="17"/>
  <c r="DB237" i="17"/>
  <c r="DC237" i="17"/>
  <c r="DD237" i="17"/>
  <c r="DE237" i="17"/>
  <c r="DF237" i="17"/>
  <c r="DG237" i="17"/>
  <c r="DH237" i="17"/>
  <c r="DI237" i="17"/>
  <c r="DJ237" i="17"/>
  <c r="DK237" i="17"/>
  <c r="DL237" i="17"/>
  <c r="DM237" i="17"/>
  <c r="DN237" i="17"/>
  <c r="DO237" i="17"/>
  <c r="DP237" i="17"/>
  <c r="DQ237" i="17"/>
  <c r="DR237" i="17"/>
  <c r="DS237" i="17"/>
  <c r="DT237" i="17"/>
  <c r="DU237" i="17"/>
  <c r="DV237" i="17"/>
  <c r="DW237" i="17"/>
  <c r="DX237" i="17"/>
  <c r="DY237" i="17"/>
  <c r="DZ237" i="17"/>
  <c r="EA237" i="17"/>
  <c r="EB237" i="17"/>
  <c r="EC237" i="17"/>
  <c r="ED237" i="17"/>
  <c r="EE237" i="17"/>
  <c r="EF237" i="17"/>
  <c r="EG237" i="17"/>
  <c r="EH237" i="17"/>
  <c r="EI237" i="17"/>
  <c r="EJ237" i="17"/>
  <c r="EK237" i="17"/>
  <c r="EL237" i="17"/>
  <c r="EM237" i="17"/>
  <c r="EN237" i="17"/>
  <c r="EO237" i="17"/>
  <c r="EP237" i="17"/>
  <c r="EQ237" i="17"/>
  <c r="ER237" i="17"/>
  <c r="ES237" i="17"/>
  <c r="ET237" i="17"/>
  <c r="EU237" i="17"/>
  <c r="EV237" i="17"/>
  <c r="EW237" i="17"/>
  <c r="EX237" i="17"/>
  <c r="EY237" i="17"/>
  <c r="EZ237" i="17"/>
  <c r="FA237" i="17"/>
  <c r="FB237" i="17"/>
  <c r="FC237" i="17"/>
  <c r="FD237" i="17"/>
  <c r="FE237" i="17"/>
  <c r="FF237" i="17"/>
  <c r="FG237" i="17"/>
  <c r="FH237" i="17"/>
  <c r="FI237" i="17"/>
  <c r="FJ237" i="17"/>
  <c r="FK237" i="17"/>
  <c r="FL237" i="17"/>
  <c r="FM237" i="17"/>
  <c r="FN237" i="17"/>
  <c r="FO237" i="17"/>
  <c r="FP237" i="17"/>
  <c r="FQ237" i="17"/>
  <c r="FR237" i="17"/>
  <c r="FS237" i="17"/>
  <c r="FT237" i="17"/>
  <c r="FU237" i="17"/>
  <c r="FV237" i="17"/>
  <c r="FW237" i="17"/>
  <c r="FX237" i="17"/>
  <c r="FY237" i="17"/>
  <c r="FZ237" i="17"/>
  <c r="GA237" i="17"/>
  <c r="GB237" i="17"/>
  <c r="GC237" i="17"/>
  <c r="GD237" i="17"/>
  <c r="GE237" i="17"/>
  <c r="GF237" i="17"/>
  <c r="GG237" i="17"/>
  <c r="GH237" i="17"/>
  <c r="GI237" i="17"/>
  <c r="GJ237" i="17"/>
  <c r="GK237" i="17"/>
  <c r="GL237" i="17"/>
  <c r="GM237" i="17"/>
  <c r="GN237" i="17"/>
  <c r="GO237" i="17"/>
  <c r="GP237" i="17"/>
  <c r="GQ237" i="17"/>
  <c r="GR237" i="17"/>
  <c r="GS237" i="17"/>
  <c r="GT237" i="17"/>
  <c r="GU237" i="17"/>
  <c r="GV237" i="17"/>
  <c r="GW237" i="17"/>
  <c r="GX237" i="17"/>
  <c r="GY237" i="17"/>
  <c r="GZ237" i="17"/>
  <c r="HA237" i="17"/>
  <c r="HB237" i="17"/>
  <c r="HC237" i="17"/>
  <c r="HD237" i="17"/>
  <c r="HE237" i="17"/>
  <c r="HF237" i="17"/>
  <c r="HG237" i="17"/>
  <c r="HH237" i="17"/>
  <c r="HI237" i="17"/>
  <c r="HJ237" i="17"/>
  <c r="HK237" i="17"/>
  <c r="HL237" i="17"/>
  <c r="HM237" i="17"/>
  <c r="HN237" i="17"/>
  <c r="HO237" i="17"/>
  <c r="HP237" i="17"/>
  <c r="HQ237" i="17"/>
  <c r="HR237" i="17"/>
  <c r="HS237" i="17"/>
  <c r="HT237" i="17"/>
  <c r="HU237" i="17"/>
  <c r="HV237" i="17"/>
  <c r="HW237" i="17"/>
  <c r="HX237" i="17"/>
  <c r="HY237" i="17"/>
  <c r="HZ237" i="17"/>
  <c r="IA237" i="17"/>
  <c r="IB237" i="17"/>
  <c r="IC237" i="17"/>
  <c r="ID237" i="17"/>
  <c r="IE237" i="17"/>
  <c r="IF237" i="17"/>
  <c r="IG237" i="17"/>
  <c r="IH237" i="17"/>
  <c r="II237" i="17"/>
  <c r="IJ237" i="17"/>
  <c r="IK237" i="17"/>
  <c r="IL237" i="17"/>
  <c r="IM237" i="17"/>
  <c r="IN237" i="17"/>
  <c r="IO237" i="17"/>
  <c r="IP237" i="17"/>
  <c r="IQ237" i="17"/>
  <c r="IR237" i="17"/>
  <c r="IS237" i="17"/>
  <c r="IT237" i="17"/>
  <c r="IU237" i="17"/>
  <c r="IV237" i="17"/>
  <c r="A236" i="17"/>
  <c r="B236" i="17"/>
  <c r="C236" i="17"/>
  <c r="D236" i="17"/>
  <c r="E236" i="17"/>
  <c r="F236" i="17"/>
  <c r="G236" i="17"/>
  <c r="H236" i="17"/>
  <c r="I236" i="17"/>
  <c r="J236" i="17"/>
  <c r="K236" i="17"/>
  <c r="L236" i="17"/>
  <c r="M236" i="17"/>
  <c r="N236" i="17"/>
  <c r="O236" i="17"/>
  <c r="P236" i="17"/>
  <c r="Q236" i="17"/>
  <c r="R236" i="17"/>
  <c r="S236" i="17"/>
  <c r="T236" i="17"/>
  <c r="U236" i="17"/>
  <c r="V236" i="17"/>
  <c r="W236" i="17"/>
  <c r="X236" i="17"/>
  <c r="Y236" i="17"/>
  <c r="Z236" i="17"/>
  <c r="AA236" i="17"/>
  <c r="AB236" i="17"/>
  <c r="AC236" i="17"/>
  <c r="AD236" i="17"/>
  <c r="AE236" i="17"/>
  <c r="AF236" i="17"/>
  <c r="AG236" i="17"/>
  <c r="AH236" i="17"/>
  <c r="AI236" i="17"/>
  <c r="AJ236" i="17"/>
  <c r="AK236" i="17"/>
  <c r="AL236" i="17"/>
  <c r="AM236" i="17"/>
  <c r="AN236" i="17"/>
  <c r="AO236" i="17"/>
  <c r="AP236" i="17"/>
  <c r="AQ236" i="17"/>
  <c r="AR236" i="17"/>
  <c r="AS236" i="17"/>
  <c r="AT236" i="17"/>
  <c r="AU236" i="17"/>
  <c r="AV236" i="17"/>
  <c r="AW236" i="17"/>
  <c r="AX236" i="17"/>
  <c r="AY236" i="17"/>
  <c r="AZ236" i="17"/>
  <c r="BA236" i="17"/>
  <c r="BB236" i="17"/>
  <c r="BC236" i="17"/>
  <c r="BD236" i="17"/>
  <c r="BE236" i="17"/>
  <c r="BF236" i="17"/>
  <c r="BG236" i="17"/>
  <c r="BH236" i="17"/>
  <c r="BI236" i="17"/>
  <c r="BJ236" i="17"/>
  <c r="BK236" i="17"/>
  <c r="BL236" i="17"/>
  <c r="BM236" i="17"/>
  <c r="BN236" i="17"/>
  <c r="BO236" i="17"/>
  <c r="BP236" i="17"/>
  <c r="BQ236" i="17"/>
  <c r="BR236" i="17"/>
  <c r="BS236" i="17"/>
  <c r="BT236" i="17"/>
  <c r="BU236" i="17"/>
  <c r="BV236" i="17"/>
  <c r="BW236" i="17"/>
  <c r="BX236" i="17"/>
  <c r="BY236" i="17"/>
  <c r="BZ236" i="17"/>
  <c r="CA236" i="17"/>
  <c r="CB236" i="17"/>
  <c r="CC236" i="17"/>
  <c r="CD236" i="17"/>
  <c r="CE236" i="17"/>
  <c r="CF236" i="17"/>
  <c r="CG236" i="17"/>
  <c r="CH236" i="17"/>
  <c r="CI236" i="17"/>
  <c r="CJ236" i="17"/>
  <c r="CK236" i="17"/>
  <c r="CL236" i="17"/>
  <c r="CM236" i="17"/>
  <c r="CN236" i="17"/>
  <c r="CO236" i="17"/>
  <c r="CP236" i="17"/>
  <c r="CQ236" i="17"/>
  <c r="CR236" i="17"/>
  <c r="CS236" i="17"/>
  <c r="CT236" i="17"/>
  <c r="CU236" i="17"/>
  <c r="CV236" i="17"/>
  <c r="CW236" i="17"/>
  <c r="CX236" i="17"/>
  <c r="CY236" i="17"/>
  <c r="CZ236" i="17"/>
  <c r="DA236" i="17"/>
  <c r="DB236" i="17"/>
  <c r="DC236" i="17"/>
  <c r="DD236" i="17"/>
  <c r="DE236" i="17"/>
  <c r="DF236" i="17"/>
  <c r="DG236" i="17"/>
  <c r="DH236" i="17"/>
  <c r="DI236" i="17"/>
  <c r="DJ236" i="17"/>
  <c r="DK236" i="17"/>
  <c r="DL236" i="17"/>
  <c r="DM236" i="17"/>
  <c r="DN236" i="17"/>
  <c r="DO236" i="17"/>
  <c r="DP236" i="17"/>
  <c r="DQ236" i="17"/>
  <c r="DR236" i="17"/>
  <c r="DS236" i="17"/>
  <c r="DT236" i="17"/>
  <c r="DU236" i="17"/>
  <c r="DV236" i="17"/>
  <c r="DW236" i="17"/>
  <c r="DX236" i="17"/>
  <c r="DY236" i="17"/>
  <c r="DZ236" i="17"/>
  <c r="EA236" i="17"/>
  <c r="EB236" i="17"/>
  <c r="EC236" i="17"/>
  <c r="ED236" i="17"/>
  <c r="EE236" i="17"/>
  <c r="EF236" i="17"/>
  <c r="EG236" i="17"/>
  <c r="EH236" i="17"/>
  <c r="EI236" i="17"/>
  <c r="EJ236" i="17"/>
  <c r="EK236" i="17"/>
  <c r="EL236" i="17"/>
  <c r="EM236" i="17"/>
  <c r="EN236" i="17"/>
  <c r="EO236" i="17"/>
  <c r="EP236" i="17"/>
  <c r="EQ236" i="17"/>
  <c r="ER236" i="17"/>
  <c r="ES236" i="17"/>
  <c r="ET236" i="17"/>
  <c r="EU236" i="17"/>
  <c r="EV236" i="17"/>
  <c r="EW236" i="17"/>
  <c r="EX236" i="17"/>
  <c r="EY236" i="17"/>
  <c r="EZ236" i="17"/>
  <c r="FA236" i="17"/>
  <c r="FB236" i="17"/>
  <c r="FC236" i="17"/>
  <c r="FD236" i="17"/>
  <c r="FE236" i="17"/>
  <c r="FF236" i="17"/>
  <c r="FG236" i="17"/>
  <c r="FH236" i="17"/>
  <c r="FI236" i="17"/>
  <c r="FJ236" i="17"/>
  <c r="FK236" i="17"/>
  <c r="FL236" i="17"/>
  <c r="FM236" i="17"/>
  <c r="FN236" i="17"/>
  <c r="FO236" i="17"/>
  <c r="FP236" i="17"/>
  <c r="FQ236" i="17"/>
  <c r="FR236" i="17"/>
  <c r="FS236" i="17"/>
  <c r="FT236" i="17"/>
  <c r="FU236" i="17"/>
  <c r="FV236" i="17"/>
  <c r="FW236" i="17"/>
  <c r="FX236" i="17"/>
  <c r="FY236" i="17"/>
  <c r="FZ236" i="17"/>
  <c r="GA236" i="17"/>
  <c r="GB236" i="17"/>
  <c r="GC236" i="17"/>
  <c r="GD236" i="17"/>
  <c r="GE236" i="17"/>
  <c r="GF236" i="17"/>
  <c r="GG236" i="17"/>
  <c r="GH236" i="17"/>
  <c r="GI236" i="17"/>
  <c r="GJ236" i="17"/>
  <c r="GK236" i="17"/>
  <c r="GL236" i="17"/>
  <c r="GM236" i="17"/>
  <c r="GN236" i="17"/>
  <c r="GO236" i="17"/>
  <c r="GP236" i="17"/>
  <c r="GQ236" i="17"/>
  <c r="GR236" i="17"/>
  <c r="GS236" i="17"/>
  <c r="GT236" i="17"/>
  <c r="GU236" i="17"/>
  <c r="GV236" i="17"/>
  <c r="GW236" i="17"/>
  <c r="GX236" i="17"/>
  <c r="GY236" i="17"/>
  <c r="GZ236" i="17"/>
  <c r="HA236" i="17"/>
  <c r="HB236" i="17"/>
  <c r="HC236" i="17"/>
  <c r="HD236" i="17"/>
  <c r="HE236" i="17"/>
  <c r="HF236" i="17"/>
  <c r="HG236" i="17"/>
  <c r="HH236" i="17"/>
  <c r="HI236" i="17"/>
  <c r="HJ236" i="17"/>
  <c r="HK236" i="17"/>
  <c r="HL236" i="17"/>
  <c r="HM236" i="17"/>
  <c r="HN236" i="17"/>
  <c r="HO236" i="17"/>
  <c r="HP236" i="17"/>
  <c r="HQ236" i="17"/>
  <c r="HR236" i="17"/>
  <c r="HS236" i="17"/>
  <c r="HT236" i="17"/>
  <c r="HU236" i="17"/>
  <c r="HV236" i="17"/>
  <c r="HW236" i="17"/>
  <c r="HX236" i="17"/>
  <c r="HY236" i="17"/>
  <c r="HZ236" i="17"/>
  <c r="IA236" i="17"/>
  <c r="IB236" i="17"/>
  <c r="IC236" i="17"/>
  <c r="ID236" i="17"/>
  <c r="IE236" i="17"/>
  <c r="IF236" i="17"/>
  <c r="IG236" i="17"/>
  <c r="IH236" i="17"/>
  <c r="II236" i="17"/>
  <c r="IJ236" i="17"/>
  <c r="IK236" i="17"/>
  <c r="IL236" i="17"/>
  <c r="IM236" i="17"/>
  <c r="IN236" i="17"/>
  <c r="IO236" i="17"/>
  <c r="IP236" i="17"/>
  <c r="IQ236" i="17"/>
  <c r="IR236" i="17"/>
  <c r="IS236" i="17"/>
  <c r="IT236" i="17"/>
  <c r="IU236" i="17"/>
  <c r="IV236" i="17"/>
  <c r="A235" i="17"/>
  <c r="B235" i="17"/>
  <c r="C235" i="17"/>
  <c r="D235" i="17"/>
  <c r="E235" i="17"/>
  <c r="F235" i="17"/>
  <c r="G235" i="17"/>
  <c r="H235" i="17"/>
  <c r="I235" i="17"/>
  <c r="J235" i="17"/>
  <c r="K235" i="17"/>
  <c r="L235" i="17"/>
  <c r="M235" i="17"/>
  <c r="N235" i="17"/>
  <c r="O235" i="17"/>
  <c r="P235" i="17"/>
  <c r="Q235" i="17"/>
  <c r="R235" i="17"/>
  <c r="S235" i="17"/>
  <c r="T235" i="17"/>
  <c r="U235" i="17"/>
  <c r="V235" i="17"/>
  <c r="W235" i="17"/>
  <c r="X235" i="17"/>
  <c r="Y235" i="17"/>
  <c r="Z235" i="17"/>
  <c r="AA235" i="17"/>
  <c r="AB235" i="17"/>
  <c r="AC235" i="17"/>
  <c r="AD235" i="17"/>
  <c r="AE235" i="17"/>
  <c r="AF235" i="17"/>
  <c r="AG235" i="17"/>
  <c r="AH235" i="17"/>
  <c r="AI235" i="17"/>
  <c r="AJ235" i="17"/>
  <c r="AK235" i="17"/>
  <c r="AL235" i="17"/>
  <c r="AM235" i="17"/>
  <c r="AN235" i="17"/>
  <c r="AO235" i="17"/>
  <c r="AP235" i="17"/>
  <c r="AQ235" i="17"/>
  <c r="AR235" i="17"/>
  <c r="AS235" i="17"/>
  <c r="AT235" i="17"/>
  <c r="AU235" i="17"/>
  <c r="AV235" i="17"/>
  <c r="AW235" i="17"/>
  <c r="AX235" i="17"/>
  <c r="AY235" i="17"/>
  <c r="AZ235" i="17"/>
  <c r="BA235" i="17"/>
  <c r="BB235" i="17"/>
  <c r="BC235" i="17"/>
  <c r="BD235" i="17"/>
  <c r="BE235" i="17"/>
  <c r="BF235" i="17"/>
  <c r="BG235" i="17"/>
  <c r="BH235" i="17"/>
  <c r="BI235" i="17"/>
  <c r="BJ235" i="17"/>
  <c r="BK235" i="17"/>
  <c r="BL235" i="17"/>
  <c r="BM235" i="17"/>
  <c r="BN235" i="17"/>
  <c r="BO235" i="17"/>
  <c r="BP235" i="17"/>
  <c r="BQ235" i="17"/>
  <c r="BR235" i="17"/>
  <c r="BS235" i="17"/>
  <c r="BT235" i="17"/>
  <c r="BU235" i="17"/>
  <c r="BV235" i="17"/>
  <c r="BW235" i="17"/>
  <c r="BX235" i="17"/>
  <c r="BY235" i="17"/>
  <c r="BZ235" i="17"/>
  <c r="CA235" i="17"/>
  <c r="CB235" i="17"/>
  <c r="CC235" i="17"/>
  <c r="CD235" i="17"/>
  <c r="CE235" i="17"/>
  <c r="CF235" i="17"/>
  <c r="CG235" i="17"/>
  <c r="CH235" i="17"/>
  <c r="CI235" i="17"/>
  <c r="CJ235" i="17"/>
  <c r="CK235" i="17"/>
  <c r="CL235" i="17"/>
  <c r="CM235" i="17"/>
  <c r="CN235" i="17"/>
  <c r="CO235" i="17"/>
  <c r="CP235" i="17"/>
  <c r="CQ235" i="17"/>
  <c r="CR235" i="17"/>
  <c r="CS235" i="17"/>
  <c r="CT235" i="17"/>
  <c r="CU235" i="17"/>
  <c r="CV235" i="17"/>
  <c r="CW235" i="17"/>
  <c r="CX235" i="17"/>
  <c r="CY235" i="17"/>
  <c r="CZ235" i="17"/>
  <c r="DA235" i="17"/>
  <c r="DB235" i="17"/>
  <c r="DC235" i="17"/>
  <c r="DD235" i="17"/>
  <c r="DE235" i="17"/>
  <c r="DF235" i="17"/>
  <c r="DG235" i="17"/>
  <c r="DH235" i="17"/>
  <c r="DI235" i="17"/>
  <c r="DJ235" i="17"/>
  <c r="DK235" i="17"/>
  <c r="DL235" i="17"/>
  <c r="DM235" i="17"/>
  <c r="DN235" i="17"/>
  <c r="DO235" i="17"/>
  <c r="DP235" i="17"/>
  <c r="DQ235" i="17"/>
  <c r="DR235" i="17"/>
  <c r="DS235" i="17"/>
  <c r="DT235" i="17"/>
  <c r="DU235" i="17"/>
  <c r="DV235" i="17"/>
  <c r="DW235" i="17"/>
  <c r="DX235" i="17"/>
  <c r="DY235" i="17"/>
  <c r="DZ235" i="17"/>
  <c r="EA235" i="17"/>
  <c r="EB235" i="17"/>
  <c r="EC235" i="17"/>
  <c r="ED235" i="17"/>
  <c r="EE235" i="17"/>
  <c r="EF235" i="17"/>
  <c r="EG235" i="17"/>
  <c r="EH235" i="17"/>
  <c r="EI235" i="17"/>
  <c r="EJ235" i="17"/>
  <c r="EK235" i="17"/>
  <c r="EL235" i="17"/>
  <c r="EM235" i="17"/>
  <c r="EN235" i="17"/>
  <c r="EO235" i="17"/>
  <c r="EP235" i="17"/>
  <c r="EQ235" i="17"/>
  <c r="ER235" i="17"/>
  <c r="ES235" i="17"/>
  <c r="ET235" i="17"/>
  <c r="EU235" i="17"/>
  <c r="EV235" i="17"/>
  <c r="EW235" i="17"/>
  <c r="EX235" i="17"/>
  <c r="EY235" i="17"/>
  <c r="EZ235" i="17"/>
  <c r="FA235" i="17"/>
  <c r="FB235" i="17"/>
  <c r="FC235" i="17"/>
  <c r="FD235" i="17"/>
  <c r="FE235" i="17"/>
  <c r="FF235" i="17"/>
  <c r="FG235" i="17"/>
  <c r="FH235" i="17"/>
  <c r="FI235" i="17"/>
  <c r="FJ235" i="17"/>
  <c r="FK235" i="17"/>
  <c r="FL235" i="17"/>
  <c r="FM235" i="17"/>
  <c r="FN235" i="17"/>
  <c r="FO235" i="17"/>
  <c r="FP235" i="17"/>
  <c r="FQ235" i="17"/>
  <c r="FR235" i="17"/>
  <c r="FS235" i="17"/>
  <c r="FT235" i="17"/>
  <c r="FU235" i="17"/>
  <c r="FV235" i="17"/>
  <c r="FW235" i="17"/>
  <c r="FX235" i="17"/>
  <c r="FY235" i="17"/>
  <c r="FZ235" i="17"/>
  <c r="GA235" i="17"/>
  <c r="GB235" i="17"/>
  <c r="GC235" i="17"/>
  <c r="GD235" i="17"/>
  <c r="GE235" i="17"/>
  <c r="GF235" i="17"/>
  <c r="GG235" i="17"/>
  <c r="GH235" i="17"/>
  <c r="GI235" i="17"/>
  <c r="GJ235" i="17"/>
  <c r="GK235" i="17"/>
  <c r="GL235" i="17"/>
  <c r="GM235" i="17"/>
  <c r="GN235" i="17"/>
  <c r="GO235" i="17"/>
  <c r="GP235" i="17"/>
  <c r="GQ235" i="17"/>
  <c r="GR235" i="17"/>
  <c r="GS235" i="17"/>
  <c r="GT235" i="17"/>
  <c r="GU235" i="17"/>
  <c r="GV235" i="17"/>
  <c r="GW235" i="17"/>
  <c r="GX235" i="17"/>
  <c r="GY235" i="17"/>
  <c r="GZ235" i="17"/>
  <c r="HA235" i="17"/>
  <c r="HB235" i="17"/>
  <c r="HC235" i="17"/>
  <c r="HD235" i="17"/>
  <c r="HE235" i="17"/>
  <c r="HF235" i="17"/>
  <c r="HG235" i="17"/>
  <c r="HH235" i="17"/>
  <c r="HI235" i="17"/>
  <c r="HJ235" i="17"/>
  <c r="HK235" i="17"/>
  <c r="HL235" i="17"/>
  <c r="HM235" i="17"/>
  <c r="HN235" i="17"/>
  <c r="HO235" i="17"/>
  <c r="HP235" i="17"/>
  <c r="HQ235" i="17"/>
  <c r="HR235" i="17"/>
  <c r="HS235" i="17"/>
  <c r="HT235" i="17"/>
  <c r="HU235" i="17"/>
  <c r="HV235" i="17"/>
  <c r="HW235" i="17"/>
  <c r="HX235" i="17"/>
  <c r="HY235" i="17"/>
  <c r="HZ235" i="17"/>
  <c r="IA235" i="17"/>
  <c r="IB235" i="17"/>
  <c r="IC235" i="17"/>
  <c r="ID235" i="17"/>
  <c r="IE235" i="17"/>
  <c r="IF235" i="17"/>
  <c r="IG235" i="17"/>
  <c r="IH235" i="17"/>
  <c r="II235" i="17"/>
  <c r="IJ235" i="17"/>
  <c r="IK235" i="17"/>
  <c r="IL235" i="17"/>
  <c r="IM235" i="17"/>
  <c r="IN235" i="17"/>
  <c r="IO235" i="17"/>
  <c r="IP235" i="17"/>
  <c r="IQ235" i="17"/>
  <c r="IR235" i="17"/>
  <c r="IS235" i="17"/>
  <c r="IT235" i="17"/>
  <c r="IU235" i="17"/>
  <c r="IV235" i="17"/>
  <c r="A234" i="17"/>
  <c r="B234" i="17"/>
  <c r="C234" i="17"/>
  <c r="D234" i="17"/>
  <c r="E234" i="17"/>
  <c r="F234" i="17"/>
  <c r="G234" i="17"/>
  <c r="H234" i="17"/>
  <c r="I234" i="17"/>
  <c r="J234" i="17"/>
  <c r="K234" i="17"/>
  <c r="L234" i="17"/>
  <c r="M234" i="17"/>
  <c r="N234" i="17"/>
  <c r="O234" i="17"/>
  <c r="P234" i="17"/>
  <c r="Q234" i="17"/>
  <c r="R234" i="17"/>
  <c r="S234" i="17"/>
  <c r="T234" i="17"/>
  <c r="U234" i="17"/>
  <c r="V234" i="17"/>
  <c r="W234" i="17"/>
  <c r="X234" i="17"/>
  <c r="Y234" i="17"/>
  <c r="Z234" i="17"/>
  <c r="AA234" i="17"/>
  <c r="AB234" i="17"/>
  <c r="AC234" i="17"/>
  <c r="AD234" i="17"/>
  <c r="AE234" i="17"/>
  <c r="AF234" i="17"/>
  <c r="AG234" i="17"/>
  <c r="AH234" i="17"/>
  <c r="AI234" i="17"/>
  <c r="AJ234" i="17"/>
  <c r="AK234" i="17"/>
  <c r="AL234" i="17"/>
  <c r="AM234" i="17"/>
  <c r="AN234" i="17"/>
  <c r="AO234" i="17"/>
  <c r="AP234" i="17"/>
  <c r="AQ234" i="17"/>
  <c r="AR234" i="17"/>
  <c r="AS234" i="17"/>
  <c r="AT234" i="17"/>
  <c r="AU234" i="17"/>
  <c r="AV234" i="17"/>
  <c r="AW234" i="17"/>
  <c r="AX234" i="17"/>
  <c r="AY234" i="17"/>
  <c r="AZ234" i="17"/>
  <c r="BA234" i="17"/>
  <c r="BB234" i="17"/>
  <c r="BC234" i="17"/>
  <c r="BD234" i="17"/>
  <c r="BE234" i="17"/>
  <c r="BF234" i="17"/>
  <c r="BG234" i="17"/>
  <c r="BH234" i="17"/>
  <c r="BI234" i="17"/>
  <c r="BJ234" i="17"/>
  <c r="BK234" i="17"/>
  <c r="BL234" i="17"/>
  <c r="BM234" i="17"/>
  <c r="BN234" i="17"/>
  <c r="BO234" i="17"/>
  <c r="BP234" i="17"/>
  <c r="BQ234" i="17"/>
  <c r="BR234" i="17"/>
  <c r="BS234" i="17"/>
  <c r="BT234" i="17"/>
  <c r="BU234" i="17"/>
  <c r="BV234" i="17"/>
  <c r="BW234" i="17"/>
  <c r="BX234" i="17"/>
  <c r="BY234" i="17"/>
  <c r="BZ234" i="17"/>
  <c r="CA234" i="17"/>
  <c r="CB234" i="17"/>
  <c r="CC234" i="17"/>
  <c r="CD234" i="17"/>
  <c r="CE234" i="17"/>
  <c r="CF234" i="17"/>
  <c r="CG234" i="17"/>
  <c r="CH234" i="17"/>
  <c r="CI234" i="17"/>
  <c r="CJ234" i="17"/>
  <c r="CK234" i="17"/>
  <c r="CL234" i="17"/>
  <c r="CM234" i="17"/>
  <c r="CN234" i="17"/>
  <c r="CO234" i="17"/>
  <c r="CP234" i="17"/>
  <c r="CQ234" i="17"/>
  <c r="CR234" i="17"/>
  <c r="CS234" i="17"/>
  <c r="CT234" i="17"/>
  <c r="CU234" i="17"/>
  <c r="CV234" i="17"/>
  <c r="CW234" i="17"/>
  <c r="CX234" i="17"/>
  <c r="CY234" i="17"/>
  <c r="CZ234" i="17"/>
  <c r="DA234" i="17"/>
  <c r="DB234" i="17"/>
  <c r="DC234" i="17"/>
  <c r="DD234" i="17"/>
  <c r="DE234" i="17"/>
  <c r="DF234" i="17"/>
  <c r="DG234" i="17"/>
  <c r="DH234" i="17"/>
  <c r="DI234" i="17"/>
  <c r="DJ234" i="17"/>
  <c r="DK234" i="17"/>
  <c r="DL234" i="17"/>
  <c r="DM234" i="17"/>
  <c r="DN234" i="17"/>
  <c r="DO234" i="17"/>
  <c r="DP234" i="17"/>
  <c r="DQ234" i="17"/>
  <c r="DR234" i="17"/>
  <c r="DS234" i="17"/>
  <c r="DT234" i="17"/>
  <c r="DU234" i="17"/>
  <c r="DV234" i="17"/>
  <c r="DW234" i="17"/>
  <c r="DX234" i="17"/>
  <c r="DY234" i="17"/>
  <c r="DZ234" i="17"/>
  <c r="EA234" i="17"/>
  <c r="EB234" i="17"/>
  <c r="EC234" i="17"/>
  <c r="ED234" i="17"/>
  <c r="EE234" i="17"/>
  <c r="EF234" i="17"/>
  <c r="EG234" i="17"/>
  <c r="EH234" i="17"/>
  <c r="EI234" i="17"/>
  <c r="EJ234" i="17"/>
  <c r="EK234" i="17"/>
  <c r="EL234" i="17"/>
  <c r="EM234" i="17"/>
  <c r="EN234" i="17"/>
  <c r="EO234" i="17"/>
  <c r="EP234" i="17"/>
  <c r="EQ234" i="17"/>
  <c r="ER234" i="17"/>
  <c r="ES234" i="17"/>
  <c r="ET234" i="17"/>
  <c r="EU234" i="17"/>
  <c r="EV234" i="17"/>
  <c r="EW234" i="17"/>
  <c r="EX234" i="17"/>
  <c r="EY234" i="17"/>
  <c r="EZ234" i="17"/>
  <c r="FA234" i="17"/>
  <c r="FB234" i="17"/>
  <c r="FC234" i="17"/>
  <c r="FD234" i="17"/>
  <c r="FE234" i="17"/>
  <c r="FF234" i="17"/>
  <c r="FG234" i="17"/>
  <c r="FH234" i="17"/>
  <c r="FI234" i="17"/>
  <c r="FJ234" i="17"/>
  <c r="FK234" i="17"/>
  <c r="FL234" i="17"/>
  <c r="FM234" i="17"/>
  <c r="FN234" i="17"/>
  <c r="FO234" i="17"/>
  <c r="FP234" i="17"/>
  <c r="FQ234" i="17"/>
  <c r="FR234" i="17"/>
  <c r="FS234" i="17"/>
  <c r="FT234" i="17"/>
  <c r="FU234" i="17"/>
  <c r="FV234" i="17"/>
  <c r="FW234" i="17"/>
  <c r="FX234" i="17"/>
  <c r="FY234" i="17"/>
  <c r="FZ234" i="17"/>
  <c r="GA234" i="17"/>
  <c r="GB234" i="17"/>
  <c r="GC234" i="17"/>
  <c r="GD234" i="17"/>
  <c r="GE234" i="17"/>
  <c r="GF234" i="17"/>
  <c r="GG234" i="17"/>
  <c r="GH234" i="17"/>
  <c r="GI234" i="17"/>
  <c r="GJ234" i="17"/>
  <c r="GK234" i="17"/>
  <c r="GL234" i="17"/>
  <c r="GM234" i="17"/>
  <c r="GN234" i="17"/>
  <c r="GO234" i="17"/>
  <c r="GP234" i="17"/>
  <c r="GQ234" i="17"/>
  <c r="GR234" i="17"/>
  <c r="GS234" i="17"/>
  <c r="GT234" i="17"/>
  <c r="GU234" i="17"/>
  <c r="GV234" i="17"/>
  <c r="GW234" i="17"/>
  <c r="GX234" i="17"/>
  <c r="GY234" i="17"/>
  <c r="GZ234" i="17"/>
  <c r="HA234" i="17"/>
  <c r="HB234" i="17"/>
  <c r="HC234" i="17"/>
  <c r="HD234" i="17"/>
  <c r="HE234" i="17"/>
  <c r="HF234" i="17"/>
  <c r="HG234" i="17"/>
  <c r="HH234" i="17"/>
  <c r="HI234" i="17"/>
  <c r="HJ234" i="17"/>
  <c r="HK234" i="17"/>
  <c r="HL234" i="17"/>
  <c r="HM234" i="17"/>
  <c r="HN234" i="17"/>
  <c r="HO234" i="17"/>
  <c r="HP234" i="17"/>
  <c r="HQ234" i="17"/>
  <c r="HR234" i="17"/>
  <c r="HS234" i="17"/>
  <c r="HT234" i="17"/>
  <c r="HU234" i="17"/>
  <c r="HV234" i="17"/>
  <c r="HW234" i="17"/>
  <c r="HX234" i="17"/>
  <c r="HY234" i="17"/>
  <c r="HZ234" i="17"/>
  <c r="IA234" i="17"/>
  <c r="IB234" i="17"/>
  <c r="IC234" i="17"/>
  <c r="ID234" i="17"/>
  <c r="IE234" i="17"/>
  <c r="IF234" i="17"/>
  <c r="IG234" i="17"/>
  <c r="IH234" i="17"/>
  <c r="II234" i="17"/>
  <c r="IJ234" i="17"/>
  <c r="IK234" i="17"/>
  <c r="IL234" i="17"/>
  <c r="IM234" i="17"/>
  <c r="IN234" i="17"/>
  <c r="IO234" i="17"/>
  <c r="IP234" i="17"/>
  <c r="IQ234" i="17"/>
  <c r="IR234" i="17"/>
  <c r="IS234" i="17"/>
  <c r="IT234" i="17"/>
  <c r="IU234" i="17"/>
  <c r="IV234" i="17"/>
  <c r="A233" i="17"/>
  <c r="B233" i="17"/>
  <c r="C233" i="17"/>
  <c r="D233" i="17"/>
  <c r="E233" i="17"/>
  <c r="F233" i="17"/>
  <c r="G233" i="17"/>
  <c r="H233" i="17"/>
  <c r="I233" i="17"/>
  <c r="J233" i="17"/>
  <c r="K233" i="17"/>
  <c r="L233" i="17"/>
  <c r="M233" i="17"/>
  <c r="N233" i="17"/>
  <c r="O233" i="17"/>
  <c r="P233" i="17"/>
  <c r="Q233" i="17"/>
  <c r="R233" i="17"/>
  <c r="S233" i="17"/>
  <c r="T233" i="17"/>
  <c r="U233" i="17"/>
  <c r="V233" i="17"/>
  <c r="W233" i="17"/>
  <c r="X233" i="17"/>
  <c r="Y233" i="17"/>
  <c r="Z233" i="17"/>
  <c r="AA233" i="17"/>
  <c r="AB233" i="17"/>
  <c r="AC233" i="17"/>
  <c r="AD233" i="17"/>
  <c r="AE233" i="17"/>
  <c r="AF233" i="17"/>
  <c r="AG233" i="17"/>
  <c r="AH233" i="17"/>
  <c r="AI233" i="17"/>
  <c r="AJ233" i="17"/>
  <c r="AK233" i="17"/>
  <c r="AL233" i="17"/>
  <c r="AM233" i="17"/>
  <c r="AN233" i="17"/>
  <c r="AO233" i="17"/>
  <c r="AP233" i="17"/>
  <c r="AQ233" i="17"/>
  <c r="AR233" i="17"/>
  <c r="AS233" i="17"/>
  <c r="AT233" i="17"/>
  <c r="AU233" i="17"/>
  <c r="AV233" i="17"/>
  <c r="AW233" i="17"/>
  <c r="AX233" i="17"/>
  <c r="AY233" i="17"/>
  <c r="AZ233" i="17"/>
  <c r="BA233" i="17"/>
  <c r="BB233" i="17"/>
  <c r="BC233" i="17"/>
  <c r="BD233" i="17"/>
  <c r="BE233" i="17"/>
  <c r="BF233" i="17"/>
  <c r="BG233" i="17"/>
  <c r="BH233" i="17"/>
  <c r="BI233" i="17"/>
  <c r="BJ233" i="17"/>
  <c r="BK233" i="17"/>
  <c r="BL233" i="17"/>
  <c r="BM233" i="17"/>
  <c r="BN233" i="17"/>
  <c r="BO233" i="17"/>
  <c r="BP233" i="17"/>
  <c r="BQ233" i="17"/>
  <c r="BR233" i="17"/>
  <c r="BS233" i="17"/>
  <c r="BT233" i="17"/>
  <c r="BU233" i="17"/>
  <c r="BV233" i="17"/>
  <c r="BW233" i="17"/>
  <c r="BX233" i="17"/>
  <c r="BY233" i="17"/>
  <c r="BZ233" i="17"/>
  <c r="CA233" i="17"/>
  <c r="CB233" i="17"/>
  <c r="CC233" i="17"/>
  <c r="CD233" i="17"/>
  <c r="CE233" i="17"/>
  <c r="CF233" i="17"/>
  <c r="CG233" i="17"/>
  <c r="CH233" i="17"/>
  <c r="CI233" i="17"/>
  <c r="CJ233" i="17"/>
  <c r="CK233" i="17"/>
  <c r="CL233" i="17"/>
  <c r="CM233" i="17"/>
  <c r="CN233" i="17"/>
  <c r="CO233" i="17"/>
  <c r="CP233" i="17"/>
  <c r="CQ233" i="17"/>
  <c r="CR233" i="17"/>
  <c r="CS233" i="17"/>
  <c r="CT233" i="17"/>
  <c r="CU233" i="17"/>
  <c r="CV233" i="17"/>
  <c r="CW233" i="17"/>
  <c r="CX233" i="17"/>
  <c r="CY233" i="17"/>
  <c r="CZ233" i="17"/>
  <c r="DA233" i="17"/>
  <c r="DB233" i="17"/>
  <c r="DC233" i="17"/>
  <c r="DD233" i="17"/>
  <c r="DE233" i="17"/>
  <c r="DF233" i="17"/>
  <c r="DG233" i="17"/>
  <c r="DH233" i="17"/>
  <c r="DI233" i="17"/>
  <c r="DJ233" i="17"/>
  <c r="DK233" i="17"/>
  <c r="DL233" i="17"/>
  <c r="DM233" i="17"/>
  <c r="DN233" i="17"/>
  <c r="DO233" i="17"/>
  <c r="DP233" i="17"/>
  <c r="DQ233" i="17"/>
  <c r="DR233" i="17"/>
  <c r="DS233" i="17"/>
  <c r="DT233" i="17"/>
  <c r="DU233" i="17"/>
  <c r="DV233" i="17"/>
  <c r="DW233" i="17"/>
  <c r="DX233" i="17"/>
  <c r="DY233" i="17"/>
  <c r="DZ233" i="17"/>
  <c r="EA233" i="17"/>
  <c r="EB233" i="17"/>
  <c r="EC233" i="17"/>
  <c r="ED233" i="17"/>
  <c r="EE233" i="17"/>
  <c r="EF233" i="17"/>
  <c r="EG233" i="17"/>
  <c r="EH233" i="17"/>
  <c r="EI233" i="17"/>
  <c r="EJ233" i="17"/>
  <c r="EK233" i="17"/>
  <c r="EL233" i="17"/>
  <c r="EM233" i="17"/>
  <c r="EN233" i="17"/>
  <c r="EO233" i="17"/>
  <c r="EP233" i="17"/>
  <c r="EQ233" i="17"/>
  <c r="ER233" i="17"/>
  <c r="ES233" i="17"/>
  <c r="ET233" i="17"/>
  <c r="EU233" i="17"/>
  <c r="EV233" i="17"/>
  <c r="EW233" i="17"/>
  <c r="EX233" i="17"/>
  <c r="EY233" i="17"/>
  <c r="EZ233" i="17"/>
  <c r="FA233" i="17"/>
  <c r="FB233" i="17"/>
  <c r="FC233" i="17"/>
  <c r="FD233" i="17"/>
  <c r="FE233" i="17"/>
  <c r="FF233" i="17"/>
  <c r="FG233" i="17"/>
  <c r="FH233" i="17"/>
  <c r="FI233" i="17"/>
  <c r="FJ233" i="17"/>
  <c r="FK233" i="17"/>
  <c r="FL233" i="17"/>
  <c r="FM233" i="17"/>
  <c r="FN233" i="17"/>
  <c r="FO233" i="17"/>
  <c r="FP233" i="17"/>
  <c r="FQ233" i="17"/>
  <c r="FR233" i="17"/>
  <c r="FS233" i="17"/>
  <c r="FT233" i="17"/>
  <c r="FU233" i="17"/>
  <c r="FV233" i="17"/>
  <c r="FW233" i="17"/>
  <c r="FX233" i="17"/>
  <c r="FY233" i="17"/>
  <c r="FZ233" i="17"/>
  <c r="GA233" i="17"/>
  <c r="GB233" i="17"/>
  <c r="GC233" i="17"/>
  <c r="GD233" i="17"/>
  <c r="GE233" i="17"/>
  <c r="GF233" i="17"/>
  <c r="GG233" i="17"/>
  <c r="GH233" i="17"/>
  <c r="GI233" i="17"/>
  <c r="GJ233" i="17"/>
  <c r="GK233" i="17"/>
  <c r="GL233" i="17"/>
  <c r="GM233" i="17"/>
  <c r="GN233" i="17"/>
  <c r="GO233" i="17"/>
  <c r="GP233" i="17"/>
  <c r="GQ233" i="17"/>
  <c r="GR233" i="17"/>
  <c r="GS233" i="17"/>
  <c r="GT233" i="17"/>
  <c r="GU233" i="17"/>
  <c r="GV233" i="17"/>
  <c r="GW233" i="17"/>
  <c r="GX233" i="17"/>
  <c r="GY233" i="17"/>
  <c r="GZ233" i="17"/>
  <c r="HA233" i="17"/>
  <c r="HB233" i="17"/>
  <c r="HC233" i="17"/>
  <c r="HD233" i="17"/>
  <c r="HE233" i="17"/>
  <c r="HF233" i="17"/>
  <c r="HG233" i="17"/>
  <c r="HH233" i="17"/>
  <c r="HI233" i="17"/>
  <c r="HJ233" i="17"/>
  <c r="HK233" i="17"/>
  <c r="HL233" i="17"/>
  <c r="HM233" i="17"/>
  <c r="HN233" i="17"/>
  <c r="HO233" i="17"/>
  <c r="HP233" i="17"/>
  <c r="HQ233" i="17"/>
  <c r="HR233" i="17"/>
  <c r="HS233" i="17"/>
  <c r="HT233" i="17"/>
  <c r="HU233" i="17"/>
  <c r="HV233" i="17"/>
  <c r="HW233" i="17"/>
  <c r="HX233" i="17"/>
  <c r="HY233" i="17"/>
  <c r="HZ233" i="17"/>
  <c r="IA233" i="17"/>
  <c r="IB233" i="17"/>
  <c r="IC233" i="17"/>
  <c r="ID233" i="17"/>
  <c r="IE233" i="17"/>
  <c r="IF233" i="17"/>
  <c r="IG233" i="17"/>
  <c r="IH233" i="17"/>
  <c r="II233" i="17"/>
  <c r="IJ233" i="17"/>
  <c r="IK233" i="17"/>
  <c r="IL233" i="17"/>
  <c r="IM233" i="17"/>
  <c r="IN233" i="17"/>
  <c r="IO233" i="17"/>
  <c r="IP233" i="17"/>
  <c r="IQ233" i="17"/>
  <c r="IR233" i="17"/>
  <c r="IS233" i="17"/>
  <c r="IT233" i="17"/>
  <c r="IU233" i="17"/>
  <c r="IV233" i="17"/>
  <c r="N83" i="1"/>
  <c r="N85" i="1"/>
  <c r="N86" i="1"/>
  <c r="N87" i="1"/>
  <c r="N90" i="1"/>
  <c r="N91" i="1"/>
  <c r="N92" i="1"/>
  <c r="N93" i="1"/>
  <c r="N94" i="1"/>
  <c r="N96" i="1"/>
  <c r="N98" i="1"/>
  <c r="N99" i="1"/>
  <c r="N100" i="1"/>
  <c r="N101" i="1"/>
  <c r="N102" i="1"/>
  <c r="N103" i="1"/>
  <c r="N104" i="1"/>
  <c r="N107" i="1"/>
  <c r="N108" i="1"/>
  <c r="N109" i="1"/>
  <c r="N110" i="1"/>
  <c r="N111" i="1"/>
  <c r="N114" i="1"/>
  <c r="N115" i="1"/>
  <c r="N116" i="1"/>
  <c r="N117" i="1"/>
  <c r="N119" i="1"/>
  <c r="N120" i="1"/>
  <c r="N138" i="1"/>
  <c r="N139" i="1"/>
  <c r="N140" i="1"/>
  <c r="N148" i="1"/>
  <c r="N161" i="1"/>
  <c r="N162" i="1"/>
  <c r="N163" i="1"/>
  <c r="N164" i="1"/>
  <c r="N165" i="1"/>
  <c r="N166" i="1"/>
  <c r="N168" i="1"/>
  <c r="N169" i="1"/>
  <c r="N170" i="1"/>
  <c r="N176" i="1"/>
  <c r="N178" i="1"/>
  <c r="N179" i="1"/>
  <c r="N180" i="1"/>
  <c r="N181" i="1"/>
  <c r="N182" i="1"/>
  <c r="N184" i="1"/>
  <c r="N185" i="1"/>
  <c r="N186" i="1"/>
  <c r="N194" i="1"/>
  <c r="N214" i="1"/>
  <c r="N215" i="1"/>
  <c r="N216" i="1"/>
  <c r="N217" i="1"/>
  <c r="N219" i="1"/>
  <c r="N221" i="1"/>
  <c r="N223" i="1"/>
  <c r="N225" i="1"/>
  <c r="N226" i="1"/>
  <c r="N227" i="1"/>
  <c r="N232" i="1"/>
  <c r="N238" i="1"/>
  <c r="N241" i="1"/>
  <c r="N242" i="1"/>
  <c r="N243" i="1"/>
  <c r="N245" i="1"/>
  <c r="N247" i="1"/>
  <c r="N248" i="1"/>
  <c r="N249" i="1"/>
  <c r="N250" i="1"/>
  <c r="N252" i="1"/>
  <c r="N254" i="1"/>
  <c r="N256" i="1"/>
  <c r="N259" i="1"/>
  <c r="N261" i="1"/>
  <c r="N264" i="1"/>
  <c r="N265" i="1"/>
  <c r="N269" i="1"/>
  <c r="N270" i="1"/>
  <c r="N271" i="1"/>
  <c r="N273" i="1"/>
  <c r="N277" i="1"/>
  <c r="N279" i="1"/>
  <c r="N281" i="1"/>
  <c r="N282" i="1"/>
  <c r="N284" i="1"/>
  <c r="N285" i="1"/>
  <c r="N286" i="1"/>
  <c r="N287" i="1"/>
  <c r="N288" i="1"/>
  <c r="N289" i="1"/>
  <c r="N292" i="1"/>
  <c r="N293" i="1"/>
  <c r="N294" i="1"/>
  <c r="N295" i="1"/>
  <c r="N296" i="1"/>
  <c r="N297" i="1"/>
  <c r="N299" i="1"/>
  <c r="N300" i="1"/>
  <c r="N301" i="1"/>
  <c r="N302" i="1"/>
  <c r="N305" i="1"/>
  <c r="N306" i="1"/>
  <c r="N307" i="1"/>
  <c r="N308" i="1"/>
  <c r="N310" i="1"/>
  <c r="N311" i="1"/>
  <c r="N313" i="1"/>
  <c r="N315" i="1"/>
  <c r="N317" i="1"/>
  <c r="N318" i="1"/>
  <c r="N319" i="1"/>
  <c r="N320" i="1"/>
  <c r="N321" i="1"/>
  <c r="N322" i="1"/>
  <c r="N325" i="1"/>
  <c r="N332" i="1"/>
  <c r="N333" i="1"/>
  <c r="N334" i="1"/>
  <c r="N336" i="1"/>
  <c r="N337" i="1"/>
  <c r="N338" i="1"/>
  <c r="N342" i="1"/>
  <c r="N343" i="1"/>
  <c r="N344" i="1"/>
  <c r="M10" i="1"/>
  <c r="N10" i="1" s="1"/>
  <c r="P19" i="18"/>
  <c r="W13" i="18"/>
  <c r="S13" i="18"/>
  <c r="R13" i="18"/>
  <c r="Q13" i="18"/>
  <c r="X12" i="18"/>
  <c r="X11" i="18"/>
  <c r="X10" i="18"/>
  <c r="X9" i="18"/>
  <c r="C232" i="17"/>
  <c r="A231" i="17"/>
  <c r="B231" i="17"/>
  <c r="C231" i="17"/>
  <c r="D231" i="17"/>
  <c r="E231" i="17"/>
  <c r="F231" i="17"/>
  <c r="G231" i="17"/>
  <c r="H231" i="17"/>
  <c r="I231" i="17"/>
  <c r="J231" i="17"/>
  <c r="K231" i="17"/>
  <c r="L231" i="17"/>
  <c r="M231" i="17"/>
  <c r="N231" i="17"/>
  <c r="O231" i="17"/>
  <c r="P231" i="17"/>
  <c r="Q231" i="17"/>
  <c r="R231" i="17"/>
  <c r="S231" i="17"/>
  <c r="T231" i="17"/>
  <c r="U231" i="17"/>
  <c r="V231" i="17"/>
  <c r="W231" i="17"/>
  <c r="X231" i="17"/>
  <c r="Y231" i="17"/>
  <c r="Z231" i="17"/>
  <c r="AA231" i="17"/>
  <c r="AB231" i="17"/>
  <c r="AC231" i="17"/>
  <c r="AD231" i="17"/>
  <c r="AE231" i="17"/>
  <c r="AF231" i="17"/>
  <c r="AG231" i="17"/>
  <c r="AH231" i="17"/>
  <c r="AI231" i="17"/>
  <c r="AJ231" i="17"/>
  <c r="AK231" i="17"/>
  <c r="AL231" i="17"/>
  <c r="AM231" i="17"/>
  <c r="AP231" i="17"/>
  <c r="C230" i="17"/>
  <c r="D230" i="17"/>
  <c r="A229" i="17"/>
  <c r="D229" i="17"/>
  <c r="A228" i="17"/>
  <c r="B228" i="17"/>
  <c r="C228" i="17"/>
  <c r="D228" i="17"/>
  <c r="E228" i="17"/>
  <c r="F228" i="17"/>
  <c r="G228" i="17"/>
  <c r="H228" i="17"/>
  <c r="I228" i="17"/>
  <c r="J228" i="17"/>
  <c r="K228" i="17"/>
  <c r="L228" i="17"/>
  <c r="M228" i="17"/>
  <c r="N228" i="17"/>
  <c r="O228" i="17"/>
  <c r="P228" i="17"/>
  <c r="Q228" i="17"/>
  <c r="R228" i="17"/>
  <c r="S228" i="17"/>
  <c r="T228" i="17"/>
  <c r="U228" i="17"/>
  <c r="V228" i="17"/>
  <c r="W228" i="17"/>
  <c r="X228" i="17"/>
  <c r="Y228" i="17"/>
  <c r="Z228" i="17"/>
  <c r="AA228" i="17"/>
  <c r="AB228" i="17"/>
  <c r="AC228" i="17"/>
  <c r="AD228" i="17"/>
  <c r="AE228" i="17"/>
  <c r="AF228" i="17"/>
  <c r="AG228" i="17"/>
  <c r="AH228" i="17"/>
  <c r="AI228" i="17"/>
  <c r="AJ228" i="17"/>
  <c r="AK228" i="17"/>
  <c r="AL228" i="17"/>
  <c r="AM228" i="17"/>
  <c r="AN228" i="17"/>
  <c r="AO228" i="17"/>
  <c r="AP228" i="17"/>
  <c r="AQ228" i="17"/>
  <c r="AR228" i="17"/>
  <c r="AS228" i="17"/>
  <c r="AT228" i="17"/>
  <c r="AU228" i="17"/>
  <c r="AV228" i="17"/>
  <c r="AW228" i="17"/>
  <c r="AX228" i="17"/>
  <c r="AY228" i="17"/>
  <c r="AZ228" i="17"/>
  <c r="BA228" i="17"/>
  <c r="BB228" i="17"/>
  <c r="BC228" i="17"/>
  <c r="BD228" i="17"/>
  <c r="BE228" i="17"/>
  <c r="BF228" i="17"/>
  <c r="BG228" i="17"/>
  <c r="BH228" i="17"/>
  <c r="BI228" i="17"/>
  <c r="BJ228" i="17"/>
  <c r="BK228" i="17"/>
  <c r="BL228" i="17"/>
  <c r="BM228" i="17"/>
  <c r="BN228" i="17"/>
  <c r="BO228" i="17"/>
  <c r="BP228" i="17"/>
  <c r="BQ228" i="17"/>
  <c r="BR228" i="17"/>
  <c r="BS228" i="17"/>
  <c r="BT228" i="17"/>
  <c r="BU228" i="17"/>
  <c r="BV228" i="17"/>
  <c r="BW228" i="17"/>
  <c r="BX228" i="17"/>
  <c r="BY228" i="17"/>
  <c r="BZ228" i="17"/>
  <c r="CA228" i="17"/>
  <c r="CB228" i="17"/>
  <c r="CC228" i="17"/>
  <c r="CD228" i="17"/>
  <c r="CE228" i="17"/>
  <c r="CF228" i="17"/>
  <c r="CG228" i="17"/>
  <c r="CH228" i="17"/>
  <c r="CI228" i="17"/>
  <c r="CJ228" i="17"/>
  <c r="CK228" i="17"/>
  <c r="CL228" i="17"/>
  <c r="CM228" i="17"/>
  <c r="CN228" i="17"/>
  <c r="CO228" i="17"/>
  <c r="CP228" i="17"/>
  <c r="CQ228" i="17"/>
  <c r="CR228" i="17"/>
  <c r="CS228" i="17"/>
  <c r="CT228" i="17"/>
  <c r="CU228" i="17"/>
  <c r="CV228" i="17"/>
  <c r="CW228" i="17"/>
  <c r="CX228" i="17"/>
  <c r="CY228" i="17"/>
  <c r="CZ228" i="17"/>
  <c r="DA228" i="17"/>
  <c r="DB228" i="17"/>
  <c r="DC228" i="17"/>
  <c r="DD228" i="17"/>
  <c r="DE228" i="17"/>
  <c r="DF228" i="17"/>
  <c r="DG228" i="17"/>
  <c r="DH228" i="17"/>
  <c r="DI228" i="17"/>
  <c r="DJ228" i="17"/>
  <c r="DK228" i="17"/>
  <c r="DL228" i="17"/>
  <c r="DM228" i="17"/>
  <c r="DN228" i="17"/>
  <c r="DO228" i="17"/>
  <c r="DP228" i="17"/>
  <c r="DQ228" i="17"/>
  <c r="DR228" i="17"/>
  <c r="DS228" i="17"/>
  <c r="DT228" i="17"/>
  <c r="DU228" i="17"/>
  <c r="DV228" i="17"/>
  <c r="DW228" i="17"/>
  <c r="DX228" i="17"/>
  <c r="DY228" i="17"/>
  <c r="DZ228" i="17"/>
  <c r="EA228" i="17"/>
  <c r="EB228" i="17"/>
  <c r="EC228" i="17"/>
  <c r="ED228" i="17"/>
  <c r="EE228" i="17"/>
  <c r="EF228" i="17"/>
  <c r="EG228" i="17"/>
  <c r="EH228" i="17"/>
  <c r="EI228" i="17"/>
  <c r="EJ228" i="17"/>
  <c r="EK228" i="17"/>
  <c r="EL228" i="17"/>
  <c r="EM228" i="17"/>
  <c r="EN228" i="17"/>
  <c r="EO228" i="17"/>
  <c r="EP228" i="17"/>
  <c r="EQ228" i="17"/>
  <c r="ER228" i="17"/>
  <c r="ES228" i="17"/>
  <c r="ET228" i="17"/>
  <c r="EU228" i="17"/>
  <c r="EV228" i="17"/>
  <c r="EW228" i="17"/>
  <c r="EX228" i="17"/>
  <c r="EY228" i="17"/>
  <c r="EZ228" i="17"/>
  <c r="FA228" i="17"/>
  <c r="FB228" i="17"/>
  <c r="FC228" i="17"/>
  <c r="FD228" i="17"/>
  <c r="FE228" i="17"/>
  <c r="FF228" i="17"/>
  <c r="FG228" i="17"/>
  <c r="FH228" i="17"/>
  <c r="FI228" i="17"/>
  <c r="FJ228" i="17"/>
  <c r="FK228" i="17"/>
  <c r="FL228" i="17"/>
  <c r="FM228" i="17"/>
  <c r="FN228" i="17"/>
  <c r="FO228" i="17"/>
  <c r="FP228" i="17"/>
  <c r="FQ228" i="17"/>
  <c r="FR228" i="17"/>
  <c r="FS228" i="17"/>
  <c r="FT228" i="17"/>
  <c r="FU228" i="17"/>
  <c r="FV228" i="17"/>
  <c r="FW228" i="17"/>
  <c r="FX228" i="17"/>
  <c r="FY228" i="17"/>
  <c r="FZ228" i="17"/>
  <c r="GA228" i="17"/>
  <c r="GB228" i="17"/>
  <c r="GC228" i="17"/>
  <c r="GD228" i="17"/>
  <c r="GE228" i="17"/>
  <c r="GF228" i="17"/>
  <c r="GG228" i="17"/>
  <c r="GH228" i="17"/>
  <c r="GI228" i="17"/>
  <c r="GJ228" i="17"/>
  <c r="GK228" i="17"/>
  <c r="GL228" i="17"/>
  <c r="GM228" i="17"/>
  <c r="GP228" i="17"/>
  <c r="M34" i="1"/>
  <c r="N34" i="1" s="1"/>
  <c r="I34" i="1"/>
  <c r="H34" i="1"/>
  <c r="G34" i="1"/>
  <c r="F34" i="1"/>
  <c r="M53" i="1"/>
  <c r="N53" i="1" s="1"/>
  <c r="I53" i="1"/>
  <c r="H53" i="1"/>
  <c r="G53" i="1"/>
  <c r="F53" i="1"/>
  <c r="M13" i="1"/>
  <c r="N13" i="1" s="1"/>
  <c r="I13" i="1"/>
  <c r="H13" i="1"/>
  <c r="G13" i="1"/>
  <c r="F13" i="1"/>
  <c r="M50" i="1"/>
  <c r="I50" i="1"/>
  <c r="H50" i="1"/>
  <c r="G50" i="1"/>
  <c r="F50" i="1"/>
  <c r="M62" i="1"/>
  <c r="N62" i="1" s="1"/>
  <c r="I62" i="1"/>
  <c r="H62" i="1"/>
  <c r="G62" i="1"/>
  <c r="F62" i="1"/>
  <c r="A227" i="17"/>
  <c r="B227" i="17"/>
  <c r="C227" i="17"/>
  <c r="D227" i="17"/>
  <c r="E227" i="17"/>
  <c r="F227" i="17"/>
  <c r="G227" i="17"/>
  <c r="H227" i="17"/>
  <c r="I227" i="17"/>
  <c r="J227" i="17"/>
  <c r="K227" i="17"/>
  <c r="L227" i="17"/>
  <c r="M227" i="17"/>
  <c r="N227" i="17"/>
  <c r="O227" i="17"/>
  <c r="P227" i="17"/>
  <c r="Q227" i="17"/>
  <c r="R227" i="17"/>
  <c r="S227" i="17"/>
  <c r="T227" i="17"/>
  <c r="U227" i="17"/>
  <c r="V227" i="17"/>
  <c r="W227" i="17"/>
  <c r="X227" i="17"/>
  <c r="Y227" i="17"/>
  <c r="Z227" i="17"/>
  <c r="AA227" i="17"/>
  <c r="AB227" i="17"/>
  <c r="AC227" i="17"/>
  <c r="AD227" i="17"/>
  <c r="AE227" i="17"/>
  <c r="AF227" i="17"/>
  <c r="AG227" i="17"/>
  <c r="AH227" i="17"/>
  <c r="AI227" i="17"/>
  <c r="AJ227" i="17"/>
  <c r="AK227" i="17"/>
  <c r="AL227" i="17"/>
  <c r="AM227" i="17"/>
  <c r="AN227" i="17"/>
  <c r="AO227" i="17"/>
  <c r="AP227" i="17"/>
  <c r="AQ227" i="17"/>
  <c r="AR227" i="17"/>
  <c r="AS227" i="17"/>
  <c r="AT227" i="17"/>
  <c r="AU227" i="17"/>
  <c r="AV227" i="17"/>
  <c r="AW227" i="17"/>
  <c r="AX227" i="17"/>
  <c r="AY227" i="17"/>
  <c r="AZ227" i="17"/>
  <c r="BA227" i="17"/>
  <c r="BB227" i="17"/>
  <c r="BC227" i="17"/>
  <c r="BD227" i="17"/>
  <c r="BE227" i="17"/>
  <c r="BF227" i="17"/>
  <c r="BG227" i="17"/>
  <c r="BH227" i="17"/>
  <c r="BI227" i="17"/>
  <c r="BJ227" i="17"/>
  <c r="BK227" i="17"/>
  <c r="BL227" i="17"/>
  <c r="BM227" i="17"/>
  <c r="BN227" i="17"/>
  <c r="BO227" i="17"/>
  <c r="BP227" i="17"/>
  <c r="BQ227" i="17"/>
  <c r="BR227" i="17"/>
  <c r="BS227" i="17"/>
  <c r="BT227" i="17"/>
  <c r="BU227" i="17"/>
  <c r="BV227" i="17"/>
  <c r="BW227" i="17"/>
  <c r="BX227" i="17"/>
  <c r="BY227" i="17"/>
  <c r="BZ227" i="17"/>
  <c r="CA227" i="17"/>
  <c r="CB227" i="17"/>
  <c r="CC227" i="17"/>
  <c r="CD227" i="17"/>
  <c r="CE227" i="17"/>
  <c r="CF227" i="17"/>
  <c r="CG227" i="17"/>
  <c r="CH227" i="17"/>
  <c r="CI227" i="17"/>
  <c r="CJ227" i="17"/>
  <c r="CN227" i="17"/>
  <c r="CO227" i="17"/>
  <c r="CP227" i="17"/>
  <c r="CQ227" i="17"/>
  <c r="CR227" i="17"/>
  <c r="A226" i="17"/>
  <c r="B226" i="17"/>
  <c r="C226" i="17"/>
  <c r="D226" i="17"/>
  <c r="E226" i="17"/>
  <c r="F226" i="17"/>
  <c r="G226" i="17"/>
  <c r="H226" i="17"/>
  <c r="I226" i="17"/>
  <c r="J226" i="17"/>
  <c r="K226" i="17"/>
  <c r="L226" i="17"/>
  <c r="M226" i="17"/>
  <c r="N226" i="17"/>
  <c r="O226" i="17"/>
  <c r="P226" i="17"/>
  <c r="Q226" i="17"/>
  <c r="R226" i="17"/>
  <c r="S226" i="17"/>
  <c r="T226" i="17"/>
  <c r="U226" i="17"/>
  <c r="V226" i="17"/>
  <c r="W226" i="17"/>
  <c r="X226" i="17"/>
  <c r="Y226" i="17"/>
  <c r="Z226" i="17"/>
  <c r="AA226" i="17"/>
  <c r="AB226" i="17"/>
  <c r="AC226" i="17"/>
  <c r="AD226" i="17"/>
  <c r="AE226" i="17"/>
  <c r="AF226" i="17"/>
  <c r="AG226" i="17"/>
  <c r="AH226" i="17"/>
  <c r="AI226" i="17"/>
  <c r="AJ226" i="17"/>
  <c r="AK226" i="17"/>
  <c r="AL226" i="17"/>
  <c r="AM226" i="17"/>
  <c r="AN226" i="17"/>
  <c r="AO226" i="17"/>
  <c r="AP226" i="17"/>
  <c r="AQ226" i="17"/>
  <c r="AR226" i="17"/>
  <c r="AS226" i="17"/>
  <c r="AT226" i="17"/>
  <c r="AU226" i="17"/>
  <c r="AV226" i="17"/>
  <c r="AW226" i="17"/>
  <c r="AX226" i="17"/>
  <c r="AY226" i="17"/>
  <c r="AZ226" i="17"/>
  <c r="BA226" i="17"/>
  <c r="BB226" i="17"/>
  <c r="BC226" i="17"/>
  <c r="BD226" i="17"/>
  <c r="BE226" i="17"/>
  <c r="BF226" i="17"/>
  <c r="BG226" i="17"/>
  <c r="BH226" i="17"/>
  <c r="BI226" i="17"/>
  <c r="BJ226" i="17"/>
  <c r="BK226" i="17"/>
  <c r="BL226" i="17"/>
  <c r="BM226" i="17"/>
  <c r="BN226" i="17"/>
  <c r="BO226" i="17"/>
  <c r="BP226" i="17"/>
  <c r="BQ226" i="17"/>
  <c r="BR226" i="17"/>
  <c r="BS226" i="17"/>
  <c r="BT226" i="17"/>
  <c r="BU226" i="17"/>
  <c r="BV226" i="17"/>
  <c r="BW226" i="17"/>
  <c r="BX226" i="17"/>
  <c r="BY226" i="17"/>
  <c r="BZ226" i="17"/>
  <c r="CA226" i="17"/>
  <c r="CB226" i="17"/>
  <c r="CC226" i="17"/>
  <c r="CD226" i="17"/>
  <c r="CE226" i="17"/>
  <c r="CF226" i="17"/>
  <c r="CG226" i="17"/>
  <c r="CH226" i="17"/>
  <c r="CI226" i="17"/>
  <c r="CJ226" i="17"/>
  <c r="CK226" i="17"/>
  <c r="CL226" i="17"/>
  <c r="CM226" i="17"/>
  <c r="CN226" i="17"/>
  <c r="CO226" i="17"/>
  <c r="CP226" i="17"/>
  <c r="CQ226" i="17"/>
  <c r="CR226" i="17"/>
  <c r="CS226" i="17"/>
  <c r="CT226" i="17"/>
  <c r="CU226" i="17"/>
  <c r="CV226" i="17"/>
  <c r="CW226" i="17"/>
  <c r="CX226" i="17"/>
  <c r="CY226" i="17"/>
  <c r="CZ226" i="17"/>
  <c r="DA226" i="17"/>
  <c r="DB226" i="17"/>
  <c r="DC226" i="17"/>
  <c r="DD226" i="17"/>
  <c r="DE226" i="17"/>
  <c r="DF226" i="17"/>
  <c r="DG226" i="17"/>
  <c r="DH226" i="17"/>
  <c r="DI226" i="17"/>
  <c r="DJ226" i="17"/>
  <c r="DK226" i="17"/>
  <c r="DL226" i="17"/>
  <c r="DM226" i="17"/>
  <c r="DN226" i="17"/>
  <c r="DO226" i="17"/>
  <c r="DP226" i="17"/>
  <c r="DQ226" i="17"/>
  <c r="DR226" i="17"/>
  <c r="DS226" i="17"/>
  <c r="DT226" i="17"/>
  <c r="DU226" i="17"/>
  <c r="DV226" i="17"/>
  <c r="DW226" i="17"/>
  <c r="DX226" i="17"/>
  <c r="DY226" i="17"/>
  <c r="DZ226" i="17"/>
  <c r="EA226" i="17"/>
  <c r="EB226" i="17"/>
  <c r="EC226" i="17"/>
  <c r="ED226" i="17"/>
  <c r="EE226" i="17"/>
  <c r="EF226" i="17"/>
  <c r="EG226" i="17"/>
  <c r="EH226" i="17"/>
  <c r="EI226" i="17"/>
  <c r="EJ226" i="17"/>
  <c r="EK226" i="17"/>
  <c r="EL226" i="17"/>
  <c r="EM226" i="17"/>
  <c r="EN226" i="17"/>
  <c r="EO226" i="17"/>
  <c r="EP226" i="17"/>
  <c r="EQ226" i="17"/>
  <c r="ER226" i="17"/>
  <c r="ES226" i="17"/>
  <c r="ET226" i="17"/>
  <c r="EU226" i="17"/>
  <c r="EV226" i="17"/>
  <c r="EW226" i="17"/>
  <c r="EX226" i="17"/>
  <c r="EY226" i="17"/>
  <c r="EZ226" i="17"/>
  <c r="FA226" i="17"/>
  <c r="FB226" i="17"/>
  <c r="FC226" i="17"/>
  <c r="FD226" i="17"/>
  <c r="FE226" i="17"/>
  <c r="FF226" i="17"/>
  <c r="FG226" i="17"/>
  <c r="FH226" i="17"/>
  <c r="FI226" i="17"/>
  <c r="FJ226" i="17"/>
  <c r="FK226" i="17"/>
  <c r="FL226" i="17"/>
  <c r="FM226" i="17"/>
  <c r="FN226" i="17"/>
  <c r="FO226" i="17"/>
  <c r="FP226" i="17"/>
  <c r="FQ226" i="17"/>
  <c r="FR226" i="17"/>
  <c r="FS226" i="17"/>
  <c r="FT226" i="17"/>
  <c r="FU226" i="17"/>
  <c r="FV226" i="17"/>
  <c r="FW226" i="17"/>
  <c r="FX226" i="17"/>
  <c r="FY226" i="17"/>
  <c r="FZ226" i="17"/>
  <c r="GA226" i="17"/>
  <c r="GB226" i="17"/>
  <c r="GC226" i="17"/>
  <c r="GD226" i="17"/>
  <c r="GE226" i="17"/>
  <c r="GF226" i="17"/>
  <c r="GG226" i="17"/>
  <c r="GH226" i="17"/>
  <c r="GI226" i="17"/>
  <c r="GJ226" i="17"/>
  <c r="GK226" i="17"/>
  <c r="GL226" i="17"/>
  <c r="GM226" i="17"/>
  <c r="GN226" i="17"/>
  <c r="GO226" i="17"/>
  <c r="GP226" i="17"/>
  <c r="GQ226" i="17"/>
  <c r="GR226" i="17"/>
  <c r="GS226" i="17"/>
  <c r="GT226" i="17"/>
  <c r="GU226" i="17"/>
  <c r="GV226" i="17"/>
  <c r="GW226" i="17"/>
  <c r="GX226" i="17"/>
  <c r="GY226" i="17"/>
  <c r="GZ226" i="17"/>
  <c r="HA226" i="17"/>
  <c r="HB226" i="17"/>
  <c r="HC226" i="17"/>
  <c r="HD226" i="17"/>
  <c r="HE226" i="17"/>
  <c r="HF226" i="17"/>
  <c r="HG226" i="17"/>
  <c r="HH226" i="17"/>
  <c r="HI226" i="17"/>
  <c r="HJ226" i="17"/>
  <c r="HK226" i="17"/>
  <c r="HL226" i="17"/>
  <c r="HM226" i="17"/>
  <c r="HN226" i="17"/>
  <c r="HO226" i="17"/>
  <c r="HP226" i="17"/>
  <c r="HQ226" i="17"/>
  <c r="HR226" i="17"/>
  <c r="HS226" i="17"/>
  <c r="HT226" i="17"/>
  <c r="HU226" i="17"/>
  <c r="HV226" i="17"/>
  <c r="HW226" i="17"/>
  <c r="HX226" i="17"/>
  <c r="HY226" i="17"/>
  <c r="HZ226" i="17"/>
  <c r="IA226" i="17"/>
  <c r="IB226" i="17"/>
  <c r="IC226" i="17"/>
  <c r="ID226" i="17"/>
  <c r="IE226" i="17"/>
  <c r="IF226" i="17"/>
  <c r="IG226" i="17"/>
  <c r="IH226" i="17"/>
  <c r="II226" i="17"/>
  <c r="IJ226" i="17"/>
  <c r="IK226" i="17"/>
  <c r="IL226" i="17"/>
  <c r="IM226" i="17"/>
  <c r="IN226" i="17"/>
  <c r="IO226" i="17"/>
  <c r="IP226" i="17"/>
  <c r="IQ226" i="17"/>
  <c r="IR226" i="17"/>
  <c r="IS226" i="17"/>
  <c r="IT226" i="17"/>
  <c r="IU226" i="17"/>
  <c r="IV226" i="17"/>
  <c r="A225" i="17"/>
  <c r="B225" i="17"/>
  <c r="C225" i="17"/>
  <c r="D225" i="17"/>
  <c r="E225" i="17"/>
  <c r="F225" i="17"/>
  <c r="G225" i="17"/>
  <c r="H225" i="17"/>
  <c r="I225" i="17"/>
  <c r="J225" i="17"/>
  <c r="K225" i="17"/>
  <c r="L225" i="17"/>
  <c r="M225" i="17"/>
  <c r="N225" i="17"/>
  <c r="O225" i="17"/>
  <c r="P225" i="17"/>
  <c r="Q225" i="17"/>
  <c r="R225" i="17"/>
  <c r="S225" i="17"/>
  <c r="T225" i="17"/>
  <c r="U225" i="17"/>
  <c r="V225" i="17"/>
  <c r="W225" i="17"/>
  <c r="X225" i="17"/>
  <c r="Y225" i="17"/>
  <c r="Z225" i="17"/>
  <c r="AA225" i="17"/>
  <c r="AB225" i="17"/>
  <c r="AC225" i="17"/>
  <c r="AD225" i="17"/>
  <c r="AE225" i="17"/>
  <c r="AF225" i="17"/>
  <c r="AG225" i="17"/>
  <c r="AH225" i="17"/>
  <c r="AI225" i="17"/>
  <c r="AJ225" i="17"/>
  <c r="AK225" i="17"/>
  <c r="AL225" i="17"/>
  <c r="AM225" i="17"/>
  <c r="AN225" i="17"/>
  <c r="AO225" i="17"/>
  <c r="AP225" i="17"/>
  <c r="AQ225" i="17"/>
  <c r="AR225" i="17"/>
  <c r="AS225" i="17"/>
  <c r="AT225" i="17"/>
  <c r="AU225" i="17"/>
  <c r="AV225" i="17"/>
  <c r="AW225" i="17"/>
  <c r="AX225" i="17"/>
  <c r="AY225" i="17"/>
  <c r="AZ225" i="17"/>
  <c r="BA225" i="17"/>
  <c r="BB225" i="17"/>
  <c r="BC225" i="17"/>
  <c r="BD225" i="17"/>
  <c r="BE225" i="17"/>
  <c r="BF225" i="17"/>
  <c r="BG225" i="17"/>
  <c r="BH225" i="17"/>
  <c r="BI225" i="17"/>
  <c r="BJ225" i="17"/>
  <c r="BK225" i="17"/>
  <c r="BL225" i="17"/>
  <c r="BM225" i="17"/>
  <c r="BN225" i="17"/>
  <c r="BO225" i="17"/>
  <c r="BP225" i="17"/>
  <c r="BQ225" i="17"/>
  <c r="BR225" i="17"/>
  <c r="BS225" i="17"/>
  <c r="BT225" i="17"/>
  <c r="BU225" i="17"/>
  <c r="BV225" i="17"/>
  <c r="BW225" i="17"/>
  <c r="BX225" i="17"/>
  <c r="BY225" i="17"/>
  <c r="BZ225" i="17"/>
  <c r="CA225" i="17"/>
  <c r="CB225" i="17"/>
  <c r="CC225" i="17"/>
  <c r="CD225" i="17"/>
  <c r="CE225" i="17"/>
  <c r="CF225" i="17"/>
  <c r="CG225" i="17"/>
  <c r="CH225" i="17"/>
  <c r="CI225" i="17"/>
  <c r="CJ225" i="17"/>
  <c r="CK225" i="17"/>
  <c r="CL225" i="17"/>
  <c r="CM225" i="17"/>
  <c r="CN225" i="17"/>
  <c r="CO225" i="17"/>
  <c r="CP225" i="17"/>
  <c r="CQ225" i="17"/>
  <c r="CR225" i="17"/>
  <c r="CS225" i="17"/>
  <c r="CT225" i="17"/>
  <c r="CU225" i="17"/>
  <c r="CV225" i="17"/>
  <c r="CW225" i="17"/>
  <c r="CX225" i="17"/>
  <c r="CY225" i="17"/>
  <c r="CZ225" i="17"/>
  <c r="DA225" i="17"/>
  <c r="DB225" i="17"/>
  <c r="DC225" i="17"/>
  <c r="DD225" i="17"/>
  <c r="DE225" i="17"/>
  <c r="DF225" i="17"/>
  <c r="DG225" i="17"/>
  <c r="DH225" i="17"/>
  <c r="DI225" i="17"/>
  <c r="DJ225" i="17"/>
  <c r="DK225" i="17"/>
  <c r="DL225" i="17"/>
  <c r="DM225" i="17"/>
  <c r="DN225" i="17"/>
  <c r="DO225" i="17"/>
  <c r="DP225" i="17"/>
  <c r="DQ225" i="17"/>
  <c r="DR225" i="17"/>
  <c r="DS225" i="17"/>
  <c r="DT225" i="17"/>
  <c r="DU225" i="17"/>
  <c r="DV225" i="17"/>
  <c r="DW225" i="17"/>
  <c r="DX225" i="17"/>
  <c r="DY225" i="17"/>
  <c r="DZ225" i="17"/>
  <c r="EA225" i="17"/>
  <c r="EB225" i="17"/>
  <c r="EC225" i="17"/>
  <c r="ED225" i="17"/>
  <c r="EE225" i="17"/>
  <c r="EF225" i="17"/>
  <c r="EG225" i="17"/>
  <c r="EH225" i="17"/>
  <c r="EI225" i="17"/>
  <c r="EJ225" i="17"/>
  <c r="EK225" i="17"/>
  <c r="EL225" i="17"/>
  <c r="EM225" i="17"/>
  <c r="EN225" i="17"/>
  <c r="EO225" i="17"/>
  <c r="EP225" i="17"/>
  <c r="EQ225" i="17"/>
  <c r="ER225" i="17"/>
  <c r="ES225" i="17"/>
  <c r="ET225" i="17"/>
  <c r="EU225" i="17"/>
  <c r="EV225" i="17"/>
  <c r="EW225" i="17"/>
  <c r="EX225" i="17"/>
  <c r="EY225" i="17"/>
  <c r="EZ225" i="17"/>
  <c r="FA225" i="17"/>
  <c r="FB225" i="17"/>
  <c r="FC225" i="17"/>
  <c r="FD225" i="17"/>
  <c r="FE225" i="17"/>
  <c r="FF225" i="17"/>
  <c r="FG225" i="17"/>
  <c r="FH225" i="17"/>
  <c r="FI225" i="17"/>
  <c r="FJ225" i="17"/>
  <c r="FK225" i="17"/>
  <c r="FL225" i="17"/>
  <c r="FM225" i="17"/>
  <c r="FN225" i="17"/>
  <c r="FO225" i="17"/>
  <c r="FP225" i="17"/>
  <c r="FQ225" i="17"/>
  <c r="FR225" i="17"/>
  <c r="FS225" i="17"/>
  <c r="FT225" i="17"/>
  <c r="FU225" i="17"/>
  <c r="FV225" i="17"/>
  <c r="FW225" i="17"/>
  <c r="FX225" i="17"/>
  <c r="FY225" i="17"/>
  <c r="FZ225" i="17"/>
  <c r="GA225" i="17"/>
  <c r="GB225" i="17"/>
  <c r="GC225" i="17"/>
  <c r="GD225" i="17"/>
  <c r="GE225" i="17"/>
  <c r="GF225" i="17"/>
  <c r="GG225" i="17"/>
  <c r="GH225" i="17"/>
  <c r="GI225" i="17"/>
  <c r="GJ225" i="17"/>
  <c r="GK225" i="17"/>
  <c r="GL225" i="17"/>
  <c r="GM225" i="17"/>
  <c r="GN225" i="17"/>
  <c r="GO225" i="17"/>
  <c r="GP225" i="17"/>
  <c r="GQ225" i="17"/>
  <c r="GR225" i="17"/>
  <c r="GS225" i="17"/>
  <c r="GT225" i="17"/>
  <c r="GU225" i="17"/>
  <c r="GV225" i="17"/>
  <c r="GW225" i="17"/>
  <c r="GX225" i="17"/>
  <c r="GY225" i="17"/>
  <c r="GZ225" i="17"/>
  <c r="HA225" i="17"/>
  <c r="HB225" i="17"/>
  <c r="HC225" i="17"/>
  <c r="HD225" i="17"/>
  <c r="HE225" i="17"/>
  <c r="HF225" i="17"/>
  <c r="HG225" i="17"/>
  <c r="HH225" i="17"/>
  <c r="HI225" i="17"/>
  <c r="HJ225" i="17"/>
  <c r="HK225" i="17"/>
  <c r="HL225" i="17"/>
  <c r="HM225" i="17"/>
  <c r="HN225" i="17"/>
  <c r="HO225" i="17"/>
  <c r="HP225" i="17"/>
  <c r="HQ225" i="17"/>
  <c r="HR225" i="17"/>
  <c r="HS225" i="17"/>
  <c r="HT225" i="17"/>
  <c r="HU225" i="17"/>
  <c r="HV225" i="17"/>
  <c r="HW225" i="17"/>
  <c r="HX225" i="17"/>
  <c r="HY225" i="17"/>
  <c r="HZ225" i="17"/>
  <c r="IA225" i="17"/>
  <c r="IB225" i="17"/>
  <c r="IC225" i="17"/>
  <c r="ID225" i="17"/>
  <c r="IE225" i="17"/>
  <c r="IF225" i="17"/>
  <c r="IG225" i="17"/>
  <c r="IH225" i="17"/>
  <c r="II225" i="17"/>
  <c r="IJ225" i="17"/>
  <c r="IK225" i="17"/>
  <c r="IL225" i="17"/>
  <c r="IM225" i="17"/>
  <c r="IN225" i="17"/>
  <c r="IO225" i="17"/>
  <c r="IP225" i="17"/>
  <c r="IQ225" i="17"/>
  <c r="IR225" i="17"/>
  <c r="IS225" i="17"/>
  <c r="IT225" i="17"/>
  <c r="IU225" i="17"/>
  <c r="IV225" i="17"/>
  <c r="A224" i="17"/>
  <c r="B224" i="17"/>
  <c r="C224" i="17"/>
  <c r="D224" i="17"/>
  <c r="E224" i="17"/>
  <c r="F224" i="17"/>
  <c r="G224" i="17"/>
  <c r="H224" i="17"/>
  <c r="I224" i="17"/>
  <c r="J224" i="17"/>
  <c r="K224" i="17"/>
  <c r="L224" i="17"/>
  <c r="M224" i="17"/>
  <c r="N224" i="17"/>
  <c r="O224" i="17"/>
  <c r="P224" i="17"/>
  <c r="Q224" i="17"/>
  <c r="R224" i="17"/>
  <c r="S224" i="17"/>
  <c r="T224" i="17"/>
  <c r="U224" i="17"/>
  <c r="V224" i="17"/>
  <c r="W224" i="17"/>
  <c r="X224" i="17"/>
  <c r="Y224" i="17"/>
  <c r="Z224" i="17"/>
  <c r="AA224" i="17"/>
  <c r="AB224" i="17"/>
  <c r="AC224" i="17"/>
  <c r="AD224" i="17"/>
  <c r="AE224" i="17"/>
  <c r="AF224" i="17"/>
  <c r="AG224" i="17"/>
  <c r="AH224" i="17"/>
  <c r="AI224" i="17"/>
  <c r="AJ224" i="17"/>
  <c r="AK224" i="17"/>
  <c r="AL224" i="17"/>
  <c r="AM224" i="17"/>
  <c r="AN224" i="17"/>
  <c r="AO224" i="17"/>
  <c r="AP224" i="17"/>
  <c r="AQ224" i="17"/>
  <c r="AR224" i="17"/>
  <c r="AS224" i="17"/>
  <c r="AT224" i="17"/>
  <c r="AU224" i="17"/>
  <c r="AV224" i="17"/>
  <c r="AW224" i="17"/>
  <c r="AX224" i="17"/>
  <c r="AY224" i="17"/>
  <c r="AZ224" i="17"/>
  <c r="BA224" i="17"/>
  <c r="BB224" i="17"/>
  <c r="BC224" i="17"/>
  <c r="BD224" i="17"/>
  <c r="BE224" i="17"/>
  <c r="BF224" i="17"/>
  <c r="BG224" i="17"/>
  <c r="BH224" i="17"/>
  <c r="BI224" i="17"/>
  <c r="BJ224" i="17"/>
  <c r="BK224" i="17"/>
  <c r="BL224" i="17"/>
  <c r="BM224" i="17"/>
  <c r="BN224" i="17"/>
  <c r="BO224" i="17"/>
  <c r="BP224" i="17"/>
  <c r="BQ224" i="17"/>
  <c r="BR224" i="17"/>
  <c r="BS224" i="17"/>
  <c r="BT224" i="17"/>
  <c r="BU224" i="17"/>
  <c r="BV224" i="17"/>
  <c r="BW224" i="17"/>
  <c r="BX224" i="17"/>
  <c r="BY224" i="17"/>
  <c r="BZ224" i="17"/>
  <c r="CA224" i="17"/>
  <c r="CB224" i="17"/>
  <c r="CC224" i="17"/>
  <c r="CD224" i="17"/>
  <c r="CE224" i="17"/>
  <c r="CF224" i="17"/>
  <c r="CG224" i="17"/>
  <c r="CH224" i="17"/>
  <c r="CI224" i="17"/>
  <c r="CJ224" i="17"/>
  <c r="CK224" i="17"/>
  <c r="CL224" i="17"/>
  <c r="CM224" i="17"/>
  <c r="CN224" i="17"/>
  <c r="CO224" i="17"/>
  <c r="CP224" i="17"/>
  <c r="CQ224" i="17"/>
  <c r="CR224" i="17"/>
  <c r="CS224" i="17"/>
  <c r="CT224" i="17"/>
  <c r="CU224" i="17"/>
  <c r="CV224" i="17"/>
  <c r="CW224" i="17"/>
  <c r="CX224" i="17"/>
  <c r="CY224" i="17"/>
  <c r="CZ224" i="17"/>
  <c r="DA224" i="17"/>
  <c r="DB224" i="17"/>
  <c r="DC224" i="17"/>
  <c r="DD224" i="17"/>
  <c r="DE224" i="17"/>
  <c r="DF224" i="17"/>
  <c r="DG224" i="17"/>
  <c r="DH224" i="17"/>
  <c r="DI224" i="17"/>
  <c r="DJ224" i="17"/>
  <c r="DK224" i="17"/>
  <c r="DL224" i="17"/>
  <c r="DM224" i="17"/>
  <c r="DN224" i="17"/>
  <c r="DO224" i="17"/>
  <c r="DP224" i="17"/>
  <c r="DQ224" i="17"/>
  <c r="DR224" i="17"/>
  <c r="DS224" i="17"/>
  <c r="DT224" i="17"/>
  <c r="DU224" i="17"/>
  <c r="DV224" i="17"/>
  <c r="DW224" i="17"/>
  <c r="DX224" i="17"/>
  <c r="DY224" i="17"/>
  <c r="DZ224" i="17"/>
  <c r="EA224" i="17"/>
  <c r="EB224" i="17"/>
  <c r="EC224" i="17"/>
  <c r="ED224" i="17"/>
  <c r="EE224" i="17"/>
  <c r="EF224" i="17"/>
  <c r="EG224" i="17"/>
  <c r="EH224" i="17"/>
  <c r="EI224" i="17"/>
  <c r="EJ224" i="17"/>
  <c r="EK224" i="17"/>
  <c r="EL224" i="17"/>
  <c r="EM224" i="17"/>
  <c r="EN224" i="17"/>
  <c r="EO224" i="17"/>
  <c r="EP224" i="17"/>
  <c r="EQ224" i="17"/>
  <c r="ER224" i="17"/>
  <c r="ES224" i="17"/>
  <c r="ET224" i="17"/>
  <c r="EU224" i="17"/>
  <c r="EV224" i="17"/>
  <c r="EW224" i="17"/>
  <c r="EX224" i="17"/>
  <c r="EY224" i="17"/>
  <c r="EZ224" i="17"/>
  <c r="FA224" i="17"/>
  <c r="FB224" i="17"/>
  <c r="FC224" i="17"/>
  <c r="FD224" i="17"/>
  <c r="FE224" i="17"/>
  <c r="FF224" i="17"/>
  <c r="FG224" i="17"/>
  <c r="FH224" i="17"/>
  <c r="FI224" i="17"/>
  <c r="FJ224" i="17"/>
  <c r="FK224" i="17"/>
  <c r="FL224" i="17"/>
  <c r="FM224" i="17"/>
  <c r="FN224" i="17"/>
  <c r="FO224" i="17"/>
  <c r="FP224" i="17"/>
  <c r="FQ224" i="17"/>
  <c r="FR224" i="17"/>
  <c r="FS224" i="17"/>
  <c r="FT224" i="17"/>
  <c r="FU224" i="17"/>
  <c r="FV224" i="17"/>
  <c r="FW224" i="17"/>
  <c r="FX224" i="17"/>
  <c r="FY224" i="17"/>
  <c r="FZ224" i="17"/>
  <c r="GA224" i="17"/>
  <c r="GB224" i="17"/>
  <c r="GC224" i="17"/>
  <c r="GD224" i="17"/>
  <c r="GE224" i="17"/>
  <c r="GF224" i="17"/>
  <c r="GG224" i="17"/>
  <c r="GH224" i="17"/>
  <c r="GI224" i="17"/>
  <c r="GJ224" i="17"/>
  <c r="GK224" i="17"/>
  <c r="GL224" i="17"/>
  <c r="GM224" i="17"/>
  <c r="GN224" i="17"/>
  <c r="GO224" i="17"/>
  <c r="GP224" i="17"/>
  <c r="GQ224" i="17"/>
  <c r="GR224" i="17"/>
  <c r="GS224" i="17"/>
  <c r="GT224" i="17"/>
  <c r="GU224" i="17"/>
  <c r="GV224" i="17"/>
  <c r="GW224" i="17"/>
  <c r="GX224" i="17"/>
  <c r="GY224" i="17"/>
  <c r="GZ224" i="17"/>
  <c r="HA224" i="17"/>
  <c r="HB224" i="17"/>
  <c r="HC224" i="17"/>
  <c r="HD224" i="17"/>
  <c r="HE224" i="17"/>
  <c r="HF224" i="17"/>
  <c r="HG224" i="17"/>
  <c r="HH224" i="17"/>
  <c r="HI224" i="17"/>
  <c r="HJ224" i="17"/>
  <c r="HK224" i="17"/>
  <c r="HL224" i="17"/>
  <c r="HM224" i="17"/>
  <c r="HN224" i="17"/>
  <c r="HO224" i="17"/>
  <c r="HP224" i="17"/>
  <c r="HQ224" i="17"/>
  <c r="HR224" i="17"/>
  <c r="HS224" i="17"/>
  <c r="HT224" i="17"/>
  <c r="HU224" i="17"/>
  <c r="HV224" i="17"/>
  <c r="HW224" i="17"/>
  <c r="HX224" i="17"/>
  <c r="HY224" i="17"/>
  <c r="HZ224" i="17"/>
  <c r="IA224" i="17"/>
  <c r="IB224" i="17"/>
  <c r="IC224" i="17"/>
  <c r="ID224" i="17"/>
  <c r="IE224" i="17"/>
  <c r="IF224" i="17"/>
  <c r="IG224" i="17"/>
  <c r="IH224" i="17"/>
  <c r="II224" i="17"/>
  <c r="IJ224" i="17"/>
  <c r="IK224" i="17"/>
  <c r="IL224" i="17"/>
  <c r="IM224" i="17"/>
  <c r="IN224" i="17"/>
  <c r="IO224" i="17"/>
  <c r="IP224" i="17"/>
  <c r="IQ224" i="17"/>
  <c r="IR224" i="17"/>
  <c r="IS224" i="17"/>
  <c r="IT224" i="17"/>
  <c r="IU224" i="17"/>
  <c r="IV224" i="17"/>
  <c r="A223" i="17"/>
  <c r="B223" i="17"/>
  <c r="C223" i="17"/>
  <c r="D223" i="17"/>
  <c r="E223" i="17"/>
  <c r="F223" i="17"/>
  <c r="G223" i="17"/>
  <c r="H223" i="17"/>
  <c r="I223" i="17"/>
  <c r="J223" i="17"/>
  <c r="K223" i="17"/>
  <c r="L223" i="17"/>
  <c r="M223" i="17"/>
  <c r="N223" i="17"/>
  <c r="O223" i="17"/>
  <c r="P223" i="17"/>
  <c r="Q223" i="17"/>
  <c r="R223" i="17"/>
  <c r="S223" i="17"/>
  <c r="T223" i="17"/>
  <c r="U223" i="17"/>
  <c r="V223" i="17"/>
  <c r="W223" i="17"/>
  <c r="X223" i="17"/>
  <c r="Y223" i="17"/>
  <c r="Z223" i="17"/>
  <c r="AA223" i="17"/>
  <c r="AB223" i="17"/>
  <c r="AC223" i="17"/>
  <c r="AD223" i="17"/>
  <c r="AE223" i="17"/>
  <c r="AF223" i="17"/>
  <c r="AG223" i="17"/>
  <c r="AH223" i="17"/>
  <c r="AI223" i="17"/>
  <c r="AJ223" i="17"/>
  <c r="AK223" i="17"/>
  <c r="AL223" i="17"/>
  <c r="AM223" i="17"/>
  <c r="AN223" i="17"/>
  <c r="AO223" i="17"/>
  <c r="AP223" i="17"/>
  <c r="AQ223" i="17"/>
  <c r="AR223" i="17"/>
  <c r="AS223" i="17"/>
  <c r="AT223" i="17"/>
  <c r="AU223" i="17"/>
  <c r="AV223" i="17"/>
  <c r="AW223" i="17"/>
  <c r="AX223" i="17"/>
  <c r="AY223" i="17"/>
  <c r="AZ223" i="17"/>
  <c r="BA223" i="17"/>
  <c r="BB223" i="17"/>
  <c r="BC223" i="17"/>
  <c r="BD223" i="17"/>
  <c r="BE223" i="17"/>
  <c r="BF223" i="17"/>
  <c r="BG223" i="17"/>
  <c r="BH223" i="17"/>
  <c r="BI223" i="17"/>
  <c r="BJ223" i="17"/>
  <c r="BK223" i="17"/>
  <c r="BL223" i="17"/>
  <c r="BM223" i="17"/>
  <c r="BN223" i="17"/>
  <c r="BO223" i="17"/>
  <c r="BP223" i="17"/>
  <c r="BQ223" i="17"/>
  <c r="BR223" i="17"/>
  <c r="BS223" i="17"/>
  <c r="BT223" i="17"/>
  <c r="BU223" i="17"/>
  <c r="BV223" i="17"/>
  <c r="BW223" i="17"/>
  <c r="BX223" i="17"/>
  <c r="BY223" i="17"/>
  <c r="BZ223" i="17"/>
  <c r="CA223" i="17"/>
  <c r="CB223" i="17"/>
  <c r="CC223" i="17"/>
  <c r="CD223" i="17"/>
  <c r="CE223" i="17"/>
  <c r="CF223" i="17"/>
  <c r="CG223" i="17"/>
  <c r="CH223" i="17"/>
  <c r="CI223" i="17"/>
  <c r="CJ223" i="17"/>
  <c r="CK223" i="17"/>
  <c r="CL223" i="17"/>
  <c r="CM223" i="17"/>
  <c r="CN223" i="17"/>
  <c r="CO223" i="17"/>
  <c r="CP223" i="17"/>
  <c r="CQ223" i="17"/>
  <c r="CR223" i="17"/>
  <c r="CS223" i="17"/>
  <c r="CT223" i="17"/>
  <c r="CU223" i="17"/>
  <c r="CV223" i="17"/>
  <c r="CW223" i="17"/>
  <c r="CX223" i="17"/>
  <c r="CY223" i="17"/>
  <c r="CZ223" i="17"/>
  <c r="DA223" i="17"/>
  <c r="DB223" i="17"/>
  <c r="DC223" i="17"/>
  <c r="DD223" i="17"/>
  <c r="DE223" i="17"/>
  <c r="DF223" i="17"/>
  <c r="DG223" i="17"/>
  <c r="DH223" i="17"/>
  <c r="DI223" i="17"/>
  <c r="DJ223" i="17"/>
  <c r="DK223" i="17"/>
  <c r="DL223" i="17"/>
  <c r="DM223" i="17"/>
  <c r="DN223" i="17"/>
  <c r="DO223" i="17"/>
  <c r="DP223" i="17"/>
  <c r="DQ223" i="17"/>
  <c r="DR223" i="17"/>
  <c r="DS223" i="17"/>
  <c r="DT223" i="17"/>
  <c r="DU223" i="17"/>
  <c r="DV223" i="17"/>
  <c r="DW223" i="17"/>
  <c r="DX223" i="17"/>
  <c r="DY223" i="17"/>
  <c r="DZ223" i="17"/>
  <c r="EA223" i="17"/>
  <c r="EB223" i="17"/>
  <c r="EC223" i="17"/>
  <c r="ED223" i="17"/>
  <c r="EE223" i="17"/>
  <c r="EF223" i="17"/>
  <c r="EG223" i="17"/>
  <c r="EH223" i="17"/>
  <c r="EI223" i="17"/>
  <c r="EJ223" i="17"/>
  <c r="EK223" i="17"/>
  <c r="EL223" i="17"/>
  <c r="EM223" i="17"/>
  <c r="EN223" i="17"/>
  <c r="EO223" i="17"/>
  <c r="EP223" i="17"/>
  <c r="EQ223" i="17"/>
  <c r="ER223" i="17"/>
  <c r="ES223" i="17"/>
  <c r="ET223" i="17"/>
  <c r="EU223" i="17"/>
  <c r="EV223" i="17"/>
  <c r="EW223" i="17"/>
  <c r="EX223" i="17"/>
  <c r="EY223" i="17"/>
  <c r="EZ223" i="17"/>
  <c r="FA223" i="17"/>
  <c r="FB223" i="17"/>
  <c r="FC223" i="17"/>
  <c r="FD223" i="17"/>
  <c r="FE223" i="17"/>
  <c r="FF223" i="17"/>
  <c r="FG223" i="17"/>
  <c r="FH223" i="17"/>
  <c r="FI223" i="17"/>
  <c r="FJ223" i="17"/>
  <c r="FK223" i="17"/>
  <c r="FL223" i="17"/>
  <c r="FM223" i="17"/>
  <c r="FN223" i="17"/>
  <c r="FO223" i="17"/>
  <c r="FP223" i="17"/>
  <c r="FQ223" i="17"/>
  <c r="FR223" i="17"/>
  <c r="FS223" i="17"/>
  <c r="FT223" i="17"/>
  <c r="FU223" i="17"/>
  <c r="FV223" i="17"/>
  <c r="FW223" i="17"/>
  <c r="FX223" i="17"/>
  <c r="FY223" i="17"/>
  <c r="FZ223" i="17"/>
  <c r="GA223" i="17"/>
  <c r="GB223" i="17"/>
  <c r="GC223" i="17"/>
  <c r="GD223" i="17"/>
  <c r="GE223" i="17"/>
  <c r="GF223" i="17"/>
  <c r="GG223" i="17"/>
  <c r="GH223" i="17"/>
  <c r="GI223" i="17"/>
  <c r="GJ223" i="17"/>
  <c r="GK223" i="17"/>
  <c r="GL223" i="17"/>
  <c r="GM223" i="17"/>
  <c r="GN223" i="17"/>
  <c r="GO223" i="17"/>
  <c r="GP223" i="17"/>
  <c r="GQ223" i="17"/>
  <c r="GR223" i="17"/>
  <c r="GS223" i="17"/>
  <c r="GT223" i="17"/>
  <c r="GU223" i="17"/>
  <c r="GV223" i="17"/>
  <c r="GW223" i="17"/>
  <c r="GX223" i="17"/>
  <c r="GY223" i="17"/>
  <c r="GZ223" i="17"/>
  <c r="HA223" i="17"/>
  <c r="HB223" i="17"/>
  <c r="HC223" i="17"/>
  <c r="HD223" i="17"/>
  <c r="HE223" i="17"/>
  <c r="HF223" i="17"/>
  <c r="HG223" i="17"/>
  <c r="HH223" i="17"/>
  <c r="HI223" i="17"/>
  <c r="HJ223" i="17"/>
  <c r="HK223" i="17"/>
  <c r="HL223" i="17"/>
  <c r="HM223" i="17"/>
  <c r="HN223" i="17"/>
  <c r="HO223" i="17"/>
  <c r="HP223" i="17"/>
  <c r="HQ223" i="17"/>
  <c r="HR223" i="17"/>
  <c r="HS223" i="17"/>
  <c r="HT223" i="17"/>
  <c r="HU223" i="17"/>
  <c r="HV223" i="17"/>
  <c r="HW223" i="17"/>
  <c r="HX223" i="17"/>
  <c r="HY223" i="17"/>
  <c r="HZ223" i="17"/>
  <c r="IA223" i="17"/>
  <c r="IB223" i="17"/>
  <c r="IC223" i="17"/>
  <c r="ID223" i="17"/>
  <c r="IE223" i="17"/>
  <c r="IF223" i="17"/>
  <c r="IG223" i="17"/>
  <c r="IH223" i="17"/>
  <c r="II223" i="17"/>
  <c r="IJ223" i="17"/>
  <c r="IK223" i="17"/>
  <c r="IL223" i="17"/>
  <c r="IM223" i="17"/>
  <c r="IN223" i="17"/>
  <c r="IO223" i="17"/>
  <c r="IP223" i="17"/>
  <c r="IQ223" i="17"/>
  <c r="IR223" i="17"/>
  <c r="IS223" i="17"/>
  <c r="IT223" i="17"/>
  <c r="IU223" i="17"/>
  <c r="IV223" i="17"/>
  <c r="A222" i="17"/>
  <c r="B222" i="17"/>
  <c r="C222" i="17"/>
  <c r="D222" i="17"/>
  <c r="E222" i="17"/>
  <c r="F222" i="17"/>
  <c r="G222" i="17"/>
  <c r="H222" i="17"/>
  <c r="I222" i="17"/>
  <c r="J222" i="17"/>
  <c r="K222" i="17"/>
  <c r="L222" i="17"/>
  <c r="M222" i="17"/>
  <c r="N222" i="17"/>
  <c r="O222" i="17"/>
  <c r="P222" i="17"/>
  <c r="Q222" i="17"/>
  <c r="R222" i="17"/>
  <c r="S222" i="17"/>
  <c r="T222" i="17"/>
  <c r="U222" i="17"/>
  <c r="V222" i="17"/>
  <c r="W222" i="17"/>
  <c r="X222" i="17"/>
  <c r="Y222" i="17"/>
  <c r="Z222" i="17"/>
  <c r="AA222" i="17"/>
  <c r="AB222" i="17"/>
  <c r="AC222" i="17"/>
  <c r="AD222" i="17"/>
  <c r="AE222" i="17"/>
  <c r="AF222" i="17"/>
  <c r="AG222" i="17"/>
  <c r="AH222" i="17"/>
  <c r="AI222" i="17"/>
  <c r="AJ222" i="17"/>
  <c r="AK222" i="17"/>
  <c r="AL222" i="17"/>
  <c r="AM222" i="17"/>
  <c r="AN222" i="17"/>
  <c r="AO222" i="17"/>
  <c r="AP222" i="17"/>
  <c r="AQ222" i="17"/>
  <c r="AR222" i="17"/>
  <c r="AS222" i="17"/>
  <c r="AT222" i="17"/>
  <c r="AU222" i="17"/>
  <c r="AV222" i="17"/>
  <c r="AW222" i="17"/>
  <c r="AX222" i="17"/>
  <c r="AY222" i="17"/>
  <c r="AZ222" i="17"/>
  <c r="BA222" i="17"/>
  <c r="BB222" i="17"/>
  <c r="BC222" i="17"/>
  <c r="BD222" i="17"/>
  <c r="BE222" i="17"/>
  <c r="BF222" i="17"/>
  <c r="BG222" i="17"/>
  <c r="BH222" i="17"/>
  <c r="BI222" i="17"/>
  <c r="BJ222" i="17"/>
  <c r="BK222" i="17"/>
  <c r="BL222" i="17"/>
  <c r="BM222" i="17"/>
  <c r="BN222" i="17"/>
  <c r="BO222" i="17"/>
  <c r="BP222" i="17"/>
  <c r="BQ222" i="17"/>
  <c r="BR222" i="17"/>
  <c r="BS222" i="17"/>
  <c r="BT222" i="17"/>
  <c r="BU222" i="17"/>
  <c r="BV222" i="17"/>
  <c r="BW222" i="17"/>
  <c r="BX222" i="17"/>
  <c r="BY222" i="17"/>
  <c r="BZ222" i="17"/>
  <c r="CA222" i="17"/>
  <c r="CB222" i="17"/>
  <c r="CC222" i="17"/>
  <c r="CD222" i="17"/>
  <c r="CE222" i="17"/>
  <c r="CF222" i="17"/>
  <c r="CG222" i="17"/>
  <c r="CH222" i="17"/>
  <c r="CI222" i="17"/>
  <c r="CJ222" i="17"/>
  <c r="CK222" i="17"/>
  <c r="CL222" i="17"/>
  <c r="CM222" i="17"/>
  <c r="CN222" i="17"/>
  <c r="CO222" i="17"/>
  <c r="CP222" i="17"/>
  <c r="CQ222" i="17"/>
  <c r="CR222" i="17"/>
  <c r="CS222" i="17"/>
  <c r="CT222" i="17"/>
  <c r="CU222" i="17"/>
  <c r="CV222" i="17"/>
  <c r="CW222" i="17"/>
  <c r="CX222" i="17"/>
  <c r="CY222" i="17"/>
  <c r="CZ222" i="17"/>
  <c r="DA222" i="17"/>
  <c r="DB222" i="17"/>
  <c r="DC222" i="17"/>
  <c r="DD222" i="17"/>
  <c r="DE222" i="17"/>
  <c r="DF222" i="17"/>
  <c r="DG222" i="17"/>
  <c r="DH222" i="17"/>
  <c r="DI222" i="17"/>
  <c r="DJ222" i="17"/>
  <c r="DK222" i="17"/>
  <c r="DL222" i="17"/>
  <c r="DM222" i="17"/>
  <c r="DN222" i="17"/>
  <c r="DO222" i="17"/>
  <c r="DP222" i="17"/>
  <c r="DQ222" i="17"/>
  <c r="DR222" i="17"/>
  <c r="DS222" i="17"/>
  <c r="DT222" i="17"/>
  <c r="DU222" i="17"/>
  <c r="DV222" i="17"/>
  <c r="DW222" i="17"/>
  <c r="DX222" i="17"/>
  <c r="DY222" i="17"/>
  <c r="DZ222" i="17"/>
  <c r="EA222" i="17"/>
  <c r="EB222" i="17"/>
  <c r="EC222" i="17"/>
  <c r="ED222" i="17"/>
  <c r="EE222" i="17"/>
  <c r="EF222" i="17"/>
  <c r="EG222" i="17"/>
  <c r="EH222" i="17"/>
  <c r="EI222" i="17"/>
  <c r="EJ222" i="17"/>
  <c r="EK222" i="17"/>
  <c r="EL222" i="17"/>
  <c r="EM222" i="17"/>
  <c r="EN222" i="17"/>
  <c r="EO222" i="17"/>
  <c r="EP222" i="17"/>
  <c r="EQ222" i="17"/>
  <c r="ER222" i="17"/>
  <c r="ES222" i="17"/>
  <c r="ET222" i="17"/>
  <c r="EU222" i="17"/>
  <c r="EV222" i="17"/>
  <c r="EW222" i="17"/>
  <c r="EX222" i="17"/>
  <c r="EY222" i="17"/>
  <c r="EZ222" i="17"/>
  <c r="FA222" i="17"/>
  <c r="FB222" i="17"/>
  <c r="FC222" i="17"/>
  <c r="FD222" i="17"/>
  <c r="FE222" i="17"/>
  <c r="FF222" i="17"/>
  <c r="FG222" i="17"/>
  <c r="FH222" i="17"/>
  <c r="FI222" i="17"/>
  <c r="FJ222" i="17"/>
  <c r="FK222" i="17"/>
  <c r="FL222" i="17"/>
  <c r="FM222" i="17"/>
  <c r="FN222" i="17"/>
  <c r="FO222" i="17"/>
  <c r="FP222" i="17"/>
  <c r="FQ222" i="17"/>
  <c r="FR222" i="17"/>
  <c r="FS222" i="17"/>
  <c r="FT222" i="17"/>
  <c r="FU222" i="17"/>
  <c r="FV222" i="17"/>
  <c r="FW222" i="17"/>
  <c r="FX222" i="17"/>
  <c r="FY222" i="17"/>
  <c r="FZ222" i="17"/>
  <c r="GA222" i="17"/>
  <c r="GB222" i="17"/>
  <c r="GC222" i="17"/>
  <c r="GD222" i="17"/>
  <c r="GE222" i="17"/>
  <c r="GF222" i="17"/>
  <c r="GG222" i="17"/>
  <c r="GH222" i="17"/>
  <c r="GI222" i="17"/>
  <c r="GJ222" i="17"/>
  <c r="GK222" i="17"/>
  <c r="GL222" i="17"/>
  <c r="GM222" i="17"/>
  <c r="GN222" i="17"/>
  <c r="GO222" i="17"/>
  <c r="GP222" i="17"/>
  <c r="GQ222" i="17"/>
  <c r="GR222" i="17"/>
  <c r="GS222" i="17"/>
  <c r="GT222" i="17"/>
  <c r="GU222" i="17"/>
  <c r="GV222" i="17"/>
  <c r="GW222" i="17"/>
  <c r="GX222" i="17"/>
  <c r="GY222" i="17"/>
  <c r="GZ222" i="17"/>
  <c r="HA222" i="17"/>
  <c r="HB222" i="17"/>
  <c r="HC222" i="17"/>
  <c r="HD222" i="17"/>
  <c r="HE222" i="17"/>
  <c r="HF222" i="17"/>
  <c r="HG222" i="17"/>
  <c r="HH222" i="17"/>
  <c r="HI222" i="17"/>
  <c r="HJ222" i="17"/>
  <c r="HK222" i="17"/>
  <c r="HL222" i="17"/>
  <c r="HM222" i="17"/>
  <c r="HN222" i="17"/>
  <c r="HO222" i="17"/>
  <c r="HP222" i="17"/>
  <c r="HQ222" i="17"/>
  <c r="HR222" i="17"/>
  <c r="HS222" i="17"/>
  <c r="HT222" i="17"/>
  <c r="HU222" i="17"/>
  <c r="HV222" i="17"/>
  <c r="HW222" i="17"/>
  <c r="HX222" i="17"/>
  <c r="HY222" i="17"/>
  <c r="HZ222" i="17"/>
  <c r="IA222" i="17"/>
  <c r="IB222" i="17"/>
  <c r="IC222" i="17"/>
  <c r="ID222" i="17"/>
  <c r="IE222" i="17"/>
  <c r="IF222" i="17"/>
  <c r="IG222" i="17"/>
  <c r="IH222" i="17"/>
  <c r="II222" i="17"/>
  <c r="IJ222" i="17"/>
  <c r="IK222" i="17"/>
  <c r="IL222" i="17"/>
  <c r="IM222" i="17"/>
  <c r="IN222" i="17"/>
  <c r="IO222" i="17"/>
  <c r="IP222" i="17"/>
  <c r="IQ222" i="17"/>
  <c r="IR222" i="17"/>
  <c r="IS222" i="17"/>
  <c r="IT222" i="17"/>
  <c r="IU222" i="17"/>
  <c r="IV222" i="17"/>
  <c r="A221" i="17"/>
  <c r="B221" i="17"/>
  <c r="C221" i="17"/>
  <c r="D221" i="17"/>
  <c r="E221" i="17"/>
  <c r="F221" i="17"/>
  <c r="G221" i="17"/>
  <c r="H221" i="17"/>
  <c r="I221" i="17"/>
  <c r="J221" i="17"/>
  <c r="K221" i="17"/>
  <c r="L221" i="17"/>
  <c r="M221" i="17"/>
  <c r="N221" i="17"/>
  <c r="O221" i="17"/>
  <c r="P221" i="17"/>
  <c r="Q221" i="17"/>
  <c r="R221" i="17"/>
  <c r="S221" i="17"/>
  <c r="T221" i="17"/>
  <c r="U221" i="17"/>
  <c r="V221" i="17"/>
  <c r="W221" i="17"/>
  <c r="X221" i="17"/>
  <c r="Y221" i="17"/>
  <c r="Z221" i="17"/>
  <c r="AA221" i="17"/>
  <c r="AB221" i="17"/>
  <c r="AC221" i="17"/>
  <c r="AD221" i="17"/>
  <c r="AE221" i="17"/>
  <c r="AF221" i="17"/>
  <c r="AG221" i="17"/>
  <c r="AH221" i="17"/>
  <c r="AI221" i="17"/>
  <c r="AJ221" i="17"/>
  <c r="AK221" i="17"/>
  <c r="AL221" i="17"/>
  <c r="AM221" i="17"/>
  <c r="AN221" i="17"/>
  <c r="AO221" i="17"/>
  <c r="AP221" i="17"/>
  <c r="AQ221" i="17"/>
  <c r="AR221" i="17"/>
  <c r="AS221" i="17"/>
  <c r="AT221" i="17"/>
  <c r="AU221" i="17"/>
  <c r="AV221" i="17"/>
  <c r="AW221" i="17"/>
  <c r="AX221" i="17"/>
  <c r="AY221" i="17"/>
  <c r="AZ221" i="17"/>
  <c r="BA221" i="17"/>
  <c r="BB221" i="17"/>
  <c r="BC221" i="17"/>
  <c r="BD221" i="17"/>
  <c r="BE221" i="17"/>
  <c r="BF221" i="17"/>
  <c r="BG221" i="17"/>
  <c r="BH221" i="17"/>
  <c r="BI221" i="17"/>
  <c r="BJ221" i="17"/>
  <c r="BK221" i="17"/>
  <c r="BL221" i="17"/>
  <c r="BM221" i="17"/>
  <c r="BN221" i="17"/>
  <c r="BO221" i="17"/>
  <c r="BP221" i="17"/>
  <c r="BQ221" i="17"/>
  <c r="BR221" i="17"/>
  <c r="BS221" i="17"/>
  <c r="BT221" i="17"/>
  <c r="BU221" i="17"/>
  <c r="BV221" i="17"/>
  <c r="BW221" i="17"/>
  <c r="BX221" i="17"/>
  <c r="BY221" i="17"/>
  <c r="BZ221" i="17"/>
  <c r="CA221" i="17"/>
  <c r="CB221" i="17"/>
  <c r="CC221" i="17"/>
  <c r="CD221" i="17"/>
  <c r="CE221" i="17"/>
  <c r="CF221" i="17"/>
  <c r="CG221" i="17"/>
  <c r="CH221" i="17"/>
  <c r="CI221" i="17"/>
  <c r="CJ221" i="17"/>
  <c r="CK221" i="17"/>
  <c r="CL221" i="17"/>
  <c r="CM221" i="17"/>
  <c r="CN221" i="17"/>
  <c r="CO221" i="17"/>
  <c r="CP221" i="17"/>
  <c r="CQ221" i="17"/>
  <c r="CR221" i="17"/>
  <c r="CS221" i="17"/>
  <c r="CT221" i="17"/>
  <c r="CU221" i="17"/>
  <c r="CV221" i="17"/>
  <c r="CW221" i="17"/>
  <c r="CX221" i="17"/>
  <c r="CY221" i="17"/>
  <c r="CZ221" i="17"/>
  <c r="DA221" i="17"/>
  <c r="DB221" i="17"/>
  <c r="DC221" i="17"/>
  <c r="DD221" i="17"/>
  <c r="DE221" i="17"/>
  <c r="DF221" i="17"/>
  <c r="DG221" i="17"/>
  <c r="DH221" i="17"/>
  <c r="DI221" i="17"/>
  <c r="DJ221" i="17"/>
  <c r="DK221" i="17"/>
  <c r="DL221" i="17"/>
  <c r="DM221" i="17"/>
  <c r="DN221" i="17"/>
  <c r="DO221" i="17"/>
  <c r="DP221" i="17"/>
  <c r="DQ221" i="17"/>
  <c r="DR221" i="17"/>
  <c r="DS221" i="17"/>
  <c r="DT221" i="17"/>
  <c r="DU221" i="17"/>
  <c r="DV221" i="17"/>
  <c r="DW221" i="17"/>
  <c r="DX221" i="17"/>
  <c r="DY221" i="17"/>
  <c r="DZ221" i="17"/>
  <c r="EA221" i="17"/>
  <c r="EB221" i="17"/>
  <c r="EC221" i="17"/>
  <c r="ED221" i="17"/>
  <c r="EE221" i="17"/>
  <c r="EF221" i="17"/>
  <c r="EG221" i="17"/>
  <c r="EH221" i="17"/>
  <c r="EI221" i="17"/>
  <c r="EJ221" i="17"/>
  <c r="EK221" i="17"/>
  <c r="EL221" i="17"/>
  <c r="EM221" i="17"/>
  <c r="EN221" i="17"/>
  <c r="EO221" i="17"/>
  <c r="EP221" i="17"/>
  <c r="EQ221" i="17"/>
  <c r="ER221" i="17"/>
  <c r="ES221" i="17"/>
  <c r="ET221" i="17"/>
  <c r="EU221" i="17"/>
  <c r="EV221" i="17"/>
  <c r="EW221" i="17"/>
  <c r="EX221" i="17"/>
  <c r="EY221" i="17"/>
  <c r="EZ221" i="17"/>
  <c r="FA221" i="17"/>
  <c r="FB221" i="17"/>
  <c r="FC221" i="17"/>
  <c r="FD221" i="17"/>
  <c r="FE221" i="17"/>
  <c r="FF221" i="17"/>
  <c r="FG221" i="17"/>
  <c r="FH221" i="17"/>
  <c r="FI221" i="17"/>
  <c r="FJ221" i="17"/>
  <c r="FK221" i="17"/>
  <c r="FL221" i="17"/>
  <c r="FM221" i="17"/>
  <c r="FN221" i="17"/>
  <c r="FO221" i="17"/>
  <c r="FP221" i="17"/>
  <c r="FQ221" i="17"/>
  <c r="FR221" i="17"/>
  <c r="FS221" i="17"/>
  <c r="FT221" i="17"/>
  <c r="FU221" i="17"/>
  <c r="FV221" i="17"/>
  <c r="FW221" i="17"/>
  <c r="FX221" i="17"/>
  <c r="FY221" i="17"/>
  <c r="FZ221" i="17"/>
  <c r="GA221" i="17"/>
  <c r="GB221" i="17"/>
  <c r="GC221" i="17"/>
  <c r="GD221" i="17"/>
  <c r="GE221" i="17"/>
  <c r="GF221" i="17"/>
  <c r="GG221" i="17"/>
  <c r="GH221" i="17"/>
  <c r="GI221" i="17"/>
  <c r="GJ221" i="17"/>
  <c r="GK221" i="17"/>
  <c r="GL221" i="17"/>
  <c r="GM221" i="17"/>
  <c r="GN221" i="17"/>
  <c r="GO221" i="17"/>
  <c r="GP221" i="17"/>
  <c r="GQ221" i="17"/>
  <c r="GR221" i="17"/>
  <c r="GS221" i="17"/>
  <c r="GT221" i="17"/>
  <c r="GU221" i="17"/>
  <c r="GV221" i="17"/>
  <c r="GW221" i="17"/>
  <c r="GX221" i="17"/>
  <c r="GY221" i="17"/>
  <c r="GZ221" i="17"/>
  <c r="HA221" i="17"/>
  <c r="HB221" i="17"/>
  <c r="HC221" i="17"/>
  <c r="HD221" i="17"/>
  <c r="HE221" i="17"/>
  <c r="HF221" i="17"/>
  <c r="HG221" i="17"/>
  <c r="HH221" i="17"/>
  <c r="HI221" i="17"/>
  <c r="HJ221" i="17"/>
  <c r="HK221" i="17"/>
  <c r="HL221" i="17"/>
  <c r="HM221" i="17"/>
  <c r="HN221" i="17"/>
  <c r="HO221" i="17"/>
  <c r="HP221" i="17"/>
  <c r="HQ221" i="17"/>
  <c r="HR221" i="17"/>
  <c r="HS221" i="17"/>
  <c r="HT221" i="17"/>
  <c r="HU221" i="17"/>
  <c r="HV221" i="17"/>
  <c r="HW221" i="17"/>
  <c r="HX221" i="17"/>
  <c r="HY221" i="17"/>
  <c r="HZ221" i="17"/>
  <c r="IA221" i="17"/>
  <c r="IB221" i="17"/>
  <c r="IC221" i="17"/>
  <c r="ID221" i="17"/>
  <c r="IE221" i="17"/>
  <c r="IF221" i="17"/>
  <c r="IG221" i="17"/>
  <c r="IH221" i="17"/>
  <c r="II221" i="17"/>
  <c r="IJ221" i="17"/>
  <c r="IK221" i="17"/>
  <c r="IL221" i="17"/>
  <c r="IM221" i="17"/>
  <c r="IN221" i="17"/>
  <c r="IO221" i="17"/>
  <c r="IP221" i="17"/>
  <c r="IQ221" i="17"/>
  <c r="IR221" i="17"/>
  <c r="IS221" i="17"/>
  <c r="IT221" i="17"/>
  <c r="IU221" i="17"/>
  <c r="IV221" i="17"/>
  <c r="A220" i="17"/>
  <c r="B220" i="17"/>
  <c r="C220" i="17"/>
  <c r="D220" i="17"/>
  <c r="E220" i="17"/>
  <c r="F220" i="17"/>
  <c r="G220" i="17"/>
  <c r="H220" i="17"/>
  <c r="I220" i="17"/>
  <c r="J220" i="17"/>
  <c r="K220" i="17"/>
  <c r="L220" i="17"/>
  <c r="M220" i="17"/>
  <c r="N220" i="17"/>
  <c r="O220" i="17"/>
  <c r="P220" i="17"/>
  <c r="Q220" i="17"/>
  <c r="R220" i="17"/>
  <c r="S220" i="17"/>
  <c r="T220" i="17"/>
  <c r="U220" i="17"/>
  <c r="V220" i="17"/>
  <c r="W220" i="17"/>
  <c r="X220" i="17"/>
  <c r="Y220" i="17"/>
  <c r="Z220" i="17"/>
  <c r="AA220" i="17"/>
  <c r="AB220" i="17"/>
  <c r="AC220" i="17"/>
  <c r="AD220" i="17"/>
  <c r="AE220" i="17"/>
  <c r="AF220" i="17"/>
  <c r="AG220" i="17"/>
  <c r="AH220" i="17"/>
  <c r="AI220" i="17"/>
  <c r="AJ220" i="17"/>
  <c r="AK220" i="17"/>
  <c r="AL220" i="17"/>
  <c r="AM220" i="17"/>
  <c r="AN220" i="17"/>
  <c r="AO220" i="17"/>
  <c r="AP220" i="17"/>
  <c r="AQ220" i="17"/>
  <c r="AR220" i="17"/>
  <c r="AS220" i="17"/>
  <c r="AT220" i="17"/>
  <c r="AU220" i="17"/>
  <c r="AV220" i="17"/>
  <c r="AW220" i="17"/>
  <c r="AX220" i="17"/>
  <c r="AY220" i="17"/>
  <c r="AZ220" i="17"/>
  <c r="BA220" i="17"/>
  <c r="BB220" i="17"/>
  <c r="BC220" i="17"/>
  <c r="BD220" i="17"/>
  <c r="BE220" i="17"/>
  <c r="BF220" i="17"/>
  <c r="BG220" i="17"/>
  <c r="BH220" i="17"/>
  <c r="BI220" i="17"/>
  <c r="BJ220" i="17"/>
  <c r="BK220" i="17"/>
  <c r="BL220" i="17"/>
  <c r="BM220" i="17"/>
  <c r="BN220" i="17"/>
  <c r="BO220" i="17"/>
  <c r="BP220" i="17"/>
  <c r="BQ220" i="17"/>
  <c r="BR220" i="17"/>
  <c r="BS220" i="17"/>
  <c r="BT220" i="17"/>
  <c r="BU220" i="17"/>
  <c r="BV220" i="17"/>
  <c r="BW220" i="17"/>
  <c r="BX220" i="17"/>
  <c r="BY220" i="17"/>
  <c r="BZ220" i="17"/>
  <c r="CA220" i="17"/>
  <c r="CB220" i="17"/>
  <c r="CC220" i="17"/>
  <c r="CD220" i="17"/>
  <c r="CE220" i="17"/>
  <c r="CF220" i="17"/>
  <c r="CG220" i="17"/>
  <c r="CH220" i="17"/>
  <c r="CI220" i="17"/>
  <c r="CJ220" i="17"/>
  <c r="CK220" i="17"/>
  <c r="CL220" i="17"/>
  <c r="CM220" i="17"/>
  <c r="CN220" i="17"/>
  <c r="CO220" i="17"/>
  <c r="CP220" i="17"/>
  <c r="CQ220" i="17"/>
  <c r="CR220" i="17"/>
  <c r="CS220" i="17"/>
  <c r="CT220" i="17"/>
  <c r="CU220" i="17"/>
  <c r="CV220" i="17"/>
  <c r="CW220" i="17"/>
  <c r="CX220" i="17"/>
  <c r="CY220" i="17"/>
  <c r="CZ220" i="17"/>
  <c r="DA220" i="17"/>
  <c r="DB220" i="17"/>
  <c r="DC220" i="17"/>
  <c r="DD220" i="17"/>
  <c r="DE220" i="17"/>
  <c r="DF220" i="17"/>
  <c r="DG220" i="17"/>
  <c r="DH220" i="17"/>
  <c r="DI220" i="17"/>
  <c r="DJ220" i="17"/>
  <c r="DK220" i="17"/>
  <c r="DL220" i="17"/>
  <c r="DM220" i="17"/>
  <c r="DN220" i="17"/>
  <c r="DO220" i="17"/>
  <c r="DP220" i="17"/>
  <c r="DQ220" i="17"/>
  <c r="DR220" i="17"/>
  <c r="DS220" i="17"/>
  <c r="DT220" i="17"/>
  <c r="DU220" i="17"/>
  <c r="DV220" i="17"/>
  <c r="DW220" i="17"/>
  <c r="DX220" i="17"/>
  <c r="DY220" i="17"/>
  <c r="DZ220" i="17"/>
  <c r="EA220" i="17"/>
  <c r="EB220" i="17"/>
  <c r="EC220" i="17"/>
  <c r="ED220" i="17"/>
  <c r="EE220" i="17"/>
  <c r="EF220" i="17"/>
  <c r="EG220" i="17"/>
  <c r="EH220" i="17"/>
  <c r="EI220" i="17"/>
  <c r="EJ220" i="17"/>
  <c r="EK220" i="17"/>
  <c r="EL220" i="17"/>
  <c r="EM220" i="17"/>
  <c r="EN220" i="17"/>
  <c r="EO220" i="17"/>
  <c r="EP220" i="17"/>
  <c r="EQ220" i="17"/>
  <c r="ER220" i="17"/>
  <c r="ES220" i="17"/>
  <c r="ET220" i="17"/>
  <c r="EU220" i="17"/>
  <c r="EV220" i="17"/>
  <c r="EW220" i="17"/>
  <c r="EX220" i="17"/>
  <c r="EY220" i="17"/>
  <c r="EZ220" i="17"/>
  <c r="FA220" i="17"/>
  <c r="FB220" i="17"/>
  <c r="FC220" i="17"/>
  <c r="FD220" i="17"/>
  <c r="FE220" i="17"/>
  <c r="FF220" i="17"/>
  <c r="FG220" i="17"/>
  <c r="FH220" i="17"/>
  <c r="FI220" i="17"/>
  <c r="FJ220" i="17"/>
  <c r="FK220" i="17"/>
  <c r="FL220" i="17"/>
  <c r="FM220" i="17"/>
  <c r="FN220" i="17"/>
  <c r="FO220" i="17"/>
  <c r="FP220" i="17"/>
  <c r="FQ220" i="17"/>
  <c r="FR220" i="17"/>
  <c r="FS220" i="17"/>
  <c r="FT220" i="17"/>
  <c r="FU220" i="17"/>
  <c r="FV220" i="17"/>
  <c r="FW220" i="17"/>
  <c r="FX220" i="17"/>
  <c r="FY220" i="17"/>
  <c r="FZ220" i="17"/>
  <c r="GA220" i="17"/>
  <c r="GB220" i="17"/>
  <c r="GC220" i="17"/>
  <c r="GD220" i="17"/>
  <c r="GE220" i="17"/>
  <c r="GF220" i="17"/>
  <c r="GG220" i="17"/>
  <c r="GH220" i="17"/>
  <c r="GI220" i="17"/>
  <c r="GJ220" i="17"/>
  <c r="GK220" i="17"/>
  <c r="GL220" i="17"/>
  <c r="GM220" i="17"/>
  <c r="GN220" i="17"/>
  <c r="GO220" i="17"/>
  <c r="GP220" i="17"/>
  <c r="GQ220" i="17"/>
  <c r="GR220" i="17"/>
  <c r="GS220" i="17"/>
  <c r="GT220" i="17"/>
  <c r="GU220" i="17"/>
  <c r="GV220" i="17"/>
  <c r="GW220" i="17"/>
  <c r="GX220" i="17"/>
  <c r="GY220" i="17"/>
  <c r="GZ220" i="17"/>
  <c r="HA220" i="17"/>
  <c r="HB220" i="17"/>
  <c r="HC220" i="17"/>
  <c r="HD220" i="17"/>
  <c r="HE220" i="17"/>
  <c r="HF220" i="17"/>
  <c r="HG220" i="17"/>
  <c r="HH220" i="17"/>
  <c r="HI220" i="17"/>
  <c r="HJ220" i="17"/>
  <c r="HK220" i="17"/>
  <c r="HL220" i="17"/>
  <c r="HM220" i="17"/>
  <c r="HN220" i="17"/>
  <c r="HO220" i="17"/>
  <c r="HP220" i="17"/>
  <c r="HQ220" i="17"/>
  <c r="HR220" i="17"/>
  <c r="HS220" i="17"/>
  <c r="HT220" i="17"/>
  <c r="HU220" i="17"/>
  <c r="HV220" i="17"/>
  <c r="HW220" i="17"/>
  <c r="HX220" i="17"/>
  <c r="HY220" i="17"/>
  <c r="HZ220" i="17"/>
  <c r="IA220" i="17"/>
  <c r="IB220" i="17"/>
  <c r="IC220" i="17"/>
  <c r="ID220" i="17"/>
  <c r="IE220" i="17"/>
  <c r="IF220" i="17"/>
  <c r="IG220" i="17"/>
  <c r="IH220" i="17"/>
  <c r="II220" i="17"/>
  <c r="IJ220" i="17"/>
  <c r="IK220" i="17"/>
  <c r="IL220" i="17"/>
  <c r="IM220" i="17"/>
  <c r="IN220" i="17"/>
  <c r="IO220" i="17"/>
  <c r="IP220" i="17"/>
  <c r="IQ220" i="17"/>
  <c r="IR220" i="17"/>
  <c r="IS220" i="17"/>
  <c r="IT220" i="17"/>
  <c r="IU220" i="17"/>
  <c r="IV220" i="17"/>
  <c r="A219" i="17"/>
  <c r="B219" i="17"/>
  <c r="C219" i="17"/>
  <c r="D219" i="17"/>
  <c r="E219" i="17"/>
  <c r="F219" i="17"/>
  <c r="G219" i="17"/>
  <c r="H219" i="17"/>
  <c r="I219" i="17"/>
  <c r="J219" i="17"/>
  <c r="K219" i="17"/>
  <c r="L219" i="17"/>
  <c r="M219" i="17"/>
  <c r="N219" i="17"/>
  <c r="O219" i="17"/>
  <c r="P219" i="17"/>
  <c r="Q219" i="17"/>
  <c r="R219" i="17"/>
  <c r="S219" i="17"/>
  <c r="T219" i="17"/>
  <c r="U219" i="17"/>
  <c r="V219" i="17"/>
  <c r="W219" i="17"/>
  <c r="X219" i="17"/>
  <c r="Y219" i="17"/>
  <c r="Z219" i="17"/>
  <c r="AA219" i="17"/>
  <c r="AB219" i="17"/>
  <c r="AC219" i="17"/>
  <c r="AD219" i="17"/>
  <c r="AE219" i="17"/>
  <c r="AF219" i="17"/>
  <c r="AG219" i="17"/>
  <c r="AH219" i="17"/>
  <c r="AI219" i="17"/>
  <c r="AJ219" i="17"/>
  <c r="AK219" i="17"/>
  <c r="AL219" i="17"/>
  <c r="AM219" i="17"/>
  <c r="AN219" i="17"/>
  <c r="AO219" i="17"/>
  <c r="AP219" i="17"/>
  <c r="AQ219" i="17"/>
  <c r="AR219" i="17"/>
  <c r="AS219" i="17"/>
  <c r="AT219" i="17"/>
  <c r="AU219" i="17"/>
  <c r="AV219" i="17"/>
  <c r="AW219" i="17"/>
  <c r="AX219" i="17"/>
  <c r="AY219" i="17"/>
  <c r="AZ219" i="17"/>
  <c r="BA219" i="17"/>
  <c r="BB219" i="17"/>
  <c r="BC219" i="17"/>
  <c r="BD219" i="17"/>
  <c r="BE219" i="17"/>
  <c r="BF219" i="17"/>
  <c r="BG219" i="17"/>
  <c r="BH219" i="17"/>
  <c r="BI219" i="17"/>
  <c r="BJ219" i="17"/>
  <c r="BK219" i="17"/>
  <c r="BL219" i="17"/>
  <c r="BM219" i="17"/>
  <c r="BN219" i="17"/>
  <c r="BO219" i="17"/>
  <c r="BP219" i="17"/>
  <c r="BQ219" i="17"/>
  <c r="BR219" i="17"/>
  <c r="BS219" i="17"/>
  <c r="BT219" i="17"/>
  <c r="BU219" i="17"/>
  <c r="BV219" i="17"/>
  <c r="BW219" i="17"/>
  <c r="BX219" i="17"/>
  <c r="BY219" i="17"/>
  <c r="BZ219" i="17"/>
  <c r="CA219" i="17"/>
  <c r="CB219" i="17"/>
  <c r="CC219" i="17"/>
  <c r="CD219" i="17"/>
  <c r="CE219" i="17"/>
  <c r="CF219" i="17"/>
  <c r="CG219" i="17"/>
  <c r="CH219" i="17"/>
  <c r="CI219" i="17"/>
  <c r="CJ219" i="17"/>
  <c r="CK219" i="17"/>
  <c r="CL219" i="17"/>
  <c r="CM219" i="17"/>
  <c r="CN219" i="17"/>
  <c r="CO219" i="17"/>
  <c r="CP219" i="17"/>
  <c r="CQ219" i="17"/>
  <c r="CR219" i="17"/>
  <c r="CS219" i="17"/>
  <c r="CT219" i="17"/>
  <c r="CU219" i="17"/>
  <c r="CV219" i="17"/>
  <c r="CW219" i="17"/>
  <c r="CX219" i="17"/>
  <c r="CY219" i="17"/>
  <c r="CZ219" i="17"/>
  <c r="DA219" i="17"/>
  <c r="DB219" i="17"/>
  <c r="DC219" i="17"/>
  <c r="DD219" i="17"/>
  <c r="DE219" i="17"/>
  <c r="DF219" i="17"/>
  <c r="DG219" i="17"/>
  <c r="DH219" i="17"/>
  <c r="DI219" i="17"/>
  <c r="DJ219" i="17"/>
  <c r="DK219" i="17"/>
  <c r="DL219" i="17"/>
  <c r="DM219" i="17"/>
  <c r="DN219" i="17"/>
  <c r="DO219" i="17"/>
  <c r="DP219" i="17"/>
  <c r="DQ219" i="17"/>
  <c r="DR219" i="17"/>
  <c r="DS219" i="17"/>
  <c r="DT219" i="17"/>
  <c r="DU219" i="17"/>
  <c r="DV219" i="17"/>
  <c r="DW219" i="17"/>
  <c r="DX219" i="17"/>
  <c r="DY219" i="17"/>
  <c r="DZ219" i="17"/>
  <c r="EA219" i="17"/>
  <c r="EB219" i="17"/>
  <c r="EC219" i="17"/>
  <c r="ED219" i="17"/>
  <c r="EE219" i="17"/>
  <c r="EF219" i="17"/>
  <c r="EG219" i="17"/>
  <c r="EH219" i="17"/>
  <c r="EI219" i="17"/>
  <c r="EJ219" i="17"/>
  <c r="EK219" i="17"/>
  <c r="EL219" i="17"/>
  <c r="EM219" i="17"/>
  <c r="EN219" i="17"/>
  <c r="EO219" i="17"/>
  <c r="EP219" i="17"/>
  <c r="EQ219" i="17"/>
  <c r="ER219" i="17"/>
  <c r="ES219" i="17"/>
  <c r="ET219" i="17"/>
  <c r="EU219" i="17"/>
  <c r="EV219" i="17"/>
  <c r="EW219" i="17"/>
  <c r="EX219" i="17"/>
  <c r="EY219" i="17"/>
  <c r="EZ219" i="17"/>
  <c r="FA219" i="17"/>
  <c r="FB219" i="17"/>
  <c r="FC219" i="17"/>
  <c r="FD219" i="17"/>
  <c r="FE219" i="17"/>
  <c r="FF219" i="17"/>
  <c r="FG219" i="17"/>
  <c r="FH219" i="17"/>
  <c r="FI219" i="17"/>
  <c r="FJ219" i="17"/>
  <c r="FK219" i="17"/>
  <c r="FL219" i="17"/>
  <c r="FM219" i="17"/>
  <c r="FN219" i="17"/>
  <c r="FO219" i="17"/>
  <c r="FP219" i="17"/>
  <c r="FQ219" i="17"/>
  <c r="FR219" i="17"/>
  <c r="FS219" i="17"/>
  <c r="FT219" i="17"/>
  <c r="FU219" i="17"/>
  <c r="FV219" i="17"/>
  <c r="FW219" i="17"/>
  <c r="FX219" i="17"/>
  <c r="FY219" i="17"/>
  <c r="FZ219" i="17"/>
  <c r="GA219" i="17"/>
  <c r="GB219" i="17"/>
  <c r="GC219" i="17"/>
  <c r="GD219" i="17"/>
  <c r="GE219" i="17"/>
  <c r="GF219" i="17"/>
  <c r="GG219" i="17"/>
  <c r="GH219" i="17"/>
  <c r="GI219" i="17"/>
  <c r="GJ219" i="17"/>
  <c r="GK219" i="17"/>
  <c r="GL219" i="17"/>
  <c r="GM219" i="17"/>
  <c r="GN219" i="17"/>
  <c r="GO219" i="17"/>
  <c r="GP219" i="17"/>
  <c r="GQ219" i="17"/>
  <c r="GR219" i="17"/>
  <c r="GS219" i="17"/>
  <c r="GT219" i="17"/>
  <c r="GU219" i="17"/>
  <c r="GV219" i="17"/>
  <c r="GW219" i="17"/>
  <c r="GX219" i="17"/>
  <c r="GY219" i="17"/>
  <c r="GZ219" i="17"/>
  <c r="HA219" i="17"/>
  <c r="HB219" i="17"/>
  <c r="HC219" i="17"/>
  <c r="HD219" i="17"/>
  <c r="HE219" i="17"/>
  <c r="HF219" i="17"/>
  <c r="HG219" i="17"/>
  <c r="HH219" i="17"/>
  <c r="HI219" i="17"/>
  <c r="HJ219" i="17"/>
  <c r="HK219" i="17"/>
  <c r="HL219" i="17"/>
  <c r="HM219" i="17"/>
  <c r="HN219" i="17"/>
  <c r="HO219" i="17"/>
  <c r="HP219" i="17"/>
  <c r="HQ219" i="17"/>
  <c r="HR219" i="17"/>
  <c r="HS219" i="17"/>
  <c r="HT219" i="17"/>
  <c r="HU219" i="17"/>
  <c r="HV219" i="17"/>
  <c r="HW219" i="17"/>
  <c r="HX219" i="17"/>
  <c r="HY219" i="17"/>
  <c r="HZ219" i="17"/>
  <c r="IA219" i="17"/>
  <c r="IB219" i="17"/>
  <c r="IC219" i="17"/>
  <c r="ID219" i="17"/>
  <c r="IE219" i="17"/>
  <c r="IF219" i="17"/>
  <c r="IG219" i="17"/>
  <c r="IH219" i="17"/>
  <c r="II219" i="17"/>
  <c r="IJ219" i="17"/>
  <c r="IK219" i="17"/>
  <c r="IL219" i="17"/>
  <c r="IM219" i="17"/>
  <c r="IN219" i="17"/>
  <c r="IO219" i="17"/>
  <c r="IP219" i="17"/>
  <c r="IQ219" i="17"/>
  <c r="IR219" i="17"/>
  <c r="IS219" i="17"/>
  <c r="IT219" i="17"/>
  <c r="IU219" i="17"/>
  <c r="IV219" i="17"/>
  <c r="A218" i="17"/>
  <c r="B218" i="17"/>
  <c r="C218" i="17"/>
  <c r="D218" i="17"/>
  <c r="E218" i="17"/>
  <c r="F218" i="17"/>
  <c r="G218" i="17"/>
  <c r="H218" i="17"/>
  <c r="I218" i="17"/>
  <c r="J218" i="17"/>
  <c r="K218" i="17"/>
  <c r="L218" i="17"/>
  <c r="M218" i="17"/>
  <c r="N218" i="17"/>
  <c r="O218" i="17"/>
  <c r="P218" i="17"/>
  <c r="Q218" i="17"/>
  <c r="R218" i="17"/>
  <c r="S218" i="17"/>
  <c r="T218" i="17"/>
  <c r="U218" i="17"/>
  <c r="V218" i="17"/>
  <c r="W218" i="17"/>
  <c r="X218" i="17"/>
  <c r="Y218" i="17"/>
  <c r="Z218" i="17"/>
  <c r="AA218" i="17"/>
  <c r="AB218" i="17"/>
  <c r="AC218" i="17"/>
  <c r="AD218" i="17"/>
  <c r="AE218" i="17"/>
  <c r="AF218" i="17"/>
  <c r="AG218" i="17"/>
  <c r="AH218" i="17"/>
  <c r="AI218" i="17"/>
  <c r="AJ218" i="17"/>
  <c r="AK218" i="17"/>
  <c r="AL218" i="17"/>
  <c r="AM218" i="17"/>
  <c r="AN218" i="17"/>
  <c r="AO218" i="17"/>
  <c r="AP218" i="17"/>
  <c r="AQ218" i="17"/>
  <c r="AR218" i="17"/>
  <c r="AS218" i="17"/>
  <c r="AT218" i="17"/>
  <c r="AU218" i="17"/>
  <c r="AV218" i="17"/>
  <c r="AW218" i="17"/>
  <c r="AX218" i="17"/>
  <c r="AY218" i="17"/>
  <c r="AZ218" i="17"/>
  <c r="BA218" i="17"/>
  <c r="BB218" i="17"/>
  <c r="BC218" i="17"/>
  <c r="BD218" i="17"/>
  <c r="BE218" i="17"/>
  <c r="BF218" i="17"/>
  <c r="BG218" i="17"/>
  <c r="BH218" i="17"/>
  <c r="BI218" i="17"/>
  <c r="BJ218" i="17"/>
  <c r="BK218" i="17"/>
  <c r="BL218" i="17"/>
  <c r="BM218" i="17"/>
  <c r="BN218" i="17"/>
  <c r="BO218" i="17"/>
  <c r="BP218" i="17"/>
  <c r="BQ218" i="17"/>
  <c r="BR218" i="17"/>
  <c r="BS218" i="17"/>
  <c r="BT218" i="17"/>
  <c r="BU218" i="17"/>
  <c r="BV218" i="17"/>
  <c r="BW218" i="17"/>
  <c r="BX218" i="17"/>
  <c r="BY218" i="17"/>
  <c r="BZ218" i="17"/>
  <c r="CA218" i="17"/>
  <c r="CB218" i="17"/>
  <c r="CC218" i="17"/>
  <c r="CD218" i="17"/>
  <c r="CE218" i="17"/>
  <c r="CF218" i="17"/>
  <c r="CG218" i="17"/>
  <c r="CH218" i="17"/>
  <c r="CI218" i="17"/>
  <c r="CJ218" i="17"/>
  <c r="CK218" i="17"/>
  <c r="CL218" i="17"/>
  <c r="CM218" i="17"/>
  <c r="CN218" i="17"/>
  <c r="CO218" i="17"/>
  <c r="CP218" i="17"/>
  <c r="CQ218" i="17"/>
  <c r="CR218" i="17"/>
  <c r="CS218" i="17"/>
  <c r="CT218" i="17"/>
  <c r="CU218" i="17"/>
  <c r="CV218" i="17"/>
  <c r="CW218" i="17"/>
  <c r="CX218" i="17"/>
  <c r="CY218" i="17"/>
  <c r="CZ218" i="17"/>
  <c r="DA218" i="17"/>
  <c r="DB218" i="17"/>
  <c r="DC218" i="17"/>
  <c r="DD218" i="17"/>
  <c r="DE218" i="17"/>
  <c r="DF218" i="17"/>
  <c r="DG218" i="17"/>
  <c r="DH218" i="17"/>
  <c r="DI218" i="17"/>
  <c r="DJ218" i="17"/>
  <c r="DK218" i="17"/>
  <c r="DL218" i="17"/>
  <c r="DM218" i="17"/>
  <c r="DN218" i="17"/>
  <c r="DO218" i="17"/>
  <c r="DP218" i="17"/>
  <c r="DQ218" i="17"/>
  <c r="DR218" i="17"/>
  <c r="DS218" i="17"/>
  <c r="DT218" i="17"/>
  <c r="DU218" i="17"/>
  <c r="DV218" i="17"/>
  <c r="DW218" i="17"/>
  <c r="DX218" i="17"/>
  <c r="DY218" i="17"/>
  <c r="DZ218" i="17"/>
  <c r="EA218" i="17"/>
  <c r="EB218" i="17"/>
  <c r="EC218" i="17"/>
  <c r="ED218" i="17"/>
  <c r="EE218" i="17"/>
  <c r="EF218" i="17"/>
  <c r="EG218" i="17"/>
  <c r="EH218" i="17"/>
  <c r="EI218" i="17"/>
  <c r="EJ218" i="17"/>
  <c r="EK218" i="17"/>
  <c r="EL218" i="17"/>
  <c r="EM218" i="17"/>
  <c r="EN218" i="17"/>
  <c r="EO218" i="17"/>
  <c r="EP218" i="17"/>
  <c r="EQ218" i="17"/>
  <c r="ER218" i="17"/>
  <c r="ES218" i="17"/>
  <c r="ET218" i="17"/>
  <c r="EU218" i="17"/>
  <c r="EV218" i="17"/>
  <c r="EW218" i="17"/>
  <c r="EX218" i="17"/>
  <c r="EY218" i="17"/>
  <c r="EZ218" i="17"/>
  <c r="FA218" i="17"/>
  <c r="FB218" i="17"/>
  <c r="FC218" i="17"/>
  <c r="FD218" i="17"/>
  <c r="FE218" i="17"/>
  <c r="FF218" i="17"/>
  <c r="FG218" i="17"/>
  <c r="FH218" i="17"/>
  <c r="FI218" i="17"/>
  <c r="FJ218" i="17"/>
  <c r="FK218" i="17"/>
  <c r="FL218" i="17"/>
  <c r="FM218" i="17"/>
  <c r="FN218" i="17"/>
  <c r="FO218" i="17"/>
  <c r="FP218" i="17"/>
  <c r="FQ218" i="17"/>
  <c r="FR218" i="17"/>
  <c r="FS218" i="17"/>
  <c r="FT218" i="17"/>
  <c r="FU218" i="17"/>
  <c r="FV218" i="17"/>
  <c r="FW218" i="17"/>
  <c r="FX218" i="17"/>
  <c r="FY218" i="17"/>
  <c r="FZ218" i="17"/>
  <c r="GA218" i="17"/>
  <c r="GB218" i="17"/>
  <c r="GC218" i="17"/>
  <c r="GD218" i="17"/>
  <c r="GE218" i="17"/>
  <c r="GF218" i="17"/>
  <c r="GG218" i="17"/>
  <c r="GH218" i="17"/>
  <c r="GI218" i="17"/>
  <c r="GJ218" i="17"/>
  <c r="GK218" i="17"/>
  <c r="GL218" i="17"/>
  <c r="GM218" i="17"/>
  <c r="GN218" i="17"/>
  <c r="GO218" i="17"/>
  <c r="GP218" i="17"/>
  <c r="GQ218" i="17"/>
  <c r="GR218" i="17"/>
  <c r="GS218" i="17"/>
  <c r="GT218" i="17"/>
  <c r="GU218" i="17"/>
  <c r="GV218" i="17"/>
  <c r="GW218" i="17"/>
  <c r="GX218" i="17"/>
  <c r="GY218" i="17"/>
  <c r="GZ218" i="17"/>
  <c r="HA218" i="17"/>
  <c r="HB218" i="17"/>
  <c r="HC218" i="17"/>
  <c r="HD218" i="17"/>
  <c r="HE218" i="17"/>
  <c r="HF218" i="17"/>
  <c r="HG218" i="17"/>
  <c r="HH218" i="17"/>
  <c r="HI218" i="17"/>
  <c r="HJ218" i="17"/>
  <c r="HK218" i="17"/>
  <c r="HL218" i="17"/>
  <c r="HM218" i="17"/>
  <c r="HN218" i="17"/>
  <c r="HO218" i="17"/>
  <c r="HP218" i="17"/>
  <c r="HQ218" i="17"/>
  <c r="HR218" i="17"/>
  <c r="HS218" i="17"/>
  <c r="HT218" i="17"/>
  <c r="HU218" i="17"/>
  <c r="HV218" i="17"/>
  <c r="HW218" i="17"/>
  <c r="HX218" i="17"/>
  <c r="HY218" i="17"/>
  <c r="HZ218" i="17"/>
  <c r="IA218" i="17"/>
  <c r="IB218" i="17"/>
  <c r="IC218" i="17"/>
  <c r="ID218" i="17"/>
  <c r="IE218" i="17"/>
  <c r="IF218" i="17"/>
  <c r="IG218" i="17"/>
  <c r="IH218" i="17"/>
  <c r="II218" i="17"/>
  <c r="IJ218" i="17"/>
  <c r="IK218" i="17"/>
  <c r="IL218" i="17"/>
  <c r="IM218" i="17"/>
  <c r="IN218" i="17"/>
  <c r="IO218" i="17"/>
  <c r="IP218" i="17"/>
  <c r="IQ218" i="17"/>
  <c r="IR218" i="17"/>
  <c r="IS218" i="17"/>
  <c r="IT218" i="17"/>
  <c r="IU218" i="17"/>
  <c r="IV218" i="17"/>
  <c r="A217" i="17"/>
  <c r="B217" i="17"/>
  <c r="C217" i="17"/>
  <c r="D217" i="17"/>
  <c r="E217" i="17"/>
  <c r="F217" i="17"/>
  <c r="G217" i="17"/>
  <c r="H217" i="17"/>
  <c r="I217" i="17"/>
  <c r="J217" i="17"/>
  <c r="K217" i="17"/>
  <c r="L217" i="17"/>
  <c r="M217" i="17"/>
  <c r="N217" i="17"/>
  <c r="O217" i="17"/>
  <c r="P217" i="17"/>
  <c r="Q217" i="17"/>
  <c r="R217" i="17"/>
  <c r="S217" i="17"/>
  <c r="T217" i="17"/>
  <c r="U217" i="17"/>
  <c r="V217" i="17"/>
  <c r="W217" i="17"/>
  <c r="X217" i="17"/>
  <c r="Y217" i="17"/>
  <c r="Z217" i="17"/>
  <c r="AA217" i="17"/>
  <c r="AB217" i="17"/>
  <c r="AC217" i="17"/>
  <c r="AD217" i="17"/>
  <c r="AE217" i="17"/>
  <c r="AF217" i="17"/>
  <c r="AG217" i="17"/>
  <c r="AH217" i="17"/>
  <c r="AI217" i="17"/>
  <c r="AJ217" i="17"/>
  <c r="AK217" i="17"/>
  <c r="AL217" i="17"/>
  <c r="AM217" i="17"/>
  <c r="AN217" i="17"/>
  <c r="AO217" i="17"/>
  <c r="AP217" i="17"/>
  <c r="AQ217" i="17"/>
  <c r="AR217" i="17"/>
  <c r="AS217" i="17"/>
  <c r="AT217" i="17"/>
  <c r="AU217" i="17"/>
  <c r="AV217" i="17"/>
  <c r="AW217" i="17"/>
  <c r="AX217" i="17"/>
  <c r="AY217" i="17"/>
  <c r="AZ217" i="17"/>
  <c r="BA217" i="17"/>
  <c r="BB217" i="17"/>
  <c r="BC217" i="17"/>
  <c r="BD217" i="17"/>
  <c r="BE217" i="17"/>
  <c r="BF217" i="17"/>
  <c r="BG217" i="17"/>
  <c r="BH217" i="17"/>
  <c r="BI217" i="17"/>
  <c r="BJ217" i="17"/>
  <c r="BK217" i="17"/>
  <c r="BL217" i="17"/>
  <c r="BM217" i="17"/>
  <c r="BN217" i="17"/>
  <c r="BO217" i="17"/>
  <c r="BP217" i="17"/>
  <c r="BQ217" i="17"/>
  <c r="BR217" i="17"/>
  <c r="BS217" i="17"/>
  <c r="BT217" i="17"/>
  <c r="BU217" i="17"/>
  <c r="BV217" i="17"/>
  <c r="BW217" i="17"/>
  <c r="BX217" i="17"/>
  <c r="BY217" i="17"/>
  <c r="BZ217" i="17"/>
  <c r="CA217" i="17"/>
  <c r="CB217" i="17"/>
  <c r="CC217" i="17"/>
  <c r="CD217" i="17"/>
  <c r="CE217" i="17"/>
  <c r="CF217" i="17"/>
  <c r="CG217" i="17"/>
  <c r="CH217" i="17"/>
  <c r="CI217" i="17"/>
  <c r="CJ217" i="17"/>
  <c r="CK217" i="17"/>
  <c r="CL217" i="17"/>
  <c r="CM217" i="17"/>
  <c r="CN217" i="17"/>
  <c r="CO217" i="17"/>
  <c r="CP217" i="17"/>
  <c r="CQ217" i="17"/>
  <c r="CR217" i="17"/>
  <c r="CS217" i="17"/>
  <c r="CT217" i="17"/>
  <c r="CU217" i="17"/>
  <c r="CV217" i="17"/>
  <c r="CW217" i="17"/>
  <c r="CX217" i="17"/>
  <c r="CY217" i="17"/>
  <c r="CZ217" i="17"/>
  <c r="DA217" i="17"/>
  <c r="DB217" i="17"/>
  <c r="DC217" i="17"/>
  <c r="DD217" i="17"/>
  <c r="DE217" i="17"/>
  <c r="DF217" i="17"/>
  <c r="DG217" i="17"/>
  <c r="DH217" i="17"/>
  <c r="DI217" i="17"/>
  <c r="DJ217" i="17"/>
  <c r="DK217" i="17"/>
  <c r="DL217" i="17"/>
  <c r="DM217" i="17"/>
  <c r="DN217" i="17"/>
  <c r="DO217" i="17"/>
  <c r="DP217" i="17"/>
  <c r="DQ217" i="17"/>
  <c r="DR217" i="17"/>
  <c r="DS217" i="17"/>
  <c r="DT217" i="17"/>
  <c r="DU217" i="17"/>
  <c r="DV217" i="17"/>
  <c r="DW217" i="17"/>
  <c r="DX217" i="17"/>
  <c r="DY217" i="17"/>
  <c r="DZ217" i="17"/>
  <c r="EA217" i="17"/>
  <c r="EB217" i="17"/>
  <c r="EC217" i="17"/>
  <c r="ED217" i="17"/>
  <c r="EE217" i="17"/>
  <c r="EF217" i="17"/>
  <c r="EG217" i="17"/>
  <c r="EH217" i="17"/>
  <c r="EI217" i="17"/>
  <c r="EJ217" i="17"/>
  <c r="EK217" i="17"/>
  <c r="EL217" i="17"/>
  <c r="EM217" i="17"/>
  <c r="EN217" i="17"/>
  <c r="EO217" i="17"/>
  <c r="EP217" i="17"/>
  <c r="EQ217" i="17"/>
  <c r="ER217" i="17"/>
  <c r="ES217" i="17"/>
  <c r="ET217" i="17"/>
  <c r="EU217" i="17"/>
  <c r="EV217" i="17"/>
  <c r="EW217" i="17"/>
  <c r="EX217" i="17"/>
  <c r="EY217" i="17"/>
  <c r="EZ217" i="17"/>
  <c r="FA217" i="17"/>
  <c r="FB217" i="17"/>
  <c r="FC217" i="17"/>
  <c r="FD217" i="17"/>
  <c r="FE217" i="17"/>
  <c r="FF217" i="17"/>
  <c r="FG217" i="17"/>
  <c r="FH217" i="17"/>
  <c r="FI217" i="17"/>
  <c r="FJ217" i="17"/>
  <c r="FK217" i="17"/>
  <c r="FL217" i="17"/>
  <c r="FM217" i="17"/>
  <c r="FN217" i="17"/>
  <c r="FO217" i="17"/>
  <c r="FP217" i="17"/>
  <c r="FQ217" i="17"/>
  <c r="FR217" i="17"/>
  <c r="FS217" i="17"/>
  <c r="FT217" i="17"/>
  <c r="FU217" i="17"/>
  <c r="FV217" i="17"/>
  <c r="FW217" i="17"/>
  <c r="FX217" i="17"/>
  <c r="FY217" i="17"/>
  <c r="FZ217" i="17"/>
  <c r="GA217" i="17"/>
  <c r="GB217" i="17"/>
  <c r="GC217" i="17"/>
  <c r="GD217" i="17"/>
  <c r="GE217" i="17"/>
  <c r="GF217" i="17"/>
  <c r="GG217" i="17"/>
  <c r="GH217" i="17"/>
  <c r="GI217" i="17"/>
  <c r="GJ217" i="17"/>
  <c r="GK217" i="17"/>
  <c r="GL217" i="17"/>
  <c r="GM217" i="17"/>
  <c r="GN217" i="17"/>
  <c r="GO217" i="17"/>
  <c r="GP217" i="17"/>
  <c r="GQ217" i="17"/>
  <c r="GR217" i="17"/>
  <c r="GS217" i="17"/>
  <c r="GT217" i="17"/>
  <c r="GU217" i="17"/>
  <c r="GV217" i="17"/>
  <c r="GW217" i="17"/>
  <c r="GX217" i="17"/>
  <c r="GY217" i="17"/>
  <c r="GZ217" i="17"/>
  <c r="HA217" i="17"/>
  <c r="HB217" i="17"/>
  <c r="HC217" i="17"/>
  <c r="HD217" i="17"/>
  <c r="HE217" i="17"/>
  <c r="HF217" i="17"/>
  <c r="HG217" i="17"/>
  <c r="HH217" i="17"/>
  <c r="HI217" i="17"/>
  <c r="HJ217" i="17"/>
  <c r="HK217" i="17"/>
  <c r="HL217" i="17"/>
  <c r="HM217" i="17"/>
  <c r="HN217" i="17"/>
  <c r="HO217" i="17"/>
  <c r="HP217" i="17"/>
  <c r="HQ217" i="17"/>
  <c r="HR217" i="17"/>
  <c r="HS217" i="17"/>
  <c r="HT217" i="17"/>
  <c r="HU217" i="17"/>
  <c r="HV217" i="17"/>
  <c r="HW217" i="17"/>
  <c r="HX217" i="17"/>
  <c r="HY217" i="17"/>
  <c r="HZ217" i="17"/>
  <c r="IA217" i="17"/>
  <c r="IB217" i="17"/>
  <c r="IC217" i="17"/>
  <c r="ID217" i="17"/>
  <c r="IE217" i="17"/>
  <c r="IF217" i="17"/>
  <c r="IG217" i="17"/>
  <c r="IH217" i="17"/>
  <c r="II217" i="17"/>
  <c r="IJ217" i="17"/>
  <c r="IK217" i="17"/>
  <c r="IL217" i="17"/>
  <c r="IM217" i="17"/>
  <c r="IN217" i="17"/>
  <c r="IO217" i="17"/>
  <c r="IP217" i="17"/>
  <c r="IQ217" i="17"/>
  <c r="IR217" i="17"/>
  <c r="IS217" i="17"/>
  <c r="IT217" i="17"/>
  <c r="IU217" i="17"/>
  <c r="IV217" i="17"/>
  <c r="A216" i="17"/>
  <c r="B216" i="17"/>
  <c r="C216" i="17"/>
  <c r="D216" i="17"/>
  <c r="E216" i="17"/>
  <c r="F216" i="17"/>
  <c r="G216" i="17"/>
  <c r="H216" i="17"/>
  <c r="I216" i="17"/>
  <c r="J216" i="17"/>
  <c r="K216" i="17"/>
  <c r="L216" i="17"/>
  <c r="M216" i="17"/>
  <c r="N216" i="17"/>
  <c r="O216" i="17"/>
  <c r="P216" i="17"/>
  <c r="Q216" i="17"/>
  <c r="R216" i="17"/>
  <c r="S216" i="17"/>
  <c r="T216" i="17"/>
  <c r="U216" i="17"/>
  <c r="V216" i="17"/>
  <c r="W216" i="17"/>
  <c r="X216" i="17"/>
  <c r="Y216" i="17"/>
  <c r="Z216" i="17"/>
  <c r="AA216" i="17"/>
  <c r="AB216" i="17"/>
  <c r="AC216" i="17"/>
  <c r="AD216" i="17"/>
  <c r="AE216" i="17"/>
  <c r="AF216" i="17"/>
  <c r="AG216" i="17"/>
  <c r="AH216" i="17"/>
  <c r="AI216" i="17"/>
  <c r="AJ216" i="17"/>
  <c r="AK216" i="17"/>
  <c r="AL216" i="17"/>
  <c r="AM216" i="17"/>
  <c r="AN216" i="17"/>
  <c r="AO216" i="17"/>
  <c r="AP216" i="17"/>
  <c r="AQ216" i="17"/>
  <c r="AR216" i="17"/>
  <c r="AS216" i="17"/>
  <c r="AT216" i="17"/>
  <c r="AU216" i="17"/>
  <c r="AV216" i="17"/>
  <c r="AW216" i="17"/>
  <c r="AX216" i="17"/>
  <c r="AY216" i="17"/>
  <c r="AZ216" i="17"/>
  <c r="BA216" i="17"/>
  <c r="BB216" i="17"/>
  <c r="BC216" i="17"/>
  <c r="BD216" i="17"/>
  <c r="BE216" i="17"/>
  <c r="BF216" i="17"/>
  <c r="BG216" i="17"/>
  <c r="BH216" i="17"/>
  <c r="BI216" i="17"/>
  <c r="BJ216" i="17"/>
  <c r="BK216" i="17"/>
  <c r="BL216" i="17"/>
  <c r="BM216" i="17"/>
  <c r="BN216" i="17"/>
  <c r="BO216" i="17"/>
  <c r="BP216" i="17"/>
  <c r="BQ216" i="17"/>
  <c r="BR216" i="17"/>
  <c r="BS216" i="17"/>
  <c r="BT216" i="17"/>
  <c r="BU216" i="17"/>
  <c r="BV216" i="17"/>
  <c r="BW216" i="17"/>
  <c r="BX216" i="17"/>
  <c r="BY216" i="17"/>
  <c r="BZ216" i="17"/>
  <c r="CA216" i="17"/>
  <c r="CB216" i="17"/>
  <c r="CC216" i="17"/>
  <c r="CD216" i="17"/>
  <c r="CE216" i="17"/>
  <c r="CF216" i="17"/>
  <c r="CG216" i="17"/>
  <c r="CH216" i="17"/>
  <c r="CI216" i="17"/>
  <c r="CJ216" i="17"/>
  <c r="CK216" i="17"/>
  <c r="CL216" i="17"/>
  <c r="CM216" i="17"/>
  <c r="CN216" i="17"/>
  <c r="CO216" i="17"/>
  <c r="CP216" i="17"/>
  <c r="CQ216" i="17"/>
  <c r="CR216" i="17"/>
  <c r="CS216" i="17"/>
  <c r="CT216" i="17"/>
  <c r="CU216" i="17"/>
  <c r="CV216" i="17"/>
  <c r="CW216" i="17"/>
  <c r="CX216" i="17"/>
  <c r="CY216" i="17"/>
  <c r="CZ216" i="17"/>
  <c r="DA216" i="17"/>
  <c r="DB216" i="17"/>
  <c r="DC216" i="17"/>
  <c r="DD216" i="17"/>
  <c r="DE216" i="17"/>
  <c r="DF216" i="17"/>
  <c r="DG216" i="17"/>
  <c r="DH216" i="17"/>
  <c r="DI216" i="17"/>
  <c r="DJ216" i="17"/>
  <c r="DK216" i="17"/>
  <c r="DL216" i="17"/>
  <c r="DM216" i="17"/>
  <c r="DN216" i="17"/>
  <c r="DO216" i="17"/>
  <c r="DP216" i="17"/>
  <c r="DQ216" i="17"/>
  <c r="DR216" i="17"/>
  <c r="DS216" i="17"/>
  <c r="DT216" i="17"/>
  <c r="DU216" i="17"/>
  <c r="DV216" i="17"/>
  <c r="DW216" i="17"/>
  <c r="DX216" i="17"/>
  <c r="DY216" i="17"/>
  <c r="DZ216" i="17"/>
  <c r="EA216" i="17"/>
  <c r="EB216" i="17"/>
  <c r="EC216" i="17"/>
  <c r="ED216" i="17"/>
  <c r="EE216" i="17"/>
  <c r="EF216" i="17"/>
  <c r="EG216" i="17"/>
  <c r="EH216" i="17"/>
  <c r="EI216" i="17"/>
  <c r="EJ216" i="17"/>
  <c r="EK216" i="17"/>
  <c r="EL216" i="17"/>
  <c r="EM216" i="17"/>
  <c r="EN216" i="17"/>
  <c r="EO216" i="17"/>
  <c r="EP216" i="17"/>
  <c r="EQ216" i="17"/>
  <c r="ER216" i="17"/>
  <c r="ES216" i="17"/>
  <c r="ET216" i="17"/>
  <c r="EU216" i="17"/>
  <c r="EV216" i="17"/>
  <c r="EW216" i="17"/>
  <c r="EX216" i="17"/>
  <c r="EY216" i="17"/>
  <c r="EZ216" i="17"/>
  <c r="FA216" i="17"/>
  <c r="FB216" i="17"/>
  <c r="FC216" i="17"/>
  <c r="FD216" i="17"/>
  <c r="FE216" i="17"/>
  <c r="FF216" i="17"/>
  <c r="FG216" i="17"/>
  <c r="FH216" i="17"/>
  <c r="FI216" i="17"/>
  <c r="FJ216" i="17"/>
  <c r="FK216" i="17"/>
  <c r="FL216" i="17"/>
  <c r="FM216" i="17"/>
  <c r="FN216" i="17"/>
  <c r="FO216" i="17"/>
  <c r="FP216" i="17"/>
  <c r="FQ216" i="17"/>
  <c r="FR216" i="17"/>
  <c r="FS216" i="17"/>
  <c r="FT216" i="17"/>
  <c r="FU216" i="17"/>
  <c r="FV216" i="17"/>
  <c r="FW216" i="17"/>
  <c r="FX216" i="17"/>
  <c r="FY216" i="17"/>
  <c r="FZ216" i="17"/>
  <c r="GA216" i="17"/>
  <c r="GB216" i="17"/>
  <c r="GC216" i="17"/>
  <c r="GD216" i="17"/>
  <c r="GE216" i="17"/>
  <c r="GF216" i="17"/>
  <c r="GG216" i="17"/>
  <c r="GH216" i="17"/>
  <c r="GI216" i="17"/>
  <c r="GJ216" i="17"/>
  <c r="GK216" i="17"/>
  <c r="GL216" i="17"/>
  <c r="GM216" i="17"/>
  <c r="GN216" i="17"/>
  <c r="GO216" i="17"/>
  <c r="GP216" i="17"/>
  <c r="GQ216" i="17"/>
  <c r="GR216" i="17"/>
  <c r="GS216" i="17"/>
  <c r="GT216" i="17"/>
  <c r="GU216" i="17"/>
  <c r="GV216" i="17"/>
  <c r="GW216" i="17"/>
  <c r="GX216" i="17"/>
  <c r="GY216" i="17"/>
  <c r="GZ216" i="17"/>
  <c r="HA216" i="17"/>
  <c r="HB216" i="17"/>
  <c r="HC216" i="17"/>
  <c r="HD216" i="17"/>
  <c r="HE216" i="17"/>
  <c r="HF216" i="17"/>
  <c r="HG216" i="17"/>
  <c r="HH216" i="17"/>
  <c r="HI216" i="17"/>
  <c r="HJ216" i="17"/>
  <c r="HK216" i="17"/>
  <c r="HL216" i="17"/>
  <c r="HM216" i="17"/>
  <c r="HN216" i="17"/>
  <c r="HO216" i="17"/>
  <c r="HP216" i="17"/>
  <c r="HQ216" i="17"/>
  <c r="HR216" i="17"/>
  <c r="HS216" i="17"/>
  <c r="HT216" i="17"/>
  <c r="HU216" i="17"/>
  <c r="HV216" i="17"/>
  <c r="HW216" i="17"/>
  <c r="HX216" i="17"/>
  <c r="HY216" i="17"/>
  <c r="HZ216" i="17"/>
  <c r="IA216" i="17"/>
  <c r="IB216" i="17"/>
  <c r="IC216" i="17"/>
  <c r="ID216" i="17"/>
  <c r="IE216" i="17"/>
  <c r="IF216" i="17"/>
  <c r="IG216" i="17"/>
  <c r="IH216" i="17"/>
  <c r="II216" i="17"/>
  <c r="IJ216" i="17"/>
  <c r="IK216" i="17"/>
  <c r="IL216" i="17"/>
  <c r="IM216" i="17"/>
  <c r="IN216" i="17"/>
  <c r="IO216" i="17"/>
  <c r="IP216" i="17"/>
  <c r="IQ216" i="17"/>
  <c r="IR216" i="17"/>
  <c r="IS216" i="17"/>
  <c r="IT216" i="17"/>
  <c r="IU216" i="17"/>
  <c r="IV216" i="17"/>
  <c r="A215" i="17"/>
  <c r="B215" i="17"/>
  <c r="C215" i="17"/>
  <c r="D215" i="17"/>
  <c r="E215" i="17"/>
  <c r="F215" i="17"/>
  <c r="G215" i="17"/>
  <c r="H215" i="17"/>
  <c r="I215" i="17"/>
  <c r="J215" i="17"/>
  <c r="K215" i="17"/>
  <c r="L215" i="17"/>
  <c r="M215" i="17"/>
  <c r="N215" i="17"/>
  <c r="O215" i="17"/>
  <c r="P215" i="17"/>
  <c r="Q215" i="17"/>
  <c r="R215" i="17"/>
  <c r="S215" i="17"/>
  <c r="T215" i="17"/>
  <c r="U215" i="17"/>
  <c r="V215" i="17"/>
  <c r="W215" i="17"/>
  <c r="X215" i="17"/>
  <c r="Y215" i="17"/>
  <c r="Z215" i="17"/>
  <c r="AA215" i="17"/>
  <c r="AB215" i="17"/>
  <c r="AC215" i="17"/>
  <c r="AD215" i="17"/>
  <c r="AE215" i="17"/>
  <c r="AF215" i="17"/>
  <c r="AG215" i="17"/>
  <c r="AH215" i="17"/>
  <c r="AI215" i="17"/>
  <c r="AJ215" i="17"/>
  <c r="AK215" i="17"/>
  <c r="AL215" i="17"/>
  <c r="AM215" i="17"/>
  <c r="AN215" i="17"/>
  <c r="AO215" i="17"/>
  <c r="AP215" i="17"/>
  <c r="AQ215" i="17"/>
  <c r="AR215" i="17"/>
  <c r="AS215" i="17"/>
  <c r="AT215" i="17"/>
  <c r="AU215" i="17"/>
  <c r="AV215" i="17"/>
  <c r="AW215" i="17"/>
  <c r="AX215" i="17"/>
  <c r="AY215" i="17"/>
  <c r="AZ215" i="17"/>
  <c r="BA215" i="17"/>
  <c r="BB215" i="17"/>
  <c r="BC215" i="17"/>
  <c r="BD215" i="17"/>
  <c r="BE215" i="17"/>
  <c r="BF215" i="17"/>
  <c r="BG215" i="17"/>
  <c r="BH215" i="17"/>
  <c r="BI215" i="17"/>
  <c r="BJ215" i="17"/>
  <c r="BK215" i="17"/>
  <c r="BL215" i="17"/>
  <c r="BM215" i="17"/>
  <c r="BN215" i="17"/>
  <c r="BO215" i="17"/>
  <c r="BP215" i="17"/>
  <c r="BQ215" i="17"/>
  <c r="BR215" i="17"/>
  <c r="BS215" i="17"/>
  <c r="BT215" i="17"/>
  <c r="BU215" i="17"/>
  <c r="BV215" i="17"/>
  <c r="BW215" i="17"/>
  <c r="BX215" i="17"/>
  <c r="BY215" i="17"/>
  <c r="BZ215" i="17"/>
  <c r="CA215" i="17"/>
  <c r="CB215" i="17"/>
  <c r="CC215" i="17"/>
  <c r="CD215" i="17"/>
  <c r="CE215" i="17"/>
  <c r="CF215" i="17"/>
  <c r="CG215" i="17"/>
  <c r="CH215" i="17"/>
  <c r="CI215" i="17"/>
  <c r="CJ215" i="17"/>
  <c r="CK215" i="17"/>
  <c r="CL215" i="17"/>
  <c r="CM215" i="17"/>
  <c r="CN215" i="17"/>
  <c r="CO215" i="17"/>
  <c r="CP215" i="17"/>
  <c r="CQ215" i="17"/>
  <c r="CR215" i="17"/>
  <c r="CS215" i="17"/>
  <c r="CT215" i="17"/>
  <c r="CU215" i="17"/>
  <c r="CV215" i="17"/>
  <c r="CW215" i="17"/>
  <c r="CX215" i="17"/>
  <c r="CY215" i="17"/>
  <c r="CZ215" i="17"/>
  <c r="DA215" i="17"/>
  <c r="DB215" i="17"/>
  <c r="DC215" i="17"/>
  <c r="DD215" i="17"/>
  <c r="DE215" i="17"/>
  <c r="DF215" i="17"/>
  <c r="DG215" i="17"/>
  <c r="DH215" i="17"/>
  <c r="DI215" i="17"/>
  <c r="DJ215" i="17"/>
  <c r="DK215" i="17"/>
  <c r="DL215" i="17"/>
  <c r="DM215" i="17"/>
  <c r="DN215" i="17"/>
  <c r="DO215" i="17"/>
  <c r="DP215" i="17"/>
  <c r="DQ215" i="17"/>
  <c r="DR215" i="17"/>
  <c r="DS215" i="17"/>
  <c r="DT215" i="17"/>
  <c r="DU215" i="17"/>
  <c r="DV215" i="17"/>
  <c r="DW215" i="17"/>
  <c r="DX215" i="17"/>
  <c r="DY215" i="17"/>
  <c r="DZ215" i="17"/>
  <c r="EA215" i="17"/>
  <c r="EB215" i="17"/>
  <c r="EC215" i="17"/>
  <c r="ED215" i="17"/>
  <c r="EE215" i="17"/>
  <c r="EF215" i="17"/>
  <c r="EG215" i="17"/>
  <c r="EH215" i="17"/>
  <c r="EI215" i="17"/>
  <c r="EJ215" i="17"/>
  <c r="EK215" i="17"/>
  <c r="EL215" i="17"/>
  <c r="EM215" i="17"/>
  <c r="EN215" i="17"/>
  <c r="EO215" i="17"/>
  <c r="EP215" i="17"/>
  <c r="EQ215" i="17"/>
  <c r="ER215" i="17"/>
  <c r="ES215" i="17"/>
  <c r="ET215" i="17"/>
  <c r="EU215" i="17"/>
  <c r="EV215" i="17"/>
  <c r="EW215" i="17"/>
  <c r="EX215" i="17"/>
  <c r="EY215" i="17"/>
  <c r="EZ215" i="17"/>
  <c r="FA215" i="17"/>
  <c r="FB215" i="17"/>
  <c r="FC215" i="17"/>
  <c r="FD215" i="17"/>
  <c r="FE215" i="17"/>
  <c r="FF215" i="17"/>
  <c r="FG215" i="17"/>
  <c r="FH215" i="17"/>
  <c r="FI215" i="17"/>
  <c r="FJ215" i="17"/>
  <c r="FK215" i="17"/>
  <c r="FL215" i="17"/>
  <c r="FM215" i="17"/>
  <c r="FN215" i="17"/>
  <c r="FO215" i="17"/>
  <c r="FP215" i="17"/>
  <c r="FQ215" i="17"/>
  <c r="FR215" i="17"/>
  <c r="FS215" i="17"/>
  <c r="FT215" i="17"/>
  <c r="FU215" i="17"/>
  <c r="FV215" i="17"/>
  <c r="FW215" i="17"/>
  <c r="FX215" i="17"/>
  <c r="FY215" i="17"/>
  <c r="FZ215" i="17"/>
  <c r="GA215" i="17"/>
  <c r="GB215" i="17"/>
  <c r="GC215" i="17"/>
  <c r="GD215" i="17"/>
  <c r="GE215" i="17"/>
  <c r="GF215" i="17"/>
  <c r="GG215" i="17"/>
  <c r="GH215" i="17"/>
  <c r="GI215" i="17"/>
  <c r="GJ215" i="17"/>
  <c r="GK215" i="17"/>
  <c r="GL215" i="17"/>
  <c r="GM215" i="17"/>
  <c r="GN215" i="17"/>
  <c r="GO215" i="17"/>
  <c r="GP215" i="17"/>
  <c r="GQ215" i="17"/>
  <c r="GR215" i="17"/>
  <c r="GS215" i="17"/>
  <c r="GT215" i="17"/>
  <c r="GU215" i="17"/>
  <c r="GV215" i="17"/>
  <c r="GW215" i="17"/>
  <c r="GX215" i="17"/>
  <c r="GY215" i="17"/>
  <c r="GZ215" i="17"/>
  <c r="HA215" i="17"/>
  <c r="HB215" i="17"/>
  <c r="HC215" i="17"/>
  <c r="HD215" i="17"/>
  <c r="HE215" i="17"/>
  <c r="HF215" i="17"/>
  <c r="HG215" i="17"/>
  <c r="HH215" i="17"/>
  <c r="HI215" i="17"/>
  <c r="HJ215" i="17"/>
  <c r="HK215" i="17"/>
  <c r="HL215" i="17"/>
  <c r="HM215" i="17"/>
  <c r="HN215" i="17"/>
  <c r="HO215" i="17"/>
  <c r="HP215" i="17"/>
  <c r="HQ215" i="17"/>
  <c r="HR215" i="17"/>
  <c r="HS215" i="17"/>
  <c r="HT215" i="17"/>
  <c r="HU215" i="17"/>
  <c r="HV215" i="17"/>
  <c r="HW215" i="17"/>
  <c r="HX215" i="17"/>
  <c r="HY215" i="17"/>
  <c r="HZ215" i="17"/>
  <c r="IA215" i="17"/>
  <c r="IB215" i="17"/>
  <c r="IC215" i="17"/>
  <c r="ID215" i="17"/>
  <c r="IE215" i="17"/>
  <c r="IF215" i="17"/>
  <c r="IG215" i="17"/>
  <c r="IH215" i="17"/>
  <c r="II215" i="17"/>
  <c r="IJ215" i="17"/>
  <c r="IK215" i="17"/>
  <c r="IL215" i="17"/>
  <c r="IM215" i="17"/>
  <c r="IN215" i="17"/>
  <c r="IO215" i="17"/>
  <c r="IP215" i="17"/>
  <c r="IQ215" i="17"/>
  <c r="IR215" i="17"/>
  <c r="IS215" i="17"/>
  <c r="IT215" i="17"/>
  <c r="IU215" i="17"/>
  <c r="IV215" i="17"/>
  <c r="A214" i="17"/>
  <c r="B214" i="17"/>
  <c r="C214" i="17"/>
  <c r="D214" i="17"/>
  <c r="E214" i="17"/>
  <c r="F214" i="17"/>
  <c r="G214" i="17"/>
  <c r="H214" i="17"/>
  <c r="I214" i="17"/>
  <c r="J214" i="17"/>
  <c r="K214" i="17"/>
  <c r="L214" i="17"/>
  <c r="M214" i="17"/>
  <c r="N214" i="17"/>
  <c r="O214" i="17"/>
  <c r="P214" i="17"/>
  <c r="Q214" i="17"/>
  <c r="R214" i="17"/>
  <c r="S214" i="17"/>
  <c r="T214" i="17"/>
  <c r="U214" i="17"/>
  <c r="V214" i="17"/>
  <c r="W214" i="17"/>
  <c r="X214" i="17"/>
  <c r="Y214" i="17"/>
  <c r="Z214" i="17"/>
  <c r="AA214" i="17"/>
  <c r="AB214" i="17"/>
  <c r="AC214" i="17"/>
  <c r="AD214" i="17"/>
  <c r="AE214" i="17"/>
  <c r="AF214" i="17"/>
  <c r="AG214" i="17"/>
  <c r="AH214" i="17"/>
  <c r="AI214" i="17"/>
  <c r="AJ214" i="17"/>
  <c r="AK214" i="17"/>
  <c r="AL214" i="17"/>
  <c r="AM214" i="17"/>
  <c r="AN214" i="17"/>
  <c r="AO214" i="17"/>
  <c r="AP214" i="17"/>
  <c r="AQ214" i="17"/>
  <c r="AR214" i="17"/>
  <c r="AS214" i="17"/>
  <c r="AT214" i="17"/>
  <c r="AU214" i="17"/>
  <c r="AV214" i="17"/>
  <c r="AW214" i="17"/>
  <c r="AX214" i="17"/>
  <c r="AY214" i="17"/>
  <c r="AZ214" i="17"/>
  <c r="BA214" i="17"/>
  <c r="BB214" i="17"/>
  <c r="BC214" i="17"/>
  <c r="BD214" i="17"/>
  <c r="BE214" i="17"/>
  <c r="BF214" i="17"/>
  <c r="BG214" i="17"/>
  <c r="BH214" i="17"/>
  <c r="BI214" i="17"/>
  <c r="BJ214" i="17"/>
  <c r="BK214" i="17"/>
  <c r="BL214" i="17"/>
  <c r="BM214" i="17"/>
  <c r="BN214" i="17"/>
  <c r="BO214" i="17"/>
  <c r="BP214" i="17"/>
  <c r="BQ214" i="17"/>
  <c r="BR214" i="17"/>
  <c r="BS214" i="17"/>
  <c r="BT214" i="17"/>
  <c r="BU214" i="17"/>
  <c r="BV214" i="17"/>
  <c r="BW214" i="17"/>
  <c r="BX214" i="17"/>
  <c r="BY214" i="17"/>
  <c r="BZ214" i="17"/>
  <c r="CA214" i="17"/>
  <c r="CB214" i="17"/>
  <c r="CC214" i="17"/>
  <c r="CD214" i="17"/>
  <c r="CE214" i="17"/>
  <c r="CF214" i="17"/>
  <c r="CG214" i="17"/>
  <c r="CH214" i="17"/>
  <c r="CI214" i="17"/>
  <c r="CJ214" i="17"/>
  <c r="CK214" i="17"/>
  <c r="CL214" i="17"/>
  <c r="CM214" i="17"/>
  <c r="CN214" i="17"/>
  <c r="CO214" i="17"/>
  <c r="CP214" i="17"/>
  <c r="CQ214" i="17"/>
  <c r="CR214" i="17"/>
  <c r="CS214" i="17"/>
  <c r="CT214" i="17"/>
  <c r="CU214" i="17"/>
  <c r="CV214" i="17"/>
  <c r="CW214" i="17"/>
  <c r="CX214" i="17"/>
  <c r="CY214" i="17"/>
  <c r="CZ214" i="17"/>
  <c r="DA214" i="17"/>
  <c r="DB214" i="17"/>
  <c r="DC214" i="17"/>
  <c r="DD214" i="17"/>
  <c r="DE214" i="17"/>
  <c r="DF214" i="17"/>
  <c r="DG214" i="17"/>
  <c r="DH214" i="17"/>
  <c r="DI214" i="17"/>
  <c r="DJ214" i="17"/>
  <c r="DK214" i="17"/>
  <c r="DL214" i="17"/>
  <c r="DM214" i="17"/>
  <c r="DN214" i="17"/>
  <c r="DO214" i="17"/>
  <c r="DP214" i="17"/>
  <c r="DQ214" i="17"/>
  <c r="DR214" i="17"/>
  <c r="DS214" i="17"/>
  <c r="DT214" i="17"/>
  <c r="DU214" i="17"/>
  <c r="DV214" i="17"/>
  <c r="DW214" i="17"/>
  <c r="DX214" i="17"/>
  <c r="DY214" i="17"/>
  <c r="DZ214" i="17"/>
  <c r="EA214" i="17"/>
  <c r="EB214" i="17"/>
  <c r="EC214" i="17"/>
  <c r="ED214" i="17"/>
  <c r="EE214" i="17"/>
  <c r="EF214" i="17"/>
  <c r="EG214" i="17"/>
  <c r="EH214" i="17"/>
  <c r="EI214" i="17"/>
  <c r="EJ214" i="17"/>
  <c r="EK214" i="17"/>
  <c r="EL214" i="17"/>
  <c r="EM214" i="17"/>
  <c r="EN214" i="17"/>
  <c r="EO214" i="17"/>
  <c r="EP214" i="17"/>
  <c r="EQ214" i="17"/>
  <c r="ER214" i="17"/>
  <c r="ES214" i="17"/>
  <c r="ET214" i="17"/>
  <c r="EU214" i="17"/>
  <c r="EV214" i="17"/>
  <c r="EW214" i="17"/>
  <c r="EX214" i="17"/>
  <c r="EY214" i="17"/>
  <c r="EZ214" i="17"/>
  <c r="FA214" i="17"/>
  <c r="FB214" i="17"/>
  <c r="FC214" i="17"/>
  <c r="FD214" i="17"/>
  <c r="FE214" i="17"/>
  <c r="FF214" i="17"/>
  <c r="FG214" i="17"/>
  <c r="FH214" i="17"/>
  <c r="FI214" i="17"/>
  <c r="FJ214" i="17"/>
  <c r="FK214" i="17"/>
  <c r="FL214" i="17"/>
  <c r="FM214" i="17"/>
  <c r="FN214" i="17"/>
  <c r="FO214" i="17"/>
  <c r="FP214" i="17"/>
  <c r="FQ214" i="17"/>
  <c r="FR214" i="17"/>
  <c r="FS214" i="17"/>
  <c r="FT214" i="17"/>
  <c r="FU214" i="17"/>
  <c r="FV214" i="17"/>
  <c r="FW214" i="17"/>
  <c r="FX214" i="17"/>
  <c r="FY214" i="17"/>
  <c r="FZ214" i="17"/>
  <c r="GA214" i="17"/>
  <c r="GB214" i="17"/>
  <c r="GC214" i="17"/>
  <c r="GD214" i="17"/>
  <c r="GE214" i="17"/>
  <c r="GF214" i="17"/>
  <c r="GG214" i="17"/>
  <c r="GH214" i="17"/>
  <c r="GI214" i="17"/>
  <c r="GJ214" i="17"/>
  <c r="GK214" i="17"/>
  <c r="GL214" i="17"/>
  <c r="GM214" i="17"/>
  <c r="GN214" i="17"/>
  <c r="GO214" i="17"/>
  <c r="GP214" i="17"/>
  <c r="GQ214" i="17"/>
  <c r="GR214" i="17"/>
  <c r="GS214" i="17"/>
  <c r="GT214" i="17"/>
  <c r="GU214" i="17"/>
  <c r="GV214" i="17"/>
  <c r="GW214" i="17"/>
  <c r="GX214" i="17"/>
  <c r="GY214" i="17"/>
  <c r="GZ214" i="17"/>
  <c r="HA214" i="17"/>
  <c r="HB214" i="17"/>
  <c r="HC214" i="17"/>
  <c r="HD214" i="17"/>
  <c r="HE214" i="17"/>
  <c r="HF214" i="17"/>
  <c r="HG214" i="17"/>
  <c r="HH214" i="17"/>
  <c r="HI214" i="17"/>
  <c r="HJ214" i="17"/>
  <c r="HK214" i="17"/>
  <c r="HL214" i="17"/>
  <c r="HM214" i="17"/>
  <c r="HN214" i="17"/>
  <c r="HO214" i="17"/>
  <c r="HP214" i="17"/>
  <c r="HQ214" i="17"/>
  <c r="HR214" i="17"/>
  <c r="HS214" i="17"/>
  <c r="HT214" i="17"/>
  <c r="HU214" i="17"/>
  <c r="HV214" i="17"/>
  <c r="HW214" i="17"/>
  <c r="HX214" i="17"/>
  <c r="HY214" i="17"/>
  <c r="HZ214" i="17"/>
  <c r="IA214" i="17"/>
  <c r="IB214" i="17"/>
  <c r="IC214" i="17"/>
  <c r="ID214" i="17"/>
  <c r="IE214" i="17"/>
  <c r="IF214" i="17"/>
  <c r="IG214" i="17"/>
  <c r="IH214" i="17"/>
  <c r="II214" i="17"/>
  <c r="IJ214" i="17"/>
  <c r="IK214" i="17"/>
  <c r="IL214" i="17"/>
  <c r="IM214" i="17"/>
  <c r="IN214" i="17"/>
  <c r="IO214" i="17"/>
  <c r="IP214" i="17"/>
  <c r="IQ214" i="17"/>
  <c r="IR214" i="17"/>
  <c r="IS214" i="17"/>
  <c r="IT214" i="17"/>
  <c r="IU214" i="17"/>
  <c r="IV214" i="17"/>
  <c r="A213" i="17"/>
  <c r="B213" i="17"/>
  <c r="C213" i="17"/>
  <c r="D213" i="17"/>
  <c r="E213" i="17"/>
  <c r="F213" i="17"/>
  <c r="G213" i="17"/>
  <c r="H213" i="17"/>
  <c r="I213" i="17"/>
  <c r="J213" i="17"/>
  <c r="K213" i="17"/>
  <c r="L213" i="17"/>
  <c r="M213" i="17"/>
  <c r="N213" i="17"/>
  <c r="O213" i="17"/>
  <c r="P213" i="17"/>
  <c r="Q213" i="17"/>
  <c r="R213" i="17"/>
  <c r="S213" i="17"/>
  <c r="T213" i="17"/>
  <c r="U213" i="17"/>
  <c r="V213" i="17"/>
  <c r="W213" i="17"/>
  <c r="X213" i="17"/>
  <c r="Y213" i="17"/>
  <c r="Z213" i="17"/>
  <c r="AA213" i="17"/>
  <c r="AB213" i="17"/>
  <c r="AC213" i="17"/>
  <c r="AD213" i="17"/>
  <c r="AE213" i="17"/>
  <c r="AF213" i="17"/>
  <c r="AG213" i="17"/>
  <c r="AH213" i="17"/>
  <c r="AI213" i="17"/>
  <c r="AJ213" i="17"/>
  <c r="AK213" i="17"/>
  <c r="AL213" i="17"/>
  <c r="AM213" i="17"/>
  <c r="AN213" i="17"/>
  <c r="AO213" i="17"/>
  <c r="AP213" i="17"/>
  <c r="AQ213" i="17"/>
  <c r="AR213" i="17"/>
  <c r="AS213" i="17"/>
  <c r="AT213" i="17"/>
  <c r="AU213" i="17"/>
  <c r="AV213" i="17"/>
  <c r="AW213" i="17"/>
  <c r="AX213" i="17"/>
  <c r="AY213" i="17"/>
  <c r="AZ213" i="17"/>
  <c r="BA213" i="17"/>
  <c r="BB213" i="17"/>
  <c r="BC213" i="17"/>
  <c r="BD213" i="17"/>
  <c r="BE213" i="17"/>
  <c r="BF213" i="17"/>
  <c r="BG213" i="17"/>
  <c r="BH213" i="17"/>
  <c r="BI213" i="17"/>
  <c r="BJ213" i="17"/>
  <c r="BK213" i="17"/>
  <c r="BL213" i="17"/>
  <c r="BM213" i="17"/>
  <c r="BN213" i="17"/>
  <c r="BO213" i="17"/>
  <c r="BP213" i="17"/>
  <c r="BQ213" i="17"/>
  <c r="BR213" i="17"/>
  <c r="BS213" i="17"/>
  <c r="BT213" i="17"/>
  <c r="BU213" i="17"/>
  <c r="BV213" i="17"/>
  <c r="BW213" i="17"/>
  <c r="BX213" i="17"/>
  <c r="BY213" i="17"/>
  <c r="BZ213" i="17"/>
  <c r="CA213" i="17"/>
  <c r="CB213" i="17"/>
  <c r="CC213" i="17"/>
  <c r="CD213" i="17"/>
  <c r="CE213" i="17"/>
  <c r="CF213" i="17"/>
  <c r="CG213" i="17"/>
  <c r="CH213" i="17"/>
  <c r="CI213" i="17"/>
  <c r="CJ213" i="17"/>
  <c r="CK213" i="17"/>
  <c r="CL213" i="17"/>
  <c r="CM213" i="17"/>
  <c r="CN213" i="17"/>
  <c r="CO213" i="17"/>
  <c r="CP213" i="17"/>
  <c r="CQ213" i="17"/>
  <c r="CR213" i="17"/>
  <c r="CS213" i="17"/>
  <c r="CT213" i="17"/>
  <c r="CU213" i="17"/>
  <c r="CV213" i="17"/>
  <c r="CW213" i="17"/>
  <c r="CX213" i="17"/>
  <c r="CY213" i="17"/>
  <c r="CZ213" i="17"/>
  <c r="DA213" i="17"/>
  <c r="DB213" i="17"/>
  <c r="DC213" i="17"/>
  <c r="DD213" i="17"/>
  <c r="DE213" i="17"/>
  <c r="DF213" i="17"/>
  <c r="DG213" i="17"/>
  <c r="DH213" i="17"/>
  <c r="DI213" i="17"/>
  <c r="DJ213" i="17"/>
  <c r="DK213" i="17"/>
  <c r="DL213" i="17"/>
  <c r="DM213" i="17"/>
  <c r="DN213" i="17"/>
  <c r="DO213" i="17"/>
  <c r="DP213" i="17"/>
  <c r="DQ213" i="17"/>
  <c r="DR213" i="17"/>
  <c r="DS213" i="17"/>
  <c r="DT213" i="17"/>
  <c r="DU213" i="17"/>
  <c r="DV213" i="17"/>
  <c r="DW213" i="17"/>
  <c r="DX213" i="17"/>
  <c r="DY213" i="17"/>
  <c r="DZ213" i="17"/>
  <c r="EA213" i="17"/>
  <c r="EB213" i="17"/>
  <c r="EC213" i="17"/>
  <c r="ED213" i="17"/>
  <c r="EE213" i="17"/>
  <c r="EF213" i="17"/>
  <c r="EG213" i="17"/>
  <c r="EH213" i="17"/>
  <c r="EI213" i="17"/>
  <c r="EJ213" i="17"/>
  <c r="EK213" i="17"/>
  <c r="EL213" i="17"/>
  <c r="EM213" i="17"/>
  <c r="EN213" i="17"/>
  <c r="EO213" i="17"/>
  <c r="EP213" i="17"/>
  <c r="EQ213" i="17"/>
  <c r="ER213" i="17"/>
  <c r="ES213" i="17"/>
  <c r="ET213" i="17"/>
  <c r="EU213" i="17"/>
  <c r="EV213" i="17"/>
  <c r="EW213" i="17"/>
  <c r="EX213" i="17"/>
  <c r="EY213" i="17"/>
  <c r="EZ213" i="17"/>
  <c r="FA213" i="17"/>
  <c r="FB213" i="17"/>
  <c r="FC213" i="17"/>
  <c r="FD213" i="17"/>
  <c r="FE213" i="17"/>
  <c r="FF213" i="17"/>
  <c r="FG213" i="17"/>
  <c r="FH213" i="17"/>
  <c r="FI213" i="17"/>
  <c r="FJ213" i="17"/>
  <c r="FK213" i="17"/>
  <c r="FL213" i="17"/>
  <c r="FM213" i="17"/>
  <c r="FN213" i="17"/>
  <c r="FO213" i="17"/>
  <c r="FP213" i="17"/>
  <c r="FQ213" i="17"/>
  <c r="FR213" i="17"/>
  <c r="FS213" i="17"/>
  <c r="FT213" i="17"/>
  <c r="FU213" i="17"/>
  <c r="FV213" i="17"/>
  <c r="FW213" i="17"/>
  <c r="FX213" i="17"/>
  <c r="FY213" i="17"/>
  <c r="FZ213" i="17"/>
  <c r="GA213" i="17"/>
  <c r="GB213" i="17"/>
  <c r="GC213" i="17"/>
  <c r="GD213" i="17"/>
  <c r="GE213" i="17"/>
  <c r="GF213" i="17"/>
  <c r="GG213" i="17"/>
  <c r="GH213" i="17"/>
  <c r="GI213" i="17"/>
  <c r="GJ213" i="17"/>
  <c r="GK213" i="17"/>
  <c r="GL213" i="17"/>
  <c r="GM213" i="17"/>
  <c r="GN213" i="17"/>
  <c r="GO213" i="17"/>
  <c r="GP213" i="17"/>
  <c r="GQ213" i="17"/>
  <c r="GR213" i="17"/>
  <c r="GS213" i="17"/>
  <c r="GT213" i="17"/>
  <c r="GU213" i="17"/>
  <c r="GV213" i="17"/>
  <c r="GW213" i="17"/>
  <c r="GX213" i="17"/>
  <c r="GY213" i="17"/>
  <c r="GZ213" i="17"/>
  <c r="HA213" i="17"/>
  <c r="HB213" i="17"/>
  <c r="HC213" i="17"/>
  <c r="HD213" i="17"/>
  <c r="HE213" i="17"/>
  <c r="HF213" i="17"/>
  <c r="HG213" i="17"/>
  <c r="HH213" i="17"/>
  <c r="HI213" i="17"/>
  <c r="HJ213" i="17"/>
  <c r="HK213" i="17"/>
  <c r="HL213" i="17"/>
  <c r="HM213" i="17"/>
  <c r="HN213" i="17"/>
  <c r="HO213" i="17"/>
  <c r="HP213" i="17"/>
  <c r="HQ213" i="17"/>
  <c r="HR213" i="17"/>
  <c r="HS213" i="17"/>
  <c r="HT213" i="17"/>
  <c r="HU213" i="17"/>
  <c r="HV213" i="17"/>
  <c r="HW213" i="17"/>
  <c r="HX213" i="17"/>
  <c r="HY213" i="17"/>
  <c r="HZ213" i="17"/>
  <c r="IA213" i="17"/>
  <c r="IB213" i="17"/>
  <c r="IC213" i="17"/>
  <c r="ID213" i="17"/>
  <c r="IE213" i="17"/>
  <c r="IF213" i="17"/>
  <c r="IG213" i="17"/>
  <c r="IH213" i="17"/>
  <c r="II213" i="17"/>
  <c r="IJ213" i="17"/>
  <c r="IK213" i="17"/>
  <c r="IL213" i="17"/>
  <c r="IM213" i="17"/>
  <c r="IN213" i="17"/>
  <c r="IO213" i="17"/>
  <c r="IP213" i="17"/>
  <c r="IQ213" i="17"/>
  <c r="IR213" i="17"/>
  <c r="IS213" i="17"/>
  <c r="IT213" i="17"/>
  <c r="IU213" i="17"/>
  <c r="IV213" i="17"/>
  <c r="A212" i="17"/>
  <c r="B212" i="17"/>
  <c r="C212" i="17"/>
  <c r="D212" i="17"/>
  <c r="E212" i="17"/>
  <c r="F212" i="17"/>
  <c r="G212" i="17"/>
  <c r="H212" i="17"/>
  <c r="I212" i="17"/>
  <c r="J212" i="17"/>
  <c r="K212" i="17"/>
  <c r="L212" i="17"/>
  <c r="M212" i="17"/>
  <c r="N212" i="17"/>
  <c r="O212" i="17"/>
  <c r="P212" i="17"/>
  <c r="Q212" i="17"/>
  <c r="R212" i="17"/>
  <c r="S212" i="17"/>
  <c r="T212" i="17"/>
  <c r="U212" i="17"/>
  <c r="V212" i="17"/>
  <c r="W212" i="17"/>
  <c r="X212" i="17"/>
  <c r="Y212" i="17"/>
  <c r="Z212" i="17"/>
  <c r="AA212" i="17"/>
  <c r="AB212" i="17"/>
  <c r="AC212" i="17"/>
  <c r="AD212" i="17"/>
  <c r="AE212" i="17"/>
  <c r="AF212" i="17"/>
  <c r="AG212" i="17"/>
  <c r="AH212" i="17"/>
  <c r="AI212" i="17"/>
  <c r="AJ212" i="17"/>
  <c r="AK212" i="17"/>
  <c r="AL212" i="17"/>
  <c r="AM212" i="17"/>
  <c r="AN212" i="17"/>
  <c r="AO212" i="17"/>
  <c r="AP212" i="17"/>
  <c r="AQ212" i="17"/>
  <c r="AR212" i="17"/>
  <c r="AS212" i="17"/>
  <c r="AT212" i="17"/>
  <c r="AU212" i="17"/>
  <c r="AV212" i="17"/>
  <c r="AW212" i="17"/>
  <c r="AX212" i="17"/>
  <c r="AY212" i="17"/>
  <c r="AZ212" i="17"/>
  <c r="BA212" i="17"/>
  <c r="BB212" i="17"/>
  <c r="BC212" i="17"/>
  <c r="BD212" i="17"/>
  <c r="BE212" i="17"/>
  <c r="BF212" i="17"/>
  <c r="BG212" i="17"/>
  <c r="BH212" i="17"/>
  <c r="BI212" i="17"/>
  <c r="BJ212" i="17"/>
  <c r="BK212" i="17"/>
  <c r="BL212" i="17"/>
  <c r="BM212" i="17"/>
  <c r="BN212" i="17"/>
  <c r="BO212" i="17"/>
  <c r="BP212" i="17"/>
  <c r="BQ212" i="17"/>
  <c r="BR212" i="17"/>
  <c r="BS212" i="17"/>
  <c r="BT212" i="17"/>
  <c r="BU212" i="17"/>
  <c r="BV212" i="17"/>
  <c r="BW212" i="17"/>
  <c r="BX212" i="17"/>
  <c r="BY212" i="17"/>
  <c r="BZ212" i="17"/>
  <c r="CA212" i="17"/>
  <c r="CB212" i="17"/>
  <c r="CC212" i="17"/>
  <c r="CD212" i="17"/>
  <c r="CE212" i="17"/>
  <c r="CF212" i="17"/>
  <c r="CG212" i="17"/>
  <c r="CH212" i="17"/>
  <c r="CI212" i="17"/>
  <c r="CJ212" i="17"/>
  <c r="CK212" i="17"/>
  <c r="CL212" i="17"/>
  <c r="CM212" i="17"/>
  <c r="CN212" i="17"/>
  <c r="CO212" i="17"/>
  <c r="CP212" i="17"/>
  <c r="CQ212" i="17"/>
  <c r="CR212" i="17"/>
  <c r="CS212" i="17"/>
  <c r="CT212" i="17"/>
  <c r="CU212" i="17"/>
  <c r="CV212" i="17"/>
  <c r="CW212" i="17"/>
  <c r="CX212" i="17"/>
  <c r="CY212" i="17"/>
  <c r="CZ212" i="17"/>
  <c r="DA212" i="17"/>
  <c r="DB212" i="17"/>
  <c r="DC212" i="17"/>
  <c r="DD212" i="17"/>
  <c r="DE212" i="17"/>
  <c r="DF212" i="17"/>
  <c r="DG212" i="17"/>
  <c r="DH212" i="17"/>
  <c r="DI212" i="17"/>
  <c r="DJ212" i="17"/>
  <c r="DK212" i="17"/>
  <c r="DL212" i="17"/>
  <c r="DM212" i="17"/>
  <c r="DN212" i="17"/>
  <c r="DO212" i="17"/>
  <c r="DP212" i="17"/>
  <c r="DQ212" i="17"/>
  <c r="DR212" i="17"/>
  <c r="DS212" i="17"/>
  <c r="DT212" i="17"/>
  <c r="DU212" i="17"/>
  <c r="DV212" i="17"/>
  <c r="DW212" i="17"/>
  <c r="DX212" i="17"/>
  <c r="DY212" i="17"/>
  <c r="DZ212" i="17"/>
  <c r="EA212" i="17"/>
  <c r="EB212" i="17"/>
  <c r="EC212" i="17"/>
  <c r="ED212" i="17"/>
  <c r="EE212" i="17"/>
  <c r="EF212" i="17"/>
  <c r="EG212" i="17"/>
  <c r="EH212" i="17"/>
  <c r="EI212" i="17"/>
  <c r="EJ212" i="17"/>
  <c r="EK212" i="17"/>
  <c r="EL212" i="17"/>
  <c r="EM212" i="17"/>
  <c r="EN212" i="17"/>
  <c r="EO212" i="17"/>
  <c r="EP212" i="17"/>
  <c r="EQ212" i="17"/>
  <c r="ER212" i="17"/>
  <c r="ES212" i="17"/>
  <c r="ET212" i="17"/>
  <c r="EU212" i="17"/>
  <c r="EV212" i="17"/>
  <c r="EW212" i="17"/>
  <c r="EX212" i="17"/>
  <c r="EY212" i="17"/>
  <c r="EZ212" i="17"/>
  <c r="FA212" i="17"/>
  <c r="FB212" i="17"/>
  <c r="FC212" i="17"/>
  <c r="FD212" i="17"/>
  <c r="FE212" i="17"/>
  <c r="FF212" i="17"/>
  <c r="FG212" i="17"/>
  <c r="FH212" i="17"/>
  <c r="FI212" i="17"/>
  <c r="FJ212" i="17"/>
  <c r="FK212" i="17"/>
  <c r="FL212" i="17"/>
  <c r="FM212" i="17"/>
  <c r="FN212" i="17"/>
  <c r="FO212" i="17"/>
  <c r="FP212" i="17"/>
  <c r="FQ212" i="17"/>
  <c r="FR212" i="17"/>
  <c r="FS212" i="17"/>
  <c r="FT212" i="17"/>
  <c r="FU212" i="17"/>
  <c r="FV212" i="17"/>
  <c r="FW212" i="17"/>
  <c r="FX212" i="17"/>
  <c r="FY212" i="17"/>
  <c r="FZ212" i="17"/>
  <c r="GA212" i="17"/>
  <c r="GB212" i="17"/>
  <c r="GC212" i="17"/>
  <c r="GD212" i="17"/>
  <c r="GE212" i="17"/>
  <c r="GF212" i="17"/>
  <c r="GG212" i="17"/>
  <c r="GH212" i="17"/>
  <c r="GI212" i="17"/>
  <c r="GJ212" i="17"/>
  <c r="GK212" i="17"/>
  <c r="GL212" i="17"/>
  <c r="GM212" i="17"/>
  <c r="GN212" i="17"/>
  <c r="GO212" i="17"/>
  <c r="GP212" i="17"/>
  <c r="GQ212" i="17"/>
  <c r="GR212" i="17"/>
  <c r="GS212" i="17"/>
  <c r="GT212" i="17"/>
  <c r="GU212" i="17"/>
  <c r="GV212" i="17"/>
  <c r="GW212" i="17"/>
  <c r="GX212" i="17"/>
  <c r="GY212" i="17"/>
  <c r="GZ212" i="17"/>
  <c r="HA212" i="17"/>
  <c r="HB212" i="17"/>
  <c r="HC212" i="17"/>
  <c r="HD212" i="17"/>
  <c r="HE212" i="17"/>
  <c r="HF212" i="17"/>
  <c r="HG212" i="17"/>
  <c r="HH212" i="17"/>
  <c r="HI212" i="17"/>
  <c r="HJ212" i="17"/>
  <c r="HK212" i="17"/>
  <c r="HL212" i="17"/>
  <c r="HM212" i="17"/>
  <c r="HN212" i="17"/>
  <c r="HO212" i="17"/>
  <c r="HP212" i="17"/>
  <c r="HQ212" i="17"/>
  <c r="HR212" i="17"/>
  <c r="HS212" i="17"/>
  <c r="HT212" i="17"/>
  <c r="HU212" i="17"/>
  <c r="HV212" i="17"/>
  <c r="HW212" i="17"/>
  <c r="HX212" i="17"/>
  <c r="HY212" i="17"/>
  <c r="HZ212" i="17"/>
  <c r="IA212" i="17"/>
  <c r="IB212" i="17"/>
  <c r="IC212" i="17"/>
  <c r="ID212" i="17"/>
  <c r="IE212" i="17"/>
  <c r="IF212" i="17"/>
  <c r="IG212" i="17"/>
  <c r="IH212" i="17"/>
  <c r="II212" i="17"/>
  <c r="IJ212" i="17"/>
  <c r="IK212" i="17"/>
  <c r="IL212" i="17"/>
  <c r="IM212" i="17"/>
  <c r="IN212" i="17"/>
  <c r="IO212" i="17"/>
  <c r="IP212" i="17"/>
  <c r="IQ212" i="17"/>
  <c r="IR212" i="17"/>
  <c r="IS212" i="17"/>
  <c r="IT212" i="17"/>
  <c r="IU212" i="17"/>
  <c r="IV212" i="17"/>
  <c r="A211" i="17"/>
  <c r="B211" i="17"/>
  <c r="C211" i="17"/>
  <c r="D211" i="17"/>
  <c r="E211" i="17"/>
  <c r="F211" i="17"/>
  <c r="G211" i="17"/>
  <c r="H211" i="17"/>
  <c r="I211" i="17"/>
  <c r="J211" i="17"/>
  <c r="K211" i="17"/>
  <c r="L211" i="17"/>
  <c r="M211" i="17"/>
  <c r="N211" i="17"/>
  <c r="O211" i="17"/>
  <c r="P211" i="17"/>
  <c r="Q211" i="17"/>
  <c r="R211" i="17"/>
  <c r="S211" i="17"/>
  <c r="T211" i="17"/>
  <c r="U211" i="17"/>
  <c r="V211" i="17"/>
  <c r="W211" i="17"/>
  <c r="X211" i="17"/>
  <c r="Y211" i="17"/>
  <c r="Z211" i="17"/>
  <c r="AA211" i="17"/>
  <c r="AB211" i="17"/>
  <c r="AC211" i="17"/>
  <c r="AD211" i="17"/>
  <c r="AE211" i="17"/>
  <c r="AF211" i="17"/>
  <c r="AG211" i="17"/>
  <c r="AH211" i="17"/>
  <c r="AI211" i="17"/>
  <c r="AJ211" i="17"/>
  <c r="AK211" i="17"/>
  <c r="AL211" i="17"/>
  <c r="AM211" i="17"/>
  <c r="AN211" i="17"/>
  <c r="AO211" i="17"/>
  <c r="AP211" i="17"/>
  <c r="AQ211" i="17"/>
  <c r="AR211" i="17"/>
  <c r="AS211" i="17"/>
  <c r="AT211" i="17"/>
  <c r="AU211" i="17"/>
  <c r="AV211" i="17"/>
  <c r="AW211" i="17"/>
  <c r="AX211" i="17"/>
  <c r="AY211" i="17"/>
  <c r="AZ211" i="17"/>
  <c r="BA211" i="17"/>
  <c r="BB211" i="17"/>
  <c r="BC211" i="17"/>
  <c r="BD211" i="17"/>
  <c r="BE211" i="17"/>
  <c r="BF211" i="17"/>
  <c r="BG211" i="17"/>
  <c r="BH211" i="17"/>
  <c r="BI211" i="17"/>
  <c r="BJ211" i="17"/>
  <c r="BK211" i="17"/>
  <c r="BL211" i="17"/>
  <c r="BM211" i="17"/>
  <c r="BN211" i="17"/>
  <c r="BO211" i="17"/>
  <c r="BP211" i="17"/>
  <c r="BQ211" i="17"/>
  <c r="BR211" i="17"/>
  <c r="BS211" i="17"/>
  <c r="BT211" i="17"/>
  <c r="BU211" i="17"/>
  <c r="BV211" i="17"/>
  <c r="BW211" i="17"/>
  <c r="BX211" i="17"/>
  <c r="BY211" i="17"/>
  <c r="BZ211" i="17"/>
  <c r="CA211" i="17"/>
  <c r="CB211" i="17"/>
  <c r="CC211" i="17"/>
  <c r="CD211" i="17"/>
  <c r="CE211" i="17"/>
  <c r="CF211" i="17"/>
  <c r="CG211" i="17"/>
  <c r="CH211" i="17"/>
  <c r="CI211" i="17"/>
  <c r="CJ211" i="17"/>
  <c r="CK211" i="17"/>
  <c r="CL211" i="17"/>
  <c r="CM211" i="17"/>
  <c r="CN211" i="17"/>
  <c r="CO211" i="17"/>
  <c r="CP211" i="17"/>
  <c r="CQ211" i="17"/>
  <c r="CR211" i="17"/>
  <c r="CS211" i="17"/>
  <c r="CT211" i="17"/>
  <c r="CU211" i="17"/>
  <c r="CV211" i="17"/>
  <c r="CW211" i="17"/>
  <c r="CX211" i="17"/>
  <c r="CY211" i="17"/>
  <c r="CZ211" i="17"/>
  <c r="DA211" i="17"/>
  <c r="DB211" i="17"/>
  <c r="DC211" i="17"/>
  <c r="DD211" i="17"/>
  <c r="DE211" i="17"/>
  <c r="DF211" i="17"/>
  <c r="DG211" i="17"/>
  <c r="DH211" i="17"/>
  <c r="DI211" i="17"/>
  <c r="DJ211" i="17"/>
  <c r="DK211" i="17"/>
  <c r="DL211" i="17"/>
  <c r="DM211" i="17"/>
  <c r="DN211" i="17"/>
  <c r="DO211" i="17"/>
  <c r="DP211" i="17"/>
  <c r="DQ211" i="17"/>
  <c r="DR211" i="17"/>
  <c r="DS211" i="17"/>
  <c r="DT211" i="17"/>
  <c r="DU211" i="17"/>
  <c r="DV211" i="17"/>
  <c r="DW211" i="17"/>
  <c r="DX211" i="17"/>
  <c r="DY211" i="17"/>
  <c r="DZ211" i="17"/>
  <c r="EA211" i="17"/>
  <c r="EB211" i="17"/>
  <c r="EC211" i="17"/>
  <c r="ED211" i="17"/>
  <c r="EE211" i="17"/>
  <c r="EF211" i="17"/>
  <c r="EG211" i="17"/>
  <c r="EH211" i="17"/>
  <c r="EI211" i="17"/>
  <c r="EJ211" i="17"/>
  <c r="EK211" i="17"/>
  <c r="EL211" i="17"/>
  <c r="EM211" i="17"/>
  <c r="EN211" i="17"/>
  <c r="EO211" i="17"/>
  <c r="EP211" i="17"/>
  <c r="EQ211" i="17"/>
  <c r="ER211" i="17"/>
  <c r="ES211" i="17"/>
  <c r="ET211" i="17"/>
  <c r="EU211" i="17"/>
  <c r="EV211" i="17"/>
  <c r="EW211" i="17"/>
  <c r="EX211" i="17"/>
  <c r="EY211" i="17"/>
  <c r="EZ211" i="17"/>
  <c r="FA211" i="17"/>
  <c r="FB211" i="17"/>
  <c r="FC211" i="17"/>
  <c r="FD211" i="17"/>
  <c r="FE211" i="17"/>
  <c r="FF211" i="17"/>
  <c r="FG211" i="17"/>
  <c r="FH211" i="17"/>
  <c r="FI211" i="17"/>
  <c r="FJ211" i="17"/>
  <c r="FK211" i="17"/>
  <c r="FL211" i="17"/>
  <c r="FM211" i="17"/>
  <c r="FN211" i="17"/>
  <c r="FO211" i="17"/>
  <c r="FP211" i="17"/>
  <c r="FQ211" i="17"/>
  <c r="FR211" i="17"/>
  <c r="FS211" i="17"/>
  <c r="FT211" i="17"/>
  <c r="FU211" i="17"/>
  <c r="FV211" i="17"/>
  <c r="FW211" i="17"/>
  <c r="FX211" i="17"/>
  <c r="FY211" i="17"/>
  <c r="FZ211" i="17"/>
  <c r="GA211" i="17"/>
  <c r="GB211" i="17"/>
  <c r="GC211" i="17"/>
  <c r="GD211" i="17"/>
  <c r="GE211" i="17"/>
  <c r="GF211" i="17"/>
  <c r="GG211" i="17"/>
  <c r="GH211" i="17"/>
  <c r="GI211" i="17"/>
  <c r="GJ211" i="17"/>
  <c r="GK211" i="17"/>
  <c r="GL211" i="17"/>
  <c r="GM211" i="17"/>
  <c r="GN211" i="17"/>
  <c r="GO211" i="17"/>
  <c r="GP211" i="17"/>
  <c r="GQ211" i="17"/>
  <c r="GR211" i="17"/>
  <c r="GS211" i="17"/>
  <c r="GT211" i="17"/>
  <c r="GU211" i="17"/>
  <c r="GV211" i="17"/>
  <c r="GW211" i="17"/>
  <c r="GX211" i="17"/>
  <c r="GY211" i="17"/>
  <c r="GZ211" i="17"/>
  <c r="HA211" i="17"/>
  <c r="HB211" i="17"/>
  <c r="HC211" i="17"/>
  <c r="HD211" i="17"/>
  <c r="HE211" i="17"/>
  <c r="HF211" i="17"/>
  <c r="HG211" i="17"/>
  <c r="HH211" i="17"/>
  <c r="HI211" i="17"/>
  <c r="HJ211" i="17"/>
  <c r="HK211" i="17"/>
  <c r="HL211" i="17"/>
  <c r="HM211" i="17"/>
  <c r="HN211" i="17"/>
  <c r="HO211" i="17"/>
  <c r="HP211" i="17"/>
  <c r="HQ211" i="17"/>
  <c r="HR211" i="17"/>
  <c r="HS211" i="17"/>
  <c r="HT211" i="17"/>
  <c r="HU211" i="17"/>
  <c r="HV211" i="17"/>
  <c r="HW211" i="17"/>
  <c r="HX211" i="17"/>
  <c r="HY211" i="17"/>
  <c r="HZ211" i="17"/>
  <c r="IA211" i="17"/>
  <c r="IB211" i="17"/>
  <c r="IC211" i="17"/>
  <c r="ID211" i="17"/>
  <c r="IE211" i="17"/>
  <c r="IF211" i="17"/>
  <c r="IG211" i="17"/>
  <c r="IH211" i="17"/>
  <c r="II211" i="17"/>
  <c r="IJ211" i="17"/>
  <c r="IK211" i="17"/>
  <c r="IL211" i="17"/>
  <c r="IM211" i="17"/>
  <c r="IN211" i="17"/>
  <c r="IO211" i="17"/>
  <c r="IP211" i="17"/>
  <c r="IQ211" i="17"/>
  <c r="IR211" i="17"/>
  <c r="IS211" i="17"/>
  <c r="IT211" i="17"/>
  <c r="IU211" i="17"/>
  <c r="IV211" i="17"/>
  <c r="A210" i="17"/>
  <c r="B210" i="17"/>
  <c r="C210" i="17"/>
  <c r="D210" i="17"/>
  <c r="E210" i="17"/>
  <c r="F210" i="17"/>
  <c r="G210" i="17"/>
  <c r="H210" i="17"/>
  <c r="I210" i="17"/>
  <c r="J210" i="17"/>
  <c r="K210" i="17"/>
  <c r="L210" i="17"/>
  <c r="M210" i="17"/>
  <c r="N210" i="17"/>
  <c r="O210" i="17"/>
  <c r="P210" i="17"/>
  <c r="Q210" i="17"/>
  <c r="R210" i="17"/>
  <c r="S210" i="17"/>
  <c r="T210" i="17"/>
  <c r="U210" i="17"/>
  <c r="V210" i="17"/>
  <c r="W210" i="17"/>
  <c r="X210" i="17"/>
  <c r="Y210" i="17"/>
  <c r="Z210" i="17"/>
  <c r="AA210" i="17"/>
  <c r="AB210" i="17"/>
  <c r="AC210" i="17"/>
  <c r="AD210" i="17"/>
  <c r="AE210" i="17"/>
  <c r="AF210" i="17"/>
  <c r="AG210" i="17"/>
  <c r="AH210" i="17"/>
  <c r="AI210" i="17"/>
  <c r="AJ210" i="17"/>
  <c r="AK210" i="17"/>
  <c r="AL210" i="17"/>
  <c r="AM210" i="17"/>
  <c r="AN210" i="17"/>
  <c r="AO210" i="17"/>
  <c r="AP210" i="17"/>
  <c r="AQ210" i="17"/>
  <c r="AR210" i="17"/>
  <c r="AS210" i="17"/>
  <c r="AT210" i="17"/>
  <c r="AU210" i="17"/>
  <c r="AV210" i="17"/>
  <c r="AW210" i="17"/>
  <c r="AX210" i="17"/>
  <c r="AY210" i="17"/>
  <c r="AZ210" i="17"/>
  <c r="BA210" i="17"/>
  <c r="BB210" i="17"/>
  <c r="BC210" i="17"/>
  <c r="BD210" i="17"/>
  <c r="BE210" i="17"/>
  <c r="BF210" i="17"/>
  <c r="BG210" i="17"/>
  <c r="BH210" i="17"/>
  <c r="BI210" i="17"/>
  <c r="BJ210" i="17"/>
  <c r="BK210" i="17"/>
  <c r="BL210" i="17"/>
  <c r="BM210" i="17"/>
  <c r="BN210" i="17"/>
  <c r="BO210" i="17"/>
  <c r="BP210" i="17"/>
  <c r="BQ210" i="17"/>
  <c r="BR210" i="17"/>
  <c r="BS210" i="17"/>
  <c r="BT210" i="17"/>
  <c r="BU210" i="17"/>
  <c r="BV210" i="17"/>
  <c r="BW210" i="17"/>
  <c r="BX210" i="17"/>
  <c r="BY210" i="17"/>
  <c r="BZ210" i="17"/>
  <c r="CA210" i="17"/>
  <c r="CB210" i="17"/>
  <c r="CC210" i="17"/>
  <c r="CD210" i="17"/>
  <c r="CE210" i="17"/>
  <c r="CF210" i="17"/>
  <c r="CG210" i="17"/>
  <c r="CH210" i="17"/>
  <c r="CI210" i="17"/>
  <c r="CJ210" i="17"/>
  <c r="CK210" i="17"/>
  <c r="CL210" i="17"/>
  <c r="CM210" i="17"/>
  <c r="CN210" i="17"/>
  <c r="CO210" i="17"/>
  <c r="CP210" i="17"/>
  <c r="CQ210" i="17"/>
  <c r="CR210" i="17"/>
  <c r="CS210" i="17"/>
  <c r="CT210" i="17"/>
  <c r="CU210" i="17"/>
  <c r="CV210" i="17"/>
  <c r="CW210" i="17"/>
  <c r="CX210" i="17"/>
  <c r="CY210" i="17"/>
  <c r="CZ210" i="17"/>
  <c r="DA210" i="17"/>
  <c r="DB210" i="17"/>
  <c r="DC210" i="17"/>
  <c r="DD210" i="17"/>
  <c r="DE210" i="17"/>
  <c r="DF210" i="17"/>
  <c r="DG210" i="17"/>
  <c r="DH210" i="17"/>
  <c r="DI210" i="17"/>
  <c r="DJ210" i="17"/>
  <c r="DK210" i="17"/>
  <c r="DL210" i="17"/>
  <c r="DM210" i="17"/>
  <c r="DN210" i="17"/>
  <c r="DO210" i="17"/>
  <c r="DP210" i="17"/>
  <c r="DQ210" i="17"/>
  <c r="DR210" i="17"/>
  <c r="DS210" i="17"/>
  <c r="DT210" i="17"/>
  <c r="DU210" i="17"/>
  <c r="DV210" i="17"/>
  <c r="DW210" i="17"/>
  <c r="DX210" i="17"/>
  <c r="DY210" i="17"/>
  <c r="DZ210" i="17"/>
  <c r="EA210" i="17"/>
  <c r="EB210" i="17"/>
  <c r="EC210" i="17"/>
  <c r="ED210" i="17"/>
  <c r="EE210" i="17"/>
  <c r="EF210" i="17"/>
  <c r="EG210" i="17"/>
  <c r="EH210" i="17"/>
  <c r="EI210" i="17"/>
  <c r="EJ210" i="17"/>
  <c r="EK210" i="17"/>
  <c r="EL210" i="17"/>
  <c r="EM210" i="17"/>
  <c r="EN210" i="17"/>
  <c r="EO210" i="17"/>
  <c r="EP210" i="17"/>
  <c r="EQ210" i="17"/>
  <c r="ER210" i="17"/>
  <c r="ES210" i="17"/>
  <c r="ET210" i="17"/>
  <c r="EU210" i="17"/>
  <c r="EV210" i="17"/>
  <c r="EW210" i="17"/>
  <c r="EX210" i="17"/>
  <c r="EY210" i="17"/>
  <c r="EZ210" i="17"/>
  <c r="FA210" i="17"/>
  <c r="FB210" i="17"/>
  <c r="FC210" i="17"/>
  <c r="FD210" i="17"/>
  <c r="FE210" i="17"/>
  <c r="FF210" i="17"/>
  <c r="FG210" i="17"/>
  <c r="FH210" i="17"/>
  <c r="FI210" i="17"/>
  <c r="FJ210" i="17"/>
  <c r="FK210" i="17"/>
  <c r="FL210" i="17"/>
  <c r="FM210" i="17"/>
  <c r="FN210" i="17"/>
  <c r="FO210" i="17"/>
  <c r="FP210" i="17"/>
  <c r="FQ210" i="17"/>
  <c r="FR210" i="17"/>
  <c r="FS210" i="17"/>
  <c r="FT210" i="17"/>
  <c r="FU210" i="17"/>
  <c r="FV210" i="17"/>
  <c r="FW210" i="17"/>
  <c r="FX210" i="17"/>
  <c r="FY210" i="17"/>
  <c r="FZ210" i="17"/>
  <c r="GA210" i="17"/>
  <c r="GB210" i="17"/>
  <c r="GC210" i="17"/>
  <c r="GD210" i="17"/>
  <c r="GE210" i="17"/>
  <c r="GF210" i="17"/>
  <c r="GG210" i="17"/>
  <c r="GH210" i="17"/>
  <c r="GI210" i="17"/>
  <c r="GJ210" i="17"/>
  <c r="GK210" i="17"/>
  <c r="GL210" i="17"/>
  <c r="GM210" i="17"/>
  <c r="GN210" i="17"/>
  <c r="GO210" i="17"/>
  <c r="GP210" i="17"/>
  <c r="GQ210" i="17"/>
  <c r="GR210" i="17"/>
  <c r="GS210" i="17"/>
  <c r="GT210" i="17"/>
  <c r="GU210" i="17"/>
  <c r="GV210" i="17"/>
  <c r="GW210" i="17"/>
  <c r="GX210" i="17"/>
  <c r="GY210" i="17"/>
  <c r="GZ210" i="17"/>
  <c r="HA210" i="17"/>
  <c r="HB210" i="17"/>
  <c r="HC210" i="17"/>
  <c r="HD210" i="17"/>
  <c r="HE210" i="17"/>
  <c r="HF210" i="17"/>
  <c r="HG210" i="17"/>
  <c r="HH210" i="17"/>
  <c r="HI210" i="17"/>
  <c r="HJ210" i="17"/>
  <c r="HK210" i="17"/>
  <c r="HL210" i="17"/>
  <c r="HM210" i="17"/>
  <c r="HN210" i="17"/>
  <c r="HO210" i="17"/>
  <c r="HP210" i="17"/>
  <c r="HQ210" i="17"/>
  <c r="HR210" i="17"/>
  <c r="HS210" i="17"/>
  <c r="HT210" i="17"/>
  <c r="HU210" i="17"/>
  <c r="HV210" i="17"/>
  <c r="HW210" i="17"/>
  <c r="HX210" i="17"/>
  <c r="HY210" i="17"/>
  <c r="HZ210" i="17"/>
  <c r="IA210" i="17"/>
  <c r="IB210" i="17"/>
  <c r="IC210" i="17"/>
  <c r="ID210" i="17"/>
  <c r="IE210" i="17"/>
  <c r="IF210" i="17"/>
  <c r="IG210" i="17"/>
  <c r="IH210" i="17"/>
  <c r="II210" i="17"/>
  <c r="IJ210" i="17"/>
  <c r="IK210" i="17"/>
  <c r="IL210" i="17"/>
  <c r="IM210" i="17"/>
  <c r="IN210" i="17"/>
  <c r="IO210" i="17"/>
  <c r="IP210" i="17"/>
  <c r="IQ210" i="17"/>
  <c r="IR210" i="17"/>
  <c r="IS210" i="17"/>
  <c r="IT210" i="17"/>
  <c r="IU210" i="17"/>
  <c r="IV210" i="17"/>
  <c r="A209" i="17"/>
  <c r="B209" i="17"/>
  <c r="C209" i="17"/>
  <c r="D209" i="17"/>
  <c r="E209" i="17"/>
  <c r="F209" i="17"/>
  <c r="G209" i="17"/>
  <c r="H209" i="17"/>
  <c r="I209" i="17"/>
  <c r="J209" i="17"/>
  <c r="K209" i="17"/>
  <c r="L209" i="17"/>
  <c r="M209" i="17"/>
  <c r="N209" i="17"/>
  <c r="O209" i="17"/>
  <c r="P209" i="17"/>
  <c r="Q209" i="17"/>
  <c r="R209" i="17"/>
  <c r="S209" i="17"/>
  <c r="T209" i="17"/>
  <c r="U209" i="17"/>
  <c r="V209" i="17"/>
  <c r="W209" i="17"/>
  <c r="X209" i="17"/>
  <c r="Y209" i="17"/>
  <c r="Z209" i="17"/>
  <c r="AA209" i="17"/>
  <c r="AB209" i="17"/>
  <c r="AC209" i="17"/>
  <c r="AD209" i="17"/>
  <c r="AE209" i="17"/>
  <c r="AF209" i="17"/>
  <c r="AG209" i="17"/>
  <c r="AH209" i="17"/>
  <c r="AI209" i="17"/>
  <c r="AJ209" i="17"/>
  <c r="AK209" i="17"/>
  <c r="AL209" i="17"/>
  <c r="AM209" i="17"/>
  <c r="AN209" i="17"/>
  <c r="AO209" i="17"/>
  <c r="AP209" i="17"/>
  <c r="AQ209" i="17"/>
  <c r="AR209" i="17"/>
  <c r="AS209" i="17"/>
  <c r="AT209" i="17"/>
  <c r="AU209" i="17"/>
  <c r="AV209" i="17"/>
  <c r="AW209" i="17"/>
  <c r="AX209" i="17"/>
  <c r="AY209" i="17"/>
  <c r="AZ209" i="17"/>
  <c r="BA209" i="17"/>
  <c r="BB209" i="17"/>
  <c r="BC209" i="17"/>
  <c r="BD209" i="17"/>
  <c r="BE209" i="17"/>
  <c r="BF209" i="17"/>
  <c r="BG209" i="17"/>
  <c r="BH209" i="17"/>
  <c r="BI209" i="17"/>
  <c r="BJ209" i="17"/>
  <c r="BK209" i="17"/>
  <c r="BL209" i="17"/>
  <c r="BM209" i="17"/>
  <c r="BN209" i="17"/>
  <c r="BO209" i="17"/>
  <c r="BP209" i="17"/>
  <c r="BQ209" i="17"/>
  <c r="BR209" i="17"/>
  <c r="BS209" i="17"/>
  <c r="BT209" i="17"/>
  <c r="BU209" i="17"/>
  <c r="BV209" i="17"/>
  <c r="BW209" i="17"/>
  <c r="BX209" i="17"/>
  <c r="BY209" i="17"/>
  <c r="BZ209" i="17"/>
  <c r="CA209" i="17"/>
  <c r="CB209" i="17"/>
  <c r="CC209" i="17"/>
  <c r="CD209" i="17"/>
  <c r="CE209" i="17"/>
  <c r="CF209" i="17"/>
  <c r="CG209" i="17"/>
  <c r="CH209" i="17"/>
  <c r="CI209" i="17"/>
  <c r="CJ209" i="17"/>
  <c r="CK209" i="17"/>
  <c r="CL209" i="17"/>
  <c r="CM209" i="17"/>
  <c r="CN209" i="17"/>
  <c r="CO209" i="17"/>
  <c r="CP209" i="17"/>
  <c r="CQ209" i="17"/>
  <c r="CR209" i="17"/>
  <c r="CS209" i="17"/>
  <c r="CT209" i="17"/>
  <c r="CU209" i="17"/>
  <c r="CV209" i="17"/>
  <c r="CW209" i="17"/>
  <c r="CX209" i="17"/>
  <c r="CY209" i="17"/>
  <c r="CZ209" i="17"/>
  <c r="DA209" i="17"/>
  <c r="DB209" i="17"/>
  <c r="DC209" i="17"/>
  <c r="DD209" i="17"/>
  <c r="DE209" i="17"/>
  <c r="DF209" i="17"/>
  <c r="DG209" i="17"/>
  <c r="DH209" i="17"/>
  <c r="DI209" i="17"/>
  <c r="DJ209" i="17"/>
  <c r="DK209" i="17"/>
  <c r="DL209" i="17"/>
  <c r="DM209" i="17"/>
  <c r="DN209" i="17"/>
  <c r="DO209" i="17"/>
  <c r="DP209" i="17"/>
  <c r="DQ209" i="17"/>
  <c r="DR209" i="17"/>
  <c r="DS209" i="17"/>
  <c r="DT209" i="17"/>
  <c r="DU209" i="17"/>
  <c r="DV209" i="17"/>
  <c r="DW209" i="17"/>
  <c r="DX209" i="17"/>
  <c r="DY209" i="17"/>
  <c r="DZ209" i="17"/>
  <c r="EA209" i="17"/>
  <c r="EB209" i="17"/>
  <c r="EC209" i="17"/>
  <c r="ED209" i="17"/>
  <c r="EE209" i="17"/>
  <c r="EF209" i="17"/>
  <c r="EG209" i="17"/>
  <c r="EH209" i="17"/>
  <c r="EI209" i="17"/>
  <c r="EJ209" i="17"/>
  <c r="EK209" i="17"/>
  <c r="EL209" i="17"/>
  <c r="EM209" i="17"/>
  <c r="EN209" i="17"/>
  <c r="EO209" i="17"/>
  <c r="EP209" i="17"/>
  <c r="EQ209" i="17"/>
  <c r="ER209" i="17"/>
  <c r="ES209" i="17"/>
  <c r="ET209" i="17"/>
  <c r="EU209" i="17"/>
  <c r="EV209" i="17"/>
  <c r="EW209" i="17"/>
  <c r="EX209" i="17"/>
  <c r="EY209" i="17"/>
  <c r="EZ209" i="17"/>
  <c r="FA209" i="17"/>
  <c r="FB209" i="17"/>
  <c r="FC209" i="17"/>
  <c r="FD209" i="17"/>
  <c r="FE209" i="17"/>
  <c r="FF209" i="17"/>
  <c r="FG209" i="17"/>
  <c r="FH209" i="17"/>
  <c r="FI209" i="17"/>
  <c r="FJ209" i="17"/>
  <c r="FK209" i="17"/>
  <c r="FL209" i="17"/>
  <c r="FM209" i="17"/>
  <c r="FN209" i="17"/>
  <c r="FO209" i="17"/>
  <c r="FP209" i="17"/>
  <c r="FQ209" i="17"/>
  <c r="FR209" i="17"/>
  <c r="FS209" i="17"/>
  <c r="FT209" i="17"/>
  <c r="FU209" i="17"/>
  <c r="FV209" i="17"/>
  <c r="FW209" i="17"/>
  <c r="FX209" i="17"/>
  <c r="FY209" i="17"/>
  <c r="FZ209" i="17"/>
  <c r="GA209" i="17"/>
  <c r="GB209" i="17"/>
  <c r="GC209" i="17"/>
  <c r="GD209" i="17"/>
  <c r="GE209" i="17"/>
  <c r="GF209" i="17"/>
  <c r="GG209" i="17"/>
  <c r="GH209" i="17"/>
  <c r="GI209" i="17"/>
  <c r="GJ209" i="17"/>
  <c r="GK209" i="17"/>
  <c r="GL209" i="17"/>
  <c r="GM209" i="17"/>
  <c r="GN209" i="17"/>
  <c r="GO209" i="17"/>
  <c r="GP209" i="17"/>
  <c r="GQ209" i="17"/>
  <c r="GR209" i="17"/>
  <c r="GS209" i="17"/>
  <c r="GT209" i="17"/>
  <c r="GU209" i="17"/>
  <c r="GV209" i="17"/>
  <c r="GW209" i="17"/>
  <c r="GX209" i="17"/>
  <c r="GY209" i="17"/>
  <c r="GZ209" i="17"/>
  <c r="HA209" i="17"/>
  <c r="HB209" i="17"/>
  <c r="HC209" i="17"/>
  <c r="HD209" i="17"/>
  <c r="HE209" i="17"/>
  <c r="HF209" i="17"/>
  <c r="HG209" i="17"/>
  <c r="HH209" i="17"/>
  <c r="HI209" i="17"/>
  <c r="HJ209" i="17"/>
  <c r="HK209" i="17"/>
  <c r="HL209" i="17"/>
  <c r="HM209" i="17"/>
  <c r="HN209" i="17"/>
  <c r="HO209" i="17"/>
  <c r="HP209" i="17"/>
  <c r="HQ209" i="17"/>
  <c r="HR209" i="17"/>
  <c r="HS209" i="17"/>
  <c r="HT209" i="17"/>
  <c r="HU209" i="17"/>
  <c r="HV209" i="17"/>
  <c r="HW209" i="17"/>
  <c r="HX209" i="17"/>
  <c r="HY209" i="17"/>
  <c r="HZ209" i="17"/>
  <c r="IA209" i="17"/>
  <c r="IB209" i="17"/>
  <c r="IC209" i="17"/>
  <c r="ID209" i="17"/>
  <c r="IE209" i="17"/>
  <c r="IF209" i="17"/>
  <c r="IG209" i="17"/>
  <c r="IH209" i="17"/>
  <c r="II209" i="17"/>
  <c r="IJ209" i="17"/>
  <c r="IK209" i="17"/>
  <c r="IL209" i="17"/>
  <c r="IM209" i="17"/>
  <c r="IN209" i="17"/>
  <c r="IO209" i="17"/>
  <c r="IP209" i="17"/>
  <c r="IQ209" i="17"/>
  <c r="IR209" i="17"/>
  <c r="IS209" i="17"/>
  <c r="IT209" i="17"/>
  <c r="IU209" i="17"/>
  <c r="IV209" i="17"/>
  <c r="A208" i="17"/>
  <c r="B208" i="17"/>
  <c r="C208" i="17"/>
  <c r="D208" i="17"/>
  <c r="E208" i="17"/>
  <c r="F208" i="17"/>
  <c r="G208" i="17"/>
  <c r="H208" i="17"/>
  <c r="I208" i="17"/>
  <c r="J208" i="17"/>
  <c r="K208" i="17"/>
  <c r="L208" i="17"/>
  <c r="M208" i="17"/>
  <c r="N208" i="17"/>
  <c r="O208" i="17"/>
  <c r="P208" i="17"/>
  <c r="Q208" i="17"/>
  <c r="R208" i="17"/>
  <c r="S208" i="17"/>
  <c r="T208" i="17"/>
  <c r="U208" i="17"/>
  <c r="V208" i="17"/>
  <c r="W208" i="17"/>
  <c r="X208" i="17"/>
  <c r="Y208" i="17"/>
  <c r="Z208" i="17"/>
  <c r="AA208" i="17"/>
  <c r="AB208" i="17"/>
  <c r="AC208" i="17"/>
  <c r="AD208" i="17"/>
  <c r="AE208" i="17"/>
  <c r="AF208" i="17"/>
  <c r="AG208" i="17"/>
  <c r="AH208" i="17"/>
  <c r="AI208" i="17"/>
  <c r="AJ208" i="17"/>
  <c r="AK208" i="17"/>
  <c r="AL208" i="17"/>
  <c r="AM208" i="17"/>
  <c r="AN208" i="17"/>
  <c r="AO208" i="17"/>
  <c r="AP208" i="17"/>
  <c r="AQ208" i="17"/>
  <c r="AR208" i="17"/>
  <c r="AS208" i="17"/>
  <c r="AT208" i="17"/>
  <c r="AU208" i="17"/>
  <c r="AV208" i="17"/>
  <c r="AW208" i="17"/>
  <c r="AX208" i="17"/>
  <c r="AY208" i="17"/>
  <c r="AZ208" i="17"/>
  <c r="BA208" i="17"/>
  <c r="BB208" i="17"/>
  <c r="BC208" i="17"/>
  <c r="BD208" i="17"/>
  <c r="BE208" i="17"/>
  <c r="BF208" i="17"/>
  <c r="BG208" i="17"/>
  <c r="BH208" i="17"/>
  <c r="BI208" i="17"/>
  <c r="BJ208" i="17"/>
  <c r="BK208" i="17"/>
  <c r="BL208" i="17"/>
  <c r="BM208" i="17"/>
  <c r="BN208" i="17"/>
  <c r="BO208" i="17"/>
  <c r="BP208" i="17"/>
  <c r="BQ208" i="17"/>
  <c r="BR208" i="17"/>
  <c r="BS208" i="17"/>
  <c r="BT208" i="17"/>
  <c r="BU208" i="17"/>
  <c r="BV208" i="17"/>
  <c r="BW208" i="17"/>
  <c r="BX208" i="17"/>
  <c r="BY208" i="17"/>
  <c r="BZ208" i="17"/>
  <c r="CA208" i="17"/>
  <c r="CB208" i="17"/>
  <c r="CC208" i="17"/>
  <c r="CD208" i="17"/>
  <c r="CE208" i="17"/>
  <c r="CF208" i="17"/>
  <c r="CG208" i="17"/>
  <c r="CH208" i="17"/>
  <c r="CI208" i="17"/>
  <c r="CJ208" i="17"/>
  <c r="CK208" i="17"/>
  <c r="CL208" i="17"/>
  <c r="CM208" i="17"/>
  <c r="CN208" i="17"/>
  <c r="CO208" i="17"/>
  <c r="CP208" i="17"/>
  <c r="CQ208" i="17"/>
  <c r="CR208" i="17"/>
  <c r="CS208" i="17"/>
  <c r="CT208" i="17"/>
  <c r="CU208" i="17"/>
  <c r="CV208" i="17"/>
  <c r="CW208" i="17"/>
  <c r="CX208" i="17"/>
  <c r="CY208" i="17"/>
  <c r="CZ208" i="17"/>
  <c r="DA208" i="17"/>
  <c r="DB208" i="17"/>
  <c r="DC208" i="17"/>
  <c r="DD208" i="17"/>
  <c r="DE208" i="17"/>
  <c r="DF208" i="17"/>
  <c r="DG208" i="17"/>
  <c r="DH208" i="17"/>
  <c r="DI208" i="17"/>
  <c r="DJ208" i="17"/>
  <c r="DK208" i="17"/>
  <c r="DL208" i="17"/>
  <c r="DM208" i="17"/>
  <c r="DN208" i="17"/>
  <c r="DO208" i="17"/>
  <c r="DP208" i="17"/>
  <c r="DQ208" i="17"/>
  <c r="DR208" i="17"/>
  <c r="DS208" i="17"/>
  <c r="DT208" i="17"/>
  <c r="DU208" i="17"/>
  <c r="DV208" i="17"/>
  <c r="DW208" i="17"/>
  <c r="DX208" i="17"/>
  <c r="DY208" i="17"/>
  <c r="DZ208" i="17"/>
  <c r="EA208" i="17"/>
  <c r="EB208" i="17"/>
  <c r="EC208" i="17"/>
  <c r="ED208" i="17"/>
  <c r="EE208" i="17"/>
  <c r="EF208" i="17"/>
  <c r="EG208" i="17"/>
  <c r="EH208" i="17"/>
  <c r="EI208" i="17"/>
  <c r="EJ208" i="17"/>
  <c r="EK208" i="17"/>
  <c r="EL208" i="17"/>
  <c r="EM208" i="17"/>
  <c r="EN208" i="17"/>
  <c r="EO208" i="17"/>
  <c r="EP208" i="17"/>
  <c r="EQ208" i="17"/>
  <c r="ER208" i="17"/>
  <c r="ES208" i="17"/>
  <c r="ET208" i="17"/>
  <c r="EU208" i="17"/>
  <c r="EV208" i="17"/>
  <c r="EW208" i="17"/>
  <c r="EX208" i="17"/>
  <c r="EY208" i="17"/>
  <c r="EZ208" i="17"/>
  <c r="FA208" i="17"/>
  <c r="FB208" i="17"/>
  <c r="FC208" i="17"/>
  <c r="FD208" i="17"/>
  <c r="FE208" i="17"/>
  <c r="FF208" i="17"/>
  <c r="FG208" i="17"/>
  <c r="FH208" i="17"/>
  <c r="FI208" i="17"/>
  <c r="FJ208" i="17"/>
  <c r="FK208" i="17"/>
  <c r="FL208" i="17"/>
  <c r="FM208" i="17"/>
  <c r="FN208" i="17"/>
  <c r="FO208" i="17"/>
  <c r="FP208" i="17"/>
  <c r="FQ208" i="17"/>
  <c r="FR208" i="17"/>
  <c r="FS208" i="17"/>
  <c r="FT208" i="17"/>
  <c r="FU208" i="17"/>
  <c r="FV208" i="17"/>
  <c r="FW208" i="17"/>
  <c r="FX208" i="17"/>
  <c r="FY208" i="17"/>
  <c r="FZ208" i="17"/>
  <c r="GA208" i="17"/>
  <c r="GB208" i="17"/>
  <c r="GC208" i="17"/>
  <c r="GD208" i="17"/>
  <c r="GE208" i="17"/>
  <c r="GF208" i="17"/>
  <c r="GG208" i="17"/>
  <c r="GH208" i="17"/>
  <c r="GI208" i="17"/>
  <c r="GJ208" i="17"/>
  <c r="GK208" i="17"/>
  <c r="GL208" i="17"/>
  <c r="GM208" i="17"/>
  <c r="GN208" i="17"/>
  <c r="GO208" i="17"/>
  <c r="GP208" i="17"/>
  <c r="GQ208" i="17"/>
  <c r="GR208" i="17"/>
  <c r="GS208" i="17"/>
  <c r="GT208" i="17"/>
  <c r="GU208" i="17"/>
  <c r="GV208" i="17"/>
  <c r="GW208" i="17"/>
  <c r="GX208" i="17"/>
  <c r="GY208" i="17"/>
  <c r="GZ208" i="17"/>
  <c r="HA208" i="17"/>
  <c r="HB208" i="17"/>
  <c r="HC208" i="17"/>
  <c r="HD208" i="17"/>
  <c r="HE208" i="17"/>
  <c r="HF208" i="17"/>
  <c r="HG208" i="17"/>
  <c r="HH208" i="17"/>
  <c r="HI208" i="17"/>
  <c r="HJ208" i="17"/>
  <c r="HK208" i="17"/>
  <c r="HL208" i="17"/>
  <c r="HM208" i="17"/>
  <c r="HN208" i="17"/>
  <c r="HO208" i="17"/>
  <c r="HP208" i="17"/>
  <c r="HQ208" i="17"/>
  <c r="HR208" i="17"/>
  <c r="HS208" i="17"/>
  <c r="HT208" i="17"/>
  <c r="HU208" i="17"/>
  <c r="HV208" i="17"/>
  <c r="HW208" i="17"/>
  <c r="HX208" i="17"/>
  <c r="HY208" i="17"/>
  <c r="HZ208" i="17"/>
  <c r="IA208" i="17"/>
  <c r="IB208" i="17"/>
  <c r="IC208" i="17"/>
  <c r="ID208" i="17"/>
  <c r="IE208" i="17"/>
  <c r="IF208" i="17"/>
  <c r="IG208" i="17"/>
  <c r="IH208" i="17"/>
  <c r="II208" i="17"/>
  <c r="IJ208" i="17"/>
  <c r="IK208" i="17"/>
  <c r="IL208" i="17"/>
  <c r="IM208" i="17"/>
  <c r="IN208" i="17"/>
  <c r="IO208" i="17"/>
  <c r="IP208" i="17"/>
  <c r="IQ208" i="17"/>
  <c r="IR208" i="17"/>
  <c r="IS208" i="17"/>
  <c r="IT208" i="17"/>
  <c r="IU208" i="17"/>
  <c r="IV208" i="17"/>
  <c r="A207" i="17"/>
  <c r="B207" i="17"/>
  <c r="C207" i="17"/>
  <c r="D207" i="17"/>
  <c r="E207" i="17"/>
  <c r="F207" i="17"/>
  <c r="G207" i="17"/>
  <c r="H207" i="17"/>
  <c r="I207" i="17"/>
  <c r="J207" i="17"/>
  <c r="K207" i="17"/>
  <c r="L207" i="17"/>
  <c r="M207" i="17"/>
  <c r="N207" i="17"/>
  <c r="O207" i="17"/>
  <c r="P207" i="17"/>
  <c r="Q207" i="17"/>
  <c r="R207" i="17"/>
  <c r="S207" i="17"/>
  <c r="T207" i="17"/>
  <c r="U207" i="17"/>
  <c r="V207" i="17"/>
  <c r="W207" i="17"/>
  <c r="X207" i="17"/>
  <c r="Y207" i="17"/>
  <c r="Z207" i="17"/>
  <c r="AA207" i="17"/>
  <c r="AB207" i="17"/>
  <c r="AC207" i="17"/>
  <c r="AD207" i="17"/>
  <c r="AE207" i="17"/>
  <c r="AF207" i="17"/>
  <c r="AG207" i="17"/>
  <c r="AH207" i="17"/>
  <c r="AI207" i="17"/>
  <c r="AJ207" i="17"/>
  <c r="AK207" i="17"/>
  <c r="AL207" i="17"/>
  <c r="AM207" i="17"/>
  <c r="AN207" i="17"/>
  <c r="AO207" i="17"/>
  <c r="AP207" i="17"/>
  <c r="AQ207" i="17"/>
  <c r="AR207" i="17"/>
  <c r="AS207" i="17"/>
  <c r="AT207" i="17"/>
  <c r="AU207" i="17"/>
  <c r="AV207" i="17"/>
  <c r="AW207" i="17"/>
  <c r="AX207" i="17"/>
  <c r="AY207" i="17"/>
  <c r="AZ207" i="17"/>
  <c r="BA207" i="17"/>
  <c r="BB207" i="17"/>
  <c r="BC207" i="17"/>
  <c r="BD207" i="17"/>
  <c r="BE207" i="17"/>
  <c r="BF207" i="17"/>
  <c r="BG207" i="17"/>
  <c r="BH207" i="17"/>
  <c r="BI207" i="17"/>
  <c r="BJ207" i="17"/>
  <c r="BK207" i="17"/>
  <c r="BL207" i="17"/>
  <c r="BM207" i="17"/>
  <c r="BN207" i="17"/>
  <c r="BO207" i="17"/>
  <c r="BP207" i="17"/>
  <c r="BQ207" i="17"/>
  <c r="BR207" i="17"/>
  <c r="BS207" i="17"/>
  <c r="BT207" i="17"/>
  <c r="BU207" i="17"/>
  <c r="BV207" i="17"/>
  <c r="BW207" i="17"/>
  <c r="BX207" i="17"/>
  <c r="BY207" i="17"/>
  <c r="BZ207" i="17"/>
  <c r="CA207" i="17"/>
  <c r="CB207" i="17"/>
  <c r="CC207" i="17"/>
  <c r="CD207" i="17"/>
  <c r="CE207" i="17"/>
  <c r="CF207" i="17"/>
  <c r="CG207" i="17"/>
  <c r="CH207" i="17"/>
  <c r="CI207" i="17"/>
  <c r="CJ207" i="17"/>
  <c r="CK207" i="17"/>
  <c r="CL207" i="17"/>
  <c r="CM207" i="17"/>
  <c r="CN207" i="17"/>
  <c r="CO207" i="17"/>
  <c r="CP207" i="17"/>
  <c r="CQ207" i="17"/>
  <c r="CR207" i="17"/>
  <c r="CS207" i="17"/>
  <c r="CT207" i="17"/>
  <c r="CU207" i="17"/>
  <c r="CV207" i="17"/>
  <c r="CW207" i="17"/>
  <c r="CX207" i="17"/>
  <c r="CY207" i="17"/>
  <c r="CZ207" i="17"/>
  <c r="DA207" i="17"/>
  <c r="DB207" i="17"/>
  <c r="DC207" i="17"/>
  <c r="DD207" i="17"/>
  <c r="DE207" i="17"/>
  <c r="DF207" i="17"/>
  <c r="DG207" i="17"/>
  <c r="DH207" i="17"/>
  <c r="DI207" i="17"/>
  <c r="DJ207" i="17"/>
  <c r="DK207" i="17"/>
  <c r="DL207" i="17"/>
  <c r="DM207" i="17"/>
  <c r="DN207" i="17"/>
  <c r="DO207" i="17"/>
  <c r="DP207" i="17"/>
  <c r="DQ207" i="17"/>
  <c r="DR207" i="17"/>
  <c r="DS207" i="17"/>
  <c r="DT207" i="17"/>
  <c r="DU207" i="17"/>
  <c r="DV207" i="17"/>
  <c r="DW207" i="17"/>
  <c r="DX207" i="17"/>
  <c r="DY207" i="17"/>
  <c r="DZ207" i="17"/>
  <c r="EA207" i="17"/>
  <c r="EB207" i="17"/>
  <c r="EC207" i="17"/>
  <c r="ED207" i="17"/>
  <c r="EE207" i="17"/>
  <c r="EF207" i="17"/>
  <c r="EG207" i="17"/>
  <c r="EH207" i="17"/>
  <c r="EI207" i="17"/>
  <c r="EJ207" i="17"/>
  <c r="EK207" i="17"/>
  <c r="EL207" i="17"/>
  <c r="EM207" i="17"/>
  <c r="EN207" i="17"/>
  <c r="EO207" i="17"/>
  <c r="EP207" i="17"/>
  <c r="EQ207" i="17"/>
  <c r="ER207" i="17"/>
  <c r="ES207" i="17"/>
  <c r="ET207" i="17"/>
  <c r="EU207" i="17"/>
  <c r="EV207" i="17"/>
  <c r="EW207" i="17"/>
  <c r="EX207" i="17"/>
  <c r="EY207" i="17"/>
  <c r="EZ207" i="17"/>
  <c r="FA207" i="17"/>
  <c r="FB207" i="17"/>
  <c r="FC207" i="17"/>
  <c r="FD207" i="17"/>
  <c r="FE207" i="17"/>
  <c r="FF207" i="17"/>
  <c r="FG207" i="17"/>
  <c r="FH207" i="17"/>
  <c r="FI207" i="17"/>
  <c r="FJ207" i="17"/>
  <c r="FK207" i="17"/>
  <c r="FL207" i="17"/>
  <c r="FM207" i="17"/>
  <c r="FN207" i="17"/>
  <c r="FO207" i="17"/>
  <c r="FP207" i="17"/>
  <c r="FQ207" i="17"/>
  <c r="FR207" i="17"/>
  <c r="FS207" i="17"/>
  <c r="FT207" i="17"/>
  <c r="FU207" i="17"/>
  <c r="FV207" i="17"/>
  <c r="FW207" i="17"/>
  <c r="FX207" i="17"/>
  <c r="FY207" i="17"/>
  <c r="FZ207" i="17"/>
  <c r="GA207" i="17"/>
  <c r="GB207" i="17"/>
  <c r="GC207" i="17"/>
  <c r="GD207" i="17"/>
  <c r="GE207" i="17"/>
  <c r="GF207" i="17"/>
  <c r="GG207" i="17"/>
  <c r="GH207" i="17"/>
  <c r="GI207" i="17"/>
  <c r="GJ207" i="17"/>
  <c r="GK207" i="17"/>
  <c r="GL207" i="17"/>
  <c r="GM207" i="17"/>
  <c r="GN207" i="17"/>
  <c r="GO207" i="17"/>
  <c r="GP207" i="17"/>
  <c r="GQ207" i="17"/>
  <c r="GR207" i="17"/>
  <c r="GS207" i="17"/>
  <c r="GT207" i="17"/>
  <c r="GU207" i="17"/>
  <c r="GV207" i="17"/>
  <c r="GW207" i="17"/>
  <c r="GX207" i="17"/>
  <c r="GY207" i="17"/>
  <c r="GZ207" i="17"/>
  <c r="HA207" i="17"/>
  <c r="HB207" i="17"/>
  <c r="HC207" i="17"/>
  <c r="HD207" i="17"/>
  <c r="HE207" i="17"/>
  <c r="HF207" i="17"/>
  <c r="HG207" i="17"/>
  <c r="HH207" i="17"/>
  <c r="HI207" i="17"/>
  <c r="HJ207" i="17"/>
  <c r="HK207" i="17"/>
  <c r="HL207" i="17"/>
  <c r="HM207" i="17"/>
  <c r="HN207" i="17"/>
  <c r="HO207" i="17"/>
  <c r="HP207" i="17"/>
  <c r="HQ207" i="17"/>
  <c r="HR207" i="17"/>
  <c r="HS207" i="17"/>
  <c r="HT207" i="17"/>
  <c r="HU207" i="17"/>
  <c r="HV207" i="17"/>
  <c r="HW207" i="17"/>
  <c r="HX207" i="17"/>
  <c r="HY207" i="17"/>
  <c r="HZ207" i="17"/>
  <c r="IA207" i="17"/>
  <c r="IB207" i="17"/>
  <c r="IC207" i="17"/>
  <c r="ID207" i="17"/>
  <c r="IE207" i="17"/>
  <c r="IF207" i="17"/>
  <c r="IG207" i="17"/>
  <c r="IH207" i="17"/>
  <c r="II207" i="17"/>
  <c r="IJ207" i="17"/>
  <c r="IK207" i="17"/>
  <c r="IL207" i="17"/>
  <c r="IM207" i="17"/>
  <c r="IN207" i="17"/>
  <c r="IO207" i="17"/>
  <c r="IP207" i="17"/>
  <c r="IQ207" i="17"/>
  <c r="IR207" i="17"/>
  <c r="IS207" i="17"/>
  <c r="IT207" i="17"/>
  <c r="IU207" i="17"/>
  <c r="IV207" i="17"/>
  <c r="A206" i="17"/>
  <c r="B206" i="17"/>
  <c r="C206" i="17"/>
  <c r="D206" i="17"/>
  <c r="E206" i="17"/>
  <c r="F206" i="17"/>
  <c r="G206" i="17"/>
  <c r="H206" i="17"/>
  <c r="I206" i="17"/>
  <c r="J206" i="17"/>
  <c r="K206" i="17"/>
  <c r="L206" i="17"/>
  <c r="M206" i="17"/>
  <c r="N206" i="17"/>
  <c r="O206" i="17"/>
  <c r="P206" i="17"/>
  <c r="Q206" i="17"/>
  <c r="R206" i="17"/>
  <c r="S206" i="17"/>
  <c r="T206" i="17"/>
  <c r="U206" i="17"/>
  <c r="V206" i="17"/>
  <c r="W206" i="17"/>
  <c r="X206" i="17"/>
  <c r="Y206" i="17"/>
  <c r="Z206" i="17"/>
  <c r="AA206" i="17"/>
  <c r="AB206" i="17"/>
  <c r="AC206" i="17"/>
  <c r="AD206" i="17"/>
  <c r="AE206" i="17"/>
  <c r="AF206" i="17"/>
  <c r="AG206" i="17"/>
  <c r="AH206" i="17"/>
  <c r="AI206" i="17"/>
  <c r="AJ206" i="17"/>
  <c r="AK206" i="17"/>
  <c r="AL206" i="17"/>
  <c r="AM206" i="17"/>
  <c r="AN206" i="17"/>
  <c r="AO206" i="17"/>
  <c r="AP206" i="17"/>
  <c r="AQ206" i="17"/>
  <c r="AR206" i="17"/>
  <c r="AS206" i="17"/>
  <c r="AT206" i="17"/>
  <c r="AU206" i="17"/>
  <c r="AV206" i="17"/>
  <c r="AW206" i="17"/>
  <c r="AX206" i="17"/>
  <c r="AY206" i="17"/>
  <c r="AZ206" i="17"/>
  <c r="BA206" i="17"/>
  <c r="BB206" i="17"/>
  <c r="BC206" i="17"/>
  <c r="BD206" i="17"/>
  <c r="BE206" i="17"/>
  <c r="BF206" i="17"/>
  <c r="BG206" i="17"/>
  <c r="BH206" i="17"/>
  <c r="BI206" i="17"/>
  <c r="BJ206" i="17"/>
  <c r="BK206" i="17"/>
  <c r="BL206" i="17"/>
  <c r="BM206" i="17"/>
  <c r="BN206" i="17"/>
  <c r="BO206" i="17"/>
  <c r="BP206" i="17"/>
  <c r="BQ206" i="17"/>
  <c r="BR206" i="17"/>
  <c r="BS206" i="17"/>
  <c r="BT206" i="17"/>
  <c r="BU206" i="17"/>
  <c r="BV206" i="17"/>
  <c r="BW206" i="17"/>
  <c r="BX206" i="17"/>
  <c r="BY206" i="17"/>
  <c r="BZ206" i="17"/>
  <c r="CA206" i="17"/>
  <c r="CB206" i="17"/>
  <c r="CC206" i="17"/>
  <c r="CD206" i="17"/>
  <c r="CE206" i="17"/>
  <c r="CF206" i="17"/>
  <c r="CG206" i="17"/>
  <c r="CH206" i="17"/>
  <c r="CI206" i="17"/>
  <c r="CJ206" i="17"/>
  <c r="CK206" i="17"/>
  <c r="CL206" i="17"/>
  <c r="CM206" i="17"/>
  <c r="CN206" i="17"/>
  <c r="CO206" i="17"/>
  <c r="CP206" i="17"/>
  <c r="CQ206" i="17"/>
  <c r="CR206" i="17"/>
  <c r="CS206" i="17"/>
  <c r="CT206" i="17"/>
  <c r="CU206" i="17"/>
  <c r="CV206" i="17"/>
  <c r="CW206" i="17"/>
  <c r="CX206" i="17"/>
  <c r="CY206" i="17"/>
  <c r="CZ206" i="17"/>
  <c r="DA206" i="17"/>
  <c r="DB206" i="17"/>
  <c r="DC206" i="17"/>
  <c r="DD206" i="17"/>
  <c r="DE206" i="17"/>
  <c r="DF206" i="17"/>
  <c r="DG206" i="17"/>
  <c r="DH206" i="17"/>
  <c r="DI206" i="17"/>
  <c r="DJ206" i="17"/>
  <c r="DK206" i="17"/>
  <c r="DL206" i="17"/>
  <c r="DM206" i="17"/>
  <c r="DN206" i="17"/>
  <c r="DO206" i="17"/>
  <c r="DP206" i="17"/>
  <c r="DQ206" i="17"/>
  <c r="DR206" i="17"/>
  <c r="DS206" i="17"/>
  <c r="DT206" i="17"/>
  <c r="DU206" i="17"/>
  <c r="DV206" i="17"/>
  <c r="DW206" i="17"/>
  <c r="DX206" i="17"/>
  <c r="DY206" i="17"/>
  <c r="DZ206" i="17"/>
  <c r="EA206" i="17"/>
  <c r="EB206" i="17"/>
  <c r="EC206" i="17"/>
  <c r="ED206" i="17"/>
  <c r="EE206" i="17"/>
  <c r="EF206" i="17"/>
  <c r="EG206" i="17"/>
  <c r="EH206" i="17"/>
  <c r="EI206" i="17"/>
  <c r="EJ206" i="17"/>
  <c r="EK206" i="17"/>
  <c r="EL206" i="17"/>
  <c r="EM206" i="17"/>
  <c r="EN206" i="17"/>
  <c r="EO206" i="17"/>
  <c r="EP206" i="17"/>
  <c r="EQ206" i="17"/>
  <c r="ER206" i="17"/>
  <c r="ES206" i="17"/>
  <c r="ET206" i="17"/>
  <c r="EU206" i="17"/>
  <c r="EV206" i="17"/>
  <c r="EW206" i="17"/>
  <c r="EX206" i="17"/>
  <c r="EY206" i="17"/>
  <c r="EZ206" i="17"/>
  <c r="FA206" i="17"/>
  <c r="FB206" i="17"/>
  <c r="FC206" i="17"/>
  <c r="FD206" i="17"/>
  <c r="FE206" i="17"/>
  <c r="FF206" i="17"/>
  <c r="FG206" i="17"/>
  <c r="FH206" i="17"/>
  <c r="FI206" i="17"/>
  <c r="FJ206" i="17"/>
  <c r="FK206" i="17"/>
  <c r="FL206" i="17"/>
  <c r="FM206" i="17"/>
  <c r="FN206" i="17"/>
  <c r="FO206" i="17"/>
  <c r="FP206" i="17"/>
  <c r="FQ206" i="17"/>
  <c r="FR206" i="17"/>
  <c r="FS206" i="17"/>
  <c r="FT206" i="17"/>
  <c r="FU206" i="17"/>
  <c r="FV206" i="17"/>
  <c r="FW206" i="17"/>
  <c r="FX206" i="17"/>
  <c r="FY206" i="17"/>
  <c r="FZ206" i="17"/>
  <c r="GA206" i="17"/>
  <c r="GB206" i="17"/>
  <c r="GC206" i="17"/>
  <c r="GD206" i="17"/>
  <c r="GE206" i="17"/>
  <c r="GF206" i="17"/>
  <c r="GG206" i="17"/>
  <c r="GH206" i="17"/>
  <c r="GI206" i="17"/>
  <c r="GJ206" i="17"/>
  <c r="GK206" i="17"/>
  <c r="GL206" i="17"/>
  <c r="GM206" i="17"/>
  <c r="GN206" i="17"/>
  <c r="GO206" i="17"/>
  <c r="GP206" i="17"/>
  <c r="GQ206" i="17"/>
  <c r="GR206" i="17"/>
  <c r="GS206" i="17"/>
  <c r="GT206" i="17"/>
  <c r="GU206" i="17"/>
  <c r="GV206" i="17"/>
  <c r="GW206" i="17"/>
  <c r="GX206" i="17"/>
  <c r="GY206" i="17"/>
  <c r="GZ206" i="17"/>
  <c r="HA206" i="17"/>
  <c r="HB206" i="17"/>
  <c r="HC206" i="17"/>
  <c r="HD206" i="17"/>
  <c r="HE206" i="17"/>
  <c r="HF206" i="17"/>
  <c r="HG206" i="17"/>
  <c r="HH206" i="17"/>
  <c r="HI206" i="17"/>
  <c r="HJ206" i="17"/>
  <c r="HK206" i="17"/>
  <c r="HL206" i="17"/>
  <c r="HM206" i="17"/>
  <c r="HN206" i="17"/>
  <c r="HO206" i="17"/>
  <c r="HP206" i="17"/>
  <c r="HQ206" i="17"/>
  <c r="HR206" i="17"/>
  <c r="HS206" i="17"/>
  <c r="HT206" i="17"/>
  <c r="HU206" i="17"/>
  <c r="HV206" i="17"/>
  <c r="HW206" i="17"/>
  <c r="HX206" i="17"/>
  <c r="HY206" i="17"/>
  <c r="HZ206" i="17"/>
  <c r="IA206" i="17"/>
  <c r="IB206" i="17"/>
  <c r="IC206" i="17"/>
  <c r="ID206" i="17"/>
  <c r="IE206" i="17"/>
  <c r="IF206" i="17"/>
  <c r="IG206" i="17"/>
  <c r="IH206" i="17"/>
  <c r="II206" i="17"/>
  <c r="IJ206" i="17"/>
  <c r="IK206" i="17"/>
  <c r="IL206" i="17"/>
  <c r="IM206" i="17"/>
  <c r="IN206" i="17"/>
  <c r="IO206" i="17"/>
  <c r="IP206" i="17"/>
  <c r="IQ206" i="17"/>
  <c r="IR206" i="17"/>
  <c r="IS206" i="17"/>
  <c r="IT206" i="17"/>
  <c r="IU206" i="17"/>
  <c r="IV206" i="17"/>
  <c r="A205" i="17"/>
  <c r="B205" i="17"/>
  <c r="C205" i="17"/>
  <c r="D205" i="17"/>
  <c r="E205" i="17"/>
  <c r="F205" i="17"/>
  <c r="G205" i="17"/>
  <c r="H205" i="17"/>
  <c r="I205" i="17"/>
  <c r="J205" i="17"/>
  <c r="K205" i="17"/>
  <c r="L205" i="17"/>
  <c r="M205" i="17"/>
  <c r="N205" i="17"/>
  <c r="O205" i="17"/>
  <c r="P205" i="17"/>
  <c r="Q205" i="17"/>
  <c r="R205" i="17"/>
  <c r="S205" i="17"/>
  <c r="T205" i="17"/>
  <c r="U205" i="17"/>
  <c r="V205" i="17"/>
  <c r="W205" i="17"/>
  <c r="X205" i="17"/>
  <c r="Y205" i="17"/>
  <c r="Z205" i="17"/>
  <c r="AA205" i="17"/>
  <c r="AB205" i="17"/>
  <c r="AC205" i="17"/>
  <c r="AD205" i="17"/>
  <c r="AE205" i="17"/>
  <c r="AF205" i="17"/>
  <c r="AG205" i="17"/>
  <c r="AH205" i="17"/>
  <c r="AI205" i="17"/>
  <c r="AJ205" i="17"/>
  <c r="AK205" i="17"/>
  <c r="AL205" i="17"/>
  <c r="AM205" i="17"/>
  <c r="AN205" i="17"/>
  <c r="AO205" i="17"/>
  <c r="AP205" i="17"/>
  <c r="AQ205" i="17"/>
  <c r="AR205" i="17"/>
  <c r="AS205" i="17"/>
  <c r="AT205" i="17"/>
  <c r="AU205" i="17"/>
  <c r="AV205" i="17"/>
  <c r="AW205" i="17"/>
  <c r="AX205" i="17"/>
  <c r="AY205" i="17"/>
  <c r="AZ205" i="17"/>
  <c r="BA205" i="17"/>
  <c r="BB205" i="17"/>
  <c r="BD205" i="17"/>
  <c r="BE205" i="17"/>
  <c r="BF205" i="17"/>
  <c r="BG205" i="17"/>
  <c r="BH205" i="17"/>
  <c r="BI205" i="17"/>
  <c r="BJ205" i="17"/>
  <c r="BK205" i="17"/>
  <c r="BL205" i="17"/>
  <c r="BM205" i="17"/>
  <c r="BN205" i="17"/>
  <c r="BO205" i="17"/>
  <c r="BP205" i="17"/>
  <c r="BQ205" i="17"/>
  <c r="BR205" i="17"/>
  <c r="BS205" i="17"/>
  <c r="BT205" i="17"/>
  <c r="BU205" i="17"/>
  <c r="BV205" i="17"/>
  <c r="BW205" i="17"/>
  <c r="BX205" i="17"/>
  <c r="BY205" i="17"/>
  <c r="BZ205" i="17"/>
  <c r="CA205" i="17"/>
  <c r="CB205" i="17"/>
  <c r="CC205" i="17"/>
  <c r="CD205" i="17"/>
  <c r="CE205" i="17"/>
  <c r="CF205" i="17"/>
  <c r="CG205" i="17"/>
  <c r="CH205" i="17"/>
  <c r="CI205" i="17"/>
  <c r="CJ205" i="17"/>
  <c r="CK205" i="17"/>
  <c r="CL205" i="17"/>
  <c r="CM205" i="17"/>
  <c r="CN205" i="17"/>
  <c r="CO205" i="17"/>
  <c r="CP205" i="17"/>
  <c r="CQ205" i="17"/>
  <c r="CR205" i="17"/>
  <c r="CS205" i="17"/>
  <c r="CT205" i="17"/>
  <c r="CU205" i="17"/>
  <c r="CV205" i="17"/>
  <c r="CW205" i="17"/>
  <c r="CX205" i="17"/>
  <c r="CY205" i="17"/>
  <c r="CZ205" i="17"/>
  <c r="DA205" i="17"/>
  <c r="DB205" i="17"/>
  <c r="DC205" i="17"/>
  <c r="DD205" i="17"/>
  <c r="DE205" i="17"/>
  <c r="DF205" i="17"/>
  <c r="DG205" i="17"/>
  <c r="DH205" i="17"/>
  <c r="DI205" i="17"/>
  <c r="DJ205" i="17"/>
  <c r="DK205" i="17"/>
  <c r="DL205" i="17"/>
  <c r="DM205" i="17"/>
  <c r="DN205" i="17"/>
  <c r="DO205" i="17"/>
  <c r="DP205" i="17"/>
  <c r="DQ205" i="17"/>
  <c r="DR205" i="17"/>
  <c r="DS205" i="17"/>
  <c r="DT205" i="17"/>
  <c r="DU205" i="17"/>
  <c r="DV205" i="17"/>
  <c r="DW205" i="17"/>
  <c r="DX205" i="17"/>
  <c r="DY205" i="17"/>
  <c r="DZ205" i="17"/>
  <c r="EA205" i="17"/>
  <c r="EB205" i="17"/>
  <c r="EC205" i="17"/>
  <c r="ED205" i="17"/>
  <c r="EE205" i="17"/>
  <c r="EF205" i="17"/>
  <c r="EG205" i="17"/>
  <c r="EH205" i="17"/>
  <c r="EI205" i="17"/>
  <c r="EJ205" i="17"/>
  <c r="EK205" i="17"/>
  <c r="EL205" i="17"/>
  <c r="EM205" i="17"/>
  <c r="EN205" i="17"/>
  <c r="EO205" i="17"/>
  <c r="EP205" i="17"/>
  <c r="EQ205" i="17"/>
  <c r="ER205" i="17"/>
  <c r="ES205" i="17"/>
  <c r="ET205" i="17"/>
  <c r="EU205" i="17"/>
  <c r="EV205" i="17"/>
  <c r="EW205" i="17"/>
  <c r="EX205" i="17"/>
  <c r="EY205" i="17"/>
  <c r="EZ205" i="17"/>
  <c r="FA205" i="17"/>
  <c r="FB205" i="17"/>
  <c r="FC205" i="17"/>
  <c r="FD205" i="17"/>
  <c r="FE205" i="17"/>
  <c r="FF205" i="17"/>
  <c r="FG205" i="17"/>
  <c r="FH205" i="17"/>
  <c r="FI205" i="17"/>
  <c r="FJ205" i="17"/>
  <c r="FK205" i="17"/>
  <c r="FL205" i="17"/>
  <c r="FM205" i="17"/>
  <c r="FN205" i="17"/>
  <c r="FO205" i="17"/>
  <c r="FP205" i="17"/>
  <c r="FQ205" i="17"/>
  <c r="FR205" i="17"/>
  <c r="FS205" i="17"/>
  <c r="FT205" i="17"/>
  <c r="FU205" i="17"/>
  <c r="FV205" i="17"/>
  <c r="FW205" i="17"/>
  <c r="FX205" i="17"/>
  <c r="FY205" i="17"/>
  <c r="FZ205" i="17"/>
  <c r="GA205" i="17"/>
  <c r="GB205" i="17"/>
  <c r="GC205" i="17"/>
  <c r="GD205" i="17"/>
  <c r="GE205" i="17"/>
  <c r="GF205" i="17"/>
  <c r="GG205" i="17"/>
  <c r="GH205" i="17"/>
  <c r="GI205" i="17"/>
  <c r="GJ205" i="17"/>
  <c r="GK205" i="17"/>
  <c r="GL205" i="17"/>
  <c r="GM205" i="17"/>
  <c r="GN205" i="17"/>
  <c r="GO205" i="17"/>
  <c r="GP205" i="17"/>
  <c r="GQ205" i="17"/>
  <c r="GR205" i="17"/>
  <c r="GS205" i="17"/>
  <c r="GT205" i="17"/>
  <c r="GU205" i="17"/>
  <c r="GV205" i="17"/>
  <c r="GW205" i="17"/>
  <c r="GX205" i="17"/>
  <c r="GY205" i="17"/>
  <c r="GZ205" i="17"/>
  <c r="HA205" i="17"/>
  <c r="HB205" i="17"/>
  <c r="HC205" i="17"/>
  <c r="HD205" i="17"/>
  <c r="HE205" i="17"/>
  <c r="HF205" i="17"/>
  <c r="HG205" i="17"/>
  <c r="HH205" i="17"/>
  <c r="HI205" i="17"/>
  <c r="HJ205" i="17"/>
  <c r="HK205" i="17"/>
  <c r="HL205" i="17"/>
  <c r="HM205" i="17"/>
  <c r="HN205" i="17"/>
  <c r="HO205" i="17"/>
  <c r="HP205" i="17"/>
  <c r="HQ205" i="17"/>
  <c r="HR205" i="17"/>
  <c r="HS205" i="17"/>
  <c r="HT205" i="17"/>
  <c r="HU205" i="17"/>
  <c r="HV205" i="17"/>
  <c r="HW205" i="17"/>
  <c r="HX205" i="17"/>
  <c r="HY205" i="17"/>
  <c r="HZ205" i="17"/>
  <c r="IA205" i="17"/>
  <c r="IB205" i="17"/>
  <c r="IC205" i="17"/>
  <c r="ID205" i="17"/>
  <c r="IE205" i="17"/>
  <c r="IF205" i="17"/>
  <c r="IG205" i="17"/>
  <c r="IH205" i="17"/>
  <c r="II205" i="17"/>
  <c r="IJ205" i="17"/>
  <c r="IK205" i="17"/>
  <c r="IL205" i="17"/>
  <c r="IM205" i="17"/>
  <c r="IN205" i="17"/>
  <c r="IO205" i="17"/>
  <c r="IP205" i="17"/>
  <c r="IQ205" i="17"/>
  <c r="IR205" i="17"/>
  <c r="IS205" i="17"/>
  <c r="IT205" i="17"/>
  <c r="IU205" i="17"/>
  <c r="IV205" i="17"/>
  <c r="A204" i="17"/>
  <c r="B204" i="17"/>
  <c r="C204" i="17"/>
  <c r="D204" i="17"/>
  <c r="E204" i="17"/>
  <c r="F204" i="17"/>
  <c r="G204" i="17"/>
  <c r="H204" i="17"/>
  <c r="I204" i="17"/>
  <c r="J204" i="17"/>
  <c r="K204" i="17"/>
  <c r="L204" i="17"/>
  <c r="M204" i="17"/>
  <c r="N204" i="17"/>
  <c r="O204" i="17"/>
  <c r="P204" i="17"/>
  <c r="Q204" i="17"/>
  <c r="R204" i="17"/>
  <c r="S204" i="17"/>
  <c r="T204" i="17"/>
  <c r="U204" i="17"/>
  <c r="V204" i="17"/>
  <c r="W204" i="17"/>
  <c r="X204" i="17"/>
  <c r="Y204" i="17"/>
  <c r="Z204" i="17"/>
  <c r="AA204" i="17"/>
  <c r="AB204" i="17"/>
  <c r="AC204" i="17"/>
  <c r="AD204" i="17"/>
  <c r="AE204" i="17"/>
  <c r="AF204" i="17"/>
  <c r="AG204" i="17"/>
  <c r="AH204" i="17"/>
  <c r="AI204" i="17"/>
  <c r="AJ204" i="17"/>
  <c r="AK204" i="17"/>
  <c r="AL204" i="17"/>
  <c r="AM204" i="17"/>
  <c r="AN204" i="17"/>
  <c r="AO204" i="17"/>
  <c r="AP204" i="17"/>
  <c r="AQ204" i="17"/>
  <c r="AR204" i="17"/>
  <c r="AS204" i="17"/>
  <c r="AT204" i="17"/>
  <c r="AU204" i="17"/>
  <c r="AV204" i="17"/>
  <c r="AW204" i="17"/>
  <c r="AX204" i="17"/>
  <c r="AY204" i="17"/>
  <c r="AZ204" i="17"/>
  <c r="BA204" i="17"/>
  <c r="BB204" i="17"/>
  <c r="BC204" i="17"/>
  <c r="BD204" i="17"/>
  <c r="BE204" i="17"/>
  <c r="BF204" i="17"/>
  <c r="BG204" i="17"/>
  <c r="BH204" i="17"/>
  <c r="BI204" i="17"/>
  <c r="BJ204" i="17"/>
  <c r="BK204" i="17"/>
  <c r="BL204" i="17"/>
  <c r="BM204" i="17"/>
  <c r="BN204" i="17"/>
  <c r="BO204" i="17"/>
  <c r="BP204" i="17"/>
  <c r="BQ204" i="17"/>
  <c r="BR204" i="17"/>
  <c r="BS204" i="17"/>
  <c r="BT204" i="17"/>
  <c r="BU204" i="17"/>
  <c r="BV204" i="17"/>
  <c r="BW204" i="17"/>
  <c r="BX204" i="17"/>
  <c r="BY204" i="17"/>
  <c r="BZ204" i="17"/>
  <c r="CA204" i="17"/>
  <c r="CB204" i="17"/>
  <c r="CC204" i="17"/>
  <c r="CD204" i="17"/>
  <c r="CE204" i="17"/>
  <c r="CF204" i="17"/>
  <c r="CG204" i="17"/>
  <c r="CH204" i="17"/>
  <c r="CI204" i="17"/>
  <c r="CJ204" i="17"/>
  <c r="CK204" i="17"/>
  <c r="CL204" i="17"/>
  <c r="CM204" i="17"/>
  <c r="CN204" i="17"/>
  <c r="CO204" i="17"/>
  <c r="CP204" i="17"/>
  <c r="CQ204" i="17"/>
  <c r="CR204" i="17"/>
  <c r="CS204" i="17"/>
  <c r="CT204" i="17"/>
  <c r="CU204" i="17"/>
  <c r="CV204" i="17"/>
  <c r="CW204" i="17"/>
  <c r="CX204" i="17"/>
  <c r="CY204" i="17"/>
  <c r="CZ204" i="17"/>
  <c r="DA204" i="17"/>
  <c r="DB204" i="17"/>
  <c r="DC204" i="17"/>
  <c r="DD204" i="17"/>
  <c r="DE204" i="17"/>
  <c r="DF204" i="17"/>
  <c r="DG204" i="17"/>
  <c r="DH204" i="17"/>
  <c r="DI204" i="17"/>
  <c r="DJ204" i="17"/>
  <c r="DK204" i="17"/>
  <c r="DL204" i="17"/>
  <c r="DM204" i="17"/>
  <c r="DN204" i="17"/>
  <c r="DO204" i="17"/>
  <c r="DP204" i="17"/>
  <c r="DQ204" i="17"/>
  <c r="DR204" i="17"/>
  <c r="DS204" i="17"/>
  <c r="DT204" i="17"/>
  <c r="DU204" i="17"/>
  <c r="DV204" i="17"/>
  <c r="DW204" i="17"/>
  <c r="DX204" i="17"/>
  <c r="DY204" i="17"/>
  <c r="DZ204" i="17"/>
  <c r="EA204" i="17"/>
  <c r="EB204" i="17"/>
  <c r="EC204" i="17"/>
  <c r="ED204" i="17"/>
  <c r="EE204" i="17"/>
  <c r="EF204" i="17"/>
  <c r="EG204" i="17"/>
  <c r="EH204" i="17"/>
  <c r="EI204" i="17"/>
  <c r="EJ204" i="17"/>
  <c r="EK204" i="17"/>
  <c r="EL204" i="17"/>
  <c r="EM204" i="17"/>
  <c r="EN204" i="17"/>
  <c r="EO204" i="17"/>
  <c r="EP204" i="17"/>
  <c r="EQ204" i="17"/>
  <c r="ER204" i="17"/>
  <c r="ES204" i="17"/>
  <c r="ET204" i="17"/>
  <c r="EU204" i="17"/>
  <c r="EV204" i="17"/>
  <c r="EW204" i="17"/>
  <c r="EX204" i="17"/>
  <c r="EY204" i="17"/>
  <c r="EZ204" i="17"/>
  <c r="FA204" i="17"/>
  <c r="FB204" i="17"/>
  <c r="FC204" i="17"/>
  <c r="FD204" i="17"/>
  <c r="FE204" i="17"/>
  <c r="FF204" i="17"/>
  <c r="FG204" i="17"/>
  <c r="FH204" i="17"/>
  <c r="FI204" i="17"/>
  <c r="FJ204" i="17"/>
  <c r="FK204" i="17"/>
  <c r="FL204" i="17"/>
  <c r="FM204" i="17"/>
  <c r="FN204" i="17"/>
  <c r="FO204" i="17"/>
  <c r="FP204" i="17"/>
  <c r="FQ204" i="17"/>
  <c r="FR204" i="17"/>
  <c r="FS204" i="17"/>
  <c r="FT204" i="17"/>
  <c r="FU204" i="17"/>
  <c r="FV204" i="17"/>
  <c r="FW204" i="17"/>
  <c r="FX204" i="17"/>
  <c r="FY204" i="17"/>
  <c r="FZ204" i="17"/>
  <c r="GA204" i="17"/>
  <c r="GB204" i="17"/>
  <c r="GC204" i="17"/>
  <c r="GD204" i="17"/>
  <c r="GE204" i="17"/>
  <c r="GF204" i="17"/>
  <c r="GG204" i="17"/>
  <c r="GH204" i="17"/>
  <c r="GI204" i="17"/>
  <c r="GJ204" i="17"/>
  <c r="GK204" i="17"/>
  <c r="GL204" i="17"/>
  <c r="GM204" i="17"/>
  <c r="GN204" i="17"/>
  <c r="GO204" i="17"/>
  <c r="GP204" i="17"/>
  <c r="GQ204" i="17"/>
  <c r="GR204" i="17"/>
  <c r="GS204" i="17"/>
  <c r="GT204" i="17"/>
  <c r="GU204" i="17"/>
  <c r="GV204" i="17"/>
  <c r="GW204" i="17"/>
  <c r="GX204" i="17"/>
  <c r="GY204" i="17"/>
  <c r="GZ204" i="17"/>
  <c r="HA204" i="17"/>
  <c r="HB204" i="17"/>
  <c r="HC204" i="17"/>
  <c r="HD204" i="17"/>
  <c r="HE204" i="17"/>
  <c r="HF204" i="17"/>
  <c r="HG204" i="17"/>
  <c r="HH204" i="17"/>
  <c r="HI204" i="17"/>
  <c r="HJ204" i="17"/>
  <c r="HK204" i="17"/>
  <c r="HL204" i="17"/>
  <c r="HM204" i="17"/>
  <c r="HN204" i="17"/>
  <c r="HO204" i="17"/>
  <c r="HP204" i="17"/>
  <c r="HQ204" i="17"/>
  <c r="HR204" i="17"/>
  <c r="HS204" i="17"/>
  <c r="HT204" i="17"/>
  <c r="HU204" i="17"/>
  <c r="HV204" i="17"/>
  <c r="HX204" i="17"/>
  <c r="HY204" i="17"/>
  <c r="HZ204" i="17"/>
  <c r="IA204" i="17"/>
  <c r="IB204" i="17"/>
  <c r="IC204" i="17"/>
  <c r="ID204" i="17"/>
  <c r="IE204" i="17"/>
  <c r="IF204" i="17"/>
  <c r="IG204" i="17"/>
  <c r="IH204" i="17"/>
  <c r="II204" i="17"/>
  <c r="IJ204" i="17"/>
  <c r="IK204" i="17"/>
  <c r="IL204" i="17"/>
  <c r="IM204" i="17"/>
  <c r="IN204" i="17"/>
  <c r="IO204" i="17"/>
  <c r="IP204" i="17"/>
  <c r="IQ204" i="17"/>
  <c r="IR204" i="17"/>
  <c r="IS204" i="17"/>
  <c r="IT204" i="17"/>
  <c r="IU204" i="17"/>
  <c r="IV204" i="17"/>
  <c r="A203" i="17"/>
  <c r="B203" i="17"/>
  <c r="C203" i="17"/>
  <c r="D203" i="17"/>
  <c r="E203" i="17"/>
  <c r="F203" i="17"/>
  <c r="G203" i="17"/>
  <c r="H203" i="17"/>
  <c r="I203" i="17"/>
  <c r="J203" i="17"/>
  <c r="K203" i="17"/>
  <c r="L203" i="17"/>
  <c r="M203" i="17"/>
  <c r="N203" i="17"/>
  <c r="O203" i="17"/>
  <c r="P203" i="17"/>
  <c r="Q203" i="17"/>
  <c r="R203" i="17"/>
  <c r="S203" i="17"/>
  <c r="T203" i="17"/>
  <c r="U203" i="17"/>
  <c r="V203" i="17"/>
  <c r="W203" i="17"/>
  <c r="X203" i="17"/>
  <c r="Y203" i="17"/>
  <c r="Z203" i="17"/>
  <c r="AA203" i="17"/>
  <c r="AB203" i="17"/>
  <c r="AC203" i="17"/>
  <c r="AD203" i="17"/>
  <c r="AE203" i="17"/>
  <c r="AF203" i="17"/>
  <c r="AG203" i="17"/>
  <c r="AH203" i="17"/>
  <c r="AI203" i="17"/>
  <c r="AJ203" i="17"/>
  <c r="AK203" i="17"/>
  <c r="AL203" i="17"/>
  <c r="AM203" i="17"/>
  <c r="AN203" i="17"/>
  <c r="AO203" i="17"/>
  <c r="AP203" i="17"/>
  <c r="AQ203" i="17"/>
  <c r="AR203" i="17"/>
  <c r="AS203" i="17"/>
  <c r="AT203" i="17"/>
  <c r="AU203" i="17"/>
  <c r="AV203" i="17"/>
  <c r="AW203" i="17"/>
  <c r="AX203" i="17"/>
  <c r="AY203" i="17"/>
  <c r="AZ203" i="17"/>
  <c r="BA203" i="17"/>
  <c r="BB203" i="17"/>
  <c r="BC203" i="17"/>
  <c r="BD203" i="17"/>
  <c r="BE203" i="17"/>
  <c r="BF203" i="17"/>
  <c r="BG203" i="17"/>
  <c r="BH203" i="17"/>
  <c r="BI203" i="17"/>
  <c r="BJ203" i="17"/>
  <c r="BK203" i="17"/>
  <c r="BL203" i="17"/>
  <c r="BM203" i="17"/>
  <c r="BN203" i="17"/>
  <c r="BO203" i="17"/>
  <c r="BP203" i="17"/>
  <c r="BQ203" i="17"/>
  <c r="BR203" i="17"/>
  <c r="BS203" i="17"/>
  <c r="BT203" i="17"/>
  <c r="BU203" i="17"/>
  <c r="BV203" i="17"/>
  <c r="BW203" i="17"/>
  <c r="BX203" i="17"/>
  <c r="BY203" i="17"/>
  <c r="BZ203" i="17"/>
  <c r="CA203" i="17"/>
  <c r="CB203" i="17"/>
  <c r="CC203" i="17"/>
  <c r="CD203" i="17"/>
  <c r="CE203" i="17"/>
  <c r="CF203" i="17"/>
  <c r="CG203" i="17"/>
  <c r="CH203" i="17"/>
  <c r="CI203" i="17"/>
  <c r="CJ203" i="17"/>
  <c r="CK203" i="17"/>
  <c r="CL203" i="17"/>
  <c r="CM203" i="17"/>
  <c r="CN203" i="17"/>
  <c r="CO203" i="17"/>
  <c r="CP203" i="17"/>
  <c r="CQ203" i="17"/>
  <c r="CR203" i="17"/>
  <c r="CS203" i="17"/>
  <c r="CT203" i="17"/>
  <c r="CU203" i="17"/>
  <c r="CV203" i="17"/>
  <c r="CW203" i="17"/>
  <c r="CX203" i="17"/>
  <c r="CY203" i="17"/>
  <c r="CZ203" i="17"/>
  <c r="DA203" i="17"/>
  <c r="DB203" i="17"/>
  <c r="DC203" i="17"/>
  <c r="DD203" i="17"/>
  <c r="DE203" i="17"/>
  <c r="DF203" i="17"/>
  <c r="DG203" i="17"/>
  <c r="DH203" i="17"/>
  <c r="DI203" i="17"/>
  <c r="DJ203" i="17"/>
  <c r="DK203" i="17"/>
  <c r="DL203" i="17"/>
  <c r="DM203" i="17"/>
  <c r="DN203" i="17"/>
  <c r="DO203" i="17"/>
  <c r="DP203" i="17"/>
  <c r="DQ203" i="17"/>
  <c r="DR203" i="17"/>
  <c r="DS203" i="17"/>
  <c r="DT203" i="17"/>
  <c r="DU203" i="17"/>
  <c r="DV203" i="17"/>
  <c r="DW203" i="17"/>
  <c r="DX203" i="17"/>
  <c r="DY203" i="17"/>
  <c r="DZ203" i="17"/>
  <c r="EA203" i="17"/>
  <c r="EB203" i="17"/>
  <c r="EC203" i="17"/>
  <c r="ED203" i="17"/>
  <c r="EE203" i="17"/>
  <c r="EF203" i="17"/>
  <c r="EG203" i="17"/>
  <c r="EH203" i="17"/>
  <c r="EI203" i="17"/>
  <c r="EJ203" i="17"/>
  <c r="EK203" i="17"/>
  <c r="EL203" i="17"/>
  <c r="EM203" i="17"/>
  <c r="EN203" i="17"/>
  <c r="EO203" i="17"/>
  <c r="EP203" i="17"/>
  <c r="EQ203" i="17"/>
  <c r="ER203" i="17"/>
  <c r="ES203" i="17"/>
  <c r="ET203" i="17"/>
  <c r="EU203" i="17"/>
  <c r="EV203" i="17"/>
  <c r="EW203" i="17"/>
  <c r="EX203" i="17"/>
  <c r="EY203" i="17"/>
  <c r="EZ203" i="17"/>
  <c r="FA203" i="17"/>
  <c r="FB203" i="17"/>
  <c r="FC203" i="17"/>
  <c r="FD203" i="17"/>
  <c r="FE203" i="17"/>
  <c r="FF203" i="17"/>
  <c r="FG203" i="17"/>
  <c r="FH203" i="17"/>
  <c r="FI203" i="17"/>
  <c r="FJ203" i="17"/>
  <c r="FK203" i="17"/>
  <c r="FL203" i="17"/>
  <c r="FM203" i="17"/>
  <c r="FN203" i="17"/>
  <c r="FO203" i="17"/>
  <c r="FP203" i="17"/>
  <c r="FQ203" i="17"/>
  <c r="FR203" i="17"/>
  <c r="FS203" i="17"/>
  <c r="FT203" i="17"/>
  <c r="FU203" i="17"/>
  <c r="FV203" i="17"/>
  <c r="FW203" i="17"/>
  <c r="FX203" i="17"/>
  <c r="FY203" i="17"/>
  <c r="FZ203" i="17"/>
  <c r="GA203" i="17"/>
  <c r="GB203" i="17"/>
  <c r="GC203" i="17"/>
  <c r="GD203" i="17"/>
  <c r="GE203" i="17"/>
  <c r="GF203" i="17"/>
  <c r="GG203" i="17"/>
  <c r="GH203" i="17"/>
  <c r="GI203" i="17"/>
  <c r="GJ203" i="17"/>
  <c r="GK203" i="17"/>
  <c r="GL203" i="17"/>
  <c r="GM203" i="17"/>
  <c r="GN203" i="17"/>
  <c r="GO203" i="17"/>
  <c r="GP203" i="17"/>
  <c r="GQ203" i="17"/>
  <c r="GR203" i="17"/>
  <c r="GS203" i="17"/>
  <c r="GT203" i="17"/>
  <c r="GU203" i="17"/>
  <c r="GV203" i="17"/>
  <c r="GW203" i="17"/>
  <c r="GX203" i="17"/>
  <c r="GY203" i="17"/>
  <c r="GZ203" i="17"/>
  <c r="HA203" i="17"/>
  <c r="HB203" i="17"/>
  <c r="HC203" i="17"/>
  <c r="HD203" i="17"/>
  <c r="HE203" i="17"/>
  <c r="HF203" i="17"/>
  <c r="HG203" i="17"/>
  <c r="HH203" i="17"/>
  <c r="HI203" i="17"/>
  <c r="HJ203" i="17"/>
  <c r="HK203" i="17"/>
  <c r="HL203" i="17"/>
  <c r="HM203" i="17"/>
  <c r="HN203" i="17"/>
  <c r="HO203" i="17"/>
  <c r="HP203" i="17"/>
  <c r="HQ203" i="17"/>
  <c r="HR203" i="17"/>
  <c r="HS203" i="17"/>
  <c r="HT203" i="17"/>
  <c r="HV203" i="17"/>
  <c r="HW203" i="17"/>
  <c r="HX203" i="17"/>
  <c r="HY203" i="17"/>
  <c r="HZ203" i="17"/>
  <c r="IA203" i="17"/>
  <c r="IB203" i="17"/>
  <c r="IC203" i="17"/>
  <c r="ID203" i="17"/>
  <c r="IE203" i="17"/>
  <c r="IF203" i="17"/>
  <c r="IG203" i="17"/>
  <c r="IH203" i="17"/>
  <c r="II203" i="17"/>
  <c r="IJ203" i="17"/>
  <c r="IK203" i="17"/>
  <c r="IL203" i="17"/>
  <c r="IM203" i="17"/>
  <c r="IN203" i="17"/>
  <c r="IO203" i="17"/>
  <c r="IP203" i="17"/>
  <c r="IQ203" i="17"/>
  <c r="IR203" i="17"/>
  <c r="IS203" i="17"/>
  <c r="IT203" i="17"/>
  <c r="IU203" i="17"/>
  <c r="IV203" i="17"/>
  <c r="A202" i="17"/>
  <c r="B202" i="17"/>
  <c r="C202" i="17"/>
  <c r="D202" i="17"/>
  <c r="E202" i="17"/>
  <c r="F202" i="17"/>
  <c r="G202" i="17"/>
  <c r="H202" i="17"/>
  <c r="I202" i="17"/>
  <c r="J202" i="17"/>
  <c r="K202" i="17"/>
  <c r="L202" i="17"/>
  <c r="M202" i="17"/>
  <c r="N202" i="17"/>
  <c r="O202" i="17"/>
  <c r="P202" i="17"/>
  <c r="Q202" i="17"/>
  <c r="S202" i="17"/>
  <c r="T202" i="17"/>
  <c r="U202" i="17"/>
  <c r="V202" i="17"/>
  <c r="W202" i="17"/>
  <c r="X202" i="17"/>
  <c r="Y202" i="17"/>
  <c r="Z202" i="17"/>
  <c r="AA202" i="17"/>
  <c r="AB202" i="17"/>
  <c r="AC202" i="17"/>
  <c r="AD202" i="17"/>
  <c r="AE202" i="17"/>
  <c r="AF202" i="17"/>
  <c r="AG202" i="17"/>
  <c r="AH202" i="17"/>
  <c r="AI202" i="17"/>
  <c r="AJ202" i="17"/>
  <c r="AK202" i="17"/>
  <c r="AL202" i="17"/>
  <c r="AM202" i="17"/>
  <c r="AN202" i="17"/>
  <c r="AO202" i="17"/>
  <c r="AP202" i="17"/>
  <c r="AQ202" i="17"/>
  <c r="AR202" i="17"/>
  <c r="AS202" i="17"/>
  <c r="AT202" i="17"/>
  <c r="AU202" i="17"/>
  <c r="AV202" i="17"/>
  <c r="AW202" i="17"/>
  <c r="AX202" i="17"/>
  <c r="AY202" i="17"/>
  <c r="AZ202" i="17"/>
  <c r="BA202" i="17"/>
  <c r="BB202" i="17"/>
  <c r="BC202" i="17"/>
  <c r="BD202" i="17"/>
  <c r="BE202" i="17"/>
  <c r="BF202" i="17"/>
  <c r="BG202" i="17"/>
  <c r="BH202" i="17"/>
  <c r="BI202" i="17"/>
  <c r="BJ202" i="17"/>
  <c r="BK202" i="17"/>
  <c r="BL202" i="17"/>
  <c r="BM202" i="17"/>
  <c r="BN202" i="17"/>
  <c r="BO202" i="17"/>
  <c r="BP202" i="17"/>
  <c r="BQ202" i="17"/>
  <c r="BR202" i="17"/>
  <c r="BS202" i="17"/>
  <c r="BT202" i="17"/>
  <c r="BU202" i="17"/>
  <c r="BV202" i="17"/>
  <c r="BW202" i="17"/>
  <c r="BX202" i="17"/>
  <c r="BY202" i="17"/>
  <c r="BZ202" i="17"/>
  <c r="CA202" i="17"/>
  <c r="CB202" i="17"/>
  <c r="CC202" i="17"/>
  <c r="CD202" i="17"/>
  <c r="CE202" i="17"/>
  <c r="CF202" i="17"/>
  <c r="CG202" i="17"/>
  <c r="CH202" i="17"/>
  <c r="CI202" i="17"/>
  <c r="CJ202" i="17"/>
  <c r="CK202" i="17"/>
  <c r="CL202" i="17"/>
  <c r="CM202" i="17"/>
  <c r="CN202" i="17"/>
  <c r="CO202" i="17"/>
  <c r="CP202" i="17"/>
  <c r="CQ202" i="17"/>
  <c r="CR202" i="17"/>
  <c r="CS202" i="17"/>
  <c r="CT202" i="17"/>
  <c r="CU202" i="17"/>
  <c r="CV202" i="17"/>
  <c r="CW202" i="17"/>
  <c r="CX202" i="17"/>
  <c r="CY202" i="17"/>
  <c r="CZ202" i="17"/>
  <c r="DA202" i="17"/>
  <c r="DB202" i="17"/>
  <c r="DC202" i="17"/>
  <c r="DD202" i="17"/>
  <c r="DE202" i="17"/>
  <c r="DF202" i="17"/>
  <c r="DG202" i="17"/>
  <c r="DH202" i="17"/>
  <c r="DI202" i="17"/>
  <c r="DJ202" i="17"/>
  <c r="DK202" i="17"/>
  <c r="DL202" i="17"/>
  <c r="DM202" i="17"/>
  <c r="DN202" i="17"/>
  <c r="DO202" i="17"/>
  <c r="DP202" i="17"/>
  <c r="DQ202" i="17"/>
  <c r="DR202" i="17"/>
  <c r="DS202" i="17"/>
  <c r="DT202" i="17"/>
  <c r="DU202" i="17"/>
  <c r="DV202" i="17"/>
  <c r="DW202" i="17"/>
  <c r="DX202" i="17"/>
  <c r="DY202" i="17"/>
  <c r="DZ202" i="17"/>
  <c r="EA202" i="17"/>
  <c r="EB202" i="17"/>
  <c r="EC202" i="17"/>
  <c r="ED202" i="17"/>
  <c r="EE202" i="17"/>
  <c r="EF202" i="17"/>
  <c r="EG202" i="17"/>
  <c r="EH202" i="17"/>
  <c r="EI202" i="17"/>
  <c r="EJ202" i="17"/>
  <c r="EK202" i="17"/>
  <c r="EL202" i="17"/>
  <c r="EM202" i="17"/>
  <c r="EN202" i="17"/>
  <c r="EO202" i="17"/>
  <c r="EP202" i="17"/>
  <c r="EQ202" i="17"/>
  <c r="ER202" i="17"/>
  <c r="ES202" i="17"/>
  <c r="ET202" i="17"/>
  <c r="EU202" i="17"/>
  <c r="EV202" i="17"/>
  <c r="EW202" i="17"/>
  <c r="EX202" i="17"/>
  <c r="EY202" i="17"/>
  <c r="EZ202" i="17"/>
  <c r="FA202" i="17"/>
  <c r="FB202" i="17"/>
  <c r="FC202" i="17"/>
  <c r="FD202" i="17"/>
  <c r="FE202" i="17"/>
  <c r="FF202" i="17"/>
  <c r="FG202" i="17"/>
  <c r="FH202" i="17"/>
  <c r="FI202" i="17"/>
  <c r="FJ202" i="17"/>
  <c r="FK202" i="17"/>
  <c r="FL202" i="17"/>
  <c r="FM202" i="17"/>
  <c r="FN202" i="17"/>
  <c r="FO202" i="17"/>
  <c r="FP202" i="17"/>
  <c r="FQ202" i="17"/>
  <c r="FR202" i="17"/>
  <c r="FS202" i="17"/>
  <c r="FT202" i="17"/>
  <c r="FU202" i="17"/>
  <c r="FV202" i="17"/>
  <c r="FW202" i="17"/>
  <c r="FX202" i="17"/>
  <c r="FY202" i="17"/>
  <c r="FZ202" i="17"/>
  <c r="GA202" i="17"/>
  <c r="GB202" i="17"/>
  <c r="GC202" i="17"/>
  <c r="GD202" i="17"/>
  <c r="GE202" i="17"/>
  <c r="GF202" i="17"/>
  <c r="GG202" i="17"/>
  <c r="GH202" i="17"/>
  <c r="GI202" i="17"/>
  <c r="GJ202" i="17"/>
  <c r="GK202" i="17"/>
  <c r="GL202" i="17"/>
  <c r="GM202" i="17"/>
  <c r="GN202" i="17"/>
  <c r="GO202" i="17"/>
  <c r="GP202" i="17"/>
  <c r="GQ202" i="17"/>
  <c r="GR202" i="17"/>
  <c r="GS202" i="17"/>
  <c r="GT202" i="17"/>
  <c r="GU202" i="17"/>
  <c r="GV202" i="17"/>
  <c r="GW202" i="17"/>
  <c r="GX202" i="17"/>
  <c r="GY202" i="17"/>
  <c r="GZ202" i="17"/>
  <c r="HA202" i="17"/>
  <c r="HB202" i="17"/>
  <c r="HC202" i="17"/>
  <c r="HD202" i="17"/>
  <c r="HE202" i="17"/>
  <c r="HF202" i="17"/>
  <c r="HG202" i="17"/>
  <c r="HH202" i="17"/>
  <c r="HI202" i="17"/>
  <c r="HJ202" i="17"/>
  <c r="HK202" i="17"/>
  <c r="HL202" i="17"/>
  <c r="HM202" i="17"/>
  <c r="HN202" i="17"/>
  <c r="HO202" i="17"/>
  <c r="HP202" i="17"/>
  <c r="HQ202" i="17"/>
  <c r="HR202" i="17"/>
  <c r="HS202" i="17"/>
  <c r="HT202" i="17"/>
  <c r="HU202" i="17"/>
  <c r="HV202" i="17"/>
  <c r="HW202" i="17"/>
  <c r="HX202" i="17"/>
  <c r="HY202" i="17"/>
  <c r="HZ202" i="17"/>
  <c r="IA202" i="17"/>
  <c r="IB202" i="17"/>
  <c r="IC202" i="17"/>
  <c r="ID202" i="17"/>
  <c r="IE202" i="17"/>
  <c r="IF202" i="17"/>
  <c r="IG202" i="17"/>
  <c r="IH202" i="17"/>
  <c r="II202" i="17"/>
  <c r="IJ202" i="17"/>
  <c r="IK202" i="17"/>
  <c r="IL202" i="17"/>
  <c r="IM202" i="17"/>
  <c r="IN202" i="17"/>
  <c r="IO202" i="17"/>
  <c r="IP202" i="17"/>
  <c r="IQ202" i="17"/>
  <c r="IR202" i="17"/>
  <c r="IS202" i="17"/>
  <c r="IT202" i="17"/>
  <c r="IU202" i="17"/>
  <c r="IV202" i="17"/>
  <c r="A201" i="17"/>
  <c r="B201" i="17"/>
  <c r="C201" i="17"/>
  <c r="D201" i="17"/>
  <c r="E201" i="17"/>
  <c r="F201" i="17"/>
  <c r="G201" i="17"/>
  <c r="H201" i="17"/>
  <c r="I201" i="17"/>
  <c r="J201" i="17"/>
  <c r="K201" i="17"/>
  <c r="L201" i="17"/>
  <c r="M201" i="17"/>
  <c r="N201" i="17"/>
  <c r="O201" i="17"/>
  <c r="P201" i="17"/>
  <c r="Q201" i="17"/>
  <c r="R201" i="17"/>
  <c r="S201" i="17"/>
  <c r="T201" i="17"/>
  <c r="U201" i="17"/>
  <c r="V201" i="17"/>
  <c r="W201" i="17"/>
  <c r="X201" i="17"/>
  <c r="Y201" i="17"/>
  <c r="Z201" i="17"/>
  <c r="AA201" i="17"/>
  <c r="AB201" i="17"/>
  <c r="AC201" i="17"/>
  <c r="AD201" i="17"/>
  <c r="AE201" i="17"/>
  <c r="AF201" i="17"/>
  <c r="AG201" i="17"/>
  <c r="AH201" i="17"/>
  <c r="AI201" i="17"/>
  <c r="AJ201" i="17"/>
  <c r="AK201" i="17"/>
  <c r="AL201" i="17"/>
  <c r="AM201" i="17"/>
  <c r="AN201" i="17"/>
  <c r="AO201" i="17"/>
  <c r="AP201" i="17"/>
  <c r="AQ201" i="17"/>
  <c r="AR201" i="17"/>
  <c r="AS201" i="17"/>
  <c r="AT201" i="17"/>
  <c r="AU201" i="17"/>
  <c r="AV201" i="17"/>
  <c r="AW201" i="17"/>
  <c r="AX201" i="17"/>
  <c r="AY201" i="17"/>
  <c r="AZ201" i="17"/>
  <c r="BA201" i="17"/>
  <c r="BB201" i="17"/>
  <c r="BC201" i="17"/>
  <c r="BD201" i="17"/>
  <c r="BE201" i="17"/>
  <c r="BF201" i="17"/>
  <c r="BG201" i="17"/>
  <c r="BH201" i="17"/>
  <c r="BI201" i="17"/>
  <c r="BJ201" i="17"/>
  <c r="BK201" i="17"/>
  <c r="BL201" i="17"/>
  <c r="BM201" i="17"/>
  <c r="BN201" i="17"/>
  <c r="BO201" i="17"/>
  <c r="BP201" i="17"/>
  <c r="BQ201" i="17"/>
  <c r="BR201" i="17"/>
  <c r="BS201" i="17"/>
  <c r="BT201" i="17"/>
  <c r="BU201" i="17"/>
  <c r="BV201" i="17"/>
  <c r="BW201" i="17"/>
  <c r="BX201" i="17"/>
  <c r="BY201" i="17"/>
  <c r="BZ201" i="17"/>
  <c r="CA201" i="17"/>
  <c r="CB201" i="17"/>
  <c r="CC201" i="17"/>
  <c r="CD201" i="17"/>
  <c r="CE201" i="17"/>
  <c r="CF201" i="17"/>
  <c r="CG201" i="17"/>
  <c r="CH201" i="17"/>
  <c r="CI201" i="17"/>
  <c r="CJ201" i="17"/>
  <c r="CK201" i="17"/>
  <c r="CL201" i="17"/>
  <c r="CM201" i="17"/>
  <c r="CN201" i="17"/>
  <c r="CO201" i="17"/>
  <c r="CP201" i="17"/>
  <c r="CQ201" i="17"/>
  <c r="CR201" i="17"/>
  <c r="CS201" i="17"/>
  <c r="CT201" i="17"/>
  <c r="CU201" i="17"/>
  <c r="CV201" i="17"/>
  <c r="CW201" i="17"/>
  <c r="CX201" i="17"/>
  <c r="CY201" i="17"/>
  <c r="CZ201" i="17"/>
  <c r="DA201" i="17"/>
  <c r="DB201" i="17"/>
  <c r="DC201" i="17"/>
  <c r="DD201" i="17"/>
  <c r="DE201" i="17"/>
  <c r="DF201" i="17"/>
  <c r="DG201" i="17"/>
  <c r="DH201" i="17"/>
  <c r="DI201" i="17"/>
  <c r="DJ201" i="17"/>
  <c r="DK201" i="17"/>
  <c r="DL201" i="17"/>
  <c r="DM201" i="17"/>
  <c r="DN201" i="17"/>
  <c r="DO201" i="17"/>
  <c r="DP201" i="17"/>
  <c r="DQ201" i="17"/>
  <c r="DR201" i="17"/>
  <c r="DS201" i="17"/>
  <c r="DT201" i="17"/>
  <c r="DU201" i="17"/>
  <c r="DV201" i="17"/>
  <c r="DW201" i="17"/>
  <c r="DX201" i="17"/>
  <c r="DY201" i="17"/>
  <c r="DZ201" i="17"/>
  <c r="EA201" i="17"/>
  <c r="EB201" i="17"/>
  <c r="EC201" i="17"/>
  <c r="ED201" i="17"/>
  <c r="EE201" i="17"/>
  <c r="EF201" i="17"/>
  <c r="EG201" i="17"/>
  <c r="EH201" i="17"/>
  <c r="EI201" i="17"/>
  <c r="EJ201" i="17"/>
  <c r="EK201" i="17"/>
  <c r="EL201" i="17"/>
  <c r="EM201" i="17"/>
  <c r="EN201" i="17"/>
  <c r="EO201" i="17"/>
  <c r="EP201" i="17"/>
  <c r="EQ201" i="17"/>
  <c r="ER201" i="17"/>
  <c r="ES201" i="17"/>
  <c r="ET201" i="17"/>
  <c r="EU201" i="17"/>
  <c r="EV201" i="17"/>
  <c r="EW201" i="17"/>
  <c r="EX201" i="17"/>
  <c r="EY201" i="17"/>
  <c r="EZ201" i="17"/>
  <c r="FA201" i="17"/>
  <c r="FB201" i="17"/>
  <c r="FC201" i="17"/>
  <c r="FD201" i="17"/>
  <c r="FE201" i="17"/>
  <c r="FF201" i="17"/>
  <c r="FG201" i="17"/>
  <c r="FH201" i="17"/>
  <c r="FI201" i="17"/>
  <c r="FJ201" i="17"/>
  <c r="FK201" i="17"/>
  <c r="FL201" i="17"/>
  <c r="FM201" i="17"/>
  <c r="FN201" i="17"/>
  <c r="FO201" i="17"/>
  <c r="FP201" i="17"/>
  <c r="FQ201" i="17"/>
  <c r="FR201" i="17"/>
  <c r="FS201" i="17"/>
  <c r="FT201" i="17"/>
  <c r="FU201" i="17"/>
  <c r="FV201" i="17"/>
  <c r="FW201" i="17"/>
  <c r="FX201" i="17"/>
  <c r="FY201" i="17"/>
  <c r="FZ201" i="17"/>
  <c r="GA201" i="17"/>
  <c r="GB201" i="17"/>
  <c r="GC201" i="17"/>
  <c r="GD201" i="17"/>
  <c r="GE201" i="17"/>
  <c r="GF201" i="17"/>
  <c r="GG201" i="17"/>
  <c r="GH201" i="17"/>
  <c r="GI201" i="17"/>
  <c r="GJ201" i="17"/>
  <c r="GK201" i="17"/>
  <c r="GL201" i="17"/>
  <c r="GM201" i="17"/>
  <c r="GN201" i="17"/>
  <c r="GO201" i="17"/>
  <c r="GP201" i="17"/>
  <c r="GQ201" i="17"/>
  <c r="GR201" i="17"/>
  <c r="GS201" i="17"/>
  <c r="GT201" i="17"/>
  <c r="GU201" i="17"/>
  <c r="GV201" i="17"/>
  <c r="GW201" i="17"/>
  <c r="GX201" i="17"/>
  <c r="GY201" i="17"/>
  <c r="GZ201" i="17"/>
  <c r="HA201" i="17"/>
  <c r="HB201" i="17"/>
  <c r="HC201" i="17"/>
  <c r="HD201" i="17"/>
  <c r="HE201" i="17"/>
  <c r="HF201" i="17"/>
  <c r="HG201" i="17"/>
  <c r="HH201" i="17"/>
  <c r="HI201" i="17"/>
  <c r="HJ201" i="17"/>
  <c r="HK201" i="17"/>
  <c r="HL201" i="17"/>
  <c r="HM201" i="17"/>
  <c r="HN201" i="17"/>
  <c r="HO201" i="17"/>
  <c r="HP201" i="17"/>
  <c r="HQ201" i="17"/>
  <c r="HR201" i="17"/>
  <c r="HS201" i="17"/>
  <c r="HT201" i="17"/>
  <c r="HU201" i="17"/>
  <c r="HV201" i="17"/>
  <c r="HW201" i="17"/>
  <c r="HX201" i="17"/>
  <c r="HY201" i="17"/>
  <c r="HZ201" i="17"/>
  <c r="IA201" i="17"/>
  <c r="IB201" i="17"/>
  <c r="IC201" i="17"/>
  <c r="ID201" i="17"/>
  <c r="IE201" i="17"/>
  <c r="IF201" i="17"/>
  <c r="IG201" i="17"/>
  <c r="IH201" i="17"/>
  <c r="II201" i="17"/>
  <c r="IJ201" i="17"/>
  <c r="IK201" i="17"/>
  <c r="IL201" i="17"/>
  <c r="IM201" i="17"/>
  <c r="IN201" i="17"/>
  <c r="IO201" i="17"/>
  <c r="IP201" i="17"/>
  <c r="IQ201" i="17"/>
  <c r="IR201" i="17"/>
  <c r="IS201" i="17"/>
  <c r="IT201" i="17"/>
  <c r="IU201" i="17"/>
  <c r="IV201" i="17"/>
  <c r="A200" i="17"/>
  <c r="B200" i="17"/>
  <c r="C200" i="17"/>
  <c r="D200" i="17"/>
  <c r="E200" i="17"/>
  <c r="F200" i="17"/>
  <c r="G200" i="17"/>
  <c r="H200" i="17"/>
  <c r="I200" i="17"/>
  <c r="J200" i="17"/>
  <c r="K200" i="17"/>
  <c r="L200" i="17"/>
  <c r="M200" i="17"/>
  <c r="N200" i="17"/>
  <c r="O200" i="17"/>
  <c r="P200" i="17"/>
  <c r="Q200" i="17"/>
  <c r="R200" i="17"/>
  <c r="S200" i="17"/>
  <c r="T200" i="17"/>
  <c r="U200" i="17"/>
  <c r="V200" i="17"/>
  <c r="W200" i="17"/>
  <c r="X200" i="17"/>
  <c r="Y200" i="17"/>
  <c r="Z200" i="17"/>
  <c r="AA200" i="17"/>
  <c r="AB200" i="17"/>
  <c r="AC200" i="17"/>
  <c r="AD200" i="17"/>
  <c r="AE200" i="17"/>
  <c r="AF200" i="17"/>
  <c r="AG200" i="17"/>
  <c r="AH200" i="17"/>
  <c r="AI200" i="17"/>
  <c r="AJ200" i="17"/>
  <c r="AK200" i="17"/>
  <c r="AL200" i="17"/>
  <c r="AM200" i="17"/>
  <c r="AN200" i="17"/>
  <c r="AO200" i="17"/>
  <c r="AP200" i="17"/>
  <c r="AQ200" i="17"/>
  <c r="AR200" i="17"/>
  <c r="AS200" i="17"/>
  <c r="AT200" i="17"/>
  <c r="AU200" i="17"/>
  <c r="AV200" i="17"/>
  <c r="AW200" i="17"/>
  <c r="AX200" i="17"/>
  <c r="AY200" i="17"/>
  <c r="AZ200" i="17"/>
  <c r="BA200" i="17"/>
  <c r="BB200" i="17"/>
  <c r="BC200" i="17"/>
  <c r="BD200" i="17"/>
  <c r="BE200" i="17"/>
  <c r="BF200" i="17"/>
  <c r="BG200" i="17"/>
  <c r="BH200" i="17"/>
  <c r="BI200" i="17"/>
  <c r="BJ200" i="17"/>
  <c r="BK200" i="17"/>
  <c r="BL200" i="17"/>
  <c r="BM200" i="17"/>
  <c r="BN200" i="17"/>
  <c r="BO200" i="17"/>
  <c r="BP200" i="17"/>
  <c r="BQ200" i="17"/>
  <c r="BR200" i="17"/>
  <c r="BS200" i="17"/>
  <c r="BT200" i="17"/>
  <c r="BU200" i="17"/>
  <c r="BV200" i="17"/>
  <c r="BW200" i="17"/>
  <c r="BX200" i="17"/>
  <c r="BY200" i="17"/>
  <c r="BZ200" i="17"/>
  <c r="CA200" i="17"/>
  <c r="CB200" i="17"/>
  <c r="CC200" i="17"/>
  <c r="CD200" i="17"/>
  <c r="CE200" i="17"/>
  <c r="CF200" i="17"/>
  <c r="CG200" i="17"/>
  <c r="CH200" i="17"/>
  <c r="CI200" i="17"/>
  <c r="CJ200" i="17"/>
  <c r="CK200" i="17"/>
  <c r="CL200" i="17"/>
  <c r="CM200" i="17"/>
  <c r="CN200" i="17"/>
  <c r="CO200" i="17"/>
  <c r="CP200" i="17"/>
  <c r="CQ200" i="17"/>
  <c r="CR200" i="17"/>
  <c r="CS200" i="17"/>
  <c r="CT200" i="17"/>
  <c r="CU200" i="17"/>
  <c r="CV200" i="17"/>
  <c r="CW200" i="17"/>
  <c r="CX200" i="17"/>
  <c r="CY200" i="17"/>
  <c r="CZ200" i="17"/>
  <c r="DA200" i="17"/>
  <c r="DB200" i="17"/>
  <c r="DC200" i="17"/>
  <c r="DD200" i="17"/>
  <c r="DE200" i="17"/>
  <c r="DF200" i="17"/>
  <c r="DG200" i="17"/>
  <c r="DH200" i="17"/>
  <c r="DI200" i="17"/>
  <c r="DJ200" i="17"/>
  <c r="DK200" i="17"/>
  <c r="DL200" i="17"/>
  <c r="DM200" i="17"/>
  <c r="DN200" i="17"/>
  <c r="DO200" i="17"/>
  <c r="DP200" i="17"/>
  <c r="DQ200" i="17"/>
  <c r="DR200" i="17"/>
  <c r="DS200" i="17"/>
  <c r="DT200" i="17"/>
  <c r="DU200" i="17"/>
  <c r="DV200" i="17"/>
  <c r="DW200" i="17"/>
  <c r="DX200" i="17"/>
  <c r="DY200" i="17"/>
  <c r="DZ200" i="17"/>
  <c r="EA200" i="17"/>
  <c r="EB200" i="17"/>
  <c r="EC200" i="17"/>
  <c r="ED200" i="17"/>
  <c r="EE200" i="17"/>
  <c r="EF200" i="17"/>
  <c r="EG200" i="17"/>
  <c r="EH200" i="17"/>
  <c r="EI200" i="17"/>
  <c r="EJ200" i="17"/>
  <c r="EK200" i="17"/>
  <c r="EL200" i="17"/>
  <c r="EM200" i="17"/>
  <c r="EN200" i="17"/>
  <c r="EO200" i="17"/>
  <c r="EP200" i="17"/>
  <c r="EQ200" i="17"/>
  <c r="ER200" i="17"/>
  <c r="ES200" i="17"/>
  <c r="ET200" i="17"/>
  <c r="EU200" i="17"/>
  <c r="EV200" i="17"/>
  <c r="EW200" i="17"/>
  <c r="EX200" i="17"/>
  <c r="EY200" i="17"/>
  <c r="EZ200" i="17"/>
  <c r="FA200" i="17"/>
  <c r="FB200" i="17"/>
  <c r="FC200" i="17"/>
  <c r="FD200" i="17"/>
  <c r="FE200" i="17"/>
  <c r="FF200" i="17"/>
  <c r="FG200" i="17"/>
  <c r="FH200" i="17"/>
  <c r="FI200" i="17"/>
  <c r="FJ200" i="17"/>
  <c r="FK200" i="17"/>
  <c r="FL200" i="17"/>
  <c r="FM200" i="17"/>
  <c r="FN200" i="17"/>
  <c r="FO200" i="17"/>
  <c r="FP200" i="17"/>
  <c r="FQ200" i="17"/>
  <c r="FR200" i="17"/>
  <c r="FS200" i="17"/>
  <c r="FT200" i="17"/>
  <c r="FU200" i="17"/>
  <c r="FV200" i="17"/>
  <c r="FW200" i="17"/>
  <c r="FX200" i="17"/>
  <c r="FY200" i="17"/>
  <c r="FZ200" i="17"/>
  <c r="GA200" i="17"/>
  <c r="GB200" i="17"/>
  <c r="GC200" i="17"/>
  <c r="GD200" i="17"/>
  <c r="GE200" i="17"/>
  <c r="GF200" i="17"/>
  <c r="GG200" i="17"/>
  <c r="GH200" i="17"/>
  <c r="GI200" i="17"/>
  <c r="GJ200" i="17"/>
  <c r="GK200" i="17"/>
  <c r="GL200" i="17"/>
  <c r="GM200" i="17"/>
  <c r="GN200" i="17"/>
  <c r="GO200" i="17"/>
  <c r="GP200" i="17"/>
  <c r="GQ200" i="17"/>
  <c r="GR200" i="17"/>
  <c r="GS200" i="17"/>
  <c r="GT200" i="17"/>
  <c r="GU200" i="17"/>
  <c r="GV200" i="17"/>
  <c r="GW200" i="17"/>
  <c r="GX200" i="17"/>
  <c r="GY200" i="17"/>
  <c r="GZ200" i="17"/>
  <c r="HA200" i="17"/>
  <c r="HB200" i="17"/>
  <c r="HC200" i="17"/>
  <c r="HD200" i="17"/>
  <c r="HE200" i="17"/>
  <c r="HF200" i="17"/>
  <c r="HG200" i="17"/>
  <c r="HH200" i="17"/>
  <c r="HI200" i="17"/>
  <c r="HJ200" i="17"/>
  <c r="HK200" i="17"/>
  <c r="HL200" i="17"/>
  <c r="HM200" i="17"/>
  <c r="HN200" i="17"/>
  <c r="HO200" i="17"/>
  <c r="HP200" i="17"/>
  <c r="HQ200" i="17"/>
  <c r="HR200" i="17"/>
  <c r="HS200" i="17"/>
  <c r="HT200" i="17"/>
  <c r="HU200" i="17"/>
  <c r="HV200" i="17"/>
  <c r="HW200" i="17"/>
  <c r="HX200" i="17"/>
  <c r="HY200" i="17"/>
  <c r="HZ200" i="17"/>
  <c r="IA200" i="17"/>
  <c r="IB200" i="17"/>
  <c r="IC200" i="17"/>
  <c r="ID200" i="17"/>
  <c r="IE200" i="17"/>
  <c r="IF200" i="17"/>
  <c r="IG200" i="17"/>
  <c r="IH200" i="17"/>
  <c r="II200" i="17"/>
  <c r="IJ200" i="17"/>
  <c r="IK200" i="17"/>
  <c r="IL200" i="17"/>
  <c r="IM200" i="17"/>
  <c r="IN200" i="17"/>
  <c r="IO200" i="17"/>
  <c r="IP200" i="17"/>
  <c r="IQ200" i="17"/>
  <c r="IR200" i="17"/>
  <c r="IS200" i="17"/>
  <c r="IT200" i="17"/>
  <c r="IU200" i="17"/>
  <c r="IV200" i="17"/>
  <c r="A199" i="17"/>
  <c r="B199" i="17"/>
  <c r="C199" i="17"/>
  <c r="D199" i="17"/>
  <c r="E199" i="17"/>
  <c r="F199" i="17"/>
  <c r="G199" i="17"/>
  <c r="H199" i="17"/>
  <c r="I199" i="17"/>
  <c r="J199" i="17"/>
  <c r="K199" i="17"/>
  <c r="L199" i="17"/>
  <c r="M199" i="17"/>
  <c r="N199" i="17"/>
  <c r="O199" i="17"/>
  <c r="P199" i="17"/>
  <c r="Q199" i="17"/>
  <c r="R199" i="17"/>
  <c r="S199" i="17"/>
  <c r="T199" i="17"/>
  <c r="U199" i="17"/>
  <c r="V199" i="17"/>
  <c r="W199" i="17"/>
  <c r="X199" i="17"/>
  <c r="Y199" i="17"/>
  <c r="Z199" i="17"/>
  <c r="AA199" i="17"/>
  <c r="AB199" i="17"/>
  <c r="AC199" i="17"/>
  <c r="AD199" i="17"/>
  <c r="AE199" i="17"/>
  <c r="AF199" i="17"/>
  <c r="AG199" i="17"/>
  <c r="AH199" i="17"/>
  <c r="AI199" i="17"/>
  <c r="AJ199" i="17"/>
  <c r="AK199" i="17"/>
  <c r="AL199" i="17"/>
  <c r="AM199" i="17"/>
  <c r="AN199" i="17"/>
  <c r="AO199" i="17"/>
  <c r="AP199" i="17"/>
  <c r="AQ199" i="17"/>
  <c r="AR199" i="17"/>
  <c r="AS199" i="17"/>
  <c r="AT199" i="17"/>
  <c r="AU199" i="17"/>
  <c r="AV199" i="17"/>
  <c r="AW199" i="17"/>
  <c r="AX199" i="17"/>
  <c r="AY199" i="17"/>
  <c r="AZ199" i="17"/>
  <c r="BA199" i="17"/>
  <c r="BB199" i="17"/>
  <c r="BC199" i="17"/>
  <c r="BD199" i="17"/>
  <c r="BE199" i="17"/>
  <c r="BF199" i="17"/>
  <c r="BG199" i="17"/>
  <c r="BH199" i="17"/>
  <c r="BI199" i="17"/>
  <c r="BJ199" i="17"/>
  <c r="BK199" i="17"/>
  <c r="BL199" i="17"/>
  <c r="BM199" i="17"/>
  <c r="BN199" i="17"/>
  <c r="BO199" i="17"/>
  <c r="BP199" i="17"/>
  <c r="BQ199" i="17"/>
  <c r="BR199" i="17"/>
  <c r="BS199" i="17"/>
  <c r="BT199" i="17"/>
  <c r="BU199" i="17"/>
  <c r="BV199" i="17"/>
  <c r="BW199" i="17"/>
  <c r="BX199" i="17"/>
  <c r="BY199" i="17"/>
  <c r="BZ199" i="17"/>
  <c r="CA199" i="17"/>
  <c r="CB199" i="17"/>
  <c r="CC199" i="17"/>
  <c r="CD199" i="17"/>
  <c r="CE199" i="17"/>
  <c r="CF199" i="17"/>
  <c r="CG199" i="17"/>
  <c r="CH199" i="17"/>
  <c r="CI199" i="17"/>
  <c r="CJ199" i="17"/>
  <c r="CK199" i="17"/>
  <c r="CL199" i="17"/>
  <c r="CM199" i="17"/>
  <c r="CN199" i="17"/>
  <c r="CO199" i="17"/>
  <c r="CP199" i="17"/>
  <c r="CQ199" i="17"/>
  <c r="CR199" i="17"/>
  <c r="CS199" i="17"/>
  <c r="CT199" i="17"/>
  <c r="CU199" i="17"/>
  <c r="CV199" i="17"/>
  <c r="CW199" i="17"/>
  <c r="CX199" i="17"/>
  <c r="CY199" i="17"/>
  <c r="CZ199" i="17"/>
  <c r="DA199" i="17"/>
  <c r="DB199" i="17"/>
  <c r="DC199" i="17"/>
  <c r="DD199" i="17"/>
  <c r="DE199" i="17"/>
  <c r="DF199" i="17"/>
  <c r="DG199" i="17"/>
  <c r="DH199" i="17"/>
  <c r="DI199" i="17"/>
  <c r="DJ199" i="17"/>
  <c r="DK199" i="17"/>
  <c r="DL199" i="17"/>
  <c r="DM199" i="17"/>
  <c r="DN199" i="17"/>
  <c r="DO199" i="17"/>
  <c r="DP199" i="17"/>
  <c r="DQ199" i="17"/>
  <c r="DR199" i="17"/>
  <c r="DS199" i="17"/>
  <c r="DT199" i="17"/>
  <c r="DU199" i="17"/>
  <c r="DV199" i="17"/>
  <c r="DW199" i="17"/>
  <c r="DX199" i="17"/>
  <c r="DY199" i="17"/>
  <c r="DZ199" i="17"/>
  <c r="EA199" i="17"/>
  <c r="EB199" i="17"/>
  <c r="EC199" i="17"/>
  <c r="ED199" i="17"/>
  <c r="EE199" i="17"/>
  <c r="EF199" i="17"/>
  <c r="EG199" i="17"/>
  <c r="EH199" i="17"/>
  <c r="EI199" i="17"/>
  <c r="EJ199" i="17"/>
  <c r="EK199" i="17"/>
  <c r="EL199" i="17"/>
  <c r="EM199" i="17"/>
  <c r="EN199" i="17"/>
  <c r="EO199" i="17"/>
  <c r="EP199" i="17"/>
  <c r="EQ199" i="17"/>
  <c r="ER199" i="17"/>
  <c r="ES199" i="17"/>
  <c r="ET199" i="17"/>
  <c r="EU199" i="17"/>
  <c r="EV199" i="17"/>
  <c r="EW199" i="17"/>
  <c r="EX199" i="17"/>
  <c r="EY199" i="17"/>
  <c r="EZ199" i="17"/>
  <c r="FA199" i="17"/>
  <c r="FB199" i="17"/>
  <c r="FC199" i="17"/>
  <c r="FD199" i="17"/>
  <c r="FE199" i="17"/>
  <c r="FF199" i="17"/>
  <c r="FG199" i="17"/>
  <c r="FH199" i="17"/>
  <c r="FI199" i="17"/>
  <c r="FJ199" i="17"/>
  <c r="FK199" i="17"/>
  <c r="FL199" i="17"/>
  <c r="FM199" i="17"/>
  <c r="FN199" i="17"/>
  <c r="FO199" i="17"/>
  <c r="FP199" i="17"/>
  <c r="FQ199" i="17"/>
  <c r="FR199" i="17"/>
  <c r="FS199" i="17"/>
  <c r="FT199" i="17"/>
  <c r="FU199" i="17"/>
  <c r="FV199" i="17"/>
  <c r="FW199" i="17"/>
  <c r="FX199" i="17"/>
  <c r="FY199" i="17"/>
  <c r="FZ199" i="17"/>
  <c r="GA199" i="17"/>
  <c r="GB199" i="17"/>
  <c r="GC199" i="17"/>
  <c r="GD199" i="17"/>
  <c r="GE199" i="17"/>
  <c r="GF199" i="17"/>
  <c r="GG199" i="17"/>
  <c r="GH199" i="17"/>
  <c r="GI199" i="17"/>
  <c r="GJ199" i="17"/>
  <c r="GK199" i="17"/>
  <c r="GL199" i="17"/>
  <c r="GM199" i="17"/>
  <c r="GN199" i="17"/>
  <c r="GO199" i="17"/>
  <c r="GP199" i="17"/>
  <c r="GQ199" i="17"/>
  <c r="GR199" i="17"/>
  <c r="GS199" i="17"/>
  <c r="GT199" i="17"/>
  <c r="GU199" i="17"/>
  <c r="GV199" i="17"/>
  <c r="GW199" i="17"/>
  <c r="GX199" i="17"/>
  <c r="GY199" i="17"/>
  <c r="GZ199" i="17"/>
  <c r="HA199" i="17"/>
  <c r="HB199" i="17"/>
  <c r="HC199" i="17"/>
  <c r="HD199" i="17"/>
  <c r="HE199" i="17"/>
  <c r="HF199" i="17"/>
  <c r="HG199" i="17"/>
  <c r="HH199" i="17"/>
  <c r="HI199" i="17"/>
  <c r="HJ199" i="17"/>
  <c r="HK199" i="17"/>
  <c r="HL199" i="17"/>
  <c r="HM199" i="17"/>
  <c r="HN199" i="17"/>
  <c r="HO199" i="17"/>
  <c r="HP199" i="17"/>
  <c r="HQ199" i="17"/>
  <c r="HR199" i="17"/>
  <c r="HS199" i="17"/>
  <c r="HT199" i="17"/>
  <c r="HU199" i="17"/>
  <c r="HV199" i="17"/>
  <c r="HW199" i="17"/>
  <c r="HX199" i="17"/>
  <c r="HY199" i="17"/>
  <c r="HZ199" i="17"/>
  <c r="IA199" i="17"/>
  <c r="IB199" i="17"/>
  <c r="IC199" i="17"/>
  <c r="ID199" i="17"/>
  <c r="IE199" i="17"/>
  <c r="IF199" i="17"/>
  <c r="IG199" i="17"/>
  <c r="IH199" i="17"/>
  <c r="II199" i="17"/>
  <c r="IJ199" i="17"/>
  <c r="IK199" i="17"/>
  <c r="IL199" i="17"/>
  <c r="IM199" i="17"/>
  <c r="IN199" i="17"/>
  <c r="IO199" i="17"/>
  <c r="IP199" i="17"/>
  <c r="IQ199" i="17"/>
  <c r="IR199" i="17"/>
  <c r="IS199" i="17"/>
  <c r="IT199" i="17"/>
  <c r="IU199" i="17"/>
  <c r="IV199" i="17"/>
  <c r="A198" i="17"/>
  <c r="B198" i="17"/>
  <c r="C198" i="17"/>
  <c r="D198" i="17"/>
  <c r="E198" i="17"/>
  <c r="F198" i="17"/>
  <c r="G198" i="17"/>
  <c r="H198" i="17"/>
  <c r="I198" i="17"/>
  <c r="J198" i="17"/>
  <c r="K198" i="17"/>
  <c r="L198" i="17"/>
  <c r="M198" i="17"/>
  <c r="N198" i="17"/>
  <c r="O198" i="17"/>
  <c r="P198" i="17"/>
  <c r="Q198" i="17"/>
  <c r="R198" i="17"/>
  <c r="S198" i="17"/>
  <c r="T198" i="17"/>
  <c r="U198" i="17"/>
  <c r="V198" i="17"/>
  <c r="W198" i="17"/>
  <c r="X198" i="17"/>
  <c r="Y198" i="17"/>
  <c r="Z198" i="17"/>
  <c r="AA198" i="17"/>
  <c r="AB198" i="17"/>
  <c r="AC198" i="17"/>
  <c r="AD198" i="17"/>
  <c r="AE198" i="17"/>
  <c r="AF198" i="17"/>
  <c r="AG198" i="17"/>
  <c r="AH198" i="17"/>
  <c r="AI198" i="17"/>
  <c r="AJ198" i="17"/>
  <c r="AK198" i="17"/>
  <c r="AL198" i="17"/>
  <c r="AM198" i="17"/>
  <c r="AN198" i="17"/>
  <c r="AO198" i="17"/>
  <c r="AP198" i="17"/>
  <c r="AQ198" i="17"/>
  <c r="AR198" i="17"/>
  <c r="AS198" i="17"/>
  <c r="AT198" i="17"/>
  <c r="AU198" i="17"/>
  <c r="AV198" i="17"/>
  <c r="AW198" i="17"/>
  <c r="AX198" i="17"/>
  <c r="AY198" i="17"/>
  <c r="AZ198" i="17"/>
  <c r="BA198" i="17"/>
  <c r="BB198" i="17"/>
  <c r="BC198" i="17"/>
  <c r="BD198" i="17"/>
  <c r="BE198" i="17"/>
  <c r="BF198" i="17"/>
  <c r="BG198" i="17"/>
  <c r="BH198" i="17"/>
  <c r="BI198" i="17"/>
  <c r="BJ198" i="17"/>
  <c r="BK198" i="17"/>
  <c r="BL198" i="17"/>
  <c r="BM198" i="17"/>
  <c r="BN198" i="17"/>
  <c r="BO198" i="17"/>
  <c r="BP198" i="17"/>
  <c r="BQ198" i="17"/>
  <c r="BR198" i="17"/>
  <c r="BS198" i="17"/>
  <c r="BT198" i="17"/>
  <c r="BU198" i="17"/>
  <c r="BV198" i="17"/>
  <c r="BW198" i="17"/>
  <c r="BX198" i="17"/>
  <c r="BY198" i="17"/>
  <c r="BZ198" i="17"/>
  <c r="CA198" i="17"/>
  <c r="CB198" i="17"/>
  <c r="CC198" i="17"/>
  <c r="CD198" i="17"/>
  <c r="CE198" i="17"/>
  <c r="CF198" i="17"/>
  <c r="CG198" i="17"/>
  <c r="CH198" i="17"/>
  <c r="CI198" i="17"/>
  <c r="CJ198" i="17"/>
  <c r="CK198" i="17"/>
  <c r="CL198" i="17"/>
  <c r="CM198" i="17"/>
  <c r="CN198" i="17"/>
  <c r="CO198" i="17"/>
  <c r="CP198" i="17"/>
  <c r="CQ198" i="17"/>
  <c r="CR198" i="17"/>
  <c r="CS198" i="17"/>
  <c r="CT198" i="17"/>
  <c r="CU198" i="17"/>
  <c r="CV198" i="17"/>
  <c r="CW198" i="17"/>
  <c r="CX198" i="17"/>
  <c r="CY198" i="17"/>
  <c r="CZ198" i="17"/>
  <c r="DA198" i="17"/>
  <c r="DB198" i="17"/>
  <c r="DC198" i="17"/>
  <c r="DD198" i="17"/>
  <c r="DE198" i="17"/>
  <c r="DF198" i="17"/>
  <c r="DG198" i="17"/>
  <c r="DH198" i="17"/>
  <c r="DI198" i="17"/>
  <c r="DJ198" i="17"/>
  <c r="DK198" i="17"/>
  <c r="DL198" i="17"/>
  <c r="DM198" i="17"/>
  <c r="DN198" i="17"/>
  <c r="DO198" i="17"/>
  <c r="DP198" i="17"/>
  <c r="DQ198" i="17"/>
  <c r="DR198" i="17"/>
  <c r="DS198" i="17"/>
  <c r="DT198" i="17"/>
  <c r="DU198" i="17"/>
  <c r="DV198" i="17"/>
  <c r="DW198" i="17"/>
  <c r="DX198" i="17"/>
  <c r="DY198" i="17"/>
  <c r="DZ198" i="17"/>
  <c r="EA198" i="17"/>
  <c r="EB198" i="17"/>
  <c r="EC198" i="17"/>
  <c r="ED198" i="17"/>
  <c r="EE198" i="17"/>
  <c r="EF198" i="17"/>
  <c r="EG198" i="17"/>
  <c r="EH198" i="17"/>
  <c r="EI198" i="17"/>
  <c r="EJ198" i="17"/>
  <c r="EK198" i="17"/>
  <c r="EL198" i="17"/>
  <c r="EM198" i="17"/>
  <c r="EN198" i="17"/>
  <c r="EO198" i="17"/>
  <c r="EP198" i="17"/>
  <c r="EQ198" i="17"/>
  <c r="ER198" i="17"/>
  <c r="ES198" i="17"/>
  <c r="ET198" i="17"/>
  <c r="EU198" i="17"/>
  <c r="EV198" i="17"/>
  <c r="EW198" i="17"/>
  <c r="EX198" i="17"/>
  <c r="EY198" i="17"/>
  <c r="EZ198" i="17"/>
  <c r="FA198" i="17"/>
  <c r="FB198" i="17"/>
  <c r="FC198" i="17"/>
  <c r="FD198" i="17"/>
  <c r="FE198" i="17"/>
  <c r="FF198" i="17"/>
  <c r="FG198" i="17"/>
  <c r="FH198" i="17"/>
  <c r="FI198" i="17"/>
  <c r="FJ198" i="17"/>
  <c r="FK198" i="17"/>
  <c r="FL198" i="17"/>
  <c r="FM198" i="17"/>
  <c r="FN198" i="17"/>
  <c r="FO198" i="17"/>
  <c r="FP198" i="17"/>
  <c r="FQ198" i="17"/>
  <c r="FR198" i="17"/>
  <c r="FS198" i="17"/>
  <c r="FT198" i="17"/>
  <c r="FU198" i="17"/>
  <c r="FV198" i="17"/>
  <c r="FW198" i="17"/>
  <c r="FX198" i="17"/>
  <c r="FY198" i="17"/>
  <c r="FZ198" i="17"/>
  <c r="GA198" i="17"/>
  <c r="GB198" i="17"/>
  <c r="GC198" i="17"/>
  <c r="GD198" i="17"/>
  <c r="GE198" i="17"/>
  <c r="GF198" i="17"/>
  <c r="GG198" i="17"/>
  <c r="GH198" i="17"/>
  <c r="GI198" i="17"/>
  <c r="GJ198" i="17"/>
  <c r="GK198" i="17"/>
  <c r="GL198" i="17"/>
  <c r="GM198" i="17"/>
  <c r="GN198" i="17"/>
  <c r="GO198" i="17"/>
  <c r="GP198" i="17"/>
  <c r="GQ198" i="17"/>
  <c r="GR198" i="17"/>
  <c r="GS198" i="17"/>
  <c r="GT198" i="17"/>
  <c r="GU198" i="17"/>
  <c r="GV198" i="17"/>
  <c r="GW198" i="17"/>
  <c r="GX198" i="17"/>
  <c r="GY198" i="17"/>
  <c r="GZ198" i="17"/>
  <c r="HA198" i="17"/>
  <c r="HB198" i="17"/>
  <c r="HC198" i="17"/>
  <c r="HD198" i="17"/>
  <c r="HE198" i="17"/>
  <c r="HF198" i="17"/>
  <c r="HG198" i="17"/>
  <c r="HH198" i="17"/>
  <c r="HI198" i="17"/>
  <c r="HJ198" i="17"/>
  <c r="HK198" i="17"/>
  <c r="HL198" i="17"/>
  <c r="HM198" i="17"/>
  <c r="HN198" i="17"/>
  <c r="HO198" i="17"/>
  <c r="HP198" i="17"/>
  <c r="HQ198" i="17"/>
  <c r="HR198" i="17"/>
  <c r="HS198" i="17"/>
  <c r="HT198" i="17"/>
  <c r="HU198" i="17"/>
  <c r="HV198" i="17"/>
  <c r="HW198" i="17"/>
  <c r="HX198" i="17"/>
  <c r="HY198" i="17"/>
  <c r="HZ198" i="17"/>
  <c r="IA198" i="17"/>
  <c r="IB198" i="17"/>
  <c r="IC198" i="17"/>
  <c r="ID198" i="17"/>
  <c r="IE198" i="17"/>
  <c r="IF198" i="17"/>
  <c r="IG198" i="17"/>
  <c r="IH198" i="17"/>
  <c r="II198" i="17"/>
  <c r="IJ198" i="17"/>
  <c r="IK198" i="17"/>
  <c r="IL198" i="17"/>
  <c r="IM198" i="17"/>
  <c r="IN198" i="17"/>
  <c r="IO198" i="17"/>
  <c r="IP198" i="17"/>
  <c r="IQ198" i="17"/>
  <c r="IR198" i="17"/>
  <c r="IS198" i="17"/>
  <c r="IT198" i="17"/>
  <c r="IU198" i="17"/>
  <c r="IV198" i="17"/>
  <c r="A197" i="17"/>
  <c r="B197" i="17"/>
  <c r="C197" i="17"/>
  <c r="D197" i="17"/>
  <c r="E197" i="17"/>
  <c r="F197" i="17"/>
  <c r="G197" i="17"/>
  <c r="H197" i="17"/>
  <c r="I197" i="17"/>
  <c r="J197" i="17"/>
  <c r="K197" i="17"/>
  <c r="L197" i="17"/>
  <c r="M197" i="17"/>
  <c r="N197" i="17"/>
  <c r="O197" i="17"/>
  <c r="P197" i="17"/>
  <c r="Q197" i="17"/>
  <c r="R197" i="17"/>
  <c r="S197" i="17"/>
  <c r="T197" i="17"/>
  <c r="U197" i="17"/>
  <c r="V197" i="17"/>
  <c r="W197" i="17"/>
  <c r="X197" i="17"/>
  <c r="Y197" i="17"/>
  <c r="Z197" i="17"/>
  <c r="AA197" i="17"/>
  <c r="AB197" i="17"/>
  <c r="AC197" i="17"/>
  <c r="AD197" i="17"/>
  <c r="AE197" i="17"/>
  <c r="AF197" i="17"/>
  <c r="AG197" i="17"/>
  <c r="AH197" i="17"/>
  <c r="AI197" i="17"/>
  <c r="AJ197" i="17"/>
  <c r="AK197" i="17"/>
  <c r="AL197" i="17"/>
  <c r="AM197" i="17"/>
  <c r="AN197" i="17"/>
  <c r="AO197" i="17"/>
  <c r="AP197" i="17"/>
  <c r="AQ197" i="17"/>
  <c r="AR197" i="17"/>
  <c r="AS197" i="17"/>
  <c r="AT197" i="17"/>
  <c r="AU197" i="17"/>
  <c r="AV197" i="17"/>
  <c r="AW197" i="17"/>
  <c r="AX197" i="17"/>
  <c r="AY197" i="17"/>
  <c r="AZ197" i="17"/>
  <c r="BA197" i="17"/>
  <c r="BB197" i="17"/>
  <c r="BC197" i="17"/>
  <c r="BD197" i="17"/>
  <c r="BE197" i="17"/>
  <c r="BF197" i="17"/>
  <c r="BG197" i="17"/>
  <c r="BH197" i="17"/>
  <c r="BI197" i="17"/>
  <c r="BJ197" i="17"/>
  <c r="BK197" i="17"/>
  <c r="BL197" i="17"/>
  <c r="BM197" i="17"/>
  <c r="BN197" i="17"/>
  <c r="BO197" i="17"/>
  <c r="BP197" i="17"/>
  <c r="BQ197" i="17"/>
  <c r="BR197" i="17"/>
  <c r="BS197" i="17"/>
  <c r="BT197" i="17"/>
  <c r="BU197" i="17"/>
  <c r="BV197" i="17"/>
  <c r="BW197" i="17"/>
  <c r="BX197" i="17"/>
  <c r="BY197" i="17"/>
  <c r="BZ197" i="17"/>
  <c r="CA197" i="17"/>
  <c r="CB197" i="17"/>
  <c r="CC197" i="17"/>
  <c r="CD197" i="17"/>
  <c r="CE197" i="17"/>
  <c r="CF197" i="17"/>
  <c r="CG197" i="17"/>
  <c r="CH197" i="17"/>
  <c r="CI197" i="17"/>
  <c r="CJ197" i="17"/>
  <c r="CK197" i="17"/>
  <c r="CL197" i="17"/>
  <c r="CM197" i="17"/>
  <c r="CN197" i="17"/>
  <c r="CO197" i="17"/>
  <c r="CP197" i="17"/>
  <c r="CQ197" i="17"/>
  <c r="CR197" i="17"/>
  <c r="CS197" i="17"/>
  <c r="CT197" i="17"/>
  <c r="CU197" i="17"/>
  <c r="CV197" i="17"/>
  <c r="CW197" i="17"/>
  <c r="CX197" i="17"/>
  <c r="CY197" i="17"/>
  <c r="CZ197" i="17"/>
  <c r="DA197" i="17"/>
  <c r="DB197" i="17"/>
  <c r="DC197" i="17"/>
  <c r="DD197" i="17"/>
  <c r="DE197" i="17"/>
  <c r="DF197" i="17"/>
  <c r="DG197" i="17"/>
  <c r="DH197" i="17"/>
  <c r="DI197" i="17"/>
  <c r="DJ197" i="17"/>
  <c r="DK197" i="17"/>
  <c r="DL197" i="17"/>
  <c r="DM197" i="17"/>
  <c r="DN197" i="17"/>
  <c r="DO197" i="17"/>
  <c r="DP197" i="17"/>
  <c r="DQ197" i="17"/>
  <c r="DR197" i="17"/>
  <c r="DS197" i="17"/>
  <c r="DT197" i="17"/>
  <c r="DU197" i="17"/>
  <c r="DV197" i="17"/>
  <c r="DW197" i="17"/>
  <c r="DX197" i="17"/>
  <c r="DY197" i="17"/>
  <c r="DZ197" i="17"/>
  <c r="EA197" i="17"/>
  <c r="EB197" i="17"/>
  <c r="EC197" i="17"/>
  <c r="ED197" i="17"/>
  <c r="EE197" i="17"/>
  <c r="EF197" i="17"/>
  <c r="EG197" i="17"/>
  <c r="EH197" i="17"/>
  <c r="EI197" i="17"/>
  <c r="EJ197" i="17"/>
  <c r="EK197" i="17"/>
  <c r="EL197" i="17"/>
  <c r="EM197" i="17"/>
  <c r="EN197" i="17"/>
  <c r="EO197" i="17"/>
  <c r="EP197" i="17"/>
  <c r="EQ197" i="17"/>
  <c r="ER197" i="17"/>
  <c r="ES197" i="17"/>
  <c r="ET197" i="17"/>
  <c r="EU197" i="17"/>
  <c r="EV197" i="17"/>
  <c r="EW197" i="17"/>
  <c r="EX197" i="17"/>
  <c r="EY197" i="17"/>
  <c r="EZ197" i="17"/>
  <c r="FA197" i="17"/>
  <c r="FB197" i="17"/>
  <c r="FC197" i="17"/>
  <c r="FD197" i="17"/>
  <c r="FE197" i="17"/>
  <c r="FF197" i="17"/>
  <c r="FG197" i="17"/>
  <c r="FH197" i="17"/>
  <c r="FI197" i="17"/>
  <c r="FJ197" i="17"/>
  <c r="FK197" i="17"/>
  <c r="FL197" i="17"/>
  <c r="FM197" i="17"/>
  <c r="FN197" i="17"/>
  <c r="FO197" i="17"/>
  <c r="FP197" i="17"/>
  <c r="FQ197" i="17"/>
  <c r="FR197" i="17"/>
  <c r="FS197" i="17"/>
  <c r="FT197" i="17"/>
  <c r="FU197" i="17"/>
  <c r="FV197" i="17"/>
  <c r="FW197" i="17"/>
  <c r="FX197" i="17"/>
  <c r="FY197" i="17"/>
  <c r="FZ197" i="17"/>
  <c r="GA197" i="17"/>
  <c r="GB197" i="17"/>
  <c r="GC197" i="17"/>
  <c r="GD197" i="17"/>
  <c r="GE197" i="17"/>
  <c r="GF197" i="17"/>
  <c r="GG197" i="17"/>
  <c r="GH197" i="17"/>
  <c r="GI197" i="17"/>
  <c r="GJ197" i="17"/>
  <c r="GK197" i="17"/>
  <c r="GL197" i="17"/>
  <c r="GM197" i="17"/>
  <c r="GN197" i="17"/>
  <c r="GO197" i="17"/>
  <c r="GP197" i="17"/>
  <c r="GQ197" i="17"/>
  <c r="GR197" i="17"/>
  <c r="GS197" i="17"/>
  <c r="GT197" i="17"/>
  <c r="GU197" i="17"/>
  <c r="GV197" i="17"/>
  <c r="GW197" i="17"/>
  <c r="GX197" i="17"/>
  <c r="GY197" i="17"/>
  <c r="GZ197" i="17"/>
  <c r="HA197" i="17"/>
  <c r="HB197" i="17"/>
  <c r="HC197" i="17"/>
  <c r="HD197" i="17"/>
  <c r="HE197" i="17"/>
  <c r="HF197" i="17"/>
  <c r="HG197" i="17"/>
  <c r="HH197" i="17"/>
  <c r="HI197" i="17"/>
  <c r="HJ197" i="17"/>
  <c r="HK197" i="17"/>
  <c r="HL197" i="17"/>
  <c r="HM197" i="17"/>
  <c r="HN197" i="17"/>
  <c r="HO197" i="17"/>
  <c r="HP197" i="17"/>
  <c r="HQ197" i="17"/>
  <c r="HR197" i="17"/>
  <c r="HS197" i="17"/>
  <c r="HT197" i="17"/>
  <c r="HU197" i="17"/>
  <c r="HV197" i="17"/>
  <c r="HW197" i="17"/>
  <c r="HX197" i="17"/>
  <c r="HY197" i="17"/>
  <c r="HZ197" i="17"/>
  <c r="IA197" i="17"/>
  <c r="IB197" i="17"/>
  <c r="IC197" i="17"/>
  <c r="ID197" i="17"/>
  <c r="IE197" i="17"/>
  <c r="IF197" i="17"/>
  <c r="IG197" i="17"/>
  <c r="IH197" i="17"/>
  <c r="II197" i="17"/>
  <c r="IJ197" i="17"/>
  <c r="IK197" i="17"/>
  <c r="IL197" i="17"/>
  <c r="IM197" i="17"/>
  <c r="IN197" i="17"/>
  <c r="IO197" i="17"/>
  <c r="IP197" i="17"/>
  <c r="IQ197" i="17"/>
  <c r="IR197" i="17"/>
  <c r="IS197" i="17"/>
  <c r="IT197" i="17"/>
  <c r="IU197" i="17"/>
  <c r="IV197" i="17"/>
  <c r="A196" i="17"/>
  <c r="B196" i="17"/>
  <c r="C196" i="17"/>
  <c r="D196" i="17"/>
  <c r="E196" i="17"/>
  <c r="F196" i="17"/>
  <c r="G196" i="17"/>
  <c r="H196" i="17"/>
  <c r="I196" i="17"/>
  <c r="J196" i="17"/>
  <c r="K196" i="17"/>
  <c r="L196" i="17"/>
  <c r="M196" i="17"/>
  <c r="N196" i="17"/>
  <c r="O196" i="17"/>
  <c r="P196" i="17"/>
  <c r="Q196" i="17"/>
  <c r="R196" i="17"/>
  <c r="S196" i="17"/>
  <c r="T196" i="17"/>
  <c r="U196" i="17"/>
  <c r="V196" i="17"/>
  <c r="W196" i="17"/>
  <c r="X196" i="17"/>
  <c r="Y196" i="17"/>
  <c r="Z196" i="17"/>
  <c r="AA196" i="17"/>
  <c r="AB196" i="17"/>
  <c r="AC196" i="17"/>
  <c r="AD196" i="17"/>
  <c r="AE196" i="17"/>
  <c r="AF196" i="17"/>
  <c r="AG196" i="17"/>
  <c r="AH196" i="17"/>
  <c r="AI196" i="17"/>
  <c r="AJ196" i="17"/>
  <c r="AK196" i="17"/>
  <c r="AL196" i="17"/>
  <c r="AM196" i="17"/>
  <c r="AN196" i="17"/>
  <c r="AO196" i="17"/>
  <c r="AP196" i="17"/>
  <c r="AQ196" i="17"/>
  <c r="AR196" i="17"/>
  <c r="AS196" i="17"/>
  <c r="AT196" i="17"/>
  <c r="AU196" i="17"/>
  <c r="AV196" i="17"/>
  <c r="AW196" i="17"/>
  <c r="AX196" i="17"/>
  <c r="AY196" i="17"/>
  <c r="AZ196" i="17"/>
  <c r="BA196" i="17"/>
  <c r="BB196" i="17"/>
  <c r="BC196" i="17"/>
  <c r="BD196" i="17"/>
  <c r="BE196" i="17"/>
  <c r="BF196" i="17"/>
  <c r="BG196" i="17"/>
  <c r="BH196" i="17"/>
  <c r="BI196" i="17"/>
  <c r="BJ196" i="17"/>
  <c r="BK196" i="17"/>
  <c r="BL196" i="17"/>
  <c r="BM196" i="17"/>
  <c r="BN196" i="17"/>
  <c r="BO196" i="17"/>
  <c r="BP196" i="17"/>
  <c r="BQ196" i="17"/>
  <c r="BR196" i="17"/>
  <c r="BS196" i="17"/>
  <c r="BT196" i="17"/>
  <c r="BU196" i="17"/>
  <c r="BV196" i="17"/>
  <c r="BW196" i="17"/>
  <c r="BX196" i="17"/>
  <c r="BY196" i="17"/>
  <c r="BZ196" i="17"/>
  <c r="CA196" i="17"/>
  <c r="CB196" i="17"/>
  <c r="CC196" i="17"/>
  <c r="CD196" i="17"/>
  <c r="CE196" i="17"/>
  <c r="CF196" i="17"/>
  <c r="CG196" i="17"/>
  <c r="CH196" i="17"/>
  <c r="CI196" i="17"/>
  <c r="CJ196" i="17"/>
  <c r="CK196" i="17"/>
  <c r="CL196" i="17"/>
  <c r="CM196" i="17"/>
  <c r="CN196" i="17"/>
  <c r="CO196" i="17"/>
  <c r="CP196" i="17"/>
  <c r="CQ196" i="17"/>
  <c r="CR196" i="17"/>
  <c r="CS196" i="17"/>
  <c r="CT196" i="17"/>
  <c r="CU196" i="17"/>
  <c r="CV196" i="17"/>
  <c r="CW196" i="17"/>
  <c r="CX196" i="17"/>
  <c r="CY196" i="17"/>
  <c r="CZ196" i="17"/>
  <c r="DA196" i="17"/>
  <c r="DB196" i="17"/>
  <c r="DC196" i="17"/>
  <c r="DD196" i="17"/>
  <c r="DE196" i="17"/>
  <c r="DF196" i="17"/>
  <c r="DG196" i="17"/>
  <c r="DH196" i="17"/>
  <c r="DI196" i="17"/>
  <c r="DJ196" i="17"/>
  <c r="DK196" i="17"/>
  <c r="DL196" i="17"/>
  <c r="DM196" i="17"/>
  <c r="DN196" i="17"/>
  <c r="DO196" i="17"/>
  <c r="DP196" i="17"/>
  <c r="DQ196" i="17"/>
  <c r="DR196" i="17"/>
  <c r="DS196" i="17"/>
  <c r="DT196" i="17"/>
  <c r="DU196" i="17"/>
  <c r="DV196" i="17"/>
  <c r="DW196" i="17"/>
  <c r="DX196" i="17"/>
  <c r="DY196" i="17"/>
  <c r="DZ196" i="17"/>
  <c r="EA196" i="17"/>
  <c r="EB196" i="17"/>
  <c r="EC196" i="17"/>
  <c r="ED196" i="17"/>
  <c r="EE196" i="17"/>
  <c r="EF196" i="17"/>
  <c r="EG196" i="17"/>
  <c r="EH196" i="17"/>
  <c r="EI196" i="17"/>
  <c r="EJ196" i="17"/>
  <c r="EK196" i="17"/>
  <c r="EL196" i="17"/>
  <c r="EM196" i="17"/>
  <c r="EN196" i="17"/>
  <c r="EO196" i="17"/>
  <c r="EP196" i="17"/>
  <c r="EQ196" i="17"/>
  <c r="ER196" i="17"/>
  <c r="ES196" i="17"/>
  <c r="ET196" i="17"/>
  <c r="EU196" i="17"/>
  <c r="EV196" i="17"/>
  <c r="EW196" i="17"/>
  <c r="EX196" i="17"/>
  <c r="EY196" i="17"/>
  <c r="EZ196" i="17"/>
  <c r="FA196" i="17"/>
  <c r="FB196" i="17"/>
  <c r="FC196" i="17"/>
  <c r="FD196" i="17"/>
  <c r="FE196" i="17"/>
  <c r="FF196" i="17"/>
  <c r="FG196" i="17"/>
  <c r="FH196" i="17"/>
  <c r="FI196" i="17"/>
  <c r="FJ196" i="17"/>
  <c r="FK196" i="17"/>
  <c r="FL196" i="17"/>
  <c r="FM196" i="17"/>
  <c r="FN196" i="17"/>
  <c r="FO196" i="17"/>
  <c r="FP196" i="17"/>
  <c r="FQ196" i="17"/>
  <c r="FR196" i="17"/>
  <c r="FS196" i="17"/>
  <c r="FT196" i="17"/>
  <c r="FU196" i="17"/>
  <c r="FV196" i="17"/>
  <c r="FW196" i="17"/>
  <c r="FX196" i="17"/>
  <c r="FY196" i="17"/>
  <c r="FZ196" i="17"/>
  <c r="GA196" i="17"/>
  <c r="GB196" i="17"/>
  <c r="GC196" i="17"/>
  <c r="GD196" i="17"/>
  <c r="GE196" i="17"/>
  <c r="GF196" i="17"/>
  <c r="GG196" i="17"/>
  <c r="GH196" i="17"/>
  <c r="GI196" i="17"/>
  <c r="GJ196" i="17"/>
  <c r="GK196" i="17"/>
  <c r="GL196" i="17"/>
  <c r="GM196" i="17"/>
  <c r="GN196" i="17"/>
  <c r="GO196" i="17"/>
  <c r="GP196" i="17"/>
  <c r="GQ196" i="17"/>
  <c r="GR196" i="17"/>
  <c r="GS196" i="17"/>
  <c r="GT196" i="17"/>
  <c r="GU196" i="17"/>
  <c r="GV196" i="17"/>
  <c r="GW196" i="17"/>
  <c r="GX196" i="17"/>
  <c r="GY196" i="17"/>
  <c r="GZ196" i="17"/>
  <c r="HA196" i="17"/>
  <c r="HB196" i="17"/>
  <c r="HC196" i="17"/>
  <c r="HD196" i="17"/>
  <c r="HE196" i="17"/>
  <c r="HF196" i="17"/>
  <c r="HG196" i="17"/>
  <c r="HH196" i="17"/>
  <c r="HI196" i="17"/>
  <c r="HJ196" i="17"/>
  <c r="HK196" i="17"/>
  <c r="HL196" i="17"/>
  <c r="HM196" i="17"/>
  <c r="HN196" i="17"/>
  <c r="HO196" i="17"/>
  <c r="HP196" i="17"/>
  <c r="HQ196" i="17"/>
  <c r="HR196" i="17"/>
  <c r="HS196" i="17"/>
  <c r="HT196" i="17"/>
  <c r="HU196" i="17"/>
  <c r="HV196" i="17"/>
  <c r="HW196" i="17"/>
  <c r="HX196" i="17"/>
  <c r="HY196" i="17"/>
  <c r="HZ196" i="17"/>
  <c r="IA196" i="17"/>
  <c r="IB196" i="17"/>
  <c r="IC196" i="17"/>
  <c r="ID196" i="17"/>
  <c r="IE196" i="17"/>
  <c r="IF196" i="17"/>
  <c r="IG196" i="17"/>
  <c r="IH196" i="17"/>
  <c r="II196" i="17"/>
  <c r="IJ196" i="17"/>
  <c r="IK196" i="17"/>
  <c r="IL196" i="17"/>
  <c r="IM196" i="17"/>
  <c r="IN196" i="17"/>
  <c r="IO196" i="17"/>
  <c r="IP196" i="17"/>
  <c r="IQ196" i="17"/>
  <c r="IR196" i="17"/>
  <c r="IS196" i="17"/>
  <c r="IT196" i="17"/>
  <c r="IU196" i="17"/>
  <c r="IV196" i="17"/>
  <c r="A195" i="17"/>
  <c r="B195" i="17"/>
  <c r="C195" i="17"/>
  <c r="D195" i="17"/>
  <c r="E195" i="17"/>
  <c r="F195" i="17"/>
  <c r="G195" i="17"/>
  <c r="H195" i="17"/>
  <c r="I195" i="17"/>
  <c r="J195" i="17"/>
  <c r="K195" i="17"/>
  <c r="L195" i="17"/>
  <c r="M195" i="17"/>
  <c r="N195" i="17"/>
  <c r="O195" i="17"/>
  <c r="P195" i="17"/>
  <c r="Q195" i="17"/>
  <c r="R195" i="17"/>
  <c r="S195" i="17"/>
  <c r="T195" i="17"/>
  <c r="U195" i="17"/>
  <c r="V195" i="17"/>
  <c r="W195" i="17"/>
  <c r="X195" i="17"/>
  <c r="Y195" i="17"/>
  <c r="Z195" i="17"/>
  <c r="AA195" i="17"/>
  <c r="AB195" i="17"/>
  <c r="AC195" i="17"/>
  <c r="AD195" i="17"/>
  <c r="AE195" i="17"/>
  <c r="AF195" i="17"/>
  <c r="AG195" i="17"/>
  <c r="AH195" i="17"/>
  <c r="AI195" i="17"/>
  <c r="AJ195" i="17"/>
  <c r="AK195" i="17"/>
  <c r="AL195" i="17"/>
  <c r="AM195" i="17"/>
  <c r="AN195" i="17"/>
  <c r="AO195" i="17"/>
  <c r="AP195" i="17"/>
  <c r="AQ195" i="17"/>
  <c r="AR195" i="17"/>
  <c r="AS195" i="17"/>
  <c r="AT195" i="17"/>
  <c r="AU195" i="17"/>
  <c r="AV195" i="17"/>
  <c r="AW195" i="17"/>
  <c r="AX195" i="17"/>
  <c r="AY195" i="17"/>
  <c r="AZ195" i="17"/>
  <c r="BA195" i="17"/>
  <c r="BB195" i="17"/>
  <c r="BC195" i="17"/>
  <c r="BD195" i="17"/>
  <c r="BE195" i="17"/>
  <c r="BF195" i="17"/>
  <c r="BG195" i="17"/>
  <c r="BH195" i="17"/>
  <c r="BI195" i="17"/>
  <c r="BJ195" i="17"/>
  <c r="BK195" i="17"/>
  <c r="BL195" i="17"/>
  <c r="BM195" i="17"/>
  <c r="BN195" i="17"/>
  <c r="BO195" i="17"/>
  <c r="BP195" i="17"/>
  <c r="BQ195" i="17"/>
  <c r="BR195" i="17"/>
  <c r="BS195" i="17"/>
  <c r="BT195" i="17"/>
  <c r="BU195" i="17"/>
  <c r="BV195" i="17"/>
  <c r="BW195" i="17"/>
  <c r="BX195" i="17"/>
  <c r="BY195" i="17"/>
  <c r="BZ195" i="17"/>
  <c r="CA195" i="17"/>
  <c r="CB195" i="17"/>
  <c r="CC195" i="17"/>
  <c r="CD195" i="17"/>
  <c r="CE195" i="17"/>
  <c r="CF195" i="17"/>
  <c r="CG195" i="17"/>
  <c r="CH195" i="17"/>
  <c r="CI195" i="17"/>
  <c r="CJ195" i="17"/>
  <c r="CK195" i="17"/>
  <c r="CL195" i="17"/>
  <c r="CM195" i="17"/>
  <c r="CN195" i="17"/>
  <c r="CO195" i="17"/>
  <c r="CP195" i="17"/>
  <c r="CQ195" i="17"/>
  <c r="CR195" i="17"/>
  <c r="CS195" i="17"/>
  <c r="CT195" i="17"/>
  <c r="CU195" i="17"/>
  <c r="CV195" i="17"/>
  <c r="CW195" i="17"/>
  <c r="CX195" i="17"/>
  <c r="CY195" i="17"/>
  <c r="CZ195" i="17"/>
  <c r="DA195" i="17"/>
  <c r="DB195" i="17"/>
  <c r="DC195" i="17"/>
  <c r="DD195" i="17"/>
  <c r="DE195" i="17"/>
  <c r="DF195" i="17"/>
  <c r="DG195" i="17"/>
  <c r="DH195" i="17"/>
  <c r="DI195" i="17"/>
  <c r="DJ195" i="17"/>
  <c r="DK195" i="17"/>
  <c r="DL195" i="17"/>
  <c r="DM195" i="17"/>
  <c r="DN195" i="17"/>
  <c r="DO195" i="17"/>
  <c r="DP195" i="17"/>
  <c r="DQ195" i="17"/>
  <c r="DR195" i="17"/>
  <c r="DS195" i="17"/>
  <c r="DT195" i="17"/>
  <c r="DU195" i="17"/>
  <c r="DV195" i="17"/>
  <c r="DW195" i="17"/>
  <c r="DX195" i="17"/>
  <c r="DY195" i="17"/>
  <c r="DZ195" i="17"/>
  <c r="EA195" i="17"/>
  <c r="EB195" i="17"/>
  <c r="EC195" i="17"/>
  <c r="ED195" i="17"/>
  <c r="EE195" i="17"/>
  <c r="EF195" i="17"/>
  <c r="EG195" i="17"/>
  <c r="EH195" i="17"/>
  <c r="EI195" i="17"/>
  <c r="EJ195" i="17"/>
  <c r="EK195" i="17"/>
  <c r="EL195" i="17"/>
  <c r="EM195" i="17"/>
  <c r="EN195" i="17"/>
  <c r="EO195" i="17"/>
  <c r="EP195" i="17"/>
  <c r="EQ195" i="17"/>
  <c r="ER195" i="17"/>
  <c r="ES195" i="17"/>
  <c r="ET195" i="17"/>
  <c r="EU195" i="17"/>
  <c r="EV195" i="17"/>
  <c r="EW195" i="17"/>
  <c r="EX195" i="17"/>
  <c r="EY195" i="17"/>
  <c r="EZ195" i="17"/>
  <c r="FA195" i="17"/>
  <c r="FB195" i="17"/>
  <c r="FC195" i="17"/>
  <c r="FD195" i="17"/>
  <c r="FE195" i="17"/>
  <c r="FF195" i="17"/>
  <c r="FG195" i="17"/>
  <c r="FH195" i="17"/>
  <c r="FI195" i="17"/>
  <c r="FJ195" i="17"/>
  <c r="FK195" i="17"/>
  <c r="FL195" i="17"/>
  <c r="FM195" i="17"/>
  <c r="FN195" i="17"/>
  <c r="FO195" i="17"/>
  <c r="FP195" i="17"/>
  <c r="FQ195" i="17"/>
  <c r="FR195" i="17"/>
  <c r="FS195" i="17"/>
  <c r="FT195" i="17"/>
  <c r="FU195" i="17"/>
  <c r="FV195" i="17"/>
  <c r="FW195" i="17"/>
  <c r="FX195" i="17"/>
  <c r="FY195" i="17"/>
  <c r="FZ195" i="17"/>
  <c r="GA195" i="17"/>
  <c r="GB195" i="17"/>
  <c r="GC195" i="17"/>
  <c r="GD195" i="17"/>
  <c r="GE195" i="17"/>
  <c r="GF195" i="17"/>
  <c r="GG195" i="17"/>
  <c r="GH195" i="17"/>
  <c r="GI195" i="17"/>
  <c r="GJ195" i="17"/>
  <c r="GK195" i="17"/>
  <c r="GL195" i="17"/>
  <c r="GM195" i="17"/>
  <c r="GN195" i="17"/>
  <c r="GO195" i="17"/>
  <c r="GP195" i="17"/>
  <c r="GQ195" i="17"/>
  <c r="GR195" i="17"/>
  <c r="GS195" i="17"/>
  <c r="GT195" i="17"/>
  <c r="GU195" i="17"/>
  <c r="GV195" i="17"/>
  <c r="GW195" i="17"/>
  <c r="GX195" i="17"/>
  <c r="GY195" i="17"/>
  <c r="GZ195" i="17"/>
  <c r="HA195" i="17"/>
  <c r="HB195" i="17"/>
  <c r="HC195" i="17"/>
  <c r="HD195" i="17"/>
  <c r="HE195" i="17"/>
  <c r="HF195" i="17"/>
  <c r="HG195" i="17"/>
  <c r="HH195" i="17"/>
  <c r="HI195" i="17"/>
  <c r="HJ195" i="17"/>
  <c r="HK195" i="17"/>
  <c r="HL195" i="17"/>
  <c r="HM195" i="17"/>
  <c r="HN195" i="17"/>
  <c r="HO195" i="17"/>
  <c r="HP195" i="17"/>
  <c r="HQ195" i="17"/>
  <c r="HR195" i="17"/>
  <c r="HS195" i="17"/>
  <c r="HT195" i="17"/>
  <c r="HU195" i="17"/>
  <c r="HV195" i="17"/>
  <c r="HW195" i="17"/>
  <c r="HX195" i="17"/>
  <c r="HY195" i="17"/>
  <c r="HZ195" i="17"/>
  <c r="IA195" i="17"/>
  <c r="IB195" i="17"/>
  <c r="IC195" i="17"/>
  <c r="ID195" i="17"/>
  <c r="IE195" i="17"/>
  <c r="IF195" i="17"/>
  <c r="IG195" i="17"/>
  <c r="IH195" i="17"/>
  <c r="II195" i="17"/>
  <c r="IJ195" i="17"/>
  <c r="IK195" i="17"/>
  <c r="IL195" i="17"/>
  <c r="IM195" i="17"/>
  <c r="IN195" i="17"/>
  <c r="IO195" i="17"/>
  <c r="IP195" i="17"/>
  <c r="IQ195" i="17"/>
  <c r="IR195" i="17"/>
  <c r="IS195" i="17"/>
  <c r="IT195" i="17"/>
  <c r="IU195" i="17"/>
  <c r="IV195" i="17"/>
  <c r="A194" i="17"/>
  <c r="B194" i="17"/>
  <c r="C194" i="17"/>
  <c r="D194" i="17"/>
  <c r="E194" i="17"/>
  <c r="F194" i="17"/>
  <c r="G194" i="17"/>
  <c r="H194" i="17"/>
  <c r="I194" i="17"/>
  <c r="J194" i="17"/>
  <c r="K194" i="17"/>
  <c r="L194" i="17"/>
  <c r="M194" i="17"/>
  <c r="N194" i="17"/>
  <c r="O194" i="17"/>
  <c r="P194" i="17"/>
  <c r="Q194" i="17"/>
  <c r="R194" i="17"/>
  <c r="S194" i="17"/>
  <c r="T194" i="17"/>
  <c r="U194" i="17"/>
  <c r="V194" i="17"/>
  <c r="W194" i="17"/>
  <c r="X194" i="17"/>
  <c r="Y194" i="17"/>
  <c r="Z194" i="17"/>
  <c r="AA194" i="17"/>
  <c r="AB194" i="17"/>
  <c r="AC194" i="17"/>
  <c r="AD194" i="17"/>
  <c r="AE194" i="17"/>
  <c r="AF194" i="17"/>
  <c r="AG194" i="17"/>
  <c r="AH194" i="17"/>
  <c r="AI194" i="17"/>
  <c r="AJ194" i="17"/>
  <c r="AK194" i="17"/>
  <c r="AL194" i="17"/>
  <c r="AM194" i="17"/>
  <c r="AN194" i="17"/>
  <c r="AO194" i="17"/>
  <c r="AP194" i="17"/>
  <c r="AQ194" i="17"/>
  <c r="AR194" i="17"/>
  <c r="AS194" i="17"/>
  <c r="AT194" i="17"/>
  <c r="AU194" i="17"/>
  <c r="AV194" i="17"/>
  <c r="AW194" i="17"/>
  <c r="AX194" i="17"/>
  <c r="AY194" i="17"/>
  <c r="AZ194" i="17"/>
  <c r="BA194" i="17"/>
  <c r="BB194" i="17"/>
  <c r="BC194" i="17"/>
  <c r="BD194" i="17"/>
  <c r="BE194" i="17"/>
  <c r="BF194" i="17"/>
  <c r="BG194" i="17"/>
  <c r="BH194" i="17"/>
  <c r="BI194" i="17"/>
  <c r="BJ194" i="17"/>
  <c r="BK194" i="17"/>
  <c r="BL194" i="17"/>
  <c r="BM194" i="17"/>
  <c r="BN194" i="17"/>
  <c r="BO194" i="17"/>
  <c r="BP194" i="17"/>
  <c r="BQ194" i="17"/>
  <c r="BR194" i="17"/>
  <c r="BS194" i="17"/>
  <c r="BT194" i="17"/>
  <c r="BU194" i="17"/>
  <c r="BV194" i="17"/>
  <c r="BW194" i="17"/>
  <c r="BX194" i="17"/>
  <c r="BY194" i="17"/>
  <c r="BZ194" i="17"/>
  <c r="CA194" i="17"/>
  <c r="CB194" i="17"/>
  <c r="CC194" i="17"/>
  <c r="CD194" i="17"/>
  <c r="CE194" i="17"/>
  <c r="CF194" i="17"/>
  <c r="CG194" i="17"/>
  <c r="CH194" i="17"/>
  <c r="CI194" i="17"/>
  <c r="CJ194" i="17"/>
  <c r="CK194" i="17"/>
  <c r="CL194" i="17"/>
  <c r="CM194" i="17"/>
  <c r="CN194" i="17"/>
  <c r="CO194" i="17"/>
  <c r="CP194" i="17"/>
  <c r="CQ194" i="17"/>
  <c r="CR194" i="17"/>
  <c r="CS194" i="17"/>
  <c r="CT194" i="17"/>
  <c r="CU194" i="17"/>
  <c r="CV194" i="17"/>
  <c r="CW194" i="17"/>
  <c r="CX194" i="17"/>
  <c r="CY194" i="17"/>
  <c r="CZ194" i="17"/>
  <c r="DA194" i="17"/>
  <c r="DB194" i="17"/>
  <c r="DC194" i="17"/>
  <c r="DD194" i="17"/>
  <c r="DE194" i="17"/>
  <c r="DF194" i="17"/>
  <c r="DG194" i="17"/>
  <c r="DH194" i="17"/>
  <c r="DI194" i="17"/>
  <c r="DJ194" i="17"/>
  <c r="DK194" i="17"/>
  <c r="DL194" i="17"/>
  <c r="DM194" i="17"/>
  <c r="DN194" i="17"/>
  <c r="DO194" i="17"/>
  <c r="DP194" i="17"/>
  <c r="DQ194" i="17"/>
  <c r="DR194" i="17"/>
  <c r="DS194" i="17"/>
  <c r="DT194" i="17"/>
  <c r="DU194" i="17"/>
  <c r="DV194" i="17"/>
  <c r="DW194" i="17"/>
  <c r="DX194" i="17"/>
  <c r="DY194" i="17"/>
  <c r="DZ194" i="17"/>
  <c r="EA194" i="17"/>
  <c r="EB194" i="17"/>
  <c r="EC194" i="17"/>
  <c r="ED194" i="17"/>
  <c r="EE194" i="17"/>
  <c r="EF194" i="17"/>
  <c r="EG194" i="17"/>
  <c r="EH194" i="17"/>
  <c r="EI194" i="17"/>
  <c r="EJ194" i="17"/>
  <c r="EK194" i="17"/>
  <c r="EL194" i="17"/>
  <c r="EM194" i="17"/>
  <c r="EN194" i="17"/>
  <c r="EO194" i="17"/>
  <c r="EP194" i="17"/>
  <c r="EQ194" i="17"/>
  <c r="ER194" i="17"/>
  <c r="ES194" i="17"/>
  <c r="ET194" i="17"/>
  <c r="EU194" i="17"/>
  <c r="EV194" i="17"/>
  <c r="EW194" i="17"/>
  <c r="EX194" i="17"/>
  <c r="EY194" i="17"/>
  <c r="EZ194" i="17"/>
  <c r="FA194" i="17"/>
  <c r="FB194" i="17"/>
  <c r="FC194" i="17"/>
  <c r="FD194" i="17"/>
  <c r="FE194" i="17"/>
  <c r="FF194" i="17"/>
  <c r="FG194" i="17"/>
  <c r="FH194" i="17"/>
  <c r="FI194" i="17"/>
  <c r="FJ194" i="17"/>
  <c r="FK194" i="17"/>
  <c r="FL194" i="17"/>
  <c r="FM194" i="17"/>
  <c r="FN194" i="17"/>
  <c r="FO194" i="17"/>
  <c r="FP194" i="17"/>
  <c r="FQ194" i="17"/>
  <c r="FR194" i="17"/>
  <c r="FS194" i="17"/>
  <c r="FT194" i="17"/>
  <c r="FU194" i="17"/>
  <c r="FV194" i="17"/>
  <c r="FW194" i="17"/>
  <c r="FX194" i="17"/>
  <c r="FY194" i="17"/>
  <c r="FZ194" i="17"/>
  <c r="GA194" i="17"/>
  <c r="GB194" i="17"/>
  <c r="GC194" i="17"/>
  <c r="GD194" i="17"/>
  <c r="GE194" i="17"/>
  <c r="GF194" i="17"/>
  <c r="GG194" i="17"/>
  <c r="GH194" i="17"/>
  <c r="GI194" i="17"/>
  <c r="GJ194" i="17"/>
  <c r="GK194" i="17"/>
  <c r="GL194" i="17"/>
  <c r="GM194" i="17"/>
  <c r="GN194" i="17"/>
  <c r="GO194" i="17"/>
  <c r="GP194" i="17"/>
  <c r="GQ194" i="17"/>
  <c r="GR194" i="17"/>
  <c r="GS194" i="17"/>
  <c r="GT194" i="17"/>
  <c r="GU194" i="17"/>
  <c r="GV194" i="17"/>
  <c r="GW194" i="17"/>
  <c r="GX194" i="17"/>
  <c r="GY194" i="17"/>
  <c r="GZ194" i="17"/>
  <c r="HA194" i="17"/>
  <c r="HB194" i="17"/>
  <c r="HC194" i="17"/>
  <c r="HD194" i="17"/>
  <c r="HE194" i="17"/>
  <c r="HF194" i="17"/>
  <c r="HG194" i="17"/>
  <c r="HH194" i="17"/>
  <c r="HI194" i="17"/>
  <c r="HJ194" i="17"/>
  <c r="HK194" i="17"/>
  <c r="HL194" i="17"/>
  <c r="HM194" i="17"/>
  <c r="HN194" i="17"/>
  <c r="HO194" i="17"/>
  <c r="HP194" i="17"/>
  <c r="HQ194" i="17"/>
  <c r="HR194" i="17"/>
  <c r="HS194" i="17"/>
  <c r="HT194" i="17"/>
  <c r="HU194" i="17"/>
  <c r="HV194" i="17"/>
  <c r="HW194" i="17"/>
  <c r="HX194" i="17"/>
  <c r="HY194" i="17"/>
  <c r="HZ194" i="17"/>
  <c r="IA194" i="17"/>
  <c r="IB194" i="17"/>
  <c r="IC194" i="17"/>
  <c r="ID194" i="17"/>
  <c r="IE194" i="17"/>
  <c r="IF194" i="17"/>
  <c r="IG194" i="17"/>
  <c r="IH194" i="17"/>
  <c r="II194" i="17"/>
  <c r="IJ194" i="17"/>
  <c r="IK194" i="17"/>
  <c r="IL194" i="17"/>
  <c r="IM194" i="17"/>
  <c r="IN194" i="17"/>
  <c r="IO194" i="17"/>
  <c r="IP194" i="17"/>
  <c r="IQ194" i="17"/>
  <c r="IR194" i="17"/>
  <c r="IS194" i="17"/>
  <c r="IT194" i="17"/>
  <c r="IU194" i="17"/>
  <c r="IV194" i="17"/>
  <c r="A193" i="17"/>
  <c r="B193" i="17"/>
  <c r="C193" i="17"/>
  <c r="D193" i="17"/>
  <c r="E193" i="17"/>
  <c r="F193" i="17"/>
  <c r="G193" i="17"/>
  <c r="H193" i="17"/>
  <c r="I193" i="17"/>
  <c r="J193" i="17"/>
  <c r="K193" i="17"/>
  <c r="L193" i="17"/>
  <c r="M193" i="17"/>
  <c r="N193" i="17"/>
  <c r="O193" i="17"/>
  <c r="P193" i="17"/>
  <c r="Q193" i="17"/>
  <c r="S193" i="17"/>
  <c r="T193" i="17"/>
  <c r="U193" i="17"/>
  <c r="V193" i="17"/>
  <c r="W193" i="17"/>
  <c r="X193" i="17"/>
  <c r="Y193" i="17"/>
  <c r="Z193" i="17"/>
  <c r="AA193" i="17"/>
  <c r="AB193" i="17"/>
  <c r="AC193" i="17"/>
  <c r="AD193" i="17"/>
  <c r="AE193" i="17"/>
  <c r="AF193" i="17"/>
  <c r="AG193" i="17"/>
  <c r="AH193" i="17"/>
  <c r="AI193" i="17"/>
  <c r="AJ193" i="17"/>
  <c r="AK193" i="17"/>
  <c r="AL193" i="17"/>
  <c r="AM193" i="17"/>
  <c r="AN193" i="17"/>
  <c r="AO193" i="17"/>
  <c r="AP193" i="17"/>
  <c r="AQ193" i="17"/>
  <c r="AR193" i="17"/>
  <c r="AS193" i="17"/>
  <c r="AT193" i="17"/>
  <c r="AU193" i="17"/>
  <c r="AV193" i="17"/>
  <c r="AW193" i="17"/>
  <c r="AX193" i="17"/>
  <c r="AY193" i="17"/>
  <c r="AZ193" i="17"/>
  <c r="BA193" i="17"/>
  <c r="BB193" i="17"/>
  <c r="BC193" i="17"/>
  <c r="BD193" i="17"/>
  <c r="BE193" i="17"/>
  <c r="BF193" i="17"/>
  <c r="BG193" i="17"/>
  <c r="BH193" i="17"/>
  <c r="BI193" i="17"/>
  <c r="BJ193" i="17"/>
  <c r="BK193" i="17"/>
  <c r="BL193" i="17"/>
  <c r="BM193" i="17"/>
  <c r="BN193" i="17"/>
  <c r="BO193" i="17"/>
  <c r="BP193" i="17"/>
  <c r="BQ193" i="17"/>
  <c r="BR193" i="17"/>
  <c r="BS193" i="17"/>
  <c r="BT193" i="17"/>
  <c r="BU193" i="17"/>
  <c r="BV193" i="17"/>
  <c r="BW193" i="17"/>
  <c r="BX193" i="17"/>
  <c r="BY193" i="17"/>
  <c r="BZ193" i="17"/>
  <c r="CA193" i="17"/>
  <c r="CB193" i="17"/>
  <c r="CC193" i="17"/>
  <c r="CD193" i="17"/>
  <c r="CE193" i="17"/>
  <c r="CF193" i="17"/>
  <c r="CG193" i="17"/>
  <c r="CH193" i="17"/>
  <c r="CI193" i="17"/>
  <c r="CJ193" i="17"/>
  <c r="CK193" i="17"/>
  <c r="CL193" i="17"/>
  <c r="CM193" i="17"/>
  <c r="CN193" i="17"/>
  <c r="CO193" i="17"/>
  <c r="CP193" i="17"/>
  <c r="CQ193" i="17"/>
  <c r="CR193" i="17"/>
  <c r="CS193" i="17"/>
  <c r="CT193" i="17"/>
  <c r="CU193" i="17"/>
  <c r="CV193" i="17"/>
  <c r="CW193" i="17"/>
  <c r="CX193" i="17"/>
  <c r="CY193" i="17"/>
  <c r="CZ193" i="17"/>
  <c r="DA193" i="17"/>
  <c r="DB193" i="17"/>
  <c r="DC193" i="17"/>
  <c r="DD193" i="17"/>
  <c r="DE193" i="17"/>
  <c r="DF193" i="17"/>
  <c r="DG193" i="17"/>
  <c r="DH193" i="17"/>
  <c r="DI193" i="17"/>
  <c r="DJ193" i="17"/>
  <c r="DK193" i="17"/>
  <c r="DL193" i="17"/>
  <c r="DM193" i="17"/>
  <c r="DN193" i="17"/>
  <c r="DO193" i="17"/>
  <c r="DP193" i="17"/>
  <c r="DQ193" i="17"/>
  <c r="DR193" i="17"/>
  <c r="DS193" i="17"/>
  <c r="DT193" i="17"/>
  <c r="DU193" i="17"/>
  <c r="DV193" i="17"/>
  <c r="DW193" i="17"/>
  <c r="DX193" i="17"/>
  <c r="DY193" i="17"/>
  <c r="DZ193" i="17"/>
  <c r="EA193" i="17"/>
  <c r="EB193" i="17"/>
  <c r="EC193" i="17"/>
  <c r="ED193" i="17"/>
  <c r="EE193" i="17"/>
  <c r="EF193" i="17"/>
  <c r="EG193" i="17"/>
  <c r="EH193" i="17"/>
  <c r="EI193" i="17"/>
  <c r="EJ193" i="17"/>
  <c r="EK193" i="17"/>
  <c r="EL193" i="17"/>
  <c r="EM193" i="17"/>
  <c r="EN193" i="17"/>
  <c r="EO193" i="17"/>
  <c r="EP193" i="17"/>
  <c r="EQ193" i="17"/>
  <c r="ER193" i="17"/>
  <c r="ES193" i="17"/>
  <c r="ET193" i="17"/>
  <c r="EU193" i="17"/>
  <c r="EV193" i="17"/>
  <c r="EW193" i="17"/>
  <c r="EX193" i="17"/>
  <c r="EY193" i="17"/>
  <c r="EZ193" i="17"/>
  <c r="FA193" i="17"/>
  <c r="FB193" i="17"/>
  <c r="FC193" i="17"/>
  <c r="FD193" i="17"/>
  <c r="FE193" i="17"/>
  <c r="FF193" i="17"/>
  <c r="FG193" i="17"/>
  <c r="FH193" i="17"/>
  <c r="FI193" i="17"/>
  <c r="FJ193" i="17"/>
  <c r="FK193" i="17"/>
  <c r="FL193" i="17"/>
  <c r="FM193" i="17"/>
  <c r="FN193" i="17"/>
  <c r="FO193" i="17"/>
  <c r="FP193" i="17"/>
  <c r="FQ193" i="17"/>
  <c r="FR193" i="17"/>
  <c r="FS193" i="17"/>
  <c r="FT193" i="17"/>
  <c r="FU193" i="17"/>
  <c r="FV193" i="17"/>
  <c r="FW193" i="17"/>
  <c r="FX193" i="17"/>
  <c r="FY193" i="17"/>
  <c r="FZ193" i="17"/>
  <c r="GA193" i="17"/>
  <c r="GB193" i="17"/>
  <c r="GC193" i="17"/>
  <c r="GD193" i="17"/>
  <c r="GE193" i="17"/>
  <c r="GF193" i="17"/>
  <c r="GG193" i="17"/>
  <c r="GH193" i="17"/>
  <c r="GI193" i="17"/>
  <c r="GJ193" i="17"/>
  <c r="GK193" i="17"/>
  <c r="GL193" i="17"/>
  <c r="GM193" i="17"/>
  <c r="GN193" i="17"/>
  <c r="GO193" i="17"/>
  <c r="GP193" i="17"/>
  <c r="GQ193" i="17"/>
  <c r="GR193" i="17"/>
  <c r="GS193" i="17"/>
  <c r="GT193" i="17"/>
  <c r="GU193" i="17"/>
  <c r="GV193" i="17"/>
  <c r="GW193" i="17"/>
  <c r="GX193" i="17"/>
  <c r="GY193" i="17"/>
  <c r="GZ193" i="17"/>
  <c r="HA193" i="17"/>
  <c r="HB193" i="17"/>
  <c r="HC193" i="17"/>
  <c r="HD193" i="17"/>
  <c r="HE193" i="17"/>
  <c r="HF193" i="17"/>
  <c r="HG193" i="17"/>
  <c r="HH193" i="17"/>
  <c r="HI193" i="17"/>
  <c r="HJ193" i="17"/>
  <c r="HK193" i="17"/>
  <c r="HL193" i="17"/>
  <c r="HM193" i="17"/>
  <c r="HN193" i="17"/>
  <c r="HO193" i="17"/>
  <c r="HP193" i="17"/>
  <c r="HQ193" i="17"/>
  <c r="HR193" i="17"/>
  <c r="HS193" i="17"/>
  <c r="HT193" i="17"/>
  <c r="HU193" i="17"/>
  <c r="HV193" i="17"/>
  <c r="HW193" i="17"/>
  <c r="HX193" i="17"/>
  <c r="HY193" i="17"/>
  <c r="HZ193" i="17"/>
  <c r="IA193" i="17"/>
  <c r="IB193" i="17"/>
  <c r="IC193" i="17"/>
  <c r="ID193" i="17"/>
  <c r="IE193" i="17"/>
  <c r="IF193" i="17"/>
  <c r="IG193" i="17"/>
  <c r="IH193" i="17"/>
  <c r="II193" i="17"/>
  <c r="IJ193" i="17"/>
  <c r="IK193" i="17"/>
  <c r="IL193" i="17"/>
  <c r="IM193" i="17"/>
  <c r="IN193" i="17"/>
  <c r="IO193" i="17"/>
  <c r="IP193" i="17"/>
  <c r="IQ193" i="17"/>
  <c r="IR193" i="17"/>
  <c r="IS193" i="17"/>
  <c r="IT193" i="17"/>
  <c r="IU193" i="17"/>
  <c r="IV193" i="17"/>
  <c r="A192" i="17"/>
  <c r="B192" i="17"/>
  <c r="C192" i="17"/>
  <c r="D192" i="17"/>
  <c r="E192" i="17"/>
  <c r="F192" i="17"/>
  <c r="G192" i="17"/>
  <c r="H192" i="17"/>
  <c r="I192" i="17"/>
  <c r="J192" i="17"/>
  <c r="K192" i="17"/>
  <c r="L192" i="17"/>
  <c r="M192" i="17"/>
  <c r="N192" i="17"/>
  <c r="O192" i="17"/>
  <c r="P192" i="17"/>
  <c r="Q192" i="17"/>
  <c r="R192" i="17"/>
  <c r="S192" i="17"/>
  <c r="T192" i="17"/>
  <c r="U192" i="17"/>
  <c r="V192" i="17"/>
  <c r="W192" i="17"/>
  <c r="X192" i="17"/>
  <c r="Y192" i="17"/>
  <c r="Z192" i="17"/>
  <c r="AA192" i="17"/>
  <c r="AB192" i="17"/>
  <c r="AC192" i="17"/>
  <c r="AD192" i="17"/>
  <c r="AE192" i="17"/>
  <c r="AF192" i="17"/>
  <c r="AG192" i="17"/>
  <c r="AH192" i="17"/>
  <c r="AI192" i="17"/>
  <c r="AJ192" i="17"/>
  <c r="AK192" i="17"/>
  <c r="AL192" i="17"/>
  <c r="AM192" i="17"/>
  <c r="AN192" i="17"/>
  <c r="AO192" i="17"/>
  <c r="AP192" i="17"/>
  <c r="AQ192" i="17"/>
  <c r="AR192" i="17"/>
  <c r="AS192" i="17"/>
  <c r="AT192" i="17"/>
  <c r="AU192" i="17"/>
  <c r="AV192" i="17"/>
  <c r="AW192" i="17"/>
  <c r="AX192" i="17"/>
  <c r="AY192" i="17"/>
  <c r="AZ192" i="17"/>
  <c r="BA192" i="17"/>
  <c r="BB192" i="17"/>
  <c r="BC192" i="17"/>
  <c r="BD192" i="17"/>
  <c r="BE192" i="17"/>
  <c r="BF192" i="17"/>
  <c r="BG192" i="17"/>
  <c r="BH192" i="17"/>
  <c r="BI192" i="17"/>
  <c r="BJ192" i="17"/>
  <c r="BK192" i="17"/>
  <c r="BL192" i="17"/>
  <c r="BM192" i="17"/>
  <c r="BN192" i="17"/>
  <c r="BO192" i="17"/>
  <c r="BP192" i="17"/>
  <c r="BQ192" i="17"/>
  <c r="BR192" i="17"/>
  <c r="BS192" i="17"/>
  <c r="BT192" i="17"/>
  <c r="BU192" i="17"/>
  <c r="BV192" i="17"/>
  <c r="BW192" i="17"/>
  <c r="BX192" i="17"/>
  <c r="BY192" i="17"/>
  <c r="BZ192" i="17"/>
  <c r="CA192" i="17"/>
  <c r="CB192" i="17"/>
  <c r="CC192" i="17"/>
  <c r="CD192" i="17"/>
  <c r="CE192" i="17"/>
  <c r="CF192" i="17"/>
  <c r="CG192" i="17"/>
  <c r="CH192" i="17"/>
  <c r="CI192" i="17"/>
  <c r="CJ192" i="17"/>
  <c r="CK192" i="17"/>
  <c r="CL192" i="17"/>
  <c r="CM192" i="17"/>
  <c r="CN192" i="17"/>
  <c r="CO192" i="17"/>
  <c r="CP192" i="17"/>
  <c r="CQ192" i="17"/>
  <c r="CR192" i="17"/>
  <c r="CS192" i="17"/>
  <c r="CT192" i="17"/>
  <c r="CU192" i="17"/>
  <c r="CV192" i="17"/>
  <c r="CW192" i="17"/>
  <c r="CX192" i="17"/>
  <c r="CY192" i="17"/>
  <c r="CZ192" i="17"/>
  <c r="DA192" i="17"/>
  <c r="DB192" i="17"/>
  <c r="DC192" i="17"/>
  <c r="DD192" i="17"/>
  <c r="DE192" i="17"/>
  <c r="DF192" i="17"/>
  <c r="DG192" i="17"/>
  <c r="DH192" i="17"/>
  <c r="DI192" i="17"/>
  <c r="DJ192" i="17"/>
  <c r="DK192" i="17"/>
  <c r="DL192" i="17"/>
  <c r="DM192" i="17"/>
  <c r="DN192" i="17"/>
  <c r="DO192" i="17"/>
  <c r="DP192" i="17"/>
  <c r="DQ192" i="17"/>
  <c r="DR192" i="17"/>
  <c r="DS192" i="17"/>
  <c r="DT192" i="17"/>
  <c r="DU192" i="17"/>
  <c r="DV192" i="17"/>
  <c r="DW192" i="17"/>
  <c r="DX192" i="17"/>
  <c r="DY192" i="17"/>
  <c r="DZ192" i="17"/>
  <c r="EA192" i="17"/>
  <c r="EB192" i="17"/>
  <c r="EC192" i="17"/>
  <c r="ED192" i="17"/>
  <c r="EE192" i="17"/>
  <c r="EF192" i="17"/>
  <c r="EG192" i="17"/>
  <c r="EH192" i="17"/>
  <c r="EI192" i="17"/>
  <c r="EJ192" i="17"/>
  <c r="EK192" i="17"/>
  <c r="EL192" i="17"/>
  <c r="EM192" i="17"/>
  <c r="EN192" i="17"/>
  <c r="EO192" i="17"/>
  <c r="EP192" i="17"/>
  <c r="EQ192" i="17"/>
  <c r="ER192" i="17"/>
  <c r="ES192" i="17"/>
  <c r="ET192" i="17"/>
  <c r="EU192" i="17"/>
  <c r="EV192" i="17"/>
  <c r="EW192" i="17"/>
  <c r="EX192" i="17"/>
  <c r="EY192" i="17"/>
  <c r="EZ192" i="17"/>
  <c r="FA192" i="17"/>
  <c r="FB192" i="17"/>
  <c r="FC192" i="17"/>
  <c r="FD192" i="17"/>
  <c r="FE192" i="17"/>
  <c r="FF192" i="17"/>
  <c r="FG192" i="17"/>
  <c r="FH192" i="17"/>
  <c r="FI192" i="17"/>
  <c r="FJ192" i="17"/>
  <c r="FK192" i="17"/>
  <c r="FL192" i="17"/>
  <c r="FM192" i="17"/>
  <c r="FN192" i="17"/>
  <c r="FO192" i="17"/>
  <c r="FP192" i="17"/>
  <c r="FQ192" i="17"/>
  <c r="FR192" i="17"/>
  <c r="FS192" i="17"/>
  <c r="FT192" i="17"/>
  <c r="FU192" i="17"/>
  <c r="FV192" i="17"/>
  <c r="FW192" i="17"/>
  <c r="FX192" i="17"/>
  <c r="FY192" i="17"/>
  <c r="FZ192" i="17"/>
  <c r="GA192" i="17"/>
  <c r="GB192" i="17"/>
  <c r="GC192" i="17"/>
  <c r="GD192" i="17"/>
  <c r="GE192" i="17"/>
  <c r="GF192" i="17"/>
  <c r="GG192" i="17"/>
  <c r="GH192" i="17"/>
  <c r="GI192" i="17"/>
  <c r="GJ192" i="17"/>
  <c r="GK192" i="17"/>
  <c r="GL192" i="17"/>
  <c r="GM192" i="17"/>
  <c r="GN192" i="17"/>
  <c r="GO192" i="17"/>
  <c r="GP192" i="17"/>
  <c r="GQ192" i="17"/>
  <c r="GR192" i="17"/>
  <c r="GS192" i="17"/>
  <c r="GT192" i="17"/>
  <c r="GU192" i="17"/>
  <c r="GV192" i="17"/>
  <c r="GW192" i="17"/>
  <c r="GX192" i="17"/>
  <c r="GY192" i="17"/>
  <c r="GZ192" i="17"/>
  <c r="HA192" i="17"/>
  <c r="HB192" i="17"/>
  <c r="HC192" i="17"/>
  <c r="HD192" i="17"/>
  <c r="HE192" i="17"/>
  <c r="HF192" i="17"/>
  <c r="HG192" i="17"/>
  <c r="HH192" i="17"/>
  <c r="HI192" i="17"/>
  <c r="HJ192" i="17"/>
  <c r="HK192" i="17"/>
  <c r="HL192" i="17"/>
  <c r="HM192" i="17"/>
  <c r="HN192" i="17"/>
  <c r="HO192" i="17"/>
  <c r="HP192" i="17"/>
  <c r="HQ192" i="17"/>
  <c r="HR192" i="17"/>
  <c r="HS192" i="17"/>
  <c r="HT192" i="17"/>
  <c r="HU192" i="17"/>
  <c r="HV192" i="17"/>
  <c r="HW192" i="17"/>
  <c r="HX192" i="17"/>
  <c r="HY192" i="17"/>
  <c r="HZ192" i="17"/>
  <c r="IA192" i="17"/>
  <c r="IB192" i="17"/>
  <c r="IC192" i="17"/>
  <c r="ID192" i="17"/>
  <c r="IE192" i="17"/>
  <c r="IF192" i="17"/>
  <c r="IG192" i="17"/>
  <c r="IH192" i="17"/>
  <c r="II192" i="17"/>
  <c r="IJ192" i="17"/>
  <c r="IK192" i="17"/>
  <c r="IL192" i="17"/>
  <c r="IM192" i="17"/>
  <c r="IN192" i="17"/>
  <c r="IO192" i="17"/>
  <c r="IP192" i="17"/>
  <c r="IQ192" i="17"/>
  <c r="IR192" i="17"/>
  <c r="IS192" i="17"/>
  <c r="IT192" i="17"/>
  <c r="IU192" i="17"/>
  <c r="IV192" i="17"/>
  <c r="A191" i="17"/>
  <c r="B191" i="17"/>
  <c r="C191" i="17"/>
  <c r="D191" i="17"/>
  <c r="E191" i="17"/>
  <c r="F191" i="17"/>
  <c r="G191" i="17"/>
  <c r="H191" i="17"/>
  <c r="I191" i="17"/>
  <c r="J191" i="17"/>
  <c r="K191" i="17"/>
  <c r="L191" i="17"/>
  <c r="M191" i="17"/>
  <c r="N191" i="17"/>
  <c r="O191" i="17"/>
  <c r="P191" i="17"/>
  <c r="Q191" i="17"/>
  <c r="R191" i="17"/>
  <c r="S191" i="17"/>
  <c r="T191" i="17"/>
  <c r="U191" i="17"/>
  <c r="V191" i="17"/>
  <c r="W191" i="17"/>
  <c r="X191" i="17"/>
  <c r="Y191" i="17"/>
  <c r="Z191" i="17"/>
  <c r="AA191" i="17"/>
  <c r="AB191" i="17"/>
  <c r="AC191" i="17"/>
  <c r="AD191" i="17"/>
  <c r="AE191" i="17"/>
  <c r="AF191" i="17"/>
  <c r="AG191" i="17"/>
  <c r="AH191" i="17"/>
  <c r="AI191" i="17"/>
  <c r="AJ191" i="17"/>
  <c r="AK191" i="17"/>
  <c r="AL191" i="17"/>
  <c r="AM191" i="17"/>
  <c r="AN191" i="17"/>
  <c r="AO191" i="17"/>
  <c r="AP191" i="17"/>
  <c r="AQ191" i="17"/>
  <c r="AR191" i="17"/>
  <c r="AS191" i="17"/>
  <c r="AT191" i="17"/>
  <c r="AU191" i="17"/>
  <c r="AV191" i="17"/>
  <c r="AW191" i="17"/>
  <c r="AX191" i="17"/>
  <c r="AY191" i="17"/>
  <c r="AZ191" i="17"/>
  <c r="BA191" i="17"/>
  <c r="BB191" i="17"/>
  <c r="BC191" i="17"/>
  <c r="BD191" i="17"/>
  <c r="BE191" i="17"/>
  <c r="BF191" i="17"/>
  <c r="BG191" i="17"/>
  <c r="BH191" i="17"/>
  <c r="BI191" i="17"/>
  <c r="BJ191" i="17"/>
  <c r="BK191" i="17"/>
  <c r="BL191" i="17"/>
  <c r="BM191" i="17"/>
  <c r="BN191" i="17"/>
  <c r="BO191" i="17"/>
  <c r="BP191" i="17"/>
  <c r="BQ191" i="17"/>
  <c r="BR191" i="17"/>
  <c r="BS191" i="17"/>
  <c r="BT191" i="17"/>
  <c r="BU191" i="17"/>
  <c r="BV191" i="17"/>
  <c r="BW191" i="17"/>
  <c r="BX191" i="17"/>
  <c r="BY191" i="17"/>
  <c r="BZ191" i="17"/>
  <c r="CA191" i="17"/>
  <c r="CB191" i="17"/>
  <c r="CC191" i="17"/>
  <c r="CD191" i="17"/>
  <c r="CE191" i="17"/>
  <c r="CF191" i="17"/>
  <c r="CG191" i="17"/>
  <c r="CH191" i="17"/>
  <c r="CI191" i="17"/>
  <c r="CJ191" i="17"/>
  <c r="CK191" i="17"/>
  <c r="CL191" i="17"/>
  <c r="CM191" i="17"/>
  <c r="CN191" i="17"/>
  <c r="CO191" i="17"/>
  <c r="CP191" i="17"/>
  <c r="CQ191" i="17"/>
  <c r="CR191" i="17"/>
  <c r="CS191" i="17"/>
  <c r="CT191" i="17"/>
  <c r="CU191" i="17"/>
  <c r="CV191" i="17"/>
  <c r="CW191" i="17"/>
  <c r="CX191" i="17"/>
  <c r="CY191" i="17"/>
  <c r="CZ191" i="17"/>
  <c r="DA191" i="17"/>
  <c r="DB191" i="17"/>
  <c r="DC191" i="17"/>
  <c r="DD191" i="17"/>
  <c r="DE191" i="17"/>
  <c r="DF191" i="17"/>
  <c r="DG191" i="17"/>
  <c r="DH191" i="17"/>
  <c r="DI191" i="17"/>
  <c r="DJ191" i="17"/>
  <c r="DK191" i="17"/>
  <c r="DL191" i="17"/>
  <c r="DM191" i="17"/>
  <c r="DN191" i="17"/>
  <c r="DO191" i="17"/>
  <c r="DP191" i="17"/>
  <c r="DQ191" i="17"/>
  <c r="DR191" i="17"/>
  <c r="DS191" i="17"/>
  <c r="DT191" i="17"/>
  <c r="DU191" i="17"/>
  <c r="DV191" i="17"/>
  <c r="DW191" i="17"/>
  <c r="DX191" i="17"/>
  <c r="DY191" i="17"/>
  <c r="DZ191" i="17"/>
  <c r="EA191" i="17"/>
  <c r="EB191" i="17"/>
  <c r="EC191" i="17"/>
  <c r="ED191" i="17"/>
  <c r="EE191" i="17"/>
  <c r="EF191" i="17"/>
  <c r="EG191" i="17"/>
  <c r="EH191" i="17"/>
  <c r="EI191" i="17"/>
  <c r="EJ191" i="17"/>
  <c r="EK191" i="17"/>
  <c r="EL191" i="17"/>
  <c r="EM191" i="17"/>
  <c r="EN191" i="17"/>
  <c r="EO191" i="17"/>
  <c r="EP191" i="17"/>
  <c r="EQ191" i="17"/>
  <c r="ER191" i="17"/>
  <c r="ES191" i="17"/>
  <c r="ET191" i="17"/>
  <c r="EU191" i="17"/>
  <c r="EV191" i="17"/>
  <c r="EW191" i="17"/>
  <c r="EX191" i="17"/>
  <c r="EY191" i="17"/>
  <c r="EZ191" i="17"/>
  <c r="FA191" i="17"/>
  <c r="FB191" i="17"/>
  <c r="FC191" i="17"/>
  <c r="FD191" i="17"/>
  <c r="FE191" i="17"/>
  <c r="FF191" i="17"/>
  <c r="FG191" i="17"/>
  <c r="FH191" i="17"/>
  <c r="FI191" i="17"/>
  <c r="FJ191" i="17"/>
  <c r="FK191" i="17"/>
  <c r="FL191" i="17"/>
  <c r="FM191" i="17"/>
  <c r="FN191" i="17"/>
  <c r="FO191" i="17"/>
  <c r="FP191" i="17"/>
  <c r="FQ191" i="17"/>
  <c r="FR191" i="17"/>
  <c r="FS191" i="17"/>
  <c r="FT191" i="17"/>
  <c r="FU191" i="17"/>
  <c r="FV191" i="17"/>
  <c r="FW191" i="17"/>
  <c r="FX191" i="17"/>
  <c r="FY191" i="17"/>
  <c r="FZ191" i="17"/>
  <c r="GA191" i="17"/>
  <c r="GB191" i="17"/>
  <c r="GC191" i="17"/>
  <c r="GD191" i="17"/>
  <c r="GE191" i="17"/>
  <c r="GF191" i="17"/>
  <c r="GG191" i="17"/>
  <c r="GH191" i="17"/>
  <c r="GI191" i="17"/>
  <c r="GJ191" i="17"/>
  <c r="GK191" i="17"/>
  <c r="GL191" i="17"/>
  <c r="GM191" i="17"/>
  <c r="GN191" i="17"/>
  <c r="GO191" i="17"/>
  <c r="GP191" i="17"/>
  <c r="GQ191" i="17"/>
  <c r="GR191" i="17"/>
  <c r="GS191" i="17"/>
  <c r="GT191" i="17"/>
  <c r="GU191" i="17"/>
  <c r="GV191" i="17"/>
  <c r="GW191" i="17"/>
  <c r="GX191" i="17"/>
  <c r="GY191" i="17"/>
  <c r="GZ191" i="17"/>
  <c r="HA191" i="17"/>
  <c r="HB191" i="17"/>
  <c r="HC191" i="17"/>
  <c r="HD191" i="17"/>
  <c r="HE191" i="17"/>
  <c r="HF191" i="17"/>
  <c r="HG191" i="17"/>
  <c r="HH191" i="17"/>
  <c r="HI191" i="17"/>
  <c r="HJ191" i="17"/>
  <c r="HK191" i="17"/>
  <c r="HL191" i="17"/>
  <c r="HM191" i="17"/>
  <c r="HN191" i="17"/>
  <c r="HO191" i="17"/>
  <c r="HP191" i="17"/>
  <c r="HQ191" i="17"/>
  <c r="HR191" i="17"/>
  <c r="HS191" i="17"/>
  <c r="HT191" i="17"/>
  <c r="HU191" i="17"/>
  <c r="HV191" i="17"/>
  <c r="HW191" i="17"/>
  <c r="HX191" i="17"/>
  <c r="HY191" i="17"/>
  <c r="HZ191" i="17"/>
  <c r="IA191" i="17"/>
  <c r="IB191" i="17"/>
  <c r="IC191" i="17"/>
  <c r="ID191" i="17"/>
  <c r="IE191" i="17"/>
  <c r="IF191" i="17"/>
  <c r="IG191" i="17"/>
  <c r="IH191" i="17"/>
  <c r="II191" i="17"/>
  <c r="IJ191" i="17"/>
  <c r="IK191" i="17"/>
  <c r="IL191" i="17"/>
  <c r="IM191" i="17"/>
  <c r="IN191" i="17"/>
  <c r="IO191" i="17"/>
  <c r="IP191" i="17"/>
  <c r="IQ191" i="17"/>
  <c r="IR191" i="17"/>
  <c r="IS191" i="17"/>
  <c r="IT191" i="17"/>
  <c r="IU191" i="17"/>
  <c r="IV191" i="17"/>
  <c r="A190" i="17"/>
  <c r="B190" i="17"/>
  <c r="C190" i="17"/>
  <c r="D190" i="17"/>
  <c r="E190" i="17"/>
  <c r="F190" i="17"/>
  <c r="G190" i="17"/>
  <c r="H190" i="17"/>
  <c r="I190" i="17"/>
  <c r="J190" i="17"/>
  <c r="K190" i="17"/>
  <c r="L190" i="17"/>
  <c r="M190" i="17"/>
  <c r="N190" i="17"/>
  <c r="O190" i="17"/>
  <c r="P190" i="17"/>
  <c r="Q190" i="17"/>
  <c r="R190" i="17"/>
  <c r="S190" i="17"/>
  <c r="T190" i="17"/>
  <c r="U190" i="17"/>
  <c r="V190" i="17"/>
  <c r="W190" i="17"/>
  <c r="X190" i="17"/>
  <c r="Y190" i="17"/>
  <c r="Z190" i="17"/>
  <c r="AA190" i="17"/>
  <c r="AB190" i="17"/>
  <c r="AC190" i="17"/>
  <c r="AD190" i="17"/>
  <c r="AE190" i="17"/>
  <c r="AF190" i="17"/>
  <c r="AG190" i="17"/>
  <c r="AH190" i="17"/>
  <c r="AI190" i="17"/>
  <c r="AJ190" i="17"/>
  <c r="AK190" i="17"/>
  <c r="AL190" i="17"/>
  <c r="AM190" i="17"/>
  <c r="AN190" i="17"/>
  <c r="AO190" i="17"/>
  <c r="AP190" i="17"/>
  <c r="AQ190" i="17"/>
  <c r="AR190" i="17"/>
  <c r="AS190" i="17"/>
  <c r="AT190" i="17"/>
  <c r="AU190" i="17"/>
  <c r="AV190" i="17"/>
  <c r="AW190" i="17"/>
  <c r="AX190" i="17"/>
  <c r="AY190" i="17"/>
  <c r="AZ190" i="17"/>
  <c r="BA190" i="17"/>
  <c r="BB190" i="17"/>
  <c r="BC190" i="17"/>
  <c r="BD190" i="17"/>
  <c r="BE190" i="17"/>
  <c r="BF190" i="17"/>
  <c r="BG190" i="17"/>
  <c r="BH190" i="17"/>
  <c r="BI190" i="17"/>
  <c r="BJ190" i="17"/>
  <c r="BK190" i="17"/>
  <c r="BL190" i="17"/>
  <c r="BM190" i="17"/>
  <c r="BN190" i="17"/>
  <c r="BO190" i="17"/>
  <c r="BP190" i="17"/>
  <c r="BQ190" i="17"/>
  <c r="BR190" i="17"/>
  <c r="BS190" i="17"/>
  <c r="BT190" i="17"/>
  <c r="BU190" i="17"/>
  <c r="BV190" i="17"/>
  <c r="BW190" i="17"/>
  <c r="BX190" i="17"/>
  <c r="BY190" i="17"/>
  <c r="BZ190" i="17"/>
  <c r="CA190" i="17"/>
  <c r="CB190" i="17"/>
  <c r="CC190" i="17"/>
  <c r="CD190" i="17"/>
  <c r="CE190" i="17"/>
  <c r="CF190" i="17"/>
  <c r="CG190" i="17"/>
  <c r="CH190" i="17"/>
  <c r="CI190" i="17"/>
  <c r="CJ190" i="17"/>
  <c r="CK190" i="17"/>
  <c r="CL190" i="17"/>
  <c r="CM190" i="17"/>
  <c r="CN190" i="17"/>
  <c r="CO190" i="17"/>
  <c r="CP190" i="17"/>
  <c r="CQ190" i="17"/>
  <c r="CR190" i="17"/>
  <c r="CS190" i="17"/>
  <c r="CT190" i="17"/>
  <c r="CU190" i="17"/>
  <c r="CV190" i="17"/>
  <c r="CW190" i="17"/>
  <c r="CX190" i="17"/>
  <c r="CY190" i="17"/>
  <c r="CZ190" i="17"/>
  <c r="DA190" i="17"/>
  <c r="DB190" i="17"/>
  <c r="DC190" i="17"/>
  <c r="DD190" i="17"/>
  <c r="DE190" i="17"/>
  <c r="DF190" i="17"/>
  <c r="DG190" i="17"/>
  <c r="DH190" i="17"/>
  <c r="DI190" i="17"/>
  <c r="DJ190" i="17"/>
  <c r="DK190" i="17"/>
  <c r="DL190" i="17"/>
  <c r="DM190" i="17"/>
  <c r="DN190" i="17"/>
  <c r="DO190" i="17"/>
  <c r="DP190" i="17"/>
  <c r="DQ190" i="17"/>
  <c r="DR190" i="17"/>
  <c r="DS190" i="17"/>
  <c r="DT190" i="17"/>
  <c r="DU190" i="17"/>
  <c r="DV190" i="17"/>
  <c r="DW190" i="17"/>
  <c r="DX190" i="17"/>
  <c r="DY190" i="17"/>
  <c r="DZ190" i="17"/>
  <c r="EA190" i="17"/>
  <c r="EB190" i="17"/>
  <c r="EC190" i="17"/>
  <c r="ED190" i="17"/>
  <c r="EE190" i="17"/>
  <c r="EF190" i="17"/>
  <c r="EG190" i="17"/>
  <c r="EH190" i="17"/>
  <c r="EI190" i="17"/>
  <c r="EJ190" i="17"/>
  <c r="EK190" i="17"/>
  <c r="EL190" i="17"/>
  <c r="EM190" i="17"/>
  <c r="EN190" i="17"/>
  <c r="EO190" i="17"/>
  <c r="EP190" i="17"/>
  <c r="EQ190" i="17"/>
  <c r="ER190" i="17"/>
  <c r="ES190" i="17"/>
  <c r="ET190" i="17"/>
  <c r="EU190" i="17"/>
  <c r="EV190" i="17"/>
  <c r="EW190" i="17"/>
  <c r="EX190" i="17"/>
  <c r="EY190" i="17"/>
  <c r="EZ190" i="17"/>
  <c r="FA190" i="17"/>
  <c r="FB190" i="17"/>
  <c r="FC190" i="17"/>
  <c r="FD190" i="17"/>
  <c r="FE190" i="17"/>
  <c r="FF190" i="17"/>
  <c r="FG190" i="17"/>
  <c r="FH190" i="17"/>
  <c r="FI190" i="17"/>
  <c r="FJ190" i="17"/>
  <c r="FK190" i="17"/>
  <c r="FL190" i="17"/>
  <c r="FM190" i="17"/>
  <c r="FN190" i="17"/>
  <c r="FO190" i="17"/>
  <c r="FP190" i="17"/>
  <c r="FQ190" i="17"/>
  <c r="FR190" i="17"/>
  <c r="FS190" i="17"/>
  <c r="FT190" i="17"/>
  <c r="FU190" i="17"/>
  <c r="FV190" i="17"/>
  <c r="FW190" i="17"/>
  <c r="FX190" i="17"/>
  <c r="FY190" i="17"/>
  <c r="FZ190" i="17"/>
  <c r="GA190" i="17"/>
  <c r="GB190" i="17"/>
  <c r="GC190" i="17"/>
  <c r="GD190" i="17"/>
  <c r="GE190" i="17"/>
  <c r="GF190" i="17"/>
  <c r="GG190" i="17"/>
  <c r="GH190" i="17"/>
  <c r="GI190" i="17"/>
  <c r="GJ190" i="17"/>
  <c r="GK190" i="17"/>
  <c r="GL190" i="17"/>
  <c r="GM190" i="17"/>
  <c r="GN190" i="17"/>
  <c r="GO190" i="17"/>
  <c r="GP190" i="17"/>
  <c r="GQ190" i="17"/>
  <c r="GR190" i="17"/>
  <c r="GS190" i="17"/>
  <c r="GT190" i="17"/>
  <c r="GU190" i="17"/>
  <c r="GV190" i="17"/>
  <c r="GW190" i="17"/>
  <c r="GX190" i="17"/>
  <c r="GY190" i="17"/>
  <c r="GZ190" i="17"/>
  <c r="HA190" i="17"/>
  <c r="HB190" i="17"/>
  <c r="HC190" i="17"/>
  <c r="HD190" i="17"/>
  <c r="HE190" i="17"/>
  <c r="HF190" i="17"/>
  <c r="HG190" i="17"/>
  <c r="HH190" i="17"/>
  <c r="HI190" i="17"/>
  <c r="HJ190" i="17"/>
  <c r="HK190" i="17"/>
  <c r="HL190" i="17"/>
  <c r="HM190" i="17"/>
  <c r="HN190" i="17"/>
  <c r="HO190" i="17"/>
  <c r="HP190" i="17"/>
  <c r="HQ190" i="17"/>
  <c r="HR190" i="17"/>
  <c r="HS190" i="17"/>
  <c r="HT190" i="17"/>
  <c r="HU190" i="17"/>
  <c r="HV190" i="17"/>
  <c r="HW190" i="17"/>
  <c r="HX190" i="17"/>
  <c r="HY190" i="17"/>
  <c r="HZ190" i="17"/>
  <c r="IA190" i="17"/>
  <c r="IB190" i="17"/>
  <c r="IC190" i="17"/>
  <c r="ID190" i="17"/>
  <c r="IE190" i="17"/>
  <c r="IF190" i="17"/>
  <c r="IG190" i="17"/>
  <c r="IH190" i="17"/>
  <c r="II190" i="17"/>
  <c r="IJ190" i="17"/>
  <c r="IK190" i="17"/>
  <c r="IL190" i="17"/>
  <c r="IM190" i="17"/>
  <c r="IN190" i="17"/>
  <c r="IO190" i="17"/>
  <c r="IP190" i="17"/>
  <c r="IQ190" i="17"/>
  <c r="IR190" i="17"/>
  <c r="IS190" i="17"/>
  <c r="IT190" i="17"/>
  <c r="IU190" i="17"/>
  <c r="IV190" i="17"/>
  <c r="A189" i="17"/>
  <c r="B189" i="17"/>
  <c r="C189" i="17"/>
  <c r="D189" i="17"/>
  <c r="E189" i="17"/>
  <c r="F189" i="17"/>
  <c r="G189" i="17"/>
  <c r="H189" i="17"/>
  <c r="I189" i="17"/>
  <c r="J189" i="17"/>
  <c r="K189" i="17"/>
  <c r="L189" i="17"/>
  <c r="M189" i="17"/>
  <c r="N189" i="17"/>
  <c r="O189" i="17"/>
  <c r="P189" i="17"/>
  <c r="Q189" i="17"/>
  <c r="R189" i="17"/>
  <c r="S189" i="17"/>
  <c r="T189" i="17"/>
  <c r="U189" i="17"/>
  <c r="V189" i="17"/>
  <c r="W189" i="17"/>
  <c r="X189" i="17"/>
  <c r="Y189" i="17"/>
  <c r="Z189" i="17"/>
  <c r="AA189" i="17"/>
  <c r="AB189" i="17"/>
  <c r="AC189" i="17"/>
  <c r="AD189" i="17"/>
  <c r="AE189" i="17"/>
  <c r="AF189" i="17"/>
  <c r="AG189" i="17"/>
  <c r="AH189" i="17"/>
  <c r="AI189" i="17"/>
  <c r="AJ189" i="17"/>
  <c r="AK189" i="17"/>
  <c r="AL189" i="17"/>
  <c r="AM189" i="17"/>
  <c r="AN189" i="17"/>
  <c r="AO189" i="17"/>
  <c r="AP189" i="17"/>
  <c r="AQ189" i="17"/>
  <c r="AR189" i="17"/>
  <c r="AS189" i="17"/>
  <c r="AT189" i="17"/>
  <c r="AU189" i="17"/>
  <c r="AV189" i="17"/>
  <c r="AW189" i="17"/>
  <c r="AX189" i="17"/>
  <c r="AY189" i="17"/>
  <c r="AZ189" i="17"/>
  <c r="BA189" i="17"/>
  <c r="BB189" i="17"/>
  <c r="BC189" i="17"/>
  <c r="BD189" i="17"/>
  <c r="BE189" i="17"/>
  <c r="BF189" i="17"/>
  <c r="BG189" i="17"/>
  <c r="BH189" i="17"/>
  <c r="BI189" i="17"/>
  <c r="BJ189" i="17"/>
  <c r="BK189" i="17"/>
  <c r="BL189" i="17"/>
  <c r="BM189" i="17"/>
  <c r="BN189" i="17"/>
  <c r="BO189" i="17"/>
  <c r="BP189" i="17"/>
  <c r="BQ189" i="17"/>
  <c r="BR189" i="17"/>
  <c r="BS189" i="17"/>
  <c r="BT189" i="17"/>
  <c r="BU189" i="17"/>
  <c r="BV189" i="17"/>
  <c r="BW189" i="17"/>
  <c r="BX189" i="17"/>
  <c r="BY189" i="17"/>
  <c r="BZ189" i="17"/>
  <c r="CA189" i="17"/>
  <c r="CB189" i="17"/>
  <c r="CC189" i="17"/>
  <c r="CD189" i="17"/>
  <c r="CE189" i="17"/>
  <c r="CF189" i="17"/>
  <c r="CG189" i="17"/>
  <c r="CH189" i="17"/>
  <c r="CI189" i="17"/>
  <c r="CJ189" i="17"/>
  <c r="CK189" i="17"/>
  <c r="CL189" i="17"/>
  <c r="CM189" i="17"/>
  <c r="CN189" i="17"/>
  <c r="CO189" i="17"/>
  <c r="CP189" i="17"/>
  <c r="CQ189" i="17"/>
  <c r="CR189" i="17"/>
  <c r="CS189" i="17"/>
  <c r="CT189" i="17"/>
  <c r="CU189" i="17"/>
  <c r="CV189" i="17"/>
  <c r="CW189" i="17"/>
  <c r="CX189" i="17"/>
  <c r="CY189" i="17"/>
  <c r="CZ189" i="17"/>
  <c r="DA189" i="17"/>
  <c r="DB189" i="17"/>
  <c r="DC189" i="17"/>
  <c r="DD189" i="17"/>
  <c r="DE189" i="17"/>
  <c r="DF189" i="17"/>
  <c r="DG189" i="17"/>
  <c r="DH189" i="17"/>
  <c r="DI189" i="17"/>
  <c r="DJ189" i="17"/>
  <c r="DK189" i="17"/>
  <c r="DL189" i="17"/>
  <c r="DM189" i="17"/>
  <c r="DN189" i="17"/>
  <c r="DO189" i="17"/>
  <c r="DP189" i="17"/>
  <c r="DQ189" i="17"/>
  <c r="DR189" i="17"/>
  <c r="DS189" i="17"/>
  <c r="DT189" i="17"/>
  <c r="DU189" i="17"/>
  <c r="DV189" i="17"/>
  <c r="DW189" i="17"/>
  <c r="DX189" i="17"/>
  <c r="DY189" i="17"/>
  <c r="DZ189" i="17"/>
  <c r="EA189" i="17"/>
  <c r="EB189" i="17"/>
  <c r="EC189" i="17"/>
  <c r="ED189" i="17"/>
  <c r="EE189" i="17"/>
  <c r="EF189" i="17"/>
  <c r="EG189" i="17"/>
  <c r="EH189" i="17"/>
  <c r="EI189" i="17"/>
  <c r="EJ189" i="17"/>
  <c r="EK189" i="17"/>
  <c r="EL189" i="17"/>
  <c r="EM189" i="17"/>
  <c r="EN189" i="17"/>
  <c r="EO189" i="17"/>
  <c r="EP189" i="17"/>
  <c r="EQ189" i="17"/>
  <c r="ER189" i="17"/>
  <c r="ES189" i="17"/>
  <c r="ET189" i="17"/>
  <c r="EU189" i="17"/>
  <c r="EV189" i="17"/>
  <c r="EW189" i="17"/>
  <c r="EX189" i="17"/>
  <c r="EY189" i="17"/>
  <c r="EZ189" i="17"/>
  <c r="FA189" i="17"/>
  <c r="FB189" i="17"/>
  <c r="FC189" i="17"/>
  <c r="FD189" i="17"/>
  <c r="FE189" i="17"/>
  <c r="FF189" i="17"/>
  <c r="FG189" i="17"/>
  <c r="FH189" i="17"/>
  <c r="FI189" i="17"/>
  <c r="FJ189" i="17"/>
  <c r="FK189" i="17"/>
  <c r="FL189" i="17"/>
  <c r="FM189" i="17"/>
  <c r="FN189" i="17"/>
  <c r="FO189" i="17"/>
  <c r="FP189" i="17"/>
  <c r="FQ189" i="17"/>
  <c r="FR189" i="17"/>
  <c r="FS189" i="17"/>
  <c r="FT189" i="17"/>
  <c r="FU189" i="17"/>
  <c r="FV189" i="17"/>
  <c r="FW189" i="17"/>
  <c r="FX189" i="17"/>
  <c r="FY189" i="17"/>
  <c r="FZ189" i="17"/>
  <c r="GA189" i="17"/>
  <c r="GB189" i="17"/>
  <c r="GC189" i="17"/>
  <c r="GD189" i="17"/>
  <c r="GE189" i="17"/>
  <c r="GF189" i="17"/>
  <c r="GG189" i="17"/>
  <c r="GH189" i="17"/>
  <c r="GI189" i="17"/>
  <c r="GJ189" i="17"/>
  <c r="GK189" i="17"/>
  <c r="GL189" i="17"/>
  <c r="GM189" i="17"/>
  <c r="GN189" i="17"/>
  <c r="GO189" i="17"/>
  <c r="GP189" i="17"/>
  <c r="GQ189" i="17"/>
  <c r="GR189" i="17"/>
  <c r="GS189" i="17"/>
  <c r="GT189" i="17"/>
  <c r="GU189" i="17"/>
  <c r="GV189" i="17"/>
  <c r="GW189" i="17"/>
  <c r="GX189" i="17"/>
  <c r="GY189" i="17"/>
  <c r="GZ189" i="17"/>
  <c r="HA189" i="17"/>
  <c r="HB189" i="17"/>
  <c r="HC189" i="17"/>
  <c r="HD189" i="17"/>
  <c r="HE189" i="17"/>
  <c r="HF189" i="17"/>
  <c r="HG189" i="17"/>
  <c r="HH189" i="17"/>
  <c r="HI189" i="17"/>
  <c r="HJ189" i="17"/>
  <c r="HK189" i="17"/>
  <c r="HL189" i="17"/>
  <c r="HM189" i="17"/>
  <c r="HN189" i="17"/>
  <c r="HO189" i="17"/>
  <c r="HP189" i="17"/>
  <c r="HQ189" i="17"/>
  <c r="HR189" i="17"/>
  <c r="HS189" i="17"/>
  <c r="HT189" i="17"/>
  <c r="HU189" i="17"/>
  <c r="HV189" i="17"/>
  <c r="HW189" i="17"/>
  <c r="HX189" i="17"/>
  <c r="HY189" i="17"/>
  <c r="HZ189" i="17"/>
  <c r="IA189" i="17"/>
  <c r="IB189" i="17"/>
  <c r="IC189" i="17"/>
  <c r="ID189" i="17"/>
  <c r="IE189" i="17"/>
  <c r="IF189" i="17"/>
  <c r="IG189" i="17"/>
  <c r="IH189" i="17"/>
  <c r="II189" i="17"/>
  <c r="IJ189" i="17"/>
  <c r="IK189" i="17"/>
  <c r="IL189" i="17"/>
  <c r="IM189" i="17"/>
  <c r="IN189" i="17"/>
  <c r="IO189" i="17"/>
  <c r="IP189" i="17"/>
  <c r="IQ189" i="17"/>
  <c r="IR189" i="17"/>
  <c r="IS189" i="17"/>
  <c r="IT189" i="17"/>
  <c r="IU189" i="17"/>
  <c r="IV189" i="17"/>
  <c r="A188" i="17"/>
  <c r="B188" i="17"/>
  <c r="C188" i="17"/>
  <c r="D188" i="17"/>
  <c r="E188" i="17"/>
  <c r="F188" i="17"/>
  <c r="G188" i="17"/>
  <c r="H188" i="17"/>
  <c r="I188" i="17"/>
  <c r="J188" i="17"/>
  <c r="K188" i="17"/>
  <c r="L188" i="17"/>
  <c r="M188" i="17"/>
  <c r="N188" i="17"/>
  <c r="O188" i="17"/>
  <c r="P188" i="17"/>
  <c r="Q188" i="17"/>
  <c r="R188" i="17"/>
  <c r="S188" i="17"/>
  <c r="T188" i="17"/>
  <c r="U188" i="17"/>
  <c r="V188" i="17"/>
  <c r="W188" i="17"/>
  <c r="X188" i="17"/>
  <c r="Y188" i="17"/>
  <c r="Z188" i="17"/>
  <c r="AA188" i="17"/>
  <c r="AB188" i="17"/>
  <c r="AC188" i="17"/>
  <c r="AD188" i="17"/>
  <c r="AE188" i="17"/>
  <c r="AF188" i="17"/>
  <c r="AG188" i="17"/>
  <c r="AH188" i="17"/>
  <c r="AI188" i="17"/>
  <c r="AJ188" i="17"/>
  <c r="AK188" i="17"/>
  <c r="AL188" i="17"/>
  <c r="AM188" i="17"/>
  <c r="AN188" i="17"/>
  <c r="AO188" i="17"/>
  <c r="AP188" i="17"/>
  <c r="AQ188" i="17"/>
  <c r="AR188" i="17"/>
  <c r="AS188" i="17"/>
  <c r="AT188" i="17"/>
  <c r="AU188" i="17"/>
  <c r="AV188" i="17"/>
  <c r="AW188" i="17"/>
  <c r="AX188" i="17"/>
  <c r="AY188" i="17"/>
  <c r="AZ188" i="17"/>
  <c r="BA188" i="17"/>
  <c r="BB188" i="17"/>
  <c r="BC188" i="17"/>
  <c r="BD188" i="17"/>
  <c r="BE188" i="17"/>
  <c r="BF188" i="17"/>
  <c r="BG188" i="17"/>
  <c r="BH188" i="17"/>
  <c r="BI188" i="17"/>
  <c r="BJ188" i="17"/>
  <c r="BK188" i="17"/>
  <c r="BL188" i="17"/>
  <c r="BM188" i="17"/>
  <c r="BN188" i="17"/>
  <c r="BO188" i="17"/>
  <c r="BP188" i="17"/>
  <c r="BQ188" i="17"/>
  <c r="BR188" i="17"/>
  <c r="BS188" i="17"/>
  <c r="BT188" i="17"/>
  <c r="BU188" i="17"/>
  <c r="BV188" i="17"/>
  <c r="BW188" i="17"/>
  <c r="BX188" i="17"/>
  <c r="BY188" i="17"/>
  <c r="BZ188" i="17"/>
  <c r="CA188" i="17"/>
  <c r="CB188" i="17"/>
  <c r="CC188" i="17"/>
  <c r="CD188" i="17"/>
  <c r="CE188" i="17"/>
  <c r="CF188" i="17"/>
  <c r="CG188" i="17"/>
  <c r="CH188" i="17"/>
  <c r="CI188" i="17"/>
  <c r="CJ188" i="17"/>
  <c r="CK188" i="17"/>
  <c r="CL188" i="17"/>
  <c r="CM188" i="17"/>
  <c r="CN188" i="17"/>
  <c r="CO188" i="17"/>
  <c r="CP188" i="17"/>
  <c r="CQ188" i="17"/>
  <c r="CR188" i="17"/>
  <c r="CS188" i="17"/>
  <c r="CT188" i="17"/>
  <c r="CU188" i="17"/>
  <c r="CV188" i="17"/>
  <c r="CW188" i="17"/>
  <c r="CX188" i="17"/>
  <c r="CY188" i="17"/>
  <c r="CZ188" i="17"/>
  <c r="DA188" i="17"/>
  <c r="DB188" i="17"/>
  <c r="DC188" i="17"/>
  <c r="DD188" i="17"/>
  <c r="DE188" i="17"/>
  <c r="DF188" i="17"/>
  <c r="DG188" i="17"/>
  <c r="DH188" i="17"/>
  <c r="DI188" i="17"/>
  <c r="DJ188" i="17"/>
  <c r="DK188" i="17"/>
  <c r="DL188" i="17"/>
  <c r="DM188" i="17"/>
  <c r="DN188" i="17"/>
  <c r="DO188" i="17"/>
  <c r="DP188" i="17"/>
  <c r="DQ188" i="17"/>
  <c r="DR188" i="17"/>
  <c r="DS188" i="17"/>
  <c r="DT188" i="17"/>
  <c r="DU188" i="17"/>
  <c r="DV188" i="17"/>
  <c r="DW188" i="17"/>
  <c r="DX188" i="17"/>
  <c r="DY188" i="17"/>
  <c r="DZ188" i="17"/>
  <c r="EA188" i="17"/>
  <c r="EB188" i="17"/>
  <c r="EC188" i="17"/>
  <c r="ED188" i="17"/>
  <c r="EE188" i="17"/>
  <c r="EF188" i="17"/>
  <c r="EG188" i="17"/>
  <c r="EH188" i="17"/>
  <c r="EI188" i="17"/>
  <c r="EJ188" i="17"/>
  <c r="EK188" i="17"/>
  <c r="EL188" i="17"/>
  <c r="EM188" i="17"/>
  <c r="EN188" i="17"/>
  <c r="EO188" i="17"/>
  <c r="EP188" i="17"/>
  <c r="EQ188" i="17"/>
  <c r="ER188" i="17"/>
  <c r="ES188" i="17"/>
  <c r="ET188" i="17"/>
  <c r="EU188" i="17"/>
  <c r="EV188" i="17"/>
  <c r="EW188" i="17"/>
  <c r="EX188" i="17"/>
  <c r="EY188" i="17"/>
  <c r="EZ188" i="17"/>
  <c r="FA188" i="17"/>
  <c r="FB188" i="17"/>
  <c r="FC188" i="17"/>
  <c r="FD188" i="17"/>
  <c r="FE188" i="17"/>
  <c r="FF188" i="17"/>
  <c r="FG188" i="17"/>
  <c r="FH188" i="17"/>
  <c r="FI188" i="17"/>
  <c r="FJ188" i="17"/>
  <c r="FK188" i="17"/>
  <c r="FL188" i="17"/>
  <c r="FM188" i="17"/>
  <c r="FN188" i="17"/>
  <c r="FO188" i="17"/>
  <c r="FP188" i="17"/>
  <c r="FQ188" i="17"/>
  <c r="FR188" i="17"/>
  <c r="FS188" i="17"/>
  <c r="FT188" i="17"/>
  <c r="FU188" i="17"/>
  <c r="FV188" i="17"/>
  <c r="FW188" i="17"/>
  <c r="FX188" i="17"/>
  <c r="FY188" i="17"/>
  <c r="FZ188" i="17"/>
  <c r="GA188" i="17"/>
  <c r="GB188" i="17"/>
  <c r="GC188" i="17"/>
  <c r="GD188" i="17"/>
  <c r="GE188" i="17"/>
  <c r="GF188" i="17"/>
  <c r="GG188" i="17"/>
  <c r="GH188" i="17"/>
  <c r="GI188" i="17"/>
  <c r="GJ188" i="17"/>
  <c r="GK188" i="17"/>
  <c r="GL188" i="17"/>
  <c r="GM188" i="17"/>
  <c r="GN188" i="17"/>
  <c r="GO188" i="17"/>
  <c r="GP188" i="17"/>
  <c r="GQ188" i="17"/>
  <c r="GR188" i="17"/>
  <c r="GS188" i="17"/>
  <c r="GT188" i="17"/>
  <c r="GU188" i="17"/>
  <c r="GV188" i="17"/>
  <c r="GW188" i="17"/>
  <c r="GX188" i="17"/>
  <c r="GY188" i="17"/>
  <c r="GZ188" i="17"/>
  <c r="HA188" i="17"/>
  <c r="HB188" i="17"/>
  <c r="HC188" i="17"/>
  <c r="HD188" i="17"/>
  <c r="HE188" i="17"/>
  <c r="HF188" i="17"/>
  <c r="HG188" i="17"/>
  <c r="HH188" i="17"/>
  <c r="HI188" i="17"/>
  <c r="HJ188" i="17"/>
  <c r="HK188" i="17"/>
  <c r="HL188" i="17"/>
  <c r="HM188" i="17"/>
  <c r="HN188" i="17"/>
  <c r="HO188" i="17"/>
  <c r="HP188" i="17"/>
  <c r="HQ188" i="17"/>
  <c r="HR188" i="17"/>
  <c r="HS188" i="17"/>
  <c r="HT188" i="17"/>
  <c r="HU188" i="17"/>
  <c r="HV188" i="17"/>
  <c r="HW188" i="17"/>
  <c r="HX188" i="17"/>
  <c r="HY188" i="17"/>
  <c r="HZ188" i="17"/>
  <c r="IA188" i="17"/>
  <c r="IB188" i="17"/>
  <c r="IC188" i="17"/>
  <c r="ID188" i="17"/>
  <c r="IE188" i="17"/>
  <c r="IF188" i="17"/>
  <c r="IG188" i="17"/>
  <c r="IH188" i="17"/>
  <c r="II188" i="17"/>
  <c r="IJ188" i="17"/>
  <c r="IK188" i="17"/>
  <c r="IL188" i="17"/>
  <c r="IM188" i="17"/>
  <c r="IN188" i="17"/>
  <c r="IO188" i="17"/>
  <c r="IP188" i="17"/>
  <c r="IQ188" i="17"/>
  <c r="IR188" i="17"/>
  <c r="IS188" i="17"/>
  <c r="IT188" i="17"/>
  <c r="IU188" i="17"/>
  <c r="IV188" i="17"/>
  <c r="A187" i="17"/>
  <c r="B187" i="17"/>
  <c r="C187" i="17"/>
  <c r="D187" i="17"/>
  <c r="E187" i="17"/>
  <c r="F187" i="17"/>
  <c r="G187" i="17"/>
  <c r="H187" i="17"/>
  <c r="I187" i="17"/>
  <c r="J187" i="17"/>
  <c r="K187" i="17"/>
  <c r="L187" i="17"/>
  <c r="M187" i="17"/>
  <c r="N187" i="17"/>
  <c r="O187" i="17"/>
  <c r="P187" i="17"/>
  <c r="Q187" i="17"/>
  <c r="R187" i="17"/>
  <c r="S187" i="17"/>
  <c r="T187" i="17"/>
  <c r="U187" i="17"/>
  <c r="V187" i="17"/>
  <c r="W187" i="17"/>
  <c r="X187" i="17"/>
  <c r="Y187" i="17"/>
  <c r="Z187" i="17"/>
  <c r="AA187" i="17"/>
  <c r="AB187" i="17"/>
  <c r="AC187" i="17"/>
  <c r="AD187" i="17"/>
  <c r="AE187" i="17"/>
  <c r="AF187" i="17"/>
  <c r="AG187" i="17"/>
  <c r="AH187" i="17"/>
  <c r="AI187" i="17"/>
  <c r="AJ187" i="17"/>
  <c r="AK187" i="17"/>
  <c r="AL187" i="17"/>
  <c r="AM187" i="17"/>
  <c r="AN187" i="17"/>
  <c r="AO187" i="17"/>
  <c r="AP187" i="17"/>
  <c r="AQ187" i="17"/>
  <c r="AR187" i="17"/>
  <c r="AS187" i="17"/>
  <c r="AT187" i="17"/>
  <c r="AU187" i="17"/>
  <c r="AV187" i="17"/>
  <c r="AW187" i="17"/>
  <c r="AX187" i="17"/>
  <c r="AY187" i="17"/>
  <c r="AZ187" i="17"/>
  <c r="BA187" i="17"/>
  <c r="BB187" i="17"/>
  <c r="BC187" i="17"/>
  <c r="BD187" i="17"/>
  <c r="BE187" i="17"/>
  <c r="BF187" i="17"/>
  <c r="BG187" i="17"/>
  <c r="BH187" i="17"/>
  <c r="BI187" i="17"/>
  <c r="BJ187" i="17"/>
  <c r="BK187" i="17"/>
  <c r="BL187" i="17"/>
  <c r="BM187" i="17"/>
  <c r="BN187" i="17"/>
  <c r="BO187" i="17"/>
  <c r="BP187" i="17"/>
  <c r="BQ187" i="17"/>
  <c r="BR187" i="17"/>
  <c r="BS187" i="17"/>
  <c r="BT187" i="17"/>
  <c r="BU187" i="17"/>
  <c r="BV187" i="17"/>
  <c r="BW187" i="17"/>
  <c r="BX187" i="17"/>
  <c r="BY187" i="17"/>
  <c r="BZ187" i="17"/>
  <c r="CA187" i="17"/>
  <c r="CB187" i="17"/>
  <c r="CC187" i="17"/>
  <c r="CD187" i="17"/>
  <c r="CE187" i="17"/>
  <c r="CF187" i="17"/>
  <c r="CG187" i="17"/>
  <c r="CH187" i="17"/>
  <c r="CI187" i="17"/>
  <c r="CJ187" i="17"/>
  <c r="CK187" i="17"/>
  <c r="CL187" i="17"/>
  <c r="CM187" i="17"/>
  <c r="CN187" i="17"/>
  <c r="CO187" i="17"/>
  <c r="CP187" i="17"/>
  <c r="CQ187" i="17"/>
  <c r="CR187" i="17"/>
  <c r="CS187" i="17"/>
  <c r="CT187" i="17"/>
  <c r="CU187" i="17"/>
  <c r="CV187" i="17"/>
  <c r="CW187" i="17"/>
  <c r="CX187" i="17"/>
  <c r="CY187" i="17"/>
  <c r="CZ187" i="17"/>
  <c r="DA187" i="17"/>
  <c r="DB187" i="17"/>
  <c r="DC187" i="17"/>
  <c r="DD187" i="17"/>
  <c r="DE187" i="17"/>
  <c r="DF187" i="17"/>
  <c r="DG187" i="17"/>
  <c r="DH187" i="17"/>
  <c r="DI187" i="17"/>
  <c r="DJ187" i="17"/>
  <c r="DK187" i="17"/>
  <c r="DL187" i="17"/>
  <c r="DM187" i="17"/>
  <c r="DN187" i="17"/>
  <c r="DO187" i="17"/>
  <c r="DP187" i="17"/>
  <c r="DQ187" i="17"/>
  <c r="DR187" i="17"/>
  <c r="DS187" i="17"/>
  <c r="DT187" i="17"/>
  <c r="DU187" i="17"/>
  <c r="DV187" i="17"/>
  <c r="DW187" i="17"/>
  <c r="DX187" i="17"/>
  <c r="DY187" i="17"/>
  <c r="DZ187" i="17"/>
  <c r="EA187" i="17"/>
  <c r="EB187" i="17"/>
  <c r="EC187" i="17"/>
  <c r="ED187" i="17"/>
  <c r="EE187" i="17"/>
  <c r="EF187" i="17"/>
  <c r="EG187" i="17"/>
  <c r="EH187" i="17"/>
  <c r="EI187" i="17"/>
  <c r="EJ187" i="17"/>
  <c r="EK187" i="17"/>
  <c r="EL187" i="17"/>
  <c r="EM187" i="17"/>
  <c r="EN187" i="17"/>
  <c r="EO187" i="17"/>
  <c r="EP187" i="17"/>
  <c r="EQ187" i="17"/>
  <c r="ER187" i="17"/>
  <c r="ES187" i="17"/>
  <c r="ET187" i="17"/>
  <c r="EU187" i="17"/>
  <c r="EV187" i="17"/>
  <c r="EW187" i="17"/>
  <c r="EX187" i="17"/>
  <c r="EY187" i="17"/>
  <c r="EZ187" i="17"/>
  <c r="FA187" i="17"/>
  <c r="FB187" i="17"/>
  <c r="FC187" i="17"/>
  <c r="FD187" i="17"/>
  <c r="FE187" i="17"/>
  <c r="FF187" i="17"/>
  <c r="FG187" i="17"/>
  <c r="FH187" i="17"/>
  <c r="FI187" i="17"/>
  <c r="FJ187" i="17"/>
  <c r="FK187" i="17"/>
  <c r="FL187" i="17"/>
  <c r="FM187" i="17"/>
  <c r="FN187" i="17"/>
  <c r="FO187" i="17"/>
  <c r="FP187" i="17"/>
  <c r="FQ187" i="17"/>
  <c r="FR187" i="17"/>
  <c r="FS187" i="17"/>
  <c r="FT187" i="17"/>
  <c r="FU187" i="17"/>
  <c r="FV187" i="17"/>
  <c r="FW187" i="17"/>
  <c r="FX187" i="17"/>
  <c r="FY187" i="17"/>
  <c r="FZ187" i="17"/>
  <c r="GA187" i="17"/>
  <c r="GB187" i="17"/>
  <c r="GC187" i="17"/>
  <c r="GD187" i="17"/>
  <c r="GE187" i="17"/>
  <c r="GF187" i="17"/>
  <c r="GG187" i="17"/>
  <c r="GH187" i="17"/>
  <c r="GI187" i="17"/>
  <c r="GJ187" i="17"/>
  <c r="GK187" i="17"/>
  <c r="GL187" i="17"/>
  <c r="GM187" i="17"/>
  <c r="GN187" i="17"/>
  <c r="GO187" i="17"/>
  <c r="GP187" i="17"/>
  <c r="GQ187" i="17"/>
  <c r="GR187" i="17"/>
  <c r="GS187" i="17"/>
  <c r="GT187" i="17"/>
  <c r="GU187" i="17"/>
  <c r="GV187" i="17"/>
  <c r="GW187" i="17"/>
  <c r="GX187" i="17"/>
  <c r="GY187" i="17"/>
  <c r="GZ187" i="17"/>
  <c r="HA187" i="17"/>
  <c r="HB187" i="17"/>
  <c r="HC187" i="17"/>
  <c r="HD187" i="17"/>
  <c r="HE187" i="17"/>
  <c r="HF187" i="17"/>
  <c r="HG187" i="17"/>
  <c r="HH187" i="17"/>
  <c r="HI187" i="17"/>
  <c r="HJ187" i="17"/>
  <c r="HK187" i="17"/>
  <c r="HL187" i="17"/>
  <c r="HM187" i="17"/>
  <c r="HN187" i="17"/>
  <c r="HO187" i="17"/>
  <c r="HP187" i="17"/>
  <c r="HQ187" i="17"/>
  <c r="HR187" i="17"/>
  <c r="HS187" i="17"/>
  <c r="HT187" i="17"/>
  <c r="HU187" i="17"/>
  <c r="HV187" i="17"/>
  <c r="HW187" i="17"/>
  <c r="HX187" i="17"/>
  <c r="HY187" i="17"/>
  <c r="HZ187" i="17"/>
  <c r="IA187" i="17"/>
  <c r="IB187" i="17"/>
  <c r="IC187" i="17"/>
  <c r="ID187" i="17"/>
  <c r="IE187" i="17"/>
  <c r="IF187" i="17"/>
  <c r="IG187" i="17"/>
  <c r="IH187" i="17"/>
  <c r="II187" i="17"/>
  <c r="IJ187" i="17"/>
  <c r="IK187" i="17"/>
  <c r="IL187" i="17"/>
  <c r="IM187" i="17"/>
  <c r="IN187" i="17"/>
  <c r="IO187" i="17"/>
  <c r="IP187" i="17"/>
  <c r="IQ187" i="17"/>
  <c r="IR187" i="17"/>
  <c r="IS187" i="17"/>
  <c r="IT187" i="17"/>
  <c r="IU187" i="17"/>
  <c r="IV187" i="17"/>
  <c r="A186" i="17"/>
  <c r="B186" i="17"/>
  <c r="C186" i="17"/>
  <c r="D186" i="17"/>
  <c r="E186" i="17"/>
  <c r="F186" i="17"/>
  <c r="G186" i="17"/>
  <c r="H186" i="17"/>
  <c r="I186" i="17"/>
  <c r="J186" i="17"/>
  <c r="K186" i="17"/>
  <c r="L186" i="17"/>
  <c r="M186" i="17"/>
  <c r="N186" i="17"/>
  <c r="O186" i="17"/>
  <c r="P186" i="17"/>
  <c r="Q186" i="17"/>
  <c r="R186" i="17"/>
  <c r="S186" i="17"/>
  <c r="T186" i="17"/>
  <c r="U186" i="17"/>
  <c r="V186" i="17"/>
  <c r="W186" i="17"/>
  <c r="X186" i="17"/>
  <c r="Y186" i="17"/>
  <c r="Z186" i="17"/>
  <c r="AA186" i="17"/>
  <c r="AB186" i="17"/>
  <c r="AC186" i="17"/>
  <c r="AD186" i="17"/>
  <c r="AE186" i="17"/>
  <c r="AF186" i="17"/>
  <c r="AG186" i="17"/>
  <c r="AH186" i="17"/>
  <c r="AI186" i="17"/>
  <c r="AJ186" i="17"/>
  <c r="AK186" i="17"/>
  <c r="AL186" i="17"/>
  <c r="AM186" i="17"/>
  <c r="AN186" i="17"/>
  <c r="AO186" i="17"/>
  <c r="AP186" i="17"/>
  <c r="AQ186" i="17"/>
  <c r="AR186" i="17"/>
  <c r="AS186" i="17"/>
  <c r="AT186" i="17"/>
  <c r="AU186" i="17"/>
  <c r="AV186" i="17"/>
  <c r="AW186" i="17"/>
  <c r="AX186" i="17"/>
  <c r="AY186" i="17"/>
  <c r="AZ186" i="17"/>
  <c r="BA186" i="17"/>
  <c r="BB186" i="17"/>
  <c r="BC186" i="17"/>
  <c r="BD186" i="17"/>
  <c r="BE186" i="17"/>
  <c r="BF186" i="17"/>
  <c r="BG186" i="17"/>
  <c r="BH186" i="17"/>
  <c r="BI186" i="17"/>
  <c r="BJ186" i="17"/>
  <c r="BK186" i="17"/>
  <c r="BL186" i="17"/>
  <c r="BM186" i="17"/>
  <c r="BN186" i="17"/>
  <c r="BO186" i="17"/>
  <c r="BP186" i="17"/>
  <c r="BQ186" i="17"/>
  <c r="BR186" i="17"/>
  <c r="BS186" i="17"/>
  <c r="BT186" i="17"/>
  <c r="BU186" i="17"/>
  <c r="BV186" i="17"/>
  <c r="BW186" i="17"/>
  <c r="BX186" i="17"/>
  <c r="BY186" i="17"/>
  <c r="BZ186" i="17"/>
  <c r="CA186" i="17"/>
  <c r="CB186" i="17"/>
  <c r="CC186" i="17"/>
  <c r="CD186" i="17"/>
  <c r="CE186" i="17"/>
  <c r="CF186" i="17"/>
  <c r="CG186" i="17"/>
  <c r="CH186" i="17"/>
  <c r="CI186" i="17"/>
  <c r="CJ186" i="17"/>
  <c r="CK186" i="17"/>
  <c r="CL186" i="17"/>
  <c r="CM186" i="17"/>
  <c r="CN186" i="17"/>
  <c r="CO186" i="17"/>
  <c r="CP186" i="17"/>
  <c r="CQ186" i="17"/>
  <c r="CR186" i="17"/>
  <c r="CS186" i="17"/>
  <c r="CT186" i="17"/>
  <c r="CU186" i="17"/>
  <c r="CV186" i="17"/>
  <c r="CW186" i="17"/>
  <c r="CX186" i="17"/>
  <c r="CY186" i="17"/>
  <c r="CZ186" i="17"/>
  <c r="DA186" i="17"/>
  <c r="DB186" i="17"/>
  <c r="DC186" i="17"/>
  <c r="DD186" i="17"/>
  <c r="DE186" i="17"/>
  <c r="DF186" i="17"/>
  <c r="DG186" i="17"/>
  <c r="DH186" i="17"/>
  <c r="DI186" i="17"/>
  <c r="DJ186" i="17"/>
  <c r="DK186" i="17"/>
  <c r="DL186" i="17"/>
  <c r="DM186" i="17"/>
  <c r="DN186" i="17"/>
  <c r="DO186" i="17"/>
  <c r="DP186" i="17"/>
  <c r="DQ186" i="17"/>
  <c r="DR186" i="17"/>
  <c r="DS186" i="17"/>
  <c r="DT186" i="17"/>
  <c r="DU186" i="17"/>
  <c r="DV186" i="17"/>
  <c r="DW186" i="17"/>
  <c r="DX186" i="17"/>
  <c r="DY186" i="17"/>
  <c r="DZ186" i="17"/>
  <c r="EA186" i="17"/>
  <c r="EB186" i="17"/>
  <c r="EC186" i="17"/>
  <c r="ED186" i="17"/>
  <c r="EE186" i="17"/>
  <c r="EF186" i="17"/>
  <c r="EG186" i="17"/>
  <c r="EH186" i="17"/>
  <c r="EI186" i="17"/>
  <c r="EJ186" i="17"/>
  <c r="EK186" i="17"/>
  <c r="EL186" i="17"/>
  <c r="EM186" i="17"/>
  <c r="EN186" i="17"/>
  <c r="EO186" i="17"/>
  <c r="EP186" i="17"/>
  <c r="EQ186" i="17"/>
  <c r="ER186" i="17"/>
  <c r="ES186" i="17"/>
  <c r="ET186" i="17"/>
  <c r="EU186" i="17"/>
  <c r="EV186" i="17"/>
  <c r="EW186" i="17"/>
  <c r="EX186" i="17"/>
  <c r="EY186" i="17"/>
  <c r="EZ186" i="17"/>
  <c r="FA186" i="17"/>
  <c r="FB186" i="17"/>
  <c r="FC186" i="17"/>
  <c r="FD186" i="17"/>
  <c r="FE186" i="17"/>
  <c r="FF186" i="17"/>
  <c r="FG186" i="17"/>
  <c r="FH186" i="17"/>
  <c r="FI186" i="17"/>
  <c r="FJ186" i="17"/>
  <c r="FK186" i="17"/>
  <c r="FL186" i="17"/>
  <c r="FM186" i="17"/>
  <c r="FN186" i="17"/>
  <c r="FO186" i="17"/>
  <c r="FP186" i="17"/>
  <c r="FQ186" i="17"/>
  <c r="FR186" i="17"/>
  <c r="FS186" i="17"/>
  <c r="FT186" i="17"/>
  <c r="FU186" i="17"/>
  <c r="FV186" i="17"/>
  <c r="FW186" i="17"/>
  <c r="FX186" i="17"/>
  <c r="FY186" i="17"/>
  <c r="FZ186" i="17"/>
  <c r="GA186" i="17"/>
  <c r="GB186" i="17"/>
  <c r="GC186" i="17"/>
  <c r="GD186" i="17"/>
  <c r="GE186" i="17"/>
  <c r="GF186" i="17"/>
  <c r="GG186" i="17"/>
  <c r="GH186" i="17"/>
  <c r="GI186" i="17"/>
  <c r="GJ186" i="17"/>
  <c r="GK186" i="17"/>
  <c r="GL186" i="17"/>
  <c r="GM186" i="17"/>
  <c r="GN186" i="17"/>
  <c r="GO186" i="17"/>
  <c r="GP186" i="17"/>
  <c r="GQ186" i="17"/>
  <c r="GR186" i="17"/>
  <c r="GS186" i="17"/>
  <c r="GT186" i="17"/>
  <c r="GU186" i="17"/>
  <c r="GV186" i="17"/>
  <c r="GW186" i="17"/>
  <c r="GX186" i="17"/>
  <c r="GY186" i="17"/>
  <c r="GZ186" i="17"/>
  <c r="HA186" i="17"/>
  <c r="HB186" i="17"/>
  <c r="HC186" i="17"/>
  <c r="HD186" i="17"/>
  <c r="HE186" i="17"/>
  <c r="HF186" i="17"/>
  <c r="HG186" i="17"/>
  <c r="HH186" i="17"/>
  <c r="HI186" i="17"/>
  <c r="HJ186" i="17"/>
  <c r="HK186" i="17"/>
  <c r="HL186" i="17"/>
  <c r="HM186" i="17"/>
  <c r="HN186" i="17"/>
  <c r="HO186" i="17"/>
  <c r="HP186" i="17"/>
  <c r="HQ186" i="17"/>
  <c r="HR186" i="17"/>
  <c r="HS186" i="17"/>
  <c r="HT186" i="17"/>
  <c r="HU186" i="17"/>
  <c r="HV186" i="17"/>
  <c r="HW186" i="17"/>
  <c r="HX186" i="17"/>
  <c r="HY186" i="17"/>
  <c r="HZ186" i="17"/>
  <c r="IA186" i="17"/>
  <c r="IB186" i="17"/>
  <c r="IC186" i="17"/>
  <c r="ID186" i="17"/>
  <c r="IE186" i="17"/>
  <c r="IF186" i="17"/>
  <c r="IG186" i="17"/>
  <c r="IH186" i="17"/>
  <c r="II186" i="17"/>
  <c r="IJ186" i="17"/>
  <c r="IK186" i="17"/>
  <c r="IL186" i="17"/>
  <c r="IM186" i="17"/>
  <c r="IN186" i="17"/>
  <c r="IO186" i="17"/>
  <c r="IP186" i="17"/>
  <c r="IQ186" i="17"/>
  <c r="IR186" i="17"/>
  <c r="IS186" i="17"/>
  <c r="IT186" i="17"/>
  <c r="IU186" i="17"/>
  <c r="IV186" i="17"/>
  <c r="A185" i="17"/>
  <c r="B185" i="17"/>
  <c r="C185" i="17"/>
  <c r="D185" i="17"/>
  <c r="E185" i="17"/>
  <c r="F185" i="17"/>
  <c r="G185" i="17"/>
  <c r="H185" i="17"/>
  <c r="I185" i="17"/>
  <c r="J185" i="17"/>
  <c r="K185" i="17"/>
  <c r="L185" i="17"/>
  <c r="M185" i="17"/>
  <c r="N185" i="17"/>
  <c r="O185" i="17"/>
  <c r="P185" i="17"/>
  <c r="Q185" i="17"/>
  <c r="R185" i="17"/>
  <c r="S185" i="17"/>
  <c r="T185" i="17"/>
  <c r="U185" i="17"/>
  <c r="V185" i="17"/>
  <c r="W185" i="17"/>
  <c r="X185" i="17"/>
  <c r="Y185" i="17"/>
  <c r="Z185" i="17"/>
  <c r="AA185" i="17"/>
  <c r="AB185" i="17"/>
  <c r="AC185" i="17"/>
  <c r="AD185" i="17"/>
  <c r="AE185" i="17"/>
  <c r="AF185" i="17"/>
  <c r="AG185" i="17"/>
  <c r="AH185" i="17"/>
  <c r="AI185" i="17"/>
  <c r="AJ185" i="17"/>
  <c r="AK185" i="17"/>
  <c r="AL185" i="17"/>
  <c r="AM185" i="17"/>
  <c r="AN185" i="17"/>
  <c r="AO185" i="17"/>
  <c r="AP185" i="17"/>
  <c r="AQ185" i="17"/>
  <c r="AR185" i="17"/>
  <c r="AS185" i="17"/>
  <c r="AT185" i="17"/>
  <c r="AU185" i="17"/>
  <c r="AV185" i="17"/>
  <c r="AW185" i="17"/>
  <c r="AX185" i="17"/>
  <c r="AY185" i="17"/>
  <c r="AZ185" i="17"/>
  <c r="BA185" i="17"/>
  <c r="BB185" i="17"/>
  <c r="BC185" i="17"/>
  <c r="BD185" i="17"/>
  <c r="BE185" i="17"/>
  <c r="BF185" i="17"/>
  <c r="BG185" i="17"/>
  <c r="BH185" i="17"/>
  <c r="BI185" i="17"/>
  <c r="BJ185" i="17"/>
  <c r="BK185" i="17"/>
  <c r="BL185" i="17"/>
  <c r="BM185" i="17"/>
  <c r="BN185" i="17"/>
  <c r="BO185" i="17"/>
  <c r="BP185" i="17"/>
  <c r="BQ185" i="17"/>
  <c r="BR185" i="17"/>
  <c r="BS185" i="17"/>
  <c r="BT185" i="17"/>
  <c r="BU185" i="17"/>
  <c r="BV185" i="17"/>
  <c r="BW185" i="17"/>
  <c r="BX185" i="17"/>
  <c r="BY185" i="17"/>
  <c r="BZ185" i="17"/>
  <c r="CA185" i="17"/>
  <c r="CB185" i="17"/>
  <c r="CC185" i="17"/>
  <c r="CD185" i="17"/>
  <c r="CE185" i="17"/>
  <c r="CF185" i="17"/>
  <c r="CG185" i="17"/>
  <c r="CH185" i="17"/>
  <c r="CI185" i="17"/>
  <c r="CJ185" i="17"/>
  <c r="CK185" i="17"/>
  <c r="CL185" i="17"/>
  <c r="CM185" i="17"/>
  <c r="CN185" i="17"/>
  <c r="CO185" i="17"/>
  <c r="CP185" i="17"/>
  <c r="CQ185" i="17"/>
  <c r="CR185" i="17"/>
  <c r="CS185" i="17"/>
  <c r="CT185" i="17"/>
  <c r="CU185" i="17"/>
  <c r="CV185" i="17"/>
  <c r="CW185" i="17"/>
  <c r="CX185" i="17"/>
  <c r="CY185" i="17"/>
  <c r="CZ185" i="17"/>
  <c r="DA185" i="17"/>
  <c r="DB185" i="17"/>
  <c r="DC185" i="17"/>
  <c r="DD185" i="17"/>
  <c r="DE185" i="17"/>
  <c r="DF185" i="17"/>
  <c r="DG185" i="17"/>
  <c r="DH185" i="17"/>
  <c r="DI185" i="17"/>
  <c r="DJ185" i="17"/>
  <c r="DK185" i="17"/>
  <c r="DL185" i="17"/>
  <c r="DM185" i="17"/>
  <c r="DN185" i="17"/>
  <c r="DO185" i="17"/>
  <c r="DP185" i="17"/>
  <c r="DQ185" i="17"/>
  <c r="DR185" i="17"/>
  <c r="DS185" i="17"/>
  <c r="DT185" i="17"/>
  <c r="DU185" i="17"/>
  <c r="DV185" i="17"/>
  <c r="DW185" i="17"/>
  <c r="DX185" i="17"/>
  <c r="DY185" i="17"/>
  <c r="DZ185" i="17"/>
  <c r="EA185" i="17"/>
  <c r="EB185" i="17"/>
  <c r="EC185" i="17"/>
  <c r="ED185" i="17"/>
  <c r="EE185" i="17"/>
  <c r="EF185" i="17"/>
  <c r="EG185" i="17"/>
  <c r="EH185" i="17"/>
  <c r="EI185" i="17"/>
  <c r="EJ185" i="17"/>
  <c r="EK185" i="17"/>
  <c r="EL185" i="17"/>
  <c r="EM185" i="17"/>
  <c r="EN185" i="17"/>
  <c r="EO185" i="17"/>
  <c r="EP185" i="17"/>
  <c r="EQ185" i="17"/>
  <c r="ER185" i="17"/>
  <c r="ES185" i="17"/>
  <c r="ET185" i="17"/>
  <c r="EU185" i="17"/>
  <c r="EV185" i="17"/>
  <c r="EW185" i="17"/>
  <c r="EX185" i="17"/>
  <c r="EY185" i="17"/>
  <c r="EZ185" i="17"/>
  <c r="FA185" i="17"/>
  <c r="FB185" i="17"/>
  <c r="FC185" i="17"/>
  <c r="FD185" i="17"/>
  <c r="FE185" i="17"/>
  <c r="FF185" i="17"/>
  <c r="FG185" i="17"/>
  <c r="FH185" i="17"/>
  <c r="FI185" i="17"/>
  <c r="FJ185" i="17"/>
  <c r="FK185" i="17"/>
  <c r="FL185" i="17"/>
  <c r="FM185" i="17"/>
  <c r="FN185" i="17"/>
  <c r="FO185" i="17"/>
  <c r="FP185" i="17"/>
  <c r="FQ185" i="17"/>
  <c r="FR185" i="17"/>
  <c r="FS185" i="17"/>
  <c r="FT185" i="17"/>
  <c r="FU185" i="17"/>
  <c r="FV185" i="17"/>
  <c r="FW185" i="17"/>
  <c r="FX185" i="17"/>
  <c r="FY185" i="17"/>
  <c r="FZ185" i="17"/>
  <c r="GA185" i="17"/>
  <c r="GB185" i="17"/>
  <c r="GC185" i="17"/>
  <c r="GD185" i="17"/>
  <c r="GE185" i="17"/>
  <c r="GF185" i="17"/>
  <c r="GG185" i="17"/>
  <c r="GH185" i="17"/>
  <c r="GI185" i="17"/>
  <c r="GJ185" i="17"/>
  <c r="GK185" i="17"/>
  <c r="GL185" i="17"/>
  <c r="GM185" i="17"/>
  <c r="GN185" i="17"/>
  <c r="GO185" i="17"/>
  <c r="GP185" i="17"/>
  <c r="GQ185" i="17"/>
  <c r="GR185" i="17"/>
  <c r="GS185" i="17"/>
  <c r="GT185" i="17"/>
  <c r="GU185" i="17"/>
  <c r="GV185" i="17"/>
  <c r="GW185" i="17"/>
  <c r="GX185" i="17"/>
  <c r="GY185" i="17"/>
  <c r="GZ185" i="17"/>
  <c r="HA185" i="17"/>
  <c r="HB185" i="17"/>
  <c r="HC185" i="17"/>
  <c r="HD185" i="17"/>
  <c r="HE185" i="17"/>
  <c r="HF185" i="17"/>
  <c r="HG185" i="17"/>
  <c r="HH185" i="17"/>
  <c r="HI185" i="17"/>
  <c r="HJ185" i="17"/>
  <c r="HK185" i="17"/>
  <c r="HL185" i="17"/>
  <c r="HM185" i="17"/>
  <c r="HN185" i="17"/>
  <c r="HO185" i="17"/>
  <c r="HP185" i="17"/>
  <c r="HQ185" i="17"/>
  <c r="HR185" i="17"/>
  <c r="HS185" i="17"/>
  <c r="HT185" i="17"/>
  <c r="HU185" i="17"/>
  <c r="HV185" i="17"/>
  <c r="HW185" i="17"/>
  <c r="HX185" i="17"/>
  <c r="HY185" i="17"/>
  <c r="HZ185" i="17"/>
  <c r="IA185" i="17"/>
  <c r="IB185" i="17"/>
  <c r="IC185" i="17"/>
  <c r="ID185" i="17"/>
  <c r="IE185" i="17"/>
  <c r="IF185" i="17"/>
  <c r="IG185" i="17"/>
  <c r="IH185" i="17"/>
  <c r="II185" i="17"/>
  <c r="IJ185" i="17"/>
  <c r="IK185" i="17"/>
  <c r="IL185" i="17"/>
  <c r="IM185" i="17"/>
  <c r="IN185" i="17"/>
  <c r="IO185" i="17"/>
  <c r="IP185" i="17"/>
  <c r="IQ185" i="17"/>
  <c r="IR185" i="17"/>
  <c r="IS185" i="17"/>
  <c r="IT185" i="17"/>
  <c r="IU185" i="17"/>
  <c r="IV185" i="17"/>
  <c r="A184" i="17"/>
  <c r="B184" i="17"/>
  <c r="C184" i="17"/>
  <c r="D184" i="17"/>
  <c r="E184" i="17"/>
  <c r="F184" i="17"/>
  <c r="G184" i="17"/>
  <c r="H184" i="17"/>
  <c r="I184" i="17"/>
  <c r="J184" i="17"/>
  <c r="K184" i="17"/>
  <c r="L184" i="17"/>
  <c r="M184" i="17"/>
  <c r="N184" i="17"/>
  <c r="O184" i="17"/>
  <c r="P184" i="17"/>
  <c r="Q184" i="17"/>
  <c r="R184" i="17"/>
  <c r="S184" i="17"/>
  <c r="T184" i="17"/>
  <c r="U184" i="17"/>
  <c r="V184" i="17"/>
  <c r="W184" i="17"/>
  <c r="X184" i="17"/>
  <c r="Y184" i="17"/>
  <c r="Z184" i="17"/>
  <c r="AA184" i="17"/>
  <c r="AB184" i="17"/>
  <c r="AC184" i="17"/>
  <c r="AD184" i="17"/>
  <c r="AE184" i="17"/>
  <c r="AF184" i="17"/>
  <c r="AG184" i="17"/>
  <c r="AH184" i="17"/>
  <c r="AI184" i="17"/>
  <c r="AJ184" i="17"/>
  <c r="AK184" i="17"/>
  <c r="AL184" i="17"/>
  <c r="AM184" i="17"/>
  <c r="AN184" i="17"/>
  <c r="AO184" i="17"/>
  <c r="AP184" i="17"/>
  <c r="AQ184" i="17"/>
  <c r="AR184" i="17"/>
  <c r="AS184" i="17"/>
  <c r="AT184" i="17"/>
  <c r="AU184" i="17"/>
  <c r="AV184" i="17"/>
  <c r="AW184" i="17"/>
  <c r="AX184" i="17"/>
  <c r="AY184" i="17"/>
  <c r="AZ184" i="17"/>
  <c r="BA184" i="17"/>
  <c r="BB184" i="17"/>
  <c r="BC184" i="17"/>
  <c r="BD184" i="17"/>
  <c r="BE184" i="17"/>
  <c r="BF184" i="17"/>
  <c r="BG184" i="17"/>
  <c r="BH184" i="17"/>
  <c r="BI184" i="17"/>
  <c r="BJ184" i="17"/>
  <c r="BK184" i="17"/>
  <c r="BL184" i="17"/>
  <c r="BM184" i="17"/>
  <c r="BN184" i="17"/>
  <c r="BO184" i="17"/>
  <c r="BP184" i="17"/>
  <c r="BQ184" i="17"/>
  <c r="BR184" i="17"/>
  <c r="BS184" i="17"/>
  <c r="BT184" i="17"/>
  <c r="BU184" i="17"/>
  <c r="BV184" i="17"/>
  <c r="BW184" i="17"/>
  <c r="BX184" i="17"/>
  <c r="BY184" i="17"/>
  <c r="BZ184" i="17"/>
  <c r="CA184" i="17"/>
  <c r="CB184" i="17"/>
  <c r="CC184" i="17"/>
  <c r="CD184" i="17"/>
  <c r="CE184" i="17"/>
  <c r="CF184" i="17"/>
  <c r="CG184" i="17"/>
  <c r="CH184" i="17"/>
  <c r="CI184" i="17"/>
  <c r="CJ184" i="17"/>
  <c r="CK184" i="17"/>
  <c r="CL184" i="17"/>
  <c r="CM184" i="17"/>
  <c r="CN184" i="17"/>
  <c r="CO184" i="17"/>
  <c r="CP184" i="17"/>
  <c r="CQ184" i="17"/>
  <c r="CR184" i="17"/>
  <c r="CS184" i="17"/>
  <c r="CT184" i="17"/>
  <c r="CU184" i="17"/>
  <c r="CV184" i="17"/>
  <c r="CW184" i="17"/>
  <c r="CX184" i="17"/>
  <c r="CY184" i="17"/>
  <c r="CZ184" i="17"/>
  <c r="DA184" i="17"/>
  <c r="DB184" i="17"/>
  <c r="DC184" i="17"/>
  <c r="DD184" i="17"/>
  <c r="DE184" i="17"/>
  <c r="DF184" i="17"/>
  <c r="DG184" i="17"/>
  <c r="DH184" i="17"/>
  <c r="DI184" i="17"/>
  <c r="DJ184" i="17"/>
  <c r="DK184" i="17"/>
  <c r="DL184" i="17"/>
  <c r="DM184" i="17"/>
  <c r="DN184" i="17"/>
  <c r="DO184" i="17"/>
  <c r="DP184" i="17"/>
  <c r="DQ184" i="17"/>
  <c r="DR184" i="17"/>
  <c r="DS184" i="17"/>
  <c r="DT184" i="17"/>
  <c r="DU184" i="17"/>
  <c r="DV184" i="17"/>
  <c r="DW184" i="17"/>
  <c r="DX184" i="17"/>
  <c r="DY184" i="17"/>
  <c r="DZ184" i="17"/>
  <c r="EA184" i="17"/>
  <c r="EB184" i="17"/>
  <c r="EC184" i="17"/>
  <c r="ED184" i="17"/>
  <c r="EE184" i="17"/>
  <c r="EF184" i="17"/>
  <c r="EG184" i="17"/>
  <c r="EH184" i="17"/>
  <c r="EI184" i="17"/>
  <c r="EJ184" i="17"/>
  <c r="EK184" i="17"/>
  <c r="EL184" i="17"/>
  <c r="EM184" i="17"/>
  <c r="EN184" i="17"/>
  <c r="EO184" i="17"/>
  <c r="EP184" i="17"/>
  <c r="EQ184" i="17"/>
  <c r="ER184" i="17"/>
  <c r="ES184" i="17"/>
  <c r="ET184" i="17"/>
  <c r="EU184" i="17"/>
  <c r="EV184" i="17"/>
  <c r="EW184" i="17"/>
  <c r="EX184" i="17"/>
  <c r="EY184" i="17"/>
  <c r="EZ184" i="17"/>
  <c r="FA184" i="17"/>
  <c r="FB184" i="17"/>
  <c r="FC184" i="17"/>
  <c r="FD184" i="17"/>
  <c r="FE184" i="17"/>
  <c r="FF184" i="17"/>
  <c r="FG184" i="17"/>
  <c r="FH184" i="17"/>
  <c r="FI184" i="17"/>
  <c r="FJ184" i="17"/>
  <c r="FK184" i="17"/>
  <c r="FL184" i="17"/>
  <c r="FM184" i="17"/>
  <c r="FN184" i="17"/>
  <c r="FO184" i="17"/>
  <c r="FP184" i="17"/>
  <c r="FQ184" i="17"/>
  <c r="FR184" i="17"/>
  <c r="FS184" i="17"/>
  <c r="FT184" i="17"/>
  <c r="FU184" i="17"/>
  <c r="FV184" i="17"/>
  <c r="FW184" i="17"/>
  <c r="FX184" i="17"/>
  <c r="FY184" i="17"/>
  <c r="FZ184" i="17"/>
  <c r="GA184" i="17"/>
  <c r="GB184" i="17"/>
  <c r="GC184" i="17"/>
  <c r="GD184" i="17"/>
  <c r="GE184" i="17"/>
  <c r="GF184" i="17"/>
  <c r="GG184" i="17"/>
  <c r="GH184" i="17"/>
  <c r="GI184" i="17"/>
  <c r="GJ184" i="17"/>
  <c r="GK184" i="17"/>
  <c r="GL184" i="17"/>
  <c r="GM184" i="17"/>
  <c r="GN184" i="17"/>
  <c r="GO184" i="17"/>
  <c r="GP184" i="17"/>
  <c r="GQ184" i="17"/>
  <c r="GR184" i="17"/>
  <c r="GS184" i="17"/>
  <c r="GT184" i="17"/>
  <c r="GU184" i="17"/>
  <c r="GV184" i="17"/>
  <c r="GW184" i="17"/>
  <c r="GX184" i="17"/>
  <c r="GY184" i="17"/>
  <c r="GZ184" i="17"/>
  <c r="HA184" i="17"/>
  <c r="HB184" i="17"/>
  <c r="HC184" i="17"/>
  <c r="HD184" i="17"/>
  <c r="HE184" i="17"/>
  <c r="HF184" i="17"/>
  <c r="HG184" i="17"/>
  <c r="HH184" i="17"/>
  <c r="HI184" i="17"/>
  <c r="HJ184" i="17"/>
  <c r="HK184" i="17"/>
  <c r="HL184" i="17"/>
  <c r="HM184" i="17"/>
  <c r="HN184" i="17"/>
  <c r="HO184" i="17"/>
  <c r="HP184" i="17"/>
  <c r="HQ184" i="17"/>
  <c r="HR184" i="17"/>
  <c r="HS184" i="17"/>
  <c r="HT184" i="17"/>
  <c r="HU184" i="17"/>
  <c r="HV184" i="17"/>
  <c r="HW184" i="17"/>
  <c r="HX184" i="17"/>
  <c r="HY184" i="17"/>
  <c r="HZ184" i="17"/>
  <c r="IA184" i="17"/>
  <c r="IB184" i="17"/>
  <c r="IC184" i="17"/>
  <c r="ID184" i="17"/>
  <c r="IE184" i="17"/>
  <c r="IF184" i="17"/>
  <c r="IG184" i="17"/>
  <c r="IH184" i="17"/>
  <c r="II184" i="17"/>
  <c r="IJ184" i="17"/>
  <c r="IK184" i="17"/>
  <c r="IL184" i="17"/>
  <c r="IM184" i="17"/>
  <c r="IN184" i="17"/>
  <c r="IO184" i="17"/>
  <c r="IP184" i="17"/>
  <c r="IQ184" i="17"/>
  <c r="IR184" i="17"/>
  <c r="IS184" i="17"/>
  <c r="IT184" i="17"/>
  <c r="IU184" i="17"/>
  <c r="IV184" i="17"/>
  <c r="A183" i="17"/>
  <c r="B183" i="17"/>
  <c r="C183" i="17"/>
  <c r="D183" i="17"/>
  <c r="E183" i="17"/>
  <c r="F183" i="17"/>
  <c r="G183" i="17"/>
  <c r="H183" i="17"/>
  <c r="I183" i="17"/>
  <c r="J183" i="17"/>
  <c r="K183" i="17"/>
  <c r="L183" i="17"/>
  <c r="M183" i="17"/>
  <c r="N183" i="17"/>
  <c r="O183" i="17"/>
  <c r="P183" i="17"/>
  <c r="Q183" i="17"/>
  <c r="R183" i="17"/>
  <c r="S183" i="17"/>
  <c r="T183" i="17"/>
  <c r="U183" i="17"/>
  <c r="V183" i="17"/>
  <c r="W183" i="17"/>
  <c r="X183" i="17"/>
  <c r="Y183" i="17"/>
  <c r="Z183" i="17"/>
  <c r="AA183" i="17"/>
  <c r="AB183" i="17"/>
  <c r="AC183" i="17"/>
  <c r="AD183" i="17"/>
  <c r="AE183" i="17"/>
  <c r="AF183" i="17"/>
  <c r="AG183" i="17"/>
  <c r="AH183" i="17"/>
  <c r="AI183" i="17"/>
  <c r="AJ183" i="17"/>
  <c r="AK183" i="17"/>
  <c r="AL183" i="17"/>
  <c r="AM183" i="17"/>
  <c r="AN183" i="17"/>
  <c r="AO183" i="17"/>
  <c r="AP183" i="17"/>
  <c r="AQ183" i="17"/>
  <c r="AR183" i="17"/>
  <c r="AS183" i="17"/>
  <c r="AT183" i="17"/>
  <c r="AU183" i="17"/>
  <c r="AV183" i="17"/>
  <c r="AW183" i="17"/>
  <c r="AX183" i="17"/>
  <c r="AY183" i="17"/>
  <c r="AZ183" i="17"/>
  <c r="BA183" i="17"/>
  <c r="BB183" i="17"/>
  <c r="BC183" i="17"/>
  <c r="BD183" i="17"/>
  <c r="BE183" i="17"/>
  <c r="BF183" i="17"/>
  <c r="BG183" i="17"/>
  <c r="BH183" i="17"/>
  <c r="BI183" i="17"/>
  <c r="BJ183" i="17"/>
  <c r="BK183" i="17"/>
  <c r="BL183" i="17"/>
  <c r="BM183" i="17"/>
  <c r="BN183" i="17"/>
  <c r="BO183" i="17"/>
  <c r="BP183" i="17"/>
  <c r="BQ183" i="17"/>
  <c r="BR183" i="17"/>
  <c r="BS183" i="17"/>
  <c r="BT183" i="17"/>
  <c r="BU183" i="17"/>
  <c r="BV183" i="17"/>
  <c r="BW183" i="17"/>
  <c r="BX183" i="17"/>
  <c r="BY183" i="17"/>
  <c r="BZ183" i="17"/>
  <c r="CA183" i="17"/>
  <c r="CB183" i="17"/>
  <c r="CC183" i="17"/>
  <c r="CD183" i="17"/>
  <c r="CE183" i="17"/>
  <c r="CF183" i="17"/>
  <c r="CG183" i="17"/>
  <c r="CH183" i="17"/>
  <c r="CI183" i="17"/>
  <c r="CJ183" i="17"/>
  <c r="CK183" i="17"/>
  <c r="CL183" i="17"/>
  <c r="CM183" i="17"/>
  <c r="CN183" i="17"/>
  <c r="CO183" i="17"/>
  <c r="CP183" i="17"/>
  <c r="CQ183" i="17"/>
  <c r="CR183" i="17"/>
  <c r="CS183" i="17"/>
  <c r="CT183" i="17"/>
  <c r="CU183" i="17"/>
  <c r="CV183" i="17"/>
  <c r="CW183" i="17"/>
  <c r="CX183" i="17"/>
  <c r="CY183" i="17"/>
  <c r="CZ183" i="17"/>
  <c r="DA183" i="17"/>
  <c r="DB183" i="17"/>
  <c r="DC183" i="17"/>
  <c r="DD183" i="17"/>
  <c r="DE183" i="17"/>
  <c r="DF183" i="17"/>
  <c r="DG183" i="17"/>
  <c r="DH183" i="17"/>
  <c r="DI183" i="17"/>
  <c r="DJ183" i="17"/>
  <c r="DK183" i="17"/>
  <c r="DL183" i="17"/>
  <c r="DM183" i="17"/>
  <c r="DN183" i="17"/>
  <c r="DO183" i="17"/>
  <c r="DP183" i="17"/>
  <c r="DQ183" i="17"/>
  <c r="DR183" i="17"/>
  <c r="DS183" i="17"/>
  <c r="DT183" i="17"/>
  <c r="DU183" i="17"/>
  <c r="DV183" i="17"/>
  <c r="DW183" i="17"/>
  <c r="DX183" i="17"/>
  <c r="DY183" i="17"/>
  <c r="DZ183" i="17"/>
  <c r="EA183" i="17"/>
  <c r="EB183" i="17"/>
  <c r="EC183" i="17"/>
  <c r="ED183" i="17"/>
  <c r="EE183" i="17"/>
  <c r="EF183" i="17"/>
  <c r="EG183" i="17"/>
  <c r="EH183" i="17"/>
  <c r="EI183" i="17"/>
  <c r="EJ183" i="17"/>
  <c r="EK183" i="17"/>
  <c r="EL183" i="17"/>
  <c r="EM183" i="17"/>
  <c r="EN183" i="17"/>
  <c r="EO183" i="17"/>
  <c r="EP183" i="17"/>
  <c r="EQ183" i="17"/>
  <c r="ER183" i="17"/>
  <c r="ES183" i="17"/>
  <c r="ET183" i="17"/>
  <c r="EU183" i="17"/>
  <c r="EV183" i="17"/>
  <c r="EW183" i="17"/>
  <c r="EX183" i="17"/>
  <c r="EY183" i="17"/>
  <c r="EZ183" i="17"/>
  <c r="FA183" i="17"/>
  <c r="FB183" i="17"/>
  <c r="FC183" i="17"/>
  <c r="FD183" i="17"/>
  <c r="FE183" i="17"/>
  <c r="FF183" i="17"/>
  <c r="FG183" i="17"/>
  <c r="FH183" i="17"/>
  <c r="FI183" i="17"/>
  <c r="FJ183" i="17"/>
  <c r="FK183" i="17"/>
  <c r="FL183" i="17"/>
  <c r="FM183" i="17"/>
  <c r="FN183" i="17"/>
  <c r="FO183" i="17"/>
  <c r="FP183" i="17"/>
  <c r="FQ183" i="17"/>
  <c r="FR183" i="17"/>
  <c r="FS183" i="17"/>
  <c r="FT183" i="17"/>
  <c r="FU183" i="17"/>
  <c r="FV183" i="17"/>
  <c r="FW183" i="17"/>
  <c r="FX183" i="17"/>
  <c r="FY183" i="17"/>
  <c r="FZ183" i="17"/>
  <c r="GA183" i="17"/>
  <c r="GB183" i="17"/>
  <c r="GC183" i="17"/>
  <c r="GD183" i="17"/>
  <c r="GE183" i="17"/>
  <c r="GF183" i="17"/>
  <c r="GG183" i="17"/>
  <c r="GH183" i="17"/>
  <c r="GI183" i="17"/>
  <c r="GJ183" i="17"/>
  <c r="GK183" i="17"/>
  <c r="GL183" i="17"/>
  <c r="GM183" i="17"/>
  <c r="GN183" i="17"/>
  <c r="GO183" i="17"/>
  <c r="GP183" i="17"/>
  <c r="GQ183" i="17"/>
  <c r="GR183" i="17"/>
  <c r="GS183" i="17"/>
  <c r="GT183" i="17"/>
  <c r="GU183" i="17"/>
  <c r="GV183" i="17"/>
  <c r="GW183" i="17"/>
  <c r="GX183" i="17"/>
  <c r="GY183" i="17"/>
  <c r="GZ183" i="17"/>
  <c r="HA183" i="17"/>
  <c r="HB183" i="17"/>
  <c r="HC183" i="17"/>
  <c r="HD183" i="17"/>
  <c r="HE183" i="17"/>
  <c r="HF183" i="17"/>
  <c r="HG183" i="17"/>
  <c r="HH183" i="17"/>
  <c r="HI183" i="17"/>
  <c r="HJ183" i="17"/>
  <c r="HK183" i="17"/>
  <c r="HL183" i="17"/>
  <c r="HM183" i="17"/>
  <c r="HN183" i="17"/>
  <c r="HO183" i="17"/>
  <c r="HP183" i="17"/>
  <c r="HQ183" i="17"/>
  <c r="HR183" i="17"/>
  <c r="HS183" i="17"/>
  <c r="HT183" i="17"/>
  <c r="HU183" i="17"/>
  <c r="HV183" i="17"/>
  <c r="HW183" i="17"/>
  <c r="HX183" i="17"/>
  <c r="HY183" i="17"/>
  <c r="HZ183" i="17"/>
  <c r="IA183" i="17"/>
  <c r="IB183" i="17"/>
  <c r="IC183" i="17"/>
  <c r="ID183" i="17"/>
  <c r="IE183" i="17"/>
  <c r="IF183" i="17"/>
  <c r="IG183" i="17"/>
  <c r="IH183" i="17"/>
  <c r="II183" i="17"/>
  <c r="IJ183" i="17"/>
  <c r="IK183" i="17"/>
  <c r="IL183" i="17"/>
  <c r="IM183" i="17"/>
  <c r="IN183" i="17"/>
  <c r="IO183" i="17"/>
  <c r="IP183" i="17"/>
  <c r="IQ183" i="17"/>
  <c r="IR183" i="17"/>
  <c r="IS183" i="17"/>
  <c r="IT183" i="17"/>
  <c r="IU183" i="17"/>
  <c r="IV183" i="17"/>
  <c r="A182" i="17"/>
  <c r="B182" i="17"/>
  <c r="C182" i="17"/>
  <c r="D182" i="17"/>
  <c r="E182" i="17"/>
  <c r="F182" i="17"/>
  <c r="G182" i="17"/>
  <c r="H182" i="17"/>
  <c r="I182" i="17"/>
  <c r="J182" i="17"/>
  <c r="K182" i="17"/>
  <c r="L182" i="17"/>
  <c r="M182" i="17"/>
  <c r="N182" i="17"/>
  <c r="O182" i="17"/>
  <c r="P182" i="17"/>
  <c r="Q182" i="17"/>
  <c r="R182" i="17"/>
  <c r="S182" i="17"/>
  <c r="T182" i="17"/>
  <c r="U182" i="17"/>
  <c r="V182" i="17"/>
  <c r="W182" i="17"/>
  <c r="X182" i="17"/>
  <c r="Y182" i="17"/>
  <c r="Z182" i="17"/>
  <c r="AA182" i="17"/>
  <c r="AB182" i="17"/>
  <c r="AC182" i="17"/>
  <c r="AD182" i="17"/>
  <c r="AE182" i="17"/>
  <c r="AF182" i="17"/>
  <c r="AG182" i="17"/>
  <c r="AH182" i="17"/>
  <c r="AI182" i="17"/>
  <c r="AJ182" i="17"/>
  <c r="AK182" i="17"/>
  <c r="AL182" i="17"/>
  <c r="AM182" i="17"/>
  <c r="AN182" i="17"/>
  <c r="AO182" i="17"/>
  <c r="AP182" i="17"/>
  <c r="AQ182" i="17"/>
  <c r="AR182" i="17"/>
  <c r="AS182" i="17"/>
  <c r="AT182" i="17"/>
  <c r="AU182" i="17"/>
  <c r="AV182" i="17"/>
  <c r="AW182" i="17"/>
  <c r="AX182" i="17"/>
  <c r="AY182" i="17"/>
  <c r="AZ182" i="17"/>
  <c r="BA182" i="17"/>
  <c r="BB182" i="17"/>
  <c r="BC182" i="17"/>
  <c r="BD182" i="17"/>
  <c r="BE182" i="17"/>
  <c r="BF182" i="17"/>
  <c r="BG182" i="17"/>
  <c r="BH182" i="17"/>
  <c r="BI182" i="17"/>
  <c r="BJ182" i="17"/>
  <c r="BK182" i="17"/>
  <c r="BL182" i="17"/>
  <c r="BM182" i="17"/>
  <c r="BN182" i="17"/>
  <c r="BO182" i="17"/>
  <c r="BP182" i="17"/>
  <c r="BQ182" i="17"/>
  <c r="BR182" i="17"/>
  <c r="BS182" i="17"/>
  <c r="BT182" i="17"/>
  <c r="BU182" i="17"/>
  <c r="BV182" i="17"/>
  <c r="BW182" i="17"/>
  <c r="BX182" i="17"/>
  <c r="BY182" i="17"/>
  <c r="BZ182" i="17"/>
  <c r="CA182" i="17"/>
  <c r="CB182" i="17"/>
  <c r="CC182" i="17"/>
  <c r="CD182" i="17"/>
  <c r="CE182" i="17"/>
  <c r="CF182" i="17"/>
  <c r="CG182" i="17"/>
  <c r="CH182" i="17"/>
  <c r="CI182" i="17"/>
  <c r="CJ182" i="17"/>
  <c r="CK182" i="17"/>
  <c r="CL182" i="17"/>
  <c r="CM182" i="17"/>
  <c r="CN182" i="17"/>
  <c r="CO182" i="17"/>
  <c r="CP182" i="17"/>
  <c r="CQ182" i="17"/>
  <c r="CR182" i="17"/>
  <c r="CS182" i="17"/>
  <c r="CT182" i="17"/>
  <c r="CU182" i="17"/>
  <c r="CV182" i="17"/>
  <c r="CW182" i="17"/>
  <c r="CX182" i="17"/>
  <c r="CY182" i="17"/>
  <c r="CZ182" i="17"/>
  <c r="DA182" i="17"/>
  <c r="DB182" i="17"/>
  <c r="DC182" i="17"/>
  <c r="DD182" i="17"/>
  <c r="DE182" i="17"/>
  <c r="DF182" i="17"/>
  <c r="DG182" i="17"/>
  <c r="DH182" i="17"/>
  <c r="DI182" i="17"/>
  <c r="DJ182" i="17"/>
  <c r="DK182" i="17"/>
  <c r="DL182" i="17"/>
  <c r="DM182" i="17"/>
  <c r="DN182" i="17"/>
  <c r="DO182" i="17"/>
  <c r="DP182" i="17"/>
  <c r="DQ182" i="17"/>
  <c r="DR182" i="17"/>
  <c r="DS182" i="17"/>
  <c r="DT182" i="17"/>
  <c r="DU182" i="17"/>
  <c r="DV182" i="17"/>
  <c r="DW182" i="17"/>
  <c r="DX182" i="17"/>
  <c r="DY182" i="17"/>
  <c r="DZ182" i="17"/>
  <c r="EA182" i="17"/>
  <c r="EB182" i="17"/>
  <c r="EC182" i="17"/>
  <c r="ED182" i="17"/>
  <c r="EE182" i="17"/>
  <c r="EF182" i="17"/>
  <c r="EG182" i="17"/>
  <c r="EH182" i="17"/>
  <c r="EI182" i="17"/>
  <c r="EJ182" i="17"/>
  <c r="EK182" i="17"/>
  <c r="EL182" i="17"/>
  <c r="EM182" i="17"/>
  <c r="EN182" i="17"/>
  <c r="EO182" i="17"/>
  <c r="EP182" i="17"/>
  <c r="EQ182" i="17"/>
  <c r="ER182" i="17"/>
  <c r="ES182" i="17"/>
  <c r="ET182" i="17"/>
  <c r="EU182" i="17"/>
  <c r="EV182" i="17"/>
  <c r="EW182" i="17"/>
  <c r="EX182" i="17"/>
  <c r="EY182" i="17"/>
  <c r="EZ182" i="17"/>
  <c r="FA182" i="17"/>
  <c r="FB182" i="17"/>
  <c r="FC182" i="17"/>
  <c r="FD182" i="17"/>
  <c r="FE182" i="17"/>
  <c r="FF182" i="17"/>
  <c r="FG182" i="17"/>
  <c r="FH182" i="17"/>
  <c r="FI182" i="17"/>
  <c r="FJ182" i="17"/>
  <c r="FK182" i="17"/>
  <c r="FL182" i="17"/>
  <c r="FM182" i="17"/>
  <c r="FN182" i="17"/>
  <c r="FO182" i="17"/>
  <c r="FP182" i="17"/>
  <c r="FQ182" i="17"/>
  <c r="FR182" i="17"/>
  <c r="FS182" i="17"/>
  <c r="FT182" i="17"/>
  <c r="FU182" i="17"/>
  <c r="FV182" i="17"/>
  <c r="FW182" i="17"/>
  <c r="FX182" i="17"/>
  <c r="FY182" i="17"/>
  <c r="FZ182" i="17"/>
  <c r="GA182" i="17"/>
  <c r="GB182" i="17"/>
  <c r="GC182" i="17"/>
  <c r="GD182" i="17"/>
  <c r="GE182" i="17"/>
  <c r="GF182" i="17"/>
  <c r="GG182" i="17"/>
  <c r="GH182" i="17"/>
  <c r="GI182" i="17"/>
  <c r="GJ182" i="17"/>
  <c r="GK182" i="17"/>
  <c r="GL182" i="17"/>
  <c r="GM182" i="17"/>
  <c r="GN182" i="17"/>
  <c r="GO182" i="17"/>
  <c r="GP182" i="17"/>
  <c r="GQ182" i="17"/>
  <c r="GR182" i="17"/>
  <c r="GS182" i="17"/>
  <c r="GT182" i="17"/>
  <c r="GU182" i="17"/>
  <c r="GV182" i="17"/>
  <c r="GW182" i="17"/>
  <c r="GX182" i="17"/>
  <c r="GY182" i="17"/>
  <c r="GZ182" i="17"/>
  <c r="HA182" i="17"/>
  <c r="HB182" i="17"/>
  <c r="HC182" i="17"/>
  <c r="HD182" i="17"/>
  <c r="HE182" i="17"/>
  <c r="HF182" i="17"/>
  <c r="HG182" i="17"/>
  <c r="HH182" i="17"/>
  <c r="HI182" i="17"/>
  <c r="HJ182" i="17"/>
  <c r="HK182" i="17"/>
  <c r="HL182" i="17"/>
  <c r="HM182" i="17"/>
  <c r="HN182" i="17"/>
  <c r="HO182" i="17"/>
  <c r="HP182" i="17"/>
  <c r="HQ182" i="17"/>
  <c r="HR182" i="17"/>
  <c r="HS182" i="17"/>
  <c r="HT182" i="17"/>
  <c r="HU182" i="17"/>
  <c r="HV182" i="17"/>
  <c r="HW182" i="17"/>
  <c r="HX182" i="17"/>
  <c r="HY182" i="17"/>
  <c r="HZ182" i="17"/>
  <c r="IA182" i="17"/>
  <c r="IB182" i="17"/>
  <c r="IC182" i="17"/>
  <c r="ID182" i="17"/>
  <c r="IE182" i="17"/>
  <c r="IF182" i="17"/>
  <c r="IG182" i="17"/>
  <c r="IH182" i="17"/>
  <c r="II182" i="17"/>
  <c r="IJ182" i="17"/>
  <c r="IK182" i="17"/>
  <c r="IL182" i="17"/>
  <c r="IM182" i="17"/>
  <c r="IN182" i="17"/>
  <c r="IO182" i="17"/>
  <c r="IP182" i="17"/>
  <c r="IQ182" i="17"/>
  <c r="IR182" i="17"/>
  <c r="IS182" i="17"/>
  <c r="IT182" i="17"/>
  <c r="IU182" i="17"/>
  <c r="IV182" i="17"/>
  <c r="A181" i="17"/>
  <c r="B181" i="17"/>
  <c r="C181" i="17"/>
  <c r="D181" i="17"/>
  <c r="E181" i="17"/>
  <c r="F181" i="17"/>
  <c r="G181" i="17"/>
  <c r="H181" i="17"/>
  <c r="I181" i="17"/>
  <c r="J181" i="17"/>
  <c r="K181" i="17"/>
  <c r="L181" i="17"/>
  <c r="M181" i="17"/>
  <c r="N181" i="17"/>
  <c r="O181" i="17"/>
  <c r="P181" i="17"/>
  <c r="Q181" i="17"/>
  <c r="R181" i="17"/>
  <c r="S181" i="17"/>
  <c r="T181" i="17"/>
  <c r="U181" i="17"/>
  <c r="V181" i="17"/>
  <c r="W181" i="17"/>
  <c r="X181" i="17"/>
  <c r="Y181" i="17"/>
  <c r="Z181" i="17"/>
  <c r="AA181" i="17"/>
  <c r="AB181" i="17"/>
  <c r="AC181" i="17"/>
  <c r="AD181" i="17"/>
  <c r="AE181" i="17"/>
  <c r="AF181" i="17"/>
  <c r="AG181" i="17"/>
  <c r="AH181" i="17"/>
  <c r="AI181" i="17"/>
  <c r="AJ181" i="17"/>
  <c r="AK181" i="17"/>
  <c r="AL181" i="17"/>
  <c r="AM181" i="17"/>
  <c r="AN181" i="17"/>
  <c r="AO181" i="17"/>
  <c r="AP181" i="17"/>
  <c r="AQ181" i="17"/>
  <c r="AR181" i="17"/>
  <c r="AS181" i="17"/>
  <c r="AT181" i="17"/>
  <c r="AU181" i="17"/>
  <c r="AV181" i="17"/>
  <c r="AW181" i="17"/>
  <c r="AX181" i="17"/>
  <c r="AY181" i="17"/>
  <c r="AZ181" i="17"/>
  <c r="BA181" i="17"/>
  <c r="BB181" i="17"/>
  <c r="BC181" i="17"/>
  <c r="BD181" i="17"/>
  <c r="BE181" i="17"/>
  <c r="BF181" i="17"/>
  <c r="BG181" i="17"/>
  <c r="BH181" i="17"/>
  <c r="BI181" i="17"/>
  <c r="BJ181" i="17"/>
  <c r="BK181" i="17"/>
  <c r="BL181" i="17"/>
  <c r="BM181" i="17"/>
  <c r="BN181" i="17"/>
  <c r="BO181" i="17"/>
  <c r="BP181" i="17"/>
  <c r="BQ181" i="17"/>
  <c r="BR181" i="17"/>
  <c r="BS181" i="17"/>
  <c r="BT181" i="17"/>
  <c r="BU181" i="17"/>
  <c r="BV181" i="17"/>
  <c r="BW181" i="17"/>
  <c r="BX181" i="17"/>
  <c r="BY181" i="17"/>
  <c r="BZ181" i="17"/>
  <c r="CA181" i="17"/>
  <c r="CB181" i="17"/>
  <c r="CC181" i="17"/>
  <c r="CD181" i="17"/>
  <c r="CE181" i="17"/>
  <c r="CF181" i="17"/>
  <c r="CG181" i="17"/>
  <c r="CH181" i="17"/>
  <c r="CI181" i="17"/>
  <c r="CJ181" i="17"/>
  <c r="CK181" i="17"/>
  <c r="CL181" i="17"/>
  <c r="CM181" i="17"/>
  <c r="CN181" i="17"/>
  <c r="CO181" i="17"/>
  <c r="CP181" i="17"/>
  <c r="CQ181" i="17"/>
  <c r="CR181" i="17"/>
  <c r="CS181" i="17"/>
  <c r="CT181" i="17"/>
  <c r="CU181" i="17"/>
  <c r="CV181" i="17"/>
  <c r="CW181" i="17"/>
  <c r="CX181" i="17"/>
  <c r="CY181" i="17"/>
  <c r="CZ181" i="17"/>
  <c r="DA181" i="17"/>
  <c r="DB181" i="17"/>
  <c r="DC181" i="17"/>
  <c r="DD181" i="17"/>
  <c r="DE181" i="17"/>
  <c r="DF181" i="17"/>
  <c r="DG181" i="17"/>
  <c r="DH181" i="17"/>
  <c r="DI181" i="17"/>
  <c r="DJ181" i="17"/>
  <c r="DK181" i="17"/>
  <c r="DL181" i="17"/>
  <c r="DM181" i="17"/>
  <c r="DN181" i="17"/>
  <c r="DO181" i="17"/>
  <c r="DP181" i="17"/>
  <c r="DQ181" i="17"/>
  <c r="DR181" i="17"/>
  <c r="DS181" i="17"/>
  <c r="DT181" i="17"/>
  <c r="DU181" i="17"/>
  <c r="DV181" i="17"/>
  <c r="DW181" i="17"/>
  <c r="DX181" i="17"/>
  <c r="DY181" i="17"/>
  <c r="DZ181" i="17"/>
  <c r="EA181" i="17"/>
  <c r="EB181" i="17"/>
  <c r="EC181" i="17"/>
  <c r="ED181" i="17"/>
  <c r="EE181" i="17"/>
  <c r="EF181" i="17"/>
  <c r="EG181" i="17"/>
  <c r="EH181" i="17"/>
  <c r="EI181" i="17"/>
  <c r="EJ181" i="17"/>
  <c r="EK181" i="17"/>
  <c r="EL181" i="17"/>
  <c r="EM181" i="17"/>
  <c r="EN181" i="17"/>
  <c r="EO181" i="17"/>
  <c r="EP181" i="17"/>
  <c r="EQ181" i="17"/>
  <c r="ER181" i="17"/>
  <c r="ES181" i="17"/>
  <c r="ET181" i="17"/>
  <c r="EU181" i="17"/>
  <c r="EV181" i="17"/>
  <c r="EW181" i="17"/>
  <c r="EX181" i="17"/>
  <c r="EY181" i="17"/>
  <c r="EZ181" i="17"/>
  <c r="FA181" i="17"/>
  <c r="FB181" i="17"/>
  <c r="FC181" i="17"/>
  <c r="FD181" i="17"/>
  <c r="FE181" i="17"/>
  <c r="FF181" i="17"/>
  <c r="FG181" i="17"/>
  <c r="FH181" i="17"/>
  <c r="FI181" i="17"/>
  <c r="FJ181" i="17"/>
  <c r="FK181" i="17"/>
  <c r="FL181" i="17"/>
  <c r="FM181" i="17"/>
  <c r="FN181" i="17"/>
  <c r="FO181" i="17"/>
  <c r="FP181" i="17"/>
  <c r="FQ181" i="17"/>
  <c r="FR181" i="17"/>
  <c r="FS181" i="17"/>
  <c r="FT181" i="17"/>
  <c r="FU181" i="17"/>
  <c r="FV181" i="17"/>
  <c r="FW181" i="17"/>
  <c r="FX181" i="17"/>
  <c r="FY181" i="17"/>
  <c r="FZ181" i="17"/>
  <c r="GA181" i="17"/>
  <c r="GB181" i="17"/>
  <c r="GC181" i="17"/>
  <c r="GD181" i="17"/>
  <c r="GE181" i="17"/>
  <c r="GF181" i="17"/>
  <c r="GG181" i="17"/>
  <c r="GH181" i="17"/>
  <c r="GI181" i="17"/>
  <c r="GJ181" i="17"/>
  <c r="GK181" i="17"/>
  <c r="GL181" i="17"/>
  <c r="GM181" i="17"/>
  <c r="GN181" i="17"/>
  <c r="GO181" i="17"/>
  <c r="GP181" i="17"/>
  <c r="GQ181" i="17"/>
  <c r="GR181" i="17"/>
  <c r="GS181" i="17"/>
  <c r="GT181" i="17"/>
  <c r="GU181" i="17"/>
  <c r="GV181" i="17"/>
  <c r="GW181" i="17"/>
  <c r="GX181" i="17"/>
  <c r="GY181" i="17"/>
  <c r="GZ181" i="17"/>
  <c r="HA181" i="17"/>
  <c r="HB181" i="17"/>
  <c r="HC181" i="17"/>
  <c r="HD181" i="17"/>
  <c r="HE181" i="17"/>
  <c r="HF181" i="17"/>
  <c r="HG181" i="17"/>
  <c r="HH181" i="17"/>
  <c r="HI181" i="17"/>
  <c r="HJ181" i="17"/>
  <c r="HK181" i="17"/>
  <c r="HL181" i="17"/>
  <c r="HM181" i="17"/>
  <c r="HN181" i="17"/>
  <c r="HO181" i="17"/>
  <c r="HP181" i="17"/>
  <c r="HQ181" i="17"/>
  <c r="HR181" i="17"/>
  <c r="HS181" i="17"/>
  <c r="HT181" i="17"/>
  <c r="HU181" i="17"/>
  <c r="HV181" i="17"/>
  <c r="HW181" i="17"/>
  <c r="HX181" i="17"/>
  <c r="HY181" i="17"/>
  <c r="HZ181" i="17"/>
  <c r="IA181" i="17"/>
  <c r="IB181" i="17"/>
  <c r="IC181" i="17"/>
  <c r="ID181" i="17"/>
  <c r="IE181" i="17"/>
  <c r="IF181" i="17"/>
  <c r="IG181" i="17"/>
  <c r="IH181" i="17"/>
  <c r="II181" i="17"/>
  <c r="IJ181" i="17"/>
  <c r="IK181" i="17"/>
  <c r="IL181" i="17"/>
  <c r="IM181" i="17"/>
  <c r="IN181" i="17"/>
  <c r="IO181" i="17"/>
  <c r="IP181" i="17"/>
  <c r="IQ181" i="17"/>
  <c r="IR181" i="17"/>
  <c r="IS181" i="17"/>
  <c r="IT181" i="17"/>
  <c r="IU181" i="17"/>
  <c r="IV181" i="17"/>
  <c r="A180" i="17"/>
  <c r="B180" i="17"/>
  <c r="C180" i="17"/>
  <c r="D180" i="17"/>
  <c r="E180" i="17"/>
  <c r="F180" i="17"/>
  <c r="G180" i="17"/>
  <c r="H180" i="17"/>
  <c r="I180" i="17"/>
  <c r="J180" i="17"/>
  <c r="K180" i="17"/>
  <c r="L180" i="17"/>
  <c r="M180" i="17"/>
  <c r="N180" i="17"/>
  <c r="O180" i="17"/>
  <c r="P180" i="17"/>
  <c r="Q180" i="17"/>
  <c r="R180" i="17"/>
  <c r="S180" i="17"/>
  <c r="T180" i="17"/>
  <c r="U180" i="17"/>
  <c r="V180" i="17"/>
  <c r="W180" i="17"/>
  <c r="X180" i="17"/>
  <c r="Y180" i="17"/>
  <c r="Z180" i="17"/>
  <c r="AA180" i="17"/>
  <c r="AB180" i="17"/>
  <c r="AC180" i="17"/>
  <c r="AD180" i="17"/>
  <c r="AE180" i="17"/>
  <c r="AF180" i="17"/>
  <c r="AG180" i="17"/>
  <c r="AH180" i="17"/>
  <c r="AI180" i="17"/>
  <c r="AJ180" i="17"/>
  <c r="AK180" i="17"/>
  <c r="AL180" i="17"/>
  <c r="AM180" i="17"/>
  <c r="AN180" i="17"/>
  <c r="AO180" i="17"/>
  <c r="AP180" i="17"/>
  <c r="AQ180" i="17"/>
  <c r="AR180" i="17"/>
  <c r="AS180" i="17"/>
  <c r="AT180" i="17"/>
  <c r="AU180" i="17"/>
  <c r="AV180" i="17"/>
  <c r="AW180" i="17"/>
  <c r="AX180" i="17"/>
  <c r="AY180" i="17"/>
  <c r="AZ180" i="17"/>
  <c r="BA180" i="17"/>
  <c r="BB180" i="17"/>
  <c r="BC180" i="17"/>
  <c r="BD180" i="17"/>
  <c r="BE180" i="17"/>
  <c r="BF180" i="17"/>
  <c r="BG180" i="17"/>
  <c r="BH180" i="17"/>
  <c r="BI180" i="17"/>
  <c r="BJ180" i="17"/>
  <c r="BK180" i="17"/>
  <c r="BL180" i="17"/>
  <c r="BM180" i="17"/>
  <c r="BN180" i="17"/>
  <c r="BO180" i="17"/>
  <c r="BP180" i="17"/>
  <c r="BQ180" i="17"/>
  <c r="BR180" i="17"/>
  <c r="BS180" i="17"/>
  <c r="BT180" i="17"/>
  <c r="BU180" i="17"/>
  <c r="BV180" i="17"/>
  <c r="BW180" i="17"/>
  <c r="BX180" i="17"/>
  <c r="BY180" i="17"/>
  <c r="BZ180" i="17"/>
  <c r="CA180" i="17"/>
  <c r="CB180" i="17"/>
  <c r="CC180" i="17"/>
  <c r="CD180" i="17"/>
  <c r="CE180" i="17"/>
  <c r="CF180" i="17"/>
  <c r="CG180" i="17"/>
  <c r="CH180" i="17"/>
  <c r="CI180" i="17"/>
  <c r="CJ180" i="17"/>
  <c r="CK180" i="17"/>
  <c r="CL180" i="17"/>
  <c r="CM180" i="17"/>
  <c r="CN180" i="17"/>
  <c r="CO180" i="17"/>
  <c r="CP180" i="17"/>
  <c r="CQ180" i="17"/>
  <c r="CR180" i="17"/>
  <c r="CS180" i="17"/>
  <c r="CT180" i="17"/>
  <c r="CU180" i="17"/>
  <c r="CV180" i="17"/>
  <c r="CW180" i="17"/>
  <c r="CX180" i="17"/>
  <c r="CY180" i="17"/>
  <c r="CZ180" i="17"/>
  <c r="DA180" i="17"/>
  <c r="DB180" i="17"/>
  <c r="DC180" i="17"/>
  <c r="DD180" i="17"/>
  <c r="DE180" i="17"/>
  <c r="DF180" i="17"/>
  <c r="DG180" i="17"/>
  <c r="DH180" i="17"/>
  <c r="DI180" i="17"/>
  <c r="DJ180" i="17"/>
  <c r="DK180" i="17"/>
  <c r="DL180" i="17"/>
  <c r="DM180" i="17"/>
  <c r="DN180" i="17"/>
  <c r="DO180" i="17"/>
  <c r="DP180" i="17"/>
  <c r="DQ180" i="17"/>
  <c r="DR180" i="17"/>
  <c r="DS180" i="17"/>
  <c r="DT180" i="17"/>
  <c r="DU180" i="17"/>
  <c r="DV180" i="17"/>
  <c r="DW180" i="17"/>
  <c r="DX180" i="17"/>
  <c r="DY180" i="17"/>
  <c r="DZ180" i="17"/>
  <c r="EA180" i="17"/>
  <c r="EB180" i="17"/>
  <c r="EC180" i="17"/>
  <c r="ED180" i="17"/>
  <c r="EE180" i="17"/>
  <c r="EF180" i="17"/>
  <c r="EG180" i="17"/>
  <c r="EH180" i="17"/>
  <c r="EI180" i="17"/>
  <c r="EJ180" i="17"/>
  <c r="EK180" i="17"/>
  <c r="EL180" i="17"/>
  <c r="EM180" i="17"/>
  <c r="EN180" i="17"/>
  <c r="EO180" i="17"/>
  <c r="EP180" i="17"/>
  <c r="EQ180" i="17"/>
  <c r="ER180" i="17"/>
  <c r="ES180" i="17"/>
  <c r="ET180" i="17"/>
  <c r="EU180" i="17"/>
  <c r="EV180" i="17"/>
  <c r="EW180" i="17"/>
  <c r="EX180" i="17"/>
  <c r="EY180" i="17"/>
  <c r="EZ180" i="17"/>
  <c r="FA180" i="17"/>
  <c r="FB180" i="17"/>
  <c r="FC180" i="17"/>
  <c r="FD180" i="17"/>
  <c r="FE180" i="17"/>
  <c r="FF180" i="17"/>
  <c r="FG180" i="17"/>
  <c r="FH180" i="17"/>
  <c r="FI180" i="17"/>
  <c r="FJ180" i="17"/>
  <c r="FK180" i="17"/>
  <c r="FL180" i="17"/>
  <c r="FM180" i="17"/>
  <c r="FN180" i="17"/>
  <c r="FO180" i="17"/>
  <c r="FP180" i="17"/>
  <c r="FQ180" i="17"/>
  <c r="FR180" i="17"/>
  <c r="FS180" i="17"/>
  <c r="FT180" i="17"/>
  <c r="FU180" i="17"/>
  <c r="FV180" i="17"/>
  <c r="FW180" i="17"/>
  <c r="FX180" i="17"/>
  <c r="FY180" i="17"/>
  <c r="FZ180" i="17"/>
  <c r="GA180" i="17"/>
  <c r="GB180" i="17"/>
  <c r="GC180" i="17"/>
  <c r="GD180" i="17"/>
  <c r="GE180" i="17"/>
  <c r="GF180" i="17"/>
  <c r="GG180" i="17"/>
  <c r="GH180" i="17"/>
  <c r="GI180" i="17"/>
  <c r="GJ180" i="17"/>
  <c r="GK180" i="17"/>
  <c r="GL180" i="17"/>
  <c r="GM180" i="17"/>
  <c r="GN180" i="17"/>
  <c r="GO180" i="17"/>
  <c r="GP180" i="17"/>
  <c r="GQ180" i="17"/>
  <c r="GR180" i="17"/>
  <c r="GS180" i="17"/>
  <c r="GT180" i="17"/>
  <c r="GU180" i="17"/>
  <c r="GV180" i="17"/>
  <c r="GW180" i="17"/>
  <c r="GX180" i="17"/>
  <c r="GY180" i="17"/>
  <c r="GZ180" i="17"/>
  <c r="HA180" i="17"/>
  <c r="HB180" i="17"/>
  <c r="HC180" i="17"/>
  <c r="HD180" i="17"/>
  <c r="HE180" i="17"/>
  <c r="HF180" i="17"/>
  <c r="HG180" i="17"/>
  <c r="HH180" i="17"/>
  <c r="HI180" i="17"/>
  <c r="HJ180" i="17"/>
  <c r="HK180" i="17"/>
  <c r="HL180" i="17"/>
  <c r="HM180" i="17"/>
  <c r="HN180" i="17"/>
  <c r="HO180" i="17"/>
  <c r="HP180" i="17"/>
  <c r="HQ180" i="17"/>
  <c r="HR180" i="17"/>
  <c r="HS180" i="17"/>
  <c r="HT180" i="17"/>
  <c r="HU180" i="17"/>
  <c r="HV180" i="17"/>
  <c r="HW180" i="17"/>
  <c r="HX180" i="17"/>
  <c r="HY180" i="17"/>
  <c r="HZ180" i="17"/>
  <c r="IA180" i="17"/>
  <c r="IB180" i="17"/>
  <c r="IC180" i="17"/>
  <c r="ID180" i="17"/>
  <c r="IE180" i="17"/>
  <c r="IF180" i="17"/>
  <c r="IG180" i="17"/>
  <c r="IH180" i="17"/>
  <c r="II180" i="17"/>
  <c r="IJ180" i="17"/>
  <c r="IK180" i="17"/>
  <c r="IL180" i="17"/>
  <c r="IM180" i="17"/>
  <c r="IN180" i="17"/>
  <c r="IO180" i="17"/>
  <c r="IP180" i="17"/>
  <c r="IQ180" i="17"/>
  <c r="IR180" i="17"/>
  <c r="IS180" i="17"/>
  <c r="IT180" i="17"/>
  <c r="IU180" i="17"/>
  <c r="IV180" i="17"/>
  <c r="A179" i="17"/>
  <c r="B179" i="17"/>
  <c r="C179" i="17"/>
  <c r="D179" i="17"/>
  <c r="E179" i="17"/>
  <c r="F179" i="17"/>
  <c r="G179" i="17"/>
  <c r="H179" i="17"/>
  <c r="I179" i="17"/>
  <c r="J179" i="17"/>
  <c r="K179" i="17"/>
  <c r="L179" i="17"/>
  <c r="M179" i="17"/>
  <c r="N179" i="17"/>
  <c r="O179" i="17"/>
  <c r="P179" i="17"/>
  <c r="Q179" i="17"/>
  <c r="R179" i="17"/>
  <c r="S179" i="17"/>
  <c r="T179" i="17"/>
  <c r="U179" i="17"/>
  <c r="V179" i="17"/>
  <c r="W179" i="17"/>
  <c r="X179" i="17"/>
  <c r="Y179" i="17"/>
  <c r="Z179" i="17"/>
  <c r="AA179" i="17"/>
  <c r="AB179" i="17"/>
  <c r="AC179" i="17"/>
  <c r="AD179" i="17"/>
  <c r="AE179" i="17"/>
  <c r="AF179" i="17"/>
  <c r="AG179" i="17"/>
  <c r="AH179" i="17"/>
  <c r="AI179" i="17"/>
  <c r="AJ179" i="17"/>
  <c r="AK179" i="17"/>
  <c r="AL179" i="17"/>
  <c r="AM179" i="17"/>
  <c r="AN179" i="17"/>
  <c r="AO179" i="17"/>
  <c r="AP179" i="17"/>
  <c r="AQ179" i="17"/>
  <c r="AR179" i="17"/>
  <c r="AS179" i="17"/>
  <c r="AT179" i="17"/>
  <c r="AU179" i="17"/>
  <c r="AV179" i="17"/>
  <c r="AW179" i="17"/>
  <c r="AX179" i="17"/>
  <c r="AY179" i="17"/>
  <c r="AZ179" i="17"/>
  <c r="BA179" i="17"/>
  <c r="BB179" i="17"/>
  <c r="BC179" i="17"/>
  <c r="BD179" i="17"/>
  <c r="BE179" i="17"/>
  <c r="BF179" i="17"/>
  <c r="BG179" i="17"/>
  <c r="BH179" i="17"/>
  <c r="BI179" i="17"/>
  <c r="BJ179" i="17"/>
  <c r="BK179" i="17"/>
  <c r="BL179" i="17"/>
  <c r="BM179" i="17"/>
  <c r="BN179" i="17"/>
  <c r="BO179" i="17"/>
  <c r="BP179" i="17"/>
  <c r="BQ179" i="17"/>
  <c r="BR179" i="17"/>
  <c r="BS179" i="17"/>
  <c r="BT179" i="17"/>
  <c r="BU179" i="17"/>
  <c r="BV179" i="17"/>
  <c r="BW179" i="17"/>
  <c r="BX179" i="17"/>
  <c r="BY179" i="17"/>
  <c r="BZ179" i="17"/>
  <c r="CA179" i="17"/>
  <c r="CB179" i="17"/>
  <c r="CC179" i="17"/>
  <c r="CD179" i="17"/>
  <c r="CE179" i="17"/>
  <c r="CF179" i="17"/>
  <c r="CG179" i="17"/>
  <c r="CH179" i="17"/>
  <c r="CI179" i="17"/>
  <c r="CJ179" i="17"/>
  <c r="CK179" i="17"/>
  <c r="CL179" i="17"/>
  <c r="CM179" i="17"/>
  <c r="CN179" i="17"/>
  <c r="CO179" i="17"/>
  <c r="CP179" i="17"/>
  <c r="CQ179" i="17"/>
  <c r="CR179" i="17"/>
  <c r="CS179" i="17"/>
  <c r="CT179" i="17"/>
  <c r="CU179" i="17"/>
  <c r="CV179" i="17"/>
  <c r="CW179" i="17"/>
  <c r="CX179" i="17"/>
  <c r="CY179" i="17"/>
  <c r="CZ179" i="17"/>
  <c r="DA179" i="17"/>
  <c r="DB179" i="17"/>
  <c r="DC179" i="17"/>
  <c r="DD179" i="17"/>
  <c r="DE179" i="17"/>
  <c r="DF179" i="17"/>
  <c r="DG179" i="17"/>
  <c r="DH179" i="17"/>
  <c r="DI179" i="17"/>
  <c r="DJ179" i="17"/>
  <c r="DK179" i="17"/>
  <c r="DL179" i="17"/>
  <c r="DM179" i="17"/>
  <c r="DN179" i="17"/>
  <c r="DO179" i="17"/>
  <c r="DP179" i="17"/>
  <c r="DQ179" i="17"/>
  <c r="DR179" i="17"/>
  <c r="DS179" i="17"/>
  <c r="DT179" i="17"/>
  <c r="DU179" i="17"/>
  <c r="DV179" i="17"/>
  <c r="DW179" i="17"/>
  <c r="DX179" i="17"/>
  <c r="DY179" i="17"/>
  <c r="DZ179" i="17"/>
  <c r="EA179" i="17"/>
  <c r="EB179" i="17"/>
  <c r="EC179" i="17"/>
  <c r="ED179" i="17"/>
  <c r="EE179" i="17"/>
  <c r="EF179" i="17"/>
  <c r="EG179" i="17"/>
  <c r="EH179" i="17"/>
  <c r="EI179" i="17"/>
  <c r="EJ179" i="17"/>
  <c r="EK179" i="17"/>
  <c r="EL179" i="17"/>
  <c r="EM179" i="17"/>
  <c r="EN179" i="17"/>
  <c r="EO179" i="17"/>
  <c r="EP179" i="17"/>
  <c r="EQ179" i="17"/>
  <c r="ER179" i="17"/>
  <c r="ES179" i="17"/>
  <c r="ET179" i="17"/>
  <c r="EU179" i="17"/>
  <c r="EV179" i="17"/>
  <c r="EW179" i="17"/>
  <c r="EX179" i="17"/>
  <c r="EY179" i="17"/>
  <c r="EZ179" i="17"/>
  <c r="FA179" i="17"/>
  <c r="FB179" i="17"/>
  <c r="FC179" i="17"/>
  <c r="FD179" i="17"/>
  <c r="FE179" i="17"/>
  <c r="FF179" i="17"/>
  <c r="FG179" i="17"/>
  <c r="FH179" i="17"/>
  <c r="FI179" i="17"/>
  <c r="FJ179" i="17"/>
  <c r="FK179" i="17"/>
  <c r="FL179" i="17"/>
  <c r="FM179" i="17"/>
  <c r="FN179" i="17"/>
  <c r="FO179" i="17"/>
  <c r="FP179" i="17"/>
  <c r="FQ179" i="17"/>
  <c r="FR179" i="17"/>
  <c r="FS179" i="17"/>
  <c r="FT179" i="17"/>
  <c r="FU179" i="17"/>
  <c r="FV179" i="17"/>
  <c r="FW179" i="17"/>
  <c r="FX179" i="17"/>
  <c r="FY179" i="17"/>
  <c r="FZ179" i="17"/>
  <c r="GA179" i="17"/>
  <c r="GB179" i="17"/>
  <c r="GC179" i="17"/>
  <c r="GD179" i="17"/>
  <c r="GE179" i="17"/>
  <c r="GF179" i="17"/>
  <c r="GG179" i="17"/>
  <c r="GH179" i="17"/>
  <c r="GI179" i="17"/>
  <c r="GJ179" i="17"/>
  <c r="GK179" i="17"/>
  <c r="GL179" i="17"/>
  <c r="GM179" i="17"/>
  <c r="GN179" i="17"/>
  <c r="GO179" i="17"/>
  <c r="GP179" i="17"/>
  <c r="GQ179" i="17"/>
  <c r="GR179" i="17"/>
  <c r="GS179" i="17"/>
  <c r="GT179" i="17"/>
  <c r="GU179" i="17"/>
  <c r="GV179" i="17"/>
  <c r="GW179" i="17"/>
  <c r="GX179" i="17"/>
  <c r="GY179" i="17"/>
  <c r="GZ179" i="17"/>
  <c r="HA179" i="17"/>
  <c r="HB179" i="17"/>
  <c r="HC179" i="17"/>
  <c r="HD179" i="17"/>
  <c r="HE179" i="17"/>
  <c r="HF179" i="17"/>
  <c r="HG179" i="17"/>
  <c r="HH179" i="17"/>
  <c r="HI179" i="17"/>
  <c r="HJ179" i="17"/>
  <c r="HK179" i="17"/>
  <c r="HL179" i="17"/>
  <c r="HM179" i="17"/>
  <c r="HN179" i="17"/>
  <c r="HO179" i="17"/>
  <c r="HP179" i="17"/>
  <c r="HQ179" i="17"/>
  <c r="HR179" i="17"/>
  <c r="HS179" i="17"/>
  <c r="HT179" i="17"/>
  <c r="HU179" i="17"/>
  <c r="HV179" i="17"/>
  <c r="HW179" i="17"/>
  <c r="HX179" i="17"/>
  <c r="HY179" i="17"/>
  <c r="HZ179" i="17"/>
  <c r="IA179" i="17"/>
  <c r="IB179" i="17"/>
  <c r="IC179" i="17"/>
  <c r="ID179" i="17"/>
  <c r="IE179" i="17"/>
  <c r="IF179" i="17"/>
  <c r="IG179" i="17"/>
  <c r="IH179" i="17"/>
  <c r="II179" i="17"/>
  <c r="IJ179" i="17"/>
  <c r="IK179" i="17"/>
  <c r="IL179" i="17"/>
  <c r="IM179" i="17"/>
  <c r="IN179" i="17"/>
  <c r="IO179" i="17"/>
  <c r="IP179" i="17"/>
  <c r="IQ179" i="17"/>
  <c r="IR179" i="17"/>
  <c r="IS179" i="17"/>
  <c r="IT179" i="17"/>
  <c r="IU179" i="17"/>
  <c r="IV179" i="17"/>
  <c r="A178" i="17"/>
  <c r="B178" i="17"/>
  <c r="C178" i="17"/>
  <c r="D178" i="17"/>
  <c r="E178" i="17"/>
  <c r="F178" i="17"/>
  <c r="G178" i="17"/>
  <c r="H178" i="17"/>
  <c r="I178" i="17"/>
  <c r="J178" i="17"/>
  <c r="K178" i="17"/>
  <c r="L178" i="17"/>
  <c r="M178" i="17"/>
  <c r="N178" i="17"/>
  <c r="O178" i="17"/>
  <c r="P178" i="17"/>
  <c r="Q178" i="17"/>
  <c r="R178" i="17"/>
  <c r="S178" i="17"/>
  <c r="T178" i="17"/>
  <c r="U178" i="17"/>
  <c r="V178" i="17"/>
  <c r="W178" i="17"/>
  <c r="X178" i="17"/>
  <c r="Y178" i="17"/>
  <c r="Z178" i="17"/>
  <c r="AA178" i="17"/>
  <c r="AB178" i="17"/>
  <c r="AC178" i="17"/>
  <c r="AD178" i="17"/>
  <c r="AE178" i="17"/>
  <c r="AF178" i="17"/>
  <c r="AG178" i="17"/>
  <c r="AH178" i="17"/>
  <c r="AI178" i="17"/>
  <c r="AJ178" i="17"/>
  <c r="AK178" i="17"/>
  <c r="AL178" i="17"/>
  <c r="AM178" i="17"/>
  <c r="AN178" i="17"/>
  <c r="AO178" i="17"/>
  <c r="AP178" i="17"/>
  <c r="AQ178" i="17"/>
  <c r="AR178" i="17"/>
  <c r="AS178" i="17"/>
  <c r="AT178" i="17"/>
  <c r="AU178" i="17"/>
  <c r="AV178" i="17"/>
  <c r="AW178" i="17"/>
  <c r="AX178" i="17"/>
  <c r="AY178" i="17"/>
  <c r="AZ178" i="17"/>
  <c r="BA178" i="17"/>
  <c r="BB178" i="17"/>
  <c r="BC178" i="17"/>
  <c r="BD178" i="17"/>
  <c r="BE178" i="17"/>
  <c r="BF178" i="17"/>
  <c r="BG178" i="17"/>
  <c r="BH178" i="17"/>
  <c r="BI178" i="17"/>
  <c r="BJ178" i="17"/>
  <c r="BK178" i="17"/>
  <c r="BL178" i="17"/>
  <c r="BM178" i="17"/>
  <c r="BN178" i="17"/>
  <c r="BO178" i="17"/>
  <c r="BP178" i="17"/>
  <c r="BQ178" i="17"/>
  <c r="BR178" i="17"/>
  <c r="BS178" i="17"/>
  <c r="BT178" i="17"/>
  <c r="BU178" i="17"/>
  <c r="BV178" i="17"/>
  <c r="BW178" i="17"/>
  <c r="BX178" i="17"/>
  <c r="BY178" i="17"/>
  <c r="BZ178" i="17"/>
  <c r="CA178" i="17"/>
  <c r="CB178" i="17"/>
  <c r="CC178" i="17"/>
  <c r="CD178" i="17"/>
  <c r="CE178" i="17"/>
  <c r="CF178" i="17"/>
  <c r="CG178" i="17"/>
  <c r="CH178" i="17"/>
  <c r="CI178" i="17"/>
  <c r="CJ178" i="17"/>
  <c r="CK178" i="17"/>
  <c r="CL178" i="17"/>
  <c r="CM178" i="17"/>
  <c r="CN178" i="17"/>
  <c r="CO178" i="17"/>
  <c r="CP178" i="17"/>
  <c r="CQ178" i="17"/>
  <c r="CR178" i="17"/>
  <c r="CS178" i="17"/>
  <c r="CT178" i="17"/>
  <c r="CU178" i="17"/>
  <c r="CV178" i="17"/>
  <c r="CW178" i="17"/>
  <c r="CX178" i="17"/>
  <c r="CY178" i="17"/>
  <c r="CZ178" i="17"/>
  <c r="DA178" i="17"/>
  <c r="DB178" i="17"/>
  <c r="DC178" i="17"/>
  <c r="DD178" i="17"/>
  <c r="DE178" i="17"/>
  <c r="DF178" i="17"/>
  <c r="DG178" i="17"/>
  <c r="DH178" i="17"/>
  <c r="DI178" i="17"/>
  <c r="DJ178" i="17"/>
  <c r="DK178" i="17"/>
  <c r="DL178" i="17"/>
  <c r="DM178" i="17"/>
  <c r="DN178" i="17"/>
  <c r="DO178" i="17"/>
  <c r="DP178" i="17"/>
  <c r="DQ178" i="17"/>
  <c r="DR178" i="17"/>
  <c r="DS178" i="17"/>
  <c r="DT178" i="17"/>
  <c r="DU178" i="17"/>
  <c r="DV178" i="17"/>
  <c r="DW178" i="17"/>
  <c r="DX178" i="17"/>
  <c r="DY178" i="17"/>
  <c r="DZ178" i="17"/>
  <c r="EA178" i="17"/>
  <c r="EB178" i="17"/>
  <c r="EC178" i="17"/>
  <c r="ED178" i="17"/>
  <c r="EE178" i="17"/>
  <c r="EF178" i="17"/>
  <c r="EG178" i="17"/>
  <c r="EH178" i="17"/>
  <c r="EI178" i="17"/>
  <c r="EJ178" i="17"/>
  <c r="EK178" i="17"/>
  <c r="EL178" i="17"/>
  <c r="EM178" i="17"/>
  <c r="EN178" i="17"/>
  <c r="EO178" i="17"/>
  <c r="EP178" i="17"/>
  <c r="EQ178" i="17"/>
  <c r="ER178" i="17"/>
  <c r="ES178" i="17"/>
  <c r="ET178" i="17"/>
  <c r="EU178" i="17"/>
  <c r="EV178" i="17"/>
  <c r="EW178" i="17"/>
  <c r="EX178" i="17"/>
  <c r="EY178" i="17"/>
  <c r="EZ178" i="17"/>
  <c r="FA178" i="17"/>
  <c r="FB178" i="17"/>
  <c r="FC178" i="17"/>
  <c r="FD178" i="17"/>
  <c r="FE178" i="17"/>
  <c r="FF178" i="17"/>
  <c r="FG178" i="17"/>
  <c r="FH178" i="17"/>
  <c r="FI178" i="17"/>
  <c r="FJ178" i="17"/>
  <c r="FK178" i="17"/>
  <c r="FL178" i="17"/>
  <c r="FM178" i="17"/>
  <c r="FN178" i="17"/>
  <c r="FO178" i="17"/>
  <c r="FP178" i="17"/>
  <c r="FQ178" i="17"/>
  <c r="FR178" i="17"/>
  <c r="FS178" i="17"/>
  <c r="FT178" i="17"/>
  <c r="FU178" i="17"/>
  <c r="FV178" i="17"/>
  <c r="FW178" i="17"/>
  <c r="FX178" i="17"/>
  <c r="FY178" i="17"/>
  <c r="FZ178" i="17"/>
  <c r="GA178" i="17"/>
  <c r="GB178" i="17"/>
  <c r="GC178" i="17"/>
  <c r="GD178" i="17"/>
  <c r="GE178" i="17"/>
  <c r="GF178" i="17"/>
  <c r="GG178" i="17"/>
  <c r="GH178" i="17"/>
  <c r="GI178" i="17"/>
  <c r="GJ178" i="17"/>
  <c r="GK178" i="17"/>
  <c r="GL178" i="17"/>
  <c r="GM178" i="17"/>
  <c r="GN178" i="17"/>
  <c r="GO178" i="17"/>
  <c r="GP178" i="17"/>
  <c r="GQ178" i="17"/>
  <c r="GR178" i="17"/>
  <c r="GS178" i="17"/>
  <c r="GT178" i="17"/>
  <c r="GU178" i="17"/>
  <c r="GV178" i="17"/>
  <c r="GW178" i="17"/>
  <c r="GX178" i="17"/>
  <c r="GY178" i="17"/>
  <c r="GZ178" i="17"/>
  <c r="HA178" i="17"/>
  <c r="HB178" i="17"/>
  <c r="HC178" i="17"/>
  <c r="HD178" i="17"/>
  <c r="HE178" i="17"/>
  <c r="HF178" i="17"/>
  <c r="HG178" i="17"/>
  <c r="HH178" i="17"/>
  <c r="HI178" i="17"/>
  <c r="HJ178" i="17"/>
  <c r="HK178" i="17"/>
  <c r="HL178" i="17"/>
  <c r="HM178" i="17"/>
  <c r="HN178" i="17"/>
  <c r="HO178" i="17"/>
  <c r="HP178" i="17"/>
  <c r="HQ178" i="17"/>
  <c r="HR178" i="17"/>
  <c r="HS178" i="17"/>
  <c r="HT178" i="17"/>
  <c r="HU178" i="17"/>
  <c r="HV178" i="17"/>
  <c r="HW178" i="17"/>
  <c r="HX178" i="17"/>
  <c r="HY178" i="17"/>
  <c r="HZ178" i="17"/>
  <c r="IA178" i="17"/>
  <c r="IB178" i="17"/>
  <c r="IC178" i="17"/>
  <c r="ID178" i="17"/>
  <c r="IE178" i="17"/>
  <c r="IF178" i="17"/>
  <c r="IG178" i="17"/>
  <c r="IH178" i="17"/>
  <c r="II178" i="17"/>
  <c r="IJ178" i="17"/>
  <c r="IK178" i="17"/>
  <c r="IL178" i="17"/>
  <c r="IM178" i="17"/>
  <c r="IN178" i="17"/>
  <c r="IO178" i="17"/>
  <c r="IP178" i="17"/>
  <c r="IQ178" i="17"/>
  <c r="IR178" i="17"/>
  <c r="IS178" i="17"/>
  <c r="IT178" i="17"/>
  <c r="IU178" i="17"/>
  <c r="IV178" i="17"/>
  <c r="A177" i="17"/>
  <c r="B177" i="17"/>
  <c r="C177" i="17"/>
  <c r="D177" i="17"/>
  <c r="E177" i="17"/>
  <c r="F177" i="17"/>
  <c r="G177" i="17"/>
  <c r="H177" i="17"/>
  <c r="I177" i="17"/>
  <c r="J177" i="17"/>
  <c r="K177" i="17"/>
  <c r="L177" i="17"/>
  <c r="M177" i="17"/>
  <c r="N177" i="17"/>
  <c r="O177" i="17"/>
  <c r="P177" i="17"/>
  <c r="Q177" i="17"/>
  <c r="R177" i="17"/>
  <c r="S177" i="17"/>
  <c r="T177" i="17"/>
  <c r="U177" i="17"/>
  <c r="V177" i="17"/>
  <c r="W177" i="17"/>
  <c r="X177" i="17"/>
  <c r="Y177" i="17"/>
  <c r="Z177" i="17"/>
  <c r="AA177" i="17"/>
  <c r="AB177" i="17"/>
  <c r="AC177" i="17"/>
  <c r="AD177" i="17"/>
  <c r="AE177" i="17"/>
  <c r="AF177" i="17"/>
  <c r="AG177" i="17"/>
  <c r="AH177" i="17"/>
  <c r="AI177" i="17"/>
  <c r="AJ177" i="17"/>
  <c r="AK177" i="17"/>
  <c r="AL177" i="17"/>
  <c r="AM177" i="17"/>
  <c r="AN177" i="17"/>
  <c r="AO177" i="17"/>
  <c r="AP177" i="17"/>
  <c r="AQ177" i="17"/>
  <c r="AR177" i="17"/>
  <c r="AS177" i="17"/>
  <c r="AT177" i="17"/>
  <c r="AU177" i="17"/>
  <c r="AV177" i="17"/>
  <c r="AW177" i="17"/>
  <c r="AX177" i="17"/>
  <c r="AY177" i="17"/>
  <c r="AZ177" i="17"/>
  <c r="BA177" i="17"/>
  <c r="BB177" i="17"/>
  <c r="BC177" i="17"/>
  <c r="BD177" i="17"/>
  <c r="BE177" i="17"/>
  <c r="BF177" i="17"/>
  <c r="BG177" i="17"/>
  <c r="BH177" i="17"/>
  <c r="BI177" i="17"/>
  <c r="BJ177" i="17"/>
  <c r="BK177" i="17"/>
  <c r="BL177" i="17"/>
  <c r="BM177" i="17"/>
  <c r="BN177" i="17"/>
  <c r="BO177" i="17"/>
  <c r="BP177" i="17"/>
  <c r="BQ177" i="17"/>
  <c r="BR177" i="17"/>
  <c r="BS177" i="17"/>
  <c r="BT177" i="17"/>
  <c r="BU177" i="17"/>
  <c r="BV177" i="17"/>
  <c r="BW177" i="17"/>
  <c r="BX177" i="17"/>
  <c r="BY177" i="17"/>
  <c r="BZ177" i="17"/>
  <c r="CA177" i="17"/>
  <c r="CB177" i="17"/>
  <c r="CC177" i="17"/>
  <c r="CD177" i="17"/>
  <c r="CE177" i="17"/>
  <c r="CF177" i="17"/>
  <c r="CG177" i="17"/>
  <c r="CH177" i="17"/>
  <c r="CI177" i="17"/>
  <c r="CJ177" i="17"/>
  <c r="CK177" i="17"/>
  <c r="CL177" i="17"/>
  <c r="CM177" i="17"/>
  <c r="CN177" i="17"/>
  <c r="CO177" i="17"/>
  <c r="CP177" i="17"/>
  <c r="CQ177" i="17"/>
  <c r="CR177" i="17"/>
  <c r="CS177" i="17"/>
  <c r="CT177" i="17"/>
  <c r="CU177" i="17"/>
  <c r="CV177" i="17"/>
  <c r="CW177" i="17"/>
  <c r="CX177" i="17"/>
  <c r="CY177" i="17"/>
  <c r="CZ177" i="17"/>
  <c r="DA177" i="17"/>
  <c r="DB177" i="17"/>
  <c r="DC177" i="17"/>
  <c r="DD177" i="17"/>
  <c r="DE177" i="17"/>
  <c r="DF177" i="17"/>
  <c r="DG177" i="17"/>
  <c r="DH177" i="17"/>
  <c r="DI177" i="17"/>
  <c r="DJ177" i="17"/>
  <c r="DK177" i="17"/>
  <c r="DL177" i="17"/>
  <c r="DM177" i="17"/>
  <c r="DN177" i="17"/>
  <c r="DO177" i="17"/>
  <c r="DP177" i="17"/>
  <c r="DQ177" i="17"/>
  <c r="DR177" i="17"/>
  <c r="DS177" i="17"/>
  <c r="DT177" i="17"/>
  <c r="DU177" i="17"/>
  <c r="DV177" i="17"/>
  <c r="DW177" i="17"/>
  <c r="DX177" i="17"/>
  <c r="DY177" i="17"/>
  <c r="DZ177" i="17"/>
  <c r="EA177" i="17"/>
  <c r="EB177" i="17"/>
  <c r="EC177" i="17"/>
  <c r="ED177" i="17"/>
  <c r="EE177" i="17"/>
  <c r="EF177" i="17"/>
  <c r="EG177" i="17"/>
  <c r="EH177" i="17"/>
  <c r="EI177" i="17"/>
  <c r="EJ177" i="17"/>
  <c r="EK177" i="17"/>
  <c r="EL177" i="17"/>
  <c r="EM177" i="17"/>
  <c r="EN177" i="17"/>
  <c r="EO177" i="17"/>
  <c r="EP177" i="17"/>
  <c r="EQ177" i="17"/>
  <c r="ER177" i="17"/>
  <c r="ES177" i="17"/>
  <c r="ET177" i="17"/>
  <c r="EU177" i="17"/>
  <c r="EV177" i="17"/>
  <c r="EW177" i="17"/>
  <c r="EX177" i="17"/>
  <c r="EY177" i="17"/>
  <c r="EZ177" i="17"/>
  <c r="FA177" i="17"/>
  <c r="FB177" i="17"/>
  <c r="FC177" i="17"/>
  <c r="FD177" i="17"/>
  <c r="FE177" i="17"/>
  <c r="FF177" i="17"/>
  <c r="FG177" i="17"/>
  <c r="FH177" i="17"/>
  <c r="FI177" i="17"/>
  <c r="FJ177" i="17"/>
  <c r="FK177" i="17"/>
  <c r="FL177" i="17"/>
  <c r="FM177" i="17"/>
  <c r="FN177" i="17"/>
  <c r="FO177" i="17"/>
  <c r="FP177" i="17"/>
  <c r="FQ177" i="17"/>
  <c r="FR177" i="17"/>
  <c r="FS177" i="17"/>
  <c r="FT177" i="17"/>
  <c r="FU177" i="17"/>
  <c r="FV177" i="17"/>
  <c r="FW177" i="17"/>
  <c r="FX177" i="17"/>
  <c r="FY177" i="17"/>
  <c r="FZ177" i="17"/>
  <c r="GA177" i="17"/>
  <c r="GB177" i="17"/>
  <c r="GC177" i="17"/>
  <c r="GD177" i="17"/>
  <c r="GE177" i="17"/>
  <c r="GF177" i="17"/>
  <c r="GG177" i="17"/>
  <c r="GH177" i="17"/>
  <c r="GI177" i="17"/>
  <c r="GJ177" i="17"/>
  <c r="GK177" i="17"/>
  <c r="GL177" i="17"/>
  <c r="GM177" i="17"/>
  <c r="GN177" i="17"/>
  <c r="GO177" i="17"/>
  <c r="GP177" i="17"/>
  <c r="GQ177" i="17"/>
  <c r="GR177" i="17"/>
  <c r="GS177" i="17"/>
  <c r="GT177" i="17"/>
  <c r="GU177" i="17"/>
  <c r="GV177" i="17"/>
  <c r="GW177" i="17"/>
  <c r="GX177" i="17"/>
  <c r="GY177" i="17"/>
  <c r="GZ177" i="17"/>
  <c r="HA177" i="17"/>
  <c r="HB177" i="17"/>
  <c r="HC177" i="17"/>
  <c r="HD177" i="17"/>
  <c r="HE177" i="17"/>
  <c r="HF177" i="17"/>
  <c r="HG177" i="17"/>
  <c r="HH177" i="17"/>
  <c r="HI177" i="17"/>
  <c r="HJ177" i="17"/>
  <c r="HK177" i="17"/>
  <c r="HL177" i="17"/>
  <c r="HM177" i="17"/>
  <c r="HN177" i="17"/>
  <c r="HO177" i="17"/>
  <c r="HP177" i="17"/>
  <c r="HQ177" i="17"/>
  <c r="HR177" i="17"/>
  <c r="HS177" i="17"/>
  <c r="HT177" i="17"/>
  <c r="HU177" i="17"/>
  <c r="HV177" i="17"/>
  <c r="HW177" i="17"/>
  <c r="HX177" i="17"/>
  <c r="HY177" i="17"/>
  <c r="HZ177" i="17"/>
  <c r="IA177" i="17"/>
  <c r="IB177" i="17"/>
  <c r="IC177" i="17"/>
  <c r="ID177" i="17"/>
  <c r="IE177" i="17"/>
  <c r="IF177" i="17"/>
  <c r="IG177" i="17"/>
  <c r="IH177" i="17"/>
  <c r="II177" i="17"/>
  <c r="IJ177" i="17"/>
  <c r="IK177" i="17"/>
  <c r="IL177" i="17"/>
  <c r="IM177" i="17"/>
  <c r="IN177" i="17"/>
  <c r="IO177" i="17"/>
  <c r="IP177" i="17"/>
  <c r="IQ177" i="17"/>
  <c r="IR177" i="17"/>
  <c r="IS177" i="17"/>
  <c r="IT177" i="17"/>
  <c r="IU177" i="17"/>
  <c r="IV177" i="17"/>
  <c r="A176" i="17"/>
  <c r="B176" i="17"/>
  <c r="C176" i="17"/>
  <c r="D176" i="17"/>
  <c r="E176" i="17"/>
  <c r="F176" i="17"/>
  <c r="G176" i="17"/>
  <c r="H176" i="17"/>
  <c r="I176" i="17"/>
  <c r="J176" i="17"/>
  <c r="K176" i="17"/>
  <c r="L176" i="17"/>
  <c r="M176" i="17"/>
  <c r="N176" i="17"/>
  <c r="O176" i="17"/>
  <c r="P176" i="17"/>
  <c r="Q176" i="17"/>
  <c r="R176" i="17"/>
  <c r="S176" i="17"/>
  <c r="T176" i="17"/>
  <c r="U176" i="17"/>
  <c r="V176" i="17"/>
  <c r="W176" i="17"/>
  <c r="X176" i="17"/>
  <c r="Y176" i="17"/>
  <c r="Z176" i="17"/>
  <c r="AA176" i="17"/>
  <c r="AB176" i="17"/>
  <c r="AC176" i="17"/>
  <c r="AD176" i="17"/>
  <c r="AE176" i="17"/>
  <c r="AF176" i="17"/>
  <c r="AG176" i="17"/>
  <c r="AH176" i="17"/>
  <c r="AI176" i="17"/>
  <c r="AJ176" i="17"/>
  <c r="AK176" i="17"/>
  <c r="AL176" i="17"/>
  <c r="AM176" i="17"/>
  <c r="AN176" i="17"/>
  <c r="AO176" i="17"/>
  <c r="AP176" i="17"/>
  <c r="AQ176" i="17"/>
  <c r="AR176" i="17"/>
  <c r="AS176" i="17"/>
  <c r="AT176" i="17"/>
  <c r="AU176" i="17"/>
  <c r="AV176" i="17"/>
  <c r="AW176" i="17"/>
  <c r="AX176" i="17"/>
  <c r="AY176" i="17"/>
  <c r="AZ176" i="17"/>
  <c r="BA176" i="17"/>
  <c r="BB176" i="17"/>
  <c r="BC176" i="17"/>
  <c r="BD176" i="17"/>
  <c r="BE176" i="17"/>
  <c r="BF176" i="17"/>
  <c r="BG176" i="17"/>
  <c r="BH176" i="17"/>
  <c r="BI176" i="17"/>
  <c r="BJ176" i="17"/>
  <c r="BK176" i="17"/>
  <c r="BL176" i="17"/>
  <c r="BM176" i="17"/>
  <c r="BN176" i="17"/>
  <c r="BO176" i="17"/>
  <c r="BP176" i="17"/>
  <c r="BQ176" i="17"/>
  <c r="BR176" i="17"/>
  <c r="BS176" i="17"/>
  <c r="BT176" i="17"/>
  <c r="BU176" i="17"/>
  <c r="BV176" i="17"/>
  <c r="BW176" i="17"/>
  <c r="BX176" i="17"/>
  <c r="BY176" i="17"/>
  <c r="BZ176" i="17"/>
  <c r="CA176" i="17"/>
  <c r="CB176" i="17"/>
  <c r="CC176" i="17"/>
  <c r="CD176" i="17"/>
  <c r="CE176" i="17"/>
  <c r="CF176" i="17"/>
  <c r="CG176" i="17"/>
  <c r="CH176" i="17"/>
  <c r="CI176" i="17"/>
  <c r="CJ176" i="17"/>
  <c r="CK176" i="17"/>
  <c r="CL176" i="17"/>
  <c r="CM176" i="17"/>
  <c r="CN176" i="17"/>
  <c r="CO176" i="17"/>
  <c r="CP176" i="17"/>
  <c r="CQ176" i="17"/>
  <c r="CR176" i="17"/>
  <c r="CS176" i="17"/>
  <c r="CT176" i="17"/>
  <c r="CU176" i="17"/>
  <c r="CV176" i="17"/>
  <c r="CW176" i="17"/>
  <c r="CX176" i="17"/>
  <c r="CY176" i="17"/>
  <c r="CZ176" i="17"/>
  <c r="DA176" i="17"/>
  <c r="DB176" i="17"/>
  <c r="DC176" i="17"/>
  <c r="DD176" i="17"/>
  <c r="DE176" i="17"/>
  <c r="DF176" i="17"/>
  <c r="DG176" i="17"/>
  <c r="DH176" i="17"/>
  <c r="DI176" i="17"/>
  <c r="DJ176" i="17"/>
  <c r="DK176" i="17"/>
  <c r="DL176" i="17"/>
  <c r="DM176" i="17"/>
  <c r="DN176" i="17"/>
  <c r="DO176" i="17"/>
  <c r="DP176" i="17"/>
  <c r="DQ176" i="17"/>
  <c r="DR176" i="17"/>
  <c r="DS176" i="17"/>
  <c r="DT176" i="17"/>
  <c r="DU176" i="17"/>
  <c r="DV176" i="17"/>
  <c r="DW176" i="17"/>
  <c r="DX176" i="17"/>
  <c r="DY176" i="17"/>
  <c r="DZ176" i="17"/>
  <c r="EA176" i="17"/>
  <c r="EB176" i="17"/>
  <c r="EC176" i="17"/>
  <c r="ED176" i="17"/>
  <c r="EE176" i="17"/>
  <c r="EF176" i="17"/>
  <c r="EG176" i="17"/>
  <c r="EH176" i="17"/>
  <c r="EI176" i="17"/>
  <c r="EJ176" i="17"/>
  <c r="EK176" i="17"/>
  <c r="EL176" i="17"/>
  <c r="EM176" i="17"/>
  <c r="EN176" i="17"/>
  <c r="EO176" i="17"/>
  <c r="EP176" i="17"/>
  <c r="EQ176" i="17"/>
  <c r="ER176" i="17"/>
  <c r="ES176" i="17"/>
  <c r="ET176" i="17"/>
  <c r="EU176" i="17"/>
  <c r="EV176" i="17"/>
  <c r="EW176" i="17"/>
  <c r="EX176" i="17"/>
  <c r="EY176" i="17"/>
  <c r="EZ176" i="17"/>
  <c r="FA176" i="17"/>
  <c r="FB176" i="17"/>
  <c r="FC176" i="17"/>
  <c r="FD176" i="17"/>
  <c r="FE176" i="17"/>
  <c r="FF176" i="17"/>
  <c r="FG176" i="17"/>
  <c r="FH176" i="17"/>
  <c r="FI176" i="17"/>
  <c r="FJ176" i="17"/>
  <c r="FK176" i="17"/>
  <c r="FL176" i="17"/>
  <c r="FM176" i="17"/>
  <c r="FN176" i="17"/>
  <c r="FO176" i="17"/>
  <c r="FP176" i="17"/>
  <c r="FQ176" i="17"/>
  <c r="FR176" i="17"/>
  <c r="FS176" i="17"/>
  <c r="FT176" i="17"/>
  <c r="FU176" i="17"/>
  <c r="FV176" i="17"/>
  <c r="FW176" i="17"/>
  <c r="FX176" i="17"/>
  <c r="FY176" i="17"/>
  <c r="FZ176" i="17"/>
  <c r="GA176" i="17"/>
  <c r="GB176" i="17"/>
  <c r="GC176" i="17"/>
  <c r="GD176" i="17"/>
  <c r="GE176" i="17"/>
  <c r="GF176" i="17"/>
  <c r="GG176" i="17"/>
  <c r="GH176" i="17"/>
  <c r="GI176" i="17"/>
  <c r="GJ176" i="17"/>
  <c r="GK176" i="17"/>
  <c r="GL176" i="17"/>
  <c r="GM176" i="17"/>
  <c r="GN176" i="17"/>
  <c r="GO176" i="17"/>
  <c r="GP176" i="17"/>
  <c r="GS176" i="17"/>
  <c r="GT176" i="17"/>
  <c r="GU176" i="17"/>
  <c r="GV176" i="17"/>
  <c r="GW176" i="17"/>
  <c r="GX176" i="17"/>
  <c r="GY176" i="17"/>
  <c r="GZ176" i="17"/>
  <c r="HA176" i="17"/>
  <c r="HB176" i="17"/>
  <c r="HC176" i="17"/>
  <c r="HD176" i="17"/>
  <c r="HE176" i="17"/>
  <c r="HF176" i="17"/>
  <c r="HG176" i="17"/>
  <c r="HH176" i="17"/>
  <c r="HI176" i="17"/>
  <c r="HJ176" i="17"/>
  <c r="HK176" i="17"/>
  <c r="HL176" i="17"/>
  <c r="HM176" i="17"/>
  <c r="HN176" i="17"/>
  <c r="HO176" i="17"/>
  <c r="HP176" i="17"/>
  <c r="HQ176" i="17"/>
  <c r="HR176" i="17"/>
  <c r="HS176" i="17"/>
  <c r="HT176" i="17"/>
  <c r="HU176" i="17"/>
  <c r="HV176" i="17"/>
  <c r="HW176" i="17"/>
  <c r="HX176" i="17"/>
  <c r="HY176" i="17"/>
  <c r="HZ176" i="17"/>
  <c r="IA176" i="17"/>
  <c r="IB176" i="17"/>
  <c r="IC176" i="17"/>
  <c r="ID176" i="17"/>
  <c r="IE176" i="17"/>
  <c r="IF176" i="17"/>
  <c r="IG176" i="17"/>
  <c r="IH176" i="17"/>
  <c r="II176" i="17"/>
  <c r="IJ176" i="17"/>
  <c r="IK176" i="17"/>
  <c r="IL176" i="17"/>
  <c r="IM176" i="17"/>
  <c r="IN176" i="17"/>
  <c r="IO176" i="17"/>
  <c r="IP176" i="17"/>
  <c r="IQ176" i="17"/>
  <c r="IR176" i="17"/>
  <c r="IS176" i="17"/>
  <c r="IT176" i="17"/>
  <c r="IU176" i="17"/>
  <c r="IV176" i="17"/>
  <c r="A175" i="17"/>
  <c r="B175" i="17"/>
  <c r="C175" i="17"/>
  <c r="D175" i="17"/>
  <c r="E175" i="17"/>
  <c r="F175" i="17"/>
  <c r="G175" i="17"/>
  <c r="H175" i="17"/>
  <c r="I175" i="17"/>
  <c r="J175" i="17"/>
  <c r="K175" i="17"/>
  <c r="L175" i="17"/>
  <c r="M175" i="17"/>
  <c r="N175" i="17"/>
  <c r="O175" i="17"/>
  <c r="P175" i="17"/>
  <c r="Q175" i="17"/>
  <c r="R175" i="17"/>
  <c r="S175" i="17"/>
  <c r="T175" i="17"/>
  <c r="U175" i="17"/>
  <c r="V175" i="17"/>
  <c r="W175" i="17"/>
  <c r="X175" i="17"/>
  <c r="Y175" i="17"/>
  <c r="Z175" i="17"/>
  <c r="AA175" i="17"/>
  <c r="AB175" i="17"/>
  <c r="AC175" i="17"/>
  <c r="AD175" i="17"/>
  <c r="AE175" i="17"/>
  <c r="AF175" i="17"/>
  <c r="AG175" i="17"/>
  <c r="AH175" i="17"/>
  <c r="AI175" i="17"/>
  <c r="AJ175" i="17"/>
  <c r="AK175" i="17"/>
  <c r="AL175" i="17"/>
  <c r="AM175" i="17"/>
  <c r="AN175" i="17"/>
  <c r="AO175" i="17"/>
  <c r="AP175" i="17"/>
  <c r="AQ175" i="17"/>
  <c r="AR175" i="17"/>
  <c r="AS175" i="17"/>
  <c r="AT175" i="17"/>
  <c r="AU175" i="17"/>
  <c r="AV175" i="17"/>
  <c r="AW175" i="17"/>
  <c r="AX175" i="17"/>
  <c r="AY175" i="17"/>
  <c r="AZ175" i="17"/>
  <c r="BA175" i="17"/>
  <c r="BB175" i="17"/>
  <c r="BC175" i="17"/>
  <c r="BD175" i="17"/>
  <c r="BE175" i="17"/>
  <c r="BF175" i="17"/>
  <c r="BG175" i="17"/>
  <c r="BH175" i="17"/>
  <c r="BI175" i="17"/>
  <c r="BJ175" i="17"/>
  <c r="BK175" i="17"/>
  <c r="BL175" i="17"/>
  <c r="BM175" i="17"/>
  <c r="BN175" i="17"/>
  <c r="BO175" i="17"/>
  <c r="BP175" i="17"/>
  <c r="BQ175" i="17"/>
  <c r="BR175" i="17"/>
  <c r="BS175" i="17"/>
  <c r="BT175" i="17"/>
  <c r="BU175" i="17"/>
  <c r="BV175" i="17"/>
  <c r="BW175" i="17"/>
  <c r="BX175" i="17"/>
  <c r="BY175" i="17"/>
  <c r="BZ175" i="17"/>
  <c r="CA175" i="17"/>
  <c r="CB175" i="17"/>
  <c r="CC175" i="17"/>
  <c r="CD175" i="17"/>
  <c r="CE175" i="17"/>
  <c r="CF175" i="17"/>
  <c r="CG175" i="17"/>
  <c r="CH175" i="17"/>
  <c r="CI175" i="17"/>
  <c r="CJ175" i="17"/>
  <c r="CK175" i="17"/>
  <c r="CL175" i="17"/>
  <c r="CM175" i="17"/>
  <c r="CN175" i="17"/>
  <c r="CO175" i="17"/>
  <c r="CP175" i="17"/>
  <c r="CQ175" i="17"/>
  <c r="CR175" i="17"/>
  <c r="CS175" i="17"/>
  <c r="CT175" i="17"/>
  <c r="CU175" i="17"/>
  <c r="CV175" i="17"/>
  <c r="CW175" i="17"/>
  <c r="CX175" i="17"/>
  <c r="CY175" i="17"/>
  <c r="CZ175" i="17"/>
  <c r="DA175" i="17"/>
  <c r="DB175" i="17"/>
  <c r="DC175" i="17"/>
  <c r="DD175" i="17"/>
  <c r="DE175" i="17"/>
  <c r="DF175" i="17"/>
  <c r="DG175" i="17"/>
  <c r="DH175" i="17"/>
  <c r="DI175" i="17"/>
  <c r="DJ175" i="17"/>
  <c r="DK175" i="17"/>
  <c r="DL175" i="17"/>
  <c r="DM175" i="17"/>
  <c r="DN175" i="17"/>
  <c r="DO175" i="17"/>
  <c r="DP175" i="17"/>
  <c r="DQ175" i="17"/>
  <c r="DR175" i="17"/>
  <c r="DS175" i="17"/>
  <c r="DT175" i="17"/>
  <c r="DU175" i="17"/>
  <c r="DV175" i="17"/>
  <c r="DW175" i="17"/>
  <c r="DX175" i="17"/>
  <c r="DY175" i="17"/>
  <c r="DZ175" i="17"/>
  <c r="EA175" i="17"/>
  <c r="EB175" i="17"/>
  <c r="EC175" i="17"/>
  <c r="ED175" i="17"/>
  <c r="EE175" i="17"/>
  <c r="EF175" i="17"/>
  <c r="EG175" i="17"/>
  <c r="EH175" i="17"/>
  <c r="EI175" i="17"/>
  <c r="EJ175" i="17"/>
  <c r="EK175" i="17"/>
  <c r="EL175" i="17"/>
  <c r="EM175" i="17"/>
  <c r="EN175" i="17"/>
  <c r="EO175" i="17"/>
  <c r="EP175" i="17"/>
  <c r="EQ175" i="17"/>
  <c r="ER175" i="17"/>
  <c r="ES175" i="17"/>
  <c r="ET175" i="17"/>
  <c r="EU175" i="17"/>
  <c r="EV175" i="17"/>
  <c r="EW175" i="17"/>
  <c r="EX175" i="17"/>
  <c r="EY175" i="17"/>
  <c r="EZ175" i="17"/>
  <c r="FA175" i="17"/>
  <c r="FB175" i="17"/>
  <c r="FC175" i="17"/>
  <c r="FD175" i="17"/>
  <c r="FE175" i="17"/>
  <c r="FF175" i="17"/>
  <c r="FG175" i="17"/>
  <c r="FH175" i="17"/>
  <c r="FI175" i="17"/>
  <c r="FJ175" i="17"/>
  <c r="FK175" i="17"/>
  <c r="FL175" i="17"/>
  <c r="FM175" i="17"/>
  <c r="FN175" i="17"/>
  <c r="FO175" i="17"/>
  <c r="FP175" i="17"/>
  <c r="FQ175" i="17"/>
  <c r="FR175" i="17"/>
  <c r="FS175" i="17"/>
  <c r="FT175" i="17"/>
  <c r="FU175" i="17"/>
  <c r="FV175" i="17"/>
  <c r="FW175" i="17"/>
  <c r="FX175" i="17"/>
  <c r="FY175" i="17"/>
  <c r="FZ175" i="17"/>
  <c r="GA175" i="17"/>
  <c r="GB175" i="17"/>
  <c r="GC175" i="17"/>
  <c r="GD175" i="17"/>
  <c r="GE175" i="17"/>
  <c r="GF175" i="17"/>
  <c r="GG175" i="17"/>
  <c r="GH175" i="17"/>
  <c r="GI175" i="17"/>
  <c r="GJ175" i="17"/>
  <c r="GK175" i="17"/>
  <c r="GL175" i="17"/>
  <c r="GM175" i="17"/>
  <c r="GN175" i="17"/>
  <c r="GO175" i="17"/>
  <c r="GP175" i="17"/>
  <c r="GQ175" i="17"/>
  <c r="GR175" i="17"/>
  <c r="GS175" i="17"/>
  <c r="GT175" i="17"/>
  <c r="GU175" i="17"/>
  <c r="GV175" i="17"/>
  <c r="GW175" i="17"/>
  <c r="GX175" i="17"/>
  <c r="GY175" i="17"/>
  <c r="GZ175" i="17"/>
  <c r="HA175" i="17"/>
  <c r="HB175" i="17"/>
  <c r="HC175" i="17"/>
  <c r="HD175" i="17"/>
  <c r="HE175" i="17"/>
  <c r="HF175" i="17"/>
  <c r="HG175" i="17"/>
  <c r="HH175" i="17"/>
  <c r="HI175" i="17"/>
  <c r="HJ175" i="17"/>
  <c r="HK175" i="17"/>
  <c r="HL175" i="17"/>
  <c r="HM175" i="17"/>
  <c r="HN175" i="17"/>
  <c r="HO175" i="17"/>
  <c r="HP175" i="17"/>
  <c r="HQ175" i="17"/>
  <c r="HR175" i="17"/>
  <c r="HS175" i="17"/>
  <c r="HT175" i="17"/>
  <c r="HU175" i="17"/>
  <c r="HV175" i="17"/>
  <c r="HW175" i="17"/>
  <c r="HX175" i="17"/>
  <c r="HY175" i="17"/>
  <c r="HZ175" i="17"/>
  <c r="IA175" i="17"/>
  <c r="IB175" i="17"/>
  <c r="IC175" i="17"/>
  <c r="ID175" i="17"/>
  <c r="IE175" i="17"/>
  <c r="IF175" i="17"/>
  <c r="IG175" i="17"/>
  <c r="IH175" i="17"/>
  <c r="II175" i="17"/>
  <c r="IJ175" i="17"/>
  <c r="IK175" i="17"/>
  <c r="IL175" i="17"/>
  <c r="IM175" i="17"/>
  <c r="IN175" i="17"/>
  <c r="IO175" i="17"/>
  <c r="IP175" i="17"/>
  <c r="IQ175" i="17"/>
  <c r="IR175" i="17"/>
  <c r="IS175" i="17"/>
  <c r="IT175" i="17"/>
  <c r="IU175" i="17"/>
  <c r="IV175" i="17"/>
  <c r="A174" i="17"/>
  <c r="B174" i="17"/>
  <c r="C174" i="17"/>
  <c r="D174" i="17"/>
  <c r="E174" i="17"/>
  <c r="F174" i="17"/>
  <c r="G174" i="17"/>
  <c r="H174" i="17"/>
  <c r="I174" i="17"/>
  <c r="J174" i="17"/>
  <c r="K174" i="17"/>
  <c r="L174" i="17"/>
  <c r="M174" i="17"/>
  <c r="N174" i="17"/>
  <c r="O174" i="17"/>
  <c r="P174" i="17"/>
  <c r="Q174" i="17"/>
  <c r="R174" i="17"/>
  <c r="S174" i="17"/>
  <c r="T174" i="17"/>
  <c r="U174" i="17"/>
  <c r="V174" i="17"/>
  <c r="W174" i="17"/>
  <c r="X174" i="17"/>
  <c r="Y174" i="17"/>
  <c r="Z174" i="17"/>
  <c r="AA174" i="17"/>
  <c r="AB174" i="17"/>
  <c r="AC174" i="17"/>
  <c r="AD174" i="17"/>
  <c r="AE174" i="17"/>
  <c r="AF174" i="17"/>
  <c r="AG174" i="17"/>
  <c r="AH174" i="17"/>
  <c r="AI174" i="17"/>
  <c r="AJ174" i="17"/>
  <c r="AK174" i="17"/>
  <c r="AL174" i="17"/>
  <c r="AM174" i="17"/>
  <c r="AN174" i="17"/>
  <c r="AO174" i="17"/>
  <c r="AP174" i="17"/>
  <c r="AQ174" i="17"/>
  <c r="AR174" i="17"/>
  <c r="AS174" i="17"/>
  <c r="AT174" i="17"/>
  <c r="AU174" i="17"/>
  <c r="AV174" i="17"/>
  <c r="AW174" i="17"/>
  <c r="AX174" i="17"/>
  <c r="AY174" i="17"/>
  <c r="AZ174" i="17"/>
  <c r="BA174" i="17"/>
  <c r="BB174" i="17"/>
  <c r="BC174" i="17"/>
  <c r="BD174" i="17"/>
  <c r="BE174" i="17"/>
  <c r="BF174" i="17"/>
  <c r="BG174" i="17"/>
  <c r="BH174" i="17"/>
  <c r="BI174" i="17"/>
  <c r="BJ174" i="17"/>
  <c r="BK174" i="17"/>
  <c r="BL174" i="17"/>
  <c r="BM174" i="17"/>
  <c r="BN174" i="17"/>
  <c r="BO174" i="17"/>
  <c r="BP174" i="17"/>
  <c r="BQ174" i="17"/>
  <c r="BR174" i="17"/>
  <c r="BS174" i="17"/>
  <c r="BT174" i="17"/>
  <c r="BU174" i="17"/>
  <c r="BV174" i="17"/>
  <c r="BW174" i="17"/>
  <c r="BX174" i="17"/>
  <c r="BY174" i="17"/>
  <c r="BZ174" i="17"/>
  <c r="CA174" i="17"/>
  <c r="CB174" i="17"/>
  <c r="CC174" i="17"/>
  <c r="CD174" i="17"/>
  <c r="CE174" i="17"/>
  <c r="CF174" i="17"/>
  <c r="CG174" i="17"/>
  <c r="CH174" i="17"/>
  <c r="CI174" i="17"/>
  <c r="CJ174" i="17"/>
  <c r="CK174" i="17"/>
  <c r="CL174" i="17"/>
  <c r="CM174" i="17"/>
  <c r="CN174" i="17"/>
  <c r="CO174" i="17"/>
  <c r="CP174" i="17"/>
  <c r="CQ174" i="17"/>
  <c r="CR174" i="17"/>
  <c r="CS174" i="17"/>
  <c r="CT174" i="17"/>
  <c r="CU174" i="17"/>
  <c r="CV174" i="17"/>
  <c r="CW174" i="17"/>
  <c r="CX174" i="17"/>
  <c r="CY174" i="17"/>
  <c r="CZ174" i="17"/>
  <c r="DA174" i="17"/>
  <c r="DB174" i="17"/>
  <c r="DC174" i="17"/>
  <c r="DD174" i="17"/>
  <c r="DE174" i="17"/>
  <c r="DF174" i="17"/>
  <c r="DG174" i="17"/>
  <c r="DH174" i="17"/>
  <c r="DI174" i="17"/>
  <c r="DJ174" i="17"/>
  <c r="DK174" i="17"/>
  <c r="DL174" i="17"/>
  <c r="DM174" i="17"/>
  <c r="DN174" i="17"/>
  <c r="DO174" i="17"/>
  <c r="DP174" i="17"/>
  <c r="DQ174" i="17"/>
  <c r="DR174" i="17"/>
  <c r="DS174" i="17"/>
  <c r="DT174" i="17"/>
  <c r="DU174" i="17"/>
  <c r="DV174" i="17"/>
  <c r="DW174" i="17"/>
  <c r="DX174" i="17"/>
  <c r="DY174" i="17"/>
  <c r="DZ174" i="17"/>
  <c r="EA174" i="17"/>
  <c r="EB174" i="17"/>
  <c r="EC174" i="17"/>
  <c r="ED174" i="17"/>
  <c r="EE174" i="17"/>
  <c r="EF174" i="17"/>
  <c r="EG174" i="17"/>
  <c r="EH174" i="17"/>
  <c r="EI174" i="17"/>
  <c r="EJ174" i="17"/>
  <c r="EK174" i="17"/>
  <c r="EL174" i="17"/>
  <c r="EM174" i="17"/>
  <c r="EN174" i="17"/>
  <c r="EO174" i="17"/>
  <c r="EP174" i="17"/>
  <c r="EQ174" i="17"/>
  <c r="ER174" i="17"/>
  <c r="ES174" i="17"/>
  <c r="ET174" i="17"/>
  <c r="EU174" i="17"/>
  <c r="EV174" i="17"/>
  <c r="EW174" i="17"/>
  <c r="EX174" i="17"/>
  <c r="EY174" i="17"/>
  <c r="EZ174" i="17"/>
  <c r="FA174" i="17"/>
  <c r="FB174" i="17"/>
  <c r="FC174" i="17"/>
  <c r="FD174" i="17"/>
  <c r="FE174" i="17"/>
  <c r="FF174" i="17"/>
  <c r="FG174" i="17"/>
  <c r="FH174" i="17"/>
  <c r="FI174" i="17"/>
  <c r="FJ174" i="17"/>
  <c r="FK174" i="17"/>
  <c r="FL174" i="17"/>
  <c r="FM174" i="17"/>
  <c r="FN174" i="17"/>
  <c r="FO174" i="17"/>
  <c r="FP174" i="17"/>
  <c r="FQ174" i="17"/>
  <c r="FR174" i="17"/>
  <c r="FS174" i="17"/>
  <c r="FT174" i="17"/>
  <c r="FU174" i="17"/>
  <c r="FV174" i="17"/>
  <c r="FW174" i="17"/>
  <c r="FX174" i="17"/>
  <c r="FY174" i="17"/>
  <c r="FZ174" i="17"/>
  <c r="GA174" i="17"/>
  <c r="GB174" i="17"/>
  <c r="GC174" i="17"/>
  <c r="GD174" i="17"/>
  <c r="GE174" i="17"/>
  <c r="GF174" i="17"/>
  <c r="GG174" i="17"/>
  <c r="GH174" i="17"/>
  <c r="GI174" i="17"/>
  <c r="GJ174" i="17"/>
  <c r="GK174" i="17"/>
  <c r="GL174" i="17"/>
  <c r="GM174" i="17"/>
  <c r="GN174" i="17"/>
  <c r="GO174" i="17"/>
  <c r="GP174" i="17"/>
  <c r="GQ174" i="17"/>
  <c r="GR174" i="17"/>
  <c r="GS174" i="17"/>
  <c r="GT174" i="17"/>
  <c r="GU174" i="17"/>
  <c r="GV174" i="17"/>
  <c r="GW174" i="17"/>
  <c r="GX174" i="17"/>
  <c r="GY174" i="17"/>
  <c r="GZ174" i="17"/>
  <c r="HA174" i="17"/>
  <c r="HB174" i="17"/>
  <c r="HC174" i="17"/>
  <c r="HD174" i="17"/>
  <c r="HE174" i="17"/>
  <c r="HF174" i="17"/>
  <c r="HG174" i="17"/>
  <c r="HH174" i="17"/>
  <c r="HI174" i="17"/>
  <c r="HJ174" i="17"/>
  <c r="HK174" i="17"/>
  <c r="HL174" i="17"/>
  <c r="HM174" i="17"/>
  <c r="HN174" i="17"/>
  <c r="HO174" i="17"/>
  <c r="HP174" i="17"/>
  <c r="HQ174" i="17"/>
  <c r="HR174" i="17"/>
  <c r="HS174" i="17"/>
  <c r="HT174" i="17"/>
  <c r="HU174" i="17"/>
  <c r="HV174" i="17"/>
  <c r="HW174" i="17"/>
  <c r="HX174" i="17"/>
  <c r="HY174" i="17"/>
  <c r="HZ174" i="17"/>
  <c r="IA174" i="17"/>
  <c r="IB174" i="17"/>
  <c r="IC174" i="17"/>
  <c r="ID174" i="17"/>
  <c r="IE174" i="17"/>
  <c r="IF174" i="17"/>
  <c r="IG174" i="17"/>
  <c r="IH174" i="17"/>
  <c r="II174" i="17"/>
  <c r="IJ174" i="17"/>
  <c r="IK174" i="17"/>
  <c r="IL174" i="17"/>
  <c r="IM174" i="17"/>
  <c r="IN174" i="17"/>
  <c r="IO174" i="17"/>
  <c r="IP174" i="17"/>
  <c r="IQ174" i="17"/>
  <c r="IR174" i="17"/>
  <c r="IS174" i="17"/>
  <c r="IT174" i="17"/>
  <c r="IU174" i="17"/>
  <c r="IV174" i="17"/>
  <c r="A173" i="17"/>
  <c r="B173" i="17"/>
  <c r="C173" i="17"/>
  <c r="D173" i="17"/>
  <c r="E173" i="17"/>
  <c r="F173" i="17"/>
  <c r="G173" i="17"/>
  <c r="H173" i="17"/>
  <c r="I173" i="17"/>
  <c r="J173" i="17"/>
  <c r="K173" i="17"/>
  <c r="L173" i="17"/>
  <c r="M173" i="17"/>
  <c r="N173" i="17"/>
  <c r="O173" i="17"/>
  <c r="P173" i="17"/>
  <c r="Q173" i="17"/>
  <c r="R173" i="17"/>
  <c r="S173" i="17"/>
  <c r="T173" i="17"/>
  <c r="U173" i="17"/>
  <c r="V173" i="17"/>
  <c r="W173" i="17"/>
  <c r="X173" i="17"/>
  <c r="Y173" i="17"/>
  <c r="Z173" i="17"/>
  <c r="AA173" i="17"/>
  <c r="AB173" i="17"/>
  <c r="AC173" i="17"/>
  <c r="AD173" i="17"/>
  <c r="AE173" i="17"/>
  <c r="AF173" i="17"/>
  <c r="AG173" i="17"/>
  <c r="AH173" i="17"/>
  <c r="AI173" i="17"/>
  <c r="AJ173" i="17"/>
  <c r="AK173" i="17"/>
  <c r="AL173" i="17"/>
  <c r="AM173" i="17"/>
  <c r="AN173" i="17"/>
  <c r="AO173" i="17"/>
  <c r="AP173" i="17"/>
  <c r="AQ173" i="17"/>
  <c r="AR173" i="17"/>
  <c r="AS173" i="17"/>
  <c r="AT173" i="17"/>
  <c r="AU173" i="17"/>
  <c r="AV173" i="17"/>
  <c r="AW173" i="17"/>
  <c r="AX173" i="17"/>
  <c r="AY173" i="17"/>
  <c r="AZ173" i="17"/>
  <c r="BA173" i="17"/>
  <c r="BB173" i="17"/>
  <c r="BC173" i="17"/>
  <c r="BD173" i="17"/>
  <c r="BE173" i="17"/>
  <c r="BF173" i="17"/>
  <c r="BG173" i="17"/>
  <c r="BH173" i="17"/>
  <c r="BI173" i="17"/>
  <c r="BJ173" i="17"/>
  <c r="BK173" i="17"/>
  <c r="BL173" i="17"/>
  <c r="BM173" i="17"/>
  <c r="BN173" i="17"/>
  <c r="BO173" i="17"/>
  <c r="BP173" i="17"/>
  <c r="BQ173" i="17"/>
  <c r="BR173" i="17"/>
  <c r="BS173" i="17"/>
  <c r="BT173" i="17"/>
  <c r="BU173" i="17"/>
  <c r="BV173" i="17"/>
  <c r="BW173" i="17"/>
  <c r="BX173" i="17"/>
  <c r="BY173" i="17"/>
  <c r="BZ173" i="17"/>
  <c r="CA173" i="17"/>
  <c r="CB173" i="17"/>
  <c r="CC173" i="17"/>
  <c r="CD173" i="17"/>
  <c r="CE173" i="17"/>
  <c r="CF173" i="17"/>
  <c r="CG173" i="17"/>
  <c r="CH173" i="17"/>
  <c r="CI173" i="17"/>
  <c r="CJ173" i="17"/>
  <c r="CK173" i="17"/>
  <c r="CL173" i="17"/>
  <c r="CM173" i="17"/>
  <c r="CN173" i="17"/>
  <c r="CO173" i="17"/>
  <c r="CP173" i="17"/>
  <c r="CQ173" i="17"/>
  <c r="CR173" i="17"/>
  <c r="CS173" i="17"/>
  <c r="CT173" i="17"/>
  <c r="CU173" i="17"/>
  <c r="CV173" i="17"/>
  <c r="CW173" i="17"/>
  <c r="CX173" i="17"/>
  <c r="CY173" i="17"/>
  <c r="CZ173" i="17"/>
  <c r="DA173" i="17"/>
  <c r="DB173" i="17"/>
  <c r="DC173" i="17"/>
  <c r="DD173" i="17"/>
  <c r="DE173" i="17"/>
  <c r="DF173" i="17"/>
  <c r="DG173" i="17"/>
  <c r="DH173" i="17"/>
  <c r="DI173" i="17"/>
  <c r="DJ173" i="17"/>
  <c r="DK173" i="17"/>
  <c r="DL173" i="17"/>
  <c r="DM173" i="17"/>
  <c r="DN173" i="17"/>
  <c r="DO173" i="17"/>
  <c r="DP173" i="17"/>
  <c r="DQ173" i="17"/>
  <c r="DR173" i="17"/>
  <c r="DS173" i="17"/>
  <c r="DT173" i="17"/>
  <c r="DU173" i="17"/>
  <c r="DV173" i="17"/>
  <c r="DW173" i="17"/>
  <c r="DX173" i="17"/>
  <c r="DY173" i="17"/>
  <c r="DZ173" i="17"/>
  <c r="EA173" i="17"/>
  <c r="EB173" i="17"/>
  <c r="EC173" i="17"/>
  <c r="ED173" i="17"/>
  <c r="EE173" i="17"/>
  <c r="EF173" i="17"/>
  <c r="EG173" i="17"/>
  <c r="EH173" i="17"/>
  <c r="EI173" i="17"/>
  <c r="EJ173" i="17"/>
  <c r="EK173" i="17"/>
  <c r="EL173" i="17"/>
  <c r="EM173" i="17"/>
  <c r="EN173" i="17"/>
  <c r="EO173" i="17"/>
  <c r="EP173" i="17"/>
  <c r="EQ173" i="17"/>
  <c r="ER173" i="17"/>
  <c r="ES173" i="17"/>
  <c r="ET173" i="17"/>
  <c r="EU173" i="17"/>
  <c r="EV173" i="17"/>
  <c r="EW173" i="17"/>
  <c r="EX173" i="17"/>
  <c r="EY173" i="17"/>
  <c r="EZ173" i="17"/>
  <c r="FA173" i="17"/>
  <c r="FB173" i="17"/>
  <c r="FC173" i="17"/>
  <c r="FD173" i="17"/>
  <c r="FE173" i="17"/>
  <c r="FF173" i="17"/>
  <c r="FG173" i="17"/>
  <c r="FH173" i="17"/>
  <c r="FI173" i="17"/>
  <c r="FJ173" i="17"/>
  <c r="FK173" i="17"/>
  <c r="FL173" i="17"/>
  <c r="FM173" i="17"/>
  <c r="FN173" i="17"/>
  <c r="FO173" i="17"/>
  <c r="FP173" i="17"/>
  <c r="FQ173" i="17"/>
  <c r="FR173" i="17"/>
  <c r="FS173" i="17"/>
  <c r="FT173" i="17"/>
  <c r="FU173" i="17"/>
  <c r="FV173" i="17"/>
  <c r="FW173" i="17"/>
  <c r="FX173" i="17"/>
  <c r="FY173" i="17"/>
  <c r="FZ173" i="17"/>
  <c r="GA173" i="17"/>
  <c r="GB173" i="17"/>
  <c r="GC173" i="17"/>
  <c r="GD173" i="17"/>
  <c r="GE173" i="17"/>
  <c r="GF173" i="17"/>
  <c r="GG173" i="17"/>
  <c r="GH173" i="17"/>
  <c r="GI173" i="17"/>
  <c r="GJ173" i="17"/>
  <c r="GK173" i="17"/>
  <c r="GL173" i="17"/>
  <c r="GM173" i="17"/>
  <c r="GN173" i="17"/>
  <c r="GO173" i="17"/>
  <c r="GP173" i="17"/>
  <c r="GQ173" i="17"/>
  <c r="GR173" i="17"/>
  <c r="GS173" i="17"/>
  <c r="GT173" i="17"/>
  <c r="GU173" i="17"/>
  <c r="GV173" i="17"/>
  <c r="GW173" i="17"/>
  <c r="GX173" i="17"/>
  <c r="GY173" i="17"/>
  <c r="GZ173" i="17"/>
  <c r="HA173" i="17"/>
  <c r="HB173" i="17"/>
  <c r="HC173" i="17"/>
  <c r="HD173" i="17"/>
  <c r="HE173" i="17"/>
  <c r="HF173" i="17"/>
  <c r="HG173" i="17"/>
  <c r="HH173" i="17"/>
  <c r="HI173" i="17"/>
  <c r="HJ173" i="17"/>
  <c r="HK173" i="17"/>
  <c r="HL173" i="17"/>
  <c r="HM173" i="17"/>
  <c r="HN173" i="17"/>
  <c r="HO173" i="17"/>
  <c r="HP173" i="17"/>
  <c r="HQ173" i="17"/>
  <c r="HR173" i="17"/>
  <c r="HS173" i="17"/>
  <c r="HT173" i="17"/>
  <c r="HU173" i="17"/>
  <c r="HV173" i="17"/>
  <c r="HW173" i="17"/>
  <c r="HX173" i="17"/>
  <c r="HY173" i="17"/>
  <c r="HZ173" i="17"/>
  <c r="IA173" i="17"/>
  <c r="IB173" i="17"/>
  <c r="IC173" i="17"/>
  <c r="ID173" i="17"/>
  <c r="IE173" i="17"/>
  <c r="IF173" i="17"/>
  <c r="IG173" i="17"/>
  <c r="IH173" i="17"/>
  <c r="II173" i="17"/>
  <c r="IJ173" i="17"/>
  <c r="IK173" i="17"/>
  <c r="IL173" i="17"/>
  <c r="IM173" i="17"/>
  <c r="IN173" i="17"/>
  <c r="IO173" i="17"/>
  <c r="IP173" i="17"/>
  <c r="IQ173" i="17"/>
  <c r="IR173" i="17"/>
  <c r="IS173" i="17"/>
  <c r="IT173" i="17"/>
  <c r="IU173" i="17"/>
  <c r="IV173" i="17"/>
  <c r="A172" i="17"/>
  <c r="B172" i="17"/>
  <c r="C172" i="17"/>
  <c r="D172" i="17"/>
  <c r="E172" i="17"/>
  <c r="F172" i="17"/>
  <c r="G172" i="17"/>
  <c r="H172" i="17"/>
  <c r="I172" i="17"/>
  <c r="J172" i="17"/>
  <c r="K172" i="17"/>
  <c r="L172" i="17"/>
  <c r="M172" i="17"/>
  <c r="N172" i="17"/>
  <c r="O172" i="17"/>
  <c r="P172" i="17"/>
  <c r="Q172" i="17"/>
  <c r="R172" i="17"/>
  <c r="S172" i="17"/>
  <c r="T172" i="17"/>
  <c r="U172" i="17"/>
  <c r="V172" i="17"/>
  <c r="W172" i="17"/>
  <c r="X172" i="17"/>
  <c r="Y172" i="17"/>
  <c r="Z172" i="17"/>
  <c r="AA172" i="17"/>
  <c r="AB172" i="17"/>
  <c r="AC172" i="17"/>
  <c r="AD172" i="17"/>
  <c r="AE172" i="17"/>
  <c r="AF172" i="17"/>
  <c r="AG172" i="17"/>
  <c r="AH172" i="17"/>
  <c r="AI172" i="17"/>
  <c r="AJ172" i="17"/>
  <c r="AK172" i="17"/>
  <c r="AL172" i="17"/>
  <c r="AM172" i="17"/>
  <c r="AN172" i="17"/>
  <c r="AO172" i="17"/>
  <c r="AP172" i="17"/>
  <c r="AQ172" i="17"/>
  <c r="AR172" i="17"/>
  <c r="AS172" i="17"/>
  <c r="AT172" i="17"/>
  <c r="AU172" i="17"/>
  <c r="AV172" i="17"/>
  <c r="AW172" i="17"/>
  <c r="AX172" i="17"/>
  <c r="AY172" i="17"/>
  <c r="AZ172" i="17"/>
  <c r="BA172" i="17"/>
  <c r="BB172" i="17"/>
  <c r="BC172" i="17"/>
  <c r="BD172" i="17"/>
  <c r="BE172" i="17"/>
  <c r="BF172" i="17"/>
  <c r="BG172" i="17"/>
  <c r="BH172" i="17"/>
  <c r="BI172" i="17"/>
  <c r="BJ172" i="17"/>
  <c r="BK172" i="17"/>
  <c r="BL172" i="17"/>
  <c r="BM172" i="17"/>
  <c r="BN172" i="17"/>
  <c r="BO172" i="17"/>
  <c r="BP172" i="17"/>
  <c r="BQ172" i="17"/>
  <c r="BR172" i="17"/>
  <c r="BS172" i="17"/>
  <c r="BT172" i="17"/>
  <c r="BU172" i="17"/>
  <c r="BV172" i="17"/>
  <c r="BW172" i="17"/>
  <c r="BX172" i="17"/>
  <c r="BY172" i="17"/>
  <c r="BZ172" i="17"/>
  <c r="CA172" i="17"/>
  <c r="CB172" i="17"/>
  <c r="CC172" i="17"/>
  <c r="CD172" i="17"/>
  <c r="CE172" i="17"/>
  <c r="CF172" i="17"/>
  <c r="CG172" i="17"/>
  <c r="CH172" i="17"/>
  <c r="CI172" i="17"/>
  <c r="CJ172" i="17"/>
  <c r="CK172" i="17"/>
  <c r="CL172" i="17"/>
  <c r="CM172" i="17"/>
  <c r="CN172" i="17"/>
  <c r="CO172" i="17"/>
  <c r="CP172" i="17"/>
  <c r="CQ172" i="17"/>
  <c r="CR172" i="17"/>
  <c r="CS172" i="17"/>
  <c r="CT172" i="17"/>
  <c r="CU172" i="17"/>
  <c r="CV172" i="17"/>
  <c r="CW172" i="17"/>
  <c r="CX172" i="17"/>
  <c r="CY172" i="17"/>
  <c r="CZ172" i="17"/>
  <c r="DA172" i="17"/>
  <c r="DB172" i="17"/>
  <c r="DC172" i="17"/>
  <c r="DD172" i="17"/>
  <c r="DE172" i="17"/>
  <c r="DF172" i="17"/>
  <c r="DG172" i="17"/>
  <c r="DH172" i="17"/>
  <c r="DI172" i="17"/>
  <c r="DJ172" i="17"/>
  <c r="DK172" i="17"/>
  <c r="DL172" i="17"/>
  <c r="DM172" i="17"/>
  <c r="DN172" i="17"/>
  <c r="DO172" i="17"/>
  <c r="DP172" i="17"/>
  <c r="DQ172" i="17"/>
  <c r="DR172" i="17"/>
  <c r="DS172" i="17"/>
  <c r="DT172" i="17"/>
  <c r="DU172" i="17"/>
  <c r="DV172" i="17"/>
  <c r="DW172" i="17"/>
  <c r="DX172" i="17"/>
  <c r="DY172" i="17"/>
  <c r="DZ172" i="17"/>
  <c r="EA172" i="17"/>
  <c r="EB172" i="17"/>
  <c r="EC172" i="17"/>
  <c r="ED172" i="17"/>
  <c r="EE172" i="17"/>
  <c r="EF172" i="17"/>
  <c r="EG172" i="17"/>
  <c r="EH172" i="17"/>
  <c r="EI172" i="17"/>
  <c r="EJ172" i="17"/>
  <c r="EK172" i="17"/>
  <c r="EL172" i="17"/>
  <c r="EM172" i="17"/>
  <c r="EN172" i="17"/>
  <c r="EO172" i="17"/>
  <c r="EP172" i="17"/>
  <c r="EQ172" i="17"/>
  <c r="ER172" i="17"/>
  <c r="ES172" i="17"/>
  <c r="ET172" i="17"/>
  <c r="EU172" i="17"/>
  <c r="EV172" i="17"/>
  <c r="EW172" i="17"/>
  <c r="EX172" i="17"/>
  <c r="EY172" i="17"/>
  <c r="EZ172" i="17"/>
  <c r="FA172" i="17"/>
  <c r="FB172" i="17"/>
  <c r="FC172" i="17"/>
  <c r="FD172" i="17"/>
  <c r="FE172" i="17"/>
  <c r="FF172" i="17"/>
  <c r="FG172" i="17"/>
  <c r="FH172" i="17"/>
  <c r="FI172" i="17"/>
  <c r="FJ172" i="17"/>
  <c r="FK172" i="17"/>
  <c r="FL172" i="17"/>
  <c r="FM172" i="17"/>
  <c r="FN172" i="17"/>
  <c r="FO172" i="17"/>
  <c r="FP172" i="17"/>
  <c r="FQ172" i="17"/>
  <c r="FR172" i="17"/>
  <c r="FS172" i="17"/>
  <c r="FT172" i="17"/>
  <c r="FU172" i="17"/>
  <c r="FV172" i="17"/>
  <c r="FW172" i="17"/>
  <c r="FX172" i="17"/>
  <c r="FY172" i="17"/>
  <c r="FZ172" i="17"/>
  <c r="GA172" i="17"/>
  <c r="GB172" i="17"/>
  <c r="GC172" i="17"/>
  <c r="GD172" i="17"/>
  <c r="GE172" i="17"/>
  <c r="GF172" i="17"/>
  <c r="GG172" i="17"/>
  <c r="GH172" i="17"/>
  <c r="GI172" i="17"/>
  <c r="GJ172" i="17"/>
  <c r="GK172" i="17"/>
  <c r="GL172" i="17"/>
  <c r="GM172" i="17"/>
  <c r="GN172" i="17"/>
  <c r="GO172" i="17"/>
  <c r="GP172" i="17"/>
  <c r="GQ172" i="17"/>
  <c r="GR172" i="17"/>
  <c r="GS172" i="17"/>
  <c r="GT172" i="17"/>
  <c r="GU172" i="17"/>
  <c r="GV172" i="17"/>
  <c r="GW172" i="17"/>
  <c r="GX172" i="17"/>
  <c r="GY172" i="17"/>
  <c r="GZ172" i="17"/>
  <c r="HA172" i="17"/>
  <c r="HB172" i="17"/>
  <c r="HC172" i="17"/>
  <c r="HD172" i="17"/>
  <c r="HE172" i="17"/>
  <c r="HF172" i="17"/>
  <c r="HG172" i="17"/>
  <c r="HH172" i="17"/>
  <c r="HI172" i="17"/>
  <c r="HJ172" i="17"/>
  <c r="HK172" i="17"/>
  <c r="HL172" i="17"/>
  <c r="HM172" i="17"/>
  <c r="HN172" i="17"/>
  <c r="HO172" i="17"/>
  <c r="HP172" i="17"/>
  <c r="HQ172" i="17"/>
  <c r="HR172" i="17"/>
  <c r="HS172" i="17"/>
  <c r="HT172" i="17"/>
  <c r="HU172" i="17"/>
  <c r="HV172" i="17"/>
  <c r="HW172" i="17"/>
  <c r="HX172" i="17"/>
  <c r="HY172" i="17"/>
  <c r="HZ172" i="17"/>
  <c r="IA172" i="17"/>
  <c r="IB172" i="17"/>
  <c r="IC172" i="17"/>
  <c r="ID172" i="17"/>
  <c r="IE172" i="17"/>
  <c r="IF172" i="17"/>
  <c r="IG172" i="17"/>
  <c r="IH172" i="17"/>
  <c r="II172" i="17"/>
  <c r="IJ172" i="17"/>
  <c r="IK172" i="17"/>
  <c r="IL172" i="17"/>
  <c r="IM172" i="17"/>
  <c r="IN172" i="17"/>
  <c r="IO172" i="17"/>
  <c r="IP172" i="17"/>
  <c r="IQ172" i="17"/>
  <c r="IR172" i="17"/>
  <c r="IS172" i="17"/>
  <c r="IT172" i="17"/>
  <c r="IU172" i="17"/>
  <c r="IV172" i="17"/>
  <c r="A171" i="17"/>
  <c r="B171" i="17"/>
  <c r="C171" i="17"/>
  <c r="D171" i="17"/>
  <c r="E171" i="17"/>
  <c r="F171" i="17"/>
  <c r="G171" i="17"/>
  <c r="H171" i="17"/>
  <c r="I171" i="17"/>
  <c r="J171" i="17"/>
  <c r="K171" i="17"/>
  <c r="L171" i="17"/>
  <c r="M171" i="17"/>
  <c r="N171" i="17"/>
  <c r="O171" i="17"/>
  <c r="P171" i="17"/>
  <c r="Q171" i="17"/>
  <c r="R171" i="17"/>
  <c r="S171" i="17"/>
  <c r="T171" i="17"/>
  <c r="U171" i="17"/>
  <c r="V171" i="17"/>
  <c r="W171" i="17"/>
  <c r="X171" i="17"/>
  <c r="Y171" i="17"/>
  <c r="Z171" i="17"/>
  <c r="AA171" i="17"/>
  <c r="AB171" i="17"/>
  <c r="AC171" i="17"/>
  <c r="AD171" i="17"/>
  <c r="AE171" i="17"/>
  <c r="AF171" i="17"/>
  <c r="AG171" i="17"/>
  <c r="AH171" i="17"/>
  <c r="AI171" i="17"/>
  <c r="AJ171" i="17"/>
  <c r="AK171" i="17"/>
  <c r="AL171" i="17"/>
  <c r="AM171" i="17"/>
  <c r="AN171" i="17"/>
  <c r="AO171" i="17"/>
  <c r="AP171" i="17"/>
  <c r="AQ171" i="17"/>
  <c r="AR171" i="17"/>
  <c r="AS171" i="17"/>
  <c r="AT171" i="17"/>
  <c r="AU171" i="17"/>
  <c r="AV171" i="17"/>
  <c r="AW171" i="17"/>
  <c r="AX171" i="17"/>
  <c r="AY171" i="17"/>
  <c r="AZ171" i="17"/>
  <c r="BA171" i="17"/>
  <c r="BB171" i="17"/>
  <c r="BC171" i="17"/>
  <c r="BD171" i="17"/>
  <c r="BE171" i="17"/>
  <c r="BF171" i="17"/>
  <c r="BG171" i="17"/>
  <c r="BH171" i="17"/>
  <c r="BI171" i="17"/>
  <c r="BJ171" i="17"/>
  <c r="BK171" i="17"/>
  <c r="BL171" i="17"/>
  <c r="BM171" i="17"/>
  <c r="BN171" i="17"/>
  <c r="BO171" i="17"/>
  <c r="BP171" i="17"/>
  <c r="BQ171" i="17"/>
  <c r="BR171" i="17"/>
  <c r="BS171" i="17"/>
  <c r="BT171" i="17"/>
  <c r="BU171" i="17"/>
  <c r="BV171" i="17"/>
  <c r="BW171" i="17"/>
  <c r="BX171" i="17"/>
  <c r="BY171" i="17"/>
  <c r="BZ171" i="17"/>
  <c r="CA171" i="17"/>
  <c r="CB171" i="17"/>
  <c r="CC171" i="17"/>
  <c r="CD171" i="17"/>
  <c r="CE171" i="17"/>
  <c r="CF171" i="17"/>
  <c r="CG171" i="17"/>
  <c r="CH171" i="17"/>
  <c r="CI171" i="17"/>
  <c r="CJ171" i="17"/>
  <c r="CK171" i="17"/>
  <c r="CL171" i="17"/>
  <c r="CM171" i="17"/>
  <c r="CN171" i="17"/>
  <c r="CO171" i="17"/>
  <c r="CP171" i="17"/>
  <c r="CQ171" i="17"/>
  <c r="CR171" i="17"/>
  <c r="CS171" i="17"/>
  <c r="CT171" i="17"/>
  <c r="CU171" i="17"/>
  <c r="CV171" i="17"/>
  <c r="CW171" i="17"/>
  <c r="CX171" i="17"/>
  <c r="CY171" i="17"/>
  <c r="CZ171" i="17"/>
  <c r="DA171" i="17"/>
  <c r="DB171" i="17"/>
  <c r="DC171" i="17"/>
  <c r="DD171" i="17"/>
  <c r="DE171" i="17"/>
  <c r="DF171" i="17"/>
  <c r="DG171" i="17"/>
  <c r="DH171" i="17"/>
  <c r="DI171" i="17"/>
  <c r="DJ171" i="17"/>
  <c r="DK171" i="17"/>
  <c r="DL171" i="17"/>
  <c r="DM171" i="17"/>
  <c r="DN171" i="17"/>
  <c r="DO171" i="17"/>
  <c r="DP171" i="17"/>
  <c r="DQ171" i="17"/>
  <c r="DR171" i="17"/>
  <c r="DS171" i="17"/>
  <c r="DT171" i="17"/>
  <c r="DU171" i="17"/>
  <c r="DV171" i="17"/>
  <c r="DW171" i="17"/>
  <c r="DX171" i="17"/>
  <c r="DY171" i="17"/>
  <c r="DZ171" i="17"/>
  <c r="EA171" i="17"/>
  <c r="EB171" i="17"/>
  <c r="EC171" i="17"/>
  <c r="ED171" i="17"/>
  <c r="EE171" i="17"/>
  <c r="EF171" i="17"/>
  <c r="EG171" i="17"/>
  <c r="EH171" i="17"/>
  <c r="EI171" i="17"/>
  <c r="EJ171" i="17"/>
  <c r="EK171" i="17"/>
  <c r="EL171" i="17"/>
  <c r="EM171" i="17"/>
  <c r="EN171" i="17"/>
  <c r="EO171" i="17"/>
  <c r="EP171" i="17"/>
  <c r="EQ171" i="17"/>
  <c r="ER171" i="17"/>
  <c r="ES171" i="17"/>
  <c r="ET171" i="17"/>
  <c r="EU171" i="17"/>
  <c r="EV171" i="17"/>
  <c r="EW171" i="17"/>
  <c r="EX171" i="17"/>
  <c r="EY171" i="17"/>
  <c r="EZ171" i="17"/>
  <c r="FA171" i="17"/>
  <c r="FB171" i="17"/>
  <c r="FC171" i="17"/>
  <c r="FD171" i="17"/>
  <c r="FE171" i="17"/>
  <c r="FF171" i="17"/>
  <c r="FG171" i="17"/>
  <c r="FH171" i="17"/>
  <c r="FI171" i="17"/>
  <c r="FJ171" i="17"/>
  <c r="FK171" i="17"/>
  <c r="FL171" i="17"/>
  <c r="FM171" i="17"/>
  <c r="FN171" i="17"/>
  <c r="FO171" i="17"/>
  <c r="FP171" i="17"/>
  <c r="FQ171" i="17"/>
  <c r="FR171" i="17"/>
  <c r="FS171" i="17"/>
  <c r="FT171" i="17"/>
  <c r="FU171" i="17"/>
  <c r="FV171" i="17"/>
  <c r="FW171" i="17"/>
  <c r="FX171" i="17"/>
  <c r="FY171" i="17"/>
  <c r="FZ171" i="17"/>
  <c r="GA171" i="17"/>
  <c r="GB171" i="17"/>
  <c r="GC171" i="17"/>
  <c r="GD171" i="17"/>
  <c r="GE171" i="17"/>
  <c r="GF171" i="17"/>
  <c r="GG171" i="17"/>
  <c r="GH171" i="17"/>
  <c r="GI171" i="17"/>
  <c r="GJ171" i="17"/>
  <c r="GK171" i="17"/>
  <c r="GL171" i="17"/>
  <c r="GM171" i="17"/>
  <c r="GN171" i="17"/>
  <c r="GO171" i="17"/>
  <c r="GP171" i="17"/>
  <c r="GQ171" i="17"/>
  <c r="GR171" i="17"/>
  <c r="GS171" i="17"/>
  <c r="GT171" i="17"/>
  <c r="GU171" i="17"/>
  <c r="GV171" i="17"/>
  <c r="GW171" i="17"/>
  <c r="GX171" i="17"/>
  <c r="GY171" i="17"/>
  <c r="GZ171" i="17"/>
  <c r="HA171" i="17"/>
  <c r="HB171" i="17"/>
  <c r="HC171" i="17"/>
  <c r="HD171" i="17"/>
  <c r="HE171" i="17"/>
  <c r="HF171" i="17"/>
  <c r="HG171" i="17"/>
  <c r="HH171" i="17"/>
  <c r="HI171" i="17"/>
  <c r="HJ171" i="17"/>
  <c r="HK171" i="17"/>
  <c r="HL171" i="17"/>
  <c r="HM171" i="17"/>
  <c r="HN171" i="17"/>
  <c r="HO171" i="17"/>
  <c r="HP171" i="17"/>
  <c r="HQ171" i="17"/>
  <c r="HR171" i="17"/>
  <c r="HS171" i="17"/>
  <c r="HT171" i="17"/>
  <c r="HU171" i="17"/>
  <c r="HV171" i="17"/>
  <c r="HW171" i="17"/>
  <c r="HX171" i="17"/>
  <c r="HY171" i="17"/>
  <c r="HZ171" i="17"/>
  <c r="IA171" i="17"/>
  <c r="IB171" i="17"/>
  <c r="IC171" i="17"/>
  <c r="ID171" i="17"/>
  <c r="IE171" i="17"/>
  <c r="IF171" i="17"/>
  <c r="IG171" i="17"/>
  <c r="IH171" i="17"/>
  <c r="II171" i="17"/>
  <c r="IJ171" i="17"/>
  <c r="IK171" i="17"/>
  <c r="IL171" i="17"/>
  <c r="IM171" i="17"/>
  <c r="IN171" i="17"/>
  <c r="IO171" i="17"/>
  <c r="IP171" i="17"/>
  <c r="IQ171" i="17"/>
  <c r="IR171" i="17"/>
  <c r="IS171" i="17"/>
  <c r="IT171" i="17"/>
  <c r="IU171" i="17"/>
  <c r="IV171" i="17"/>
  <c r="A170" i="17"/>
  <c r="B170" i="17"/>
  <c r="C170" i="17"/>
  <c r="D170" i="17"/>
  <c r="E170" i="17"/>
  <c r="F170" i="17"/>
  <c r="G170" i="17"/>
  <c r="H170" i="17"/>
  <c r="I170" i="17"/>
  <c r="J170" i="17"/>
  <c r="K170" i="17"/>
  <c r="L170" i="17"/>
  <c r="M170" i="17"/>
  <c r="N170" i="17"/>
  <c r="O170" i="17"/>
  <c r="P170" i="17"/>
  <c r="Q170" i="17"/>
  <c r="R170" i="17"/>
  <c r="S170" i="17"/>
  <c r="T170" i="17"/>
  <c r="U170" i="17"/>
  <c r="V170" i="17"/>
  <c r="W170" i="17"/>
  <c r="X170" i="17"/>
  <c r="Y170" i="17"/>
  <c r="Z170" i="17"/>
  <c r="AA170" i="17"/>
  <c r="AB170" i="17"/>
  <c r="AC170" i="17"/>
  <c r="AD170" i="17"/>
  <c r="AE170" i="17"/>
  <c r="AF170" i="17"/>
  <c r="AG170" i="17"/>
  <c r="AH170" i="17"/>
  <c r="AI170" i="17"/>
  <c r="AJ170" i="17"/>
  <c r="AK170" i="17"/>
  <c r="AL170" i="17"/>
  <c r="AM170" i="17"/>
  <c r="AN170" i="17"/>
  <c r="AO170" i="17"/>
  <c r="AP170" i="17"/>
  <c r="AQ170" i="17"/>
  <c r="AR170" i="17"/>
  <c r="AS170" i="17"/>
  <c r="AT170" i="17"/>
  <c r="AU170" i="17"/>
  <c r="AV170" i="17"/>
  <c r="AW170" i="17"/>
  <c r="AX170" i="17"/>
  <c r="AY170" i="17"/>
  <c r="AZ170" i="17"/>
  <c r="BA170" i="17"/>
  <c r="BB170" i="17"/>
  <c r="BC170" i="17"/>
  <c r="BD170" i="17"/>
  <c r="BE170" i="17"/>
  <c r="BF170" i="17"/>
  <c r="BG170" i="17"/>
  <c r="BH170" i="17"/>
  <c r="BI170" i="17"/>
  <c r="BJ170" i="17"/>
  <c r="BK170" i="17"/>
  <c r="BL170" i="17"/>
  <c r="BM170" i="17"/>
  <c r="BN170" i="17"/>
  <c r="BO170" i="17"/>
  <c r="BP170" i="17"/>
  <c r="BQ170" i="17"/>
  <c r="BR170" i="17"/>
  <c r="BS170" i="17"/>
  <c r="BT170" i="17"/>
  <c r="BU170" i="17"/>
  <c r="BV170" i="17"/>
  <c r="BW170" i="17"/>
  <c r="BX170" i="17"/>
  <c r="BY170" i="17"/>
  <c r="BZ170" i="17"/>
  <c r="CA170" i="17"/>
  <c r="CB170" i="17"/>
  <c r="CC170" i="17"/>
  <c r="CD170" i="17"/>
  <c r="CE170" i="17"/>
  <c r="CF170" i="17"/>
  <c r="CG170" i="17"/>
  <c r="CH170" i="17"/>
  <c r="CI170" i="17"/>
  <c r="CJ170" i="17"/>
  <c r="CK170" i="17"/>
  <c r="CL170" i="17"/>
  <c r="CM170" i="17"/>
  <c r="CN170" i="17"/>
  <c r="CO170" i="17"/>
  <c r="CP170" i="17"/>
  <c r="CQ170" i="17"/>
  <c r="CR170" i="17"/>
  <c r="CS170" i="17"/>
  <c r="CT170" i="17"/>
  <c r="CU170" i="17"/>
  <c r="CV170" i="17"/>
  <c r="CW170" i="17"/>
  <c r="CX170" i="17"/>
  <c r="CY170" i="17"/>
  <c r="CZ170" i="17"/>
  <c r="DA170" i="17"/>
  <c r="DB170" i="17"/>
  <c r="DC170" i="17"/>
  <c r="DD170" i="17"/>
  <c r="DE170" i="17"/>
  <c r="DF170" i="17"/>
  <c r="DG170" i="17"/>
  <c r="DH170" i="17"/>
  <c r="DI170" i="17"/>
  <c r="DJ170" i="17"/>
  <c r="DK170" i="17"/>
  <c r="DL170" i="17"/>
  <c r="DM170" i="17"/>
  <c r="DN170" i="17"/>
  <c r="DO170" i="17"/>
  <c r="DP170" i="17"/>
  <c r="DQ170" i="17"/>
  <c r="DR170" i="17"/>
  <c r="DS170" i="17"/>
  <c r="DT170" i="17"/>
  <c r="DU170" i="17"/>
  <c r="DV170" i="17"/>
  <c r="DW170" i="17"/>
  <c r="DX170" i="17"/>
  <c r="DY170" i="17"/>
  <c r="DZ170" i="17"/>
  <c r="EA170" i="17"/>
  <c r="EB170" i="17"/>
  <c r="EC170" i="17"/>
  <c r="ED170" i="17"/>
  <c r="EE170" i="17"/>
  <c r="EF170" i="17"/>
  <c r="EG170" i="17"/>
  <c r="EH170" i="17"/>
  <c r="EI170" i="17"/>
  <c r="EJ170" i="17"/>
  <c r="EK170" i="17"/>
  <c r="EL170" i="17"/>
  <c r="EM170" i="17"/>
  <c r="EN170" i="17"/>
  <c r="EO170" i="17"/>
  <c r="EP170" i="17"/>
  <c r="EQ170" i="17"/>
  <c r="ER170" i="17"/>
  <c r="ES170" i="17"/>
  <c r="ET170" i="17"/>
  <c r="EU170" i="17"/>
  <c r="EV170" i="17"/>
  <c r="EW170" i="17"/>
  <c r="EX170" i="17"/>
  <c r="EY170" i="17"/>
  <c r="EZ170" i="17"/>
  <c r="FA170" i="17"/>
  <c r="FB170" i="17"/>
  <c r="FC170" i="17"/>
  <c r="FD170" i="17"/>
  <c r="FE170" i="17"/>
  <c r="FF170" i="17"/>
  <c r="FG170" i="17"/>
  <c r="FH170" i="17"/>
  <c r="FI170" i="17"/>
  <c r="FJ170" i="17"/>
  <c r="FK170" i="17"/>
  <c r="FL170" i="17"/>
  <c r="FM170" i="17"/>
  <c r="FN170" i="17"/>
  <c r="FO170" i="17"/>
  <c r="FP170" i="17"/>
  <c r="FQ170" i="17"/>
  <c r="FR170" i="17"/>
  <c r="FS170" i="17"/>
  <c r="FT170" i="17"/>
  <c r="FU170" i="17"/>
  <c r="FV170" i="17"/>
  <c r="FW170" i="17"/>
  <c r="FX170" i="17"/>
  <c r="FY170" i="17"/>
  <c r="FZ170" i="17"/>
  <c r="GA170" i="17"/>
  <c r="GB170" i="17"/>
  <c r="GC170" i="17"/>
  <c r="GD170" i="17"/>
  <c r="GE170" i="17"/>
  <c r="GF170" i="17"/>
  <c r="GG170" i="17"/>
  <c r="GH170" i="17"/>
  <c r="GI170" i="17"/>
  <c r="GJ170" i="17"/>
  <c r="GK170" i="17"/>
  <c r="GL170" i="17"/>
  <c r="GM170" i="17"/>
  <c r="GN170" i="17"/>
  <c r="GO170" i="17"/>
  <c r="GP170" i="17"/>
  <c r="GQ170" i="17"/>
  <c r="GR170" i="17"/>
  <c r="GS170" i="17"/>
  <c r="GT170" i="17"/>
  <c r="GU170" i="17"/>
  <c r="GV170" i="17"/>
  <c r="GW170" i="17"/>
  <c r="GX170" i="17"/>
  <c r="GY170" i="17"/>
  <c r="GZ170" i="17"/>
  <c r="HA170" i="17"/>
  <c r="HB170" i="17"/>
  <c r="HC170" i="17"/>
  <c r="HD170" i="17"/>
  <c r="HE170" i="17"/>
  <c r="HF170" i="17"/>
  <c r="HG170" i="17"/>
  <c r="HH170" i="17"/>
  <c r="HI170" i="17"/>
  <c r="HJ170" i="17"/>
  <c r="HK170" i="17"/>
  <c r="HL170" i="17"/>
  <c r="HM170" i="17"/>
  <c r="HN170" i="17"/>
  <c r="HO170" i="17"/>
  <c r="HP170" i="17"/>
  <c r="HQ170" i="17"/>
  <c r="HR170" i="17"/>
  <c r="HS170" i="17"/>
  <c r="HT170" i="17"/>
  <c r="HU170" i="17"/>
  <c r="HV170" i="17"/>
  <c r="HW170" i="17"/>
  <c r="HX170" i="17"/>
  <c r="HY170" i="17"/>
  <c r="HZ170" i="17"/>
  <c r="IA170" i="17"/>
  <c r="IB170" i="17"/>
  <c r="IC170" i="17"/>
  <c r="ID170" i="17"/>
  <c r="IE170" i="17"/>
  <c r="IF170" i="17"/>
  <c r="IG170" i="17"/>
  <c r="IH170" i="17"/>
  <c r="II170" i="17"/>
  <c r="IJ170" i="17"/>
  <c r="IK170" i="17"/>
  <c r="IL170" i="17"/>
  <c r="IM170" i="17"/>
  <c r="IN170" i="17"/>
  <c r="IO170" i="17"/>
  <c r="IP170" i="17"/>
  <c r="IQ170" i="17"/>
  <c r="IR170" i="17"/>
  <c r="IS170" i="17"/>
  <c r="IT170" i="17"/>
  <c r="IU170" i="17"/>
  <c r="IV170" i="17"/>
  <c r="A169" i="17"/>
  <c r="B169" i="17"/>
  <c r="C169" i="17"/>
  <c r="D169" i="17"/>
  <c r="E169" i="17"/>
  <c r="F169" i="17"/>
  <c r="G169" i="17"/>
  <c r="H169" i="17"/>
  <c r="I169" i="17"/>
  <c r="J169" i="17"/>
  <c r="K169" i="17"/>
  <c r="L169" i="17"/>
  <c r="M169" i="17"/>
  <c r="N169" i="17"/>
  <c r="O169" i="17"/>
  <c r="P169" i="17"/>
  <c r="Q169" i="17"/>
  <c r="R169" i="17"/>
  <c r="S169" i="17"/>
  <c r="T169" i="17"/>
  <c r="U169" i="17"/>
  <c r="V169" i="17"/>
  <c r="W169" i="17"/>
  <c r="X169" i="17"/>
  <c r="Y169" i="17"/>
  <c r="Z169" i="17"/>
  <c r="AA169" i="17"/>
  <c r="AB169" i="17"/>
  <c r="AC169" i="17"/>
  <c r="AD169" i="17"/>
  <c r="AE169" i="17"/>
  <c r="AF169" i="17"/>
  <c r="AG169" i="17"/>
  <c r="AH169" i="17"/>
  <c r="AI169" i="17"/>
  <c r="AJ169" i="17"/>
  <c r="AK169" i="17"/>
  <c r="AL169" i="17"/>
  <c r="AM169" i="17"/>
  <c r="AN169" i="17"/>
  <c r="AO169" i="17"/>
  <c r="AP169" i="17"/>
  <c r="AQ169" i="17"/>
  <c r="AR169" i="17"/>
  <c r="AS169" i="17"/>
  <c r="AT169" i="17"/>
  <c r="AU169" i="17"/>
  <c r="AV169" i="17"/>
  <c r="AW169" i="17"/>
  <c r="AX169" i="17"/>
  <c r="AY169" i="17"/>
  <c r="AZ169" i="17"/>
  <c r="BA169" i="17"/>
  <c r="BB169" i="17"/>
  <c r="BC169" i="17"/>
  <c r="BD169" i="17"/>
  <c r="BE169" i="17"/>
  <c r="BF169" i="17"/>
  <c r="BG169" i="17"/>
  <c r="BH169" i="17"/>
  <c r="BI169" i="17"/>
  <c r="BJ169" i="17"/>
  <c r="BK169" i="17"/>
  <c r="BL169" i="17"/>
  <c r="BM169" i="17"/>
  <c r="BN169" i="17"/>
  <c r="BO169" i="17"/>
  <c r="BP169" i="17"/>
  <c r="BQ169" i="17"/>
  <c r="BR169" i="17"/>
  <c r="BS169" i="17"/>
  <c r="BT169" i="17"/>
  <c r="BU169" i="17"/>
  <c r="BV169" i="17"/>
  <c r="BW169" i="17"/>
  <c r="BX169" i="17"/>
  <c r="BY169" i="17"/>
  <c r="BZ169" i="17"/>
  <c r="CA169" i="17"/>
  <c r="CB169" i="17"/>
  <c r="CC169" i="17"/>
  <c r="CD169" i="17"/>
  <c r="CE169" i="17"/>
  <c r="CF169" i="17"/>
  <c r="CG169" i="17"/>
  <c r="CH169" i="17"/>
  <c r="CI169" i="17"/>
  <c r="CJ169" i="17"/>
  <c r="CK169" i="17"/>
  <c r="CL169" i="17"/>
  <c r="CM169" i="17"/>
  <c r="CN169" i="17"/>
  <c r="CO169" i="17"/>
  <c r="CP169" i="17"/>
  <c r="CQ169" i="17"/>
  <c r="CR169" i="17"/>
  <c r="CS169" i="17"/>
  <c r="CT169" i="17"/>
  <c r="CU169" i="17"/>
  <c r="CV169" i="17"/>
  <c r="CW169" i="17"/>
  <c r="CX169" i="17"/>
  <c r="CY169" i="17"/>
  <c r="CZ169" i="17"/>
  <c r="DA169" i="17"/>
  <c r="DB169" i="17"/>
  <c r="DC169" i="17"/>
  <c r="DD169" i="17"/>
  <c r="DE169" i="17"/>
  <c r="DF169" i="17"/>
  <c r="DG169" i="17"/>
  <c r="DH169" i="17"/>
  <c r="DI169" i="17"/>
  <c r="DJ169" i="17"/>
  <c r="DK169" i="17"/>
  <c r="DL169" i="17"/>
  <c r="DM169" i="17"/>
  <c r="DN169" i="17"/>
  <c r="DO169" i="17"/>
  <c r="DP169" i="17"/>
  <c r="DQ169" i="17"/>
  <c r="DR169" i="17"/>
  <c r="DS169" i="17"/>
  <c r="DT169" i="17"/>
  <c r="DU169" i="17"/>
  <c r="DV169" i="17"/>
  <c r="DW169" i="17"/>
  <c r="DX169" i="17"/>
  <c r="DY169" i="17"/>
  <c r="DZ169" i="17"/>
  <c r="EA169" i="17"/>
  <c r="EB169" i="17"/>
  <c r="EC169" i="17"/>
  <c r="ED169" i="17"/>
  <c r="EE169" i="17"/>
  <c r="EF169" i="17"/>
  <c r="EG169" i="17"/>
  <c r="EH169" i="17"/>
  <c r="EI169" i="17"/>
  <c r="EJ169" i="17"/>
  <c r="EK169" i="17"/>
  <c r="EL169" i="17"/>
  <c r="EM169" i="17"/>
  <c r="EN169" i="17"/>
  <c r="EO169" i="17"/>
  <c r="EP169" i="17"/>
  <c r="EQ169" i="17"/>
  <c r="ER169" i="17"/>
  <c r="ES169" i="17"/>
  <c r="ET169" i="17"/>
  <c r="EU169" i="17"/>
  <c r="EV169" i="17"/>
  <c r="EW169" i="17"/>
  <c r="EX169" i="17"/>
  <c r="EY169" i="17"/>
  <c r="EZ169" i="17"/>
  <c r="FA169" i="17"/>
  <c r="FB169" i="17"/>
  <c r="FC169" i="17"/>
  <c r="FD169" i="17"/>
  <c r="FE169" i="17"/>
  <c r="FF169" i="17"/>
  <c r="FG169" i="17"/>
  <c r="FH169" i="17"/>
  <c r="FI169" i="17"/>
  <c r="FJ169" i="17"/>
  <c r="FK169" i="17"/>
  <c r="FL169" i="17"/>
  <c r="FM169" i="17"/>
  <c r="FN169" i="17"/>
  <c r="FO169" i="17"/>
  <c r="FP169" i="17"/>
  <c r="FQ169" i="17"/>
  <c r="FR169" i="17"/>
  <c r="FS169" i="17"/>
  <c r="FT169" i="17"/>
  <c r="FU169" i="17"/>
  <c r="FV169" i="17"/>
  <c r="FW169" i="17"/>
  <c r="FX169" i="17"/>
  <c r="FY169" i="17"/>
  <c r="FZ169" i="17"/>
  <c r="GA169" i="17"/>
  <c r="GB169" i="17"/>
  <c r="GC169" i="17"/>
  <c r="GD169" i="17"/>
  <c r="GE169" i="17"/>
  <c r="GF169" i="17"/>
  <c r="GG169" i="17"/>
  <c r="GH169" i="17"/>
  <c r="GI169" i="17"/>
  <c r="GJ169" i="17"/>
  <c r="GK169" i="17"/>
  <c r="GL169" i="17"/>
  <c r="GM169" i="17"/>
  <c r="GN169" i="17"/>
  <c r="GO169" i="17"/>
  <c r="GP169" i="17"/>
  <c r="GQ169" i="17"/>
  <c r="GR169" i="17"/>
  <c r="GS169" i="17"/>
  <c r="GT169" i="17"/>
  <c r="GU169" i="17"/>
  <c r="GV169" i="17"/>
  <c r="GW169" i="17"/>
  <c r="GX169" i="17"/>
  <c r="GY169" i="17"/>
  <c r="GZ169" i="17"/>
  <c r="HA169" i="17"/>
  <c r="HB169" i="17"/>
  <c r="HC169" i="17"/>
  <c r="HD169" i="17"/>
  <c r="HE169" i="17"/>
  <c r="HF169" i="17"/>
  <c r="HG169" i="17"/>
  <c r="HH169" i="17"/>
  <c r="HI169" i="17"/>
  <c r="HJ169" i="17"/>
  <c r="HK169" i="17"/>
  <c r="HL169" i="17"/>
  <c r="HM169" i="17"/>
  <c r="HN169" i="17"/>
  <c r="HO169" i="17"/>
  <c r="HP169" i="17"/>
  <c r="HQ169" i="17"/>
  <c r="HR169" i="17"/>
  <c r="HS169" i="17"/>
  <c r="HT169" i="17"/>
  <c r="HU169" i="17"/>
  <c r="HV169" i="17"/>
  <c r="HW169" i="17"/>
  <c r="HX169" i="17"/>
  <c r="HY169" i="17"/>
  <c r="HZ169" i="17"/>
  <c r="IA169" i="17"/>
  <c r="IB169" i="17"/>
  <c r="IC169" i="17"/>
  <c r="ID169" i="17"/>
  <c r="IE169" i="17"/>
  <c r="IF169" i="17"/>
  <c r="IG169" i="17"/>
  <c r="IH169" i="17"/>
  <c r="II169" i="17"/>
  <c r="IJ169" i="17"/>
  <c r="IK169" i="17"/>
  <c r="IL169" i="17"/>
  <c r="IM169" i="17"/>
  <c r="IN169" i="17"/>
  <c r="IO169" i="17"/>
  <c r="IP169" i="17"/>
  <c r="IQ169" i="17"/>
  <c r="IR169" i="17"/>
  <c r="IS169" i="17"/>
  <c r="IT169" i="17"/>
  <c r="IU169" i="17"/>
  <c r="IV169" i="17"/>
  <c r="A168" i="17"/>
  <c r="B168" i="17"/>
  <c r="C168" i="17"/>
  <c r="D168" i="17"/>
  <c r="E168" i="17"/>
  <c r="F168" i="17"/>
  <c r="G168" i="17"/>
  <c r="H168" i="17"/>
  <c r="I168" i="17"/>
  <c r="J168" i="17"/>
  <c r="K168" i="17"/>
  <c r="L168" i="17"/>
  <c r="M168" i="17"/>
  <c r="N168" i="17"/>
  <c r="O168" i="17"/>
  <c r="P168" i="17"/>
  <c r="Q168" i="17"/>
  <c r="R168" i="17"/>
  <c r="S168" i="17"/>
  <c r="T168" i="17"/>
  <c r="U168" i="17"/>
  <c r="V168" i="17"/>
  <c r="W168" i="17"/>
  <c r="X168" i="17"/>
  <c r="Y168" i="17"/>
  <c r="Z168" i="17"/>
  <c r="AA168" i="17"/>
  <c r="AB168" i="17"/>
  <c r="AC168" i="17"/>
  <c r="AD168" i="17"/>
  <c r="AE168" i="17"/>
  <c r="AF168" i="17"/>
  <c r="AG168" i="17"/>
  <c r="AH168" i="17"/>
  <c r="AI168" i="17"/>
  <c r="AJ168" i="17"/>
  <c r="AK168" i="17"/>
  <c r="AL168" i="17"/>
  <c r="AM168" i="17"/>
  <c r="AN168" i="17"/>
  <c r="AO168" i="17"/>
  <c r="AP168" i="17"/>
  <c r="AQ168" i="17"/>
  <c r="AR168" i="17"/>
  <c r="AS168" i="17"/>
  <c r="AT168" i="17"/>
  <c r="AU168" i="17"/>
  <c r="AV168" i="17"/>
  <c r="AW168" i="17"/>
  <c r="AX168" i="17"/>
  <c r="AY168" i="17"/>
  <c r="AZ168" i="17"/>
  <c r="BA168" i="17"/>
  <c r="BB168" i="17"/>
  <c r="BC168" i="17"/>
  <c r="BD168" i="17"/>
  <c r="BE168" i="17"/>
  <c r="BF168" i="17"/>
  <c r="BG168" i="17"/>
  <c r="BH168" i="17"/>
  <c r="BI168" i="17"/>
  <c r="BJ168" i="17"/>
  <c r="BK168" i="17"/>
  <c r="BL168" i="17"/>
  <c r="BM168" i="17"/>
  <c r="BN168" i="17"/>
  <c r="BO168" i="17"/>
  <c r="BP168" i="17"/>
  <c r="BQ168" i="17"/>
  <c r="BR168" i="17"/>
  <c r="BS168" i="17"/>
  <c r="BT168" i="17"/>
  <c r="BU168" i="17"/>
  <c r="BV168" i="17"/>
  <c r="BW168" i="17"/>
  <c r="BX168" i="17"/>
  <c r="BY168" i="17"/>
  <c r="BZ168" i="17"/>
  <c r="CA168" i="17"/>
  <c r="CB168" i="17"/>
  <c r="CC168" i="17"/>
  <c r="CD168" i="17"/>
  <c r="CE168" i="17"/>
  <c r="CF168" i="17"/>
  <c r="CG168" i="17"/>
  <c r="CH168" i="17"/>
  <c r="CI168" i="17"/>
  <c r="CJ168" i="17"/>
  <c r="CK168" i="17"/>
  <c r="CL168" i="17"/>
  <c r="CM168" i="17"/>
  <c r="CN168" i="17"/>
  <c r="CO168" i="17"/>
  <c r="CP168" i="17"/>
  <c r="CQ168" i="17"/>
  <c r="CR168" i="17"/>
  <c r="CS168" i="17"/>
  <c r="CT168" i="17"/>
  <c r="CU168" i="17"/>
  <c r="CV168" i="17"/>
  <c r="CW168" i="17"/>
  <c r="CX168" i="17"/>
  <c r="CY168" i="17"/>
  <c r="CZ168" i="17"/>
  <c r="DA168" i="17"/>
  <c r="DB168" i="17"/>
  <c r="DC168" i="17"/>
  <c r="DD168" i="17"/>
  <c r="DE168" i="17"/>
  <c r="DF168" i="17"/>
  <c r="DG168" i="17"/>
  <c r="DH168" i="17"/>
  <c r="DI168" i="17"/>
  <c r="DJ168" i="17"/>
  <c r="DK168" i="17"/>
  <c r="DL168" i="17"/>
  <c r="DM168" i="17"/>
  <c r="DN168" i="17"/>
  <c r="DO168" i="17"/>
  <c r="DP168" i="17"/>
  <c r="DQ168" i="17"/>
  <c r="DR168" i="17"/>
  <c r="DS168" i="17"/>
  <c r="DT168" i="17"/>
  <c r="DU168" i="17"/>
  <c r="DV168" i="17"/>
  <c r="DW168" i="17"/>
  <c r="DX168" i="17"/>
  <c r="DY168" i="17"/>
  <c r="DZ168" i="17"/>
  <c r="EA168" i="17"/>
  <c r="EB168" i="17"/>
  <c r="EC168" i="17"/>
  <c r="ED168" i="17"/>
  <c r="EE168" i="17"/>
  <c r="EF168" i="17"/>
  <c r="EG168" i="17"/>
  <c r="EH168" i="17"/>
  <c r="EI168" i="17"/>
  <c r="EJ168" i="17"/>
  <c r="EK168" i="17"/>
  <c r="EL168" i="17"/>
  <c r="EM168" i="17"/>
  <c r="EN168" i="17"/>
  <c r="EO168" i="17"/>
  <c r="EP168" i="17"/>
  <c r="EQ168" i="17"/>
  <c r="ER168" i="17"/>
  <c r="ES168" i="17"/>
  <c r="ET168" i="17"/>
  <c r="EU168" i="17"/>
  <c r="EV168" i="17"/>
  <c r="EW168" i="17"/>
  <c r="EX168" i="17"/>
  <c r="EY168" i="17"/>
  <c r="EZ168" i="17"/>
  <c r="FA168" i="17"/>
  <c r="FB168" i="17"/>
  <c r="FC168" i="17"/>
  <c r="FD168" i="17"/>
  <c r="FE168" i="17"/>
  <c r="FF168" i="17"/>
  <c r="FG168" i="17"/>
  <c r="FH168" i="17"/>
  <c r="FI168" i="17"/>
  <c r="FJ168" i="17"/>
  <c r="FK168" i="17"/>
  <c r="FL168" i="17"/>
  <c r="FM168" i="17"/>
  <c r="FN168" i="17"/>
  <c r="FO168" i="17"/>
  <c r="FP168" i="17"/>
  <c r="FQ168" i="17"/>
  <c r="FR168" i="17"/>
  <c r="FS168" i="17"/>
  <c r="FT168" i="17"/>
  <c r="FU168" i="17"/>
  <c r="FV168" i="17"/>
  <c r="FW168" i="17"/>
  <c r="FX168" i="17"/>
  <c r="FY168" i="17"/>
  <c r="FZ168" i="17"/>
  <c r="GA168" i="17"/>
  <c r="GB168" i="17"/>
  <c r="GC168" i="17"/>
  <c r="GD168" i="17"/>
  <c r="GE168" i="17"/>
  <c r="GF168" i="17"/>
  <c r="GG168" i="17"/>
  <c r="GH168" i="17"/>
  <c r="GI168" i="17"/>
  <c r="GJ168" i="17"/>
  <c r="GK168" i="17"/>
  <c r="GL168" i="17"/>
  <c r="GM168" i="17"/>
  <c r="GN168" i="17"/>
  <c r="GO168" i="17"/>
  <c r="GP168" i="17"/>
  <c r="GQ168" i="17"/>
  <c r="GR168" i="17"/>
  <c r="GS168" i="17"/>
  <c r="GT168" i="17"/>
  <c r="GU168" i="17"/>
  <c r="GV168" i="17"/>
  <c r="GW168" i="17"/>
  <c r="GX168" i="17"/>
  <c r="GY168" i="17"/>
  <c r="GZ168" i="17"/>
  <c r="HA168" i="17"/>
  <c r="HB168" i="17"/>
  <c r="HC168" i="17"/>
  <c r="HD168" i="17"/>
  <c r="HE168" i="17"/>
  <c r="HF168" i="17"/>
  <c r="HG168" i="17"/>
  <c r="HH168" i="17"/>
  <c r="HI168" i="17"/>
  <c r="HJ168" i="17"/>
  <c r="HK168" i="17"/>
  <c r="HL168" i="17"/>
  <c r="HM168" i="17"/>
  <c r="HN168" i="17"/>
  <c r="HO168" i="17"/>
  <c r="HP168" i="17"/>
  <c r="HQ168" i="17"/>
  <c r="HR168" i="17"/>
  <c r="HS168" i="17"/>
  <c r="HT168" i="17"/>
  <c r="HU168" i="17"/>
  <c r="HV168" i="17"/>
  <c r="HW168" i="17"/>
  <c r="HX168" i="17"/>
  <c r="HY168" i="17"/>
  <c r="HZ168" i="17"/>
  <c r="IA168" i="17"/>
  <c r="IB168" i="17"/>
  <c r="IC168" i="17"/>
  <c r="ID168" i="17"/>
  <c r="IE168" i="17"/>
  <c r="IF168" i="17"/>
  <c r="IG168" i="17"/>
  <c r="IH168" i="17"/>
  <c r="II168" i="17"/>
  <c r="IJ168" i="17"/>
  <c r="IK168" i="17"/>
  <c r="IL168" i="17"/>
  <c r="IM168" i="17"/>
  <c r="IN168" i="17"/>
  <c r="IO168" i="17"/>
  <c r="IP168" i="17"/>
  <c r="IQ168" i="17"/>
  <c r="IR168" i="17"/>
  <c r="IS168" i="17"/>
  <c r="IT168" i="17"/>
  <c r="IU168" i="17"/>
  <c r="IV168" i="17"/>
  <c r="A167" i="17"/>
  <c r="B167" i="17"/>
  <c r="C167" i="17"/>
  <c r="D167" i="17"/>
  <c r="E167" i="17"/>
  <c r="F167" i="17"/>
  <c r="G167" i="17"/>
  <c r="H167" i="17"/>
  <c r="I167" i="17"/>
  <c r="J167" i="17"/>
  <c r="K167" i="17"/>
  <c r="L167" i="17"/>
  <c r="M167" i="17"/>
  <c r="N167" i="17"/>
  <c r="O167" i="17"/>
  <c r="P167" i="17"/>
  <c r="Q167" i="17"/>
  <c r="R167" i="17"/>
  <c r="S167" i="17"/>
  <c r="T167" i="17"/>
  <c r="U167" i="17"/>
  <c r="V167" i="17"/>
  <c r="W167" i="17"/>
  <c r="X167" i="17"/>
  <c r="Y167" i="17"/>
  <c r="Z167" i="17"/>
  <c r="AA167" i="17"/>
  <c r="AB167" i="17"/>
  <c r="AC167" i="17"/>
  <c r="AD167" i="17"/>
  <c r="AE167" i="17"/>
  <c r="AF167" i="17"/>
  <c r="AG167" i="17"/>
  <c r="AH167" i="17"/>
  <c r="AI167" i="17"/>
  <c r="AJ167" i="17"/>
  <c r="AK167" i="17"/>
  <c r="AL167" i="17"/>
  <c r="AM167" i="17"/>
  <c r="AN167" i="17"/>
  <c r="AO167" i="17"/>
  <c r="AP167" i="17"/>
  <c r="AQ167" i="17"/>
  <c r="AR167" i="17"/>
  <c r="AS167" i="17"/>
  <c r="AT167" i="17"/>
  <c r="AU167" i="17"/>
  <c r="AV167" i="17"/>
  <c r="AW167" i="17"/>
  <c r="AX167" i="17"/>
  <c r="AY167" i="17"/>
  <c r="AZ167" i="17"/>
  <c r="BA167" i="17"/>
  <c r="BB167" i="17"/>
  <c r="BC167" i="17"/>
  <c r="BD167" i="17"/>
  <c r="BE167" i="17"/>
  <c r="BF167" i="17"/>
  <c r="BG167" i="17"/>
  <c r="BH167" i="17"/>
  <c r="BI167" i="17"/>
  <c r="BJ167" i="17"/>
  <c r="BK167" i="17"/>
  <c r="BL167" i="17"/>
  <c r="BM167" i="17"/>
  <c r="BN167" i="17"/>
  <c r="BO167" i="17"/>
  <c r="BP167" i="17"/>
  <c r="BQ167" i="17"/>
  <c r="BR167" i="17"/>
  <c r="BS167" i="17"/>
  <c r="BT167" i="17"/>
  <c r="BU167" i="17"/>
  <c r="BV167" i="17"/>
  <c r="BW167" i="17"/>
  <c r="BX167" i="17"/>
  <c r="BY167" i="17"/>
  <c r="BZ167" i="17"/>
  <c r="CA167" i="17"/>
  <c r="CB167" i="17"/>
  <c r="CC167" i="17"/>
  <c r="CD167" i="17"/>
  <c r="CE167" i="17"/>
  <c r="CF167" i="17"/>
  <c r="CG167" i="17"/>
  <c r="CH167" i="17"/>
  <c r="CI167" i="17"/>
  <c r="CJ167" i="17"/>
  <c r="CK167" i="17"/>
  <c r="CL167" i="17"/>
  <c r="CM167" i="17"/>
  <c r="CN167" i="17"/>
  <c r="CO167" i="17"/>
  <c r="CP167" i="17"/>
  <c r="CQ167" i="17"/>
  <c r="CR167" i="17"/>
  <c r="CS167" i="17"/>
  <c r="CT167" i="17"/>
  <c r="CU167" i="17"/>
  <c r="CV167" i="17"/>
  <c r="CW167" i="17"/>
  <c r="CX167" i="17"/>
  <c r="CY167" i="17"/>
  <c r="CZ167" i="17"/>
  <c r="DA167" i="17"/>
  <c r="DB167" i="17"/>
  <c r="DC167" i="17"/>
  <c r="DD167" i="17"/>
  <c r="DE167" i="17"/>
  <c r="DF167" i="17"/>
  <c r="DG167" i="17"/>
  <c r="DH167" i="17"/>
  <c r="DI167" i="17"/>
  <c r="DJ167" i="17"/>
  <c r="DK167" i="17"/>
  <c r="DL167" i="17"/>
  <c r="DM167" i="17"/>
  <c r="DN167" i="17"/>
  <c r="DO167" i="17"/>
  <c r="DP167" i="17"/>
  <c r="DQ167" i="17"/>
  <c r="DR167" i="17"/>
  <c r="DS167" i="17"/>
  <c r="DT167" i="17"/>
  <c r="DU167" i="17"/>
  <c r="DV167" i="17"/>
  <c r="DW167" i="17"/>
  <c r="DX167" i="17"/>
  <c r="DY167" i="17"/>
  <c r="DZ167" i="17"/>
  <c r="EA167" i="17"/>
  <c r="EB167" i="17"/>
  <c r="EC167" i="17"/>
  <c r="ED167" i="17"/>
  <c r="EE167" i="17"/>
  <c r="EF167" i="17"/>
  <c r="EG167" i="17"/>
  <c r="EH167" i="17"/>
  <c r="EI167" i="17"/>
  <c r="EJ167" i="17"/>
  <c r="EK167" i="17"/>
  <c r="EL167" i="17"/>
  <c r="EM167" i="17"/>
  <c r="EN167" i="17"/>
  <c r="EO167" i="17"/>
  <c r="EP167" i="17"/>
  <c r="EQ167" i="17"/>
  <c r="ER167" i="17"/>
  <c r="ES167" i="17"/>
  <c r="ET167" i="17"/>
  <c r="EU167" i="17"/>
  <c r="EV167" i="17"/>
  <c r="EW167" i="17"/>
  <c r="EX167" i="17"/>
  <c r="EY167" i="17"/>
  <c r="EZ167" i="17"/>
  <c r="FA167" i="17"/>
  <c r="FB167" i="17"/>
  <c r="FC167" i="17"/>
  <c r="FD167" i="17"/>
  <c r="FE167" i="17"/>
  <c r="FF167" i="17"/>
  <c r="FG167" i="17"/>
  <c r="FH167" i="17"/>
  <c r="FI167" i="17"/>
  <c r="FJ167" i="17"/>
  <c r="FK167" i="17"/>
  <c r="FL167" i="17"/>
  <c r="FM167" i="17"/>
  <c r="FN167" i="17"/>
  <c r="FO167" i="17"/>
  <c r="FP167" i="17"/>
  <c r="FQ167" i="17"/>
  <c r="FR167" i="17"/>
  <c r="FS167" i="17"/>
  <c r="FT167" i="17"/>
  <c r="FU167" i="17"/>
  <c r="FV167" i="17"/>
  <c r="FW167" i="17"/>
  <c r="FX167" i="17"/>
  <c r="FY167" i="17"/>
  <c r="FZ167" i="17"/>
  <c r="GA167" i="17"/>
  <c r="GB167" i="17"/>
  <c r="GC167" i="17"/>
  <c r="GD167" i="17"/>
  <c r="GE167" i="17"/>
  <c r="GF167" i="17"/>
  <c r="GG167" i="17"/>
  <c r="GH167" i="17"/>
  <c r="GI167" i="17"/>
  <c r="GJ167" i="17"/>
  <c r="GK167" i="17"/>
  <c r="GL167" i="17"/>
  <c r="GM167" i="17"/>
  <c r="GN167" i="17"/>
  <c r="GO167" i="17"/>
  <c r="GP167" i="17"/>
  <c r="GQ167" i="17"/>
  <c r="GR167" i="17"/>
  <c r="GS167" i="17"/>
  <c r="GT167" i="17"/>
  <c r="GU167" i="17"/>
  <c r="GV167" i="17"/>
  <c r="GW167" i="17"/>
  <c r="GX167" i="17"/>
  <c r="GY167" i="17"/>
  <c r="GZ167" i="17"/>
  <c r="HA167" i="17"/>
  <c r="HB167" i="17"/>
  <c r="HC167" i="17"/>
  <c r="HD167" i="17"/>
  <c r="HE167" i="17"/>
  <c r="HF167" i="17"/>
  <c r="HG167" i="17"/>
  <c r="HH167" i="17"/>
  <c r="HI167" i="17"/>
  <c r="HJ167" i="17"/>
  <c r="HK167" i="17"/>
  <c r="HL167" i="17"/>
  <c r="HM167" i="17"/>
  <c r="HN167" i="17"/>
  <c r="HO167" i="17"/>
  <c r="HP167" i="17"/>
  <c r="HQ167" i="17"/>
  <c r="HR167" i="17"/>
  <c r="HS167" i="17"/>
  <c r="HT167" i="17"/>
  <c r="HU167" i="17"/>
  <c r="HV167" i="17"/>
  <c r="HW167" i="17"/>
  <c r="HX167" i="17"/>
  <c r="HY167" i="17"/>
  <c r="HZ167" i="17"/>
  <c r="IA167" i="17"/>
  <c r="IB167" i="17"/>
  <c r="IC167" i="17"/>
  <c r="ID167" i="17"/>
  <c r="IE167" i="17"/>
  <c r="IF167" i="17"/>
  <c r="IG167" i="17"/>
  <c r="IH167" i="17"/>
  <c r="II167" i="17"/>
  <c r="IJ167" i="17"/>
  <c r="IK167" i="17"/>
  <c r="IL167" i="17"/>
  <c r="IM167" i="17"/>
  <c r="IN167" i="17"/>
  <c r="IO167" i="17"/>
  <c r="IP167" i="17"/>
  <c r="IQ167" i="17"/>
  <c r="IR167" i="17"/>
  <c r="IS167" i="17"/>
  <c r="IT167" i="17"/>
  <c r="IU167" i="17"/>
  <c r="IV167" i="17"/>
  <c r="A166" i="17"/>
  <c r="B166" i="17"/>
  <c r="C166" i="17"/>
  <c r="D166" i="17"/>
  <c r="E166" i="17"/>
  <c r="F166" i="17"/>
  <c r="G166" i="17"/>
  <c r="H166" i="17"/>
  <c r="I166" i="17"/>
  <c r="J166" i="17"/>
  <c r="K166" i="17"/>
  <c r="L166" i="17"/>
  <c r="M166" i="17"/>
  <c r="N166" i="17"/>
  <c r="O166" i="17"/>
  <c r="P166" i="17"/>
  <c r="Q166" i="17"/>
  <c r="R166" i="17"/>
  <c r="S166" i="17"/>
  <c r="T166" i="17"/>
  <c r="U166" i="17"/>
  <c r="V166" i="17"/>
  <c r="W166" i="17"/>
  <c r="X166" i="17"/>
  <c r="Y166" i="17"/>
  <c r="Z166" i="17"/>
  <c r="AA166" i="17"/>
  <c r="AB166" i="17"/>
  <c r="AC166" i="17"/>
  <c r="AD166" i="17"/>
  <c r="AE166" i="17"/>
  <c r="AF166" i="17"/>
  <c r="AG166" i="17"/>
  <c r="AH166" i="17"/>
  <c r="AI166" i="17"/>
  <c r="AJ166" i="17"/>
  <c r="AK166" i="17"/>
  <c r="AL166" i="17"/>
  <c r="AM166" i="17"/>
  <c r="AN166" i="17"/>
  <c r="AO166" i="17"/>
  <c r="AP166" i="17"/>
  <c r="AQ166" i="17"/>
  <c r="AR166" i="17"/>
  <c r="AS166" i="17"/>
  <c r="AT166" i="17"/>
  <c r="AU166" i="17"/>
  <c r="AV166" i="17"/>
  <c r="AW166" i="17"/>
  <c r="AX166" i="17"/>
  <c r="AY166" i="17"/>
  <c r="AZ166" i="17"/>
  <c r="BA166" i="17"/>
  <c r="BB166" i="17"/>
  <c r="BC166" i="17"/>
  <c r="BD166" i="17"/>
  <c r="BE166" i="17"/>
  <c r="BF166" i="17"/>
  <c r="BG166" i="17"/>
  <c r="BH166" i="17"/>
  <c r="BI166" i="17"/>
  <c r="BJ166" i="17"/>
  <c r="BK166" i="17"/>
  <c r="BL166" i="17"/>
  <c r="BM166" i="17"/>
  <c r="BN166" i="17"/>
  <c r="BO166" i="17"/>
  <c r="BP166" i="17"/>
  <c r="BQ166" i="17"/>
  <c r="BR166" i="17"/>
  <c r="BS166" i="17"/>
  <c r="BT166" i="17"/>
  <c r="BU166" i="17"/>
  <c r="BV166" i="17"/>
  <c r="BW166" i="17"/>
  <c r="BX166" i="17"/>
  <c r="BY166" i="17"/>
  <c r="BZ166" i="17"/>
  <c r="CA166" i="17"/>
  <c r="CB166" i="17"/>
  <c r="CC166" i="17"/>
  <c r="CD166" i="17"/>
  <c r="CE166" i="17"/>
  <c r="CF166" i="17"/>
  <c r="CG166" i="17"/>
  <c r="CH166" i="17"/>
  <c r="CI166" i="17"/>
  <c r="CJ166" i="17"/>
  <c r="CK166" i="17"/>
  <c r="CL166" i="17"/>
  <c r="CM166" i="17"/>
  <c r="CN166" i="17"/>
  <c r="CO166" i="17"/>
  <c r="CP166" i="17"/>
  <c r="CQ166" i="17"/>
  <c r="CR166" i="17"/>
  <c r="CS166" i="17"/>
  <c r="CT166" i="17"/>
  <c r="CU166" i="17"/>
  <c r="CV166" i="17"/>
  <c r="CW166" i="17"/>
  <c r="CX166" i="17"/>
  <c r="CY166" i="17"/>
  <c r="CZ166" i="17"/>
  <c r="DA166" i="17"/>
  <c r="DB166" i="17"/>
  <c r="DC166" i="17"/>
  <c r="DD166" i="17"/>
  <c r="DE166" i="17"/>
  <c r="DF166" i="17"/>
  <c r="DG166" i="17"/>
  <c r="DH166" i="17"/>
  <c r="DI166" i="17"/>
  <c r="DJ166" i="17"/>
  <c r="DK166" i="17"/>
  <c r="DL166" i="17"/>
  <c r="DM166" i="17"/>
  <c r="DN166" i="17"/>
  <c r="DO166" i="17"/>
  <c r="DP166" i="17"/>
  <c r="DQ166" i="17"/>
  <c r="DR166" i="17"/>
  <c r="DS166" i="17"/>
  <c r="DT166" i="17"/>
  <c r="DU166" i="17"/>
  <c r="DV166" i="17"/>
  <c r="DW166" i="17"/>
  <c r="DX166" i="17"/>
  <c r="DY166" i="17"/>
  <c r="DZ166" i="17"/>
  <c r="EA166" i="17"/>
  <c r="EB166" i="17"/>
  <c r="EC166" i="17"/>
  <c r="ED166" i="17"/>
  <c r="EE166" i="17"/>
  <c r="EF166" i="17"/>
  <c r="EG166" i="17"/>
  <c r="EH166" i="17"/>
  <c r="EI166" i="17"/>
  <c r="EJ166" i="17"/>
  <c r="EK166" i="17"/>
  <c r="EL166" i="17"/>
  <c r="EM166" i="17"/>
  <c r="EN166" i="17"/>
  <c r="EO166" i="17"/>
  <c r="EP166" i="17"/>
  <c r="EQ166" i="17"/>
  <c r="ER166" i="17"/>
  <c r="ES166" i="17"/>
  <c r="ET166" i="17"/>
  <c r="EU166" i="17"/>
  <c r="EV166" i="17"/>
  <c r="EW166" i="17"/>
  <c r="EX166" i="17"/>
  <c r="EY166" i="17"/>
  <c r="EZ166" i="17"/>
  <c r="FA166" i="17"/>
  <c r="FB166" i="17"/>
  <c r="FC166" i="17"/>
  <c r="FD166" i="17"/>
  <c r="FE166" i="17"/>
  <c r="FF166" i="17"/>
  <c r="FG166" i="17"/>
  <c r="FH166" i="17"/>
  <c r="FI166" i="17"/>
  <c r="FJ166" i="17"/>
  <c r="FK166" i="17"/>
  <c r="FL166" i="17"/>
  <c r="FM166" i="17"/>
  <c r="FN166" i="17"/>
  <c r="FO166" i="17"/>
  <c r="FP166" i="17"/>
  <c r="FQ166" i="17"/>
  <c r="FR166" i="17"/>
  <c r="FS166" i="17"/>
  <c r="FT166" i="17"/>
  <c r="FU166" i="17"/>
  <c r="FV166" i="17"/>
  <c r="FW166" i="17"/>
  <c r="FX166" i="17"/>
  <c r="FY166" i="17"/>
  <c r="FZ166" i="17"/>
  <c r="GA166" i="17"/>
  <c r="GB166" i="17"/>
  <c r="GC166" i="17"/>
  <c r="GD166" i="17"/>
  <c r="GE166" i="17"/>
  <c r="GF166" i="17"/>
  <c r="GG166" i="17"/>
  <c r="GH166" i="17"/>
  <c r="GI166" i="17"/>
  <c r="GJ166" i="17"/>
  <c r="GK166" i="17"/>
  <c r="GL166" i="17"/>
  <c r="GM166" i="17"/>
  <c r="GN166" i="17"/>
  <c r="GO166" i="17"/>
  <c r="GP166" i="17"/>
  <c r="GQ166" i="17"/>
  <c r="GR166" i="17"/>
  <c r="GS166" i="17"/>
  <c r="GT166" i="17"/>
  <c r="GU166" i="17"/>
  <c r="GV166" i="17"/>
  <c r="GW166" i="17"/>
  <c r="GX166" i="17"/>
  <c r="GY166" i="17"/>
  <c r="GZ166" i="17"/>
  <c r="HA166" i="17"/>
  <c r="HB166" i="17"/>
  <c r="HC166" i="17"/>
  <c r="HD166" i="17"/>
  <c r="HE166" i="17"/>
  <c r="HF166" i="17"/>
  <c r="HG166" i="17"/>
  <c r="HH166" i="17"/>
  <c r="HI166" i="17"/>
  <c r="HJ166" i="17"/>
  <c r="HK166" i="17"/>
  <c r="HL166" i="17"/>
  <c r="HM166" i="17"/>
  <c r="HN166" i="17"/>
  <c r="HO166" i="17"/>
  <c r="HP166" i="17"/>
  <c r="HQ166" i="17"/>
  <c r="HR166" i="17"/>
  <c r="HS166" i="17"/>
  <c r="HT166" i="17"/>
  <c r="HU166" i="17"/>
  <c r="HV166" i="17"/>
  <c r="HW166" i="17"/>
  <c r="HX166" i="17"/>
  <c r="HY166" i="17"/>
  <c r="HZ166" i="17"/>
  <c r="IA166" i="17"/>
  <c r="IB166" i="17"/>
  <c r="IC166" i="17"/>
  <c r="ID166" i="17"/>
  <c r="IE166" i="17"/>
  <c r="IF166" i="17"/>
  <c r="IG166" i="17"/>
  <c r="IH166" i="17"/>
  <c r="II166" i="17"/>
  <c r="IJ166" i="17"/>
  <c r="IK166" i="17"/>
  <c r="IL166" i="17"/>
  <c r="IM166" i="17"/>
  <c r="IN166" i="17"/>
  <c r="IO166" i="17"/>
  <c r="IP166" i="17"/>
  <c r="IQ166" i="17"/>
  <c r="IR166" i="17"/>
  <c r="IS166" i="17"/>
  <c r="IT166" i="17"/>
  <c r="IU166" i="17"/>
  <c r="IV166" i="17"/>
  <c r="A165" i="17"/>
  <c r="B165" i="17"/>
  <c r="C165" i="17"/>
  <c r="D165" i="17"/>
  <c r="E165" i="17"/>
  <c r="F165" i="17"/>
  <c r="G165" i="17"/>
  <c r="H165" i="17"/>
  <c r="I165" i="17"/>
  <c r="J165" i="17"/>
  <c r="K165" i="17"/>
  <c r="L165" i="17"/>
  <c r="M165" i="17"/>
  <c r="N165" i="17"/>
  <c r="O165" i="17"/>
  <c r="P165" i="17"/>
  <c r="Q165" i="17"/>
  <c r="R165" i="17"/>
  <c r="S165" i="17"/>
  <c r="T165" i="17"/>
  <c r="U165" i="17"/>
  <c r="V165" i="17"/>
  <c r="W165" i="17"/>
  <c r="X165" i="17"/>
  <c r="Y165" i="17"/>
  <c r="Z165" i="17"/>
  <c r="AA165" i="17"/>
  <c r="AB165" i="17"/>
  <c r="AC165" i="17"/>
  <c r="AD165" i="17"/>
  <c r="AE165" i="17"/>
  <c r="AF165" i="17"/>
  <c r="AG165" i="17"/>
  <c r="AH165" i="17"/>
  <c r="AI165" i="17"/>
  <c r="AJ165" i="17"/>
  <c r="AK165" i="17"/>
  <c r="AL165" i="17"/>
  <c r="AM165" i="17"/>
  <c r="AN165" i="17"/>
  <c r="AO165" i="17"/>
  <c r="AP165" i="17"/>
  <c r="AQ165" i="17"/>
  <c r="AR165" i="17"/>
  <c r="AS165" i="17"/>
  <c r="AT165" i="17"/>
  <c r="AU165" i="17"/>
  <c r="AV165" i="17"/>
  <c r="AW165" i="17"/>
  <c r="AX165" i="17"/>
  <c r="AY165" i="17"/>
  <c r="AZ165" i="17"/>
  <c r="BA165" i="17"/>
  <c r="BB165" i="17"/>
  <c r="BC165" i="17"/>
  <c r="BD165" i="17"/>
  <c r="BE165" i="17"/>
  <c r="BF165" i="17"/>
  <c r="BG165" i="17"/>
  <c r="BH165" i="17"/>
  <c r="BI165" i="17"/>
  <c r="BJ165" i="17"/>
  <c r="BK165" i="17"/>
  <c r="BL165" i="17"/>
  <c r="BM165" i="17"/>
  <c r="BN165" i="17"/>
  <c r="BO165" i="17"/>
  <c r="BP165" i="17"/>
  <c r="BQ165" i="17"/>
  <c r="BR165" i="17"/>
  <c r="BS165" i="17"/>
  <c r="BT165" i="17"/>
  <c r="BU165" i="17"/>
  <c r="BV165" i="17"/>
  <c r="BW165" i="17"/>
  <c r="BX165" i="17"/>
  <c r="BY165" i="17"/>
  <c r="BZ165" i="17"/>
  <c r="CA165" i="17"/>
  <c r="CB165" i="17"/>
  <c r="CC165" i="17"/>
  <c r="CD165" i="17"/>
  <c r="CE165" i="17"/>
  <c r="CF165" i="17"/>
  <c r="CG165" i="17"/>
  <c r="CH165" i="17"/>
  <c r="CI165" i="17"/>
  <c r="CJ165" i="17"/>
  <c r="CK165" i="17"/>
  <c r="CL165" i="17"/>
  <c r="CM165" i="17"/>
  <c r="CN165" i="17"/>
  <c r="CO165" i="17"/>
  <c r="CP165" i="17"/>
  <c r="CQ165" i="17"/>
  <c r="CR165" i="17"/>
  <c r="CS165" i="17"/>
  <c r="CT165" i="17"/>
  <c r="CU165" i="17"/>
  <c r="CV165" i="17"/>
  <c r="CW165" i="17"/>
  <c r="CX165" i="17"/>
  <c r="CY165" i="17"/>
  <c r="CZ165" i="17"/>
  <c r="DA165" i="17"/>
  <c r="DB165" i="17"/>
  <c r="DC165" i="17"/>
  <c r="DD165" i="17"/>
  <c r="DE165" i="17"/>
  <c r="DF165" i="17"/>
  <c r="DG165" i="17"/>
  <c r="DH165" i="17"/>
  <c r="DI165" i="17"/>
  <c r="DJ165" i="17"/>
  <c r="DK165" i="17"/>
  <c r="DL165" i="17"/>
  <c r="DM165" i="17"/>
  <c r="DN165" i="17"/>
  <c r="DO165" i="17"/>
  <c r="DP165" i="17"/>
  <c r="DQ165" i="17"/>
  <c r="DR165" i="17"/>
  <c r="DS165" i="17"/>
  <c r="DT165" i="17"/>
  <c r="DU165" i="17"/>
  <c r="DV165" i="17"/>
  <c r="DW165" i="17"/>
  <c r="DX165" i="17"/>
  <c r="DY165" i="17"/>
  <c r="DZ165" i="17"/>
  <c r="EA165" i="17"/>
  <c r="EB165" i="17"/>
  <c r="EC165" i="17"/>
  <c r="ED165" i="17"/>
  <c r="EE165" i="17"/>
  <c r="EF165" i="17"/>
  <c r="EG165" i="17"/>
  <c r="EH165" i="17"/>
  <c r="EI165" i="17"/>
  <c r="EJ165" i="17"/>
  <c r="EK165" i="17"/>
  <c r="EL165" i="17"/>
  <c r="EM165" i="17"/>
  <c r="EN165" i="17"/>
  <c r="EO165" i="17"/>
  <c r="EP165" i="17"/>
  <c r="EQ165" i="17"/>
  <c r="ER165" i="17"/>
  <c r="ES165" i="17"/>
  <c r="ET165" i="17"/>
  <c r="EU165" i="17"/>
  <c r="EV165" i="17"/>
  <c r="EW165" i="17"/>
  <c r="EX165" i="17"/>
  <c r="EY165" i="17"/>
  <c r="EZ165" i="17"/>
  <c r="FA165" i="17"/>
  <c r="FB165" i="17"/>
  <c r="FC165" i="17"/>
  <c r="FD165" i="17"/>
  <c r="FE165" i="17"/>
  <c r="FF165" i="17"/>
  <c r="FG165" i="17"/>
  <c r="FH165" i="17"/>
  <c r="FI165" i="17"/>
  <c r="FJ165" i="17"/>
  <c r="FK165" i="17"/>
  <c r="FL165" i="17"/>
  <c r="FM165" i="17"/>
  <c r="FN165" i="17"/>
  <c r="FO165" i="17"/>
  <c r="FP165" i="17"/>
  <c r="FQ165" i="17"/>
  <c r="FR165" i="17"/>
  <c r="FS165" i="17"/>
  <c r="FT165" i="17"/>
  <c r="FU165" i="17"/>
  <c r="FV165" i="17"/>
  <c r="FW165" i="17"/>
  <c r="FX165" i="17"/>
  <c r="FY165" i="17"/>
  <c r="FZ165" i="17"/>
  <c r="GA165" i="17"/>
  <c r="GB165" i="17"/>
  <c r="GC165" i="17"/>
  <c r="GD165" i="17"/>
  <c r="GE165" i="17"/>
  <c r="GF165" i="17"/>
  <c r="GG165" i="17"/>
  <c r="GH165" i="17"/>
  <c r="GI165" i="17"/>
  <c r="GJ165" i="17"/>
  <c r="GK165" i="17"/>
  <c r="GL165" i="17"/>
  <c r="GM165" i="17"/>
  <c r="GN165" i="17"/>
  <c r="GO165" i="17"/>
  <c r="GP165" i="17"/>
  <c r="GQ165" i="17"/>
  <c r="GR165" i="17"/>
  <c r="GS165" i="17"/>
  <c r="GT165" i="17"/>
  <c r="GU165" i="17"/>
  <c r="GV165" i="17"/>
  <c r="GW165" i="17"/>
  <c r="GX165" i="17"/>
  <c r="GY165" i="17"/>
  <c r="GZ165" i="17"/>
  <c r="HA165" i="17"/>
  <c r="HB165" i="17"/>
  <c r="HC165" i="17"/>
  <c r="HD165" i="17"/>
  <c r="HE165" i="17"/>
  <c r="HF165" i="17"/>
  <c r="HG165" i="17"/>
  <c r="HH165" i="17"/>
  <c r="HI165" i="17"/>
  <c r="HJ165" i="17"/>
  <c r="HK165" i="17"/>
  <c r="HL165" i="17"/>
  <c r="HM165" i="17"/>
  <c r="HN165" i="17"/>
  <c r="HO165" i="17"/>
  <c r="HP165" i="17"/>
  <c r="HQ165" i="17"/>
  <c r="HR165" i="17"/>
  <c r="HS165" i="17"/>
  <c r="HT165" i="17"/>
  <c r="HU165" i="17"/>
  <c r="HV165" i="17"/>
  <c r="HW165" i="17"/>
  <c r="HX165" i="17"/>
  <c r="HY165" i="17"/>
  <c r="HZ165" i="17"/>
  <c r="IA165" i="17"/>
  <c r="IB165" i="17"/>
  <c r="IC165" i="17"/>
  <c r="ID165" i="17"/>
  <c r="IE165" i="17"/>
  <c r="IF165" i="17"/>
  <c r="IG165" i="17"/>
  <c r="IH165" i="17"/>
  <c r="II165" i="17"/>
  <c r="IJ165" i="17"/>
  <c r="IK165" i="17"/>
  <c r="IL165" i="17"/>
  <c r="IM165" i="17"/>
  <c r="IN165" i="17"/>
  <c r="IO165" i="17"/>
  <c r="IP165" i="17"/>
  <c r="IQ165" i="17"/>
  <c r="IR165" i="17"/>
  <c r="IS165" i="17"/>
  <c r="IT165" i="17"/>
  <c r="IU165" i="17"/>
  <c r="IV165" i="17"/>
  <c r="A164" i="17"/>
  <c r="B164" i="17"/>
  <c r="C164" i="17"/>
  <c r="D164" i="17"/>
  <c r="E164" i="17"/>
  <c r="F164" i="17"/>
  <c r="G164" i="17"/>
  <c r="H164" i="17"/>
  <c r="I164" i="17"/>
  <c r="J164" i="17"/>
  <c r="K164" i="17"/>
  <c r="L164" i="17"/>
  <c r="M164" i="17"/>
  <c r="N164" i="17"/>
  <c r="O164" i="17"/>
  <c r="P164" i="17"/>
  <c r="Q164" i="17"/>
  <c r="R164" i="17"/>
  <c r="S164" i="17"/>
  <c r="T164" i="17"/>
  <c r="U164" i="17"/>
  <c r="V164" i="17"/>
  <c r="W164" i="17"/>
  <c r="X164" i="17"/>
  <c r="Y164" i="17"/>
  <c r="Z164" i="17"/>
  <c r="AA164" i="17"/>
  <c r="AB164" i="17"/>
  <c r="AC164" i="17"/>
  <c r="AD164" i="17"/>
  <c r="AE164" i="17"/>
  <c r="AF164" i="17"/>
  <c r="AG164" i="17"/>
  <c r="AH164" i="17"/>
  <c r="AI164" i="17"/>
  <c r="AJ164" i="17"/>
  <c r="AK164" i="17"/>
  <c r="AL164" i="17"/>
  <c r="AM164" i="17"/>
  <c r="AN164" i="17"/>
  <c r="AO164" i="17"/>
  <c r="AP164" i="17"/>
  <c r="AQ164" i="17"/>
  <c r="AR164" i="17"/>
  <c r="AS164" i="17"/>
  <c r="AT164" i="17"/>
  <c r="AU164" i="17"/>
  <c r="AV164" i="17"/>
  <c r="AW164" i="17"/>
  <c r="AX164" i="17"/>
  <c r="AY164" i="17"/>
  <c r="AZ164" i="17"/>
  <c r="BA164" i="17"/>
  <c r="BB164" i="17"/>
  <c r="BC164" i="17"/>
  <c r="BD164" i="17"/>
  <c r="BE164" i="17"/>
  <c r="BF164" i="17"/>
  <c r="BG164" i="17"/>
  <c r="BH164" i="17"/>
  <c r="BI164" i="17"/>
  <c r="BJ164" i="17"/>
  <c r="BK164" i="17"/>
  <c r="BL164" i="17"/>
  <c r="BM164" i="17"/>
  <c r="BN164" i="17"/>
  <c r="BO164" i="17"/>
  <c r="BP164" i="17"/>
  <c r="BQ164" i="17"/>
  <c r="BR164" i="17"/>
  <c r="BS164" i="17"/>
  <c r="BT164" i="17"/>
  <c r="BU164" i="17"/>
  <c r="BV164" i="17"/>
  <c r="BW164" i="17"/>
  <c r="BX164" i="17"/>
  <c r="BY164" i="17"/>
  <c r="BZ164" i="17"/>
  <c r="CA164" i="17"/>
  <c r="CB164" i="17"/>
  <c r="CC164" i="17"/>
  <c r="CD164" i="17"/>
  <c r="CE164" i="17"/>
  <c r="CF164" i="17"/>
  <c r="CG164" i="17"/>
  <c r="CH164" i="17"/>
  <c r="CI164" i="17"/>
  <c r="CJ164" i="17"/>
  <c r="CK164" i="17"/>
  <c r="CL164" i="17"/>
  <c r="CM164" i="17"/>
  <c r="CN164" i="17"/>
  <c r="CO164" i="17"/>
  <c r="CP164" i="17"/>
  <c r="CQ164" i="17"/>
  <c r="CR164" i="17"/>
  <c r="CS164" i="17"/>
  <c r="CT164" i="17"/>
  <c r="CU164" i="17"/>
  <c r="CV164" i="17"/>
  <c r="CW164" i="17"/>
  <c r="CX164" i="17"/>
  <c r="CY164" i="17"/>
  <c r="CZ164" i="17"/>
  <c r="DA164" i="17"/>
  <c r="DB164" i="17"/>
  <c r="DC164" i="17"/>
  <c r="DD164" i="17"/>
  <c r="DE164" i="17"/>
  <c r="DF164" i="17"/>
  <c r="DG164" i="17"/>
  <c r="DH164" i="17"/>
  <c r="DI164" i="17"/>
  <c r="DJ164" i="17"/>
  <c r="DK164" i="17"/>
  <c r="DL164" i="17"/>
  <c r="DM164" i="17"/>
  <c r="DN164" i="17"/>
  <c r="DO164" i="17"/>
  <c r="DP164" i="17"/>
  <c r="DQ164" i="17"/>
  <c r="DR164" i="17"/>
  <c r="DS164" i="17"/>
  <c r="DT164" i="17"/>
  <c r="DU164" i="17"/>
  <c r="DV164" i="17"/>
  <c r="DW164" i="17"/>
  <c r="DX164" i="17"/>
  <c r="DY164" i="17"/>
  <c r="DZ164" i="17"/>
  <c r="EA164" i="17"/>
  <c r="EB164" i="17"/>
  <c r="EC164" i="17"/>
  <c r="ED164" i="17"/>
  <c r="EE164" i="17"/>
  <c r="EF164" i="17"/>
  <c r="EG164" i="17"/>
  <c r="EH164" i="17"/>
  <c r="EI164" i="17"/>
  <c r="EJ164" i="17"/>
  <c r="EK164" i="17"/>
  <c r="EL164" i="17"/>
  <c r="EM164" i="17"/>
  <c r="EN164" i="17"/>
  <c r="EO164" i="17"/>
  <c r="EP164" i="17"/>
  <c r="EQ164" i="17"/>
  <c r="ER164" i="17"/>
  <c r="ES164" i="17"/>
  <c r="ET164" i="17"/>
  <c r="EU164" i="17"/>
  <c r="EV164" i="17"/>
  <c r="EW164" i="17"/>
  <c r="EX164" i="17"/>
  <c r="EY164" i="17"/>
  <c r="EZ164" i="17"/>
  <c r="FA164" i="17"/>
  <c r="FB164" i="17"/>
  <c r="FC164" i="17"/>
  <c r="FD164" i="17"/>
  <c r="FE164" i="17"/>
  <c r="FF164" i="17"/>
  <c r="FG164" i="17"/>
  <c r="FH164" i="17"/>
  <c r="FI164" i="17"/>
  <c r="FJ164" i="17"/>
  <c r="FK164" i="17"/>
  <c r="FL164" i="17"/>
  <c r="FM164" i="17"/>
  <c r="FN164" i="17"/>
  <c r="FO164" i="17"/>
  <c r="FP164" i="17"/>
  <c r="FQ164" i="17"/>
  <c r="FR164" i="17"/>
  <c r="FS164" i="17"/>
  <c r="FT164" i="17"/>
  <c r="FU164" i="17"/>
  <c r="FV164" i="17"/>
  <c r="FW164" i="17"/>
  <c r="FX164" i="17"/>
  <c r="FY164" i="17"/>
  <c r="FZ164" i="17"/>
  <c r="GA164" i="17"/>
  <c r="GB164" i="17"/>
  <c r="GC164" i="17"/>
  <c r="GD164" i="17"/>
  <c r="GE164" i="17"/>
  <c r="GF164" i="17"/>
  <c r="GG164" i="17"/>
  <c r="GH164" i="17"/>
  <c r="GI164" i="17"/>
  <c r="GJ164" i="17"/>
  <c r="GK164" i="17"/>
  <c r="GL164" i="17"/>
  <c r="GM164" i="17"/>
  <c r="GN164" i="17"/>
  <c r="GO164" i="17"/>
  <c r="GP164" i="17"/>
  <c r="GQ164" i="17"/>
  <c r="GR164" i="17"/>
  <c r="GS164" i="17"/>
  <c r="GT164" i="17"/>
  <c r="GU164" i="17"/>
  <c r="GV164" i="17"/>
  <c r="GW164" i="17"/>
  <c r="GX164" i="17"/>
  <c r="GY164" i="17"/>
  <c r="GZ164" i="17"/>
  <c r="HA164" i="17"/>
  <c r="HB164" i="17"/>
  <c r="HC164" i="17"/>
  <c r="HD164" i="17"/>
  <c r="HE164" i="17"/>
  <c r="HF164" i="17"/>
  <c r="HG164" i="17"/>
  <c r="HH164" i="17"/>
  <c r="HI164" i="17"/>
  <c r="HJ164" i="17"/>
  <c r="HK164" i="17"/>
  <c r="HL164" i="17"/>
  <c r="HM164" i="17"/>
  <c r="HN164" i="17"/>
  <c r="HO164" i="17"/>
  <c r="HP164" i="17"/>
  <c r="HQ164" i="17"/>
  <c r="HR164" i="17"/>
  <c r="HS164" i="17"/>
  <c r="HT164" i="17"/>
  <c r="HU164" i="17"/>
  <c r="HV164" i="17"/>
  <c r="HW164" i="17"/>
  <c r="HX164" i="17"/>
  <c r="HY164" i="17"/>
  <c r="HZ164" i="17"/>
  <c r="IA164" i="17"/>
  <c r="IB164" i="17"/>
  <c r="IC164" i="17"/>
  <c r="ID164" i="17"/>
  <c r="IE164" i="17"/>
  <c r="IF164" i="17"/>
  <c r="IG164" i="17"/>
  <c r="IH164" i="17"/>
  <c r="II164" i="17"/>
  <c r="IJ164" i="17"/>
  <c r="IK164" i="17"/>
  <c r="IL164" i="17"/>
  <c r="IM164" i="17"/>
  <c r="IN164" i="17"/>
  <c r="IO164" i="17"/>
  <c r="IP164" i="17"/>
  <c r="IQ164" i="17"/>
  <c r="IR164" i="17"/>
  <c r="IS164" i="17"/>
  <c r="IT164" i="17"/>
  <c r="IU164" i="17"/>
  <c r="IV164" i="17"/>
  <c r="A163" i="17"/>
  <c r="B163" i="17"/>
  <c r="C163" i="17"/>
  <c r="D163" i="17"/>
  <c r="E163" i="17"/>
  <c r="F163" i="17"/>
  <c r="G163" i="17"/>
  <c r="H163" i="17"/>
  <c r="I163" i="17"/>
  <c r="J163" i="17"/>
  <c r="K163" i="17"/>
  <c r="L163" i="17"/>
  <c r="M163" i="17"/>
  <c r="N163" i="17"/>
  <c r="O163" i="17"/>
  <c r="P163" i="17"/>
  <c r="Q163" i="17"/>
  <c r="R163" i="17"/>
  <c r="S163" i="17"/>
  <c r="T163" i="17"/>
  <c r="U163" i="17"/>
  <c r="V163" i="17"/>
  <c r="W163" i="17"/>
  <c r="X163" i="17"/>
  <c r="Y163" i="17"/>
  <c r="Z163" i="17"/>
  <c r="AA163" i="17"/>
  <c r="AB163" i="17"/>
  <c r="AC163" i="17"/>
  <c r="AD163" i="17"/>
  <c r="AE163" i="17"/>
  <c r="AF163" i="17"/>
  <c r="AG163" i="17"/>
  <c r="AH163" i="17"/>
  <c r="AI163" i="17"/>
  <c r="AJ163" i="17"/>
  <c r="AK163" i="17"/>
  <c r="AL163" i="17"/>
  <c r="AM163" i="17"/>
  <c r="AN163" i="17"/>
  <c r="AO163" i="17"/>
  <c r="AP163" i="17"/>
  <c r="AQ163" i="17"/>
  <c r="AR163" i="17"/>
  <c r="AS163" i="17"/>
  <c r="AT163" i="17"/>
  <c r="AU163" i="17"/>
  <c r="AV163" i="17"/>
  <c r="AW163" i="17"/>
  <c r="AX163" i="17"/>
  <c r="AY163" i="17"/>
  <c r="AZ163" i="17"/>
  <c r="BA163" i="17"/>
  <c r="BB163" i="17"/>
  <c r="BC163" i="17"/>
  <c r="BD163" i="17"/>
  <c r="BE163" i="17"/>
  <c r="BF163" i="17"/>
  <c r="BG163" i="17"/>
  <c r="BH163" i="17"/>
  <c r="BI163" i="17"/>
  <c r="BJ163" i="17"/>
  <c r="BK163" i="17"/>
  <c r="BL163" i="17"/>
  <c r="BM163" i="17"/>
  <c r="BN163" i="17"/>
  <c r="BO163" i="17"/>
  <c r="BP163" i="17"/>
  <c r="BQ163" i="17"/>
  <c r="BR163" i="17"/>
  <c r="BS163" i="17"/>
  <c r="BT163" i="17"/>
  <c r="BU163" i="17"/>
  <c r="BV163" i="17"/>
  <c r="BW163" i="17"/>
  <c r="BX163" i="17"/>
  <c r="BY163" i="17"/>
  <c r="BZ163" i="17"/>
  <c r="CA163" i="17"/>
  <c r="CB163" i="17"/>
  <c r="CC163" i="17"/>
  <c r="CD163" i="17"/>
  <c r="CE163" i="17"/>
  <c r="CF163" i="17"/>
  <c r="CG163" i="17"/>
  <c r="CH163" i="17"/>
  <c r="CI163" i="17"/>
  <c r="CJ163" i="17"/>
  <c r="CK163" i="17"/>
  <c r="CL163" i="17"/>
  <c r="CM163" i="17"/>
  <c r="CN163" i="17"/>
  <c r="CO163" i="17"/>
  <c r="CP163" i="17"/>
  <c r="CQ163" i="17"/>
  <c r="CR163" i="17"/>
  <c r="CS163" i="17"/>
  <c r="CT163" i="17"/>
  <c r="CU163" i="17"/>
  <c r="CV163" i="17"/>
  <c r="CW163" i="17"/>
  <c r="CX163" i="17"/>
  <c r="CY163" i="17"/>
  <c r="CZ163" i="17"/>
  <c r="DA163" i="17"/>
  <c r="DB163" i="17"/>
  <c r="DC163" i="17"/>
  <c r="DD163" i="17"/>
  <c r="DE163" i="17"/>
  <c r="DF163" i="17"/>
  <c r="DG163" i="17"/>
  <c r="DH163" i="17"/>
  <c r="DI163" i="17"/>
  <c r="DJ163" i="17"/>
  <c r="DK163" i="17"/>
  <c r="DL163" i="17"/>
  <c r="DM163" i="17"/>
  <c r="DN163" i="17"/>
  <c r="DO163" i="17"/>
  <c r="DP163" i="17"/>
  <c r="DQ163" i="17"/>
  <c r="DR163" i="17"/>
  <c r="DS163" i="17"/>
  <c r="DT163" i="17"/>
  <c r="DU163" i="17"/>
  <c r="DV163" i="17"/>
  <c r="DW163" i="17"/>
  <c r="DX163" i="17"/>
  <c r="DY163" i="17"/>
  <c r="DZ163" i="17"/>
  <c r="EA163" i="17"/>
  <c r="EB163" i="17"/>
  <c r="EC163" i="17"/>
  <c r="ED163" i="17"/>
  <c r="EE163" i="17"/>
  <c r="EF163" i="17"/>
  <c r="EG163" i="17"/>
  <c r="EH163" i="17"/>
  <c r="EI163" i="17"/>
  <c r="EJ163" i="17"/>
  <c r="EK163" i="17"/>
  <c r="EL163" i="17"/>
  <c r="EM163" i="17"/>
  <c r="EN163" i="17"/>
  <c r="EO163" i="17"/>
  <c r="EP163" i="17"/>
  <c r="EQ163" i="17"/>
  <c r="ER163" i="17"/>
  <c r="ES163" i="17"/>
  <c r="ET163" i="17"/>
  <c r="EU163" i="17"/>
  <c r="EV163" i="17"/>
  <c r="EW163" i="17"/>
  <c r="EX163" i="17"/>
  <c r="EY163" i="17"/>
  <c r="EZ163" i="17"/>
  <c r="FA163" i="17"/>
  <c r="FB163" i="17"/>
  <c r="FC163" i="17"/>
  <c r="FD163" i="17"/>
  <c r="FE163" i="17"/>
  <c r="FF163" i="17"/>
  <c r="FG163" i="17"/>
  <c r="FH163" i="17"/>
  <c r="FI163" i="17"/>
  <c r="FJ163" i="17"/>
  <c r="FK163" i="17"/>
  <c r="FL163" i="17"/>
  <c r="FM163" i="17"/>
  <c r="FN163" i="17"/>
  <c r="FO163" i="17"/>
  <c r="FP163" i="17"/>
  <c r="FQ163" i="17"/>
  <c r="FR163" i="17"/>
  <c r="FS163" i="17"/>
  <c r="FT163" i="17"/>
  <c r="FU163" i="17"/>
  <c r="FV163" i="17"/>
  <c r="FW163" i="17"/>
  <c r="FX163" i="17"/>
  <c r="FY163" i="17"/>
  <c r="FZ163" i="17"/>
  <c r="GA163" i="17"/>
  <c r="GB163" i="17"/>
  <c r="GC163" i="17"/>
  <c r="GD163" i="17"/>
  <c r="GE163" i="17"/>
  <c r="GF163" i="17"/>
  <c r="GG163" i="17"/>
  <c r="GH163" i="17"/>
  <c r="GI163" i="17"/>
  <c r="GJ163" i="17"/>
  <c r="GK163" i="17"/>
  <c r="GL163" i="17"/>
  <c r="GM163" i="17"/>
  <c r="GN163" i="17"/>
  <c r="GO163" i="17"/>
  <c r="GP163" i="17"/>
  <c r="GQ163" i="17"/>
  <c r="GR163" i="17"/>
  <c r="GS163" i="17"/>
  <c r="GT163" i="17"/>
  <c r="GU163" i="17"/>
  <c r="GV163" i="17"/>
  <c r="GW163" i="17"/>
  <c r="GX163" i="17"/>
  <c r="GY163" i="17"/>
  <c r="GZ163" i="17"/>
  <c r="HA163" i="17"/>
  <c r="HB163" i="17"/>
  <c r="HC163" i="17"/>
  <c r="HD163" i="17"/>
  <c r="HE163" i="17"/>
  <c r="HF163" i="17"/>
  <c r="HG163" i="17"/>
  <c r="HH163" i="17"/>
  <c r="HI163" i="17"/>
  <c r="HJ163" i="17"/>
  <c r="HK163" i="17"/>
  <c r="HL163" i="17"/>
  <c r="HM163" i="17"/>
  <c r="HN163" i="17"/>
  <c r="HO163" i="17"/>
  <c r="HP163" i="17"/>
  <c r="HQ163" i="17"/>
  <c r="HR163" i="17"/>
  <c r="HS163" i="17"/>
  <c r="HT163" i="17"/>
  <c r="HU163" i="17"/>
  <c r="HV163" i="17"/>
  <c r="HW163" i="17"/>
  <c r="HX163" i="17"/>
  <c r="HY163" i="17"/>
  <c r="HZ163" i="17"/>
  <c r="IA163" i="17"/>
  <c r="IB163" i="17"/>
  <c r="IC163" i="17"/>
  <c r="ID163" i="17"/>
  <c r="IE163" i="17"/>
  <c r="IF163" i="17"/>
  <c r="IG163" i="17"/>
  <c r="IH163" i="17"/>
  <c r="II163" i="17"/>
  <c r="IJ163" i="17"/>
  <c r="IK163" i="17"/>
  <c r="IL163" i="17"/>
  <c r="IM163" i="17"/>
  <c r="IN163" i="17"/>
  <c r="IO163" i="17"/>
  <c r="IP163" i="17"/>
  <c r="IQ163" i="17"/>
  <c r="IR163" i="17"/>
  <c r="IS163" i="17"/>
  <c r="IT163" i="17"/>
  <c r="IU163" i="17"/>
  <c r="IV163" i="17"/>
  <c r="A162" i="17"/>
  <c r="B162" i="17"/>
  <c r="C162" i="17"/>
  <c r="D162" i="17"/>
  <c r="E162" i="17"/>
  <c r="F162" i="17"/>
  <c r="G162" i="17"/>
  <c r="H162" i="17"/>
  <c r="I162" i="17"/>
  <c r="J162" i="17"/>
  <c r="K162" i="17"/>
  <c r="L162" i="17"/>
  <c r="M162" i="17"/>
  <c r="N162" i="17"/>
  <c r="O162" i="17"/>
  <c r="P162" i="17"/>
  <c r="Q162" i="17"/>
  <c r="R162" i="17"/>
  <c r="S162" i="17"/>
  <c r="T162" i="17"/>
  <c r="U162" i="17"/>
  <c r="V162" i="17"/>
  <c r="W162" i="17"/>
  <c r="X162" i="17"/>
  <c r="Y162" i="17"/>
  <c r="Z162" i="17"/>
  <c r="AA162" i="17"/>
  <c r="AB162" i="17"/>
  <c r="AC162" i="17"/>
  <c r="AD162" i="17"/>
  <c r="AE162" i="17"/>
  <c r="AF162" i="17"/>
  <c r="AG162" i="17"/>
  <c r="AH162" i="17"/>
  <c r="AI162" i="17"/>
  <c r="AJ162" i="17"/>
  <c r="AK162" i="17"/>
  <c r="AL162" i="17"/>
  <c r="AM162" i="17"/>
  <c r="AN162" i="17"/>
  <c r="AO162" i="17"/>
  <c r="AP162" i="17"/>
  <c r="AQ162" i="17"/>
  <c r="AR162" i="17"/>
  <c r="AS162" i="17"/>
  <c r="AT162" i="17"/>
  <c r="AU162" i="17"/>
  <c r="AV162" i="17"/>
  <c r="AW162" i="17"/>
  <c r="AX162" i="17"/>
  <c r="AY162" i="17"/>
  <c r="AZ162" i="17"/>
  <c r="BA162" i="17"/>
  <c r="BB162" i="17"/>
  <c r="BC162" i="17"/>
  <c r="BD162" i="17"/>
  <c r="BE162" i="17"/>
  <c r="BF162" i="17"/>
  <c r="BG162" i="17"/>
  <c r="BH162" i="17"/>
  <c r="BI162" i="17"/>
  <c r="BJ162" i="17"/>
  <c r="BK162" i="17"/>
  <c r="BL162" i="17"/>
  <c r="BM162" i="17"/>
  <c r="BN162" i="17"/>
  <c r="BO162" i="17"/>
  <c r="BP162" i="17"/>
  <c r="BQ162" i="17"/>
  <c r="BR162" i="17"/>
  <c r="BS162" i="17"/>
  <c r="BT162" i="17"/>
  <c r="BU162" i="17"/>
  <c r="BV162" i="17"/>
  <c r="BW162" i="17"/>
  <c r="BX162" i="17"/>
  <c r="BY162" i="17"/>
  <c r="BZ162" i="17"/>
  <c r="CA162" i="17"/>
  <c r="CB162" i="17"/>
  <c r="CC162" i="17"/>
  <c r="CD162" i="17"/>
  <c r="CE162" i="17"/>
  <c r="CF162" i="17"/>
  <c r="CG162" i="17"/>
  <c r="CH162" i="17"/>
  <c r="CI162" i="17"/>
  <c r="CJ162" i="17"/>
  <c r="CK162" i="17"/>
  <c r="CL162" i="17"/>
  <c r="CM162" i="17"/>
  <c r="CN162" i="17"/>
  <c r="CO162" i="17"/>
  <c r="CP162" i="17"/>
  <c r="CQ162" i="17"/>
  <c r="CR162" i="17"/>
  <c r="CS162" i="17"/>
  <c r="CT162" i="17"/>
  <c r="CU162" i="17"/>
  <c r="CV162" i="17"/>
  <c r="CW162" i="17"/>
  <c r="CX162" i="17"/>
  <c r="CY162" i="17"/>
  <c r="CZ162" i="17"/>
  <c r="DA162" i="17"/>
  <c r="DB162" i="17"/>
  <c r="DC162" i="17"/>
  <c r="DD162" i="17"/>
  <c r="DE162" i="17"/>
  <c r="DF162" i="17"/>
  <c r="DG162" i="17"/>
  <c r="DH162" i="17"/>
  <c r="DI162" i="17"/>
  <c r="DJ162" i="17"/>
  <c r="DK162" i="17"/>
  <c r="DL162" i="17"/>
  <c r="DM162" i="17"/>
  <c r="DN162" i="17"/>
  <c r="DO162" i="17"/>
  <c r="DP162" i="17"/>
  <c r="DQ162" i="17"/>
  <c r="DR162" i="17"/>
  <c r="DS162" i="17"/>
  <c r="DT162" i="17"/>
  <c r="DU162" i="17"/>
  <c r="DV162" i="17"/>
  <c r="DW162" i="17"/>
  <c r="DX162" i="17"/>
  <c r="DY162" i="17"/>
  <c r="DZ162" i="17"/>
  <c r="EA162" i="17"/>
  <c r="EB162" i="17"/>
  <c r="EC162" i="17"/>
  <c r="ED162" i="17"/>
  <c r="EE162" i="17"/>
  <c r="EF162" i="17"/>
  <c r="EG162" i="17"/>
  <c r="EH162" i="17"/>
  <c r="EI162" i="17"/>
  <c r="EJ162" i="17"/>
  <c r="EK162" i="17"/>
  <c r="EL162" i="17"/>
  <c r="EM162" i="17"/>
  <c r="EN162" i="17"/>
  <c r="EO162" i="17"/>
  <c r="EP162" i="17"/>
  <c r="EQ162" i="17"/>
  <c r="ER162" i="17"/>
  <c r="ES162" i="17"/>
  <c r="ET162" i="17"/>
  <c r="EU162" i="17"/>
  <c r="EV162" i="17"/>
  <c r="EW162" i="17"/>
  <c r="EX162" i="17"/>
  <c r="EY162" i="17"/>
  <c r="EZ162" i="17"/>
  <c r="FA162" i="17"/>
  <c r="FB162" i="17"/>
  <c r="FC162" i="17"/>
  <c r="FD162" i="17"/>
  <c r="FE162" i="17"/>
  <c r="FF162" i="17"/>
  <c r="FG162" i="17"/>
  <c r="FH162" i="17"/>
  <c r="FI162" i="17"/>
  <c r="FJ162" i="17"/>
  <c r="FK162" i="17"/>
  <c r="FL162" i="17"/>
  <c r="FM162" i="17"/>
  <c r="FN162" i="17"/>
  <c r="FO162" i="17"/>
  <c r="FP162" i="17"/>
  <c r="FQ162" i="17"/>
  <c r="FR162" i="17"/>
  <c r="FS162" i="17"/>
  <c r="FT162" i="17"/>
  <c r="FU162" i="17"/>
  <c r="FV162" i="17"/>
  <c r="FW162" i="17"/>
  <c r="FX162" i="17"/>
  <c r="FY162" i="17"/>
  <c r="FZ162" i="17"/>
  <c r="GA162" i="17"/>
  <c r="GB162" i="17"/>
  <c r="GC162" i="17"/>
  <c r="GD162" i="17"/>
  <c r="GE162" i="17"/>
  <c r="GF162" i="17"/>
  <c r="GG162" i="17"/>
  <c r="GH162" i="17"/>
  <c r="GI162" i="17"/>
  <c r="GJ162" i="17"/>
  <c r="GK162" i="17"/>
  <c r="GL162" i="17"/>
  <c r="GM162" i="17"/>
  <c r="GN162" i="17"/>
  <c r="GO162" i="17"/>
  <c r="GP162" i="17"/>
  <c r="GQ162" i="17"/>
  <c r="GR162" i="17"/>
  <c r="GS162" i="17"/>
  <c r="GT162" i="17"/>
  <c r="GU162" i="17"/>
  <c r="GV162" i="17"/>
  <c r="GW162" i="17"/>
  <c r="GX162" i="17"/>
  <c r="GY162" i="17"/>
  <c r="GZ162" i="17"/>
  <c r="HA162" i="17"/>
  <c r="HB162" i="17"/>
  <c r="HC162" i="17"/>
  <c r="HD162" i="17"/>
  <c r="HE162" i="17"/>
  <c r="HF162" i="17"/>
  <c r="HG162" i="17"/>
  <c r="HH162" i="17"/>
  <c r="HI162" i="17"/>
  <c r="HJ162" i="17"/>
  <c r="HK162" i="17"/>
  <c r="HL162" i="17"/>
  <c r="HM162" i="17"/>
  <c r="HN162" i="17"/>
  <c r="HO162" i="17"/>
  <c r="HP162" i="17"/>
  <c r="HQ162" i="17"/>
  <c r="HR162" i="17"/>
  <c r="HS162" i="17"/>
  <c r="HT162" i="17"/>
  <c r="HU162" i="17"/>
  <c r="HV162" i="17"/>
  <c r="HW162" i="17"/>
  <c r="HX162" i="17"/>
  <c r="HY162" i="17"/>
  <c r="HZ162" i="17"/>
  <c r="IA162" i="17"/>
  <c r="IB162" i="17"/>
  <c r="IC162" i="17"/>
  <c r="ID162" i="17"/>
  <c r="IE162" i="17"/>
  <c r="IF162" i="17"/>
  <c r="IG162" i="17"/>
  <c r="IH162" i="17"/>
  <c r="II162" i="17"/>
  <c r="IJ162" i="17"/>
  <c r="IK162" i="17"/>
  <c r="IL162" i="17"/>
  <c r="IM162" i="17"/>
  <c r="IN162" i="17"/>
  <c r="IO162" i="17"/>
  <c r="IP162" i="17"/>
  <c r="IQ162" i="17"/>
  <c r="IR162" i="17"/>
  <c r="IS162" i="17"/>
  <c r="IT162" i="17"/>
  <c r="IU162" i="17"/>
  <c r="IV162" i="17"/>
  <c r="A161" i="17"/>
  <c r="B161" i="17"/>
  <c r="C161" i="17"/>
  <c r="D161" i="17"/>
  <c r="E161" i="17"/>
  <c r="F161" i="17"/>
  <c r="G161" i="17"/>
  <c r="H161" i="17"/>
  <c r="I161" i="17"/>
  <c r="J161" i="17"/>
  <c r="K161" i="17"/>
  <c r="L161" i="17"/>
  <c r="M161" i="17"/>
  <c r="N161" i="17"/>
  <c r="O161" i="17"/>
  <c r="P161" i="17"/>
  <c r="Q161" i="17"/>
  <c r="R161" i="17"/>
  <c r="S161" i="17"/>
  <c r="T161" i="17"/>
  <c r="U161" i="17"/>
  <c r="V161" i="17"/>
  <c r="W161" i="17"/>
  <c r="X161" i="17"/>
  <c r="Y161" i="17"/>
  <c r="Z161" i="17"/>
  <c r="AA161" i="17"/>
  <c r="AB161" i="17"/>
  <c r="AC161" i="17"/>
  <c r="AD161" i="17"/>
  <c r="AE161" i="17"/>
  <c r="AF161" i="17"/>
  <c r="AG161" i="17"/>
  <c r="AH161" i="17"/>
  <c r="AI161" i="17"/>
  <c r="AJ161" i="17"/>
  <c r="AK161" i="17"/>
  <c r="AL161" i="17"/>
  <c r="AM161" i="17"/>
  <c r="AN161" i="17"/>
  <c r="AO161" i="17"/>
  <c r="AP161" i="17"/>
  <c r="AQ161" i="17"/>
  <c r="AR161" i="17"/>
  <c r="AS161" i="17"/>
  <c r="AT161" i="17"/>
  <c r="AU161" i="17"/>
  <c r="AV161" i="17"/>
  <c r="AW161" i="17"/>
  <c r="AX161" i="17"/>
  <c r="AY161" i="17"/>
  <c r="AZ161" i="17"/>
  <c r="BA161" i="17"/>
  <c r="BB161" i="17"/>
  <c r="BC161" i="17"/>
  <c r="BD161" i="17"/>
  <c r="BE161" i="17"/>
  <c r="BF161" i="17"/>
  <c r="BG161" i="17"/>
  <c r="BH161" i="17"/>
  <c r="BI161" i="17"/>
  <c r="BJ161" i="17"/>
  <c r="BK161" i="17"/>
  <c r="BL161" i="17"/>
  <c r="BM161" i="17"/>
  <c r="BN161" i="17"/>
  <c r="BO161" i="17"/>
  <c r="BP161" i="17"/>
  <c r="BQ161" i="17"/>
  <c r="BR161" i="17"/>
  <c r="BS161" i="17"/>
  <c r="BT161" i="17"/>
  <c r="BU161" i="17"/>
  <c r="BV161" i="17"/>
  <c r="BW161" i="17"/>
  <c r="BX161" i="17"/>
  <c r="BY161" i="17"/>
  <c r="BZ161" i="17"/>
  <c r="CA161" i="17"/>
  <c r="CB161" i="17"/>
  <c r="CC161" i="17"/>
  <c r="CD161" i="17"/>
  <c r="CE161" i="17"/>
  <c r="CF161" i="17"/>
  <c r="CG161" i="17"/>
  <c r="CH161" i="17"/>
  <c r="CI161" i="17"/>
  <c r="CJ161" i="17"/>
  <c r="CK161" i="17"/>
  <c r="CL161" i="17"/>
  <c r="CM161" i="17"/>
  <c r="CN161" i="17"/>
  <c r="CO161" i="17"/>
  <c r="CP161" i="17"/>
  <c r="CQ161" i="17"/>
  <c r="CR161" i="17"/>
  <c r="CS161" i="17"/>
  <c r="CT161" i="17"/>
  <c r="CU161" i="17"/>
  <c r="CV161" i="17"/>
  <c r="CW161" i="17"/>
  <c r="CX161" i="17"/>
  <c r="CY161" i="17"/>
  <c r="CZ161" i="17"/>
  <c r="DA161" i="17"/>
  <c r="DB161" i="17"/>
  <c r="DC161" i="17"/>
  <c r="DD161" i="17"/>
  <c r="DE161" i="17"/>
  <c r="DF161" i="17"/>
  <c r="DG161" i="17"/>
  <c r="DH161" i="17"/>
  <c r="DI161" i="17"/>
  <c r="DJ161" i="17"/>
  <c r="DK161" i="17"/>
  <c r="DL161" i="17"/>
  <c r="DM161" i="17"/>
  <c r="DN161" i="17"/>
  <c r="DO161" i="17"/>
  <c r="DP161" i="17"/>
  <c r="DQ161" i="17"/>
  <c r="DR161" i="17"/>
  <c r="DS161" i="17"/>
  <c r="DT161" i="17"/>
  <c r="DU161" i="17"/>
  <c r="DV161" i="17"/>
  <c r="DW161" i="17"/>
  <c r="DX161" i="17"/>
  <c r="DY161" i="17"/>
  <c r="DZ161" i="17"/>
  <c r="EA161" i="17"/>
  <c r="EB161" i="17"/>
  <c r="EC161" i="17"/>
  <c r="ED161" i="17"/>
  <c r="EE161" i="17"/>
  <c r="EF161" i="17"/>
  <c r="EG161" i="17"/>
  <c r="EH161" i="17"/>
  <c r="EI161" i="17"/>
  <c r="EJ161" i="17"/>
  <c r="EK161" i="17"/>
  <c r="EL161" i="17"/>
  <c r="EM161" i="17"/>
  <c r="EN161" i="17"/>
  <c r="EO161" i="17"/>
  <c r="EP161" i="17"/>
  <c r="EQ161" i="17"/>
  <c r="ER161" i="17"/>
  <c r="ES161" i="17"/>
  <c r="ET161" i="17"/>
  <c r="EU161" i="17"/>
  <c r="EV161" i="17"/>
  <c r="EW161" i="17"/>
  <c r="EX161" i="17"/>
  <c r="EY161" i="17"/>
  <c r="EZ161" i="17"/>
  <c r="FA161" i="17"/>
  <c r="FB161" i="17"/>
  <c r="FC161" i="17"/>
  <c r="FD161" i="17"/>
  <c r="FE161" i="17"/>
  <c r="FF161" i="17"/>
  <c r="FG161" i="17"/>
  <c r="FH161" i="17"/>
  <c r="FI161" i="17"/>
  <c r="FJ161" i="17"/>
  <c r="FK161" i="17"/>
  <c r="FL161" i="17"/>
  <c r="FM161" i="17"/>
  <c r="FN161" i="17"/>
  <c r="FO161" i="17"/>
  <c r="FP161" i="17"/>
  <c r="FQ161" i="17"/>
  <c r="FR161" i="17"/>
  <c r="FS161" i="17"/>
  <c r="FT161" i="17"/>
  <c r="FU161" i="17"/>
  <c r="FV161" i="17"/>
  <c r="FW161" i="17"/>
  <c r="FX161" i="17"/>
  <c r="FY161" i="17"/>
  <c r="FZ161" i="17"/>
  <c r="GA161" i="17"/>
  <c r="GB161" i="17"/>
  <c r="GC161" i="17"/>
  <c r="GD161" i="17"/>
  <c r="GE161" i="17"/>
  <c r="GF161" i="17"/>
  <c r="GG161" i="17"/>
  <c r="GH161" i="17"/>
  <c r="GI161" i="17"/>
  <c r="GJ161" i="17"/>
  <c r="GK161" i="17"/>
  <c r="GL161" i="17"/>
  <c r="GM161" i="17"/>
  <c r="GN161" i="17"/>
  <c r="GO161" i="17"/>
  <c r="GP161" i="17"/>
  <c r="GQ161" i="17"/>
  <c r="GR161" i="17"/>
  <c r="GS161" i="17"/>
  <c r="GT161" i="17"/>
  <c r="GU161" i="17"/>
  <c r="GV161" i="17"/>
  <c r="GW161" i="17"/>
  <c r="GX161" i="17"/>
  <c r="GY161" i="17"/>
  <c r="GZ161" i="17"/>
  <c r="HA161" i="17"/>
  <c r="HB161" i="17"/>
  <c r="HC161" i="17"/>
  <c r="HD161" i="17"/>
  <c r="HE161" i="17"/>
  <c r="HF161" i="17"/>
  <c r="HG161" i="17"/>
  <c r="HH161" i="17"/>
  <c r="HI161" i="17"/>
  <c r="HJ161" i="17"/>
  <c r="HK161" i="17"/>
  <c r="HL161" i="17"/>
  <c r="HM161" i="17"/>
  <c r="HN161" i="17"/>
  <c r="HO161" i="17"/>
  <c r="HP161" i="17"/>
  <c r="HQ161" i="17"/>
  <c r="HR161" i="17"/>
  <c r="HS161" i="17"/>
  <c r="HT161" i="17"/>
  <c r="HU161" i="17"/>
  <c r="HV161" i="17"/>
  <c r="HW161" i="17"/>
  <c r="HX161" i="17"/>
  <c r="HY161" i="17"/>
  <c r="HZ161" i="17"/>
  <c r="IA161" i="17"/>
  <c r="IB161" i="17"/>
  <c r="IC161" i="17"/>
  <c r="ID161" i="17"/>
  <c r="IE161" i="17"/>
  <c r="IF161" i="17"/>
  <c r="IG161" i="17"/>
  <c r="IH161" i="17"/>
  <c r="II161" i="17"/>
  <c r="IJ161" i="17"/>
  <c r="IK161" i="17"/>
  <c r="IL161" i="17"/>
  <c r="IM161" i="17"/>
  <c r="IN161" i="17"/>
  <c r="IO161" i="17"/>
  <c r="IP161" i="17"/>
  <c r="IQ161" i="17"/>
  <c r="IR161" i="17"/>
  <c r="IS161" i="17"/>
  <c r="IT161" i="17"/>
  <c r="IU161" i="17"/>
  <c r="IV161" i="17"/>
  <c r="A160" i="17"/>
  <c r="B160" i="17"/>
  <c r="C160" i="17"/>
  <c r="D160" i="17"/>
  <c r="E160" i="17"/>
  <c r="F160" i="17"/>
  <c r="G160" i="17"/>
  <c r="H160" i="17"/>
  <c r="I160" i="17"/>
  <c r="J160" i="17"/>
  <c r="K160" i="17"/>
  <c r="L160" i="17"/>
  <c r="M160" i="17"/>
  <c r="N160" i="17"/>
  <c r="O160" i="17"/>
  <c r="P160" i="17"/>
  <c r="Q160" i="17"/>
  <c r="R160" i="17"/>
  <c r="S160" i="17"/>
  <c r="T160" i="17"/>
  <c r="U160" i="17"/>
  <c r="V160" i="17"/>
  <c r="W160" i="17"/>
  <c r="X160" i="17"/>
  <c r="Y160" i="17"/>
  <c r="Z160" i="17"/>
  <c r="AA160" i="17"/>
  <c r="AB160" i="17"/>
  <c r="AC160" i="17"/>
  <c r="AD160" i="17"/>
  <c r="AE160" i="17"/>
  <c r="AF160" i="17"/>
  <c r="AG160" i="17"/>
  <c r="AH160" i="17"/>
  <c r="AI160" i="17"/>
  <c r="AJ160" i="17"/>
  <c r="AK160" i="17"/>
  <c r="AL160" i="17"/>
  <c r="AM160" i="17"/>
  <c r="AN160" i="17"/>
  <c r="AO160" i="17"/>
  <c r="AP160" i="17"/>
  <c r="AQ160" i="17"/>
  <c r="AR160" i="17"/>
  <c r="AS160" i="17"/>
  <c r="AT160" i="17"/>
  <c r="AU160" i="17"/>
  <c r="AV160" i="17"/>
  <c r="AW160" i="17"/>
  <c r="AX160" i="17"/>
  <c r="AY160" i="17"/>
  <c r="AZ160" i="17"/>
  <c r="BA160" i="17"/>
  <c r="BB160" i="17"/>
  <c r="BC160" i="17"/>
  <c r="BD160" i="17"/>
  <c r="BE160" i="17"/>
  <c r="BF160" i="17"/>
  <c r="BG160" i="17"/>
  <c r="BH160" i="17"/>
  <c r="BI160" i="17"/>
  <c r="BJ160" i="17"/>
  <c r="BK160" i="17"/>
  <c r="BL160" i="17"/>
  <c r="BM160" i="17"/>
  <c r="BN160" i="17"/>
  <c r="BO160" i="17"/>
  <c r="BP160" i="17"/>
  <c r="BQ160" i="17"/>
  <c r="BR160" i="17"/>
  <c r="BS160" i="17"/>
  <c r="BT160" i="17"/>
  <c r="BU160" i="17"/>
  <c r="BV160" i="17"/>
  <c r="BW160" i="17"/>
  <c r="BX160" i="17"/>
  <c r="BY160" i="17"/>
  <c r="BZ160" i="17"/>
  <c r="CA160" i="17"/>
  <c r="CB160" i="17"/>
  <c r="CC160" i="17"/>
  <c r="CD160" i="17"/>
  <c r="CE160" i="17"/>
  <c r="CF160" i="17"/>
  <c r="CG160" i="17"/>
  <c r="CH160" i="17"/>
  <c r="CI160" i="17"/>
  <c r="CJ160" i="17"/>
  <c r="CK160" i="17"/>
  <c r="CL160" i="17"/>
  <c r="CM160" i="17"/>
  <c r="CN160" i="17"/>
  <c r="CO160" i="17"/>
  <c r="CP160" i="17"/>
  <c r="CQ160" i="17"/>
  <c r="CR160" i="17"/>
  <c r="CS160" i="17"/>
  <c r="CT160" i="17"/>
  <c r="CU160" i="17"/>
  <c r="CV160" i="17"/>
  <c r="CW160" i="17"/>
  <c r="CX160" i="17"/>
  <c r="CY160" i="17"/>
  <c r="CZ160" i="17"/>
  <c r="DA160" i="17"/>
  <c r="DB160" i="17"/>
  <c r="DC160" i="17"/>
  <c r="DD160" i="17"/>
  <c r="DE160" i="17"/>
  <c r="DF160" i="17"/>
  <c r="DG160" i="17"/>
  <c r="DH160" i="17"/>
  <c r="DI160" i="17"/>
  <c r="DJ160" i="17"/>
  <c r="DK160" i="17"/>
  <c r="DL160" i="17"/>
  <c r="DM160" i="17"/>
  <c r="DN160" i="17"/>
  <c r="DO160" i="17"/>
  <c r="DP160" i="17"/>
  <c r="DQ160" i="17"/>
  <c r="DR160" i="17"/>
  <c r="DS160" i="17"/>
  <c r="DT160" i="17"/>
  <c r="DU160" i="17"/>
  <c r="DV160" i="17"/>
  <c r="DW160" i="17"/>
  <c r="DX160" i="17"/>
  <c r="DY160" i="17"/>
  <c r="DZ160" i="17"/>
  <c r="EA160" i="17"/>
  <c r="EB160" i="17"/>
  <c r="EC160" i="17"/>
  <c r="ED160" i="17"/>
  <c r="EE160" i="17"/>
  <c r="EF160" i="17"/>
  <c r="EG160" i="17"/>
  <c r="EH160" i="17"/>
  <c r="EI160" i="17"/>
  <c r="EJ160" i="17"/>
  <c r="EK160" i="17"/>
  <c r="EL160" i="17"/>
  <c r="EM160" i="17"/>
  <c r="EN160" i="17"/>
  <c r="EO160" i="17"/>
  <c r="EP160" i="17"/>
  <c r="EQ160" i="17"/>
  <c r="ER160" i="17"/>
  <c r="ES160" i="17"/>
  <c r="ET160" i="17"/>
  <c r="EU160" i="17"/>
  <c r="EV160" i="17"/>
  <c r="EW160" i="17"/>
  <c r="EX160" i="17"/>
  <c r="EY160" i="17"/>
  <c r="EZ160" i="17"/>
  <c r="FA160" i="17"/>
  <c r="FB160" i="17"/>
  <c r="FC160" i="17"/>
  <c r="FD160" i="17"/>
  <c r="FE160" i="17"/>
  <c r="FF160" i="17"/>
  <c r="FG160" i="17"/>
  <c r="FH160" i="17"/>
  <c r="FI160" i="17"/>
  <c r="FJ160" i="17"/>
  <c r="FK160" i="17"/>
  <c r="FL160" i="17"/>
  <c r="FM160" i="17"/>
  <c r="FN160" i="17"/>
  <c r="FO160" i="17"/>
  <c r="FP160" i="17"/>
  <c r="FQ160" i="17"/>
  <c r="FR160" i="17"/>
  <c r="FS160" i="17"/>
  <c r="FT160" i="17"/>
  <c r="FU160" i="17"/>
  <c r="FV160" i="17"/>
  <c r="FW160" i="17"/>
  <c r="FX160" i="17"/>
  <c r="FY160" i="17"/>
  <c r="FZ160" i="17"/>
  <c r="GA160" i="17"/>
  <c r="GB160" i="17"/>
  <c r="GC160" i="17"/>
  <c r="GD160" i="17"/>
  <c r="GE160" i="17"/>
  <c r="GF160" i="17"/>
  <c r="GG160" i="17"/>
  <c r="GH160" i="17"/>
  <c r="GI160" i="17"/>
  <c r="GJ160" i="17"/>
  <c r="GK160" i="17"/>
  <c r="GL160" i="17"/>
  <c r="GM160" i="17"/>
  <c r="GN160" i="17"/>
  <c r="GO160" i="17"/>
  <c r="GP160" i="17"/>
  <c r="GQ160" i="17"/>
  <c r="GR160" i="17"/>
  <c r="GS160" i="17"/>
  <c r="GT160" i="17"/>
  <c r="GU160" i="17"/>
  <c r="GV160" i="17"/>
  <c r="GW160" i="17"/>
  <c r="GX160" i="17"/>
  <c r="GY160" i="17"/>
  <c r="GZ160" i="17"/>
  <c r="HA160" i="17"/>
  <c r="HB160" i="17"/>
  <c r="HC160" i="17"/>
  <c r="HD160" i="17"/>
  <c r="HE160" i="17"/>
  <c r="HF160" i="17"/>
  <c r="HG160" i="17"/>
  <c r="HH160" i="17"/>
  <c r="HI160" i="17"/>
  <c r="HJ160" i="17"/>
  <c r="HK160" i="17"/>
  <c r="HL160" i="17"/>
  <c r="HM160" i="17"/>
  <c r="HN160" i="17"/>
  <c r="HO160" i="17"/>
  <c r="HP160" i="17"/>
  <c r="HQ160" i="17"/>
  <c r="HR160" i="17"/>
  <c r="HS160" i="17"/>
  <c r="HT160" i="17"/>
  <c r="HU160" i="17"/>
  <c r="HV160" i="17"/>
  <c r="HW160" i="17"/>
  <c r="HX160" i="17"/>
  <c r="HY160" i="17"/>
  <c r="HZ160" i="17"/>
  <c r="IA160" i="17"/>
  <c r="IB160" i="17"/>
  <c r="IC160" i="17"/>
  <c r="ID160" i="17"/>
  <c r="IE160" i="17"/>
  <c r="IF160" i="17"/>
  <c r="IG160" i="17"/>
  <c r="IH160" i="17"/>
  <c r="II160" i="17"/>
  <c r="IJ160" i="17"/>
  <c r="IK160" i="17"/>
  <c r="IL160" i="17"/>
  <c r="IM160" i="17"/>
  <c r="IN160" i="17"/>
  <c r="IO160" i="17"/>
  <c r="IP160" i="17"/>
  <c r="IQ160" i="17"/>
  <c r="IR160" i="17"/>
  <c r="IS160" i="17"/>
  <c r="IT160" i="17"/>
  <c r="IU160" i="17"/>
  <c r="IV160" i="17"/>
  <c r="A159" i="17"/>
  <c r="B159" i="17"/>
  <c r="C159" i="17"/>
  <c r="D159" i="17"/>
  <c r="E159" i="17"/>
  <c r="F159" i="17"/>
  <c r="G159" i="17"/>
  <c r="H159" i="17"/>
  <c r="I159" i="17"/>
  <c r="J159" i="17"/>
  <c r="K159" i="17"/>
  <c r="L159" i="17"/>
  <c r="M159" i="17"/>
  <c r="N159" i="17"/>
  <c r="O159" i="17"/>
  <c r="P159" i="17"/>
  <c r="Q159" i="17"/>
  <c r="R159" i="17"/>
  <c r="S159" i="17"/>
  <c r="T159" i="17"/>
  <c r="U159" i="17"/>
  <c r="V159" i="17"/>
  <c r="W159" i="17"/>
  <c r="X159" i="17"/>
  <c r="Y159" i="17"/>
  <c r="Z159" i="17"/>
  <c r="AA159" i="17"/>
  <c r="AB159" i="17"/>
  <c r="AC159" i="17"/>
  <c r="AD159" i="17"/>
  <c r="AE159" i="17"/>
  <c r="AF159" i="17"/>
  <c r="AG159" i="17"/>
  <c r="AH159" i="17"/>
  <c r="AI159" i="17"/>
  <c r="AJ159" i="17"/>
  <c r="AK159" i="17"/>
  <c r="AL159" i="17"/>
  <c r="AM159" i="17"/>
  <c r="AN159" i="17"/>
  <c r="AO159" i="17"/>
  <c r="AP159" i="17"/>
  <c r="AQ159" i="17"/>
  <c r="AR159" i="17"/>
  <c r="AS159" i="17"/>
  <c r="AT159" i="17"/>
  <c r="AU159" i="17"/>
  <c r="AV159" i="17"/>
  <c r="AW159" i="17"/>
  <c r="AX159" i="17"/>
  <c r="AY159" i="17"/>
  <c r="AZ159" i="17"/>
  <c r="BA159" i="17"/>
  <c r="BB159" i="17"/>
  <c r="BC159" i="17"/>
  <c r="BD159" i="17"/>
  <c r="BE159" i="17"/>
  <c r="BF159" i="17"/>
  <c r="BG159" i="17"/>
  <c r="BH159" i="17"/>
  <c r="BI159" i="17"/>
  <c r="BJ159" i="17"/>
  <c r="BK159" i="17"/>
  <c r="BL159" i="17"/>
  <c r="BM159" i="17"/>
  <c r="BN159" i="17"/>
  <c r="BO159" i="17"/>
  <c r="BP159" i="17"/>
  <c r="BQ159" i="17"/>
  <c r="BR159" i="17"/>
  <c r="BS159" i="17"/>
  <c r="BT159" i="17"/>
  <c r="BU159" i="17"/>
  <c r="BV159" i="17"/>
  <c r="BW159" i="17"/>
  <c r="BX159" i="17"/>
  <c r="BY159" i="17"/>
  <c r="BZ159" i="17"/>
  <c r="CA159" i="17"/>
  <c r="CB159" i="17"/>
  <c r="CC159" i="17"/>
  <c r="CD159" i="17"/>
  <c r="CE159" i="17"/>
  <c r="CF159" i="17"/>
  <c r="CG159" i="17"/>
  <c r="CH159" i="17"/>
  <c r="CI159" i="17"/>
  <c r="CJ159" i="17"/>
  <c r="CK159" i="17"/>
  <c r="CL159" i="17"/>
  <c r="CM159" i="17"/>
  <c r="CN159" i="17"/>
  <c r="CO159" i="17"/>
  <c r="CP159" i="17"/>
  <c r="CQ159" i="17"/>
  <c r="CR159" i="17"/>
  <c r="CS159" i="17"/>
  <c r="CT159" i="17"/>
  <c r="CU159" i="17"/>
  <c r="CV159" i="17"/>
  <c r="CW159" i="17"/>
  <c r="CX159" i="17"/>
  <c r="CY159" i="17"/>
  <c r="CZ159" i="17"/>
  <c r="DA159" i="17"/>
  <c r="DB159" i="17"/>
  <c r="DC159" i="17"/>
  <c r="DD159" i="17"/>
  <c r="DE159" i="17"/>
  <c r="DF159" i="17"/>
  <c r="DG159" i="17"/>
  <c r="DH159" i="17"/>
  <c r="DI159" i="17"/>
  <c r="DJ159" i="17"/>
  <c r="DK159" i="17"/>
  <c r="DL159" i="17"/>
  <c r="DM159" i="17"/>
  <c r="DN159" i="17"/>
  <c r="DO159" i="17"/>
  <c r="DP159" i="17"/>
  <c r="DQ159" i="17"/>
  <c r="DR159" i="17"/>
  <c r="DS159" i="17"/>
  <c r="DT159" i="17"/>
  <c r="DU159" i="17"/>
  <c r="DV159" i="17"/>
  <c r="DW159" i="17"/>
  <c r="DX159" i="17"/>
  <c r="DY159" i="17"/>
  <c r="DZ159" i="17"/>
  <c r="EA159" i="17"/>
  <c r="EB159" i="17"/>
  <c r="EC159" i="17"/>
  <c r="ED159" i="17"/>
  <c r="EE159" i="17"/>
  <c r="EF159" i="17"/>
  <c r="EG159" i="17"/>
  <c r="EH159" i="17"/>
  <c r="EI159" i="17"/>
  <c r="EJ159" i="17"/>
  <c r="EK159" i="17"/>
  <c r="EL159" i="17"/>
  <c r="EM159" i="17"/>
  <c r="EN159" i="17"/>
  <c r="EO159" i="17"/>
  <c r="EP159" i="17"/>
  <c r="EQ159" i="17"/>
  <c r="ER159" i="17"/>
  <c r="ES159" i="17"/>
  <c r="ET159" i="17"/>
  <c r="EU159" i="17"/>
  <c r="EV159" i="17"/>
  <c r="EW159" i="17"/>
  <c r="EX159" i="17"/>
  <c r="EY159" i="17"/>
  <c r="EZ159" i="17"/>
  <c r="FA159" i="17"/>
  <c r="FB159" i="17"/>
  <c r="FC159" i="17"/>
  <c r="FD159" i="17"/>
  <c r="FE159" i="17"/>
  <c r="FF159" i="17"/>
  <c r="FG159" i="17"/>
  <c r="FH159" i="17"/>
  <c r="FI159" i="17"/>
  <c r="FJ159" i="17"/>
  <c r="FK159" i="17"/>
  <c r="FL159" i="17"/>
  <c r="FM159" i="17"/>
  <c r="FN159" i="17"/>
  <c r="FO159" i="17"/>
  <c r="FP159" i="17"/>
  <c r="FQ159" i="17"/>
  <c r="FR159" i="17"/>
  <c r="FS159" i="17"/>
  <c r="FT159" i="17"/>
  <c r="FU159" i="17"/>
  <c r="FV159" i="17"/>
  <c r="FW159" i="17"/>
  <c r="FX159" i="17"/>
  <c r="FY159" i="17"/>
  <c r="FZ159" i="17"/>
  <c r="GA159" i="17"/>
  <c r="GB159" i="17"/>
  <c r="GC159" i="17"/>
  <c r="GD159" i="17"/>
  <c r="GE159" i="17"/>
  <c r="GF159" i="17"/>
  <c r="GG159" i="17"/>
  <c r="GH159" i="17"/>
  <c r="GI159" i="17"/>
  <c r="GJ159" i="17"/>
  <c r="GK159" i="17"/>
  <c r="GL159" i="17"/>
  <c r="GM159" i="17"/>
  <c r="GN159" i="17"/>
  <c r="GO159" i="17"/>
  <c r="GP159" i="17"/>
  <c r="GQ159" i="17"/>
  <c r="GR159" i="17"/>
  <c r="GS159" i="17"/>
  <c r="GT159" i="17"/>
  <c r="GU159" i="17"/>
  <c r="GV159" i="17"/>
  <c r="GW159" i="17"/>
  <c r="GX159" i="17"/>
  <c r="GY159" i="17"/>
  <c r="GZ159" i="17"/>
  <c r="HA159" i="17"/>
  <c r="HB159" i="17"/>
  <c r="HC159" i="17"/>
  <c r="HD159" i="17"/>
  <c r="HE159" i="17"/>
  <c r="HF159" i="17"/>
  <c r="HG159" i="17"/>
  <c r="HH159" i="17"/>
  <c r="HI159" i="17"/>
  <c r="HJ159" i="17"/>
  <c r="HK159" i="17"/>
  <c r="HL159" i="17"/>
  <c r="HM159" i="17"/>
  <c r="HN159" i="17"/>
  <c r="HO159" i="17"/>
  <c r="HP159" i="17"/>
  <c r="HQ159" i="17"/>
  <c r="HR159" i="17"/>
  <c r="HS159" i="17"/>
  <c r="HT159" i="17"/>
  <c r="HU159" i="17"/>
  <c r="HV159" i="17"/>
  <c r="HW159" i="17"/>
  <c r="HX159" i="17"/>
  <c r="HY159" i="17"/>
  <c r="HZ159" i="17"/>
  <c r="IA159" i="17"/>
  <c r="IB159" i="17"/>
  <c r="IC159" i="17"/>
  <c r="ID159" i="17"/>
  <c r="IE159" i="17"/>
  <c r="IF159" i="17"/>
  <c r="IG159" i="17"/>
  <c r="IH159" i="17"/>
  <c r="II159" i="17"/>
  <c r="IJ159" i="17"/>
  <c r="IK159" i="17"/>
  <c r="IL159" i="17"/>
  <c r="IM159" i="17"/>
  <c r="IN159" i="17"/>
  <c r="IO159" i="17"/>
  <c r="IP159" i="17"/>
  <c r="IQ159" i="17"/>
  <c r="IR159" i="17"/>
  <c r="IS159" i="17"/>
  <c r="IT159" i="17"/>
  <c r="IU159" i="17"/>
  <c r="IV159" i="17"/>
  <c r="A158" i="17"/>
  <c r="B158" i="17"/>
  <c r="C158" i="17"/>
  <c r="D158" i="17"/>
  <c r="E158" i="17"/>
  <c r="F158" i="17"/>
  <c r="G158" i="17"/>
  <c r="H158" i="17"/>
  <c r="I158" i="17"/>
  <c r="J158" i="17"/>
  <c r="K158" i="17"/>
  <c r="L158" i="17"/>
  <c r="M158" i="17"/>
  <c r="N158" i="17"/>
  <c r="O158" i="17"/>
  <c r="P158" i="17"/>
  <c r="Q158" i="17"/>
  <c r="R158" i="17"/>
  <c r="S158" i="17"/>
  <c r="T158" i="17"/>
  <c r="U158" i="17"/>
  <c r="V158" i="17"/>
  <c r="W158" i="17"/>
  <c r="X158" i="17"/>
  <c r="Y158" i="17"/>
  <c r="Z158" i="17"/>
  <c r="AA158" i="17"/>
  <c r="AB158" i="17"/>
  <c r="AC158" i="17"/>
  <c r="AD158" i="17"/>
  <c r="AE158" i="17"/>
  <c r="AF158" i="17"/>
  <c r="AG158" i="17"/>
  <c r="AH158" i="17"/>
  <c r="AI158" i="17"/>
  <c r="AJ158" i="17"/>
  <c r="AK158" i="17"/>
  <c r="AL158" i="17"/>
  <c r="AM158" i="17"/>
  <c r="AN158" i="17"/>
  <c r="AO158" i="17"/>
  <c r="AP158" i="17"/>
  <c r="AQ158" i="17"/>
  <c r="AR158" i="17"/>
  <c r="AS158" i="17"/>
  <c r="AT158" i="17"/>
  <c r="AU158" i="17"/>
  <c r="AV158" i="17"/>
  <c r="AW158" i="17"/>
  <c r="AX158" i="17"/>
  <c r="AY158" i="17"/>
  <c r="AZ158" i="17"/>
  <c r="BA158" i="17"/>
  <c r="BB158" i="17"/>
  <c r="BC158" i="17"/>
  <c r="BD158" i="17"/>
  <c r="BE158" i="17"/>
  <c r="BF158" i="17"/>
  <c r="BG158" i="17"/>
  <c r="BH158" i="17"/>
  <c r="BI158" i="17"/>
  <c r="BJ158" i="17"/>
  <c r="BK158" i="17"/>
  <c r="BL158" i="17"/>
  <c r="BM158" i="17"/>
  <c r="BN158" i="17"/>
  <c r="BO158" i="17"/>
  <c r="BP158" i="17"/>
  <c r="BQ158" i="17"/>
  <c r="BR158" i="17"/>
  <c r="BS158" i="17"/>
  <c r="BT158" i="17"/>
  <c r="BU158" i="17"/>
  <c r="BV158" i="17"/>
  <c r="BW158" i="17"/>
  <c r="BX158" i="17"/>
  <c r="BY158" i="17"/>
  <c r="BZ158" i="17"/>
  <c r="CA158" i="17"/>
  <c r="CB158" i="17"/>
  <c r="CC158" i="17"/>
  <c r="CD158" i="17"/>
  <c r="CE158" i="17"/>
  <c r="CF158" i="17"/>
  <c r="CG158" i="17"/>
  <c r="CH158" i="17"/>
  <c r="CI158" i="17"/>
  <c r="CJ158" i="17"/>
  <c r="CK158" i="17"/>
  <c r="CL158" i="17"/>
  <c r="CM158" i="17"/>
  <c r="CN158" i="17"/>
  <c r="CO158" i="17"/>
  <c r="CP158" i="17"/>
  <c r="CQ158" i="17"/>
  <c r="CR158" i="17"/>
  <c r="CS158" i="17"/>
  <c r="CT158" i="17"/>
  <c r="CU158" i="17"/>
  <c r="CV158" i="17"/>
  <c r="CW158" i="17"/>
  <c r="CX158" i="17"/>
  <c r="CY158" i="17"/>
  <c r="CZ158" i="17"/>
  <c r="DA158" i="17"/>
  <c r="DB158" i="17"/>
  <c r="DC158" i="17"/>
  <c r="DD158" i="17"/>
  <c r="DE158" i="17"/>
  <c r="DF158" i="17"/>
  <c r="DG158" i="17"/>
  <c r="DH158" i="17"/>
  <c r="DI158" i="17"/>
  <c r="DJ158" i="17"/>
  <c r="DK158" i="17"/>
  <c r="DL158" i="17"/>
  <c r="DM158" i="17"/>
  <c r="DN158" i="17"/>
  <c r="DO158" i="17"/>
  <c r="DP158" i="17"/>
  <c r="DQ158" i="17"/>
  <c r="DR158" i="17"/>
  <c r="DS158" i="17"/>
  <c r="DT158" i="17"/>
  <c r="DU158" i="17"/>
  <c r="DV158" i="17"/>
  <c r="DW158" i="17"/>
  <c r="DX158" i="17"/>
  <c r="DY158" i="17"/>
  <c r="DZ158" i="17"/>
  <c r="EA158" i="17"/>
  <c r="EB158" i="17"/>
  <c r="EC158" i="17"/>
  <c r="ED158" i="17"/>
  <c r="EE158" i="17"/>
  <c r="EF158" i="17"/>
  <c r="EG158" i="17"/>
  <c r="EH158" i="17"/>
  <c r="EI158" i="17"/>
  <c r="EJ158" i="17"/>
  <c r="EK158" i="17"/>
  <c r="EL158" i="17"/>
  <c r="EM158" i="17"/>
  <c r="EN158" i="17"/>
  <c r="EO158" i="17"/>
  <c r="EP158" i="17"/>
  <c r="EQ158" i="17"/>
  <c r="ER158" i="17"/>
  <c r="ES158" i="17"/>
  <c r="ET158" i="17"/>
  <c r="EU158" i="17"/>
  <c r="EV158" i="17"/>
  <c r="EW158" i="17"/>
  <c r="EX158" i="17"/>
  <c r="EY158" i="17"/>
  <c r="EZ158" i="17"/>
  <c r="FA158" i="17"/>
  <c r="FB158" i="17"/>
  <c r="FC158" i="17"/>
  <c r="FD158" i="17"/>
  <c r="FE158" i="17"/>
  <c r="FF158" i="17"/>
  <c r="FG158" i="17"/>
  <c r="FH158" i="17"/>
  <c r="FI158" i="17"/>
  <c r="FJ158" i="17"/>
  <c r="FK158" i="17"/>
  <c r="FL158" i="17"/>
  <c r="FM158" i="17"/>
  <c r="FN158" i="17"/>
  <c r="FO158" i="17"/>
  <c r="FP158" i="17"/>
  <c r="FQ158" i="17"/>
  <c r="FR158" i="17"/>
  <c r="FS158" i="17"/>
  <c r="FT158" i="17"/>
  <c r="FU158" i="17"/>
  <c r="FV158" i="17"/>
  <c r="FW158" i="17"/>
  <c r="FX158" i="17"/>
  <c r="FY158" i="17"/>
  <c r="FZ158" i="17"/>
  <c r="GA158" i="17"/>
  <c r="GB158" i="17"/>
  <c r="GC158" i="17"/>
  <c r="GD158" i="17"/>
  <c r="GE158" i="17"/>
  <c r="GF158" i="17"/>
  <c r="GG158" i="17"/>
  <c r="GH158" i="17"/>
  <c r="GI158" i="17"/>
  <c r="GJ158" i="17"/>
  <c r="GK158" i="17"/>
  <c r="GL158" i="17"/>
  <c r="GM158" i="17"/>
  <c r="GN158" i="17"/>
  <c r="GO158" i="17"/>
  <c r="GP158" i="17"/>
  <c r="GQ158" i="17"/>
  <c r="GR158" i="17"/>
  <c r="GS158" i="17"/>
  <c r="GT158" i="17"/>
  <c r="GU158" i="17"/>
  <c r="GV158" i="17"/>
  <c r="GW158" i="17"/>
  <c r="GX158" i="17"/>
  <c r="GY158" i="17"/>
  <c r="GZ158" i="17"/>
  <c r="HA158" i="17"/>
  <c r="HB158" i="17"/>
  <c r="HC158" i="17"/>
  <c r="HD158" i="17"/>
  <c r="HE158" i="17"/>
  <c r="HF158" i="17"/>
  <c r="HG158" i="17"/>
  <c r="HH158" i="17"/>
  <c r="HI158" i="17"/>
  <c r="HJ158" i="17"/>
  <c r="HK158" i="17"/>
  <c r="HL158" i="17"/>
  <c r="HM158" i="17"/>
  <c r="HN158" i="17"/>
  <c r="HO158" i="17"/>
  <c r="HP158" i="17"/>
  <c r="HQ158" i="17"/>
  <c r="HR158" i="17"/>
  <c r="HS158" i="17"/>
  <c r="HT158" i="17"/>
  <c r="HU158" i="17"/>
  <c r="HV158" i="17"/>
  <c r="HW158" i="17"/>
  <c r="HX158" i="17"/>
  <c r="HY158" i="17"/>
  <c r="HZ158" i="17"/>
  <c r="IA158" i="17"/>
  <c r="IB158" i="17"/>
  <c r="IC158" i="17"/>
  <c r="ID158" i="17"/>
  <c r="IE158" i="17"/>
  <c r="IF158" i="17"/>
  <c r="IG158" i="17"/>
  <c r="IH158" i="17"/>
  <c r="II158" i="17"/>
  <c r="IJ158" i="17"/>
  <c r="IK158" i="17"/>
  <c r="IL158" i="17"/>
  <c r="IM158" i="17"/>
  <c r="IN158" i="17"/>
  <c r="IO158" i="17"/>
  <c r="IP158" i="17"/>
  <c r="IQ158" i="17"/>
  <c r="IR158" i="17"/>
  <c r="IS158" i="17"/>
  <c r="IT158" i="17"/>
  <c r="IU158" i="17"/>
  <c r="IV158" i="17"/>
  <c r="A157" i="17"/>
  <c r="B157" i="17"/>
  <c r="C157" i="17"/>
  <c r="D157" i="17"/>
  <c r="E157" i="17"/>
  <c r="F157" i="17"/>
  <c r="G157" i="17"/>
  <c r="H157" i="17"/>
  <c r="I157" i="17"/>
  <c r="J157" i="17"/>
  <c r="K157" i="17"/>
  <c r="L157" i="17"/>
  <c r="M157" i="17"/>
  <c r="N157" i="17"/>
  <c r="O157" i="17"/>
  <c r="P157" i="17"/>
  <c r="Q157" i="17"/>
  <c r="R157" i="17"/>
  <c r="S157" i="17"/>
  <c r="T157" i="17"/>
  <c r="U157" i="17"/>
  <c r="V157" i="17"/>
  <c r="W157" i="17"/>
  <c r="X157" i="17"/>
  <c r="Y157" i="17"/>
  <c r="Z157" i="17"/>
  <c r="AA157" i="17"/>
  <c r="AB157" i="17"/>
  <c r="AC157" i="17"/>
  <c r="AD157" i="17"/>
  <c r="AE157" i="17"/>
  <c r="AF157" i="17"/>
  <c r="AG157" i="17"/>
  <c r="AH157" i="17"/>
  <c r="AI157" i="17"/>
  <c r="AJ157" i="17"/>
  <c r="AK157" i="17"/>
  <c r="AL157" i="17"/>
  <c r="AM157" i="17"/>
  <c r="AN157" i="17"/>
  <c r="AO157" i="17"/>
  <c r="AP157" i="17"/>
  <c r="AQ157" i="17"/>
  <c r="AR157" i="17"/>
  <c r="AS157" i="17"/>
  <c r="AT157" i="17"/>
  <c r="AU157" i="17"/>
  <c r="AV157" i="17"/>
  <c r="AW157" i="17"/>
  <c r="AX157" i="17"/>
  <c r="AY157" i="17"/>
  <c r="AZ157" i="17"/>
  <c r="BA157" i="17"/>
  <c r="BB157" i="17"/>
  <c r="BC157" i="17"/>
  <c r="BD157" i="17"/>
  <c r="BE157" i="17"/>
  <c r="BF157" i="17"/>
  <c r="BG157" i="17"/>
  <c r="BH157" i="17"/>
  <c r="BI157" i="17"/>
  <c r="BJ157" i="17"/>
  <c r="BK157" i="17"/>
  <c r="BL157" i="17"/>
  <c r="BM157" i="17"/>
  <c r="BN157" i="17"/>
  <c r="BO157" i="17"/>
  <c r="BP157" i="17"/>
  <c r="BQ157" i="17"/>
  <c r="BR157" i="17"/>
  <c r="BS157" i="17"/>
  <c r="BT157" i="17"/>
  <c r="BU157" i="17"/>
  <c r="BV157" i="17"/>
  <c r="BW157" i="17"/>
  <c r="BX157" i="17"/>
  <c r="BY157" i="17"/>
  <c r="BZ157" i="17"/>
  <c r="CA157" i="17"/>
  <c r="CB157" i="17"/>
  <c r="CC157" i="17"/>
  <c r="CD157" i="17"/>
  <c r="CE157" i="17"/>
  <c r="CF157" i="17"/>
  <c r="CG157" i="17"/>
  <c r="CH157" i="17"/>
  <c r="CI157" i="17"/>
  <c r="CJ157" i="17"/>
  <c r="CK157" i="17"/>
  <c r="CL157" i="17"/>
  <c r="CM157" i="17"/>
  <c r="CN157" i="17"/>
  <c r="CO157" i="17"/>
  <c r="CP157" i="17"/>
  <c r="CQ157" i="17"/>
  <c r="CR157" i="17"/>
  <c r="CS157" i="17"/>
  <c r="CT157" i="17"/>
  <c r="CU157" i="17"/>
  <c r="CV157" i="17"/>
  <c r="CW157" i="17"/>
  <c r="CX157" i="17"/>
  <c r="CY157" i="17"/>
  <c r="CZ157" i="17"/>
  <c r="DA157" i="17"/>
  <c r="DB157" i="17"/>
  <c r="DC157" i="17"/>
  <c r="DD157" i="17"/>
  <c r="DE157" i="17"/>
  <c r="DF157" i="17"/>
  <c r="DG157" i="17"/>
  <c r="DH157" i="17"/>
  <c r="DI157" i="17"/>
  <c r="DJ157" i="17"/>
  <c r="DK157" i="17"/>
  <c r="DL157" i="17"/>
  <c r="DM157" i="17"/>
  <c r="DN157" i="17"/>
  <c r="DO157" i="17"/>
  <c r="DP157" i="17"/>
  <c r="DQ157" i="17"/>
  <c r="DR157" i="17"/>
  <c r="DS157" i="17"/>
  <c r="DT157" i="17"/>
  <c r="DU157" i="17"/>
  <c r="DV157" i="17"/>
  <c r="DW157" i="17"/>
  <c r="DX157" i="17"/>
  <c r="DY157" i="17"/>
  <c r="DZ157" i="17"/>
  <c r="EA157" i="17"/>
  <c r="EB157" i="17"/>
  <c r="EC157" i="17"/>
  <c r="ED157" i="17"/>
  <c r="EE157" i="17"/>
  <c r="EF157" i="17"/>
  <c r="EG157" i="17"/>
  <c r="EH157" i="17"/>
  <c r="EI157" i="17"/>
  <c r="EJ157" i="17"/>
  <c r="EK157" i="17"/>
  <c r="EL157" i="17"/>
  <c r="EM157" i="17"/>
  <c r="EN157" i="17"/>
  <c r="EO157" i="17"/>
  <c r="EP157" i="17"/>
  <c r="EQ157" i="17"/>
  <c r="ER157" i="17"/>
  <c r="ES157" i="17"/>
  <c r="ET157" i="17"/>
  <c r="EU157" i="17"/>
  <c r="EV157" i="17"/>
  <c r="EW157" i="17"/>
  <c r="EX157" i="17"/>
  <c r="EY157" i="17"/>
  <c r="EZ157" i="17"/>
  <c r="FA157" i="17"/>
  <c r="FB157" i="17"/>
  <c r="FC157" i="17"/>
  <c r="FD157" i="17"/>
  <c r="FE157" i="17"/>
  <c r="FF157" i="17"/>
  <c r="FG157" i="17"/>
  <c r="FH157" i="17"/>
  <c r="FI157" i="17"/>
  <c r="FJ157" i="17"/>
  <c r="FK157" i="17"/>
  <c r="FL157" i="17"/>
  <c r="FM157" i="17"/>
  <c r="FN157" i="17"/>
  <c r="FO157" i="17"/>
  <c r="FP157" i="17"/>
  <c r="FQ157" i="17"/>
  <c r="FR157" i="17"/>
  <c r="FS157" i="17"/>
  <c r="FT157" i="17"/>
  <c r="FU157" i="17"/>
  <c r="FV157" i="17"/>
  <c r="FW157" i="17"/>
  <c r="FX157" i="17"/>
  <c r="FY157" i="17"/>
  <c r="FZ157" i="17"/>
  <c r="GA157" i="17"/>
  <c r="GB157" i="17"/>
  <c r="GC157" i="17"/>
  <c r="GD157" i="17"/>
  <c r="GE157" i="17"/>
  <c r="GF157" i="17"/>
  <c r="GG157" i="17"/>
  <c r="GH157" i="17"/>
  <c r="GI157" i="17"/>
  <c r="GJ157" i="17"/>
  <c r="GK157" i="17"/>
  <c r="GL157" i="17"/>
  <c r="GM157" i="17"/>
  <c r="GN157" i="17"/>
  <c r="GO157" i="17"/>
  <c r="GP157" i="17"/>
  <c r="GQ157" i="17"/>
  <c r="GR157" i="17"/>
  <c r="GS157" i="17"/>
  <c r="GT157" i="17"/>
  <c r="GU157" i="17"/>
  <c r="GV157" i="17"/>
  <c r="GW157" i="17"/>
  <c r="GX157" i="17"/>
  <c r="GY157" i="17"/>
  <c r="GZ157" i="17"/>
  <c r="HA157" i="17"/>
  <c r="HB157" i="17"/>
  <c r="HC157" i="17"/>
  <c r="HD157" i="17"/>
  <c r="HE157" i="17"/>
  <c r="HF157" i="17"/>
  <c r="HG157" i="17"/>
  <c r="HH157" i="17"/>
  <c r="HI157" i="17"/>
  <c r="HJ157" i="17"/>
  <c r="HK157" i="17"/>
  <c r="HL157" i="17"/>
  <c r="HM157" i="17"/>
  <c r="HN157" i="17"/>
  <c r="HO157" i="17"/>
  <c r="HP157" i="17"/>
  <c r="HQ157" i="17"/>
  <c r="HR157" i="17"/>
  <c r="HS157" i="17"/>
  <c r="HT157" i="17"/>
  <c r="HU157" i="17"/>
  <c r="HV157" i="17"/>
  <c r="HW157" i="17"/>
  <c r="HX157" i="17"/>
  <c r="HY157" i="17"/>
  <c r="HZ157" i="17"/>
  <c r="IA157" i="17"/>
  <c r="IB157" i="17"/>
  <c r="IC157" i="17"/>
  <c r="ID157" i="17"/>
  <c r="IE157" i="17"/>
  <c r="IF157" i="17"/>
  <c r="IG157" i="17"/>
  <c r="IH157" i="17"/>
  <c r="II157" i="17"/>
  <c r="IJ157" i="17"/>
  <c r="IK157" i="17"/>
  <c r="IL157" i="17"/>
  <c r="IM157" i="17"/>
  <c r="IN157" i="17"/>
  <c r="IO157" i="17"/>
  <c r="IP157" i="17"/>
  <c r="IQ157" i="17"/>
  <c r="IR157" i="17"/>
  <c r="IS157" i="17"/>
  <c r="IT157" i="17"/>
  <c r="IU157" i="17"/>
  <c r="IV157" i="17"/>
  <c r="A156" i="17"/>
  <c r="B156" i="17"/>
  <c r="C156" i="17"/>
  <c r="D156" i="17"/>
  <c r="E156" i="17"/>
  <c r="F156" i="17"/>
  <c r="G156" i="17"/>
  <c r="H156" i="17"/>
  <c r="I156" i="17"/>
  <c r="J156" i="17"/>
  <c r="K156" i="17"/>
  <c r="L156" i="17"/>
  <c r="M156" i="17"/>
  <c r="N156" i="17"/>
  <c r="O156" i="17"/>
  <c r="P156" i="17"/>
  <c r="Q156" i="17"/>
  <c r="R156" i="17"/>
  <c r="S156" i="17"/>
  <c r="T156" i="17"/>
  <c r="U156" i="17"/>
  <c r="V156" i="17"/>
  <c r="W156" i="17"/>
  <c r="X156" i="17"/>
  <c r="Y156" i="17"/>
  <c r="Z156" i="17"/>
  <c r="AA156" i="17"/>
  <c r="AB156" i="17"/>
  <c r="AC156" i="17"/>
  <c r="AD156" i="17"/>
  <c r="AE156" i="17"/>
  <c r="AF156" i="17"/>
  <c r="AG156" i="17"/>
  <c r="AH156" i="17"/>
  <c r="AI156" i="17"/>
  <c r="AJ156" i="17"/>
  <c r="AK156" i="17"/>
  <c r="AL156" i="17"/>
  <c r="AM156" i="17"/>
  <c r="AN156" i="17"/>
  <c r="AO156" i="17"/>
  <c r="AP156" i="17"/>
  <c r="AQ156" i="17"/>
  <c r="AR156" i="17"/>
  <c r="AS156" i="17"/>
  <c r="AT156" i="17"/>
  <c r="AU156" i="17"/>
  <c r="AV156" i="17"/>
  <c r="AW156" i="17"/>
  <c r="AX156" i="17"/>
  <c r="AY156" i="17"/>
  <c r="AZ156" i="17"/>
  <c r="BA156" i="17"/>
  <c r="BB156" i="17"/>
  <c r="BC156" i="17"/>
  <c r="BD156" i="17"/>
  <c r="BE156" i="17"/>
  <c r="BF156" i="17"/>
  <c r="BG156" i="17"/>
  <c r="BH156" i="17"/>
  <c r="BI156" i="17"/>
  <c r="BJ156" i="17"/>
  <c r="BK156" i="17"/>
  <c r="BL156" i="17"/>
  <c r="BM156" i="17"/>
  <c r="BN156" i="17"/>
  <c r="BO156" i="17"/>
  <c r="BP156" i="17"/>
  <c r="BQ156" i="17"/>
  <c r="BR156" i="17"/>
  <c r="BS156" i="17"/>
  <c r="BT156" i="17"/>
  <c r="BU156" i="17"/>
  <c r="BV156" i="17"/>
  <c r="BW156" i="17"/>
  <c r="BX156" i="17"/>
  <c r="BY156" i="17"/>
  <c r="BZ156" i="17"/>
  <c r="CA156" i="17"/>
  <c r="CB156" i="17"/>
  <c r="CC156" i="17"/>
  <c r="CD156" i="17"/>
  <c r="CE156" i="17"/>
  <c r="CF156" i="17"/>
  <c r="CG156" i="17"/>
  <c r="CH156" i="17"/>
  <c r="CI156" i="17"/>
  <c r="CJ156" i="17"/>
  <c r="CK156" i="17"/>
  <c r="CL156" i="17"/>
  <c r="CM156" i="17"/>
  <c r="CN156" i="17"/>
  <c r="CO156" i="17"/>
  <c r="CP156" i="17"/>
  <c r="CQ156" i="17"/>
  <c r="CR156" i="17"/>
  <c r="CS156" i="17"/>
  <c r="CT156" i="17"/>
  <c r="CU156" i="17"/>
  <c r="CV156" i="17"/>
  <c r="CW156" i="17"/>
  <c r="CX156" i="17"/>
  <c r="CY156" i="17"/>
  <c r="CZ156" i="17"/>
  <c r="DA156" i="17"/>
  <c r="DB156" i="17"/>
  <c r="DC156" i="17"/>
  <c r="DD156" i="17"/>
  <c r="DE156" i="17"/>
  <c r="DF156" i="17"/>
  <c r="DG156" i="17"/>
  <c r="DH156" i="17"/>
  <c r="DI156" i="17"/>
  <c r="DJ156" i="17"/>
  <c r="DK156" i="17"/>
  <c r="DL156" i="17"/>
  <c r="DM156" i="17"/>
  <c r="DN156" i="17"/>
  <c r="DO156" i="17"/>
  <c r="DP156" i="17"/>
  <c r="DQ156" i="17"/>
  <c r="DR156" i="17"/>
  <c r="DS156" i="17"/>
  <c r="DT156" i="17"/>
  <c r="DU156" i="17"/>
  <c r="DV156" i="17"/>
  <c r="DW156" i="17"/>
  <c r="DX156" i="17"/>
  <c r="DY156" i="17"/>
  <c r="DZ156" i="17"/>
  <c r="EA156" i="17"/>
  <c r="EB156" i="17"/>
  <c r="EC156" i="17"/>
  <c r="ED156" i="17"/>
  <c r="EE156" i="17"/>
  <c r="EF156" i="17"/>
  <c r="EG156" i="17"/>
  <c r="EH156" i="17"/>
  <c r="EI156" i="17"/>
  <c r="EJ156" i="17"/>
  <c r="EK156" i="17"/>
  <c r="EL156" i="17"/>
  <c r="EM156" i="17"/>
  <c r="EN156" i="17"/>
  <c r="EO156" i="17"/>
  <c r="EP156" i="17"/>
  <c r="EQ156" i="17"/>
  <c r="ER156" i="17"/>
  <c r="ES156" i="17"/>
  <c r="ET156" i="17"/>
  <c r="EU156" i="17"/>
  <c r="EV156" i="17"/>
  <c r="EW156" i="17"/>
  <c r="EX156" i="17"/>
  <c r="EY156" i="17"/>
  <c r="EZ156" i="17"/>
  <c r="FA156" i="17"/>
  <c r="FB156" i="17"/>
  <c r="FC156" i="17"/>
  <c r="FD156" i="17"/>
  <c r="FE156" i="17"/>
  <c r="FF156" i="17"/>
  <c r="FG156" i="17"/>
  <c r="FH156" i="17"/>
  <c r="FI156" i="17"/>
  <c r="FJ156" i="17"/>
  <c r="FK156" i="17"/>
  <c r="FL156" i="17"/>
  <c r="FM156" i="17"/>
  <c r="FN156" i="17"/>
  <c r="FO156" i="17"/>
  <c r="FP156" i="17"/>
  <c r="FQ156" i="17"/>
  <c r="FR156" i="17"/>
  <c r="FS156" i="17"/>
  <c r="FT156" i="17"/>
  <c r="FU156" i="17"/>
  <c r="FV156" i="17"/>
  <c r="FW156" i="17"/>
  <c r="FX156" i="17"/>
  <c r="FY156" i="17"/>
  <c r="FZ156" i="17"/>
  <c r="GA156" i="17"/>
  <c r="GB156" i="17"/>
  <c r="GC156" i="17"/>
  <c r="GD156" i="17"/>
  <c r="GE156" i="17"/>
  <c r="GF156" i="17"/>
  <c r="GG156" i="17"/>
  <c r="GH156" i="17"/>
  <c r="GI156" i="17"/>
  <c r="GJ156" i="17"/>
  <c r="GK156" i="17"/>
  <c r="GL156" i="17"/>
  <c r="GM156" i="17"/>
  <c r="GN156" i="17"/>
  <c r="GO156" i="17"/>
  <c r="GP156" i="17"/>
  <c r="GQ156" i="17"/>
  <c r="GR156" i="17"/>
  <c r="GS156" i="17"/>
  <c r="GT156" i="17"/>
  <c r="GU156" i="17"/>
  <c r="GV156" i="17"/>
  <c r="GW156" i="17"/>
  <c r="GX156" i="17"/>
  <c r="GY156" i="17"/>
  <c r="GZ156" i="17"/>
  <c r="HA156" i="17"/>
  <c r="HB156" i="17"/>
  <c r="HC156" i="17"/>
  <c r="HD156" i="17"/>
  <c r="HE156" i="17"/>
  <c r="HF156" i="17"/>
  <c r="HG156" i="17"/>
  <c r="HH156" i="17"/>
  <c r="HI156" i="17"/>
  <c r="HJ156" i="17"/>
  <c r="HK156" i="17"/>
  <c r="HL156" i="17"/>
  <c r="HM156" i="17"/>
  <c r="HN156" i="17"/>
  <c r="HO156" i="17"/>
  <c r="HP156" i="17"/>
  <c r="HQ156" i="17"/>
  <c r="HR156" i="17"/>
  <c r="HS156" i="17"/>
  <c r="HT156" i="17"/>
  <c r="HU156" i="17"/>
  <c r="HV156" i="17"/>
  <c r="HW156" i="17"/>
  <c r="HX156" i="17"/>
  <c r="HY156" i="17"/>
  <c r="HZ156" i="17"/>
  <c r="IA156" i="17"/>
  <c r="IB156" i="17"/>
  <c r="IC156" i="17"/>
  <c r="ID156" i="17"/>
  <c r="IE156" i="17"/>
  <c r="IF156" i="17"/>
  <c r="IG156" i="17"/>
  <c r="IH156" i="17"/>
  <c r="II156" i="17"/>
  <c r="IJ156" i="17"/>
  <c r="IK156" i="17"/>
  <c r="IL156" i="17"/>
  <c r="IM156" i="17"/>
  <c r="IN156" i="17"/>
  <c r="IO156" i="17"/>
  <c r="IP156" i="17"/>
  <c r="IQ156" i="17"/>
  <c r="IR156" i="17"/>
  <c r="IS156" i="17"/>
  <c r="IT156" i="17"/>
  <c r="IU156" i="17"/>
  <c r="IV156" i="17"/>
  <c r="A155" i="17"/>
  <c r="B155" i="17"/>
  <c r="C155" i="17"/>
  <c r="D155" i="17"/>
  <c r="E155" i="17"/>
  <c r="F155" i="17"/>
  <c r="G155" i="17"/>
  <c r="H155" i="17"/>
  <c r="I155" i="17"/>
  <c r="J155" i="17"/>
  <c r="K155" i="17"/>
  <c r="L155" i="17"/>
  <c r="M155" i="17"/>
  <c r="N155" i="17"/>
  <c r="O155" i="17"/>
  <c r="P155" i="17"/>
  <c r="Q155" i="17"/>
  <c r="R155" i="17"/>
  <c r="S155" i="17"/>
  <c r="T155" i="17"/>
  <c r="U155" i="17"/>
  <c r="V155" i="17"/>
  <c r="W155" i="17"/>
  <c r="X155" i="17"/>
  <c r="Y155" i="17"/>
  <c r="Z155" i="17"/>
  <c r="AA155" i="17"/>
  <c r="AB155" i="17"/>
  <c r="AC155" i="17"/>
  <c r="AD155" i="17"/>
  <c r="AE155" i="17"/>
  <c r="AF155" i="17"/>
  <c r="AG155" i="17"/>
  <c r="AH155" i="17"/>
  <c r="AI155" i="17"/>
  <c r="AJ155" i="17"/>
  <c r="AK155" i="17"/>
  <c r="AL155" i="17"/>
  <c r="AM155" i="17"/>
  <c r="AN155" i="17"/>
  <c r="AO155" i="17"/>
  <c r="AP155" i="17"/>
  <c r="AQ155" i="17"/>
  <c r="AR155" i="17"/>
  <c r="AS155" i="17"/>
  <c r="AT155" i="17"/>
  <c r="AU155" i="17"/>
  <c r="AV155" i="17"/>
  <c r="AW155" i="17"/>
  <c r="AX155" i="17"/>
  <c r="AY155" i="17"/>
  <c r="AZ155" i="17"/>
  <c r="BA155" i="17"/>
  <c r="BB155" i="17"/>
  <c r="BC155" i="17"/>
  <c r="BD155" i="17"/>
  <c r="BE155" i="17"/>
  <c r="BF155" i="17"/>
  <c r="BG155" i="17"/>
  <c r="BH155" i="17"/>
  <c r="BI155" i="17"/>
  <c r="BJ155" i="17"/>
  <c r="BK155" i="17"/>
  <c r="BL155" i="17"/>
  <c r="BM155" i="17"/>
  <c r="BN155" i="17"/>
  <c r="BO155" i="17"/>
  <c r="BP155" i="17"/>
  <c r="BQ155" i="17"/>
  <c r="BR155" i="17"/>
  <c r="BS155" i="17"/>
  <c r="BT155" i="17"/>
  <c r="BU155" i="17"/>
  <c r="BV155" i="17"/>
  <c r="BW155" i="17"/>
  <c r="BX155" i="17"/>
  <c r="BY155" i="17"/>
  <c r="BZ155" i="17"/>
  <c r="CA155" i="17"/>
  <c r="CB155" i="17"/>
  <c r="CC155" i="17"/>
  <c r="CD155" i="17"/>
  <c r="CE155" i="17"/>
  <c r="CF155" i="17"/>
  <c r="CG155" i="17"/>
  <c r="CH155" i="17"/>
  <c r="CI155" i="17"/>
  <c r="CJ155" i="17"/>
  <c r="CK155" i="17"/>
  <c r="CL155" i="17"/>
  <c r="CM155" i="17"/>
  <c r="CN155" i="17"/>
  <c r="CO155" i="17"/>
  <c r="CP155" i="17"/>
  <c r="CQ155" i="17"/>
  <c r="CR155" i="17"/>
  <c r="CS155" i="17"/>
  <c r="CT155" i="17"/>
  <c r="CU155" i="17"/>
  <c r="CV155" i="17"/>
  <c r="CW155" i="17"/>
  <c r="CX155" i="17"/>
  <c r="CY155" i="17"/>
  <c r="CZ155" i="17"/>
  <c r="DA155" i="17"/>
  <c r="DB155" i="17"/>
  <c r="DC155" i="17"/>
  <c r="DD155" i="17"/>
  <c r="DE155" i="17"/>
  <c r="DF155" i="17"/>
  <c r="DG155" i="17"/>
  <c r="DH155" i="17"/>
  <c r="DI155" i="17"/>
  <c r="DJ155" i="17"/>
  <c r="DK155" i="17"/>
  <c r="DL155" i="17"/>
  <c r="DM155" i="17"/>
  <c r="DN155" i="17"/>
  <c r="DO155" i="17"/>
  <c r="DP155" i="17"/>
  <c r="DQ155" i="17"/>
  <c r="DR155" i="17"/>
  <c r="DS155" i="17"/>
  <c r="DT155" i="17"/>
  <c r="DU155" i="17"/>
  <c r="DV155" i="17"/>
  <c r="DW155" i="17"/>
  <c r="DX155" i="17"/>
  <c r="DY155" i="17"/>
  <c r="DZ155" i="17"/>
  <c r="EA155" i="17"/>
  <c r="EB155" i="17"/>
  <c r="EC155" i="17"/>
  <c r="ED155" i="17"/>
  <c r="EE155" i="17"/>
  <c r="EF155" i="17"/>
  <c r="EG155" i="17"/>
  <c r="EH155" i="17"/>
  <c r="EI155" i="17"/>
  <c r="EJ155" i="17"/>
  <c r="EK155" i="17"/>
  <c r="EL155" i="17"/>
  <c r="EM155" i="17"/>
  <c r="EN155" i="17"/>
  <c r="EO155" i="17"/>
  <c r="EP155" i="17"/>
  <c r="EQ155" i="17"/>
  <c r="ER155" i="17"/>
  <c r="ES155" i="17"/>
  <c r="ET155" i="17"/>
  <c r="EU155" i="17"/>
  <c r="EV155" i="17"/>
  <c r="EW155" i="17"/>
  <c r="EX155" i="17"/>
  <c r="EY155" i="17"/>
  <c r="EZ155" i="17"/>
  <c r="FA155" i="17"/>
  <c r="FB155" i="17"/>
  <c r="FC155" i="17"/>
  <c r="FD155" i="17"/>
  <c r="FE155" i="17"/>
  <c r="FF155" i="17"/>
  <c r="FG155" i="17"/>
  <c r="FH155" i="17"/>
  <c r="FI155" i="17"/>
  <c r="FJ155" i="17"/>
  <c r="FK155" i="17"/>
  <c r="FL155" i="17"/>
  <c r="FM155" i="17"/>
  <c r="FN155" i="17"/>
  <c r="FO155" i="17"/>
  <c r="FP155" i="17"/>
  <c r="FQ155" i="17"/>
  <c r="FR155" i="17"/>
  <c r="FS155" i="17"/>
  <c r="FT155" i="17"/>
  <c r="FU155" i="17"/>
  <c r="FV155" i="17"/>
  <c r="FW155" i="17"/>
  <c r="FX155" i="17"/>
  <c r="FY155" i="17"/>
  <c r="FZ155" i="17"/>
  <c r="GA155" i="17"/>
  <c r="GB155" i="17"/>
  <c r="GC155" i="17"/>
  <c r="GD155" i="17"/>
  <c r="GE155" i="17"/>
  <c r="GF155" i="17"/>
  <c r="GG155" i="17"/>
  <c r="GH155" i="17"/>
  <c r="GI155" i="17"/>
  <c r="GJ155" i="17"/>
  <c r="GK155" i="17"/>
  <c r="GL155" i="17"/>
  <c r="GM155" i="17"/>
  <c r="GN155" i="17"/>
  <c r="GO155" i="17"/>
  <c r="GP155" i="17"/>
  <c r="GQ155" i="17"/>
  <c r="GR155" i="17"/>
  <c r="GS155" i="17"/>
  <c r="GT155" i="17"/>
  <c r="GU155" i="17"/>
  <c r="GV155" i="17"/>
  <c r="GW155" i="17"/>
  <c r="GX155" i="17"/>
  <c r="GY155" i="17"/>
  <c r="GZ155" i="17"/>
  <c r="HA155" i="17"/>
  <c r="HB155" i="17"/>
  <c r="HC155" i="17"/>
  <c r="HD155" i="17"/>
  <c r="HE155" i="17"/>
  <c r="HF155" i="17"/>
  <c r="HG155" i="17"/>
  <c r="HH155" i="17"/>
  <c r="HI155" i="17"/>
  <c r="HJ155" i="17"/>
  <c r="HK155" i="17"/>
  <c r="HL155" i="17"/>
  <c r="HM155" i="17"/>
  <c r="HN155" i="17"/>
  <c r="HO155" i="17"/>
  <c r="HP155" i="17"/>
  <c r="HQ155" i="17"/>
  <c r="HR155" i="17"/>
  <c r="HS155" i="17"/>
  <c r="HT155" i="17"/>
  <c r="HU155" i="17"/>
  <c r="HV155" i="17"/>
  <c r="HW155" i="17"/>
  <c r="HX155" i="17"/>
  <c r="HY155" i="17"/>
  <c r="HZ155" i="17"/>
  <c r="IA155" i="17"/>
  <c r="IB155" i="17"/>
  <c r="IC155" i="17"/>
  <c r="ID155" i="17"/>
  <c r="IE155" i="17"/>
  <c r="IF155" i="17"/>
  <c r="IG155" i="17"/>
  <c r="IH155" i="17"/>
  <c r="II155" i="17"/>
  <c r="IJ155" i="17"/>
  <c r="IK155" i="17"/>
  <c r="IL155" i="17"/>
  <c r="IM155" i="17"/>
  <c r="IN155" i="17"/>
  <c r="IO155" i="17"/>
  <c r="IP155" i="17"/>
  <c r="IQ155" i="17"/>
  <c r="IR155" i="17"/>
  <c r="IS155" i="17"/>
  <c r="IT155" i="17"/>
  <c r="IU155" i="17"/>
  <c r="IV155" i="17"/>
  <c r="A154" i="17"/>
  <c r="B154" i="17"/>
  <c r="C154" i="17"/>
  <c r="D154" i="17"/>
  <c r="E154" i="17"/>
  <c r="F154" i="17"/>
  <c r="G154" i="17"/>
  <c r="H154" i="17"/>
  <c r="I154" i="17"/>
  <c r="J154" i="17"/>
  <c r="K154" i="17"/>
  <c r="L154" i="17"/>
  <c r="M154" i="17"/>
  <c r="N154" i="17"/>
  <c r="O154" i="17"/>
  <c r="P154" i="17"/>
  <c r="Q154" i="17"/>
  <c r="R154" i="17"/>
  <c r="S154" i="17"/>
  <c r="T154" i="17"/>
  <c r="U154" i="17"/>
  <c r="V154" i="17"/>
  <c r="W154" i="17"/>
  <c r="X154" i="17"/>
  <c r="Y154" i="17"/>
  <c r="Z154" i="17"/>
  <c r="AA154" i="17"/>
  <c r="AB154" i="17"/>
  <c r="AC154" i="17"/>
  <c r="AD154" i="17"/>
  <c r="AE154" i="17"/>
  <c r="AF154" i="17"/>
  <c r="AG154" i="17"/>
  <c r="AH154" i="17"/>
  <c r="AI154" i="17"/>
  <c r="AJ154" i="17"/>
  <c r="AK154" i="17"/>
  <c r="AL154" i="17"/>
  <c r="AM154" i="17"/>
  <c r="AN154" i="17"/>
  <c r="AO154" i="17"/>
  <c r="AP154" i="17"/>
  <c r="AQ154" i="17"/>
  <c r="AR154" i="17"/>
  <c r="AS154" i="17"/>
  <c r="AT154" i="17"/>
  <c r="AU154" i="17"/>
  <c r="AV154" i="17"/>
  <c r="AW154" i="17"/>
  <c r="AX154" i="17"/>
  <c r="AY154" i="17"/>
  <c r="AZ154" i="17"/>
  <c r="BA154" i="17"/>
  <c r="BB154" i="17"/>
  <c r="BC154" i="17"/>
  <c r="BD154" i="17"/>
  <c r="BE154" i="17"/>
  <c r="BF154" i="17"/>
  <c r="BG154" i="17"/>
  <c r="BH154" i="17"/>
  <c r="BI154" i="17"/>
  <c r="BJ154" i="17"/>
  <c r="BK154" i="17"/>
  <c r="BL154" i="17"/>
  <c r="BM154" i="17"/>
  <c r="BN154" i="17"/>
  <c r="BO154" i="17"/>
  <c r="BP154" i="17"/>
  <c r="BQ154" i="17"/>
  <c r="BR154" i="17"/>
  <c r="BS154" i="17"/>
  <c r="BT154" i="17"/>
  <c r="BU154" i="17"/>
  <c r="BV154" i="17"/>
  <c r="BW154" i="17"/>
  <c r="BX154" i="17"/>
  <c r="BY154" i="17"/>
  <c r="BZ154" i="17"/>
  <c r="CA154" i="17"/>
  <c r="CB154" i="17"/>
  <c r="CC154" i="17"/>
  <c r="CD154" i="17"/>
  <c r="CE154" i="17"/>
  <c r="CF154" i="17"/>
  <c r="CG154" i="17"/>
  <c r="CH154" i="17"/>
  <c r="CI154" i="17"/>
  <c r="CJ154" i="17"/>
  <c r="CK154" i="17"/>
  <c r="CL154" i="17"/>
  <c r="CM154" i="17"/>
  <c r="CN154" i="17"/>
  <c r="CO154" i="17"/>
  <c r="CP154" i="17"/>
  <c r="CQ154" i="17"/>
  <c r="CR154" i="17"/>
  <c r="CS154" i="17"/>
  <c r="CT154" i="17"/>
  <c r="CU154" i="17"/>
  <c r="CV154" i="17"/>
  <c r="CW154" i="17"/>
  <c r="CX154" i="17"/>
  <c r="CY154" i="17"/>
  <c r="CZ154" i="17"/>
  <c r="DA154" i="17"/>
  <c r="DB154" i="17"/>
  <c r="DC154" i="17"/>
  <c r="DD154" i="17"/>
  <c r="DE154" i="17"/>
  <c r="DF154" i="17"/>
  <c r="DG154" i="17"/>
  <c r="DH154" i="17"/>
  <c r="DI154" i="17"/>
  <c r="DJ154" i="17"/>
  <c r="DK154" i="17"/>
  <c r="DL154" i="17"/>
  <c r="DM154" i="17"/>
  <c r="DN154" i="17"/>
  <c r="DO154" i="17"/>
  <c r="DP154" i="17"/>
  <c r="DQ154" i="17"/>
  <c r="DR154" i="17"/>
  <c r="DS154" i="17"/>
  <c r="DT154" i="17"/>
  <c r="DU154" i="17"/>
  <c r="DV154" i="17"/>
  <c r="DW154" i="17"/>
  <c r="DX154" i="17"/>
  <c r="DY154" i="17"/>
  <c r="DZ154" i="17"/>
  <c r="EA154" i="17"/>
  <c r="EB154" i="17"/>
  <c r="EC154" i="17"/>
  <c r="ED154" i="17"/>
  <c r="EE154" i="17"/>
  <c r="EF154" i="17"/>
  <c r="EG154" i="17"/>
  <c r="EH154" i="17"/>
  <c r="EI154" i="17"/>
  <c r="EJ154" i="17"/>
  <c r="EK154" i="17"/>
  <c r="EL154" i="17"/>
  <c r="EM154" i="17"/>
  <c r="EN154" i="17"/>
  <c r="EO154" i="17"/>
  <c r="EP154" i="17"/>
  <c r="EQ154" i="17"/>
  <c r="ER154" i="17"/>
  <c r="ES154" i="17"/>
  <c r="ET154" i="17"/>
  <c r="EU154" i="17"/>
  <c r="EV154" i="17"/>
  <c r="EW154" i="17"/>
  <c r="EX154" i="17"/>
  <c r="EY154" i="17"/>
  <c r="EZ154" i="17"/>
  <c r="FA154" i="17"/>
  <c r="FB154" i="17"/>
  <c r="FC154" i="17"/>
  <c r="FD154" i="17"/>
  <c r="FE154" i="17"/>
  <c r="FF154" i="17"/>
  <c r="FG154" i="17"/>
  <c r="FH154" i="17"/>
  <c r="FI154" i="17"/>
  <c r="FJ154" i="17"/>
  <c r="FK154" i="17"/>
  <c r="FL154" i="17"/>
  <c r="FM154" i="17"/>
  <c r="FN154" i="17"/>
  <c r="FO154" i="17"/>
  <c r="FP154" i="17"/>
  <c r="FQ154" i="17"/>
  <c r="FR154" i="17"/>
  <c r="FS154" i="17"/>
  <c r="FT154" i="17"/>
  <c r="FU154" i="17"/>
  <c r="FV154" i="17"/>
  <c r="FW154" i="17"/>
  <c r="FX154" i="17"/>
  <c r="FY154" i="17"/>
  <c r="FZ154" i="17"/>
  <c r="GA154" i="17"/>
  <c r="GB154" i="17"/>
  <c r="GC154" i="17"/>
  <c r="GD154" i="17"/>
  <c r="GE154" i="17"/>
  <c r="GF154" i="17"/>
  <c r="GG154" i="17"/>
  <c r="GH154" i="17"/>
  <c r="GI154" i="17"/>
  <c r="GJ154" i="17"/>
  <c r="GK154" i="17"/>
  <c r="GL154" i="17"/>
  <c r="GM154" i="17"/>
  <c r="GN154" i="17"/>
  <c r="GO154" i="17"/>
  <c r="GP154" i="17"/>
  <c r="GQ154" i="17"/>
  <c r="GR154" i="17"/>
  <c r="GS154" i="17"/>
  <c r="GT154" i="17"/>
  <c r="GU154" i="17"/>
  <c r="GV154" i="17"/>
  <c r="GW154" i="17"/>
  <c r="GX154" i="17"/>
  <c r="GY154" i="17"/>
  <c r="GZ154" i="17"/>
  <c r="HA154" i="17"/>
  <c r="HB154" i="17"/>
  <c r="HC154" i="17"/>
  <c r="HD154" i="17"/>
  <c r="HE154" i="17"/>
  <c r="HF154" i="17"/>
  <c r="HG154" i="17"/>
  <c r="HH154" i="17"/>
  <c r="HI154" i="17"/>
  <c r="HJ154" i="17"/>
  <c r="HK154" i="17"/>
  <c r="HL154" i="17"/>
  <c r="HM154" i="17"/>
  <c r="HN154" i="17"/>
  <c r="HO154" i="17"/>
  <c r="HP154" i="17"/>
  <c r="HQ154" i="17"/>
  <c r="HR154" i="17"/>
  <c r="HS154" i="17"/>
  <c r="HT154" i="17"/>
  <c r="HU154" i="17"/>
  <c r="HV154" i="17"/>
  <c r="HW154" i="17"/>
  <c r="HX154" i="17"/>
  <c r="HY154" i="17"/>
  <c r="HZ154" i="17"/>
  <c r="IA154" i="17"/>
  <c r="IB154" i="17"/>
  <c r="IC154" i="17"/>
  <c r="ID154" i="17"/>
  <c r="IE154" i="17"/>
  <c r="IF154" i="17"/>
  <c r="IG154" i="17"/>
  <c r="IH154" i="17"/>
  <c r="II154" i="17"/>
  <c r="IJ154" i="17"/>
  <c r="IK154" i="17"/>
  <c r="IL154" i="17"/>
  <c r="IM154" i="17"/>
  <c r="IN154" i="17"/>
  <c r="IO154" i="17"/>
  <c r="IP154" i="17"/>
  <c r="IQ154" i="17"/>
  <c r="IR154" i="17"/>
  <c r="IS154" i="17"/>
  <c r="IT154" i="17"/>
  <c r="IU154" i="17"/>
  <c r="IV154" i="17"/>
  <c r="A153" i="17"/>
  <c r="B153" i="17"/>
  <c r="C153" i="17"/>
  <c r="D153" i="17"/>
  <c r="E153" i="17"/>
  <c r="F153" i="17"/>
  <c r="G153" i="17"/>
  <c r="H153" i="17"/>
  <c r="I153" i="17"/>
  <c r="J153" i="17"/>
  <c r="K153" i="17"/>
  <c r="L153" i="17"/>
  <c r="M153" i="17"/>
  <c r="N153" i="17"/>
  <c r="O153" i="17"/>
  <c r="P153" i="17"/>
  <c r="Q153" i="17"/>
  <c r="R153" i="17"/>
  <c r="S153" i="17"/>
  <c r="T153" i="17"/>
  <c r="U153" i="17"/>
  <c r="V153" i="17"/>
  <c r="W153" i="17"/>
  <c r="X153" i="17"/>
  <c r="Y153" i="17"/>
  <c r="Z153" i="17"/>
  <c r="AA153" i="17"/>
  <c r="AB153" i="17"/>
  <c r="AC153" i="17"/>
  <c r="AD153" i="17"/>
  <c r="AE153" i="17"/>
  <c r="AF153" i="17"/>
  <c r="AG153" i="17"/>
  <c r="AH153" i="17"/>
  <c r="AI153" i="17"/>
  <c r="AJ153" i="17"/>
  <c r="AK153" i="17"/>
  <c r="AL153" i="17"/>
  <c r="AM153" i="17"/>
  <c r="AN153" i="17"/>
  <c r="AO153" i="17"/>
  <c r="AP153" i="17"/>
  <c r="AQ153" i="17"/>
  <c r="AR153" i="17"/>
  <c r="AS153" i="17"/>
  <c r="AT153" i="17"/>
  <c r="AU153" i="17"/>
  <c r="AV153" i="17"/>
  <c r="AW153" i="17"/>
  <c r="AX153" i="17"/>
  <c r="AY153" i="17"/>
  <c r="AZ153" i="17"/>
  <c r="BA153" i="17"/>
  <c r="BB153" i="17"/>
  <c r="BC153" i="17"/>
  <c r="BD153" i="17"/>
  <c r="BE153" i="17"/>
  <c r="BF153" i="17"/>
  <c r="BG153" i="17"/>
  <c r="BH153" i="17"/>
  <c r="BI153" i="17"/>
  <c r="BJ153" i="17"/>
  <c r="BK153" i="17"/>
  <c r="BL153" i="17"/>
  <c r="BM153" i="17"/>
  <c r="BN153" i="17"/>
  <c r="BO153" i="17"/>
  <c r="BP153" i="17"/>
  <c r="BQ153" i="17"/>
  <c r="BR153" i="17"/>
  <c r="BS153" i="17"/>
  <c r="BT153" i="17"/>
  <c r="BU153" i="17"/>
  <c r="BV153" i="17"/>
  <c r="BW153" i="17"/>
  <c r="BX153" i="17"/>
  <c r="BY153" i="17"/>
  <c r="BZ153" i="17"/>
  <c r="CA153" i="17"/>
  <c r="CB153" i="17"/>
  <c r="CC153" i="17"/>
  <c r="CD153" i="17"/>
  <c r="CE153" i="17"/>
  <c r="CF153" i="17"/>
  <c r="CG153" i="17"/>
  <c r="CH153" i="17"/>
  <c r="CI153" i="17"/>
  <c r="CJ153" i="17"/>
  <c r="CK153" i="17"/>
  <c r="CL153" i="17"/>
  <c r="CM153" i="17"/>
  <c r="CN153" i="17"/>
  <c r="CO153" i="17"/>
  <c r="CP153" i="17"/>
  <c r="CQ153" i="17"/>
  <c r="CR153" i="17"/>
  <c r="CS153" i="17"/>
  <c r="CT153" i="17"/>
  <c r="CU153" i="17"/>
  <c r="CV153" i="17"/>
  <c r="CW153" i="17"/>
  <c r="CX153" i="17"/>
  <c r="CY153" i="17"/>
  <c r="CZ153" i="17"/>
  <c r="DA153" i="17"/>
  <c r="DB153" i="17"/>
  <c r="DC153" i="17"/>
  <c r="DD153" i="17"/>
  <c r="DE153" i="17"/>
  <c r="DF153" i="17"/>
  <c r="DG153" i="17"/>
  <c r="DH153" i="17"/>
  <c r="DI153" i="17"/>
  <c r="DJ153" i="17"/>
  <c r="DK153" i="17"/>
  <c r="DL153" i="17"/>
  <c r="DM153" i="17"/>
  <c r="DN153" i="17"/>
  <c r="DO153" i="17"/>
  <c r="DP153" i="17"/>
  <c r="DQ153" i="17"/>
  <c r="DR153" i="17"/>
  <c r="DS153" i="17"/>
  <c r="DT153" i="17"/>
  <c r="DU153" i="17"/>
  <c r="DV153" i="17"/>
  <c r="DW153" i="17"/>
  <c r="DX153" i="17"/>
  <c r="DY153" i="17"/>
  <c r="DZ153" i="17"/>
  <c r="EA153" i="17"/>
  <c r="EB153" i="17"/>
  <c r="EC153" i="17"/>
  <c r="ED153" i="17"/>
  <c r="EE153" i="17"/>
  <c r="EF153" i="17"/>
  <c r="EG153" i="17"/>
  <c r="EH153" i="17"/>
  <c r="EI153" i="17"/>
  <c r="EJ153" i="17"/>
  <c r="EK153" i="17"/>
  <c r="EL153" i="17"/>
  <c r="EM153" i="17"/>
  <c r="EN153" i="17"/>
  <c r="EO153" i="17"/>
  <c r="EP153" i="17"/>
  <c r="EQ153" i="17"/>
  <c r="ER153" i="17"/>
  <c r="ES153" i="17"/>
  <c r="ET153" i="17"/>
  <c r="EU153" i="17"/>
  <c r="EV153" i="17"/>
  <c r="EW153" i="17"/>
  <c r="EX153" i="17"/>
  <c r="EY153" i="17"/>
  <c r="EZ153" i="17"/>
  <c r="FA153" i="17"/>
  <c r="FB153" i="17"/>
  <c r="FC153" i="17"/>
  <c r="FD153" i="17"/>
  <c r="FE153" i="17"/>
  <c r="FF153" i="17"/>
  <c r="FG153" i="17"/>
  <c r="FH153" i="17"/>
  <c r="FI153" i="17"/>
  <c r="FJ153" i="17"/>
  <c r="FK153" i="17"/>
  <c r="FL153" i="17"/>
  <c r="FM153" i="17"/>
  <c r="FN153" i="17"/>
  <c r="FO153" i="17"/>
  <c r="FP153" i="17"/>
  <c r="FQ153" i="17"/>
  <c r="FR153" i="17"/>
  <c r="FS153" i="17"/>
  <c r="FT153" i="17"/>
  <c r="FU153" i="17"/>
  <c r="FV153" i="17"/>
  <c r="FW153" i="17"/>
  <c r="FX153" i="17"/>
  <c r="FY153" i="17"/>
  <c r="FZ153" i="17"/>
  <c r="GA153" i="17"/>
  <c r="GB153" i="17"/>
  <c r="GC153" i="17"/>
  <c r="GD153" i="17"/>
  <c r="GE153" i="17"/>
  <c r="GF153" i="17"/>
  <c r="GG153" i="17"/>
  <c r="GH153" i="17"/>
  <c r="GI153" i="17"/>
  <c r="GJ153" i="17"/>
  <c r="GK153" i="17"/>
  <c r="GL153" i="17"/>
  <c r="GM153" i="17"/>
  <c r="GN153" i="17"/>
  <c r="GO153" i="17"/>
  <c r="GP153" i="17"/>
  <c r="GQ153" i="17"/>
  <c r="GR153" i="17"/>
  <c r="GS153" i="17"/>
  <c r="GT153" i="17"/>
  <c r="GU153" i="17"/>
  <c r="GV153" i="17"/>
  <c r="GW153" i="17"/>
  <c r="GX153" i="17"/>
  <c r="GY153" i="17"/>
  <c r="GZ153" i="17"/>
  <c r="HA153" i="17"/>
  <c r="HB153" i="17"/>
  <c r="HC153" i="17"/>
  <c r="HD153" i="17"/>
  <c r="HE153" i="17"/>
  <c r="HF153" i="17"/>
  <c r="HG153" i="17"/>
  <c r="HH153" i="17"/>
  <c r="HI153" i="17"/>
  <c r="HJ153" i="17"/>
  <c r="HK153" i="17"/>
  <c r="HL153" i="17"/>
  <c r="HM153" i="17"/>
  <c r="HN153" i="17"/>
  <c r="HO153" i="17"/>
  <c r="HP153" i="17"/>
  <c r="HQ153" i="17"/>
  <c r="HR153" i="17"/>
  <c r="HS153" i="17"/>
  <c r="HT153" i="17"/>
  <c r="HU153" i="17"/>
  <c r="HV153" i="17"/>
  <c r="HW153" i="17"/>
  <c r="HX153" i="17"/>
  <c r="HY153" i="17"/>
  <c r="HZ153" i="17"/>
  <c r="IA153" i="17"/>
  <c r="IB153" i="17"/>
  <c r="IC153" i="17"/>
  <c r="ID153" i="17"/>
  <c r="IE153" i="17"/>
  <c r="IF153" i="17"/>
  <c r="IG153" i="17"/>
  <c r="IH153" i="17"/>
  <c r="II153" i="17"/>
  <c r="IJ153" i="17"/>
  <c r="IK153" i="17"/>
  <c r="IL153" i="17"/>
  <c r="IM153" i="17"/>
  <c r="IN153" i="17"/>
  <c r="IO153" i="17"/>
  <c r="IP153" i="17"/>
  <c r="IQ153" i="17"/>
  <c r="IR153" i="17"/>
  <c r="IS153" i="17"/>
  <c r="IT153" i="17"/>
  <c r="IU153" i="17"/>
  <c r="IV153" i="17"/>
  <c r="A152" i="17"/>
  <c r="B152" i="17"/>
  <c r="C152" i="17"/>
  <c r="D152" i="17"/>
  <c r="E152" i="17"/>
  <c r="F152" i="17"/>
  <c r="G152" i="17"/>
  <c r="H152" i="17"/>
  <c r="I152" i="17"/>
  <c r="J152" i="17"/>
  <c r="K152" i="17"/>
  <c r="L152" i="17"/>
  <c r="M152" i="17"/>
  <c r="N152" i="17"/>
  <c r="O152" i="17"/>
  <c r="P152" i="17"/>
  <c r="Q152" i="17"/>
  <c r="R152" i="17"/>
  <c r="S152" i="17"/>
  <c r="T152" i="17"/>
  <c r="U152" i="17"/>
  <c r="V152" i="17"/>
  <c r="W152" i="17"/>
  <c r="X152" i="17"/>
  <c r="Y152" i="17"/>
  <c r="Z152" i="17"/>
  <c r="AA152" i="17"/>
  <c r="AB152" i="17"/>
  <c r="AC152" i="17"/>
  <c r="AD152" i="17"/>
  <c r="AE152" i="17"/>
  <c r="AF152" i="17"/>
  <c r="AG152" i="17"/>
  <c r="AH152" i="17"/>
  <c r="AI152" i="17"/>
  <c r="AJ152" i="17"/>
  <c r="AK152" i="17"/>
  <c r="AL152" i="17"/>
  <c r="AM152" i="17"/>
  <c r="AN152" i="17"/>
  <c r="AO152" i="17"/>
  <c r="AP152" i="17"/>
  <c r="AQ152" i="17"/>
  <c r="AR152" i="17"/>
  <c r="AS152" i="17"/>
  <c r="AT152" i="17"/>
  <c r="AU152" i="17"/>
  <c r="AV152" i="17"/>
  <c r="AW152" i="17"/>
  <c r="AX152" i="17"/>
  <c r="AY152" i="17"/>
  <c r="AZ152" i="17"/>
  <c r="BA152" i="17"/>
  <c r="BB152" i="17"/>
  <c r="BC152" i="17"/>
  <c r="BD152" i="17"/>
  <c r="BE152" i="17"/>
  <c r="BF152" i="17"/>
  <c r="BG152" i="17"/>
  <c r="BH152" i="17"/>
  <c r="BI152" i="17"/>
  <c r="BJ152" i="17"/>
  <c r="BK152" i="17"/>
  <c r="BL152" i="17"/>
  <c r="BM152" i="17"/>
  <c r="BN152" i="17"/>
  <c r="BO152" i="17"/>
  <c r="BP152" i="17"/>
  <c r="BQ152" i="17"/>
  <c r="BR152" i="17"/>
  <c r="BS152" i="17"/>
  <c r="BT152" i="17"/>
  <c r="BU152" i="17"/>
  <c r="BV152" i="17"/>
  <c r="BW152" i="17"/>
  <c r="BX152" i="17"/>
  <c r="BY152" i="17"/>
  <c r="BZ152" i="17"/>
  <c r="CA152" i="17"/>
  <c r="CB152" i="17"/>
  <c r="CC152" i="17"/>
  <c r="CD152" i="17"/>
  <c r="CE152" i="17"/>
  <c r="CF152" i="17"/>
  <c r="CG152" i="17"/>
  <c r="CH152" i="17"/>
  <c r="CI152" i="17"/>
  <c r="CJ152" i="17"/>
  <c r="CK152" i="17"/>
  <c r="CL152" i="17"/>
  <c r="CM152" i="17"/>
  <c r="CN152" i="17"/>
  <c r="CO152" i="17"/>
  <c r="CP152" i="17"/>
  <c r="CQ152" i="17"/>
  <c r="CR152" i="17"/>
  <c r="CS152" i="17"/>
  <c r="CT152" i="17"/>
  <c r="CU152" i="17"/>
  <c r="CV152" i="17"/>
  <c r="CW152" i="17"/>
  <c r="CX152" i="17"/>
  <c r="CY152" i="17"/>
  <c r="CZ152" i="17"/>
  <c r="DA152" i="17"/>
  <c r="DB152" i="17"/>
  <c r="DC152" i="17"/>
  <c r="DD152" i="17"/>
  <c r="DE152" i="17"/>
  <c r="DF152" i="17"/>
  <c r="DG152" i="17"/>
  <c r="DH152" i="17"/>
  <c r="DI152" i="17"/>
  <c r="DJ152" i="17"/>
  <c r="DK152" i="17"/>
  <c r="DL152" i="17"/>
  <c r="DM152" i="17"/>
  <c r="DN152" i="17"/>
  <c r="DO152" i="17"/>
  <c r="DP152" i="17"/>
  <c r="DQ152" i="17"/>
  <c r="DR152" i="17"/>
  <c r="DS152" i="17"/>
  <c r="DT152" i="17"/>
  <c r="DU152" i="17"/>
  <c r="DV152" i="17"/>
  <c r="DW152" i="17"/>
  <c r="DX152" i="17"/>
  <c r="DY152" i="17"/>
  <c r="DZ152" i="17"/>
  <c r="EA152" i="17"/>
  <c r="EB152" i="17"/>
  <c r="EC152" i="17"/>
  <c r="ED152" i="17"/>
  <c r="EE152" i="17"/>
  <c r="EF152" i="17"/>
  <c r="EG152" i="17"/>
  <c r="EH152" i="17"/>
  <c r="EI152" i="17"/>
  <c r="EJ152" i="17"/>
  <c r="EK152" i="17"/>
  <c r="EL152" i="17"/>
  <c r="EM152" i="17"/>
  <c r="EN152" i="17"/>
  <c r="EO152" i="17"/>
  <c r="EP152" i="17"/>
  <c r="EQ152" i="17"/>
  <c r="ER152" i="17"/>
  <c r="ES152" i="17"/>
  <c r="ET152" i="17"/>
  <c r="EU152" i="17"/>
  <c r="EV152" i="17"/>
  <c r="EW152" i="17"/>
  <c r="EX152" i="17"/>
  <c r="EY152" i="17"/>
  <c r="EZ152" i="17"/>
  <c r="FA152" i="17"/>
  <c r="FB152" i="17"/>
  <c r="FC152" i="17"/>
  <c r="FD152" i="17"/>
  <c r="FE152" i="17"/>
  <c r="FF152" i="17"/>
  <c r="FG152" i="17"/>
  <c r="FH152" i="17"/>
  <c r="FI152" i="17"/>
  <c r="FJ152" i="17"/>
  <c r="FK152" i="17"/>
  <c r="FL152" i="17"/>
  <c r="FM152" i="17"/>
  <c r="FN152" i="17"/>
  <c r="FO152" i="17"/>
  <c r="FP152" i="17"/>
  <c r="FQ152" i="17"/>
  <c r="FR152" i="17"/>
  <c r="FS152" i="17"/>
  <c r="FT152" i="17"/>
  <c r="FU152" i="17"/>
  <c r="FV152" i="17"/>
  <c r="FW152" i="17"/>
  <c r="FX152" i="17"/>
  <c r="FY152" i="17"/>
  <c r="FZ152" i="17"/>
  <c r="GA152" i="17"/>
  <c r="GB152" i="17"/>
  <c r="GC152" i="17"/>
  <c r="GD152" i="17"/>
  <c r="GE152" i="17"/>
  <c r="GF152" i="17"/>
  <c r="GG152" i="17"/>
  <c r="GH152" i="17"/>
  <c r="GI152" i="17"/>
  <c r="GJ152" i="17"/>
  <c r="GK152" i="17"/>
  <c r="GL152" i="17"/>
  <c r="GM152" i="17"/>
  <c r="GN152" i="17"/>
  <c r="GO152" i="17"/>
  <c r="GP152" i="17"/>
  <c r="GQ152" i="17"/>
  <c r="GR152" i="17"/>
  <c r="GS152" i="17"/>
  <c r="GT152" i="17"/>
  <c r="GU152" i="17"/>
  <c r="GV152" i="17"/>
  <c r="GW152" i="17"/>
  <c r="GX152" i="17"/>
  <c r="GY152" i="17"/>
  <c r="GZ152" i="17"/>
  <c r="HA152" i="17"/>
  <c r="HB152" i="17"/>
  <c r="HC152" i="17"/>
  <c r="HD152" i="17"/>
  <c r="HE152" i="17"/>
  <c r="HF152" i="17"/>
  <c r="HG152" i="17"/>
  <c r="HH152" i="17"/>
  <c r="HI152" i="17"/>
  <c r="HJ152" i="17"/>
  <c r="HK152" i="17"/>
  <c r="HL152" i="17"/>
  <c r="HM152" i="17"/>
  <c r="HN152" i="17"/>
  <c r="HO152" i="17"/>
  <c r="HP152" i="17"/>
  <c r="HQ152" i="17"/>
  <c r="HR152" i="17"/>
  <c r="HS152" i="17"/>
  <c r="HT152" i="17"/>
  <c r="HU152" i="17"/>
  <c r="HV152" i="17"/>
  <c r="HW152" i="17"/>
  <c r="HX152" i="17"/>
  <c r="HY152" i="17"/>
  <c r="HZ152" i="17"/>
  <c r="IA152" i="17"/>
  <c r="IB152" i="17"/>
  <c r="IC152" i="17"/>
  <c r="ID152" i="17"/>
  <c r="IE152" i="17"/>
  <c r="IF152" i="17"/>
  <c r="IG152" i="17"/>
  <c r="IH152" i="17"/>
  <c r="II152" i="17"/>
  <c r="IJ152" i="17"/>
  <c r="IK152" i="17"/>
  <c r="IL152" i="17"/>
  <c r="IM152" i="17"/>
  <c r="IN152" i="17"/>
  <c r="IO152" i="17"/>
  <c r="IP152" i="17"/>
  <c r="IQ152" i="17"/>
  <c r="IR152" i="17"/>
  <c r="IS152" i="17"/>
  <c r="IT152" i="17"/>
  <c r="IU152" i="17"/>
  <c r="IV152" i="17"/>
  <c r="A151" i="17"/>
  <c r="B151" i="17"/>
  <c r="C151" i="17"/>
  <c r="D151" i="17"/>
  <c r="E151" i="17"/>
  <c r="F151" i="17"/>
  <c r="G151" i="17"/>
  <c r="H151" i="17"/>
  <c r="I151" i="17"/>
  <c r="J151" i="17"/>
  <c r="K151" i="17"/>
  <c r="L151" i="17"/>
  <c r="M151" i="17"/>
  <c r="N151" i="17"/>
  <c r="O151" i="17"/>
  <c r="P151" i="17"/>
  <c r="Q151" i="17"/>
  <c r="R151" i="17"/>
  <c r="S151" i="17"/>
  <c r="T151" i="17"/>
  <c r="U151" i="17"/>
  <c r="V151" i="17"/>
  <c r="W151" i="17"/>
  <c r="X151" i="17"/>
  <c r="Y151" i="17"/>
  <c r="Z151" i="17"/>
  <c r="AA151" i="17"/>
  <c r="AB151" i="17"/>
  <c r="AC151" i="17"/>
  <c r="AD151" i="17"/>
  <c r="AE151" i="17"/>
  <c r="AF151" i="17"/>
  <c r="AG151" i="17"/>
  <c r="AH151" i="17"/>
  <c r="AI151" i="17"/>
  <c r="AJ151" i="17"/>
  <c r="AK151" i="17"/>
  <c r="AL151" i="17"/>
  <c r="AM151" i="17"/>
  <c r="AN151" i="17"/>
  <c r="AO151" i="17"/>
  <c r="AP151" i="17"/>
  <c r="AQ151" i="17"/>
  <c r="AR151" i="17"/>
  <c r="AS151" i="17"/>
  <c r="AT151" i="17"/>
  <c r="AU151" i="17"/>
  <c r="AV151" i="17"/>
  <c r="AW151" i="17"/>
  <c r="AX151" i="17"/>
  <c r="AY151" i="17"/>
  <c r="AZ151" i="17"/>
  <c r="BA151" i="17"/>
  <c r="BB151" i="17"/>
  <c r="BC151" i="17"/>
  <c r="BD151" i="17"/>
  <c r="BE151" i="17"/>
  <c r="BF151" i="17"/>
  <c r="BG151" i="17"/>
  <c r="BH151" i="17"/>
  <c r="BI151" i="17"/>
  <c r="BJ151" i="17"/>
  <c r="BK151" i="17"/>
  <c r="BL151" i="17"/>
  <c r="BM151" i="17"/>
  <c r="BN151" i="17"/>
  <c r="BO151" i="17"/>
  <c r="BP151" i="17"/>
  <c r="BQ151" i="17"/>
  <c r="BR151" i="17"/>
  <c r="BS151" i="17"/>
  <c r="BT151" i="17"/>
  <c r="BU151" i="17"/>
  <c r="BV151" i="17"/>
  <c r="BW151" i="17"/>
  <c r="BX151" i="17"/>
  <c r="BY151" i="17"/>
  <c r="BZ151" i="17"/>
  <c r="CA151" i="17"/>
  <c r="CB151" i="17"/>
  <c r="CC151" i="17"/>
  <c r="CD151" i="17"/>
  <c r="CE151" i="17"/>
  <c r="CF151" i="17"/>
  <c r="CG151" i="17"/>
  <c r="CH151" i="17"/>
  <c r="CI151" i="17"/>
  <c r="CJ151" i="17"/>
  <c r="CK151" i="17"/>
  <c r="CL151" i="17"/>
  <c r="CM151" i="17"/>
  <c r="CN151" i="17"/>
  <c r="CO151" i="17"/>
  <c r="CP151" i="17"/>
  <c r="CQ151" i="17"/>
  <c r="CR151" i="17"/>
  <c r="CS151" i="17"/>
  <c r="CT151" i="17"/>
  <c r="CU151" i="17"/>
  <c r="CV151" i="17"/>
  <c r="CW151" i="17"/>
  <c r="CX151" i="17"/>
  <c r="CY151" i="17"/>
  <c r="CZ151" i="17"/>
  <c r="DA151" i="17"/>
  <c r="DB151" i="17"/>
  <c r="DC151" i="17"/>
  <c r="DD151" i="17"/>
  <c r="DE151" i="17"/>
  <c r="DF151" i="17"/>
  <c r="DG151" i="17"/>
  <c r="DH151" i="17"/>
  <c r="DI151" i="17"/>
  <c r="DJ151" i="17"/>
  <c r="DK151" i="17"/>
  <c r="DL151" i="17"/>
  <c r="DM151" i="17"/>
  <c r="DN151" i="17"/>
  <c r="DO151" i="17"/>
  <c r="DP151" i="17"/>
  <c r="DQ151" i="17"/>
  <c r="DR151" i="17"/>
  <c r="DS151" i="17"/>
  <c r="DT151" i="17"/>
  <c r="DU151" i="17"/>
  <c r="DV151" i="17"/>
  <c r="DW151" i="17"/>
  <c r="DX151" i="17"/>
  <c r="DY151" i="17"/>
  <c r="DZ151" i="17"/>
  <c r="EA151" i="17"/>
  <c r="EB151" i="17"/>
  <c r="EC151" i="17"/>
  <c r="ED151" i="17"/>
  <c r="EE151" i="17"/>
  <c r="EF151" i="17"/>
  <c r="EG151" i="17"/>
  <c r="EH151" i="17"/>
  <c r="EI151" i="17"/>
  <c r="EJ151" i="17"/>
  <c r="EK151" i="17"/>
  <c r="EL151" i="17"/>
  <c r="EM151" i="17"/>
  <c r="EN151" i="17"/>
  <c r="EO151" i="17"/>
  <c r="EP151" i="17"/>
  <c r="EQ151" i="17"/>
  <c r="ER151" i="17"/>
  <c r="ES151" i="17"/>
  <c r="ET151" i="17"/>
  <c r="EU151" i="17"/>
  <c r="EV151" i="17"/>
  <c r="EW151" i="17"/>
  <c r="EX151" i="17"/>
  <c r="EY151" i="17"/>
  <c r="EZ151" i="17"/>
  <c r="FA151" i="17"/>
  <c r="FB151" i="17"/>
  <c r="FC151" i="17"/>
  <c r="FD151" i="17"/>
  <c r="FE151" i="17"/>
  <c r="FF151" i="17"/>
  <c r="FG151" i="17"/>
  <c r="FH151" i="17"/>
  <c r="FI151" i="17"/>
  <c r="FJ151" i="17"/>
  <c r="FK151" i="17"/>
  <c r="FL151" i="17"/>
  <c r="FM151" i="17"/>
  <c r="FN151" i="17"/>
  <c r="FO151" i="17"/>
  <c r="FP151" i="17"/>
  <c r="FQ151" i="17"/>
  <c r="FR151" i="17"/>
  <c r="FS151" i="17"/>
  <c r="FT151" i="17"/>
  <c r="FU151" i="17"/>
  <c r="FV151" i="17"/>
  <c r="FW151" i="17"/>
  <c r="FX151" i="17"/>
  <c r="FY151" i="17"/>
  <c r="FZ151" i="17"/>
  <c r="GA151" i="17"/>
  <c r="GB151" i="17"/>
  <c r="GC151" i="17"/>
  <c r="GD151" i="17"/>
  <c r="GE151" i="17"/>
  <c r="GF151" i="17"/>
  <c r="GG151" i="17"/>
  <c r="GH151" i="17"/>
  <c r="GI151" i="17"/>
  <c r="GJ151" i="17"/>
  <c r="GK151" i="17"/>
  <c r="GL151" i="17"/>
  <c r="GM151" i="17"/>
  <c r="GN151" i="17"/>
  <c r="GO151" i="17"/>
  <c r="GP151" i="17"/>
  <c r="GQ151" i="17"/>
  <c r="GR151" i="17"/>
  <c r="GS151" i="17"/>
  <c r="GT151" i="17"/>
  <c r="GU151" i="17"/>
  <c r="GV151" i="17"/>
  <c r="GW151" i="17"/>
  <c r="GX151" i="17"/>
  <c r="GY151" i="17"/>
  <c r="GZ151" i="17"/>
  <c r="HA151" i="17"/>
  <c r="HB151" i="17"/>
  <c r="HC151" i="17"/>
  <c r="HD151" i="17"/>
  <c r="HE151" i="17"/>
  <c r="HF151" i="17"/>
  <c r="HG151" i="17"/>
  <c r="HH151" i="17"/>
  <c r="HI151" i="17"/>
  <c r="HJ151" i="17"/>
  <c r="HK151" i="17"/>
  <c r="HL151" i="17"/>
  <c r="HM151" i="17"/>
  <c r="HN151" i="17"/>
  <c r="HO151" i="17"/>
  <c r="HP151" i="17"/>
  <c r="HQ151" i="17"/>
  <c r="HR151" i="17"/>
  <c r="HS151" i="17"/>
  <c r="HT151" i="17"/>
  <c r="HU151" i="17"/>
  <c r="HV151" i="17"/>
  <c r="HW151" i="17"/>
  <c r="HX151" i="17"/>
  <c r="HY151" i="17"/>
  <c r="HZ151" i="17"/>
  <c r="IA151" i="17"/>
  <c r="IB151" i="17"/>
  <c r="IC151" i="17"/>
  <c r="ID151" i="17"/>
  <c r="IE151" i="17"/>
  <c r="IF151" i="17"/>
  <c r="IG151" i="17"/>
  <c r="IH151" i="17"/>
  <c r="II151" i="17"/>
  <c r="IJ151" i="17"/>
  <c r="IK151" i="17"/>
  <c r="IL151" i="17"/>
  <c r="IM151" i="17"/>
  <c r="IN151" i="17"/>
  <c r="IO151" i="17"/>
  <c r="IP151" i="17"/>
  <c r="IQ151" i="17"/>
  <c r="IR151" i="17"/>
  <c r="IS151" i="17"/>
  <c r="IT151" i="17"/>
  <c r="IU151" i="17"/>
  <c r="IV151" i="17"/>
  <c r="A150" i="17"/>
  <c r="B150" i="17"/>
  <c r="C150" i="17"/>
  <c r="D150" i="17"/>
  <c r="E150" i="17"/>
  <c r="F150" i="17"/>
  <c r="G150" i="17"/>
  <c r="H150" i="17"/>
  <c r="I150" i="17"/>
  <c r="J150" i="17"/>
  <c r="K150" i="17"/>
  <c r="L150" i="17"/>
  <c r="M150" i="17"/>
  <c r="N150" i="17"/>
  <c r="O150" i="17"/>
  <c r="P150" i="17"/>
  <c r="Q150" i="17"/>
  <c r="R150" i="17"/>
  <c r="S150" i="17"/>
  <c r="T150" i="17"/>
  <c r="U150" i="17"/>
  <c r="V150" i="17"/>
  <c r="W150" i="17"/>
  <c r="X150" i="17"/>
  <c r="Y150" i="17"/>
  <c r="Z150" i="17"/>
  <c r="AA150" i="17"/>
  <c r="AB150" i="17"/>
  <c r="AC150" i="17"/>
  <c r="AD150" i="17"/>
  <c r="AE150" i="17"/>
  <c r="AF150" i="17"/>
  <c r="AG150" i="17"/>
  <c r="AH150" i="17"/>
  <c r="AI150" i="17"/>
  <c r="AJ150" i="17"/>
  <c r="AK150" i="17"/>
  <c r="AL150" i="17"/>
  <c r="AM150" i="17"/>
  <c r="AN150" i="17"/>
  <c r="AO150" i="17"/>
  <c r="AP150" i="17"/>
  <c r="AQ150" i="17"/>
  <c r="AR150" i="17"/>
  <c r="AS150" i="17"/>
  <c r="AT150" i="17"/>
  <c r="AU150" i="17"/>
  <c r="AV150" i="17"/>
  <c r="AW150" i="17"/>
  <c r="AX150" i="17"/>
  <c r="AY150" i="17"/>
  <c r="AZ150" i="17"/>
  <c r="BA150" i="17"/>
  <c r="BB150" i="17"/>
  <c r="BC150" i="17"/>
  <c r="BD150" i="17"/>
  <c r="BE150" i="17"/>
  <c r="BF150" i="17"/>
  <c r="BG150" i="17"/>
  <c r="BH150" i="17"/>
  <c r="BI150" i="17"/>
  <c r="BJ150" i="17"/>
  <c r="BK150" i="17"/>
  <c r="BL150" i="17"/>
  <c r="BM150" i="17"/>
  <c r="BN150" i="17"/>
  <c r="BO150" i="17"/>
  <c r="BP150" i="17"/>
  <c r="BQ150" i="17"/>
  <c r="BR150" i="17"/>
  <c r="BS150" i="17"/>
  <c r="BT150" i="17"/>
  <c r="BU150" i="17"/>
  <c r="BV150" i="17"/>
  <c r="BW150" i="17"/>
  <c r="BX150" i="17"/>
  <c r="BY150" i="17"/>
  <c r="BZ150" i="17"/>
  <c r="CA150" i="17"/>
  <c r="CB150" i="17"/>
  <c r="CC150" i="17"/>
  <c r="CD150" i="17"/>
  <c r="CE150" i="17"/>
  <c r="CF150" i="17"/>
  <c r="CG150" i="17"/>
  <c r="CH150" i="17"/>
  <c r="CI150" i="17"/>
  <c r="CJ150" i="17"/>
  <c r="CK150" i="17"/>
  <c r="CL150" i="17"/>
  <c r="CM150" i="17"/>
  <c r="CN150" i="17"/>
  <c r="CO150" i="17"/>
  <c r="CP150" i="17"/>
  <c r="CQ150" i="17"/>
  <c r="CR150" i="17"/>
  <c r="CS150" i="17"/>
  <c r="CT150" i="17"/>
  <c r="CU150" i="17"/>
  <c r="CV150" i="17"/>
  <c r="CW150" i="17"/>
  <c r="CX150" i="17"/>
  <c r="CY150" i="17"/>
  <c r="CZ150" i="17"/>
  <c r="DA150" i="17"/>
  <c r="DB150" i="17"/>
  <c r="DC150" i="17"/>
  <c r="DD150" i="17"/>
  <c r="DE150" i="17"/>
  <c r="DF150" i="17"/>
  <c r="DG150" i="17"/>
  <c r="DH150" i="17"/>
  <c r="DI150" i="17"/>
  <c r="DJ150" i="17"/>
  <c r="DK150" i="17"/>
  <c r="DL150" i="17"/>
  <c r="DM150" i="17"/>
  <c r="DN150" i="17"/>
  <c r="DO150" i="17"/>
  <c r="DP150" i="17"/>
  <c r="DQ150" i="17"/>
  <c r="DR150" i="17"/>
  <c r="DS150" i="17"/>
  <c r="DT150" i="17"/>
  <c r="DU150" i="17"/>
  <c r="DV150" i="17"/>
  <c r="DW150" i="17"/>
  <c r="DX150" i="17"/>
  <c r="DY150" i="17"/>
  <c r="DZ150" i="17"/>
  <c r="EA150" i="17"/>
  <c r="EB150" i="17"/>
  <c r="EC150" i="17"/>
  <c r="ED150" i="17"/>
  <c r="EE150" i="17"/>
  <c r="EF150" i="17"/>
  <c r="EG150" i="17"/>
  <c r="EH150" i="17"/>
  <c r="EI150" i="17"/>
  <c r="EJ150" i="17"/>
  <c r="EK150" i="17"/>
  <c r="EL150" i="17"/>
  <c r="EM150" i="17"/>
  <c r="EN150" i="17"/>
  <c r="EO150" i="17"/>
  <c r="EP150" i="17"/>
  <c r="EQ150" i="17"/>
  <c r="ER150" i="17"/>
  <c r="ES150" i="17"/>
  <c r="ET150" i="17"/>
  <c r="EU150" i="17"/>
  <c r="EV150" i="17"/>
  <c r="EW150" i="17"/>
  <c r="EX150" i="17"/>
  <c r="EY150" i="17"/>
  <c r="EZ150" i="17"/>
  <c r="FA150" i="17"/>
  <c r="FB150" i="17"/>
  <c r="FC150" i="17"/>
  <c r="FD150" i="17"/>
  <c r="FE150" i="17"/>
  <c r="FF150" i="17"/>
  <c r="FG150" i="17"/>
  <c r="FH150" i="17"/>
  <c r="FI150" i="17"/>
  <c r="FJ150" i="17"/>
  <c r="FK150" i="17"/>
  <c r="FL150" i="17"/>
  <c r="FM150" i="17"/>
  <c r="FN150" i="17"/>
  <c r="FO150" i="17"/>
  <c r="FP150" i="17"/>
  <c r="FQ150" i="17"/>
  <c r="FR150" i="17"/>
  <c r="FS150" i="17"/>
  <c r="FT150" i="17"/>
  <c r="FU150" i="17"/>
  <c r="FV150" i="17"/>
  <c r="FW150" i="17"/>
  <c r="FX150" i="17"/>
  <c r="FY150" i="17"/>
  <c r="FZ150" i="17"/>
  <c r="GA150" i="17"/>
  <c r="GB150" i="17"/>
  <c r="GC150" i="17"/>
  <c r="GD150" i="17"/>
  <c r="GE150" i="17"/>
  <c r="GF150" i="17"/>
  <c r="GG150" i="17"/>
  <c r="GH150" i="17"/>
  <c r="GI150" i="17"/>
  <c r="GJ150" i="17"/>
  <c r="GK150" i="17"/>
  <c r="GL150" i="17"/>
  <c r="GM150" i="17"/>
  <c r="GN150" i="17"/>
  <c r="GO150" i="17"/>
  <c r="GP150" i="17"/>
  <c r="GQ150" i="17"/>
  <c r="GR150" i="17"/>
  <c r="GS150" i="17"/>
  <c r="GT150" i="17"/>
  <c r="GU150" i="17"/>
  <c r="GV150" i="17"/>
  <c r="GW150" i="17"/>
  <c r="GX150" i="17"/>
  <c r="GY150" i="17"/>
  <c r="GZ150" i="17"/>
  <c r="HA150" i="17"/>
  <c r="HB150" i="17"/>
  <c r="HC150" i="17"/>
  <c r="HD150" i="17"/>
  <c r="HE150" i="17"/>
  <c r="HF150" i="17"/>
  <c r="HG150" i="17"/>
  <c r="HH150" i="17"/>
  <c r="HI150" i="17"/>
  <c r="HJ150" i="17"/>
  <c r="HK150" i="17"/>
  <c r="HL150" i="17"/>
  <c r="HM150" i="17"/>
  <c r="HN150" i="17"/>
  <c r="HO150" i="17"/>
  <c r="HP150" i="17"/>
  <c r="HQ150" i="17"/>
  <c r="HR150" i="17"/>
  <c r="HS150" i="17"/>
  <c r="HT150" i="17"/>
  <c r="HU150" i="17"/>
  <c r="HV150" i="17"/>
  <c r="HW150" i="17"/>
  <c r="HX150" i="17"/>
  <c r="HY150" i="17"/>
  <c r="HZ150" i="17"/>
  <c r="IA150" i="17"/>
  <c r="IB150" i="17"/>
  <c r="IC150" i="17"/>
  <c r="ID150" i="17"/>
  <c r="IE150" i="17"/>
  <c r="IF150" i="17"/>
  <c r="IG150" i="17"/>
  <c r="IH150" i="17"/>
  <c r="II150" i="17"/>
  <c r="IJ150" i="17"/>
  <c r="IK150" i="17"/>
  <c r="IL150" i="17"/>
  <c r="IM150" i="17"/>
  <c r="IN150" i="17"/>
  <c r="IO150" i="17"/>
  <c r="IP150" i="17"/>
  <c r="IQ150" i="17"/>
  <c r="IR150" i="17"/>
  <c r="IS150" i="17"/>
  <c r="IT150" i="17"/>
  <c r="IU150" i="17"/>
  <c r="IV150" i="17"/>
  <c r="A149" i="17"/>
  <c r="B149" i="17"/>
  <c r="C149" i="17"/>
  <c r="D149" i="17"/>
  <c r="E149" i="17"/>
  <c r="F149" i="17"/>
  <c r="G149" i="17"/>
  <c r="H149" i="17"/>
  <c r="I149" i="17"/>
  <c r="J149" i="17"/>
  <c r="K149" i="17"/>
  <c r="L149" i="17"/>
  <c r="M149" i="17"/>
  <c r="N149" i="17"/>
  <c r="O149" i="17"/>
  <c r="P149" i="17"/>
  <c r="Q149" i="17"/>
  <c r="R149" i="17"/>
  <c r="S149" i="17"/>
  <c r="T149" i="17"/>
  <c r="U149" i="17"/>
  <c r="V149" i="17"/>
  <c r="W149" i="17"/>
  <c r="X149" i="17"/>
  <c r="Y149" i="17"/>
  <c r="Z149" i="17"/>
  <c r="AA149" i="17"/>
  <c r="AB149" i="17"/>
  <c r="AC149" i="17"/>
  <c r="AD149" i="17"/>
  <c r="AE149" i="17"/>
  <c r="AF149" i="17"/>
  <c r="AG149" i="17"/>
  <c r="AH149" i="17"/>
  <c r="AI149" i="17"/>
  <c r="AJ149" i="17"/>
  <c r="AK149" i="17"/>
  <c r="AL149" i="17"/>
  <c r="AM149" i="17"/>
  <c r="AN149" i="17"/>
  <c r="AO149" i="17"/>
  <c r="AP149" i="17"/>
  <c r="AQ149" i="17"/>
  <c r="AR149" i="17"/>
  <c r="AS149" i="17"/>
  <c r="AT149" i="17"/>
  <c r="AU149" i="17"/>
  <c r="AV149" i="17"/>
  <c r="AW149" i="17"/>
  <c r="AX149" i="17"/>
  <c r="AY149" i="17"/>
  <c r="AZ149" i="17"/>
  <c r="BA149" i="17"/>
  <c r="BB149" i="17"/>
  <c r="BC149" i="17"/>
  <c r="BD149" i="17"/>
  <c r="BE149" i="17"/>
  <c r="BF149" i="17"/>
  <c r="BG149" i="17"/>
  <c r="BH149" i="17"/>
  <c r="BI149" i="17"/>
  <c r="BJ149" i="17"/>
  <c r="BK149" i="17"/>
  <c r="BL149" i="17"/>
  <c r="BM149" i="17"/>
  <c r="BN149" i="17"/>
  <c r="BO149" i="17"/>
  <c r="BP149" i="17"/>
  <c r="BQ149" i="17"/>
  <c r="BR149" i="17"/>
  <c r="BS149" i="17"/>
  <c r="BT149" i="17"/>
  <c r="BU149" i="17"/>
  <c r="BV149" i="17"/>
  <c r="BW149" i="17"/>
  <c r="BX149" i="17"/>
  <c r="BY149" i="17"/>
  <c r="BZ149" i="17"/>
  <c r="CA149" i="17"/>
  <c r="CB149" i="17"/>
  <c r="CC149" i="17"/>
  <c r="CD149" i="17"/>
  <c r="CE149" i="17"/>
  <c r="CF149" i="17"/>
  <c r="CG149" i="17"/>
  <c r="CH149" i="17"/>
  <c r="CI149" i="17"/>
  <c r="CJ149" i="17"/>
  <c r="CK149" i="17"/>
  <c r="CL149" i="17"/>
  <c r="CM149" i="17"/>
  <c r="CN149" i="17"/>
  <c r="CO149" i="17"/>
  <c r="CP149" i="17"/>
  <c r="CQ149" i="17"/>
  <c r="CR149" i="17"/>
  <c r="CS149" i="17"/>
  <c r="CT149" i="17"/>
  <c r="CU149" i="17"/>
  <c r="CV149" i="17"/>
  <c r="CW149" i="17"/>
  <c r="CX149" i="17"/>
  <c r="CY149" i="17"/>
  <c r="CZ149" i="17"/>
  <c r="DA149" i="17"/>
  <c r="DB149" i="17"/>
  <c r="DC149" i="17"/>
  <c r="DD149" i="17"/>
  <c r="DE149" i="17"/>
  <c r="DF149" i="17"/>
  <c r="DG149" i="17"/>
  <c r="DH149" i="17"/>
  <c r="DI149" i="17"/>
  <c r="DJ149" i="17"/>
  <c r="DK149" i="17"/>
  <c r="DL149" i="17"/>
  <c r="DM149" i="17"/>
  <c r="DN149" i="17"/>
  <c r="DO149" i="17"/>
  <c r="DP149" i="17"/>
  <c r="DQ149" i="17"/>
  <c r="DR149" i="17"/>
  <c r="DS149" i="17"/>
  <c r="DT149" i="17"/>
  <c r="DU149" i="17"/>
  <c r="DV149" i="17"/>
  <c r="DW149" i="17"/>
  <c r="DX149" i="17"/>
  <c r="DY149" i="17"/>
  <c r="DZ149" i="17"/>
  <c r="EA149" i="17"/>
  <c r="EB149" i="17"/>
  <c r="EC149" i="17"/>
  <c r="ED149" i="17"/>
  <c r="EE149" i="17"/>
  <c r="EF149" i="17"/>
  <c r="EG149" i="17"/>
  <c r="EH149" i="17"/>
  <c r="EI149" i="17"/>
  <c r="EJ149" i="17"/>
  <c r="EK149" i="17"/>
  <c r="EL149" i="17"/>
  <c r="EM149" i="17"/>
  <c r="EN149" i="17"/>
  <c r="EO149" i="17"/>
  <c r="EP149" i="17"/>
  <c r="EQ149" i="17"/>
  <c r="ER149" i="17"/>
  <c r="ES149" i="17"/>
  <c r="ET149" i="17"/>
  <c r="EU149" i="17"/>
  <c r="EV149" i="17"/>
  <c r="EW149" i="17"/>
  <c r="EX149" i="17"/>
  <c r="EY149" i="17"/>
  <c r="EZ149" i="17"/>
  <c r="FA149" i="17"/>
  <c r="FB149" i="17"/>
  <c r="FC149" i="17"/>
  <c r="FD149" i="17"/>
  <c r="FE149" i="17"/>
  <c r="FF149" i="17"/>
  <c r="FG149" i="17"/>
  <c r="FH149" i="17"/>
  <c r="FI149" i="17"/>
  <c r="FJ149" i="17"/>
  <c r="FK149" i="17"/>
  <c r="FL149" i="17"/>
  <c r="FM149" i="17"/>
  <c r="FN149" i="17"/>
  <c r="FO149" i="17"/>
  <c r="FP149" i="17"/>
  <c r="FQ149" i="17"/>
  <c r="FR149" i="17"/>
  <c r="FS149" i="17"/>
  <c r="FT149" i="17"/>
  <c r="FU149" i="17"/>
  <c r="FV149" i="17"/>
  <c r="FW149" i="17"/>
  <c r="FX149" i="17"/>
  <c r="FY149" i="17"/>
  <c r="FZ149" i="17"/>
  <c r="GA149" i="17"/>
  <c r="GB149" i="17"/>
  <c r="GC149" i="17"/>
  <c r="GD149" i="17"/>
  <c r="GE149" i="17"/>
  <c r="GF149" i="17"/>
  <c r="GG149" i="17"/>
  <c r="GH149" i="17"/>
  <c r="GI149" i="17"/>
  <c r="GJ149" i="17"/>
  <c r="GK149" i="17"/>
  <c r="GL149" i="17"/>
  <c r="GM149" i="17"/>
  <c r="GN149" i="17"/>
  <c r="GO149" i="17"/>
  <c r="GP149" i="17"/>
  <c r="GQ149" i="17"/>
  <c r="GR149" i="17"/>
  <c r="GS149" i="17"/>
  <c r="GT149" i="17"/>
  <c r="GU149" i="17"/>
  <c r="GV149" i="17"/>
  <c r="GW149" i="17"/>
  <c r="GX149" i="17"/>
  <c r="GY149" i="17"/>
  <c r="GZ149" i="17"/>
  <c r="HA149" i="17"/>
  <c r="HB149" i="17"/>
  <c r="HC149" i="17"/>
  <c r="HD149" i="17"/>
  <c r="HE149" i="17"/>
  <c r="HF149" i="17"/>
  <c r="HG149" i="17"/>
  <c r="HH149" i="17"/>
  <c r="HI149" i="17"/>
  <c r="HJ149" i="17"/>
  <c r="HK149" i="17"/>
  <c r="HL149" i="17"/>
  <c r="HM149" i="17"/>
  <c r="HN149" i="17"/>
  <c r="HO149" i="17"/>
  <c r="HP149" i="17"/>
  <c r="HQ149" i="17"/>
  <c r="HR149" i="17"/>
  <c r="HS149" i="17"/>
  <c r="HT149" i="17"/>
  <c r="HU149" i="17"/>
  <c r="HV149" i="17"/>
  <c r="HW149" i="17"/>
  <c r="HX149" i="17"/>
  <c r="HY149" i="17"/>
  <c r="HZ149" i="17"/>
  <c r="IA149" i="17"/>
  <c r="IB149" i="17"/>
  <c r="IC149" i="17"/>
  <c r="ID149" i="17"/>
  <c r="IE149" i="17"/>
  <c r="IF149" i="17"/>
  <c r="IG149" i="17"/>
  <c r="IH149" i="17"/>
  <c r="II149" i="17"/>
  <c r="IJ149" i="17"/>
  <c r="IK149" i="17"/>
  <c r="IL149" i="17"/>
  <c r="IM149" i="17"/>
  <c r="IN149" i="17"/>
  <c r="IO149" i="17"/>
  <c r="IP149" i="17"/>
  <c r="IQ149" i="17"/>
  <c r="IR149" i="17"/>
  <c r="IS149" i="17"/>
  <c r="IT149" i="17"/>
  <c r="IU149" i="17"/>
  <c r="IV149" i="17"/>
  <c r="A148" i="17"/>
  <c r="B148" i="17"/>
  <c r="C148" i="17"/>
  <c r="D148" i="17"/>
  <c r="E148" i="17"/>
  <c r="F148" i="17"/>
  <c r="G148" i="17"/>
  <c r="H148" i="17"/>
  <c r="I148" i="17"/>
  <c r="J148" i="17"/>
  <c r="K148" i="17"/>
  <c r="L148" i="17"/>
  <c r="M148" i="17"/>
  <c r="N148" i="17"/>
  <c r="O148" i="17"/>
  <c r="P148" i="17"/>
  <c r="Q148" i="17"/>
  <c r="R148" i="17"/>
  <c r="S148" i="17"/>
  <c r="T148" i="17"/>
  <c r="U148" i="17"/>
  <c r="V148" i="17"/>
  <c r="W148" i="17"/>
  <c r="X148" i="17"/>
  <c r="Y148" i="17"/>
  <c r="Z148" i="17"/>
  <c r="AA148" i="17"/>
  <c r="AB148" i="17"/>
  <c r="AC148" i="17"/>
  <c r="AD148" i="17"/>
  <c r="AE148" i="17"/>
  <c r="AF148" i="17"/>
  <c r="AG148" i="17"/>
  <c r="AH148" i="17"/>
  <c r="AI148" i="17"/>
  <c r="AJ148" i="17"/>
  <c r="AK148" i="17"/>
  <c r="AL148" i="17"/>
  <c r="AM148" i="17"/>
  <c r="AN148" i="17"/>
  <c r="AO148" i="17"/>
  <c r="AP148" i="17"/>
  <c r="AQ148" i="17"/>
  <c r="AR148" i="17"/>
  <c r="AS148" i="17"/>
  <c r="AT148" i="17"/>
  <c r="AU148" i="17"/>
  <c r="AV148" i="17"/>
  <c r="AW148" i="17"/>
  <c r="AX148" i="17"/>
  <c r="AY148" i="17"/>
  <c r="AZ148" i="17"/>
  <c r="BA148" i="17"/>
  <c r="BB148" i="17"/>
  <c r="BC148" i="17"/>
  <c r="BD148" i="17"/>
  <c r="BE148" i="17"/>
  <c r="BF148" i="17"/>
  <c r="BG148" i="17"/>
  <c r="BH148" i="17"/>
  <c r="BI148" i="17"/>
  <c r="BJ148" i="17"/>
  <c r="BK148" i="17"/>
  <c r="BL148" i="17"/>
  <c r="BM148" i="17"/>
  <c r="BN148" i="17"/>
  <c r="BO148" i="17"/>
  <c r="BP148" i="17"/>
  <c r="BQ148" i="17"/>
  <c r="BR148" i="17"/>
  <c r="BS148" i="17"/>
  <c r="BT148" i="17"/>
  <c r="BU148" i="17"/>
  <c r="BV148" i="17"/>
  <c r="BW148" i="17"/>
  <c r="BX148" i="17"/>
  <c r="BY148" i="17"/>
  <c r="BZ148" i="17"/>
  <c r="CA148" i="17"/>
  <c r="CB148" i="17"/>
  <c r="CC148" i="17"/>
  <c r="CD148" i="17"/>
  <c r="CE148" i="17"/>
  <c r="CF148" i="17"/>
  <c r="CG148" i="17"/>
  <c r="CH148" i="17"/>
  <c r="CI148" i="17"/>
  <c r="CJ148" i="17"/>
  <c r="CK148" i="17"/>
  <c r="CL148" i="17"/>
  <c r="CM148" i="17"/>
  <c r="CN148" i="17"/>
  <c r="CO148" i="17"/>
  <c r="CP148" i="17"/>
  <c r="CQ148" i="17"/>
  <c r="CR148" i="17"/>
  <c r="CS148" i="17"/>
  <c r="CT148" i="17"/>
  <c r="CU148" i="17"/>
  <c r="CV148" i="17"/>
  <c r="CW148" i="17"/>
  <c r="CX148" i="17"/>
  <c r="CY148" i="17"/>
  <c r="CZ148" i="17"/>
  <c r="DA148" i="17"/>
  <c r="DB148" i="17"/>
  <c r="DC148" i="17"/>
  <c r="DD148" i="17"/>
  <c r="DE148" i="17"/>
  <c r="DF148" i="17"/>
  <c r="DG148" i="17"/>
  <c r="DH148" i="17"/>
  <c r="DI148" i="17"/>
  <c r="DJ148" i="17"/>
  <c r="DK148" i="17"/>
  <c r="DL148" i="17"/>
  <c r="DM148" i="17"/>
  <c r="DN148" i="17"/>
  <c r="DO148" i="17"/>
  <c r="DP148" i="17"/>
  <c r="DQ148" i="17"/>
  <c r="DR148" i="17"/>
  <c r="DS148" i="17"/>
  <c r="DT148" i="17"/>
  <c r="DU148" i="17"/>
  <c r="DV148" i="17"/>
  <c r="DW148" i="17"/>
  <c r="DX148" i="17"/>
  <c r="DY148" i="17"/>
  <c r="DZ148" i="17"/>
  <c r="EA148" i="17"/>
  <c r="EB148" i="17"/>
  <c r="EC148" i="17"/>
  <c r="ED148" i="17"/>
  <c r="EE148" i="17"/>
  <c r="EF148" i="17"/>
  <c r="EG148" i="17"/>
  <c r="EH148" i="17"/>
  <c r="EI148" i="17"/>
  <c r="EJ148" i="17"/>
  <c r="EK148" i="17"/>
  <c r="EL148" i="17"/>
  <c r="EM148" i="17"/>
  <c r="EN148" i="17"/>
  <c r="EO148" i="17"/>
  <c r="EP148" i="17"/>
  <c r="EQ148" i="17"/>
  <c r="ER148" i="17"/>
  <c r="ES148" i="17"/>
  <c r="ET148" i="17"/>
  <c r="EU148" i="17"/>
  <c r="EV148" i="17"/>
  <c r="EW148" i="17"/>
  <c r="EX148" i="17"/>
  <c r="EY148" i="17"/>
  <c r="EZ148" i="17"/>
  <c r="FA148" i="17"/>
  <c r="FB148" i="17"/>
  <c r="FC148" i="17"/>
  <c r="FD148" i="17"/>
  <c r="FE148" i="17"/>
  <c r="FF148" i="17"/>
  <c r="FG148" i="17"/>
  <c r="FH148" i="17"/>
  <c r="FI148" i="17"/>
  <c r="FJ148" i="17"/>
  <c r="FK148" i="17"/>
  <c r="FL148" i="17"/>
  <c r="FM148" i="17"/>
  <c r="FN148" i="17"/>
  <c r="FO148" i="17"/>
  <c r="FP148" i="17"/>
  <c r="FQ148" i="17"/>
  <c r="FR148" i="17"/>
  <c r="FS148" i="17"/>
  <c r="FT148" i="17"/>
  <c r="FU148" i="17"/>
  <c r="FV148" i="17"/>
  <c r="FW148" i="17"/>
  <c r="FX148" i="17"/>
  <c r="FY148" i="17"/>
  <c r="FZ148" i="17"/>
  <c r="GA148" i="17"/>
  <c r="GB148" i="17"/>
  <c r="GC148" i="17"/>
  <c r="GD148" i="17"/>
  <c r="GE148" i="17"/>
  <c r="GF148" i="17"/>
  <c r="GG148" i="17"/>
  <c r="GH148" i="17"/>
  <c r="GI148" i="17"/>
  <c r="GJ148" i="17"/>
  <c r="GK148" i="17"/>
  <c r="GL148" i="17"/>
  <c r="GM148" i="17"/>
  <c r="GN148" i="17"/>
  <c r="GO148" i="17"/>
  <c r="GP148" i="17"/>
  <c r="GQ148" i="17"/>
  <c r="GR148" i="17"/>
  <c r="GS148" i="17"/>
  <c r="GT148" i="17"/>
  <c r="GU148" i="17"/>
  <c r="GV148" i="17"/>
  <c r="GW148" i="17"/>
  <c r="GX148" i="17"/>
  <c r="GY148" i="17"/>
  <c r="GZ148" i="17"/>
  <c r="HA148" i="17"/>
  <c r="HB148" i="17"/>
  <c r="HC148" i="17"/>
  <c r="HD148" i="17"/>
  <c r="HE148" i="17"/>
  <c r="HF148" i="17"/>
  <c r="HG148" i="17"/>
  <c r="HH148" i="17"/>
  <c r="HI148" i="17"/>
  <c r="HJ148" i="17"/>
  <c r="HK148" i="17"/>
  <c r="HL148" i="17"/>
  <c r="HM148" i="17"/>
  <c r="HN148" i="17"/>
  <c r="HO148" i="17"/>
  <c r="HP148" i="17"/>
  <c r="HQ148" i="17"/>
  <c r="HR148" i="17"/>
  <c r="HS148" i="17"/>
  <c r="HT148" i="17"/>
  <c r="HU148" i="17"/>
  <c r="HV148" i="17"/>
  <c r="HW148" i="17"/>
  <c r="HX148" i="17"/>
  <c r="HY148" i="17"/>
  <c r="HZ148" i="17"/>
  <c r="IA148" i="17"/>
  <c r="IB148" i="17"/>
  <c r="IC148" i="17"/>
  <c r="ID148" i="17"/>
  <c r="IE148" i="17"/>
  <c r="IF148" i="17"/>
  <c r="IG148" i="17"/>
  <c r="IH148" i="17"/>
  <c r="II148" i="17"/>
  <c r="IJ148" i="17"/>
  <c r="IK148" i="17"/>
  <c r="IL148" i="17"/>
  <c r="IM148" i="17"/>
  <c r="IN148" i="17"/>
  <c r="IO148" i="17"/>
  <c r="IP148" i="17"/>
  <c r="IQ148" i="17"/>
  <c r="IR148" i="17"/>
  <c r="IS148" i="17"/>
  <c r="IT148" i="17"/>
  <c r="IU148" i="17"/>
  <c r="IV148" i="17"/>
  <c r="A147" i="17"/>
  <c r="B147" i="17"/>
  <c r="C147" i="17"/>
  <c r="D147" i="17"/>
  <c r="E147" i="17"/>
  <c r="F147" i="17"/>
  <c r="G147" i="17"/>
  <c r="H147" i="17"/>
  <c r="I147" i="17"/>
  <c r="J147" i="17"/>
  <c r="K147" i="17"/>
  <c r="L147" i="17"/>
  <c r="M147" i="17"/>
  <c r="N147" i="17"/>
  <c r="O147" i="17"/>
  <c r="P147" i="17"/>
  <c r="Q147" i="17"/>
  <c r="R147" i="17"/>
  <c r="S147" i="17"/>
  <c r="T147" i="17"/>
  <c r="U147" i="17"/>
  <c r="V147" i="17"/>
  <c r="W147" i="17"/>
  <c r="X147" i="17"/>
  <c r="Y147" i="17"/>
  <c r="Z147" i="17"/>
  <c r="AA147" i="17"/>
  <c r="AB147" i="17"/>
  <c r="AC147" i="17"/>
  <c r="AD147" i="17"/>
  <c r="AE147" i="17"/>
  <c r="AF147" i="17"/>
  <c r="AG147" i="17"/>
  <c r="AH147" i="17"/>
  <c r="AI147" i="17"/>
  <c r="AJ147" i="17"/>
  <c r="AK147" i="17"/>
  <c r="AL147" i="17"/>
  <c r="AM147" i="17"/>
  <c r="AN147" i="17"/>
  <c r="AO147" i="17"/>
  <c r="AP147" i="17"/>
  <c r="AQ147" i="17"/>
  <c r="AR147" i="17"/>
  <c r="AS147" i="17"/>
  <c r="AT147" i="17"/>
  <c r="AU147" i="17"/>
  <c r="AV147" i="17"/>
  <c r="AW147" i="17"/>
  <c r="AX147" i="17"/>
  <c r="AY147" i="17"/>
  <c r="AZ147" i="17"/>
  <c r="BA147" i="17"/>
  <c r="BB147" i="17"/>
  <c r="BC147" i="17"/>
  <c r="BD147" i="17"/>
  <c r="BE147" i="17"/>
  <c r="BF147" i="17"/>
  <c r="BG147" i="17"/>
  <c r="BH147" i="17"/>
  <c r="BI147" i="17"/>
  <c r="BJ147" i="17"/>
  <c r="BK147" i="17"/>
  <c r="BL147" i="17"/>
  <c r="BM147" i="17"/>
  <c r="BN147" i="17"/>
  <c r="BO147" i="17"/>
  <c r="BP147" i="17"/>
  <c r="BQ147" i="17"/>
  <c r="BR147" i="17"/>
  <c r="BS147" i="17"/>
  <c r="BT147" i="17"/>
  <c r="BU147" i="17"/>
  <c r="BV147" i="17"/>
  <c r="BW147" i="17"/>
  <c r="BX147" i="17"/>
  <c r="BY147" i="17"/>
  <c r="BZ147" i="17"/>
  <c r="CA147" i="17"/>
  <c r="CB147" i="17"/>
  <c r="CC147" i="17"/>
  <c r="CD147" i="17"/>
  <c r="CE147" i="17"/>
  <c r="CF147" i="17"/>
  <c r="CG147" i="17"/>
  <c r="CH147" i="17"/>
  <c r="CI147" i="17"/>
  <c r="CJ147" i="17"/>
  <c r="CK147" i="17"/>
  <c r="CL147" i="17"/>
  <c r="CM147" i="17"/>
  <c r="CN147" i="17"/>
  <c r="CO147" i="17"/>
  <c r="CP147" i="17"/>
  <c r="CQ147" i="17"/>
  <c r="CR147" i="17"/>
  <c r="CS147" i="17"/>
  <c r="CT147" i="17"/>
  <c r="CU147" i="17"/>
  <c r="CV147" i="17"/>
  <c r="CW147" i="17"/>
  <c r="CX147" i="17"/>
  <c r="CY147" i="17"/>
  <c r="CZ147" i="17"/>
  <c r="DA147" i="17"/>
  <c r="DB147" i="17"/>
  <c r="DC147" i="17"/>
  <c r="DD147" i="17"/>
  <c r="DE147" i="17"/>
  <c r="DF147" i="17"/>
  <c r="DG147" i="17"/>
  <c r="DH147" i="17"/>
  <c r="DI147" i="17"/>
  <c r="DJ147" i="17"/>
  <c r="DK147" i="17"/>
  <c r="DL147" i="17"/>
  <c r="DM147" i="17"/>
  <c r="DN147" i="17"/>
  <c r="DO147" i="17"/>
  <c r="DP147" i="17"/>
  <c r="DQ147" i="17"/>
  <c r="DR147" i="17"/>
  <c r="DS147" i="17"/>
  <c r="DT147" i="17"/>
  <c r="DU147" i="17"/>
  <c r="DV147" i="17"/>
  <c r="DW147" i="17"/>
  <c r="DX147" i="17"/>
  <c r="DY147" i="17"/>
  <c r="DZ147" i="17"/>
  <c r="EA147" i="17"/>
  <c r="EB147" i="17"/>
  <c r="EC147" i="17"/>
  <c r="ED147" i="17"/>
  <c r="EE147" i="17"/>
  <c r="EF147" i="17"/>
  <c r="EG147" i="17"/>
  <c r="EH147" i="17"/>
  <c r="EI147" i="17"/>
  <c r="EJ147" i="17"/>
  <c r="EK147" i="17"/>
  <c r="EL147" i="17"/>
  <c r="EM147" i="17"/>
  <c r="EN147" i="17"/>
  <c r="EO147" i="17"/>
  <c r="EP147" i="17"/>
  <c r="EQ147" i="17"/>
  <c r="ER147" i="17"/>
  <c r="ES147" i="17"/>
  <c r="ET147" i="17"/>
  <c r="EU147" i="17"/>
  <c r="EV147" i="17"/>
  <c r="EW147" i="17"/>
  <c r="EX147" i="17"/>
  <c r="EY147" i="17"/>
  <c r="EZ147" i="17"/>
  <c r="FA147" i="17"/>
  <c r="FB147" i="17"/>
  <c r="FC147" i="17"/>
  <c r="FD147" i="17"/>
  <c r="FE147" i="17"/>
  <c r="FF147" i="17"/>
  <c r="FG147" i="17"/>
  <c r="FH147" i="17"/>
  <c r="FI147" i="17"/>
  <c r="FJ147" i="17"/>
  <c r="FK147" i="17"/>
  <c r="FL147" i="17"/>
  <c r="FM147" i="17"/>
  <c r="FN147" i="17"/>
  <c r="FO147" i="17"/>
  <c r="FP147" i="17"/>
  <c r="FQ147" i="17"/>
  <c r="FR147" i="17"/>
  <c r="FS147" i="17"/>
  <c r="FT147" i="17"/>
  <c r="FU147" i="17"/>
  <c r="FV147" i="17"/>
  <c r="FW147" i="17"/>
  <c r="FX147" i="17"/>
  <c r="FY147" i="17"/>
  <c r="FZ147" i="17"/>
  <c r="GA147" i="17"/>
  <c r="GB147" i="17"/>
  <c r="GC147" i="17"/>
  <c r="GD147" i="17"/>
  <c r="GE147" i="17"/>
  <c r="GF147" i="17"/>
  <c r="GG147" i="17"/>
  <c r="GH147" i="17"/>
  <c r="GI147" i="17"/>
  <c r="GJ147" i="17"/>
  <c r="GK147" i="17"/>
  <c r="GL147" i="17"/>
  <c r="GM147" i="17"/>
  <c r="GN147" i="17"/>
  <c r="GO147" i="17"/>
  <c r="GP147" i="17"/>
  <c r="GQ147" i="17"/>
  <c r="GR147" i="17"/>
  <c r="GS147" i="17"/>
  <c r="GT147" i="17"/>
  <c r="GU147" i="17"/>
  <c r="GV147" i="17"/>
  <c r="GW147" i="17"/>
  <c r="GX147" i="17"/>
  <c r="GY147" i="17"/>
  <c r="GZ147" i="17"/>
  <c r="HA147" i="17"/>
  <c r="HB147" i="17"/>
  <c r="HC147" i="17"/>
  <c r="HD147" i="17"/>
  <c r="HE147" i="17"/>
  <c r="HF147" i="17"/>
  <c r="HG147" i="17"/>
  <c r="HH147" i="17"/>
  <c r="HI147" i="17"/>
  <c r="HJ147" i="17"/>
  <c r="HK147" i="17"/>
  <c r="HL147" i="17"/>
  <c r="HM147" i="17"/>
  <c r="HN147" i="17"/>
  <c r="HO147" i="17"/>
  <c r="HP147" i="17"/>
  <c r="HQ147" i="17"/>
  <c r="HR147" i="17"/>
  <c r="HS147" i="17"/>
  <c r="HT147" i="17"/>
  <c r="HU147" i="17"/>
  <c r="HV147" i="17"/>
  <c r="HW147" i="17"/>
  <c r="HX147" i="17"/>
  <c r="HY147" i="17"/>
  <c r="HZ147" i="17"/>
  <c r="IA147" i="17"/>
  <c r="IB147" i="17"/>
  <c r="IC147" i="17"/>
  <c r="ID147" i="17"/>
  <c r="IE147" i="17"/>
  <c r="IF147" i="17"/>
  <c r="IG147" i="17"/>
  <c r="IH147" i="17"/>
  <c r="II147" i="17"/>
  <c r="IJ147" i="17"/>
  <c r="IK147" i="17"/>
  <c r="IL147" i="17"/>
  <c r="IM147" i="17"/>
  <c r="IN147" i="17"/>
  <c r="IO147" i="17"/>
  <c r="IP147" i="17"/>
  <c r="IQ147" i="17"/>
  <c r="IR147" i="17"/>
  <c r="IS147" i="17"/>
  <c r="IT147" i="17"/>
  <c r="IU147" i="17"/>
  <c r="IV147" i="17"/>
  <c r="A146" i="17"/>
  <c r="B146" i="17"/>
  <c r="C146" i="17"/>
  <c r="D146" i="17"/>
  <c r="E146" i="17"/>
  <c r="F146" i="17"/>
  <c r="G146" i="17"/>
  <c r="H146" i="17"/>
  <c r="I146" i="17"/>
  <c r="J146" i="17"/>
  <c r="K146" i="17"/>
  <c r="L146" i="17"/>
  <c r="M146" i="17"/>
  <c r="N146" i="17"/>
  <c r="O146" i="17"/>
  <c r="P146" i="17"/>
  <c r="Q146" i="17"/>
  <c r="R146" i="17"/>
  <c r="S146" i="17"/>
  <c r="T146" i="17"/>
  <c r="U146" i="17"/>
  <c r="V146" i="17"/>
  <c r="W146" i="17"/>
  <c r="X146" i="17"/>
  <c r="Y146" i="17"/>
  <c r="Z146" i="17"/>
  <c r="AA146" i="17"/>
  <c r="AB146" i="17"/>
  <c r="AC146" i="17"/>
  <c r="AD146" i="17"/>
  <c r="AE146" i="17"/>
  <c r="AF146" i="17"/>
  <c r="AG146" i="17"/>
  <c r="AH146" i="17"/>
  <c r="AI146" i="17"/>
  <c r="AJ146" i="17"/>
  <c r="AK146" i="17"/>
  <c r="AL146" i="17"/>
  <c r="AM146" i="17"/>
  <c r="AN146" i="17"/>
  <c r="AO146" i="17"/>
  <c r="AP146" i="17"/>
  <c r="AQ146" i="17"/>
  <c r="AR146" i="17"/>
  <c r="AS146" i="17"/>
  <c r="AT146" i="17"/>
  <c r="AU146" i="17"/>
  <c r="AV146" i="17"/>
  <c r="AW146" i="17"/>
  <c r="AX146" i="17"/>
  <c r="AY146" i="17"/>
  <c r="AZ146" i="17"/>
  <c r="BA146" i="17"/>
  <c r="BB146" i="17"/>
  <c r="BC146" i="17"/>
  <c r="BD146" i="17"/>
  <c r="BE146" i="17"/>
  <c r="BF146" i="17"/>
  <c r="BG146" i="17"/>
  <c r="BH146" i="17"/>
  <c r="BI146" i="17"/>
  <c r="BJ146" i="17"/>
  <c r="BK146" i="17"/>
  <c r="BL146" i="17"/>
  <c r="BM146" i="17"/>
  <c r="BN146" i="17"/>
  <c r="BO146" i="17"/>
  <c r="BP146" i="17"/>
  <c r="BQ146" i="17"/>
  <c r="BR146" i="17"/>
  <c r="BS146" i="17"/>
  <c r="BT146" i="17"/>
  <c r="BU146" i="17"/>
  <c r="BV146" i="17"/>
  <c r="BW146" i="17"/>
  <c r="BX146" i="17"/>
  <c r="BY146" i="17"/>
  <c r="BZ146" i="17"/>
  <c r="CA146" i="17"/>
  <c r="CB146" i="17"/>
  <c r="CC146" i="17"/>
  <c r="CD146" i="17"/>
  <c r="CE146" i="17"/>
  <c r="CF146" i="17"/>
  <c r="CG146" i="17"/>
  <c r="CH146" i="17"/>
  <c r="CI146" i="17"/>
  <c r="CJ146" i="17"/>
  <c r="CK146" i="17"/>
  <c r="CL146" i="17"/>
  <c r="CM146" i="17"/>
  <c r="CN146" i="17"/>
  <c r="CO146" i="17"/>
  <c r="CP146" i="17"/>
  <c r="CQ146" i="17"/>
  <c r="CR146" i="17"/>
  <c r="CS146" i="17"/>
  <c r="CT146" i="17"/>
  <c r="CU146" i="17"/>
  <c r="CV146" i="17"/>
  <c r="CW146" i="17"/>
  <c r="CX146" i="17"/>
  <c r="CY146" i="17"/>
  <c r="CZ146" i="17"/>
  <c r="DA146" i="17"/>
  <c r="DB146" i="17"/>
  <c r="DC146" i="17"/>
  <c r="DD146" i="17"/>
  <c r="DE146" i="17"/>
  <c r="DF146" i="17"/>
  <c r="DG146" i="17"/>
  <c r="DH146" i="17"/>
  <c r="DI146" i="17"/>
  <c r="DJ146" i="17"/>
  <c r="DK146" i="17"/>
  <c r="DL146" i="17"/>
  <c r="DM146" i="17"/>
  <c r="DN146" i="17"/>
  <c r="DO146" i="17"/>
  <c r="DP146" i="17"/>
  <c r="DQ146" i="17"/>
  <c r="DR146" i="17"/>
  <c r="DS146" i="17"/>
  <c r="DT146" i="17"/>
  <c r="DU146" i="17"/>
  <c r="DV146" i="17"/>
  <c r="DW146" i="17"/>
  <c r="DX146" i="17"/>
  <c r="DY146" i="17"/>
  <c r="DZ146" i="17"/>
  <c r="EA146" i="17"/>
  <c r="EB146" i="17"/>
  <c r="EC146" i="17"/>
  <c r="ED146" i="17"/>
  <c r="EE146" i="17"/>
  <c r="EF146" i="17"/>
  <c r="EG146" i="17"/>
  <c r="EH146" i="17"/>
  <c r="EI146" i="17"/>
  <c r="EJ146" i="17"/>
  <c r="EK146" i="17"/>
  <c r="EL146" i="17"/>
  <c r="EM146" i="17"/>
  <c r="EN146" i="17"/>
  <c r="EO146" i="17"/>
  <c r="EP146" i="17"/>
  <c r="EQ146" i="17"/>
  <c r="ER146" i="17"/>
  <c r="ES146" i="17"/>
  <c r="ET146" i="17"/>
  <c r="EU146" i="17"/>
  <c r="EV146" i="17"/>
  <c r="EW146" i="17"/>
  <c r="EX146" i="17"/>
  <c r="EY146" i="17"/>
  <c r="EZ146" i="17"/>
  <c r="FA146" i="17"/>
  <c r="FB146" i="17"/>
  <c r="FC146" i="17"/>
  <c r="FD146" i="17"/>
  <c r="FE146" i="17"/>
  <c r="FF146" i="17"/>
  <c r="FG146" i="17"/>
  <c r="FH146" i="17"/>
  <c r="FI146" i="17"/>
  <c r="FJ146" i="17"/>
  <c r="FK146" i="17"/>
  <c r="FL146" i="17"/>
  <c r="FM146" i="17"/>
  <c r="FN146" i="17"/>
  <c r="FO146" i="17"/>
  <c r="FP146" i="17"/>
  <c r="FQ146" i="17"/>
  <c r="FR146" i="17"/>
  <c r="FS146" i="17"/>
  <c r="FT146" i="17"/>
  <c r="FU146" i="17"/>
  <c r="FV146" i="17"/>
  <c r="FW146" i="17"/>
  <c r="FX146" i="17"/>
  <c r="FY146" i="17"/>
  <c r="FZ146" i="17"/>
  <c r="GA146" i="17"/>
  <c r="GB146" i="17"/>
  <c r="GC146" i="17"/>
  <c r="GD146" i="17"/>
  <c r="GE146" i="17"/>
  <c r="GF146" i="17"/>
  <c r="GG146" i="17"/>
  <c r="GH146" i="17"/>
  <c r="GI146" i="17"/>
  <c r="GJ146" i="17"/>
  <c r="GK146" i="17"/>
  <c r="GL146" i="17"/>
  <c r="GM146" i="17"/>
  <c r="GN146" i="17"/>
  <c r="GO146" i="17"/>
  <c r="GP146" i="17"/>
  <c r="GQ146" i="17"/>
  <c r="GR146" i="17"/>
  <c r="GS146" i="17"/>
  <c r="GT146" i="17"/>
  <c r="GU146" i="17"/>
  <c r="GV146" i="17"/>
  <c r="GW146" i="17"/>
  <c r="GX146" i="17"/>
  <c r="GY146" i="17"/>
  <c r="GZ146" i="17"/>
  <c r="HA146" i="17"/>
  <c r="HB146" i="17"/>
  <c r="HC146" i="17"/>
  <c r="HD146" i="17"/>
  <c r="HE146" i="17"/>
  <c r="HF146" i="17"/>
  <c r="HG146" i="17"/>
  <c r="HH146" i="17"/>
  <c r="HI146" i="17"/>
  <c r="HJ146" i="17"/>
  <c r="HK146" i="17"/>
  <c r="HL146" i="17"/>
  <c r="HM146" i="17"/>
  <c r="HN146" i="17"/>
  <c r="HO146" i="17"/>
  <c r="HP146" i="17"/>
  <c r="HQ146" i="17"/>
  <c r="HR146" i="17"/>
  <c r="HS146" i="17"/>
  <c r="HT146" i="17"/>
  <c r="HU146" i="17"/>
  <c r="HV146" i="17"/>
  <c r="HW146" i="17"/>
  <c r="HX146" i="17"/>
  <c r="HY146" i="17"/>
  <c r="HZ146" i="17"/>
  <c r="IA146" i="17"/>
  <c r="IB146" i="17"/>
  <c r="IC146" i="17"/>
  <c r="ID146" i="17"/>
  <c r="IE146" i="17"/>
  <c r="IF146" i="17"/>
  <c r="IG146" i="17"/>
  <c r="IH146" i="17"/>
  <c r="II146" i="17"/>
  <c r="IJ146" i="17"/>
  <c r="IK146" i="17"/>
  <c r="IL146" i="17"/>
  <c r="IM146" i="17"/>
  <c r="IN146" i="17"/>
  <c r="IO146" i="17"/>
  <c r="IP146" i="17"/>
  <c r="IQ146" i="17"/>
  <c r="IR146" i="17"/>
  <c r="IS146" i="17"/>
  <c r="IT146" i="17"/>
  <c r="IU146" i="17"/>
  <c r="IV146" i="17"/>
  <c r="A145" i="17"/>
  <c r="B145" i="17"/>
  <c r="C145" i="17"/>
  <c r="D145" i="17"/>
  <c r="E145" i="17"/>
  <c r="F145" i="17"/>
  <c r="G145" i="17"/>
  <c r="H145" i="17"/>
  <c r="I145" i="17"/>
  <c r="J145" i="17"/>
  <c r="K145" i="17"/>
  <c r="L145" i="17"/>
  <c r="M145" i="17"/>
  <c r="N145" i="17"/>
  <c r="O145" i="17"/>
  <c r="P145" i="17"/>
  <c r="Q145" i="17"/>
  <c r="R145" i="17"/>
  <c r="S145" i="17"/>
  <c r="T145" i="17"/>
  <c r="U145" i="17"/>
  <c r="V145" i="17"/>
  <c r="W145" i="17"/>
  <c r="X145" i="17"/>
  <c r="Y145" i="17"/>
  <c r="Z145" i="17"/>
  <c r="AA145" i="17"/>
  <c r="AB145" i="17"/>
  <c r="AC145" i="17"/>
  <c r="AD145" i="17"/>
  <c r="AE145" i="17"/>
  <c r="AF145" i="17"/>
  <c r="AG145" i="17"/>
  <c r="AH145" i="17"/>
  <c r="AI145" i="17"/>
  <c r="AJ145" i="17"/>
  <c r="AK145" i="17"/>
  <c r="AL145" i="17"/>
  <c r="AM145" i="17"/>
  <c r="AN145" i="17"/>
  <c r="AO145" i="17"/>
  <c r="AP145" i="17"/>
  <c r="AQ145" i="17"/>
  <c r="AR145" i="17"/>
  <c r="AS145" i="17"/>
  <c r="AT145" i="17"/>
  <c r="AU145" i="17"/>
  <c r="AV145" i="17"/>
  <c r="AW145" i="17"/>
  <c r="AX145" i="17"/>
  <c r="AY145" i="17"/>
  <c r="AZ145" i="17"/>
  <c r="BA145" i="17"/>
  <c r="BB145" i="17"/>
  <c r="BC145" i="17"/>
  <c r="BD145" i="17"/>
  <c r="BE145" i="17"/>
  <c r="BF145" i="17"/>
  <c r="BG145" i="17"/>
  <c r="BH145" i="17"/>
  <c r="BI145" i="17"/>
  <c r="BJ145" i="17"/>
  <c r="BK145" i="17"/>
  <c r="BL145" i="17"/>
  <c r="BM145" i="17"/>
  <c r="BN145" i="17"/>
  <c r="BO145" i="17"/>
  <c r="BP145" i="17"/>
  <c r="BQ145" i="17"/>
  <c r="BR145" i="17"/>
  <c r="BS145" i="17"/>
  <c r="BT145" i="17"/>
  <c r="BU145" i="17"/>
  <c r="BV145" i="17"/>
  <c r="BW145" i="17"/>
  <c r="BX145" i="17"/>
  <c r="BY145" i="17"/>
  <c r="BZ145" i="17"/>
  <c r="CA145" i="17"/>
  <c r="CB145" i="17"/>
  <c r="CC145" i="17"/>
  <c r="CD145" i="17"/>
  <c r="CE145" i="17"/>
  <c r="CF145" i="17"/>
  <c r="CG145" i="17"/>
  <c r="CH145" i="17"/>
  <c r="CI145" i="17"/>
  <c r="CJ145" i="17"/>
  <c r="CK145" i="17"/>
  <c r="CL145" i="17"/>
  <c r="CM145" i="17"/>
  <c r="CN145" i="17"/>
  <c r="CO145" i="17"/>
  <c r="CP145" i="17"/>
  <c r="CQ145" i="17"/>
  <c r="CR145" i="17"/>
  <c r="CS145" i="17"/>
  <c r="CT145" i="17"/>
  <c r="CU145" i="17"/>
  <c r="CV145" i="17"/>
  <c r="CW145" i="17"/>
  <c r="CX145" i="17"/>
  <c r="CY145" i="17"/>
  <c r="CZ145" i="17"/>
  <c r="DA145" i="17"/>
  <c r="DB145" i="17"/>
  <c r="DC145" i="17"/>
  <c r="DD145" i="17"/>
  <c r="DE145" i="17"/>
  <c r="DF145" i="17"/>
  <c r="DG145" i="17"/>
  <c r="DH145" i="17"/>
  <c r="DI145" i="17"/>
  <c r="DJ145" i="17"/>
  <c r="DK145" i="17"/>
  <c r="DL145" i="17"/>
  <c r="DM145" i="17"/>
  <c r="DN145" i="17"/>
  <c r="DO145" i="17"/>
  <c r="DP145" i="17"/>
  <c r="DQ145" i="17"/>
  <c r="DR145" i="17"/>
  <c r="DS145" i="17"/>
  <c r="DT145" i="17"/>
  <c r="DU145" i="17"/>
  <c r="DV145" i="17"/>
  <c r="DW145" i="17"/>
  <c r="DX145" i="17"/>
  <c r="DY145" i="17"/>
  <c r="DZ145" i="17"/>
  <c r="EA145" i="17"/>
  <c r="EB145" i="17"/>
  <c r="EC145" i="17"/>
  <c r="ED145" i="17"/>
  <c r="EE145" i="17"/>
  <c r="EF145" i="17"/>
  <c r="EG145" i="17"/>
  <c r="EH145" i="17"/>
  <c r="EI145" i="17"/>
  <c r="EJ145" i="17"/>
  <c r="EK145" i="17"/>
  <c r="EL145" i="17"/>
  <c r="EM145" i="17"/>
  <c r="EN145" i="17"/>
  <c r="EO145" i="17"/>
  <c r="EP145" i="17"/>
  <c r="EQ145" i="17"/>
  <c r="ER145" i="17"/>
  <c r="ES145" i="17"/>
  <c r="ET145" i="17"/>
  <c r="EU145" i="17"/>
  <c r="EV145" i="17"/>
  <c r="EW145" i="17"/>
  <c r="EX145" i="17"/>
  <c r="EY145" i="17"/>
  <c r="EZ145" i="17"/>
  <c r="FA145" i="17"/>
  <c r="FB145" i="17"/>
  <c r="FC145" i="17"/>
  <c r="FD145" i="17"/>
  <c r="FE145" i="17"/>
  <c r="FF145" i="17"/>
  <c r="FG145" i="17"/>
  <c r="FH145" i="17"/>
  <c r="FI145" i="17"/>
  <c r="FJ145" i="17"/>
  <c r="FK145" i="17"/>
  <c r="FL145" i="17"/>
  <c r="FM145" i="17"/>
  <c r="FN145" i="17"/>
  <c r="FO145" i="17"/>
  <c r="FP145" i="17"/>
  <c r="FQ145" i="17"/>
  <c r="FR145" i="17"/>
  <c r="FS145" i="17"/>
  <c r="FT145" i="17"/>
  <c r="FU145" i="17"/>
  <c r="FV145" i="17"/>
  <c r="FW145" i="17"/>
  <c r="FX145" i="17"/>
  <c r="FY145" i="17"/>
  <c r="FZ145" i="17"/>
  <c r="GA145" i="17"/>
  <c r="GB145" i="17"/>
  <c r="GC145" i="17"/>
  <c r="GD145" i="17"/>
  <c r="GE145" i="17"/>
  <c r="GF145" i="17"/>
  <c r="GG145" i="17"/>
  <c r="GH145" i="17"/>
  <c r="GI145" i="17"/>
  <c r="GJ145" i="17"/>
  <c r="GK145" i="17"/>
  <c r="GL145" i="17"/>
  <c r="GM145" i="17"/>
  <c r="GN145" i="17"/>
  <c r="GO145" i="17"/>
  <c r="GP145" i="17"/>
  <c r="GQ145" i="17"/>
  <c r="GR145" i="17"/>
  <c r="GS145" i="17"/>
  <c r="GT145" i="17"/>
  <c r="GU145" i="17"/>
  <c r="GV145" i="17"/>
  <c r="GW145" i="17"/>
  <c r="GX145" i="17"/>
  <c r="GY145" i="17"/>
  <c r="GZ145" i="17"/>
  <c r="HA145" i="17"/>
  <c r="HB145" i="17"/>
  <c r="HC145" i="17"/>
  <c r="HD145" i="17"/>
  <c r="HE145" i="17"/>
  <c r="HF145" i="17"/>
  <c r="HG145" i="17"/>
  <c r="HH145" i="17"/>
  <c r="HI145" i="17"/>
  <c r="HJ145" i="17"/>
  <c r="HK145" i="17"/>
  <c r="HL145" i="17"/>
  <c r="HM145" i="17"/>
  <c r="HN145" i="17"/>
  <c r="HO145" i="17"/>
  <c r="HP145" i="17"/>
  <c r="HQ145" i="17"/>
  <c r="HR145" i="17"/>
  <c r="HS145" i="17"/>
  <c r="HT145" i="17"/>
  <c r="HU145" i="17"/>
  <c r="HV145" i="17"/>
  <c r="HW145" i="17"/>
  <c r="HX145" i="17"/>
  <c r="HY145" i="17"/>
  <c r="HZ145" i="17"/>
  <c r="IA145" i="17"/>
  <c r="IB145" i="17"/>
  <c r="IC145" i="17"/>
  <c r="ID145" i="17"/>
  <c r="IE145" i="17"/>
  <c r="IF145" i="17"/>
  <c r="IG145" i="17"/>
  <c r="IH145" i="17"/>
  <c r="II145" i="17"/>
  <c r="IJ145" i="17"/>
  <c r="IK145" i="17"/>
  <c r="IL145" i="17"/>
  <c r="IM145" i="17"/>
  <c r="IN145" i="17"/>
  <c r="IO145" i="17"/>
  <c r="IP145" i="17"/>
  <c r="IQ145" i="17"/>
  <c r="IR145" i="17"/>
  <c r="IS145" i="17"/>
  <c r="IT145" i="17"/>
  <c r="IU145" i="17"/>
  <c r="IV145" i="17"/>
  <c r="A144" i="17"/>
  <c r="B144" i="17"/>
  <c r="C144" i="17"/>
  <c r="D144" i="17"/>
  <c r="E144" i="17"/>
  <c r="F144" i="17"/>
  <c r="G144" i="17"/>
  <c r="H144" i="17"/>
  <c r="I144" i="17"/>
  <c r="J144" i="17"/>
  <c r="K144" i="17"/>
  <c r="L144" i="17"/>
  <c r="M144" i="17"/>
  <c r="N144" i="17"/>
  <c r="O144" i="17"/>
  <c r="P144" i="17"/>
  <c r="Q144" i="17"/>
  <c r="R144" i="17"/>
  <c r="S144" i="17"/>
  <c r="T144" i="17"/>
  <c r="U144" i="17"/>
  <c r="V144" i="17"/>
  <c r="W144" i="17"/>
  <c r="X144" i="17"/>
  <c r="Y144" i="17"/>
  <c r="Z144" i="17"/>
  <c r="AA144" i="17"/>
  <c r="AB144" i="17"/>
  <c r="AC144" i="17"/>
  <c r="AD144" i="17"/>
  <c r="AE144" i="17"/>
  <c r="AF144" i="17"/>
  <c r="AG144" i="17"/>
  <c r="AH144" i="17"/>
  <c r="AI144" i="17"/>
  <c r="AJ144" i="17"/>
  <c r="AK144" i="17"/>
  <c r="AL144" i="17"/>
  <c r="AM144" i="17"/>
  <c r="AN144" i="17"/>
  <c r="AO144" i="17"/>
  <c r="AP144" i="17"/>
  <c r="AQ144" i="17"/>
  <c r="AR144" i="17"/>
  <c r="AS144" i="17"/>
  <c r="AT144" i="17"/>
  <c r="AU144" i="17"/>
  <c r="AV144" i="17"/>
  <c r="AW144" i="17"/>
  <c r="AX144" i="17"/>
  <c r="AY144" i="17"/>
  <c r="AZ144" i="17"/>
  <c r="BA144" i="17"/>
  <c r="BB144" i="17"/>
  <c r="BC144" i="17"/>
  <c r="BD144" i="17"/>
  <c r="BE144" i="17"/>
  <c r="BF144" i="17"/>
  <c r="BG144" i="17"/>
  <c r="BH144" i="17"/>
  <c r="BI144" i="17"/>
  <c r="BJ144" i="17"/>
  <c r="BK144" i="17"/>
  <c r="BL144" i="17"/>
  <c r="BM144" i="17"/>
  <c r="BN144" i="17"/>
  <c r="BO144" i="17"/>
  <c r="BP144" i="17"/>
  <c r="BQ144" i="17"/>
  <c r="BR144" i="17"/>
  <c r="BS144" i="17"/>
  <c r="BT144" i="17"/>
  <c r="BU144" i="17"/>
  <c r="BV144" i="17"/>
  <c r="BW144" i="17"/>
  <c r="BX144" i="17"/>
  <c r="BY144" i="17"/>
  <c r="BZ144" i="17"/>
  <c r="CA144" i="17"/>
  <c r="CB144" i="17"/>
  <c r="CC144" i="17"/>
  <c r="CD144" i="17"/>
  <c r="CE144" i="17"/>
  <c r="CF144" i="17"/>
  <c r="CG144" i="17"/>
  <c r="CH144" i="17"/>
  <c r="CI144" i="17"/>
  <c r="CJ144" i="17"/>
  <c r="CK144" i="17"/>
  <c r="CL144" i="17"/>
  <c r="CM144" i="17"/>
  <c r="CN144" i="17"/>
  <c r="CO144" i="17"/>
  <c r="CP144" i="17"/>
  <c r="CQ144" i="17"/>
  <c r="CR144" i="17"/>
  <c r="CS144" i="17"/>
  <c r="CT144" i="17"/>
  <c r="CU144" i="17"/>
  <c r="CV144" i="17"/>
  <c r="CW144" i="17"/>
  <c r="CX144" i="17"/>
  <c r="CY144" i="17"/>
  <c r="CZ144" i="17"/>
  <c r="DA144" i="17"/>
  <c r="DB144" i="17"/>
  <c r="DC144" i="17"/>
  <c r="DD144" i="17"/>
  <c r="DE144" i="17"/>
  <c r="DF144" i="17"/>
  <c r="DG144" i="17"/>
  <c r="DH144" i="17"/>
  <c r="DI144" i="17"/>
  <c r="DJ144" i="17"/>
  <c r="DK144" i="17"/>
  <c r="DL144" i="17"/>
  <c r="DM144" i="17"/>
  <c r="DN144" i="17"/>
  <c r="DO144" i="17"/>
  <c r="DP144" i="17"/>
  <c r="DQ144" i="17"/>
  <c r="DR144" i="17"/>
  <c r="DS144" i="17"/>
  <c r="DT144" i="17"/>
  <c r="DU144" i="17"/>
  <c r="DV144" i="17"/>
  <c r="DW144" i="17"/>
  <c r="DX144" i="17"/>
  <c r="DY144" i="17"/>
  <c r="DZ144" i="17"/>
  <c r="EA144" i="17"/>
  <c r="EB144" i="17"/>
  <c r="EC144" i="17"/>
  <c r="ED144" i="17"/>
  <c r="EE144" i="17"/>
  <c r="EF144" i="17"/>
  <c r="EG144" i="17"/>
  <c r="EH144" i="17"/>
  <c r="EI144" i="17"/>
  <c r="EJ144" i="17"/>
  <c r="EK144" i="17"/>
  <c r="EL144" i="17"/>
  <c r="EM144" i="17"/>
  <c r="EN144" i="17"/>
  <c r="EO144" i="17"/>
  <c r="EP144" i="17"/>
  <c r="EQ144" i="17"/>
  <c r="ER144" i="17"/>
  <c r="ES144" i="17"/>
  <c r="ET144" i="17"/>
  <c r="EU144" i="17"/>
  <c r="EV144" i="17"/>
  <c r="EW144" i="17"/>
  <c r="EX144" i="17"/>
  <c r="EY144" i="17"/>
  <c r="EZ144" i="17"/>
  <c r="FA144" i="17"/>
  <c r="FB144" i="17"/>
  <c r="FC144" i="17"/>
  <c r="FD144" i="17"/>
  <c r="FE144" i="17"/>
  <c r="FF144" i="17"/>
  <c r="FG144" i="17"/>
  <c r="FH144" i="17"/>
  <c r="FI144" i="17"/>
  <c r="FJ144" i="17"/>
  <c r="FK144" i="17"/>
  <c r="FL144" i="17"/>
  <c r="FM144" i="17"/>
  <c r="FN144" i="17"/>
  <c r="FO144" i="17"/>
  <c r="FP144" i="17"/>
  <c r="FQ144" i="17"/>
  <c r="FR144" i="17"/>
  <c r="FS144" i="17"/>
  <c r="FT144" i="17"/>
  <c r="FU144" i="17"/>
  <c r="FV144" i="17"/>
  <c r="FW144" i="17"/>
  <c r="FX144" i="17"/>
  <c r="FY144" i="17"/>
  <c r="FZ144" i="17"/>
  <c r="GA144" i="17"/>
  <c r="GB144" i="17"/>
  <c r="GC144" i="17"/>
  <c r="GD144" i="17"/>
  <c r="GE144" i="17"/>
  <c r="GF144" i="17"/>
  <c r="GG144" i="17"/>
  <c r="GH144" i="17"/>
  <c r="GI144" i="17"/>
  <c r="GJ144" i="17"/>
  <c r="GK144" i="17"/>
  <c r="GL144" i="17"/>
  <c r="GM144" i="17"/>
  <c r="GN144" i="17"/>
  <c r="GO144" i="17"/>
  <c r="GP144" i="17"/>
  <c r="GQ144" i="17"/>
  <c r="GR144" i="17"/>
  <c r="GS144" i="17"/>
  <c r="GT144" i="17"/>
  <c r="GU144" i="17"/>
  <c r="GV144" i="17"/>
  <c r="GW144" i="17"/>
  <c r="GX144" i="17"/>
  <c r="GY144" i="17"/>
  <c r="GZ144" i="17"/>
  <c r="HA144" i="17"/>
  <c r="HB144" i="17"/>
  <c r="HC144" i="17"/>
  <c r="HD144" i="17"/>
  <c r="HE144" i="17"/>
  <c r="HF144" i="17"/>
  <c r="HG144" i="17"/>
  <c r="HH144" i="17"/>
  <c r="HI144" i="17"/>
  <c r="HJ144" i="17"/>
  <c r="HK144" i="17"/>
  <c r="HL144" i="17"/>
  <c r="HM144" i="17"/>
  <c r="HN144" i="17"/>
  <c r="HO144" i="17"/>
  <c r="HP144" i="17"/>
  <c r="HQ144" i="17"/>
  <c r="HR144" i="17"/>
  <c r="HS144" i="17"/>
  <c r="HT144" i="17"/>
  <c r="HU144" i="17"/>
  <c r="HV144" i="17"/>
  <c r="HW144" i="17"/>
  <c r="HX144" i="17"/>
  <c r="HY144" i="17"/>
  <c r="HZ144" i="17"/>
  <c r="IA144" i="17"/>
  <c r="IB144" i="17"/>
  <c r="IC144" i="17"/>
  <c r="ID144" i="17"/>
  <c r="IE144" i="17"/>
  <c r="IF144" i="17"/>
  <c r="IG144" i="17"/>
  <c r="IH144" i="17"/>
  <c r="II144" i="17"/>
  <c r="IJ144" i="17"/>
  <c r="IK144" i="17"/>
  <c r="IL144" i="17"/>
  <c r="IM144" i="17"/>
  <c r="IN144" i="17"/>
  <c r="IO144" i="17"/>
  <c r="IP144" i="17"/>
  <c r="IQ144" i="17"/>
  <c r="IR144" i="17"/>
  <c r="IS144" i="17"/>
  <c r="IT144" i="17"/>
  <c r="IU144" i="17"/>
  <c r="IV144" i="17"/>
  <c r="A143" i="17"/>
  <c r="B143" i="17"/>
  <c r="C143" i="17"/>
  <c r="D143" i="17"/>
  <c r="E143" i="17"/>
  <c r="F143" i="17"/>
  <c r="G143" i="17"/>
  <c r="H143" i="17"/>
  <c r="I143" i="17"/>
  <c r="J143" i="17"/>
  <c r="K143" i="17"/>
  <c r="L143" i="17"/>
  <c r="M143" i="17"/>
  <c r="N143" i="17"/>
  <c r="O143" i="17"/>
  <c r="P143" i="17"/>
  <c r="Q143" i="17"/>
  <c r="R143" i="17"/>
  <c r="S143" i="17"/>
  <c r="T143" i="17"/>
  <c r="U143" i="17"/>
  <c r="V143" i="17"/>
  <c r="W143" i="17"/>
  <c r="X143" i="17"/>
  <c r="Y143" i="17"/>
  <c r="Z143" i="17"/>
  <c r="AA143" i="17"/>
  <c r="AB143" i="17"/>
  <c r="AC143" i="17"/>
  <c r="AD143" i="17"/>
  <c r="AE143" i="17"/>
  <c r="AF143" i="17"/>
  <c r="AG143" i="17"/>
  <c r="AH143" i="17"/>
  <c r="AI143" i="17"/>
  <c r="AJ143" i="17"/>
  <c r="AK143" i="17"/>
  <c r="AL143" i="17"/>
  <c r="AM143" i="17"/>
  <c r="AN143" i="17"/>
  <c r="AO143" i="17"/>
  <c r="AP143" i="17"/>
  <c r="AQ143" i="17"/>
  <c r="AR143" i="17"/>
  <c r="AS143" i="17"/>
  <c r="AT143" i="17"/>
  <c r="AU143" i="17"/>
  <c r="AV143" i="17"/>
  <c r="AW143" i="17"/>
  <c r="AX143" i="17"/>
  <c r="AY143" i="17"/>
  <c r="AZ143" i="17"/>
  <c r="BA143" i="17"/>
  <c r="BB143" i="17"/>
  <c r="BC143" i="17"/>
  <c r="BD143" i="17"/>
  <c r="BE143" i="17"/>
  <c r="BF143" i="17"/>
  <c r="BG143" i="17"/>
  <c r="BH143" i="17"/>
  <c r="BI143" i="17"/>
  <c r="BJ143" i="17"/>
  <c r="BK143" i="17"/>
  <c r="BL143" i="17"/>
  <c r="BM143" i="17"/>
  <c r="BN143" i="17"/>
  <c r="BO143" i="17"/>
  <c r="BP143" i="17"/>
  <c r="BQ143" i="17"/>
  <c r="BR143" i="17"/>
  <c r="BS143" i="17"/>
  <c r="BT143" i="17"/>
  <c r="BU143" i="17"/>
  <c r="BV143" i="17"/>
  <c r="BW143" i="17"/>
  <c r="BX143" i="17"/>
  <c r="BY143" i="17"/>
  <c r="BZ143" i="17"/>
  <c r="CA143" i="17"/>
  <c r="CB143" i="17"/>
  <c r="CC143" i="17"/>
  <c r="CD143" i="17"/>
  <c r="CE143" i="17"/>
  <c r="CF143" i="17"/>
  <c r="CG143" i="17"/>
  <c r="CH143" i="17"/>
  <c r="CI143" i="17"/>
  <c r="CJ143" i="17"/>
  <c r="CK143" i="17"/>
  <c r="CL143" i="17"/>
  <c r="CM143" i="17"/>
  <c r="CN143" i="17"/>
  <c r="CO143" i="17"/>
  <c r="CP143" i="17"/>
  <c r="CQ143" i="17"/>
  <c r="CR143" i="17"/>
  <c r="CS143" i="17"/>
  <c r="CT143" i="17"/>
  <c r="CU143" i="17"/>
  <c r="CV143" i="17"/>
  <c r="CW143" i="17"/>
  <c r="CX143" i="17"/>
  <c r="CY143" i="17"/>
  <c r="CZ143" i="17"/>
  <c r="DA143" i="17"/>
  <c r="DB143" i="17"/>
  <c r="DC143" i="17"/>
  <c r="DD143" i="17"/>
  <c r="DE143" i="17"/>
  <c r="DF143" i="17"/>
  <c r="DG143" i="17"/>
  <c r="DH143" i="17"/>
  <c r="DI143" i="17"/>
  <c r="DJ143" i="17"/>
  <c r="DK143" i="17"/>
  <c r="DL143" i="17"/>
  <c r="DM143" i="17"/>
  <c r="DN143" i="17"/>
  <c r="DO143" i="17"/>
  <c r="DP143" i="17"/>
  <c r="DQ143" i="17"/>
  <c r="DR143" i="17"/>
  <c r="DS143" i="17"/>
  <c r="DT143" i="17"/>
  <c r="DU143" i="17"/>
  <c r="DV143" i="17"/>
  <c r="DW143" i="17"/>
  <c r="DX143" i="17"/>
  <c r="DY143" i="17"/>
  <c r="DZ143" i="17"/>
  <c r="EA143" i="17"/>
  <c r="EB143" i="17"/>
  <c r="EC143" i="17"/>
  <c r="ED143" i="17"/>
  <c r="EE143" i="17"/>
  <c r="EF143" i="17"/>
  <c r="EG143" i="17"/>
  <c r="EH143" i="17"/>
  <c r="EI143" i="17"/>
  <c r="EJ143" i="17"/>
  <c r="EK143" i="17"/>
  <c r="EL143" i="17"/>
  <c r="EM143" i="17"/>
  <c r="EN143" i="17"/>
  <c r="EO143" i="17"/>
  <c r="EP143" i="17"/>
  <c r="EQ143" i="17"/>
  <c r="ER143" i="17"/>
  <c r="ES143" i="17"/>
  <c r="ET143" i="17"/>
  <c r="EU143" i="17"/>
  <c r="EV143" i="17"/>
  <c r="EW143" i="17"/>
  <c r="EX143" i="17"/>
  <c r="EY143" i="17"/>
  <c r="EZ143" i="17"/>
  <c r="FA143" i="17"/>
  <c r="FB143" i="17"/>
  <c r="FC143" i="17"/>
  <c r="FD143" i="17"/>
  <c r="FE143" i="17"/>
  <c r="FF143" i="17"/>
  <c r="FG143" i="17"/>
  <c r="FH143" i="17"/>
  <c r="FI143" i="17"/>
  <c r="FJ143" i="17"/>
  <c r="FK143" i="17"/>
  <c r="FL143" i="17"/>
  <c r="FM143" i="17"/>
  <c r="FN143" i="17"/>
  <c r="FO143" i="17"/>
  <c r="FP143" i="17"/>
  <c r="FQ143" i="17"/>
  <c r="FR143" i="17"/>
  <c r="FS143" i="17"/>
  <c r="FT143" i="17"/>
  <c r="FU143" i="17"/>
  <c r="FV143" i="17"/>
  <c r="FW143" i="17"/>
  <c r="FX143" i="17"/>
  <c r="FY143" i="17"/>
  <c r="FZ143" i="17"/>
  <c r="GA143" i="17"/>
  <c r="GB143" i="17"/>
  <c r="GC143" i="17"/>
  <c r="GD143" i="17"/>
  <c r="GE143" i="17"/>
  <c r="GF143" i="17"/>
  <c r="GG143" i="17"/>
  <c r="GH143" i="17"/>
  <c r="GI143" i="17"/>
  <c r="GJ143" i="17"/>
  <c r="GK143" i="17"/>
  <c r="GL143" i="17"/>
  <c r="GM143" i="17"/>
  <c r="GN143" i="17"/>
  <c r="GO143" i="17"/>
  <c r="GP143" i="17"/>
  <c r="GQ143" i="17"/>
  <c r="GR143" i="17"/>
  <c r="GS143" i="17"/>
  <c r="GT143" i="17"/>
  <c r="GU143" i="17"/>
  <c r="GV143" i="17"/>
  <c r="GW143" i="17"/>
  <c r="GX143" i="17"/>
  <c r="GY143" i="17"/>
  <c r="GZ143" i="17"/>
  <c r="HA143" i="17"/>
  <c r="HB143" i="17"/>
  <c r="HC143" i="17"/>
  <c r="HD143" i="17"/>
  <c r="HE143" i="17"/>
  <c r="HF143" i="17"/>
  <c r="HG143" i="17"/>
  <c r="HH143" i="17"/>
  <c r="HI143" i="17"/>
  <c r="HJ143" i="17"/>
  <c r="HK143" i="17"/>
  <c r="HL143" i="17"/>
  <c r="HM143" i="17"/>
  <c r="HN143" i="17"/>
  <c r="HO143" i="17"/>
  <c r="HP143" i="17"/>
  <c r="HQ143" i="17"/>
  <c r="HR143" i="17"/>
  <c r="HS143" i="17"/>
  <c r="HT143" i="17"/>
  <c r="HU143" i="17"/>
  <c r="HV143" i="17"/>
  <c r="HW143" i="17"/>
  <c r="HX143" i="17"/>
  <c r="HY143" i="17"/>
  <c r="HZ143" i="17"/>
  <c r="IA143" i="17"/>
  <c r="IB143" i="17"/>
  <c r="IC143" i="17"/>
  <c r="ID143" i="17"/>
  <c r="IE143" i="17"/>
  <c r="IF143" i="17"/>
  <c r="IG143" i="17"/>
  <c r="IH143" i="17"/>
  <c r="II143" i="17"/>
  <c r="IJ143" i="17"/>
  <c r="IK143" i="17"/>
  <c r="IL143" i="17"/>
  <c r="IM143" i="17"/>
  <c r="IN143" i="17"/>
  <c r="IO143" i="17"/>
  <c r="IP143" i="17"/>
  <c r="IQ143" i="17"/>
  <c r="IR143" i="17"/>
  <c r="IS143" i="17"/>
  <c r="IT143" i="17"/>
  <c r="IU143" i="17"/>
  <c r="IV143" i="17"/>
  <c r="A142" i="17"/>
  <c r="B142" i="17"/>
  <c r="C142" i="17"/>
  <c r="D142" i="17"/>
  <c r="E142" i="17"/>
  <c r="F142" i="17"/>
  <c r="G142" i="17"/>
  <c r="H142" i="17"/>
  <c r="I142" i="17"/>
  <c r="J142" i="17"/>
  <c r="L142" i="17"/>
  <c r="M142" i="17"/>
  <c r="N142" i="17"/>
  <c r="O142" i="17"/>
  <c r="P142" i="17"/>
  <c r="Q142" i="17"/>
  <c r="R142" i="17"/>
  <c r="S142" i="17"/>
  <c r="T142" i="17"/>
  <c r="U142" i="17"/>
  <c r="V142" i="17"/>
  <c r="W142" i="17"/>
  <c r="X142" i="17"/>
  <c r="Y142" i="17"/>
  <c r="Z142" i="17"/>
  <c r="AA142" i="17"/>
  <c r="AB142" i="17"/>
  <c r="AC142" i="17"/>
  <c r="AD142" i="17"/>
  <c r="AE142" i="17"/>
  <c r="AF142" i="17"/>
  <c r="AG142" i="17"/>
  <c r="AH142" i="17"/>
  <c r="AI142" i="17"/>
  <c r="AJ142" i="17"/>
  <c r="AK142" i="17"/>
  <c r="AL142" i="17"/>
  <c r="AM142" i="17"/>
  <c r="AN142" i="17"/>
  <c r="AO142" i="17"/>
  <c r="AP142" i="17"/>
  <c r="AQ142" i="17"/>
  <c r="AR142" i="17"/>
  <c r="AS142" i="17"/>
  <c r="AT142" i="17"/>
  <c r="AU142" i="17"/>
  <c r="AV142" i="17"/>
  <c r="AW142" i="17"/>
  <c r="AX142" i="17"/>
  <c r="AY142" i="17"/>
  <c r="AZ142" i="17"/>
  <c r="BA142" i="17"/>
  <c r="BB142" i="17"/>
  <c r="BC142" i="17"/>
  <c r="BD142" i="17"/>
  <c r="BE142" i="17"/>
  <c r="BF142" i="17"/>
  <c r="BG142" i="17"/>
  <c r="BH142" i="17"/>
  <c r="BI142" i="17"/>
  <c r="BJ142" i="17"/>
  <c r="BK142" i="17"/>
  <c r="BL142" i="17"/>
  <c r="BM142" i="17"/>
  <c r="BN142" i="17"/>
  <c r="BO142" i="17"/>
  <c r="BP142" i="17"/>
  <c r="BQ142" i="17"/>
  <c r="BR142" i="17"/>
  <c r="BS142" i="17"/>
  <c r="BT142" i="17"/>
  <c r="BU142" i="17"/>
  <c r="BV142" i="17"/>
  <c r="BW142" i="17"/>
  <c r="BX142" i="17"/>
  <c r="BY142" i="17"/>
  <c r="BZ142" i="17"/>
  <c r="CA142" i="17"/>
  <c r="CB142" i="17"/>
  <c r="CC142" i="17"/>
  <c r="CD142" i="17"/>
  <c r="CE142" i="17"/>
  <c r="CF142" i="17"/>
  <c r="CG142" i="17"/>
  <c r="CH142" i="17"/>
  <c r="CI142" i="17"/>
  <c r="CJ142" i="17"/>
  <c r="CK142" i="17"/>
  <c r="CL142" i="17"/>
  <c r="CM142" i="17"/>
  <c r="CN142" i="17"/>
  <c r="CO142" i="17"/>
  <c r="CP142" i="17"/>
  <c r="CQ142" i="17"/>
  <c r="CR142" i="17"/>
  <c r="CS142" i="17"/>
  <c r="CT142" i="17"/>
  <c r="CU142" i="17"/>
  <c r="CV142" i="17"/>
  <c r="CW142" i="17"/>
  <c r="CX142" i="17"/>
  <c r="CY142" i="17"/>
  <c r="CZ142" i="17"/>
  <c r="DA142" i="17"/>
  <c r="DB142" i="17"/>
  <c r="DC142" i="17"/>
  <c r="DD142" i="17"/>
  <c r="DE142" i="17"/>
  <c r="DF142" i="17"/>
  <c r="DG142" i="17"/>
  <c r="DH142" i="17"/>
  <c r="DI142" i="17"/>
  <c r="DJ142" i="17"/>
  <c r="DK142" i="17"/>
  <c r="DL142" i="17"/>
  <c r="DM142" i="17"/>
  <c r="DN142" i="17"/>
  <c r="DO142" i="17"/>
  <c r="DP142" i="17"/>
  <c r="DQ142" i="17"/>
  <c r="DR142" i="17"/>
  <c r="DS142" i="17"/>
  <c r="DT142" i="17"/>
  <c r="DU142" i="17"/>
  <c r="DV142" i="17"/>
  <c r="DW142" i="17"/>
  <c r="DX142" i="17"/>
  <c r="DY142" i="17"/>
  <c r="DZ142" i="17"/>
  <c r="EA142" i="17"/>
  <c r="EB142" i="17"/>
  <c r="EC142" i="17"/>
  <c r="ED142" i="17"/>
  <c r="EE142" i="17"/>
  <c r="EF142" i="17"/>
  <c r="EG142" i="17"/>
  <c r="EH142" i="17"/>
  <c r="EI142" i="17"/>
  <c r="EJ142" i="17"/>
  <c r="EK142" i="17"/>
  <c r="EL142" i="17"/>
  <c r="EM142" i="17"/>
  <c r="EN142" i="17"/>
  <c r="EO142" i="17"/>
  <c r="EP142" i="17"/>
  <c r="EQ142" i="17"/>
  <c r="ER142" i="17"/>
  <c r="ES142" i="17"/>
  <c r="ET142" i="17"/>
  <c r="EU142" i="17"/>
  <c r="EV142" i="17"/>
  <c r="EW142" i="17"/>
  <c r="EX142" i="17"/>
  <c r="EY142" i="17"/>
  <c r="EZ142" i="17"/>
  <c r="FA142" i="17"/>
  <c r="FB142" i="17"/>
  <c r="FC142" i="17"/>
  <c r="FD142" i="17"/>
  <c r="FE142" i="17"/>
  <c r="FF142" i="17"/>
  <c r="FG142" i="17"/>
  <c r="FH142" i="17"/>
  <c r="FI142" i="17"/>
  <c r="FJ142" i="17"/>
  <c r="FK142" i="17"/>
  <c r="FL142" i="17"/>
  <c r="FM142" i="17"/>
  <c r="FN142" i="17"/>
  <c r="FO142" i="17"/>
  <c r="FP142" i="17"/>
  <c r="FQ142" i="17"/>
  <c r="FR142" i="17"/>
  <c r="FS142" i="17"/>
  <c r="FT142" i="17"/>
  <c r="FU142" i="17"/>
  <c r="FV142" i="17"/>
  <c r="FW142" i="17"/>
  <c r="FX142" i="17"/>
  <c r="FY142" i="17"/>
  <c r="FZ142" i="17"/>
  <c r="GA142" i="17"/>
  <c r="GB142" i="17"/>
  <c r="GC142" i="17"/>
  <c r="GD142" i="17"/>
  <c r="GE142" i="17"/>
  <c r="GF142" i="17"/>
  <c r="GG142" i="17"/>
  <c r="GH142" i="17"/>
  <c r="GI142" i="17"/>
  <c r="GJ142" i="17"/>
  <c r="GK142" i="17"/>
  <c r="GL142" i="17"/>
  <c r="GM142" i="17"/>
  <c r="GN142" i="17"/>
  <c r="GO142" i="17"/>
  <c r="GP142" i="17"/>
  <c r="GQ142" i="17"/>
  <c r="GR142" i="17"/>
  <c r="GS142" i="17"/>
  <c r="GT142" i="17"/>
  <c r="GU142" i="17"/>
  <c r="GV142" i="17"/>
  <c r="GW142" i="17"/>
  <c r="GX142" i="17"/>
  <c r="GY142" i="17"/>
  <c r="GZ142" i="17"/>
  <c r="HA142" i="17"/>
  <c r="HB142" i="17"/>
  <c r="HC142" i="17"/>
  <c r="HD142" i="17"/>
  <c r="HE142" i="17"/>
  <c r="HF142" i="17"/>
  <c r="HG142" i="17"/>
  <c r="HH142" i="17"/>
  <c r="HI142" i="17"/>
  <c r="HJ142" i="17"/>
  <c r="HK142" i="17"/>
  <c r="HL142" i="17"/>
  <c r="HM142" i="17"/>
  <c r="HN142" i="17"/>
  <c r="HO142" i="17"/>
  <c r="HP142" i="17"/>
  <c r="HQ142" i="17"/>
  <c r="HR142" i="17"/>
  <c r="HS142" i="17"/>
  <c r="HT142" i="17"/>
  <c r="HU142" i="17"/>
  <c r="HV142" i="17"/>
  <c r="HW142" i="17"/>
  <c r="HX142" i="17"/>
  <c r="HY142" i="17"/>
  <c r="HZ142" i="17"/>
  <c r="IA142" i="17"/>
  <c r="IB142" i="17"/>
  <c r="IC142" i="17"/>
  <c r="ID142" i="17"/>
  <c r="IE142" i="17"/>
  <c r="IF142" i="17"/>
  <c r="IG142" i="17"/>
  <c r="IH142" i="17"/>
  <c r="II142" i="17"/>
  <c r="IJ142" i="17"/>
  <c r="IK142" i="17"/>
  <c r="IL142" i="17"/>
  <c r="IM142" i="17"/>
  <c r="IN142" i="17"/>
  <c r="IO142" i="17"/>
  <c r="IP142" i="17"/>
  <c r="IQ142" i="17"/>
  <c r="IR142" i="17"/>
  <c r="IS142" i="17"/>
  <c r="IT142" i="17"/>
  <c r="IU142" i="17"/>
  <c r="IV142" i="17"/>
  <c r="A141" i="17"/>
  <c r="B141" i="17"/>
  <c r="C141" i="17"/>
  <c r="D141" i="17"/>
  <c r="E141" i="17"/>
  <c r="F141" i="17"/>
  <c r="G141" i="17"/>
  <c r="H141" i="17"/>
  <c r="I141" i="17"/>
  <c r="J141" i="17"/>
  <c r="K141" i="17"/>
  <c r="L141" i="17"/>
  <c r="M141" i="17"/>
  <c r="N141" i="17"/>
  <c r="O141" i="17"/>
  <c r="P141" i="17"/>
  <c r="Q141" i="17"/>
  <c r="R141" i="17"/>
  <c r="S141" i="17"/>
  <c r="T141" i="17"/>
  <c r="U141" i="17"/>
  <c r="V141" i="17"/>
  <c r="W141" i="17"/>
  <c r="X141" i="17"/>
  <c r="Y141" i="17"/>
  <c r="Z141" i="17"/>
  <c r="AA141" i="17"/>
  <c r="AB141" i="17"/>
  <c r="AC141" i="17"/>
  <c r="AD141" i="17"/>
  <c r="AE141" i="17"/>
  <c r="AF141" i="17"/>
  <c r="AG141" i="17"/>
  <c r="AH141" i="17"/>
  <c r="AI141" i="17"/>
  <c r="AJ141" i="17"/>
  <c r="AK141" i="17"/>
  <c r="AL141" i="17"/>
  <c r="AM141" i="17"/>
  <c r="AN141" i="17"/>
  <c r="AO141" i="17"/>
  <c r="AP141" i="17"/>
  <c r="AQ141" i="17"/>
  <c r="AR141" i="17"/>
  <c r="AS141" i="17"/>
  <c r="AT141" i="17"/>
  <c r="AU141" i="17"/>
  <c r="AV141" i="17"/>
  <c r="AW141" i="17"/>
  <c r="AX141" i="17"/>
  <c r="AY141" i="17"/>
  <c r="AZ141" i="17"/>
  <c r="BA141" i="17"/>
  <c r="BB141" i="17"/>
  <c r="BC141" i="17"/>
  <c r="BD141" i="17"/>
  <c r="BE141" i="17"/>
  <c r="BF141" i="17"/>
  <c r="BG141" i="17"/>
  <c r="BH141" i="17"/>
  <c r="BI141" i="17"/>
  <c r="BJ141" i="17"/>
  <c r="BK141" i="17"/>
  <c r="BL141" i="17"/>
  <c r="BM141" i="17"/>
  <c r="BN141" i="17"/>
  <c r="BO141" i="17"/>
  <c r="BP141" i="17"/>
  <c r="BQ141" i="17"/>
  <c r="BR141" i="17"/>
  <c r="BS141" i="17"/>
  <c r="BT141" i="17"/>
  <c r="BU141" i="17"/>
  <c r="BV141" i="17"/>
  <c r="BW141" i="17"/>
  <c r="BX141" i="17"/>
  <c r="BY141" i="17"/>
  <c r="BZ141" i="17"/>
  <c r="CA141" i="17"/>
  <c r="CB141" i="17"/>
  <c r="CC141" i="17"/>
  <c r="CD141" i="17"/>
  <c r="CE141" i="17"/>
  <c r="CF141" i="17"/>
  <c r="CG141" i="17"/>
  <c r="CH141" i="17"/>
  <c r="CI141" i="17"/>
  <c r="CJ141" i="17"/>
  <c r="CK141" i="17"/>
  <c r="CL141" i="17"/>
  <c r="CM141" i="17"/>
  <c r="CN141" i="17"/>
  <c r="CO141" i="17"/>
  <c r="CP141" i="17"/>
  <c r="CQ141" i="17"/>
  <c r="CR141" i="17"/>
  <c r="CS141" i="17"/>
  <c r="CT141" i="17"/>
  <c r="CU141" i="17"/>
  <c r="CV141" i="17"/>
  <c r="CW141" i="17"/>
  <c r="CX141" i="17"/>
  <c r="CY141" i="17"/>
  <c r="CZ141" i="17"/>
  <c r="DA141" i="17"/>
  <c r="DB141" i="17"/>
  <c r="DC141" i="17"/>
  <c r="DD141" i="17"/>
  <c r="DE141" i="17"/>
  <c r="DF141" i="17"/>
  <c r="DG141" i="17"/>
  <c r="DH141" i="17"/>
  <c r="DI141" i="17"/>
  <c r="DJ141" i="17"/>
  <c r="DK141" i="17"/>
  <c r="DL141" i="17"/>
  <c r="DM141" i="17"/>
  <c r="DN141" i="17"/>
  <c r="DO141" i="17"/>
  <c r="DP141" i="17"/>
  <c r="DQ141" i="17"/>
  <c r="DR141" i="17"/>
  <c r="DS141" i="17"/>
  <c r="DT141" i="17"/>
  <c r="DU141" i="17"/>
  <c r="DV141" i="17"/>
  <c r="DW141" i="17"/>
  <c r="DX141" i="17"/>
  <c r="DY141" i="17"/>
  <c r="DZ141" i="17"/>
  <c r="EA141" i="17"/>
  <c r="EB141" i="17"/>
  <c r="EC141" i="17"/>
  <c r="ED141" i="17"/>
  <c r="EE141" i="17"/>
  <c r="EF141" i="17"/>
  <c r="EG141" i="17"/>
  <c r="EH141" i="17"/>
  <c r="EI141" i="17"/>
  <c r="EJ141" i="17"/>
  <c r="EK141" i="17"/>
  <c r="EL141" i="17"/>
  <c r="EM141" i="17"/>
  <c r="EN141" i="17"/>
  <c r="EO141" i="17"/>
  <c r="EP141" i="17"/>
  <c r="EQ141" i="17"/>
  <c r="ER141" i="17"/>
  <c r="ES141" i="17"/>
  <c r="ET141" i="17"/>
  <c r="EU141" i="17"/>
  <c r="EV141" i="17"/>
  <c r="EW141" i="17"/>
  <c r="EX141" i="17"/>
  <c r="EY141" i="17"/>
  <c r="EZ141" i="17"/>
  <c r="FA141" i="17"/>
  <c r="FB141" i="17"/>
  <c r="FC141" i="17"/>
  <c r="FD141" i="17"/>
  <c r="FE141" i="17"/>
  <c r="FF141" i="17"/>
  <c r="FG141" i="17"/>
  <c r="FH141" i="17"/>
  <c r="FI141" i="17"/>
  <c r="FJ141" i="17"/>
  <c r="FK141" i="17"/>
  <c r="FL141" i="17"/>
  <c r="FM141" i="17"/>
  <c r="FN141" i="17"/>
  <c r="FO141" i="17"/>
  <c r="FP141" i="17"/>
  <c r="FQ141" i="17"/>
  <c r="FR141" i="17"/>
  <c r="FS141" i="17"/>
  <c r="FT141" i="17"/>
  <c r="FU141" i="17"/>
  <c r="FV141" i="17"/>
  <c r="FW141" i="17"/>
  <c r="FX141" i="17"/>
  <c r="FY141" i="17"/>
  <c r="FZ141" i="17"/>
  <c r="GA141" i="17"/>
  <c r="GB141" i="17"/>
  <c r="GC141" i="17"/>
  <c r="GD141" i="17"/>
  <c r="GE141" i="17"/>
  <c r="GF141" i="17"/>
  <c r="GG141" i="17"/>
  <c r="GH141" i="17"/>
  <c r="GI141" i="17"/>
  <c r="GJ141" i="17"/>
  <c r="GK141" i="17"/>
  <c r="GL141" i="17"/>
  <c r="GM141" i="17"/>
  <c r="GN141" i="17"/>
  <c r="GO141" i="17"/>
  <c r="GP141" i="17"/>
  <c r="GQ141" i="17"/>
  <c r="GR141" i="17"/>
  <c r="GS141" i="17"/>
  <c r="GT141" i="17"/>
  <c r="GU141" i="17"/>
  <c r="GV141" i="17"/>
  <c r="GW141" i="17"/>
  <c r="GX141" i="17"/>
  <c r="GY141" i="17"/>
  <c r="GZ141" i="17"/>
  <c r="HA141" i="17"/>
  <c r="HB141" i="17"/>
  <c r="HC141" i="17"/>
  <c r="HD141" i="17"/>
  <c r="HE141" i="17"/>
  <c r="HF141" i="17"/>
  <c r="HG141" i="17"/>
  <c r="HH141" i="17"/>
  <c r="HI141" i="17"/>
  <c r="HJ141" i="17"/>
  <c r="HK141" i="17"/>
  <c r="HL141" i="17"/>
  <c r="HM141" i="17"/>
  <c r="HN141" i="17"/>
  <c r="HO141" i="17"/>
  <c r="HP141" i="17"/>
  <c r="HQ141" i="17"/>
  <c r="HR141" i="17"/>
  <c r="HS141" i="17"/>
  <c r="HT141" i="17"/>
  <c r="HU141" i="17"/>
  <c r="HV141" i="17"/>
  <c r="HW141" i="17"/>
  <c r="HX141" i="17"/>
  <c r="HY141" i="17"/>
  <c r="HZ141" i="17"/>
  <c r="IA141" i="17"/>
  <c r="IB141" i="17"/>
  <c r="IC141" i="17"/>
  <c r="ID141" i="17"/>
  <c r="IE141" i="17"/>
  <c r="IF141" i="17"/>
  <c r="IG141" i="17"/>
  <c r="IH141" i="17"/>
  <c r="II141" i="17"/>
  <c r="IJ141" i="17"/>
  <c r="IK141" i="17"/>
  <c r="IL141" i="17"/>
  <c r="IM141" i="17"/>
  <c r="IN141" i="17"/>
  <c r="IO141" i="17"/>
  <c r="IP141" i="17"/>
  <c r="IQ141" i="17"/>
  <c r="IR141" i="17"/>
  <c r="IS141" i="17"/>
  <c r="IT141" i="17"/>
  <c r="IU141" i="17"/>
  <c r="IV141" i="17"/>
  <c r="A140" i="17"/>
  <c r="B140" i="17"/>
  <c r="C140" i="17"/>
  <c r="D140" i="17"/>
  <c r="E140" i="17"/>
  <c r="F140" i="17"/>
  <c r="G140" i="17"/>
  <c r="H140" i="17"/>
  <c r="I140" i="17"/>
  <c r="J140" i="17"/>
  <c r="K140" i="17"/>
  <c r="L140" i="17"/>
  <c r="M140" i="17"/>
  <c r="N140" i="17"/>
  <c r="O140" i="17"/>
  <c r="P140" i="17"/>
  <c r="Q140" i="17"/>
  <c r="R140" i="17"/>
  <c r="S140" i="17"/>
  <c r="T140" i="17"/>
  <c r="U140" i="17"/>
  <c r="V140" i="17"/>
  <c r="W140" i="17"/>
  <c r="X140" i="17"/>
  <c r="Y140" i="17"/>
  <c r="Z140" i="17"/>
  <c r="AA140" i="17"/>
  <c r="AB140" i="17"/>
  <c r="AC140" i="17"/>
  <c r="AD140" i="17"/>
  <c r="AE140" i="17"/>
  <c r="AF140" i="17"/>
  <c r="AG140" i="17"/>
  <c r="AH140" i="17"/>
  <c r="AI140" i="17"/>
  <c r="AJ140" i="17"/>
  <c r="AK140" i="17"/>
  <c r="AL140" i="17"/>
  <c r="AM140" i="17"/>
  <c r="AN140" i="17"/>
  <c r="AO140" i="17"/>
  <c r="AP140" i="17"/>
  <c r="AQ140" i="17"/>
  <c r="AR140" i="17"/>
  <c r="AS140" i="17"/>
  <c r="AT140" i="17"/>
  <c r="AU140" i="17"/>
  <c r="AV140" i="17"/>
  <c r="AW140" i="17"/>
  <c r="AX140" i="17"/>
  <c r="AY140" i="17"/>
  <c r="AZ140" i="17"/>
  <c r="BA140" i="17"/>
  <c r="BB140" i="17"/>
  <c r="BC140" i="17"/>
  <c r="BD140" i="17"/>
  <c r="BE140" i="17"/>
  <c r="BF140" i="17"/>
  <c r="BG140" i="17"/>
  <c r="BH140" i="17"/>
  <c r="BI140" i="17"/>
  <c r="BJ140" i="17"/>
  <c r="BK140" i="17"/>
  <c r="BL140" i="17"/>
  <c r="BM140" i="17"/>
  <c r="BN140" i="17"/>
  <c r="BO140" i="17"/>
  <c r="BP140" i="17"/>
  <c r="BQ140" i="17"/>
  <c r="BR140" i="17"/>
  <c r="BS140" i="17"/>
  <c r="BT140" i="17"/>
  <c r="BU140" i="17"/>
  <c r="BV140" i="17"/>
  <c r="BW140" i="17"/>
  <c r="BX140" i="17"/>
  <c r="BY140" i="17"/>
  <c r="BZ140" i="17"/>
  <c r="CA140" i="17"/>
  <c r="CB140" i="17"/>
  <c r="CC140" i="17"/>
  <c r="CD140" i="17"/>
  <c r="CE140" i="17"/>
  <c r="CF140" i="17"/>
  <c r="CG140" i="17"/>
  <c r="CH140" i="17"/>
  <c r="CI140" i="17"/>
  <c r="CJ140" i="17"/>
  <c r="CK140" i="17"/>
  <c r="CL140" i="17"/>
  <c r="CM140" i="17"/>
  <c r="CN140" i="17"/>
  <c r="CO140" i="17"/>
  <c r="CP140" i="17"/>
  <c r="CQ140" i="17"/>
  <c r="CR140" i="17"/>
  <c r="CS140" i="17"/>
  <c r="CT140" i="17"/>
  <c r="CU140" i="17"/>
  <c r="CV140" i="17"/>
  <c r="CW140" i="17"/>
  <c r="CX140" i="17"/>
  <c r="CY140" i="17"/>
  <c r="CZ140" i="17"/>
  <c r="DA140" i="17"/>
  <c r="DB140" i="17"/>
  <c r="DC140" i="17"/>
  <c r="DD140" i="17"/>
  <c r="DE140" i="17"/>
  <c r="DF140" i="17"/>
  <c r="DG140" i="17"/>
  <c r="DH140" i="17"/>
  <c r="DI140" i="17"/>
  <c r="DJ140" i="17"/>
  <c r="DK140" i="17"/>
  <c r="DL140" i="17"/>
  <c r="DM140" i="17"/>
  <c r="DN140" i="17"/>
  <c r="DO140" i="17"/>
  <c r="DP140" i="17"/>
  <c r="DQ140" i="17"/>
  <c r="DR140" i="17"/>
  <c r="DS140" i="17"/>
  <c r="DT140" i="17"/>
  <c r="DU140" i="17"/>
  <c r="DV140" i="17"/>
  <c r="DW140" i="17"/>
  <c r="DX140" i="17"/>
  <c r="DY140" i="17"/>
  <c r="DZ140" i="17"/>
  <c r="EA140" i="17"/>
  <c r="EB140" i="17"/>
  <c r="EC140" i="17"/>
  <c r="ED140" i="17"/>
  <c r="EE140" i="17"/>
  <c r="EF140" i="17"/>
  <c r="EG140" i="17"/>
  <c r="EH140" i="17"/>
  <c r="EI140" i="17"/>
  <c r="EJ140" i="17"/>
  <c r="EK140" i="17"/>
  <c r="EL140" i="17"/>
  <c r="EM140" i="17"/>
  <c r="EN140" i="17"/>
  <c r="EO140" i="17"/>
  <c r="EP140" i="17"/>
  <c r="EQ140" i="17"/>
  <c r="ER140" i="17"/>
  <c r="ES140" i="17"/>
  <c r="ET140" i="17"/>
  <c r="EU140" i="17"/>
  <c r="EV140" i="17"/>
  <c r="EW140" i="17"/>
  <c r="EX140" i="17"/>
  <c r="EY140" i="17"/>
  <c r="EZ140" i="17"/>
  <c r="FA140" i="17"/>
  <c r="FB140" i="17"/>
  <c r="FC140" i="17"/>
  <c r="FD140" i="17"/>
  <c r="FE140" i="17"/>
  <c r="FF140" i="17"/>
  <c r="FG140" i="17"/>
  <c r="FH140" i="17"/>
  <c r="FI140" i="17"/>
  <c r="FJ140" i="17"/>
  <c r="FK140" i="17"/>
  <c r="FL140" i="17"/>
  <c r="FM140" i="17"/>
  <c r="FN140" i="17"/>
  <c r="FO140" i="17"/>
  <c r="FP140" i="17"/>
  <c r="FQ140" i="17"/>
  <c r="FR140" i="17"/>
  <c r="FS140" i="17"/>
  <c r="FT140" i="17"/>
  <c r="FU140" i="17"/>
  <c r="FV140" i="17"/>
  <c r="FW140" i="17"/>
  <c r="FX140" i="17"/>
  <c r="FY140" i="17"/>
  <c r="FZ140" i="17"/>
  <c r="GA140" i="17"/>
  <c r="GB140" i="17"/>
  <c r="GC140" i="17"/>
  <c r="GD140" i="17"/>
  <c r="GE140" i="17"/>
  <c r="GF140" i="17"/>
  <c r="GG140" i="17"/>
  <c r="GH140" i="17"/>
  <c r="GI140" i="17"/>
  <c r="GJ140" i="17"/>
  <c r="GK140" i="17"/>
  <c r="GL140" i="17"/>
  <c r="GM140" i="17"/>
  <c r="GN140" i="17"/>
  <c r="GO140" i="17"/>
  <c r="GP140" i="17"/>
  <c r="GQ140" i="17"/>
  <c r="GR140" i="17"/>
  <c r="GS140" i="17"/>
  <c r="GT140" i="17"/>
  <c r="GU140" i="17"/>
  <c r="GV140" i="17"/>
  <c r="GW140" i="17"/>
  <c r="GX140" i="17"/>
  <c r="GY140" i="17"/>
  <c r="GZ140" i="17"/>
  <c r="HA140" i="17"/>
  <c r="HB140" i="17"/>
  <c r="HC140" i="17"/>
  <c r="HD140" i="17"/>
  <c r="HE140" i="17"/>
  <c r="HF140" i="17"/>
  <c r="HG140" i="17"/>
  <c r="HH140" i="17"/>
  <c r="HI140" i="17"/>
  <c r="HJ140" i="17"/>
  <c r="HK140" i="17"/>
  <c r="HL140" i="17"/>
  <c r="HM140" i="17"/>
  <c r="HN140" i="17"/>
  <c r="HO140" i="17"/>
  <c r="HP140" i="17"/>
  <c r="HQ140" i="17"/>
  <c r="HR140" i="17"/>
  <c r="HS140" i="17"/>
  <c r="HT140" i="17"/>
  <c r="HU140" i="17"/>
  <c r="HV140" i="17"/>
  <c r="HW140" i="17"/>
  <c r="HX140" i="17"/>
  <c r="HY140" i="17"/>
  <c r="HZ140" i="17"/>
  <c r="IA140" i="17"/>
  <c r="IB140" i="17"/>
  <c r="IC140" i="17"/>
  <c r="ID140" i="17"/>
  <c r="IE140" i="17"/>
  <c r="IF140" i="17"/>
  <c r="IG140" i="17"/>
  <c r="IH140" i="17"/>
  <c r="II140" i="17"/>
  <c r="IJ140" i="17"/>
  <c r="IK140" i="17"/>
  <c r="IL140" i="17"/>
  <c r="IM140" i="17"/>
  <c r="IN140" i="17"/>
  <c r="IO140" i="17"/>
  <c r="IP140" i="17"/>
  <c r="IQ140" i="17"/>
  <c r="IR140" i="17"/>
  <c r="IS140" i="17"/>
  <c r="IT140" i="17"/>
  <c r="IU140" i="17"/>
  <c r="IV140" i="17"/>
  <c r="A139" i="17"/>
  <c r="B139" i="17"/>
  <c r="C139" i="17"/>
  <c r="D139" i="17"/>
  <c r="E139" i="17"/>
  <c r="F139" i="17"/>
  <c r="G139" i="17"/>
  <c r="H139" i="17"/>
  <c r="I139" i="17"/>
  <c r="J139" i="17"/>
  <c r="K139" i="17"/>
  <c r="L139" i="17"/>
  <c r="M139" i="17"/>
  <c r="N139" i="17"/>
  <c r="O139" i="17"/>
  <c r="P139" i="17"/>
  <c r="Q139" i="17"/>
  <c r="R139" i="17"/>
  <c r="S139" i="17"/>
  <c r="T139" i="17"/>
  <c r="U139" i="17"/>
  <c r="V139" i="17"/>
  <c r="W139" i="17"/>
  <c r="X139" i="17"/>
  <c r="Y139" i="17"/>
  <c r="Z139" i="17"/>
  <c r="AA139" i="17"/>
  <c r="AB139" i="17"/>
  <c r="AC139" i="17"/>
  <c r="AD139" i="17"/>
  <c r="AE139" i="17"/>
  <c r="AF139" i="17"/>
  <c r="AG139" i="17"/>
  <c r="AH139" i="17"/>
  <c r="AI139" i="17"/>
  <c r="AJ139" i="17"/>
  <c r="AK139" i="17"/>
  <c r="AL139" i="17"/>
  <c r="AM139" i="17"/>
  <c r="AN139" i="17"/>
  <c r="AO139" i="17"/>
  <c r="AP139" i="17"/>
  <c r="AQ139" i="17"/>
  <c r="AR139" i="17"/>
  <c r="AS139" i="17"/>
  <c r="AT139" i="17"/>
  <c r="AU139" i="17"/>
  <c r="AV139" i="17"/>
  <c r="AW139" i="17"/>
  <c r="AX139" i="17"/>
  <c r="AY139" i="17"/>
  <c r="AZ139" i="17"/>
  <c r="BA139" i="17"/>
  <c r="BB139" i="17"/>
  <c r="BC139" i="17"/>
  <c r="BD139" i="17"/>
  <c r="BE139" i="17"/>
  <c r="BF139" i="17"/>
  <c r="BG139" i="17"/>
  <c r="BH139" i="17"/>
  <c r="BI139" i="17"/>
  <c r="BJ139" i="17"/>
  <c r="BK139" i="17"/>
  <c r="BL139" i="17"/>
  <c r="BM139" i="17"/>
  <c r="BN139" i="17"/>
  <c r="BO139" i="17"/>
  <c r="BP139" i="17"/>
  <c r="BQ139" i="17"/>
  <c r="BR139" i="17"/>
  <c r="BS139" i="17"/>
  <c r="BT139" i="17"/>
  <c r="BU139" i="17"/>
  <c r="BV139" i="17"/>
  <c r="BW139" i="17"/>
  <c r="BX139" i="17"/>
  <c r="BY139" i="17"/>
  <c r="BZ139" i="17"/>
  <c r="CA139" i="17"/>
  <c r="CB139" i="17"/>
  <c r="CC139" i="17"/>
  <c r="CD139" i="17"/>
  <c r="CE139" i="17"/>
  <c r="CF139" i="17"/>
  <c r="CG139" i="17"/>
  <c r="CH139" i="17"/>
  <c r="CI139" i="17"/>
  <c r="CJ139" i="17"/>
  <c r="CK139" i="17"/>
  <c r="CL139" i="17"/>
  <c r="CM139" i="17"/>
  <c r="CN139" i="17"/>
  <c r="CO139" i="17"/>
  <c r="CP139" i="17"/>
  <c r="CQ139" i="17"/>
  <c r="CR139" i="17"/>
  <c r="CS139" i="17"/>
  <c r="CT139" i="17"/>
  <c r="CU139" i="17"/>
  <c r="CV139" i="17"/>
  <c r="CW139" i="17"/>
  <c r="CX139" i="17"/>
  <c r="CY139" i="17"/>
  <c r="CZ139" i="17"/>
  <c r="DA139" i="17"/>
  <c r="DB139" i="17"/>
  <c r="DC139" i="17"/>
  <c r="DD139" i="17"/>
  <c r="DE139" i="17"/>
  <c r="DF139" i="17"/>
  <c r="DG139" i="17"/>
  <c r="DH139" i="17"/>
  <c r="DI139" i="17"/>
  <c r="DJ139" i="17"/>
  <c r="DK139" i="17"/>
  <c r="DL139" i="17"/>
  <c r="DM139" i="17"/>
  <c r="DN139" i="17"/>
  <c r="DO139" i="17"/>
  <c r="DP139" i="17"/>
  <c r="DQ139" i="17"/>
  <c r="DR139" i="17"/>
  <c r="DS139" i="17"/>
  <c r="DT139" i="17"/>
  <c r="DU139" i="17"/>
  <c r="DV139" i="17"/>
  <c r="DW139" i="17"/>
  <c r="DX139" i="17"/>
  <c r="DY139" i="17"/>
  <c r="DZ139" i="17"/>
  <c r="EA139" i="17"/>
  <c r="EB139" i="17"/>
  <c r="EC139" i="17"/>
  <c r="ED139" i="17"/>
  <c r="EE139" i="17"/>
  <c r="EF139" i="17"/>
  <c r="EG139" i="17"/>
  <c r="EH139" i="17"/>
  <c r="EI139" i="17"/>
  <c r="EJ139" i="17"/>
  <c r="EK139" i="17"/>
  <c r="EL139" i="17"/>
  <c r="EM139" i="17"/>
  <c r="EN139" i="17"/>
  <c r="EO139" i="17"/>
  <c r="EP139" i="17"/>
  <c r="EQ139" i="17"/>
  <c r="ER139" i="17"/>
  <c r="ES139" i="17"/>
  <c r="ET139" i="17"/>
  <c r="EU139" i="17"/>
  <c r="EV139" i="17"/>
  <c r="EW139" i="17"/>
  <c r="EX139" i="17"/>
  <c r="EY139" i="17"/>
  <c r="EZ139" i="17"/>
  <c r="FA139" i="17"/>
  <c r="FB139" i="17"/>
  <c r="FC139" i="17"/>
  <c r="FD139" i="17"/>
  <c r="FE139" i="17"/>
  <c r="FF139" i="17"/>
  <c r="FG139" i="17"/>
  <c r="FH139" i="17"/>
  <c r="FI139" i="17"/>
  <c r="FJ139" i="17"/>
  <c r="FK139" i="17"/>
  <c r="FL139" i="17"/>
  <c r="FM139" i="17"/>
  <c r="FN139" i="17"/>
  <c r="FO139" i="17"/>
  <c r="FP139" i="17"/>
  <c r="FQ139" i="17"/>
  <c r="FR139" i="17"/>
  <c r="FS139" i="17"/>
  <c r="FT139" i="17"/>
  <c r="FU139" i="17"/>
  <c r="FV139" i="17"/>
  <c r="FW139" i="17"/>
  <c r="FX139" i="17"/>
  <c r="FY139" i="17"/>
  <c r="FZ139" i="17"/>
  <c r="GA139" i="17"/>
  <c r="GB139" i="17"/>
  <c r="GC139" i="17"/>
  <c r="GD139" i="17"/>
  <c r="GE139" i="17"/>
  <c r="GF139" i="17"/>
  <c r="GG139" i="17"/>
  <c r="GH139" i="17"/>
  <c r="GI139" i="17"/>
  <c r="GJ139" i="17"/>
  <c r="GK139" i="17"/>
  <c r="GL139" i="17"/>
  <c r="GM139" i="17"/>
  <c r="GN139" i="17"/>
  <c r="GO139" i="17"/>
  <c r="GP139" i="17"/>
  <c r="GQ139" i="17"/>
  <c r="GR139" i="17"/>
  <c r="GS139" i="17"/>
  <c r="GT139" i="17"/>
  <c r="GU139" i="17"/>
  <c r="GV139" i="17"/>
  <c r="GW139" i="17"/>
  <c r="GX139" i="17"/>
  <c r="GY139" i="17"/>
  <c r="GZ139" i="17"/>
  <c r="HA139" i="17"/>
  <c r="HB139" i="17"/>
  <c r="HC139" i="17"/>
  <c r="HD139" i="17"/>
  <c r="HE139" i="17"/>
  <c r="HF139" i="17"/>
  <c r="HG139" i="17"/>
  <c r="HH139" i="17"/>
  <c r="HI139" i="17"/>
  <c r="HJ139" i="17"/>
  <c r="HK139" i="17"/>
  <c r="HL139" i="17"/>
  <c r="HM139" i="17"/>
  <c r="HN139" i="17"/>
  <c r="HO139" i="17"/>
  <c r="HP139" i="17"/>
  <c r="HQ139" i="17"/>
  <c r="HR139" i="17"/>
  <c r="HS139" i="17"/>
  <c r="HT139" i="17"/>
  <c r="HU139" i="17"/>
  <c r="HV139" i="17"/>
  <c r="HW139" i="17"/>
  <c r="HX139" i="17"/>
  <c r="HY139" i="17"/>
  <c r="HZ139" i="17"/>
  <c r="IA139" i="17"/>
  <c r="IB139" i="17"/>
  <c r="IC139" i="17"/>
  <c r="ID139" i="17"/>
  <c r="IE139" i="17"/>
  <c r="IF139" i="17"/>
  <c r="IG139" i="17"/>
  <c r="IH139" i="17"/>
  <c r="II139" i="17"/>
  <c r="IJ139" i="17"/>
  <c r="IK139" i="17"/>
  <c r="IL139" i="17"/>
  <c r="IM139" i="17"/>
  <c r="IN139" i="17"/>
  <c r="IO139" i="17"/>
  <c r="IP139" i="17"/>
  <c r="IQ139" i="17"/>
  <c r="IR139" i="17"/>
  <c r="IS139" i="17"/>
  <c r="IT139" i="17"/>
  <c r="IU139" i="17"/>
  <c r="IV139" i="17"/>
  <c r="A138" i="17"/>
  <c r="B138" i="17"/>
  <c r="C138" i="17"/>
  <c r="D138" i="17"/>
  <c r="E138" i="17"/>
  <c r="F138" i="17"/>
  <c r="G138" i="17"/>
  <c r="H138" i="17"/>
  <c r="I138" i="17"/>
  <c r="J138" i="17"/>
  <c r="K138" i="17"/>
  <c r="L138" i="17"/>
  <c r="M138" i="17"/>
  <c r="N138" i="17"/>
  <c r="O138" i="17"/>
  <c r="P138" i="17"/>
  <c r="Q138" i="17"/>
  <c r="R138" i="17"/>
  <c r="S138" i="17"/>
  <c r="T138" i="17"/>
  <c r="U138" i="17"/>
  <c r="V138" i="17"/>
  <c r="W138" i="17"/>
  <c r="X138" i="17"/>
  <c r="Y138" i="17"/>
  <c r="Z138" i="17"/>
  <c r="AA138" i="17"/>
  <c r="AB138" i="17"/>
  <c r="AC138" i="17"/>
  <c r="AD138" i="17"/>
  <c r="AE138" i="17"/>
  <c r="AF138" i="17"/>
  <c r="AG138" i="17"/>
  <c r="AH138" i="17"/>
  <c r="AI138" i="17"/>
  <c r="AJ138" i="17"/>
  <c r="AK138" i="17"/>
  <c r="AL138" i="17"/>
  <c r="AM138" i="17"/>
  <c r="AN138" i="17"/>
  <c r="AO138" i="17"/>
  <c r="AP138" i="17"/>
  <c r="AQ138" i="17"/>
  <c r="AR138" i="17"/>
  <c r="AS138" i="17"/>
  <c r="AT138" i="17"/>
  <c r="AU138" i="17"/>
  <c r="AV138" i="17"/>
  <c r="AW138" i="17"/>
  <c r="AX138" i="17"/>
  <c r="AY138" i="17"/>
  <c r="AZ138" i="17"/>
  <c r="BA138" i="17"/>
  <c r="BB138" i="17"/>
  <c r="BC138" i="17"/>
  <c r="BD138" i="17"/>
  <c r="BE138" i="17"/>
  <c r="BF138" i="17"/>
  <c r="BG138" i="17"/>
  <c r="BH138" i="17"/>
  <c r="BI138" i="17"/>
  <c r="BJ138" i="17"/>
  <c r="BK138" i="17"/>
  <c r="BL138" i="17"/>
  <c r="BM138" i="17"/>
  <c r="BN138" i="17"/>
  <c r="BO138" i="17"/>
  <c r="BP138" i="17"/>
  <c r="BQ138" i="17"/>
  <c r="BR138" i="17"/>
  <c r="BS138" i="17"/>
  <c r="BT138" i="17"/>
  <c r="BU138" i="17"/>
  <c r="BV138" i="17"/>
  <c r="BW138" i="17"/>
  <c r="BX138" i="17"/>
  <c r="BY138" i="17"/>
  <c r="BZ138" i="17"/>
  <c r="CA138" i="17"/>
  <c r="CB138" i="17"/>
  <c r="CC138" i="17"/>
  <c r="CD138" i="17"/>
  <c r="CE138" i="17"/>
  <c r="CF138" i="17"/>
  <c r="CG138" i="17"/>
  <c r="CH138" i="17"/>
  <c r="CI138" i="17"/>
  <c r="CJ138" i="17"/>
  <c r="CK138" i="17"/>
  <c r="CL138" i="17"/>
  <c r="CM138" i="17"/>
  <c r="CN138" i="17"/>
  <c r="CO138" i="17"/>
  <c r="CP138" i="17"/>
  <c r="CQ138" i="17"/>
  <c r="CR138" i="17"/>
  <c r="CS138" i="17"/>
  <c r="CT138" i="17"/>
  <c r="CU138" i="17"/>
  <c r="CV138" i="17"/>
  <c r="CW138" i="17"/>
  <c r="CX138" i="17"/>
  <c r="CY138" i="17"/>
  <c r="CZ138" i="17"/>
  <c r="DA138" i="17"/>
  <c r="DB138" i="17"/>
  <c r="DC138" i="17"/>
  <c r="DD138" i="17"/>
  <c r="DE138" i="17"/>
  <c r="DF138" i="17"/>
  <c r="DG138" i="17"/>
  <c r="DH138" i="17"/>
  <c r="DI138" i="17"/>
  <c r="DJ138" i="17"/>
  <c r="DK138" i="17"/>
  <c r="DL138" i="17"/>
  <c r="DM138" i="17"/>
  <c r="DN138" i="17"/>
  <c r="DO138" i="17"/>
  <c r="DP138" i="17"/>
  <c r="DQ138" i="17"/>
  <c r="DR138" i="17"/>
  <c r="DS138" i="17"/>
  <c r="DT138" i="17"/>
  <c r="DU138" i="17"/>
  <c r="DV138" i="17"/>
  <c r="DW138" i="17"/>
  <c r="DX138" i="17"/>
  <c r="DY138" i="17"/>
  <c r="DZ138" i="17"/>
  <c r="EA138" i="17"/>
  <c r="EB138" i="17"/>
  <c r="EC138" i="17"/>
  <c r="ED138" i="17"/>
  <c r="EE138" i="17"/>
  <c r="EF138" i="17"/>
  <c r="EG138" i="17"/>
  <c r="EH138" i="17"/>
  <c r="EI138" i="17"/>
  <c r="EJ138" i="17"/>
  <c r="EK138" i="17"/>
  <c r="EL138" i="17"/>
  <c r="EM138" i="17"/>
  <c r="EN138" i="17"/>
  <c r="EO138" i="17"/>
  <c r="EP138" i="17"/>
  <c r="EQ138" i="17"/>
  <c r="ER138" i="17"/>
  <c r="ES138" i="17"/>
  <c r="ET138" i="17"/>
  <c r="EU138" i="17"/>
  <c r="EV138" i="17"/>
  <c r="EW138" i="17"/>
  <c r="EX138" i="17"/>
  <c r="EY138" i="17"/>
  <c r="EZ138" i="17"/>
  <c r="FA138" i="17"/>
  <c r="FB138" i="17"/>
  <c r="FC138" i="17"/>
  <c r="FD138" i="17"/>
  <c r="FE138" i="17"/>
  <c r="FF138" i="17"/>
  <c r="FG138" i="17"/>
  <c r="FH138" i="17"/>
  <c r="FI138" i="17"/>
  <c r="FJ138" i="17"/>
  <c r="FK138" i="17"/>
  <c r="FL138" i="17"/>
  <c r="FM138" i="17"/>
  <c r="FN138" i="17"/>
  <c r="FO138" i="17"/>
  <c r="FP138" i="17"/>
  <c r="FQ138" i="17"/>
  <c r="FR138" i="17"/>
  <c r="FS138" i="17"/>
  <c r="FT138" i="17"/>
  <c r="FU138" i="17"/>
  <c r="FV138" i="17"/>
  <c r="FW138" i="17"/>
  <c r="FX138" i="17"/>
  <c r="FY138" i="17"/>
  <c r="FZ138" i="17"/>
  <c r="GA138" i="17"/>
  <c r="GB138" i="17"/>
  <c r="GC138" i="17"/>
  <c r="GD138" i="17"/>
  <c r="GE138" i="17"/>
  <c r="GF138" i="17"/>
  <c r="GG138" i="17"/>
  <c r="GH138" i="17"/>
  <c r="GI138" i="17"/>
  <c r="GJ138" i="17"/>
  <c r="GK138" i="17"/>
  <c r="GL138" i="17"/>
  <c r="GM138" i="17"/>
  <c r="GN138" i="17"/>
  <c r="GO138" i="17"/>
  <c r="GP138" i="17"/>
  <c r="GQ138" i="17"/>
  <c r="GR138" i="17"/>
  <c r="GS138" i="17"/>
  <c r="GT138" i="17"/>
  <c r="GU138" i="17"/>
  <c r="GV138" i="17"/>
  <c r="GW138" i="17"/>
  <c r="GX138" i="17"/>
  <c r="GY138" i="17"/>
  <c r="GZ138" i="17"/>
  <c r="HA138" i="17"/>
  <c r="HB138" i="17"/>
  <c r="HC138" i="17"/>
  <c r="HD138" i="17"/>
  <c r="HE138" i="17"/>
  <c r="HF138" i="17"/>
  <c r="HG138" i="17"/>
  <c r="HH138" i="17"/>
  <c r="HI138" i="17"/>
  <c r="HJ138" i="17"/>
  <c r="HK138" i="17"/>
  <c r="HL138" i="17"/>
  <c r="HM138" i="17"/>
  <c r="HN138" i="17"/>
  <c r="HO138" i="17"/>
  <c r="HP138" i="17"/>
  <c r="HQ138" i="17"/>
  <c r="HR138" i="17"/>
  <c r="HS138" i="17"/>
  <c r="HT138" i="17"/>
  <c r="HU138" i="17"/>
  <c r="HV138" i="17"/>
  <c r="HW138" i="17"/>
  <c r="HX138" i="17"/>
  <c r="HY138" i="17"/>
  <c r="HZ138" i="17"/>
  <c r="IA138" i="17"/>
  <c r="IB138" i="17"/>
  <c r="IC138" i="17"/>
  <c r="ID138" i="17"/>
  <c r="IE138" i="17"/>
  <c r="IF138" i="17"/>
  <c r="IG138" i="17"/>
  <c r="IH138" i="17"/>
  <c r="II138" i="17"/>
  <c r="IJ138" i="17"/>
  <c r="IK138" i="17"/>
  <c r="IL138" i="17"/>
  <c r="IM138" i="17"/>
  <c r="IN138" i="17"/>
  <c r="IO138" i="17"/>
  <c r="IP138" i="17"/>
  <c r="IQ138" i="17"/>
  <c r="IR138" i="17"/>
  <c r="IS138" i="17"/>
  <c r="IT138" i="17"/>
  <c r="IU138" i="17"/>
  <c r="IV138" i="17"/>
  <c r="A137" i="17"/>
  <c r="B137" i="17"/>
  <c r="C137" i="17"/>
  <c r="D137" i="17"/>
  <c r="E137" i="17"/>
  <c r="F137" i="17"/>
  <c r="G137" i="17"/>
  <c r="H137" i="17"/>
  <c r="I137" i="17"/>
  <c r="J137" i="17"/>
  <c r="K137" i="17"/>
  <c r="L137" i="17"/>
  <c r="M137" i="17"/>
  <c r="N137" i="17"/>
  <c r="O137" i="17"/>
  <c r="P137" i="17"/>
  <c r="Q137" i="17"/>
  <c r="R137" i="17"/>
  <c r="S137" i="17"/>
  <c r="T137" i="17"/>
  <c r="U137" i="17"/>
  <c r="V137" i="17"/>
  <c r="W137" i="17"/>
  <c r="X137" i="17"/>
  <c r="Y137" i="17"/>
  <c r="Z137" i="17"/>
  <c r="AA137" i="17"/>
  <c r="AB137" i="17"/>
  <c r="AC137" i="17"/>
  <c r="AD137" i="17"/>
  <c r="AE137" i="17"/>
  <c r="AF137" i="17"/>
  <c r="AG137" i="17"/>
  <c r="AH137" i="17"/>
  <c r="AI137" i="17"/>
  <c r="AJ137" i="17"/>
  <c r="AK137" i="17"/>
  <c r="AL137" i="17"/>
  <c r="AM137" i="17"/>
  <c r="AN137" i="17"/>
  <c r="AO137" i="17"/>
  <c r="AP137" i="17"/>
  <c r="AQ137" i="17"/>
  <c r="AR137" i="17"/>
  <c r="AS137" i="17"/>
  <c r="AT137" i="17"/>
  <c r="AU137" i="17"/>
  <c r="AV137" i="17"/>
  <c r="AW137" i="17"/>
  <c r="AX137" i="17"/>
  <c r="AY137" i="17"/>
  <c r="AZ137" i="17"/>
  <c r="BA137" i="17"/>
  <c r="BB137" i="17"/>
  <c r="BC137" i="17"/>
  <c r="BD137" i="17"/>
  <c r="BE137" i="17"/>
  <c r="BF137" i="17"/>
  <c r="BG137" i="17"/>
  <c r="BH137" i="17"/>
  <c r="BI137" i="17"/>
  <c r="BJ137" i="17"/>
  <c r="BK137" i="17"/>
  <c r="BL137" i="17"/>
  <c r="BM137" i="17"/>
  <c r="BN137" i="17"/>
  <c r="BO137" i="17"/>
  <c r="BP137" i="17"/>
  <c r="BQ137" i="17"/>
  <c r="BR137" i="17"/>
  <c r="BS137" i="17"/>
  <c r="BT137" i="17"/>
  <c r="BU137" i="17"/>
  <c r="BV137" i="17"/>
  <c r="BW137" i="17"/>
  <c r="BX137" i="17"/>
  <c r="BY137" i="17"/>
  <c r="BZ137" i="17"/>
  <c r="CA137" i="17"/>
  <c r="CB137" i="17"/>
  <c r="CC137" i="17"/>
  <c r="CD137" i="17"/>
  <c r="CE137" i="17"/>
  <c r="CF137" i="17"/>
  <c r="CG137" i="17"/>
  <c r="CH137" i="17"/>
  <c r="CI137" i="17"/>
  <c r="CJ137" i="17"/>
  <c r="CK137" i="17"/>
  <c r="CL137" i="17"/>
  <c r="CM137" i="17"/>
  <c r="CN137" i="17"/>
  <c r="CO137" i="17"/>
  <c r="CP137" i="17"/>
  <c r="CQ137" i="17"/>
  <c r="CR137" i="17"/>
  <c r="CS137" i="17"/>
  <c r="CT137" i="17"/>
  <c r="CU137" i="17"/>
  <c r="CV137" i="17"/>
  <c r="CW137" i="17"/>
  <c r="CX137" i="17"/>
  <c r="CY137" i="17"/>
  <c r="CZ137" i="17"/>
  <c r="DA137" i="17"/>
  <c r="DB137" i="17"/>
  <c r="DC137" i="17"/>
  <c r="DD137" i="17"/>
  <c r="DE137" i="17"/>
  <c r="DF137" i="17"/>
  <c r="DG137" i="17"/>
  <c r="DH137" i="17"/>
  <c r="DI137" i="17"/>
  <c r="DJ137" i="17"/>
  <c r="DK137" i="17"/>
  <c r="DL137" i="17"/>
  <c r="DM137" i="17"/>
  <c r="DN137" i="17"/>
  <c r="DO137" i="17"/>
  <c r="DP137" i="17"/>
  <c r="DQ137" i="17"/>
  <c r="DR137" i="17"/>
  <c r="DS137" i="17"/>
  <c r="DT137" i="17"/>
  <c r="DU137" i="17"/>
  <c r="DV137" i="17"/>
  <c r="DW137" i="17"/>
  <c r="DX137" i="17"/>
  <c r="DY137" i="17"/>
  <c r="DZ137" i="17"/>
  <c r="EA137" i="17"/>
  <c r="EB137" i="17"/>
  <c r="EC137" i="17"/>
  <c r="ED137" i="17"/>
  <c r="EE137" i="17"/>
  <c r="EF137" i="17"/>
  <c r="EG137" i="17"/>
  <c r="EH137" i="17"/>
  <c r="EI137" i="17"/>
  <c r="EJ137" i="17"/>
  <c r="EK137" i="17"/>
  <c r="EL137" i="17"/>
  <c r="EM137" i="17"/>
  <c r="EN137" i="17"/>
  <c r="EO137" i="17"/>
  <c r="EP137" i="17"/>
  <c r="EQ137" i="17"/>
  <c r="ER137" i="17"/>
  <c r="ES137" i="17"/>
  <c r="ET137" i="17"/>
  <c r="EU137" i="17"/>
  <c r="EV137" i="17"/>
  <c r="EW137" i="17"/>
  <c r="EX137" i="17"/>
  <c r="EY137" i="17"/>
  <c r="EZ137" i="17"/>
  <c r="FA137" i="17"/>
  <c r="FB137" i="17"/>
  <c r="FC137" i="17"/>
  <c r="FD137" i="17"/>
  <c r="FE137" i="17"/>
  <c r="FF137" i="17"/>
  <c r="FG137" i="17"/>
  <c r="FH137" i="17"/>
  <c r="FI137" i="17"/>
  <c r="FJ137" i="17"/>
  <c r="FK137" i="17"/>
  <c r="FL137" i="17"/>
  <c r="FM137" i="17"/>
  <c r="FN137" i="17"/>
  <c r="FO137" i="17"/>
  <c r="FP137" i="17"/>
  <c r="FQ137" i="17"/>
  <c r="FR137" i="17"/>
  <c r="FS137" i="17"/>
  <c r="FT137" i="17"/>
  <c r="FU137" i="17"/>
  <c r="FV137" i="17"/>
  <c r="FW137" i="17"/>
  <c r="FX137" i="17"/>
  <c r="FY137" i="17"/>
  <c r="FZ137" i="17"/>
  <c r="GA137" i="17"/>
  <c r="GB137" i="17"/>
  <c r="GC137" i="17"/>
  <c r="GD137" i="17"/>
  <c r="GE137" i="17"/>
  <c r="GF137" i="17"/>
  <c r="GG137" i="17"/>
  <c r="GH137" i="17"/>
  <c r="GI137" i="17"/>
  <c r="GJ137" i="17"/>
  <c r="GK137" i="17"/>
  <c r="GL137" i="17"/>
  <c r="GM137" i="17"/>
  <c r="GN137" i="17"/>
  <c r="GO137" i="17"/>
  <c r="GP137" i="17"/>
  <c r="GQ137" i="17"/>
  <c r="GR137" i="17"/>
  <c r="GS137" i="17"/>
  <c r="GT137" i="17"/>
  <c r="GU137" i="17"/>
  <c r="GV137" i="17"/>
  <c r="GW137" i="17"/>
  <c r="GX137" i="17"/>
  <c r="GY137" i="17"/>
  <c r="GZ137" i="17"/>
  <c r="HA137" i="17"/>
  <c r="HB137" i="17"/>
  <c r="HC137" i="17"/>
  <c r="HD137" i="17"/>
  <c r="HE137" i="17"/>
  <c r="HF137" i="17"/>
  <c r="HG137" i="17"/>
  <c r="HH137" i="17"/>
  <c r="HI137" i="17"/>
  <c r="HJ137" i="17"/>
  <c r="HK137" i="17"/>
  <c r="HL137" i="17"/>
  <c r="HM137" i="17"/>
  <c r="HN137" i="17"/>
  <c r="HO137" i="17"/>
  <c r="HP137" i="17"/>
  <c r="HQ137" i="17"/>
  <c r="HR137" i="17"/>
  <c r="HS137" i="17"/>
  <c r="HT137" i="17"/>
  <c r="HU137" i="17"/>
  <c r="HV137" i="17"/>
  <c r="HW137" i="17"/>
  <c r="HX137" i="17"/>
  <c r="HY137" i="17"/>
  <c r="HZ137" i="17"/>
  <c r="IA137" i="17"/>
  <c r="IB137" i="17"/>
  <c r="IC137" i="17"/>
  <c r="ID137" i="17"/>
  <c r="IE137" i="17"/>
  <c r="IF137" i="17"/>
  <c r="IG137" i="17"/>
  <c r="IH137" i="17"/>
  <c r="II137" i="17"/>
  <c r="IJ137" i="17"/>
  <c r="IK137" i="17"/>
  <c r="IL137" i="17"/>
  <c r="IM137" i="17"/>
  <c r="IN137" i="17"/>
  <c r="IO137" i="17"/>
  <c r="IP137" i="17"/>
  <c r="IQ137" i="17"/>
  <c r="IR137" i="17"/>
  <c r="IS137" i="17"/>
  <c r="IT137" i="17"/>
  <c r="IU137" i="17"/>
  <c r="IV137" i="17"/>
  <c r="A136" i="17"/>
  <c r="B136" i="17"/>
  <c r="C136" i="17"/>
  <c r="D136" i="17"/>
  <c r="E136" i="17"/>
  <c r="F136" i="17"/>
  <c r="G136" i="17"/>
  <c r="H136" i="17"/>
  <c r="I136" i="17"/>
  <c r="J136" i="17"/>
  <c r="K136" i="17"/>
  <c r="L136" i="17"/>
  <c r="M136" i="17"/>
  <c r="N136" i="17"/>
  <c r="O136" i="17"/>
  <c r="P136" i="17"/>
  <c r="Q136" i="17"/>
  <c r="R136" i="17"/>
  <c r="S136" i="17"/>
  <c r="T136" i="17"/>
  <c r="U136" i="17"/>
  <c r="V136" i="17"/>
  <c r="W136" i="17"/>
  <c r="X136" i="17"/>
  <c r="Y136" i="17"/>
  <c r="Z136" i="17"/>
  <c r="AA136" i="17"/>
  <c r="AB136" i="17"/>
  <c r="AC136" i="17"/>
  <c r="AD136" i="17"/>
  <c r="AE136" i="17"/>
  <c r="AF136" i="17"/>
  <c r="AG136" i="17"/>
  <c r="AH136" i="17"/>
  <c r="AI136" i="17"/>
  <c r="AJ136" i="17"/>
  <c r="AK136" i="17"/>
  <c r="AL136" i="17"/>
  <c r="AM136" i="17"/>
  <c r="AN136" i="17"/>
  <c r="AO136" i="17"/>
  <c r="AP136" i="17"/>
  <c r="AQ136" i="17"/>
  <c r="AR136" i="17"/>
  <c r="AS136" i="17"/>
  <c r="AT136" i="17"/>
  <c r="AU136" i="17"/>
  <c r="AV136" i="17"/>
  <c r="AW136" i="17"/>
  <c r="AX136" i="17"/>
  <c r="AY136" i="17"/>
  <c r="AZ136" i="17"/>
  <c r="BA136" i="17"/>
  <c r="BB136" i="17"/>
  <c r="BC136" i="17"/>
  <c r="BD136" i="17"/>
  <c r="BE136" i="17"/>
  <c r="BF136" i="17"/>
  <c r="BG136" i="17"/>
  <c r="BH136" i="17"/>
  <c r="BI136" i="17"/>
  <c r="BJ136" i="17"/>
  <c r="BK136" i="17"/>
  <c r="BL136" i="17"/>
  <c r="BM136" i="17"/>
  <c r="BN136" i="17"/>
  <c r="BO136" i="17"/>
  <c r="BP136" i="17"/>
  <c r="BQ136" i="17"/>
  <c r="BR136" i="17"/>
  <c r="BS136" i="17"/>
  <c r="BT136" i="17"/>
  <c r="BU136" i="17"/>
  <c r="BV136" i="17"/>
  <c r="BW136" i="17"/>
  <c r="BX136" i="17"/>
  <c r="BY136" i="17"/>
  <c r="BZ136" i="17"/>
  <c r="CA136" i="17"/>
  <c r="CB136" i="17"/>
  <c r="CC136" i="17"/>
  <c r="CD136" i="17"/>
  <c r="CE136" i="17"/>
  <c r="CF136" i="17"/>
  <c r="CG136" i="17"/>
  <c r="CH136" i="17"/>
  <c r="CI136" i="17"/>
  <c r="CJ136" i="17"/>
  <c r="CK136" i="17"/>
  <c r="CL136" i="17"/>
  <c r="CM136" i="17"/>
  <c r="CN136" i="17"/>
  <c r="CO136" i="17"/>
  <c r="CP136" i="17"/>
  <c r="CQ136" i="17"/>
  <c r="CR136" i="17"/>
  <c r="CS136" i="17"/>
  <c r="CT136" i="17"/>
  <c r="CU136" i="17"/>
  <c r="CV136" i="17"/>
  <c r="CW136" i="17"/>
  <c r="CX136" i="17"/>
  <c r="CY136" i="17"/>
  <c r="CZ136" i="17"/>
  <c r="DA136" i="17"/>
  <c r="DB136" i="17"/>
  <c r="DC136" i="17"/>
  <c r="DD136" i="17"/>
  <c r="DE136" i="17"/>
  <c r="DF136" i="17"/>
  <c r="DG136" i="17"/>
  <c r="DH136" i="17"/>
  <c r="DI136" i="17"/>
  <c r="DJ136" i="17"/>
  <c r="DK136" i="17"/>
  <c r="DL136" i="17"/>
  <c r="DM136" i="17"/>
  <c r="DN136" i="17"/>
  <c r="DO136" i="17"/>
  <c r="DP136" i="17"/>
  <c r="DQ136" i="17"/>
  <c r="DR136" i="17"/>
  <c r="DS136" i="17"/>
  <c r="DT136" i="17"/>
  <c r="DU136" i="17"/>
  <c r="DV136" i="17"/>
  <c r="DW136" i="17"/>
  <c r="DX136" i="17"/>
  <c r="DY136" i="17"/>
  <c r="DZ136" i="17"/>
  <c r="EA136" i="17"/>
  <c r="EB136" i="17"/>
  <c r="EC136" i="17"/>
  <c r="ED136" i="17"/>
  <c r="EE136" i="17"/>
  <c r="EF136" i="17"/>
  <c r="EG136" i="17"/>
  <c r="EH136" i="17"/>
  <c r="EI136" i="17"/>
  <c r="EJ136" i="17"/>
  <c r="EK136" i="17"/>
  <c r="EL136" i="17"/>
  <c r="EM136" i="17"/>
  <c r="EN136" i="17"/>
  <c r="EO136" i="17"/>
  <c r="EP136" i="17"/>
  <c r="EQ136" i="17"/>
  <c r="ER136" i="17"/>
  <c r="ES136" i="17"/>
  <c r="ET136" i="17"/>
  <c r="EU136" i="17"/>
  <c r="EV136" i="17"/>
  <c r="EW136" i="17"/>
  <c r="EX136" i="17"/>
  <c r="EY136" i="17"/>
  <c r="EZ136" i="17"/>
  <c r="FA136" i="17"/>
  <c r="FB136" i="17"/>
  <c r="FC136" i="17"/>
  <c r="FD136" i="17"/>
  <c r="FE136" i="17"/>
  <c r="FF136" i="17"/>
  <c r="FG136" i="17"/>
  <c r="FH136" i="17"/>
  <c r="FI136" i="17"/>
  <c r="FJ136" i="17"/>
  <c r="FK136" i="17"/>
  <c r="FL136" i="17"/>
  <c r="FM136" i="17"/>
  <c r="FN136" i="17"/>
  <c r="FO136" i="17"/>
  <c r="FP136" i="17"/>
  <c r="FQ136" i="17"/>
  <c r="FR136" i="17"/>
  <c r="FS136" i="17"/>
  <c r="FT136" i="17"/>
  <c r="FU136" i="17"/>
  <c r="FV136" i="17"/>
  <c r="FW136" i="17"/>
  <c r="FX136" i="17"/>
  <c r="FY136" i="17"/>
  <c r="FZ136" i="17"/>
  <c r="GA136" i="17"/>
  <c r="GB136" i="17"/>
  <c r="GC136" i="17"/>
  <c r="GD136" i="17"/>
  <c r="GE136" i="17"/>
  <c r="GF136" i="17"/>
  <c r="GG136" i="17"/>
  <c r="GH136" i="17"/>
  <c r="GI136" i="17"/>
  <c r="GJ136" i="17"/>
  <c r="GK136" i="17"/>
  <c r="GL136" i="17"/>
  <c r="GM136" i="17"/>
  <c r="GN136" i="17"/>
  <c r="GO136" i="17"/>
  <c r="GP136" i="17"/>
  <c r="GQ136" i="17"/>
  <c r="GR136" i="17"/>
  <c r="GS136" i="17"/>
  <c r="GT136" i="17"/>
  <c r="GU136" i="17"/>
  <c r="GV136" i="17"/>
  <c r="GW136" i="17"/>
  <c r="GX136" i="17"/>
  <c r="GY136" i="17"/>
  <c r="GZ136" i="17"/>
  <c r="HA136" i="17"/>
  <c r="HB136" i="17"/>
  <c r="HC136" i="17"/>
  <c r="HD136" i="17"/>
  <c r="HE136" i="17"/>
  <c r="HF136" i="17"/>
  <c r="HG136" i="17"/>
  <c r="HH136" i="17"/>
  <c r="HI136" i="17"/>
  <c r="HJ136" i="17"/>
  <c r="HK136" i="17"/>
  <c r="HL136" i="17"/>
  <c r="HM136" i="17"/>
  <c r="HN136" i="17"/>
  <c r="HO136" i="17"/>
  <c r="HP136" i="17"/>
  <c r="HQ136" i="17"/>
  <c r="HR136" i="17"/>
  <c r="HS136" i="17"/>
  <c r="HT136" i="17"/>
  <c r="HU136" i="17"/>
  <c r="HV136" i="17"/>
  <c r="HW136" i="17"/>
  <c r="HX136" i="17"/>
  <c r="HY136" i="17"/>
  <c r="HZ136" i="17"/>
  <c r="IA136" i="17"/>
  <c r="IB136" i="17"/>
  <c r="IC136" i="17"/>
  <c r="ID136" i="17"/>
  <c r="IE136" i="17"/>
  <c r="IF136" i="17"/>
  <c r="IG136" i="17"/>
  <c r="IH136" i="17"/>
  <c r="II136" i="17"/>
  <c r="IJ136" i="17"/>
  <c r="IK136" i="17"/>
  <c r="IL136" i="17"/>
  <c r="IM136" i="17"/>
  <c r="IN136" i="17"/>
  <c r="IO136" i="17"/>
  <c r="IP136" i="17"/>
  <c r="IQ136" i="17"/>
  <c r="IR136" i="17"/>
  <c r="IS136" i="17"/>
  <c r="IT136" i="17"/>
  <c r="IU136" i="17"/>
  <c r="IV136" i="17"/>
  <c r="A135" i="17"/>
  <c r="B135" i="17"/>
  <c r="C135" i="17"/>
  <c r="D135" i="17"/>
  <c r="E135" i="17"/>
  <c r="F135" i="17"/>
  <c r="G135" i="17"/>
  <c r="H135" i="17"/>
  <c r="I135" i="17"/>
  <c r="J135" i="17"/>
  <c r="K135" i="17"/>
  <c r="L135" i="17"/>
  <c r="M135" i="17"/>
  <c r="N135" i="17"/>
  <c r="O135" i="17"/>
  <c r="P135" i="17"/>
  <c r="Q135" i="17"/>
  <c r="R135" i="17"/>
  <c r="S135" i="17"/>
  <c r="T135" i="17"/>
  <c r="U135" i="17"/>
  <c r="V135" i="17"/>
  <c r="W135" i="17"/>
  <c r="X135" i="17"/>
  <c r="Y135" i="17"/>
  <c r="Z135" i="17"/>
  <c r="AA135" i="17"/>
  <c r="AB135" i="17"/>
  <c r="AC135" i="17"/>
  <c r="AD135" i="17"/>
  <c r="AE135" i="17"/>
  <c r="AF135" i="17"/>
  <c r="AG135" i="17"/>
  <c r="AH135" i="17"/>
  <c r="AI135" i="17"/>
  <c r="AJ135" i="17"/>
  <c r="AK135" i="17"/>
  <c r="AL135" i="17"/>
  <c r="AM135" i="17"/>
  <c r="AN135" i="17"/>
  <c r="AO135" i="17"/>
  <c r="AP135" i="17"/>
  <c r="AQ135" i="17"/>
  <c r="AR135" i="17"/>
  <c r="AS135" i="17"/>
  <c r="AT135" i="17"/>
  <c r="AU135" i="17"/>
  <c r="AV135" i="17"/>
  <c r="AW135" i="17"/>
  <c r="AX135" i="17"/>
  <c r="AY135" i="17"/>
  <c r="AZ135" i="17"/>
  <c r="BA135" i="17"/>
  <c r="BB135" i="17"/>
  <c r="BC135" i="17"/>
  <c r="BD135" i="17"/>
  <c r="BE135" i="17"/>
  <c r="BF135" i="17"/>
  <c r="BG135" i="17"/>
  <c r="BH135" i="17"/>
  <c r="BI135" i="17"/>
  <c r="BJ135" i="17"/>
  <c r="BK135" i="17"/>
  <c r="BL135" i="17"/>
  <c r="BM135" i="17"/>
  <c r="BN135" i="17"/>
  <c r="BO135" i="17"/>
  <c r="BP135" i="17"/>
  <c r="BQ135" i="17"/>
  <c r="BR135" i="17"/>
  <c r="BS135" i="17"/>
  <c r="BT135" i="17"/>
  <c r="BU135" i="17"/>
  <c r="BV135" i="17"/>
  <c r="BW135" i="17"/>
  <c r="BX135" i="17"/>
  <c r="BY135" i="17"/>
  <c r="BZ135" i="17"/>
  <c r="CA135" i="17"/>
  <c r="CB135" i="17"/>
  <c r="CC135" i="17"/>
  <c r="CD135" i="17"/>
  <c r="CE135" i="17"/>
  <c r="CF135" i="17"/>
  <c r="CG135" i="17"/>
  <c r="CH135" i="17"/>
  <c r="CI135" i="17"/>
  <c r="CJ135" i="17"/>
  <c r="CK135" i="17"/>
  <c r="CL135" i="17"/>
  <c r="CM135" i="17"/>
  <c r="CN135" i="17"/>
  <c r="CO135" i="17"/>
  <c r="CP135" i="17"/>
  <c r="CQ135" i="17"/>
  <c r="CR135" i="17"/>
  <c r="CS135" i="17"/>
  <c r="CT135" i="17"/>
  <c r="CU135" i="17"/>
  <c r="CV135" i="17"/>
  <c r="CW135" i="17"/>
  <c r="CX135" i="17"/>
  <c r="CY135" i="17"/>
  <c r="CZ135" i="17"/>
  <c r="DA135" i="17"/>
  <c r="DB135" i="17"/>
  <c r="DC135" i="17"/>
  <c r="DD135" i="17"/>
  <c r="DE135" i="17"/>
  <c r="DF135" i="17"/>
  <c r="DG135" i="17"/>
  <c r="DH135" i="17"/>
  <c r="DI135" i="17"/>
  <c r="DJ135" i="17"/>
  <c r="DK135" i="17"/>
  <c r="DL135" i="17"/>
  <c r="DM135" i="17"/>
  <c r="DN135" i="17"/>
  <c r="DO135" i="17"/>
  <c r="DP135" i="17"/>
  <c r="DQ135" i="17"/>
  <c r="DR135" i="17"/>
  <c r="DS135" i="17"/>
  <c r="DT135" i="17"/>
  <c r="DU135" i="17"/>
  <c r="DV135" i="17"/>
  <c r="DW135" i="17"/>
  <c r="DX135" i="17"/>
  <c r="DY135" i="17"/>
  <c r="DZ135" i="17"/>
  <c r="EA135" i="17"/>
  <c r="EB135" i="17"/>
  <c r="EC135" i="17"/>
  <c r="ED135" i="17"/>
  <c r="EE135" i="17"/>
  <c r="EF135" i="17"/>
  <c r="EG135" i="17"/>
  <c r="EH135" i="17"/>
  <c r="EI135" i="17"/>
  <c r="EJ135" i="17"/>
  <c r="EK135" i="17"/>
  <c r="EL135" i="17"/>
  <c r="EM135" i="17"/>
  <c r="EN135" i="17"/>
  <c r="EO135" i="17"/>
  <c r="EP135" i="17"/>
  <c r="EQ135" i="17"/>
  <c r="ER135" i="17"/>
  <c r="ES135" i="17"/>
  <c r="ET135" i="17"/>
  <c r="EU135" i="17"/>
  <c r="EV135" i="17"/>
  <c r="EW135" i="17"/>
  <c r="EX135" i="17"/>
  <c r="EY135" i="17"/>
  <c r="EZ135" i="17"/>
  <c r="FA135" i="17"/>
  <c r="FB135" i="17"/>
  <c r="FC135" i="17"/>
  <c r="FD135" i="17"/>
  <c r="FE135" i="17"/>
  <c r="FF135" i="17"/>
  <c r="FG135" i="17"/>
  <c r="FH135" i="17"/>
  <c r="FI135" i="17"/>
  <c r="FJ135" i="17"/>
  <c r="FK135" i="17"/>
  <c r="FL135" i="17"/>
  <c r="FM135" i="17"/>
  <c r="FN135" i="17"/>
  <c r="FO135" i="17"/>
  <c r="FP135" i="17"/>
  <c r="FQ135" i="17"/>
  <c r="FR135" i="17"/>
  <c r="FS135" i="17"/>
  <c r="FT135" i="17"/>
  <c r="FU135" i="17"/>
  <c r="FV135" i="17"/>
  <c r="FW135" i="17"/>
  <c r="FX135" i="17"/>
  <c r="FY135" i="17"/>
  <c r="FZ135" i="17"/>
  <c r="GA135" i="17"/>
  <c r="GB135" i="17"/>
  <c r="GC135" i="17"/>
  <c r="GD135" i="17"/>
  <c r="GE135" i="17"/>
  <c r="GF135" i="17"/>
  <c r="GG135" i="17"/>
  <c r="GH135" i="17"/>
  <c r="GI135" i="17"/>
  <c r="GJ135" i="17"/>
  <c r="GK135" i="17"/>
  <c r="GL135" i="17"/>
  <c r="GM135" i="17"/>
  <c r="GN135" i="17"/>
  <c r="GO135" i="17"/>
  <c r="GP135" i="17"/>
  <c r="GQ135" i="17"/>
  <c r="GR135" i="17"/>
  <c r="GS135" i="17"/>
  <c r="GT135" i="17"/>
  <c r="GU135" i="17"/>
  <c r="GV135" i="17"/>
  <c r="GW135" i="17"/>
  <c r="GX135" i="17"/>
  <c r="GY135" i="17"/>
  <c r="GZ135" i="17"/>
  <c r="HA135" i="17"/>
  <c r="HB135" i="17"/>
  <c r="HC135" i="17"/>
  <c r="HD135" i="17"/>
  <c r="HE135" i="17"/>
  <c r="HF135" i="17"/>
  <c r="HG135" i="17"/>
  <c r="HH135" i="17"/>
  <c r="HI135" i="17"/>
  <c r="HJ135" i="17"/>
  <c r="HK135" i="17"/>
  <c r="HL135" i="17"/>
  <c r="HM135" i="17"/>
  <c r="HN135" i="17"/>
  <c r="HO135" i="17"/>
  <c r="HP135" i="17"/>
  <c r="HQ135" i="17"/>
  <c r="HR135" i="17"/>
  <c r="HS135" i="17"/>
  <c r="HT135" i="17"/>
  <c r="HU135" i="17"/>
  <c r="HV135" i="17"/>
  <c r="HW135" i="17"/>
  <c r="HX135" i="17"/>
  <c r="HY135" i="17"/>
  <c r="HZ135" i="17"/>
  <c r="IA135" i="17"/>
  <c r="IB135" i="17"/>
  <c r="IC135" i="17"/>
  <c r="ID135" i="17"/>
  <c r="IE135" i="17"/>
  <c r="IF135" i="17"/>
  <c r="IG135" i="17"/>
  <c r="IH135" i="17"/>
  <c r="II135" i="17"/>
  <c r="IJ135" i="17"/>
  <c r="IK135" i="17"/>
  <c r="IL135" i="17"/>
  <c r="IM135" i="17"/>
  <c r="IN135" i="17"/>
  <c r="IO135" i="17"/>
  <c r="IP135" i="17"/>
  <c r="IQ135" i="17"/>
  <c r="IR135" i="17"/>
  <c r="IS135" i="17"/>
  <c r="IT135" i="17"/>
  <c r="IU135" i="17"/>
  <c r="IV135" i="17"/>
  <c r="A134" i="17"/>
  <c r="B134" i="17"/>
  <c r="C134" i="17"/>
  <c r="D134" i="17"/>
  <c r="E134" i="17"/>
  <c r="F134" i="17"/>
  <c r="G134" i="17"/>
  <c r="H134" i="17"/>
  <c r="I134" i="17"/>
  <c r="J134" i="17"/>
  <c r="K134" i="17"/>
  <c r="M134" i="17"/>
  <c r="N134" i="17"/>
  <c r="O134" i="17"/>
  <c r="P134" i="17"/>
  <c r="Q134" i="17"/>
  <c r="R134" i="17"/>
  <c r="S134" i="17"/>
  <c r="T134" i="17"/>
  <c r="U134" i="17"/>
  <c r="V134" i="17"/>
  <c r="W134" i="17"/>
  <c r="X134" i="17"/>
  <c r="Y134" i="17"/>
  <c r="Z134" i="17"/>
  <c r="AA134" i="17"/>
  <c r="AB134" i="17"/>
  <c r="AC134" i="17"/>
  <c r="AD134" i="17"/>
  <c r="AE134" i="17"/>
  <c r="AF134" i="17"/>
  <c r="AG134" i="17"/>
  <c r="AH134" i="17"/>
  <c r="AI134" i="17"/>
  <c r="AJ134" i="17"/>
  <c r="AK134" i="17"/>
  <c r="AL134" i="17"/>
  <c r="AM134" i="17"/>
  <c r="AN134" i="17"/>
  <c r="AO134" i="17"/>
  <c r="AP134" i="17"/>
  <c r="AQ134" i="17"/>
  <c r="AR134" i="17"/>
  <c r="AS134" i="17"/>
  <c r="AT134" i="17"/>
  <c r="AU134" i="17"/>
  <c r="AV134" i="17"/>
  <c r="AW134" i="17"/>
  <c r="AX134" i="17"/>
  <c r="AY134" i="17"/>
  <c r="AZ134" i="17"/>
  <c r="BA134" i="17"/>
  <c r="BB134" i="17"/>
  <c r="BC134" i="17"/>
  <c r="BD134" i="17"/>
  <c r="BE134" i="17"/>
  <c r="BF134" i="17"/>
  <c r="BG134" i="17"/>
  <c r="BH134" i="17"/>
  <c r="BI134" i="17"/>
  <c r="BJ134" i="17"/>
  <c r="BK134" i="17"/>
  <c r="BL134" i="17"/>
  <c r="BM134" i="17"/>
  <c r="BN134" i="17"/>
  <c r="BO134" i="17"/>
  <c r="BP134" i="17"/>
  <c r="BQ134" i="17"/>
  <c r="BR134" i="17"/>
  <c r="BS134" i="17"/>
  <c r="BT134" i="17"/>
  <c r="BU134" i="17"/>
  <c r="BV134" i="17"/>
  <c r="BW134" i="17"/>
  <c r="BX134" i="17"/>
  <c r="BY134" i="17"/>
  <c r="BZ134" i="17"/>
  <c r="CA134" i="17"/>
  <c r="CB134" i="17"/>
  <c r="CC134" i="17"/>
  <c r="CD134" i="17"/>
  <c r="CE134" i="17"/>
  <c r="CF134" i="17"/>
  <c r="CG134" i="17"/>
  <c r="CH134" i="17"/>
  <c r="CI134" i="17"/>
  <c r="CJ134" i="17"/>
  <c r="CK134" i="17"/>
  <c r="CL134" i="17"/>
  <c r="CM134" i="17"/>
  <c r="CN134" i="17"/>
  <c r="CO134" i="17"/>
  <c r="CP134" i="17"/>
  <c r="CQ134" i="17"/>
  <c r="CR134" i="17"/>
  <c r="CS134" i="17"/>
  <c r="CT134" i="17"/>
  <c r="CU134" i="17"/>
  <c r="CV134" i="17"/>
  <c r="CW134" i="17"/>
  <c r="CX134" i="17"/>
  <c r="CY134" i="17"/>
  <c r="CZ134" i="17"/>
  <c r="DA134" i="17"/>
  <c r="DB134" i="17"/>
  <c r="DC134" i="17"/>
  <c r="DD134" i="17"/>
  <c r="DE134" i="17"/>
  <c r="DF134" i="17"/>
  <c r="DG134" i="17"/>
  <c r="DH134" i="17"/>
  <c r="DI134" i="17"/>
  <c r="DJ134" i="17"/>
  <c r="DK134" i="17"/>
  <c r="DL134" i="17"/>
  <c r="DM134" i="17"/>
  <c r="DN134" i="17"/>
  <c r="DO134" i="17"/>
  <c r="DP134" i="17"/>
  <c r="DQ134" i="17"/>
  <c r="DR134" i="17"/>
  <c r="DS134" i="17"/>
  <c r="DT134" i="17"/>
  <c r="DU134" i="17"/>
  <c r="DV134" i="17"/>
  <c r="DW134" i="17"/>
  <c r="DX134" i="17"/>
  <c r="DY134" i="17"/>
  <c r="DZ134" i="17"/>
  <c r="EA134" i="17"/>
  <c r="EB134" i="17"/>
  <c r="EC134" i="17"/>
  <c r="ED134" i="17"/>
  <c r="EE134" i="17"/>
  <c r="EF134" i="17"/>
  <c r="EG134" i="17"/>
  <c r="EH134" i="17"/>
  <c r="EI134" i="17"/>
  <c r="EJ134" i="17"/>
  <c r="EK134" i="17"/>
  <c r="EL134" i="17"/>
  <c r="EM134" i="17"/>
  <c r="EN134" i="17"/>
  <c r="EO134" i="17"/>
  <c r="EP134" i="17"/>
  <c r="EQ134" i="17"/>
  <c r="ER134" i="17"/>
  <c r="ES134" i="17"/>
  <c r="ET134" i="17"/>
  <c r="EU134" i="17"/>
  <c r="EV134" i="17"/>
  <c r="EW134" i="17"/>
  <c r="EX134" i="17"/>
  <c r="EY134" i="17"/>
  <c r="EZ134" i="17"/>
  <c r="FA134" i="17"/>
  <c r="FB134" i="17"/>
  <c r="FC134" i="17"/>
  <c r="FD134" i="17"/>
  <c r="FE134" i="17"/>
  <c r="FF134" i="17"/>
  <c r="FG134" i="17"/>
  <c r="FH134" i="17"/>
  <c r="FI134" i="17"/>
  <c r="FJ134" i="17"/>
  <c r="FK134" i="17"/>
  <c r="FL134" i="17"/>
  <c r="FM134" i="17"/>
  <c r="FN134" i="17"/>
  <c r="FO134" i="17"/>
  <c r="FP134" i="17"/>
  <c r="FQ134" i="17"/>
  <c r="FR134" i="17"/>
  <c r="FS134" i="17"/>
  <c r="FT134" i="17"/>
  <c r="FU134" i="17"/>
  <c r="FV134" i="17"/>
  <c r="FW134" i="17"/>
  <c r="FX134" i="17"/>
  <c r="FY134" i="17"/>
  <c r="FZ134" i="17"/>
  <c r="GA134" i="17"/>
  <c r="GB134" i="17"/>
  <c r="GC134" i="17"/>
  <c r="GD134" i="17"/>
  <c r="GE134" i="17"/>
  <c r="GF134" i="17"/>
  <c r="GG134" i="17"/>
  <c r="GH134" i="17"/>
  <c r="GI134" i="17"/>
  <c r="GJ134" i="17"/>
  <c r="GK134" i="17"/>
  <c r="GL134" i="17"/>
  <c r="GM134" i="17"/>
  <c r="GN134" i="17"/>
  <c r="GO134" i="17"/>
  <c r="GP134" i="17"/>
  <c r="GQ134" i="17"/>
  <c r="GR134" i="17"/>
  <c r="GS134" i="17"/>
  <c r="GT134" i="17"/>
  <c r="GU134" i="17"/>
  <c r="GV134" i="17"/>
  <c r="GW134" i="17"/>
  <c r="GX134" i="17"/>
  <c r="GY134" i="17"/>
  <c r="GZ134" i="17"/>
  <c r="HA134" i="17"/>
  <c r="HB134" i="17"/>
  <c r="HC134" i="17"/>
  <c r="HD134" i="17"/>
  <c r="HE134" i="17"/>
  <c r="HF134" i="17"/>
  <c r="HG134" i="17"/>
  <c r="HH134" i="17"/>
  <c r="HI134" i="17"/>
  <c r="HJ134" i="17"/>
  <c r="HK134" i="17"/>
  <c r="HL134" i="17"/>
  <c r="HM134" i="17"/>
  <c r="HN134" i="17"/>
  <c r="HO134" i="17"/>
  <c r="HP134" i="17"/>
  <c r="HQ134" i="17"/>
  <c r="HR134" i="17"/>
  <c r="HS134" i="17"/>
  <c r="HT134" i="17"/>
  <c r="HU134" i="17"/>
  <c r="HV134" i="17"/>
  <c r="HW134" i="17"/>
  <c r="HX134" i="17"/>
  <c r="HY134" i="17"/>
  <c r="HZ134" i="17"/>
  <c r="IA134" i="17"/>
  <c r="IB134" i="17"/>
  <c r="IC134" i="17"/>
  <c r="ID134" i="17"/>
  <c r="IE134" i="17"/>
  <c r="IF134" i="17"/>
  <c r="IG134" i="17"/>
  <c r="IH134" i="17"/>
  <c r="II134" i="17"/>
  <c r="IJ134" i="17"/>
  <c r="IK134" i="17"/>
  <c r="IL134" i="17"/>
  <c r="IM134" i="17"/>
  <c r="IN134" i="17"/>
  <c r="IO134" i="17"/>
  <c r="IP134" i="17"/>
  <c r="IQ134" i="17"/>
  <c r="IR134" i="17"/>
  <c r="IS134" i="17"/>
  <c r="IT134" i="17"/>
  <c r="IU134" i="17"/>
  <c r="IV134" i="17"/>
  <c r="A133" i="17"/>
  <c r="B133" i="17"/>
  <c r="C133" i="17"/>
  <c r="D133" i="17"/>
  <c r="E133" i="17"/>
  <c r="F133" i="17"/>
  <c r="G133" i="17"/>
  <c r="H133" i="17"/>
  <c r="I133" i="17"/>
  <c r="J133" i="17"/>
  <c r="K133" i="17"/>
  <c r="L133" i="17"/>
  <c r="M133" i="17"/>
  <c r="N133" i="17"/>
  <c r="O133" i="17"/>
  <c r="P133" i="17"/>
  <c r="Q133" i="17"/>
  <c r="R133" i="17"/>
  <c r="S133" i="17"/>
  <c r="T133" i="17"/>
  <c r="U133" i="17"/>
  <c r="V133" i="17"/>
  <c r="W133" i="17"/>
  <c r="X133" i="17"/>
  <c r="Y133" i="17"/>
  <c r="Z133" i="17"/>
  <c r="AA133" i="17"/>
  <c r="AB133" i="17"/>
  <c r="AC133" i="17"/>
  <c r="AD133" i="17"/>
  <c r="AE133" i="17"/>
  <c r="AF133" i="17"/>
  <c r="AG133" i="17"/>
  <c r="AH133" i="17"/>
  <c r="AI133" i="17"/>
  <c r="AJ133" i="17"/>
  <c r="AK133" i="17"/>
  <c r="AL133" i="17"/>
  <c r="AM133" i="17"/>
  <c r="AN133" i="17"/>
  <c r="AO133" i="17"/>
  <c r="AP133" i="17"/>
  <c r="AQ133" i="17"/>
  <c r="AR133" i="17"/>
  <c r="AS133" i="17"/>
  <c r="AT133" i="17"/>
  <c r="AU133" i="17"/>
  <c r="AV133" i="17"/>
  <c r="AW133" i="17"/>
  <c r="AX133" i="17"/>
  <c r="AY133" i="17"/>
  <c r="AZ133" i="17"/>
  <c r="BA133" i="17"/>
  <c r="BB133" i="17"/>
  <c r="BC133" i="17"/>
  <c r="BD133" i="17"/>
  <c r="BE133" i="17"/>
  <c r="BF133" i="17"/>
  <c r="BG133" i="17"/>
  <c r="BH133" i="17"/>
  <c r="BI133" i="17"/>
  <c r="BJ133" i="17"/>
  <c r="BK133" i="17"/>
  <c r="BL133" i="17"/>
  <c r="BM133" i="17"/>
  <c r="BN133" i="17"/>
  <c r="BO133" i="17"/>
  <c r="BP133" i="17"/>
  <c r="BQ133" i="17"/>
  <c r="BR133" i="17"/>
  <c r="BS133" i="17"/>
  <c r="BT133" i="17"/>
  <c r="BU133" i="17"/>
  <c r="BV133" i="17"/>
  <c r="BW133" i="17"/>
  <c r="BX133" i="17"/>
  <c r="BY133" i="17"/>
  <c r="BZ133" i="17"/>
  <c r="CA133" i="17"/>
  <c r="CB133" i="17"/>
  <c r="CC133" i="17"/>
  <c r="CD133" i="17"/>
  <c r="CE133" i="17"/>
  <c r="CF133" i="17"/>
  <c r="CG133" i="17"/>
  <c r="CH133" i="17"/>
  <c r="CI133" i="17"/>
  <c r="CJ133" i="17"/>
  <c r="CK133" i="17"/>
  <c r="CL133" i="17"/>
  <c r="CM133" i="17"/>
  <c r="CN133" i="17"/>
  <c r="CO133" i="17"/>
  <c r="CP133" i="17"/>
  <c r="CQ133" i="17"/>
  <c r="CR133" i="17"/>
  <c r="CS133" i="17"/>
  <c r="CT133" i="17"/>
  <c r="CU133" i="17"/>
  <c r="CV133" i="17"/>
  <c r="CW133" i="17"/>
  <c r="CX133" i="17"/>
  <c r="CY133" i="17"/>
  <c r="CZ133" i="17"/>
  <c r="DA133" i="17"/>
  <c r="DB133" i="17"/>
  <c r="DC133" i="17"/>
  <c r="DD133" i="17"/>
  <c r="DE133" i="17"/>
  <c r="DF133" i="17"/>
  <c r="DG133" i="17"/>
  <c r="DH133" i="17"/>
  <c r="DI133" i="17"/>
  <c r="DJ133" i="17"/>
  <c r="DK133" i="17"/>
  <c r="DL133" i="17"/>
  <c r="DM133" i="17"/>
  <c r="DN133" i="17"/>
  <c r="DO133" i="17"/>
  <c r="DP133" i="17"/>
  <c r="DQ133" i="17"/>
  <c r="DR133" i="17"/>
  <c r="DS133" i="17"/>
  <c r="DT133" i="17"/>
  <c r="DU133" i="17"/>
  <c r="DV133" i="17"/>
  <c r="DW133" i="17"/>
  <c r="DX133" i="17"/>
  <c r="DY133" i="17"/>
  <c r="DZ133" i="17"/>
  <c r="EA133" i="17"/>
  <c r="EB133" i="17"/>
  <c r="EC133" i="17"/>
  <c r="ED133" i="17"/>
  <c r="EE133" i="17"/>
  <c r="EF133" i="17"/>
  <c r="EG133" i="17"/>
  <c r="EH133" i="17"/>
  <c r="EI133" i="17"/>
  <c r="EJ133" i="17"/>
  <c r="EK133" i="17"/>
  <c r="EL133" i="17"/>
  <c r="EM133" i="17"/>
  <c r="EN133" i="17"/>
  <c r="EO133" i="17"/>
  <c r="EP133" i="17"/>
  <c r="EQ133" i="17"/>
  <c r="ER133" i="17"/>
  <c r="ES133" i="17"/>
  <c r="ET133" i="17"/>
  <c r="EU133" i="17"/>
  <c r="EV133" i="17"/>
  <c r="EW133" i="17"/>
  <c r="EX133" i="17"/>
  <c r="EY133" i="17"/>
  <c r="EZ133" i="17"/>
  <c r="FA133" i="17"/>
  <c r="FB133" i="17"/>
  <c r="FC133" i="17"/>
  <c r="FD133" i="17"/>
  <c r="FE133" i="17"/>
  <c r="FF133" i="17"/>
  <c r="FG133" i="17"/>
  <c r="FH133" i="17"/>
  <c r="FI133" i="17"/>
  <c r="FJ133" i="17"/>
  <c r="FK133" i="17"/>
  <c r="FL133" i="17"/>
  <c r="FM133" i="17"/>
  <c r="FN133" i="17"/>
  <c r="FO133" i="17"/>
  <c r="FP133" i="17"/>
  <c r="FQ133" i="17"/>
  <c r="FR133" i="17"/>
  <c r="FS133" i="17"/>
  <c r="FT133" i="17"/>
  <c r="FU133" i="17"/>
  <c r="FV133" i="17"/>
  <c r="FW133" i="17"/>
  <c r="FX133" i="17"/>
  <c r="FY133" i="17"/>
  <c r="FZ133" i="17"/>
  <c r="GA133" i="17"/>
  <c r="GB133" i="17"/>
  <c r="GC133" i="17"/>
  <c r="GD133" i="17"/>
  <c r="GE133" i="17"/>
  <c r="GF133" i="17"/>
  <c r="GG133" i="17"/>
  <c r="GH133" i="17"/>
  <c r="GI133" i="17"/>
  <c r="GJ133" i="17"/>
  <c r="GK133" i="17"/>
  <c r="GL133" i="17"/>
  <c r="GM133" i="17"/>
  <c r="GN133" i="17"/>
  <c r="GO133" i="17"/>
  <c r="GP133" i="17"/>
  <c r="GQ133" i="17"/>
  <c r="GR133" i="17"/>
  <c r="GS133" i="17"/>
  <c r="GT133" i="17"/>
  <c r="GU133" i="17"/>
  <c r="GV133" i="17"/>
  <c r="GW133" i="17"/>
  <c r="GX133" i="17"/>
  <c r="GY133" i="17"/>
  <c r="GZ133" i="17"/>
  <c r="HA133" i="17"/>
  <c r="HB133" i="17"/>
  <c r="HC133" i="17"/>
  <c r="HD133" i="17"/>
  <c r="HE133" i="17"/>
  <c r="HF133" i="17"/>
  <c r="HG133" i="17"/>
  <c r="HH133" i="17"/>
  <c r="HI133" i="17"/>
  <c r="HJ133" i="17"/>
  <c r="HK133" i="17"/>
  <c r="HL133" i="17"/>
  <c r="HM133" i="17"/>
  <c r="HN133" i="17"/>
  <c r="HO133" i="17"/>
  <c r="HP133" i="17"/>
  <c r="HQ133" i="17"/>
  <c r="HR133" i="17"/>
  <c r="HS133" i="17"/>
  <c r="HT133" i="17"/>
  <c r="HU133" i="17"/>
  <c r="HV133" i="17"/>
  <c r="HW133" i="17"/>
  <c r="HX133" i="17"/>
  <c r="HY133" i="17"/>
  <c r="HZ133" i="17"/>
  <c r="IA133" i="17"/>
  <c r="IB133" i="17"/>
  <c r="IC133" i="17"/>
  <c r="ID133" i="17"/>
  <c r="IE133" i="17"/>
  <c r="IF133" i="17"/>
  <c r="IG133" i="17"/>
  <c r="IH133" i="17"/>
  <c r="II133" i="17"/>
  <c r="IJ133" i="17"/>
  <c r="IK133" i="17"/>
  <c r="IL133" i="17"/>
  <c r="IM133" i="17"/>
  <c r="IN133" i="17"/>
  <c r="IO133" i="17"/>
  <c r="IP133" i="17"/>
  <c r="IQ133" i="17"/>
  <c r="IR133" i="17"/>
  <c r="IS133" i="17"/>
  <c r="IT133" i="17"/>
  <c r="IU133" i="17"/>
  <c r="IV133" i="17"/>
  <c r="A132" i="17"/>
  <c r="B132" i="17"/>
  <c r="C132" i="17"/>
  <c r="D132" i="17"/>
  <c r="E132" i="17"/>
  <c r="F132" i="17"/>
  <c r="G132" i="17"/>
  <c r="H132" i="17"/>
  <c r="I132" i="17"/>
  <c r="J132" i="17"/>
  <c r="K132" i="17"/>
  <c r="L132" i="17"/>
  <c r="M132" i="17"/>
  <c r="N132" i="17"/>
  <c r="O132" i="17"/>
  <c r="P132" i="17"/>
  <c r="Q132" i="17"/>
  <c r="R132" i="17"/>
  <c r="S132" i="17"/>
  <c r="T132" i="17"/>
  <c r="U132" i="17"/>
  <c r="V132" i="17"/>
  <c r="W132" i="17"/>
  <c r="X132" i="17"/>
  <c r="Y132" i="17"/>
  <c r="Z132" i="17"/>
  <c r="AA132" i="17"/>
  <c r="AB132" i="17"/>
  <c r="AC132" i="17"/>
  <c r="AD132" i="17"/>
  <c r="AE132" i="17"/>
  <c r="AF132" i="17"/>
  <c r="AG132" i="17"/>
  <c r="AH132" i="17"/>
  <c r="AI132" i="17"/>
  <c r="AJ132" i="17"/>
  <c r="AK132" i="17"/>
  <c r="AL132" i="17"/>
  <c r="AM132" i="17"/>
  <c r="AN132" i="17"/>
  <c r="AO132" i="17"/>
  <c r="AP132" i="17"/>
  <c r="AQ132" i="17"/>
  <c r="AR132" i="17"/>
  <c r="AS132" i="17"/>
  <c r="AT132" i="17"/>
  <c r="AU132" i="17"/>
  <c r="AV132" i="17"/>
  <c r="AW132" i="17"/>
  <c r="AX132" i="17"/>
  <c r="AY132" i="17"/>
  <c r="AZ132" i="17"/>
  <c r="BA132" i="17"/>
  <c r="BB132" i="17"/>
  <c r="BC132" i="17"/>
  <c r="BD132" i="17"/>
  <c r="BE132" i="17"/>
  <c r="BF132" i="17"/>
  <c r="BG132" i="17"/>
  <c r="BH132" i="17"/>
  <c r="BI132" i="17"/>
  <c r="BJ132" i="17"/>
  <c r="BK132" i="17"/>
  <c r="BL132" i="17"/>
  <c r="BM132" i="17"/>
  <c r="BN132" i="17"/>
  <c r="BO132" i="17"/>
  <c r="BP132" i="17"/>
  <c r="BQ132" i="17"/>
  <c r="BR132" i="17"/>
  <c r="BS132" i="17"/>
  <c r="BT132" i="17"/>
  <c r="BU132" i="17"/>
  <c r="BV132" i="17"/>
  <c r="BW132" i="17"/>
  <c r="BX132" i="17"/>
  <c r="BY132" i="17"/>
  <c r="BZ132" i="17"/>
  <c r="CA132" i="17"/>
  <c r="CB132" i="17"/>
  <c r="CC132" i="17"/>
  <c r="CD132" i="17"/>
  <c r="CE132" i="17"/>
  <c r="CF132" i="17"/>
  <c r="CG132" i="17"/>
  <c r="CH132" i="17"/>
  <c r="CI132" i="17"/>
  <c r="CJ132" i="17"/>
  <c r="CK132" i="17"/>
  <c r="CL132" i="17"/>
  <c r="CM132" i="17"/>
  <c r="CN132" i="17"/>
  <c r="CO132" i="17"/>
  <c r="CP132" i="17"/>
  <c r="CQ132" i="17"/>
  <c r="CR132" i="17"/>
  <c r="CS132" i="17"/>
  <c r="CT132" i="17"/>
  <c r="CU132" i="17"/>
  <c r="CV132" i="17"/>
  <c r="CW132" i="17"/>
  <c r="CX132" i="17"/>
  <c r="CY132" i="17"/>
  <c r="CZ132" i="17"/>
  <c r="DA132" i="17"/>
  <c r="DB132" i="17"/>
  <c r="DC132" i="17"/>
  <c r="DD132" i="17"/>
  <c r="DE132" i="17"/>
  <c r="DF132" i="17"/>
  <c r="DG132" i="17"/>
  <c r="DH132" i="17"/>
  <c r="DI132" i="17"/>
  <c r="DJ132" i="17"/>
  <c r="DK132" i="17"/>
  <c r="DL132" i="17"/>
  <c r="DM132" i="17"/>
  <c r="DN132" i="17"/>
  <c r="DO132" i="17"/>
  <c r="DP132" i="17"/>
  <c r="DQ132" i="17"/>
  <c r="DR132" i="17"/>
  <c r="DS132" i="17"/>
  <c r="DT132" i="17"/>
  <c r="DU132" i="17"/>
  <c r="DV132" i="17"/>
  <c r="DW132" i="17"/>
  <c r="DX132" i="17"/>
  <c r="DY132" i="17"/>
  <c r="DZ132" i="17"/>
  <c r="EA132" i="17"/>
  <c r="EB132" i="17"/>
  <c r="EC132" i="17"/>
  <c r="ED132" i="17"/>
  <c r="EE132" i="17"/>
  <c r="EF132" i="17"/>
  <c r="EG132" i="17"/>
  <c r="EH132" i="17"/>
  <c r="EI132" i="17"/>
  <c r="EJ132" i="17"/>
  <c r="EK132" i="17"/>
  <c r="EL132" i="17"/>
  <c r="EM132" i="17"/>
  <c r="EN132" i="17"/>
  <c r="EO132" i="17"/>
  <c r="EP132" i="17"/>
  <c r="EQ132" i="17"/>
  <c r="ER132" i="17"/>
  <c r="ES132" i="17"/>
  <c r="ET132" i="17"/>
  <c r="EU132" i="17"/>
  <c r="EV132" i="17"/>
  <c r="EW132" i="17"/>
  <c r="EX132" i="17"/>
  <c r="EY132" i="17"/>
  <c r="EZ132" i="17"/>
  <c r="FA132" i="17"/>
  <c r="FB132" i="17"/>
  <c r="FC132" i="17"/>
  <c r="FD132" i="17"/>
  <c r="FE132" i="17"/>
  <c r="FF132" i="17"/>
  <c r="FG132" i="17"/>
  <c r="FH132" i="17"/>
  <c r="FI132" i="17"/>
  <c r="FJ132" i="17"/>
  <c r="FK132" i="17"/>
  <c r="FL132" i="17"/>
  <c r="FM132" i="17"/>
  <c r="FN132" i="17"/>
  <c r="FO132" i="17"/>
  <c r="FP132" i="17"/>
  <c r="FQ132" i="17"/>
  <c r="FR132" i="17"/>
  <c r="FS132" i="17"/>
  <c r="FT132" i="17"/>
  <c r="FU132" i="17"/>
  <c r="FV132" i="17"/>
  <c r="FW132" i="17"/>
  <c r="FX132" i="17"/>
  <c r="FY132" i="17"/>
  <c r="FZ132" i="17"/>
  <c r="GA132" i="17"/>
  <c r="GB132" i="17"/>
  <c r="GC132" i="17"/>
  <c r="GD132" i="17"/>
  <c r="GE132" i="17"/>
  <c r="GF132" i="17"/>
  <c r="GG132" i="17"/>
  <c r="GH132" i="17"/>
  <c r="GI132" i="17"/>
  <c r="GJ132" i="17"/>
  <c r="GK132" i="17"/>
  <c r="GL132" i="17"/>
  <c r="GM132" i="17"/>
  <c r="GN132" i="17"/>
  <c r="GO132" i="17"/>
  <c r="GP132" i="17"/>
  <c r="GQ132" i="17"/>
  <c r="GR132" i="17"/>
  <c r="GS132" i="17"/>
  <c r="GT132" i="17"/>
  <c r="GU132" i="17"/>
  <c r="GV132" i="17"/>
  <c r="GW132" i="17"/>
  <c r="GX132" i="17"/>
  <c r="GY132" i="17"/>
  <c r="GZ132" i="17"/>
  <c r="HA132" i="17"/>
  <c r="HB132" i="17"/>
  <c r="HC132" i="17"/>
  <c r="HD132" i="17"/>
  <c r="HE132" i="17"/>
  <c r="HF132" i="17"/>
  <c r="HG132" i="17"/>
  <c r="HH132" i="17"/>
  <c r="HI132" i="17"/>
  <c r="HJ132" i="17"/>
  <c r="HK132" i="17"/>
  <c r="HL132" i="17"/>
  <c r="HM132" i="17"/>
  <c r="HN132" i="17"/>
  <c r="HO132" i="17"/>
  <c r="HP132" i="17"/>
  <c r="HQ132" i="17"/>
  <c r="HR132" i="17"/>
  <c r="HS132" i="17"/>
  <c r="HT132" i="17"/>
  <c r="HU132" i="17"/>
  <c r="HV132" i="17"/>
  <c r="HW132" i="17"/>
  <c r="HX132" i="17"/>
  <c r="HY132" i="17"/>
  <c r="HZ132" i="17"/>
  <c r="IA132" i="17"/>
  <c r="IB132" i="17"/>
  <c r="IC132" i="17"/>
  <c r="ID132" i="17"/>
  <c r="IE132" i="17"/>
  <c r="IF132" i="17"/>
  <c r="IG132" i="17"/>
  <c r="IH132" i="17"/>
  <c r="II132" i="17"/>
  <c r="IJ132" i="17"/>
  <c r="IK132" i="17"/>
  <c r="IL132" i="17"/>
  <c r="IM132" i="17"/>
  <c r="IN132" i="17"/>
  <c r="IO132" i="17"/>
  <c r="IP132" i="17"/>
  <c r="IQ132" i="17"/>
  <c r="IR132" i="17"/>
  <c r="IS132" i="17"/>
  <c r="IT132" i="17"/>
  <c r="IU132" i="17"/>
  <c r="IV132" i="17"/>
  <c r="A131" i="17"/>
  <c r="B131" i="17"/>
  <c r="C131" i="17"/>
  <c r="D131" i="17"/>
  <c r="E131" i="17"/>
  <c r="F131" i="17"/>
  <c r="G131" i="17"/>
  <c r="H131" i="17"/>
  <c r="I131" i="17"/>
  <c r="J131" i="17"/>
  <c r="K131" i="17"/>
  <c r="L131" i="17"/>
  <c r="M131" i="17"/>
  <c r="N131" i="17"/>
  <c r="O131" i="17"/>
  <c r="P131" i="17"/>
  <c r="Q131" i="17"/>
  <c r="R131" i="17"/>
  <c r="S131" i="17"/>
  <c r="T131" i="17"/>
  <c r="U131" i="17"/>
  <c r="V131" i="17"/>
  <c r="W131" i="17"/>
  <c r="X131" i="17"/>
  <c r="Y131" i="17"/>
  <c r="Z131" i="17"/>
  <c r="AA131" i="17"/>
  <c r="AB131" i="17"/>
  <c r="AC131" i="17"/>
  <c r="AD131" i="17"/>
  <c r="AE131" i="17"/>
  <c r="AF131" i="17"/>
  <c r="AG131" i="17"/>
  <c r="AH131" i="17"/>
  <c r="AI131" i="17"/>
  <c r="AJ131" i="17"/>
  <c r="AK131" i="17"/>
  <c r="AL131" i="17"/>
  <c r="AM131" i="17"/>
  <c r="AN131" i="17"/>
  <c r="AO131" i="17"/>
  <c r="AP131" i="17"/>
  <c r="AQ131" i="17"/>
  <c r="AR131" i="17"/>
  <c r="AS131" i="17"/>
  <c r="AT131" i="17"/>
  <c r="AU131" i="17"/>
  <c r="AV131" i="17"/>
  <c r="AW131" i="17"/>
  <c r="AX131" i="17"/>
  <c r="AY131" i="17"/>
  <c r="AZ131" i="17"/>
  <c r="BA131" i="17"/>
  <c r="BB131" i="17"/>
  <c r="BC131" i="17"/>
  <c r="BD131" i="17"/>
  <c r="BE131" i="17"/>
  <c r="BF131" i="17"/>
  <c r="BG131" i="17"/>
  <c r="BH131" i="17"/>
  <c r="BI131" i="17"/>
  <c r="BJ131" i="17"/>
  <c r="BK131" i="17"/>
  <c r="BL131" i="17"/>
  <c r="BM131" i="17"/>
  <c r="BN131" i="17"/>
  <c r="BO131" i="17"/>
  <c r="BP131" i="17"/>
  <c r="BQ131" i="17"/>
  <c r="BR131" i="17"/>
  <c r="BS131" i="17"/>
  <c r="BT131" i="17"/>
  <c r="BU131" i="17"/>
  <c r="BV131" i="17"/>
  <c r="BW131" i="17"/>
  <c r="BX131" i="17"/>
  <c r="BY131" i="17"/>
  <c r="BZ131" i="17"/>
  <c r="CA131" i="17"/>
  <c r="CB131" i="17"/>
  <c r="CC131" i="17"/>
  <c r="CD131" i="17"/>
  <c r="CE131" i="17"/>
  <c r="CF131" i="17"/>
  <c r="CG131" i="17"/>
  <c r="CH131" i="17"/>
  <c r="CI131" i="17"/>
  <c r="CJ131" i="17"/>
  <c r="CK131" i="17"/>
  <c r="CL131" i="17"/>
  <c r="CM131" i="17"/>
  <c r="CN131" i="17"/>
  <c r="CO131" i="17"/>
  <c r="CP131" i="17"/>
  <c r="CQ131" i="17"/>
  <c r="CR131" i="17"/>
  <c r="CS131" i="17"/>
  <c r="CT131" i="17"/>
  <c r="CU131" i="17"/>
  <c r="CV131" i="17"/>
  <c r="CW131" i="17"/>
  <c r="CX131" i="17"/>
  <c r="CY131" i="17"/>
  <c r="CZ131" i="17"/>
  <c r="DA131" i="17"/>
  <c r="DB131" i="17"/>
  <c r="DC131" i="17"/>
  <c r="DD131" i="17"/>
  <c r="DE131" i="17"/>
  <c r="DF131" i="17"/>
  <c r="DG131" i="17"/>
  <c r="DH131" i="17"/>
  <c r="DI131" i="17"/>
  <c r="DJ131" i="17"/>
  <c r="DK131" i="17"/>
  <c r="DL131" i="17"/>
  <c r="DM131" i="17"/>
  <c r="DN131" i="17"/>
  <c r="DO131" i="17"/>
  <c r="DP131" i="17"/>
  <c r="DQ131" i="17"/>
  <c r="DR131" i="17"/>
  <c r="DS131" i="17"/>
  <c r="DT131" i="17"/>
  <c r="DU131" i="17"/>
  <c r="DV131" i="17"/>
  <c r="DW131" i="17"/>
  <c r="DX131" i="17"/>
  <c r="DY131" i="17"/>
  <c r="DZ131" i="17"/>
  <c r="EA131" i="17"/>
  <c r="EB131" i="17"/>
  <c r="EC131" i="17"/>
  <c r="ED131" i="17"/>
  <c r="EE131" i="17"/>
  <c r="EF131" i="17"/>
  <c r="EG131" i="17"/>
  <c r="EH131" i="17"/>
  <c r="EI131" i="17"/>
  <c r="EJ131" i="17"/>
  <c r="EK131" i="17"/>
  <c r="EL131" i="17"/>
  <c r="EM131" i="17"/>
  <c r="EN131" i="17"/>
  <c r="EO131" i="17"/>
  <c r="EP131" i="17"/>
  <c r="EQ131" i="17"/>
  <c r="ER131" i="17"/>
  <c r="ES131" i="17"/>
  <c r="ET131" i="17"/>
  <c r="EU131" i="17"/>
  <c r="EV131" i="17"/>
  <c r="EW131" i="17"/>
  <c r="EX131" i="17"/>
  <c r="EY131" i="17"/>
  <c r="EZ131" i="17"/>
  <c r="FA131" i="17"/>
  <c r="FB131" i="17"/>
  <c r="FC131" i="17"/>
  <c r="FD131" i="17"/>
  <c r="FE131" i="17"/>
  <c r="FF131" i="17"/>
  <c r="FG131" i="17"/>
  <c r="FH131" i="17"/>
  <c r="FI131" i="17"/>
  <c r="FJ131" i="17"/>
  <c r="FK131" i="17"/>
  <c r="FL131" i="17"/>
  <c r="FM131" i="17"/>
  <c r="FN131" i="17"/>
  <c r="FO131" i="17"/>
  <c r="FP131" i="17"/>
  <c r="FQ131" i="17"/>
  <c r="FR131" i="17"/>
  <c r="FS131" i="17"/>
  <c r="FT131" i="17"/>
  <c r="FU131" i="17"/>
  <c r="FV131" i="17"/>
  <c r="FW131" i="17"/>
  <c r="FX131" i="17"/>
  <c r="FY131" i="17"/>
  <c r="FZ131" i="17"/>
  <c r="GA131" i="17"/>
  <c r="GB131" i="17"/>
  <c r="GC131" i="17"/>
  <c r="GD131" i="17"/>
  <c r="GE131" i="17"/>
  <c r="GF131" i="17"/>
  <c r="GG131" i="17"/>
  <c r="GH131" i="17"/>
  <c r="GI131" i="17"/>
  <c r="GJ131" i="17"/>
  <c r="GK131" i="17"/>
  <c r="GL131" i="17"/>
  <c r="GM131" i="17"/>
  <c r="GN131" i="17"/>
  <c r="GO131" i="17"/>
  <c r="GP131" i="17"/>
  <c r="GQ131" i="17"/>
  <c r="GR131" i="17"/>
  <c r="GS131" i="17"/>
  <c r="GT131" i="17"/>
  <c r="GU131" i="17"/>
  <c r="GV131" i="17"/>
  <c r="GW131" i="17"/>
  <c r="GX131" i="17"/>
  <c r="GY131" i="17"/>
  <c r="GZ131" i="17"/>
  <c r="HA131" i="17"/>
  <c r="HB131" i="17"/>
  <c r="HC131" i="17"/>
  <c r="HD131" i="17"/>
  <c r="HE131" i="17"/>
  <c r="HF131" i="17"/>
  <c r="HG131" i="17"/>
  <c r="HH131" i="17"/>
  <c r="HI131" i="17"/>
  <c r="HJ131" i="17"/>
  <c r="HK131" i="17"/>
  <c r="HL131" i="17"/>
  <c r="HM131" i="17"/>
  <c r="HN131" i="17"/>
  <c r="HO131" i="17"/>
  <c r="HP131" i="17"/>
  <c r="HQ131" i="17"/>
  <c r="HR131" i="17"/>
  <c r="HS131" i="17"/>
  <c r="HT131" i="17"/>
  <c r="HU131" i="17"/>
  <c r="HV131" i="17"/>
  <c r="HW131" i="17"/>
  <c r="HX131" i="17"/>
  <c r="HY131" i="17"/>
  <c r="HZ131" i="17"/>
  <c r="IA131" i="17"/>
  <c r="IB131" i="17"/>
  <c r="IC131" i="17"/>
  <c r="ID131" i="17"/>
  <c r="IE131" i="17"/>
  <c r="IF131" i="17"/>
  <c r="IG131" i="17"/>
  <c r="IH131" i="17"/>
  <c r="II131" i="17"/>
  <c r="IJ131" i="17"/>
  <c r="IK131" i="17"/>
  <c r="IL131" i="17"/>
  <c r="IM131" i="17"/>
  <c r="IN131" i="17"/>
  <c r="IO131" i="17"/>
  <c r="IP131" i="17"/>
  <c r="IQ131" i="17"/>
  <c r="IR131" i="17"/>
  <c r="IS131" i="17"/>
  <c r="IT131" i="17"/>
  <c r="IU131" i="17"/>
  <c r="IV131" i="17"/>
  <c r="A130" i="17"/>
  <c r="B130" i="17"/>
  <c r="C130" i="17"/>
  <c r="D130" i="17"/>
  <c r="E130" i="17"/>
  <c r="F130" i="17"/>
  <c r="G130" i="17"/>
  <c r="H130" i="17"/>
  <c r="I130" i="17"/>
  <c r="J130" i="17"/>
  <c r="K130" i="17"/>
  <c r="L130" i="17"/>
  <c r="M130" i="17"/>
  <c r="N130" i="17"/>
  <c r="O130" i="17"/>
  <c r="P130" i="17"/>
  <c r="Q130" i="17"/>
  <c r="R130" i="17"/>
  <c r="S130" i="17"/>
  <c r="T130" i="17"/>
  <c r="U130" i="17"/>
  <c r="V130" i="17"/>
  <c r="W130" i="17"/>
  <c r="X130" i="17"/>
  <c r="Y130" i="17"/>
  <c r="Z130" i="17"/>
  <c r="AA130" i="17"/>
  <c r="AB130" i="17"/>
  <c r="AC130" i="17"/>
  <c r="AD130" i="17"/>
  <c r="AE130" i="17"/>
  <c r="AF130" i="17"/>
  <c r="AG130" i="17"/>
  <c r="AH130" i="17"/>
  <c r="AI130" i="17"/>
  <c r="AJ130" i="17"/>
  <c r="AK130" i="17"/>
  <c r="AL130" i="17"/>
  <c r="AM130" i="17"/>
  <c r="AN130" i="17"/>
  <c r="AO130" i="17"/>
  <c r="AP130" i="17"/>
  <c r="AQ130" i="17"/>
  <c r="AR130" i="17"/>
  <c r="AS130" i="17"/>
  <c r="AT130" i="17"/>
  <c r="AU130" i="17"/>
  <c r="AV130" i="17"/>
  <c r="AW130" i="17"/>
  <c r="AX130" i="17"/>
  <c r="AY130" i="17"/>
  <c r="AZ130" i="17"/>
  <c r="BA130" i="17"/>
  <c r="BB130" i="17"/>
  <c r="BC130" i="17"/>
  <c r="BD130" i="17"/>
  <c r="BE130" i="17"/>
  <c r="BF130" i="17"/>
  <c r="BG130" i="17"/>
  <c r="BH130" i="17"/>
  <c r="BI130" i="17"/>
  <c r="BJ130" i="17"/>
  <c r="BK130" i="17"/>
  <c r="BL130" i="17"/>
  <c r="BM130" i="17"/>
  <c r="BN130" i="17"/>
  <c r="BO130" i="17"/>
  <c r="BP130" i="17"/>
  <c r="BQ130" i="17"/>
  <c r="BR130" i="17"/>
  <c r="BS130" i="17"/>
  <c r="BT130" i="17"/>
  <c r="BU130" i="17"/>
  <c r="BV130" i="17"/>
  <c r="BW130" i="17"/>
  <c r="BX130" i="17"/>
  <c r="BY130" i="17"/>
  <c r="BZ130" i="17"/>
  <c r="CA130" i="17"/>
  <c r="CB130" i="17"/>
  <c r="CC130" i="17"/>
  <c r="CD130" i="17"/>
  <c r="CE130" i="17"/>
  <c r="CF130" i="17"/>
  <c r="CG130" i="17"/>
  <c r="CH130" i="17"/>
  <c r="CI130" i="17"/>
  <c r="CJ130" i="17"/>
  <c r="CK130" i="17"/>
  <c r="CL130" i="17"/>
  <c r="CM130" i="17"/>
  <c r="CN130" i="17"/>
  <c r="CO130" i="17"/>
  <c r="CP130" i="17"/>
  <c r="CQ130" i="17"/>
  <c r="CR130" i="17"/>
  <c r="CS130" i="17"/>
  <c r="CT130" i="17"/>
  <c r="CU130" i="17"/>
  <c r="CV130" i="17"/>
  <c r="CW130" i="17"/>
  <c r="CX130" i="17"/>
  <c r="CY130" i="17"/>
  <c r="CZ130" i="17"/>
  <c r="DA130" i="17"/>
  <c r="DB130" i="17"/>
  <c r="DC130" i="17"/>
  <c r="DD130" i="17"/>
  <c r="DE130" i="17"/>
  <c r="DF130" i="17"/>
  <c r="DG130" i="17"/>
  <c r="DH130" i="17"/>
  <c r="DI130" i="17"/>
  <c r="DJ130" i="17"/>
  <c r="DK130" i="17"/>
  <c r="DL130" i="17"/>
  <c r="DM130" i="17"/>
  <c r="DN130" i="17"/>
  <c r="DO130" i="17"/>
  <c r="DP130" i="17"/>
  <c r="DQ130" i="17"/>
  <c r="DR130" i="17"/>
  <c r="DS130" i="17"/>
  <c r="DT130" i="17"/>
  <c r="DU130" i="17"/>
  <c r="DV130" i="17"/>
  <c r="DW130" i="17"/>
  <c r="DX130" i="17"/>
  <c r="DY130" i="17"/>
  <c r="DZ130" i="17"/>
  <c r="EA130" i="17"/>
  <c r="EB130" i="17"/>
  <c r="EC130" i="17"/>
  <c r="ED130" i="17"/>
  <c r="EE130" i="17"/>
  <c r="EF130" i="17"/>
  <c r="EG130" i="17"/>
  <c r="EH130" i="17"/>
  <c r="EI130" i="17"/>
  <c r="EJ130" i="17"/>
  <c r="EK130" i="17"/>
  <c r="EL130" i="17"/>
  <c r="EM130" i="17"/>
  <c r="EN130" i="17"/>
  <c r="EO130" i="17"/>
  <c r="EP130" i="17"/>
  <c r="EQ130" i="17"/>
  <c r="ER130" i="17"/>
  <c r="ES130" i="17"/>
  <c r="ET130" i="17"/>
  <c r="EU130" i="17"/>
  <c r="EV130" i="17"/>
  <c r="EW130" i="17"/>
  <c r="EX130" i="17"/>
  <c r="EY130" i="17"/>
  <c r="EZ130" i="17"/>
  <c r="FA130" i="17"/>
  <c r="FB130" i="17"/>
  <c r="FC130" i="17"/>
  <c r="FD130" i="17"/>
  <c r="FE130" i="17"/>
  <c r="FF130" i="17"/>
  <c r="FG130" i="17"/>
  <c r="FH130" i="17"/>
  <c r="FI130" i="17"/>
  <c r="FJ130" i="17"/>
  <c r="FK130" i="17"/>
  <c r="FL130" i="17"/>
  <c r="FM130" i="17"/>
  <c r="FN130" i="17"/>
  <c r="FO130" i="17"/>
  <c r="FP130" i="17"/>
  <c r="FQ130" i="17"/>
  <c r="FR130" i="17"/>
  <c r="FS130" i="17"/>
  <c r="FT130" i="17"/>
  <c r="FU130" i="17"/>
  <c r="FV130" i="17"/>
  <c r="FW130" i="17"/>
  <c r="FX130" i="17"/>
  <c r="FY130" i="17"/>
  <c r="FZ130" i="17"/>
  <c r="GA130" i="17"/>
  <c r="GB130" i="17"/>
  <c r="GC130" i="17"/>
  <c r="GD130" i="17"/>
  <c r="GE130" i="17"/>
  <c r="GF130" i="17"/>
  <c r="GG130" i="17"/>
  <c r="GH130" i="17"/>
  <c r="GI130" i="17"/>
  <c r="GJ130" i="17"/>
  <c r="GK130" i="17"/>
  <c r="GL130" i="17"/>
  <c r="GM130" i="17"/>
  <c r="GN130" i="17"/>
  <c r="GO130" i="17"/>
  <c r="GP130" i="17"/>
  <c r="GQ130" i="17"/>
  <c r="GR130" i="17"/>
  <c r="GS130" i="17"/>
  <c r="GT130" i="17"/>
  <c r="GU130" i="17"/>
  <c r="GV130" i="17"/>
  <c r="GW130" i="17"/>
  <c r="GX130" i="17"/>
  <c r="GY130" i="17"/>
  <c r="GZ130" i="17"/>
  <c r="HA130" i="17"/>
  <c r="HB130" i="17"/>
  <c r="HC130" i="17"/>
  <c r="HD130" i="17"/>
  <c r="HE130" i="17"/>
  <c r="HF130" i="17"/>
  <c r="HG130" i="17"/>
  <c r="HH130" i="17"/>
  <c r="HI130" i="17"/>
  <c r="HJ130" i="17"/>
  <c r="HK130" i="17"/>
  <c r="HL130" i="17"/>
  <c r="HM130" i="17"/>
  <c r="HN130" i="17"/>
  <c r="HO130" i="17"/>
  <c r="HP130" i="17"/>
  <c r="HQ130" i="17"/>
  <c r="HR130" i="17"/>
  <c r="HS130" i="17"/>
  <c r="HT130" i="17"/>
  <c r="HU130" i="17"/>
  <c r="HV130" i="17"/>
  <c r="HW130" i="17"/>
  <c r="HX130" i="17"/>
  <c r="HY130" i="17"/>
  <c r="HZ130" i="17"/>
  <c r="IA130" i="17"/>
  <c r="IB130" i="17"/>
  <c r="IC130" i="17"/>
  <c r="ID130" i="17"/>
  <c r="IE130" i="17"/>
  <c r="IF130" i="17"/>
  <c r="IG130" i="17"/>
  <c r="IH130" i="17"/>
  <c r="II130" i="17"/>
  <c r="IJ130" i="17"/>
  <c r="IK130" i="17"/>
  <c r="IL130" i="17"/>
  <c r="IM130" i="17"/>
  <c r="IN130" i="17"/>
  <c r="IO130" i="17"/>
  <c r="IP130" i="17"/>
  <c r="IQ130" i="17"/>
  <c r="IR130" i="17"/>
  <c r="IS130" i="17"/>
  <c r="IT130" i="17"/>
  <c r="IU130" i="17"/>
  <c r="IV130" i="17"/>
  <c r="A129" i="17"/>
  <c r="B129" i="17"/>
  <c r="C129" i="17"/>
  <c r="E129" i="17"/>
  <c r="F129" i="17"/>
  <c r="G129" i="17"/>
  <c r="H129" i="17"/>
  <c r="I129" i="17"/>
  <c r="J129" i="17"/>
  <c r="K129" i="17"/>
  <c r="L129" i="17"/>
  <c r="M129" i="17"/>
  <c r="N129" i="17"/>
  <c r="O129" i="17"/>
  <c r="P129" i="17"/>
  <c r="Q129" i="17"/>
  <c r="R129" i="17"/>
  <c r="S129" i="17"/>
  <c r="T129" i="17"/>
  <c r="U129" i="17"/>
  <c r="V129" i="17"/>
  <c r="W129" i="17"/>
  <c r="X129" i="17"/>
  <c r="Y129" i="17"/>
  <c r="Z129" i="17"/>
  <c r="AA129" i="17"/>
  <c r="AB129" i="17"/>
  <c r="AC129" i="17"/>
  <c r="AD129" i="17"/>
  <c r="AE129" i="17"/>
  <c r="AF129" i="17"/>
  <c r="AG129" i="17"/>
  <c r="AH129" i="17"/>
  <c r="AI129" i="17"/>
  <c r="AJ129" i="17"/>
  <c r="AK129" i="17"/>
  <c r="AL129" i="17"/>
  <c r="AM129" i="17"/>
  <c r="AN129" i="17"/>
  <c r="AO129" i="17"/>
  <c r="AP129" i="17"/>
  <c r="AQ129" i="17"/>
  <c r="AR129" i="17"/>
  <c r="AS129" i="17"/>
  <c r="AT129" i="17"/>
  <c r="AU129" i="17"/>
  <c r="AV129" i="17"/>
  <c r="AW129" i="17"/>
  <c r="AX129" i="17"/>
  <c r="AY129" i="17"/>
  <c r="AZ129" i="17"/>
  <c r="BA129" i="17"/>
  <c r="BB129" i="17"/>
  <c r="BC129" i="17"/>
  <c r="BD129" i="17"/>
  <c r="BE129" i="17"/>
  <c r="BF129" i="17"/>
  <c r="BG129" i="17"/>
  <c r="BH129" i="17"/>
  <c r="BI129" i="17"/>
  <c r="BJ129" i="17"/>
  <c r="BK129" i="17"/>
  <c r="BL129" i="17"/>
  <c r="BM129" i="17"/>
  <c r="BN129" i="17"/>
  <c r="BO129" i="17"/>
  <c r="BP129" i="17"/>
  <c r="BQ129" i="17"/>
  <c r="BR129" i="17"/>
  <c r="BS129" i="17"/>
  <c r="BT129" i="17"/>
  <c r="BU129" i="17"/>
  <c r="BV129" i="17"/>
  <c r="BW129" i="17"/>
  <c r="BX129" i="17"/>
  <c r="BY129" i="17"/>
  <c r="BZ129" i="17"/>
  <c r="CA129" i="17"/>
  <c r="CB129" i="17"/>
  <c r="CC129" i="17"/>
  <c r="CD129" i="17"/>
  <c r="CE129" i="17"/>
  <c r="CF129" i="17"/>
  <c r="CG129" i="17"/>
  <c r="CH129" i="17"/>
  <c r="CI129" i="17"/>
  <c r="CJ129" i="17"/>
  <c r="CK129" i="17"/>
  <c r="CL129" i="17"/>
  <c r="CM129" i="17"/>
  <c r="CN129" i="17"/>
  <c r="CO129" i="17"/>
  <c r="CP129" i="17"/>
  <c r="CQ129" i="17"/>
  <c r="CR129" i="17"/>
  <c r="CS129" i="17"/>
  <c r="CT129" i="17"/>
  <c r="CU129" i="17"/>
  <c r="CV129" i="17"/>
  <c r="CW129" i="17"/>
  <c r="CX129" i="17"/>
  <c r="CY129" i="17"/>
  <c r="CZ129" i="17"/>
  <c r="DA129" i="17"/>
  <c r="DB129" i="17"/>
  <c r="DC129" i="17"/>
  <c r="DD129" i="17"/>
  <c r="DE129" i="17"/>
  <c r="DF129" i="17"/>
  <c r="DG129" i="17"/>
  <c r="DH129" i="17"/>
  <c r="DI129" i="17"/>
  <c r="DJ129" i="17"/>
  <c r="DK129" i="17"/>
  <c r="DL129" i="17"/>
  <c r="DM129" i="17"/>
  <c r="DN129" i="17"/>
  <c r="DO129" i="17"/>
  <c r="DP129" i="17"/>
  <c r="DQ129" i="17"/>
  <c r="DR129" i="17"/>
  <c r="DS129" i="17"/>
  <c r="DT129" i="17"/>
  <c r="DU129" i="17"/>
  <c r="DV129" i="17"/>
  <c r="DW129" i="17"/>
  <c r="DX129" i="17"/>
  <c r="DY129" i="17"/>
  <c r="DZ129" i="17"/>
  <c r="EA129" i="17"/>
  <c r="EB129" i="17"/>
  <c r="EC129" i="17"/>
  <c r="ED129" i="17"/>
  <c r="EE129" i="17"/>
  <c r="EF129" i="17"/>
  <c r="EG129" i="17"/>
  <c r="EH129" i="17"/>
  <c r="EI129" i="17"/>
  <c r="EJ129" i="17"/>
  <c r="EK129" i="17"/>
  <c r="EL129" i="17"/>
  <c r="EM129" i="17"/>
  <c r="EN129" i="17"/>
  <c r="EO129" i="17"/>
  <c r="EP129" i="17"/>
  <c r="EQ129" i="17"/>
  <c r="ER129" i="17"/>
  <c r="ES129" i="17"/>
  <c r="ET129" i="17"/>
  <c r="EU129" i="17"/>
  <c r="EV129" i="17"/>
  <c r="EW129" i="17"/>
  <c r="EX129" i="17"/>
  <c r="EY129" i="17"/>
  <c r="EZ129" i="17"/>
  <c r="FA129" i="17"/>
  <c r="FH129" i="17"/>
  <c r="FI129" i="17"/>
  <c r="FJ129" i="17"/>
  <c r="FK129" i="17"/>
  <c r="FL129" i="17"/>
  <c r="FM129" i="17"/>
  <c r="FN129" i="17"/>
  <c r="FO129" i="17"/>
  <c r="FP129" i="17"/>
  <c r="FQ129" i="17"/>
  <c r="FR129" i="17"/>
  <c r="FS129" i="17"/>
  <c r="FT129" i="17"/>
  <c r="FU129" i="17"/>
  <c r="FV129" i="17"/>
  <c r="FW129" i="17"/>
  <c r="FX129" i="17"/>
  <c r="FY129" i="17"/>
  <c r="FZ129" i="17"/>
  <c r="GA129" i="17"/>
  <c r="GB129" i="17"/>
  <c r="GC129" i="17"/>
  <c r="GD129" i="17"/>
  <c r="GE129" i="17"/>
  <c r="GF129" i="17"/>
  <c r="GG129" i="17"/>
  <c r="GH129" i="17"/>
  <c r="GI129" i="17"/>
  <c r="GJ129" i="17"/>
  <c r="GK129" i="17"/>
  <c r="GL129" i="17"/>
  <c r="GM129" i="17"/>
  <c r="GN129" i="17"/>
  <c r="GO129" i="17"/>
  <c r="GP129" i="17"/>
  <c r="GQ129" i="17"/>
  <c r="GR129" i="17"/>
  <c r="GS129" i="17"/>
  <c r="GT129" i="17"/>
  <c r="GU129" i="17"/>
  <c r="GV129" i="17"/>
  <c r="GW129" i="17"/>
  <c r="GX129" i="17"/>
  <c r="GY129" i="17"/>
  <c r="GZ129" i="17"/>
  <c r="HA129" i="17"/>
  <c r="HB129" i="17"/>
  <c r="HC129" i="17"/>
  <c r="HD129" i="17"/>
  <c r="HE129" i="17"/>
  <c r="HF129" i="17"/>
  <c r="HG129" i="17"/>
  <c r="HH129" i="17"/>
  <c r="HI129" i="17"/>
  <c r="HJ129" i="17"/>
  <c r="HK129" i="17"/>
  <c r="HL129" i="17"/>
  <c r="HM129" i="17"/>
  <c r="HN129" i="17"/>
  <c r="HO129" i="17"/>
  <c r="HP129" i="17"/>
  <c r="HQ129" i="17"/>
  <c r="HR129" i="17"/>
  <c r="HS129" i="17"/>
  <c r="HT129" i="17"/>
  <c r="HU129" i="17"/>
  <c r="HV129" i="17"/>
  <c r="HW129" i="17"/>
  <c r="HX129" i="17"/>
  <c r="HY129" i="17"/>
  <c r="HZ129" i="17"/>
  <c r="IA129" i="17"/>
  <c r="IB129" i="17"/>
  <c r="IC129" i="17"/>
  <c r="ID129" i="17"/>
  <c r="IE129" i="17"/>
  <c r="IF129" i="17"/>
  <c r="IG129" i="17"/>
  <c r="IH129" i="17"/>
  <c r="II129" i="17"/>
  <c r="IJ129" i="17"/>
  <c r="IK129" i="17"/>
  <c r="IL129" i="17"/>
  <c r="IM129" i="17"/>
  <c r="IN129" i="17"/>
  <c r="IO129" i="17"/>
  <c r="IP129" i="17"/>
  <c r="IQ129" i="17"/>
  <c r="IR129" i="17"/>
  <c r="IS129" i="17"/>
  <c r="IT129" i="17"/>
  <c r="IU129" i="17"/>
  <c r="IV129" i="17"/>
  <c r="A128" i="17"/>
  <c r="B128" i="17"/>
  <c r="C128" i="17"/>
  <c r="D128" i="17"/>
  <c r="E128" i="17"/>
  <c r="F128" i="17"/>
  <c r="G128" i="17"/>
  <c r="H128" i="17"/>
  <c r="I128" i="17"/>
  <c r="J128" i="17"/>
  <c r="K128" i="17"/>
  <c r="L128" i="17"/>
  <c r="M128" i="17"/>
  <c r="N128" i="17"/>
  <c r="O128" i="17"/>
  <c r="P128" i="17"/>
  <c r="Q128" i="17"/>
  <c r="R128" i="17"/>
  <c r="S128" i="17"/>
  <c r="T128" i="17"/>
  <c r="U128" i="17"/>
  <c r="V128" i="17"/>
  <c r="W128" i="17"/>
  <c r="X128" i="17"/>
  <c r="Y128" i="17"/>
  <c r="Z128" i="17"/>
  <c r="AA128" i="17"/>
  <c r="AB128" i="17"/>
  <c r="AC128" i="17"/>
  <c r="AD128" i="17"/>
  <c r="AE128" i="17"/>
  <c r="AF128" i="17"/>
  <c r="AG128" i="17"/>
  <c r="AH128" i="17"/>
  <c r="AI128" i="17"/>
  <c r="AJ128" i="17"/>
  <c r="AK128" i="17"/>
  <c r="AL128" i="17"/>
  <c r="AM128" i="17"/>
  <c r="AN128" i="17"/>
  <c r="AO128" i="17"/>
  <c r="AP128" i="17"/>
  <c r="AQ128" i="17"/>
  <c r="AR128" i="17"/>
  <c r="AS128" i="17"/>
  <c r="AT128" i="17"/>
  <c r="AU128" i="17"/>
  <c r="AV128" i="17"/>
  <c r="AW128" i="17"/>
  <c r="AX128" i="17"/>
  <c r="AY128" i="17"/>
  <c r="AZ128" i="17"/>
  <c r="BA128" i="17"/>
  <c r="BB128" i="17"/>
  <c r="BC128" i="17"/>
  <c r="BD128" i="17"/>
  <c r="BE128" i="17"/>
  <c r="BF128" i="17"/>
  <c r="BG128" i="17"/>
  <c r="BH128" i="17"/>
  <c r="BI128" i="17"/>
  <c r="BJ128" i="17"/>
  <c r="BK128" i="17"/>
  <c r="BL128" i="17"/>
  <c r="BM128" i="17"/>
  <c r="BN128" i="17"/>
  <c r="BO128" i="17"/>
  <c r="BP128" i="17"/>
  <c r="BQ128" i="17"/>
  <c r="BR128" i="17"/>
  <c r="BS128" i="17"/>
  <c r="BT128" i="17"/>
  <c r="BU128" i="17"/>
  <c r="BV128" i="17"/>
  <c r="BW128" i="17"/>
  <c r="BX128" i="17"/>
  <c r="BY128" i="17"/>
  <c r="BZ128" i="17"/>
  <c r="CA128" i="17"/>
  <c r="CB128" i="17"/>
  <c r="CC128" i="17"/>
  <c r="CD128" i="17"/>
  <c r="CE128" i="17"/>
  <c r="CF128" i="17"/>
  <c r="CG128" i="17"/>
  <c r="CH128" i="17"/>
  <c r="CI128" i="17"/>
  <c r="CJ128" i="17"/>
  <c r="CK128" i="17"/>
  <c r="CL128" i="17"/>
  <c r="CM128" i="17"/>
  <c r="CN128" i="17"/>
  <c r="CO128" i="17"/>
  <c r="CP128" i="17"/>
  <c r="CQ128" i="17"/>
  <c r="CR128" i="17"/>
  <c r="CS128" i="17"/>
  <c r="CT128" i="17"/>
  <c r="CU128" i="17"/>
  <c r="CV128" i="17"/>
  <c r="CW128" i="17"/>
  <c r="CX128" i="17"/>
  <c r="CY128" i="17"/>
  <c r="CZ128" i="17"/>
  <c r="DA128" i="17"/>
  <c r="DB128" i="17"/>
  <c r="DC128" i="17"/>
  <c r="DD128" i="17"/>
  <c r="DE128" i="17"/>
  <c r="DF128" i="17"/>
  <c r="DG128" i="17"/>
  <c r="DH128" i="17"/>
  <c r="DI128" i="17"/>
  <c r="DJ128" i="17"/>
  <c r="DK128" i="17"/>
  <c r="DL128" i="17"/>
  <c r="DM128" i="17"/>
  <c r="DN128" i="17"/>
  <c r="DO128" i="17"/>
  <c r="DP128" i="17"/>
  <c r="DQ128" i="17"/>
  <c r="DR128" i="17"/>
  <c r="DS128" i="17"/>
  <c r="DT128" i="17"/>
  <c r="DU128" i="17"/>
  <c r="DV128" i="17"/>
  <c r="DW128" i="17"/>
  <c r="DX128" i="17"/>
  <c r="DY128" i="17"/>
  <c r="DZ128" i="17"/>
  <c r="EA128" i="17"/>
  <c r="EB128" i="17"/>
  <c r="EC128" i="17"/>
  <c r="ED128" i="17"/>
  <c r="EE128" i="17"/>
  <c r="EF128" i="17"/>
  <c r="EG128" i="17"/>
  <c r="EH128" i="17"/>
  <c r="EI128" i="17"/>
  <c r="EJ128" i="17"/>
  <c r="EK128" i="17"/>
  <c r="EL128" i="17"/>
  <c r="EM128" i="17"/>
  <c r="EN128" i="17"/>
  <c r="EO128" i="17"/>
  <c r="EP128" i="17"/>
  <c r="EQ128" i="17"/>
  <c r="ER128" i="17"/>
  <c r="ES128" i="17"/>
  <c r="ET128" i="17"/>
  <c r="EU128" i="17"/>
  <c r="EV128" i="17"/>
  <c r="EW128" i="17"/>
  <c r="EX128" i="17"/>
  <c r="EY128" i="17"/>
  <c r="EZ128" i="17"/>
  <c r="FA128" i="17"/>
  <c r="FB128" i="17"/>
  <c r="FC128" i="17"/>
  <c r="FD128" i="17"/>
  <c r="FE128" i="17"/>
  <c r="FF128" i="17"/>
  <c r="FG128" i="17"/>
  <c r="FH128" i="17"/>
  <c r="FI128" i="17"/>
  <c r="FJ128" i="17"/>
  <c r="FK128" i="17"/>
  <c r="FL128" i="17"/>
  <c r="FM128" i="17"/>
  <c r="FN128" i="17"/>
  <c r="FO128" i="17"/>
  <c r="FP128" i="17"/>
  <c r="FQ128" i="17"/>
  <c r="FR128" i="17"/>
  <c r="FS128" i="17"/>
  <c r="FT128" i="17"/>
  <c r="FU128" i="17"/>
  <c r="FV128" i="17"/>
  <c r="FW128" i="17"/>
  <c r="FX128" i="17"/>
  <c r="FY128" i="17"/>
  <c r="FZ128" i="17"/>
  <c r="GA128" i="17"/>
  <c r="GB128" i="17"/>
  <c r="GC128" i="17"/>
  <c r="GD128" i="17"/>
  <c r="GE128" i="17"/>
  <c r="GF128" i="17"/>
  <c r="GG128" i="17"/>
  <c r="GH128" i="17"/>
  <c r="GI128" i="17"/>
  <c r="GJ128" i="17"/>
  <c r="GK128" i="17"/>
  <c r="GL128" i="17"/>
  <c r="GM128" i="17"/>
  <c r="GN128" i="17"/>
  <c r="GO128" i="17"/>
  <c r="GP128" i="17"/>
  <c r="GQ128" i="17"/>
  <c r="GR128" i="17"/>
  <c r="GS128" i="17"/>
  <c r="GT128" i="17"/>
  <c r="GU128" i="17"/>
  <c r="GV128" i="17"/>
  <c r="GW128" i="17"/>
  <c r="GX128" i="17"/>
  <c r="GY128" i="17"/>
  <c r="GZ128" i="17"/>
  <c r="HA128" i="17"/>
  <c r="HB128" i="17"/>
  <c r="HC128" i="17"/>
  <c r="HD128" i="17"/>
  <c r="HE128" i="17"/>
  <c r="HF128" i="17"/>
  <c r="HG128" i="17"/>
  <c r="HH128" i="17"/>
  <c r="HI128" i="17"/>
  <c r="HJ128" i="17"/>
  <c r="HK128" i="17"/>
  <c r="HL128" i="17"/>
  <c r="HM128" i="17"/>
  <c r="HN128" i="17"/>
  <c r="HO128" i="17"/>
  <c r="HP128" i="17"/>
  <c r="HQ128" i="17"/>
  <c r="HR128" i="17"/>
  <c r="HS128" i="17"/>
  <c r="HT128" i="17"/>
  <c r="HU128" i="17"/>
  <c r="HV128" i="17"/>
  <c r="HW128" i="17"/>
  <c r="HX128" i="17"/>
  <c r="HY128" i="17"/>
  <c r="HZ128" i="17"/>
  <c r="IA128" i="17"/>
  <c r="IB128" i="17"/>
  <c r="IC128" i="17"/>
  <c r="ID128" i="17"/>
  <c r="IE128" i="17"/>
  <c r="IF128" i="17"/>
  <c r="IG128" i="17"/>
  <c r="IH128" i="17"/>
  <c r="II128" i="17"/>
  <c r="IJ128" i="17"/>
  <c r="IK128" i="17"/>
  <c r="IL128" i="17"/>
  <c r="IM128" i="17"/>
  <c r="IN128" i="17"/>
  <c r="IO128" i="17"/>
  <c r="IP128" i="17"/>
  <c r="IQ128" i="17"/>
  <c r="IR128" i="17"/>
  <c r="IS128" i="17"/>
  <c r="IT128" i="17"/>
  <c r="IU128" i="17"/>
  <c r="IV128" i="17"/>
  <c r="A127" i="17"/>
  <c r="B127" i="17"/>
  <c r="C127" i="17"/>
  <c r="D127" i="17"/>
  <c r="E127" i="17"/>
  <c r="F127" i="17"/>
  <c r="G127" i="17"/>
  <c r="H127" i="17"/>
  <c r="I127" i="17"/>
  <c r="J127" i="17"/>
  <c r="K127" i="17"/>
  <c r="L127" i="17"/>
  <c r="M127" i="17"/>
  <c r="N127" i="17"/>
  <c r="O127" i="17"/>
  <c r="P127" i="17"/>
  <c r="Q127" i="17"/>
  <c r="R127" i="17"/>
  <c r="S127" i="17"/>
  <c r="T127" i="17"/>
  <c r="U127" i="17"/>
  <c r="V127" i="17"/>
  <c r="W127" i="17"/>
  <c r="X127" i="17"/>
  <c r="Y127" i="17"/>
  <c r="Z127" i="17"/>
  <c r="AA127" i="17"/>
  <c r="AB127" i="17"/>
  <c r="AC127" i="17"/>
  <c r="AD127" i="17"/>
  <c r="AE127" i="17"/>
  <c r="AF127" i="17"/>
  <c r="AG127" i="17"/>
  <c r="AH127" i="17"/>
  <c r="AI127" i="17"/>
  <c r="AJ127" i="17"/>
  <c r="AK127" i="17"/>
  <c r="AL127" i="17"/>
  <c r="AM127" i="17"/>
  <c r="AN127" i="17"/>
  <c r="AO127" i="17"/>
  <c r="AP127" i="17"/>
  <c r="AQ127" i="17"/>
  <c r="AR127" i="17"/>
  <c r="AS127" i="17"/>
  <c r="AT127" i="17"/>
  <c r="AU127" i="17"/>
  <c r="AV127" i="17"/>
  <c r="AW127" i="17"/>
  <c r="AX127" i="17"/>
  <c r="AY127" i="17"/>
  <c r="AZ127" i="17"/>
  <c r="BA127" i="17"/>
  <c r="BB127" i="17"/>
  <c r="BC127" i="17"/>
  <c r="BD127" i="17"/>
  <c r="BE127" i="17"/>
  <c r="BF127" i="17"/>
  <c r="BG127" i="17"/>
  <c r="BH127" i="17"/>
  <c r="BI127" i="17"/>
  <c r="BJ127" i="17"/>
  <c r="BK127" i="17"/>
  <c r="BL127" i="17"/>
  <c r="BM127" i="17"/>
  <c r="BN127" i="17"/>
  <c r="BO127" i="17"/>
  <c r="BP127" i="17"/>
  <c r="BQ127" i="17"/>
  <c r="BR127" i="17"/>
  <c r="BS127" i="17"/>
  <c r="BT127" i="17"/>
  <c r="BU127" i="17"/>
  <c r="BV127" i="17"/>
  <c r="BW127" i="17"/>
  <c r="BX127" i="17"/>
  <c r="BY127" i="17"/>
  <c r="BZ127" i="17"/>
  <c r="CA127" i="17"/>
  <c r="CB127" i="17"/>
  <c r="CC127" i="17"/>
  <c r="CD127" i="17"/>
  <c r="CE127" i="17"/>
  <c r="CF127" i="17"/>
  <c r="CG127" i="17"/>
  <c r="CH127" i="17"/>
  <c r="CI127" i="17"/>
  <c r="CJ127" i="17"/>
  <c r="CK127" i="17"/>
  <c r="CL127" i="17"/>
  <c r="CM127" i="17"/>
  <c r="CN127" i="17"/>
  <c r="CO127" i="17"/>
  <c r="CP127" i="17"/>
  <c r="CQ127" i="17"/>
  <c r="CR127" i="17"/>
  <c r="CS127" i="17"/>
  <c r="CT127" i="17"/>
  <c r="CU127" i="17"/>
  <c r="CV127" i="17"/>
  <c r="CW127" i="17"/>
  <c r="CX127" i="17"/>
  <c r="CY127" i="17"/>
  <c r="CZ127" i="17"/>
  <c r="DA127" i="17"/>
  <c r="DB127" i="17"/>
  <c r="DC127" i="17"/>
  <c r="DD127" i="17"/>
  <c r="DE127" i="17"/>
  <c r="DF127" i="17"/>
  <c r="DG127" i="17"/>
  <c r="DH127" i="17"/>
  <c r="DI127" i="17"/>
  <c r="DJ127" i="17"/>
  <c r="DK127" i="17"/>
  <c r="DL127" i="17"/>
  <c r="DM127" i="17"/>
  <c r="DN127" i="17"/>
  <c r="DO127" i="17"/>
  <c r="DP127" i="17"/>
  <c r="DQ127" i="17"/>
  <c r="DR127" i="17"/>
  <c r="DS127" i="17"/>
  <c r="DT127" i="17"/>
  <c r="DU127" i="17"/>
  <c r="DV127" i="17"/>
  <c r="DW127" i="17"/>
  <c r="DX127" i="17"/>
  <c r="DY127" i="17"/>
  <c r="DZ127" i="17"/>
  <c r="EA127" i="17"/>
  <c r="EB127" i="17"/>
  <c r="EC127" i="17"/>
  <c r="ED127" i="17"/>
  <c r="EE127" i="17"/>
  <c r="EF127" i="17"/>
  <c r="EG127" i="17"/>
  <c r="EH127" i="17"/>
  <c r="EI127" i="17"/>
  <c r="EJ127" i="17"/>
  <c r="EK127" i="17"/>
  <c r="EL127" i="17"/>
  <c r="EM127" i="17"/>
  <c r="EN127" i="17"/>
  <c r="EO127" i="17"/>
  <c r="EP127" i="17"/>
  <c r="EQ127" i="17"/>
  <c r="ER127" i="17"/>
  <c r="ES127" i="17"/>
  <c r="ET127" i="17"/>
  <c r="EU127" i="17"/>
  <c r="EV127" i="17"/>
  <c r="EW127" i="17"/>
  <c r="EX127" i="17"/>
  <c r="EY127" i="17"/>
  <c r="EZ127" i="17"/>
  <c r="FA127" i="17"/>
  <c r="FB127" i="17"/>
  <c r="FC127" i="17"/>
  <c r="FD127" i="17"/>
  <c r="FE127" i="17"/>
  <c r="FF127" i="17"/>
  <c r="FG127" i="17"/>
  <c r="FH127" i="17"/>
  <c r="FI127" i="17"/>
  <c r="FJ127" i="17"/>
  <c r="FK127" i="17"/>
  <c r="FL127" i="17"/>
  <c r="FM127" i="17"/>
  <c r="FN127" i="17"/>
  <c r="FO127" i="17"/>
  <c r="FP127" i="17"/>
  <c r="FQ127" i="17"/>
  <c r="FR127" i="17"/>
  <c r="FS127" i="17"/>
  <c r="FT127" i="17"/>
  <c r="FU127" i="17"/>
  <c r="FV127" i="17"/>
  <c r="FW127" i="17"/>
  <c r="FX127" i="17"/>
  <c r="FY127" i="17"/>
  <c r="FZ127" i="17"/>
  <c r="GA127" i="17"/>
  <c r="GB127" i="17"/>
  <c r="GC127" i="17"/>
  <c r="GD127" i="17"/>
  <c r="GE127" i="17"/>
  <c r="GF127" i="17"/>
  <c r="GG127" i="17"/>
  <c r="GH127" i="17"/>
  <c r="GI127" i="17"/>
  <c r="GJ127" i="17"/>
  <c r="GK127" i="17"/>
  <c r="GL127" i="17"/>
  <c r="GM127" i="17"/>
  <c r="GN127" i="17"/>
  <c r="GO127" i="17"/>
  <c r="GP127" i="17"/>
  <c r="GQ127" i="17"/>
  <c r="GR127" i="17"/>
  <c r="GS127" i="17"/>
  <c r="GT127" i="17"/>
  <c r="GU127" i="17"/>
  <c r="GV127" i="17"/>
  <c r="GW127" i="17"/>
  <c r="GX127" i="17"/>
  <c r="GY127" i="17"/>
  <c r="GZ127" i="17"/>
  <c r="HA127" i="17"/>
  <c r="HB127" i="17"/>
  <c r="HC127" i="17"/>
  <c r="HD127" i="17"/>
  <c r="HE127" i="17"/>
  <c r="HF127" i="17"/>
  <c r="HG127" i="17"/>
  <c r="HH127" i="17"/>
  <c r="HI127" i="17"/>
  <c r="HJ127" i="17"/>
  <c r="HK127" i="17"/>
  <c r="HL127" i="17"/>
  <c r="HM127" i="17"/>
  <c r="HN127" i="17"/>
  <c r="HO127" i="17"/>
  <c r="HP127" i="17"/>
  <c r="HQ127" i="17"/>
  <c r="HR127" i="17"/>
  <c r="HS127" i="17"/>
  <c r="HT127" i="17"/>
  <c r="HU127" i="17"/>
  <c r="HV127" i="17"/>
  <c r="HW127" i="17"/>
  <c r="HX127" i="17"/>
  <c r="HY127" i="17"/>
  <c r="HZ127" i="17"/>
  <c r="IA127" i="17"/>
  <c r="IB127" i="17"/>
  <c r="IC127" i="17"/>
  <c r="ID127" i="17"/>
  <c r="IE127" i="17"/>
  <c r="IF127" i="17"/>
  <c r="IG127" i="17"/>
  <c r="IH127" i="17"/>
  <c r="II127" i="17"/>
  <c r="IJ127" i="17"/>
  <c r="IK127" i="17"/>
  <c r="IL127" i="17"/>
  <c r="IM127" i="17"/>
  <c r="IN127" i="17"/>
  <c r="IO127" i="17"/>
  <c r="IP127" i="17"/>
  <c r="IQ127" i="17"/>
  <c r="IR127" i="17"/>
  <c r="IS127" i="17"/>
  <c r="IT127" i="17"/>
  <c r="IU127" i="17"/>
  <c r="IV127" i="17"/>
  <c r="A126" i="17"/>
  <c r="B126" i="17"/>
  <c r="C126" i="17"/>
  <c r="D126" i="17"/>
  <c r="E126" i="17"/>
  <c r="F126" i="17"/>
  <c r="G126" i="17"/>
  <c r="H126" i="17"/>
  <c r="I126" i="17"/>
  <c r="J126" i="17"/>
  <c r="K126" i="17"/>
  <c r="L126" i="17"/>
  <c r="M126" i="17"/>
  <c r="N126" i="17"/>
  <c r="O126" i="17"/>
  <c r="P126" i="17"/>
  <c r="Q126" i="17"/>
  <c r="R126" i="17"/>
  <c r="S126" i="17"/>
  <c r="T126" i="17"/>
  <c r="U126" i="17"/>
  <c r="V126" i="17"/>
  <c r="W126" i="17"/>
  <c r="X126" i="17"/>
  <c r="Y126" i="17"/>
  <c r="Z126" i="17"/>
  <c r="AA126" i="17"/>
  <c r="AB126" i="17"/>
  <c r="AC126" i="17"/>
  <c r="AD126" i="17"/>
  <c r="AE126" i="17"/>
  <c r="AF126" i="17"/>
  <c r="AG126" i="17"/>
  <c r="AH126" i="17"/>
  <c r="AI126" i="17"/>
  <c r="AJ126" i="17"/>
  <c r="AK126" i="17"/>
  <c r="AL126" i="17"/>
  <c r="AM126" i="17"/>
  <c r="AN126" i="17"/>
  <c r="AO126" i="17"/>
  <c r="AP126" i="17"/>
  <c r="AQ126" i="17"/>
  <c r="AR126" i="17"/>
  <c r="AS126" i="17"/>
  <c r="AT126" i="17"/>
  <c r="AU126" i="17"/>
  <c r="AV126" i="17"/>
  <c r="AW126" i="17"/>
  <c r="AX126" i="17"/>
  <c r="AY126" i="17"/>
  <c r="AZ126" i="17"/>
  <c r="BA126" i="17"/>
  <c r="BB126" i="17"/>
  <c r="BC126" i="17"/>
  <c r="BD126" i="17"/>
  <c r="BE126" i="17"/>
  <c r="BF126" i="17"/>
  <c r="BG126" i="17"/>
  <c r="BH126" i="17"/>
  <c r="BI126" i="17"/>
  <c r="BJ126" i="17"/>
  <c r="BK126" i="17"/>
  <c r="BL126" i="17"/>
  <c r="BM126" i="17"/>
  <c r="BN126" i="17"/>
  <c r="BO126" i="17"/>
  <c r="BP126" i="17"/>
  <c r="BQ126" i="17"/>
  <c r="BR126" i="17"/>
  <c r="BS126" i="17"/>
  <c r="BT126" i="17"/>
  <c r="BU126" i="17"/>
  <c r="BV126" i="17"/>
  <c r="BW126" i="17"/>
  <c r="BX126" i="17"/>
  <c r="BY126" i="17"/>
  <c r="BZ126" i="17"/>
  <c r="CA126" i="17"/>
  <c r="CB126" i="17"/>
  <c r="CC126" i="17"/>
  <c r="CD126" i="17"/>
  <c r="CE126" i="17"/>
  <c r="CF126" i="17"/>
  <c r="CG126" i="17"/>
  <c r="CH126" i="17"/>
  <c r="CI126" i="17"/>
  <c r="CJ126" i="17"/>
  <c r="CK126" i="17"/>
  <c r="CL126" i="17"/>
  <c r="CM126" i="17"/>
  <c r="CN126" i="17"/>
  <c r="CO126" i="17"/>
  <c r="CP126" i="17"/>
  <c r="CQ126" i="17"/>
  <c r="CR126" i="17"/>
  <c r="CS126" i="17"/>
  <c r="CT126" i="17"/>
  <c r="CU126" i="17"/>
  <c r="CV126" i="17"/>
  <c r="CW126" i="17"/>
  <c r="CX126" i="17"/>
  <c r="CY126" i="17"/>
  <c r="CZ126" i="17"/>
  <c r="DA126" i="17"/>
  <c r="DB126" i="17"/>
  <c r="DC126" i="17"/>
  <c r="DD126" i="17"/>
  <c r="DE126" i="17"/>
  <c r="DF126" i="17"/>
  <c r="DG126" i="17"/>
  <c r="DH126" i="17"/>
  <c r="DI126" i="17"/>
  <c r="DJ126" i="17"/>
  <c r="DK126" i="17"/>
  <c r="DL126" i="17"/>
  <c r="DM126" i="17"/>
  <c r="DN126" i="17"/>
  <c r="DO126" i="17"/>
  <c r="DP126" i="17"/>
  <c r="DQ126" i="17"/>
  <c r="DR126" i="17"/>
  <c r="DS126" i="17"/>
  <c r="DT126" i="17"/>
  <c r="DU126" i="17"/>
  <c r="DV126" i="17"/>
  <c r="DW126" i="17"/>
  <c r="DX126" i="17"/>
  <c r="DY126" i="17"/>
  <c r="DZ126" i="17"/>
  <c r="EA126" i="17"/>
  <c r="EB126" i="17"/>
  <c r="EC126" i="17"/>
  <c r="ED126" i="17"/>
  <c r="EE126" i="17"/>
  <c r="EF126" i="17"/>
  <c r="EG126" i="17"/>
  <c r="EH126" i="17"/>
  <c r="EI126" i="17"/>
  <c r="EJ126" i="17"/>
  <c r="EK126" i="17"/>
  <c r="EL126" i="17"/>
  <c r="EM126" i="17"/>
  <c r="EN126" i="17"/>
  <c r="EO126" i="17"/>
  <c r="EP126" i="17"/>
  <c r="EQ126" i="17"/>
  <c r="ER126" i="17"/>
  <c r="ES126" i="17"/>
  <c r="ET126" i="17"/>
  <c r="EU126" i="17"/>
  <c r="EV126" i="17"/>
  <c r="EW126" i="17"/>
  <c r="EX126" i="17"/>
  <c r="EY126" i="17"/>
  <c r="EZ126" i="17"/>
  <c r="FA126" i="17"/>
  <c r="FB126" i="17"/>
  <c r="FC126" i="17"/>
  <c r="FD126" i="17"/>
  <c r="FE126" i="17"/>
  <c r="FF126" i="17"/>
  <c r="FG126" i="17"/>
  <c r="FH126" i="17"/>
  <c r="FI126" i="17"/>
  <c r="FJ126" i="17"/>
  <c r="FK126" i="17"/>
  <c r="FL126" i="17"/>
  <c r="FM126" i="17"/>
  <c r="FN126" i="17"/>
  <c r="FO126" i="17"/>
  <c r="FP126" i="17"/>
  <c r="FQ126" i="17"/>
  <c r="FR126" i="17"/>
  <c r="FS126" i="17"/>
  <c r="FT126" i="17"/>
  <c r="FU126" i="17"/>
  <c r="FV126" i="17"/>
  <c r="FW126" i="17"/>
  <c r="FX126" i="17"/>
  <c r="FY126" i="17"/>
  <c r="FZ126" i="17"/>
  <c r="GA126" i="17"/>
  <c r="GB126" i="17"/>
  <c r="GC126" i="17"/>
  <c r="GD126" i="17"/>
  <c r="GE126" i="17"/>
  <c r="GF126" i="17"/>
  <c r="GG126" i="17"/>
  <c r="GH126" i="17"/>
  <c r="GI126" i="17"/>
  <c r="GJ126" i="17"/>
  <c r="GK126" i="17"/>
  <c r="GL126" i="17"/>
  <c r="GM126" i="17"/>
  <c r="GN126" i="17"/>
  <c r="GO126" i="17"/>
  <c r="GP126" i="17"/>
  <c r="GQ126" i="17"/>
  <c r="GR126" i="17"/>
  <c r="GS126" i="17"/>
  <c r="GT126" i="17"/>
  <c r="GU126" i="17"/>
  <c r="GV126" i="17"/>
  <c r="GW126" i="17"/>
  <c r="GX126" i="17"/>
  <c r="GY126" i="17"/>
  <c r="GZ126" i="17"/>
  <c r="HA126" i="17"/>
  <c r="HB126" i="17"/>
  <c r="HC126" i="17"/>
  <c r="HD126" i="17"/>
  <c r="HE126" i="17"/>
  <c r="HF126" i="17"/>
  <c r="HG126" i="17"/>
  <c r="HH126" i="17"/>
  <c r="HI126" i="17"/>
  <c r="HJ126" i="17"/>
  <c r="HK126" i="17"/>
  <c r="HL126" i="17"/>
  <c r="HM126" i="17"/>
  <c r="HN126" i="17"/>
  <c r="HO126" i="17"/>
  <c r="HP126" i="17"/>
  <c r="HQ126" i="17"/>
  <c r="HR126" i="17"/>
  <c r="HS126" i="17"/>
  <c r="HT126" i="17"/>
  <c r="HU126" i="17"/>
  <c r="HV126" i="17"/>
  <c r="HW126" i="17"/>
  <c r="HX126" i="17"/>
  <c r="HY126" i="17"/>
  <c r="HZ126" i="17"/>
  <c r="IA126" i="17"/>
  <c r="IB126" i="17"/>
  <c r="IC126" i="17"/>
  <c r="ID126" i="17"/>
  <c r="IE126" i="17"/>
  <c r="IF126" i="17"/>
  <c r="IG126" i="17"/>
  <c r="IH126" i="17"/>
  <c r="II126" i="17"/>
  <c r="IJ126" i="17"/>
  <c r="IK126" i="17"/>
  <c r="IL126" i="17"/>
  <c r="IM126" i="17"/>
  <c r="IN126" i="17"/>
  <c r="IO126" i="17"/>
  <c r="IP126" i="17"/>
  <c r="IQ126" i="17"/>
  <c r="IR126" i="17"/>
  <c r="IS126" i="17"/>
  <c r="IT126" i="17"/>
  <c r="IU126" i="17"/>
  <c r="IV126" i="17"/>
  <c r="A125" i="17"/>
  <c r="B125" i="17"/>
  <c r="C125" i="17"/>
  <c r="D125" i="17"/>
  <c r="E125" i="17"/>
  <c r="F125" i="17"/>
  <c r="G125" i="17"/>
  <c r="H125" i="17"/>
  <c r="I125" i="17"/>
  <c r="J125" i="17"/>
  <c r="K125" i="17"/>
  <c r="L125" i="17"/>
  <c r="M125" i="17"/>
  <c r="N125" i="17"/>
  <c r="O125" i="17"/>
  <c r="P125" i="17"/>
  <c r="Q125" i="17"/>
  <c r="R125" i="17"/>
  <c r="S125" i="17"/>
  <c r="T125" i="17"/>
  <c r="U125" i="17"/>
  <c r="V125" i="17"/>
  <c r="W125" i="17"/>
  <c r="X125" i="17"/>
  <c r="Y125" i="17"/>
  <c r="Z125" i="17"/>
  <c r="AA125" i="17"/>
  <c r="AB125" i="17"/>
  <c r="AC125" i="17"/>
  <c r="AD125" i="17"/>
  <c r="AE125" i="17"/>
  <c r="AF125" i="17"/>
  <c r="AG125" i="17"/>
  <c r="AH125" i="17"/>
  <c r="AI125" i="17"/>
  <c r="AJ125" i="17"/>
  <c r="AK125" i="17"/>
  <c r="AL125" i="17"/>
  <c r="AM125" i="17"/>
  <c r="AN125" i="17"/>
  <c r="AO125" i="17"/>
  <c r="AP125" i="17"/>
  <c r="AQ125" i="17"/>
  <c r="AR125" i="17"/>
  <c r="AS125" i="17"/>
  <c r="AT125" i="17"/>
  <c r="AU125" i="17"/>
  <c r="AV125" i="17"/>
  <c r="AW125" i="17"/>
  <c r="AX125" i="17"/>
  <c r="AY125" i="17"/>
  <c r="AZ125" i="17"/>
  <c r="BA125" i="17"/>
  <c r="BB125" i="17"/>
  <c r="BC125" i="17"/>
  <c r="BD125" i="17"/>
  <c r="BE125" i="17"/>
  <c r="BF125" i="17"/>
  <c r="BG125" i="17"/>
  <c r="BH125" i="17"/>
  <c r="BI125" i="17"/>
  <c r="BJ125" i="17"/>
  <c r="BK125" i="17"/>
  <c r="BL125" i="17"/>
  <c r="BM125" i="17"/>
  <c r="BN125" i="17"/>
  <c r="BO125" i="17"/>
  <c r="BP125" i="17"/>
  <c r="BQ125" i="17"/>
  <c r="BR125" i="17"/>
  <c r="BS125" i="17"/>
  <c r="BT125" i="17"/>
  <c r="BU125" i="17"/>
  <c r="BV125" i="17"/>
  <c r="BW125" i="17"/>
  <c r="BX125" i="17"/>
  <c r="BY125" i="17"/>
  <c r="BZ125" i="17"/>
  <c r="CA125" i="17"/>
  <c r="CB125" i="17"/>
  <c r="CC125" i="17"/>
  <c r="CD125" i="17"/>
  <c r="CE125" i="17"/>
  <c r="CF125" i="17"/>
  <c r="CG125" i="17"/>
  <c r="CH125" i="17"/>
  <c r="CI125" i="17"/>
  <c r="CJ125" i="17"/>
  <c r="CK125" i="17"/>
  <c r="CL125" i="17"/>
  <c r="CM125" i="17"/>
  <c r="CN125" i="17"/>
  <c r="CO125" i="17"/>
  <c r="CP125" i="17"/>
  <c r="CQ125" i="17"/>
  <c r="CR125" i="17"/>
  <c r="CS125" i="17"/>
  <c r="CT125" i="17"/>
  <c r="CU125" i="17"/>
  <c r="CV125" i="17"/>
  <c r="CW125" i="17"/>
  <c r="CX125" i="17"/>
  <c r="CY125" i="17"/>
  <c r="CZ125" i="17"/>
  <c r="DA125" i="17"/>
  <c r="DB125" i="17"/>
  <c r="DC125" i="17"/>
  <c r="DD125" i="17"/>
  <c r="DE125" i="17"/>
  <c r="DF125" i="17"/>
  <c r="DG125" i="17"/>
  <c r="DH125" i="17"/>
  <c r="DI125" i="17"/>
  <c r="DJ125" i="17"/>
  <c r="DK125" i="17"/>
  <c r="DL125" i="17"/>
  <c r="DM125" i="17"/>
  <c r="DN125" i="17"/>
  <c r="DO125" i="17"/>
  <c r="DP125" i="17"/>
  <c r="DQ125" i="17"/>
  <c r="DR125" i="17"/>
  <c r="DS125" i="17"/>
  <c r="DT125" i="17"/>
  <c r="DU125" i="17"/>
  <c r="DV125" i="17"/>
  <c r="DW125" i="17"/>
  <c r="DX125" i="17"/>
  <c r="DY125" i="17"/>
  <c r="DZ125" i="17"/>
  <c r="EA125" i="17"/>
  <c r="EB125" i="17"/>
  <c r="EC125" i="17"/>
  <c r="ED125" i="17"/>
  <c r="EE125" i="17"/>
  <c r="EF125" i="17"/>
  <c r="EG125" i="17"/>
  <c r="EH125" i="17"/>
  <c r="EI125" i="17"/>
  <c r="EJ125" i="17"/>
  <c r="EK125" i="17"/>
  <c r="EL125" i="17"/>
  <c r="EM125" i="17"/>
  <c r="EN125" i="17"/>
  <c r="EO125" i="17"/>
  <c r="EP125" i="17"/>
  <c r="EQ125" i="17"/>
  <c r="ER125" i="17"/>
  <c r="ES125" i="17"/>
  <c r="ET125" i="17"/>
  <c r="EU125" i="17"/>
  <c r="EV125" i="17"/>
  <c r="EW125" i="17"/>
  <c r="EX125" i="17"/>
  <c r="EY125" i="17"/>
  <c r="EZ125" i="17"/>
  <c r="FA125" i="17"/>
  <c r="FB125" i="17"/>
  <c r="FC125" i="17"/>
  <c r="FD125" i="17"/>
  <c r="FE125" i="17"/>
  <c r="FF125" i="17"/>
  <c r="FG125" i="17"/>
  <c r="FH125" i="17"/>
  <c r="FI125" i="17"/>
  <c r="FJ125" i="17"/>
  <c r="FK125" i="17"/>
  <c r="FL125" i="17"/>
  <c r="FM125" i="17"/>
  <c r="FN125" i="17"/>
  <c r="FO125" i="17"/>
  <c r="FP125" i="17"/>
  <c r="FQ125" i="17"/>
  <c r="FR125" i="17"/>
  <c r="FS125" i="17"/>
  <c r="FT125" i="17"/>
  <c r="FU125" i="17"/>
  <c r="FV125" i="17"/>
  <c r="FW125" i="17"/>
  <c r="FX125" i="17"/>
  <c r="FY125" i="17"/>
  <c r="FZ125" i="17"/>
  <c r="GA125" i="17"/>
  <c r="GB125" i="17"/>
  <c r="GC125" i="17"/>
  <c r="GD125" i="17"/>
  <c r="GE125" i="17"/>
  <c r="GF125" i="17"/>
  <c r="GG125" i="17"/>
  <c r="GH125" i="17"/>
  <c r="GI125" i="17"/>
  <c r="GJ125" i="17"/>
  <c r="GK125" i="17"/>
  <c r="GL125" i="17"/>
  <c r="GM125" i="17"/>
  <c r="GN125" i="17"/>
  <c r="GO125" i="17"/>
  <c r="GP125" i="17"/>
  <c r="GQ125" i="17"/>
  <c r="GR125" i="17"/>
  <c r="GS125" i="17"/>
  <c r="GT125" i="17"/>
  <c r="GU125" i="17"/>
  <c r="GV125" i="17"/>
  <c r="GW125" i="17"/>
  <c r="GX125" i="17"/>
  <c r="GY125" i="17"/>
  <c r="GZ125" i="17"/>
  <c r="HA125" i="17"/>
  <c r="HB125" i="17"/>
  <c r="HC125" i="17"/>
  <c r="HD125" i="17"/>
  <c r="HE125" i="17"/>
  <c r="HF125" i="17"/>
  <c r="HG125" i="17"/>
  <c r="HH125" i="17"/>
  <c r="HI125" i="17"/>
  <c r="HJ125" i="17"/>
  <c r="HK125" i="17"/>
  <c r="HL125" i="17"/>
  <c r="HM125" i="17"/>
  <c r="HN125" i="17"/>
  <c r="HO125" i="17"/>
  <c r="HP125" i="17"/>
  <c r="HQ125" i="17"/>
  <c r="HR125" i="17"/>
  <c r="HS125" i="17"/>
  <c r="HT125" i="17"/>
  <c r="HU125" i="17"/>
  <c r="HV125" i="17"/>
  <c r="HW125" i="17"/>
  <c r="HX125" i="17"/>
  <c r="HY125" i="17"/>
  <c r="HZ125" i="17"/>
  <c r="IA125" i="17"/>
  <c r="IB125" i="17"/>
  <c r="IC125" i="17"/>
  <c r="ID125" i="17"/>
  <c r="IE125" i="17"/>
  <c r="IF125" i="17"/>
  <c r="IG125" i="17"/>
  <c r="IH125" i="17"/>
  <c r="II125" i="17"/>
  <c r="IJ125" i="17"/>
  <c r="IK125" i="17"/>
  <c r="IL125" i="17"/>
  <c r="IM125" i="17"/>
  <c r="IN125" i="17"/>
  <c r="IO125" i="17"/>
  <c r="IP125" i="17"/>
  <c r="IQ125" i="17"/>
  <c r="IR125" i="17"/>
  <c r="IS125" i="17"/>
  <c r="IT125" i="17"/>
  <c r="IU125" i="17"/>
  <c r="IV125" i="17"/>
  <c r="A124" i="17"/>
  <c r="B124" i="17"/>
  <c r="C124" i="17"/>
  <c r="E124" i="17"/>
  <c r="F124" i="17"/>
  <c r="G124" i="17"/>
  <c r="H124" i="17"/>
  <c r="I124" i="17"/>
  <c r="J124" i="17"/>
  <c r="K124" i="17"/>
  <c r="L124" i="17"/>
  <c r="M124" i="17"/>
  <c r="N124" i="17"/>
  <c r="O124" i="17"/>
  <c r="P124" i="17"/>
  <c r="Q124" i="17"/>
  <c r="R124" i="17"/>
  <c r="S124" i="17"/>
  <c r="T124" i="17"/>
  <c r="U124" i="17"/>
  <c r="V124" i="17"/>
  <c r="W124" i="17"/>
  <c r="X124" i="17"/>
  <c r="Y124" i="17"/>
  <c r="Z124" i="17"/>
  <c r="AA124" i="17"/>
  <c r="AB124" i="17"/>
  <c r="AC124" i="17"/>
  <c r="AD124" i="17"/>
  <c r="AE124" i="17"/>
  <c r="AF124" i="17"/>
  <c r="AG124" i="17"/>
  <c r="AH124" i="17"/>
  <c r="AI124" i="17"/>
  <c r="AJ124" i="17"/>
  <c r="AK124" i="17"/>
  <c r="AL124" i="17"/>
  <c r="AM124" i="17"/>
  <c r="AN124" i="17"/>
  <c r="AO124" i="17"/>
  <c r="AP124" i="17"/>
  <c r="AQ124" i="17"/>
  <c r="AR124" i="17"/>
  <c r="AS124" i="17"/>
  <c r="AT124" i="17"/>
  <c r="AU124" i="17"/>
  <c r="AV124" i="17"/>
  <c r="AW124" i="17"/>
  <c r="AX124" i="17"/>
  <c r="AY124" i="17"/>
  <c r="AZ124" i="17"/>
  <c r="BA124" i="17"/>
  <c r="BB124" i="17"/>
  <c r="BC124" i="17"/>
  <c r="BD124" i="17"/>
  <c r="BE124" i="17"/>
  <c r="BF124" i="17"/>
  <c r="BG124" i="17"/>
  <c r="BH124" i="17"/>
  <c r="BI124" i="17"/>
  <c r="BJ124" i="17"/>
  <c r="BK124" i="17"/>
  <c r="BL124" i="17"/>
  <c r="BM124" i="17"/>
  <c r="BN124" i="17"/>
  <c r="BO124" i="17"/>
  <c r="BP124" i="17"/>
  <c r="BQ124" i="17"/>
  <c r="BR124" i="17"/>
  <c r="BS124" i="17"/>
  <c r="BT124" i="17"/>
  <c r="BU124" i="17"/>
  <c r="BV124" i="17"/>
  <c r="BW124" i="17"/>
  <c r="BX124" i="17"/>
  <c r="BY124" i="17"/>
  <c r="BZ124" i="17"/>
  <c r="CA124" i="17"/>
  <c r="CB124" i="17"/>
  <c r="CC124" i="17"/>
  <c r="CD124" i="17"/>
  <c r="CE124" i="17"/>
  <c r="CF124" i="17"/>
  <c r="CG124" i="17"/>
  <c r="CH124" i="17"/>
  <c r="CI124" i="17"/>
  <c r="CJ124" i="17"/>
  <c r="CK124" i="17"/>
  <c r="CL124" i="17"/>
  <c r="CM124" i="17"/>
  <c r="CN124" i="17"/>
  <c r="CO124" i="17"/>
  <c r="CP124" i="17"/>
  <c r="CQ124" i="17"/>
  <c r="CR124" i="17"/>
  <c r="CS124" i="17"/>
  <c r="CT124" i="17"/>
  <c r="CU124" i="17"/>
  <c r="CV124" i="17"/>
  <c r="CW124" i="17"/>
  <c r="CX124" i="17"/>
  <c r="CY124" i="17"/>
  <c r="CZ124" i="17"/>
  <c r="DA124" i="17"/>
  <c r="DB124" i="17"/>
  <c r="DC124" i="17"/>
  <c r="DD124" i="17"/>
  <c r="DE124" i="17"/>
  <c r="DF124" i="17"/>
  <c r="DG124" i="17"/>
  <c r="DH124" i="17"/>
  <c r="DI124" i="17"/>
  <c r="DJ124" i="17"/>
  <c r="DK124" i="17"/>
  <c r="DL124" i="17"/>
  <c r="DM124" i="17"/>
  <c r="DN124" i="17"/>
  <c r="DO124" i="17"/>
  <c r="DP124" i="17"/>
  <c r="DQ124" i="17"/>
  <c r="DR124" i="17"/>
  <c r="DS124" i="17"/>
  <c r="DT124" i="17"/>
  <c r="DU124" i="17"/>
  <c r="DV124" i="17"/>
  <c r="DW124" i="17"/>
  <c r="DX124" i="17"/>
  <c r="DY124" i="17"/>
  <c r="DZ124" i="17"/>
  <c r="EA124" i="17"/>
  <c r="EB124" i="17"/>
  <c r="EC124" i="17"/>
  <c r="ED124" i="17"/>
  <c r="EE124" i="17"/>
  <c r="EF124" i="17"/>
  <c r="EG124" i="17"/>
  <c r="EH124" i="17"/>
  <c r="EI124" i="17"/>
  <c r="EJ124" i="17"/>
  <c r="EK124" i="17"/>
  <c r="EL124" i="17"/>
  <c r="EM124" i="17"/>
  <c r="EN124" i="17"/>
  <c r="EO124" i="17"/>
  <c r="EP124" i="17"/>
  <c r="EQ124" i="17"/>
  <c r="ER124" i="17"/>
  <c r="ES124" i="17"/>
  <c r="ET124" i="17"/>
  <c r="EU124" i="17"/>
  <c r="EV124" i="17"/>
  <c r="EW124" i="17"/>
  <c r="EX124" i="17"/>
  <c r="EY124" i="17"/>
  <c r="EZ124" i="17"/>
  <c r="FA124" i="17"/>
  <c r="FB124" i="17"/>
  <c r="FC124" i="17"/>
  <c r="FD124" i="17"/>
  <c r="FE124" i="17"/>
  <c r="FF124" i="17"/>
  <c r="FG124" i="17"/>
  <c r="FH124" i="17"/>
  <c r="FI124" i="17"/>
  <c r="FJ124" i="17"/>
  <c r="FK124" i="17"/>
  <c r="FL124" i="17"/>
  <c r="FM124" i="17"/>
  <c r="FN124" i="17"/>
  <c r="FO124" i="17"/>
  <c r="FP124" i="17"/>
  <c r="FQ124" i="17"/>
  <c r="FR124" i="17"/>
  <c r="FS124" i="17"/>
  <c r="FT124" i="17"/>
  <c r="FU124" i="17"/>
  <c r="FV124" i="17"/>
  <c r="FW124" i="17"/>
  <c r="FX124" i="17"/>
  <c r="FY124" i="17"/>
  <c r="FZ124" i="17"/>
  <c r="GA124" i="17"/>
  <c r="GB124" i="17"/>
  <c r="GC124" i="17"/>
  <c r="GD124" i="17"/>
  <c r="GE124" i="17"/>
  <c r="GF124" i="17"/>
  <c r="GG124" i="17"/>
  <c r="GH124" i="17"/>
  <c r="GI124" i="17"/>
  <c r="GJ124" i="17"/>
  <c r="GK124" i="17"/>
  <c r="GL124" i="17"/>
  <c r="GM124" i="17"/>
  <c r="GN124" i="17"/>
  <c r="GO124" i="17"/>
  <c r="GP124" i="17"/>
  <c r="GQ124" i="17"/>
  <c r="GR124" i="17"/>
  <c r="GS124" i="17"/>
  <c r="GT124" i="17"/>
  <c r="GU124" i="17"/>
  <c r="GV124" i="17"/>
  <c r="GW124" i="17"/>
  <c r="GX124" i="17"/>
  <c r="GY124" i="17"/>
  <c r="GZ124" i="17"/>
  <c r="HA124" i="17"/>
  <c r="HB124" i="17"/>
  <c r="HC124" i="17"/>
  <c r="HD124" i="17"/>
  <c r="HE124" i="17"/>
  <c r="HF124" i="17"/>
  <c r="HG124" i="17"/>
  <c r="HH124" i="17"/>
  <c r="HI124" i="17"/>
  <c r="HJ124" i="17"/>
  <c r="HK124" i="17"/>
  <c r="HL124" i="17"/>
  <c r="HM124" i="17"/>
  <c r="HN124" i="17"/>
  <c r="HO124" i="17"/>
  <c r="HP124" i="17"/>
  <c r="HQ124" i="17"/>
  <c r="HR124" i="17"/>
  <c r="HS124" i="17"/>
  <c r="HT124" i="17"/>
  <c r="HU124" i="17"/>
  <c r="HV124" i="17"/>
  <c r="HW124" i="17"/>
  <c r="HX124" i="17"/>
  <c r="HY124" i="17"/>
  <c r="HZ124" i="17"/>
  <c r="IA124" i="17"/>
  <c r="IB124" i="17"/>
  <c r="IC124" i="17"/>
  <c r="ID124" i="17"/>
  <c r="IE124" i="17"/>
  <c r="IF124" i="17"/>
  <c r="IG124" i="17"/>
  <c r="IH124" i="17"/>
  <c r="II124" i="17"/>
  <c r="IJ124" i="17"/>
  <c r="IK124" i="17"/>
  <c r="IL124" i="17"/>
  <c r="IM124" i="17"/>
  <c r="IN124" i="17"/>
  <c r="IO124" i="17"/>
  <c r="IP124" i="17"/>
  <c r="IQ124" i="17"/>
  <c r="IR124" i="17"/>
  <c r="IS124" i="17"/>
  <c r="IT124" i="17"/>
  <c r="IU124" i="17"/>
  <c r="IV124" i="17"/>
  <c r="A123" i="17"/>
  <c r="B123" i="17"/>
  <c r="C123" i="17"/>
  <c r="D123" i="17"/>
  <c r="E123" i="17"/>
  <c r="F123" i="17"/>
  <c r="G123" i="17"/>
  <c r="H123" i="17"/>
  <c r="I123" i="17"/>
  <c r="J123" i="17"/>
  <c r="K123" i="17"/>
  <c r="L123" i="17"/>
  <c r="M123" i="17"/>
  <c r="N123" i="17"/>
  <c r="O123" i="17"/>
  <c r="P123" i="17"/>
  <c r="Q123" i="17"/>
  <c r="R123" i="17"/>
  <c r="S123" i="17"/>
  <c r="T123" i="17"/>
  <c r="U123" i="17"/>
  <c r="V123" i="17"/>
  <c r="W123" i="17"/>
  <c r="X123" i="17"/>
  <c r="Y123" i="17"/>
  <c r="Z123" i="17"/>
  <c r="AA123" i="17"/>
  <c r="AB123" i="17"/>
  <c r="AC123" i="17"/>
  <c r="AD123" i="17"/>
  <c r="AE123" i="17"/>
  <c r="AF123" i="17"/>
  <c r="AG123" i="17"/>
  <c r="AH123" i="17"/>
  <c r="AI123" i="17"/>
  <c r="AJ123" i="17"/>
  <c r="AK123" i="17"/>
  <c r="AL123" i="17"/>
  <c r="AM123" i="17"/>
  <c r="AN123" i="17"/>
  <c r="AO123" i="17"/>
  <c r="AP123" i="17"/>
  <c r="AQ123" i="17"/>
  <c r="AR123" i="17"/>
  <c r="AS123" i="17"/>
  <c r="AT123" i="17"/>
  <c r="AU123" i="17"/>
  <c r="AV123" i="17"/>
  <c r="AW123" i="17"/>
  <c r="AX123" i="17"/>
  <c r="AY123" i="17"/>
  <c r="AZ123" i="17"/>
  <c r="BA123" i="17"/>
  <c r="BB123" i="17"/>
  <c r="BC123" i="17"/>
  <c r="BD123" i="17"/>
  <c r="BE123" i="17"/>
  <c r="BF123" i="17"/>
  <c r="BG123" i="17"/>
  <c r="BH123" i="17"/>
  <c r="BI123" i="17"/>
  <c r="BJ123" i="17"/>
  <c r="BK123" i="17"/>
  <c r="BL123" i="17"/>
  <c r="BM123" i="17"/>
  <c r="BN123" i="17"/>
  <c r="BO123" i="17"/>
  <c r="BP123" i="17"/>
  <c r="BQ123" i="17"/>
  <c r="BR123" i="17"/>
  <c r="BS123" i="17"/>
  <c r="BT123" i="17"/>
  <c r="BU123" i="17"/>
  <c r="BV123" i="17"/>
  <c r="BW123" i="17"/>
  <c r="BX123" i="17"/>
  <c r="BY123" i="17"/>
  <c r="BZ123" i="17"/>
  <c r="CA123" i="17"/>
  <c r="CB123" i="17"/>
  <c r="CC123" i="17"/>
  <c r="CD123" i="17"/>
  <c r="CE123" i="17"/>
  <c r="CF123" i="17"/>
  <c r="CG123" i="17"/>
  <c r="CH123" i="17"/>
  <c r="CI123" i="17"/>
  <c r="CJ123" i="17"/>
  <c r="CK123" i="17"/>
  <c r="CL123" i="17"/>
  <c r="CM123" i="17"/>
  <c r="CN123" i="17"/>
  <c r="CO123" i="17"/>
  <c r="CP123" i="17"/>
  <c r="CQ123" i="17"/>
  <c r="CR123" i="17"/>
  <c r="CS123" i="17"/>
  <c r="CT123" i="17"/>
  <c r="CU123" i="17"/>
  <c r="CV123" i="17"/>
  <c r="CW123" i="17"/>
  <c r="CX123" i="17"/>
  <c r="CY123" i="17"/>
  <c r="CZ123" i="17"/>
  <c r="DA123" i="17"/>
  <c r="DB123" i="17"/>
  <c r="DC123" i="17"/>
  <c r="DD123" i="17"/>
  <c r="DE123" i="17"/>
  <c r="DF123" i="17"/>
  <c r="DG123" i="17"/>
  <c r="DH123" i="17"/>
  <c r="DI123" i="17"/>
  <c r="DJ123" i="17"/>
  <c r="DK123" i="17"/>
  <c r="DL123" i="17"/>
  <c r="DM123" i="17"/>
  <c r="DN123" i="17"/>
  <c r="DO123" i="17"/>
  <c r="DP123" i="17"/>
  <c r="DQ123" i="17"/>
  <c r="DR123" i="17"/>
  <c r="DS123" i="17"/>
  <c r="DT123" i="17"/>
  <c r="DU123" i="17"/>
  <c r="DV123" i="17"/>
  <c r="DW123" i="17"/>
  <c r="DX123" i="17"/>
  <c r="DY123" i="17"/>
  <c r="DZ123" i="17"/>
  <c r="EA123" i="17"/>
  <c r="EB123" i="17"/>
  <c r="EC123" i="17"/>
  <c r="ED123" i="17"/>
  <c r="EE123" i="17"/>
  <c r="EF123" i="17"/>
  <c r="EG123" i="17"/>
  <c r="EH123" i="17"/>
  <c r="EI123" i="17"/>
  <c r="EJ123" i="17"/>
  <c r="EK123" i="17"/>
  <c r="EL123" i="17"/>
  <c r="EM123" i="17"/>
  <c r="EN123" i="17"/>
  <c r="EO123" i="17"/>
  <c r="EP123" i="17"/>
  <c r="EQ123" i="17"/>
  <c r="ER123" i="17"/>
  <c r="ES123" i="17"/>
  <c r="ET123" i="17"/>
  <c r="EU123" i="17"/>
  <c r="EV123" i="17"/>
  <c r="EW123" i="17"/>
  <c r="EX123" i="17"/>
  <c r="EY123" i="17"/>
  <c r="EZ123" i="17"/>
  <c r="FA123" i="17"/>
  <c r="FB123" i="17"/>
  <c r="FC123" i="17"/>
  <c r="FD123" i="17"/>
  <c r="FE123" i="17"/>
  <c r="FF123" i="17"/>
  <c r="FG123" i="17"/>
  <c r="FH123" i="17"/>
  <c r="FI123" i="17"/>
  <c r="FJ123" i="17"/>
  <c r="FK123" i="17"/>
  <c r="FL123" i="17"/>
  <c r="FM123" i="17"/>
  <c r="FN123" i="17"/>
  <c r="FO123" i="17"/>
  <c r="FP123" i="17"/>
  <c r="FQ123" i="17"/>
  <c r="FR123" i="17"/>
  <c r="FS123" i="17"/>
  <c r="FT123" i="17"/>
  <c r="FU123" i="17"/>
  <c r="FV123" i="17"/>
  <c r="FW123" i="17"/>
  <c r="FX123" i="17"/>
  <c r="FY123" i="17"/>
  <c r="FZ123" i="17"/>
  <c r="GA123" i="17"/>
  <c r="GB123" i="17"/>
  <c r="GC123" i="17"/>
  <c r="GD123" i="17"/>
  <c r="GE123" i="17"/>
  <c r="GF123" i="17"/>
  <c r="GG123" i="17"/>
  <c r="GH123" i="17"/>
  <c r="GI123" i="17"/>
  <c r="GJ123" i="17"/>
  <c r="GK123" i="17"/>
  <c r="GL123" i="17"/>
  <c r="GM123" i="17"/>
  <c r="GN123" i="17"/>
  <c r="GO123" i="17"/>
  <c r="GP123" i="17"/>
  <c r="GQ123" i="17"/>
  <c r="GR123" i="17"/>
  <c r="GS123" i="17"/>
  <c r="GT123" i="17"/>
  <c r="GU123" i="17"/>
  <c r="GV123" i="17"/>
  <c r="GW123" i="17"/>
  <c r="GX123" i="17"/>
  <c r="GY123" i="17"/>
  <c r="GZ123" i="17"/>
  <c r="HA123" i="17"/>
  <c r="HB123" i="17"/>
  <c r="HC123" i="17"/>
  <c r="HD123" i="17"/>
  <c r="HE123" i="17"/>
  <c r="HF123" i="17"/>
  <c r="HG123" i="17"/>
  <c r="HH123" i="17"/>
  <c r="HI123" i="17"/>
  <c r="HJ123" i="17"/>
  <c r="HK123" i="17"/>
  <c r="HL123" i="17"/>
  <c r="HM123" i="17"/>
  <c r="HN123" i="17"/>
  <c r="HO123" i="17"/>
  <c r="HP123" i="17"/>
  <c r="HQ123" i="17"/>
  <c r="HR123" i="17"/>
  <c r="HS123" i="17"/>
  <c r="HT123" i="17"/>
  <c r="HU123" i="17"/>
  <c r="HV123" i="17"/>
  <c r="HW123" i="17"/>
  <c r="HX123" i="17"/>
  <c r="HY123" i="17"/>
  <c r="HZ123" i="17"/>
  <c r="IA123" i="17"/>
  <c r="IB123" i="17"/>
  <c r="IC123" i="17"/>
  <c r="ID123" i="17"/>
  <c r="IE123" i="17"/>
  <c r="IF123" i="17"/>
  <c r="IG123" i="17"/>
  <c r="IH123" i="17"/>
  <c r="II123" i="17"/>
  <c r="IJ123" i="17"/>
  <c r="IK123" i="17"/>
  <c r="IL123" i="17"/>
  <c r="IM123" i="17"/>
  <c r="IN123" i="17"/>
  <c r="IO123" i="17"/>
  <c r="IP123" i="17"/>
  <c r="IQ123" i="17"/>
  <c r="IR123" i="17"/>
  <c r="IS123" i="17"/>
  <c r="IT123" i="17"/>
  <c r="IU123" i="17"/>
  <c r="IV123" i="17"/>
  <c r="A122" i="17"/>
  <c r="B122" i="17"/>
  <c r="C122" i="17"/>
  <c r="D122" i="17"/>
  <c r="E122" i="17"/>
  <c r="F122" i="17"/>
  <c r="G122" i="17"/>
  <c r="H122" i="17"/>
  <c r="I122" i="17"/>
  <c r="J122" i="17"/>
  <c r="K122" i="17"/>
  <c r="L122" i="17"/>
  <c r="M122" i="17"/>
  <c r="N122" i="17"/>
  <c r="O122" i="17"/>
  <c r="P122" i="17"/>
  <c r="Q122" i="17"/>
  <c r="R122" i="17"/>
  <c r="S122" i="17"/>
  <c r="T122" i="17"/>
  <c r="U122" i="17"/>
  <c r="V122" i="17"/>
  <c r="W122" i="17"/>
  <c r="X122" i="17"/>
  <c r="Y122" i="17"/>
  <c r="Z122" i="17"/>
  <c r="AA122" i="17"/>
  <c r="AB122" i="17"/>
  <c r="AC122" i="17"/>
  <c r="AD122" i="17"/>
  <c r="AE122" i="17"/>
  <c r="AF122" i="17"/>
  <c r="AG122" i="17"/>
  <c r="AH122" i="17"/>
  <c r="AI122" i="17"/>
  <c r="AJ122" i="17"/>
  <c r="AK122" i="17"/>
  <c r="AL122" i="17"/>
  <c r="AM122" i="17"/>
  <c r="AN122" i="17"/>
  <c r="AO122" i="17"/>
  <c r="AP122" i="17"/>
  <c r="AQ122" i="17"/>
  <c r="AR122" i="17"/>
  <c r="AS122" i="17"/>
  <c r="AT122" i="17"/>
  <c r="AU122" i="17"/>
  <c r="AV122" i="17"/>
  <c r="AW122" i="17"/>
  <c r="AX122" i="17"/>
  <c r="AY122" i="17"/>
  <c r="AZ122" i="17"/>
  <c r="BA122" i="17"/>
  <c r="BB122" i="17"/>
  <c r="BC122" i="17"/>
  <c r="BD122" i="17"/>
  <c r="BE122" i="17"/>
  <c r="BF122" i="17"/>
  <c r="BG122" i="17"/>
  <c r="BH122" i="17"/>
  <c r="BI122" i="17"/>
  <c r="BJ122" i="17"/>
  <c r="BK122" i="17"/>
  <c r="BL122" i="17"/>
  <c r="BM122" i="17"/>
  <c r="BN122" i="17"/>
  <c r="BO122" i="17"/>
  <c r="BP122" i="17"/>
  <c r="BQ122" i="17"/>
  <c r="BR122" i="17"/>
  <c r="BS122" i="17"/>
  <c r="BT122" i="17"/>
  <c r="BU122" i="17"/>
  <c r="BV122" i="17"/>
  <c r="BW122" i="17"/>
  <c r="BX122" i="17"/>
  <c r="BY122" i="17"/>
  <c r="BZ122" i="17"/>
  <c r="CA122" i="17"/>
  <c r="CB122" i="17"/>
  <c r="CC122" i="17"/>
  <c r="CD122" i="17"/>
  <c r="CE122" i="17"/>
  <c r="CF122" i="17"/>
  <c r="CG122" i="17"/>
  <c r="CH122" i="17"/>
  <c r="CI122" i="17"/>
  <c r="CJ122" i="17"/>
  <c r="CK122" i="17"/>
  <c r="CL122" i="17"/>
  <c r="CM122" i="17"/>
  <c r="CN122" i="17"/>
  <c r="CO122" i="17"/>
  <c r="CP122" i="17"/>
  <c r="CQ122" i="17"/>
  <c r="CR122" i="17"/>
  <c r="CS122" i="17"/>
  <c r="CT122" i="17"/>
  <c r="CU122" i="17"/>
  <c r="CV122" i="17"/>
  <c r="CW122" i="17"/>
  <c r="CX122" i="17"/>
  <c r="CY122" i="17"/>
  <c r="CZ122" i="17"/>
  <c r="DA122" i="17"/>
  <c r="DB122" i="17"/>
  <c r="DC122" i="17"/>
  <c r="DD122" i="17"/>
  <c r="DE122" i="17"/>
  <c r="DF122" i="17"/>
  <c r="DG122" i="17"/>
  <c r="DH122" i="17"/>
  <c r="DI122" i="17"/>
  <c r="DJ122" i="17"/>
  <c r="DK122" i="17"/>
  <c r="DL122" i="17"/>
  <c r="DM122" i="17"/>
  <c r="DN122" i="17"/>
  <c r="DO122" i="17"/>
  <c r="DP122" i="17"/>
  <c r="DQ122" i="17"/>
  <c r="DR122" i="17"/>
  <c r="DS122" i="17"/>
  <c r="DT122" i="17"/>
  <c r="DU122" i="17"/>
  <c r="DV122" i="17"/>
  <c r="DW122" i="17"/>
  <c r="DX122" i="17"/>
  <c r="DY122" i="17"/>
  <c r="DZ122" i="17"/>
  <c r="EA122" i="17"/>
  <c r="EB122" i="17"/>
  <c r="EC122" i="17"/>
  <c r="ED122" i="17"/>
  <c r="EE122" i="17"/>
  <c r="EF122" i="17"/>
  <c r="EG122" i="17"/>
  <c r="EH122" i="17"/>
  <c r="EI122" i="17"/>
  <c r="EJ122" i="17"/>
  <c r="EK122" i="17"/>
  <c r="EL122" i="17"/>
  <c r="EM122" i="17"/>
  <c r="EN122" i="17"/>
  <c r="EO122" i="17"/>
  <c r="EP122" i="17"/>
  <c r="EQ122" i="17"/>
  <c r="ER122" i="17"/>
  <c r="ES122" i="17"/>
  <c r="ET122" i="17"/>
  <c r="EU122" i="17"/>
  <c r="EV122" i="17"/>
  <c r="EW122" i="17"/>
  <c r="EX122" i="17"/>
  <c r="EY122" i="17"/>
  <c r="EZ122" i="17"/>
  <c r="FA122" i="17"/>
  <c r="FB122" i="17"/>
  <c r="FC122" i="17"/>
  <c r="FD122" i="17"/>
  <c r="FE122" i="17"/>
  <c r="FF122" i="17"/>
  <c r="FG122" i="17"/>
  <c r="FH122" i="17"/>
  <c r="FI122" i="17"/>
  <c r="FJ122" i="17"/>
  <c r="FK122" i="17"/>
  <c r="FL122" i="17"/>
  <c r="FM122" i="17"/>
  <c r="FN122" i="17"/>
  <c r="FO122" i="17"/>
  <c r="FP122" i="17"/>
  <c r="FQ122" i="17"/>
  <c r="FR122" i="17"/>
  <c r="FS122" i="17"/>
  <c r="FT122" i="17"/>
  <c r="FU122" i="17"/>
  <c r="FV122" i="17"/>
  <c r="FW122" i="17"/>
  <c r="FX122" i="17"/>
  <c r="FY122" i="17"/>
  <c r="FZ122" i="17"/>
  <c r="GA122" i="17"/>
  <c r="GB122" i="17"/>
  <c r="GC122" i="17"/>
  <c r="GD122" i="17"/>
  <c r="GE122" i="17"/>
  <c r="GF122" i="17"/>
  <c r="GG122" i="17"/>
  <c r="GH122" i="17"/>
  <c r="GI122" i="17"/>
  <c r="GJ122" i="17"/>
  <c r="GK122" i="17"/>
  <c r="GL122" i="17"/>
  <c r="GM122" i="17"/>
  <c r="GN122" i="17"/>
  <c r="GO122" i="17"/>
  <c r="GP122" i="17"/>
  <c r="GQ122" i="17"/>
  <c r="GR122" i="17"/>
  <c r="GS122" i="17"/>
  <c r="GT122" i="17"/>
  <c r="GU122" i="17"/>
  <c r="GV122" i="17"/>
  <c r="GW122" i="17"/>
  <c r="GX122" i="17"/>
  <c r="GY122" i="17"/>
  <c r="GZ122" i="17"/>
  <c r="HA122" i="17"/>
  <c r="HB122" i="17"/>
  <c r="HC122" i="17"/>
  <c r="HD122" i="17"/>
  <c r="HE122" i="17"/>
  <c r="HF122" i="17"/>
  <c r="HG122" i="17"/>
  <c r="HH122" i="17"/>
  <c r="HI122" i="17"/>
  <c r="HJ122" i="17"/>
  <c r="HK122" i="17"/>
  <c r="HL122" i="17"/>
  <c r="HM122" i="17"/>
  <c r="HN122" i="17"/>
  <c r="HO122" i="17"/>
  <c r="HP122" i="17"/>
  <c r="HQ122" i="17"/>
  <c r="HR122" i="17"/>
  <c r="HS122" i="17"/>
  <c r="HT122" i="17"/>
  <c r="HU122" i="17"/>
  <c r="HV122" i="17"/>
  <c r="HW122" i="17"/>
  <c r="HX122" i="17"/>
  <c r="HY122" i="17"/>
  <c r="HZ122" i="17"/>
  <c r="IA122" i="17"/>
  <c r="IB122" i="17"/>
  <c r="IC122" i="17"/>
  <c r="ID122" i="17"/>
  <c r="IE122" i="17"/>
  <c r="IF122" i="17"/>
  <c r="IG122" i="17"/>
  <c r="IH122" i="17"/>
  <c r="II122" i="17"/>
  <c r="IJ122" i="17"/>
  <c r="IK122" i="17"/>
  <c r="IL122" i="17"/>
  <c r="IM122" i="17"/>
  <c r="IN122" i="17"/>
  <c r="IO122" i="17"/>
  <c r="IP122" i="17"/>
  <c r="IQ122" i="17"/>
  <c r="IR122" i="17"/>
  <c r="IS122" i="17"/>
  <c r="IT122" i="17"/>
  <c r="IU122" i="17"/>
  <c r="IV122" i="17"/>
  <c r="A121" i="17"/>
  <c r="B121" i="17"/>
  <c r="C121" i="17"/>
  <c r="D121" i="17"/>
  <c r="E121" i="17"/>
  <c r="F121" i="17"/>
  <c r="G121" i="17"/>
  <c r="H121" i="17"/>
  <c r="I121" i="17"/>
  <c r="J121" i="17"/>
  <c r="K121" i="17"/>
  <c r="L121" i="17"/>
  <c r="M121" i="17"/>
  <c r="N121" i="17"/>
  <c r="O121" i="17"/>
  <c r="P121" i="17"/>
  <c r="Q121" i="17"/>
  <c r="R121" i="17"/>
  <c r="S121" i="17"/>
  <c r="T121" i="17"/>
  <c r="V121" i="17"/>
  <c r="W121" i="17"/>
  <c r="X121" i="17"/>
  <c r="Y121" i="17"/>
  <c r="Z121" i="17"/>
  <c r="AA121" i="17"/>
  <c r="AB121" i="17"/>
  <c r="AC121" i="17"/>
  <c r="AD121" i="17"/>
  <c r="AE121" i="17"/>
  <c r="AF121" i="17"/>
  <c r="AG121" i="17"/>
  <c r="AH121" i="17"/>
  <c r="AI121" i="17"/>
  <c r="AJ121" i="17"/>
  <c r="AK121" i="17"/>
  <c r="AL121" i="17"/>
  <c r="AM121" i="17"/>
  <c r="AN121" i="17"/>
  <c r="AO121" i="17"/>
  <c r="AP121" i="17"/>
  <c r="AQ121" i="17"/>
  <c r="AR121" i="17"/>
  <c r="AS121" i="17"/>
  <c r="AT121" i="17"/>
  <c r="AU121" i="17"/>
  <c r="AV121" i="17"/>
  <c r="AW121" i="17"/>
  <c r="AX121" i="17"/>
  <c r="AY121" i="17"/>
  <c r="AZ121" i="17"/>
  <c r="BA121" i="17"/>
  <c r="BB121" i="17"/>
  <c r="BC121" i="17"/>
  <c r="BD121" i="17"/>
  <c r="BE121" i="17"/>
  <c r="BF121" i="17"/>
  <c r="BG121" i="17"/>
  <c r="BH121" i="17"/>
  <c r="BI121" i="17"/>
  <c r="BJ121" i="17"/>
  <c r="BK121" i="17"/>
  <c r="BL121" i="17"/>
  <c r="BM121" i="17"/>
  <c r="BN121" i="17"/>
  <c r="BO121" i="17"/>
  <c r="BP121" i="17"/>
  <c r="BQ121" i="17"/>
  <c r="BR121" i="17"/>
  <c r="BS121" i="17"/>
  <c r="BT121" i="17"/>
  <c r="BU121" i="17"/>
  <c r="BV121" i="17"/>
  <c r="BW121" i="17"/>
  <c r="BX121" i="17"/>
  <c r="BY121" i="17"/>
  <c r="BZ121" i="17"/>
  <c r="CA121" i="17"/>
  <c r="CB121" i="17"/>
  <c r="CC121" i="17"/>
  <c r="CD121" i="17"/>
  <c r="CE121" i="17"/>
  <c r="CF121" i="17"/>
  <c r="CG121" i="17"/>
  <c r="CH121" i="17"/>
  <c r="CI121" i="17"/>
  <c r="CJ121" i="17"/>
  <c r="CK121" i="17"/>
  <c r="CL121" i="17"/>
  <c r="CM121" i="17"/>
  <c r="CN121" i="17"/>
  <c r="CO121" i="17"/>
  <c r="CP121" i="17"/>
  <c r="CQ121" i="17"/>
  <c r="CR121" i="17"/>
  <c r="CS121" i="17"/>
  <c r="CT121" i="17"/>
  <c r="CU121" i="17"/>
  <c r="CV121" i="17"/>
  <c r="CW121" i="17"/>
  <c r="CX121" i="17"/>
  <c r="CY121" i="17"/>
  <c r="CZ121" i="17"/>
  <c r="DA121" i="17"/>
  <c r="DB121" i="17"/>
  <c r="DC121" i="17"/>
  <c r="DD121" i="17"/>
  <c r="DE121" i="17"/>
  <c r="DF121" i="17"/>
  <c r="DG121" i="17"/>
  <c r="DH121" i="17"/>
  <c r="DI121" i="17"/>
  <c r="DJ121" i="17"/>
  <c r="DK121" i="17"/>
  <c r="DL121" i="17"/>
  <c r="DM121" i="17"/>
  <c r="DN121" i="17"/>
  <c r="DO121" i="17"/>
  <c r="DP121" i="17"/>
  <c r="DQ121" i="17"/>
  <c r="DR121" i="17"/>
  <c r="DS121" i="17"/>
  <c r="DT121" i="17"/>
  <c r="DU121" i="17"/>
  <c r="DV121" i="17"/>
  <c r="DW121" i="17"/>
  <c r="DX121" i="17"/>
  <c r="DY121" i="17"/>
  <c r="DZ121" i="17"/>
  <c r="EA121" i="17"/>
  <c r="EB121" i="17"/>
  <c r="EC121" i="17"/>
  <c r="ED121" i="17"/>
  <c r="EE121" i="17"/>
  <c r="EF121" i="17"/>
  <c r="EG121" i="17"/>
  <c r="EH121" i="17"/>
  <c r="EI121" i="17"/>
  <c r="EJ121" i="17"/>
  <c r="EK121" i="17"/>
  <c r="EL121" i="17"/>
  <c r="EM121" i="17"/>
  <c r="EN121" i="17"/>
  <c r="EO121" i="17"/>
  <c r="EP121" i="17"/>
  <c r="EQ121" i="17"/>
  <c r="ER121" i="17"/>
  <c r="ES121" i="17"/>
  <c r="ET121" i="17"/>
  <c r="EU121" i="17"/>
  <c r="EV121" i="17"/>
  <c r="EW121" i="17"/>
  <c r="EX121" i="17"/>
  <c r="EY121" i="17"/>
  <c r="EZ121" i="17"/>
  <c r="FA121" i="17"/>
  <c r="FB121" i="17"/>
  <c r="FC121" i="17"/>
  <c r="FD121" i="17"/>
  <c r="FE121" i="17"/>
  <c r="FF121" i="17"/>
  <c r="FG121" i="17"/>
  <c r="FH121" i="17"/>
  <c r="FI121" i="17"/>
  <c r="FJ121" i="17"/>
  <c r="FK121" i="17"/>
  <c r="FL121" i="17"/>
  <c r="FM121" i="17"/>
  <c r="FN121" i="17"/>
  <c r="FO121" i="17"/>
  <c r="FP121" i="17"/>
  <c r="FQ121" i="17"/>
  <c r="FR121" i="17"/>
  <c r="FS121" i="17"/>
  <c r="FT121" i="17"/>
  <c r="FU121" i="17"/>
  <c r="FV121" i="17"/>
  <c r="FW121" i="17"/>
  <c r="FX121" i="17"/>
  <c r="FY121" i="17"/>
  <c r="FZ121" i="17"/>
  <c r="GA121" i="17"/>
  <c r="GB121" i="17"/>
  <c r="GC121" i="17"/>
  <c r="GD121" i="17"/>
  <c r="GE121" i="17"/>
  <c r="GF121" i="17"/>
  <c r="GG121" i="17"/>
  <c r="GH121" i="17"/>
  <c r="GI121" i="17"/>
  <c r="GJ121" i="17"/>
  <c r="GK121" i="17"/>
  <c r="GL121" i="17"/>
  <c r="GM121" i="17"/>
  <c r="GN121" i="17"/>
  <c r="GO121" i="17"/>
  <c r="GP121" i="17"/>
  <c r="GQ121" i="17"/>
  <c r="GR121" i="17"/>
  <c r="GS121" i="17"/>
  <c r="GT121" i="17"/>
  <c r="GU121" i="17"/>
  <c r="GV121" i="17"/>
  <c r="GW121" i="17"/>
  <c r="GX121" i="17"/>
  <c r="GY121" i="17"/>
  <c r="GZ121" i="17"/>
  <c r="HA121" i="17"/>
  <c r="HB121" i="17"/>
  <c r="HC121" i="17"/>
  <c r="HD121" i="17"/>
  <c r="HE121" i="17"/>
  <c r="HF121" i="17"/>
  <c r="HG121" i="17"/>
  <c r="HH121" i="17"/>
  <c r="HI121" i="17"/>
  <c r="HJ121" i="17"/>
  <c r="HK121" i="17"/>
  <c r="HL121" i="17"/>
  <c r="HM121" i="17"/>
  <c r="HN121" i="17"/>
  <c r="HO121" i="17"/>
  <c r="HP121" i="17"/>
  <c r="HQ121" i="17"/>
  <c r="HR121" i="17"/>
  <c r="HS121" i="17"/>
  <c r="HT121" i="17"/>
  <c r="HU121" i="17"/>
  <c r="HV121" i="17"/>
  <c r="HW121" i="17"/>
  <c r="HX121" i="17"/>
  <c r="HY121" i="17"/>
  <c r="HZ121" i="17"/>
  <c r="IA121" i="17"/>
  <c r="IB121" i="17"/>
  <c r="IC121" i="17"/>
  <c r="ID121" i="17"/>
  <c r="IE121" i="17"/>
  <c r="IF121" i="17"/>
  <c r="IG121" i="17"/>
  <c r="IH121" i="17"/>
  <c r="II121" i="17"/>
  <c r="IJ121" i="17"/>
  <c r="IK121" i="17"/>
  <c r="IL121" i="17"/>
  <c r="IM121" i="17"/>
  <c r="IN121" i="17"/>
  <c r="IO121" i="17"/>
  <c r="IP121" i="17"/>
  <c r="IQ121" i="17"/>
  <c r="IR121" i="17"/>
  <c r="IS121" i="17"/>
  <c r="IT121" i="17"/>
  <c r="IU121" i="17"/>
  <c r="IV121" i="17"/>
  <c r="A120" i="17"/>
  <c r="B120" i="17"/>
  <c r="C120" i="17"/>
  <c r="D120" i="17"/>
  <c r="E120" i="17"/>
  <c r="F120" i="17"/>
  <c r="G120" i="17"/>
  <c r="H120" i="17"/>
  <c r="I120" i="17"/>
  <c r="J120" i="17"/>
  <c r="K120" i="17"/>
  <c r="L120" i="17"/>
  <c r="M120" i="17"/>
  <c r="N120" i="17"/>
  <c r="O120" i="17"/>
  <c r="P120" i="17"/>
  <c r="Q120" i="17"/>
  <c r="R120" i="17"/>
  <c r="S120" i="17"/>
  <c r="T120" i="17"/>
  <c r="U120" i="17"/>
  <c r="V120" i="17"/>
  <c r="W120" i="17"/>
  <c r="X120" i="17"/>
  <c r="Y120" i="17"/>
  <c r="Z120" i="17"/>
  <c r="AA120" i="17"/>
  <c r="AB120" i="17"/>
  <c r="AC120" i="17"/>
  <c r="AD120" i="17"/>
  <c r="AE120" i="17"/>
  <c r="AF120" i="17"/>
  <c r="AG120" i="17"/>
  <c r="AH120" i="17"/>
  <c r="AI120" i="17"/>
  <c r="AJ120" i="17"/>
  <c r="AK120" i="17"/>
  <c r="AL120" i="17"/>
  <c r="AM120" i="17"/>
  <c r="AN120" i="17"/>
  <c r="AO120" i="17"/>
  <c r="AP120" i="17"/>
  <c r="AQ120" i="17"/>
  <c r="AR120" i="17"/>
  <c r="AS120" i="17"/>
  <c r="AT120" i="17"/>
  <c r="AU120" i="17"/>
  <c r="AV120" i="17"/>
  <c r="AW120" i="17"/>
  <c r="AX120" i="17"/>
  <c r="AY120" i="17"/>
  <c r="AZ120" i="17"/>
  <c r="BA120" i="17"/>
  <c r="BB120" i="17"/>
  <c r="BC120" i="17"/>
  <c r="BD120" i="17"/>
  <c r="BE120" i="17"/>
  <c r="BF120" i="17"/>
  <c r="BG120" i="17"/>
  <c r="BH120" i="17"/>
  <c r="BI120" i="17"/>
  <c r="BJ120" i="17"/>
  <c r="BK120" i="17"/>
  <c r="BL120" i="17"/>
  <c r="BM120" i="17"/>
  <c r="BN120" i="17"/>
  <c r="BO120" i="17"/>
  <c r="BP120" i="17"/>
  <c r="BQ120" i="17"/>
  <c r="BR120" i="17"/>
  <c r="BS120" i="17"/>
  <c r="BT120" i="17"/>
  <c r="BU120" i="17"/>
  <c r="BV120" i="17"/>
  <c r="BW120" i="17"/>
  <c r="BX120" i="17"/>
  <c r="BY120" i="17"/>
  <c r="BZ120" i="17"/>
  <c r="CA120" i="17"/>
  <c r="CB120" i="17"/>
  <c r="CC120" i="17"/>
  <c r="CD120" i="17"/>
  <c r="CE120" i="17"/>
  <c r="CF120" i="17"/>
  <c r="CG120" i="17"/>
  <c r="CH120" i="17"/>
  <c r="CI120" i="17"/>
  <c r="CJ120" i="17"/>
  <c r="CK120" i="17"/>
  <c r="CL120" i="17"/>
  <c r="CM120" i="17"/>
  <c r="CN120" i="17"/>
  <c r="CO120" i="17"/>
  <c r="CP120" i="17"/>
  <c r="CQ120" i="17"/>
  <c r="CR120" i="17"/>
  <c r="CS120" i="17"/>
  <c r="CT120" i="17"/>
  <c r="CU120" i="17"/>
  <c r="CV120" i="17"/>
  <c r="CW120" i="17"/>
  <c r="CX120" i="17"/>
  <c r="CY120" i="17"/>
  <c r="CZ120" i="17"/>
  <c r="DA120" i="17"/>
  <c r="DB120" i="17"/>
  <c r="DC120" i="17"/>
  <c r="DD120" i="17"/>
  <c r="DE120" i="17"/>
  <c r="DF120" i="17"/>
  <c r="DG120" i="17"/>
  <c r="DH120" i="17"/>
  <c r="DI120" i="17"/>
  <c r="DJ120" i="17"/>
  <c r="DK120" i="17"/>
  <c r="DL120" i="17"/>
  <c r="DM120" i="17"/>
  <c r="DN120" i="17"/>
  <c r="DO120" i="17"/>
  <c r="DP120" i="17"/>
  <c r="DQ120" i="17"/>
  <c r="DR120" i="17"/>
  <c r="DS120" i="17"/>
  <c r="DT120" i="17"/>
  <c r="DU120" i="17"/>
  <c r="DV120" i="17"/>
  <c r="DW120" i="17"/>
  <c r="DX120" i="17"/>
  <c r="DY120" i="17"/>
  <c r="DZ120" i="17"/>
  <c r="EA120" i="17"/>
  <c r="EB120" i="17"/>
  <c r="EC120" i="17"/>
  <c r="ED120" i="17"/>
  <c r="EE120" i="17"/>
  <c r="EF120" i="17"/>
  <c r="EG120" i="17"/>
  <c r="EH120" i="17"/>
  <c r="EI120" i="17"/>
  <c r="EJ120" i="17"/>
  <c r="EK120" i="17"/>
  <c r="EL120" i="17"/>
  <c r="EM120" i="17"/>
  <c r="EN120" i="17"/>
  <c r="EO120" i="17"/>
  <c r="EP120" i="17"/>
  <c r="EQ120" i="17"/>
  <c r="ER120" i="17"/>
  <c r="ES120" i="17"/>
  <c r="ET120" i="17"/>
  <c r="EU120" i="17"/>
  <c r="EV120" i="17"/>
  <c r="EW120" i="17"/>
  <c r="EX120" i="17"/>
  <c r="EY120" i="17"/>
  <c r="EZ120" i="17"/>
  <c r="FA120" i="17"/>
  <c r="FB120" i="17"/>
  <c r="FC120" i="17"/>
  <c r="FD120" i="17"/>
  <c r="FE120" i="17"/>
  <c r="FF120" i="17"/>
  <c r="FG120" i="17"/>
  <c r="FH120" i="17"/>
  <c r="FI120" i="17"/>
  <c r="FJ120" i="17"/>
  <c r="FK120" i="17"/>
  <c r="FL120" i="17"/>
  <c r="FM120" i="17"/>
  <c r="FN120" i="17"/>
  <c r="FO120" i="17"/>
  <c r="FP120" i="17"/>
  <c r="FQ120" i="17"/>
  <c r="FR120" i="17"/>
  <c r="FS120" i="17"/>
  <c r="FT120" i="17"/>
  <c r="FU120" i="17"/>
  <c r="FV120" i="17"/>
  <c r="FW120" i="17"/>
  <c r="FX120" i="17"/>
  <c r="FY120" i="17"/>
  <c r="FZ120" i="17"/>
  <c r="GA120" i="17"/>
  <c r="GB120" i="17"/>
  <c r="GC120" i="17"/>
  <c r="GD120" i="17"/>
  <c r="GE120" i="17"/>
  <c r="GF120" i="17"/>
  <c r="GG120" i="17"/>
  <c r="GH120" i="17"/>
  <c r="GI120" i="17"/>
  <c r="GJ120" i="17"/>
  <c r="GK120" i="17"/>
  <c r="GL120" i="17"/>
  <c r="GM120" i="17"/>
  <c r="GN120" i="17"/>
  <c r="GO120" i="17"/>
  <c r="GP120" i="17"/>
  <c r="GQ120" i="17"/>
  <c r="GR120" i="17"/>
  <c r="GS120" i="17"/>
  <c r="GT120" i="17"/>
  <c r="GU120" i="17"/>
  <c r="GV120" i="17"/>
  <c r="GW120" i="17"/>
  <c r="GX120" i="17"/>
  <c r="GY120" i="17"/>
  <c r="GZ120" i="17"/>
  <c r="HA120" i="17"/>
  <c r="HB120" i="17"/>
  <c r="HC120" i="17"/>
  <c r="HD120" i="17"/>
  <c r="HE120" i="17"/>
  <c r="HF120" i="17"/>
  <c r="HG120" i="17"/>
  <c r="HH120" i="17"/>
  <c r="HI120" i="17"/>
  <c r="HJ120" i="17"/>
  <c r="HK120" i="17"/>
  <c r="HL120" i="17"/>
  <c r="HM120" i="17"/>
  <c r="HN120" i="17"/>
  <c r="HO120" i="17"/>
  <c r="HP120" i="17"/>
  <c r="HQ120" i="17"/>
  <c r="HR120" i="17"/>
  <c r="HS120" i="17"/>
  <c r="HT120" i="17"/>
  <c r="HU120" i="17"/>
  <c r="HV120" i="17"/>
  <c r="HW120" i="17"/>
  <c r="HX120" i="17"/>
  <c r="HY120" i="17"/>
  <c r="HZ120" i="17"/>
  <c r="IA120" i="17"/>
  <c r="IB120" i="17"/>
  <c r="IC120" i="17"/>
  <c r="ID120" i="17"/>
  <c r="IE120" i="17"/>
  <c r="IF120" i="17"/>
  <c r="IG120" i="17"/>
  <c r="IH120" i="17"/>
  <c r="II120" i="17"/>
  <c r="IJ120" i="17"/>
  <c r="IK120" i="17"/>
  <c r="IL120" i="17"/>
  <c r="IM120" i="17"/>
  <c r="IN120" i="17"/>
  <c r="IO120" i="17"/>
  <c r="IP120" i="17"/>
  <c r="IQ120" i="17"/>
  <c r="IR120" i="17"/>
  <c r="IS120" i="17"/>
  <c r="IT120" i="17"/>
  <c r="IU120" i="17"/>
  <c r="IV120" i="17"/>
  <c r="A119" i="17"/>
  <c r="B119" i="17"/>
  <c r="C119" i="17"/>
  <c r="D119" i="17"/>
  <c r="E119" i="17"/>
  <c r="F119" i="17"/>
  <c r="G119" i="17"/>
  <c r="H119" i="17"/>
  <c r="I119" i="17"/>
  <c r="J119" i="17"/>
  <c r="K119" i="17"/>
  <c r="L119" i="17"/>
  <c r="M119" i="17"/>
  <c r="N119" i="17"/>
  <c r="O119" i="17"/>
  <c r="P119" i="17"/>
  <c r="Q119" i="17"/>
  <c r="R119" i="17"/>
  <c r="S119" i="17"/>
  <c r="U119" i="17"/>
  <c r="V119" i="17"/>
  <c r="W119" i="17"/>
  <c r="X119" i="17"/>
  <c r="Y119" i="17"/>
  <c r="Z119" i="17"/>
  <c r="AA119" i="17"/>
  <c r="AB119" i="17"/>
  <c r="AC119" i="17"/>
  <c r="AD119" i="17"/>
  <c r="AE119" i="17"/>
  <c r="AF119" i="17"/>
  <c r="AG119" i="17"/>
  <c r="AH119" i="17"/>
  <c r="AI119" i="17"/>
  <c r="AJ119" i="17"/>
  <c r="AK119" i="17"/>
  <c r="AL119" i="17"/>
  <c r="AM119" i="17"/>
  <c r="AN119" i="17"/>
  <c r="AO119" i="17"/>
  <c r="AP119" i="17"/>
  <c r="AQ119" i="17"/>
  <c r="AR119" i="17"/>
  <c r="AS119" i="17"/>
  <c r="AT119" i="17"/>
  <c r="AU119" i="17"/>
  <c r="AV119" i="17"/>
  <c r="AW119" i="17"/>
  <c r="AX119" i="17"/>
  <c r="AY119" i="17"/>
  <c r="AZ119" i="17"/>
  <c r="BA119" i="17"/>
  <c r="BB119" i="17"/>
  <c r="BC119" i="17"/>
  <c r="BD119" i="17"/>
  <c r="BE119" i="17"/>
  <c r="BF119" i="17"/>
  <c r="BG119" i="17"/>
  <c r="BH119" i="17"/>
  <c r="BI119" i="17"/>
  <c r="BJ119" i="17"/>
  <c r="BK119" i="17"/>
  <c r="BL119" i="17"/>
  <c r="BM119" i="17"/>
  <c r="BN119" i="17"/>
  <c r="BO119" i="17"/>
  <c r="BP119" i="17"/>
  <c r="BQ119" i="17"/>
  <c r="BR119" i="17"/>
  <c r="BS119" i="17"/>
  <c r="BT119" i="17"/>
  <c r="BU119" i="17"/>
  <c r="BV119" i="17"/>
  <c r="BW119" i="17"/>
  <c r="BX119" i="17"/>
  <c r="BY119" i="17"/>
  <c r="BZ119" i="17"/>
  <c r="CA119" i="17"/>
  <c r="CB119" i="17"/>
  <c r="CC119" i="17"/>
  <c r="CD119" i="17"/>
  <c r="CE119" i="17"/>
  <c r="CF119" i="17"/>
  <c r="CG119" i="17"/>
  <c r="CH119" i="17"/>
  <c r="CI119" i="17"/>
  <c r="CJ119" i="17"/>
  <c r="CK119" i="17"/>
  <c r="CL119" i="17"/>
  <c r="CM119" i="17"/>
  <c r="CN119" i="17"/>
  <c r="CO119" i="17"/>
  <c r="CP119" i="17"/>
  <c r="CQ119" i="17"/>
  <c r="CR119" i="17"/>
  <c r="CS119" i="17"/>
  <c r="CT119" i="17"/>
  <c r="CU119" i="17"/>
  <c r="CV119" i="17"/>
  <c r="CW119" i="17"/>
  <c r="CX119" i="17"/>
  <c r="CY119" i="17"/>
  <c r="CZ119" i="17"/>
  <c r="DA119" i="17"/>
  <c r="DB119" i="17"/>
  <c r="DC119" i="17"/>
  <c r="DD119" i="17"/>
  <c r="DE119" i="17"/>
  <c r="DF119" i="17"/>
  <c r="DG119" i="17"/>
  <c r="DH119" i="17"/>
  <c r="DI119" i="17"/>
  <c r="DJ119" i="17"/>
  <c r="DK119" i="17"/>
  <c r="DL119" i="17"/>
  <c r="DM119" i="17"/>
  <c r="DN119" i="17"/>
  <c r="DO119" i="17"/>
  <c r="DP119" i="17"/>
  <c r="DQ119" i="17"/>
  <c r="DR119" i="17"/>
  <c r="DS119" i="17"/>
  <c r="DT119" i="17"/>
  <c r="DU119" i="17"/>
  <c r="DV119" i="17"/>
  <c r="DW119" i="17"/>
  <c r="DX119" i="17"/>
  <c r="DY119" i="17"/>
  <c r="DZ119" i="17"/>
  <c r="EA119" i="17"/>
  <c r="EB119" i="17"/>
  <c r="EC119" i="17"/>
  <c r="ED119" i="17"/>
  <c r="EE119" i="17"/>
  <c r="EF119" i="17"/>
  <c r="EG119" i="17"/>
  <c r="EH119" i="17"/>
  <c r="EI119" i="17"/>
  <c r="EJ119" i="17"/>
  <c r="EK119" i="17"/>
  <c r="EL119" i="17"/>
  <c r="EM119" i="17"/>
  <c r="EN119" i="17"/>
  <c r="EO119" i="17"/>
  <c r="EP119" i="17"/>
  <c r="EQ119" i="17"/>
  <c r="ER119" i="17"/>
  <c r="ES119" i="17"/>
  <c r="ET119" i="17"/>
  <c r="EU119" i="17"/>
  <c r="EV119" i="17"/>
  <c r="EW119" i="17"/>
  <c r="EX119" i="17"/>
  <c r="EY119" i="17"/>
  <c r="EZ119" i="17"/>
  <c r="FA119" i="17"/>
  <c r="FB119" i="17"/>
  <c r="FC119" i="17"/>
  <c r="FD119" i="17"/>
  <c r="FE119" i="17"/>
  <c r="FF119" i="17"/>
  <c r="FG119" i="17"/>
  <c r="FH119" i="17"/>
  <c r="FI119" i="17"/>
  <c r="FJ119" i="17"/>
  <c r="FK119" i="17"/>
  <c r="FL119" i="17"/>
  <c r="FM119" i="17"/>
  <c r="FN119" i="17"/>
  <c r="FO119" i="17"/>
  <c r="FP119" i="17"/>
  <c r="FQ119" i="17"/>
  <c r="FR119" i="17"/>
  <c r="FS119" i="17"/>
  <c r="FT119" i="17"/>
  <c r="FU119" i="17"/>
  <c r="FV119" i="17"/>
  <c r="FW119" i="17"/>
  <c r="FX119" i="17"/>
  <c r="FY119" i="17"/>
  <c r="FZ119" i="17"/>
  <c r="GA119" i="17"/>
  <c r="GB119" i="17"/>
  <c r="GC119" i="17"/>
  <c r="GD119" i="17"/>
  <c r="GE119" i="17"/>
  <c r="GF119" i="17"/>
  <c r="GG119" i="17"/>
  <c r="GH119" i="17"/>
  <c r="GI119" i="17"/>
  <c r="GJ119" i="17"/>
  <c r="GK119" i="17"/>
  <c r="GL119" i="17"/>
  <c r="GM119" i="17"/>
  <c r="GN119" i="17"/>
  <c r="GO119" i="17"/>
  <c r="GP119" i="17"/>
  <c r="GQ119" i="17"/>
  <c r="GR119" i="17"/>
  <c r="GS119" i="17"/>
  <c r="GT119" i="17"/>
  <c r="GU119" i="17"/>
  <c r="GV119" i="17"/>
  <c r="GW119" i="17"/>
  <c r="GX119" i="17"/>
  <c r="GY119" i="17"/>
  <c r="GZ119" i="17"/>
  <c r="HA119" i="17"/>
  <c r="HB119" i="17"/>
  <c r="HC119" i="17"/>
  <c r="HD119" i="17"/>
  <c r="HE119" i="17"/>
  <c r="HF119" i="17"/>
  <c r="HG119" i="17"/>
  <c r="HH119" i="17"/>
  <c r="HI119" i="17"/>
  <c r="HJ119" i="17"/>
  <c r="HK119" i="17"/>
  <c r="HL119" i="17"/>
  <c r="HM119" i="17"/>
  <c r="HN119" i="17"/>
  <c r="HO119" i="17"/>
  <c r="HP119" i="17"/>
  <c r="HQ119" i="17"/>
  <c r="HR119" i="17"/>
  <c r="HS119" i="17"/>
  <c r="HT119" i="17"/>
  <c r="HU119" i="17"/>
  <c r="HV119" i="17"/>
  <c r="HW119" i="17"/>
  <c r="HX119" i="17"/>
  <c r="HY119" i="17"/>
  <c r="HZ119" i="17"/>
  <c r="IA119" i="17"/>
  <c r="IB119" i="17"/>
  <c r="IC119" i="17"/>
  <c r="ID119" i="17"/>
  <c r="IE119" i="17"/>
  <c r="IF119" i="17"/>
  <c r="IG119" i="17"/>
  <c r="IH119" i="17"/>
  <c r="II119" i="17"/>
  <c r="IJ119" i="17"/>
  <c r="IK119" i="17"/>
  <c r="IL119" i="17"/>
  <c r="IM119" i="17"/>
  <c r="IN119" i="17"/>
  <c r="IO119" i="17"/>
  <c r="IP119" i="17"/>
  <c r="IQ119" i="17"/>
  <c r="IR119" i="17"/>
  <c r="IS119" i="17"/>
  <c r="IT119" i="17"/>
  <c r="IU119" i="17"/>
  <c r="IV119" i="17"/>
  <c r="A118" i="17"/>
  <c r="B118" i="17"/>
  <c r="C118" i="17"/>
  <c r="D118" i="17"/>
  <c r="E118" i="17"/>
  <c r="F118" i="17"/>
  <c r="G118" i="17"/>
  <c r="H118" i="17"/>
  <c r="I118" i="17"/>
  <c r="J118" i="17"/>
  <c r="K118" i="17"/>
  <c r="L118" i="17"/>
  <c r="M118" i="17"/>
  <c r="N118" i="17"/>
  <c r="O118" i="17"/>
  <c r="P118" i="17"/>
  <c r="Q118" i="17"/>
  <c r="R118" i="17"/>
  <c r="S118" i="17"/>
  <c r="T118" i="17"/>
  <c r="U118" i="17"/>
  <c r="V118" i="17"/>
  <c r="W118" i="17"/>
  <c r="X118" i="17"/>
  <c r="Y118" i="17"/>
  <c r="Z118" i="17"/>
  <c r="AA118" i="17"/>
  <c r="AB118" i="17"/>
  <c r="AC118" i="17"/>
  <c r="AD118" i="17"/>
  <c r="AE118" i="17"/>
  <c r="AF118" i="17"/>
  <c r="AG118" i="17"/>
  <c r="AH118" i="17"/>
  <c r="AI118" i="17"/>
  <c r="AJ118" i="17"/>
  <c r="AK118" i="17"/>
  <c r="AL118" i="17"/>
  <c r="AM118" i="17"/>
  <c r="AN118" i="17"/>
  <c r="AO118" i="17"/>
  <c r="AP118" i="17"/>
  <c r="AQ118" i="17"/>
  <c r="AR118" i="17"/>
  <c r="AS118" i="17"/>
  <c r="AT118" i="17"/>
  <c r="AU118" i="17"/>
  <c r="AV118" i="17"/>
  <c r="AW118" i="17"/>
  <c r="AX118" i="17"/>
  <c r="AY118" i="17"/>
  <c r="AZ118" i="17"/>
  <c r="BA118" i="17"/>
  <c r="BB118" i="17"/>
  <c r="BC118" i="17"/>
  <c r="BD118" i="17"/>
  <c r="BE118" i="17"/>
  <c r="BF118" i="17"/>
  <c r="BG118" i="17"/>
  <c r="BH118" i="17"/>
  <c r="BI118" i="17"/>
  <c r="BJ118" i="17"/>
  <c r="BK118" i="17"/>
  <c r="BL118" i="17"/>
  <c r="BM118" i="17"/>
  <c r="BN118" i="17"/>
  <c r="BO118" i="17"/>
  <c r="BP118" i="17"/>
  <c r="BQ118" i="17"/>
  <c r="BR118" i="17"/>
  <c r="BS118" i="17"/>
  <c r="BT118" i="17"/>
  <c r="BU118" i="17"/>
  <c r="BV118" i="17"/>
  <c r="BW118" i="17"/>
  <c r="BX118" i="17"/>
  <c r="BY118" i="17"/>
  <c r="BZ118" i="17"/>
  <c r="CA118" i="17"/>
  <c r="CB118" i="17"/>
  <c r="CC118" i="17"/>
  <c r="CD118" i="17"/>
  <c r="CE118" i="17"/>
  <c r="CF118" i="17"/>
  <c r="CG118" i="17"/>
  <c r="CH118" i="17"/>
  <c r="CI118" i="17"/>
  <c r="CJ118" i="17"/>
  <c r="CK118" i="17"/>
  <c r="CL118" i="17"/>
  <c r="CM118" i="17"/>
  <c r="CN118" i="17"/>
  <c r="CO118" i="17"/>
  <c r="CP118" i="17"/>
  <c r="CQ118" i="17"/>
  <c r="CR118" i="17"/>
  <c r="CS118" i="17"/>
  <c r="CT118" i="17"/>
  <c r="CU118" i="17"/>
  <c r="CV118" i="17"/>
  <c r="CW118" i="17"/>
  <c r="CX118" i="17"/>
  <c r="CY118" i="17"/>
  <c r="CZ118" i="17"/>
  <c r="DA118" i="17"/>
  <c r="DB118" i="17"/>
  <c r="DC118" i="17"/>
  <c r="DD118" i="17"/>
  <c r="DE118" i="17"/>
  <c r="DF118" i="17"/>
  <c r="DG118" i="17"/>
  <c r="DH118" i="17"/>
  <c r="DI118" i="17"/>
  <c r="DJ118" i="17"/>
  <c r="DK118" i="17"/>
  <c r="DL118" i="17"/>
  <c r="DM118" i="17"/>
  <c r="DN118" i="17"/>
  <c r="DO118" i="17"/>
  <c r="DP118" i="17"/>
  <c r="DQ118" i="17"/>
  <c r="DR118" i="17"/>
  <c r="DS118" i="17"/>
  <c r="DT118" i="17"/>
  <c r="DU118" i="17"/>
  <c r="DV118" i="17"/>
  <c r="DW118" i="17"/>
  <c r="DX118" i="17"/>
  <c r="DY118" i="17"/>
  <c r="DZ118" i="17"/>
  <c r="EA118" i="17"/>
  <c r="EB118" i="17"/>
  <c r="EC118" i="17"/>
  <c r="ED118" i="17"/>
  <c r="EE118" i="17"/>
  <c r="EF118" i="17"/>
  <c r="EG118" i="17"/>
  <c r="EH118" i="17"/>
  <c r="EI118" i="17"/>
  <c r="EJ118" i="17"/>
  <c r="EK118" i="17"/>
  <c r="EL118" i="17"/>
  <c r="EM118" i="17"/>
  <c r="EN118" i="17"/>
  <c r="EO118" i="17"/>
  <c r="EP118" i="17"/>
  <c r="EQ118" i="17"/>
  <c r="ER118" i="17"/>
  <c r="ES118" i="17"/>
  <c r="ET118" i="17"/>
  <c r="EU118" i="17"/>
  <c r="EV118" i="17"/>
  <c r="EW118" i="17"/>
  <c r="EX118" i="17"/>
  <c r="EY118" i="17"/>
  <c r="EZ118" i="17"/>
  <c r="FA118" i="17"/>
  <c r="FB118" i="17"/>
  <c r="FC118" i="17"/>
  <c r="FD118" i="17"/>
  <c r="FE118" i="17"/>
  <c r="FF118" i="17"/>
  <c r="FG118" i="17"/>
  <c r="FH118" i="17"/>
  <c r="FI118" i="17"/>
  <c r="FJ118" i="17"/>
  <c r="FK118" i="17"/>
  <c r="FL118" i="17"/>
  <c r="FM118" i="17"/>
  <c r="FN118" i="17"/>
  <c r="FO118" i="17"/>
  <c r="FP118" i="17"/>
  <c r="FQ118" i="17"/>
  <c r="FR118" i="17"/>
  <c r="FS118" i="17"/>
  <c r="FT118" i="17"/>
  <c r="FU118" i="17"/>
  <c r="FV118" i="17"/>
  <c r="FW118" i="17"/>
  <c r="FX118" i="17"/>
  <c r="FY118" i="17"/>
  <c r="FZ118" i="17"/>
  <c r="GA118" i="17"/>
  <c r="GB118" i="17"/>
  <c r="GC118" i="17"/>
  <c r="GD118" i="17"/>
  <c r="GE118" i="17"/>
  <c r="GF118" i="17"/>
  <c r="GG118" i="17"/>
  <c r="GH118" i="17"/>
  <c r="GI118" i="17"/>
  <c r="GJ118" i="17"/>
  <c r="GK118" i="17"/>
  <c r="GL118" i="17"/>
  <c r="GM118" i="17"/>
  <c r="GN118" i="17"/>
  <c r="GO118" i="17"/>
  <c r="GP118" i="17"/>
  <c r="GQ118" i="17"/>
  <c r="GR118" i="17"/>
  <c r="GS118" i="17"/>
  <c r="GT118" i="17"/>
  <c r="GU118" i="17"/>
  <c r="GV118" i="17"/>
  <c r="GW118" i="17"/>
  <c r="GX118" i="17"/>
  <c r="GY118" i="17"/>
  <c r="GZ118" i="17"/>
  <c r="HA118" i="17"/>
  <c r="HB118" i="17"/>
  <c r="HC118" i="17"/>
  <c r="HD118" i="17"/>
  <c r="HE118" i="17"/>
  <c r="HF118" i="17"/>
  <c r="HG118" i="17"/>
  <c r="HH118" i="17"/>
  <c r="HI118" i="17"/>
  <c r="HJ118" i="17"/>
  <c r="HK118" i="17"/>
  <c r="HL118" i="17"/>
  <c r="HM118" i="17"/>
  <c r="HN118" i="17"/>
  <c r="HO118" i="17"/>
  <c r="HP118" i="17"/>
  <c r="HQ118" i="17"/>
  <c r="HR118" i="17"/>
  <c r="HS118" i="17"/>
  <c r="HT118" i="17"/>
  <c r="HU118" i="17"/>
  <c r="HV118" i="17"/>
  <c r="HW118" i="17"/>
  <c r="HX118" i="17"/>
  <c r="HY118" i="17"/>
  <c r="HZ118" i="17"/>
  <c r="IA118" i="17"/>
  <c r="IB118" i="17"/>
  <c r="IC118" i="17"/>
  <c r="ID118" i="17"/>
  <c r="IE118" i="17"/>
  <c r="IF118" i="17"/>
  <c r="IG118" i="17"/>
  <c r="IH118" i="17"/>
  <c r="II118" i="17"/>
  <c r="IJ118" i="17"/>
  <c r="IK118" i="17"/>
  <c r="IL118" i="17"/>
  <c r="IM118" i="17"/>
  <c r="IN118" i="17"/>
  <c r="IO118" i="17"/>
  <c r="IP118" i="17"/>
  <c r="IQ118" i="17"/>
  <c r="IR118" i="17"/>
  <c r="IS118" i="17"/>
  <c r="IT118" i="17"/>
  <c r="IU118" i="17"/>
  <c r="IV118" i="17"/>
  <c r="A117" i="17"/>
  <c r="B117" i="17"/>
  <c r="C117" i="17"/>
  <c r="D117" i="17"/>
  <c r="E117" i="17"/>
  <c r="F117" i="17"/>
  <c r="G117" i="17"/>
  <c r="H117" i="17"/>
  <c r="I117" i="17"/>
  <c r="J117" i="17"/>
  <c r="K117" i="17"/>
  <c r="L117" i="17"/>
  <c r="M117" i="17"/>
  <c r="N117" i="17"/>
  <c r="O117" i="17"/>
  <c r="P117" i="17"/>
  <c r="Q117" i="17"/>
  <c r="R117" i="17"/>
  <c r="S117" i="17"/>
  <c r="T117" i="17"/>
  <c r="U117" i="17"/>
  <c r="V117" i="17"/>
  <c r="W117" i="17"/>
  <c r="X117" i="17"/>
  <c r="Y117" i="17"/>
  <c r="Z117" i="17"/>
  <c r="AA117" i="17"/>
  <c r="AB117" i="17"/>
  <c r="AC117" i="17"/>
  <c r="AD117" i="17"/>
  <c r="AE117" i="17"/>
  <c r="AF117" i="17"/>
  <c r="AG117" i="17"/>
  <c r="AH117" i="17"/>
  <c r="AI117" i="17"/>
  <c r="AJ117" i="17"/>
  <c r="AK117" i="17"/>
  <c r="AL117" i="17"/>
  <c r="AM117" i="17"/>
  <c r="AN117" i="17"/>
  <c r="AO117" i="17"/>
  <c r="AP117" i="17"/>
  <c r="AQ117" i="17"/>
  <c r="AR117" i="17"/>
  <c r="AS117" i="17"/>
  <c r="AT117" i="17"/>
  <c r="AU117" i="17"/>
  <c r="AV117" i="17"/>
  <c r="AW117" i="17"/>
  <c r="AX117" i="17"/>
  <c r="AY117" i="17"/>
  <c r="AZ117" i="17"/>
  <c r="BA117" i="17"/>
  <c r="BB117" i="17"/>
  <c r="BC117" i="17"/>
  <c r="BD117" i="17"/>
  <c r="BE117" i="17"/>
  <c r="BF117" i="17"/>
  <c r="BG117" i="17"/>
  <c r="BH117" i="17"/>
  <c r="BI117" i="17"/>
  <c r="BJ117" i="17"/>
  <c r="BK117" i="17"/>
  <c r="BL117" i="17"/>
  <c r="BM117" i="17"/>
  <c r="BN117" i="17"/>
  <c r="BO117" i="17"/>
  <c r="BP117" i="17"/>
  <c r="BQ117" i="17"/>
  <c r="BR117" i="17"/>
  <c r="BS117" i="17"/>
  <c r="BT117" i="17"/>
  <c r="BU117" i="17"/>
  <c r="BV117" i="17"/>
  <c r="BW117" i="17"/>
  <c r="BX117" i="17"/>
  <c r="BY117" i="17"/>
  <c r="BZ117" i="17"/>
  <c r="CA117" i="17"/>
  <c r="CB117" i="17"/>
  <c r="CC117" i="17"/>
  <c r="CD117" i="17"/>
  <c r="CE117" i="17"/>
  <c r="CF117" i="17"/>
  <c r="CG117" i="17"/>
  <c r="CH117" i="17"/>
  <c r="CI117" i="17"/>
  <c r="CJ117" i="17"/>
  <c r="CK117" i="17"/>
  <c r="CL117" i="17"/>
  <c r="CM117" i="17"/>
  <c r="CN117" i="17"/>
  <c r="CO117" i="17"/>
  <c r="CP117" i="17"/>
  <c r="CQ117" i="17"/>
  <c r="CR117" i="17"/>
  <c r="CS117" i="17"/>
  <c r="CT117" i="17"/>
  <c r="CU117" i="17"/>
  <c r="CV117" i="17"/>
  <c r="CW117" i="17"/>
  <c r="CX117" i="17"/>
  <c r="CY117" i="17"/>
  <c r="CZ117" i="17"/>
  <c r="DA117" i="17"/>
  <c r="DB117" i="17"/>
  <c r="DC117" i="17"/>
  <c r="DD117" i="17"/>
  <c r="DE117" i="17"/>
  <c r="DF117" i="17"/>
  <c r="DG117" i="17"/>
  <c r="DH117" i="17"/>
  <c r="DI117" i="17"/>
  <c r="DJ117" i="17"/>
  <c r="DK117" i="17"/>
  <c r="DL117" i="17"/>
  <c r="DM117" i="17"/>
  <c r="DN117" i="17"/>
  <c r="DO117" i="17"/>
  <c r="DP117" i="17"/>
  <c r="DQ117" i="17"/>
  <c r="DR117" i="17"/>
  <c r="DS117" i="17"/>
  <c r="DT117" i="17"/>
  <c r="DU117" i="17"/>
  <c r="DV117" i="17"/>
  <c r="DW117" i="17"/>
  <c r="DX117" i="17"/>
  <c r="DY117" i="17"/>
  <c r="DZ117" i="17"/>
  <c r="EA117" i="17"/>
  <c r="EB117" i="17"/>
  <c r="EC117" i="17"/>
  <c r="ED117" i="17"/>
  <c r="EE117" i="17"/>
  <c r="EF117" i="17"/>
  <c r="EG117" i="17"/>
  <c r="EH117" i="17"/>
  <c r="EI117" i="17"/>
  <c r="EJ117" i="17"/>
  <c r="EK117" i="17"/>
  <c r="EL117" i="17"/>
  <c r="EM117" i="17"/>
  <c r="EN117" i="17"/>
  <c r="EO117" i="17"/>
  <c r="EP117" i="17"/>
  <c r="EQ117" i="17"/>
  <c r="ER117" i="17"/>
  <c r="ES117" i="17"/>
  <c r="ET117" i="17"/>
  <c r="EU117" i="17"/>
  <c r="EV117" i="17"/>
  <c r="EW117" i="17"/>
  <c r="EX117" i="17"/>
  <c r="EY117" i="17"/>
  <c r="EZ117" i="17"/>
  <c r="FA117" i="17"/>
  <c r="FB117" i="17"/>
  <c r="FC117" i="17"/>
  <c r="FD117" i="17"/>
  <c r="FE117" i="17"/>
  <c r="FF117" i="17"/>
  <c r="FG117" i="17"/>
  <c r="FH117" i="17"/>
  <c r="FI117" i="17"/>
  <c r="FJ117" i="17"/>
  <c r="FK117" i="17"/>
  <c r="FL117" i="17"/>
  <c r="FM117" i="17"/>
  <c r="FN117" i="17"/>
  <c r="FO117" i="17"/>
  <c r="FP117" i="17"/>
  <c r="FQ117" i="17"/>
  <c r="FR117" i="17"/>
  <c r="FS117" i="17"/>
  <c r="FT117" i="17"/>
  <c r="FU117" i="17"/>
  <c r="FV117" i="17"/>
  <c r="FW117" i="17"/>
  <c r="FX117" i="17"/>
  <c r="FY117" i="17"/>
  <c r="FZ117" i="17"/>
  <c r="GA117" i="17"/>
  <c r="GB117" i="17"/>
  <c r="GC117" i="17"/>
  <c r="GD117" i="17"/>
  <c r="GE117" i="17"/>
  <c r="GF117" i="17"/>
  <c r="GG117" i="17"/>
  <c r="GH117" i="17"/>
  <c r="GI117" i="17"/>
  <c r="GJ117" i="17"/>
  <c r="GK117" i="17"/>
  <c r="GL117" i="17"/>
  <c r="GM117" i="17"/>
  <c r="GN117" i="17"/>
  <c r="GO117" i="17"/>
  <c r="GP117" i="17"/>
  <c r="GQ117" i="17"/>
  <c r="GR117" i="17"/>
  <c r="GS117" i="17"/>
  <c r="GT117" i="17"/>
  <c r="GU117" i="17"/>
  <c r="GV117" i="17"/>
  <c r="GW117" i="17"/>
  <c r="GX117" i="17"/>
  <c r="GY117" i="17"/>
  <c r="GZ117" i="17"/>
  <c r="HA117" i="17"/>
  <c r="HB117" i="17"/>
  <c r="HC117" i="17"/>
  <c r="HD117" i="17"/>
  <c r="HE117" i="17"/>
  <c r="HF117" i="17"/>
  <c r="HG117" i="17"/>
  <c r="HH117" i="17"/>
  <c r="HI117" i="17"/>
  <c r="HJ117" i="17"/>
  <c r="HK117" i="17"/>
  <c r="HL117" i="17"/>
  <c r="HM117" i="17"/>
  <c r="HN117" i="17"/>
  <c r="HO117" i="17"/>
  <c r="HP117" i="17"/>
  <c r="HQ117" i="17"/>
  <c r="HR117" i="17"/>
  <c r="HS117" i="17"/>
  <c r="HT117" i="17"/>
  <c r="HU117" i="17"/>
  <c r="HV117" i="17"/>
  <c r="HW117" i="17"/>
  <c r="HX117" i="17"/>
  <c r="HY117" i="17"/>
  <c r="HZ117" i="17"/>
  <c r="IA117" i="17"/>
  <c r="IB117" i="17"/>
  <c r="IC117" i="17"/>
  <c r="ID117" i="17"/>
  <c r="IE117" i="17"/>
  <c r="IF117" i="17"/>
  <c r="IG117" i="17"/>
  <c r="IH117" i="17"/>
  <c r="II117" i="17"/>
  <c r="IJ117" i="17"/>
  <c r="IK117" i="17"/>
  <c r="IL117" i="17"/>
  <c r="IM117" i="17"/>
  <c r="IN117" i="17"/>
  <c r="IO117" i="17"/>
  <c r="IP117" i="17"/>
  <c r="IQ117" i="17"/>
  <c r="IR117" i="17"/>
  <c r="IS117" i="17"/>
  <c r="IT117" i="17"/>
  <c r="IU117" i="17"/>
  <c r="IV117" i="17"/>
  <c r="A116" i="17"/>
  <c r="B116" i="17"/>
  <c r="C116" i="17"/>
  <c r="D116" i="17"/>
  <c r="E116" i="17"/>
  <c r="F116" i="17"/>
  <c r="G116" i="17"/>
  <c r="H116" i="17"/>
  <c r="I116" i="17"/>
  <c r="J116" i="17"/>
  <c r="K116" i="17"/>
  <c r="L116" i="17"/>
  <c r="M116" i="17"/>
  <c r="N116" i="17"/>
  <c r="O116" i="17"/>
  <c r="P116" i="17"/>
  <c r="Q116" i="17"/>
  <c r="R116" i="17"/>
  <c r="S116" i="17"/>
  <c r="T116" i="17"/>
  <c r="U116" i="17"/>
  <c r="V116" i="17"/>
  <c r="W116" i="17"/>
  <c r="X116" i="17"/>
  <c r="Y116" i="17"/>
  <c r="Z116" i="17"/>
  <c r="AA116" i="17"/>
  <c r="AB116" i="17"/>
  <c r="AC116" i="17"/>
  <c r="AD116" i="17"/>
  <c r="AE116" i="17"/>
  <c r="AF116" i="17"/>
  <c r="AG116" i="17"/>
  <c r="AH116" i="17"/>
  <c r="AI116" i="17"/>
  <c r="AJ116" i="17"/>
  <c r="AK116" i="17"/>
  <c r="AL116" i="17"/>
  <c r="AM116" i="17"/>
  <c r="AN116" i="17"/>
  <c r="AO116" i="17"/>
  <c r="AP116" i="17"/>
  <c r="AQ116" i="17"/>
  <c r="AR116" i="17"/>
  <c r="AS116" i="17"/>
  <c r="AT116" i="17"/>
  <c r="AU116" i="17"/>
  <c r="AV116" i="17"/>
  <c r="AW116" i="17"/>
  <c r="AX116" i="17"/>
  <c r="AY116" i="17"/>
  <c r="AZ116" i="17"/>
  <c r="BA116" i="17"/>
  <c r="BB116" i="17"/>
  <c r="BC116" i="17"/>
  <c r="BD116" i="17"/>
  <c r="BE116" i="17"/>
  <c r="BF116" i="17"/>
  <c r="BG116" i="17"/>
  <c r="BH116" i="17"/>
  <c r="BI116" i="17"/>
  <c r="BJ116" i="17"/>
  <c r="BK116" i="17"/>
  <c r="BL116" i="17"/>
  <c r="BM116" i="17"/>
  <c r="BN116" i="17"/>
  <c r="BO116" i="17"/>
  <c r="BP116" i="17"/>
  <c r="BQ116" i="17"/>
  <c r="BR116" i="17"/>
  <c r="BS116" i="17"/>
  <c r="BT116" i="17"/>
  <c r="BU116" i="17"/>
  <c r="BV116" i="17"/>
  <c r="BW116" i="17"/>
  <c r="BX116" i="17"/>
  <c r="BY116" i="17"/>
  <c r="BZ116" i="17"/>
  <c r="CA116" i="17"/>
  <c r="CB116" i="17"/>
  <c r="CC116" i="17"/>
  <c r="CD116" i="17"/>
  <c r="CE116" i="17"/>
  <c r="CF116" i="17"/>
  <c r="CG116" i="17"/>
  <c r="CH116" i="17"/>
  <c r="CI116" i="17"/>
  <c r="CJ116" i="17"/>
  <c r="CK116" i="17"/>
  <c r="CL116" i="17"/>
  <c r="CM116" i="17"/>
  <c r="CN116" i="17"/>
  <c r="CO116" i="17"/>
  <c r="CP116" i="17"/>
  <c r="CQ116" i="17"/>
  <c r="CR116" i="17"/>
  <c r="CS116" i="17"/>
  <c r="CT116" i="17"/>
  <c r="CU116" i="17"/>
  <c r="CV116" i="17"/>
  <c r="CW116" i="17"/>
  <c r="CX116" i="17"/>
  <c r="CY116" i="17"/>
  <c r="CZ116" i="17"/>
  <c r="DA116" i="17"/>
  <c r="DB116" i="17"/>
  <c r="DC116" i="17"/>
  <c r="DD116" i="17"/>
  <c r="DE116" i="17"/>
  <c r="DF116" i="17"/>
  <c r="DG116" i="17"/>
  <c r="DH116" i="17"/>
  <c r="DI116" i="17"/>
  <c r="DJ116" i="17"/>
  <c r="DK116" i="17"/>
  <c r="DL116" i="17"/>
  <c r="DM116" i="17"/>
  <c r="DN116" i="17"/>
  <c r="DO116" i="17"/>
  <c r="DP116" i="17"/>
  <c r="DQ116" i="17"/>
  <c r="DR116" i="17"/>
  <c r="DS116" i="17"/>
  <c r="DT116" i="17"/>
  <c r="DU116" i="17"/>
  <c r="DV116" i="17"/>
  <c r="DW116" i="17"/>
  <c r="DX116" i="17"/>
  <c r="DY116" i="17"/>
  <c r="DZ116" i="17"/>
  <c r="EA116" i="17"/>
  <c r="EB116" i="17"/>
  <c r="EC116" i="17"/>
  <c r="ED116" i="17"/>
  <c r="EE116" i="17"/>
  <c r="EF116" i="17"/>
  <c r="EG116" i="17"/>
  <c r="EH116" i="17"/>
  <c r="EI116" i="17"/>
  <c r="EJ116" i="17"/>
  <c r="EK116" i="17"/>
  <c r="EL116" i="17"/>
  <c r="EM116" i="17"/>
  <c r="EN116" i="17"/>
  <c r="EO116" i="17"/>
  <c r="EP116" i="17"/>
  <c r="EQ116" i="17"/>
  <c r="ER116" i="17"/>
  <c r="ES116" i="17"/>
  <c r="ET116" i="17"/>
  <c r="EU116" i="17"/>
  <c r="EV116" i="17"/>
  <c r="EW116" i="17"/>
  <c r="EX116" i="17"/>
  <c r="EY116" i="17"/>
  <c r="EZ116" i="17"/>
  <c r="FA116" i="17"/>
  <c r="FB116" i="17"/>
  <c r="FC116" i="17"/>
  <c r="FD116" i="17"/>
  <c r="FE116" i="17"/>
  <c r="FF116" i="17"/>
  <c r="FG116" i="17"/>
  <c r="FH116" i="17"/>
  <c r="FI116" i="17"/>
  <c r="FJ116" i="17"/>
  <c r="FK116" i="17"/>
  <c r="FL116" i="17"/>
  <c r="FM116" i="17"/>
  <c r="FN116" i="17"/>
  <c r="FO116" i="17"/>
  <c r="FP116" i="17"/>
  <c r="FQ116" i="17"/>
  <c r="FR116" i="17"/>
  <c r="FS116" i="17"/>
  <c r="FT116" i="17"/>
  <c r="FU116" i="17"/>
  <c r="FV116" i="17"/>
  <c r="FW116" i="17"/>
  <c r="FX116" i="17"/>
  <c r="FY116" i="17"/>
  <c r="FZ116" i="17"/>
  <c r="GA116" i="17"/>
  <c r="GB116" i="17"/>
  <c r="GC116" i="17"/>
  <c r="GD116" i="17"/>
  <c r="GE116" i="17"/>
  <c r="GF116" i="17"/>
  <c r="GG116" i="17"/>
  <c r="GH116" i="17"/>
  <c r="GI116" i="17"/>
  <c r="GJ116" i="17"/>
  <c r="GK116" i="17"/>
  <c r="GL116" i="17"/>
  <c r="GM116" i="17"/>
  <c r="GN116" i="17"/>
  <c r="GO116" i="17"/>
  <c r="GP116" i="17"/>
  <c r="GQ116" i="17"/>
  <c r="GR116" i="17"/>
  <c r="GS116" i="17"/>
  <c r="GT116" i="17"/>
  <c r="GU116" i="17"/>
  <c r="GV116" i="17"/>
  <c r="GW116" i="17"/>
  <c r="GX116" i="17"/>
  <c r="GY116" i="17"/>
  <c r="GZ116" i="17"/>
  <c r="HA116" i="17"/>
  <c r="HB116" i="17"/>
  <c r="HC116" i="17"/>
  <c r="HD116" i="17"/>
  <c r="HE116" i="17"/>
  <c r="HF116" i="17"/>
  <c r="HG116" i="17"/>
  <c r="HH116" i="17"/>
  <c r="HI116" i="17"/>
  <c r="HJ116" i="17"/>
  <c r="HK116" i="17"/>
  <c r="HL116" i="17"/>
  <c r="HM116" i="17"/>
  <c r="HN116" i="17"/>
  <c r="HO116" i="17"/>
  <c r="HP116" i="17"/>
  <c r="HQ116" i="17"/>
  <c r="HR116" i="17"/>
  <c r="HS116" i="17"/>
  <c r="HT116" i="17"/>
  <c r="HU116" i="17"/>
  <c r="HV116" i="17"/>
  <c r="HW116" i="17"/>
  <c r="HX116" i="17"/>
  <c r="HY116" i="17"/>
  <c r="HZ116" i="17"/>
  <c r="IA116" i="17"/>
  <c r="IB116" i="17"/>
  <c r="IC116" i="17"/>
  <c r="ID116" i="17"/>
  <c r="IE116" i="17"/>
  <c r="IF116" i="17"/>
  <c r="IG116" i="17"/>
  <c r="IH116" i="17"/>
  <c r="II116" i="17"/>
  <c r="IJ116" i="17"/>
  <c r="IK116" i="17"/>
  <c r="IL116" i="17"/>
  <c r="IM116" i="17"/>
  <c r="IN116" i="17"/>
  <c r="IO116" i="17"/>
  <c r="IP116" i="17"/>
  <c r="IQ116" i="17"/>
  <c r="IR116" i="17"/>
  <c r="IS116" i="17"/>
  <c r="IT116" i="17"/>
  <c r="IU116" i="17"/>
  <c r="IV116" i="17"/>
  <c r="A115" i="17"/>
  <c r="B115" i="17"/>
  <c r="C115" i="17"/>
  <c r="D115" i="17"/>
  <c r="E115" i="17"/>
  <c r="F115" i="17"/>
  <c r="G115" i="17"/>
  <c r="H115" i="17"/>
  <c r="I115" i="17"/>
  <c r="J115" i="17"/>
  <c r="K115" i="17"/>
  <c r="L115" i="17"/>
  <c r="M115" i="17"/>
  <c r="N115" i="17"/>
  <c r="O115" i="17"/>
  <c r="P115" i="17"/>
  <c r="Q115" i="17"/>
  <c r="R115" i="17"/>
  <c r="S115" i="17"/>
  <c r="T115" i="17"/>
  <c r="U115" i="17"/>
  <c r="V115" i="17"/>
  <c r="W115" i="17"/>
  <c r="X115" i="17"/>
  <c r="Y115" i="17"/>
  <c r="Z115" i="17"/>
  <c r="AA115" i="17"/>
  <c r="AB115" i="17"/>
  <c r="AC115" i="17"/>
  <c r="AD115" i="17"/>
  <c r="AE115" i="17"/>
  <c r="AF115" i="17"/>
  <c r="AG115" i="17"/>
  <c r="AH115" i="17"/>
  <c r="AI115" i="17"/>
  <c r="AJ115" i="17"/>
  <c r="AK115" i="17"/>
  <c r="AL115" i="17"/>
  <c r="AM115" i="17"/>
  <c r="AN115" i="17"/>
  <c r="AO115" i="17"/>
  <c r="AP115" i="17"/>
  <c r="AQ115" i="17"/>
  <c r="AR115" i="17"/>
  <c r="AS115" i="17"/>
  <c r="AT115" i="17"/>
  <c r="AU115" i="17"/>
  <c r="AV115" i="17"/>
  <c r="AW115" i="17"/>
  <c r="AX115" i="17"/>
  <c r="AY115" i="17"/>
  <c r="AZ115" i="17"/>
  <c r="BA115" i="17"/>
  <c r="BB115" i="17"/>
  <c r="BC115" i="17"/>
  <c r="BD115" i="17"/>
  <c r="BE115" i="17"/>
  <c r="BF115" i="17"/>
  <c r="BG115" i="17"/>
  <c r="BH115" i="17"/>
  <c r="BI115" i="17"/>
  <c r="BJ115" i="17"/>
  <c r="BK115" i="17"/>
  <c r="BL115" i="17"/>
  <c r="BM115" i="17"/>
  <c r="BN115" i="17"/>
  <c r="BO115" i="17"/>
  <c r="BP115" i="17"/>
  <c r="BQ115" i="17"/>
  <c r="BR115" i="17"/>
  <c r="BS115" i="17"/>
  <c r="BT115" i="17"/>
  <c r="BU115" i="17"/>
  <c r="BV115" i="17"/>
  <c r="BW115" i="17"/>
  <c r="BX115" i="17"/>
  <c r="BY115" i="17"/>
  <c r="BZ115" i="17"/>
  <c r="CA115" i="17"/>
  <c r="CB115" i="17"/>
  <c r="CC115" i="17"/>
  <c r="CD115" i="17"/>
  <c r="CE115" i="17"/>
  <c r="CF115" i="17"/>
  <c r="CG115" i="17"/>
  <c r="CH115" i="17"/>
  <c r="CI115" i="17"/>
  <c r="CJ115" i="17"/>
  <c r="CK115" i="17"/>
  <c r="CL115" i="17"/>
  <c r="CM115" i="17"/>
  <c r="CN115" i="17"/>
  <c r="CO115" i="17"/>
  <c r="CP115" i="17"/>
  <c r="CQ115" i="17"/>
  <c r="CR115" i="17"/>
  <c r="CS115" i="17"/>
  <c r="CT115" i="17"/>
  <c r="CU115" i="17"/>
  <c r="CV115" i="17"/>
  <c r="CW115" i="17"/>
  <c r="CX115" i="17"/>
  <c r="CY115" i="17"/>
  <c r="CZ115" i="17"/>
  <c r="DA115" i="17"/>
  <c r="DB115" i="17"/>
  <c r="DC115" i="17"/>
  <c r="DD115" i="17"/>
  <c r="DE115" i="17"/>
  <c r="DF115" i="17"/>
  <c r="DG115" i="17"/>
  <c r="DH115" i="17"/>
  <c r="DI115" i="17"/>
  <c r="DJ115" i="17"/>
  <c r="DK115" i="17"/>
  <c r="DL115" i="17"/>
  <c r="DM115" i="17"/>
  <c r="DN115" i="17"/>
  <c r="DO115" i="17"/>
  <c r="DP115" i="17"/>
  <c r="DQ115" i="17"/>
  <c r="DR115" i="17"/>
  <c r="DS115" i="17"/>
  <c r="DT115" i="17"/>
  <c r="DU115" i="17"/>
  <c r="DV115" i="17"/>
  <c r="DW115" i="17"/>
  <c r="DX115" i="17"/>
  <c r="DY115" i="17"/>
  <c r="DZ115" i="17"/>
  <c r="EA115" i="17"/>
  <c r="EB115" i="17"/>
  <c r="EC115" i="17"/>
  <c r="ED115" i="17"/>
  <c r="EE115" i="17"/>
  <c r="EF115" i="17"/>
  <c r="EG115" i="17"/>
  <c r="EH115" i="17"/>
  <c r="EI115" i="17"/>
  <c r="EJ115" i="17"/>
  <c r="EK115" i="17"/>
  <c r="EL115" i="17"/>
  <c r="EM115" i="17"/>
  <c r="EN115" i="17"/>
  <c r="EO115" i="17"/>
  <c r="EP115" i="17"/>
  <c r="EQ115" i="17"/>
  <c r="ER115" i="17"/>
  <c r="ES115" i="17"/>
  <c r="ET115" i="17"/>
  <c r="EU115" i="17"/>
  <c r="EV115" i="17"/>
  <c r="EW115" i="17"/>
  <c r="EX115" i="17"/>
  <c r="EY115" i="17"/>
  <c r="EZ115" i="17"/>
  <c r="FA115" i="17"/>
  <c r="FB115" i="17"/>
  <c r="FC115" i="17"/>
  <c r="FD115" i="17"/>
  <c r="FE115" i="17"/>
  <c r="FF115" i="17"/>
  <c r="FG115" i="17"/>
  <c r="FH115" i="17"/>
  <c r="FI115" i="17"/>
  <c r="FJ115" i="17"/>
  <c r="FK115" i="17"/>
  <c r="FL115" i="17"/>
  <c r="FM115" i="17"/>
  <c r="FN115" i="17"/>
  <c r="FO115" i="17"/>
  <c r="FP115" i="17"/>
  <c r="FQ115" i="17"/>
  <c r="FR115" i="17"/>
  <c r="FS115" i="17"/>
  <c r="FT115" i="17"/>
  <c r="FU115" i="17"/>
  <c r="FV115" i="17"/>
  <c r="FW115" i="17"/>
  <c r="FX115" i="17"/>
  <c r="FY115" i="17"/>
  <c r="FZ115" i="17"/>
  <c r="GA115" i="17"/>
  <c r="GB115" i="17"/>
  <c r="GC115" i="17"/>
  <c r="GD115" i="17"/>
  <c r="GE115" i="17"/>
  <c r="GF115" i="17"/>
  <c r="GG115" i="17"/>
  <c r="GH115" i="17"/>
  <c r="GI115" i="17"/>
  <c r="GJ115" i="17"/>
  <c r="GK115" i="17"/>
  <c r="GL115" i="17"/>
  <c r="GM115" i="17"/>
  <c r="GN115" i="17"/>
  <c r="GO115" i="17"/>
  <c r="GP115" i="17"/>
  <c r="GQ115" i="17"/>
  <c r="GR115" i="17"/>
  <c r="GS115" i="17"/>
  <c r="GT115" i="17"/>
  <c r="GU115" i="17"/>
  <c r="GV115" i="17"/>
  <c r="GW115" i="17"/>
  <c r="GX115" i="17"/>
  <c r="GY115" i="17"/>
  <c r="GZ115" i="17"/>
  <c r="HA115" i="17"/>
  <c r="HB115" i="17"/>
  <c r="HC115" i="17"/>
  <c r="HD115" i="17"/>
  <c r="HE115" i="17"/>
  <c r="HF115" i="17"/>
  <c r="HG115" i="17"/>
  <c r="HH115" i="17"/>
  <c r="HI115" i="17"/>
  <c r="HJ115" i="17"/>
  <c r="HK115" i="17"/>
  <c r="HL115" i="17"/>
  <c r="HM115" i="17"/>
  <c r="HN115" i="17"/>
  <c r="HO115" i="17"/>
  <c r="HP115" i="17"/>
  <c r="HQ115" i="17"/>
  <c r="HR115" i="17"/>
  <c r="HS115" i="17"/>
  <c r="HT115" i="17"/>
  <c r="HU115" i="17"/>
  <c r="HV115" i="17"/>
  <c r="HW115" i="17"/>
  <c r="HX115" i="17"/>
  <c r="HY115" i="17"/>
  <c r="HZ115" i="17"/>
  <c r="IA115" i="17"/>
  <c r="IB115" i="17"/>
  <c r="IC115" i="17"/>
  <c r="ID115" i="17"/>
  <c r="IE115" i="17"/>
  <c r="IF115" i="17"/>
  <c r="IG115" i="17"/>
  <c r="IH115" i="17"/>
  <c r="II115" i="17"/>
  <c r="IJ115" i="17"/>
  <c r="IK115" i="17"/>
  <c r="IL115" i="17"/>
  <c r="IM115" i="17"/>
  <c r="IN115" i="17"/>
  <c r="IO115" i="17"/>
  <c r="IP115" i="17"/>
  <c r="IQ115" i="17"/>
  <c r="IR115" i="17"/>
  <c r="IS115" i="17"/>
  <c r="IT115" i="17"/>
  <c r="IU115" i="17"/>
  <c r="IV115" i="17"/>
  <c r="A114" i="17"/>
  <c r="B114" i="17"/>
  <c r="C114" i="17"/>
  <c r="D114" i="17"/>
  <c r="E114" i="17"/>
  <c r="F114" i="17"/>
  <c r="G114" i="17"/>
  <c r="H114" i="17"/>
  <c r="I114" i="17"/>
  <c r="J114" i="17"/>
  <c r="K114" i="17"/>
  <c r="L114" i="17"/>
  <c r="M114" i="17"/>
  <c r="N114" i="17"/>
  <c r="O114" i="17"/>
  <c r="P114" i="17"/>
  <c r="Q114" i="17"/>
  <c r="R114" i="17"/>
  <c r="S114" i="17"/>
  <c r="T114" i="17"/>
  <c r="U114" i="17"/>
  <c r="V114" i="17"/>
  <c r="W114" i="17"/>
  <c r="X114" i="17"/>
  <c r="Y114" i="17"/>
  <c r="Z114" i="17"/>
  <c r="AA114" i="17"/>
  <c r="AB114" i="17"/>
  <c r="AC114" i="17"/>
  <c r="AD114" i="17"/>
  <c r="AE114" i="17"/>
  <c r="AF114" i="17"/>
  <c r="AG114" i="17"/>
  <c r="AH114" i="17"/>
  <c r="AI114" i="17"/>
  <c r="AJ114" i="17"/>
  <c r="AK114" i="17"/>
  <c r="AL114" i="17"/>
  <c r="AM114" i="17"/>
  <c r="AN114" i="17"/>
  <c r="AO114" i="17"/>
  <c r="AP114" i="17"/>
  <c r="AQ114" i="17"/>
  <c r="AR114" i="17"/>
  <c r="AS114" i="17"/>
  <c r="AT114" i="17"/>
  <c r="AU114" i="17"/>
  <c r="AV114" i="17"/>
  <c r="AW114" i="17"/>
  <c r="AX114" i="17"/>
  <c r="AY114" i="17"/>
  <c r="AZ114" i="17"/>
  <c r="BA114" i="17"/>
  <c r="BB114" i="17"/>
  <c r="BC114" i="17"/>
  <c r="BD114" i="17"/>
  <c r="BE114" i="17"/>
  <c r="BF114" i="17"/>
  <c r="BG114" i="17"/>
  <c r="BH114" i="17"/>
  <c r="BI114" i="17"/>
  <c r="BJ114" i="17"/>
  <c r="BK114" i="17"/>
  <c r="BL114" i="17"/>
  <c r="BM114" i="17"/>
  <c r="BN114" i="17"/>
  <c r="BO114" i="17"/>
  <c r="BP114" i="17"/>
  <c r="BQ114" i="17"/>
  <c r="BR114" i="17"/>
  <c r="BS114" i="17"/>
  <c r="BT114" i="17"/>
  <c r="BU114" i="17"/>
  <c r="BV114" i="17"/>
  <c r="BW114" i="17"/>
  <c r="BX114" i="17"/>
  <c r="BY114" i="17"/>
  <c r="BZ114" i="17"/>
  <c r="CA114" i="17"/>
  <c r="CB114" i="17"/>
  <c r="CC114" i="17"/>
  <c r="CD114" i="17"/>
  <c r="CE114" i="17"/>
  <c r="CF114" i="17"/>
  <c r="CG114" i="17"/>
  <c r="CH114" i="17"/>
  <c r="CI114" i="17"/>
  <c r="CJ114" i="17"/>
  <c r="CK114" i="17"/>
  <c r="CL114" i="17"/>
  <c r="CM114" i="17"/>
  <c r="CN114" i="17"/>
  <c r="CO114" i="17"/>
  <c r="CP114" i="17"/>
  <c r="CQ114" i="17"/>
  <c r="CR114" i="17"/>
  <c r="CS114" i="17"/>
  <c r="CT114" i="17"/>
  <c r="CU114" i="17"/>
  <c r="CV114" i="17"/>
  <c r="CW114" i="17"/>
  <c r="CX114" i="17"/>
  <c r="CY114" i="17"/>
  <c r="CZ114" i="17"/>
  <c r="DA114" i="17"/>
  <c r="DB114" i="17"/>
  <c r="DC114" i="17"/>
  <c r="DD114" i="17"/>
  <c r="DE114" i="17"/>
  <c r="DF114" i="17"/>
  <c r="DG114" i="17"/>
  <c r="DH114" i="17"/>
  <c r="DI114" i="17"/>
  <c r="DJ114" i="17"/>
  <c r="DK114" i="17"/>
  <c r="DL114" i="17"/>
  <c r="DM114" i="17"/>
  <c r="DN114" i="17"/>
  <c r="DO114" i="17"/>
  <c r="DP114" i="17"/>
  <c r="DQ114" i="17"/>
  <c r="DR114" i="17"/>
  <c r="DS114" i="17"/>
  <c r="DT114" i="17"/>
  <c r="DU114" i="17"/>
  <c r="DV114" i="17"/>
  <c r="DW114" i="17"/>
  <c r="DX114" i="17"/>
  <c r="DY114" i="17"/>
  <c r="DZ114" i="17"/>
  <c r="EA114" i="17"/>
  <c r="EB114" i="17"/>
  <c r="EC114" i="17"/>
  <c r="ED114" i="17"/>
  <c r="EE114" i="17"/>
  <c r="EF114" i="17"/>
  <c r="EG114" i="17"/>
  <c r="EH114" i="17"/>
  <c r="EI114" i="17"/>
  <c r="EJ114" i="17"/>
  <c r="EK114" i="17"/>
  <c r="EL114" i="17"/>
  <c r="EM114" i="17"/>
  <c r="EN114" i="17"/>
  <c r="EO114" i="17"/>
  <c r="EP114" i="17"/>
  <c r="EQ114" i="17"/>
  <c r="ER114" i="17"/>
  <c r="ES114" i="17"/>
  <c r="ET114" i="17"/>
  <c r="EU114" i="17"/>
  <c r="EV114" i="17"/>
  <c r="EW114" i="17"/>
  <c r="EX114" i="17"/>
  <c r="EY114" i="17"/>
  <c r="EZ114" i="17"/>
  <c r="FA114" i="17"/>
  <c r="FB114" i="17"/>
  <c r="FC114" i="17"/>
  <c r="FD114" i="17"/>
  <c r="FE114" i="17"/>
  <c r="FF114" i="17"/>
  <c r="FG114" i="17"/>
  <c r="FH114" i="17"/>
  <c r="FI114" i="17"/>
  <c r="FJ114" i="17"/>
  <c r="FK114" i="17"/>
  <c r="FL114" i="17"/>
  <c r="FM114" i="17"/>
  <c r="FN114" i="17"/>
  <c r="FO114" i="17"/>
  <c r="FP114" i="17"/>
  <c r="FQ114" i="17"/>
  <c r="FR114" i="17"/>
  <c r="FS114" i="17"/>
  <c r="FT114" i="17"/>
  <c r="FU114" i="17"/>
  <c r="FV114" i="17"/>
  <c r="FW114" i="17"/>
  <c r="FX114" i="17"/>
  <c r="FY114" i="17"/>
  <c r="FZ114" i="17"/>
  <c r="GA114" i="17"/>
  <c r="GB114" i="17"/>
  <c r="GC114" i="17"/>
  <c r="GD114" i="17"/>
  <c r="GE114" i="17"/>
  <c r="GF114" i="17"/>
  <c r="GG114" i="17"/>
  <c r="GH114" i="17"/>
  <c r="GI114" i="17"/>
  <c r="GJ114" i="17"/>
  <c r="GK114" i="17"/>
  <c r="GL114" i="17"/>
  <c r="GM114" i="17"/>
  <c r="GN114" i="17"/>
  <c r="GO114" i="17"/>
  <c r="GP114" i="17"/>
  <c r="GQ114" i="17"/>
  <c r="GR114" i="17"/>
  <c r="GS114" i="17"/>
  <c r="GT114" i="17"/>
  <c r="GU114" i="17"/>
  <c r="GV114" i="17"/>
  <c r="GW114" i="17"/>
  <c r="GX114" i="17"/>
  <c r="GY114" i="17"/>
  <c r="GZ114" i="17"/>
  <c r="HA114" i="17"/>
  <c r="HB114" i="17"/>
  <c r="HC114" i="17"/>
  <c r="HD114" i="17"/>
  <c r="HE114" i="17"/>
  <c r="HF114" i="17"/>
  <c r="HG114" i="17"/>
  <c r="HH114" i="17"/>
  <c r="HI114" i="17"/>
  <c r="HJ114" i="17"/>
  <c r="HK114" i="17"/>
  <c r="HL114" i="17"/>
  <c r="HM114" i="17"/>
  <c r="HN114" i="17"/>
  <c r="HO114" i="17"/>
  <c r="HP114" i="17"/>
  <c r="HQ114" i="17"/>
  <c r="HR114" i="17"/>
  <c r="HS114" i="17"/>
  <c r="HT114" i="17"/>
  <c r="HU114" i="17"/>
  <c r="HV114" i="17"/>
  <c r="HW114" i="17"/>
  <c r="HX114" i="17"/>
  <c r="HY114" i="17"/>
  <c r="HZ114" i="17"/>
  <c r="IA114" i="17"/>
  <c r="IB114" i="17"/>
  <c r="IC114" i="17"/>
  <c r="ID114" i="17"/>
  <c r="IE114" i="17"/>
  <c r="IF114" i="17"/>
  <c r="IG114" i="17"/>
  <c r="IH114" i="17"/>
  <c r="II114" i="17"/>
  <c r="IJ114" i="17"/>
  <c r="IK114" i="17"/>
  <c r="IL114" i="17"/>
  <c r="IM114" i="17"/>
  <c r="IN114" i="17"/>
  <c r="IO114" i="17"/>
  <c r="IP114" i="17"/>
  <c r="IQ114" i="17"/>
  <c r="IR114" i="17"/>
  <c r="IS114" i="17"/>
  <c r="IT114" i="17"/>
  <c r="IU114" i="17"/>
  <c r="IV114" i="17"/>
  <c r="A113" i="17"/>
  <c r="B113" i="17"/>
  <c r="C113" i="17"/>
  <c r="D113" i="17"/>
  <c r="E113" i="17"/>
  <c r="F113" i="17"/>
  <c r="G113" i="17"/>
  <c r="H113" i="17"/>
  <c r="I113" i="17"/>
  <c r="J113" i="17"/>
  <c r="K113" i="17"/>
  <c r="L113" i="17"/>
  <c r="M113" i="17"/>
  <c r="N113" i="17"/>
  <c r="O113" i="17"/>
  <c r="P113" i="17"/>
  <c r="Q113" i="17"/>
  <c r="R113" i="17"/>
  <c r="S113" i="17"/>
  <c r="T113" i="17"/>
  <c r="U113" i="17"/>
  <c r="V113" i="17"/>
  <c r="W113" i="17"/>
  <c r="X113" i="17"/>
  <c r="Y113" i="17"/>
  <c r="Z113" i="17"/>
  <c r="AA113" i="17"/>
  <c r="AB113" i="17"/>
  <c r="AC113" i="17"/>
  <c r="AD113" i="17"/>
  <c r="AE113" i="17"/>
  <c r="AF113" i="17"/>
  <c r="AG113" i="17"/>
  <c r="AH113" i="17"/>
  <c r="AI113" i="17"/>
  <c r="AJ113" i="17"/>
  <c r="AK113" i="17"/>
  <c r="AL113" i="17"/>
  <c r="AM113" i="17"/>
  <c r="AN113" i="17"/>
  <c r="AO113" i="17"/>
  <c r="AP113" i="17"/>
  <c r="AQ113" i="17"/>
  <c r="AR113" i="17"/>
  <c r="AS113" i="17"/>
  <c r="AT113" i="17"/>
  <c r="AU113" i="17"/>
  <c r="AV113" i="17"/>
  <c r="AW113" i="17"/>
  <c r="AX113" i="17"/>
  <c r="AY113" i="17"/>
  <c r="AZ113" i="17"/>
  <c r="BA113" i="17"/>
  <c r="BB113" i="17"/>
  <c r="BC113" i="17"/>
  <c r="BD113" i="17"/>
  <c r="BE113" i="17"/>
  <c r="BF113" i="17"/>
  <c r="BG113" i="17"/>
  <c r="BH113" i="17"/>
  <c r="BI113" i="17"/>
  <c r="BJ113" i="17"/>
  <c r="BK113" i="17"/>
  <c r="BL113" i="17"/>
  <c r="BM113" i="17"/>
  <c r="BN113" i="17"/>
  <c r="BO113" i="17"/>
  <c r="BP113" i="17"/>
  <c r="BQ113" i="17"/>
  <c r="BR113" i="17"/>
  <c r="BS113" i="17"/>
  <c r="BT113" i="17"/>
  <c r="BU113" i="17"/>
  <c r="BV113" i="17"/>
  <c r="BW113" i="17"/>
  <c r="BX113" i="17"/>
  <c r="BY113" i="17"/>
  <c r="BZ113" i="17"/>
  <c r="CA113" i="17"/>
  <c r="CB113" i="17"/>
  <c r="CC113" i="17"/>
  <c r="CD113" i="17"/>
  <c r="CE113" i="17"/>
  <c r="CF113" i="17"/>
  <c r="CG113" i="17"/>
  <c r="CH113" i="17"/>
  <c r="CI113" i="17"/>
  <c r="CJ113" i="17"/>
  <c r="CK113" i="17"/>
  <c r="CL113" i="17"/>
  <c r="CM113" i="17"/>
  <c r="CN113" i="17"/>
  <c r="CO113" i="17"/>
  <c r="CP113" i="17"/>
  <c r="CQ113" i="17"/>
  <c r="CR113" i="17"/>
  <c r="CS113" i="17"/>
  <c r="CT113" i="17"/>
  <c r="CU113" i="17"/>
  <c r="CV113" i="17"/>
  <c r="CW113" i="17"/>
  <c r="CX113" i="17"/>
  <c r="CY113" i="17"/>
  <c r="CZ113" i="17"/>
  <c r="DA113" i="17"/>
  <c r="DB113" i="17"/>
  <c r="DC113" i="17"/>
  <c r="DD113" i="17"/>
  <c r="DE113" i="17"/>
  <c r="DF113" i="17"/>
  <c r="DG113" i="17"/>
  <c r="DH113" i="17"/>
  <c r="DI113" i="17"/>
  <c r="DJ113" i="17"/>
  <c r="DK113" i="17"/>
  <c r="DL113" i="17"/>
  <c r="DM113" i="17"/>
  <c r="DN113" i="17"/>
  <c r="DO113" i="17"/>
  <c r="DP113" i="17"/>
  <c r="DQ113" i="17"/>
  <c r="DR113" i="17"/>
  <c r="DS113" i="17"/>
  <c r="DT113" i="17"/>
  <c r="DU113" i="17"/>
  <c r="DV113" i="17"/>
  <c r="DW113" i="17"/>
  <c r="DX113" i="17"/>
  <c r="DY113" i="17"/>
  <c r="DZ113" i="17"/>
  <c r="EA113" i="17"/>
  <c r="EB113" i="17"/>
  <c r="EC113" i="17"/>
  <c r="ED113" i="17"/>
  <c r="EE113" i="17"/>
  <c r="EF113" i="17"/>
  <c r="EG113" i="17"/>
  <c r="EH113" i="17"/>
  <c r="EI113" i="17"/>
  <c r="EJ113" i="17"/>
  <c r="EK113" i="17"/>
  <c r="EL113" i="17"/>
  <c r="EM113" i="17"/>
  <c r="EN113" i="17"/>
  <c r="EO113" i="17"/>
  <c r="EP113" i="17"/>
  <c r="EQ113" i="17"/>
  <c r="ER113" i="17"/>
  <c r="ES113" i="17"/>
  <c r="ET113" i="17"/>
  <c r="EU113" i="17"/>
  <c r="EV113" i="17"/>
  <c r="EW113" i="17"/>
  <c r="EX113" i="17"/>
  <c r="EY113" i="17"/>
  <c r="EZ113" i="17"/>
  <c r="FA113" i="17"/>
  <c r="FB113" i="17"/>
  <c r="FC113" i="17"/>
  <c r="FD113" i="17"/>
  <c r="FE113" i="17"/>
  <c r="FF113" i="17"/>
  <c r="FG113" i="17"/>
  <c r="FH113" i="17"/>
  <c r="FI113" i="17"/>
  <c r="FJ113" i="17"/>
  <c r="FK113" i="17"/>
  <c r="FL113" i="17"/>
  <c r="FM113" i="17"/>
  <c r="FN113" i="17"/>
  <c r="FO113" i="17"/>
  <c r="FP113" i="17"/>
  <c r="FQ113" i="17"/>
  <c r="FR113" i="17"/>
  <c r="FS113" i="17"/>
  <c r="FT113" i="17"/>
  <c r="FU113" i="17"/>
  <c r="FV113" i="17"/>
  <c r="FW113" i="17"/>
  <c r="FX113" i="17"/>
  <c r="FY113" i="17"/>
  <c r="FZ113" i="17"/>
  <c r="GA113" i="17"/>
  <c r="GB113" i="17"/>
  <c r="GC113" i="17"/>
  <c r="GD113" i="17"/>
  <c r="GE113" i="17"/>
  <c r="GF113" i="17"/>
  <c r="GG113" i="17"/>
  <c r="GH113" i="17"/>
  <c r="GI113" i="17"/>
  <c r="GJ113" i="17"/>
  <c r="GK113" i="17"/>
  <c r="GL113" i="17"/>
  <c r="GM113" i="17"/>
  <c r="GN113" i="17"/>
  <c r="GO113" i="17"/>
  <c r="GP113" i="17"/>
  <c r="GQ113" i="17"/>
  <c r="GR113" i="17"/>
  <c r="GS113" i="17"/>
  <c r="GT113" i="17"/>
  <c r="GU113" i="17"/>
  <c r="GV113" i="17"/>
  <c r="GW113" i="17"/>
  <c r="GX113" i="17"/>
  <c r="GY113" i="17"/>
  <c r="GZ113" i="17"/>
  <c r="HA113" i="17"/>
  <c r="HB113" i="17"/>
  <c r="HC113" i="17"/>
  <c r="HD113" i="17"/>
  <c r="HE113" i="17"/>
  <c r="HF113" i="17"/>
  <c r="HG113" i="17"/>
  <c r="HH113" i="17"/>
  <c r="HI113" i="17"/>
  <c r="HJ113" i="17"/>
  <c r="HK113" i="17"/>
  <c r="HL113" i="17"/>
  <c r="HM113" i="17"/>
  <c r="HN113" i="17"/>
  <c r="HO113" i="17"/>
  <c r="HP113" i="17"/>
  <c r="HQ113" i="17"/>
  <c r="HR113" i="17"/>
  <c r="HS113" i="17"/>
  <c r="HT113" i="17"/>
  <c r="HU113" i="17"/>
  <c r="HV113" i="17"/>
  <c r="HW113" i="17"/>
  <c r="HX113" i="17"/>
  <c r="HY113" i="17"/>
  <c r="HZ113" i="17"/>
  <c r="IA113" i="17"/>
  <c r="IB113" i="17"/>
  <c r="IC113" i="17"/>
  <c r="ID113" i="17"/>
  <c r="IE113" i="17"/>
  <c r="IF113" i="17"/>
  <c r="IG113" i="17"/>
  <c r="IH113" i="17"/>
  <c r="II113" i="17"/>
  <c r="IJ113" i="17"/>
  <c r="IK113" i="17"/>
  <c r="IL113" i="17"/>
  <c r="IM113" i="17"/>
  <c r="IN113" i="17"/>
  <c r="IO113" i="17"/>
  <c r="IP113" i="17"/>
  <c r="IQ113" i="17"/>
  <c r="IR113" i="17"/>
  <c r="IS113" i="17"/>
  <c r="IT113" i="17"/>
  <c r="IU113" i="17"/>
  <c r="IV113" i="17"/>
  <c r="A112" i="17"/>
  <c r="B112" i="17"/>
  <c r="C112" i="17"/>
  <c r="D112" i="17"/>
  <c r="E112" i="17"/>
  <c r="F112" i="17"/>
  <c r="G112" i="17"/>
  <c r="H112" i="17"/>
  <c r="I112" i="17"/>
  <c r="J112" i="17"/>
  <c r="K112" i="17"/>
  <c r="L112" i="17"/>
  <c r="M112" i="17"/>
  <c r="N112" i="17"/>
  <c r="O112" i="17"/>
  <c r="P112" i="17"/>
  <c r="Q112" i="17"/>
  <c r="R112" i="17"/>
  <c r="S112" i="17"/>
  <c r="T112" i="17"/>
  <c r="U112" i="17"/>
  <c r="V112" i="17"/>
  <c r="W112" i="17"/>
  <c r="X112" i="17"/>
  <c r="Y112" i="17"/>
  <c r="Z112" i="17"/>
  <c r="AA112" i="17"/>
  <c r="AB112" i="17"/>
  <c r="AC112" i="17"/>
  <c r="AD112" i="17"/>
  <c r="AE112" i="17"/>
  <c r="AF112" i="17"/>
  <c r="AG112" i="17"/>
  <c r="AH112" i="17"/>
  <c r="AI112" i="17"/>
  <c r="AJ112" i="17"/>
  <c r="AK112" i="17"/>
  <c r="AL112" i="17"/>
  <c r="AM112" i="17"/>
  <c r="AN112" i="17"/>
  <c r="AO112" i="17"/>
  <c r="AP112" i="17"/>
  <c r="AQ112" i="17"/>
  <c r="AR112" i="17"/>
  <c r="AS112" i="17"/>
  <c r="AT112" i="17"/>
  <c r="AU112" i="17"/>
  <c r="AV112" i="17"/>
  <c r="AW112" i="17"/>
  <c r="AX112" i="17"/>
  <c r="AY112" i="17"/>
  <c r="AZ112" i="17"/>
  <c r="BA112" i="17"/>
  <c r="BB112" i="17"/>
  <c r="BC112" i="17"/>
  <c r="BD112" i="17"/>
  <c r="BE112" i="17"/>
  <c r="BF112" i="17"/>
  <c r="BG112" i="17"/>
  <c r="BH112" i="17"/>
  <c r="BI112" i="17"/>
  <c r="BJ112" i="17"/>
  <c r="BK112" i="17"/>
  <c r="BL112" i="17"/>
  <c r="BM112" i="17"/>
  <c r="BN112" i="17"/>
  <c r="BO112" i="17"/>
  <c r="BP112" i="17"/>
  <c r="BQ112" i="17"/>
  <c r="BR112" i="17"/>
  <c r="BS112" i="17"/>
  <c r="BT112" i="17"/>
  <c r="BU112" i="17"/>
  <c r="BV112" i="17"/>
  <c r="BW112" i="17"/>
  <c r="BX112" i="17"/>
  <c r="BY112" i="17"/>
  <c r="BZ112" i="17"/>
  <c r="CA112" i="17"/>
  <c r="CB112" i="17"/>
  <c r="CC112" i="17"/>
  <c r="CD112" i="17"/>
  <c r="CE112" i="17"/>
  <c r="CF112" i="17"/>
  <c r="CG112" i="17"/>
  <c r="CH112" i="17"/>
  <c r="CI112" i="17"/>
  <c r="CJ112" i="17"/>
  <c r="CK112" i="17"/>
  <c r="CL112" i="17"/>
  <c r="CM112" i="17"/>
  <c r="CN112" i="17"/>
  <c r="CO112" i="17"/>
  <c r="CP112" i="17"/>
  <c r="CQ112" i="17"/>
  <c r="CR112" i="17"/>
  <c r="CS112" i="17"/>
  <c r="CT112" i="17"/>
  <c r="CU112" i="17"/>
  <c r="CV112" i="17"/>
  <c r="CW112" i="17"/>
  <c r="CX112" i="17"/>
  <c r="CY112" i="17"/>
  <c r="CZ112" i="17"/>
  <c r="DA112" i="17"/>
  <c r="DB112" i="17"/>
  <c r="DC112" i="17"/>
  <c r="DD112" i="17"/>
  <c r="DE112" i="17"/>
  <c r="DF112" i="17"/>
  <c r="DG112" i="17"/>
  <c r="DH112" i="17"/>
  <c r="DI112" i="17"/>
  <c r="DJ112" i="17"/>
  <c r="DK112" i="17"/>
  <c r="DL112" i="17"/>
  <c r="DM112" i="17"/>
  <c r="DN112" i="17"/>
  <c r="DO112" i="17"/>
  <c r="DP112" i="17"/>
  <c r="DQ112" i="17"/>
  <c r="DR112" i="17"/>
  <c r="DS112" i="17"/>
  <c r="DT112" i="17"/>
  <c r="DU112" i="17"/>
  <c r="DV112" i="17"/>
  <c r="DW112" i="17"/>
  <c r="DX112" i="17"/>
  <c r="DY112" i="17"/>
  <c r="DZ112" i="17"/>
  <c r="EA112" i="17"/>
  <c r="EB112" i="17"/>
  <c r="EC112" i="17"/>
  <c r="ED112" i="17"/>
  <c r="EE112" i="17"/>
  <c r="EF112" i="17"/>
  <c r="EG112" i="17"/>
  <c r="EH112" i="17"/>
  <c r="EI112" i="17"/>
  <c r="EJ112" i="17"/>
  <c r="EK112" i="17"/>
  <c r="EL112" i="17"/>
  <c r="EM112" i="17"/>
  <c r="EN112" i="17"/>
  <c r="EO112" i="17"/>
  <c r="EP112" i="17"/>
  <c r="EQ112" i="17"/>
  <c r="ER112" i="17"/>
  <c r="ES112" i="17"/>
  <c r="ET112" i="17"/>
  <c r="EU112" i="17"/>
  <c r="EV112" i="17"/>
  <c r="EW112" i="17"/>
  <c r="EX112" i="17"/>
  <c r="EY112" i="17"/>
  <c r="EZ112" i="17"/>
  <c r="FA112" i="17"/>
  <c r="FB112" i="17"/>
  <c r="FC112" i="17"/>
  <c r="FD112" i="17"/>
  <c r="FE112" i="17"/>
  <c r="FF112" i="17"/>
  <c r="FG112" i="17"/>
  <c r="FH112" i="17"/>
  <c r="FI112" i="17"/>
  <c r="FJ112" i="17"/>
  <c r="FK112" i="17"/>
  <c r="FL112" i="17"/>
  <c r="FM112" i="17"/>
  <c r="FN112" i="17"/>
  <c r="FO112" i="17"/>
  <c r="FP112" i="17"/>
  <c r="FQ112" i="17"/>
  <c r="FR112" i="17"/>
  <c r="FS112" i="17"/>
  <c r="FT112" i="17"/>
  <c r="FU112" i="17"/>
  <c r="FV112" i="17"/>
  <c r="FW112" i="17"/>
  <c r="FX112" i="17"/>
  <c r="FY112" i="17"/>
  <c r="FZ112" i="17"/>
  <c r="GA112" i="17"/>
  <c r="GB112" i="17"/>
  <c r="GC112" i="17"/>
  <c r="GD112" i="17"/>
  <c r="GE112" i="17"/>
  <c r="GF112" i="17"/>
  <c r="GG112" i="17"/>
  <c r="GH112" i="17"/>
  <c r="GI112" i="17"/>
  <c r="GJ112" i="17"/>
  <c r="GK112" i="17"/>
  <c r="GL112" i="17"/>
  <c r="GM112" i="17"/>
  <c r="GN112" i="17"/>
  <c r="GO112" i="17"/>
  <c r="GP112" i="17"/>
  <c r="GQ112" i="17"/>
  <c r="GR112" i="17"/>
  <c r="GS112" i="17"/>
  <c r="GT112" i="17"/>
  <c r="GU112" i="17"/>
  <c r="GV112" i="17"/>
  <c r="GW112" i="17"/>
  <c r="GX112" i="17"/>
  <c r="GY112" i="17"/>
  <c r="GZ112" i="17"/>
  <c r="HA112" i="17"/>
  <c r="HB112" i="17"/>
  <c r="HC112" i="17"/>
  <c r="HD112" i="17"/>
  <c r="HE112" i="17"/>
  <c r="HF112" i="17"/>
  <c r="HG112" i="17"/>
  <c r="HH112" i="17"/>
  <c r="HI112" i="17"/>
  <c r="HJ112" i="17"/>
  <c r="HK112" i="17"/>
  <c r="HL112" i="17"/>
  <c r="HM112" i="17"/>
  <c r="HN112" i="17"/>
  <c r="HO112" i="17"/>
  <c r="HP112" i="17"/>
  <c r="HQ112" i="17"/>
  <c r="HR112" i="17"/>
  <c r="HS112" i="17"/>
  <c r="HT112" i="17"/>
  <c r="HU112" i="17"/>
  <c r="HV112" i="17"/>
  <c r="HW112" i="17"/>
  <c r="HX112" i="17"/>
  <c r="HY112" i="17"/>
  <c r="HZ112" i="17"/>
  <c r="IA112" i="17"/>
  <c r="IB112" i="17"/>
  <c r="IC112" i="17"/>
  <c r="ID112" i="17"/>
  <c r="IE112" i="17"/>
  <c r="IF112" i="17"/>
  <c r="IG112" i="17"/>
  <c r="IH112" i="17"/>
  <c r="II112" i="17"/>
  <c r="IJ112" i="17"/>
  <c r="IK112" i="17"/>
  <c r="IL112" i="17"/>
  <c r="IM112" i="17"/>
  <c r="IN112" i="17"/>
  <c r="IO112" i="17"/>
  <c r="IP112" i="17"/>
  <c r="IQ112" i="17"/>
  <c r="IR112" i="17"/>
  <c r="IS112" i="17"/>
  <c r="IT112" i="17"/>
  <c r="IU112" i="17"/>
  <c r="IV112" i="17"/>
  <c r="A111" i="17"/>
  <c r="B111" i="17"/>
  <c r="C111" i="17"/>
  <c r="D111" i="17"/>
  <c r="E111" i="17"/>
  <c r="F111" i="17"/>
  <c r="G111" i="17"/>
  <c r="H111" i="17"/>
  <c r="I111" i="17"/>
  <c r="J111" i="17"/>
  <c r="K111" i="17"/>
  <c r="L111" i="17"/>
  <c r="M111" i="17"/>
  <c r="N111" i="17"/>
  <c r="O111" i="17"/>
  <c r="P111" i="17"/>
  <c r="Q111" i="17"/>
  <c r="R111" i="17"/>
  <c r="S111" i="17"/>
  <c r="T111" i="17"/>
  <c r="U111" i="17"/>
  <c r="V111" i="17"/>
  <c r="W111" i="17"/>
  <c r="X111" i="17"/>
  <c r="Y111" i="17"/>
  <c r="Z111" i="17"/>
  <c r="AA111" i="17"/>
  <c r="AB111" i="17"/>
  <c r="AC111" i="17"/>
  <c r="AD111" i="17"/>
  <c r="AE111" i="17"/>
  <c r="AF111" i="17"/>
  <c r="AG111" i="17"/>
  <c r="AH111" i="17"/>
  <c r="AI111" i="17"/>
  <c r="AJ111" i="17"/>
  <c r="AK111" i="17"/>
  <c r="AL111" i="17"/>
  <c r="AM111" i="17"/>
  <c r="AN111" i="17"/>
  <c r="AO111" i="17"/>
  <c r="AP111" i="17"/>
  <c r="AQ111" i="17"/>
  <c r="AR111" i="17"/>
  <c r="AS111" i="17"/>
  <c r="AT111" i="17"/>
  <c r="AU111" i="17"/>
  <c r="AV111" i="17"/>
  <c r="AW111" i="17"/>
  <c r="AX111" i="17"/>
  <c r="AY111" i="17"/>
  <c r="AZ111" i="17"/>
  <c r="BA111" i="17"/>
  <c r="BB111" i="17"/>
  <c r="BC111" i="17"/>
  <c r="BD111" i="17"/>
  <c r="BE111" i="17"/>
  <c r="BF111" i="17"/>
  <c r="BG111" i="17"/>
  <c r="BH111" i="17"/>
  <c r="BI111" i="17"/>
  <c r="BJ111" i="17"/>
  <c r="BK111" i="17"/>
  <c r="BL111" i="17"/>
  <c r="BM111" i="17"/>
  <c r="BN111" i="17"/>
  <c r="BO111" i="17"/>
  <c r="BP111" i="17"/>
  <c r="BQ111" i="17"/>
  <c r="BR111" i="17"/>
  <c r="BS111" i="17"/>
  <c r="BT111" i="17"/>
  <c r="BU111" i="17"/>
  <c r="BV111" i="17"/>
  <c r="BW111" i="17"/>
  <c r="BX111" i="17"/>
  <c r="BY111" i="17"/>
  <c r="BZ111" i="17"/>
  <c r="CA111" i="17"/>
  <c r="CB111" i="17"/>
  <c r="CC111" i="17"/>
  <c r="CD111" i="17"/>
  <c r="CE111" i="17"/>
  <c r="CF111" i="17"/>
  <c r="CG111" i="17"/>
  <c r="CH111" i="17"/>
  <c r="CI111" i="17"/>
  <c r="CJ111" i="17"/>
  <c r="CK111" i="17"/>
  <c r="CL111" i="17"/>
  <c r="CM111" i="17"/>
  <c r="CN111" i="17"/>
  <c r="CO111" i="17"/>
  <c r="CP111" i="17"/>
  <c r="CQ111" i="17"/>
  <c r="CR111" i="17"/>
  <c r="CS111" i="17"/>
  <c r="CT111" i="17"/>
  <c r="CU111" i="17"/>
  <c r="CV111" i="17"/>
  <c r="CW111" i="17"/>
  <c r="CX111" i="17"/>
  <c r="CY111" i="17"/>
  <c r="CZ111" i="17"/>
  <c r="DA111" i="17"/>
  <c r="DB111" i="17"/>
  <c r="DC111" i="17"/>
  <c r="DD111" i="17"/>
  <c r="DE111" i="17"/>
  <c r="DF111" i="17"/>
  <c r="DG111" i="17"/>
  <c r="DH111" i="17"/>
  <c r="DI111" i="17"/>
  <c r="DJ111" i="17"/>
  <c r="DK111" i="17"/>
  <c r="DL111" i="17"/>
  <c r="DM111" i="17"/>
  <c r="DN111" i="17"/>
  <c r="DO111" i="17"/>
  <c r="DP111" i="17"/>
  <c r="DQ111" i="17"/>
  <c r="DR111" i="17"/>
  <c r="DS111" i="17"/>
  <c r="DT111" i="17"/>
  <c r="DU111" i="17"/>
  <c r="DV111" i="17"/>
  <c r="DW111" i="17"/>
  <c r="DX111" i="17"/>
  <c r="DY111" i="17"/>
  <c r="DZ111" i="17"/>
  <c r="EA111" i="17"/>
  <c r="EB111" i="17"/>
  <c r="EC111" i="17"/>
  <c r="ED111" i="17"/>
  <c r="EE111" i="17"/>
  <c r="EF111" i="17"/>
  <c r="EG111" i="17"/>
  <c r="EH111" i="17"/>
  <c r="EI111" i="17"/>
  <c r="EJ111" i="17"/>
  <c r="EK111" i="17"/>
  <c r="EL111" i="17"/>
  <c r="EM111" i="17"/>
  <c r="EN111" i="17"/>
  <c r="EO111" i="17"/>
  <c r="EP111" i="17"/>
  <c r="EQ111" i="17"/>
  <c r="ER111" i="17"/>
  <c r="ES111" i="17"/>
  <c r="ET111" i="17"/>
  <c r="EU111" i="17"/>
  <c r="EV111" i="17"/>
  <c r="EW111" i="17"/>
  <c r="EX111" i="17"/>
  <c r="EY111" i="17"/>
  <c r="EZ111" i="17"/>
  <c r="FA111" i="17"/>
  <c r="FB111" i="17"/>
  <c r="FC111" i="17"/>
  <c r="FD111" i="17"/>
  <c r="FE111" i="17"/>
  <c r="FF111" i="17"/>
  <c r="FG111" i="17"/>
  <c r="FH111" i="17"/>
  <c r="FI111" i="17"/>
  <c r="FJ111" i="17"/>
  <c r="FK111" i="17"/>
  <c r="FL111" i="17"/>
  <c r="FM111" i="17"/>
  <c r="FN111" i="17"/>
  <c r="FO111" i="17"/>
  <c r="FP111" i="17"/>
  <c r="FQ111" i="17"/>
  <c r="FR111" i="17"/>
  <c r="FS111" i="17"/>
  <c r="FT111" i="17"/>
  <c r="FU111" i="17"/>
  <c r="FV111" i="17"/>
  <c r="FW111" i="17"/>
  <c r="FX111" i="17"/>
  <c r="FY111" i="17"/>
  <c r="FZ111" i="17"/>
  <c r="GA111" i="17"/>
  <c r="GB111" i="17"/>
  <c r="GC111" i="17"/>
  <c r="GD111" i="17"/>
  <c r="GE111" i="17"/>
  <c r="GF111" i="17"/>
  <c r="GG111" i="17"/>
  <c r="GH111" i="17"/>
  <c r="GI111" i="17"/>
  <c r="GJ111" i="17"/>
  <c r="GK111" i="17"/>
  <c r="GL111" i="17"/>
  <c r="GM111" i="17"/>
  <c r="GN111" i="17"/>
  <c r="GO111" i="17"/>
  <c r="GP111" i="17"/>
  <c r="GQ111" i="17"/>
  <c r="GR111" i="17"/>
  <c r="GS111" i="17"/>
  <c r="GT111" i="17"/>
  <c r="GU111" i="17"/>
  <c r="GV111" i="17"/>
  <c r="GW111" i="17"/>
  <c r="GX111" i="17"/>
  <c r="GY111" i="17"/>
  <c r="GZ111" i="17"/>
  <c r="HA111" i="17"/>
  <c r="HB111" i="17"/>
  <c r="HC111" i="17"/>
  <c r="HD111" i="17"/>
  <c r="HE111" i="17"/>
  <c r="HF111" i="17"/>
  <c r="HG111" i="17"/>
  <c r="HH111" i="17"/>
  <c r="HI111" i="17"/>
  <c r="HJ111" i="17"/>
  <c r="HK111" i="17"/>
  <c r="HL111" i="17"/>
  <c r="HM111" i="17"/>
  <c r="HN111" i="17"/>
  <c r="HO111" i="17"/>
  <c r="HP111" i="17"/>
  <c r="HQ111" i="17"/>
  <c r="HR111" i="17"/>
  <c r="HS111" i="17"/>
  <c r="HT111" i="17"/>
  <c r="HU111" i="17"/>
  <c r="HV111" i="17"/>
  <c r="HW111" i="17"/>
  <c r="HX111" i="17"/>
  <c r="HY111" i="17"/>
  <c r="HZ111" i="17"/>
  <c r="IA111" i="17"/>
  <c r="IB111" i="17"/>
  <c r="IC111" i="17"/>
  <c r="ID111" i="17"/>
  <c r="IE111" i="17"/>
  <c r="IF111" i="17"/>
  <c r="IG111" i="17"/>
  <c r="IH111" i="17"/>
  <c r="II111" i="17"/>
  <c r="IJ111" i="17"/>
  <c r="IK111" i="17"/>
  <c r="IL111" i="17"/>
  <c r="IM111" i="17"/>
  <c r="IN111" i="17"/>
  <c r="IO111" i="17"/>
  <c r="IP111" i="17"/>
  <c r="IQ111" i="17"/>
  <c r="IR111" i="17"/>
  <c r="IS111" i="17"/>
  <c r="IT111" i="17"/>
  <c r="IU111" i="17"/>
  <c r="IV111" i="17"/>
  <c r="A110" i="17"/>
  <c r="B110" i="17"/>
  <c r="C110" i="17"/>
  <c r="D110" i="17"/>
  <c r="E110" i="17"/>
  <c r="F110" i="17"/>
  <c r="G110" i="17"/>
  <c r="H110" i="17"/>
  <c r="I110" i="17"/>
  <c r="J110" i="17"/>
  <c r="K110" i="17"/>
  <c r="L110" i="17"/>
  <c r="M110" i="17"/>
  <c r="N110" i="17"/>
  <c r="O110" i="17"/>
  <c r="P110" i="17"/>
  <c r="Q110" i="17"/>
  <c r="R110" i="17"/>
  <c r="S110" i="17"/>
  <c r="T110" i="17"/>
  <c r="U110" i="17"/>
  <c r="V110" i="17"/>
  <c r="W110" i="17"/>
  <c r="X110" i="17"/>
  <c r="Y110" i="17"/>
  <c r="Z110" i="17"/>
  <c r="AA110" i="17"/>
  <c r="AB110" i="17"/>
  <c r="AC110" i="17"/>
  <c r="AD110" i="17"/>
  <c r="AE110" i="17"/>
  <c r="AF110" i="17"/>
  <c r="AG110" i="17"/>
  <c r="AH110" i="17"/>
  <c r="AI110" i="17"/>
  <c r="AJ110" i="17"/>
  <c r="AK110" i="17"/>
  <c r="AL110" i="17"/>
  <c r="AM110" i="17"/>
  <c r="AN110" i="17"/>
  <c r="AO110" i="17"/>
  <c r="AP110" i="17"/>
  <c r="AQ110" i="17"/>
  <c r="AR110" i="17"/>
  <c r="AS110" i="17"/>
  <c r="AT110" i="17"/>
  <c r="AU110" i="17"/>
  <c r="AV110" i="17"/>
  <c r="AW110" i="17"/>
  <c r="AX110" i="17"/>
  <c r="AY110" i="17"/>
  <c r="AZ110" i="17"/>
  <c r="BA110" i="17"/>
  <c r="BB110" i="17"/>
  <c r="BC110" i="17"/>
  <c r="BD110" i="17"/>
  <c r="BE110" i="17"/>
  <c r="BF110" i="17"/>
  <c r="BG110" i="17"/>
  <c r="BH110" i="17"/>
  <c r="BI110" i="17"/>
  <c r="BJ110" i="17"/>
  <c r="BK110" i="17"/>
  <c r="BL110" i="17"/>
  <c r="BM110" i="17"/>
  <c r="BN110" i="17"/>
  <c r="BO110" i="17"/>
  <c r="BP110" i="17"/>
  <c r="BQ110" i="17"/>
  <c r="BR110" i="17"/>
  <c r="BS110" i="17"/>
  <c r="BT110" i="17"/>
  <c r="BU110" i="17"/>
  <c r="BV110" i="17"/>
  <c r="BW110" i="17"/>
  <c r="BX110" i="17"/>
  <c r="BY110" i="17"/>
  <c r="BZ110" i="17"/>
  <c r="CA110" i="17"/>
  <c r="CB110" i="17"/>
  <c r="CC110" i="17"/>
  <c r="CD110" i="17"/>
  <c r="CE110" i="17"/>
  <c r="CF110" i="17"/>
  <c r="CG110" i="17"/>
  <c r="CH110" i="17"/>
  <c r="CI110" i="17"/>
  <c r="CJ110" i="17"/>
  <c r="CK110" i="17"/>
  <c r="CL110" i="17"/>
  <c r="CM110" i="17"/>
  <c r="CN110" i="17"/>
  <c r="CO110" i="17"/>
  <c r="CP110" i="17"/>
  <c r="CQ110" i="17"/>
  <c r="CR110" i="17"/>
  <c r="CS110" i="17"/>
  <c r="CT110" i="17"/>
  <c r="CU110" i="17"/>
  <c r="CV110" i="17"/>
  <c r="CW110" i="17"/>
  <c r="CX110" i="17"/>
  <c r="CY110" i="17"/>
  <c r="CZ110" i="17"/>
  <c r="DA110" i="17"/>
  <c r="DB110" i="17"/>
  <c r="DC110" i="17"/>
  <c r="DD110" i="17"/>
  <c r="DE110" i="17"/>
  <c r="DF110" i="17"/>
  <c r="DG110" i="17"/>
  <c r="DH110" i="17"/>
  <c r="DI110" i="17"/>
  <c r="DJ110" i="17"/>
  <c r="DK110" i="17"/>
  <c r="DL110" i="17"/>
  <c r="DM110" i="17"/>
  <c r="DN110" i="17"/>
  <c r="DO110" i="17"/>
  <c r="DP110" i="17"/>
  <c r="DQ110" i="17"/>
  <c r="DR110" i="17"/>
  <c r="DS110" i="17"/>
  <c r="DT110" i="17"/>
  <c r="DU110" i="17"/>
  <c r="DV110" i="17"/>
  <c r="DW110" i="17"/>
  <c r="DX110" i="17"/>
  <c r="DY110" i="17"/>
  <c r="DZ110" i="17"/>
  <c r="EA110" i="17"/>
  <c r="EB110" i="17"/>
  <c r="EC110" i="17"/>
  <c r="ED110" i="17"/>
  <c r="EE110" i="17"/>
  <c r="EF110" i="17"/>
  <c r="EG110" i="17"/>
  <c r="EH110" i="17"/>
  <c r="EI110" i="17"/>
  <c r="EJ110" i="17"/>
  <c r="EK110" i="17"/>
  <c r="EL110" i="17"/>
  <c r="EM110" i="17"/>
  <c r="EN110" i="17"/>
  <c r="EO110" i="17"/>
  <c r="EP110" i="17"/>
  <c r="EQ110" i="17"/>
  <c r="ER110" i="17"/>
  <c r="ES110" i="17"/>
  <c r="ET110" i="17"/>
  <c r="EU110" i="17"/>
  <c r="EV110" i="17"/>
  <c r="EW110" i="17"/>
  <c r="EX110" i="17"/>
  <c r="EY110" i="17"/>
  <c r="EZ110" i="17"/>
  <c r="FA110" i="17"/>
  <c r="FB110" i="17"/>
  <c r="FC110" i="17"/>
  <c r="FD110" i="17"/>
  <c r="FE110" i="17"/>
  <c r="FF110" i="17"/>
  <c r="FG110" i="17"/>
  <c r="FH110" i="17"/>
  <c r="FI110" i="17"/>
  <c r="FJ110" i="17"/>
  <c r="FK110" i="17"/>
  <c r="FL110" i="17"/>
  <c r="FM110" i="17"/>
  <c r="FN110" i="17"/>
  <c r="FO110" i="17"/>
  <c r="FP110" i="17"/>
  <c r="FQ110" i="17"/>
  <c r="FR110" i="17"/>
  <c r="FS110" i="17"/>
  <c r="FT110" i="17"/>
  <c r="FU110" i="17"/>
  <c r="FV110" i="17"/>
  <c r="FW110" i="17"/>
  <c r="FX110" i="17"/>
  <c r="FY110" i="17"/>
  <c r="FZ110" i="17"/>
  <c r="GA110" i="17"/>
  <c r="GB110" i="17"/>
  <c r="GC110" i="17"/>
  <c r="GD110" i="17"/>
  <c r="GE110" i="17"/>
  <c r="GF110" i="17"/>
  <c r="GG110" i="17"/>
  <c r="GH110" i="17"/>
  <c r="GI110" i="17"/>
  <c r="GJ110" i="17"/>
  <c r="GK110" i="17"/>
  <c r="GL110" i="17"/>
  <c r="GM110" i="17"/>
  <c r="GN110" i="17"/>
  <c r="GO110" i="17"/>
  <c r="GP110" i="17"/>
  <c r="GQ110" i="17"/>
  <c r="GR110" i="17"/>
  <c r="GS110" i="17"/>
  <c r="GT110" i="17"/>
  <c r="GU110" i="17"/>
  <c r="GV110" i="17"/>
  <c r="GW110" i="17"/>
  <c r="GX110" i="17"/>
  <c r="GY110" i="17"/>
  <c r="GZ110" i="17"/>
  <c r="HA110" i="17"/>
  <c r="HB110" i="17"/>
  <c r="HC110" i="17"/>
  <c r="HD110" i="17"/>
  <c r="HE110" i="17"/>
  <c r="HF110" i="17"/>
  <c r="HG110" i="17"/>
  <c r="HH110" i="17"/>
  <c r="HI110" i="17"/>
  <c r="HJ110" i="17"/>
  <c r="HK110" i="17"/>
  <c r="HL110" i="17"/>
  <c r="HM110" i="17"/>
  <c r="HN110" i="17"/>
  <c r="HO110" i="17"/>
  <c r="HP110" i="17"/>
  <c r="HQ110" i="17"/>
  <c r="HR110" i="17"/>
  <c r="HS110" i="17"/>
  <c r="HT110" i="17"/>
  <c r="HU110" i="17"/>
  <c r="HV110" i="17"/>
  <c r="HW110" i="17"/>
  <c r="HX110" i="17"/>
  <c r="HY110" i="17"/>
  <c r="HZ110" i="17"/>
  <c r="IA110" i="17"/>
  <c r="IB110" i="17"/>
  <c r="IC110" i="17"/>
  <c r="ID110" i="17"/>
  <c r="IE110" i="17"/>
  <c r="IF110" i="17"/>
  <c r="IG110" i="17"/>
  <c r="IH110" i="17"/>
  <c r="II110" i="17"/>
  <c r="IJ110" i="17"/>
  <c r="IK110" i="17"/>
  <c r="IL110" i="17"/>
  <c r="IM110" i="17"/>
  <c r="IN110" i="17"/>
  <c r="IO110" i="17"/>
  <c r="IP110" i="17"/>
  <c r="IQ110" i="17"/>
  <c r="IR110" i="17"/>
  <c r="IS110" i="17"/>
  <c r="IT110" i="17"/>
  <c r="IU110" i="17"/>
  <c r="IV110" i="17"/>
  <c r="A109" i="17"/>
  <c r="B109" i="17"/>
  <c r="C109" i="17"/>
  <c r="D109" i="17"/>
  <c r="E109" i="17"/>
  <c r="F109" i="17"/>
  <c r="G109" i="17"/>
  <c r="H109" i="17"/>
  <c r="I109" i="17"/>
  <c r="J109" i="17"/>
  <c r="K109" i="17"/>
  <c r="L109" i="17"/>
  <c r="M109" i="17"/>
  <c r="N109" i="17"/>
  <c r="O109" i="17"/>
  <c r="P109" i="17"/>
  <c r="Q109" i="17"/>
  <c r="R109" i="17"/>
  <c r="S109" i="17"/>
  <c r="T109" i="17"/>
  <c r="U109" i="17"/>
  <c r="V109" i="17"/>
  <c r="W109" i="17"/>
  <c r="X109" i="17"/>
  <c r="Y109" i="17"/>
  <c r="Z109" i="17"/>
  <c r="AA109" i="17"/>
  <c r="AB109" i="17"/>
  <c r="AC109" i="17"/>
  <c r="AD109" i="17"/>
  <c r="AE109" i="17"/>
  <c r="AF109" i="17"/>
  <c r="AG109" i="17"/>
  <c r="AH109" i="17"/>
  <c r="AI109" i="17"/>
  <c r="AJ109" i="17"/>
  <c r="AK109" i="17"/>
  <c r="AL109" i="17"/>
  <c r="AM109" i="17"/>
  <c r="AN109" i="17"/>
  <c r="AO109" i="17"/>
  <c r="AP109" i="17"/>
  <c r="AQ109" i="17"/>
  <c r="AR109" i="17"/>
  <c r="AS109" i="17"/>
  <c r="AT109" i="17"/>
  <c r="AU109" i="17"/>
  <c r="AV109" i="17"/>
  <c r="AW109" i="17"/>
  <c r="AX109" i="17"/>
  <c r="AY109" i="17"/>
  <c r="AZ109" i="17"/>
  <c r="BA109" i="17"/>
  <c r="BB109" i="17"/>
  <c r="BC109" i="17"/>
  <c r="BD109" i="17"/>
  <c r="BE109" i="17"/>
  <c r="BF109" i="17"/>
  <c r="BG109" i="17"/>
  <c r="BH109" i="17"/>
  <c r="BI109" i="17"/>
  <c r="BJ109" i="17"/>
  <c r="BK109" i="17"/>
  <c r="BL109" i="17"/>
  <c r="BM109" i="17"/>
  <c r="BN109" i="17"/>
  <c r="BO109" i="17"/>
  <c r="BP109" i="17"/>
  <c r="BQ109" i="17"/>
  <c r="BR109" i="17"/>
  <c r="BS109" i="17"/>
  <c r="BT109" i="17"/>
  <c r="BU109" i="17"/>
  <c r="BV109" i="17"/>
  <c r="BW109" i="17"/>
  <c r="BX109" i="17"/>
  <c r="BY109" i="17"/>
  <c r="BZ109" i="17"/>
  <c r="CA109" i="17"/>
  <c r="CB109" i="17"/>
  <c r="CC109" i="17"/>
  <c r="CD109" i="17"/>
  <c r="CE109" i="17"/>
  <c r="CF109" i="17"/>
  <c r="CG109" i="17"/>
  <c r="CH109" i="17"/>
  <c r="CI109" i="17"/>
  <c r="CJ109" i="17"/>
  <c r="CK109" i="17"/>
  <c r="CL109" i="17"/>
  <c r="CM109" i="17"/>
  <c r="CN109" i="17"/>
  <c r="CO109" i="17"/>
  <c r="CP109" i="17"/>
  <c r="CQ109" i="17"/>
  <c r="CR109" i="17"/>
  <c r="CS109" i="17"/>
  <c r="CT109" i="17"/>
  <c r="CU109" i="17"/>
  <c r="CV109" i="17"/>
  <c r="CW109" i="17"/>
  <c r="CX109" i="17"/>
  <c r="CY109" i="17"/>
  <c r="CZ109" i="17"/>
  <c r="DA109" i="17"/>
  <c r="DB109" i="17"/>
  <c r="DC109" i="17"/>
  <c r="DD109" i="17"/>
  <c r="DE109" i="17"/>
  <c r="DF109" i="17"/>
  <c r="DG109" i="17"/>
  <c r="DH109" i="17"/>
  <c r="DI109" i="17"/>
  <c r="DJ109" i="17"/>
  <c r="DK109" i="17"/>
  <c r="DL109" i="17"/>
  <c r="DM109" i="17"/>
  <c r="DN109" i="17"/>
  <c r="DO109" i="17"/>
  <c r="DP109" i="17"/>
  <c r="DQ109" i="17"/>
  <c r="DR109" i="17"/>
  <c r="DS109" i="17"/>
  <c r="DT109" i="17"/>
  <c r="DU109" i="17"/>
  <c r="DV109" i="17"/>
  <c r="DW109" i="17"/>
  <c r="DX109" i="17"/>
  <c r="DY109" i="17"/>
  <c r="DZ109" i="17"/>
  <c r="EA109" i="17"/>
  <c r="EB109" i="17"/>
  <c r="EC109" i="17"/>
  <c r="ED109" i="17"/>
  <c r="EE109" i="17"/>
  <c r="EF109" i="17"/>
  <c r="EG109" i="17"/>
  <c r="EH109" i="17"/>
  <c r="EI109" i="17"/>
  <c r="EJ109" i="17"/>
  <c r="EK109" i="17"/>
  <c r="EL109" i="17"/>
  <c r="EM109" i="17"/>
  <c r="EN109" i="17"/>
  <c r="EO109" i="17"/>
  <c r="EP109" i="17"/>
  <c r="EQ109" i="17"/>
  <c r="ER109" i="17"/>
  <c r="ES109" i="17"/>
  <c r="ET109" i="17"/>
  <c r="EU109" i="17"/>
  <c r="EV109" i="17"/>
  <c r="EW109" i="17"/>
  <c r="EX109" i="17"/>
  <c r="EY109" i="17"/>
  <c r="EZ109" i="17"/>
  <c r="FA109" i="17"/>
  <c r="FB109" i="17"/>
  <c r="FC109" i="17"/>
  <c r="FD109" i="17"/>
  <c r="FE109" i="17"/>
  <c r="FF109" i="17"/>
  <c r="FG109" i="17"/>
  <c r="FH109" i="17"/>
  <c r="FI109" i="17"/>
  <c r="FJ109" i="17"/>
  <c r="FK109" i="17"/>
  <c r="FL109" i="17"/>
  <c r="FM109" i="17"/>
  <c r="FN109" i="17"/>
  <c r="FO109" i="17"/>
  <c r="FP109" i="17"/>
  <c r="FQ109" i="17"/>
  <c r="FR109" i="17"/>
  <c r="FS109" i="17"/>
  <c r="FT109" i="17"/>
  <c r="FU109" i="17"/>
  <c r="FV109" i="17"/>
  <c r="FW109" i="17"/>
  <c r="FX109" i="17"/>
  <c r="FY109" i="17"/>
  <c r="FZ109" i="17"/>
  <c r="GA109" i="17"/>
  <c r="GB109" i="17"/>
  <c r="GC109" i="17"/>
  <c r="GD109" i="17"/>
  <c r="GE109" i="17"/>
  <c r="GF109" i="17"/>
  <c r="GG109" i="17"/>
  <c r="GH109" i="17"/>
  <c r="GI109" i="17"/>
  <c r="GJ109" i="17"/>
  <c r="GK109" i="17"/>
  <c r="GL109" i="17"/>
  <c r="GM109" i="17"/>
  <c r="GN109" i="17"/>
  <c r="GO109" i="17"/>
  <c r="GP109" i="17"/>
  <c r="GQ109" i="17"/>
  <c r="GR109" i="17"/>
  <c r="GS109" i="17"/>
  <c r="GT109" i="17"/>
  <c r="GU109" i="17"/>
  <c r="GV109" i="17"/>
  <c r="GW109" i="17"/>
  <c r="GX109" i="17"/>
  <c r="GY109" i="17"/>
  <c r="GZ109" i="17"/>
  <c r="HA109" i="17"/>
  <c r="HB109" i="17"/>
  <c r="HC109" i="17"/>
  <c r="HD109" i="17"/>
  <c r="HE109" i="17"/>
  <c r="HF109" i="17"/>
  <c r="HG109" i="17"/>
  <c r="HH109" i="17"/>
  <c r="HI109" i="17"/>
  <c r="HJ109" i="17"/>
  <c r="HK109" i="17"/>
  <c r="HL109" i="17"/>
  <c r="HM109" i="17"/>
  <c r="HN109" i="17"/>
  <c r="HO109" i="17"/>
  <c r="HP109" i="17"/>
  <c r="HQ109" i="17"/>
  <c r="HR109" i="17"/>
  <c r="HS109" i="17"/>
  <c r="HT109" i="17"/>
  <c r="HU109" i="17"/>
  <c r="HV109" i="17"/>
  <c r="HW109" i="17"/>
  <c r="HX109" i="17"/>
  <c r="HY109" i="17"/>
  <c r="HZ109" i="17"/>
  <c r="IA109" i="17"/>
  <c r="IB109" i="17"/>
  <c r="IC109" i="17"/>
  <c r="ID109" i="17"/>
  <c r="IE109" i="17"/>
  <c r="IF109" i="17"/>
  <c r="IG109" i="17"/>
  <c r="IH109" i="17"/>
  <c r="II109" i="17"/>
  <c r="IJ109" i="17"/>
  <c r="IK109" i="17"/>
  <c r="IL109" i="17"/>
  <c r="IM109" i="17"/>
  <c r="IN109" i="17"/>
  <c r="IO109" i="17"/>
  <c r="IP109" i="17"/>
  <c r="IQ109" i="17"/>
  <c r="IR109" i="17"/>
  <c r="IS109" i="17"/>
  <c r="IT109" i="17"/>
  <c r="IU109" i="17"/>
  <c r="IV109" i="17"/>
  <c r="A108" i="17"/>
  <c r="B108" i="17"/>
  <c r="C108" i="17"/>
  <c r="D108" i="17"/>
  <c r="E108" i="17"/>
  <c r="F108" i="17"/>
  <c r="G108" i="17"/>
  <c r="H108" i="17"/>
  <c r="I108" i="17"/>
  <c r="J108" i="17"/>
  <c r="K108" i="17"/>
  <c r="L108" i="17"/>
  <c r="M108" i="17"/>
  <c r="N108" i="17"/>
  <c r="O108" i="17"/>
  <c r="P108" i="17"/>
  <c r="Q108" i="17"/>
  <c r="R108" i="17"/>
  <c r="S108" i="17"/>
  <c r="T108" i="17"/>
  <c r="U108" i="17"/>
  <c r="V108" i="17"/>
  <c r="W108" i="17"/>
  <c r="X108" i="17"/>
  <c r="Y108" i="17"/>
  <c r="Z108" i="17"/>
  <c r="AA108" i="17"/>
  <c r="AB108" i="17"/>
  <c r="AC108" i="17"/>
  <c r="AD108" i="17"/>
  <c r="AE108" i="17"/>
  <c r="AF108" i="17"/>
  <c r="AG108" i="17"/>
  <c r="AH108" i="17"/>
  <c r="AI108" i="17"/>
  <c r="AJ108" i="17"/>
  <c r="AK108" i="17"/>
  <c r="AL108" i="17"/>
  <c r="AM108" i="17"/>
  <c r="AN108" i="17"/>
  <c r="AO108" i="17"/>
  <c r="AP108" i="17"/>
  <c r="AQ108" i="17"/>
  <c r="AR108" i="17"/>
  <c r="AS108" i="17"/>
  <c r="AT108" i="17"/>
  <c r="AU108" i="17"/>
  <c r="AV108" i="17"/>
  <c r="AW108" i="17"/>
  <c r="AX108" i="17"/>
  <c r="AY108" i="17"/>
  <c r="AZ108" i="17"/>
  <c r="BA108" i="17"/>
  <c r="BB108" i="17"/>
  <c r="BC108" i="17"/>
  <c r="BD108" i="17"/>
  <c r="BE108" i="17"/>
  <c r="BF108" i="17"/>
  <c r="BG108" i="17"/>
  <c r="BH108" i="17"/>
  <c r="BI108" i="17"/>
  <c r="BJ108" i="17"/>
  <c r="BK108" i="17"/>
  <c r="BL108" i="17"/>
  <c r="BM108" i="17"/>
  <c r="BN108" i="17"/>
  <c r="BO108" i="17"/>
  <c r="BP108" i="17"/>
  <c r="BQ108" i="17"/>
  <c r="BR108" i="17"/>
  <c r="BS108" i="17"/>
  <c r="BT108" i="17"/>
  <c r="BU108" i="17"/>
  <c r="BV108" i="17"/>
  <c r="BW108" i="17"/>
  <c r="BX108" i="17"/>
  <c r="BY108" i="17"/>
  <c r="BZ108" i="17"/>
  <c r="CA108" i="17"/>
  <c r="CB108" i="17"/>
  <c r="CC108" i="17"/>
  <c r="CD108" i="17"/>
  <c r="CE108" i="17"/>
  <c r="CF108" i="17"/>
  <c r="CG108" i="17"/>
  <c r="CH108" i="17"/>
  <c r="CI108" i="17"/>
  <c r="CJ108" i="17"/>
  <c r="CK108" i="17"/>
  <c r="CL108" i="17"/>
  <c r="CM108" i="17"/>
  <c r="CN108" i="17"/>
  <c r="CO108" i="17"/>
  <c r="CP108" i="17"/>
  <c r="CQ108" i="17"/>
  <c r="CR108" i="17"/>
  <c r="CS108" i="17"/>
  <c r="CT108" i="17"/>
  <c r="CU108" i="17"/>
  <c r="CV108" i="17"/>
  <c r="CW108" i="17"/>
  <c r="CX108" i="17"/>
  <c r="CY108" i="17"/>
  <c r="CZ108" i="17"/>
  <c r="DA108" i="17"/>
  <c r="DB108" i="17"/>
  <c r="DC108" i="17"/>
  <c r="DD108" i="17"/>
  <c r="DE108" i="17"/>
  <c r="DF108" i="17"/>
  <c r="DG108" i="17"/>
  <c r="DH108" i="17"/>
  <c r="DI108" i="17"/>
  <c r="DJ108" i="17"/>
  <c r="DK108" i="17"/>
  <c r="DL108" i="17"/>
  <c r="DM108" i="17"/>
  <c r="DN108" i="17"/>
  <c r="DO108" i="17"/>
  <c r="DP108" i="17"/>
  <c r="DQ108" i="17"/>
  <c r="DR108" i="17"/>
  <c r="DS108" i="17"/>
  <c r="DT108" i="17"/>
  <c r="DU108" i="17"/>
  <c r="DV108" i="17"/>
  <c r="DW108" i="17"/>
  <c r="DX108" i="17"/>
  <c r="DY108" i="17"/>
  <c r="DZ108" i="17"/>
  <c r="EA108" i="17"/>
  <c r="EB108" i="17"/>
  <c r="EC108" i="17"/>
  <c r="ED108" i="17"/>
  <c r="EE108" i="17"/>
  <c r="EF108" i="17"/>
  <c r="EG108" i="17"/>
  <c r="EH108" i="17"/>
  <c r="EI108" i="17"/>
  <c r="EJ108" i="17"/>
  <c r="EK108" i="17"/>
  <c r="EL108" i="17"/>
  <c r="EM108" i="17"/>
  <c r="EN108" i="17"/>
  <c r="EO108" i="17"/>
  <c r="EP108" i="17"/>
  <c r="EQ108" i="17"/>
  <c r="ER108" i="17"/>
  <c r="ES108" i="17"/>
  <c r="ET108" i="17"/>
  <c r="EU108" i="17"/>
  <c r="EV108" i="17"/>
  <c r="EW108" i="17"/>
  <c r="EX108" i="17"/>
  <c r="EY108" i="17"/>
  <c r="EZ108" i="17"/>
  <c r="FA108" i="17"/>
  <c r="FB108" i="17"/>
  <c r="FC108" i="17"/>
  <c r="FD108" i="17"/>
  <c r="FE108" i="17"/>
  <c r="FF108" i="17"/>
  <c r="FG108" i="17"/>
  <c r="FH108" i="17"/>
  <c r="FI108" i="17"/>
  <c r="FJ108" i="17"/>
  <c r="FK108" i="17"/>
  <c r="FL108" i="17"/>
  <c r="FM108" i="17"/>
  <c r="FN108" i="17"/>
  <c r="FO108" i="17"/>
  <c r="FP108" i="17"/>
  <c r="FQ108" i="17"/>
  <c r="FR108" i="17"/>
  <c r="FS108" i="17"/>
  <c r="FT108" i="17"/>
  <c r="FU108" i="17"/>
  <c r="FV108" i="17"/>
  <c r="FW108" i="17"/>
  <c r="FX108" i="17"/>
  <c r="FY108" i="17"/>
  <c r="FZ108" i="17"/>
  <c r="GA108" i="17"/>
  <c r="GB108" i="17"/>
  <c r="GC108" i="17"/>
  <c r="GD108" i="17"/>
  <c r="GE108" i="17"/>
  <c r="GF108" i="17"/>
  <c r="GG108" i="17"/>
  <c r="GH108" i="17"/>
  <c r="GI108" i="17"/>
  <c r="GJ108" i="17"/>
  <c r="GK108" i="17"/>
  <c r="GL108" i="17"/>
  <c r="GM108" i="17"/>
  <c r="GN108" i="17"/>
  <c r="GO108" i="17"/>
  <c r="GP108" i="17"/>
  <c r="GQ108" i="17"/>
  <c r="GR108" i="17"/>
  <c r="GS108" i="17"/>
  <c r="GT108" i="17"/>
  <c r="GU108" i="17"/>
  <c r="GV108" i="17"/>
  <c r="GW108" i="17"/>
  <c r="GX108" i="17"/>
  <c r="GY108" i="17"/>
  <c r="GZ108" i="17"/>
  <c r="HA108" i="17"/>
  <c r="HB108" i="17"/>
  <c r="HC108" i="17"/>
  <c r="HD108" i="17"/>
  <c r="HE108" i="17"/>
  <c r="HF108" i="17"/>
  <c r="HG108" i="17"/>
  <c r="HH108" i="17"/>
  <c r="HI108" i="17"/>
  <c r="HJ108" i="17"/>
  <c r="HK108" i="17"/>
  <c r="HL108" i="17"/>
  <c r="HM108" i="17"/>
  <c r="HN108" i="17"/>
  <c r="HO108" i="17"/>
  <c r="HP108" i="17"/>
  <c r="HQ108" i="17"/>
  <c r="HR108" i="17"/>
  <c r="HS108" i="17"/>
  <c r="HT108" i="17"/>
  <c r="HU108" i="17"/>
  <c r="HV108" i="17"/>
  <c r="HW108" i="17"/>
  <c r="HX108" i="17"/>
  <c r="HY108" i="17"/>
  <c r="HZ108" i="17"/>
  <c r="IA108" i="17"/>
  <c r="IB108" i="17"/>
  <c r="IC108" i="17"/>
  <c r="ID108" i="17"/>
  <c r="IE108" i="17"/>
  <c r="IF108" i="17"/>
  <c r="IG108" i="17"/>
  <c r="IH108" i="17"/>
  <c r="II108" i="17"/>
  <c r="IJ108" i="17"/>
  <c r="IK108" i="17"/>
  <c r="IL108" i="17"/>
  <c r="IM108" i="17"/>
  <c r="IN108" i="17"/>
  <c r="IO108" i="17"/>
  <c r="IP108" i="17"/>
  <c r="IQ108" i="17"/>
  <c r="IR108" i="17"/>
  <c r="IS108" i="17"/>
  <c r="IT108" i="17"/>
  <c r="IU108" i="17"/>
  <c r="IV108" i="17"/>
  <c r="A107" i="17"/>
  <c r="B107" i="17"/>
  <c r="C107" i="17"/>
  <c r="D107" i="17"/>
  <c r="E107" i="17"/>
  <c r="F107" i="17"/>
  <c r="G107" i="17"/>
  <c r="H107" i="17"/>
  <c r="I107" i="17"/>
  <c r="J107" i="17"/>
  <c r="K107" i="17"/>
  <c r="L107" i="17"/>
  <c r="M107" i="17"/>
  <c r="N107" i="17"/>
  <c r="O107" i="17"/>
  <c r="P107" i="17"/>
  <c r="Q107" i="17"/>
  <c r="R107" i="17"/>
  <c r="S107" i="17"/>
  <c r="T107" i="17"/>
  <c r="U107" i="17"/>
  <c r="V107" i="17"/>
  <c r="W107" i="17"/>
  <c r="X107" i="17"/>
  <c r="Y107" i="17"/>
  <c r="Z107" i="17"/>
  <c r="AA107" i="17"/>
  <c r="AB107" i="17"/>
  <c r="AC107" i="17"/>
  <c r="AD107" i="17"/>
  <c r="AE107" i="17"/>
  <c r="AF107" i="17"/>
  <c r="AG107" i="17"/>
  <c r="AH107" i="17"/>
  <c r="AI107" i="17"/>
  <c r="AJ107" i="17"/>
  <c r="AK107" i="17"/>
  <c r="AL107" i="17"/>
  <c r="AM107" i="17"/>
  <c r="AN107" i="17"/>
  <c r="AO107" i="17"/>
  <c r="AP107" i="17"/>
  <c r="AQ107" i="17"/>
  <c r="AR107" i="17"/>
  <c r="AS107" i="17"/>
  <c r="AT107" i="17"/>
  <c r="AU107" i="17"/>
  <c r="AV107" i="17"/>
  <c r="AW107" i="17"/>
  <c r="AX107" i="17"/>
  <c r="AY107" i="17"/>
  <c r="AZ107" i="17"/>
  <c r="BA107" i="17"/>
  <c r="BB107" i="17"/>
  <c r="BC107" i="17"/>
  <c r="BD107" i="17"/>
  <c r="BE107" i="17"/>
  <c r="BF107" i="17"/>
  <c r="BG107" i="17"/>
  <c r="BH107" i="17"/>
  <c r="BI107" i="17"/>
  <c r="BJ107" i="17"/>
  <c r="BK107" i="17"/>
  <c r="BL107" i="17"/>
  <c r="BM107" i="17"/>
  <c r="BN107" i="17"/>
  <c r="BO107" i="17"/>
  <c r="BP107" i="17"/>
  <c r="BQ107" i="17"/>
  <c r="BR107" i="17"/>
  <c r="BS107" i="17"/>
  <c r="BT107" i="17"/>
  <c r="BU107" i="17"/>
  <c r="BV107" i="17"/>
  <c r="BW107" i="17"/>
  <c r="BX107" i="17"/>
  <c r="BY107" i="17"/>
  <c r="BZ107" i="17"/>
  <c r="CA107" i="17"/>
  <c r="CB107" i="17"/>
  <c r="CC107" i="17"/>
  <c r="CD107" i="17"/>
  <c r="CE107" i="17"/>
  <c r="CF107" i="17"/>
  <c r="CG107" i="17"/>
  <c r="CH107" i="17"/>
  <c r="CI107" i="17"/>
  <c r="CJ107" i="17"/>
  <c r="CK107" i="17"/>
  <c r="CL107" i="17"/>
  <c r="CM107" i="17"/>
  <c r="CN107" i="17"/>
  <c r="CO107" i="17"/>
  <c r="CP107" i="17"/>
  <c r="CQ107" i="17"/>
  <c r="CR107" i="17"/>
  <c r="CS107" i="17"/>
  <c r="CT107" i="17"/>
  <c r="CU107" i="17"/>
  <c r="CV107" i="17"/>
  <c r="CW107" i="17"/>
  <c r="CX107" i="17"/>
  <c r="CY107" i="17"/>
  <c r="CZ107" i="17"/>
  <c r="DA107" i="17"/>
  <c r="DB107" i="17"/>
  <c r="DC107" i="17"/>
  <c r="DD107" i="17"/>
  <c r="DE107" i="17"/>
  <c r="DF107" i="17"/>
  <c r="DG107" i="17"/>
  <c r="DH107" i="17"/>
  <c r="DI107" i="17"/>
  <c r="DJ107" i="17"/>
  <c r="DK107" i="17"/>
  <c r="DL107" i="17"/>
  <c r="DM107" i="17"/>
  <c r="DN107" i="17"/>
  <c r="DO107" i="17"/>
  <c r="DP107" i="17"/>
  <c r="DQ107" i="17"/>
  <c r="DR107" i="17"/>
  <c r="DS107" i="17"/>
  <c r="DT107" i="17"/>
  <c r="DU107" i="17"/>
  <c r="DV107" i="17"/>
  <c r="DW107" i="17"/>
  <c r="DX107" i="17"/>
  <c r="DY107" i="17"/>
  <c r="DZ107" i="17"/>
  <c r="EA107" i="17"/>
  <c r="EB107" i="17"/>
  <c r="EC107" i="17"/>
  <c r="ED107" i="17"/>
  <c r="EE107" i="17"/>
  <c r="EF107" i="17"/>
  <c r="EG107" i="17"/>
  <c r="EH107" i="17"/>
  <c r="EI107" i="17"/>
  <c r="EJ107" i="17"/>
  <c r="EK107" i="17"/>
  <c r="EL107" i="17"/>
  <c r="EM107" i="17"/>
  <c r="EN107" i="17"/>
  <c r="EO107" i="17"/>
  <c r="EP107" i="17"/>
  <c r="EQ107" i="17"/>
  <c r="ER107" i="17"/>
  <c r="ES107" i="17"/>
  <c r="ET107" i="17"/>
  <c r="EU107" i="17"/>
  <c r="EV107" i="17"/>
  <c r="EW107" i="17"/>
  <c r="EX107" i="17"/>
  <c r="EY107" i="17"/>
  <c r="EZ107" i="17"/>
  <c r="FA107" i="17"/>
  <c r="FB107" i="17"/>
  <c r="FC107" i="17"/>
  <c r="FD107" i="17"/>
  <c r="FE107" i="17"/>
  <c r="FF107" i="17"/>
  <c r="FG107" i="17"/>
  <c r="FH107" i="17"/>
  <c r="FI107" i="17"/>
  <c r="FJ107" i="17"/>
  <c r="FK107" i="17"/>
  <c r="FL107" i="17"/>
  <c r="FM107" i="17"/>
  <c r="FN107" i="17"/>
  <c r="FO107" i="17"/>
  <c r="FP107" i="17"/>
  <c r="FQ107" i="17"/>
  <c r="FR107" i="17"/>
  <c r="FS107" i="17"/>
  <c r="FT107" i="17"/>
  <c r="FU107" i="17"/>
  <c r="FV107" i="17"/>
  <c r="FW107" i="17"/>
  <c r="FX107" i="17"/>
  <c r="FY107" i="17"/>
  <c r="FZ107" i="17"/>
  <c r="GA107" i="17"/>
  <c r="GB107" i="17"/>
  <c r="GC107" i="17"/>
  <c r="GD107" i="17"/>
  <c r="GE107" i="17"/>
  <c r="GF107" i="17"/>
  <c r="GG107" i="17"/>
  <c r="GH107" i="17"/>
  <c r="GI107" i="17"/>
  <c r="GJ107" i="17"/>
  <c r="GK107" i="17"/>
  <c r="GL107" i="17"/>
  <c r="GM107" i="17"/>
  <c r="GN107" i="17"/>
  <c r="GO107" i="17"/>
  <c r="GP107" i="17"/>
  <c r="GQ107" i="17"/>
  <c r="GR107" i="17"/>
  <c r="GS107" i="17"/>
  <c r="GT107" i="17"/>
  <c r="GU107" i="17"/>
  <c r="GV107" i="17"/>
  <c r="GW107" i="17"/>
  <c r="GX107" i="17"/>
  <c r="GY107" i="17"/>
  <c r="GZ107" i="17"/>
  <c r="HA107" i="17"/>
  <c r="HB107" i="17"/>
  <c r="HC107" i="17"/>
  <c r="HD107" i="17"/>
  <c r="HE107" i="17"/>
  <c r="HF107" i="17"/>
  <c r="HG107" i="17"/>
  <c r="HH107" i="17"/>
  <c r="HI107" i="17"/>
  <c r="HJ107" i="17"/>
  <c r="HK107" i="17"/>
  <c r="HL107" i="17"/>
  <c r="HM107" i="17"/>
  <c r="HN107" i="17"/>
  <c r="HO107" i="17"/>
  <c r="HP107" i="17"/>
  <c r="HQ107" i="17"/>
  <c r="HR107" i="17"/>
  <c r="HS107" i="17"/>
  <c r="HT107" i="17"/>
  <c r="HU107" i="17"/>
  <c r="HV107" i="17"/>
  <c r="HW107" i="17"/>
  <c r="HX107" i="17"/>
  <c r="HY107" i="17"/>
  <c r="HZ107" i="17"/>
  <c r="IA107" i="17"/>
  <c r="IB107" i="17"/>
  <c r="IC107" i="17"/>
  <c r="ID107" i="17"/>
  <c r="IE107" i="17"/>
  <c r="IF107" i="17"/>
  <c r="IG107" i="17"/>
  <c r="IH107" i="17"/>
  <c r="II107" i="17"/>
  <c r="IJ107" i="17"/>
  <c r="IK107" i="17"/>
  <c r="IL107" i="17"/>
  <c r="IM107" i="17"/>
  <c r="IN107" i="17"/>
  <c r="IO107" i="17"/>
  <c r="IP107" i="17"/>
  <c r="IQ107" i="17"/>
  <c r="IR107" i="17"/>
  <c r="IS107" i="17"/>
  <c r="IT107" i="17"/>
  <c r="IU107" i="17"/>
  <c r="IV107" i="17"/>
  <c r="A106" i="17"/>
  <c r="B106" i="17"/>
  <c r="C106" i="17"/>
  <c r="D106" i="17"/>
  <c r="E106" i="17"/>
  <c r="F106" i="17"/>
  <c r="G106" i="17"/>
  <c r="H106" i="17"/>
  <c r="I106" i="17"/>
  <c r="J106" i="17"/>
  <c r="K106" i="17"/>
  <c r="L106" i="17"/>
  <c r="M106" i="17"/>
  <c r="N106" i="17"/>
  <c r="O106" i="17"/>
  <c r="P106" i="17"/>
  <c r="Q106" i="17"/>
  <c r="R106" i="17"/>
  <c r="S106" i="17"/>
  <c r="T106" i="17"/>
  <c r="U106" i="17"/>
  <c r="V106" i="17"/>
  <c r="W106" i="17"/>
  <c r="X106" i="17"/>
  <c r="Y106" i="17"/>
  <c r="Z106" i="17"/>
  <c r="AA106" i="17"/>
  <c r="AB106" i="17"/>
  <c r="AC106" i="17"/>
  <c r="AD106" i="17"/>
  <c r="AE106" i="17"/>
  <c r="AF106" i="17"/>
  <c r="AG106" i="17"/>
  <c r="AH106" i="17"/>
  <c r="AI106" i="17"/>
  <c r="AJ106" i="17"/>
  <c r="AK106" i="17"/>
  <c r="AL106" i="17"/>
  <c r="AM106" i="17"/>
  <c r="AN106" i="17"/>
  <c r="AO106" i="17"/>
  <c r="AP106" i="17"/>
  <c r="AQ106" i="17"/>
  <c r="AR106" i="17"/>
  <c r="AS106" i="17"/>
  <c r="AT106" i="17"/>
  <c r="AU106" i="17"/>
  <c r="AV106" i="17"/>
  <c r="AW106" i="17"/>
  <c r="AX106" i="17"/>
  <c r="AY106" i="17"/>
  <c r="AZ106" i="17"/>
  <c r="BA106" i="17"/>
  <c r="BB106" i="17"/>
  <c r="BC106" i="17"/>
  <c r="BD106" i="17"/>
  <c r="BE106" i="17"/>
  <c r="BF106" i="17"/>
  <c r="BG106" i="17"/>
  <c r="BH106" i="17"/>
  <c r="BI106" i="17"/>
  <c r="BJ106" i="17"/>
  <c r="BK106" i="17"/>
  <c r="BL106" i="17"/>
  <c r="BM106" i="17"/>
  <c r="BN106" i="17"/>
  <c r="BO106" i="17"/>
  <c r="BP106" i="17"/>
  <c r="BQ106" i="17"/>
  <c r="BR106" i="17"/>
  <c r="BS106" i="17"/>
  <c r="BT106" i="17"/>
  <c r="BU106" i="17"/>
  <c r="BV106" i="17"/>
  <c r="BW106" i="17"/>
  <c r="BX106" i="17"/>
  <c r="BY106" i="17"/>
  <c r="BZ106" i="17"/>
  <c r="CA106" i="17"/>
  <c r="CB106" i="17"/>
  <c r="CC106" i="17"/>
  <c r="CD106" i="17"/>
  <c r="CE106" i="17"/>
  <c r="CF106" i="17"/>
  <c r="CG106" i="17"/>
  <c r="CH106" i="17"/>
  <c r="CI106" i="17"/>
  <c r="CJ106" i="17"/>
  <c r="CK106" i="17"/>
  <c r="CL106" i="17"/>
  <c r="CM106" i="17"/>
  <c r="CN106" i="17"/>
  <c r="CO106" i="17"/>
  <c r="CP106" i="17"/>
  <c r="CQ106" i="17"/>
  <c r="CR106" i="17"/>
  <c r="CS106" i="17"/>
  <c r="CT106" i="17"/>
  <c r="CU106" i="17"/>
  <c r="CV106" i="17"/>
  <c r="CW106" i="17"/>
  <c r="CX106" i="17"/>
  <c r="CY106" i="17"/>
  <c r="CZ106" i="17"/>
  <c r="DA106" i="17"/>
  <c r="DB106" i="17"/>
  <c r="DC106" i="17"/>
  <c r="DD106" i="17"/>
  <c r="DE106" i="17"/>
  <c r="DF106" i="17"/>
  <c r="DG106" i="17"/>
  <c r="DH106" i="17"/>
  <c r="DI106" i="17"/>
  <c r="DJ106" i="17"/>
  <c r="DK106" i="17"/>
  <c r="DL106" i="17"/>
  <c r="DM106" i="17"/>
  <c r="DN106" i="17"/>
  <c r="DO106" i="17"/>
  <c r="DP106" i="17"/>
  <c r="DQ106" i="17"/>
  <c r="DR106" i="17"/>
  <c r="DS106" i="17"/>
  <c r="DT106" i="17"/>
  <c r="DU106" i="17"/>
  <c r="DV106" i="17"/>
  <c r="DW106" i="17"/>
  <c r="DX106" i="17"/>
  <c r="DY106" i="17"/>
  <c r="DZ106" i="17"/>
  <c r="EA106" i="17"/>
  <c r="EB106" i="17"/>
  <c r="EC106" i="17"/>
  <c r="ED106" i="17"/>
  <c r="EE106" i="17"/>
  <c r="EF106" i="17"/>
  <c r="EG106" i="17"/>
  <c r="EH106" i="17"/>
  <c r="EI106" i="17"/>
  <c r="EJ106" i="17"/>
  <c r="EK106" i="17"/>
  <c r="EL106" i="17"/>
  <c r="EM106" i="17"/>
  <c r="EN106" i="17"/>
  <c r="EO106" i="17"/>
  <c r="EP106" i="17"/>
  <c r="EQ106" i="17"/>
  <c r="ER106" i="17"/>
  <c r="ES106" i="17"/>
  <c r="ET106" i="17"/>
  <c r="EU106" i="17"/>
  <c r="EV106" i="17"/>
  <c r="EW106" i="17"/>
  <c r="EX106" i="17"/>
  <c r="EY106" i="17"/>
  <c r="EZ106" i="17"/>
  <c r="FA106" i="17"/>
  <c r="FB106" i="17"/>
  <c r="FC106" i="17"/>
  <c r="FD106" i="17"/>
  <c r="FE106" i="17"/>
  <c r="FF106" i="17"/>
  <c r="FG106" i="17"/>
  <c r="FH106" i="17"/>
  <c r="FI106" i="17"/>
  <c r="FJ106" i="17"/>
  <c r="FK106" i="17"/>
  <c r="FL106" i="17"/>
  <c r="FM106" i="17"/>
  <c r="FN106" i="17"/>
  <c r="FO106" i="17"/>
  <c r="FP106" i="17"/>
  <c r="FQ106" i="17"/>
  <c r="FR106" i="17"/>
  <c r="FS106" i="17"/>
  <c r="FT106" i="17"/>
  <c r="FU106" i="17"/>
  <c r="FV106" i="17"/>
  <c r="FW106" i="17"/>
  <c r="FX106" i="17"/>
  <c r="FY106" i="17"/>
  <c r="FZ106" i="17"/>
  <c r="GA106" i="17"/>
  <c r="GB106" i="17"/>
  <c r="GC106" i="17"/>
  <c r="GD106" i="17"/>
  <c r="GE106" i="17"/>
  <c r="GF106" i="17"/>
  <c r="GG106" i="17"/>
  <c r="GH106" i="17"/>
  <c r="GI106" i="17"/>
  <c r="GJ106" i="17"/>
  <c r="GK106" i="17"/>
  <c r="GL106" i="17"/>
  <c r="GM106" i="17"/>
  <c r="GN106" i="17"/>
  <c r="GO106" i="17"/>
  <c r="GP106" i="17"/>
  <c r="GQ106" i="17"/>
  <c r="GR106" i="17"/>
  <c r="GS106" i="17"/>
  <c r="GT106" i="17"/>
  <c r="GU106" i="17"/>
  <c r="GV106" i="17"/>
  <c r="GW106" i="17"/>
  <c r="GX106" i="17"/>
  <c r="GY106" i="17"/>
  <c r="GZ106" i="17"/>
  <c r="HA106" i="17"/>
  <c r="HB106" i="17"/>
  <c r="HC106" i="17"/>
  <c r="HD106" i="17"/>
  <c r="HE106" i="17"/>
  <c r="HF106" i="17"/>
  <c r="HG106" i="17"/>
  <c r="HH106" i="17"/>
  <c r="HI106" i="17"/>
  <c r="HJ106" i="17"/>
  <c r="HK106" i="17"/>
  <c r="HL106" i="17"/>
  <c r="HM106" i="17"/>
  <c r="HN106" i="17"/>
  <c r="HO106" i="17"/>
  <c r="HP106" i="17"/>
  <c r="HQ106" i="17"/>
  <c r="HR106" i="17"/>
  <c r="HS106" i="17"/>
  <c r="HT106" i="17"/>
  <c r="HU106" i="17"/>
  <c r="HV106" i="17"/>
  <c r="HW106" i="17"/>
  <c r="HX106" i="17"/>
  <c r="HY106" i="17"/>
  <c r="HZ106" i="17"/>
  <c r="IA106" i="17"/>
  <c r="IB106" i="17"/>
  <c r="IC106" i="17"/>
  <c r="ID106" i="17"/>
  <c r="IE106" i="17"/>
  <c r="IF106" i="17"/>
  <c r="IG106" i="17"/>
  <c r="IH106" i="17"/>
  <c r="II106" i="17"/>
  <c r="IJ106" i="17"/>
  <c r="IK106" i="17"/>
  <c r="IL106" i="17"/>
  <c r="IM106" i="17"/>
  <c r="IN106" i="17"/>
  <c r="IO106" i="17"/>
  <c r="IP106" i="17"/>
  <c r="IQ106" i="17"/>
  <c r="IR106" i="17"/>
  <c r="IS106" i="17"/>
  <c r="IT106" i="17"/>
  <c r="IU106" i="17"/>
  <c r="IV106" i="17"/>
  <c r="A105" i="17"/>
  <c r="B105" i="17"/>
  <c r="C105" i="17"/>
  <c r="D105" i="17"/>
  <c r="E105" i="17"/>
  <c r="F105" i="17"/>
  <c r="G105" i="17"/>
  <c r="H105" i="17"/>
  <c r="I105" i="17"/>
  <c r="J105" i="17"/>
  <c r="K105" i="17"/>
  <c r="L105" i="17"/>
  <c r="M105" i="17"/>
  <c r="N105" i="17"/>
  <c r="O105" i="17"/>
  <c r="P105" i="17"/>
  <c r="Q105" i="17"/>
  <c r="R105" i="17"/>
  <c r="S105" i="17"/>
  <c r="T105" i="17"/>
  <c r="U105" i="17"/>
  <c r="V105" i="17"/>
  <c r="W105" i="17"/>
  <c r="X105" i="17"/>
  <c r="Y105" i="17"/>
  <c r="Z105" i="17"/>
  <c r="AA105" i="17"/>
  <c r="AB105" i="17"/>
  <c r="AC105" i="17"/>
  <c r="AD105" i="17"/>
  <c r="AE105" i="17"/>
  <c r="AF105" i="17"/>
  <c r="AG105" i="17"/>
  <c r="AH105" i="17"/>
  <c r="AI105" i="17"/>
  <c r="AJ105" i="17"/>
  <c r="AK105" i="17"/>
  <c r="AL105" i="17"/>
  <c r="AM105" i="17"/>
  <c r="AN105" i="17"/>
  <c r="AO105" i="17"/>
  <c r="AP105" i="17"/>
  <c r="AQ105" i="17"/>
  <c r="AR105" i="17"/>
  <c r="AS105" i="17"/>
  <c r="AT105" i="17"/>
  <c r="AU105" i="17"/>
  <c r="AV105" i="17"/>
  <c r="AW105" i="17"/>
  <c r="AX105" i="17"/>
  <c r="AY105" i="17"/>
  <c r="AZ105" i="17"/>
  <c r="BA105" i="17"/>
  <c r="BB105" i="17"/>
  <c r="BC105" i="17"/>
  <c r="BD105" i="17"/>
  <c r="BE105" i="17"/>
  <c r="BF105" i="17"/>
  <c r="BG105" i="17"/>
  <c r="BH105" i="17"/>
  <c r="BI105" i="17"/>
  <c r="BJ105" i="17"/>
  <c r="BK105" i="17"/>
  <c r="BL105" i="17"/>
  <c r="BM105" i="17"/>
  <c r="BN105" i="17"/>
  <c r="BO105" i="17"/>
  <c r="BP105" i="17"/>
  <c r="BQ105" i="17"/>
  <c r="BR105" i="17"/>
  <c r="BS105" i="17"/>
  <c r="BT105" i="17"/>
  <c r="BU105" i="17"/>
  <c r="BV105" i="17"/>
  <c r="BW105" i="17"/>
  <c r="BX105" i="17"/>
  <c r="BY105" i="17"/>
  <c r="BZ105" i="17"/>
  <c r="CA105" i="17"/>
  <c r="CB105" i="17"/>
  <c r="CC105" i="17"/>
  <c r="CD105" i="17"/>
  <c r="CE105" i="17"/>
  <c r="CF105" i="17"/>
  <c r="CG105" i="17"/>
  <c r="CH105" i="17"/>
  <c r="CI105" i="17"/>
  <c r="CJ105" i="17"/>
  <c r="CK105" i="17"/>
  <c r="CL105" i="17"/>
  <c r="CM105" i="17"/>
  <c r="CN105" i="17"/>
  <c r="CO105" i="17"/>
  <c r="CP105" i="17"/>
  <c r="CQ105" i="17"/>
  <c r="CR105" i="17"/>
  <c r="CS105" i="17"/>
  <c r="CT105" i="17"/>
  <c r="CU105" i="17"/>
  <c r="CV105" i="17"/>
  <c r="CW105" i="17"/>
  <c r="CX105" i="17"/>
  <c r="CY105" i="17"/>
  <c r="CZ105" i="17"/>
  <c r="DA105" i="17"/>
  <c r="DB105" i="17"/>
  <c r="DC105" i="17"/>
  <c r="DD105" i="17"/>
  <c r="DE105" i="17"/>
  <c r="DF105" i="17"/>
  <c r="DG105" i="17"/>
  <c r="DH105" i="17"/>
  <c r="DI105" i="17"/>
  <c r="DJ105" i="17"/>
  <c r="DK105" i="17"/>
  <c r="DL105" i="17"/>
  <c r="DM105" i="17"/>
  <c r="DN105" i="17"/>
  <c r="DO105" i="17"/>
  <c r="DP105" i="17"/>
  <c r="DQ105" i="17"/>
  <c r="DR105" i="17"/>
  <c r="DS105" i="17"/>
  <c r="DT105" i="17"/>
  <c r="DU105" i="17"/>
  <c r="DV105" i="17"/>
  <c r="DW105" i="17"/>
  <c r="DX105" i="17"/>
  <c r="DY105" i="17"/>
  <c r="DZ105" i="17"/>
  <c r="EA105" i="17"/>
  <c r="EB105" i="17"/>
  <c r="EC105" i="17"/>
  <c r="ED105" i="17"/>
  <c r="EE105" i="17"/>
  <c r="EF105" i="17"/>
  <c r="EG105" i="17"/>
  <c r="EH105" i="17"/>
  <c r="EI105" i="17"/>
  <c r="EJ105" i="17"/>
  <c r="EK105" i="17"/>
  <c r="EL105" i="17"/>
  <c r="EM105" i="17"/>
  <c r="EN105" i="17"/>
  <c r="EO105" i="17"/>
  <c r="EP105" i="17"/>
  <c r="EQ105" i="17"/>
  <c r="ER105" i="17"/>
  <c r="ES105" i="17"/>
  <c r="ET105" i="17"/>
  <c r="EU105" i="17"/>
  <c r="EV105" i="17"/>
  <c r="EW105" i="17"/>
  <c r="EX105" i="17"/>
  <c r="EY105" i="17"/>
  <c r="EZ105" i="17"/>
  <c r="FA105" i="17"/>
  <c r="FB105" i="17"/>
  <c r="FC105" i="17"/>
  <c r="FD105" i="17"/>
  <c r="FE105" i="17"/>
  <c r="FF105" i="17"/>
  <c r="FG105" i="17"/>
  <c r="FH105" i="17"/>
  <c r="FI105" i="17"/>
  <c r="FJ105" i="17"/>
  <c r="FK105" i="17"/>
  <c r="FL105" i="17"/>
  <c r="FM105" i="17"/>
  <c r="FN105" i="17"/>
  <c r="FO105" i="17"/>
  <c r="FP105" i="17"/>
  <c r="FQ105" i="17"/>
  <c r="FR105" i="17"/>
  <c r="FS105" i="17"/>
  <c r="FT105" i="17"/>
  <c r="FU105" i="17"/>
  <c r="FV105" i="17"/>
  <c r="FW105" i="17"/>
  <c r="FX105" i="17"/>
  <c r="FY105" i="17"/>
  <c r="FZ105" i="17"/>
  <c r="GA105" i="17"/>
  <c r="GB105" i="17"/>
  <c r="GC105" i="17"/>
  <c r="GD105" i="17"/>
  <c r="GE105" i="17"/>
  <c r="GF105" i="17"/>
  <c r="GG105" i="17"/>
  <c r="GH105" i="17"/>
  <c r="GI105" i="17"/>
  <c r="GJ105" i="17"/>
  <c r="GK105" i="17"/>
  <c r="GL105" i="17"/>
  <c r="GM105" i="17"/>
  <c r="GN105" i="17"/>
  <c r="GO105" i="17"/>
  <c r="GP105" i="17"/>
  <c r="GQ105" i="17"/>
  <c r="GR105" i="17"/>
  <c r="GS105" i="17"/>
  <c r="GT105" i="17"/>
  <c r="GU105" i="17"/>
  <c r="GV105" i="17"/>
  <c r="GW105" i="17"/>
  <c r="GX105" i="17"/>
  <c r="GY105" i="17"/>
  <c r="GZ105" i="17"/>
  <c r="HA105" i="17"/>
  <c r="HB105" i="17"/>
  <c r="HC105" i="17"/>
  <c r="HD105" i="17"/>
  <c r="HE105" i="17"/>
  <c r="HF105" i="17"/>
  <c r="HG105" i="17"/>
  <c r="HH105" i="17"/>
  <c r="HI105" i="17"/>
  <c r="HJ105" i="17"/>
  <c r="HK105" i="17"/>
  <c r="HL105" i="17"/>
  <c r="HM105" i="17"/>
  <c r="HN105" i="17"/>
  <c r="HO105" i="17"/>
  <c r="HP105" i="17"/>
  <c r="HQ105" i="17"/>
  <c r="HR105" i="17"/>
  <c r="HS105" i="17"/>
  <c r="HT105" i="17"/>
  <c r="HU105" i="17"/>
  <c r="HV105" i="17"/>
  <c r="HW105" i="17"/>
  <c r="HX105" i="17"/>
  <c r="HY105" i="17"/>
  <c r="HZ105" i="17"/>
  <c r="IA105" i="17"/>
  <c r="IB105" i="17"/>
  <c r="IC105" i="17"/>
  <c r="ID105" i="17"/>
  <c r="IE105" i="17"/>
  <c r="IF105" i="17"/>
  <c r="IG105" i="17"/>
  <c r="IH105" i="17"/>
  <c r="II105" i="17"/>
  <c r="IJ105" i="17"/>
  <c r="IK105" i="17"/>
  <c r="IL105" i="17"/>
  <c r="IM105" i="17"/>
  <c r="IN105" i="17"/>
  <c r="IO105" i="17"/>
  <c r="IP105" i="17"/>
  <c r="IQ105" i="17"/>
  <c r="IR105" i="17"/>
  <c r="IS105" i="17"/>
  <c r="IT105" i="17"/>
  <c r="IU105" i="17"/>
  <c r="IV105" i="17"/>
  <c r="A104" i="17"/>
  <c r="B104" i="17"/>
  <c r="C104" i="17"/>
  <c r="D104" i="17"/>
  <c r="E104" i="17"/>
  <c r="F104" i="17"/>
  <c r="G104" i="17"/>
  <c r="H104" i="17"/>
  <c r="I104" i="17"/>
  <c r="J104" i="17"/>
  <c r="K104" i="17"/>
  <c r="L104" i="17"/>
  <c r="M104" i="17"/>
  <c r="N104" i="17"/>
  <c r="O104" i="17"/>
  <c r="P104" i="17"/>
  <c r="Q104" i="17"/>
  <c r="R104" i="17"/>
  <c r="S104" i="17"/>
  <c r="T104" i="17"/>
  <c r="U104" i="17"/>
  <c r="V104" i="17"/>
  <c r="W104" i="17"/>
  <c r="X104" i="17"/>
  <c r="Y104" i="17"/>
  <c r="Z104" i="17"/>
  <c r="AA104" i="17"/>
  <c r="AB104" i="17"/>
  <c r="AC104" i="17"/>
  <c r="AD104" i="17"/>
  <c r="AE104" i="17"/>
  <c r="AF104" i="17"/>
  <c r="AG104" i="17"/>
  <c r="AH104" i="17"/>
  <c r="AI104" i="17"/>
  <c r="AJ104" i="17"/>
  <c r="AK104" i="17"/>
  <c r="AL104" i="17"/>
  <c r="AM104" i="17"/>
  <c r="AN104" i="17"/>
  <c r="AO104" i="17"/>
  <c r="AP104" i="17"/>
  <c r="AQ104" i="17"/>
  <c r="AR104" i="17"/>
  <c r="AS104" i="17"/>
  <c r="AT104" i="17"/>
  <c r="AU104" i="17"/>
  <c r="AV104" i="17"/>
  <c r="AW104" i="17"/>
  <c r="AX104" i="17"/>
  <c r="AY104" i="17"/>
  <c r="AZ104" i="17"/>
  <c r="BA104" i="17"/>
  <c r="BB104" i="17"/>
  <c r="BC104" i="17"/>
  <c r="BD104" i="17"/>
  <c r="BE104" i="17"/>
  <c r="BF104" i="17"/>
  <c r="BG104" i="17"/>
  <c r="BH104" i="17"/>
  <c r="BI104" i="17"/>
  <c r="BJ104" i="17"/>
  <c r="BK104" i="17"/>
  <c r="BL104" i="17"/>
  <c r="BM104" i="17"/>
  <c r="BN104" i="17"/>
  <c r="BO104" i="17"/>
  <c r="BP104" i="17"/>
  <c r="BQ104" i="17"/>
  <c r="BR104" i="17"/>
  <c r="BS104" i="17"/>
  <c r="BT104" i="17"/>
  <c r="BU104" i="17"/>
  <c r="BV104" i="17"/>
  <c r="BW104" i="17"/>
  <c r="BX104" i="17"/>
  <c r="BY104" i="17"/>
  <c r="BZ104" i="17"/>
  <c r="CA104" i="17"/>
  <c r="CB104" i="17"/>
  <c r="CC104" i="17"/>
  <c r="CD104" i="17"/>
  <c r="CE104" i="17"/>
  <c r="CF104" i="17"/>
  <c r="CG104" i="17"/>
  <c r="CH104" i="17"/>
  <c r="CI104" i="17"/>
  <c r="CJ104" i="17"/>
  <c r="CK104" i="17"/>
  <c r="CL104" i="17"/>
  <c r="CM104" i="17"/>
  <c r="CN104" i="17"/>
  <c r="CO104" i="17"/>
  <c r="CP104" i="17"/>
  <c r="CQ104" i="17"/>
  <c r="CR104" i="17"/>
  <c r="CS104" i="17"/>
  <c r="CT104" i="17"/>
  <c r="CU104" i="17"/>
  <c r="CV104" i="17"/>
  <c r="CW104" i="17"/>
  <c r="CX104" i="17"/>
  <c r="CY104" i="17"/>
  <c r="CZ104" i="17"/>
  <c r="DA104" i="17"/>
  <c r="DB104" i="17"/>
  <c r="DC104" i="17"/>
  <c r="DD104" i="17"/>
  <c r="DE104" i="17"/>
  <c r="DF104" i="17"/>
  <c r="DG104" i="17"/>
  <c r="DH104" i="17"/>
  <c r="DI104" i="17"/>
  <c r="DJ104" i="17"/>
  <c r="DK104" i="17"/>
  <c r="DL104" i="17"/>
  <c r="DM104" i="17"/>
  <c r="DN104" i="17"/>
  <c r="DO104" i="17"/>
  <c r="DP104" i="17"/>
  <c r="DQ104" i="17"/>
  <c r="DR104" i="17"/>
  <c r="DS104" i="17"/>
  <c r="DT104" i="17"/>
  <c r="DU104" i="17"/>
  <c r="DV104" i="17"/>
  <c r="DW104" i="17"/>
  <c r="DX104" i="17"/>
  <c r="DY104" i="17"/>
  <c r="DZ104" i="17"/>
  <c r="EA104" i="17"/>
  <c r="EB104" i="17"/>
  <c r="EC104" i="17"/>
  <c r="ED104" i="17"/>
  <c r="EE104" i="17"/>
  <c r="EF104" i="17"/>
  <c r="EG104" i="17"/>
  <c r="EH104" i="17"/>
  <c r="EI104" i="17"/>
  <c r="EJ104" i="17"/>
  <c r="EK104" i="17"/>
  <c r="EL104" i="17"/>
  <c r="EM104" i="17"/>
  <c r="EN104" i="17"/>
  <c r="EO104" i="17"/>
  <c r="EP104" i="17"/>
  <c r="EQ104" i="17"/>
  <c r="ER104" i="17"/>
  <c r="ES104" i="17"/>
  <c r="ET104" i="17"/>
  <c r="EU104" i="17"/>
  <c r="EV104" i="17"/>
  <c r="EW104" i="17"/>
  <c r="EX104" i="17"/>
  <c r="EY104" i="17"/>
  <c r="EZ104" i="17"/>
  <c r="FA104" i="17"/>
  <c r="FB104" i="17"/>
  <c r="FC104" i="17"/>
  <c r="FD104" i="17"/>
  <c r="FE104" i="17"/>
  <c r="FF104" i="17"/>
  <c r="FG104" i="17"/>
  <c r="FH104" i="17"/>
  <c r="FI104" i="17"/>
  <c r="FJ104" i="17"/>
  <c r="FK104" i="17"/>
  <c r="FL104" i="17"/>
  <c r="FM104" i="17"/>
  <c r="FN104" i="17"/>
  <c r="FO104" i="17"/>
  <c r="FP104" i="17"/>
  <c r="FQ104" i="17"/>
  <c r="FR104" i="17"/>
  <c r="FS104" i="17"/>
  <c r="FT104" i="17"/>
  <c r="FU104" i="17"/>
  <c r="FV104" i="17"/>
  <c r="FW104" i="17"/>
  <c r="FX104" i="17"/>
  <c r="FY104" i="17"/>
  <c r="FZ104" i="17"/>
  <c r="GA104" i="17"/>
  <c r="GB104" i="17"/>
  <c r="GC104" i="17"/>
  <c r="GD104" i="17"/>
  <c r="GE104" i="17"/>
  <c r="GF104" i="17"/>
  <c r="GG104" i="17"/>
  <c r="GH104" i="17"/>
  <c r="GI104" i="17"/>
  <c r="GJ104" i="17"/>
  <c r="GK104" i="17"/>
  <c r="GL104" i="17"/>
  <c r="GM104" i="17"/>
  <c r="GN104" i="17"/>
  <c r="GO104" i="17"/>
  <c r="GP104" i="17"/>
  <c r="GQ104" i="17"/>
  <c r="GR104" i="17"/>
  <c r="GS104" i="17"/>
  <c r="GT104" i="17"/>
  <c r="GU104" i="17"/>
  <c r="GV104" i="17"/>
  <c r="GW104" i="17"/>
  <c r="GX104" i="17"/>
  <c r="GY104" i="17"/>
  <c r="GZ104" i="17"/>
  <c r="HA104" i="17"/>
  <c r="HB104" i="17"/>
  <c r="HC104" i="17"/>
  <c r="HD104" i="17"/>
  <c r="HE104" i="17"/>
  <c r="HF104" i="17"/>
  <c r="HG104" i="17"/>
  <c r="HH104" i="17"/>
  <c r="HI104" i="17"/>
  <c r="HJ104" i="17"/>
  <c r="HK104" i="17"/>
  <c r="HL104" i="17"/>
  <c r="HM104" i="17"/>
  <c r="HN104" i="17"/>
  <c r="HO104" i="17"/>
  <c r="HP104" i="17"/>
  <c r="HQ104" i="17"/>
  <c r="HR104" i="17"/>
  <c r="HS104" i="17"/>
  <c r="HT104" i="17"/>
  <c r="HU104" i="17"/>
  <c r="HV104" i="17"/>
  <c r="HW104" i="17"/>
  <c r="HX104" i="17"/>
  <c r="HY104" i="17"/>
  <c r="HZ104" i="17"/>
  <c r="IA104" i="17"/>
  <c r="IB104" i="17"/>
  <c r="IC104" i="17"/>
  <c r="ID104" i="17"/>
  <c r="IE104" i="17"/>
  <c r="IF104" i="17"/>
  <c r="IG104" i="17"/>
  <c r="IH104" i="17"/>
  <c r="II104" i="17"/>
  <c r="IJ104" i="17"/>
  <c r="IK104" i="17"/>
  <c r="IL104" i="17"/>
  <c r="IM104" i="17"/>
  <c r="IN104" i="17"/>
  <c r="IO104" i="17"/>
  <c r="IP104" i="17"/>
  <c r="IQ104" i="17"/>
  <c r="IR104" i="17"/>
  <c r="IS104" i="17"/>
  <c r="IT104" i="17"/>
  <c r="IU104" i="17"/>
  <c r="IV104" i="17"/>
  <c r="A103" i="17"/>
  <c r="B103" i="17"/>
  <c r="C103" i="17"/>
  <c r="D103" i="17"/>
  <c r="E103" i="17"/>
  <c r="F103" i="17"/>
  <c r="G103" i="17"/>
  <c r="H103" i="17"/>
  <c r="I103" i="17"/>
  <c r="J103" i="17"/>
  <c r="K103" i="17"/>
  <c r="L103" i="17"/>
  <c r="M103" i="17"/>
  <c r="N103" i="17"/>
  <c r="O103" i="17"/>
  <c r="P103" i="17"/>
  <c r="Q103" i="17"/>
  <c r="R103" i="17"/>
  <c r="S103" i="17"/>
  <c r="T103" i="17"/>
  <c r="U103" i="17"/>
  <c r="V103" i="17"/>
  <c r="W103" i="17"/>
  <c r="X103" i="17"/>
  <c r="Y103" i="17"/>
  <c r="Z103" i="17"/>
  <c r="AA103" i="17"/>
  <c r="AB103" i="17"/>
  <c r="AC103" i="17"/>
  <c r="AD103" i="17"/>
  <c r="AE103" i="17"/>
  <c r="AF103" i="17"/>
  <c r="AG103" i="17"/>
  <c r="AH103" i="17"/>
  <c r="AI103" i="17"/>
  <c r="AJ103" i="17"/>
  <c r="AK103" i="17"/>
  <c r="AL103" i="17"/>
  <c r="AM103" i="17"/>
  <c r="AN103" i="17"/>
  <c r="AO103" i="17"/>
  <c r="AP103" i="17"/>
  <c r="AQ103" i="17"/>
  <c r="AR103" i="17"/>
  <c r="AS103" i="17"/>
  <c r="AT103" i="17"/>
  <c r="AU103" i="17"/>
  <c r="AV103" i="17"/>
  <c r="AW103" i="17"/>
  <c r="AX103" i="17"/>
  <c r="AY103" i="17"/>
  <c r="AZ103" i="17"/>
  <c r="BA103" i="17"/>
  <c r="BB103" i="17"/>
  <c r="BC103" i="17"/>
  <c r="BD103" i="17"/>
  <c r="BE103" i="17"/>
  <c r="BF103" i="17"/>
  <c r="BG103" i="17"/>
  <c r="BH103" i="17"/>
  <c r="BI103" i="17"/>
  <c r="BJ103" i="17"/>
  <c r="BK103" i="17"/>
  <c r="BL103" i="17"/>
  <c r="BM103" i="17"/>
  <c r="BN103" i="17"/>
  <c r="BO103" i="17"/>
  <c r="BP103" i="17"/>
  <c r="BQ103" i="17"/>
  <c r="BR103" i="17"/>
  <c r="BS103" i="17"/>
  <c r="BT103" i="17"/>
  <c r="BU103" i="17"/>
  <c r="BV103" i="17"/>
  <c r="BW103" i="17"/>
  <c r="BX103" i="17"/>
  <c r="BY103" i="17"/>
  <c r="BZ103" i="17"/>
  <c r="CA103" i="17"/>
  <c r="CB103" i="17"/>
  <c r="CC103" i="17"/>
  <c r="CD103" i="17"/>
  <c r="CE103" i="17"/>
  <c r="CF103" i="17"/>
  <c r="CG103" i="17"/>
  <c r="CH103" i="17"/>
  <c r="CI103" i="17"/>
  <c r="CJ103" i="17"/>
  <c r="CK103" i="17"/>
  <c r="CL103" i="17"/>
  <c r="CM103" i="17"/>
  <c r="CN103" i="17"/>
  <c r="CO103" i="17"/>
  <c r="CP103" i="17"/>
  <c r="CQ103" i="17"/>
  <c r="CR103" i="17"/>
  <c r="CS103" i="17"/>
  <c r="CT103" i="17"/>
  <c r="CU103" i="17"/>
  <c r="CV103" i="17"/>
  <c r="CW103" i="17"/>
  <c r="CX103" i="17"/>
  <c r="CY103" i="17"/>
  <c r="CZ103" i="17"/>
  <c r="DA103" i="17"/>
  <c r="DB103" i="17"/>
  <c r="DC103" i="17"/>
  <c r="DD103" i="17"/>
  <c r="DE103" i="17"/>
  <c r="DF103" i="17"/>
  <c r="DG103" i="17"/>
  <c r="DH103" i="17"/>
  <c r="DI103" i="17"/>
  <c r="DJ103" i="17"/>
  <c r="DK103" i="17"/>
  <c r="DL103" i="17"/>
  <c r="DM103" i="17"/>
  <c r="DN103" i="17"/>
  <c r="DO103" i="17"/>
  <c r="DP103" i="17"/>
  <c r="DQ103" i="17"/>
  <c r="DR103" i="17"/>
  <c r="DS103" i="17"/>
  <c r="DT103" i="17"/>
  <c r="DU103" i="17"/>
  <c r="DV103" i="17"/>
  <c r="DW103" i="17"/>
  <c r="DX103" i="17"/>
  <c r="DY103" i="17"/>
  <c r="DZ103" i="17"/>
  <c r="EA103" i="17"/>
  <c r="EB103" i="17"/>
  <c r="EC103" i="17"/>
  <c r="ED103" i="17"/>
  <c r="EE103" i="17"/>
  <c r="EF103" i="17"/>
  <c r="EG103" i="17"/>
  <c r="EH103" i="17"/>
  <c r="EI103" i="17"/>
  <c r="EJ103" i="17"/>
  <c r="EK103" i="17"/>
  <c r="EL103" i="17"/>
  <c r="EM103" i="17"/>
  <c r="EN103" i="17"/>
  <c r="EO103" i="17"/>
  <c r="EP103" i="17"/>
  <c r="EQ103" i="17"/>
  <c r="ER103" i="17"/>
  <c r="ES103" i="17"/>
  <c r="ET103" i="17"/>
  <c r="EU103" i="17"/>
  <c r="EV103" i="17"/>
  <c r="EW103" i="17"/>
  <c r="EX103" i="17"/>
  <c r="EY103" i="17"/>
  <c r="EZ103" i="17"/>
  <c r="FA103" i="17"/>
  <c r="FB103" i="17"/>
  <c r="FC103" i="17"/>
  <c r="FD103" i="17"/>
  <c r="FE103" i="17"/>
  <c r="FF103" i="17"/>
  <c r="FG103" i="17"/>
  <c r="FH103" i="17"/>
  <c r="FI103" i="17"/>
  <c r="FJ103" i="17"/>
  <c r="FK103" i="17"/>
  <c r="FL103" i="17"/>
  <c r="FM103" i="17"/>
  <c r="FN103" i="17"/>
  <c r="FO103" i="17"/>
  <c r="FP103" i="17"/>
  <c r="FQ103" i="17"/>
  <c r="FR103" i="17"/>
  <c r="FS103" i="17"/>
  <c r="FT103" i="17"/>
  <c r="FU103" i="17"/>
  <c r="FV103" i="17"/>
  <c r="FW103" i="17"/>
  <c r="FX103" i="17"/>
  <c r="FY103" i="17"/>
  <c r="FZ103" i="17"/>
  <c r="GA103" i="17"/>
  <c r="GB103" i="17"/>
  <c r="GC103" i="17"/>
  <c r="GD103" i="17"/>
  <c r="GE103" i="17"/>
  <c r="GF103" i="17"/>
  <c r="GG103" i="17"/>
  <c r="GH103" i="17"/>
  <c r="GI103" i="17"/>
  <c r="GJ103" i="17"/>
  <c r="GK103" i="17"/>
  <c r="GL103" i="17"/>
  <c r="GM103" i="17"/>
  <c r="GN103" i="17"/>
  <c r="GO103" i="17"/>
  <c r="GP103" i="17"/>
  <c r="GQ103" i="17"/>
  <c r="GR103" i="17"/>
  <c r="GS103" i="17"/>
  <c r="GT103" i="17"/>
  <c r="GU103" i="17"/>
  <c r="GV103" i="17"/>
  <c r="GW103" i="17"/>
  <c r="GX103" i="17"/>
  <c r="GY103" i="17"/>
  <c r="GZ103" i="17"/>
  <c r="HA103" i="17"/>
  <c r="HB103" i="17"/>
  <c r="HC103" i="17"/>
  <c r="HD103" i="17"/>
  <c r="HE103" i="17"/>
  <c r="HF103" i="17"/>
  <c r="HG103" i="17"/>
  <c r="HH103" i="17"/>
  <c r="HI103" i="17"/>
  <c r="HJ103" i="17"/>
  <c r="HK103" i="17"/>
  <c r="HL103" i="17"/>
  <c r="HM103" i="17"/>
  <c r="HN103" i="17"/>
  <c r="HO103" i="17"/>
  <c r="HP103" i="17"/>
  <c r="HQ103" i="17"/>
  <c r="HR103" i="17"/>
  <c r="HS103" i="17"/>
  <c r="HT103" i="17"/>
  <c r="HU103" i="17"/>
  <c r="HV103" i="17"/>
  <c r="HW103" i="17"/>
  <c r="HX103" i="17"/>
  <c r="HY103" i="17"/>
  <c r="HZ103" i="17"/>
  <c r="IA103" i="17"/>
  <c r="IB103" i="17"/>
  <c r="IC103" i="17"/>
  <c r="ID103" i="17"/>
  <c r="IE103" i="17"/>
  <c r="IF103" i="17"/>
  <c r="IG103" i="17"/>
  <c r="IH103" i="17"/>
  <c r="II103" i="17"/>
  <c r="IJ103" i="17"/>
  <c r="IK103" i="17"/>
  <c r="IL103" i="17"/>
  <c r="IM103" i="17"/>
  <c r="IN103" i="17"/>
  <c r="IO103" i="17"/>
  <c r="IP103" i="17"/>
  <c r="IQ103" i="17"/>
  <c r="IR103" i="17"/>
  <c r="IS103" i="17"/>
  <c r="IT103" i="17"/>
  <c r="IU103" i="17"/>
  <c r="IV103" i="17"/>
  <c r="A102" i="17"/>
  <c r="B102" i="17"/>
  <c r="C102" i="17"/>
  <c r="D102" i="17"/>
  <c r="E102" i="17"/>
  <c r="F102" i="17"/>
  <c r="G102" i="17"/>
  <c r="H102" i="17"/>
  <c r="I102" i="17"/>
  <c r="J102" i="17"/>
  <c r="K102" i="17"/>
  <c r="L102" i="17"/>
  <c r="M102" i="17"/>
  <c r="N102" i="17"/>
  <c r="O102" i="17"/>
  <c r="P102" i="17"/>
  <c r="Q102" i="17"/>
  <c r="R102" i="17"/>
  <c r="S102" i="17"/>
  <c r="T102" i="17"/>
  <c r="U102" i="17"/>
  <c r="V102" i="17"/>
  <c r="W102" i="17"/>
  <c r="X102" i="17"/>
  <c r="Z102" i="17"/>
  <c r="AA102" i="17"/>
  <c r="AB102" i="17"/>
  <c r="AC102" i="17"/>
  <c r="AD102" i="17"/>
  <c r="AE102" i="17"/>
  <c r="AF102" i="17"/>
  <c r="AG102" i="17"/>
  <c r="AH102" i="17"/>
  <c r="AI102" i="17"/>
  <c r="AJ102" i="17"/>
  <c r="AK102" i="17"/>
  <c r="AL102" i="17"/>
  <c r="AM102" i="17"/>
  <c r="AN102" i="17"/>
  <c r="AO102" i="17"/>
  <c r="AP102" i="17"/>
  <c r="AQ102" i="17"/>
  <c r="AR102" i="17"/>
  <c r="AS102" i="17"/>
  <c r="AT102" i="17"/>
  <c r="AU102" i="17"/>
  <c r="AV102" i="17"/>
  <c r="AW102" i="17"/>
  <c r="AX102" i="17"/>
  <c r="AY102" i="17"/>
  <c r="AZ102" i="17"/>
  <c r="BA102" i="17"/>
  <c r="BB102" i="17"/>
  <c r="BC102" i="17"/>
  <c r="BD102" i="17"/>
  <c r="BE102" i="17"/>
  <c r="BF102" i="17"/>
  <c r="BG102" i="17"/>
  <c r="BH102" i="17"/>
  <c r="BI102" i="17"/>
  <c r="BJ102" i="17"/>
  <c r="BK102" i="17"/>
  <c r="BL102" i="17"/>
  <c r="BM102" i="17"/>
  <c r="BN102" i="17"/>
  <c r="BO102" i="17"/>
  <c r="BP102" i="17"/>
  <c r="BQ102" i="17"/>
  <c r="BR102" i="17"/>
  <c r="BS102" i="17"/>
  <c r="BT102" i="17"/>
  <c r="BU102" i="17"/>
  <c r="BV102" i="17"/>
  <c r="BW102" i="17"/>
  <c r="BX102" i="17"/>
  <c r="BY102" i="17"/>
  <c r="BZ102" i="17"/>
  <c r="CA102" i="17"/>
  <c r="CB102" i="17"/>
  <c r="CC102" i="17"/>
  <c r="CD102" i="17"/>
  <c r="CE102" i="17"/>
  <c r="CF102" i="17"/>
  <c r="CG102" i="17"/>
  <c r="CH102" i="17"/>
  <c r="CI102" i="17"/>
  <c r="CJ102" i="17"/>
  <c r="CK102" i="17"/>
  <c r="CL102" i="17"/>
  <c r="CM102" i="17"/>
  <c r="CN102" i="17"/>
  <c r="CO102" i="17"/>
  <c r="CP102" i="17"/>
  <c r="CQ102" i="17"/>
  <c r="CR102" i="17"/>
  <c r="CS102" i="17"/>
  <c r="CT102" i="17"/>
  <c r="CU102" i="17"/>
  <c r="CV102" i="17"/>
  <c r="CW102" i="17"/>
  <c r="CX102" i="17"/>
  <c r="CY102" i="17"/>
  <c r="CZ102" i="17"/>
  <c r="DA102" i="17"/>
  <c r="DB102" i="17"/>
  <c r="DC102" i="17"/>
  <c r="DD102" i="17"/>
  <c r="DE102" i="17"/>
  <c r="DF102" i="17"/>
  <c r="DG102" i="17"/>
  <c r="DH102" i="17"/>
  <c r="DI102" i="17"/>
  <c r="DJ102" i="17"/>
  <c r="DK102" i="17"/>
  <c r="DL102" i="17"/>
  <c r="DM102" i="17"/>
  <c r="DN102" i="17"/>
  <c r="DO102" i="17"/>
  <c r="DP102" i="17"/>
  <c r="DQ102" i="17"/>
  <c r="DR102" i="17"/>
  <c r="DS102" i="17"/>
  <c r="DT102" i="17"/>
  <c r="DU102" i="17"/>
  <c r="DV102" i="17"/>
  <c r="DW102" i="17"/>
  <c r="DX102" i="17"/>
  <c r="DY102" i="17"/>
  <c r="DZ102" i="17"/>
  <c r="EA102" i="17"/>
  <c r="EB102" i="17"/>
  <c r="EC102" i="17"/>
  <c r="ED102" i="17"/>
  <c r="EE102" i="17"/>
  <c r="EF102" i="17"/>
  <c r="EG102" i="17"/>
  <c r="EH102" i="17"/>
  <c r="EI102" i="17"/>
  <c r="EJ102" i="17"/>
  <c r="EK102" i="17"/>
  <c r="EL102" i="17"/>
  <c r="EM102" i="17"/>
  <c r="EN102" i="17"/>
  <c r="EO102" i="17"/>
  <c r="EP102" i="17"/>
  <c r="EQ102" i="17"/>
  <c r="ER102" i="17"/>
  <c r="ES102" i="17"/>
  <c r="ET102" i="17"/>
  <c r="EU102" i="17"/>
  <c r="EV102" i="17"/>
  <c r="EW102" i="17"/>
  <c r="EX102" i="17"/>
  <c r="EY102" i="17"/>
  <c r="EZ102" i="17"/>
  <c r="FA102" i="17"/>
  <c r="FB102" i="17"/>
  <c r="FC102" i="17"/>
  <c r="FD102" i="17"/>
  <c r="FE102" i="17"/>
  <c r="FF102" i="17"/>
  <c r="FG102" i="17"/>
  <c r="FH102" i="17"/>
  <c r="FI102" i="17"/>
  <c r="FJ102" i="17"/>
  <c r="FK102" i="17"/>
  <c r="FL102" i="17"/>
  <c r="FM102" i="17"/>
  <c r="FN102" i="17"/>
  <c r="FO102" i="17"/>
  <c r="FP102" i="17"/>
  <c r="FQ102" i="17"/>
  <c r="FR102" i="17"/>
  <c r="FS102" i="17"/>
  <c r="FT102" i="17"/>
  <c r="FU102" i="17"/>
  <c r="FV102" i="17"/>
  <c r="FW102" i="17"/>
  <c r="FX102" i="17"/>
  <c r="FY102" i="17"/>
  <c r="FZ102" i="17"/>
  <c r="GA102" i="17"/>
  <c r="GB102" i="17"/>
  <c r="GC102" i="17"/>
  <c r="GD102" i="17"/>
  <c r="GE102" i="17"/>
  <c r="GF102" i="17"/>
  <c r="GG102" i="17"/>
  <c r="GH102" i="17"/>
  <c r="GI102" i="17"/>
  <c r="GJ102" i="17"/>
  <c r="GK102" i="17"/>
  <c r="GL102" i="17"/>
  <c r="GM102" i="17"/>
  <c r="GN102" i="17"/>
  <c r="GO102" i="17"/>
  <c r="GP102" i="17"/>
  <c r="GQ102" i="17"/>
  <c r="GR102" i="17"/>
  <c r="GS102" i="17"/>
  <c r="GT102" i="17"/>
  <c r="GU102" i="17"/>
  <c r="GV102" i="17"/>
  <c r="GW102" i="17"/>
  <c r="GX102" i="17"/>
  <c r="GY102" i="17"/>
  <c r="GZ102" i="17"/>
  <c r="HA102" i="17"/>
  <c r="HB102" i="17"/>
  <c r="HC102" i="17"/>
  <c r="HD102" i="17"/>
  <c r="HE102" i="17"/>
  <c r="HF102" i="17"/>
  <c r="HG102" i="17"/>
  <c r="HH102" i="17"/>
  <c r="HI102" i="17"/>
  <c r="HJ102" i="17"/>
  <c r="HK102" i="17"/>
  <c r="HL102" i="17"/>
  <c r="HM102" i="17"/>
  <c r="HN102" i="17"/>
  <c r="HO102" i="17"/>
  <c r="HP102" i="17"/>
  <c r="HQ102" i="17"/>
  <c r="HR102" i="17"/>
  <c r="HS102" i="17"/>
  <c r="HT102" i="17"/>
  <c r="HU102" i="17"/>
  <c r="HV102" i="17"/>
  <c r="HW102" i="17"/>
  <c r="HX102" i="17"/>
  <c r="HY102" i="17"/>
  <c r="HZ102" i="17"/>
  <c r="IA102" i="17"/>
  <c r="IB102" i="17"/>
  <c r="IC102" i="17"/>
  <c r="ID102" i="17"/>
  <c r="IE102" i="17"/>
  <c r="IF102" i="17"/>
  <c r="IG102" i="17"/>
  <c r="IH102" i="17"/>
  <c r="II102" i="17"/>
  <c r="IJ102" i="17"/>
  <c r="IK102" i="17"/>
  <c r="IL102" i="17"/>
  <c r="IM102" i="17"/>
  <c r="IN102" i="17"/>
  <c r="IO102" i="17"/>
  <c r="IP102" i="17"/>
  <c r="IQ102" i="17"/>
  <c r="IR102" i="17"/>
  <c r="IS102" i="17"/>
  <c r="IT102" i="17"/>
  <c r="IU102" i="17"/>
  <c r="IV102" i="17"/>
  <c r="A101" i="17"/>
  <c r="B101" i="17"/>
  <c r="C101" i="17"/>
  <c r="D101" i="17"/>
  <c r="E101" i="17"/>
  <c r="F101" i="17"/>
  <c r="G101" i="17"/>
  <c r="H101" i="17"/>
  <c r="I101" i="17"/>
  <c r="J101" i="17"/>
  <c r="K101" i="17"/>
  <c r="L101" i="17"/>
  <c r="M101" i="17"/>
  <c r="N101" i="17"/>
  <c r="O101" i="17"/>
  <c r="P101" i="17"/>
  <c r="Q101" i="17"/>
  <c r="R101" i="17"/>
  <c r="S101" i="17"/>
  <c r="T101" i="17"/>
  <c r="U101" i="17"/>
  <c r="V101" i="17"/>
  <c r="W101" i="17"/>
  <c r="X101" i="17"/>
  <c r="Y101" i="17"/>
  <c r="Z101" i="17"/>
  <c r="AA101" i="17"/>
  <c r="AB101" i="17"/>
  <c r="AC101" i="17"/>
  <c r="AD101" i="17"/>
  <c r="AE101" i="17"/>
  <c r="AF101" i="17"/>
  <c r="AG101" i="17"/>
  <c r="AH101" i="17"/>
  <c r="AI101" i="17"/>
  <c r="AJ101" i="17"/>
  <c r="AK101" i="17"/>
  <c r="AL101" i="17"/>
  <c r="AM101" i="17"/>
  <c r="AN101" i="17"/>
  <c r="AO101" i="17"/>
  <c r="AP101" i="17"/>
  <c r="AQ101" i="17"/>
  <c r="AR101" i="17"/>
  <c r="AS101" i="17"/>
  <c r="AT101" i="17"/>
  <c r="AU101" i="17"/>
  <c r="AV101" i="17"/>
  <c r="AW101" i="17"/>
  <c r="AX101" i="17"/>
  <c r="AY101" i="17"/>
  <c r="AZ101" i="17"/>
  <c r="BA101" i="17"/>
  <c r="BB101" i="17"/>
  <c r="BC101" i="17"/>
  <c r="BD101" i="17"/>
  <c r="BE101" i="17"/>
  <c r="BF101" i="17"/>
  <c r="BG101" i="17"/>
  <c r="BH101" i="17"/>
  <c r="BI101" i="17"/>
  <c r="BJ101" i="17"/>
  <c r="BK101" i="17"/>
  <c r="BL101" i="17"/>
  <c r="BM101" i="17"/>
  <c r="BN101" i="17"/>
  <c r="BO101" i="17"/>
  <c r="BP101" i="17"/>
  <c r="BQ101" i="17"/>
  <c r="BR101" i="17"/>
  <c r="BS101" i="17"/>
  <c r="BT101" i="17"/>
  <c r="BU101" i="17"/>
  <c r="BV101" i="17"/>
  <c r="BW101" i="17"/>
  <c r="BX101" i="17"/>
  <c r="BY101" i="17"/>
  <c r="BZ101" i="17"/>
  <c r="CA101" i="17"/>
  <c r="CB101" i="17"/>
  <c r="CC101" i="17"/>
  <c r="CD101" i="17"/>
  <c r="CE101" i="17"/>
  <c r="CF101" i="17"/>
  <c r="CG101" i="17"/>
  <c r="CH101" i="17"/>
  <c r="CI101" i="17"/>
  <c r="CJ101" i="17"/>
  <c r="CK101" i="17"/>
  <c r="CL101" i="17"/>
  <c r="CM101" i="17"/>
  <c r="CN101" i="17"/>
  <c r="CO101" i="17"/>
  <c r="CP101" i="17"/>
  <c r="CQ101" i="17"/>
  <c r="CR101" i="17"/>
  <c r="CS101" i="17"/>
  <c r="CT101" i="17"/>
  <c r="CU101" i="17"/>
  <c r="CV101" i="17"/>
  <c r="CW101" i="17"/>
  <c r="CX101" i="17"/>
  <c r="CY101" i="17"/>
  <c r="CZ101" i="17"/>
  <c r="DA101" i="17"/>
  <c r="DB101" i="17"/>
  <c r="DC101" i="17"/>
  <c r="DD101" i="17"/>
  <c r="DE101" i="17"/>
  <c r="DF101" i="17"/>
  <c r="DG101" i="17"/>
  <c r="DH101" i="17"/>
  <c r="DI101" i="17"/>
  <c r="DJ101" i="17"/>
  <c r="DK101" i="17"/>
  <c r="DL101" i="17"/>
  <c r="DM101" i="17"/>
  <c r="DN101" i="17"/>
  <c r="DO101" i="17"/>
  <c r="DP101" i="17"/>
  <c r="DQ101" i="17"/>
  <c r="DR101" i="17"/>
  <c r="DS101" i="17"/>
  <c r="DT101" i="17"/>
  <c r="DU101" i="17"/>
  <c r="DV101" i="17"/>
  <c r="DW101" i="17"/>
  <c r="DX101" i="17"/>
  <c r="DY101" i="17"/>
  <c r="DZ101" i="17"/>
  <c r="EA101" i="17"/>
  <c r="EB101" i="17"/>
  <c r="EC101" i="17"/>
  <c r="ED101" i="17"/>
  <c r="EE101" i="17"/>
  <c r="EF101" i="17"/>
  <c r="EG101" i="17"/>
  <c r="EH101" i="17"/>
  <c r="EI101" i="17"/>
  <c r="EJ101" i="17"/>
  <c r="EK101" i="17"/>
  <c r="EL101" i="17"/>
  <c r="EM101" i="17"/>
  <c r="EN101" i="17"/>
  <c r="EO101" i="17"/>
  <c r="EP101" i="17"/>
  <c r="EQ101" i="17"/>
  <c r="ER101" i="17"/>
  <c r="ES101" i="17"/>
  <c r="ET101" i="17"/>
  <c r="EU101" i="17"/>
  <c r="EV101" i="17"/>
  <c r="EW101" i="17"/>
  <c r="EX101" i="17"/>
  <c r="EY101" i="17"/>
  <c r="EZ101" i="17"/>
  <c r="FA101" i="17"/>
  <c r="FB101" i="17"/>
  <c r="FC101" i="17"/>
  <c r="FD101" i="17"/>
  <c r="FE101" i="17"/>
  <c r="FF101" i="17"/>
  <c r="FG101" i="17"/>
  <c r="FH101" i="17"/>
  <c r="FI101" i="17"/>
  <c r="FJ101" i="17"/>
  <c r="FK101" i="17"/>
  <c r="FL101" i="17"/>
  <c r="FM101" i="17"/>
  <c r="FN101" i="17"/>
  <c r="FO101" i="17"/>
  <c r="FP101" i="17"/>
  <c r="FQ101" i="17"/>
  <c r="FR101" i="17"/>
  <c r="FS101" i="17"/>
  <c r="FT101" i="17"/>
  <c r="FU101" i="17"/>
  <c r="FV101" i="17"/>
  <c r="FW101" i="17"/>
  <c r="FX101" i="17"/>
  <c r="FY101" i="17"/>
  <c r="FZ101" i="17"/>
  <c r="GA101" i="17"/>
  <c r="GB101" i="17"/>
  <c r="GC101" i="17"/>
  <c r="GD101" i="17"/>
  <c r="GE101" i="17"/>
  <c r="GF101" i="17"/>
  <c r="GG101" i="17"/>
  <c r="GH101" i="17"/>
  <c r="GI101" i="17"/>
  <c r="GJ101" i="17"/>
  <c r="GK101" i="17"/>
  <c r="GL101" i="17"/>
  <c r="GM101" i="17"/>
  <c r="GN101" i="17"/>
  <c r="GO101" i="17"/>
  <c r="GP101" i="17"/>
  <c r="GQ101" i="17"/>
  <c r="GR101" i="17"/>
  <c r="GS101" i="17"/>
  <c r="GT101" i="17"/>
  <c r="GU101" i="17"/>
  <c r="GV101" i="17"/>
  <c r="GW101" i="17"/>
  <c r="GX101" i="17"/>
  <c r="GY101" i="17"/>
  <c r="GZ101" i="17"/>
  <c r="HA101" i="17"/>
  <c r="HB101" i="17"/>
  <c r="HC101" i="17"/>
  <c r="HD101" i="17"/>
  <c r="HE101" i="17"/>
  <c r="HF101" i="17"/>
  <c r="HG101" i="17"/>
  <c r="HH101" i="17"/>
  <c r="HI101" i="17"/>
  <c r="HJ101" i="17"/>
  <c r="HK101" i="17"/>
  <c r="HL101" i="17"/>
  <c r="HM101" i="17"/>
  <c r="HN101" i="17"/>
  <c r="HO101" i="17"/>
  <c r="HP101" i="17"/>
  <c r="HQ101" i="17"/>
  <c r="HR101" i="17"/>
  <c r="HS101" i="17"/>
  <c r="HT101" i="17"/>
  <c r="HU101" i="17"/>
  <c r="HV101" i="17"/>
  <c r="HW101" i="17"/>
  <c r="HX101" i="17"/>
  <c r="HY101" i="17"/>
  <c r="HZ101" i="17"/>
  <c r="IA101" i="17"/>
  <c r="IB101" i="17"/>
  <c r="IC101" i="17"/>
  <c r="ID101" i="17"/>
  <c r="IE101" i="17"/>
  <c r="IF101" i="17"/>
  <c r="IG101" i="17"/>
  <c r="IH101" i="17"/>
  <c r="II101" i="17"/>
  <c r="IJ101" i="17"/>
  <c r="IK101" i="17"/>
  <c r="IL101" i="17"/>
  <c r="IM101" i="17"/>
  <c r="IN101" i="17"/>
  <c r="IO101" i="17"/>
  <c r="IP101" i="17"/>
  <c r="IQ101" i="17"/>
  <c r="IR101" i="17"/>
  <c r="IS101" i="17"/>
  <c r="IT101" i="17"/>
  <c r="IU101" i="17"/>
  <c r="IV101" i="17"/>
  <c r="A100" i="17"/>
  <c r="B100" i="17"/>
  <c r="C100" i="17"/>
  <c r="D100" i="17"/>
  <c r="E100" i="17"/>
  <c r="F100" i="17"/>
  <c r="G100" i="17"/>
  <c r="H100" i="17"/>
  <c r="I100" i="17"/>
  <c r="J100" i="17"/>
  <c r="K100" i="17"/>
  <c r="L100" i="17"/>
  <c r="M100" i="17"/>
  <c r="N100" i="17"/>
  <c r="O100" i="17"/>
  <c r="P100" i="17"/>
  <c r="Q100" i="17"/>
  <c r="R100" i="17"/>
  <c r="S100" i="17"/>
  <c r="T100" i="17"/>
  <c r="U100" i="17"/>
  <c r="V100" i="17"/>
  <c r="W100" i="17"/>
  <c r="Y100" i="17"/>
  <c r="Z100" i="17"/>
  <c r="AA100" i="17"/>
  <c r="AB100" i="17"/>
  <c r="AC100" i="17"/>
  <c r="AD100" i="17"/>
  <c r="AE100" i="17"/>
  <c r="AF100" i="17"/>
  <c r="AG100" i="17"/>
  <c r="AH100" i="17"/>
  <c r="AI100" i="17"/>
  <c r="AJ100" i="17"/>
  <c r="AK100" i="17"/>
  <c r="AL100" i="17"/>
  <c r="AM100" i="17"/>
  <c r="AN100" i="17"/>
  <c r="AO100" i="17"/>
  <c r="AP100" i="17"/>
  <c r="AQ100" i="17"/>
  <c r="AR100" i="17"/>
  <c r="AS100" i="17"/>
  <c r="AT100" i="17"/>
  <c r="AU100" i="17"/>
  <c r="AV100" i="17"/>
  <c r="AW100" i="17"/>
  <c r="AX100" i="17"/>
  <c r="AY100" i="17"/>
  <c r="AZ100" i="17"/>
  <c r="BA100" i="17"/>
  <c r="BB100" i="17"/>
  <c r="BC100" i="17"/>
  <c r="BD100" i="17"/>
  <c r="BE100" i="17"/>
  <c r="BF100" i="17"/>
  <c r="BG100" i="17"/>
  <c r="BH100" i="17"/>
  <c r="BI100" i="17"/>
  <c r="BJ100" i="17"/>
  <c r="BK100" i="17"/>
  <c r="BL100" i="17"/>
  <c r="BM100" i="17"/>
  <c r="BN100" i="17"/>
  <c r="BO100" i="17"/>
  <c r="BP100" i="17"/>
  <c r="BQ100" i="17"/>
  <c r="BR100" i="17"/>
  <c r="BS100" i="17"/>
  <c r="BT100" i="17"/>
  <c r="BU100" i="17"/>
  <c r="BV100" i="17"/>
  <c r="BW100" i="17"/>
  <c r="BX100" i="17"/>
  <c r="BY100" i="17"/>
  <c r="BZ100" i="17"/>
  <c r="CA100" i="17"/>
  <c r="CB100" i="17"/>
  <c r="CC100" i="17"/>
  <c r="CD100" i="17"/>
  <c r="CE100" i="17"/>
  <c r="CF100" i="17"/>
  <c r="CG100" i="17"/>
  <c r="CH100" i="17"/>
  <c r="CI100" i="17"/>
  <c r="CJ100" i="17"/>
  <c r="CK100" i="17"/>
  <c r="CL100" i="17"/>
  <c r="CM100" i="17"/>
  <c r="CN100" i="17"/>
  <c r="CO100" i="17"/>
  <c r="CP100" i="17"/>
  <c r="CQ100" i="17"/>
  <c r="CR100" i="17"/>
  <c r="CS100" i="17"/>
  <c r="CT100" i="17"/>
  <c r="CU100" i="17"/>
  <c r="CV100" i="17"/>
  <c r="CW100" i="17"/>
  <c r="CX100" i="17"/>
  <c r="CY100" i="17"/>
  <c r="CZ100" i="17"/>
  <c r="DA100" i="17"/>
  <c r="DB100" i="17"/>
  <c r="DC100" i="17"/>
  <c r="DD100" i="17"/>
  <c r="DE100" i="17"/>
  <c r="DF100" i="17"/>
  <c r="DG100" i="17"/>
  <c r="DH100" i="17"/>
  <c r="DI100" i="17"/>
  <c r="DJ100" i="17"/>
  <c r="DK100" i="17"/>
  <c r="DL100" i="17"/>
  <c r="DM100" i="17"/>
  <c r="DN100" i="17"/>
  <c r="DO100" i="17"/>
  <c r="DP100" i="17"/>
  <c r="DQ100" i="17"/>
  <c r="DR100" i="17"/>
  <c r="DS100" i="17"/>
  <c r="DT100" i="17"/>
  <c r="DU100" i="17"/>
  <c r="DV100" i="17"/>
  <c r="DW100" i="17"/>
  <c r="DX100" i="17"/>
  <c r="DY100" i="17"/>
  <c r="DZ100" i="17"/>
  <c r="EA100" i="17"/>
  <c r="EB100" i="17"/>
  <c r="EC100" i="17"/>
  <c r="ED100" i="17"/>
  <c r="EE100" i="17"/>
  <c r="EF100" i="17"/>
  <c r="EG100" i="17"/>
  <c r="EH100" i="17"/>
  <c r="EI100" i="17"/>
  <c r="EJ100" i="17"/>
  <c r="EK100" i="17"/>
  <c r="EL100" i="17"/>
  <c r="EM100" i="17"/>
  <c r="EN100" i="17"/>
  <c r="EO100" i="17"/>
  <c r="EP100" i="17"/>
  <c r="EQ100" i="17"/>
  <c r="ER100" i="17"/>
  <c r="ES100" i="17"/>
  <c r="ET100" i="17"/>
  <c r="EU100" i="17"/>
  <c r="EV100" i="17"/>
  <c r="EW100" i="17"/>
  <c r="EX100" i="17"/>
  <c r="EY100" i="17"/>
  <c r="EZ100" i="17"/>
  <c r="FA100" i="17"/>
  <c r="FB100" i="17"/>
  <c r="FC100" i="17"/>
  <c r="FD100" i="17"/>
  <c r="FE100" i="17"/>
  <c r="FF100" i="17"/>
  <c r="FG100" i="17"/>
  <c r="FH100" i="17"/>
  <c r="FI100" i="17"/>
  <c r="FJ100" i="17"/>
  <c r="FK100" i="17"/>
  <c r="FL100" i="17"/>
  <c r="FM100" i="17"/>
  <c r="FN100" i="17"/>
  <c r="FO100" i="17"/>
  <c r="FP100" i="17"/>
  <c r="FQ100" i="17"/>
  <c r="FR100" i="17"/>
  <c r="FS100" i="17"/>
  <c r="FT100" i="17"/>
  <c r="FU100" i="17"/>
  <c r="FV100" i="17"/>
  <c r="FW100" i="17"/>
  <c r="FX100" i="17"/>
  <c r="FY100" i="17"/>
  <c r="FZ100" i="17"/>
  <c r="GA100" i="17"/>
  <c r="GB100" i="17"/>
  <c r="GC100" i="17"/>
  <c r="GD100" i="17"/>
  <c r="GE100" i="17"/>
  <c r="GF100" i="17"/>
  <c r="GG100" i="17"/>
  <c r="GH100" i="17"/>
  <c r="GI100" i="17"/>
  <c r="GJ100" i="17"/>
  <c r="GK100" i="17"/>
  <c r="GL100" i="17"/>
  <c r="GM100" i="17"/>
  <c r="GN100" i="17"/>
  <c r="GO100" i="17"/>
  <c r="GP100" i="17"/>
  <c r="GQ100" i="17"/>
  <c r="GR100" i="17"/>
  <c r="GS100" i="17"/>
  <c r="GT100" i="17"/>
  <c r="GU100" i="17"/>
  <c r="GV100" i="17"/>
  <c r="GW100" i="17"/>
  <c r="GX100" i="17"/>
  <c r="GY100" i="17"/>
  <c r="GZ100" i="17"/>
  <c r="HA100" i="17"/>
  <c r="HB100" i="17"/>
  <c r="HC100" i="17"/>
  <c r="HD100" i="17"/>
  <c r="HE100" i="17"/>
  <c r="HF100" i="17"/>
  <c r="HG100" i="17"/>
  <c r="HH100" i="17"/>
  <c r="HI100" i="17"/>
  <c r="HJ100" i="17"/>
  <c r="HK100" i="17"/>
  <c r="HL100" i="17"/>
  <c r="HM100" i="17"/>
  <c r="HN100" i="17"/>
  <c r="HO100" i="17"/>
  <c r="HP100" i="17"/>
  <c r="HQ100" i="17"/>
  <c r="HR100" i="17"/>
  <c r="HS100" i="17"/>
  <c r="HT100" i="17"/>
  <c r="HU100" i="17"/>
  <c r="HV100" i="17"/>
  <c r="HW100" i="17"/>
  <c r="HX100" i="17"/>
  <c r="HY100" i="17"/>
  <c r="HZ100" i="17"/>
  <c r="IA100" i="17"/>
  <c r="IB100" i="17"/>
  <c r="IC100" i="17"/>
  <c r="ID100" i="17"/>
  <c r="IE100" i="17"/>
  <c r="IF100" i="17"/>
  <c r="IG100" i="17"/>
  <c r="IH100" i="17"/>
  <c r="II100" i="17"/>
  <c r="IJ100" i="17"/>
  <c r="IK100" i="17"/>
  <c r="IL100" i="17"/>
  <c r="IM100" i="17"/>
  <c r="IN100" i="17"/>
  <c r="IO100" i="17"/>
  <c r="IP100" i="17"/>
  <c r="IQ100" i="17"/>
  <c r="IR100" i="17"/>
  <c r="IS100" i="17"/>
  <c r="IT100" i="17"/>
  <c r="IU100" i="17"/>
  <c r="IV100" i="17"/>
  <c r="A99" i="17"/>
  <c r="B99" i="17"/>
  <c r="C99" i="17"/>
  <c r="D99" i="17"/>
  <c r="E99" i="17"/>
  <c r="F99" i="17"/>
  <c r="G99" i="17"/>
  <c r="H99" i="17"/>
  <c r="I99" i="17"/>
  <c r="J99" i="17"/>
  <c r="K99" i="17"/>
  <c r="L99" i="17"/>
  <c r="M99" i="17"/>
  <c r="N99" i="17"/>
  <c r="O99" i="17"/>
  <c r="P99" i="17"/>
  <c r="Q99" i="17"/>
  <c r="R99" i="17"/>
  <c r="S99" i="17"/>
  <c r="T99" i="17"/>
  <c r="U99" i="17"/>
  <c r="V99" i="17"/>
  <c r="W99" i="17"/>
  <c r="X99" i="17"/>
  <c r="Y99" i="17"/>
  <c r="Z99" i="17"/>
  <c r="AA99" i="17"/>
  <c r="AB99" i="17"/>
  <c r="AC99" i="17"/>
  <c r="AD99" i="17"/>
  <c r="AE99" i="17"/>
  <c r="AF99" i="17"/>
  <c r="AG99" i="17"/>
  <c r="AH99" i="17"/>
  <c r="AI99" i="17"/>
  <c r="AJ99" i="17"/>
  <c r="AK99" i="17"/>
  <c r="AL99" i="17"/>
  <c r="AM99" i="17"/>
  <c r="AN99" i="17"/>
  <c r="AO99" i="17"/>
  <c r="AP99" i="17"/>
  <c r="AQ99" i="17"/>
  <c r="AR99" i="17"/>
  <c r="AS99" i="17"/>
  <c r="AT99" i="17"/>
  <c r="AU99" i="17"/>
  <c r="AV99" i="17"/>
  <c r="AW99" i="17"/>
  <c r="AX99" i="17"/>
  <c r="AY99" i="17"/>
  <c r="AZ99" i="17"/>
  <c r="BA99" i="17"/>
  <c r="BB99" i="17"/>
  <c r="BC99" i="17"/>
  <c r="BD99" i="17"/>
  <c r="BE99" i="17"/>
  <c r="BF99" i="17"/>
  <c r="BG99" i="17"/>
  <c r="BH99" i="17"/>
  <c r="BI99" i="17"/>
  <c r="BJ99" i="17"/>
  <c r="BK99" i="17"/>
  <c r="BL99" i="17"/>
  <c r="BM99" i="17"/>
  <c r="BN99" i="17"/>
  <c r="BO99" i="17"/>
  <c r="BP99" i="17"/>
  <c r="BQ99" i="17"/>
  <c r="BR99" i="17"/>
  <c r="BS99" i="17"/>
  <c r="BT99" i="17"/>
  <c r="BU99" i="17"/>
  <c r="BV99" i="17"/>
  <c r="BW99" i="17"/>
  <c r="BX99" i="17"/>
  <c r="BY99" i="17"/>
  <c r="BZ99" i="17"/>
  <c r="CA99" i="17"/>
  <c r="CB99" i="17"/>
  <c r="CC99" i="17"/>
  <c r="CD99" i="17"/>
  <c r="CE99" i="17"/>
  <c r="CF99" i="17"/>
  <c r="CG99" i="17"/>
  <c r="CH99" i="17"/>
  <c r="CI99" i="17"/>
  <c r="CJ99" i="17"/>
  <c r="CK99" i="17"/>
  <c r="CL99" i="17"/>
  <c r="CM99" i="17"/>
  <c r="CN99" i="17"/>
  <c r="CO99" i="17"/>
  <c r="CP99" i="17"/>
  <c r="CQ99" i="17"/>
  <c r="CR99" i="17"/>
  <c r="CS99" i="17"/>
  <c r="CT99" i="17"/>
  <c r="CU99" i="17"/>
  <c r="CV99" i="17"/>
  <c r="CW99" i="17"/>
  <c r="CX99" i="17"/>
  <c r="CY99" i="17"/>
  <c r="CZ99" i="17"/>
  <c r="DA99" i="17"/>
  <c r="DB99" i="17"/>
  <c r="DC99" i="17"/>
  <c r="DD99" i="17"/>
  <c r="DE99" i="17"/>
  <c r="DF99" i="17"/>
  <c r="DG99" i="17"/>
  <c r="DH99" i="17"/>
  <c r="DI99" i="17"/>
  <c r="DJ99" i="17"/>
  <c r="DK99" i="17"/>
  <c r="DL99" i="17"/>
  <c r="DM99" i="17"/>
  <c r="DN99" i="17"/>
  <c r="DO99" i="17"/>
  <c r="DP99" i="17"/>
  <c r="DQ99" i="17"/>
  <c r="DR99" i="17"/>
  <c r="DS99" i="17"/>
  <c r="DT99" i="17"/>
  <c r="DU99" i="17"/>
  <c r="DV99" i="17"/>
  <c r="DW99" i="17"/>
  <c r="DX99" i="17"/>
  <c r="DY99" i="17"/>
  <c r="DZ99" i="17"/>
  <c r="EA99" i="17"/>
  <c r="EB99" i="17"/>
  <c r="EC99" i="17"/>
  <c r="ED99" i="17"/>
  <c r="EE99" i="17"/>
  <c r="EF99" i="17"/>
  <c r="EG99" i="17"/>
  <c r="EH99" i="17"/>
  <c r="EI99" i="17"/>
  <c r="EJ99" i="17"/>
  <c r="EK99" i="17"/>
  <c r="EL99" i="17"/>
  <c r="EM99" i="17"/>
  <c r="EN99" i="17"/>
  <c r="EO99" i="17"/>
  <c r="EP99" i="17"/>
  <c r="EQ99" i="17"/>
  <c r="ER99" i="17"/>
  <c r="ES99" i="17"/>
  <c r="ET99" i="17"/>
  <c r="EU99" i="17"/>
  <c r="EV99" i="17"/>
  <c r="EW99" i="17"/>
  <c r="EX99" i="17"/>
  <c r="EY99" i="17"/>
  <c r="EZ99" i="17"/>
  <c r="FA99" i="17"/>
  <c r="FB99" i="17"/>
  <c r="FC99" i="17"/>
  <c r="FD99" i="17"/>
  <c r="FE99" i="17"/>
  <c r="FF99" i="17"/>
  <c r="FG99" i="17"/>
  <c r="FH99" i="17"/>
  <c r="FI99" i="17"/>
  <c r="FJ99" i="17"/>
  <c r="FK99" i="17"/>
  <c r="FL99" i="17"/>
  <c r="FM99" i="17"/>
  <c r="FN99" i="17"/>
  <c r="FO99" i="17"/>
  <c r="FP99" i="17"/>
  <c r="FQ99" i="17"/>
  <c r="FR99" i="17"/>
  <c r="FS99" i="17"/>
  <c r="FT99" i="17"/>
  <c r="FU99" i="17"/>
  <c r="FV99" i="17"/>
  <c r="FW99" i="17"/>
  <c r="FX99" i="17"/>
  <c r="FY99" i="17"/>
  <c r="FZ99" i="17"/>
  <c r="GA99" i="17"/>
  <c r="GB99" i="17"/>
  <c r="GC99" i="17"/>
  <c r="GD99" i="17"/>
  <c r="GE99" i="17"/>
  <c r="GF99" i="17"/>
  <c r="GG99" i="17"/>
  <c r="GH99" i="17"/>
  <c r="GI99" i="17"/>
  <c r="GJ99" i="17"/>
  <c r="GK99" i="17"/>
  <c r="GL99" i="17"/>
  <c r="GM99" i="17"/>
  <c r="GN99" i="17"/>
  <c r="GO99" i="17"/>
  <c r="GP99" i="17"/>
  <c r="GQ99" i="17"/>
  <c r="GR99" i="17"/>
  <c r="GS99" i="17"/>
  <c r="GT99" i="17"/>
  <c r="GU99" i="17"/>
  <c r="GV99" i="17"/>
  <c r="GW99" i="17"/>
  <c r="GX99" i="17"/>
  <c r="GY99" i="17"/>
  <c r="GZ99" i="17"/>
  <c r="HA99" i="17"/>
  <c r="HB99" i="17"/>
  <c r="HC99" i="17"/>
  <c r="HD99" i="17"/>
  <c r="HE99" i="17"/>
  <c r="HF99" i="17"/>
  <c r="HG99" i="17"/>
  <c r="HH99" i="17"/>
  <c r="HI99" i="17"/>
  <c r="HJ99" i="17"/>
  <c r="HK99" i="17"/>
  <c r="HL99" i="17"/>
  <c r="HM99" i="17"/>
  <c r="HN99" i="17"/>
  <c r="HO99" i="17"/>
  <c r="HP99" i="17"/>
  <c r="HQ99" i="17"/>
  <c r="HR99" i="17"/>
  <c r="HS99" i="17"/>
  <c r="HT99" i="17"/>
  <c r="HU99" i="17"/>
  <c r="HV99" i="17"/>
  <c r="HW99" i="17"/>
  <c r="HX99" i="17"/>
  <c r="HY99" i="17"/>
  <c r="HZ99" i="17"/>
  <c r="IA99" i="17"/>
  <c r="IB99" i="17"/>
  <c r="IC99" i="17"/>
  <c r="ID99" i="17"/>
  <c r="IE99" i="17"/>
  <c r="IF99" i="17"/>
  <c r="IG99" i="17"/>
  <c r="IH99" i="17"/>
  <c r="II99" i="17"/>
  <c r="IJ99" i="17"/>
  <c r="IK99" i="17"/>
  <c r="IL99" i="17"/>
  <c r="IM99" i="17"/>
  <c r="IN99" i="17"/>
  <c r="IO99" i="17"/>
  <c r="IP99" i="17"/>
  <c r="IQ99" i="17"/>
  <c r="IR99" i="17"/>
  <c r="IS99" i="17"/>
  <c r="IT99" i="17"/>
  <c r="IU99" i="17"/>
  <c r="IV99" i="17"/>
  <c r="A98" i="17"/>
  <c r="B98" i="17"/>
  <c r="C98" i="17"/>
  <c r="D98" i="17"/>
  <c r="E98" i="17"/>
  <c r="F98" i="17"/>
  <c r="G98" i="17"/>
  <c r="H98" i="17"/>
  <c r="I98" i="17"/>
  <c r="J98" i="17"/>
  <c r="K98" i="17"/>
  <c r="L98" i="17"/>
  <c r="M98" i="17"/>
  <c r="N98" i="17"/>
  <c r="O98" i="17"/>
  <c r="P98" i="17"/>
  <c r="Q98" i="17"/>
  <c r="R98" i="17"/>
  <c r="S98" i="17"/>
  <c r="T98" i="17"/>
  <c r="U98" i="17"/>
  <c r="V98" i="17"/>
  <c r="X98" i="17"/>
  <c r="Y98" i="17"/>
  <c r="Z98" i="17"/>
  <c r="AA98" i="17"/>
  <c r="AB98" i="17"/>
  <c r="AC98" i="17"/>
  <c r="AD98" i="17"/>
  <c r="AE98" i="17"/>
  <c r="AF98" i="17"/>
  <c r="AG98" i="17"/>
  <c r="AH98" i="17"/>
  <c r="AI98" i="17"/>
  <c r="AJ98" i="17"/>
  <c r="AK98" i="17"/>
  <c r="AL98" i="17"/>
  <c r="AM98" i="17"/>
  <c r="AN98" i="17"/>
  <c r="AO98" i="17"/>
  <c r="AP98" i="17"/>
  <c r="AQ98" i="17"/>
  <c r="AR98" i="17"/>
  <c r="AS98" i="17"/>
  <c r="AT98" i="17"/>
  <c r="AU98" i="17"/>
  <c r="AV98" i="17"/>
  <c r="AW98" i="17"/>
  <c r="AX98" i="17"/>
  <c r="AY98" i="17"/>
  <c r="AZ98" i="17"/>
  <c r="BA98" i="17"/>
  <c r="BB98" i="17"/>
  <c r="BC98" i="17"/>
  <c r="BD98" i="17"/>
  <c r="BE98" i="17"/>
  <c r="BF98" i="17"/>
  <c r="BG98" i="17"/>
  <c r="BH98" i="17"/>
  <c r="BI98" i="17"/>
  <c r="BJ98" i="17"/>
  <c r="BK98" i="17"/>
  <c r="BL98" i="17"/>
  <c r="BM98" i="17"/>
  <c r="BN98" i="17"/>
  <c r="BO98" i="17"/>
  <c r="BP98" i="17"/>
  <c r="BQ98" i="17"/>
  <c r="BR98" i="17"/>
  <c r="BS98" i="17"/>
  <c r="BT98" i="17"/>
  <c r="BU98" i="17"/>
  <c r="BV98" i="17"/>
  <c r="BW98" i="17"/>
  <c r="BX98" i="17"/>
  <c r="BY98" i="17"/>
  <c r="BZ98" i="17"/>
  <c r="CA98" i="17"/>
  <c r="CB98" i="17"/>
  <c r="CC98" i="17"/>
  <c r="CD98" i="17"/>
  <c r="CE98" i="17"/>
  <c r="CF98" i="17"/>
  <c r="CG98" i="17"/>
  <c r="CH98" i="17"/>
  <c r="CI98" i="17"/>
  <c r="CJ98" i="17"/>
  <c r="CK98" i="17"/>
  <c r="CL98" i="17"/>
  <c r="CM98" i="17"/>
  <c r="CN98" i="17"/>
  <c r="CO98" i="17"/>
  <c r="CP98" i="17"/>
  <c r="CQ98" i="17"/>
  <c r="CR98" i="17"/>
  <c r="CS98" i="17"/>
  <c r="CT98" i="17"/>
  <c r="CU98" i="17"/>
  <c r="CV98" i="17"/>
  <c r="CW98" i="17"/>
  <c r="CX98" i="17"/>
  <c r="CY98" i="17"/>
  <c r="CZ98" i="17"/>
  <c r="DA98" i="17"/>
  <c r="DB98" i="17"/>
  <c r="DC98" i="17"/>
  <c r="DD98" i="17"/>
  <c r="DE98" i="17"/>
  <c r="DF98" i="17"/>
  <c r="DG98" i="17"/>
  <c r="DH98" i="17"/>
  <c r="DI98" i="17"/>
  <c r="DJ98" i="17"/>
  <c r="DK98" i="17"/>
  <c r="DL98" i="17"/>
  <c r="DM98" i="17"/>
  <c r="DN98" i="17"/>
  <c r="DO98" i="17"/>
  <c r="DP98" i="17"/>
  <c r="DQ98" i="17"/>
  <c r="DR98" i="17"/>
  <c r="DS98" i="17"/>
  <c r="DT98" i="17"/>
  <c r="DU98" i="17"/>
  <c r="DV98" i="17"/>
  <c r="DW98" i="17"/>
  <c r="DX98" i="17"/>
  <c r="DY98" i="17"/>
  <c r="DZ98" i="17"/>
  <c r="EA98" i="17"/>
  <c r="EB98" i="17"/>
  <c r="EC98" i="17"/>
  <c r="ED98" i="17"/>
  <c r="EE98" i="17"/>
  <c r="EF98" i="17"/>
  <c r="EG98" i="17"/>
  <c r="EH98" i="17"/>
  <c r="EI98" i="17"/>
  <c r="EJ98" i="17"/>
  <c r="EK98" i="17"/>
  <c r="EL98" i="17"/>
  <c r="EM98" i="17"/>
  <c r="EN98" i="17"/>
  <c r="EO98" i="17"/>
  <c r="EP98" i="17"/>
  <c r="EQ98" i="17"/>
  <c r="ER98" i="17"/>
  <c r="ES98" i="17"/>
  <c r="ET98" i="17"/>
  <c r="EU98" i="17"/>
  <c r="EV98" i="17"/>
  <c r="EW98" i="17"/>
  <c r="EX98" i="17"/>
  <c r="EY98" i="17"/>
  <c r="EZ98" i="17"/>
  <c r="FA98" i="17"/>
  <c r="FB98" i="17"/>
  <c r="FC98" i="17"/>
  <c r="FD98" i="17"/>
  <c r="FE98" i="17"/>
  <c r="FF98" i="17"/>
  <c r="FG98" i="17"/>
  <c r="FH98" i="17"/>
  <c r="FI98" i="17"/>
  <c r="FJ98" i="17"/>
  <c r="FK98" i="17"/>
  <c r="FL98" i="17"/>
  <c r="FM98" i="17"/>
  <c r="FN98" i="17"/>
  <c r="FO98" i="17"/>
  <c r="FP98" i="17"/>
  <c r="FQ98" i="17"/>
  <c r="FR98" i="17"/>
  <c r="FS98" i="17"/>
  <c r="FT98" i="17"/>
  <c r="FU98" i="17"/>
  <c r="FV98" i="17"/>
  <c r="FW98" i="17"/>
  <c r="FX98" i="17"/>
  <c r="FY98" i="17"/>
  <c r="FZ98" i="17"/>
  <c r="GA98" i="17"/>
  <c r="GB98" i="17"/>
  <c r="GC98" i="17"/>
  <c r="GD98" i="17"/>
  <c r="GE98" i="17"/>
  <c r="GF98" i="17"/>
  <c r="GG98" i="17"/>
  <c r="GH98" i="17"/>
  <c r="GI98" i="17"/>
  <c r="GJ98" i="17"/>
  <c r="GK98" i="17"/>
  <c r="GL98" i="17"/>
  <c r="GM98" i="17"/>
  <c r="GN98" i="17"/>
  <c r="GO98" i="17"/>
  <c r="GP98" i="17"/>
  <c r="GQ98" i="17"/>
  <c r="GR98" i="17"/>
  <c r="GS98" i="17"/>
  <c r="GT98" i="17"/>
  <c r="GU98" i="17"/>
  <c r="GV98" i="17"/>
  <c r="GW98" i="17"/>
  <c r="GX98" i="17"/>
  <c r="GY98" i="17"/>
  <c r="GZ98" i="17"/>
  <c r="HA98" i="17"/>
  <c r="HB98" i="17"/>
  <c r="HC98" i="17"/>
  <c r="HD98" i="17"/>
  <c r="HE98" i="17"/>
  <c r="HF98" i="17"/>
  <c r="HG98" i="17"/>
  <c r="HH98" i="17"/>
  <c r="HI98" i="17"/>
  <c r="HJ98" i="17"/>
  <c r="HK98" i="17"/>
  <c r="HL98" i="17"/>
  <c r="HM98" i="17"/>
  <c r="HN98" i="17"/>
  <c r="HO98" i="17"/>
  <c r="HP98" i="17"/>
  <c r="HQ98" i="17"/>
  <c r="HR98" i="17"/>
  <c r="HS98" i="17"/>
  <c r="HT98" i="17"/>
  <c r="HU98" i="17"/>
  <c r="HV98" i="17"/>
  <c r="HW98" i="17"/>
  <c r="HX98" i="17"/>
  <c r="HY98" i="17"/>
  <c r="HZ98" i="17"/>
  <c r="IA98" i="17"/>
  <c r="IB98" i="17"/>
  <c r="IC98" i="17"/>
  <c r="ID98" i="17"/>
  <c r="IE98" i="17"/>
  <c r="IF98" i="17"/>
  <c r="IG98" i="17"/>
  <c r="IH98" i="17"/>
  <c r="II98" i="17"/>
  <c r="IJ98" i="17"/>
  <c r="IK98" i="17"/>
  <c r="IL98" i="17"/>
  <c r="IM98" i="17"/>
  <c r="IN98" i="17"/>
  <c r="IO98" i="17"/>
  <c r="IP98" i="17"/>
  <c r="IQ98" i="17"/>
  <c r="IR98" i="17"/>
  <c r="IS98" i="17"/>
  <c r="IT98" i="17"/>
  <c r="IU98" i="17"/>
  <c r="IV98" i="17"/>
  <c r="A97" i="17"/>
  <c r="B97" i="17"/>
  <c r="C97" i="17"/>
  <c r="D97" i="17"/>
  <c r="E97" i="17"/>
  <c r="F97" i="17"/>
  <c r="G97" i="17"/>
  <c r="H97" i="17"/>
  <c r="I97" i="17"/>
  <c r="J97" i="17"/>
  <c r="K97" i="17"/>
  <c r="L97" i="17"/>
  <c r="M97" i="17"/>
  <c r="N97" i="17"/>
  <c r="O97" i="17"/>
  <c r="P97" i="17"/>
  <c r="Q97" i="17"/>
  <c r="R97" i="17"/>
  <c r="S97" i="17"/>
  <c r="T97" i="17"/>
  <c r="U97" i="17"/>
  <c r="V97" i="17"/>
  <c r="W97" i="17"/>
  <c r="X97" i="17"/>
  <c r="Y97" i="17"/>
  <c r="Z97" i="17"/>
  <c r="AA97" i="17"/>
  <c r="AB97" i="17"/>
  <c r="AC97" i="17"/>
  <c r="AD97" i="17"/>
  <c r="AE97" i="17"/>
  <c r="AF97" i="17"/>
  <c r="AG97" i="17"/>
  <c r="AH97" i="17"/>
  <c r="AI97" i="17"/>
  <c r="AJ97" i="17"/>
  <c r="AK97" i="17"/>
  <c r="AL97" i="17"/>
  <c r="AM97" i="17"/>
  <c r="AN97" i="17"/>
  <c r="AO97" i="17"/>
  <c r="AP97" i="17"/>
  <c r="AQ97" i="17"/>
  <c r="AR97" i="17"/>
  <c r="AS97" i="17"/>
  <c r="AT97" i="17"/>
  <c r="AU97" i="17"/>
  <c r="AV97" i="17"/>
  <c r="AW97" i="17"/>
  <c r="AX97" i="17"/>
  <c r="AY97" i="17"/>
  <c r="AZ97" i="17"/>
  <c r="BA97" i="17"/>
  <c r="BB97" i="17"/>
  <c r="BC97" i="17"/>
  <c r="BD97" i="17"/>
  <c r="BE97" i="17"/>
  <c r="BF97" i="17"/>
  <c r="BG97" i="17"/>
  <c r="BH97" i="17"/>
  <c r="BI97" i="17"/>
  <c r="BJ97" i="17"/>
  <c r="BK97" i="17"/>
  <c r="BL97" i="17"/>
  <c r="BM97" i="17"/>
  <c r="BN97" i="17"/>
  <c r="BO97" i="17"/>
  <c r="BP97" i="17"/>
  <c r="BQ97" i="17"/>
  <c r="BR97" i="17"/>
  <c r="BS97" i="17"/>
  <c r="BT97" i="17"/>
  <c r="BU97" i="17"/>
  <c r="BV97" i="17"/>
  <c r="BW97" i="17"/>
  <c r="BX97" i="17"/>
  <c r="BY97" i="17"/>
  <c r="BZ97" i="17"/>
  <c r="CA97" i="17"/>
  <c r="CB97" i="17"/>
  <c r="CC97" i="17"/>
  <c r="CD97" i="17"/>
  <c r="CE97" i="17"/>
  <c r="CF97" i="17"/>
  <c r="CG97" i="17"/>
  <c r="CH97" i="17"/>
  <c r="CI97" i="17"/>
  <c r="CJ97" i="17"/>
  <c r="CK97" i="17"/>
  <c r="CL97" i="17"/>
  <c r="CM97" i="17"/>
  <c r="CN97" i="17"/>
  <c r="CO97" i="17"/>
  <c r="CP97" i="17"/>
  <c r="CQ97" i="17"/>
  <c r="CR97" i="17"/>
  <c r="CS97" i="17"/>
  <c r="CT97" i="17"/>
  <c r="CU97" i="17"/>
  <c r="CV97" i="17"/>
  <c r="CW97" i="17"/>
  <c r="CX97" i="17"/>
  <c r="CY97" i="17"/>
  <c r="CZ97" i="17"/>
  <c r="DA97" i="17"/>
  <c r="DB97" i="17"/>
  <c r="DC97" i="17"/>
  <c r="DD97" i="17"/>
  <c r="DE97" i="17"/>
  <c r="DF97" i="17"/>
  <c r="DG97" i="17"/>
  <c r="DH97" i="17"/>
  <c r="DI97" i="17"/>
  <c r="DJ97" i="17"/>
  <c r="DK97" i="17"/>
  <c r="DL97" i="17"/>
  <c r="DM97" i="17"/>
  <c r="DN97" i="17"/>
  <c r="DO97" i="17"/>
  <c r="DP97" i="17"/>
  <c r="DQ97" i="17"/>
  <c r="DR97" i="17"/>
  <c r="DS97" i="17"/>
  <c r="DT97" i="17"/>
  <c r="DU97" i="17"/>
  <c r="DV97" i="17"/>
  <c r="DW97" i="17"/>
  <c r="DX97" i="17"/>
  <c r="DY97" i="17"/>
  <c r="DZ97" i="17"/>
  <c r="EA97" i="17"/>
  <c r="EB97" i="17"/>
  <c r="EC97" i="17"/>
  <c r="ED97" i="17"/>
  <c r="EE97" i="17"/>
  <c r="EF97" i="17"/>
  <c r="EG97" i="17"/>
  <c r="EH97" i="17"/>
  <c r="EI97" i="17"/>
  <c r="EJ97" i="17"/>
  <c r="EK97" i="17"/>
  <c r="EL97" i="17"/>
  <c r="EM97" i="17"/>
  <c r="EN97" i="17"/>
  <c r="EO97" i="17"/>
  <c r="EP97" i="17"/>
  <c r="EQ97" i="17"/>
  <c r="ER97" i="17"/>
  <c r="ES97" i="17"/>
  <c r="ET97" i="17"/>
  <c r="EU97" i="17"/>
  <c r="EV97" i="17"/>
  <c r="EW97" i="17"/>
  <c r="EX97" i="17"/>
  <c r="EY97" i="17"/>
  <c r="EZ97" i="17"/>
  <c r="FA97" i="17"/>
  <c r="FB97" i="17"/>
  <c r="FC97" i="17"/>
  <c r="FD97" i="17"/>
  <c r="FE97" i="17"/>
  <c r="FF97" i="17"/>
  <c r="FG97" i="17"/>
  <c r="FH97" i="17"/>
  <c r="FI97" i="17"/>
  <c r="FJ97" i="17"/>
  <c r="FK97" i="17"/>
  <c r="FL97" i="17"/>
  <c r="FM97" i="17"/>
  <c r="FN97" i="17"/>
  <c r="FO97" i="17"/>
  <c r="FP97" i="17"/>
  <c r="FQ97" i="17"/>
  <c r="FR97" i="17"/>
  <c r="FS97" i="17"/>
  <c r="FT97" i="17"/>
  <c r="FU97" i="17"/>
  <c r="FV97" i="17"/>
  <c r="FW97" i="17"/>
  <c r="FX97" i="17"/>
  <c r="FY97" i="17"/>
  <c r="FZ97" i="17"/>
  <c r="GA97" i="17"/>
  <c r="GB97" i="17"/>
  <c r="GC97" i="17"/>
  <c r="GD97" i="17"/>
  <c r="GE97" i="17"/>
  <c r="GF97" i="17"/>
  <c r="GG97" i="17"/>
  <c r="GH97" i="17"/>
  <c r="GI97" i="17"/>
  <c r="GJ97" i="17"/>
  <c r="GK97" i="17"/>
  <c r="GL97" i="17"/>
  <c r="GM97" i="17"/>
  <c r="GN97" i="17"/>
  <c r="GO97" i="17"/>
  <c r="GP97" i="17"/>
  <c r="GQ97" i="17"/>
  <c r="GR97" i="17"/>
  <c r="GS97" i="17"/>
  <c r="GT97" i="17"/>
  <c r="GU97" i="17"/>
  <c r="GV97" i="17"/>
  <c r="GW97" i="17"/>
  <c r="GX97" i="17"/>
  <c r="GY97" i="17"/>
  <c r="GZ97" i="17"/>
  <c r="HA97" i="17"/>
  <c r="HB97" i="17"/>
  <c r="HC97" i="17"/>
  <c r="HD97" i="17"/>
  <c r="HE97" i="17"/>
  <c r="HF97" i="17"/>
  <c r="HG97" i="17"/>
  <c r="HH97" i="17"/>
  <c r="HI97" i="17"/>
  <c r="HJ97" i="17"/>
  <c r="HK97" i="17"/>
  <c r="HL97" i="17"/>
  <c r="HM97" i="17"/>
  <c r="HN97" i="17"/>
  <c r="HO97" i="17"/>
  <c r="HP97" i="17"/>
  <c r="HQ97" i="17"/>
  <c r="HR97" i="17"/>
  <c r="HS97" i="17"/>
  <c r="HT97" i="17"/>
  <c r="HU97" i="17"/>
  <c r="HV97" i="17"/>
  <c r="HW97" i="17"/>
  <c r="HX97" i="17"/>
  <c r="HY97" i="17"/>
  <c r="HZ97" i="17"/>
  <c r="IA97" i="17"/>
  <c r="IB97" i="17"/>
  <c r="IC97" i="17"/>
  <c r="ID97" i="17"/>
  <c r="IE97" i="17"/>
  <c r="IF97" i="17"/>
  <c r="IG97" i="17"/>
  <c r="IH97" i="17"/>
  <c r="II97" i="17"/>
  <c r="IJ97" i="17"/>
  <c r="IK97" i="17"/>
  <c r="IL97" i="17"/>
  <c r="IM97" i="17"/>
  <c r="IN97" i="17"/>
  <c r="IO97" i="17"/>
  <c r="IP97" i="17"/>
  <c r="IQ97" i="17"/>
  <c r="IR97" i="17"/>
  <c r="IS97" i="17"/>
  <c r="IT97" i="17"/>
  <c r="IU97" i="17"/>
  <c r="IV97" i="17"/>
  <c r="A96" i="17"/>
  <c r="B96" i="17"/>
  <c r="C96" i="17"/>
  <c r="D96" i="17"/>
  <c r="E96" i="17"/>
  <c r="F96" i="17"/>
  <c r="G96" i="17"/>
  <c r="H96" i="17"/>
  <c r="I96" i="17"/>
  <c r="J96" i="17"/>
  <c r="K96" i="17"/>
  <c r="L96" i="17"/>
  <c r="M96" i="17"/>
  <c r="N96" i="17"/>
  <c r="O96" i="17"/>
  <c r="P96" i="17"/>
  <c r="Q96" i="17"/>
  <c r="R96" i="17"/>
  <c r="S96" i="17"/>
  <c r="T96" i="17"/>
  <c r="U96" i="17"/>
  <c r="W96" i="17"/>
  <c r="X96" i="17"/>
  <c r="Y96" i="17"/>
  <c r="Z96" i="17"/>
  <c r="AA96" i="17"/>
  <c r="AB96" i="17"/>
  <c r="AC96" i="17"/>
  <c r="AD96" i="17"/>
  <c r="AE96" i="17"/>
  <c r="AF96" i="17"/>
  <c r="AG96" i="17"/>
  <c r="AH96" i="17"/>
  <c r="AI96" i="17"/>
  <c r="AJ96" i="17"/>
  <c r="AK96" i="17"/>
  <c r="AL96" i="17"/>
  <c r="AM96" i="17"/>
  <c r="AN96" i="17"/>
  <c r="AO96" i="17"/>
  <c r="AP96" i="17"/>
  <c r="AQ96" i="17"/>
  <c r="AR96" i="17"/>
  <c r="AS96" i="17"/>
  <c r="AT96" i="17"/>
  <c r="AU96" i="17"/>
  <c r="AV96" i="17"/>
  <c r="AW96" i="17"/>
  <c r="AX96" i="17"/>
  <c r="AY96" i="17"/>
  <c r="AZ96" i="17"/>
  <c r="BA96" i="17"/>
  <c r="BB96" i="17"/>
  <c r="BC96" i="17"/>
  <c r="BD96" i="17"/>
  <c r="BE96" i="17"/>
  <c r="BF96" i="17"/>
  <c r="BG96" i="17"/>
  <c r="BH96" i="17"/>
  <c r="BI96" i="17"/>
  <c r="BJ96" i="17"/>
  <c r="BK96" i="17"/>
  <c r="BL96" i="17"/>
  <c r="BM96" i="17"/>
  <c r="BN96" i="17"/>
  <c r="BO96" i="17"/>
  <c r="BP96" i="17"/>
  <c r="BQ96" i="17"/>
  <c r="BR96" i="17"/>
  <c r="BS96" i="17"/>
  <c r="BT96" i="17"/>
  <c r="BU96" i="17"/>
  <c r="BV96" i="17"/>
  <c r="BW96" i="17"/>
  <c r="BX96" i="17"/>
  <c r="BY96" i="17"/>
  <c r="BZ96" i="17"/>
  <c r="CA96" i="17"/>
  <c r="CB96" i="17"/>
  <c r="CC96" i="17"/>
  <c r="CD96" i="17"/>
  <c r="CE96" i="17"/>
  <c r="CF96" i="17"/>
  <c r="CG96" i="17"/>
  <c r="CH96" i="17"/>
  <c r="CI96" i="17"/>
  <c r="CJ96" i="17"/>
  <c r="CK96" i="17"/>
  <c r="CL96" i="17"/>
  <c r="CM96" i="17"/>
  <c r="CN96" i="17"/>
  <c r="CO96" i="17"/>
  <c r="CP96" i="17"/>
  <c r="CQ96" i="17"/>
  <c r="CR96" i="17"/>
  <c r="CS96" i="17"/>
  <c r="CT96" i="17"/>
  <c r="CU96" i="17"/>
  <c r="CV96" i="17"/>
  <c r="CW96" i="17"/>
  <c r="CX96" i="17"/>
  <c r="CY96" i="17"/>
  <c r="CZ96" i="17"/>
  <c r="DA96" i="17"/>
  <c r="DB96" i="17"/>
  <c r="DC96" i="17"/>
  <c r="DD96" i="17"/>
  <c r="DE96" i="17"/>
  <c r="DF96" i="17"/>
  <c r="DG96" i="17"/>
  <c r="DH96" i="17"/>
  <c r="DI96" i="17"/>
  <c r="DJ96" i="17"/>
  <c r="DK96" i="17"/>
  <c r="DL96" i="17"/>
  <c r="DM96" i="17"/>
  <c r="DN96" i="17"/>
  <c r="DO96" i="17"/>
  <c r="DP96" i="17"/>
  <c r="DQ96" i="17"/>
  <c r="DR96" i="17"/>
  <c r="DS96" i="17"/>
  <c r="DT96" i="17"/>
  <c r="DU96" i="17"/>
  <c r="DV96" i="17"/>
  <c r="DW96" i="17"/>
  <c r="DX96" i="17"/>
  <c r="DY96" i="17"/>
  <c r="DZ96" i="17"/>
  <c r="EA96" i="17"/>
  <c r="EB96" i="17"/>
  <c r="EC96" i="17"/>
  <c r="ED96" i="17"/>
  <c r="EE96" i="17"/>
  <c r="EF96" i="17"/>
  <c r="EG96" i="17"/>
  <c r="EH96" i="17"/>
  <c r="EI96" i="17"/>
  <c r="EJ96" i="17"/>
  <c r="EK96" i="17"/>
  <c r="EL96" i="17"/>
  <c r="EM96" i="17"/>
  <c r="EN96" i="17"/>
  <c r="EO96" i="17"/>
  <c r="EP96" i="17"/>
  <c r="EQ96" i="17"/>
  <c r="ER96" i="17"/>
  <c r="ES96" i="17"/>
  <c r="ET96" i="17"/>
  <c r="EU96" i="17"/>
  <c r="EV96" i="17"/>
  <c r="EW96" i="17"/>
  <c r="EX96" i="17"/>
  <c r="EY96" i="17"/>
  <c r="EZ96" i="17"/>
  <c r="FA96" i="17"/>
  <c r="FB96" i="17"/>
  <c r="FC96" i="17"/>
  <c r="FD96" i="17"/>
  <c r="FE96" i="17"/>
  <c r="FF96" i="17"/>
  <c r="FG96" i="17"/>
  <c r="FH96" i="17"/>
  <c r="FI96" i="17"/>
  <c r="FJ96" i="17"/>
  <c r="FK96" i="17"/>
  <c r="FL96" i="17"/>
  <c r="FM96" i="17"/>
  <c r="FN96" i="17"/>
  <c r="FO96" i="17"/>
  <c r="FP96" i="17"/>
  <c r="FQ96" i="17"/>
  <c r="FR96" i="17"/>
  <c r="FS96" i="17"/>
  <c r="FT96" i="17"/>
  <c r="FU96" i="17"/>
  <c r="FV96" i="17"/>
  <c r="FW96" i="17"/>
  <c r="FX96" i="17"/>
  <c r="FY96" i="17"/>
  <c r="FZ96" i="17"/>
  <c r="GA96" i="17"/>
  <c r="GB96" i="17"/>
  <c r="GC96" i="17"/>
  <c r="GD96" i="17"/>
  <c r="GE96" i="17"/>
  <c r="GF96" i="17"/>
  <c r="GG96" i="17"/>
  <c r="GH96" i="17"/>
  <c r="GI96" i="17"/>
  <c r="GJ96" i="17"/>
  <c r="GK96" i="17"/>
  <c r="GL96" i="17"/>
  <c r="GM96" i="17"/>
  <c r="GN96" i="17"/>
  <c r="GO96" i="17"/>
  <c r="GP96" i="17"/>
  <c r="GQ96" i="17"/>
  <c r="GR96" i="17"/>
  <c r="GS96" i="17"/>
  <c r="GT96" i="17"/>
  <c r="GU96" i="17"/>
  <c r="GV96" i="17"/>
  <c r="GW96" i="17"/>
  <c r="GX96" i="17"/>
  <c r="GY96" i="17"/>
  <c r="GZ96" i="17"/>
  <c r="HA96" i="17"/>
  <c r="HB96" i="17"/>
  <c r="HC96" i="17"/>
  <c r="HD96" i="17"/>
  <c r="HE96" i="17"/>
  <c r="HF96" i="17"/>
  <c r="HG96" i="17"/>
  <c r="HH96" i="17"/>
  <c r="HI96" i="17"/>
  <c r="HJ96" i="17"/>
  <c r="HK96" i="17"/>
  <c r="HL96" i="17"/>
  <c r="HM96" i="17"/>
  <c r="HN96" i="17"/>
  <c r="HO96" i="17"/>
  <c r="HP96" i="17"/>
  <c r="HQ96" i="17"/>
  <c r="HR96" i="17"/>
  <c r="HS96" i="17"/>
  <c r="HT96" i="17"/>
  <c r="HU96" i="17"/>
  <c r="HV96" i="17"/>
  <c r="HW96" i="17"/>
  <c r="HX96" i="17"/>
  <c r="HY96" i="17"/>
  <c r="HZ96" i="17"/>
  <c r="IA96" i="17"/>
  <c r="IB96" i="17"/>
  <c r="IC96" i="17"/>
  <c r="ID96" i="17"/>
  <c r="IE96" i="17"/>
  <c r="IF96" i="17"/>
  <c r="IG96" i="17"/>
  <c r="IH96" i="17"/>
  <c r="II96" i="17"/>
  <c r="IJ96" i="17"/>
  <c r="IK96" i="17"/>
  <c r="IL96" i="17"/>
  <c r="IM96" i="17"/>
  <c r="IN96" i="17"/>
  <c r="IO96" i="17"/>
  <c r="IP96" i="17"/>
  <c r="IQ96" i="17"/>
  <c r="IR96" i="17"/>
  <c r="IS96" i="17"/>
  <c r="IT96" i="17"/>
  <c r="IU96" i="17"/>
  <c r="IV96" i="17"/>
  <c r="A95" i="17"/>
  <c r="B95" i="17"/>
  <c r="C95" i="17"/>
  <c r="D95" i="17"/>
  <c r="E95" i="17"/>
  <c r="F95" i="17"/>
  <c r="G95" i="17"/>
  <c r="H95" i="17"/>
  <c r="I95" i="17"/>
  <c r="J95" i="17"/>
  <c r="K95" i="17"/>
  <c r="L95" i="17"/>
  <c r="M95" i="17"/>
  <c r="N95" i="17"/>
  <c r="O95" i="17"/>
  <c r="P95" i="17"/>
  <c r="Q95" i="17"/>
  <c r="R95" i="17"/>
  <c r="S95" i="17"/>
  <c r="T95" i="17"/>
  <c r="U95" i="17"/>
  <c r="V95" i="17"/>
  <c r="W95" i="17"/>
  <c r="X95" i="17"/>
  <c r="Y95" i="17"/>
  <c r="Z95" i="17"/>
  <c r="AA95" i="17"/>
  <c r="AB95" i="17"/>
  <c r="AC95" i="17"/>
  <c r="AD95" i="17"/>
  <c r="AE95" i="17"/>
  <c r="AF95" i="17"/>
  <c r="AG95" i="17"/>
  <c r="AH95" i="17"/>
  <c r="AI95" i="17"/>
  <c r="AJ95" i="17"/>
  <c r="AK95" i="17"/>
  <c r="AL95" i="17"/>
  <c r="AM95" i="17"/>
  <c r="AN95" i="17"/>
  <c r="AO95" i="17"/>
  <c r="AP95" i="17"/>
  <c r="AQ95" i="17"/>
  <c r="AR95" i="17"/>
  <c r="AS95" i="17"/>
  <c r="AT95" i="17"/>
  <c r="AU95" i="17"/>
  <c r="AV95" i="17"/>
  <c r="AW95" i="17"/>
  <c r="AX95" i="17"/>
  <c r="AY95" i="17"/>
  <c r="AZ95" i="17"/>
  <c r="BA95" i="17"/>
  <c r="BB95" i="17"/>
  <c r="BC95" i="17"/>
  <c r="BD95" i="17"/>
  <c r="BE95" i="17"/>
  <c r="BF95" i="17"/>
  <c r="BG95" i="17"/>
  <c r="BH95" i="17"/>
  <c r="BI95" i="17"/>
  <c r="BJ95" i="17"/>
  <c r="BK95" i="17"/>
  <c r="BL95" i="17"/>
  <c r="BM95" i="17"/>
  <c r="BN95" i="17"/>
  <c r="BO95" i="17"/>
  <c r="BP95" i="17"/>
  <c r="BQ95" i="17"/>
  <c r="BR95" i="17"/>
  <c r="BS95" i="17"/>
  <c r="BT95" i="17"/>
  <c r="BU95" i="17"/>
  <c r="BV95" i="17"/>
  <c r="BW95" i="17"/>
  <c r="BX95" i="17"/>
  <c r="BY95" i="17"/>
  <c r="BZ95" i="17"/>
  <c r="CA95" i="17"/>
  <c r="CB95" i="17"/>
  <c r="CC95" i="17"/>
  <c r="CD95" i="17"/>
  <c r="CE95" i="17"/>
  <c r="CF95" i="17"/>
  <c r="CG95" i="17"/>
  <c r="CH95" i="17"/>
  <c r="CI95" i="17"/>
  <c r="CJ95" i="17"/>
  <c r="CK95" i="17"/>
  <c r="CL95" i="17"/>
  <c r="CM95" i="17"/>
  <c r="CN95" i="17"/>
  <c r="CO95" i="17"/>
  <c r="CP95" i="17"/>
  <c r="CQ95" i="17"/>
  <c r="CR95" i="17"/>
  <c r="CS95" i="17"/>
  <c r="CT95" i="17"/>
  <c r="CU95" i="17"/>
  <c r="CV95" i="17"/>
  <c r="CW95" i="17"/>
  <c r="CX95" i="17"/>
  <c r="CY95" i="17"/>
  <c r="CZ95" i="17"/>
  <c r="DA95" i="17"/>
  <c r="DB95" i="17"/>
  <c r="DC95" i="17"/>
  <c r="DD95" i="17"/>
  <c r="DE95" i="17"/>
  <c r="DF95" i="17"/>
  <c r="DG95" i="17"/>
  <c r="DH95" i="17"/>
  <c r="DI95" i="17"/>
  <c r="DJ95" i="17"/>
  <c r="DK95" i="17"/>
  <c r="DL95" i="17"/>
  <c r="DM95" i="17"/>
  <c r="DN95" i="17"/>
  <c r="DO95" i="17"/>
  <c r="DP95" i="17"/>
  <c r="DQ95" i="17"/>
  <c r="DR95" i="17"/>
  <c r="DS95" i="17"/>
  <c r="DT95" i="17"/>
  <c r="DU95" i="17"/>
  <c r="DV95" i="17"/>
  <c r="DW95" i="17"/>
  <c r="DX95" i="17"/>
  <c r="DY95" i="17"/>
  <c r="DZ95" i="17"/>
  <c r="EA95" i="17"/>
  <c r="EB95" i="17"/>
  <c r="EC95" i="17"/>
  <c r="ED95" i="17"/>
  <c r="EE95" i="17"/>
  <c r="EF95" i="17"/>
  <c r="EG95" i="17"/>
  <c r="EH95" i="17"/>
  <c r="EI95" i="17"/>
  <c r="EJ95" i="17"/>
  <c r="EK95" i="17"/>
  <c r="EL95" i="17"/>
  <c r="EM95" i="17"/>
  <c r="EN95" i="17"/>
  <c r="EO95" i="17"/>
  <c r="EP95" i="17"/>
  <c r="EQ95" i="17"/>
  <c r="ER95" i="17"/>
  <c r="ES95" i="17"/>
  <c r="ET95" i="17"/>
  <c r="EU95" i="17"/>
  <c r="EV95" i="17"/>
  <c r="EW95" i="17"/>
  <c r="EX95" i="17"/>
  <c r="EY95" i="17"/>
  <c r="EZ95" i="17"/>
  <c r="FA95" i="17"/>
  <c r="FB95" i="17"/>
  <c r="FC95" i="17"/>
  <c r="FD95" i="17"/>
  <c r="FE95" i="17"/>
  <c r="FF95" i="17"/>
  <c r="FG95" i="17"/>
  <c r="FH95" i="17"/>
  <c r="FI95" i="17"/>
  <c r="FJ95" i="17"/>
  <c r="FK95" i="17"/>
  <c r="FL95" i="17"/>
  <c r="FM95" i="17"/>
  <c r="FN95" i="17"/>
  <c r="FO95" i="17"/>
  <c r="FP95" i="17"/>
  <c r="FQ95" i="17"/>
  <c r="FR95" i="17"/>
  <c r="FS95" i="17"/>
  <c r="FT95" i="17"/>
  <c r="FU95" i="17"/>
  <c r="FV95" i="17"/>
  <c r="FW95" i="17"/>
  <c r="FX95" i="17"/>
  <c r="FY95" i="17"/>
  <c r="FZ95" i="17"/>
  <c r="GA95" i="17"/>
  <c r="GB95" i="17"/>
  <c r="GC95" i="17"/>
  <c r="GD95" i="17"/>
  <c r="GE95" i="17"/>
  <c r="GF95" i="17"/>
  <c r="GG95" i="17"/>
  <c r="GH95" i="17"/>
  <c r="GI95" i="17"/>
  <c r="GJ95" i="17"/>
  <c r="GK95" i="17"/>
  <c r="GL95" i="17"/>
  <c r="GM95" i="17"/>
  <c r="GN95" i="17"/>
  <c r="GO95" i="17"/>
  <c r="GP95" i="17"/>
  <c r="GQ95" i="17"/>
  <c r="GR95" i="17"/>
  <c r="GS95" i="17"/>
  <c r="GT95" i="17"/>
  <c r="GU95" i="17"/>
  <c r="GV95" i="17"/>
  <c r="GW95" i="17"/>
  <c r="GX95" i="17"/>
  <c r="GY95" i="17"/>
  <c r="GZ95" i="17"/>
  <c r="HA95" i="17"/>
  <c r="HB95" i="17"/>
  <c r="HC95" i="17"/>
  <c r="HD95" i="17"/>
  <c r="HE95" i="17"/>
  <c r="HF95" i="17"/>
  <c r="HG95" i="17"/>
  <c r="HH95" i="17"/>
  <c r="HI95" i="17"/>
  <c r="HJ95" i="17"/>
  <c r="HK95" i="17"/>
  <c r="HL95" i="17"/>
  <c r="HM95" i="17"/>
  <c r="HN95" i="17"/>
  <c r="HO95" i="17"/>
  <c r="HP95" i="17"/>
  <c r="HQ95" i="17"/>
  <c r="HR95" i="17"/>
  <c r="HS95" i="17"/>
  <c r="HT95" i="17"/>
  <c r="HU95" i="17"/>
  <c r="HV95" i="17"/>
  <c r="HW95" i="17"/>
  <c r="HX95" i="17"/>
  <c r="HY95" i="17"/>
  <c r="HZ95" i="17"/>
  <c r="IA95" i="17"/>
  <c r="IB95" i="17"/>
  <c r="IC95" i="17"/>
  <c r="ID95" i="17"/>
  <c r="IE95" i="17"/>
  <c r="IF95" i="17"/>
  <c r="IG95" i="17"/>
  <c r="IH95" i="17"/>
  <c r="II95" i="17"/>
  <c r="IJ95" i="17"/>
  <c r="IK95" i="17"/>
  <c r="IL95" i="17"/>
  <c r="IM95" i="17"/>
  <c r="IN95" i="17"/>
  <c r="IO95" i="17"/>
  <c r="IP95" i="17"/>
  <c r="IQ95" i="17"/>
  <c r="IR95" i="17"/>
  <c r="IS95" i="17"/>
  <c r="IT95" i="17"/>
  <c r="IU95" i="17"/>
  <c r="IV95" i="17"/>
  <c r="A94" i="17"/>
  <c r="B94" i="17"/>
  <c r="C94" i="17"/>
  <c r="D94" i="17"/>
  <c r="E94" i="17"/>
  <c r="F94" i="17"/>
  <c r="G94" i="17"/>
  <c r="H94" i="17"/>
  <c r="I94" i="17"/>
  <c r="J94" i="17"/>
  <c r="K94" i="17"/>
  <c r="L94" i="17"/>
  <c r="M94" i="17"/>
  <c r="N94" i="17"/>
  <c r="O94" i="17"/>
  <c r="P94" i="17"/>
  <c r="Q94" i="17"/>
  <c r="R94" i="17"/>
  <c r="S94" i="17"/>
  <c r="T94" i="17"/>
  <c r="V94" i="17"/>
  <c r="W94" i="17"/>
  <c r="X94" i="17"/>
  <c r="Y94" i="17"/>
  <c r="Z94" i="17"/>
  <c r="AA94" i="17"/>
  <c r="AB94" i="17"/>
  <c r="AC94" i="17"/>
  <c r="AD94" i="17"/>
  <c r="AE94" i="17"/>
  <c r="AF94" i="17"/>
  <c r="AG94" i="17"/>
  <c r="AH94" i="17"/>
  <c r="AI94" i="17"/>
  <c r="AJ94" i="17"/>
  <c r="AK94" i="17"/>
  <c r="AL94" i="17"/>
  <c r="AM94" i="17"/>
  <c r="AN94" i="17"/>
  <c r="AO94" i="17"/>
  <c r="AP94" i="17"/>
  <c r="AQ94" i="17"/>
  <c r="AR94" i="17"/>
  <c r="AS94" i="17"/>
  <c r="AT94" i="17"/>
  <c r="AU94" i="17"/>
  <c r="AV94" i="17"/>
  <c r="AW94" i="17"/>
  <c r="AX94" i="17"/>
  <c r="AY94" i="17"/>
  <c r="AZ94" i="17"/>
  <c r="BA94" i="17"/>
  <c r="BB94" i="17"/>
  <c r="BC94" i="17"/>
  <c r="BD94" i="17"/>
  <c r="BE94" i="17"/>
  <c r="BF94" i="17"/>
  <c r="BG94" i="17"/>
  <c r="BH94" i="17"/>
  <c r="BI94" i="17"/>
  <c r="BJ94" i="17"/>
  <c r="BK94" i="17"/>
  <c r="BL94" i="17"/>
  <c r="BM94" i="17"/>
  <c r="BN94" i="17"/>
  <c r="BO94" i="17"/>
  <c r="BP94" i="17"/>
  <c r="BQ94" i="17"/>
  <c r="BR94" i="17"/>
  <c r="BS94" i="17"/>
  <c r="BT94" i="17"/>
  <c r="BU94" i="17"/>
  <c r="BV94" i="17"/>
  <c r="BW94" i="17"/>
  <c r="BX94" i="17"/>
  <c r="BY94" i="17"/>
  <c r="BZ94" i="17"/>
  <c r="CA94" i="17"/>
  <c r="CB94" i="17"/>
  <c r="CC94" i="17"/>
  <c r="CD94" i="17"/>
  <c r="CE94" i="17"/>
  <c r="CF94" i="17"/>
  <c r="CG94" i="17"/>
  <c r="CH94" i="17"/>
  <c r="CI94" i="17"/>
  <c r="CJ94" i="17"/>
  <c r="CK94" i="17"/>
  <c r="CL94" i="17"/>
  <c r="CM94" i="17"/>
  <c r="CN94" i="17"/>
  <c r="CO94" i="17"/>
  <c r="CP94" i="17"/>
  <c r="CQ94" i="17"/>
  <c r="CR94" i="17"/>
  <c r="CS94" i="17"/>
  <c r="CT94" i="17"/>
  <c r="CU94" i="17"/>
  <c r="CV94" i="17"/>
  <c r="CW94" i="17"/>
  <c r="CX94" i="17"/>
  <c r="CY94" i="17"/>
  <c r="CZ94" i="17"/>
  <c r="DA94" i="17"/>
  <c r="DB94" i="17"/>
  <c r="DC94" i="17"/>
  <c r="DD94" i="17"/>
  <c r="DE94" i="17"/>
  <c r="DF94" i="17"/>
  <c r="DG94" i="17"/>
  <c r="DH94" i="17"/>
  <c r="DI94" i="17"/>
  <c r="DJ94" i="17"/>
  <c r="DK94" i="17"/>
  <c r="DL94" i="17"/>
  <c r="DM94" i="17"/>
  <c r="DN94" i="17"/>
  <c r="DO94" i="17"/>
  <c r="DP94" i="17"/>
  <c r="DQ94" i="17"/>
  <c r="DR94" i="17"/>
  <c r="DS94" i="17"/>
  <c r="DT94" i="17"/>
  <c r="DU94" i="17"/>
  <c r="DV94" i="17"/>
  <c r="DW94" i="17"/>
  <c r="DX94" i="17"/>
  <c r="DY94" i="17"/>
  <c r="DZ94" i="17"/>
  <c r="EA94" i="17"/>
  <c r="EB94" i="17"/>
  <c r="EC94" i="17"/>
  <c r="ED94" i="17"/>
  <c r="EE94" i="17"/>
  <c r="EF94" i="17"/>
  <c r="EG94" i="17"/>
  <c r="EH94" i="17"/>
  <c r="EI94" i="17"/>
  <c r="EJ94" i="17"/>
  <c r="EK94" i="17"/>
  <c r="EL94" i="17"/>
  <c r="EM94" i="17"/>
  <c r="EN94" i="17"/>
  <c r="EO94" i="17"/>
  <c r="EP94" i="17"/>
  <c r="EQ94" i="17"/>
  <c r="ER94" i="17"/>
  <c r="ES94" i="17"/>
  <c r="ET94" i="17"/>
  <c r="EU94" i="17"/>
  <c r="EV94" i="17"/>
  <c r="EW94" i="17"/>
  <c r="EX94" i="17"/>
  <c r="EY94" i="17"/>
  <c r="EZ94" i="17"/>
  <c r="FA94" i="17"/>
  <c r="FB94" i="17"/>
  <c r="FC94" i="17"/>
  <c r="FD94" i="17"/>
  <c r="FE94" i="17"/>
  <c r="FF94" i="17"/>
  <c r="FG94" i="17"/>
  <c r="FH94" i="17"/>
  <c r="FI94" i="17"/>
  <c r="FJ94" i="17"/>
  <c r="FK94" i="17"/>
  <c r="FL94" i="17"/>
  <c r="FM94" i="17"/>
  <c r="FN94" i="17"/>
  <c r="FO94" i="17"/>
  <c r="FP94" i="17"/>
  <c r="FQ94" i="17"/>
  <c r="FR94" i="17"/>
  <c r="FS94" i="17"/>
  <c r="FT94" i="17"/>
  <c r="FU94" i="17"/>
  <c r="FV94" i="17"/>
  <c r="FW94" i="17"/>
  <c r="FX94" i="17"/>
  <c r="FY94" i="17"/>
  <c r="FZ94" i="17"/>
  <c r="GA94" i="17"/>
  <c r="GB94" i="17"/>
  <c r="GC94" i="17"/>
  <c r="GD94" i="17"/>
  <c r="GE94" i="17"/>
  <c r="GF94" i="17"/>
  <c r="GG94" i="17"/>
  <c r="GH94" i="17"/>
  <c r="GI94" i="17"/>
  <c r="GJ94" i="17"/>
  <c r="GK94" i="17"/>
  <c r="GL94" i="17"/>
  <c r="GM94" i="17"/>
  <c r="GN94" i="17"/>
  <c r="GO94" i="17"/>
  <c r="GP94" i="17"/>
  <c r="GQ94" i="17"/>
  <c r="GR94" i="17"/>
  <c r="GS94" i="17"/>
  <c r="GT94" i="17"/>
  <c r="GU94" i="17"/>
  <c r="GV94" i="17"/>
  <c r="GW94" i="17"/>
  <c r="GX94" i="17"/>
  <c r="GY94" i="17"/>
  <c r="GZ94" i="17"/>
  <c r="HA94" i="17"/>
  <c r="HB94" i="17"/>
  <c r="HC94" i="17"/>
  <c r="HD94" i="17"/>
  <c r="HE94" i="17"/>
  <c r="HF94" i="17"/>
  <c r="HG94" i="17"/>
  <c r="HH94" i="17"/>
  <c r="HI94" i="17"/>
  <c r="HJ94" i="17"/>
  <c r="HK94" i="17"/>
  <c r="HL94" i="17"/>
  <c r="HM94" i="17"/>
  <c r="HN94" i="17"/>
  <c r="HO94" i="17"/>
  <c r="HP94" i="17"/>
  <c r="HQ94" i="17"/>
  <c r="HR94" i="17"/>
  <c r="HS94" i="17"/>
  <c r="HT94" i="17"/>
  <c r="HU94" i="17"/>
  <c r="HV94" i="17"/>
  <c r="HW94" i="17"/>
  <c r="HX94" i="17"/>
  <c r="HY94" i="17"/>
  <c r="HZ94" i="17"/>
  <c r="IA94" i="17"/>
  <c r="IB94" i="17"/>
  <c r="IC94" i="17"/>
  <c r="ID94" i="17"/>
  <c r="IE94" i="17"/>
  <c r="IF94" i="17"/>
  <c r="IG94" i="17"/>
  <c r="IH94" i="17"/>
  <c r="II94" i="17"/>
  <c r="IJ94" i="17"/>
  <c r="IK94" i="17"/>
  <c r="IL94" i="17"/>
  <c r="IM94" i="17"/>
  <c r="IN94" i="17"/>
  <c r="IO94" i="17"/>
  <c r="IP94" i="17"/>
  <c r="IQ94" i="17"/>
  <c r="IR94" i="17"/>
  <c r="IS94" i="17"/>
  <c r="IT94" i="17"/>
  <c r="IU94" i="17"/>
  <c r="IV94" i="17"/>
  <c r="A93" i="17"/>
  <c r="B93" i="17"/>
  <c r="C93" i="17"/>
  <c r="D93" i="17"/>
  <c r="E93" i="17"/>
  <c r="F93" i="17"/>
  <c r="G93" i="17"/>
  <c r="H93" i="17"/>
  <c r="I93" i="17"/>
  <c r="J93" i="17"/>
  <c r="K93" i="17"/>
  <c r="L93" i="17"/>
  <c r="M93" i="17"/>
  <c r="N93" i="17"/>
  <c r="O93" i="17"/>
  <c r="P93" i="17"/>
  <c r="Q93" i="17"/>
  <c r="R93" i="17"/>
  <c r="S93" i="17"/>
  <c r="T93" i="17"/>
  <c r="U93" i="17"/>
  <c r="V93" i="17"/>
  <c r="W93" i="17"/>
  <c r="X93" i="17"/>
  <c r="Y93" i="17"/>
  <c r="Z93" i="17"/>
  <c r="AA93" i="17"/>
  <c r="AB93" i="17"/>
  <c r="AC93" i="17"/>
  <c r="AD93" i="17"/>
  <c r="AE93" i="17"/>
  <c r="AF93" i="17"/>
  <c r="AG93" i="17"/>
  <c r="AH93" i="17"/>
  <c r="AI93" i="17"/>
  <c r="AJ93" i="17"/>
  <c r="AK93" i="17"/>
  <c r="AL93" i="17"/>
  <c r="AM93" i="17"/>
  <c r="AN93" i="17"/>
  <c r="AO93" i="17"/>
  <c r="AP93" i="17"/>
  <c r="AQ93" i="17"/>
  <c r="AR93" i="17"/>
  <c r="AS93" i="17"/>
  <c r="AT93" i="17"/>
  <c r="AU93" i="17"/>
  <c r="AV93" i="17"/>
  <c r="AW93" i="17"/>
  <c r="AX93" i="17"/>
  <c r="AY93" i="17"/>
  <c r="AZ93" i="17"/>
  <c r="BA93" i="17"/>
  <c r="BB93" i="17"/>
  <c r="BC93" i="17"/>
  <c r="BD93" i="17"/>
  <c r="BE93" i="17"/>
  <c r="BF93" i="17"/>
  <c r="BG93" i="17"/>
  <c r="BH93" i="17"/>
  <c r="BI93" i="17"/>
  <c r="BJ93" i="17"/>
  <c r="BK93" i="17"/>
  <c r="BL93" i="17"/>
  <c r="BM93" i="17"/>
  <c r="BN93" i="17"/>
  <c r="BO93" i="17"/>
  <c r="BP93" i="17"/>
  <c r="BQ93" i="17"/>
  <c r="BR93" i="17"/>
  <c r="BS93" i="17"/>
  <c r="BT93" i="17"/>
  <c r="BU93" i="17"/>
  <c r="BV93" i="17"/>
  <c r="BW93" i="17"/>
  <c r="BX93" i="17"/>
  <c r="BY93" i="17"/>
  <c r="BZ93" i="17"/>
  <c r="CA93" i="17"/>
  <c r="CB93" i="17"/>
  <c r="CC93" i="17"/>
  <c r="CD93" i="17"/>
  <c r="CE93" i="17"/>
  <c r="CF93" i="17"/>
  <c r="CG93" i="17"/>
  <c r="CH93" i="17"/>
  <c r="CI93" i="17"/>
  <c r="CJ93" i="17"/>
  <c r="CK93" i="17"/>
  <c r="CL93" i="17"/>
  <c r="CM93" i="17"/>
  <c r="CN93" i="17"/>
  <c r="CO93" i="17"/>
  <c r="CP93" i="17"/>
  <c r="CQ93" i="17"/>
  <c r="CR93" i="17"/>
  <c r="CS93" i="17"/>
  <c r="CT93" i="17"/>
  <c r="CU93" i="17"/>
  <c r="CV93" i="17"/>
  <c r="CW93" i="17"/>
  <c r="CX93" i="17"/>
  <c r="CY93" i="17"/>
  <c r="CZ93" i="17"/>
  <c r="DA93" i="17"/>
  <c r="DB93" i="17"/>
  <c r="DC93" i="17"/>
  <c r="DD93" i="17"/>
  <c r="DE93" i="17"/>
  <c r="DF93" i="17"/>
  <c r="DG93" i="17"/>
  <c r="DH93" i="17"/>
  <c r="DI93" i="17"/>
  <c r="DJ93" i="17"/>
  <c r="DK93" i="17"/>
  <c r="DL93" i="17"/>
  <c r="DM93" i="17"/>
  <c r="DN93" i="17"/>
  <c r="DO93" i="17"/>
  <c r="DP93" i="17"/>
  <c r="DQ93" i="17"/>
  <c r="DR93" i="17"/>
  <c r="DS93" i="17"/>
  <c r="DT93" i="17"/>
  <c r="DU93" i="17"/>
  <c r="DV93" i="17"/>
  <c r="DW93" i="17"/>
  <c r="DX93" i="17"/>
  <c r="DY93" i="17"/>
  <c r="DZ93" i="17"/>
  <c r="EA93" i="17"/>
  <c r="EB93" i="17"/>
  <c r="EC93" i="17"/>
  <c r="ED93" i="17"/>
  <c r="EE93" i="17"/>
  <c r="EF93" i="17"/>
  <c r="EG93" i="17"/>
  <c r="EH93" i="17"/>
  <c r="EI93" i="17"/>
  <c r="EJ93" i="17"/>
  <c r="EK93" i="17"/>
  <c r="EL93" i="17"/>
  <c r="EM93" i="17"/>
  <c r="EN93" i="17"/>
  <c r="EO93" i="17"/>
  <c r="EP93" i="17"/>
  <c r="EQ93" i="17"/>
  <c r="ER93" i="17"/>
  <c r="ES93" i="17"/>
  <c r="ET93" i="17"/>
  <c r="EU93" i="17"/>
  <c r="EV93" i="17"/>
  <c r="EW93" i="17"/>
  <c r="EX93" i="17"/>
  <c r="EY93" i="17"/>
  <c r="EZ93" i="17"/>
  <c r="FA93" i="17"/>
  <c r="FB93" i="17"/>
  <c r="FC93" i="17"/>
  <c r="FD93" i="17"/>
  <c r="FE93" i="17"/>
  <c r="FF93" i="17"/>
  <c r="FG93" i="17"/>
  <c r="FH93" i="17"/>
  <c r="FI93" i="17"/>
  <c r="FJ93" i="17"/>
  <c r="FK93" i="17"/>
  <c r="FL93" i="17"/>
  <c r="FM93" i="17"/>
  <c r="FN93" i="17"/>
  <c r="FO93" i="17"/>
  <c r="FP93" i="17"/>
  <c r="FQ93" i="17"/>
  <c r="FR93" i="17"/>
  <c r="FS93" i="17"/>
  <c r="FT93" i="17"/>
  <c r="FU93" i="17"/>
  <c r="FV93" i="17"/>
  <c r="FW93" i="17"/>
  <c r="FX93" i="17"/>
  <c r="FY93" i="17"/>
  <c r="FZ93" i="17"/>
  <c r="GA93" i="17"/>
  <c r="GB93" i="17"/>
  <c r="GC93" i="17"/>
  <c r="GD93" i="17"/>
  <c r="GE93" i="17"/>
  <c r="GF93" i="17"/>
  <c r="GG93" i="17"/>
  <c r="GH93" i="17"/>
  <c r="GI93" i="17"/>
  <c r="GJ93" i="17"/>
  <c r="GK93" i="17"/>
  <c r="GL93" i="17"/>
  <c r="GM93" i="17"/>
  <c r="GN93" i="17"/>
  <c r="GO93" i="17"/>
  <c r="GP93" i="17"/>
  <c r="GQ93" i="17"/>
  <c r="GR93" i="17"/>
  <c r="GS93" i="17"/>
  <c r="GT93" i="17"/>
  <c r="GU93" i="17"/>
  <c r="GV93" i="17"/>
  <c r="GW93" i="17"/>
  <c r="GX93" i="17"/>
  <c r="GY93" i="17"/>
  <c r="GZ93" i="17"/>
  <c r="HA93" i="17"/>
  <c r="HB93" i="17"/>
  <c r="HC93" i="17"/>
  <c r="HD93" i="17"/>
  <c r="HE93" i="17"/>
  <c r="HF93" i="17"/>
  <c r="HG93" i="17"/>
  <c r="HH93" i="17"/>
  <c r="HI93" i="17"/>
  <c r="HJ93" i="17"/>
  <c r="HK93" i="17"/>
  <c r="HL93" i="17"/>
  <c r="HM93" i="17"/>
  <c r="HN93" i="17"/>
  <c r="HO93" i="17"/>
  <c r="HP93" i="17"/>
  <c r="HQ93" i="17"/>
  <c r="HR93" i="17"/>
  <c r="HS93" i="17"/>
  <c r="HT93" i="17"/>
  <c r="HU93" i="17"/>
  <c r="HV93" i="17"/>
  <c r="HW93" i="17"/>
  <c r="HX93" i="17"/>
  <c r="HY93" i="17"/>
  <c r="HZ93" i="17"/>
  <c r="IA93" i="17"/>
  <c r="IB93" i="17"/>
  <c r="IC93" i="17"/>
  <c r="ID93" i="17"/>
  <c r="IE93" i="17"/>
  <c r="IF93" i="17"/>
  <c r="IG93" i="17"/>
  <c r="IH93" i="17"/>
  <c r="II93" i="17"/>
  <c r="IJ93" i="17"/>
  <c r="IK93" i="17"/>
  <c r="IL93" i="17"/>
  <c r="IM93" i="17"/>
  <c r="IN93" i="17"/>
  <c r="IO93" i="17"/>
  <c r="IP93" i="17"/>
  <c r="IQ93" i="17"/>
  <c r="IR93" i="17"/>
  <c r="IS93" i="17"/>
  <c r="IT93" i="17"/>
  <c r="IU93" i="17"/>
  <c r="IV93" i="17"/>
  <c r="A92" i="17"/>
  <c r="B92" i="17"/>
  <c r="C92" i="17"/>
  <c r="D92" i="17"/>
  <c r="E92" i="17"/>
  <c r="F92" i="17"/>
  <c r="G92" i="17"/>
  <c r="H92" i="17"/>
  <c r="I92" i="17"/>
  <c r="J92" i="17"/>
  <c r="K92" i="17"/>
  <c r="L92" i="17"/>
  <c r="M92" i="17"/>
  <c r="N92" i="17"/>
  <c r="O92" i="17"/>
  <c r="P92" i="17"/>
  <c r="Q92" i="17"/>
  <c r="R92" i="17"/>
  <c r="S92" i="17"/>
  <c r="U92" i="17"/>
  <c r="V92" i="17"/>
  <c r="W92" i="17"/>
  <c r="X92" i="17"/>
  <c r="Y92" i="17"/>
  <c r="Z92" i="17"/>
  <c r="AA92" i="17"/>
  <c r="AB92" i="17"/>
  <c r="AC92" i="17"/>
  <c r="AD92" i="17"/>
  <c r="AE92" i="17"/>
  <c r="AF92" i="17"/>
  <c r="AG92" i="17"/>
  <c r="AH92" i="17"/>
  <c r="AI92" i="17"/>
  <c r="AJ92" i="17"/>
  <c r="AK92" i="17"/>
  <c r="AL92" i="17"/>
  <c r="AM92" i="17"/>
  <c r="AN92" i="17"/>
  <c r="AO92" i="17"/>
  <c r="AP92" i="17"/>
  <c r="AQ92" i="17"/>
  <c r="AR92" i="17"/>
  <c r="AS92" i="17"/>
  <c r="AT92" i="17"/>
  <c r="AU92" i="17"/>
  <c r="AV92" i="17"/>
  <c r="AW92" i="17"/>
  <c r="AX92" i="17"/>
  <c r="AY92" i="17"/>
  <c r="AZ92" i="17"/>
  <c r="BA92" i="17"/>
  <c r="BB92" i="17"/>
  <c r="BC92" i="17"/>
  <c r="BD92" i="17"/>
  <c r="BE92" i="17"/>
  <c r="BF92" i="17"/>
  <c r="BG92" i="17"/>
  <c r="BH92" i="17"/>
  <c r="BI92" i="17"/>
  <c r="BJ92" i="17"/>
  <c r="BK92" i="17"/>
  <c r="BL92" i="17"/>
  <c r="BM92" i="17"/>
  <c r="BN92" i="17"/>
  <c r="BO92" i="17"/>
  <c r="BP92" i="17"/>
  <c r="BQ92" i="17"/>
  <c r="BR92" i="17"/>
  <c r="BS92" i="17"/>
  <c r="BT92" i="17"/>
  <c r="BU92" i="17"/>
  <c r="BV92" i="17"/>
  <c r="BW92" i="17"/>
  <c r="BX92" i="17"/>
  <c r="BY92" i="17"/>
  <c r="BZ92" i="17"/>
  <c r="CA92" i="17"/>
  <c r="CB92" i="17"/>
  <c r="CC92" i="17"/>
  <c r="CD92" i="17"/>
  <c r="CE92" i="17"/>
  <c r="CF92" i="17"/>
  <c r="CG92" i="17"/>
  <c r="CH92" i="17"/>
  <c r="CI92" i="17"/>
  <c r="CJ92" i="17"/>
  <c r="CK92" i="17"/>
  <c r="CL92" i="17"/>
  <c r="CM92" i="17"/>
  <c r="CN92" i="17"/>
  <c r="CO92" i="17"/>
  <c r="CP92" i="17"/>
  <c r="CQ92" i="17"/>
  <c r="CR92" i="17"/>
  <c r="CS92" i="17"/>
  <c r="CT92" i="17"/>
  <c r="CU92" i="17"/>
  <c r="CV92" i="17"/>
  <c r="CW92" i="17"/>
  <c r="CX92" i="17"/>
  <c r="CY92" i="17"/>
  <c r="CZ92" i="17"/>
  <c r="DA92" i="17"/>
  <c r="DB92" i="17"/>
  <c r="DC92" i="17"/>
  <c r="DD92" i="17"/>
  <c r="DE92" i="17"/>
  <c r="DF92" i="17"/>
  <c r="DG92" i="17"/>
  <c r="DH92" i="17"/>
  <c r="DI92" i="17"/>
  <c r="DJ92" i="17"/>
  <c r="DK92" i="17"/>
  <c r="DL92" i="17"/>
  <c r="DM92" i="17"/>
  <c r="DN92" i="17"/>
  <c r="DO92" i="17"/>
  <c r="DP92" i="17"/>
  <c r="DQ92" i="17"/>
  <c r="DR92" i="17"/>
  <c r="DS92" i="17"/>
  <c r="DT92" i="17"/>
  <c r="DU92" i="17"/>
  <c r="DV92" i="17"/>
  <c r="DW92" i="17"/>
  <c r="DX92" i="17"/>
  <c r="DY92" i="17"/>
  <c r="DZ92" i="17"/>
  <c r="EA92" i="17"/>
  <c r="EB92" i="17"/>
  <c r="EC92" i="17"/>
  <c r="ED92" i="17"/>
  <c r="EE92" i="17"/>
  <c r="EF92" i="17"/>
  <c r="EG92" i="17"/>
  <c r="EH92" i="17"/>
  <c r="EI92" i="17"/>
  <c r="EJ92" i="17"/>
  <c r="EK92" i="17"/>
  <c r="EL92" i="17"/>
  <c r="EM92" i="17"/>
  <c r="EN92" i="17"/>
  <c r="EO92" i="17"/>
  <c r="EP92" i="17"/>
  <c r="EQ92" i="17"/>
  <c r="ER92" i="17"/>
  <c r="ES92" i="17"/>
  <c r="ET92" i="17"/>
  <c r="EU92" i="17"/>
  <c r="EV92" i="17"/>
  <c r="EW92" i="17"/>
  <c r="EX92" i="17"/>
  <c r="EY92" i="17"/>
  <c r="EZ92" i="17"/>
  <c r="FA92" i="17"/>
  <c r="FB92" i="17"/>
  <c r="FC92" i="17"/>
  <c r="FD92" i="17"/>
  <c r="FE92" i="17"/>
  <c r="FF92" i="17"/>
  <c r="FG92" i="17"/>
  <c r="FH92" i="17"/>
  <c r="FI92" i="17"/>
  <c r="FJ92" i="17"/>
  <c r="FK92" i="17"/>
  <c r="FL92" i="17"/>
  <c r="FM92" i="17"/>
  <c r="FN92" i="17"/>
  <c r="FO92" i="17"/>
  <c r="FP92" i="17"/>
  <c r="FQ92" i="17"/>
  <c r="FR92" i="17"/>
  <c r="FS92" i="17"/>
  <c r="FT92" i="17"/>
  <c r="FU92" i="17"/>
  <c r="FV92" i="17"/>
  <c r="FW92" i="17"/>
  <c r="FX92" i="17"/>
  <c r="FY92" i="17"/>
  <c r="FZ92" i="17"/>
  <c r="GA92" i="17"/>
  <c r="GB92" i="17"/>
  <c r="GC92" i="17"/>
  <c r="GD92" i="17"/>
  <c r="GE92" i="17"/>
  <c r="GF92" i="17"/>
  <c r="GG92" i="17"/>
  <c r="GH92" i="17"/>
  <c r="GI92" i="17"/>
  <c r="GJ92" i="17"/>
  <c r="GK92" i="17"/>
  <c r="GL92" i="17"/>
  <c r="GM92" i="17"/>
  <c r="GN92" i="17"/>
  <c r="GO92" i="17"/>
  <c r="GP92" i="17"/>
  <c r="GQ92" i="17"/>
  <c r="GR92" i="17"/>
  <c r="GS92" i="17"/>
  <c r="GT92" i="17"/>
  <c r="GU92" i="17"/>
  <c r="GV92" i="17"/>
  <c r="GW92" i="17"/>
  <c r="GX92" i="17"/>
  <c r="GY92" i="17"/>
  <c r="GZ92" i="17"/>
  <c r="HA92" i="17"/>
  <c r="HB92" i="17"/>
  <c r="HC92" i="17"/>
  <c r="HD92" i="17"/>
  <c r="HE92" i="17"/>
  <c r="HF92" i="17"/>
  <c r="HG92" i="17"/>
  <c r="HH92" i="17"/>
  <c r="HI92" i="17"/>
  <c r="HJ92" i="17"/>
  <c r="HK92" i="17"/>
  <c r="HL92" i="17"/>
  <c r="HM92" i="17"/>
  <c r="HN92" i="17"/>
  <c r="HO92" i="17"/>
  <c r="HP92" i="17"/>
  <c r="HQ92" i="17"/>
  <c r="HR92" i="17"/>
  <c r="HS92" i="17"/>
  <c r="HT92" i="17"/>
  <c r="HU92" i="17"/>
  <c r="HV92" i="17"/>
  <c r="HW92" i="17"/>
  <c r="HX92" i="17"/>
  <c r="HY92" i="17"/>
  <c r="HZ92" i="17"/>
  <c r="IA92" i="17"/>
  <c r="IB92" i="17"/>
  <c r="IC92" i="17"/>
  <c r="ID92" i="17"/>
  <c r="IE92" i="17"/>
  <c r="IF92" i="17"/>
  <c r="IG92" i="17"/>
  <c r="IH92" i="17"/>
  <c r="II92" i="17"/>
  <c r="IJ92" i="17"/>
  <c r="IK92" i="17"/>
  <c r="IL92" i="17"/>
  <c r="IM92" i="17"/>
  <c r="IN92" i="17"/>
  <c r="IO92" i="17"/>
  <c r="IP92" i="17"/>
  <c r="IQ92" i="17"/>
  <c r="IR92" i="17"/>
  <c r="IS92" i="17"/>
  <c r="IT92" i="17"/>
  <c r="IU92" i="17"/>
  <c r="IV92" i="17"/>
  <c r="A91" i="17"/>
  <c r="B91" i="17"/>
  <c r="C91" i="17"/>
  <c r="D91" i="17"/>
  <c r="E91" i="17"/>
  <c r="F91" i="17"/>
  <c r="G91" i="17"/>
  <c r="H91" i="17"/>
  <c r="I91" i="17"/>
  <c r="J91" i="17"/>
  <c r="K91" i="17"/>
  <c r="L91" i="17"/>
  <c r="M91" i="17"/>
  <c r="N91" i="17"/>
  <c r="O91" i="17"/>
  <c r="P91" i="17"/>
  <c r="Q91" i="17"/>
  <c r="R91" i="17"/>
  <c r="S91" i="17"/>
  <c r="T91" i="17"/>
  <c r="U91" i="17"/>
  <c r="V91" i="17"/>
  <c r="W91" i="17"/>
  <c r="X91" i="17"/>
  <c r="Y91" i="17"/>
  <c r="Z91" i="17"/>
  <c r="AA91" i="17"/>
  <c r="AB91" i="17"/>
  <c r="AC91" i="17"/>
  <c r="AD91" i="17"/>
  <c r="AE91" i="17"/>
  <c r="AF91" i="17"/>
  <c r="AG91" i="17"/>
  <c r="AH91" i="17"/>
  <c r="AI91" i="17"/>
  <c r="AJ91" i="17"/>
  <c r="AK91" i="17"/>
  <c r="AL91" i="17"/>
  <c r="AM91" i="17"/>
  <c r="AN91" i="17"/>
  <c r="AO91" i="17"/>
  <c r="AP91" i="17"/>
  <c r="AQ91" i="17"/>
  <c r="AR91" i="17"/>
  <c r="AS91" i="17"/>
  <c r="AT91" i="17"/>
  <c r="AU91" i="17"/>
  <c r="AV91" i="17"/>
  <c r="AW91" i="17"/>
  <c r="AX91" i="17"/>
  <c r="AY91" i="17"/>
  <c r="AZ91" i="17"/>
  <c r="BA91" i="17"/>
  <c r="BB91" i="17"/>
  <c r="BC91" i="17"/>
  <c r="BD91" i="17"/>
  <c r="BE91" i="17"/>
  <c r="BF91" i="17"/>
  <c r="BG91" i="17"/>
  <c r="BH91" i="17"/>
  <c r="BI91" i="17"/>
  <c r="BJ91" i="17"/>
  <c r="BK91" i="17"/>
  <c r="BL91" i="17"/>
  <c r="BM91" i="17"/>
  <c r="BN91" i="17"/>
  <c r="BO91" i="17"/>
  <c r="BP91" i="17"/>
  <c r="BQ91" i="17"/>
  <c r="BR91" i="17"/>
  <c r="BS91" i="17"/>
  <c r="BT91" i="17"/>
  <c r="BU91" i="17"/>
  <c r="BV91" i="17"/>
  <c r="BW91" i="17"/>
  <c r="BX91" i="17"/>
  <c r="BY91" i="17"/>
  <c r="BZ91" i="17"/>
  <c r="CA91" i="17"/>
  <c r="CB91" i="17"/>
  <c r="CC91" i="17"/>
  <c r="CD91" i="17"/>
  <c r="CE91" i="17"/>
  <c r="CF91" i="17"/>
  <c r="CG91" i="17"/>
  <c r="CH91" i="17"/>
  <c r="CI91" i="17"/>
  <c r="CJ91" i="17"/>
  <c r="CK91" i="17"/>
  <c r="CL91" i="17"/>
  <c r="CM91" i="17"/>
  <c r="CN91" i="17"/>
  <c r="CO91" i="17"/>
  <c r="CP91" i="17"/>
  <c r="CQ91" i="17"/>
  <c r="CR91" i="17"/>
  <c r="CS91" i="17"/>
  <c r="CT91" i="17"/>
  <c r="CU91" i="17"/>
  <c r="CV91" i="17"/>
  <c r="CW91" i="17"/>
  <c r="CX91" i="17"/>
  <c r="CY91" i="17"/>
  <c r="CZ91" i="17"/>
  <c r="DA91" i="17"/>
  <c r="DB91" i="17"/>
  <c r="DC91" i="17"/>
  <c r="DD91" i="17"/>
  <c r="DE91" i="17"/>
  <c r="DF91" i="17"/>
  <c r="DG91" i="17"/>
  <c r="DH91" i="17"/>
  <c r="DI91" i="17"/>
  <c r="DJ91" i="17"/>
  <c r="DK91" i="17"/>
  <c r="DL91" i="17"/>
  <c r="DM91" i="17"/>
  <c r="DN91" i="17"/>
  <c r="DO91" i="17"/>
  <c r="DP91" i="17"/>
  <c r="DQ91" i="17"/>
  <c r="DR91" i="17"/>
  <c r="DS91" i="17"/>
  <c r="DT91" i="17"/>
  <c r="DU91" i="17"/>
  <c r="DV91" i="17"/>
  <c r="DW91" i="17"/>
  <c r="DX91" i="17"/>
  <c r="DY91" i="17"/>
  <c r="DZ91" i="17"/>
  <c r="EA91" i="17"/>
  <c r="EB91" i="17"/>
  <c r="EC91" i="17"/>
  <c r="ED91" i="17"/>
  <c r="EE91" i="17"/>
  <c r="EF91" i="17"/>
  <c r="EG91" i="17"/>
  <c r="EH91" i="17"/>
  <c r="EI91" i="17"/>
  <c r="EJ91" i="17"/>
  <c r="EK91" i="17"/>
  <c r="EL91" i="17"/>
  <c r="EM91" i="17"/>
  <c r="EN91" i="17"/>
  <c r="EO91" i="17"/>
  <c r="EP91" i="17"/>
  <c r="EQ91" i="17"/>
  <c r="ER91" i="17"/>
  <c r="ES91" i="17"/>
  <c r="ET91" i="17"/>
  <c r="EU91" i="17"/>
  <c r="EV91" i="17"/>
  <c r="EW91" i="17"/>
  <c r="EX91" i="17"/>
  <c r="EY91" i="17"/>
  <c r="EZ91" i="17"/>
  <c r="FA91" i="17"/>
  <c r="FB91" i="17"/>
  <c r="FC91" i="17"/>
  <c r="FD91" i="17"/>
  <c r="FE91" i="17"/>
  <c r="FF91" i="17"/>
  <c r="FG91" i="17"/>
  <c r="FH91" i="17"/>
  <c r="FI91" i="17"/>
  <c r="FJ91" i="17"/>
  <c r="FK91" i="17"/>
  <c r="FL91" i="17"/>
  <c r="FM91" i="17"/>
  <c r="FN91" i="17"/>
  <c r="FO91" i="17"/>
  <c r="FP91" i="17"/>
  <c r="FQ91" i="17"/>
  <c r="FR91" i="17"/>
  <c r="FS91" i="17"/>
  <c r="FT91" i="17"/>
  <c r="FU91" i="17"/>
  <c r="FV91" i="17"/>
  <c r="FW91" i="17"/>
  <c r="FX91" i="17"/>
  <c r="FY91" i="17"/>
  <c r="FZ91" i="17"/>
  <c r="GA91" i="17"/>
  <c r="GB91" i="17"/>
  <c r="GC91" i="17"/>
  <c r="GD91" i="17"/>
  <c r="GE91" i="17"/>
  <c r="GF91" i="17"/>
  <c r="GG91" i="17"/>
  <c r="GH91" i="17"/>
  <c r="GI91" i="17"/>
  <c r="GJ91" i="17"/>
  <c r="GK91" i="17"/>
  <c r="GL91" i="17"/>
  <c r="GM91" i="17"/>
  <c r="GN91" i="17"/>
  <c r="GO91" i="17"/>
  <c r="GP91" i="17"/>
  <c r="GQ91" i="17"/>
  <c r="GR91" i="17"/>
  <c r="GS91" i="17"/>
  <c r="GT91" i="17"/>
  <c r="GU91" i="17"/>
  <c r="GV91" i="17"/>
  <c r="GW91" i="17"/>
  <c r="GX91" i="17"/>
  <c r="GY91" i="17"/>
  <c r="GZ91" i="17"/>
  <c r="HA91" i="17"/>
  <c r="HB91" i="17"/>
  <c r="HC91" i="17"/>
  <c r="HD91" i="17"/>
  <c r="HE91" i="17"/>
  <c r="HF91" i="17"/>
  <c r="HG91" i="17"/>
  <c r="HH91" i="17"/>
  <c r="HI91" i="17"/>
  <c r="HJ91" i="17"/>
  <c r="HK91" i="17"/>
  <c r="HL91" i="17"/>
  <c r="HM91" i="17"/>
  <c r="HN91" i="17"/>
  <c r="HO91" i="17"/>
  <c r="HP91" i="17"/>
  <c r="HQ91" i="17"/>
  <c r="HR91" i="17"/>
  <c r="HS91" i="17"/>
  <c r="HT91" i="17"/>
  <c r="HU91" i="17"/>
  <c r="HV91" i="17"/>
  <c r="HW91" i="17"/>
  <c r="HX91" i="17"/>
  <c r="HY91" i="17"/>
  <c r="HZ91" i="17"/>
  <c r="IA91" i="17"/>
  <c r="IB91" i="17"/>
  <c r="IC91" i="17"/>
  <c r="ID91" i="17"/>
  <c r="IE91" i="17"/>
  <c r="IF91" i="17"/>
  <c r="IG91" i="17"/>
  <c r="IH91" i="17"/>
  <c r="II91" i="17"/>
  <c r="IJ91" i="17"/>
  <c r="IK91" i="17"/>
  <c r="IL91" i="17"/>
  <c r="IM91" i="17"/>
  <c r="IN91" i="17"/>
  <c r="IO91" i="17"/>
  <c r="IP91" i="17"/>
  <c r="IQ91" i="17"/>
  <c r="IR91" i="17"/>
  <c r="IS91" i="17"/>
  <c r="IT91" i="17"/>
  <c r="IU91" i="17"/>
  <c r="IV91" i="17"/>
  <c r="A90" i="17"/>
  <c r="B90" i="17"/>
  <c r="C90" i="17"/>
  <c r="D90" i="17"/>
  <c r="E90" i="17"/>
  <c r="F90" i="17"/>
  <c r="G90" i="17"/>
  <c r="H90" i="17"/>
  <c r="I90" i="17"/>
  <c r="J90" i="17"/>
  <c r="K90" i="17"/>
  <c r="L90" i="17"/>
  <c r="M90" i="17"/>
  <c r="N90" i="17"/>
  <c r="O90" i="17"/>
  <c r="P90" i="17"/>
  <c r="Q90" i="17"/>
  <c r="R90" i="17"/>
  <c r="S90" i="17"/>
  <c r="T90" i="17"/>
  <c r="U90" i="17"/>
  <c r="V90" i="17"/>
  <c r="W90" i="17"/>
  <c r="X90" i="17"/>
  <c r="Y90" i="17"/>
  <c r="Z90" i="17"/>
  <c r="AA90" i="17"/>
  <c r="AB90" i="17"/>
  <c r="AC90" i="17"/>
  <c r="AD90" i="17"/>
  <c r="AE90" i="17"/>
  <c r="AF90" i="17"/>
  <c r="AG90" i="17"/>
  <c r="AH90" i="17"/>
  <c r="AI90" i="17"/>
  <c r="AJ90" i="17"/>
  <c r="AK90" i="17"/>
  <c r="AL90" i="17"/>
  <c r="AM90" i="17"/>
  <c r="AN90" i="17"/>
  <c r="AO90" i="17"/>
  <c r="AP90" i="17"/>
  <c r="AQ90" i="17"/>
  <c r="AR90" i="17"/>
  <c r="AS90" i="17"/>
  <c r="AT90" i="17"/>
  <c r="AU90" i="17"/>
  <c r="AV90" i="17"/>
  <c r="AW90" i="17"/>
  <c r="AX90" i="17"/>
  <c r="AY90" i="17"/>
  <c r="AZ90" i="17"/>
  <c r="BA90" i="17"/>
  <c r="BB90" i="17"/>
  <c r="BC90" i="17"/>
  <c r="BD90" i="17"/>
  <c r="BE90" i="17"/>
  <c r="BF90" i="17"/>
  <c r="BG90" i="17"/>
  <c r="BH90" i="17"/>
  <c r="BI90" i="17"/>
  <c r="BJ90" i="17"/>
  <c r="BK90" i="17"/>
  <c r="BL90" i="17"/>
  <c r="BM90" i="17"/>
  <c r="BN90" i="17"/>
  <c r="BO90" i="17"/>
  <c r="BP90" i="17"/>
  <c r="BQ90" i="17"/>
  <c r="BR90" i="17"/>
  <c r="BS90" i="17"/>
  <c r="BT90" i="17"/>
  <c r="BU90" i="17"/>
  <c r="BV90" i="17"/>
  <c r="BW90" i="17"/>
  <c r="BX90" i="17"/>
  <c r="BY90" i="17"/>
  <c r="BZ90" i="17"/>
  <c r="CA90" i="17"/>
  <c r="CB90" i="17"/>
  <c r="CC90" i="17"/>
  <c r="CD90" i="17"/>
  <c r="CE90" i="17"/>
  <c r="CF90" i="17"/>
  <c r="CG90" i="17"/>
  <c r="CH90" i="17"/>
  <c r="CI90" i="17"/>
  <c r="CJ90" i="17"/>
  <c r="CK90" i="17"/>
  <c r="CL90" i="17"/>
  <c r="CM90" i="17"/>
  <c r="CN90" i="17"/>
  <c r="CO90" i="17"/>
  <c r="CP90" i="17"/>
  <c r="CQ90" i="17"/>
  <c r="CR90" i="17"/>
  <c r="CS90" i="17"/>
  <c r="CT90" i="17"/>
  <c r="CU90" i="17"/>
  <c r="CV90" i="17"/>
  <c r="CW90" i="17"/>
  <c r="CX90" i="17"/>
  <c r="CY90" i="17"/>
  <c r="CZ90" i="17"/>
  <c r="DA90" i="17"/>
  <c r="DB90" i="17"/>
  <c r="DC90" i="17"/>
  <c r="DD90" i="17"/>
  <c r="DE90" i="17"/>
  <c r="DF90" i="17"/>
  <c r="DG90" i="17"/>
  <c r="DH90" i="17"/>
  <c r="DI90" i="17"/>
  <c r="DJ90" i="17"/>
  <c r="DK90" i="17"/>
  <c r="DL90" i="17"/>
  <c r="DM90" i="17"/>
  <c r="DN90" i="17"/>
  <c r="DO90" i="17"/>
  <c r="DP90" i="17"/>
  <c r="DQ90" i="17"/>
  <c r="DR90" i="17"/>
  <c r="DS90" i="17"/>
  <c r="DT90" i="17"/>
  <c r="DU90" i="17"/>
  <c r="DV90" i="17"/>
  <c r="DW90" i="17"/>
  <c r="DX90" i="17"/>
  <c r="DY90" i="17"/>
  <c r="DZ90" i="17"/>
  <c r="EA90" i="17"/>
  <c r="EB90" i="17"/>
  <c r="EC90" i="17"/>
  <c r="ED90" i="17"/>
  <c r="EE90" i="17"/>
  <c r="EF90" i="17"/>
  <c r="EG90" i="17"/>
  <c r="EH90" i="17"/>
  <c r="EI90" i="17"/>
  <c r="EJ90" i="17"/>
  <c r="EK90" i="17"/>
  <c r="EL90" i="17"/>
  <c r="EM90" i="17"/>
  <c r="EN90" i="17"/>
  <c r="EO90" i="17"/>
  <c r="EP90" i="17"/>
  <c r="EQ90" i="17"/>
  <c r="ER90" i="17"/>
  <c r="ES90" i="17"/>
  <c r="ET90" i="17"/>
  <c r="EU90" i="17"/>
  <c r="EV90" i="17"/>
  <c r="EW90" i="17"/>
  <c r="EX90" i="17"/>
  <c r="EY90" i="17"/>
  <c r="EZ90" i="17"/>
  <c r="FA90" i="17"/>
  <c r="FB90" i="17"/>
  <c r="FC90" i="17"/>
  <c r="FD90" i="17"/>
  <c r="FE90" i="17"/>
  <c r="FF90" i="17"/>
  <c r="FG90" i="17"/>
  <c r="FH90" i="17"/>
  <c r="FI90" i="17"/>
  <c r="FJ90" i="17"/>
  <c r="FK90" i="17"/>
  <c r="FL90" i="17"/>
  <c r="FM90" i="17"/>
  <c r="FN90" i="17"/>
  <c r="FO90" i="17"/>
  <c r="FP90" i="17"/>
  <c r="FQ90" i="17"/>
  <c r="FR90" i="17"/>
  <c r="FS90" i="17"/>
  <c r="FT90" i="17"/>
  <c r="FU90" i="17"/>
  <c r="FV90" i="17"/>
  <c r="FW90" i="17"/>
  <c r="FX90" i="17"/>
  <c r="FY90" i="17"/>
  <c r="FZ90" i="17"/>
  <c r="GA90" i="17"/>
  <c r="GB90" i="17"/>
  <c r="GC90" i="17"/>
  <c r="GD90" i="17"/>
  <c r="GE90" i="17"/>
  <c r="GF90" i="17"/>
  <c r="GG90" i="17"/>
  <c r="GH90" i="17"/>
  <c r="GI90" i="17"/>
  <c r="GJ90" i="17"/>
  <c r="GK90" i="17"/>
  <c r="GL90" i="17"/>
  <c r="GM90" i="17"/>
  <c r="GN90" i="17"/>
  <c r="GO90" i="17"/>
  <c r="GP90" i="17"/>
  <c r="GQ90" i="17"/>
  <c r="GR90" i="17"/>
  <c r="GS90" i="17"/>
  <c r="GT90" i="17"/>
  <c r="GU90" i="17"/>
  <c r="GV90" i="17"/>
  <c r="GW90" i="17"/>
  <c r="GX90" i="17"/>
  <c r="GY90" i="17"/>
  <c r="GZ90" i="17"/>
  <c r="HA90" i="17"/>
  <c r="HB90" i="17"/>
  <c r="HC90" i="17"/>
  <c r="HD90" i="17"/>
  <c r="HE90" i="17"/>
  <c r="HF90" i="17"/>
  <c r="HG90" i="17"/>
  <c r="HH90" i="17"/>
  <c r="HI90" i="17"/>
  <c r="HJ90" i="17"/>
  <c r="HK90" i="17"/>
  <c r="HL90" i="17"/>
  <c r="HM90" i="17"/>
  <c r="HN90" i="17"/>
  <c r="HO90" i="17"/>
  <c r="HP90" i="17"/>
  <c r="HQ90" i="17"/>
  <c r="HR90" i="17"/>
  <c r="HS90" i="17"/>
  <c r="HT90" i="17"/>
  <c r="HU90" i="17"/>
  <c r="HV90" i="17"/>
  <c r="HW90" i="17"/>
  <c r="HX90" i="17"/>
  <c r="HY90" i="17"/>
  <c r="HZ90" i="17"/>
  <c r="IA90" i="17"/>
  <c r="IB90" i="17"/>
  <c r="IC90" i="17"/>
  <c r="ID90" i="17"/>
  <c r="IE90" i="17"/>
  <c r="IF90" i="17"/>
  <c r="IG90" i="17"/>
  <c r="IH90" i="17"/>
  <c r="II90" i="17"/>
  <c r="IJ90" i="17"/>
  <c r="IK90" i="17"/>
  <c r="IL90" i="17"/>
  <c r="IM90" i="17"/>
  <c r="IN90" i="17"/>
  <c r="IO90" i="17"/>
  <c r="IP90" i="17"/>
  <c r="IQ90" i="17"/>
  <c r="IR90" i="17"/>
  <c r="IS90" i="17"/>
  <c r="IT90" i="17"/>
  <c r="IU90" i="17"/>
  <c r="IV90" i="17"/>
  <c r="A89" i="17"/>
  <c r="B89" i="17"/>
  <c r="C89" i="17"/>
  <c r="D89" i="17"/>
  <c r="E89" i="17"/>
  <c r="F89" i="17"/>
  <c r="G89" i="17"/>
  <c r="H89" i="17"/>
  <c r="I89" i="17"/>
  <c r="J89" i="17"/>
  <c r="K89" i="17"/>
  <c r="L89" i="17"/>
  <c r="M89" i="17"/>
  <c r="N89" i="17"/>
  <c r="O89" i="17"/>
  <c r="P89" i="17"/>
  <c r="Q89" i="17"/>
  <c r="R89" i="17"/>
  <c r="S89" i="17"/>
  <c r="T89" i="17"/>
  <c r="U89" i="17"/>
  <c r="V89" i="17"/>
  <c r="W89" i="17"/>
  <c r="X89" i="17"/>
  <c r="Y89" i="17"/>
  <c r="Z89" i="17"/>
  <c r="AA89" i="17"/>
  <c r="AB89" i="17"/>
  <c r="AC89" i="17"/>
  <c r="AD89" i="17"/>
  <c r="AE89" i="17"/>
  <c r="AF89" i="17"/>
  <c r="AG89" i="17"/>
  <c r="AH89" i="17"/>
  <c r="AI89" i="17"/>
  <c r="AJ89" i="17"/>
  <c r="AK89" i="17"/>
  <c r="AL89" i="17"/>
  <c r="AM89" i="17"/>
  <c r="AN89" i="17"/>
  <c r="AO89" i="17"/>
  <c r="AP89" i="17"/>
  <c r="AQ89" i="17"/>
  <c r="AR89" i="17"/>
  <c r="AS89" i="17"/>
  <c r="AT89" i="17"/>
  <c r="AU89" i="17"/>
  <c r="AV89" i="17"/>
  <c r="AW89" i="17"/>
  <c r="AX89" i="17"/>
  <c r="AY89" i="17"/>
  <c r="AZ89" i="17"/>
  <c r="BA89" i="17"/>
  <c r="BB89" i="17"/>
  <c r="BC89" i="17"/>
  <c r="BD89" i="17"/>
  <c r="BE89" i="17"/>
  <c r="BF89" i="17"/>
  <c r="BG89" i="17"/>
  <c r="BH89" i="17"/>
  <c r="BI89" i="17"/>
  <c r="BJ89" i="17"/>
  <c r="BK89" i="17"/>
  <c r="BL89" i="17"/>
  <c r="BM89" i="17"/>
  <c r="BN89" i="17"/>
  <c r="BO89" i="17"/>
  <c r="BP89" i="17"/>
  <c r="BQ89" i="17"/>
  <c r="BR89" i="17"/>
  <c r="BS89" i="17"/>
  <c r="BT89" i="17"/>
  <c r="BU89" i="17"/>
  <c r="BV89" i="17"/>
  <c r="BW89" i="17"/>
  <c r="BX89" i="17"/>
  <c r="BY89" i="17"/>
  <c r="BZ89" i="17"/>
  <c r="CA89" i="17"/>
  <c r="CB89" i="17"/>
  <c r="CC89" i="17"/>
  <c r="CD89" i="17"/>
  <c r="CE89" i="17"/>
  <c r="CF89" i="17"/>
  <c r="CG89" i="17"/>
  <c r="CH89" i="17"/>
  <c r="CI89" i="17"/>
  <c r="CJ89" i="17"/>
  <c r="CK89" i="17"/>
  <c r="CL89" i="17"/>
  <c r="CM89" i="17"/>
  <c r="CN89" i="17"/>
  <c r="CO89" i="17"/>
  <c r="CP89" i="17"/>
  <c r="CQ89" i="17"/>
  <c r="CR89" i="17"/>
  <c r="CS89" i="17"/>
  <c r="CT89" i="17"/>
  <c r="CU89" i="17"/>
  <c r="CV89" i="17"/>
  <c r="CW89" i="17"/>
  <c r="CX89" i="17"/>
  <c r="CY89" i="17"/>
  <c r="CZ89" i="17"/>
  <c r="DA89" i="17"/>
  <c r="DB89" i="17"/>
  <c r="DC89" i="17"/>
  <c r="DD89" i="17"/>
  <c r="DE89" i="17"/>
  <c r="DF89" i="17"/>
  <c r="DG89" i="17"/>
  <c r="DH89" i="17"/>
  <c r="DI89" i="17"/>
  <c r="DJ89" i="17"/>
  <c r="DK89" i="17"/>
  <c r="DL89" i="17"/>
  <c r="DM89" i="17"/>
  <c r="DN89" i="17"/>
  <c r="DO89" i="17"/>
  <c r="DP89" i="17"/>
  <c r="DQ89" i="17"/>
  <c r="DR89" i="17"/>
  <c r="DS89" i="17"/>
  <c r="DT89" i="17"/>
  <c r="DU89" i="17"/>
  <c r="DV89" i="17"/>
  <c r="DW89" i="17"/>
  <c r="DX89" i="17"/>
  <c r="DY89" i="17"/>
  <c r="DZ89" i="17"/>
  <c r="EA89" i="17"/>
  <c r="EB89" i="17"/>
  <c r="EC89" i="17"/>
  <c r="ED89" i="17"/>
  <c r="EE89" i="17"/>
  <c r="EF89" i="17"/>
  <c r="EG89" i="17"/>
  <c r="EH89" i="17"/>
  <c r="EI89" i="17"/>
  <c r="EJ89" i="17"/>
  <c r="EK89" i="17"/>
  <c r="EL89" i="17"/>
  <c r="EM89" i="17"/>
  <c r="EN89" i="17"/>
  <c r="EO89" i="17"/>
  <c r="EP89" i="17"/>
  <c r="EQ89" i="17"/>
  <c r="ER89" i="17"/>
  <c r="ES89" i="17"/>
  <c r="ET89" i="17"/>
  <c r="EU89" i="17"/>
  <c r="EV89" i="17"/>
  <c r="EW89" i="17"/>
  <c r="EX89" i="17"/>
  <c r="EY89" i="17"/>
  <c r="EZ89" i="17"/>
  <c r="FA89" i="17"/>
  <c r="FB89" i="17"/>
  <c r="FC89" i="17"/>
  <c r="FD89" i="17"/>
  <c r="FE89" i="17"/>
  <c r="FF89" i="17"/>
  <c r="FG89" i="17"/>
  <c r="FH89" i="17"/>
  <c r="FI89" i="17"/>
  <c r="FJ89" i="17"/>
  <c r="FK89" i="17"/>
  <c r="FL89" i="17"/>
  <c r="FM89" i="17"/>
  <c r="FN89" i="17"/>
  <c r="FO89" i="17"/>
  <c r="FP89" i="17"/>
  <c r="FQ89" i="17"/>
  <c r="FR89" i="17"/>
  <c r="FS89" i="17"/>
  <c r="FT89" i="17"/>
  <c r="FU89" i="17"/>
  <c r="FV89" i="17"/>
  <c r="FW89" i="17"/>
  <c r="FX89" i="17"/>
  <c r="FY89" i="17"/>
  <c r="FZ89" i="17"/>
  <c r="GA89" i="17"/>
  <c r="GB89" i="17"/>
  <c r="GC89" i="17"/>
  <c r="GD89" i="17"/>
  <c r="GE89" i="17"/>
  <c r="GF89" i="17"/>
  <c r="GG89" i="17"/>
  <c r="GH89" i="17"/>
  <c r="GI89" i="17"/>
  <c r="GJ89" i="17"/>
  <c r="GK89" i="17"/>
  <c r="GL89" i="17"/>
  <c r="GM89" i="17"/>
  <c r="GN89" i="17"/>
  <c r="GO89" i="17"/>
  <c r="GP89" i="17"/>
  <c r="GQ89" i="17"/>
  <c r="GR89" i="17"/>
  <c r="GS89" i="17"/>
  <c r="GT89" i="17"/>
  <c r="GU89" i="17"/>
  <c r="GV89" i="17"/>
  <c r="GW89" i="17"/>
  <c r="GX89" i="17"/>
  <c r="GY89" i="17"/>
  <c r="GZ89" i="17"/>
  <c r="HA89" i="17"/>
  <c r="HB89" i="17"/>
  <c r="HC89" i="17"/>
  <c r="HD89" i="17"/>
  <c r="HE89" i="17"/>
  <c r="HF89" i="17"/>
  <c r="HG89" i="17"/>
  <c r="HH89" i="17"/>
  <c r="HI89" i="17"/>
  <c r="HJ89" i="17"/>
  <c r="HK89" i="17"/>
  <c r="HL89" i="17"/>
  <c r="HM89" i="17"/>
  <c r="HN89" i="17"/>
  <c r="HO89" i="17"/>
  <c r="HP89" i="17"/>
  <c r="HQ89" i="17"/>
  <c r="HR89" i="17"/>
  <c r="HS89" i="17"/>
  <c r="HT89" i="17"/>
  <c r="HU89" i="17"/>
  <c r="HV89" i="17"/>
  <c r="HW89" i="17"/>
  <c r="HX89" i="17"/>
  <c r="HY89" i="17"/>
  <c r="HZ89" i="17"/>
  <c r="IA89" i="17"/>
  <c r="IB89" i="17"/>
  <c r="IC89" i="17"/>
  <c r="ID89" i="17"/>
  <c r="IE89" i="17"/>
  <c r="IF89" i="17"/>
  <c r="IG89" i="17"/>
  <c r="IH89" i="17"/>
  <c r="II89" i="17"/>
  <c r="IJ89" i="17"/>
  <c r="IK89" i="17"/>
  <c r="IL89" i="17"/>
  <c r="IM89" i="17"/>
  <c r="IN89" i="17"/>
  <c r="IO89" i="17"/>
  <c r="IP89" i="17"/>
  <c r="IQ89" i="17"/>
  <c r="IR89" i="17"/>
  <c r="IS89" i="17"/>
  <c r="IT89" i="17"/>
  <c r="IU89" i="17"/>
  <c r="IV89" i="17"/>
  <c r="A88" i="17"/>
  <c r="B88" i="17"/>
  <c r="C88" i="17"/>
  <c r="D88" i="17"/>
  <c r="E88" i="17"/>
  <c r="F88" i="17"/>
  <c r="G88" i="17"/>
  <c r="H88" i="17"/>
  <c r="I88" i="17"/>
  <c r="J88" i="17"/>
  <c r="K88" i="17"/>
  <c r="L88" i="17"/>
  <c r="M88" i="17"/>
  <c r="N88" i="17"/>
  <c r="O88" i="17"/>
  <c r="P88" i="17"/>
  <c r="Q88" i="17"/>
  <c r="R88" i="17"/>
  <c r="S88" i="17"/>
  <c r="T88" i="17"/>
  <c r="U88" i="17"/>
  <c r="V88" i="17"/>
  <c r="W88" i="17"/>
  <c r="X88" i="17"/>
  <c r="Y88" i="17"/>
  <c r="Z88" i="17"/>
  <c r="AA88" i="17"/>
  <c r="AB88" i="17"/>
  <c r="AC88" i="17"/>
  <c r="AD88" i="17"/>
  <c r="AE88" i="17"/>
  <c r="AF88" i="17"/>
  <c r="AG88" i="17"/>
  <c r="AH88" i="17"/>
  <c r="AI88" i="17"/>
  <c r="AJ88" i="17"/>
  <c r="AK88" i="17"/>
  <c r="AL88" i="17"/>
  <c r="AM88" i="17"/>
  <c r="AN88" i="17"/>
  <c r="AO88" i="17"/>
  <c r="AP88" i="17"/>
  <c r="AQ88" i="17"/>
  <c r="AR88" i="17"/>
  <c r="AS88" i="17"/>
  <c r="AT88" i="17"/>
  <c r="AU88" i="17"/>
  <c r="AV88" i="17"/>
  <c r="AW88" i="17"/>
  <c r="AX88" i="17"/>
  <c r="AY88" i="17"/>
  <c r="AZ88" i="17"/>
  <c r="BA88" i="17"/>
  <c r="BB88" i="17"/>
  <c r="BC88" i="17"/>
  <c r="BD88" i="17"/>
  <c r="BE88" i="17"/>
  <c r="BF88" i="17"/>
  <c r="BG88" i="17"/>
  <c r="BH88" i="17"/>
  <c r="BI88" i="17"/>
  <c r="BJ88" i="17"/>
  <c r="BK88" i="17"/>
  <c r="BL88" i="17"/>
  <c r="BM88" i="17"/>
  <c r="BN88" i="17"/>
  <c r="BO88" i="17"/>
  <c r="BP88" i="17"/>
  <c r="BQ88" i="17"/>
  <c r="BR88" i="17"/>
  <c r="BS88" i="17"/>
  <c r="BT88" i="17"/>
  <c r="BU88" i="17"/>
  <c r="BV88" i="17"/>
  <c r="BW88" i="17"/>
  <c r="BX88" i="17"/>
  <c r="BY88" i="17"/>
  <c r="BZ88" i="17"/>
  <c r="CA88" i="17"/>
  <c r="CB88" i="17"/>
  <c r="CC88" i="17"/>
  <c r="CD88" i="17"/>
  <c r="CE88" i="17"/>
  <c r="CF88" i="17"/>
  <c r="CG88" i="17"/>
  <c r="CH88" i="17"/>
  <c r="CI88" i="17"/>
  <c r="CJ88" i="17"/>
  <c r="CK88" i="17"/>
  <c r="CL88" i="17"/>
  <c r="CM88" i="17"/>
  <c r="CN88" i="17"/>
  <c r="CO88" i="17"/>
  <c r="CP88" i="17"/>
  <c r="CQ88" i="17"/>
  <c r="CR88" i="17"/>
  <c r="CS88" i="17"/>
  <c r="CT88" i="17"/>
  <c r="CU88" i="17"/>
  <c r="CV88" i="17"/>
  <c r="CW88" i="17"/>
  <c r="CX88" i="17"/>
  <c r="CY88" i="17"/>
  <c r="CZ88" i="17"/>
  <c r="DA88" i="17"/>
  <c r="DB88" i="17"/>
  <c r="DC88" i="17"/>
  <c r="DD88" i="17"/>
  <c r="DE88" i="17"/>
  <c r="DF88" i="17"/>
  <c r="DG88" i="17"/>
  <c r="DH88" i="17"/>
  <c r="DI88" i="17"/>
  <c r="DJ88" i="17"/>
  <c r="DK88" i="17"/>
  <c r="DL88" i="17"/>
  <c r="DM88" i="17"/>
  <c r="DN88" i="17"/>
  <c r="DO88" i="17"/>
  <c r="DP88" i="17"/>
  <c r="DQ88" i="17"/>
  <c r="DR88" i="17"/>
  <c r="DS88" i="17"/>
  <c r="DT88" i="17"/>
  <c r="DU88" i="17"/>
  <c r="DV88" i="17"/>
  <c r="DW88" i="17"/>
  <c r="DX88" i="17"/>
  <c r="DY88" i="17"/>
  <c r="DZ88" i="17"/>
  <c r="EA88" i="17"/>
  <c r="EB88" i="17"/>
  <c r="EC88" i="17"/>
  <c r="ED88" i="17"/>
  <c r="EE88" i="17"/>
  <c r="EF88" i="17"/>
  <c r="EG88" i="17"/>
  <c r="EH88" i="17"/>
  <c r="EI88" i="17"/>
  <c r="EJ88" i="17"/>
  <c r="EK88" i="17"/>
  <c r="EL88" i="17"/>
  <c r="EM88" i="17"/>
  <c r="EN88" i="17"/>
  <c r="EO88" i="17"/>
  <c r="EP88" i="17"/>
  <c r="EQ88" i="17"/>
  <c r="ER88" i="17"/>
  <c r="ES88" i="17"/>
  <c r="ET88" i="17"/>
  <c r="EU88" i="17"/>
  <c r="EV88" i="17"/>
  <c r="EW88" i="17"/>
  <c r="EX88" i="17"/>
  <c r="EY88" i="17"/>
  <c r="EZ88" i="17"/>
  <c r="FA88" i="17"/>
  <c r="FB88" i="17"/>
  <c r="FC88" i="17"/>
  <c r="FD88" i="17"/>
  <c r="FE88" i="17"/>
  <c r="FF88" i="17"/>
  <c r="FG88" i="17"/>
  <c r="FH88" i="17"/>
  <c r="FI88" i="17"/>
  <c r="FJ88" i="17"/>
  <c r="FK88" i="17"/>
  <c r="FL88" i="17"/>
  <c r="FM88" i="17"/>
  <c r="FN88" i="17"/>
  <c r="FO88" i="17"/>
  <c r="FP88" i="17"/>
  <c r="FQ88" i="17"/>
  <c r="FR88" i="17"/>
  <c r="FS88" i="17"/>
  <c r="FT88" i="17"/>
  <c r="FU88" i="17"/>
  <c r="FV88" i="17"/>
  <c r="FW88" i="17"/>
  <c r="FX88" i="17"/>
  <c r="FY88" i="17"/>
  <c r="FZ88" i="17"/>
  <c r="GA88" i="17"/>
  <c r="GB88" i="17"/>
  <c r="GC88" i="17"/>
  <c r="GD88" i="17"/>
  <c r="GE88" i="17"/>
  <c r="GF88" i="17"/>
  <c r="GG88" i="17"/>
  <c r="GH88" i="17"/>
  <c r="GI88" i="17"/>
  <c r="GJ88" i="17"/>
  <c r="GK88" i="17"/>
  <c r="GL88" i="17"/>
  <c r="GM88" i="17"/>
  <c r="GN88" i="17"/>
  <c r="GO88" i="17"/>
  <c r="GP88" i="17"/>
  <c r="GQ88" i="17"/>
  <c r="GR88" i="17"/>
  <c r="GS88" i="17"/>
  <c r="GT88" i="17"/>
  <c r="GU88" i="17"/>
  <c r="GV88" i="17"/>
  <c r="GW88" i="17"/>
  <c r="GX88" i="17"/>
  <c r="GY88" i="17"/>
  <c r="GZ88" i="17"/>
  <c r="HA88" i="17"/>
  <c r="HB88" i="17"/>
  <c r="HC88" i="17"/>
  <c r="HD88" i="17"/>
  <c r="HE88" i="17"/>
  <c r="HF88" i="17"/>
  <c r="HG88" i="17"/>
  <c r="HH88" i="17"/>
  <c r="HI88" i="17"/>
  <c r="HJ88" i="17"/>
  <c r="HK88" i="17"/>
  <c r="HL88" i="17"/>
  <c r="HM88" i="17"/>
  <c r="HN88" i="17"/>
  <c r="HO88" i="17"/>
  <c r="HP88" i="17"/>
  <c r="HQ88" i="17"/>
  <c r="HR88" i="17"/>
  <c r="HS88" i="17"/>
  <c r="HT88" i="17"/>
  <c r="HU88" i="17"/>
  <c r="HV88" i="17"/>
  <c r="HW88" i="17"/>
  <c r="HX88" i="17"/>
  <c r="HY88" i="17"/>
  <c r="HZ88" i="17"/>
  <c r="IA88" i="17"/>
  <c r="IB88" i="17"/>
  <c r="IC88" i="17"/>
  <c r="ID88" i="17"/>
  <c r="IE88" i="17"/>
  <c r="IF88" i="17"/>
  <c r="IG88" i="17"/>
  <c r="IH88" i="17"/>
  <c r="II88" i="17"/>
  <c r="IJ88" i="17"/>
  <c r="IK88" i="17"/>
  <c r="IL88" i="17"/>
  <c r="IM88" i="17"/>
  <c r="IN88" i="17"/>
  <c r="IO88" i="17"/>
  <c r="IP88" i="17"/>
  <c r="IQ88" i="17"/>
  <c r="IR88" i="17"/>
  <c r="IS88" i="17"/>
  <c r="IT88" i="17"/>
  <c r="IU88" i="17"/>
  <c r="IV88" i="17"/>
  <c r="A87" i="17"/>
  <c r="B87" i="17"/>
  <c r="C87" i="17"/>
  <c r="D87" i="17"/>
  <c r="E87" i="17"/>
  <c r="F87" i="17"/>
  <c r="G87" i="17"/>
  <c r="H87" i="17"/>
  <c r="I87" i="17"/>
  <c r="J87" i="17"/>
  <c r="K87" i="17"/>
  <c r="L87" i="17"/>
  <c r="M87" i="17"/>
  <c r="N87" i="17"/>
  <c r="O87" i="17"/>
  <c r="P87" i="17"/>
  <c r="Q87" i="17"/>
  <c r="R87" i="17"/>
  <c r="S87" i="17"/>
  <c r="T87" i="17"/>
  <c r="U87" i="17"/>
  <c r="V87" i="17"/>
  <c r="W87" i="17"/>
  <c r="X87" i="17"/>
  <c r="Y87" i="17"/>
  <c r="Z87" i="17"/>
  <c r="AA87" i="17"/>
  <c r="AB87" i="17"/>
  <c r="AC87" i="17"/>
  <c r="AD87" i="17"/>
  <c r="AE87" i="17"/>
  <c r="AF87" i="17"/>
  <c r="AG87" i="17"/>
  <c r="AH87" i="17"/>
  <c r="AI87" i="17"/>
  <c r="AJ87" i="17"/>
  <c r="AK87" i="17"/>
  <c r="AL87" i="17"/>
  <c r="AM87" i="17"/>
  <c r="AN87" i="17"/>
  <c r="AO87" i="17"/>
  <c r="AP87" i="17"/>
  <c r="AQ87" i="17"/>
  <c r="AR87" i="17"/>
  <c r="AS87" i="17"/>
  <c r="AT87" i="17"/>
  <c r="AU87" i="17"/>
  <c r="AV87" i="17"/>
  <c r="AW87" i="17"/>
  <c r="AX87" i="17"/>
  <c r="AY87" i="17"/>
  <c r="AZ87" i="17"/>
  <c r="BA87" i="17"/>
  <c r="BB87" i="17"/>
  <c r="BC87" i="17"/>
  <c r="BD87" i="17"/>
  <c r="BE87" i="17"/>
  <c r="BF87" i="17"/>
  <c r="BG87" i="17"/>
  <c r="BH87" i="17"/>
  <c r="BI87" i="17"/>
  <c r="BJ87" i="17"/>
  <c r="BK87" i="17"/>
  <c r="BL87" i="17"/>
  <c r="BM87" i="17"/>
  <c r="BN87" i="17"/>
  <c r="BO87" i="17"/>
  <c r="BP87" i="17"/>
  <c r="BQ87" i="17"/>
  <c r="BR87" i="17"/>
  <c r="BS87" i="17"/>
  <c r="BT87" i="17"/>
  <c r="BU87" i="17"/>
  <c r="BV87" i="17"/>
  <c r="BW87" i="17"/>
  <c r="BX87" i="17"/>
  <c r="BY87" i="17"/>
  <c r="BZ87" i="17"/>
  <c r="CA87" i="17"/>
  <c r="CB87" i="17"/>
  <c r="CC87" i="17"/>
  <c r="CD87" i="17"/>
  <c r="CE87" i="17"/>
  <c r="CF87" i="17"/>
  <c r="CG87" i="17"/>
  <c r="CH87" i="17"/>
  <c r="CI87" i="17"/>
  <c r="CJ87" i="17"/>
  <c r="CK87" i="17"/>
  <c r="CL87" i="17"/>
  <c r="CM87" i="17"/>
  <c r="CN87" i="17"/>
  <c r="CO87" i="17"/>
  <c r="CP87" i="17"/>
  <c r="CQ87" i="17"/>
  <c r="CR87" i="17"/>
  <c r="CS87" i="17"/>
  <c r="CT87" i="17"/>
  <c r="CU87" i="17"/>
  <c r="CV87" i="17"/>
  <c r="CW87" i="17"/>
  <c r="CX87" i="17"/>
  <c r="CY87" i="17"/>
  <c r="CZ87" i="17"/>
  <c r="DA87" i="17"/>
  <c r="DB87" i="17"/>
  <c r="DC87" i="17"/>
  <c r="DD87" i="17"/>
  <c r="DE87" i="17"/>
  <c r="DF87" i="17"/>
  <c r="DG87" i="17"/>
  <c r="DH87" i="17"/>
  <c r="DI87" i="17"/>
  <c r="DJ87" i="17"/>
  <c r="DK87" i="17"/>
  <c r="DL87" i="17"/>
  <c r="DM87" i="17"/>
  <c r="DN87" i="17"/>
  <c r="DO87" i="17"/>
  <c r="DP87" i="17"/>
  <c r="DQ87" i="17"/>
  <c r="DR87" i="17"/>
  <c r="DS87" i="17"/>
  <c r="DT87" i="17"/>
  <c r="DU87" i="17"/>
  <c r="DV87" i="17"/>
  <c r="DW87" i="17"/>
  <c r="DX87" i="17"/>
  <c r="DY87" i="17"/>
  <c r="DZ87" i="17"/>
  <c r="EA87" i="17"/>
  <c r="EB87" i="17"/>
  <c r="EC87" i="17"/>
  <c r="ED87" i="17"/>
  <c r="EE87" i="17"/>
  <c r="EF87" i="17"/>
  <c r="EG87" i="17"/>
  <c r="EH87" i="17"/>
  <c r="EI87" i="17"/>
  <c r="EJ87" i="17"/>
  <c r="EK87" i="17"/>
  <c r="EL87" i="17"/>
  <c r="EM87" i="17"/>
  <c r="EN87" i="17"/>
  <c r="EO87" i="17"/>
  <c r="EP87" i="17"/>
  <c r="EQ87" i="17"/>
  <c r="ER87" i="17"/>
  <c r="ES87" i="17"/>
  <c r="ET87" i="17"/>
  <c r="EU87" i="17"/>
  <c r="EV87" i="17"/>
  <c r="EW87" i="17"/>
  <c r="EX87" i="17"/>
  <c r="EY87" i="17"/>
  <c r="EZ87" i="17"/>
  <c r="FA87" i="17"/>
  <c r="FB87" i="17"/>
  <c r="FC87" i="17"/>
  <c r="FD87" i="17"/>
  <c r="FE87" i="17"/>
  <c r="FF87" i="17"/>
  <c r="FG87" i="17"/>
  <c r="FH87" i="17"/>
  <c r="FI87" i="17"/>
  <c r="FJ87" i="17"/>
  <c r="FK87" i="17"/>
  <c r="FL87" i="17"/>
  <c r="FM87" i="17"/>
  <c r="FN87" i="17"/>
  <c r="FO87" i="17"/>
  <c r="FP87" i="17"/>
  <c r="FQ87" i="17"/>
  <c r="FR87" i="17"/>
  <c r="FS87" i="17"/>
  <c r="FT87" i="17"/>
  <c r="FU87" i="17"/>
  <c r="FV87" i="17"/>
  <c r="FW87" i="17"/>
  <c r="FX87" i="17"/>
  <c r="FY87" i="17"/>
  <c r="FZ87" i="17"/>
  <c r="GA87" i="17"/>
  <c r="GB87" i="17"/>
  <c r="GC87" i="17"/>
  <c r="GD87" i="17"/>
  <c r="GE87" i="17"/>
  <c r="GF87" i="17"/>
  <c r="GG87" i="17"/>
  <c r="GH87" i="17"/>
  <c r="GI87" i="17"/>
  <c r="GJ87" i="17"/>
  <c r="GK87" i="17"/>
  <c r="GL87" i="17"/>
  <c r="GM87" i="17"/>
  <c r="GN87" i="17"/>
  <c r="GO87" i="17"/>
  <c r="GP87" i="17"/>
  <c r="GQ87" i="17"/>
  <c r="GR87" i="17"/>
  <c r="GS87" i="17"/>
  <c r="GT87" i="17"/>
  <c r="GU87" i="17"/>
  <c r="GV87" i="17"/>
  <c r="GW87" i="17"/>
  <c r="GX87" i="17"/>
  <c r="GY87" i="17"/>
  <c r="GZ87" i="17"/>
  <c r="HA87" i="17"/>
  <c r="HB87" i="17"/>
  <c r="HC87" i="17"/>
  <c r="HD87" i="17"/>
  <c r="HE87" i="17"/>
  <c r="HF87" i="17"/>
  <c r="HG87" i="17"/>
  <c r="HH87" i="17"/>
  <c r="HI87" i="17"/>
  <c r="HJ87" i="17"/>
  <c r="HK87" i="17"/>
  <c r="HL87" i="17"/>
  <c r="HM87" i="17"/>
  <c r="HN87" i="17"/>
  <c r="HO87" i="17"/>
  <c r="HP87" i="17"/>
  <c r="HQ87" i="17"/>
  <c r="HR87" i="17"/>
  <c r="HS87" i="17"/>
  <c r="HT87" i="17"/>
  <c r="HU87" i="17"/>
  <c r="HV87" i="17"/>
  <c r="HW87" i="17"/>
  <c r="HX87" i="17"/>
  <c r="HY87" i="17"/>
  <c r="HZ87" i="17"/>
  <c r="IA87" i="17"/>
  <c r="IB87" i="17"/>
  <c r="IC87" i="17"/>
  <c r="ID87" i="17"/>
  <c r="IE87" i="17"/>
  <c r="IF87" i="17"/>
  <c r="IG87" i="17"/>
  <c r="IH87" i="17"/>
  <c r="II87" i="17"/>
  <c r="IJ87" i="17"/>
  <c r="IK87" i="17"/>
  <c r="IL87" i="17"/>
  <c r="IM87" i="17"/>
  <c r="IN87" i="17"/>
  <c r="IO87" i="17"/>
  <c r="IP87" i="17"/>
  <c r="IQ87" i="17"/>
  <c r="IR87" i="17"/>
  <c r="IS87" i="17"/>
  <c r="IT87" i="17"/>
  <c r="IU87" i="17"/>
  <c r="IV87" i="17"/>
  <c r="A86" i="17"/>
  <c r="B86" i="17"/>
  <c r="C86" i="17"/>
  <c r="D86" i="17"/>
  <c r="E86" i="17"/>
  <c r="F86" i="17"/>
  <c r="G86" i="17"/>
  <c r="H86" i="17"/>
  <c r="I86" i="17"/>
  <c r="J86" i="17"/>
  <c r="K86" i="17"/>
  <c r="L86" i="17"/>
  <c r="M86" i="17"/>
  <c r="N86" i="17"/>
  <c r="O86" i="17"/>
  <c r="P86" i="17"/>
  <c r="Q86" i="17"/>
  <c r="R86" i="17"/>
  <c r="S86" i="17"/>
  <c r="T86" i="17"/>
  <c r="U86" i="17"/>
  <c r="V86" i="17"/>
  <c r="W86" i="17"/>
  <c r="X86" i="17"/>
  <c r="Y86" i="17"/>
  <c r="Z86" i="17"/>
  <c r="AA86" i="17"/>
  <c r="AB86" i="17"/>
  <c r="AC86" i="17"/>
  <c r="AD86" i="17"/>
  <c r="AE86" i="17"/>
  <c r="AF86" i="17"/>
  <c r="AG86" i="17"/>
  <c r="AH86" i="17"/>
  <c r="AI86" i="17"/>
  <c r="AJ86" i="17"/>
  <c r="AK86" i="17"/>
  <c r="AL86" i="17"/>
  <c r="AM86" i="17"/>
  <c r="AN86" i="17"/>
  <c r="AO86" i="17"/>
  <c r="AP86" i="17"/>
  <c r="AQ86" i="17"/>
  <c r="AR86" i="17"/>
  <c r="AS86" i="17"/>
  <c r="AT86" i="17"/>
  <c r="AU86" i="17"/>
  <c r="AV86" i="17"/>
  <c r="AW86" i="17"/>
  <c r="AX86" i="17"/>
  <c r="AY86" i="17"/>
  <c r="AZ86" i="17"/>
  <c r="BA86" i="17"/>
  <c r="BB86" i="17"/>
  <c r="BC86" i="17"/>
  <c r="BD86" i="17"/>
  <c r="BE86" i="17"/>
  <c r="BF86" i="17"/>
  <c r="BG86" i="17"/>
  <c r="BH86" i="17"/>
  <c r="BI86" i="17"/>
  <c r="BJ86" i="17"/>
  <c r="BK86" i="17"/>
  <c r="BL86" i="17"/>
  <c r="BM86" i="17"/>
  <c r="BN86" i="17"/>
  <c r="BO86" i="17"/>
  <c r="BP86" i="17"/>
  <c r="BQ86" i="17"/>
  <c r="BR86" i="17"/>
  <c r="BS86" i="17"/>
  <c r="BT86" i="17"/>
  <c r="BU86" i="17"/>
  <c r="BV86" i="17"/>
  <c r="BW86" i="17"/>
  <c r="BX86" i="17"/>
  <c r="BY86" i="17"/>
  <c r="BZ86" i="17"/>
  <c r="CA86" i="17"/>
  <c r="CB86" i="17"/>
  <c r="CC86" i="17"/>
  <c r="CD86" i="17"/>
  <c r="CE86" i="17"/>
  <c r="CF86" i="17"/>
  <c r="CG86" i="17"/>
  <c r="CH86" i="17"/>
  <c r="CI86" i="17"/>
  <c r="CJ86" i="17"/>
  <c r="CK86" i="17"/>
  <c r="CL86" i="17"/>
  <c r="CM86" i="17"/>
  <c r="CN86" i="17"/>
  <c r="CO86" i="17"/>
  <c r="CP86" i="17"/>
  <c r="CQ86" i="17"/>
  <c r="CR86" i="17"/>
  <c r="CS86" i="17"/>
  <c r="CT86" i="17"/>
  <c r="CU86" i="17"/>
  <c r="CV86" i="17"/>
  <c r="CW86" i="17"/>
  <c r="CX86" i="17"/>
  <c r="CY86" i="17"/>
  <c r="CZ86" i="17"/>
  <c r="DA86" i="17"/>
  <c r="DB86" i="17"/>
  <c r="DC86" i="17"/>
  <c r="DD86" i="17"/>
  <c r="DE86" i="17"/>
  <c r="DF86" i="17"/>
  <c r="DG86" i="17"/>
  <c r="DH86" i="17"/>
  <c r="DI86" i="17"/>
  <c r="DJ86" i="17"/>
  <c r="DK86" i="17"/>
  <c r="DL86" i="17"/>
  <c r="DM86" i="17"/>
  <c r="DN86" i="17"/>
  <c r="DO86" i="17"/>
  <c r="DP86" i="17"/>
  <c r="DQ86" i="17"/>
  <c r="DR86" i="17"/>
  <c r="DS86" i="17"/>
  <c r="DT86" i="17"/>
  <c r="DU86" i="17"/>
  <c r="DV86" i="17"/>
  <c r="DW86" i="17"/>
  <c r="DX86" i="17"/>
  <c r="DY86" i="17"/>
  <c r="DZ86" i="17"/>
  <c r="EA86" i="17"/>
  <c r="EB86" i="17"/>
  <c r="EC86" i="17"/>
  <c r="ED86" i="17"/>
  <c r="EE86" i="17"/>
  <c r="EF86" i="17"/>
  <c r="EG86" i="17"/>
  <c r="EH86" i="17"/>
  <c r="EI86" i="17"/>
  <c r="EJ86" i="17"/>
  <c r="EK86" i="17"/>
  <c r="EL86" i="17"/>
  <c r="EM86" i="17"/>
  <c r="EN86" i="17"/>
  <c r="EO86" i="17"/>
  <c r="EP86" i="17"/>
  <c r="EQ86" i="17"/>
  <c r="ER86" i="17"/>
  <c r="ES86" i="17"/>
  <c r="ET86" i="17"/>
  <c r="EU86" i="17"/>
  <c r="EV86" i="17"/>
  <c r="EW86" i="17"/>
  <c r="EX86" i="17"/>
  <c r="EY86" i="17"/>
  <c r="EZ86" i="17"/>
  <c r="FA86" i="17"/>
  <c r="FB86" i="17"/>
  <c r="FC86" i="17"/>
  <c r="FD86" i="17"/>
  <c r="FE86" i="17"/>
  <c r="FF86" i="17"/>
  <c r="FG86" i="17"/>
  <c r="FH86" i="17"/>
  <c r="FI86" i="17"/>
  <c r="FJ86" i="17"/>
  <c r="FK86" i="17"/>
  <c r="FL86" i="17"/>
  <c r="FM86" i="17"/>
  <c r="FN86" i="17"/>
  <c r="FO86" i="17"/>
  <c r="FP86" i="17"/>
  <c r="FQ86" i="17"/>
  <c r="FR86" i="17"/>
  <c r="FS86" i="17"/>
  <c r="FT86" i="17"/>
  <c r="FU86" i="17"/>
  <c r="FV86" i="17"/>
  <c r="FW86" i="17"/>
  <c r="FX86" i="17"/>
  <c r="FY86" i="17"/>
  <c r="FZ86" i="17"/>
  <c r="GA86" i="17"/>
  <c r="GB86" i="17"/>
  <c r="GC86" i="17"/>
  <c r="GD86" i="17"/>
  <c r="GE86" i="17"/>
  <c r="GF86" i="17"/>
  <c r="GG86" i="17"/>
  <c r="GH86" i="17"/>
  <c r="GI86" i="17"/>
  <c r="GJ86" i="17"/>
  <c r="GK86" i="17"/>
  <c r="GL86" i="17"/>
  <c r="GM86" i="17"/>
  <c r="GN86" i="17"/>
  <c r="GO86" i="17"/>
  <c r="GP86" i="17"/>
  <c r="GQ86" i="17"/>
  <c r="GR86" i="17"/>
  <c r="GS86" i="17"/>
  <c r="GT86" i="17"/>
  <c r="GU86" i="17"/>
  <c r="GV86" i="17"/>
  <c r="GW86" i="17"/>
  <c r="GX86" i="17"/>
  <c r="GY86" i="17"/>
  <c r="GZ86" i="17"/>
  <c r="HA86" i="17"/>
  <c r="HB86" i="17"/>
  <c r="HC86" i="17"/>
  <c r="HD86" i="17"/>
  <c r="HE86" i="17"/>
  <c r="HF86" i="17"/>
  <c r="HG86" i="17"/>
  <c r="HH86" i="17"/>
  <c r="HI86" i="17"/>
  <c r="HJ86" i="17"/>
  <c r="HK86" i="17"/>
  <c r="HL86" i="17"/>
  <c r="HM86" i="17"/>
  <c r="HN86" i="17"/>
  <c r="HO86" i="17"/>
  <c r="HP86" i="17"/>
  <c r="HQ86" i="17"/>
  <c r="HR86" i="17"/>
  <c r="HS86" i="17"/>
  <c r="HT86" i="17"/>
  <c r="HU86" i="17"/>
  <c r="HV86" i="17"/>
  <c r="HW86" i="17"/>
  <c r="HX86" i="17"/>
  <c r="HY86" i="17"/>
  <c r="HZ86" i="17"/>
  <c r="IA86" i="17"/>
  <c r="IB86" i="17"/>
  <c r="IC86" i="17"/>
  <c r="ID86" i="17"/>
  <c r="IE86" i="17"/>
  <c r="IF86" i="17"/>
  <c r="IG86" i="17"/>
  <c r="IH86" i="17"/>
  <c r="II86" i="17"/>
  <c r="IJ86" i="17"/>
  <c r="IK86" i="17"/>
  <c r="IL86" i="17"/>
  <c r="IM86" i="17"/>
  <c r="IN86" i="17"/>
  <c r="IO86" i="17"/>
  <c r="IP86" i="17"/>
  <c r="IQ86" i="17"/>
  <c r="IR86" i="17"/>
  <c r="IS86" i="17"/>
  <c r="IT86" i="17"/>
  <c r="IU86" i="17"/>
  <c r="IV86" i="17"/>
  <c r="A85" i="17"/>
  <c r="B85" i="17"/>
  <c r="C85" i="17"/>
  <c r="D85" i="17"/>
  <c r="E85" i="17"/>
  <c r="F85" i="17"/>
  <c r="G85" i="17"/>
  <c r="H85" i="17"/>
  <c r="I85" i="17"/>
  <c r="J85" i="17"/>
  <c r="K85" i="17"/>
  <c r="L85" i="17"/>
  <c r="M85" i="17"/>
  <c r="N85" i="17"/>
  <c r="O85" i="17"/>
  <c r="P85" i="17"/>
  <c r="Q85" i="17"/>
  <c r="R85" i="17"/>
  <c r="S85" i="17"/>
  <c r="T85" i="17"/>
  <c r="U85" i="17"/>
  <c r="V85" i="17"/>
  <c r="W85" i="17"/>
  <c r="X85" i="17"/>
  <c r="Y85" i="17"/>
  <c r="Z85" i="17"/>
  <c r="AA85" i="17"/>
  <c r="AB85" i="17"/>
  <c r="AC85" i="17"/>
  <c r="AD85" i="17"/>
  <c r="AE85" i="17"/>
  <c r="AF85" i="17"/>
  <c r="AG85" i="17"/>
  <c r="AH85" i="17"/>
  <c r="AI85" i="17"/>
  <c r="AJ85" i="17"/>
  <c r="AK85" i="17"/>
  <c r="AL85" i="17"/>
  <c r="AM85" i="17"/>
  <c r="AN85" i="17"/>
  <c r="AO85" i="17"/>
  <c r="AP85" i="17"/>
  <c r="AQ85" i="17"/>
  <c r="AR85" i="17"/>
  <c r="AS85" i="17"/>
  <c r="AT85" i="17"/>
  <c r="AU85" i="17"/>
  <c r="AV85" i="17"/>
  <c r="AW85" i="17"/>
  <c r="AX85" i="17"/>
  <c r="AY85" i="17"/>
  <c r="AZ85" i="17"/>
  <c r="BA85" i="17"/>
  <c r="BB85" i="17"/>
  <c r="BC85" i="17"/>
  <c r="BD85" i="17"/>
  <c r="BE85" i="17"/>
  <c r="BF85" i="17"/>
  <c r="BG85" i="17"/>
  <c r="BH85" i="17"/>
  <c r="BI85" i="17"/>
  <c r="BJ85" i="17"/>
  <c r="BK85" i="17"/>
  <c r="BL85" i="17"/>
  <c r="BM85" i="17"/>
  <c r="BN85" i="17"/>
  <c r="BO85" i="17"/>
  <c r="BP85" i="17"/>
  <c r="BQ85" i="17"/>
  <c r="BR85" i="17"/>
  <c r="BS85" i="17"/>
  <c r="BT85" i="17"/>
  <c r="BU85" i="17"/>
  <c r="BV85" i="17"/>
  <c r="BW85" i="17"/>
  <c r="BX85" i="17"/>
  <c r="BY85" i="17"/>
  <c r="BZ85" i="17"/>
  <c r="CA85" i="17"/>
  <c r="CB85" i="17"/>
  <c r="CC85" i="17"/>
  <c r="CD85" i="17"/>
  <c r="CE85" i="17"/>
  <c r="CF85" i="17"/>
  <c r="CG85" i="17"/>
  <c r="CH85" i="17"/>
  <c r="CI85" i="17"/>
  <c r="CJ85" i="17"/>
  <c r="CK85" i="17"/>
  <c r="CL85" i="17"/>
  <c r="CM85" i="17"/>
  <c r="CN85" i="17"/>
  <c r="CO85" i="17"/>
  <c r="CP85" i="17"/>
  <c r="CQ85" i="17"/>
  <c r="CR85" i="17"/>
  <c r="CS85" i="17"/>
  <c r="CT85" i="17"/>
  <c r="CU85" i="17"/>
  <c r="CV85" i="17"/>
  <c r="CW85" i="17"/>
  <c r="CX85" i="17"/>
  <c r="CY85" i="17"/>
  <c r="CZ85" i="17"/>
  <c r="DA85" i="17"/>
  <c r="DB85" i="17"/>
  <c r="DC85" i="17"/>
  <c r="DD85" i="17"/>
  <c r="DE85" i="17"/>
  <c r="DF85" i="17"/>
  <c r="DG85" i="17"/>
  <c r="DH85" i="17"/>
  <c r="DI85" i="17"/>
  <c r="DJ85" i="17"/>
  <c r="DK85" i="17"/>
  <c r="DL85" i="17"/>
  <c r="DM85" i="17"/>
  <c r="DN85" i="17"/>
  <c r="DO85" i="17"/>
  <c r="DP85" i="17"/>
  <c r="DQ85" i="17"/>
  <c r="DR85" i="17"/>
  <c r="DS85" i="17"/>
  <c r="DT85" i="17"/>
  <c r="DU85" i="17"/>
  <c r="DV85" i="17"/>
  <c r="DW85" i="17"/>
  <c r="DX85" i="17"/>
  <c r="DY85" i="17"/>
  <c r="DZ85" i="17"/>
  <c r="EA85" i="17"/>
  <c r="EB85" i="17"/>
  <c r="EC85" i="17"/>
  <c r="ED85" i="17"/>
  <c r="EE85" i="17"/>
  <c r="EF85" i="17"/>
  <c r="EG85" i="17"/>
  <c r="EH85" i="17"/>
  <c r="EI85" i="17"/>
  <c r="EJ85" i="17"/>
  <c r="EK85" i="17"/>
  <c r="EL85" i="17"/>
  <c r="EM85" i="17"/>
  <c r="EN85" i="17"/>
  <c r="EO85" i="17"/>
  <c r="EP85" i="17"/>
  <c r="EQ85" i="17"/>
  <c r="ER85" i="17"/>
  <c r="ES85" i="17"/>
  <c r="ET85" i="17"/>
  <c r="EU85" i="17"/>
  <c r="EV85" i="17"/>
  <c r="EW85" i="17"/>
  <c r="EX85" i="17"/>
  <c r="EY85" i="17"/>
  <c r="EZ85" i="17"/>
  <c r="FA85" i="17"/>
  <c r="FB85" i="17"/>
  <c r="FC85" i="17"/>
  <c r="FD85" i="17"/>
  <c r="FE85" i="17"/>
  <c r="FF85" i="17"/>
  <c r="FG85" i="17"/>
  <c r="FH85" i="17"/>
  <c r="FI85" i="17"/>
  <c r="FJ85" i="17"/>
  <c r="FK85" i="17"/>
  <c r="FL85" i="17"/>
  <c r="FM85" i="17"/>
  <c r="FN85" i="17"/>
  <c r="FO85" i="17"/>
  <c r="FP85" i="17"/>
  <c r="FQ85" i="17"/>
  <c r="FR85" i="17"/>
  <c r="FS85" i="17"/>
  <c r="FT85" i="17"/>
  <c r="FU85" i="17"/>
  <c r="FV85" i="17"/>
  <c r="FW85" i="17"/>
  <c r="FX85" i="17"/>
  <c r="FY85" i="17"/>
  <c r="FZ85" i="17"/>
  <c r="GA85" i="17"/>
  <c r="GB85" i="17"/>
  <c r="GC85" i="17"/>
  <c r="GD85" i="17"/>
  <c r="GE85" i="17"/>
  <c r="GF85" i="17"/>
  <c r="GG85" i="17"/>
  <c r="GH85" i="17"/>
  <c r="GI85" i="17"/>
  <c r="GJ85" i="17"/>
  <c r="GK85" i="17"/>
  <c r="GL85" i="17"/>
  <c r="GM85" i="17"/>
  <c r="GN85" i="17"/>
  <c r="GO85" i="17"/>
  <c r="GP85" i="17"/>
  <c r="GQ85" i="17"/>
  <c r="GR85" i="17"/>
  <c r="GS85" i="17"/>
  <c r="GT85" i="17"/>
  <c r="GU85" i="17"/>
  <c r="GV85" i="17"/>
  <c r="GW85" i="17"/>
  <c r="GX85" i="17"/>
  <c r="GY85" i="17"/>
  <c r="GZ85" i="17"/>
  <c r="HA85" i="17"/>
  <c r="HB85" i="17"/>
  <c r="HC85" i="17"/>
  <c r="HD85" i="17"/>
  <c r="HE85" i="17"/>
  <c r="HF85" i="17"/>
  <c r="HG85" i="17"/>
  <c r="HH85" i="17"/>
  <c r="HI85" i="17"/>
  <c r="HJ85" i="17"/>
  <c r="HK85" i="17"/>
  <c r="HL85" i="17"/>
  <c r="HM85" i="17"/>
  <c r="HN85" i="17"/>
  <c r="HO85" i="17"/>
  <c r="HP85" i="17"/>
  <c r="HQ85" i="17"/>
  <c r="HR85" i="17"/>
  <c r="HS85" i="17"/>
  <c r="HT85" i="17"/>
  <c r="HU85" i="17"/>
  <c r="HV85" i="17"/>
  <c r="HW85" i="17"/>
  <c r="HX85" i="17"/>
  <c r="HY85" i="17"/>
  <c r="HZ85" i="17"/>
  <c r="IA85" i="17"/>
  <c r="IB85" i="17"/>
  <c r="IC85" i="17"/>
  <c r="ID85" i="17"/>
  <c r="IE85" i="17"/>
  <c r="IF85" i="17"/>
  <c r="IG85" i="17"/>
  <c r="IH85" i="17"/>
  <c r="II85" i="17"/>
  <c r="IJ85" i="17"/>
  <c r="IK85" i="17"/>
  <c r="IL85" i="17"/>
  <c r="IM85" i="17"/>
  <c r="IN85" i="17"/>
  <c r="IO85" i="17"/>
  <c r="IP85" i="17"/>
  <c r="IQ85" i="17"/>
  <c r="IR85" i="17"/>
  <c r="IS85" i="17"/>
  <c r="IT85" i="17"/>
  <c r="IU85" i="17"/>
  <c r="IV85" i="17"/>
  <c r="A84" i="17"/>
  <c r="B84" i="17"/>
  <c r="C84" i="17"/>
  <c r="D84" i="17"/>
  <c r="E84" i="17"/>
  <c r="F84" i="17"/>
  <c r="G84" i="17"/>
  <c r="H84" i="17"/>
  <c r="I84" i="17"/>
  <c r="J84" i="17"/>
  <c r="K84" i="17"/>
  <c r="L84" i="17"/>
  <c r="M84" i="17"/>
  <c r="N84" i="17"/>
  <c r="O84" i="17"/>
  <c r="P84" i="17"/>
  <c r="Q84" i="17"/>
  <c r="R84" i="17"/>
  <c r="S84" i="17"/>
  <c r="T84" i="17"/>
  <c r="U84" i="17"/>
  <c r="V84" i="17"/>
  <c r="W84" i="17"/>
  <c r="X84" i="17"/>
  <c r="Y84" i="17"/>
  <c r="Z84" i="17"/>
  <c r="AA84" i="17"/>
  <c r="AB84" i="17"/>
  <c r="AC84" i="17"/>
  <c r="AD84" i="17"/>
  <c r="AE84" i="17"/>
  <c r="AF84" i="17"/>
  <c r="AG84" i="17"/>
  <c r="AH84" i="17"/>
  <c r="AI84" i="17"/>
  <c r="AJ84" i="17"/>
  <c r="AK84" i="17"/>
  <c r="AL84" i="17"/>
  <c r="AM84" i="17"/>
  <c r="AN84" i="17"/>
  <c r="AO84" i="17"/>
  <c r="AP84" i="17"/>
  <c r="AQ84" i="17"/>
  <c r="AR84" i="17"/>
  <c r="AS84" i="17"/>
  <c r="AT84" i="17"/>
  <c r="AU84" i="17"/>
  <c r="AV84" i="17"/>
  <c r="AW84" i="17"/>
  <c r="AX84" i="17"/>
  <c r="AY84" i="17"/>
  <c r="AZ84" i="17"/>
  <c r="BA84" i="17"/>
  <c r="BB84" i="17"/>
  <c r="BC84" i="17"/>
  <c r="BD84" i="17"/>
  <c r="BE84" i="17"/>
  <c r="BF84" i="17"/>
  <c r="BG84" i="17"/>
  <c r="BH84" i="17"/>
  <c r="BI84" i="17"/>
  <c r="BJ84" i="17"/>
  <c r="BK84" i="17"/>
  <c r="BL84" i="17"/>
  <c r="BM84" i="17"/>
  <c r="BN84" i="17"/>
  <c r="BO84" i="17"/>
  <c r="BP84" i="17"/>
  <c r="BQ84" i="17"/>
  <c r="BR84" i="17"/>
  <c r="BS84" i="17"/>
  <c r="BT84" i="17"/>
  <c r="BU84" i="17"/>
  <c r="BV84" i="17"/>
  <c r="BW84" i="17"/>
  <c r="BX84" i="17"/>
  <c r="BY84" i="17"/>
  <c r="BZ84" i="17"/>
  <c r="CA84" i="17"/>
  <c r="CB84" i="17"/>
  <c r="CC84" i="17"/>
  <c r="CD84" i="17"/>
  <c r="CE84" i="17"/>
  <c r="CF84" i="17"/>
  <c r="CG84" i="17"/>
  <c r="CH84" i="17"/>
  <c r="CI84" i="17"/>
  <c r="CJ84" i="17"/>
  <c r="CK84" i="17"/>
  <c r="CL84" i="17"/>
  <c r="CM84" i="17"/>
  <c r="CN84" i="17"/>
  <c r="CO84" i="17"/>
  <c r="CP84" i="17"/>
  <c r="CQ84" i="17"/>
  <c r="CR84" i="17"/>
  <c r="CS84" i="17"/>
  <c r="CT84" i="17"/>
  <c r="CU84" i="17"/>
  <c r="CV84" i="17"/>
  <c r="CW84" i="17"/>
  <c r="CX84" i="17"/>
  <c r="CY84" i="17"/>
  <c r="CZ84" i="17"/>
  <c r="DA84" i="17"/>
  <c r="DB84" i="17"/>
  <c r="DC84" i="17"/>
  <c r="DD84" i="17"/>
  <c r="DE84" i="17"/>
  <c r="DF84" i="17"/>
  <c r="DG84" i="17"/>
  <c r="DH84" i="17"/>
  <c r="DI84" i="17"/>
  <c r="DJ84" i="17"/>
  <c r="DK84" i="17"/>
  <c r="DL84" i="17"/>
  <c r="DM84" i="17"/>
  <c r="DN84" i="17"/>
  <c r="DO84" i="17"/>
  <c r="DP84" i="17"/>
  <c r="DQ84" i="17"/>
  <c r="DR84" i="17"/>
  <c r="DS84" i="17"/>
  <c r="DT84" i="17"/>
  <c r="DU84" i="17"/>
  <c r="DV84" i="17"/>
  <c r="DW84" i="17"/>
  <c r="DX84" i="17"/>
  <c r="DY84" i="17"/>
  <c r="DZ84" i="17"/>
  <c r="EA84" i="17"/>
  <c r="EB84" i="17"/>
  <c r="EC84" i="17"/>
  <c r="ED84" i="17"/>
  <c r="EE84" i="17"/>
  <c r="EF84" i="17"/>
  <c r="EG84" i="17"/>
  <c r="EH84" i="17"/>
  <c r="EI84" i="17"/>
  <c r="EJ84" i="17"/>
  <c r="EK84" i="17"/>
  <c r="EL84" i="17"/>
  <c r="EM84" i="17"/>
  <c r="EN84" i="17"/>
  <c r="EO84" i="17"/>
  <c r="EP84" i="17"/>
  <c r="EQ84" i="17"/>
  <c r="ER84" i="17"/>
  <c r="ES84" i="17"/>
  <c r="ET84" i="17"/>
  <c r="EU84" i="17"/>
  <c r="EV84" i="17"/>
  <c r="EW84" i="17"/>
  <c r="EX84" i="17"/>
  <c r="EY84" i="17"/>
  <c r="EZ84" i="17"/>
  <c r="FA84" i="17"/>
  <c r="FB84" i="17"/>
  <c r="FC84" i="17"/>
  <c r="FD84" i="17"/>
  <c r="FE84" i="17"/>
  <c r="FF84" i="17"/>
  <c r="FG84" i="17"/>
  <c r="FH84" i="17"/>
  <c r="FI84" i="17"/>
  <c r="FJ84" i="17"/>
  <c r="FK84" i="17"/>
  <c r="FL84" i="17"/>
  <c r="FM84" i="17"/>
  <c r="FN84" i="17"/>
  <c r="FO84" i="17"/>
  <c r="FP84" i="17"/>
  <c r="FQ84" i="17"/>
  <c r="FR84" i="17"/>
  <c r="FS84" i="17"/>
  <c r="FT84" i="17"/>
  <c r="FU84" i="17"/>
  <c r="FV84" i="17"/>
  <c r="FW84" i="17"/>
  <c r="FX84" i="17"/>
  <c r="FY84" i="17"/>
  <c r="FZ84" i="17"/>
  <c r="GA84" i="17"/>
  <c r="GB84" i="17"/>
  <c r="GC84" i="17"/>
  <c r="GD84" i="17"/>
  <c r="GE84" i="17"/>
  <c r="GF84" i="17"/>
  <c r="GG84" i="17"/>
  <c r="GH84" i="17"/>
  <c r="GI84" i="17"/>
  <c r="GJ84" i="17"/>
  <c r="GK84" i="17"/>
  <c r="GL84" i="17"/>
  <c r="GM84" i="17"/>
  <c r="GN84" i="17"/>
  <c r="GO84" i="17"/>
  <c r="GP84" i="17"/>
  <c r="GQ84" i="17"/>
  <c r="GR84" i="17"/>
  <c r="GS84" i="17"/>
  <c r="GT84" i="17"/>
  <c r="GU84" i="17"/>
  <c r="GV84" i="17"/>
  <c r="GW84" i="17"/>
  <c r="GX84" i="17"/>
  <c r="GY84" i="17"/>
  <c r="GZ84" i="17"/>
  <c r="HA84" i="17"/>
  <c r="HB84" i="17"/>
  <c r="HC84" i="17"/>
  <c r="HD84" i="17"/>
  <c r="HE84" i="17"/>
  <c r="HF84" i="17"/>
  <c r="HG84" i="17"/>
  <c r="HH84" i="17"/>
  <c r="HI84" i="17"/>
  <c r="HJ84" i="17"/>
  <c r="HK84" i="17"/>
  <c r="HL84" i="17"/>
  <c r="HM84" i="17"/>
  <c r="HN84" i="17"/>
  <c r="HO84" i="17"/>
  <c r="HP84" i="17"/>
  <c r="HQ84" i="17"/>
  <c r="HR84" i="17"/>
  <c r="HS84" i="17"/>
  <c r="HT84" i="17"/>
  <c r="HU84" i="17"/>
  <c r="HV84" i="17"/>
  <c r="HW84" i="17"/>
  <c r="HX84" i="17"/>
  <c r="HY84" i="17"/>
  <c r="HZ84" i="17"/>
  <c r="IA84" i="17"/>
  <c r="IB84" i="17"/>
  <c r="IC84" i="17"/>
  <c r="ID84" i="17"/>
  <c r="IE84" i="17"/>
  <c r="IF84" i="17"/>
  <c r="IG84" i="17"/>
  <c r="IH84" i="17"/>
  <c r="II84" i="17"/>
  <c r="IJ84" i="17"/>
  <c r="IK84" i="17"/>
  <c r="IL84" i="17"/>
  <c r="IM84" i="17"/>
  <c r="IN84" i="17"/>
  <c r="IO84" i="17"/>
  <c r="IP84" i="17"/>
  <c r="IQ84" i="17"/>
  <c r="IR84" i="17"/>
  <c r="IS84" i="17"/>
  <c r="IT84" i="17"/>
  <c r="IU84" i="17"/>
  <c r="IV84" i="17"/>
  <c r="A83" i="17"/>
  <c r="B83" i="17"/>
  <c r="C83" i="17"/>
  <c r="D83" i="17"/>
  <c r="E83" i="17"/>
  <c r="F83" i="17"/>
  <c r="G83" i="17"/>
  <c r="H83" i="17"/>
  <c r="I83" i="17"/>
  <c r="J83" i="17"/>
  <c r="K83" i="17"/>
  <c r="L83" i="17"/>
  <c r="M83" i="17"/>
  <c r="N83" i="17"/>
  <c r="O83" i="17"/>
  <c r="P83" i="17"/>
  <c r="Q83" i="17"/>
  <c r="R83" i="17"/>
  <c r="S83" i="17"/>
  <c r="T83" i="17"/>
  <c r="U83" i="17"/>
  <c r="V83" i="17"/>
  <c r="W83" i="17"/>
  <c r="X83" i="17"/>
  <c r="Y83" i="17"/>
  <c r="Z83" i="17"/>
  <c r="AA83" i="17"/>
  <c r="AB83" i="17"/>
  <c r="AC83" i="17"/>
  <c r="AD83" i="17"/>
  <c r="AE83" i="17"/>
  <c r="AF83" i="17"/>
  <c r="AG83" i="17"/>
  <c r="AH83" i="17"/>
  <c r="AI83" i="17"/>
  <c r="AJ83" i="17"/>
  <c r="AK83" i="17"/>
  <c r="AL83" i="17"/>
  <c r="AM83" i="17"/>
  <c r="AN83" i="17"/>
  <c r="AO83" i="17"/>
  <c r="AP83" i="17"/>
  <c r="AQ83" i="17"/>
  <c r="AR83" i="17"/>
  <c r="AS83" i="17"/>
  <c r="AT83" i="17"/>
  <c r="AU83" i="17"/>
  <c r="AV83" i="17"/>
  <c r="AW83" i="17"/>
  <c r="AX83" i="17"/>
  <c r="AY83" i="17"/>
  <c r="AZ83" i="17"/>
  <c r="BA83" i="17"/>
  <c r="BB83" i="17"/>
  <c r="BC83" i="17"/>
  <c r="BD83" i="17"/>
  <c r="BE83" i="17"/>
  <c r="BF83" i="17"/>
  <c r="BG83" i="17"/>
  <c r="BH83" i="17"/>
  <c r="BI83" i="17"/>
  <c r="BJ83" i="17"/>
  <c r="BK83" i="17"/>
  <c r="BL83" i="17"/>
  <c r="BM83" i="17"/>
  <c r="BN83" i="17"/>
  <c r="BO83" i="17"/>
  <c r="BP83" i="17"/>
  <c r="BQ83" i="17"/>
  <c r="BR83" i="17"/>
  <c r="BS83" i="17"/>
  <c r="BT83" i="17"/>
  <c r="BU83" i="17"/>
  <c r="BV83" i="17"/>
  <c r="BW83" i="17"/>
  <c r="BX83" i="17"/>
  <c r="BY83" i="17"/>
  <c r="BZ83" i="17"/>
  <c r="CA83" i="17"/>
  <c r="CB83" i="17"/>
  <c r="CC83" i="17"/>
  <c r="CD83" i="17"/>
  <c r="CE83" i="17"/>
  <c r="CF83" i="17"/>
  <c r="CG83" i="17"/>
  <c r="CH83" i="17"/>
  <c r="CI83" i="17"/>
  <c r="CJ83" i="17"/>
  <c r="CK83" i="17"/>
  <c r="CL83" i="17"/>
  <c r="CM83" i="17"/>
  <c r="CN83" i="17"/>
  <c r="CO83" i="17"/>
  <c r="CP83" i="17"/>
  <c r="CQ83" i="17"/>
  <c r="CR83" i="17"/>
  <c r="CS83" i="17"/>
  <c r="CT83" i="17"/>
  <c r="CU83" i="17"/>
  <c r="CV83" i="17"/>
  <c r="CW83" i="17"/>
  <c r="CX83" i="17"/>
  <c r="CY83" i="17"/>
  <c r="CZ83" i="17"/>
  <c r="DA83" i="17"/>
  <c r="DB83" i="17"/>
  <c r="DC83" i="17"/>
  <c r="DD83" i="17"/>
  <c r="DE83" i="17"/>
  <c r="DF83" i="17"/>
  <c r="DG83" i="17"/>
  <c r="DH83" i="17"/>
  <c r="DI83" i="17"/>
  <c r="DJ83" i="17"/>
  <c r="DK83" i="17"/>
  <c r="DL83" i="17"/>
  <c r="DM83" i="17"/>
  <c r="DN83" i="17"/>
  <c r="DO83" i="17"/>
  <c r="DP83" i="17"/>
  <c r="DQ83" i="17"/>
  <c r="DR83" i="17"/>
  <c r="DS83" i="17"/>
  <c r="DT83" i="17"/>
  <c r="DU83" i="17"/>
  <c r="DV83" i="17"/>
  <c r="DW83" i="17"/>
  <c r="DX83" i="17"/>
  <c r="DY83" i="17"/>
  <c r="DZ83" i="17"/>
  <c r="EA83" i="17"/>
  <c r="EB83" i="17"/>
  <c r="EC83" i="17"/>
  <c r="ED83" i="17"/>
  <c r="EE83" i="17"/>
  <c r="EF83" i="17"/>
  <c r="EG83" i="17"/>
  <c r="EH83" i="17"/>
  <c r="EI83" i="17"/>
  <c r="EJ83" i="17"/>
  <c r="EK83" i="17"/>
  <c r="EL83" i="17"/>
  <c r="EM83" i="17"/>
  <c r="EN83" i="17"/>
  <c r="EO83" i="17"/>
  <c r="EP83" i="17"/>
  <c r="EQ83" i="17"/>
  <c r="ER83" i="17"/>
  <c r="ES83" i="17"/>
  <c r="ET83" i="17"/>
  <c r="EU83" i="17"/>
  <c r="EV83" i="17"/>
  <c r="EW83" i="17"/>
  <c r="EX83" i="17"/>
  <c r="EY83" i="17"/>
  <c r="EZ83" i="17"/>
  <c r="FA83" i="17"/>
  <c r="FB83" i="17"/>
  <c r="FC83" i="17"/>
  <c r="FD83" i="17"/>
  <c r="FE83" i="17"/>
  <c r="FF83" i="17"/>
  <c r="FG83" i="17"/>
  <c r="FH83" i="17"/>
  <c r="FI83" i="17"/>
  <c r="FJ83" i="17"/>
  <c r="FK83" i="17"/>
  <c r="FL83" i="17"/>
  <c r="FM83" i="17"/>
  <c r="FN83" i="17"/>
  <c r="FO83" i="17"/>
  <c r="FP83" i="17"/>
  <c r="FQ83" i="17"/>
  <c r="FR83" i="17"/>
  <c r="FS83" i="17"/>
  <c r="FT83" i="17"/>
  <c r="FU83" i="17"/>
  <c r="FV83" i="17"/>
  <c r="FW83" i="17"/>
  <c r="FX83" i="17"/>
  <c r="FY83" i="17"/>
  <c r="FZ83" i="17"/>
  <c r="GA83" i="17"/>
  <c r="GB83" i="17"/>
  <c r="GC83" i="17"/>
  <c r="GD83" i="17"/>
  <c r="GE83" i="17"/>
  <c r="GF83" i="17"/>
  <c r="GG83" i="17"/>
  <c r="GH83" i="17"/>
  <c r="GI83" i="17"/>
  <c r="GJ83" i="17"/>
  <c r="GK83" i="17"/>
  <c r="GL83" i="17"/>
  <c r="GM83" i="17"/>
  <c r="GN83" i="17"/>
  <c r="GO83" i="17"/>
  <c r="GP83" i="17"/>
  <c r="GQ83" i="17"/>
  <c r="GR83" i="17"/>
  <c r="GS83" i="17"/>
  <c r="GT83" i="17"/>
  <c r="GU83" i="17"/>
  <c r="GV83" i="17"/>
  <c r="GW83" i="17"/>
  <c r="GX83" i="17"/>
  <c r="GY83" i="17"/>
  <c r="GZ83" i="17"/>
  <c r="HA83" i="17"/>
  <c r="HB83" i="17"/>
  <c r="HC83" i="17"/>
  <c r="HD83" i="17"/>
  <c r="HE83" i="17"/>
  <c r="HF83" i="17"/>
  <c r="HG83" i="17"/>
  <c r="HH83" i="17"/>
  <c r="HI83" i="17"/>
  <c r="HJ83" i="17"/>
  <c r="HK83" i="17"/>
  <c r="HL83" i="17"/>
  <c r="HM83" i="17"/>
  <c r="HN83" i="17"/>
  <c r="HO83" i="17"/>
  <c r="HP83" i="17"/>
  <c r="HQ83" i="17"/>
  <c r="HR83" i="17"/>
  <c r="HS83" i="17"/>
  <c r="HT83" i="17"/>
  <c r="HU83" i="17"/>
  <c r="HV83" i="17"/>
  <c r="HW83" i="17"/>
  <c r="HX83" i="17"/>
  <c r="HY83" i="17"/>
  <c r="HZ83" i="17"/>
  <c r="IA83" i="17"/>
  <c r="IB83" i="17"/>
  <c r="IC83" i="17"/>
  <c r="ID83" i="17"/>
  <c r="IE83" i="17"/>
  <c r="IF83" i="17"/>
  <c r="IG83" i="17"/>
  <c r="IH83" i="17"/>
  <c r="II83" i="17"/>
  <c r="IJ83" i="17"/>
  <c r="IK83" i="17"/>
  <c r="IL83" i="17"/>
  <c r="IM83" i="17"/>
  <c r="IN83" i="17"/>
  <c r="IO83" i="17"/>
  <c r="IP83" i="17"/>
  <c r="IQ83" i="17"/>
  <c r="IR83" i="17"/>
  <c r="IS83" i="17"/>
  <c r="IT83" i="17"/>
  <c r="IU83" i="17"/>
  <c r="IV83" i="17"/>
  <c r="A82" i="17"/>
  <c r="B82" i="17"/>
  <c r="C82" i="17"/>
  <c r="D82" i="17"/>
  <c r="E82" i="17"/>
  <c r="F82" i="17"/>
  <c r="G82" i="17"/>
  <c r="H82" i="17"/>
  <c r="I82" i="17"/>
  <c r="J82" i="17"/>
  <c r="K82" i="17"/>
  <c r="L82" i="17"/>
  <c r="M82" i="17"/>
  <c r="N82" i="17"/>
  <c r="O82" i="17"/>
  <c r="P82" i="17"/>
  <c r="Q82" i="17"/>
  <c r="R82" i="17"/>
  <c r="S82" i="17"/>
  <c r="T82" i="17"/>
  <c r="U82" i="17"/>
  <c r="V82" i="17"/>
  <c r="W82" i="17"/>
  <c r="X82" i="17"/>
  <c r="Y82" i="17"/>
  <c r="Z82" i="17"/>
  <c r="AA82" i="17"/>
  <c r="AB82" i="17"/>
  <c r="AC82" i="17"/>
  <c r="AD82" i="17"/>
  <c r="AE82" i="17"/>
  <c r="AF82" i="17"/>
  <c r="AG82" i="17"/>
  <c r="AH82" i="17"/>
  <c r="AI82" i="17"/>
  <c r="AJ82" i="17"/>
  <c r="AK82" i="17"/>
  <c r="AL82" i="17"/>
  <c r="AM82" i="17"/>
  <c r="AN82" i="17"/>
  <c r="AO82" i="17"/>
  <c r="AP82" i="17"/>
  <c r="AQ82" i="17"/>
  <c r="AR82" i="17"/>
  <c r="AS82" i="17"/>
  <c r="AT82" i="17"/>
  <c r="AU82" i="17"/>
  <c r="AV82" i="17"/>
  <c r="AW82" i="17"/>
  <c r="AX82" i="17"/>
  <c r="AY82" i="17"/>
  <c r="AZ82" i="17"/>
  <c r="BA82" i="17"/>
  <c r="BB82" i="17"/>
  <c r="BC82" i="17"/>
  <c r="BD82" i="17"/>
  <c r="BE82" i="17"/>
  <c r="BF82" i="17"/>
  <c r="BG82" i="17"/>
  <c r="BH82" i="17"/>
  <c r="BI82" i="17"/>
  <c r="BJ82" i="17"/>
  <c r="BK82" i="17"/>
  <c r="BL82" i="17"/>
  <c r="BM82" i="17"/>
  <c r="BN82" i="17"/>
  <c r="BO82" i="17"/>
  <c r="BP82" i="17"/>
  <c r="BQ82" i="17"/>
  <c r="BR82" i="17"/>
  <c r="BS82" i="17"/>
  <c r="BT82" i="17"/>
  <c r="BU82" i="17"/>
  <c r="BV82" i="17"/>
  <c r="BW82" i="17"/>
  <c r="BX82" i="17"/>
  <c r="BY82" i="17"/>
  <c r="BZ82" i="17"/>
  <c r="CA82" i="17"/>
  <c r="CB82" i="17"/>
  <c r="CC82" i="17"/>
  <c r="CD82" i="17"/>
  <c r="CE82" i="17"/>
  <c r="CF82" i="17"/>
  <c r="CG82" i="17"/>
  <c r="CH82" i="17"/>
  <c r="CI82" i="17"/>
  <c r="CJ82" i="17"/>
  <c r="CK82" i="17"/>
  <c r="CL82" i="17"/>
  <c r="CM82" i="17"/>
  <c r="CN82" i="17"/>
  <c r="CO82" i="17"/>
  <c r="CP82" i="17"/>
  <c r="CQ82" i="17"/>
  <c r="CR82" i="17"/>
  <c r="CS82" i="17"/>
  <c r="CT82" i="17"/>
  <c r="CU82" i="17"/>
  <c r="CV82" i="17"/>
  <c r="CW82" i="17"/>
  <c r="CX82" i="17"/>
  <c r="CY82" i="17"/>
  <c r="CZ82" i="17"/>
  <c r="DA82" i="17"/>
  <c r="DB82" i="17"/>
  <c r="DC82" i="17"/>
  <c r="DD82" i="17"/>
  <c r="DE82" i="17"/>
  <c r="DF82" i="17"/>
  <c r="DG82" i="17"/>
  <c r="DH82" i="17"/>
  <c r="DI82" i="17"/>
  <c r="DJ82" i="17"/>
  <c r="DK82" i="17"/>
  <c r="DL82" i="17"/>
  <c r="DM82" i="17"/>
  <c r="DN82" i="17"/>
  <c r="DO82" i="17"/>
  <c r="DP82" i="17"/>
  <c r="DQ82" i="17"/>
  <c r="DR82" i="17"/>
  <c r="DS82" i="17"/>
  <c r="DT82" i="17"/>
  <c r="DU82" i="17"/>
  <c r="DV82" i="17"/>
  <c r="DW82" i="17"/>
  <c r="DX82" i="17"/>
  <c r="DY82" i="17"/>
  <c r="DZ82" i="17"/>
  <c r="EA82" i="17"/>
  <c r="EB82" i="17"/>
  <c r="EC82" i="17"/>
  <c r="ED82" i="17"/>
  <c r="EE82" i="17"/>
  <c r="EF82" i="17"/>
  <c r="EG82" i="17"/>
  <c r="EH82" i="17"/>
  <c r="EI82" i="17"/>
  <c r="EJ82" i="17"/>
  <c r="EK82" i="17"/>
  <c r="EL82" i="17"/>
  <c r="EM82" i="17"/>
  <c r="EN82" i="17"/>
  <c r="EO82" i="17"/>
  <c r="EP82" i="17"/>
  <c r="EQ82" i="17"/>
  <c r="ER82" i="17"/>
  <c r="ES82" i="17"/>
  <c r="ET82" i="17"/>
  <c r="EU82" i="17"/>
  <c r="EV82" i="17"/>
  <c r="EW82" i="17"/>
  <c r="EX82" i="17"/>
  <c r="EY82" i="17"/>
  <c r="EZ82" i="17"/>
  <c r="FA82" i="17"/>
  <c r="FB82" i="17"/>
  <c r="FC82" i="17"/>
  <c r="FD82" i="17"/>
  <c r="FE82" i="17"/>
  <c r="FF82" i="17"/>
  <c r="FG82" i="17"/>
  <c r="FH82" i="17"/>
  <c r="FI82" i="17"/>
  <c r="FJ82" i="17"/>
  <c r="FK82" i="17"/>
  <c r="FL82" i="17"/>
  <c r="FM82" i="17"/>
  <c r="FN82" i="17"/>
  <c r="FO82" i="17"/>
  <c r="FP82" i="17"/>
  <c r="FQ82" i="17"/>
  <c r="FR82" i="17"/>
  <c r="FS82" i="17"/>
  <c r="FT82" i="17"/>
  <c r="FU82" i="17"/>
  <c r="FV82" i="17"/>
  <c r="FW82" i="17"/>
  <c r="FX82" i="17"/>
  <c r="FY82" i="17"/>
  <c r="FZ82" i="17"/>
  <c r="GA82" i="17"/>
  <c r="GB82" i="17"/>
  <c r="GC82" i="17"/>
  <c r="GD82" i="17"/>
  <c r="GE82" i="17"/>
  <c r="GF82" i="17"/>
  <c r="GG82" i="17"/>
  <c r="GH82" i="17"/>
  <c r="GI82" i="17"/>
  <c r="GJ82" i="17"/>
  <c r="GK82" i="17"/>
  <c r="GL82" i="17"/>
  <c r="GM82" i="17"/>
  <c r="GN82" i="17"/>
  <c r="GO82" i="17"/>
  <c r="GP82" i="17"/>
  <c r="GQ82" i="17"/>
  <c r="GR82" i="17"/>
  <c r="GS82" i="17"/>
  <c r="GT82" i="17"/>
  <c r="GU82" i="17"/>
  <c r="GV82" i="17"/>
  <c r="GW82" i="17"/>
  <c r="GX82" i="17"/>
  <c r="GY82" i="17"/>
  <c r="GZ82" i="17"/>
  <c r="HA82" i="17"/>
  <c r="HB82" i="17"/>
  <c r="HC82" i="17"/>
  <c r="HD82" i="17"/>
  <c r="HE82" i="17"/>
  <c r="HF82" i="17"/>
  <c r="HG82" i="17"/>
  <c r="HH82" i="17"/>
  <c r="HI82" i="17"/>
  <c r="HJ82" i="17"/>
  <c r="HK82" i="17"/>
  <c r="HL82" i="17"/>
  <c r="HM82" i="17"/>
  <c r="HN82" i="17"/>
  <c r="HO82" i="17"/>
  <c r="HP82" i="17"/>
  <c r="HQ82" i="17"/>
  <c r="HR82" i="17"/>
  <c r="HS82" i="17"/>
  <c r="HT82" i="17"/>
  <c r="HU82" i="17"/>
  <c r="HV82" i="17"/>
  <c r="HW82" i="17"/>
  <c r="HX82" i="17"/>
  <c r="HY82" i="17"/>
  <c r="HZ82" i="17"/>
  <c r="IA82" i="17"/>
  <c r="IB82" i="17"/>
  <c r="IC82" i="17"/>
  <c r="ID82" i="17"/>
  <c r="IE82" i="17"/>
  <c r="IF82" i="17"/>
  <c r="IG82" i="17"/>
  <c r="IH82" i="17"/>
  <c r="II82" i="17"/>
  <c r="IJ82" i="17"/>
  <c r="IK82" i="17"/>
  <c r="IL82" i="17"/>
  <c r="IM82" i="17"/>
  <c r="IN82" i="17"/>
  <c r="IO82" i="17"/>
  <c r="IP82" i="17"/>
  <c r="IQ82" i="17"/>
  <c r="IR82" i="17"/>
  <c r="IS82" i="17"/>
  <c r="IT82" i="17"/>
  <c r="IU82" i="17"/>
  <c r="IV82" i="17"/>
  <c r="A81" i="17"/>
  <c r="B81" i="17"/>
  <c r="C81" i="17"/>
  <c r="D81" i="17"/>
  <c r="E81" i="17"/>
  <c r="F81" i="17"/>
  <c r="G81" i="17"/>
  <c r="H81" i="17"/>
  <c r="I81" i="17"/>
  <c r="J81" i="17"/>
  <c r="K81" i="17"/>
  <c r="L81" i="17"/>
  <c r="M81" i="17"/>
  <c r="N81" i="17"/>
  <c r="O81" i="17"/>
  <c r="P81" i="17"/>
  <c r="Q81" i="17"/>
  <c r="R81" i="17"/>
  <c r="S81" i="17"/>
  <c r="T81" i="17"/>
  <c r="U81" i="17"/>
  <c r="V81" i="17"/>
  <c r="W81" i="17"/>
  <c r="X81" i="17"/>
  <c r="Y81" i="17"/>
  <c r="Z81" i="17"/>
  <c r="AA81" i="17"/>
  <c r="AB81" i="17"/>
  <c r="AC81" i="17"/>
  <c r="AD81" i="17"/>
  <c r="AE81" i="17"/>
  <c r="AF81" i="17"/>
  <c r="AG81" i="17"/>
  <c r="AH81" i="17"/>
  <c r="AI81" i="17"/>
  <c r="AJ81" i="17"/>
  <c r="AK81" i="17"/>
  <c r="AL81" i="17"/>
  <c r="AM81" i="17"/>
  <c r="AN81" i="17"/>
  <c r="AO81" i="17"/>
  <c r="AP81" i="17"/>
  <c r="AQ81" i="17"/>
  <c r="AR81" i="17"/>
  <c r="AS81" i="17"/>
  <c r="AT81" i="17"/>
  <c r="AU81" i="17"/>
  <c r="AV81" i="17"/>
  <c r="AW81" i="17"/>
  <c r="AX81" i="17"/>
  <c r="AY81" i="17"/>
  <c r="AZ81" i="17"/>
  <c r="BA81" i="17"/>
  <c r="BB81" i="17"/>
  <c r="BC81" i="17"/>
  <c r="BD81" i="17"/>
  <c r="BE81" i="17"/>
  <c r="BF81" i="17"/>
  <c r="BG81" i="17"/>
  <c r="BH81" i="17"/>
  <c r="BI81" i="17"/>
  <c r="BJ81" i="17"/>
  <c r="BK81" i="17"/>
  <c r="BL81" i="17"/>
  <c r="BM81" i="17"/>
  <c r="BN81" i="17"/>
  <c r="BO81" i="17"/>
  <c r="BP81" i="17"/>
  <c r="BQ81" i="17"/>
  <c r="BR81" i="17"/>
  <c r="BS81" i="17"/>
  <c r="BT81" i="17"/>
  <c r="BU81" i="17"/>
  <c r="BV81" i="17"/>
  <c r="BW81" i="17"/>
  <c r="BX81" i="17"/>
  <c r="BY81" i="17"/>
  <c r="BZ81" i="17"/>
  <c r="CA81" i="17"/>
  <c r="CB81" i="17"/>
  <c r="CC81" i="17"/>
  <c r="CD81" i="17"/>
  <c r="CE81" i="17"/>
  <c r="CF81" i="17"/>
  <c r="CG81" i="17"/>
  <c r="CH81" i="17"/>
  <c r="CI81" i="17"/>
  <c r="CJ81" i="17"/>
  <c r="CK81" i="17"/>
  <c r="CL81" i="17"/>
  <c r="CM81" i="17"/>
  <c r="CN81" i="17"/>
  <c r="CO81" i="17"/>
  <c r="CP81" i="17"/>
  <c r="CQ81" i="17"/>
  <c r="CR81" i="17"/>
  <c r="CS81" i="17"/>
  <c r="CT81" i="17"/>
  <c r="CU81" i="17"/>
  <c r="CV81" i="17"/>
  <c r="CW81" i="17"/>
  <c r="CX81" i="17"/>
  <c r="CY81" i="17"/>
  <c r="CZ81" i="17"/>
  <c r="DA81" i="17"/>
  <c r="DB81" i="17"/>
  <c r="DC81" i="17"/>
  <c r="DD81" i="17"/>
  <c r="DE81" i="17"/>
  <c r="DF81" i="17"/>
  <c r="DG81" i="17"/>
  <c r="DH81" i="17"/>
  <c r="DI81" i="17"/>
  <c r="DJ81" i="17"/>
  <c r="DK81" i="17"/>
  <c r="DL81" i="17"/>
  <c r="DM81" i="17"/>
  <c r="DN81" i="17"/>
  <c r="DO81" i="17"/>
  <c r="DP81" i="17"/>
  <c r="DQ81" i="17"/>
  <c r="DR81" i="17"/>
  <c r="DS81" i="17"/>
  <c r="DT81" i="17"/>
  <c r="DU81" i="17"/>
  <c r="DV81" i="17"/>
  <c r="DW81" i="17"/>
  <c r="DX81" i="17"/>
  <c r="DY81" i="17"/>
  <c r="DZ81" i="17"/>
  <c r="EA81" i="17"/>
  <c r="EB81" i="17"/>
  <c r="EC81" i="17"/>
  <c r="ED81" i="17"/>
  <c r="EE81" i="17"/>
  <c r="EF81" i="17"/>
  <c r="EG81" i="17"/>
  <c r="EH81" i="17"/>
  <c r="EI81" i="17"/>
  <c r="EJ81" i="17"/>
  <c r="EK81" i="17"/>
  <c r="EL81" i="17"/>
  <c r="EM81" i="17"/>
  <c r="EN81" i="17"/>
  <c r="EO81" i="17"/>
  <c r="EP81" i="17"/>
  <c r="EQ81" i="17"/>
  <c r="ER81" i="17"/>
  <c r="ES81" i="17"/>
  <c r="ET81" i="17"/>
  <c r="EU81" i="17"/>
  <c r="EV81" i="17"/>
  <c r="EW81" i="17"/>
  <c r="EX81" i="17"/>
  <c r="EY81" i="17"/>
  <c r="EZ81" i="17"/>
  <c r="FA81" i="17"/>
  <c r="FB81" i="17"/>
  <c r="FC81" i="17"/>
  <c r="FD81" i="17"/>
  <c r="FE81" i="17"/>
  <c r="FF81" i="17"/>
  <c r="FG81" i="17"/>
  <c r="FH81" i="17"/>
  <c r="FI81" i="17"/>
  <c r="FJ81" i="17"/>
  <c r="FK81" i="17"/>
  <c r="FL81" i="17"/>
  <c r="FM81" i="17"/>
  <c r="FN81" i="17"/>
  <c r="FO81" i="17"/>
  <c r="FP81" i="17"/>
  <c r="FQ81" i="17"/>
  <c r="FR81" i="17"/>
  <c r="FS81" i="17"/>
  <c r="FT81" i="17"/>
  <c r="FU81" i="17"/>
  <c r="FV81" i="17"/>
  <c r="FW81" i="17"/>
  <c r="FX81" i="17"/>
  <c r="FY81" i="17"/>
  <c r="FZ81" i="17"/>
  <c r="GA81" i="17"/>
  <c r="GB81" i="17"/>
  <c r="GC81" i="17"/>
  <c r="GD81" i="17"/>
  <c r="GE81" i="17"/>
  <c r="GF81" i="17"/>
  <c r="GG81" i="17"/>
  <c r="GH81" i="17"/>
  <c r="GI81" i="17"/>
  <c r="GJ81" i="17"/>
  <c r="GK81" i="17"/>
  <c r="GL81" i="17"/>
  <c r="GM81" i="17"/>
  <c r="GN81" i="17"/>
  <c r="GO81" i="17"/>
  <c r="GP81" i="17"/>
  <c r="GQ81" i="17"/>
  <c r="GR81" i="17"/>
  <c r="GS81" i="17"/>
  <c r="GT81" i="17"/>
  <c r="GU81" i="17"/>
  <c r="GV81" i="17"/>
  <c r="GW81" i="17"/>
  <c r="GX81" i="17"/>
  <c r="GY81" i="17"/>
  <c r="GZ81" i="17"/>
  <c r="HA81" i="17"/>
  <c r="HB81" i="17"/>
  <c r="HC81" i="17"/>
  <c r="HD81" i="17"/>
  <c r="HE81" i="17"/>
  <c r="HF81" i="17"/>
  <c r="HG81" i="17"/>
  <c r="HH81" i="17"/>
  <c r="HI81" i="17"/>
  <c r="HJ81" i="17"/>
  <c r="HK81" i="17"/>
  <c r="HL81" i="17"/>
  <c r="HM81" i="17"/>
  <c r="HN81" i="17"/>
  <c r="HO81" i="17"/>
  <c r="HP81" i="17"/>
  <c r="HQ81" i="17"/>
  <c r="HR81" i="17"/>
  <c r="HS81" i="17"/>
  <c r="HT81" i="17"/>
  <c r="HU81" i="17"/>
  <c r="HV81" i="17"/>
  <c r="HW81" i="17"/>
  <c r="HX81" i="17"/>
  <c r="HY81" i="17"/>
  <c r="HZ81" i="17"/>
  <c r="IA81" i="17"/>
  <c r="IB81" i="17"/>
  <c r="IC81" i="17"/>
  <c r="ID81" i="17"/>
  <c r="IE81" i="17"/>
  <c r="IF81" i="17"/>
  <c r="IG81" i="17"/>
  <c r="IH81" i="17"/>
  <c r="II81" i="17"/>
  <c r="IJ81" i="17"/>
  <c r="IK81" i="17"/>
  <c r="IL81" i="17"/>
  <c r="IM81" i="17"/>
  <c r="IN81" i="17"/>
  <c r="IO81" i="17"/>
  <c r="IP81" i="17"/>
  <c r="IQ81" i="17"/>
  <c r="IR81" i="17"/>
  <c r="IS81" i="17"/>
  <c r="IT81" i="17"/>
  <c r="IU81" i="17"/>
  <c r="IV81" i="17"/>
  <c r="A80" i="17"/>
  <c r="B80" i="17"/>
  <c r="C80" i="17"/>
  <c r="D80" i="17"/>
  <c r="E80" i="17"/>
  <c r="F80" i="17"/>
  <c r="G80" i="17"/>
  <c r="H80" i="17"/>
  <c r="I80" i="17"/>
  <c r="J80" i="17"/>
  <c r="K80" i="17"/>
  <c r="L80" i="17"/>
  <c r="M80" i="17"/>
  <c r="N80" i="17"/>
  <c r="O80" i="17"/>
  <c r="P80" i="17"/>
  <c r="Q80" i="17"/>
  <c r="R80" i="17"/>
  <c r="S80" i="17"/>
  <c r="T80" i="17"/>
  <c r="U80" i="17"/>
  <c r="V80" i="17"/>
  <c r="W80" i="17"/>
  <c r="X80" i="17"/>
  <c r="Y80" i="17"/>
  <c r="Z80" i="17"/>
  <c r="AA80" i="17"/>
  <c r="AB80" i="17"/>
  <c r="AC80" i="17"/>
  <c r="AD80" i="17"/>
  <c r="AE80" i="17"/>
  <c r="AF80" i="17"/>
  <c r="AG80" i="17"/>
  <c r="AH80" i="17"/>
  <c r="AI80" i="17"/>
  <c r="AJ80" i="17"/>
  <c r="AK80" i="17"/>
  <c r="AL80" i="17"/>
  <c r="AM80" i="17"/>
  <c r="AN80" i="17"/>
  <c r="AO80" i="17"/>
  <c r="AP80" i="17"/>
  <c r="AQ80" i="17"/>
  <c r="AR80" i="17"/>
  <c r="AS80" i="17"/>
  <c r="AT80" i="17"/>
  <c r="AU80" i="17"/>
  <c r="AV80" i="17"/>
  <c r="AW80" i="17"/>
  <c r="AX80" i="17"/>
  <c r="AY80" i="17"/>
  <c r="AZ80" i="17"/>
  <c r="BA80" i="17"/>
  <c r="BB80" i="17"/>
  <c r="BC80" i="17"/>
  <c r="BD80" i="17"/>
  <c r="BE80" i="17"/>
  <c r="BF80" i="17"/>
  <c r="BG80" i="17"/>
  <c r="BH80" i="17"/>
  <c r="BI80" i="17"/>
  <c r="BJ80" i="17"/>
  <c r="BK80" i="17"/>
  <c r="BL80" i="17"/>
  <c r="BM80" i="17"/>
  <c r="BN80" i="17"/>
  <c r="BO80" i="17"/>
  <c r="BP80" i="17"/>
  <c r="BQ80" i="17"/>
  <c r="BR80" i="17"/>
  <c r="BS80" i="17"/>
  <c r="BT80" i="17"/>
  <c r="BU80" i="17"/>
  <c r="BV80" i="17"/>
  <c r="BW80" i="17"/>
  <c r="BX80" i="17"/>
  <c r="BY80" i="17"/>
  <c r="BZ80" i="17"/>
  <c r="CA80" i="17"/>
  <c r="CB80" i="17"/>
  <c r="CC80" i="17"/>
  <c r="CD80" i="17"/>
  <c r="CE80" i="17"/>
  <c r="CF80" i="17"/>
  <c r="CG80" i="17"/>
  <c r="CH80" i="17"/>
  <c r="CI80" i="17"/>
  <c r="CJ80" i="17"/>
  <c r="CK80" i="17"/>
  <c r="CL80" i="17"/>
  <c r="CM80" i="17"/>
  <c r="CN80" i="17"/>
  <c r="CO80" i="17"/>
  <c r="CP80" i="17"/>
  <c r="CQ80" i="17"/>
  <c r="CR80" i="17"/>
  <c r="CS80" i="17"/>
  <c r="CT80" i="17"/>
  <c r="CU80" i="17"/>
  <c r="CV80" i="17"/>
  <c r="CW80" i="17"/>
  <c r="CX80" i="17"/>
  <c r="CY80" i="17"/>
  <c r="CZ80" i="17"/>
  <c r="DA80" i="17"/>
  <c r="DB80" i="17"/>
  <c r="DC80" i="17"/>
  <c r="DD80" i="17"/>
  <c r="DE80" i="17"/>
  <c r="DF80" i="17"/>
  <c r="DG80" i="17"/>
  <c r="DH80" i="17"/>
  <c r="DI80" i="17"/>
  <c r="DJ80" i="17"/>
  <c r="DK80" i="17"/>
  <c r="DL80" i="17"/>
  <c r="DM80" i="17"/>
  <c r="DN80" i="17"/>
  <c r="DO80" i="17"/>
  <c r="DP80" i="17"/>
  <c r="DQ80" i="17"/>
  <c r="DR80" i="17"/>
  <c r="DS80" i="17"/>
  <c r="DT80" i="17"/>
  <c r="DU80" i="17"/>
  <c r="DV80" i="17"/>
  <c r="DW80" i="17"/>
  <c r="DX80" i="17"/>
  <c r="DY80" i="17"/>
  <c r="DZ80" i="17"/>
  <c r="EA80" i="17"/>
  <c r="EB80" i="17"/>
  <c r="EC80" i="17"/>
  <c r="ED80" i="17"/>
  <c r="EE80" i="17"/>
  <c r="EF80" i="17"/>
  <c r="EG80" i="17"/>
  <c r="EH80" i="17"/>
  <c r="EI80" i="17"/>
  <c r="EJ80" i="17"/>
  <c r="EK80" i="17"/>
  <c r="EL80" i="17"/>
  <c r="EM80" i="17"/>
  <c r="EN80" i="17"/>
  <c r="EO80" i="17"/>
  <c r="EP80" i="17"/>
  <c r="EQ80" i="17"/>
  <c r="ER80" i="17"/>
  <c r="ES80" i="17"/>
  <c r="ET80" i="17"/>
  <c r="EU80" i="17"/>
  <c r="EV80" i="17"/>
  <c r="EW80" i="17"/>
  <c r="EX80" i="17"/>
  <c r="EY80" i="17"/>
  <c r="EZ80" i="17"/>
  <c r="FA80" i="17"/>
  <c r="FB80" i="17"/>
  <c r="FC80" i="17"/>
  <c r="FD80" i="17"/>
  <c r="FE80" i="17"/>
  <c r="FF80" i="17"/>
  <c r="FG80" i="17"/>
  <c r="FH80" i="17"/>
  <c r="FI80" i="17"/>
  <c r="FJ80" i="17"/>
  <c r="FK80" i="17"/>
  <c r="FL80" i="17"/>
  <c r="FM80" i="17"/>
  <c r="FN80" i="17"/>
  <c r="FO80" i="17"/>
  <c r="FP80" i="17"/>
  <c r="FQ80" i="17"/>
  <c r="FR80" i="17"/>
  <c r="FS80" i="17"/>
  <c r="FT80" i="17"/>
  <c r="FU80" i="17"/>
  <c r="FV80" i="17"/>
  <c r="FW80" i="17"/>
  <c r="FX80" i="17"/>
  <c r="FY80" i="17"/>
  <c r="FZ80" i="17"/>
  <c r="GA80" i="17"/>
  <c r="GB80" i="17"/>
  <c r="GC80" i="17"/>
  <c r="GD80" i="17"/>
  <c r="GE80" i="17"/>
  <c r="GF80" i="17"/>
  <c r="GG80" i="17"/>
  <c r="GH80" i="17"/>
  <c r="GI80" i="17"/>
  <c r="GJ80" i="17"/>
  <c r="GK80" i="17"/>
  <c r="GL80" i="17"/>
  <c r="GM80" i="17"/>
  <c r="GN80" i="17"/>
  <c r="GO80" i="17"/>
  <c r="GP80" i="17"/>
  <c r="GQ80" i="17"/>
  <c r="GR80" i="17"/>
  <c r="GS80" i="17"/>
  <c r="GT80" i="17"/>
  <c r="GU80" i="17"/>
  <c r="GV80" i="17"/>
  <c r="GW80" i="17"/>
  <c r="GX80" i="17"/>
  <c r="GY80" i="17"/>
  <c r="GZ80" i="17"/>
  <c r="HA80" i="17"/>
  <c r="HB80" i="17"/>
  <c r="HC80" i="17"/>
  <c r="HD80" i="17"/>
  <c r="HE80" i="17"/>
  <c r="HF80" i="17"/>
  <c r="HG80" i="17"/>
  <c r="HH80" i="17"/>
  <c r="HI80" i="17"/>
  <c r="HJ80" i="17"/>
  <c r="HK80" i="17"/>
  <c r="HL80" i="17"/>
  <c r="HM80" i="17"/>
  <c r="HN80" i="17"/>
  <c r="HO80" i="17"/>
  <c r="HP80" i="17"/>
  <c r="HQ80" i="17"/>
  <c r="HR80" i="17"/>
  <c r="HS80" i="17"/>
  <c r="HT80" i="17"/>
  <c r="HU80" i="17"/>
  <c r="HV80" i="17"/>
  <c r="HW80" i="17"/>
  <c r="HX80" i="17"/>
  <c r="HY80" i="17"/>
  <c r="HZ80" i="17"/>
  <c r="IA80" i="17"/>
  <c r="IB80" i="17"/>
  <c r="IC80" i="17"/>
  <c r="ID80" i="17"/>
  <c r="IE80" i="17"/>
  <c r="IF80" i="17"/>
  <c r="IG80" i="17"/>
  <c r="IH80" i="17"/>
  <c r="II80" i="17"/>
  <c r="IJ80" i="17"/>
  <c r="IK80" i="17"/>
  <c r="IL80" i="17"/>
  <c r="IM80" i="17"/>
  <c r="IN80" i="17"/>
  <c r="IO80" i="17"/>
  <c r="IP80" i="17"/>
  <c r="IQ80" i="17"/>
  <c r="IR80" i="17"/>
  <c r="IS80" i="17"/>
  <c r="IT80" i="17"/>
  <c r="IU80" i="17"/>
  <c r="IV80" i="17"/>
  <c r="A79" i="17"/>
  <c r="B79" i="17"/>
  <c r="C79" i="17"/>
  <c r="D79" i="17"/>
  <c r="E79" i="17"/>
  <c r="F79" i="17"/>
  <c r="G79" i="17"/>
  <c r="H79" i="17"/>
  <c r="I79" i="17"/>
  <c r="J79" i="17"/>
  <c r="K79" i="17"/>
  <c r="L79" i="17"/>
  <c r="M79" i="17"/>
  <c r="N79" i="17"/>
  <c r="O79" i="17"/>
  <c r="P79" i="17"/>
  <c r="Q79" i="17"/>
  <c r="R79" i="17"/>
  <c r="S79" i="17"/>
  <c r="T79" i="17"/>
  <c r="U79" i="17"/>
  <c r="V79" i="17"/>
  <c r="W79" i="17"/>
  <c r="X79" i="17"/>
  <c r="Y79" i="17"/>
  <c r="Z79" i="17"/>
  <c r="AA79" i="17"/>
  <c r="AB79" i="17"/>
  <c r="AC79" i="17"/>
  <c r="AD79" i="17"/>
  <c r="AE79" i="17"/>
  <c r="AF79" i="17"/>
  <c r="AG79" i="17"/>
  <c r="AH79" i="17"/>
  <c r="AI79" i="17"/>
  <c r="AJ79" i="17"/>
  <c r="AK79" i="17"/>
  <c r="AL79" i="17"/>
  <c r="AM79" i="17"/>
  <c r="AN79" i="17"/>
  <c r="AO79" i="17"/>
  <c r="AP79" i="17"/>
  <c r="AQ79" i="17"/>
  <c r="AR79" i="17"/>
  <c r="AS79" i="17"/>
  <c r="AT79" i="17"/>
  <c r="AU79" i="17"/>
  <c r="AV79" i="17"/>
  <c r="AW79" i="17"/>
  <c r="AX79" i="17"/>
  <c r="AY79" i="17"/>
  <c r="AZ79" i="17"/>
  <c r="BA79" i="17"/>
  <c r="BB79" i="17"/>
  <c r="BC79" i="17"/>
  <c r="BD79" i="17"/>
  <c r="BE79" i="17"/>
  <c r="BF79" i="17"/>
  <c r="BG79" i="17"/>
  <c r="BH79" i="17"/>
  <c r="BI79" i="17"/>
  <c r="BJ79" i="17"/>
  <c r="BK79" i="17"/>
  <c r="BL79" i="17"/>
  <c r="BM79" i="17"/>
  <c r="BN79" i="17"/>
  <c r="BO79" i="17"/>
  <c r="BP79" i="17"/>
  <c r="BQ79" i="17"/>
  <c r="BR79" i="17"/>
  <c r="BS79" i="17"/>
  <c r="BT79" i="17"/>
  <c r="BU79" i="17"/>
  <c r="BV79" i="17"/>
  <c r="BW79" i="17"/>
  <c r="BX79" i="17"/>
  <c r="BY79" i="17"/>
  <c r="BZ79" i="17"/>
  <c r="CA79" i="17"/>
  <c r="CB79" i="17"/>
  <c r="CC79" i="17"/>
  <c r="CD79" i="17"/>
  <c r="CE79" i="17"/>
  <c r="CF79" i="17"/>
  <c r="CG79" i="17"/>
  <c r="CH79" i="17"/>
  <c r="CI79" i="17"/>
  <c r="CJ79" i="17"/>
  <c r="CK79" i="17"/>
  <c r="CL79" i="17"/>
  <c r="CM79" i="17"/>
  <c r="CN79" i="17"/>
  <c r="CO79" i="17"/>
  <c r="CP79" i="17"/>
  <c r="CQ79" i="17"/>
  <c r="CR79" i="17"/>
  <c r="CS79" i="17"/>
  <c r="CT79" i="17"/>
  <c r="CU79" i="17"/>
  <c r="CV79" i="17"/>
  <c r="CW79" i="17"/>
  <c r="CX79" i="17"/>
  <c r="CY79" i="17"/>
  <c r="CZ79" i="17"/>
  <c r="DA79" i="17"/>
  <c r="DB79" i="17"/>
  <c r="DC79" i="17"/>
  <c r="DD79" i="17"/>
  <c r="DE79" i="17"/>
  <c r="DF79" i="17"/>
  <c r="DG79" i="17"/>
  <c r="DH79" i="17"/>
  <c r="DI79" i="17"/>
  <c r="DJ79" i="17"/>
  <c r="DK79" i="17"/>
  <c r="DL79" i="17"/>
  <c r="DM79" i="17"/>
  <c r="DN79" i="17"/>
  <c r="DO79" i="17"/>
  <c r="DP79" i="17"/>
  <c r="DQ79" i="17"/>
  <c r="DR79" i="17"/>
  <c r="DS79" i="17"/>
  <c r="DT79" i="17"/>
  <c r="DU79" i="17"/>
  <c r="DV79" i="17"/>
  <c r="DW79" i="17"/>
  <c r="DX79" i="17"/>
  <c r="DY79" i="17"/>
  <c r="DZ79" i="17"/>
  <c r="EA79" i="17"/>
  <c r="EB79" i="17"/>
  <c r="EC79" i="17"/>
  <c r="ED79" i="17"/>
  <c r="EE79" i="17"/>
  <c r="EF79" i="17"/>
  <c r="EG79" i="17"/>
  <c r="EH79" i="17"/>
  <c r="EI79" i="17"/>
  <c r="EJ79" i="17"/>
  <c r="EK79" i="17"/>
  <c r="EL79" i="17"/>
  <c r="EM79" i="17"/>
  <c r="EN79" i="17"/>
  <c r="EO79" i="17"/>
  <c r="EP79" i="17"/>
  <c r="EQ79" i="17"/>
  <c r="ER79" i="17"/>
  <c r="ES79" i="17"/>
  <c r="ET79" i="17"/>
  <c r="EU79" i="17"/>
  <c r="EV79" i="17"/>
  <c r="EW79" i="17"/>
  <c r="EX79" i="17"/>
  <c r="EY79" i="17"/>
  <c r="EZ79" i="17"/>
  <c r="FA79" i="17"/>
  <c r="FB79" i="17"/>
  <c r="FC79" i="17"/>
  <c r="FD79" i="17"/>
  <c r="FE79" i="17"/>
  <c r="FF79" i="17"/>
  <c r="FG79" i="17"/>
  <c r="FH79" i="17"/>
  <c r="FI79" i="17"/>
  <c r="FJ79" i="17"/>
  <c r="FK79" i="17"/>
  <c r="FL79" i="17"/>
  <c r="FM79" i="17"/>
  <c r="FN79" i="17"/>
  <c r="FO79" i="17"/>
  <c r="FP79" i="17"/>
  <c r="FQ79" i="17"/>
  <c r="FR79" i="17"/>
  <c r="FS79" i="17"/>
  <c r="FT79" i="17"/>
  <c r="FU79" i="17"/>
  <c r="FV79" i="17"/>
  <c r="FW79" i="17"/>
  <c r="FX79" i="17"/>
  <c r="FY79" i="17"/>
  <c r="FZ79" i="17"/>
  <c r="GA79" i="17"/>
  <c r="GB79" i="17"/>
  <c r="GC79" i="17"/>
  <c r="GD79" i="17"/>
  <c r="GE79" i="17"/>
  <c r="GF79" i="17"/>
  <c r="GG79" i="17"/>
  <c r="GH79" i="17"/>
  <c r="GI79" i="17"/>
  <c r="GJ79" i="17"/>
  <c r="GK79" i="17"/>
  <c r="GL79" i="17"/>
  <c r="GM79" i="17"/>
  <c r="GN79" i="17"/>
  <c r="GO79" i="17"/>
  <c r="GP79" i="17"/>
  <c r="GQ79" i="17"/>
  <c r="GR79" i="17"/>
  <c r="GS79" i="17"/>
  <c r="GT79" i="17"/>
  <c r="GU79" i="17"/>
  <c r="GV79" i="17"/>
  <c r="GW79" i="17"/>
  <c r="GX79" i="17"/>
  <c r="GY79" i="17"/>
  <c r="GZ79" i="17"/>
  <c r="HA79" i="17"/>
  <c r="HB79" i="17"/>
  <c r="HC79" i="17"/>
  <c r="HD79" i="17"/>
  <c r="HE79" i="17"/>
  <c r="HF79" i="17"/>
  <c r="HG79" i="17"/>
  <c r="HH79" i="17"/>
  <c r="HI79" i="17"/>
  <c r="HJ79" i="17"/>
  <c r="HK79" i="17"/>
  <c r="HL79" i="17"/>
  <c r="HM79" i="17"/>
  <c r="HN79" i="17"/>
  <c r="HO79" i="17"/>
  <c r="HP79" i="17"/>
  <c r="HQ79" i="17"/>
  <c r="HR79" i="17"/>
  <c r="HS79" i="17"/>
  <c r="HT79" i="17"/>
  <c r="HU79" i="17"/>
  <c r="HV79" i="17"/>
  <c r="HW79" i="17"/>
  <c r="HX79" i="17"/>
  <c r="HY79" i="17"/>
  <c r="HZ79" i="17"/>
  <c r="IA79" i="17"/>
  <c r="IB79" i="17"/>
  <c r="IC79" i="17"/>
  <c r="ID79" i="17"/>
  <c r="IE79" i="17"/>
  <c r="IF79" i="17"/>
  <c r="IG79" i="17"/>
  <c r="IH79" i="17"/>
  <c r="II79" i="17"/>
  <c r="IJ79" i="17"/>
  <c r="IK79" i="17"/>
  <c r="IL79" i="17"/>
  <c r="IM79" i="17"/>
  <c r="IN79" i="17"/>
  <c r="IO79" i="17"/>
  <c r="IP79" i="17"/>
  <c r="IQ79" i="17"/>
  <c r="IR79" i="17"/>
  <c r="IS79" i="17"/>
  <c r="IT79" i="17"/>
  <c r="IU79" i="17"/>
  <c r="IV79" i="17"/>
  <c r="A78" i="17"/>
  <c r="B78" i="17"/>
  <c r="C78" i="17"/>
  <c r="D78" i="17"/>
  <c r="E78" i="17"/>
  <c r="F78" i="17"/>
  <c r="G78" i="17"/>
  <c r="H78" i="17"/>
  <c r="I78" i="17"/>
  <c r="J78" i="17"/>
  <c r="K78" i="17"/>
  <c r="L78" i="17"/>
  <c r="M78" i="17"/>
  <c r="N78" i="17"/>
  <c r="O78" i="17"/>
  <c r="P78" i="17"/>
  <c r="Q78" i="17"/>
  <c r="R78" i="17"/>
  <c r="S78" i="17"/>
  <c r="T78" i="17"/>
  <c r="U78" i="17"/>
  <c r="V78" i="17"/>
  <c r="W78" i="17"/>
  <c r="X78" i="17"/>
  <c r="Y78" i="17"/>
  <c r="Z78" i="17"/>
  <c r="AA78" i="17"/>
  <c r="AB78" i="17"/>
  <c r="AC78" i="17"/>
  <c r="AD78" i="17"/>
  <c r="AE78" i="17"/>
  <c r="AF78" i="17"/>
  <c r="AG78" i="17"/>
  <c r="AH78" i="17"/>
  <c r="AI78" i="17"/>
  <c r="AJ78" i="17"/>
  <c r="AK78" i="17"/>
  <c r="AL78" i="17"/>
  <c r="AM78" i="17"/>
  <c r="AN78" i="17"/>
  <c r="AO78" i="17"/>
  <c r="AP78" i="17"/>
  <c r="AQ78" i="17"/>
  <c r="AR78" i="17"/>
  <c r="AS78" i="17"/>
  <c r="AT78" i="17"/>
  <c r="AU78" i="17"/>
  <c r="AV78" i="17"/>
  <c r="AW78" i="17"/>
  <c r="AX78" i="17"/>
  <c r="AY78" i="17"/>
  <c r="AZ78" i="17"/>
  <c r="BA78" i="17"/>
  <c r="BB78" i="17"/>
  <c r="BC78" i="17"/>
  <c r="BD78" i="17"/>
  <c r="BE78" i="17"/>
  <c r="BF78" i="17"/>
  <c r="BG78" i="17"/>
  <c r="BH78" i="17"/>
  <c r="BI78" i="17"/>
  <c r="BJ78" i="17"/>
  <c r="BK78" i="17"/>
  <c r="BL78" i="17"/>
  <c r="BM78" i="17"/>
  <c r="BN78" i="17"/>
  <c r="BO78" i="17"/>
  <c r="BP78" i="17"/>
  <c r="BQ78" i="17"/>
  <c r="BR78" i="17"/>
  <c r="BS78" i="17"/>
  <c r="BT78" i="17"/>
  <c r="BU78" i="17"/>
  <c r="BV78" i="17"/>
  <c r="BW78" i="17"/>
  <c r="BX78" i="17"/>
  <c r="BY78" i="17"/>
  <c r="BZ78" i="17"/>
  <c r="CA78" i="17"/>
  <c r="CB78" i="17"/>
  <c r="CC78" i="17"/>
  <c r="CD78" i="17"/>
  <c r="CE78" i="17"/>
  <c r="CF78" i="17"/>
  <c r="CG78" i="17"/>
  <c r="CH78" i="17"/>
  <c r="CI78" i="17"/>
  <c r="CJ78" i="17"/>
  <c r="CK78" i="17"/>
  <c r="CL78" i="17"/>
  <c r="CM78" i="17"/>
  <c r="CN78" i="17"/>
  <c r="CO78" i="17"/>
  <c r="CP78" i="17"/>
  <c r="CQ78" i="17"/>
  <c r="CR78" i="17"/>
  <c r="CS78" i="17"/>
  <c r="CT78" i="17"/>
  <c r="CU78" i="17"/>
  <c r="CV78" i="17"/>
  <c r="CW78" i="17"/>
  <c r="CX78" i="17"/>
  <c r="CY78" i="17"/>
  <c r="CZ78" i="17"/>
  <c r="DA78" i="17"/>
  <c r="DB78" i="17"/>
  <c r="DC78" i="17"/>
  <c r="DD78" i="17"/>
  <c r="DE78" i="17"/>
  <c r="DF78" i="17"/>
  <c r="DG78" i="17"/>
  <c r="DH78" i="17"/>
  <c r="DI78" i="17"/>
  <c r="DJ78" i="17"/>
  <c r="DK78" i="17"/>
  <c r="DL78" i="17"/>
  <c r="DM78" i="17"/>
  <c r="DN78" i="17"/>
  <c r="DO78" i="17"/>
  <c r="DP78" i="17"/>
  <c r="DQ78" i="17"/>
  <c r="DR78" i="17"/>
  <c r="DS78" i="17"/>
  <c r="DT78" i="17"/>
  <c r="DU78" i="17"/>
  <c r="DV78" i="17"/>
  <c r="DW78" i="17"/>
  <c r="DX78" i="17"/>
  <c r="DY78" i="17"/>
  <c r="DZ78" i="17"/>
  <c r="EA78" i="17"/>
  <c r="EB78" i="17"/>
  <c r="EC78" i="17"/>
  <c r="ED78" i="17"/>
  <c r="EE78" i="17"/>
  <c r="EF78" i="17"/>
  <c r="EG78" i="17"/>
  <c r="EH78" i="17"/>
  <c r="EI78" i="17"/>
  <c r="EJ78" i="17"/>
  <c r="EK78" i="17"/>
  <c r="EL78" i="17"/>
  <c r="EM78" i="17"/>
  <c r="EN78" i="17"/>
  <c r="EO78" i="17"/>
  <c r="EP78" i="17"/>
  <c r="EQ78" i="17"/>
  <c r="ER78" i="17"/>
  <c r="ES78" i="17"/>
  <c r="ET78" i="17"/>
  <c r="EU78" i="17"/>
  <c r="EV78" i="17"/>
  <c r="EW78" i="17"/>
  <c r="EX78" i="17"/>
  <c r="EY78" i="17"/>
  <c r="EZ78" i="17"/>
  <c r="FA78" i="17"/>
  <c r="FB78" i="17"/>
  <c r="FC78" i="17"/>
  <c r="FD78" i="17"/>
  <c r="FE78" i="17"/>
  <c r="FF78" i="17"/>
  <c r="FG78" i="17"/>
  <c r="FH78" i="17"/>
  <c r="FI78" i="17"/>
  <c r="FJ78" i="17"/>
  <c r="FK78" i="17"/>
  <c r="FL78" i="17"/>
  <c r="FM78" i="17"/>
  <c r="FN78" i="17"/>
  <c r="FO78" i="17"/>
  <c r="FP78" i="17"/>
  <c r="FQ78" i="17"/>
  <c r="FR78" i="17"/>
  <c r="FS78" i="17"/>
  <c r="FT78" i="17"/>
  <c r="FU78" i="17"/>
  <c r="FV78" i="17"/>
  <c r="FW78" i="17"/>
  <c r="FX78" i="17"/>
  <c r="FY78" i="17"/>
  <c r="FZ78" i="17"/>
  <c r="GA78" i="17"/>
  <c r="GB78" i="17"/>
  <c r="GC78" i="17"/>
  <c r="GD78" i="17"/>
  <c r="GE78" i="17"/>
  <c r="GF78" i="17"/>
  <c r="GG78" i="17"/>
  <c r="GH78" i="17"/>
  <c r="GI78" i="17"/>
  <c r="GJ78" i="17"/>
  <c r="GK78" i="17"/>
  <c r="GL78" i="17"/>
  <c r="GM78" i="17"/>
  <c r="GN78" i="17"/>
  <c r="GO78" i="17"/>
  <c r="GP78" i="17"/>
  <c r="GQ78" i="17"/>
  <c r="GR78" i="17"/>
  <c r="GS78" i="17"/>
  <c r="GT78" i="17"/>
  <c r="GU78" i="17"/>
  <c r="GV78" i="17"/>
  <c r="GW78" i="17"/>
  <c r="GX78" i="17"/>
  <c r="GY78" i="17"/>
  <c r="GZ78" i="17"/>
  <c r="HA78" i="17"/>
  <c r="HB78" i="17"/>
  <c r="HC78" i="17"/>
  <c r="HD78" i="17"/>
  <c r="HE78" i="17"/>
  <c r="HF78" i="17"/>
  <c r="HG78" i="17"/>
  <c r="HH78" i="17"/>
  <c r="HI78" i="17"/>
  <c r="HJ78" i="17"/>
  <c r="HK78" i="17"/>
  <c r="HL78" i="17"/>
  <c r="HM78" i="17"/>
  <c r="HN78" i="17"/>
  <c r="HO78" i="17"/>
  <c r="HP78" i="17"/>
  <c r="HQ78" i="17"/>
  <c r="HR78" i="17"/>
  <c r="HS78" i="17"/>
  <c r="HT78" i="17"/>
  <c r="HU78" i="17"/>
  <c r="HV78" i="17"/>
  <c r="HW78" i="17"/>
  <c r="HX78" i="17"/>
  <c r="HY78" i="17"/>
  <c r="HZ78" i="17"/>
  <c r="IA78" i="17"/>
  <c r="IB78" i="17"/>
  <c r="IC78" i="17"/>
  <c r="ID78" i="17"/>
  <c r="IE78" i="17"/>
  <c r="IF78" i="17"/>
  <c r="IG78" i="17"/>
  <c r="IH78" i="17"/>
  <c r="II78" i="17"/>
  <c r="IJ78" i="17"/>
  <c r="IK78" i="17"/>
  <c r="IL78" i="17"/>
  <c r="IM78" i="17"/>
  <c r="IN78" i="17"/>
  <c r="IO78" i="17"/>
  <c r="IP78" i="17"/>
  <c r="IQ78" i="17"/>
  <c r="IR78" i="17"/>
  <c r="IS78" i="17"/>
  <c r="IT78" i="17"/>
  <c r="IU78" i="17"/>
  <c r="IV78" i="17"/>
  <c r="A77" i="17"/>
  <c r="B77" i="17"/>
  <c r="C77" i="17"/>
  <c r="D77" i="17"/>
  <c r="E77" i="17"/>
  <c r="F77" i="17"/>
  <c r="G77" i="17"/>
  <c r="H77" i="17"/>
  <c r="I77" i="17"/>
  <c r="J77" i="17"/>
  <c r="K77" i="17"/>
  <c r="L77" i="17"/>
  <c r="M77" i="17"/>
  <c r="N77" i="17"/>
  <c r="O77" i="17"/>
  <c r="P77" i="17"/>
  <c r="Q77" i="17"/>
  <c r="R77" i="17"/>
  <c r="S77" i="17"/>
  <c r="T77" i="17"/>
  <c r="U77" i="17"/>
  <c r="V77" i="17"/>
  <c r="W77" i="17"/>
  <c r="X77" i="17"/>
  <c r="Y77" i="17"/>
  <c r="Z77" i="17"/>
  <c r="AA77" i="17"/>
  <c r="AB77" i="17"/>
  <c r="AC77" i="17"/>
  <c r="AD77" i="17"/>
  <c r="AE77" i="17"/>
  <c r="AF77" i="17"/>
  <c r="AG77" i="17"/>
  <c r="AH77" i="17"/>
  <c r="AI77" i="17"/>
  <c r="AJ77" i="17"/>
  <c r="AK77" i="17"/>
  <c r="AL77" i="17"/>
  <c r="AM77" i="17"/>
  <c r="AN77" i="17"/>
  <c r="AO77" i="17"/>
  <c r="AP77" i="17"/>
  <c r="AQ77" i="17"/>
  <c r="AR77" i="17"/>
  <c r="AS77" i="17"/>
  <c r="AT77" i="17"/>
  <c r="AU77" i="17"/>
  <c r="AV77" i="17"/>
  <c r="AW77" i="17"/>
  <c r="AX77" i="17"/>
  <c r="AY77" i="17"/>
  <c r="AZ77" i="17"/>
  <c r="BA77" i="17"/>
  <c r="BB77" i="17"/>
  <c r="BC77" i="17"/>
  <c r="BD77" i="17"/>
  <c r="BE77" i="17"/>
  <c r="BF77" i="17"/>
  <c r="BG77" i="17"/>
  <c r="BH77" i="17"/>
  <c r="BI77" i="17"/>
  <c r="BJ77" i="17"/>
  <c r="BK77" i="17"/>
  <c r="BL77" i="17"/>
  <c r="BM77" i="17"/>
  <c r="BN77" i="17"/>
  <c r="BO77" i="17"/>
  <c r="BP77" i="17"/>
  <c r="BQ77" i="17"/>
  <c r="BR77" i="17"/>
  <c r="BS77" i="17"/>
  <c r="BT77" i="17"/>
  <c r="BU77" i="17"/>
  <c r="BV77" i="17"/>
  <c r="BW77" i="17"/>
  <c r="BX77" i="17"/>
  <c r="BY77" i="17"/>
  <c r="BZ77" i="17"/>
  <c r="CA77" i="17"/>
  <c r="CB77" i="17"/>
  <c r="CC77" i="17"/>
  <c r="CD77" i="17"/>
  <c r="CE77" i="17"/>
  <c r="CF77" i="17"/>
  <c r="CG77" i="17"/>
  <c r="CH77" i="17"/>
  <c r="CI77" i="17"/>
  <c r="CJ77" i="17"/>
  <c r="CK77" i="17"/>
  <c r="CL77" i="17"/>
  <c r="CM77" i="17"/>
  <c r="CN77" i="17"/>
  <c r="CO77" i="17"/>
  <c r="CP77" i="17"/>
  <c r="CQ77" i="17"/>
  <c r="CR77" i="17"/>
  <c r="CS77" i="17"/>
  <c r="CT77" i="17"/>
  <c r="CU77" i="17"/>
  <c r="CV77" i="17"/>
  <c r="CW77" i="17"/>
  <c r="CX77" i="17"/>
  <c r="CY77" i="17"/>
  <c r="CZ77" i="17"/>
  <c r="DA77" i="17"/>
  <c r="DB77" i="17"/>
  <c r="DC77" i="17"/>
  <c r="DD77" i="17"/>
  <c r="DE77" i="17"/>
  <c r="DF77" i="17"/>
  <c r="DG77" i="17"/>
  <c r="DH77" i="17"/>
  <c r="DI77" i="17"/>
  <c r="DJ77" i="17"/>
  <c r="DK77" i="17"/>
  <c r="DL77" i="17"/>
  <c r="DM77" i="17"/>
  <c r="DN77" i="17"/>
  <c r="DO77" i="17"/>
  <c r="DP77" i="17"/>
  <c r="DQ77" i="17"/>
  <c r="DR77" i="17"/>
  <c r="DS77" i="17"/>
  <c r="DT77" i="17"/>
  <c r="DU77" i="17"/>
  <c r="DV77" i="17"/>
  <c r="DW77" i="17"/>
  <c r="DX77" i="17"/>
  <c r="DY77" i="17"/>
  <c r="DZ77" i="17"/>
  <c r="EA77" i="17"/>
  <c r="EB77" i="17"/>
  <c r="EC77" i="17"/>
  <c r="ED77" i="17"/>
  <c r="EE77" i="17"/>
  <c r="EF77" i="17"/>
  <c r="EG77" i="17"/>
  <c r="EH77" i="17"/>
  <c r="EI77" i="17"/>
  <c r="EJ77" i="17"/>
  <c r="EK77" i="17"/>
  <c r="EL77" i="17"/>
  <c r="EM77" i="17"/>
  <c r="EN77" i="17"/>
  <c r="EO77" i="17"/>
  <c r="EP77" i="17"/>
  <c r="EQ77" i="17"/>
  <c r="ER77" i="17"/>
  <c r="ES77" i="17"/>
  <c r="ET77" i="17"/>
  <c r="EU77" i="17"/>
  <c r="EV77" i="17"/>
  <c r="EW77" i="17"/>
  <c r="EX77" i="17"/>
  <c r="EY77" i="17"/>
  <c r="EZ77" i="17"/>
  <c r="FA77" i="17"/>
  <c r="FB77" i="17"/>
  <c r="FC77" i="17"/>
  <c r="FD77" i="17"/>
  <c r="FE77" i="17"/>
  <c r="FF77" i="17"/>
  <c r="FG77" i="17"/>
  <c r="FH77" i="17"/>
  <c r="FI77" i="17"/>
  <c r="FJ77" i="17"/>
  <c r="FK77" i="17"/>
  <c r="FL77" i="17"/>
  <c r="FM77" i="17"/>
  <c r="FN77" i="17"/>
  <c r="FO77" i="17"/>
  <c r="FP77" i="17"/>
  <c r="FQ77" i="17"/>
  <c r="FR77" i="17"/>
  <c r="FS77" i="17"/>
  <c r="FT77" i="17"/>
  <c r="FU77" i="17"/>
  <c r="FV77" i="17"/>
  <c r="FW77" i="17"/>
  <c r="FX77" i="17"/>
  <c r="FY77" i="17"/>
  <c r="FZ77" i="17"/>
  <c r="GA77" i="17"/>
  <c r="GB77" i="17"/>
  <c r="GC77" i="17"/>
  <c r="GD77" i="17"/>
  <c r="GE77" i="17"/>
  <c r="GF77" i="17"/>
  <c r="GG77" i="17"/>
  <c r="GH77" i="17"/>
  <c r="GI77" i="17"/>
  <c r="GJ77" i="17"/>
  <c r="GK77" i="17"/>
  <c r="GL77" i="17"/>
  <c r="GM77" i="17"/>
  <c r="GN77" i="17"/>
  <c r="GO77" i="17"/>
  <c r="GP77" i="17"/>
  <c r="GQ77" i="17"/>
  <c r="GR77" i="17"/>
  <c r="GS77" i="17"/>
  <c r="GT77" i="17"/>
  <c r="GU77" i="17"/>
  <c r="GV77" i="17"/>
  <c r="GW77" i="17"/>
  <c r="GX77" i="17"/>
  <c r="GY77" i="17"/>
  <c r="GZ77" i="17"/>
  <c r="HA77" i="17"/>
  <c r="HB77" i="17"/>
  <c r="HC77" i="17"/>
  <c r="HD77" i="17"/>
  <c r="HE77" i="17"/>
  <c r="HF77" i="17"/>
  <c r="HG77" i="17"/>
  <c r="HH77" i="17"/>
  <c r="HI77" i="17"/>
  <c r="HJ77" i="17"/>
  <c r="HK77" i="17"/>
  <c r="HL77" i="17"/>
  <c r="HM77" i="17"/>
  <c r="HN77" i="17"/>
  <c r="HO77" i="17"/>
  <c r="HP77" i="17"/>
  <c r="HQ77" i="17"/>
  <c r="HR77" i="17"/>
  <c r="HS77" i="17"/>
  <c r="HT77" i="17"/>
  <c r="HU77" i="17"/>
  <c r="HV77" i="17"/>
  <c r="HW77" i="17"/>
  <c r="HX77" i="17"/>
  <c r="HY77" i="17"/>
  <c r="HZ77" i="17"/>
  <c r="IA77" i="17"/>
  <c r="IB77" i="17"/>
  <c r="IC77" i="17"/>
  <c r="ID77" i="17"/>
  <c r="IE77" i="17"/>
  <c r="IF77" i="17"/>
  <c r="IG77" i="17"/>
  <c r="IH77" i="17"/>
  <c r="II77" i="17"/>
  <c r="IJ77" i="17"/>
  <c r="IK77" i="17"/>
  <c r="IL77" i="17"/>
  <c r="IM77" i="17"/>
  <c r="IN77" i="17"/>
  <c r="IO77" i="17"/>
  <c r="IP77" i="17"/>
  <c r="IQ77" i="17"/>
  <c r="IR77" i="17"/>
  <c r="IS77" i="17"/>
  <c r="IT77" i="17"/>
  <c r="IU77" i="17"/>
  <c r="IV77" i="17"/>
  <c r="A76" i="17"/>
  <c r="B76" i="17"/>
  <c r="C76" i="17"/>
  <c r="D76" i="17"/>
  <c r="E76" i="17"/>
  <c r="F76" i="17"/>
  <c r="G76" i="17"/>
  <c r="H76" i="17"/>
  <c r="I76" i="17"/>
  <c r="J76" i="17"/>
  <c r="K76" i="17"/>
  <c r="L76" i="17"/>
  <c r="M76" i="17"/>
  <c r="N76" i="17"/>
  <c r="O76" i="17"/>
  <c r="P76" i="17"/>
  <c r="Q76" i="17"/>
  <c r="R76" i="17"/>
  <c r="S76" i="17"/>
  <c r="T76" i="17"/>
  <c r="U76" i="17"/>
  <c r="V76" i="17"/>
  <c r="W76" i="17"/>
  <c r="X76" i="17"/>
  <c r="Y76" i="17"/>
  <c r="Z76" i="17"/>
  <c r="AA76" i="17"/>
  <c r="AB76" i="17"/>
  <c r="AC76" i="17"/>
  <c r="AD76" i="17"/>
  <c r="AE76" i="17"/>
  <c r="AF76" i="17"/>
  <c r="AG76" i="17"/>
  <c r="AH76" i="17"/>
  <c r="AI76" i="17"/>
  <c r="AJ76" i="17"/>
  <c r="AK76" i="17"/>
  <c r="AL76" i="17"/>
  <c r="AM76" i="17"/>
  <c r="AN76" i="17"/>
  <c r="AO76" i="17"/>
  <c r="AP76" i="17"/>
  <c r="AQ76" i="17"/>
  <c r="AR76" i="17"/>
  <c r="AS76" i="17"/>
  <c r="AT76" i="17"/>
  <c r="AU76" i="17"/>
  <c r="AV76" i="17"/>
  <c r="AW76" i="17"/>
  <c r="AX76" i="17"/>
  <c r="AY76" i="17"/>
  <c r="AZ76" i="17"/>
  <c r="BA76" i="17"/>
  <c r="BB76" i="17"/>
  <c r="BC76" i="17"/>
  <c r="BD76" i="17"/>
  <c r="BE76" i="17"/>
  <c r="BF76" i="17"/>
  <c r="BG76" i="17"/>
  <c r="BH76" i="17"/>
  <c r="BI76" i="17"/>
  <c r="BJ76" i="17"/>
  <c r="BK76" i="17"/>
  <c r="BL76" i="17"/>
  <c r="BM76" i="17"/>
  <c r="BN76" i="17"/>
  <c r="BO76" i="17"/>
  <c r="BP76" i="17"/>
  <c r="BQ76" i="17"/>
  <c r="BR76" i="17"/>
  <c r="BS76" i="17"/>
  <c r="BT76" i="17"/>
  <c r="BU76" i="17"/>
  <c r="BV76" i="17"/>
  <c r="BW76" i="17"/>
  <c r="BX76" i="17"/>
  <c r="BY76" i="17"/>
  <c r="BZ76" i="17"/>
  <c r="CA76" i="17"/>
  <c r="CB76" i="17"/>
  <c r="CC76" i="17"/>
  <c r="CD76" i="17"/>
  <c r="CE76" i="17"/>
  <c r="CF76" i="17"/>
  <c r="CG76" i="17"/>
  <c r="CH76" i="17"/>
  <c r="CI76" i="17"/>
  <c r="CJ76" i="17"/>
  <c r="CK76" i="17"/>
  <c r="CL76" i="17"/>
  <c r="CM76" i="17"/>
  <c r="CN76" i="17"/>
  <c r="CO76" i="17"/>
  <c r="CP76" i="17"/>
  <c r="CQ76" i="17"/>
  <c r="CR76" i="17"/>
  <c r="CS76" i="17"/>
  <c r="CT76" i="17"/>
  <c r="CU76" i="17"/>
  <c r="CV76" i="17"/>
  <c r="CW76" i="17"/>
  <c r="CX76" i="17"/>
  <c r="CY76" i="17"/>
  <c r="CZ76" i="17"/>
  <c r="DA76" i="17"/>
  <c r="DB76" i="17"/>
  <c r="DC76" i="17"/>
  <c r="DD76" i="17"/>
  <c r="DE76" i="17"/>
  <c r="DF76" i="17"/>
  <c r="DG76" i="17"/>
  <c r="DH76" i="17"/>
  <c r="DI76" i="17"/>
  <c r="DJ76" i="17"/>
  <c r="DK76" i="17"/>
  <c r="DL76" i="17"/>
  <c r="DM76" i="17"/>
  <c r="DN76" i="17"/>
  <c r="DO76" i="17"/>
  <c r="DP76" i="17"/>
  <c r="DQ76" i="17"/>
  <c r="DR76" i="17"/>
  <c r="DS76" i="17"/>
  <c r="DT76" i="17"/>
  <c r="DU76" i="17"/>
  <c r="DV76" i="17"/>
  <c r="DW76" i="17"/>
  <c r="DX76" i="17"/>
  <c r="DY76" i="17"/>
  <c r="DZ76" i="17"/>
  <c r="EA76" i="17"/>
  <c r="EB76" i="17"/>
  <c r="EC76" i="17"/>
  <c r="ED76" i="17"/>
  <c r="EE76" i="17"/>
  <c r="EF76" i="17"/>
  <c r="EG76" i="17"/>
  <c r="EH76" i="17"/>
  <c r="EI76" i="17"/>
  <c r="EJ76" i="17"/>
  <c r="EK76" i="17"/>
  <c r="EL76" i="17"/>
  <c r="EM76" i="17"/>
  <c r="EN76" i="17"/>
  <c r="EO76" i="17"/>
  <c r="EP76" i="17"/>
  <c r="EQ76" i="17"/>
  <c r="ER76" i="17"/>
  <c r="ES76" i="17"/>
  <c r="ET76" i="17"/>
  <c r="EU76" i="17"/>
  <c r="EV76" i="17"/>
  <c r="EW76" i="17"/>
  <c r="EX76" i="17"/>
  <c r="EY76" i="17"/>
  <c r="EZ76" i="17"/>
  <c r="FA76" i="17"/>
  <c r="FB76" i="17"/>
  <c r="FC76" i="17"/>
  <c r="FD76" i="17"/>
  <c r="FE76" i="17"/>
  <c r="FF76" i="17"/>
  <c r="FG76" i="17"/>
  <c r="FH76" i="17"/>
  <c r="FI76" i="17"/>
  <c r="FJ76" i="17"/>
  <c r="FK76" i="17"/>
  <c r="FL76" i="17"/>
  <c r="FM76" i="17"/>
  <c r="FN76" i="17"/>
  <c r="FO76" i="17"/>
  <c r="FP76" i="17"/>
  <c r="FQ76" i="17"/>
  <c r="FR76" i="17"/>
  <c r="FS76" i="17"/>
  <c r="FT76" i="17"/>
  <c r="FU76" i="17"/>
  <c r="FV76" i="17"/>
  <c r="FW76" i="17"/>
  <c r="FX76" i="17"/>
  <c r="FY76" i="17"/>
  <c r="FZ76" i="17"/>
  <c r="GA76" i="17"/>
  <c r="GB76" i="17"/>
  <c r="GC76" i="17"/>
  <c r="GD76" i="17"/>
  <c r="GE76" i="17"/>
  <c r="GF76" i="17"/>
  <c r="GG76" i="17"/>
  <c r="GH76" i="17"/>
  <c r="GI76" i="17"/>
  <c r="GJ76" i="17"/>
  <c r="GK76" i="17"/>
  <c r="GL76" i="17"/>
  <c r="GM76" i="17"/>
  <c r="GN76" i="17"/>
  <c r="GO76" i="17"/>
  <c r="GP76" i="17"/>
  <c r="GQ76" i="17"/>
  <c r="GR76" i="17"/>
  <c r="GS76" i="17"/>
  <c r="GT76" i="17"/>
  <c r="GU76" i="17"/>
  <c r="GV76" i="17"/>
  <c r="GW76" i="17"/>
  <c r="GX76" i="17"/>
  <c r="GY76" i="17"/>
  <c r="GZ76" i="17"/>
  <c r="HA76" i="17"/>
  <c r="HB76" i="17"/>
  <c r="HC76" i="17"/>
  <c r="HD76" i="17"/>
  <c r="HE76" i="17"/>
  <c r="HF76" i="17"/>
  <c r="HG76" i="17"/>
  <c r="HH76" i="17"/>
  <c r="HI76" i="17"/>
  <c r="HJ76" i="17"/>
  <c r="HK76" i="17"/>
  <c r="HL76" i="17"/>
  <c r="HM76" i="17"/>
  <c r="HN76" i="17"/>
  <c r="HO76" i="17"/>
  <c r="HP76" i="17"/>
  <c r="HQ76" i="17"/>
  <c r="HR76" i="17"/>
  <c r="HS76" i="17"/>
  <c r="HT76" i="17"/>
  <c r="HU76" i="17"/>
  <c r="HV76" i="17"/>
  <c r="HW76" i="17"/>
  <c r="HX76" i="17"/>
  <c r="HY76" i="17"/>
  <c r="HZ76" i="17"/>
  <c r="IA76" i="17"/>
  <c r="IB76" i="17"/>
  <c r="IC76" i="17"/>
  <c r="ID76" i="17"/>
  <c r="IE76" i="17"/>
  <c r="IF76" i="17"/>
  <c r="IG76" i="17"/>
  <c r="IH76" i="17"/>
  <c r="II76" i="17"/>
  <c r="IJ76" i="17"/>
  <c r="IK76" i="17"/>
  <c r="IL76" i="17"/>
  <c r="IM76" i="17"/>
  <c r="IN76" i="17"/>
  <c r="IO76" i="17"/>
  <c r="IP76" i="17"/>
  <c r="IQ76" i="17"/>
  <c r="IR76" i="17"/>
  <c r="IS76" i="17"/>
  <c r="IT76" i="17"/>
  <c r="IU76" i="17"/>
  <c r="IV76" i="17"/>
  <c r="A75" i="17"/>
  <c r="B75" i="17"/>
  <c r="C75" i="17"/>
  <c r="D75" i="17"/>
  <c r="E75" i="17"/>
  <c r="F75" i="17"/>
  <c r="G75" i="17"/>
  <c r="H75" i="17"/>
  <c r="I75" i="17"/>
  <c r="J75" i="17"/>
  <c r="K75" i="17"/>
  <c r="L75" i="17"/>
  <c r="M75" i="17"/>
  <c r="N75" i="17"/>
  <c r="O75" i="17"/>
  <c r="P75" i="17"/>
  <c r="Q75" i="17"/>
  <c r="R75" i="17"/>
  <c r="S75" i="17"/>
  <c r="T75" i="17"/>
  <c r="U75" i="17"/>
  <c r="V75" i="17"/>
  <c r="W75" i="17"/>
  <c r="X75" i="17"/>
  <c r="Z75" i="17"/>
  <c r="AA75" i="17"/>
  <c r="AB75" i="17"/>
  <c r="AC75" i="17"/>
  <c r="AD75" i="17"/>
  <c r="AE75" i="17"/>
  <c r="AF75" i="17"/>
  <c r="AG75" i="17"/>
  <c r="AH75" i="17"/>
  <c r="AI75" i="17"/>
  <c r="AJ75" i="17"/>
  <c r="AK75" i="17"/>
  <c r="AL75" i="17"/>
  <c r="AM75" i="17"/>
  <c r="AN75" i="17"/>
  <c r="AO75" i="17"/>
  <c r="AP75" i="17"/>
  <c r="AQ75" i="17"/>
  <c r="AR75" i="17"/>
  <c r="AS75" i="17"/>
  <c r="AT75" i="17"/>
  <c r="AU75" i="17"/>
  <c r="AV75" i="17"/>
  <c r="AW75" i="17"/>
  <c r="AX75" i="17"/>
  <c r="AY75" i="17"/>
  <c r="AZ75" i="17"/>
  <c r="BA75" i="17"/>
  <c r="BB75" i="17"/>
  <c r="BC75" i="17"/>
  <c r="BD75" i="17"/>
  <c r="BE75" i="17"/>
  <c r="BF75" i="17"/>
  <c r="BG75" i="17"/>
  <c r="BH75" i="17"/>
  <c r="BI75" i="17"/>
  <c r="BJ75" i="17"/>
  <c r="BK75" i="17"/>
  <c r="BL75" i="17"/>
  <c r="BM75" i="17"/>
  <c r="BN75" i="17"/>
  <c r="BO75" i="17"/>
  <c r="BP75" i="17"/>
  <c r="BQ75" i="17"/>
  <c r="BR75" i="17"/>
  <c r="BS75" i="17"/>
  <c r="BT75" i="17"/>
  <c r="BU75" i="17"/>
  <c r="BV75" i="17"/>
  <c r="BW75" i="17"/>
  <c r="BX75" i="17"/>
  <c r="BY75" i="17"/>
  <c r="BZ75" i="17"/>
  <c r="CA75" i="17"/>
  <c r="CB75" i="17"/>
  <c r="CC75" i="17"/>
  <c r="CD75" i="17"/>
  <c r="CE75" i="17"/>
  <c r="CF75" i="17"/>
  <c r="CG75" i="17"/>
  <c r="CH75" i="17"/>
  <c r="CI75" i="17"/>
  <c r="CJ75" i="17"/>
  <c r="CK75" i="17"/>
  <c r="CL75" i="17"/>
  <c r="CM75" i="17"/>
  <c r="CN75" i="17"/>
  <c r="CO75" i="17"/>
  <c r="CP75" i="17"/>
  <c r="CQ75" i="17"/>
  <c r="CR75" i="17"/>
  <c r="CS75" i="17"/>
  <c r="CT75" i="17"/>
  <c r="CU75" i="17"/>
  <c r="CV75" i="17"/>
  <c r="CW75" i="17"/>
  <c r="CX75" i="17"/>
  <c r="CY75" i="17"/>
  <c r="CZ75" i="17"/>
  <c r="DA75" i="17"/>
  <c r="DB75" i="17"/>
  <c r="DC75" i="17"/>
  <c r="DD75" i="17"/>
  <c r="DE75" i="17"/>
  <c r="DF75" i="17"/>
  <c r="DG75" i="17"/>
  <c r="DH75" i="17"/>
  <c r="DI75" i="17"/>
  <c r="DJ75" i="17"/>
  <c r="DK75" i="17"/>
  <c r="DL75" i="17"/>
  <c r="DM75" i="17"/>
  <c r="DN75" i="17"/>
  <c r="DO75" i="17"/>
  <c r="DP75" i="17"/>
  <c r="DQ75" i="17"/>
  <c r="DR75" i="17"/>
  <c r="DS75" i="17"/>
  <c r="DT75" i="17"/>
  <c r="DU75" i="17"/>
  <c r="DV75" i="17"/>
  <c r="DW75" i="17"/>
  <c r="DX75" i="17"/>
  <c r="DY75" i="17"/>
  <c r="DZ75" i="17"/>
  <c r="EA75" i="17"/>
  <c r="EB75" i="17"/>
  <c r="EC75" i="17"/>
  <c r="ED75" i="17"/>
  <c r="EE75" i="17"/>
  <c r="EF75" i="17"/>
  <c r="EG75" i="17"/>
  <c r="EH75" i="17"/>
  <c r="EI75" i="17"/>
  <c r="EJ75" i="17"/>
  <c r="EK75" i="17"/>
  <c r="EL75" i="17"/>
  <c r="EM75" i="17"/>
  <c r="EN75" i="17"/>
  <c r="EO75" i="17"/>
  <c r="EP75" i="17"/>
  <c r="EQ75" i="17"/>
  <c r="ER75" i="17"/>
  <c r="ES75" i="17"/>
  <c r="ET75" i="17"/>
  <c r="EU75" i="17"/>
  <c r="EV75" i="17"/>
  <c r="EW75" i="17"/>
  <c r="EX75" i="17"/>
  <c r="EY75" i="17"/>
  <c r="EZ75" i="17"/>
  <c r="FA75" i="17"/>
  <c r="FB75" i="17"/>
  <c r="FC75" i="17"/>
  <c r="FD75" i="17"/>
  <c r="FE75" i="17"/>
  <c r="FF75" i="17"/>
  <c r="FG75" i="17"/>
  <c r="FH75" i="17"/>
  <c r="FI75" i="17"/>
  <c r="FJ75" i="17"/>
  <c r="FK75" i="17"/>
  <c r="FL75" i="17"/>
  <c r="FM75" i="17"/>
  <c r="FN75" i="17"/>
  <c r="FO75" i="17"/>
  <c r="FP75" i="17"/>
  <c r="FQ75" i="17"/>
  <c r="FR75" i="17"/>
  <c r="FS75" i="17"/>
  <c r="FT75" i="17"/>
  <c r="FU75" i="17"/>
  <c r="FV75" i="17"/>
  <c r="FW75" i="17"/>
  <c r="FX75" i="17"/>
  <c r="FY75" i="17"/>
  <c r="FZ75" i="17"/>
  <c r="GA75" i="17"/>
  <c r="GB75" i="17"/>
  <c r="GC75" i="17"/>
  <c r="GD75" i="17"/>
  <c r="GE75" i="17"/>
  <c r="GF75" i="17"/>
  <c r="GG75" i="17"/>
  <c r="GH75" i="17"/>
  <c r="GI75" i="17"/>
  <c r="GJ75" i="17"/>
  <c r="GK75" i="17"/>
  <c r="GL75" i="17"/>
  <c r="GM75" i="17"/>
  <c r="GN75" i="17"/>
  <c r="GO75" i="17"/>
  <c r="GP75" i="17"/>
  <c r="GQ75" i="17"/>
  <c r="GR75" i="17"/>
  <c r="GS75" i="17"/>
  <c r="GT75" i="17"/>
  <c r="GU75" i="17"/>
  <c r="GV75" i="17"/>
  <c r="GW75" i="17"/>
  <c r="GX75" i="17"/>
  <c r="GY75" i="17"/>
  <c r="GZ75" i="17"/>
  <c r="HA75" i="17"/>
  <c r="HB75" i="17"/>
  <c r="HC75" i="17"/>
  <c r="HD75" i="17"/>
  <c r="HE75" i="17"/>
  <c r="HF75" i="17"/>
  <c r="HG75" i="17"/>
  <c r="HH75" i="17"/>
  <c r="HI75" i="17"/>
  <c r="HJ75" i="17"/>
  <c r="HK75" i="17"/>
  <c r="HL75" i="17"/>
  <c r="HM75" i="17"/>
  <c r="HN75" i="17"/>
  <c r="HO75" i="17"/>
  <c r="HP75" i="17"/>
  <c r="HQ75" i="17"/>
  <c r="HR75" i="17"/>
  <c r="HS75" i="17"/>
  <c r="HT75" i="17"/>
  <c r="HU75" i="17"/>
  <c r="HV75" i="17"/>
  <c r="HW75" i="17"/>
  <c r="HX75" i="17"/>
  <c r="HY75" i="17"/>
  <c r="HZ75" i="17"/>
  <c r="IA75" i="17"/>
  <c r="IB75" i="17"/>
  <c r="IC75" i="17"/>
  <c r="ID75" i="17"/>
  <c r="IE75" i="17"/>
  <c r="IF75" i="17"/>
  <c r="IG75" i="17"/>
  <c r="IH75" i="17"/>
  <c r="II75" i="17"/>
  <c r="IJ75" i="17"/>
  <c r="IK75" i="17"/>
  <c r="IL75" i="17"/>
  <c r="IM75" i="17"/>
  <c r="IN75" i="17"/>
  <c r="IO75" i="17"/>
  <c r="IP75" i="17"/>
  <c r="IQ75" i="17"/>
  <c r="IR75" i="17"/>
  <c r="IS75" i="17"/>
  <c r="IT75" i="17"/>
  <c r="IU75" i="17"/>
  <c r="IV75" i="17"/>
  <c r="A74" i="17"/>
  <c r="B74" i="17"/>
  <c r="C74" i="17"/>
  <c r="D74" i="17"/>
  <c r="E74" i="17"/>
  <c r="F74" i="17"/>
  <c r="G74" i="17"/>
  <c r="H74" i="17"/>
  <c r="I74" i="17"/>
  <c r="J74" i="17"/>
  <c r="K74" i="17"/>
  <c r="L74" i="17"/>
  <c r="M74" i="17"/>
  <c r="N74" i="17"/>
  <c r="O74" i="17"/>
  <c r="P74" i="17"/>
  <c r="Q74" i="17"/>
  <c r="R74" i="17"/>
  <c r="S74" i="17"/>
  <c r="T74" i="17"/>
  <c r="U74" i="17"/>
  <c r="V74" i="17"/>
  <c r="W74" i="17"/>
  <c r="X74" i="17"/>
  <c r="Y74" i="17"/>
  <c r="Z74" i="17"/>
  <c r="AA74" i="17"/>
  <c r="AB74" i="17"/>
  <c r="AC74" i="17"/>
  <c r="AD74" i="17"/>
  <c r="AE74" i="17"/>
  <c r="AF74" i="17"/>
  <c r="AG74" i="17"/>
  <c r="AH74" i="17"/>
  <c r="AI74" i="17"/>
  <c r="AJ74" i="17"/>
  <c r="AK74" i="17"/>
  <c r="AL74" i="17"/>
  <c r="AM74" i="17"/>
  <c r="AN74" i="17"/>
  <c r="AO74" i="17"/>
  <c r="AP74" i="17"/>
  <c r="AQ74" i="17"/>
  <c r="AR74" i="17"/>
  <c r="AS74" i="17"/>
  <c r="AT74" i="17"/>
  <c r="AU74" i="17"/>
  <c r="AV74" i="17"/>
  <c r="AW74" i="17"/>
  <c r="AX74" i="17"/>
  <c r="AY74" i="17"/>
  <c r="AZ74" i="17"/>
  <c r="BA74" i="17"/>
  <c r="BB74" i="17"/>
  <c r="BC74" i="17"/>
  <c r="BD74" i="17"/>
  <c r="BE74" i="17"/>
  <c r="BF74" i="17"/>
  <c r="BG74" i="17"/>
  <c r="BH74" i="17"/>
  <c r="BI74" i="17"/>
  <c r="BJ74" i="17"/>
  <c r="BK74" i="17"/>
  <c r="BL74" i="17"/>
  <c r="BM74" i="17"/>
  <c r="BN74" i="17"/>
  <c r="BO74" i="17"/>
  <c r="BP74" i="17"/>
  <c r="BQ74" i="17"/>
  <c r="BR74" i="17"/>
  <c r="BS74" i="17"/>
  <c r="BT74" i="17"/>
  <c r="BU74" i="17"/>
  <c r="BV74" i="17"/>
  <c r="BW74" i="17"/>
  <c r="BX74" i="17"/>
  <c r="BY74" i="17"/>
  <c r="BZ74" i="17"/>
  <c r="CA74" i="17"/>
  <c r="CB74" i="17"/>
  <c r="CC74" i="17"/>
  <c r="CD74" i="17"/>
  <c r="CE74" i="17"/>
  <c r="CF74" i="17"/>
  <c r="CG74" i="17"/>
  <c r="CH74" i="17"/>
  <c r="CI74" i="17"/>
  <c r="CJ74" i="17"/>
  <c r="CK74" i="17"/>
  <c r="CL74" i="17"/>
  <c r="CM74" i="17"/>
  <c r="CN74" i="17"/>
  <c r="CO74" i="17"/>
  <c r="CP74" i="17"/>
  <c r="CQ74" i="17"/>
  <c r="CR74" i="17"/>
  <c r="CS74" i="17"/>
  <c r="CT74" i="17"/>
  <c r="CU74" i="17"/>
  <c r="CV74" i="17"/>
  <c r="CW74" i="17"/>
  <c r="CX74" i="17"/>
  <c r="CY74" i="17"/>
  <c r="CZ74" i="17"/>
  <c r="DA74" i="17"/>
  <c r="DB74" i="17"/>
  <c r="DC74" i="17"/>
  <c r="DD74" i="17"/>
  <c r="DE74" i="17"/>
  <c r="DF74" i="17"/>
  <c r="DG74" i="17"/>
  <c r="DH74" i="17"/>
  <c r="DI74" i="17"/>
  <c r="DJ74" i="17"/>
  <c r="DK74" i="17"/>
  <c r="DL74" i="17"/>
  <c r="DM74" i="17"/>
  <c r="DN74" i="17"/>
  <c r="DO74" i="17"/>
  <c r="DP74" i="17"/>
  <c r="DQ74" i="17"/>
  <c r="DR74" i="17"/>
  <c r="DS74" i="17"/>
  <c r="DT74" i="17"/>
  <c r="DU74" i="17"/>
  <c r="DV74" i="17"/>
  <c r="DW74" i="17"/>
  <c r="DX74" i="17"/>
  <c r="DY74" i="17"/>
  <c r="DZ74" i="17"/>
  <c r="EA74" i="17"/>
  <c r="EB74" i="17"/>
  <c r="EC74" i="17"/>
  <c r="ED74" i="17"/>
  <c r="EE74" i="17"/>
  <c r="EF74" i="17"/>
  <c r="EG74" i="17"/>
  <c r="EH74" i="17"/>
  <c r="EI74" i="17"/>
  <c r="EJ74" i="17"/>
  <c r="EK74" i="17"/>
  <c r="EL74" i="17"/>
  <c r="EM74" i="17"/>
  <c r="EN74" i="17"/>
  <c r="EO74" i="17"/>
  <c r="EP74" i="17"/>
  <c r="EQ74" i="17"/>
  <c r="ER74" i="17"/>
  <c r="ES74" i="17"/>
  <c r="ET74" i="17"/>
  <c r="EU74" i="17"/>
  <c r="EV74" i="17"/>
  <c r="EW74" i="17"/>
  <c r="EX74" i="17"/>
  <c r="EY74" i="17"/>
  <c r="EZ74" i="17"/>
  <c r="FA74" i="17"/>
  <c r="FB74" i="17"/>
  <c r="FC74" i="17"/>
  <c r="FD74" i="17"/>
  <c r="FE74" i="17"/>
  <c r="FF74" i="17"/>
  <c r="FG74" i="17"/>
  <c r="FH74" i="17"/>
  <c r="FI74" i="17"/>
  <c r="FJ74" i="17"/>
  <c r="FK74" i="17"/>
  <c r="FL74" i="17"/>
  <c r="FM74" i="17"/>
  <c r="FN74" i="17"/>
  <c r="FO74" i="17"/>
  <c r="FP74" i="17"/>
  <c r="FQ74" i="17"/>
  <c r="FR74" i="17"/>
  <c r="FS74" i="17"/>
  <c r="FT74" i="17"/>
  <c r="FU74" i="17"/>
  <c r="FV74" i="17"/>
  <c r="FW74" i="17"/>
  <c r="FX74" i="17"/>
  <c r="FY74" i="17"/>
  <c r="FZ74" i="17"/>
  <c r="GA74" i="17"/>
  <c r="GB74" i="17"/>
  <c r="GC74" i="17"/>
  <c r="GD74" i="17"/>
  <c r="GE74" i="17"/>
  <c r="GF74" i="17"/>
  <c r="GG74" i="17"/>
  <c r="GH74" i="17"/>
  <c r="GI74" i="17"/>
  <c r="GJ74" i="17"/>
  <c r="GK74" i="17"/>
  <c r="GL74" i="17"/>
  <c r="GM74" i="17"/>
  <c r="GN74" i="17"/>
  <c r="GO74" i="17"/>
  <c r="GP74" i="17"/>
  <c r="GQ74" i="17"/>
  <c r="GR74" i="17"/>
  <c r="GS74" i="17"/>
  <c r="GT74" i="17"/>
  <c r="GU74" i="17"/>
  <c r="GV74" i="17"/>
  <c r="GW74" i="17"/>
  <c r="GX74" i="17"/>
  <c r="GY74" i="17"/>
  <c r="GZ74" i="17"/>
  <c r="HA74" i="17"/>
  <c r="HB74" i="17"/>
  <c r="HC74" i="17"/>
  <c r="HD74" i="17"/>
  <c r="HE74" i="17"/>
  <c r="HF74" i="17"/>
  <c r="HG74" i="17"/>
  <c r="HH74" i="17"/>
  <c r="HI74" i="17"/>
  <c r="HJ74" i="17"/>
  <c r="HK74" i="17"/>
  <c r="HL74" i="17"/>
  <c r="HM74" i="17"/>
  <c r="HN74" i="17"/>
  <c r="HO74" i="17"/>
  <c r="HP74" i="17"/>
  <c r="HQ74" i="17"/>
  <c r="HR74" i="17"/>
  <c r="HS74" i="17"/>
  <c r="HT74" i="17"/>
  <c r="HU74" i="17"/>
  <c r="HV74" i="17"/>
  <c r="HW74" i="17"/>
  <c r="HX74" i="17"/>
  <c r="HY74" i="17"/>
  <c r="HZ74" i="17"/>
  <c r="IA74" i="17"/>
  <c r="IB74" i="17"/>
  <c r="IC74" i="17"/>
  <c r="ID74" i="17"/>
  <c r="IE74" i="17"/>
  <c r="IF74" i="17"/>
  <c r="IG74" i="17"/>
  <c r="IH74" i="17"/>
  <c r="II74" i="17"/>
  <c r="IJ74" i="17"/>
  <c r="IK74" i="17"/>
  <c r="IL74" i="17"/>
  <c r="IM74" i="17"/>
  <c r="IN74" i="17"/>
  <c r="IO74" i="17"/>
  <c r="IP74" i="17"/>
  <c r="IQ74" i="17"/>
  <c r="IR74" i="17"/>
  <c r="IS74" i="17"/>
  <c r="IT74" i="17"/>
  <c r="IU74" i="17"/>
  <c r="IV74" i="17"/>
  <c r="A73" i="17"/>
  <c r="B73" i="17"/>
  <c r="C73" i="17"/>
  <c r="D73" i="17"/>
  <c r="E73" i="17"/>
  <c r="F73" i="17"/>
  <c r="G73" i="17"/>
  <c r="H73" i="17"/>
  <c r="I73" i="17"/>
  <c r="J73" i="17"/>
  <c r="K73" i="17"/>
  <c r="L73" i="17"/>
  <c r="M73" i="17"/>
  <c r="N73" i="17"/>
  <c r="O73" i="17"/>
  <c r="P73" i="17"/>
  <c r="Q73" i="17"/>
  <c r="R73" i="17"/>
  <c r="S73" i="17"/>
  <c r="T73" i="17"/>
  <c r="U73" i="17"/>
  <c r="V73" i="17"/>
  <c r="W73" i="17"/>
  <c r="Y73" i="17"/>
  <c r="Z73" i="17"/>
  <c r="AA73" i="17"/>
  <c r="AB73" i="17"/>
  <c r="AC73" i="17"/>
  <c r="AD73" i="17"/>
  <c r="AE73" i="17"/>
  <c r="AF73" i="17"/>
  <c r="AG73" i="17"/>
  <c r="AH73" i="17"/>
  <c r="AI73" i="17"/>
  <c r="AJ73" i="17"/>
  <c r="AK73" i="17"/>
  <c r="AL73" i="17"/>
  <c r="AM73" i="17"/>
  <c r="AN73" i="17"/>
  <c r="AO73" i="17"/>
  <c r="AP73" i="17"/>
  <c r="AQ73" i="17"/>
  <c r="AR73" i="17"/>
  <c r="AS73" i="17"/>
  <c r="AT73" i="17"/>
  <c r="AU73" i="17"/>
  <c r="AV73" i="17"/>
  <c r="AW73" i="17"/>
  <c r="AX73" i="17"/>
  <c r="AY73" i="17"/>
  <c r="AZ73" i="17"/>
  <c r="BA73" i="17"/>
  <c r="BB73" i="17"/>
  <c r="BC73" i="17"/>
  <c r="BD73" i="17"/>
  <c r="BE73" i="17"/>
  <c r="BF73" i="17"/>
  <c r="BG73" i="17"/>
  <c r="BH73" i="17"/>
  <c r="BI73" i="17"/>
  <c r="BJ73" i="17"/>
  <c r="BK73" i="17"/>
  <c r="BL73" i="17"/>
  <c r="BM73" i="17"/>
  <c r="BN73" i="17"/>
  <c r="BO73" i="17"/>
  <c r="BP73" i="17"/>
  <c r="BQ73" i="17"/>
  <c r="BR73" i="17"/>
  <c r="BS73" i="17"/>
  <c r="BT73" i="17"/>
  <c r="BU73" i="17"/>
  <c r="BV73" i="17"/>
  <c r="BW73" i="17"/>
  <c r="BX73" i="17"/>
  <c r="BY73" i="17"/>
  <c r="BZ73" i="17"/>
  <c r="CA73" i="17"/>
  <c r="CB73" i="17"/>
  <c r="CC73" i="17"/>
  <c r="CD73" i="17"/>
  <c r="CE73" i="17"/>
  <c r="CF73" i="17"/>
  <c r="CG73" i="17"/>
  <c r="CH73" i="17"/>
  <c r="CI73" i="17"/>
  <c r="CJ73" i="17"/>
  <c r="CK73" i="17"/>
  <c r="CL73" i="17"/>
  <c r="CM73" i="17"/>
  <c r="CN73" i="17"/>
  <c r="CO73" i="17"/>
  <c r="CP73" i="17"/>
  <c r="CQ73" i="17"/>
  <c r="CR73" i="17"/>
  <c r="CS73" i="17"/>
  <c r="CT73" i="17"/>
  <c r="CU73" i="17"/>
  <c r="CV73" i="17"/>
  <c r="CW73" i="17"/>
  <c r="CX73" i="17"/>
  <c r="CY73" i="17"/>
  <c r="CZ73" i="17"/>
  <c r="DA73" i="17"/>
  <c r="DB73" i="17"/>
  <c r="DC73" i="17"/>
  <c r="DD73" i="17"/>
  <c r="DE73" i="17"/>
  <c r="DF73" i="17"/>
  <c r="DG73" i="17"/>
  <c r="DH73" i="17"/>
  <c r="DI73" i="17"/>
  <c r="DJ73" i="17"/>
  <c r="DK73" i="17"/>
  <c r="DL73" i="17"/>
  <c r="DM73" i="17"/>
  <c r="DN73" i="17"/>
  <c r="DO73" i="17"/>
  <c r="DP73" i="17"/>
  <c r="DQ73" i="17"/>
  <c r="DR73" i="17"/>
  <c r="DS73" i="17"/>
  <c r="DT73" i="17"/>
  <c r="DU73" i="17"/>
  <c r="DV73" i="17"/>
  <c r="DW73" i="17"/>
  <c r="DX73" i="17"/>
  <c r="DY73" i="17"/>
  <c r="DZ73" i="17"/>
  <c r="EA73" i="17"/>
  <c r="EB73" i="17"/>
  <c r="EC73" i="17"/>
  <c r="ED73" i="17"/>
  <c r="EE73" i="17"/>
  <c r="EF73" i="17"/>
  <c r="EG73" i="17"/>
  <c r="EH73" i="17"/>
  <c r="EI73" i="17"/>
  <c r="EJ73" i="17"/>
  <c r="EK73" i="17"/>
  <c r="EL73" i="17"/>
  <c r="EM73" i="17"/>
  <c r="EN73" i="17"/>
  <c r="EO73" i="17"/>
  <c r="EP73" i="17"/>
  <c r="EQ73" i="17"/>
  <c r="ER73" i="17"/>
  <c r="ES73" i="17"/>
  <c r="ET73" i="17"/>
  <c r="EU73" i="17"/>
  <c r="EV73" i="17"/>
  <c r="EW73" i="17"/>
  <c r="EX73" i="17"/>
  <c r="EY73" i="17"/>
  <c r="EZ73" i="17"/>
  <c r="FA73" i="17"/>
  <c r="FB73" i="17"/>
  <c r="FC73" i="17"/>
  <c r="FD73" i="17"/>
  <c r="FE73" i="17"/>
  <c r="FF73" i="17"/>
  <c r="FG73" i="17"/>
  <c r="FH73" i="17"/>
  <c r="FI73" i="17"/>
  <c r="FJ73" i="17"/>
  <c r="FK73" i="17"/>
  <c r="FL73" i="17"/>
  <c r="FM73" i="17"/>
  <c r="FN73" i="17"/>
  <c r="FO73" i="17"/>
  <c r="FP73" i="17"/>
  <c r="FQ73" i="17"/>
  <c r="FR73" i="17"/>
  <c r="FS73" i="17"/>
  <c r="FT73" i="17"/>
  <c r="FU73" i="17"/>
  <c r="FV73" i="17"/>
  <c r="FW73" i="17"/>
  <c r="FX73" i="17"/>
  <c r="FY73" i="17"/>
  <c r="FZ73" i="17"/>
  <c r="GA73" i="17"/>
  <c r="GB73" i="17"/>
  <c r="GC73" i="17"/>
  <c r="GD73" i="17"/>
  <c r="GE73" i="17"/>
  <c r="GF73" i="17"/>
  <c r="GG73" i="17"/>
  <c r="GH73" i="17"/>
  <c r="GI73" i="17"/>
  <c r="GJ73" i="17"/>
  <c r="GK73" i="17"/>
  <c r="GL73" i="17"/>
  <c r="GM73" i="17"/>
  <c r="GN73" i="17"/>
  <c r="GO73" i="17"/>
  <c r="GP73" i="17"/>
  <c r="GQ73" i="17"/>
  <c r="GR73" i="17"/>
  <c r="GS73" i="17"/>
  <c r="GT73" i="17"/>
  <c r="GU73" i="17"/>
  <c r="GV73" i="17"/>
  <c r="GW73" i="17"/>
  <c r="GX73" i="17"/>
  <c r="GY73" i="17"/>
  <c r="GZ73" i="17"/>
  <c r="HA73" i="17"/>
  <c r="HB73" i="17"/>
  <c r="HC73" i="17"/>
  <c r="HD73" i="17"/>
  <c r="HE73" i="17"/>
  <c r="HF73" i="17"/>
  <c r="HG73" i="17"/>
  <c r="HH73" i="17"/>
  <c r="HI73" i="17"/>
  <c r="HJ73" i="17"/>
  <c r="HK73" i="17"/>
  <c r="HL73" i="17"/>
  <c r="HM73" i="17"/>
  <c r="HN73" i="17"/>
  <c r="HO73" i="17"/>
  <c r="HP73" i="17"/>
  <c r="HQ73" i="17"/>
  <c r="HR73" i="17"/>
  <c r="HS73" i="17"/>
  <c r="HT73" i="17"/>
  <c r="HU73" i="17"/>
  <c r="HV73" i="17"/>
  <c r="HW73" i="17"/>
  <c r="HX73" i="17"/>
  <c r="HY73" i="17"/>
  <c r="HZ73" i="17"/>
  <c r="IA73" i="17"/>
  <c r="IB73" i="17"/>
  <c r="IC73" i="17"/>
  <c r="ID73" i="17"/>
  <c r="IE73" i="17"/>
  <c r="IF73" i="17"/>
  <c r="IG73" i="17"/>
  <c r="IH73" i="17"/>
  <c r="II73" i="17"/>
  <c r="IJ73" i="17"/>
  <c r="IK73" i="17"/>
  <c r="IL73" i="17"/>
  <c r="IM73" i="17"/>
  <c r="IN73" i="17"/>
  <c r="IO73" i="17"/>
  <c r="IP73" i="17"/>
  <c r="IQ73" i="17"/>
  <c r="IR73" i="17"/>
  <c r="IS73" i="17"/>
  <c r="IT73" i="17"/>
  <c r="IU73" i="17"/>
  <c r="IV73" i="17"/>
  <c r="A72" i="17"/>
  <c r="B72" i="17"/>
  <c r="C72" i="17"/>
  <c r="D72" i="17"/>
  <c r="E72" i="17"/>
  <c r="F72" i="17"/>
  <c r="G72" i="17"/>
  <c r="H72" i="17"/>
  <c r="I72" i="17"/>
  <c r="J72" i="17"/>
  <c r="K72" i="17"/>
  <c r="L72" i="17"/>
  <c r="M72" i="17"/>
  <c r="N72" i="17"/>
  <c r="O72" i="17"/>
  <c r="P72" i="17"/>
  <c r="Q72" i="17"/>
  <c r="R72" i="17"/>
  <c r="S72" i="17"/>
  <c r="T72" i="17"/>
  <c r="U72" i="17"/>
  <c r="V72" i="17"/>
  <c r="W72" i="17"/>
  <c r="X72" i="17"/>
  <c r="Y72" i="17"/>
  <c r="Z72" i="17"/>
  <c r="AA72" i="17"/>
  <c r="AB72" i="17"/>
  <c r="AC72" i="17"/>
  <c r="AD72" i="17"/>
  <c r="AE72" i="17"/>
  <c r="AF72" i="17"/>
  <c r="AG72" i="17"/>
  <c r="AH72" i="17"/>
  <c r="AI72" i="17"/>
  <c r="AJ72" i="17"/>
  <c r="AK72" i="17"/>
  <c r="AL72" i="17"/>
  <c r="AM72" i="17"/>
  <c r="AN72" i="17"/>
  <c r="AO72" i="17"/>
  <c r="AP72" i="17"/>
  <c r="AQ72" i="17"/>
  <c r="AR72" i="17"/>
  <c r="AS72" i="17"/>
  <c r="AT72" i="17"/>
  <c r="AU72" i="17"/>
  <c r="AV72" i="17"/>
  <c r="AW72" i="17"/>
  <c r="AX72" i="17"/>
  <c r="AY72" i="17"/>
  <c r="AZ72" i="17"/>
  <c r="BA72" i="17"/>
  <c r="BB72" i="17"/>
  <c r="BC72" i="17"/>
  <c r="BD72" i="17"/>
  <c r="BE72" i="17"/>
  <c r="BF72" i="17"/>
  <c r="BG72" i="17"/>
  <c r="BH72" i="17"/>
  <c r="BI72" i="17"/>
  <c r="BJ72" i="17"/>
  <c r="BK72" i="17"/>
  <c r="BL72" i="17"/>
  <c r="BM72" i="17"/>
  <c r="BN72" i="17"/>
  <c r="BO72" i="17"/>
  <c r="BP72" i="17"/>
  <c r="BQ72" i="17"/>
  <c r="BR72" i="17"/>
  <c r="BS72" i="17"/>
  <c r="BT72" i="17"/>
  <c r="BU72" i="17"/>
  <c r="BV72" i="17"/>
  <c r="BW72" i="17"/>
  <c r="BX72" i="17"/>
  <c r="BY72" i="17"/>
  <c r="BZ72" i="17"/>
  <c r="CA72" i="17"/>
  <c r="CB72" i="17"/>
  <c r="CC72" i="17"/>
  <c r="CD72" i="17"/>
  <c r="CE72" i="17"/>
  <c r="CF72" i="17"/>
  <c r="CG72" i="17"/>
  <c r="CH72" i="17"/>
  <c r="CI72" i="17"/>
  <c r="CJ72" i="17"/>
  <c r="CK72" i="17"/>
  <c r="CL72" i="17"/>
  <c r="CM72" i="17"/>
  <c r="CN72" i="17"/>
  <c r="CO72" i="17"/>
  <c r="CP72" i="17"/>
  <c r="CQ72" i="17"/>
  <c r="CR72" i="17"/>
  <c r="CS72" i="17"/>
  <c r="CT72" i="17"/>
  <c r="CU72" i="17"/>
  <c r="CV72" i="17"/>
  <c r="CW72" i="17"/>
  <c r="CX72" i="17"/>
  <c r="CY72" i="17"/>
  <c r="CZ72" i="17"/>
  <c r="DA72" i="17"/>
  <c r="DB72" i="17"/>
  <c r="DC72" i="17"/>
  <c r="DD72" i="17"/>
  <c r="DE72" i="17"/>
  <c r="DF72" i="17"/>
  <c r="DG72" i="17"/>
  <c r="DH72" i="17"/>
  <c r="DI72" i="17"/>
  <c r="DJ72" i="17"/>
  <c r="DK72" i="17"/>
  <c r="DL72" i="17"/>
  <c r="DM72" i="17"/>
  <c r="DN72" i="17"/>
  <c r="DO72" i="17"/>
  <c r="DP72" i="17"/>
  <c r="DQ72" i="17"/>
  <c r="DR72" i="17"/>
  <c r="DS72" i="17"/>
  <c r="DT72" i="17"/>
  <c r="DU72" i="17"/>
  <c r="DV72" i="17"/>
  <c r="DW72" i="17"/>
  <c r="DX72" i="17"/>
  <c r="DY72" i="17"/>
  <c r="DZ72" i="17"/>
  <c r="EA72" i="17"/>
  <c r="EB72" i="17"/>
  <c r="EC72" i="17"/>
  <c r="ED72" i="17"/>
  <c r="EE72" i="17"/>
  <c r="EF72" i="17"/>
  <c r="EG72" i="17"/>
  <c r="EH72" i="17"/>
  <c r="EI72" i="17"/>
  <c r="EJ72" i="17"/>
  <c r="EK72" i="17"/>
  <c r="EL72" i="17"/>
  <c r="EM72" i="17"/>
  <c r="EN72" i="17"/>
  <c r="EO72" i="17"/>
  <c r="EP72" i="17"/>
  <c r="EQ72" i="17"/>
  <c r="ER72" i="17"/>
  <c r="ES72" i="17"/>
  <c r="ET72" i="17"/>
  <c r="EU72" i="17"/>
  <c r="EV72" i="17"/>
  <c r="EW72" i="17"/>
  <c r="EX72" i="17"/>
  <c r="EY72" i="17"/>
  <c r="EZ72" i="17"/>
  <c r="FA72" i="17"/>
  <c r="FB72" i="17"/>
  <c r="FC72" i="17"/>
  <c r="FD72" i="17"/>
  <c r="FE72" i="17"/>
  <c r="FF72" i="17"/>
  <c r="FG72" i="17"/>
  <c r="FH72" i="17"/>
  <c r="FI72" i="17"/>
  <c r="FJ72" i="17"/>
  <c r="FK72" i="17"/>
  <c r="FL72" i="17"/>
  <c r="FM72" i="17"/>
  <c r="FN72" i="17"/>
  <c r="FO72" i="17"/>
  <c r="FP72" i="17"/>
  <c r="FQ72" i="17"/>
  <c r="FR72" i="17"/>
  <c r="FS72" i="17"/>
  <c r="FT72" i="17"/>
  <c r="FU72" i="17"/>
  <c r="FV72" i="17"/>
  <c r="FW72" i="17"/>
  <c r="FX72" i="17"/>
  <c r="FY72" i="17"/>
  <c r="FZ72" i="17"/>
  <c r="GA72" i="17"/>
  <c r="GB72" i="17"/>
  <c r="GC72" i="17"/>
  <c r="GD72" i="17"/>
  <c r="GE72" i="17"/>
  <c r="GF72" i="17"/>
  <c r="GG72" i="17"/>
  <c r="GH72" i="17"/>
  <c r="GI72" i="17"/>
  <c r="GJ72" i="17"/>
  <c r="GK72" i="17"/>
  <c r="GL72" i="17"/>
  <c r="GM72" i="17"/>
  <c r="GN72" i="17"/>
  <c r="GO72" i="17"/>
  <c r="GP72" i="17"/>
  <c r="GQ72" i="17"/>
  <c r="GR72" i="17"/>
  <c r="GS72" i="17"/>
  <c r="GT72" i="17"/>
  <c r="GU72" i="17"/>
  <c r="GV72" i="17"/>
  <c r="GW72" i="17"/>
  <c r="GX72" i="17"/>
  <c r="GY72" i="17"/>
  <c r="GZ72" i="17"/>
  <c r="HA72" i="17"/>
  <c r="HB72" i="17"/>
  <c r="HC72" i="17"/>
  <c r="HD72" i="17"/>
  <c r="HE72" i="17"/>
  <c r="HF72" i="17"/>
  <c r="HG72" i="17"/>
  <c r="HH72" i="17"/>
  <c r="HI72" i="17"/>
  <c r="HJ72" i="17"/>
  <c r="HK72" i="17"/>
  <c r="HL72" i="17"/>
  <c r="HM72" i="17"/>
  <c r="HN72" i="17"/>
  <c r="HO72" i="17"/>
  <c r="HP72" i="17"/>
  <c r="HQ72" i="17"/>
  <c r="HR72" i="17"/>
  <c r="HS72" i="17"/>
  <c r="HT72" i="17"/>
  <c r="HU72" i="17"/>
  <c r="HV72" i="17"/>
  <c r="HW72" i="17"/>
  <c r="HX72" i="17"/>
  <c r="HY72" i="17"/>
  <c r="HZ72" i="17"/>
  <c r="IA72" i="17"/>
  <c r="IB72" i="17"/>
  <c r="IC72" i="17"/>
  <c r="ID72" i="17"/>
  <c r="IE72" i="17"/>
  <c r="IF72" i="17"/>
  <c r="IG72" i="17"/>
  <c r="IH72" i="17"/>
  <c r="II72" i="17"/>
  <c r="IJ72" i="17"/>
  <c r="IK72" i="17"/>
  <c r="IL72" i="17"/>
  <c r="IM72" i="17"/>
  <c r="IN72" i="17"/>
  <c r="IO72" i="17"/>
  <c r="IP72" i="17"/>
  <c r="IQ72" i="17"/>
  <c r="IR72" i="17"/>
  <c r="IS72" i="17"/>
  <c r="IT72" i="17"/>
  <c r="IU72" i="17"/>
  <c r="IV72" i="17"/>
  <c r="A71" i="17"/>
  <c r="B71" i="17"/>
  <c r="C71" i="17"/>
  <c r="D71" i="17"/>
  <c r="E71" i="17"/>
  <c r="F71" i="17"/>
  <c r="G71" i="17"/>
  <c r="H71" i="17"/>
  <c r="I71" i="17"/>
  <c r="J71" i="17"/>
  <c r="K71" i="17"/>
  <c r="L71" i="17"/>
  <c r="M71" i="17"/>
  <c r="N71" i="17"/>
  <c r="O71" i="17"/>
  <c r="P71" i="17"/>
  <c r="Q71" i="17"/>
  <c r="R71" i="17"/>
  <c r="S71" i="17"/>
  <c r="T71" i="17"/>
  <c r="U71" i="17"/>
  <c r="V71" i="17"/>
  <c r="X71" i="17"/>
  <c r="Y71" i="17"/>
  <c r="Z71" i="17"/>
  <c r="AA71" i="17"/>
  <c r="AB71" i="17"/>
  <c r="AC71" i="17"/>
  <c r="AD71" i="17"/>
  <c r="AE71" i="17"/>
  <c r="AF71" i="17"/>
  <c r="AG71" i="17"/>
  <c r="AH71" i="17"/>
  <c r="AI71" i="17"/>
  <c r="AJ71" i="17"/>
  <c r="AK71" i="17"/>
  <c r="AL71" i="17"/>
  <c r="AM71" i="17"/>
  <c r="AN71" i="17"/>
  <c r="AO71" i="17"/>
  <c r="AP71" i="17"/>
  <c r="AQ71" i="17"/>
  <c r="AR71" i="17"/>
  <c r="AS71" i="17"/>
  <c r="AT71" i="17"/>
  <c r="AU71" i="17"/>
  <c r="AV71" i="17"/>
  <c r="AW71" i="17"/>
  <c r="AX71" i="17"/>
  <c r="AY71" i="17"/>
  <c r="AZ71" i="17"/>
  <c r="BA71" i="17"/>
  <c r="BB71" i="17"/>
  <c r="BC71" i="17"/>
  <c r="BD71" i="17"/>
  <c r="BE71" i="17"/>
  <c r="BF71" i="17"/>
  <c r="BG71" i="17"/>
  <c r="BH71" i="17"/>
  <c r="BI71" i="17"/>
  <c r="BJ71" i="17"/>
  <c r="BK71" i="17"/>
  <c r="BL71" i="17"/>
  <c r="BM71" i="17"/>
  <c r="BN71" i="17"/>
  <c r="BO71" i="17"/>
  <c r="BP71" i="17"/>
  <c r="BQ71" i="17"/>
  <c r="BR71" i="17"/>
  <c r="BS71" i="17"/>
  <c r="BT71" i="17"/>
  <c r="BU71" i="17"/>
  <c r="BV71" i="17"/>
  <c r="BW71" i="17"/>
  <c r="BX71" i="17"/>
  <c r="BY71" i="17"/>
  <c r="BZ71" i="17"/>
  <c r="CA71" i="17"/>
  <c r="CB71" i="17"/>
  <c r="CC71" i="17"/>
  <c r="CD71" i="17"/>
  <c r="CE71" i="17"/>
  <c r="CF71" i="17"/>
  <c r="CG71" i="17"/>
  <c r="CH71" i="17"/>
  <c r="CI71" i="17"/>
  <c r="CJ71" i="17"/>
  <c r="CK71" i="17"/>
  <c r="CL71" i="17"/>
  <c r="CM71" i="17"/>
  <c r="CN71" i="17"/>
  <c r="CO71" i="17"/>
  <c r="CP71" i="17"/>
  <c r="CQ71" i="17"/>
  <c r="CR71" i="17"/>
  <c r="CS71" i="17"/>
  <c r="CT71" i="17"/>
  <c r="CU71" i="17"/>
  <c r="CV71" i="17"/>
  <c r="CW71" i="17"/>
  <c r="CX71" i="17"/>
  <c r="CY71" i="17"/>
  <c r="CZ71" i="17"/>
  <c r="DA71" i="17"/>
  <c r="DB71" i="17"/>
  <c r="DC71" i="17"/>
  <c r="DD71" i="17"/>
  <c r="DE71" i="17"/>
  <c r="DF71" i="17"/>
  <c r="DG71" i="17"/>
  <c r="DH71" i="17"/>
  <c r="DI71" i="17"/>
  <c r="DJ71" i="17"/>
  <c r="DK71" i="17"/>
  <c r="DL71" i="17"/>
  <c r="DM71" i="17"/>
  <c r="DN71" i="17"/>
  <c r="DO71" i="17"/>
  <c r="DP71" i="17"/>
  <c r="DQ71" i="17"/>
  <c r="DR71" i="17"/>
  <c r="DS71" i="17"/>
  <c r="DT71" i="17"/>
  <c r="DU71" i="17"/>
  <c r="DV71" i="17"/>
  <c r="DW71" i="17"/>
  <c r="DX71" i="17"/>
  <c r="DY71" i="17"/>
  <c r="DZ71" i="17"/>
  <c r="EA71" i="17"/>
  <c r="EB71" i="17"/>
  <c r="EC71" i="17"/>
  <c r="ED71" i="17"/>
  <c r="EE71" i="17"/>
  <c r="EF71" i="17"/>
  <c r="EG71" i="17"/>
  <c r="EH71" i="17"/>
  <c r="EI71" i="17"/>
  <c r="EJ71" i="17"/>
  <c r="EK71" i="17"/>
  <c r="EL71" i="17"/>
  <c r="EM71" i="17"/>
  <c r="EN71" i="17"/>
  <c r="EO71" i="17"/>
  <c r="EP71" i="17"/>
  <c r="EQ71" i="17"/>
  <c r="ER71" i="17"/>
  <c r="ES71" i="17"/>
  <c r="ET71" i="17"/>
  <c r="EU71" i="17"/>
  <c r="EV71" i="17"/>
  <c r="EW71" i="17"/>
  <c r="EX71" i="17"/>
  <c r="EY71" i="17"/>
  <c r="EZ71" i="17"/>
  <c r="FA71" i="17"/>
  <c r="FB71" i="17"/>
  <c r="FC71" i="17"/>
  <c r="FD71" i="17"/>
  <c r="FE71" i="17"/>
  <c r="FF71" i="17"/>
  <c r="FG71" i="17"/>
  <c r="FH71" i="17"/>
  <c r="FI71" i="17"/>
  <c r="FJ71" i="17"/>
  <c r="FK71" i="17"/>
  <c r="FL71" i="17"/>
  <c r="FM71" i="17"/>
  <c r="FN71" i="17"/>
  <c r="FO71" i="17"/>
  <c r="FP71" i="17"/>
  <c r="FQ71" i="17"/>
  <c r="FR71" i="17"/>
  <c r="FS71" i="17"/>
  <c r="FT71" i="17"/>
  <c r="FU71" i="17"/>
  <c r="FV71" i="17"/>
  <c r="FW71" i="17"/>
  <c r="FX71" i="17"/>
  <c r="FY71" i="17"/>
  <c r="FZ71" i="17"/>
  <c r="GA71" i="17"/>
  <c r="GB71" i="17"/>
  <c r="GC71" i="17"/>
  <c r="GD71" i="17"/>
  <c r="GE71" i="17"/>
  <c r="GF71" i="17"/>
  <c r="GG71" i="17"/>
  <c r="GH71" i="17"/>
  <c r="GI71" i="17"/>
  <c r="GJ71" i="17"/>
  <c r="GK71" i="17"/>
  <c r="GL71" i="17"/>
  <c r="GM71" i="17"/>
  <c r="GN71" i="17"/>
  <c r="GO71" i="17"/>
  <c r="GP71" i="17"/>
  <c r="GQ71" i="17"/>
  <c r="GR71" i="17"/>
  <c r="GS71" i="17"/>
  <c r="GT71" i="17"/>
  <c r="GU71" i="17"/>
  <c r="GV71" i="17"/>
  <c r="GW71" i="17"/>
  <c r="GX71" i="17"/>
  <c r="GY71" i="17"/>
  <c r="GZ71" i="17"/>
  <c r="HA71" i="17"/>
  <c r="HB71" i="17"/>
  <c r="HC71" i="17"/>
  <c r="HD71" i="17"/>
  <c r="HE71" i="17"/>
  <c r="HF71" i="17"/>
  <c r="HG71" i="17"/>
  <c r="HH71" i="17"/>
  <c r="HI71" i="17"/>
  <c r="HJ71" i="17"/>
  <c r="HK71" i="17"/>
  <c r="HL71" i="17"/>
  <c r="HM71" i="17"/>
  <c r="HN71" i="17"/>
  <c r="HO71" i="17"/>
  <c r="HP71" i="17"/>
  <c r="HQ71" i="17"/>
  <c r="HR71" i="17"/>
  <c r="HS71" i="17"/>
  <c r="HT71" i="17"/>
  <c r="HU71" i="17"/>
  <c r="HV71" i="17"/>
  <c r="HW71" i="17"/>
  <c r="HX71" i="17"/>
  <c r="HY71" i="17"/>
  <c r="HZ71" i="17"/>
  <c r="IA71" i="17"/>
  <c r="IB71" i="17"/>
  <c r="IC71" i="17"/>
  <c r="ID71" i="17"/>
  <c r="IE71" i="17"/>
  <c r="IF71" i="17"/>
  <c r="IG71" i="17"/>
  <c r="IH71" i="17"/>
  <c r="II71" i="17"/>
  <c r="IJ71" i="17"/>
  <c r="IK71" i="17"/>
  <c r="IL71" i="17"/>
  <c r="IM71" i="17"/>
  <c r="IN71" i="17"/>
  <c r="IO71" i="17"/>
  <c r="IP71" i="17"/>
  <c r="IQ71" i="17"/>
  <c r="IR71" i="17"/>
  <c r="IS71" i="17"/>
  <c r="IT71" i="17"/>
  <c r="IU71" i="17"/>
  <c r="IV71" i="17"/>
  <c r="A70" i="17"/>
  <c r="B70" i="17"/>
  <c r="C70" i="17"/>
  <c r="D70" i="17"/>
  <c r="E70" i="17"/>
  <c r="F70" i="17"/>
  <c r="G70" i="17"/>
  <c r="H70" i="17"/>
  <c r="I70" i="17"/>
  <c r="J70" i="17"/>
  <c r="K70" i="17"/>
  <c r="L70" i="17"/>
  <c r="M70" i="17"/>
  <c r="N70" i="17"/>
  <c r="O70" i="17"/>
  <c r="P70" i="17"/>
  <c r="Q70" i="17"/>
  <c r="R70" i="17"/>
  <c r="S70" i="17"/>
  <c r="T70" i="17"/>
  <c r="U70" i="17"/>
  <c r="V70" i="17"/>
  <c r="W70" i="17"/>
  <c r="X70" i="17"/>
  <c r="Y70" i="17"/>
  <c r="Z70" i="17"/>
  <c r="AA70" i="17"/>
  <c r="AB70" i="17"/>
  <c r="AC70" i="17"/>
  <c r="AD70" i="17"/>
  <c r="AE70" i="17"/>
  <c r="AF70" i="17"/>
  <c r="AG70" i="17"/>
  <c r="AH70" i="17"/>
  <c r="AI70" i="17"/>
  <c r="AJ70" i="17"/>
  <c r="AK70" i="17"/>
  <c r="AL70" i="17"/>
  <c r="AM70" i="17"/>
  <c r="AN70" i="17"/>
  <c r="AO70" i="17"/>
  <c r="AP70" i="17"/>
  <c r="AQ70" i="17"/>
  <c r="AR70" i="17"/>
  <c r="AS70" i="17"/>
  <c r="AT70" i="17"/>
  <c r="AU70" i="17"/>
  <c r="AV70" i="17"/>
  <c r="AW70" i="17"/>
  <c r="AX70" i="17"/>
  <c r="AY70" i="17"/>
  <c r="AZ70" i="17"/>
  <c r="BA70" i="17"/>
  <c r="BB70" i="17"/>
  <c r="BC70" i="17"/>
  <c r="BD70" i="17"/>
  <c r="BE70" i="17"/>
  <c r="BF70" i="17"/>
  <c r="BG70" i="17"/>
  <c r="BH70" i="17"/>
  <c r="BI70" i="17"/>
  <c r="BJ70" i="17"/>
  <c r="BK70" i="17"/>
  <c r="BL70" i="17"/>
  <c r="BM70" i="17"/>
  <c r="BN70" i="17"/>
  <c r="BO70" i="17"/>
  <c r="BP70" i="17"/>
  <c r="BQ70" i="17"/>
  <c r="BR70" i="17"/>
  <c r="BS70" i="17"/>
  <c r="BT70" i="17"/>
  <c r="BU70" i="17"/>
  <c r="BV70" i="17"/>
  <c r="BW70" i="17"/>
  <c r="BX70" i="17"/>
  <c r="BY70" i="17"/>
  <c r="BZ70" i="17"/>
  <c r="CA70" i="17"/>
  <c r="CB70" i="17"/>
  <c r="CC70" i="17"/>
  <c r="CD70" i="17"/>
  <c r="CE70" i="17"/>
  <c r="CF70" i="17"/>
  <c r="CG70" i="17"/>
  <c r="CH70" i="17"/>
  <c r="CI70" i="17"/>
  <c r="CJ70" i="17"/>
  <c r="CK70" i="17"/>
  <c r="CL70" i="17"/>
  <c r="CM70" i="17"/>
  <c r="CN70" i="17"/>
  <c r="CO70" i="17"/>
  <c r="CP70" i="17"/>
  <c r="CQ70" i="17"/>
  <c r="CR70" i="17"/>
  <c r="CS70" i="17"/>
  <c r="CT70" i="17"/>
  <c r="CU70" i="17"/>
  <c r="CV70" i="17"/>
  <c r="CW70" i="17"/>
  <c r="CX70" i="17"/>
  <c r="CY70" i="17"/>
  <c r="CZ70" i="17"/>
  <c r="DA70" i="17"/>
  <c r="DB70" i="17"/>
  <c r="DC70" i="17"/>
  <c r="DD70" i="17"/>
  <c r="DE70" i="17"/>
  <c r="DF70" i="17"/>
  <c r="DG70" i="17"/>
  <c r="DH70" i="17"/>
  <c r="DI70" i="17"/>
  <c r="DJ70" i="17"/>
  <c r="DK70" i="17"/>
  <c r="DL70" i="17"/>
  <c r="DM70" i="17"/>
  <c r="DN70" i="17"/>
  <c r="DO70" i="17"/>
  <c r="DP70" i="17"/>
  <c r="DQ70" i="17"/>
  <c r="DR70" i="17"/>
  <c r="DS70" i="17"/>
  <c r="DT70" i="17"/>
  <c r="DU70" i="17"/>
  <c r="DV70" i="17"/>
  <c r="DW70" i="17"/>
  <c r="DX70" i="17"/>
  <c r="DY70" i="17"/>
  <c r="DZ70" i="17"/>
  <c r="EA70" i="17"/>
  <c r="EB70" i="17"/>
  <c r="EC70" i="17"/>
  <c r="ED70" i="17"/>
  <c r="EE70" i="17"/>
  <c r="EF70" i="17"/>
  <c r="EG70" i="17"/>
  <c r="EH70" i="17"/>
  <c r="EI70" i="17"/>
  <c r="EJ70" i="17"/>
  <c r="EK70" i="17"/>
  <c r="EL70" i="17"/>
  <c r="EM70" i="17"/>
  <c r="EN70" i="17"/>
  <c r="EO70" i="17"/>
  <c r="EP70" i="17"/>
  <c r="EQ70" i="17"/>
  <c r="ER70" i="17"/>
  <c r="ES70" i="17"/>
  <c r="ET70" i="17"/>
  <c r="EU70" i="17"/>
  <c r="EV70" i="17"/>
  <c r="EW70" i="17"/>
  <c r="EX70" i="17"/>
  <c r="EY70" i="17"/>
  <c r="EZ70" i="17"/>
  <c r="FA70" i="17"/>
  <c r="FB70" i="17"/>
  <c r="FC70" i="17"/>
  <c r="FD70" i="17"/>
  <c r="FE70" i="17"/>
  <c r="FF70" i="17"/>
  <c r="FG70" i="17"/>
  <c r="FH70" i="17"/>
  <c r="FI70" i="17"/>
  <c r="FJ70" i="17"/>
  <c r="FK70" i="17"/>
  <c r="FL70" i="17"/>
  <c r="FM70" i="17"/>
  <c r="FN70" i="17"/>
  <c r="FO70" i="17"/>
  <c r="FP70" i="17"/>
  <c r="FQ70" i="17"/>
  <c r="FR70" i="17"/>
  <c r="FS70" i="17"/>
  <c r="FT70" i="17"/>
  <c r="FU70" i="17"/>
  <c r="FV70" i="17"/>
  <c r="FW70" i="17"/>
  <c r="FX70" i="17"/>
  <c r="FY70" i="17"/>
  <c r="FZ70" i="17"/>
  <c r="GA70" i="17"/>
  <c r="GB70" i="17"/>
  <c r="GC70" i="17"/>
  <c r="GD70" i="17"/>
  <c r="GE70" i="17"/>
  <c r="GF70" i="17"/>
  <c r="GG70" i="17"/>
  <c r="GH70" i="17"/>
  <c r="GI70" i="17"/>
  <c r="GJ70" i="17"/>
  <c r="GK70" i="17"/>
  <c r="GL70" i="17"/>
  <c r="GM70" i="17"/>
  <c r="GN70" i="17"/>
  <c r="GO70" i="17"/>
  <c r="GP70" i="17"/>
  <c r="GQ70" i="17"/>
  <c r="GR70" i="17"/>
  <c r="GS70" i="17"/>
  <c r="GT70" i="17"/>
  <c r="GU70" i="17"/>
  <c r="GV70" i="17"/>
  <c r="GW70" i="17"/>
  <c r="GX70" i="17"/>
  <c r="GY70" i="17"/>
  <c r="GZ70" i="17"/>
  <c r="HA70" i="17"/>
  <c r="HB70" i="17"/>
  <c r="HC70" i="17"/>
  <c r="HD70" i="17"/>
  <c r="HE70" i="17"/>
  <c r="HF70" i="17"/>
  <c r="HG70" i="17"/>
  <c r="HH70" i="17"/>
  <c r="HI70" i="17"/>
  <c r="HJ70" i="17"/>
  <c r="HK70" i="17"/>
  <c r="HL70" i="17"/>
  <c r="HM70" i="17"/>
  <c r="HN70" i="17"/>
  <c r="HO70" i="17"/>
  <c r="HP70" i="17"/>
  <c r="HQ70" i="17"/>
  <c r="HR70" i="17"/>
  <c r="HS70" i="17"/>
  <c r="HT70" i="17"/>
  <c r="HU70" i="17"/>
  <c r="HV70" i="17"/>
  <c r="HW70" i="17"/>
  <c r="HX70" i="17"/>
  <c r="HY70" i="17"/>
  <c r="HZ70" i="17"/>
  <c r="IA70" i="17"/>
  <c r="IB70" i="17"/>
  <c r="IC70" i="17"/>
  <c r="ID70" i="17"/>
  <c r="IE70" i="17"/>
  <c r="IF70" i="17"/>
  <c r="IG70" i="17"/>
  <c r="IH70" i="17"/>
  <c r="II70" i="17"/>
  <c r="IJ70" i="17"/>
  <c r="IK70" i="17"/>
  <c r="IL70" i="17"/>
  <c r="IM70" i="17"/>
  <c r="IN70" i="17"/>
  <c r="IO70" i="17"/>
  <c r="IP70" i="17"/>
  <c r="IQ70" i="17"/>
  <c r="IR70" i="17"/>
  <c r="IS70" i="17"/>
  <c r="IT70" i="17"/>
  <c r="IU70" i="17"/>
  <c r="IV70" i="17"/>
  <c r="A69" i="17"/>
  <c r="B69" i="17"/>
  <c r="C69" i="17"/>
  <c r="D69" i="17"/>
  <c r="E69" i="17"/>
  <c r="F69" i="17"/>
  <c r="G69" i="17"/>
  <c r="H69" i="17"/>
  <c r="I69" i="17"/>
  <c r="J69" i="17"/>
  <c r="K69" i="17"/>
  <c r="L69" i="17"/>
  <c r="M69" i="17"/>
  <c r="N69" i="17"/>
  <c r="O69" i="17"/>
  <c r="P69" i="17"/>
  <c r="Q69" i="17"/>
  <c r="R69" i="17"/>
  <c r="S69" i="17"/>
  <c r="T69" i="17"/>
  <c r="U69" i="17"/>
  <c r="W69" i="17"/>
  <c r="X69" i="17"/>
  <c r="Y69" i="17"/>
  <c r="Z69" i="17"/>
  <c r="AA69" i="17"/>
  <c r="AB69" i="17"/>
  <c r="AC69" i="17"/>
  <c r="AD69" i="17"/>
  <c r="AE69" i="17"/>
  <c r="AF69" i="17"/>
  <c r="AG69" i="17"/>
  <c r="AH69" i="17"/>
  <c r="AI69" i="17"/>
  <c r="AJ69" i="17"/>
  <c r="AK69" i="17"/>
  <c r="AL69" i="17"/>
  <c r="AM69" i="17"/>
  <c r="AN69" i="17"/>
  <c r="AO69" i="17"/>
  <c r="AP69" i="17"/>
  <c r="AQ69" i="17"/>
  <c r="AR69" i="17"/>
  <c r="AS69" i="17"/>
  <c r="AT69" i="17"/>
  <c r="AU69" i="17"/>
  <c r="AV69" i="17"/>
  <c r="AW69" i="17"/>
  <c r="AX69" i="17"/>
  <c r="AY69" i="17"/>
  <c r="AZ69" i="17"/>
  <c r="BA69" i="17"/>
  <c r="BB69" i="17"/>
  <c r="BC69" i="17"/>
  <c r="BD69" i="17"/>
  <c r="BE69" i="17"/>
  <c r="BF69" i="17"/>
  <c r="BG69" i="17"/>
  <c r="BH69" i="17"/>
  <c r="BI69" i="17"/>
  <c r="BJ69" i="17"/>
  <c r="BK69" i="17"/>
  <c r="BL69" i="17"/>
  <c r="BM69" i="17"/>
  <c r="BN69" i="17"/>
  <c r="BO69" i="17"/>
  <c r="BP69" i="17"/>
  <c r="BQ69" i="17"/>
  <c r="BR69" i="17"/>
  <c r="BS69" i="17"/>
  <c r="BT69" i="17"/>
  <c r="BU69" i="17"/>
  <c r="BV69" i="17"/>
  <c r="BW69" i="17"/>
  <c r="BX69" i="17"/>
  <c r="BY69" i="17"/>
  <c r="BZ69" i="17"/>
  <c r="CA69" i="17"/>
  <c r="CB69" i="17"/>
  <c r="CC69" i="17"/>
  <c r="CD69" i="17"/>
  <c r="CE69" i="17"/>
  <c r="CF69" i="17"/>
  <c r="CG69" i="17"/>
  <c r="CH69" i="17"/>
  <c r="CI69" i="17"/>
  <c r="CJ69" i="17"/>
  <c r="CK69" i="17"/>
  <c r="CL69" i="17"/>
  <c r="CM69" i="17"/>
  <c r="CN69" i="17"/>
  <c r="CO69" i="17"/>
  <c r="CP69" i="17"/>
  <c r="CQ69" i="17"/>
  <c r="CR69" i="17"/>
  <c r="CS69" i="17"/>
  <c r="CT69" i="17"/>
  <c r="CU69" i="17"/>
  <c r="CV69" i="17"/>
  <c r="CW69" i="17"/>
  <c r="CX69" i="17"/>
  <c r="CY69" i="17"/>
  <c r="CZ69" i="17"/>
  <c r="DA69" i="17"/>
  <c r="DB69" i="17"/>
  <c r="DC69" i="17"/>
  <c r="DD69" i="17"/>
  <c r="DE69" i="17"/>
  <c r="DF69" i="17"/>
  <c r="DG69" i="17"/>
  <c r="DH69" i="17"/>
  <c r="DI69" i="17"/>
  <c r="DJ69" i="17"/>
  <c r="DK69" i="17"/>
  <c r="DL69" i="17"/>
  <c r="DM69" i="17"/>
  <c r="DN69" i="17"/>
  <c r="DO69" i="17"/>
  <c r="DP69" i="17"/>
  <c r="DQ69" i="17"/>
  <c r="DR69" i="17"/>
  <c r="DS69" i="17"/>
  <c r="DT69" i="17"/>
  <c r="DU69" i="17"/>
  <c r="DV69" i="17"/>
  <c r="DW69" i="17"/>
  <c r="DX69" i="17"/>
  <c r="DY69" i="17"/>
  <c r="DZ69" i="17"/>
  <c r="EA69" i="17"/>
  <c r="EB69" i="17"/>
  <c r="EC69" i="17"/>
  <c r="ED69" i="17"/>
  <c r="EE69" i="17"/>
  <c r="EF69" i="17"/>
  <c r="EG69" i="17"/>
  <c r="EH69" i="17"/>
  <c r="EI69" i="17"/>
  <c r="EJ69" i="17"/>
  <c r="EK69" i="17"/>
  <c r="EL69" i="17"/>
  <c r="EM69" i="17"/>
  <c r="EN69" i="17"/>
  <c r="EO69" i="17"/>
  <c r="EP69" i="17"/>
  <c r="EQ69" i="17"/>
  <c r="ER69" i="17"/>
  <c r="ES69" i="17"/>
  <c r="ET69" i="17"/>
  <c r="EU69" i="17"/>
  <c r="EV69" i="17"/>
  <c r="EW69" i="17"/>
  <c r="EX69" i="17"/>
  <c r="EY69" i="17"/>
  <c r="EZ69" i="17"/>
  <c r="FA69" i="17"/>
  <c r="FB69" i="17"/>
  <c r="FC69" i="17"/>
  <c r="FD69" i="17"/>
  <c r="FE69" i="17"/>
  <c r="FF69" i="17"/>
  <c r="FG69" i="17"/>
  <c r="FH69" i="17"/>
  <c r="FI69" i="17"/>
  <c r="FJ69" i="17"/>
  <c r="FK69" i="17"/>
  <c r="FL69" i="17"/>
  <c r="FM69" i="17"/>
  <c r="FN69" i="17"/>
  <c r="FO69" i="17"/>
  <c r="FP69" i="17"/>
  <c r="FQ69" i="17"/>
  <c r="FR69" i="17"/>
  <c r="FS69" i="17"/>
  <c r="FT69" i="17"/>
  <c r="FU69" i="17"/>
  <c r="FV69" i="17"/>
  <c r="FW69" i="17"/>
  <c r="FX69" i="17"/>
  <c r="FY69" i="17"/>
  <c r="FZ69" i="17"/>
  <c r="GA69" i="17"/>
  <c r="GB69" i="17"/>
  <c r="GC69" i="17"/>
  <c r="GD69" i="17"/>
  <c r="GE69" i="17"/>
  <c r="GF69" i="17"/>
  <c r="GG69" i="17"/>
  <c r="GH69" i="17"/>
  <c r="GI69" i="17"/>
  <c r="GJ69" i="17"/>
  <c r="GK69" i="17"/>
  <c r="GL69" i="17"/>
  <c r="GM69" i="17"/>
  <c r="GN69" i="17"/>
  <c r="GO69" i="17"/>
  <c r="GP69" i="17"/>
  <c r="GQ69" i="17"/>
  <c r="GR69" i="17"/>
  <c r="GS69" i="17"/>
  <c r="GT69" i="17"/>
  <c r="GU69" i="17"/>
  <c r="GV69" i="17"/>
  <c r="GW69" i="17"/>
  <c r="GX69" i="17"/>
  <c r="GY69" i="17"/>
  <c r="GZ69" i="17"/>
  <c r="HA69" i="17"/>
  <c r="HB69" i="17"/>
  <c r="HC69" i="17"/>
  <c r="HD69" i="17"/>
  <c r="HE69" i="17"/>
  <c r="HF69" i="17"/>
  <c r="HG69" i="17"/>
  <c r="HH69" i="17"/>
  <c r="HI69" i="17"/>
  <c r="HJ69" i="17"/>
  <c r="HK69" i="17"/>
  <c r="HL69" i="17"/>
  <c r="HM69" i="17"/>
  <c r="HN69" i="17"/>
  <c r="HO69" i="17"/>
  <c r="HP69" i="17"/>
  <c r="HQ69" i="17"/>
  <c r="HR69" i="17"/>
  <c r="HS69" i="17"/>
  <c r="HT69" i="17"/>
  <c r="HU69" i="17"/>
  <c r="HV69" i="17"/>
  <c r="HW69" i="17"/>
  <c r="HX69" i="17"/>
  <c r="HY69" i="17"/>
  <c r="HZ69" i="17"/>
  <c r="IA69" i="17"/>
  <c r="IB69" i="17"/>
  <c r="IC69" i="17"/>
  <c r="ID69" i="17"/>
  <c r="IE69" i="17"/>
  <c r="IF69" i="17"/>
  <c r="IG69" i="17"/>
  <c r="IH69" i="17"/>
  <c r="II69" i="17"/>
  <c r="IJ69" i="17"/>
  <c r="IK69" i="17"/>
  <c r="IL69" i="17"/>
  <c r="IM69" i="17"/>
  <c r="IN69" i="17"/>
  <c r="IO69" i="17"/>
  <c r="IP69" i="17"/>
  <c r="IQ69" i="17"/>
  <c r="IR69" i="17"/>
  <c r="IS69" i="17"/>
  <c r="IT69" i="17"/>
  <c r="IU69" i="17"/>
  <c r="IV69" i="17"/>
  <c r="A68" i="17"/>
  <c r="B68" i="17"/>
  <c r="C68" i="17"/>
  <c r="D68" i="17"/>
  <c r="E68" i="17"/>
  <c r="F68" i="17"/>
  <c r="G68" i="17"/>
  <c r="H68" i="17"/>
  <c r="I68" i="17"/>
  <c r="J68" i="17"/>
  <c r="K68" i="17"/>
  <c r="L68" i="17"/>
  <c r="M68" i="17"/>
  <c r="N68" i="17"/>
  <c r="O68" i="17"/>
  <c r="P68" i="17"/>
  <c r="Q68" i="17"/>
  <c r="R68" i="17"/>
  <c r="S68" i="17"/>
  <c r="T68" i="17"/>
  <c r="U68" i="17"/>
  <c r="V68" i="17"/>
  <c r="W68" i="17"/>
  <c r="X68" i="17"/>
  <c r="Y68" i="17"/>
  <c r="Z68" i="17"/>
  <c r="AA68" i="17"/>
  <c r="AB68" i="17"/>
  <c r="AC68" i="17"/>
  <c r="AD68" i="17"/>
  <c r="AE68" i="17"/>
  <c r="AF68" i="17"/>
  <c r="AG68" i="17"/>
  <c r="AH68" i="17"/>
  <c r="AI68" i="17"/>
  <c r="AJ68" i="17"/>
  <c r="AK68" i="17"/>
  <c r="AL68" i="17"/>
  <c r="AM68" i="17"/>
  <c r="AN68" i="17"/>
  <c r="AO68" i="17"/>
  <c r="AP68" i="17"/>
  <c r="AQ68" i="17"/>
  <c r="AR68" i="17"/>
  <c r="AS68" i="17"/>
  <c r="AT68" i="17"/>
  <c r="AU68" i="17"/>
  <c r="AV68" i="17"/>
  <c r="AW68" i="17"/>
  <c r="AX68" i="17"/>
  <c r="AY68" i="17"/>
  <c r="AZ68" i="17"/>
  <c r="BA68" i="17"/>
  <c r="BB68" i="17"/>
  <c r="BC68" i="17"/>
  <c r="BD68" i="17"/>
  <c r="BE68" i="17"/>
  <c r="BF68" i="17"/>
  <c r="BG68" i="17"/>
  <c r="BH68" i="17"/>
  <c r="BI68" i="17"/>
  <c r="BJ68" i="17"/>
  <c r="BK68" i="17"/>
  <c r="BL68" i="17"/>
  <c r="BM68" i="17"/>
  <c r="BN68" i="17"/>
  <c r="BO68" i="17"/>
  <c r="BP68" i="17"/>
  <c r="BQ68" i="17"/>
  <c r="BR68" i="17"/>
  <c r="BS68" i="17"/>
  <c r="BT68" i="17"/>
  <c r="BU68" i="17"/>
  <c r="BV68" i="17"/>
  <c r="BW68" i="17"/>
  <c r="BX68" i="17"/>
  <c r="BY68" i="17"/>
  <c r="BZ68" i="17"/>
  <c r="CA68" i="17"/>
  <c r="CB68" i="17"/>
  <c r="CC68" i="17"/>
  <c r="CD68" i="17"/>
  <c r="CE68" i="17"/>
  <c r="CF68" i="17"/>
  <c r="CG68" i="17"/>
  <c r="CH68" i="17"/>
  <c r="CI68" i="17"/>
  <c r="CJ68" i="17"/>
  <c r="CK68" i="17"/>
  <c r="CL68" i="17"/>
  <c r="CM68" i="17"/>
  <c r="CN68" i="17"/>
  <c r="CO68" i="17"/>
  <c r="CP68" i="17"/>
  <c r="CQ68" i="17"/>
  <c r="CR68" i="17"/>
  <c r="CS68" i="17"/>
  <c r="CT68" i="17"/>
  <c r="CU68" i="17"/>
  <c r="CV68" i="17"/>
  <c r="CW68" i="17"/>
  <c r="CX68" i="17"/>
  <c r="CY68" i="17"/>
  <c r="CZ68" i="17"/>
  <c r="DA68" i="17"/>
  <c r="DB68" i="17"/>
  <c r="DC68" i="17"/>
  <c r="DD68" i="17"/>
  <c r="DE68" i="17"/>
  <c r="DF68" i="17"/>
  <c r="DG68" i="17"/>
  <c r="DH68" i="17"/>
  <c r="DI68" i="17"/>
  <c r="DJ68" i="17"/>
  <c r="DK68" i="17"/>
  <c r="DL68" i="17"/>
  <c r="DM68" i="17"/>
  <c r="DN68" i="17"/>
  <c r="DO68" i="17"/>
  <c r="DP68" i="17"/>
  <c r="DQ68" i="17"/>
  <c r="DR68" i="17"/>
  <c r="DS68" i="17"/>
  <c r="DT68" i="17"/>
  <c r="DU68" i="17"/>
  <c r="DV68" i="17"/>
  <c r="DW68" i="17"/>
  <c r="DX68" i="17"/>
  <c r="DY68" i="17"/>
  <c r="DZ68" i="17"/>
  <c r="EA68" i="17"/>
  <c r="EB68" i="17"/>
  <c r="EC68" i="17"/>
  <c r="ED68" i="17"/>
  <c r="EE68" i="17"/>
  <c r="EF68" i="17"/>
  <c r="EG68" i="17"/>
  <c r="EH68" i="17"/>
  <c r="EI68" i="17"/>
  <c r="EJ68" i="17"/>
  <c r="EK68" i="17"/>
  <c r="EL68" i="17"/>
  <c r="EM68" i="17"/>
  <c r="EN68" i="17"/>
  <c r="EO68" i="17"/>
  <c r="EP68" i="17"/>
  <c r="EQ68" i="17"/>
  <c r="ER68" i="17"/>
  <c r="ES68" i="17"/>
  <c r="ET68" i="17"/>
  <c r="EU68" i="17"/>
  <c r="EV68" i="17"/>
  <c r="EW68" i="17"/>
  <c r="EX68" i="17"/>
  <c r="EY68" i="17"/>
  <c r="EZ68" i="17"/>
  <c r="FA68" i="17"/>
  <c r="FB68" i="17"/>
  <c r="FC68" i="17"/>
  <c r="FD68" i="17"/>
  <c r="FE68" i="17"/>
  <c r="FF68" i="17"/>
  <c r="FG68" i="17"/>
  <c r="FH68" i="17"/>
  <c r="FI68" i="17"/>
  <c r="FJ68" i="17"/>
  <c r="FK68" i="17"/>
  <c r="FL68" i="17"/>
  <c r="FM68" i="17"/>
  <c r="FN68" i="17"/>
  <c r="FO68" i="17"/>
  <c r="FP68" i="17"/>
  <c r="FQ68" i="17"/>
  <c r="FR68" i="17"/>
  <c r="FS68" i="17"/>
  <c r="FT68" i="17"/>
  <c r="FU68" i="17"/>
  <c r="FV68" i="17"/>
  <c r="FW68" i="17"/>
  <c r="FX68" i="17"/>
  <c r="FY68" i="17"/>
  <c r="FZ68" i="17"/>
  <c r="GA68" i="17"/>
  <c r="GB68" i="17"/>
  <c r="GC68" i="17"/>
  <c r="GD68" i="17"/>
  <c r="GE68" i="17"/>
  <c r="GF68" i="17"/>
  <c r="GG68" i="17"/>
  <c r="GH68" i="17"/>
  <c r="GI68" i="17"/>
  <c r="GJ68" i="17"/>
  <c r="GK68" i="17"/>
  <c r="GL68" i="17"/>
  <c r="GM68" i="17"/>
  <c r="GN68" i="17"/>
  <c r="GO68" i="17"/>
  <c r="GP68" i="17"/>
  <c r="GQ68" i="17"/>
  <c r="GR68" i="17"/>
  <c r="GS68" i="17"/>
  <c r="GT68" i="17"/>
  <c r="GU68" i="17"/>
  <c r="GV68" i="17"/>
  <c r="GW68" i="17"/>
  <c r="GX68" i="17"/>
  <c r="GY68" i="17"/>
  <c r="GZ68" i="17"/>
  <c r="HA68" i="17"/>
  <c r="HB68" i="17"/>
  <c r="HC68" i="17"/>
  <c r="HD68" i="17"/>
  <c r="HE68" i="17"/>
  <c r="HF68" i="17"/>
  <c r="HG68" i="17"/>
  <c r="HH68" i="17"/>
  <c r="HI68" i="17"/>
  <c r="HJ68" i="17"/>
  <c r="HK68" i="17"/>
  <c r="HL68" i="17"/>
  <c r="HM68" i="17"/>
  <c r="HN68" i="17"/>
  <c r="HO68" i="17"/>
  <c r="HP68" i="17"/>
  <c r="HQ68" i="17"/>
  <c r="HR68" i="17"/>
  <c r="HS68" i="17"/>
  <c r="HT68" i="17"/>
  <c r="HU68" i="17"/>
  <c r="HV68" i="17"/>
  <c r="HW68" i="17"/>
  <c r="HX68" i="17"/>
  <c r="HY68" i="17"/>
  <c r="HZ68" i="17"/>
  <c r="IA68" i="17"/>
  <c r="IB68" i="17"/>
  <c r="IC68" i="17"/>
  <c r="ID68" i="17"/>
  <c r="IE68" i="17"/>
  <c r="IF68" i="17"/>
  <c r="IG68" i="17"/>
  <c r="IH68" i="17"/>
  <c r="II68" i="17"/>
  <c r="IJ68" i="17"/>
  <c r="IK68" i="17"/>
  <c r="IL68" i="17"/>
  <c r="IM68" i="17"/>
  <c r="IN68" i="17"/>
  <c r="IO68" i="17"/>
  <c r="IP68" i="17"/>
  <c r="IQ68" i="17"/>
  <c r="IR68" i="17"/>
  <c r="IS68" i="17"/>
  <c r="IT68" i="17"/>
  <c r="IU68" i="17"/>
  <c r="IV68" i="17"/>
  <c r="A67" i="17"/>
  <c r="B67" i="17"/>
  <c r="C67" i="17"/>
  <c r="D67" i="17"/>
  <c r="E67" i="17"/>
  <c r="F67" i="17"/>
  <c r="G67" i="17"/>
  <c r="H67" i="17"/>
  <c r="I67" i="17"/>
  <c r="J67" i="17"/>
  <c r="K67" i="17"/>
  <c r="L67" i="17"/>
  <c r="M67" i="17"/>
  <c r="N67" i="17"/>
  <c r="O67" i="17"/>
  <c r="P67" i="17"/>
  <c r="Q67" i="17"/>
  <c r="R67" i="17"/>
  <c r="S67" i="17"/>
  <c r="T67" i="17"/>
  <c r="V67" i="17"/>
  <c r="W67" i="17"/>
  <c r="X67" i="17"/>
  <c r="Y67" i="17"/>
  <c r="Z67" i="17"/>
  <c r="AA67" i="17"/>
  <c r="AB67" i="17"/>
  <c r="AC67" i="17"/>
  <c r="AD67" i="17"/>
  <c r="AE67" i="17"/>
  <c r="AF67" i="17"/>
  <c r="AG67" i="17"/>
  <c r="AH67" i="17"/>
  <c r="AI67" i="17"/>
  <c r="AJ67" i="17"/>
  <c r="AK67" i="17"/>
  <c r="AL67" i="17"/>
  <c r="AM67" i="17"/>
  <c r="AN67" i="17"/>
  <c r="AO67" i="17"/>
  <c r="AP67" i="17"/>
  <c r="AQ67" i="17"/>
  <c r="AR67" i="17"/>
  <c r="AS67" i="17"/>
  <c r="AT67" i="17"/>
  <c r="AU67" i="17"/>
  <c r="AV67" i="17"/>
  <c r="AW67" i="17"/>
  <c r="AX67" i="17"/>
  <c r="AY67" i="17"/>
  <c r="AZ67" i="17"/>
  <c r="BA67" i="17"/>
  <c r="BB67" i="17"/>
  <c r="BC67" i="17"/>
  <c r="BD67" i="17"/>
  <c r="BE67" i="17"/>
  <c r="BF67" i="17"/>
  <c r="BG67" i="17"/>
  <c r="BH67" i="17"/>
  <c r="BI67" i="17"/>
  <c r="BJ67" i="17"/>
  <c r="BK67" i="17"/>
  <c r="BL67" i="17"/>
  <c r="BM67" i="17"/>
  <c r="BN67" i="17"/>
  <c r="BO67" i="17"/>
  <c r="BP67" i="17"/>
  <c r="BQ67" i="17"/>
  <c r="BR67" i="17"/>
  <c r="BS67" i="17"/>
  <c r="BT67" i="17"/>
  <c r="BU67" i="17"/>
  <c r="BV67" i="17"/>
  <c r="BW67" i="17"/>
  <c r="BX67" i="17"/>
  <c r="BY67" i="17"/>
  <c r="BZ67" i="17"/>
  <c r="CA67" i="17"/>
  <c r="CB67" i="17"/>
  <c r="CC67" i="17"/>
  <c r="CD67" i="17"/>
  <c r="CE67" i="17"/>
  <c r="CF67" i="17"/>
  <c r="CG67" i="17"/>
  <c r="CH67" i="17"/>
  <c r="CI67" i="17"/>
  <c r="CJ67" i="17"/>
  <c r="CK67" i="17"/>
  <c r="CL67" i="17"/>
  <c r="CM67" i="17"/>
  <c r="CN67" i="17"/>
  <c r="CO67" i="17"/>
  <c r="CP67" i="17"/>
  <c r="CQ67" i="17"/>
  <c r="CR67" i="17"/>
  <c r="CS67" i="17"/>
  <c r="CT67" i="17"/>
  <c r="CU67" i="17"/>
  <c r="CV67" i="17"/>
  <c r="CW67" i="17"/>
  <c r="CX67" i="17"/>
  <c r="CY67" i="17"/>
  <c r="CZ67" i="17"/>
  <c r="DA67" i="17"/>
  <c r="DB67" i="17"/>
  <c r="DC67" i="17"/>
  <c r="DD67" i="17"/>
  <c r="DE67" i="17"/>
  <c r="DF67" i="17"/>
  <c r="DG67" i="17"/>
  <c r="DH67" i="17"/>
  <c r="DI67" i="17"/>
  <c r="DJ67" i="17"/>
  <c r="DK67" i="17"/>
  <c r="DL67" i="17"/>
  <c r="DM67" i="17"/>
  <c r="DN67" i="17"/>
  <c r="DO67" i="17"/>
  <c r="DP67" i="17"/>
  <c r="DQ67" i="17"/>
  <c r="DR67" i="17"/>
  <c r="DS67" i="17"/>
  <c r="DT67" i="17"/>
  <c r="DU67" i="17"/>
  <c r="DV67" i="17"/>
  <c r="DW67" i="17"/>
  <c r="DX67" i="17"/>
  <c r="DY67" i="17"/>
  <c r="DZ67" i="17"/>
  <c r="EA67" i="17"/>
  <c r="EB67" i="17"/>
  <c r="EC67" i="17"/>
  <c r="ED67" i="17"/>
  <c r="EE67" i="17"/>
  <c r="EF67" i="17"/>
  <c r="EG67" i="17"/>
  <c r="EH67" i="17"/>
  <c r="EI67" i="17"/>
  <c r="EJ67" i="17"/>
  <c r="EK67" i="17"/>
  <c r="EL67" i="17"/>
  <c r="EM67" i="17"/>
  <c r="EN67" i="17"/>
  <c r="EO67" i="17"/>
  <c r="EP67" i="17"/>
  <c r="EQ67" i="17"/>
  <c r="ER67" i="17"/>
  <c r="ES67" i="17"/>
  <c r="ET67" i="17"/>
  <c r="EU67" i="17"/>
  <c r="EV67" i="17"/>
  <c r="EW67" i="17"/>
  <c r="EX67" i="17"/>
  <c r="EY67" i="17"/>
  <c r="EZ67" i="17"/>
  <c r="FA67" i="17"/>
  <c r="FB67" i="17"/>
  <c r="FC67" i="17"/>
  <c r="FD67" i="17"/>
  <c r="FE67" i="17"/>
  <c r="FF67" i="17"/>
  <c r="FG67" i="17"/>
  <c r="FH67" i="17"/>
  <c r="FI67" i="17"/>
  <c r="FJ67" i="17"/>
  <c r="FK67" i="17"/>
  <c r="FL67" i="17"/>
  <c r="FM67" i="17"/>
  <c r="FN67" i="17"/>
  <c r="FO67" i="17"/>
  <c r="FP67" i="17"/>
  <c r="FQ67" i="17"/>
  <c r="FR67" i="17"/>
  <c r="FS67" i="17"/>
  <c r="FT67" i="17"/>
  <c r="FU67" i="17"/>
  <c r="FV67" i="17"/>
  <c r="FW67" i="17"/>
  <c r="FX67" i="17"/>
  <c r="FY67" i="17"/>
  <c r="FZ67" i="17"/>
  <c r="GA67" i="17"/>
  <c r="GB67" i="17"/>
  <c r="GC67" i="17"/>
  <c r="GD67" i="17"/>
  <c r="GE67" i="17"/>
  <c r="GF67" i="17"/>
  <c r="GG67" i="17"/>
  <c r="GH67" i="17"/>
  <c r="GI67" i="17"/>
  <c r="GJ67" i="17"/>
  <c r="GK67" i="17"/>
  <c r="GL67" i="17"/>
  <c r="GM67" i="17"/>
  <c r="GN67" i="17"/>
  <c r="GO67" i="17"/>
  <c r="GP67" i="17"/>
  <c r="GQ67" i="17"/>
  <c r="GR67" i="17"/>
  <c r="GS67" i="17"/>
  <c r="GT67" i="17"/>
  <c r="GU67" i="17"/>
  <c r="GV67" i="17"/>
  <c r="GW67" i="17"/>
  <c r="GX67" i="17"/>
  <c r="GY67" i="17"/>
  <c r="GZ67" i="17"/>
  <c r="HA67" i="17"/>
  <c r="HB67" i="17"/>
  <c r="HC67" i="17"/>
  <c r="HD67" i="17"/>
  <c r="HE67" i="17"/>
  <c r="HF67" i="17"/>
  <c r="HG67" i="17"/>
  <c r="HH67" i="17"/>
  <c r="HI67" i="17"/>
  <c r="HJ67" i="17"/>
  <c r="HK67" i="17"/>
  <c r="HL67" i="17"/>
  <c r="HM67" i="17"/>
  <c r="HN67" i="17"/>
  <c r="HO67" i="17"/>
  <c r="HP67" i="17"/>
  <c r="HQ67" i="17"/>
  <c r="HR67" i="17"/>
  <c r="HS67" i="17"/>
  <c r="HT67" i="17"/>
  <c r="HU67" i="17"/>
  <c r="HV67" i="17"/>
  <c r="HW67" i="17"/>
  <c r="HX67" i="17"/>
  <c r="HY67" i="17"/>
  <c r="HZ67" i="17"/>
  <c r="IA67" i="17"/>
  <c r="IB67" i="17"/>
  <c r="IC67" i="17"/>
  <c r="ID67" i="17"/>
  <c r="IE67" i="17"/>
  <c r="IF67" i="17"/>
  <c r="IG67" i="17"/>
  <c r="IH67" i="17"/>
  <c r="II67" i="17"/>
  <c r="IJ67" i="17"/>
  <c r="IK67" i="17"/>
  <c r="IL67" i="17"/>
  <c r="IM67" i="17"/>
  <c r="IN67" i="17"/>
  <c r="IO67" i="17"/>
  <c r="IP67" i="17"/>
  <c r="IQ67" i="17"/>
  <c r="IR67" i="17"/>
  <c r="IS67" i="17"/>
  <c r="IT67" i="17"/>
  <c r="IU67" i="17"/>
  <c r="IV67" i="17"/>
  <c r="A66" i="17"/>
  <c r="B66" i="17"/>
  <c r="C66" i="17"/>
  <c r="D66" i="17"/>
  <c r="E66" i="17"/>
  <c r="F66" i="17"/>
  <c r="G66" i="17"/>
  <c r="H66" i="17"/>
  <c r="I66" i="17"/>
  <c r="J66" i="17"/>
  <c r="K66" i="17"/>
  <c r="L66" i="17"/>
  <c r="M66" i="17"/>
  <c r="N66" i="17"/>
  <c r="O66" i="17"/>
  <c r="P66" i="17"/>
  <c r="Q66" i="17"/>
  <c r="R66" i="17"/>
  <c r="S66" i="17"/>
  <c r="T66" i="17"/>
  <c r="U66" i="17"/>
  <c r="V66" i="17"/>
  <c r="W66" i="17"/>
  <c r="X66" i="17"/>
  <c r="Y66" i="17"/>
  <c r="Z66" i="17"/>
  <c r="AA66" i="17"/>
  <c r="AB66" i="17"/>
  <c r="AC66" i="17"/>
  <c r="AD66" i="17"/>
  <c r="AE66" i="17"/>
  <c r="AF66" i="17"/>
  <c r="AG66" i="17"/>
  <c r="AH66" i="17"/>
  <c r="AI66" i="17"/>
  <c r="AJ66" i="17"/>
  <c r="AK66" i="17"/>
  <c r="AL66" i="17"/>
  <c r="AM66" i="17"/>
  <c r="AN66" i="17"/>
  <c r="AO66" i="17"/>
  <c r="AP66" i="17"/>
  <c r="AQ66" i="17"/>
  <c r="AR66" i="17"/>
  <c r="AS66" i="17"/>
  <c r="AT66" i="17"/>
  <c r="AU66" i="17"/>
  <c r="AV66" i="17"/>
  <c r="AW66" i="17"/>
  <c r="AX66" i="17"/>
  <c r="AY66" i="17"/>
  <c r="AZ66" i="17"/>
  <c r="BA66" i="17"/>
  <c r="BB66" i="17"/>
  <c r="BC66" i="17"/>
  <c r="BD66" i="17"/>
  <c r="BE66" i="17"/>
  <c r="BF66" i="17"/>
  <c r="BG66" i="17"/>
  <c r="BH66" i="17"/>
  <c r="BI66" i="17"/>
  <c r="BJ66" i="17"/>
  <c r="BK66" i="17"/>
  <c r="BL66" i="17"/>
  <c r="BM66" i="17"/>
  <c r="BN66" i="17"/>
  <c r="BO66" i="17"/>
  <c r="BP66" i="17"/>
  <c r="BQ66" i="17"/>
  <c r="BR66" i="17"/>
  <c r="BS66" i="17"/>
  <c r="BT66" i="17"/>
  <c r="BU66" i="17"/>
  <c r="BV66" i="17"/>
  <c r="BW66" i="17"/>
  <c r="BX66" i="17"/>
  <c r="BY66" i="17"/>
  <c r="BZ66" i="17"/>
  <c r="CA66" i="17"/>
  <c r="CB66" i="17"/>
  <c r="CC66" i="17"/>
  <c r="CD66" i="17"/>
  <c r="CE66" i="17"/>
  <c r="CF66" i="17"/>
  <c r="CG66" i="17"/>
  <c r="CH66" i="17"/>
  <c r="CI66" i="17"/>
  <c r="CJ66" i="17"/>
  <c r="CK66" i="17"/>
  <c r="CL66" i="17"/>
  <c r="CM66" i="17"/>
  <c r="CN66" i="17"/>
  <c r="CO66" i="17"/>
  <c r="CP66" i="17"/>
  <c r="CQ66" i="17"/>
  <c r="CR66" i="17"/>
  <c r="CS66" i="17"/>
  <c r="CT66" i="17"/>
  <c r="CU66" i="17"/>
  <c r="CV66" i="17"/>
  <c r="CW66" i="17"/>
  <c r="CX66" i="17"/>
  <c r="CY66" i="17"/>
  <c r="CZ66" i="17"/>
  <c r="DA66" i="17"/>
  <c r="DB66" i="17"/>
  <c r="DC66" i="17"/>
  <c r="DD66" i="17"/>
  <c r="DE66" i="17"/>
  <c r="DF66" i="17"/>
  <c r="DG66" i="17"/>
  <c r="DH66" i="17"/>
  <c r="DI66" i="17"/>
  <c r="DJ66" i="17"/>
  <c r="DK66" i="17"/>
  <c r="DL66" i="17"/>
  <c r="DM66" i="17"/>
  <c r="DN66" i="17"/>
  <c r="DO66" i="17"/>
  <c r="DP66" i="17"/>
  <c r="DQ66" i="17"/>
  <c r="DR66" i="17"/>
  <c r="DS66" i="17"/>
  <c r="DT66" i="17"/>
  <c r="DU66" i="17"/>
  <c r="DV66" i="17"/>
  <c r="DW66" i="17"/>
  <c r="DX66" i="17"/>
  <c r="DY66" i="17"/>
  <c r="DZ66" i="17"/>
  <c r="EA66" i="17"/>
  <c r="EB66" i="17"/>
  <c r="EC66" i="17"/>
  <c r="ED66" i="17"/>
  <c r="EE66" i="17"/>
  <c r="EF66" i="17"/>
  <c r="EG66" i="17"/>
  <c r="EH66" i="17"/>
  <c r="EI66" i="17"/>
  <c r="EJ66" i="17"/>
  <c r="EK66" i="17"/>
  <c r="EL66" i="17"/>
  <c r="EM66" i="17"/>
  <c r="EN66" i="17"/>
  <c r="EO66" i="17"/>
  <c r="EP66" i="17"/>
  <c r="EQ66" i="17"/>
  <c r="ER66" i="17"/>
  <c r="ES66" i="17"/>
  <c r="ET66" i="17"/>
  <c r="EU66" i="17"/>
  <c r="EV66" i="17"/>
  <c r="EW66" i="17"/>
  <c r="EX66" i="17"/>
  <c r="EY66" i="17"/>
  <c r="EZ66" i="17"/>
  <c r="FA66" i="17"/>
  <c r="FB66" i="17"/>
  <c r="FC66" i="17"/>
  <c r="FD66" i="17"/>
  <c r="FE66" i="17"/>
  <c r="FF66" i="17"/>
  <c r="FG66" i="17"/>
  <c r="FH66" i="17"/>
  <c r="FI66" i="17"/>
  <c r="FJ66" i="17"/>
  <c r="FK66" i="17"/>
  <c r="FL66" i="17"/>
  <c r="FM66" i="17"/>
  <c r="FN66" i="17"/>
  <c r="FO66" i="17"/>
  <c r="FP66" i="17"/>
  <c r="FQ66" i="17"/>
  <c r="FR66" i="17"/>
  <c r="FS66" i="17"/>
  <c r="FT66" i="17"/>
  <c r="FU66" i="17"/>
  <c r="FV66" i="17"/>
  <c r="FW66" i="17"/>
  <c r="FX66" i="17"/>
  <c r="FY66" i="17"/>
  <c r="FZ66" i="17"/>
  <c r="GA66" i="17"/>
  <c r="GB66" i="17"/>
  <c r="GC66" i="17"/>
  <c r="GD66" i="17"/>
  <c r="GE66" i="17"/>
  <c r="GF66" i="17"/>
  <c r="GG66" i="17"/>
  <c r="GH66" i="17"/>
  <c r="GI66" i="17"/>
  <c r="GJ66" i="17"/>
  <c r="GK66" i="17"/>
  <c r="GL66" i="17"/>
  <c r="GM66" i="17"/>
  <c r="GN66" i="17"/>
  <c r="GO66" i="17"/>
  <c r="GP66" i="17"/>
  <c r="GQ66" i="17"/>
  <c r="GR66" i="17"/>
  <c r="GS66" i="17"/>
  <c r="GT66" i="17"/>
  <c r="GU66" i="17"/>
  <c r="GV66" i="17"/>
  <c r="GW66" i="17"/>
  <c r="GX66" i="17"/>
  <c r="GY66" i="17"/>
  <c r="GZ66" i="17"/>
  <c r="HA66" i="17"/>
  <c r="HB66" i="17"/>
  <c r="HC66" i="17"/>
  <c r="HD66" i="17"/>
  <c r="HE66" i="17"/>
  <c r="HF66" i="17"/>
  <c r="HG66" i="17"/>
  <c r="HH66" i="17"/>
  <c r="HI66" i="17"/>
  <c r="HJ66" i="17"/>
  <c r="HK66" i="17"/>
  <c r="HL66" i="17"/>
  <c r="HM66" i="17"/>
  <c r="HN66" i="17"/>
  <c r="HO66" i="17"/>
  <c r="HP66" i="17"/>
  <c r="HQ66" i="17"/>
  <c r="HR66" i="17"/>
  <c r="HS66" i="17"/>
  <c r="HT66" i="17"/>
  <c r="HU66" i="17"/>
  <c r="HV66" i="17"/>
  <c r="HW66" i="17"/>
  <c r="HX66" i="17"/>
  <c r="HY66" i="17"/>
  <c r="HZ66" i="17"/>
  <c r="IA66" i="17"/>
  <c r="IB66" i="17"/>
  <c r="IC66" i="17"/>
  <c r="ID66" i="17"/>
  <c r="IE66" i="17"/>
  <c r="IF66" i="17"/>
  <c r="IG66" i="17"/>
  <c r="IH66" i="17"/>
  <c r="II66" i="17"/>
  <c r="IJ66" i="17"/>
  <c r="IK66" i="17"/>
  <c r="IL66" i="17"/>
  <c r="IM66" i="17"/>
  <c r="IN66" i="17"/>
  <c r="IO66" i="17"/>
  <c r="IP66" i="17"/>
  <c r="IQ66" i="17"/>
  <c r="IR66" i="17"/>
  <c r="IS66" i="17"/>
  <c r="IT66" i="17"/>
  <c r="IU66" i="17"/>
  <c r="IV66" i="17"/>
  <c r="A65" i="17"/>
  <c r="B65" i="17"/>
  <c r="C65" i="17"/>
  <c r="D65" i="17"/>
  <c r="E65" i="17"/>
  <c r="F65" i="17"/>
  <c r="G65" i="17"/>
  <c r="H65" i="17"/>
  <c r="I65" i="17"/>
  <c r="J65" i="17"/>
  <c r="K65" i="17"/>
  <c r="L65" i="17"/>
  <c r="M65" i="17"/>
  <c r="N65" i="17"/>
  <c r="O65" i="17"/>
  <c r="P65" i="17"/>
  <c r="Q65" i="17"/>
  <c r="R65" i="17"/>
  <c r="S65" i="17"/>
  <c r="U65" i="17"/>
  <c r="V65" i="17"/>
  <c r="W65" i="17"/>
  <c r="X65" i="17"/>
  <c r="Y65" i="17"/>
  <c r="Z65" i="17"/>
  <c r="AA65" i="17"/>
  <c r="AB65" i="17"/>
  <c r="AC65" i="17"/>
  <c r="AD65" i="17"/>
  <c r="AE65" i="17"/>
  <c r="AF65" i="17"/>
  <c r="AG65" i="17"/>
  <c r="AH65" i="17"/>
  <c r="AI65" i="17"/>
  <c r="AJ65" i="17"/>
  <c r="AK65" i="17"/>
  <c r="AL65" i="17"/>
  <c r="AM65" i="17"/>
  <c r="AN65" i="17"/>
  <c r="AO65" i="17"/>
  <c r="AP65" i="17"/>
  <c r="AQ65" i="17"/>
  <c r="AR65" i="17"/>
  <c r="AS65" i="17"/>
  <c r="AT65" i="17"/>
  <c r="AU65" i="17"/>
  <c r="AV65" i="17"/>
  <c r="AW65" i="17"/>
  <c r="AX65" i="17"/>
  <c r="AY65" i="17"/>
  <c r="AZ65" i="17"/>
  <c r="BA65" i="17"/>
  <c r="BB65" i="17"/>
  <c r="BC65" i="17"/>
  <c r="BD65" i="17"/>
  <c r="BE65" i="17"/>
  <c r="BF65" i="17"/>
  <c r="BG65" i="17"/>
  <c r="BH65" i="17"/>
  <c r="BI65" i="17"/>
  <c r="BJ65" i="17"/>
  <c r="BK65" i="17"/>
  <c r="BL65" i="17"/>
  <c r="BM65" i="17"/>
  <c r="BN65" i="17"/>
  <c r="BO65" i="17"/>
  <c r="BP65" i="17"/>
  <c r="BQ65" i="17"/>
  <c r="BR65" i="17"/>
  <c r="BS65" i="17"/>
  <c r="BT65" i="17"/>
  <c r="BU65" i="17"/>
  <c r="BV65" i="17"/>
  <c r="BW65" i="17"/>
  <c r="BX65" i="17"/>
  <c r="BY65" i="17"/>
  <c r="BZ65" i="17"/>
  <c r="CA65" i="17"/>
  <c r="CB65" i="17"/>
  <c r="CC65" i="17"/>
  <c r="CD65" i="17"/>
  <c r="CE65" i="17"/>
  <c r="CF65" i="17"/>
  <c r="CG65" i="17"/>
  <c r="CH65" i="17"/>
  <c r="CI65" i="17"/>
  <c r="CJ65" i="17"/>
  <c r="CK65" i="17"/>
  <c r="CL65" i="17"/>
  <c r="CM65" i="17"/>
  <c r="CN65" i="17"/>
  <c r="CO65" i="17"/>
  <c r="CP65" i="17"/>
  <c r="CQ65" i="17"/>
  <c r="CR65" i="17"/>
  <c r="CS65" i="17"/>
  <c r="CT65" i="17"/>
  <c r="CU65" i="17"/>
  <c r="CV65" i="17"/>
  <c r="CW65" i="17"/>
  <c r="CX65" i="17"/>
  <c r="CY65" i="17"/>
  <c r="CZ65" i="17"/>
  <c r="DA65" i="17"/>
  <c r="DB65" i="17"/>
  <c r="DC65" i="17"/>
  <c r="DD65" i="17"/>
  <c r="DE65" i="17"/>
  <c r="DF65" i="17"/>
  <c r="DG65" i="17"/>
  <c r="DH65" i="17"/>
  <c r="DI65" i="17"/>
  <c r="DJ65" i="17"/>
  <c r="DK65" i="17"/>
  <c r="DL65" i="17"/>
  <c r="DM65" i="17"/>
  <c r="DN65" i="17"/>
  <c r="DO65" i="17"/>
  <c r="DP65" i="17"/>
  <c r="DQ65" i="17"/>
  <c r="DR65" i="17"/>
  <c r="DS65" i="17"/>
  <c r="DT65" i="17"/>
  <c r="DU65" i="17"/>
  <c r="DV65" i="17"/>
  <c r="DW65" i="17"/>
  <c r="DX65" i="17"/>
  <c r="DY65" i="17"/>
  <c r="DZ65" i="17"/>
  <c r="EA65" i="17"/>
  <c r="EB65" i="17"/>
  <c r="EC65" i="17"/>
  <c r="ED65" i="17"/>
  <c r="EE65" i="17"/>
  <c r="EF65" i="17"/>
  <c r="EG65" i="17"/>
  <c r="EH65" i="17"/>
  <c r="EI65" i="17"/>
  <c r="EJ65" i="17"/>
  <c r="EK65" i="17"/>
  <c r="EL65" i="17"/>
  <c r="EM65" i="17"/>
  <c r="EN65" i="17"/>
  <c r="EO65" i="17"/>
  <c r="EP65" i="17"/>
  <c r="EQ65" i="17"/>
  <c r="ER65" i="17"/>
  <c r="ES65" i="17"/>
  <c r="ET65" i="17"/>
  <c r="EU65" i="17"/>
  <c r="EV65" i="17"/>
  <c r="EW65" i="17"/>
  <c r="EX65" i="17"/>
  <c r="EY65" i="17"/>
  <c r="EZ65" i="17"/>
  <c r="FA65" i="17"/>
  <c r="FB65" i="17"/>
  <c r="FC65" i="17"/>
  <c r="FD65" i="17"/>
  <c r="FE65" i="17"/>
  <c r="FF65" i="17"/>
  <c r="FG65" i="17"/>
  <c r="FH65" i="17"/>
  <c r="FI65" i="17"/>
  <c r="FJ65" i="17"/>
  <c r="FK65" i="17"/>
  <c r="FL65" i="17"/>
  <c r="FM65" i="17"/>
  <c r="FN65" i="17"/>
  <c r="FO65" i="17"/>
  <c r="FP65" i="17"/>
  <c r="FQ65" i="17"/>
  <c r="FR65" i="17"/>
  <c r="FS65" i="17"/>
  <c r="FT65" i="17"/>
  <c r="FU65" i="17"/>
  <c r="FV65" i="17"/>
  <c r="FW65" i="17"/>
  <c r="FX65" i="17"/>
  <c r="FY65" i="17"/>
  <c r="FZ65" i="17"/>
  <c r="GA65" i="17"/>
  <c r="GB65" i="17"/>
  <c r="GC65" i="17"/>
  <c r="GD65" i="17"/>
  <c r="GE65" i="17"/>
  <c r="GF65" i="17"/>
  <c r="GG65" i="17"/>
  <c r="GH65" i="17"/>
  <c r="GI65" i="17"/>
  <c r="GJ65" i="17"/>
  <c r="GK65" i="17"/>
  <c r="GL65" i="17"/>
  <c r="GM65" i="17"/>
  <c r="GN65" i="17"/>
  <c r="GO65" i="17"/>
  <c r="GP65" i="17"/>
  <c r="GQ65" i="17"/>
  <c r="GR65" i="17"/>
  <c r="GS65" i="17"/>
  <c r="GT65" i="17"/>
  <c r="GU65" i="17"/>
  <c r="GV65" i="17"/>
  <c r="GW65" i="17"/>
  <c r="GX65" i="17"/>
  <c r="GY65" i="17"/>
  <c r="GZ65" i="17"/>
  <c r="HA65" i="17"/>
  <c r="HB65" i="17"/>
  <c r="HC65" i="17"/>
  <c r="HD65" i="17"/>
  <c r="HE65" i="17"/>
  <c r="HF65" i="17"/>
  <c r="HG65" i="17"/>
  <c r="HH65" i="17"/>
  <c r="HI65" i="17"/>
  <c r="HJ65" i="17"/>
  <c r="HK65" i="17"/>
  <c r="HL65" i="17"/>
  <c r="HM65" i="17"/>
  <c r="HN65" i="17"/>
  <c r="HO65" i="17"/>
  <c r="HP65" i="17"/>
  <c r="HQ65" i="17"/>
  <c r="HR65" i="17"/>
  <c r="HS65" i="17"/>
  <c r="HT65" i="17"/>
  <c r="HU65" i="17"/>
  <c r="HV65" i="17"/>
  <c r="HW65" i="17"/>
  <c r="HX65" i="17"/>
  <c r="HY65" i="17"/>
  <c r="HZ65" i="17"/>
  <c r="IA65" i="17"/>
  <c r="IB65" i="17"/>
  <c r="IC65" i="17"/>
  <c r="ID65" i="17"/>
  <c r="IE65" i="17"/>
  <c r="IF65" i="17"/>
  <c r="IG65" i="17"/>
  <c r="IH65" i="17"/>
  <c r="II65" i="17"/>
  <c r="IJ65" i="17"/>
  <c r="IK65" i="17"/>
  <c r="IL65" i="17"/>
  <c r="IM65" i="17"/>
  <c r="IN65" i="17"/>
  <c r="IO65" i="17"/>
  <c r="IP65" i="17"/>
  <c r="IQ65" i="17"/>
  <c r="IR65" i="17"/>
  <c r="IS65" i="17"/>
  <c r="IT65" i="17"/>
  <c r="IU65" i="17"/>
  <c r="IV65" i="17"/>
  <c r="A64" i="17"/>
  <c r="B64" i="17"/>
  <c r="C64" i="17"/>
  <c r="D64" i="17"/>
  <c r="E64" i="17"/>
  <c r="F64" i="17"/>
  <c r="G64" i="17"/>
  <c r="H64" i="17"/>
  <c r="I64" i="17"/>
  <c r="J64" i="17"/>
  <c r="K64" i="17"/>
  <c r="L64" i="17"/>
  <c r="M64" i="17"/>
  <c r="N64" i="17"/>
  <c r="O64" i="17"/>
  <c r="P64" i="17"/>
  <c r="Q64" i="17"/>
  <c r="R64" i="17"/>
  <c r="S64" i="17"/>
  <c r="T64" i="17"/>
  <c r="U64" i="17"/>
  <c r="V64" i="17"/>
  <c r="W64" i="17"/>
  <c r="X64" i="17"/>
  <c r="Y64" i="17"/>
  <c r="Z64" i="17"/>
  <c r="AA64" i="17"/>
  <c r="AB64" i="17"/>
  <c r="AC64" i="17"/>
  <c r="AD64" i="17"/>
  <c r="AE64" i="17"/>
  <c r="AF64" i="17"/>
  <c r="AG64" i="17"/>
  <c r="AH64" i="17"/>
  <c r="AI64" i="17"/>
  <c r="AJ64" i="17"/>
  <c r="AK64" i="17"/>
  <c r="AL64" i="17"/>
  <c r="AM64" i="17"/>
  <c r="AN64" i="17"/>
  <c r="AO64" i="17"/>
  <c r="AP64" i="17"/>
  <c r="AQ64" i="17"/>
  <c r="AR64" i="17"/>
  <c r="AS64" i="17"/>
  <c r="AT64" i="17"/>
  <c r="AU64" i="17"/>
  <c r="AV64" i="17"/>
  <c r="AW64" i="17"/>
  <c r="AX64" i="17"/>
  <c r="AY64" i="17"/>
  <c r="AZ64" i="17"/>
  <c r="BA64" i="17"/>
  <c r="BB64" i="17"/>
  <c r="BC64" i="17"/>
  <c r="BD64" i="17"/>
  <c r="BE64" i="17"/>
  <c r="BF64" i="17"/>
  <c r="BG64" i="17"/>
  <c r="BH64" i="17"/>
  <c r="BI64" i="17"/>
  <c r="BJ64" i="17"/>
  <c r="BK64" i="17"/>
  <c r="BL64" i="17"/>
  <c r="BM64" i="17"/>
  <c r="BN64" i="17"/>
  <c r="BO64" i="17"/>
  <c r="BP64" i="17"/>
  <c r="BQ64" i="17"/>
  <c r="BR64" i="17"/>
  <c r="BS64" i="17"/>
  <c r="BT64" i="17"/>
  <c r="BU64" i="17"/>
  <c r="BV64" i="17"/>
  <c r="BW64" i="17"/>
  <c r="BX64" i="17"/>
  <c r="BY64" i="17"/>
  <c r="BZ64" i="17"/>
  <c r="CA64" i="17"/>
  <c r="CB64" i="17"/>
  <c r="CC64" i="17"/>
  <c r="CD64" i="17"/>
  <c r="CE64" i="17"/>
  <c r="CF64" i="17"/>
  <c r="CG64" i="17"/>
  <c r="CH64" i="17"/>
  <c r="CI64" i="17"/>
  <c r="CJ64" i="17"/>
  <c r="CK64" i="17"/>
  <c r="CL64" i="17"/>
  <c r="CM64" i="17"/>
  <c r="CN64" i="17"/>
  <c r="CO64" i="17"/>
  <c r="CP64" i="17"/>
  <c r="CQ64" i="17"/>
  <c r="CR64" i="17"/>
  <c r="CS64" i="17"/>
  <c r="CT64" i="17"/>
  <c r="CU64" i="17"/>
  <c r="CV64" i="17"/>
  <c r="CW64" i="17"/>
  <c r="CX64" i="17"/>
  <c r="CY64" i="17"/>
  <c r="CZ64" i="17"/>
  <c r="DA64" i="17"/>
  <c r="DB64" i="17"/>
  <c r="DC64" i="17"/>
  <c r="DD64" i="17"/>
  <c r="DE64" i="17"/>
  <c r="DF64" i="17"/>
  <c r="DG64" i="17"/>
  <c r="DH64" i="17"/>
  <c r="DI64" i="17"/>
  <c r="DJ64" i="17"/>
  <c r="DK64" i="17"/>
  <c r="DL64" i="17"/>
  <c r="DM64" i="17"/>
  <c r="DN64" i="17"/>
  <c r="DO64" i="17"/>
  <c r="DP64" i="17"/>
  <c r="DQ64" i="17"/>
  <c r="DR64" i="17"/>
  <c r="DS64" i="17"/>
  <c r="DT64" i="17"/>
  <c r="DU64" i="17"/>
  <c r="DV64" i="17"/>
  <c r="DW64" i="17"/>
  <c r="DX64" i="17"/>
  <c r="DY64" i="17"/>
  <c r="DZ64" i="17"/>
  <c r="EA64" i="17"/>
  <c r="EB64" i="17"/>
  <c r="EC64" i="17"/>
  <c r="ED64" i="17"/>
  <c r="EE64" i="17"/>
  <c r="EF64" i="17"/>
  <c r="EG64" i="17"/>
  <c r="EH64" i="17"/>
  <c r="EI64" i="17"/>
  <c r="EJ64" i="17"/>
  <c r="EK64" i="17"/>
  <c r="EL64" i="17"/>
  <c r="EM64" i="17"/>
  <c r="EN64" i="17"/>
  <c r="EO64" i="17"/>
  <c r="EP64" i="17"/>
  <c r="EQ64" i="17"/>
  <c r="ER64" i="17"/>
  <c r="ES64" i="17"/>
  <c r="ET64" i="17"/>
  <c r="EU64" i="17"/>
  <c r="EV64" i="17"/>
  <c r="EW64" i="17"/>
  <c r="EX64" i="17"/>
  <c r="EY64" i="17"/>
  <c r="EZ64" i="17"/>
  <c r="FA64" i="17"/>
  <c r="FB64" i="17"/>
  <c r="FC64" i="17"/>
  <c r="FD64" i="17"/>
  <c r="FE64" i="17"/>
  <c r="FF64" i="17"/>
  <c r="FG64" i="17"/>
  <c r="FH64" i="17"/>
  <c r="FI64" i="17"/>
  <c r="FJ64" i="17"/>
  <c r="FK64" i="17"/>
  <c r="FL64" i="17"/>
  <c r="FM64" i="17"/>
  <c r="FN64" i="17"/>
  <c r="FO64" i="17"/>
  <c r="FP64" i="17"/>
  <c r="FQ64" i="17"/>
  <c r="FR64" i="17"/>
  <c r="FS64" i="17"/>
  <c r="FT64" i="17"/>
  <c r="FU64" i="17"/>
  <c r="FV64" i="17"/>
  <c r="FW64" i="17"/>
  <c r="FX64" i="17"/>
  <c r="FY64" i="17"/>
  <c r="FZ64" i="17"/>
  <c r="GA64" i="17"/>
  <c r="GB64" i="17"/>
  <c r="GC64" i="17"/>
  <c r="GD64" i="17"/>
  <c r="GE64" i="17"/>
  <c r="GF64" i="17"/>
  <c r="GG64" i="17"/>
  <c r="GH64" i="17"/>
  <c r="GI64" i="17"/>
  <c r="GJ64" i="17"/>
  <c r="GK64" i="17"/>
  <c r="GL64" i="17"/>
  <c r="GM64" i="17"/>
  <c r="GN64" i="17"/>
  <c r="GO64" i="17"/>
  <c r="GP64" i="17"/>
  <c r="GQ64" i="17"/>
  <c r="GR64" i="17"/>
  <c r="GS64" i="17"/>
  <c r="GT64" i="17"/>
  <c r="GU64" i="17"/>
  <c r="GV64" i="17"/>
  <c r="GW64" i="17"/>
  <c r="GX64" i="17"/>
  <c r="GY64" i="17"/>
  <c r="GZ64" i="17"/>
  <c r="HA64" i="17"/>
  <c r="HB64" i="17"/>
  <c r="HC64" i="17"/>
  <c r="HD64" i="17"/>
  <c r="HE64" i="17"/>
  <c r="HF64" i="17"/>
  <c r="HG64" i="17"/>
  <c r="HH64" i="17"/>
  <c r="HI64" i="17"/>
  <c r="HJ64" i="17"/>
  <c r="HK64" i="17"/>
  <c r="HL64" i="17"/>
  <c r="HM64" i="17"/>
  <c r="HN64" i="17"/>
  <c r="HO64" i="17"/>
  <c r="HP64" i="17"/>
  <c r="HQ64" i="17"/>
  <c r="HR64" i="17"/>
  <c r="HS64" i="17"/>
  <c r="HT64" i="17"/>
  <c r="HU64" i="17"/>
  <c r="HV64" i="17"/>
  <c r="HW64" i="17"/>
  <c r="HX64" i="17"/>
  <c r="HY64" i="17"/>
  <c r="HZ64" i="17"/>
  <c r="IA64" i="17"/>
  <c r="IB64" i="17"/>
  <c r="IC64" i="17"/>
  <c r="ID64" i="17"/>
  <c r="IE64" i="17"/>
  <c r="IF64" i="17"/>
  <c r="IG64" i="17"/>
  <c r="IH64" i="17"/>
  <c r="II64" i="17"/>
  <c r="IJ64" i="17"/>
  <c r="IK64" i="17"/>
  <c r="IL64" i="17"/>
  <c r="IM64" i="17"/>
  <c r="IN64" i="17"/>
  <c r="IO64" i="17"/>
  <c r="IP64" i="17"/>
  <c r="IQ64" i="17"/>
  <c r="IR64" i="17"/>
  <c r="IS64" i="17"/>
  <c r="IT64" i="17"/>
  <c r="IU64" i="17"/>
  <c r="IV64" i="17"/>
  <c r="A63" i="17"/>
  <c r="B63" i="17"/>
  <c r="C63" i="17"/>
  <c r="D63" i="17"/>
  <c r="E63" i="17"/>
  <c r="F63" i="17"/>
  <c r="G63" i="17"/>
  <c r="H63" i="17"/>
  <c r="I63" i="17"/>
  <c r="J63" i="17"/>
  <c r="K63" i="17"/>
  <c r="L63" i="17"/>
  <c r="M63" i="17"/>
  <c r="N63" i="17"/>
  <c r="O63" i="17"/>
  <c r="P63" i="17"/>
  <c r="Q63" i="17"/>
  <c r="R63" i="17"/>
  <c r="S63" i="17"/>
  <c r="T63" i="17"/>
  <c r="U63" i="17"/>
  <c r="V63" i="17"/>
  <c r="W63" i="17"/>
  <c r="X63" i="17"/>
  <c r="Y63" i="17"/>
  <c r="Z63" i="17"/>
  <c r="AA63" i="17"/>
  <c r="AB63" i="17"/>
  <c r="AC63" i="17"/>
  <c r="AD63" i="17"/>
  <c r="AE63" i="17"/>
  <c r="AF63" i="17"/>
  <c r="AG63" i="17"/>
  <c r="AH63" i="17"/>
  <c r="AI63" i="17"/>
  <c r="AJ63" i="17"/>
  <c r="AK63" i="17"/>
  <c r="AL63" i="17"/>
  <c r="AM63" i="17"/>
  <c r="AN63" i="17"/>
  <c r="AO63" i="17"/>
  <c r="AP63" i="17"/>
  <c r="AQ63" i="17"/>
  <c r="AR63" i="17"/>
  <c r="AS63" i="17"/>
  <c r="AT63" i="17"/>
  <c r="AU63" i="17"/>
  <c r="AV63" i="17"/>
  <c r="AW63" i="17"/>
  <c r="AX63" i="17"/>
  <c r="AY63" i="17"/>
  <c r="AZ63" i="17"/>
  <c r="BA63" i="17"/>
  <c r="BB63" i="17"/>
  <c r="BC63" i="17"/>
  <c r="BD63" i="17"/>
  <c r="BE63" i="17"/>
  <c r="BF63" i="17"/>
  <c r="BG63" i="17"/>
  <c r="BH63" i="17"/>
  <c r="BI63" i="17"/>
  <c r="BJ63" i="17"/>
  <c r="BK63" i="17"/>
  <c r="BL63" i="17"/>
  <c r="BM63" i="17"/>
  <c r="BN63" i="17"/>
  <c r="BO63" i="17"/>
  <c r="BP63" i="17"/>
  <c r="BQ63" i="17"/>
  <c r="BR63" i="17"/>
  <c r="BS63" i="17"/>
  <c r="BT63" i="17"/>
  <c r="BU63" i="17"/>
  <c r="BV63" i="17"/>
  <c r="BW63" i="17"/>
  <c r="BX63" i="17"/>
  <c r="BY63" i="17"/>
  <c r="BZ63" i="17"/>
  <c r="CA63" i="17"/>
  <c r="CB63" i="17"/>
  <c r="CC63" i="17"/>
  <c r="CD63" i="17"/>
  <c r="CE63" i="17"/>
  <c r="CF63" i="17"/>
  <c r="CG63" i="17"/>
  <c r="CH63" i="17"/>
  <c r="CI63" i="17"/>
  <c r="CJ63" i="17"/>
  <c r="CK63" i="17"/>
  <c r="CL63" i="17"/>
  <c r="CM63" i="17"/>
  <c r="CN63" i="17"/>
  <c r="CO63" i="17"/>
  <c r="CP63" i="17"/>
  <c r="CQ63" i="17"/>
  <c r="CR63" i="17"/>
  <c r="CS63" i="17"/>
  <c r="CT63" i="17"/>
  <c r="CU63" i="17"/>
  <c r="CV63" i="17"/>
  <c r="CW63" i="17"/>
  <c r="CX63" i="17"/>
  <c r="CY63" i="17"/>
  <c r="CZ63" i="17"/>
  <c r="DA63" i="17"/>
  <c r="DB63" i="17"/>
  <c r="DC63" i="17"/>
  <c r="DD63" i="17"/>
  <c r="DE63" i="17"/>
  <c r="DF63" i="17"/>
  <c r="DG63" i="17"/>
  <c r="DH63" i="17"/>
  <c r="DI63" i="17"/>
  <c r="DJ63" i="17"/>
  <c r="DK63" i="17"/>
  <c r="DL63" i="17"/>
  <c r="DM63" i="17"/>
  <c r="DN63" i="17"/>
  <c r="DO63" i="17"/>
  <c r="DP63" i="17"/>
  <c r="DQ63" i="17"/>
  <c r="DR63" i="17"/>
  <c r="DS63" i="17"/>
  <c r="DT63" i="17"/>
  <c r="DU63" i="17"/>
  <c r="DV63" i="17"/>
  <c r="DW63" i="17"/>
  <c r="DX63" i="17"/>
  <c r="DY63" i="17"/>
  <c r="DZ63" i="17"/>
  <c r="EA63" i="17"/>
  <c r="EB63" i="17"/>
  <c r="EC63" i="17"/>
  <c r="ED63" i="17"/>
  <c r="EE63" i="17"/>
  <c r="EF63" i="17"/>
  <c r="EG63" i="17"/>
  <c r="EH63" i="17"/>
  <c r="EI63" i="17"/>
  <c r="EJ63" i="17"/>
  <c r="EK63" i="17"/>
  <c r="EL63" i="17"/>
  <c r="EM63" i="17"/>
  <c r="EN63" i="17"/>
  <c r="EO63" i="17"/>
  <c r="EP63" i="17"/>
  <c r="EQ63" i="17"/>
  <c r="ER63" i="17"/>
  <c r="ES63" i="17"/>
  <c r="ET63" i="17"/>
  <c r="EU63" i="17"/>
  <c r="EV63" i="17"/>
  <c r="EW63" i="17"/>
  <c r="EX63" i="17"/>
  <c r="EY63" i="17"/>
  <c r="EZ63" i="17"/>
  <c r="FA63" i="17"/>
  <c r="FB63" i="17"/>
  <c r="FC63" i="17"/>
  <c r="FD63" i="17"/>
  <c r="FE63" i="17"/>
  <c r="FF63" i="17"/>
  <c r="FG63" i="17"/>
  <c r="FH63" i="17"/>
  <c r="FI63" i="17"/>
  <c r="FJ63" i="17"/>
  <c r="FK63" i="17"/>
  <c r="FL63" i="17"/>
  <c r="FM63" i="17"/>
  <c r="FN63" i="17"/>
  <c r="FO63" i="17"/>
  <c r="FP63" i="17"/>
  <c r="FQ63" i="17"/>
  <c r="FR63" i="17"/>
  <c r="FS63" i="17"/>
  <c r="FT63" i="17"/>
  <c r="FU63" i="17"/>
  <c r="FV63" i="17"/>
  <c r="FW63" i="17"/>
  <c r="FX63" i="17"/>
  <c r="FY63" i="17"/>
  <c r="FZ63" i="17"/>
  <c r="GA63" i="17"/>
  <c r="GB63" i="17"/>
  <c r="GC63" i="17"/>
  <c r="GD63" i="17"/>
  <c r="GE63" i="17"/>
  <c r="GF63" i="17"/>
  <c r="GG63" i="17"/>
  <c r="GH63" i="17"/>
  <c r="GI63" i="17"/>
  <c r="GJ63" i="17"/>
  <c r="GK63" i="17"/>
  <c r="GL63" i="17"/>
  <c r="GM63" i="17"/>
  <c r="GN63" i="17"/>
  <c r="GO63" i="17"/>
  <c r="GP63" i="17"/>
  <c r="GQ63" i="17"/>
  <c r="GR63" i="17"/>
  <c r="GS63" i="17"/>
  <c r="GT63" i="17"/>
  <c r="GU63" i="17"/>
  <c r="GV63" i="17"/>
  <c r="GW63" i="17"/>
  <c r="GX63" i="17"/>
  <c r="GY63" i="17"/>
  <c r="GZ63" i="17"/>
  <c r="HA63" i="17"/>
  <c r="HB63" i="17"/>
  <c r="HC63" i="17"/>
  <c r="HD63" i="17"/>
  <c r="HE63" i="17"/>
  <c r="HF63" i="17"/>
  <c r="HG63" i="17"/>
  <c r="HH63" i="17"/>
  <c r="HI63" i="17"/>
  <c r="HJ63" i="17"/>
  <c r="HK63" i="17"/>
  <c r="HL63" i="17"/>
  <c r="HM63" i="17"/>
  <c r="HN63" i="17"/>
  <c r="HO63" i="17"/>
  <c r="HP63" i="17"/>
  <c r="HQ63" i="17"/>
  <c r="HR63" i="17"/>
  <c r="HS63" i="17"/>
  <c r="HT63" i="17"/>
  <c r="HU63" i="17"/>
  <c r="HV63" i="17"/>
  <c r="HW63" i="17"/>
  <c r="HX63" i="17"/>
  <c r="HY63" i="17"/>
  <c r="HZ63" i="17"/>
  <c r="IA63" i="17"/>
  <c r="IB63" i="17"/>
  <c r="IC63" i="17"/>
  <c r="ID63" i="17"/>
  <c r="IE63" i="17"/>
  <c r="IF63" i="17"/>
  <c r="IG63" i="17"/>
  <c r="IH63" i="17"/>
  <c r="II63" i="17"/>
  <c r="IJ63" i="17"/>
  <c r="IK63" i="17"/>
  <c r="IL63" i="17"/>
  <c r="IM63" i="17"/>
  <c r="IN63" i="17"/>
  <c r="IO63" i="17"/>
  <c r="IP63" i="17"/>
  <c r="IQ63" i="17"/>
  <c r="IR63" i="17"/>
  <c r="IS63" i="17"/>
  <c r="IT63" i="17"/>
  <c r="IU63" i="17"/>
  <c r="IV63" i="17"/>
  <c r="A62" i="17"/>
  <c r="B62" i="17"/>
  <c r="C62" i="17"/>
  <c r="D62" i="17"/>
  <c r="E62" i="17"/>
  <c r="F62" i="17"/>
  <c r="G62" i="17"/>
  <c r="H62" i="17"/>
  <c r="I62" i="17"/>
  <c r="J62" i="17"/>
  <c r="K62" i="17"/>
  <c r="L62" i="17"/>
  <c r="M62" i="17"/>
  <c r="N62" i="17"/>
  <c r="O62" i="17"/>
  <c r="P62" i="17"/>
  <c r="Q62" i="17"/>
  <c r="R62" i="17"/>
  <c r="S62" i="17"/>
  <c r="T62" i="17"/>
  <c r="U62" i="17"/>
  <c r="V62" i="17"/>
  <c r="W62" i="17"/>
  <c r="X62" i="17"/>
  <c r="Y62" i="17"/>
  <c r="Z62" i="17"/>
  <c r="AA62" i="17"/>
  <c r="AB62" i="17"/>
  <c r="AC62" i="17"/>
  <c r="AD62" i="17"/>
  <c r="AE62" i="17"/>
  <c r="AF62" i="17"/>
  <c r="AG62" i="17"/>
  <c r="AH62" i="17"/>
  <c r="AI62" i="17"/>
  <c r="AJ62" i="17"/>
  <c r="AK62" i="17"/>
  <c r="AL62" i="17"/>
  <c r="AM62" i="17"/>
  <c r="AN62" i="17"/>
  <c r="AO62" i="17"/>
  <c r="AP62" i="17"/>
  <c r="AQ62" i="17"/>
  <c r="AR62" i="17"/>
  <c r="AS62" i="17"/>
  <c r="AT62" i="17"/>
  <c r="AU62" i="17"/>
  <c r="AV62" i="17"/>
  <c r="AW62" i="17"/>
  <c r="AX62" i="17"/>
  <c r="AY62" i="17"/>
  <c r="AZ62" i="17"/>
  <c r="BA62" i="17"/>
  <c r="BB62" i="17"/>
  <c r="BC62" i="17"/>
  <c r="BD62" i="17"/>
  <c r="BE62" i="17"/>
  <c r="BF62" i="17"/>
  <c r="BG62" i="17"/>
  <c r="BH62" i="17"/>
  <c r="BI62" i="17"/>
  <c r="BJ62" i="17"/>
  <c r="BK62" i="17"/>
  <c r="BL62" i="17"/>
  <c r="BM62" i="17"/>
  <c r="BN62" i="17"/>
  <c r="BO62" i="17"/>
  <c r="BP62" i="17"/>
  <c r="BQ62" i="17"/>
  <c r="BR62" i="17"/>
  <c r="BS62" i="17"/>
  <c r="BT62" i="17"/>
  <c r="BU62" i="17"/>
  <c r="BV62" i="17"/>
  <c r="BW62" i="17"/>
  <c r="BX62" i="17"/>
  <c r="BY62" i="17"/>
  <c r="BZ62" i="17"/>
  <c r="CA62" i="17"/>
  <c r="CB62" i="17"/>
  <c r="CC62" i="17"/>
  <c r="CD62" i="17"/>
  <c r="CE62" i="17"/>
  <c r="CF62" i="17"/>
  <c r="CG62" i="17"/>
  <c r="CH62" i="17"/>
  <c r="CI62" i="17"/>
  <c r="CJ62" i="17"/>
  <c r="CK62" i="17"/>
  <c r="CL62" i="17"/>
  <c r="CM62" i="17"/>
  <c r="CN62" i="17"/>
  <c r="CO62" i="17"/>
  <c r="CP62" i="17"/>
  <c r="CQ62" i="17"/>
  <c r="CR62" i="17"/>
  <c r="CS62" i="17"/>
  <c r="CT62" i="17"/>
  <c r="CU62" i="17"/>
  <c r="CV62" i="17"/>
  <c r="CW62" i="17"/>
  <c r="CX62" i="17"/>
  <c r="CY62" i="17"/>
  <c r="CZ62" i="17"/>
  <c r="DA62" i="17"/>
  <c r="DB62" i="17"/>
  <c r="DC62" i="17"/>
  <c r="DD62" i="17"/>
  <c r="DE62" i="17"/>
  <c r="DF62" i="17"/>
  <c r="DG62" i="17"/>
  <c r="DH62" i="17"/>
  <c r="DI62" i="17"/>
  <c r="DJ62" i="17"/>
  <c r="DK62" i="17"/>
  <c r="DL62" i="17"/>
  <c r="DM62" i="17"/>
  <c r="DN62" i="17"/>
  <c r="DO62" i="17"/>
  <c r="DP62" i="17"/>
  <c r="DQ62" i="17"/>
  <c r="DR62" i="17"/>
  <c r="DS62" i="17"/>
  <c r="DT62" i="17"/>
  <c r="DU62" i="17"/>
  <c r="DV62" i="17"/>
  <c r="DW62" i="17"/>
  <c r="DX62" i="17"/>
  <c r="DY62" i="17"/>
  <c r="DZ62" i="17"/>
  <c r="EA62" i="17"/>
  <c r="EB62" i="17"/>
  <c r="EC62" i="17"/>
  <c r="ED62" i="17"/>
  <c r="EE62" i="17"/>
  <c r="EF62" i="17"/>
  <c r="EG62" i="17"/>
  <c r="EH62" i="17"/>
  <c r="EI62" i="17"/>
  <c r="EJ62" i="17"/>
  <c r="EK62" i="17"/>
  <c r="EL62" i="17"/>
  <c r="EM62" i="17"/>
  <c r="EN62" i="17"/>
  <c r="EO62" i="17"/>
  <c r="EP62" i="17"/>
  <c r="EQ62" i="17"/>
  <c r="ER62" i="17"/>
  <c r="ES62" i="17"/>
  <c r="ET62" i="17"/>
  <c r="EU62" i="17"/>
  <c r="EV62" i="17"/>
  <c r="EW62" i="17"/>
  <c r="EX62" i="17"/>
  <c r="EY62" i="17"/>
  <c r="EZ62" i="17"/>
  <c r="FA62" i="17"/>
  <c r="FB62" i="17"/>
  <c r="FC62" i="17"/>
  <c r="FD62" i="17"/>
  <c r="FE62" i="17"/>
  <c r="FF62" i="17"/>
  <c r="FG62" i="17"/>
  <c r="FH62" i="17"/>
  <c r="FI62" i="17"/>
  <c r="FJ62" i="17"/>
  <c r="FK62" i="17"/>
  <c r="FL62" i="17"/>
  <c r="FM62" i="17"/>
  <c r="FN62" i="17"/>
  <c r="FO62" i="17"/>
  <c r="FP62" i="17"/>
  <c r="FQ62" i="17"/>
  <c r="FR62" i="17"/>
  <c r="FS62" i="17"/>
  <c r="FT62" i="17"/>
  <c r="FU62" i="17"/>
  <c r="FV62" i="17"/>
  <c r="FW62" i="17"/>
  <c r="FX62" i="17"/>
  <c r="FY62" i="17"/>
  <c r="FZ62" i="17"/>
  <c r="GA62" i="17"/>
  <c r="GB62" i="17"/>
  <c r="GC62" i="17"/>
  <c r="GD62" i="17"/>
  <c r="GE62" i="17"/>
  <c r="GF62" i="17"/>
  <c r="GG62" i="17"/>
  <c r="GH62" i="17"/>
  <c r="GI62" i="17"/>
  <c r="GJ62" i="17"/>
  <c r="GK62" i="17"/>
  <c r="GL62" i="17"/>
  <c r="GM62" i="17"/>
  <c r="GN62" i="17"/>
  <c r="GO62" i="17"/>
  <c r="GP62" i="17"/>
  <c r="GQ62" i="17"/>
  <c r="GR62" i="17"/>
  <c r="GS62" i="17"/>
  <c r="GT62" i="17"/>
  <c r="GU62" i="17"/>
  <c r="GV62" i="17"/>
  <c r="GW62" i="17"/>
  <c r="GX62" i="17"/>
  <c r="GY62" i="17"/>
  <c r="GZ62" i="17"/>
  <c r="HA62" i="17"/>
  <c r="HB62" i="17"/>
  <c r="HC62" i="17"/>
  <c r="HD62" i="17"/>
  <c r="HE62" i="17"/>
  <c r="HF62" i="17"/>
  <c r="HG62" i="17"/>
  <c r="HH62" i="17"/>
  <c r="HI62" i="17"/>
  <c r="HJ62" i="17"/>
  <c r="HK62" i="17"/>
  <c r="HL62" i="17"/>
  <c r="HM62" i="17"/>
  <c r="HN62" i="17"/>
  <c r="HO62" i="17"/>
  <c r="HP62" i="17"/>
  <c r="HQ62" i="17"/>
  <c r="HR62" i="17"/>
  <c r="HS62" i="17"/>
  <c r="HT62" i="17"/>
  <c r="HU62" i="17"/>
  <c r="HV62" i="17"/>
  <c r="HW62" i="17"/>
  <c r="HX62" i="17"/>
  <c r="HY62" i="17"/>
  <c r="HZ62" i="17"/>
  <c r="IA62" i="17"/>
  <c r="IB62" i="17"/>
  <c r="IC62" i="17"/>
  <c r="ID62" i="17"/>
  <c r="IE62" i="17"/>
  <c r="IF62" i="17"/>
  <c r="IG62" i="17"/>
  <c r="IH62" i="17"/>
  <c r="II62" i="17"/>
  <c r="IJ62" i="17"/>
  <c r="IK62" i="17"/>
  <c r="IL62" i="17"/>
  <c r="IM62" i="17"/>
  <c r="IN62" i="17"/>
  <c r="IO62" i="17"/>
  <c r="IP62" i="17"/>
  <c r="IQ62" i="17"/>
  <c r="IR62" i="17"/>
  <c r="IS62" i="17"/>
  <c r="IT62" i="17"/>
  <c r="IU62" i="17"/>
  <c r="IV62" i="17"/>
  <c r="A61" i="17"/>
  <c r="B61" i="17"/>
  <c r="C61" i="17"/>
  <c r="D61" i="17"/>
  <c r="E61" i="17"/>
  <c r="F61" i="17"/>
  <c r="G61" i="17"/>
  <c r="H61" i="17"/>
  <c r="I61" i="17"/>
  <c r="J61" i="17"/>
  <c r="K61" i="17"/>
  <c r="L61" i="17"/>
  <c r="M61" i="17"/>
  <c r="N61" i="17"/>
  <c r="O61" i="17"/>
  <c r="P61" i="17"/>
  <c r="Q61" i="17"/>
  <c r="R61" i="17"/>
  <c r="S61" i="17"/>
  <c r="T61" i="17"/>
  <c r="U61" i="17"/>
  <c r="V61" i="17"/>
  <c r="W61" i="17"/>
  <c r="X61" i="17"/>
  <c r="Y61" i="17"/>
  <c r="Z61" i="17"/>
  <c r="AA61" i="17"/>
  <c r="AB61" i="17"/>
  <c r="AC61" i="17"/>
  <c r="AD61" i="17"/>
  <c r="AE61" i="17"/>
  <c r="AF61" i="17"/>
  <c r="AG61" i="17"/>
  <c r="AH61" i="17"/>
  <c r="AI61" i="17"/>
  <c r="AJ61" i="17"/>
  <c r="AK61" i="17"/>
  <c r="AL61" i="17"/>
  <c r="AM61" i="17"/>
  <c r="AN61" i="17"/>
  <c r="AO61" i="17"/>
  <c r="AP61" i="17"/>
  <c r="AQ61" i="17"/>
  <c r="AR61" i="17"/>
  <c r="AS61" i="17"/>
  <c r="AT61" i="17"/>
  <c r="AU61" i="17"/>
  <c r="AV61" i="17"/>
  <c r="AW61" i="17"/>
  <c r="AX61" i="17"/>
  <c r="AY61" i="17"/>
  <c r="AZ61" i="17"/>
  <c r="BA61" i="17"/>
  <c r="BB61" i="17"/>
  <c r="BC61" i="17"/>
  <c r="BD61" i="17"/>
  <c r="BE61" i="17"/>
  <c r="BF61" i="17"/>
  <c r="BG61" i="17"/>
  <c r="BH61" i="17"/>
  <c r="BI61" i="17"/>
  <c r="BJ61" i="17"/>
  <c r="BK61" i="17"/>
  <c r="BL61" i="17"/>
  <c r="BM61" i="17"/>
  <c r="BN61" i="17"/>
  <c r="BO61" i="17"/>
  <c r="BP61" i="17"/>
  <c r="BQ61" i="17"/>
  <c r="BR61" i="17"/>
  <c r="BS61" i="17"/>
  <c r="BT61" i="17"/>
  <c r="BU61" i="17"/>
  <c r="BV61" i="17"/>
  <c r="BW61" i="17"/>
  <c r="BX61" i="17"/>
  <c r="BY61" i="17"/>
  <c r="BZ61" i="17"/>
  <c r="CA61" i="17"/>
  <c r="CB61" i="17"/>
  <c r="CC61" i="17"/>
  <c r="CD61" i="17"/>
  <c r="CE61" i="17"/>
  <c r="CF61" i="17"/>
  <c r="CG61" i="17"/>
  <c r="CH61" i="17"/>
  <c r="CI61" i="17"/>
  <c r="CJ61" i="17"/>
  <c r="CK61" i="17"/>
  <c r="CL61" i="17"/>
  <c r="CM61" i="17"/>
  <c r="CN61" i="17"/>
  <c r="CO61" i="17"/>
  <c r="CP61" i="17"/>
  <c r="CQ61" i="17"/>
  <c r="CR61" i="17"/>
  <c r="CS61" i="17"/>
  <c r="CT61" i="17"/>
  <c r="CU61" i="17"/>
  <c r="CV61" i="17"/>
  <c r="CW61" i="17"/>
  <c r="CX61" i="17"/>
  <c r="CY61" i="17"/>
  <c r="CZ61" i="17"/>
  <c r="DA61" i="17"/>
  <c r="DB61" i="17"/>
  <c r="DC61" i="17"/>
  <c r="DD61" i="17"/>
  <c r="DE61" i="17"/>
  <c r="DF61" i="17"/>
  <c r="DG61" i="17"/>
  <c r="DH61" i="17"/>
  <c r="DI61" i="17"/>
  <c r="DJ61" i="17"/>
  <c r="DK61" i="17"/>
  <c r="DL61" i="17"/>
  <c r="DM61" i="17"/>
  <c r="DN61" i="17"/>
  <c r="DO61" i="17"/>
  <c r="DP61" i="17"/>
  <c r="DQ61" i="17"/>
  <c r="DR61" i="17"/>
  <c r="DS61" i="17"/>
  <c r="DT61" i="17"/>
  <c r="DU61" i="17"/>
  <c r="DV61" i="17"/>
  <c r="DW61" i="17"/>
  <c r="DX61" i="17"/>
  <c r="DY61" i="17"/>
  <c r="DZ61" i="17"/>
  <c r="EA61" i="17"/>
  <c r="EB61" i="17"/>
  <c r="EC61" i="17"/>
  <c r="ED61" i="17"/>
  <c r="EE61" i="17"/>
  <c r="EF61" i="17"/>
  <c r="EG61" i="17"/>
  <c r="EH61" i="17"/>
  <c r="EI61" i="17"/>
  <c r="EJ61" i="17"/>
  <c r="EK61" i="17"/>
  <c r="EL61" i="17"/>
  <c r="EM61" i="17"/>
  <c r="EN61" i="17"/>
  <c r="EO61" i="17"/>
  <c r="EP61" i="17"/>
  <c r="EQ61" i="17"/>
  <c r="ER61" i="17"/>
  <c r="ES61" i="17"/>
  <c r="ET61" i="17"/>
  <c r="EU61" i="17"/>
  <c r="EV61" i="17"/>
  <c r="EW61" i="17"/>
  <c r="EX61" i="17"/>
  <c r="EY61" i="17"/>
  <c r="EZ61" i="17"/>
  <c r="FA61" i="17"/>
  <c r="FB61" i="17"/>
  <c r="FC61" i="17"/>
  <c r="FD61" i="17"/>
  <c r="FE61" i="17"/>
  <c r="FF61" i="17"/>
  <c r="FG61" i="17"/>
  <c r="FH61" i="17"/>
  <c r="FI61" i="17"/>
  <c r="FJ61" i="17"/>
  <c r="FK61" i="17"/>
  <c r="FL61" i="17"/>
  <c r="FM61" i="17"/>
  <c r="FN61" i="17"/>
  <c r="FO61" i="17"/>
  <c r="FP61" i="17"/>
  <c r="FQ61" i="17"/>
  <c r="FR61" i="17"/>
  <c r="FS61" i="17"/>
  <c r="FT61" i="17"/>
  <c r="FU61" i="17"/>
  <c r="FV61" i="17"/>
  <c r="FW61" i="17"/>
  <c r="FX61" i="17"/>
  <c r="FY61" i="17"/>
  <c r="FZ61" i="17"/>
  <c r="GA61" i="17"/>
  <c r="GB61" i="17"/>
  <c r="GC61" i="17"/>
  <c r="GD61" i="17"/>
  <c r="GE61" i="17"/>
  <c r="GF61" i="17"/>
  <c r="GG61" i="17"/>
  <c r="GH61" i="17"/>
  <c r="GI61" i="17"/>
  <c r="GJ61" i="17"/>
  <c r="GK61" i="17"/>
  <c r="GL61" i="17"/>
  <c r="GM61" i="17"/>
  <c r="GN61" i="17"/>
  <c r="GO61" i="17"/>
  <c r="GP61" i="17"/>
  <c r="GQ61" i="17"/>
  <c r="GR61" i="17"/>
  <c r="GS61" i="17"/>
  <c r="GT61" i="17"/>
  <c r="GU61" i="17"/>
  <c r="GV61" i="17"/>
  <c r="GW61" i="17"/>
  <c r="GX61" i="17"/>
  <c r="GY61" i="17"/>
  <c r="GZ61" i="17"/>
  <c r="HA61" i="17"/>
  <c r="HB61" i="17"/>
  <c r="HC61" i="17"/>
  <c r="HD61" i="17"/>
  <c r="HE61" i="17"/>
  <c r="HF61" i="17"/>
  <c r="HG61" i="17"/>
  <c r="HH61" i="17"/>
  <c r="HI61" i="17"/>
  <c r="HJ61" i="17"/>
  <c r="HK61" i="17"/>
  <c r="HL61" i="17"/>
  <c r="HM61" i="17"/>
  <c r="HN61" i="17"/>
  <c r="HO61" i="17"/>
  <c r="HP61" i="17"/>
  <c r="HQ61" i="17"/>
  <c r="HR61" i="17"/>
  <c r="HS61" i="17"/>
  <c r="HT61" i="17"/>
  <c r="HU61" i="17"/>
  <c r="HV61" i="17"/>
  <c r="HW61" i="17"/>
  <c r="HX61" i="17"/>
  <c r="HY61" i="17"/>
  <c r="HZ61" i="17"/>
  <c r="IA61" i="17"/>
  <c r="IB61" i="17"/>
  <c r="IC61" i="17"/>
  <c r="ID61" i="17"/>
  <c r="IE61" i="17"/>
  <c r="IF61" i="17"/>
  <c r="IG61" i="17"/>
  <c r="IH61" i="17"/>
  <c r="II61" i="17"/>
  <c r="IJ61" i="17"/>
  <c r="IK61" i="17"/>
  <c r="IL61" i="17"/>
  <c r="IM61" i="17"/>
  <c r="IN61" i="17"/>
  <c r="IO61" i="17"/>
  <c r="IP61" i="17"/>
  <c r="IQ61" i="17"/>
  <c r="IR61" i="17"/>
  <c r="IS61" i="17"/>
  <c r="IT61" i="17"/>
  <c r="IU61" i="17"/>
  <c r="IV61" i="17"/>
  <c r="A60" i="17"/>
  <c r="B60" i="17"/>
  <c r="C60" i="17"/>
  <c r="D60" i="17"/>
  <c r="E60" i="17"/>
  <c r="F60" i="17"/>
  <c r="G60" i="17"/>
  <c r="H60" i="17"/>
  <c r="I60" i="17"/>
  <c r="J60" i="17"/>
  <c r="K60" i="17"/>
  <c r="L60" i="17"/>
  <c r="M60" i="17"/>
  <c r="N60" i="17"/>
  <c r="O60" i="17"/>
  <c r="P60" i="17"/>
  <c r="Q60" i="17"/>
  <c r="R60" i="17"/>
  <c r="S60" i="17"/>
  <c r="T60" i="17"/>
  <c r="U60" i="17"/>
  <c r="V60" i="17"/>
  <c r="W60" i="17"/>
  <c r="X60" i="17"/>
  <c r="Y60" i="17"/>
  <c r="Z60" i="17"/>
  <c r="AA60" i="17"/>
  <c r="AB60" i="17"/>
  <c r="AC60" i="17"/>
  <c r="AD60" i="17"/>
  <c r="AE60" i="17"/>
  <c r="AF60" i="17"/>
  <c r="AG60" i="17"/>
  <c r="AH60" i="17"/>
  <c r="AI60" i="17"/>
  <c r="AJ60" i="17"/>
  <c r="AK60" i="17"/>
  <c r="AL60" i="17"/>
  <c r="AM60" i="17"/>
  <c r="AN60" i="17"/>
  <c r="AO60" i="17"/>
  <c r="AP60" i="17"/>
  <c r="AQ60" i="17"/>
  <c r="AR60" i="17"/>
  <c r="AS60" i="17"/>
  <c r="AT60" i="17"/>
  <c r="AU60" i="17"/>
  <c r="AV60" i="17"/>
  <c r="AW60" i="17"/>
  <c r="AX60" i="17"/>
  <c r="AY60" i="17"/>
  <c r="AZ60" i="17"/>
  <c r="BA60" i="17"/>
  <c r="BB60" i="17"/>
  <c r="BC60" i="17"/>
  <c r="BD60" i="17"/>
  <c r="BE60" i="17"/>
  <c r="BF60" i="17"/>
  <c r="BG60" i="17"/>
  <c r="BH60" i="17"/>
  <c r="BI60" i="17"/>
  <c r="BJ60" i="17"/>
  <c r="BK60" i="17"/>
  <c r="BL60" i="17"/>
  <c r="BM60" i="17"/>
  <c r="BN60" i="17"/>
  <c r="BO60" i="17"/>
  <c r="BP60" i="17"/>
  <c r="BQ60" i="17"/>
  <c r="BR60" i="17"/>
  <c r="BS60" i="17"/>
  <c r="BT60" i="17"/>
  <c r="BU60" i="17"/>
  <c r="BV60" i="17"/>
  <c r="BW60" i="17"/>
  <c r="BX60" i="17"/>
  <c r="BY60" i="17"/>
  <c r="BZ60" i="17"/>
  <c r="CA60" i="17"/>
  <c r="CB60" i="17"/>
  <c r="CC60" i="17"/>
  <c r="CD60" i="17"/>
  <c r="CE60" i="17"/>
  <c r="CF60" i="17"/>
  <c r="CG60" i="17"/>
  <c r="CH60" i="17"/>
  <c r="CI60" i="17"/>
  <c r="CJ60" i="17"/>
  <c r="CK60" i="17"/>
  <c r="CL60" i="17"/>
  <c r="CM60" i="17"/>
  <c r="CN60" i="17"/>
  <c r="CO60" i="17"/>
  <c r="CP60" i="17"/>
  <c r="CQ60" i="17"/>
  <c r="CR60" i="17"/>
  <c r="CS60" i="17"/>
  <c r="CT60" i="17"/>
  <c r="CU60" i="17"/>
  <c r="CV60" i="17"/>
  <c r="CW60" i="17"/>
  <c r="CX60" i="17"/>
  <c r="CY60" i="17"/>
  <c r="CZ60" i="17"/>
  <c r="DA60" i="17"/>
  <c r="DB60" i="17"/>
  <c r="DC60" i="17"/>
  <c r="DD60" i="17"/>
  <c r="DE60" i="17"/>
  <c r="DF60" i="17"/>
  <c r="DG60" i="17"/>
  <c r="DH60" i="17"/>
  <c r="DI60" i="17"/>
  <c r="DJ60" i="17"/>
  <c r="DK60" i="17"/>
  <c r="DL60" i="17"/>
  <c r="DM60" i="17"/>
  <c r="DN60" i="17"/>
  <c r="DO60" i="17"/>
  <c r="DP60" i="17"/>
  <c r="DQ60" i="17"/>
  <c r="DR60" i="17"/>
  <c r="DS60" i="17"/>
  <c r="DT60" i="17"/>
  <c r="DU60" i="17"/>
  <c r="DV60" i="17"/>
  <c r="DW60" i="17"/>
  <c r="DX60" i="17"/>
  <c r="DY60" i="17"/>
  <c r="DZ60" i="17"/>
  <c r="EA60" i="17"/>
  <c r="EB60" i="17"/>
  <c r="EC60" i="17"/>
  <c r="ED60" i="17"/>
  <c r="EE60" i="17"/>
  <c r="EF60" i="17"/>
  <c r="EG60" i="17"/>
  <c r="EH60" i="17"/>
  <c r="EI60" i="17"/>
  <c r="EJ60" i="17"/>
  <c r="EK60" i="17"/>
  <c r="EL60" i="17"/>
  <c r="EM60" i="17"/>
  <c r="EN60" i="17"/>
  <c r="EO60" i="17"/>
  <c r="EP60" i="17"/>
  <c r="EQ60" i="17"/>
  <c r="ER60" i="17"/>
  <c r="ES60" i="17"/>
  <c r="ET60" i="17"/>
  <c r="EU60" i="17"/>
  <c r="EV60" i="17"/>
  <c r="EW60" i="17"/>
  <c r="EX60" i="17"/>
  <c r="EY60" i="17"/>
  <c r="EZ60" i="17"/>
  <c r="FA60" i="17"/>
  <c r="FB60" i="17"/>
  <c r="FC60" i="17"/>
  <c r="FD60" i="17"/>
  <c r="FE60" i="17"/>
  <c r="FF60" i="17"/>
  <c r="FG60" i="17"/>
  <c r="FH60" i="17"/>
  <c r="FI60" i="17"/>
  <c r="FJ60" i="17"/>
  <c r="FK60" i="17"/>
  <c r="FL60" i="17"/>
  <c r="FM60" i="17"/>
  <c r="FN60" i="17"/>
  <c r="FO60" i="17"/>
  <c r="FP60" i="17"/>
  <c r="FQ60" i="17"/>
  <c r="FR60" i="17"/>
  <c r="FS60" i="17"/>
  <c r="FT60" i="17"/>
  <c r="FU60" i="17"/>
  <c r="FV60" i="17"/>
  <c r="FW60" i="17"/>
  <c r="FX60" i="17"/>
  <c r="FY60" i="17"/>
  <c r="FZ60" i="17"/>
  <c r="GA60" i="17"/>
  <c r="GB60" i="17"/>
  <c r="GC60" i="17"/>
  <c r="GD60" i="17"/>
  <c r="GE60" i="17"/>
  <c r="GF60" i="17"/>
  <c r="GG60" i="17"/>
  <c r="GH60" i="17"/>
  <c r="GI60" i="17"/>
  <c r="GJ60" i="17"/>
  <c r="GK60" i="17"/>
  <c r="GL60" i="17"/>
  <c r="GM60" i="17"/>
  <c r="GN60" i="17"/>
  <c r="GO60" i="17"/>
  <c r="GP60" i="17"/>
  <c r="GQ60" i="17"/>
  <c r="GR60" i="17"/>
  <c r="GS60" i="17"/>
  <c r="GT60" i="17"/>
  <c r="GU60" i="17"/>
  <c r="GV60" i="17"/>
  <c r="GW60" i="17"/>
  <c r="GX60" i="17"/>
  <c r="GY60" i="17"/>
  <c r="GZ60" i="17"/>
  <c r="HA60" i="17"/>
  <c r="HB60" i="17"/>
  <c r="HC60" i="17"/>
  <c r="HD60" i="17"/>
  <c r="HE60" i="17"/>
  <c r="HF60" i="17"/>
  <c r="HG60" i="17"/>
  <c r="HH60" i="17"/>
  <c r="HI60" i="17"/>
  <c r="HJ60" i="17"/>
  <c r="HK60" i="17"/>
  <c r="HL60" i="17"/>
  <c r="HM60" i="17"/>
  <c r="HN60" i="17"/>
  <c r="HO60" i="17"/>
  <c r="HP60" i="17"/>
  <c r="HQ60" i="17"/>
  <c r="HR60" i="17"/>
  <c r="HS60" i="17"/>
  <c r="HT60" i="17"/>
  <c r="HU60" i="17"/>
  <c r="HV60" i="17"/>
  <c r="HW60" i="17"/>
  <c r="HX60" i="17"/>
  <c r="HY60" i="17"/>
  <c r="HZ60" i="17"/>
  <c r="IA60" i="17"/>
  <c r="IB60" i="17"/>
  <c r="IC60" i="17"/>
  <c r="ID60" i="17"/>
  <c r="IE60" i="17"/>
  <c r="IF60" i="17"/>
  <c r="IG60" i="17"/>
  <c r="IH60" i="17"/>
  <c r="II60" i="17"/>
  <c r="IJ60" i="17"/>
  <c r="IK60" i="17"/>
  <c r="IL60" i="17"/>
  <c r="IM60" i="17"/>
  <c r="IN60" i="17"/>
  <c r="IO60" i="17"/>
  <c r="IP60" i="17"/>
  <c r="IQ60" i="17"/>
  <c r="IR60" i="17"/>
  <c r="IS60" i="17"/>
  <c r="IT60" i="17"/>
  <c r="IU60" i="17"/>
  <c r="IV60" i="17"/>
  <c r="A59" i="17"/>
  <c r="B59" i="17"/>
  <c r="C59" i="17"/>
  <c r="D59" i="17"/>
  <c r="E59" i="17"/>
  <c r="F59" i="17"/>
  <c r="G59" i="17"/>
  <c r="H59" i="17"/>
  <c r="I59" i="17"/>
  <c r="J59" i="17"/>
  <c r="K59" i="17"/>
  <c r="L59" i="17"/>
  <c r="M59" i="17"/>
  <c r="N59" i="17"/>
  <c r="O59" i="17"/>
  <c r="P59" i="17"/>
  <c r="Q59" i="17"/>
  <c r="R59" i="17"/>
  <c r="S59" i="17"/>
  <c r="T59" i="17"/>
  <c r="U59" i="17"/>
  <c r="V59" i="17"/>
  <c r="W59" i="17"/>
  <c r="X59" i="17"/>
  <c r="Y59" i="17"/>
  <c r="Z59" i="17"/>
  <c r="AA59" i="17"/>
  <c r="AB59" i="17"/>
  <c r="AC59" i="17"/>
  <c r="AD59" i="17"/>
  <c r="AE59" i="17"/>
  <c r="AF59" i="17"/>
  <c r="AG59" i="17"/>
  <c r="AH59" i="17"/>
  <c r="AI59" i="17"/>
  <c r="AJ59" i="17"/>
  <c r="AK59" i="17"/>
  <c r="AL59" i="17"/>
  <c r="AM59" i="17"/>
  <c r="AN59" i="17"/>
  <c r="AO59" i="17"/>
  <c r="AP59" i="17"/>
  <c r="AQ59" i="17"/>
  <c r="AR59" i="17"/>
  <c r="AS59" i="17"/>
  <c r="AT59" i="17"/>
  <c r="AU59" i="17"/>
  <c r="AV59" i="17"/>
  <c r="AW59" i="17"/>
  <c r="AX59" i="17"/>
  <c r="AY59" i="17"/>
  <c r="AZ59" i="17"/>
  <c r="BA59" i="17"/>
  <c r="BB59" i="17"/>
  <c r="BC59" i="17"/>
  <c r="BD59" i="17"/>
  <c r="BE59" i="17"/>
  <c r="BF59" i="17"/>
  <c r="BG59" i="17"/>
  <c r="BH59" i="17"/>
  <c r="BI59" i="17"/>
  <c r="BJ59" i="17"/>
  <c r="BK59" i="17"/>
  <c r="BL59" i="17"/>
  <c r="BM59" i="17"/>
  <c r="BN59" i="17"/>
  <c r="BO59" i="17"/>
  <c r="BP59" i="17"/>
  <c r="BQ59" i="17"/>
  <c r="BR59" i="17"/>
  <c r="BS59" i="17"/>
  <c r="BT59" i="17"/>
  <c r="BU59" i="17"/>
  <c r="BV59" i="17"/>
  <c r="BW59" i="17"/>
  <c r="BX59" i="17"/>
  <c r="BY59" i="17"/>
  <c r="BZ59" i="17"/>
  <c r="CA59" i="17"/>
  <c r="CB59" i="17"/>
  <c r="CC59" i="17"/>
  <c r="CD59" i="17"/>
  <c r="CE59" i="17"/>
  <c r="CF59" i="17"/>
  <c r="CG59" i="17"/>
  <c r="CH59" i="17"/>
  <c r="CI59" i="17"/>
  <c r="CJ59" i="17"/>
  <c r="CK59" i="17"/>
  <c r="CL59" i="17"/>
  <c r="CM59" i="17"/>
  <c r="CN59" i="17"/>
  <c r="CO59" i="17"/>
  <c r="CP59" i="17"/>
  <c r="CQ59" i="17"/>
  <c r="CR59" i="17"/>
  <c r="CS59" i="17"/>
  <c r="CT59" i="17"/>
  <c r="CU59" i="17"/>
  <c r="CV59" i="17"/>
  <c r="CW59" i="17"/>
  <c r="CX59" i="17"/>
  <c r="CY59" i="17"/>
  <c r="CZ59" i="17"/>
  <c r="DA59" i="17"/>
  <c r="DB59" i="17"/>
  <c r="DC59" i="17"/>
  <c r="DD59" i="17"/>
  <c r="DE59" i="17"/>
  <c r="DF59" i="17"/>
  <c r="DG59" i="17"/>
  <c r="DH59" i="17"/>
  <c r="DI59" i="17"/>
  <c r="DJ59" i="17"/>
  <c r="DK59" i="17"/>
  <c r="DL59" i="17"/>
  <c r="DM59" i="17"/>
  <c r="DN59" i="17"/>
  <c r="DO59" i="17"/>
  <c r="DP59" i="17"/>
  <c r="DQ59" i="17"/>
  <c r="DR59" i="17"/>
  <c r="DS59" i="17"/>
  <c r="DT59" i="17"/>
  <c r="DU59" i="17"/>
  <c r="DV59" i="17"/>
  <c r="DW59" i="17"/>
  <c r="DX59" i="17"/>
  <c r="DY59" i="17"/>
  <c r="DZ59" i="17"/>
  <c r="EA59" i="17"/>
  <c r="EB59" i="17"/>
  <c r="EC59" i="17"/>
  <c r="ED59" i="17"/>
  <c r="EE59" i="17"/>
  <c r="EF59" i="17"/>
  <c r="EG59" i="17"/>
  <c r="EH59" i="17"/>
  <c r="EI59" i="17"/>
  <c r="EJ59" i="17"/>
  <c r="EK59" i="17"/>
  <c r="EL59" i="17"/>
  <c r="EM59" i="17"/>
  <c r="EN59" i="17"/>
  <c r="EO59" i="17"/>
  <c r="EP59" i="17"/>
  <c r="EQ59" i="17"/>
  <c r="ER59" i="17"/>
  <c r="ES59" i="17"/>
  <c r="ET59" i="17"/>
  <c r="EU59" i="17"/>
  <c r="EV59" i="17"/>
  <c r="EW59" i="17"/>
  <c r="EX59" i="17"/>
  <c r="EY59" i="17"/>
  <c r="EZ59" i="17"/>
  <c r="FA59" i="17"/>
  <c r="FB59" i="17"/>
  <c r="FC59" i="17"/>
  <c r="FD59" i="17"/>
  <c r="FE59" i="17"/>
  <c r="FF59" i="17"/>
  <c r="FG59" i="17"/>
  <c r="FH59" i="17"/>
  <c r="FI59" i="17"/>
  <c r="FJ59" i="17"/>
  <c r="FK59" i="17"/>
  <c r="FL59" i="17"/>
  <c r="FM59" i="17"/>
  <c r="FN59" i="17"/>
  <c r="FO59" i="17"/>
  <c r="FP59" i="17"/>
  <c r="FQ59" i="17"/>
  <c r="FR59" i="17"/>
  <c r="FS59" i="17"/>
  <c r="FT59" i="17"/>
  <c r="FU59" i="17"/>
  <c r="FV59" i="17"/>
  <c r="FW59" i="17"/>
  <c r="FX59" i="17"/>
  <c r="FY59" i="17"/>
  <c r="FZ59" i="17"/>
  <c r="GA59" i="17"/>
  <c r="GB59" i="17"/>
  <c r="GC59" i="17"/>
  <c r="GD59" i="17"/>
  <c r="GE59" i="17"/>
  <c r="GF59" i="17"/>
  <c r="GG59" i="17"/>
  <c r="GH59" i="17"/>
  <c r="GI59" i="17"/>
  <c r="GJ59" i="17"/>
  <c r="GK59" i="17"/>
  <c r="GL59" i="17"/>
  <c r="GM59" i="17"/>
  <c r="GN59" i="17"/>
  <c r="GO59" i="17"/>
  <c r="GP59" i="17"/>
  <c r="GQ59" i="17"/>
  <c r="GR59" i="17"/>
  <c r="GS59" i="17"/>
  <c r="GT59" i="17"/>
  <c r="GU59" i="17"/>
  <c r="GV59" i="17"/>
  <c r="GW59" i="17"/>
  <c r="GX59" i="17"/>
  <c r="GY59" i="17"/>
  <c r="GZ59" i="17"/>
  <c r="HA59" i="17"/>
  <c r="HB59" i="17"/>
  <c r="HC59" i="17"/>
  <c r="HD59" i="17"/>
  <c r="HE59" i="17"/>
  <c r="HF59" i="17"/>
  <c r="HG59" i="17"/>
  <c r="HH59" i="17"/>
  <c r="HI59" i="17"/>
  <c r="HJ59" i="17"/>
  <c r="HK59" i="17"/>
  <c r="HL59" i="17"/>
  <c r="HM59" i="17"/>
  <c r="HN59" i="17"/>
  <c r="HO59" i="17"/>
  <c r="HP59" i="17"/>
  <c r="HQ59" i="17"/>
  <c r="HR59" i="17"/>
  <c r="HS59" i="17"/>
  <c r="HT59" i="17"/>
  <c r="HU59" i="17"/>
  <c r="HV59" i="17"/>
  <c r="HW59" i="17"/>
  <c r="HX59" i="17"/>
  <c r="HY59" i="17"/>
  <c r="HZ59" i="17"/>
  <c r="IA59" i="17"/>
  <c r="IB59" i="17"/>
  <c r="IC59" i="17"/>
  <c r="ID59" i="17"/>
  <c r="IE59" i="17"/>
  <c r="IF59" i="17"/>
  <c r="IG59" i="17"/>
  <c r="IH59" i="17"/>
  <c r="II59" i="17"/>
  <c r="IJ59" i="17"/>
  <c r="IK59" i="17"/>
  <c r="IL59" i="17"/>
  <c r="IM59" i="17"/>
  <c r="IN59" i="17"/>
  <c r="IO59" i="17"/>
  <c r="IP59" i="17"/>
  <c r="IQ59" i="17"/>
  <c r="IR59" i="17"/>
  <c r="IS59" i="17"/>
  <c r="IT59" i="17"/>
  <c r="IU59" i="17"/>
  <c r="IV59" i="17"/>
  <c r="A58" i="17"/>
  <c r="B58" i="17"/>
  <c r="C58" i="17"/>
  <c r="D58" i="17"/>
  <c r="E58" i="17"/>
  <c r="F58" i="17"/>
  <c r="G58" i="17"/>
  <c r="H58" i="17"/>
  <c r="I58" i="17"/>
  <c r="J58" i="17"/>
  <c r="K58" i="17"/>
  <c r="L58" i="17"/>
  <c r="M58" i="17"/>
  <c r="N58" i="17"/>
  <c r="O58" i="17"/>
  <c r="P58" i="17"/>
  <c r="Q58" i="17"/>
  <c r="R58" i="17"/>
  <c r="S58" i="17"/>
  <c r="T58" i="17"/>
  <c r="U58" i="17"/>
  <c r="V58" i="17"/>
  <c r="W58" i="17"/>
  <c r="X58" i="17"/>
  <c r="Y58" i="17"/>
  <c r="Z58" i="17"/>
  <c r="AA58" i="17"/>
  <c r="AB58" i="17"/>
  <c r="AC58" i="17"/>
  <c r="AD58" i="17"/>
  <c r="AE58" i="17"/>
  <c r="AF58" i="17"/>
  <c r="AG58" i="17"/>
  <c r="AH58" i="17"/>
  <c r="AI58" i="17"/>
  <c r="AJ58" i="17"/>
  <c r="AK58" i="17"/>
  <c r="AL58" i="17"/>
  <c r="AM58" i="17"/>
  <c r="AN58" i="17"/>
  <c r="AO58" i="17"/>
  <c r="AP58" i="17"/>
  <c r="AQ58" i="17"/>
  <c r="AR58" i="17"/>
  <c r="AS58" i="17"/>
  <c r="AT58" i="17"/>
  <c r="AU58" i="17"/>
  <c r="AV58" i="17"/>
  <c r="AW58" i="17"/>
  <c r="AX58" i="17"/>
  <c r="AY58" i="17"/>
  <c r="AZ58" i="17"/>
  <c r="BA58" i="17"/>
  <c r="BB58" i="17"/>
  <c r="BC58" i="17"/>
  <c r="BD58" i="17"/>
  <c r="BE58" i="17"/>
  <c r="BF58" i="17"/>
  <c r="BG58" i="17"/>
  <c r="BH58" i="17"/>
  <c r="BI58" i="17"/>
  <c r="BJ58" i="17"/>
  <c r="BK58" i="17"/>
  <c r="BL58" i="17"/>
  <c r="BM58" i="17"/>
  <c r="BN58" i="17"/>
  <c r="BO58" i="17"/>
  <c r="BP58" i="17"/>
  <c r="BQ58" i="17"/>
  <c r="BR58" i="17"/>
  <c r="BS58" i="17"/>
  <c r="BT58" i="17"/>
  <c r="BU58" i="17"/>
  <c r="BV58" i="17"/>
  <c r="BW58" i="17"/>
  <c r="BX58" i="17"/>
  <c r="BY58" i="17"/>
  <c r="BZ58" i="17"/>
  <c r="CA58" i="17"/>
  <c r="CB58" i="17"/>
  <c r="CC58" i="17"/>
  <c r="CD58" i="17"/>
  <c r="CE58" i="17"/>
  <c r="CF58" i="17"/>
  <c r="CG58" i="17"/>
  <c r="CH58" i="17"/>
  <c r="CI58" i="17"/>
  <c r="CJ58" i="17"/>
  <c r="CK58" i="17"/>
  <c r="CL58" i="17"/>
  <c r="CM58" i="17"/>
  <c r="CN58" i="17"/>
  <c r="CO58" i="17"/>
  <c r="CP58" i="17"/>
  <c r="CQ58" i="17"/>
  <c r="CR58" i="17"/>
  <c r="CS58" i="17"/>
  <c r="CT58" i="17"/>
  <c r="CU58" i="17"/>
  <c r="CV58" i="17"/>
  <c r="CW58" i="17"/>
  <c r="CX58" i="17"/>
  <c r="CY58" i="17"/>
  <c r="CZ58" i="17"/>
  <c r="DA58" i="17"/>
  <c r="DB58" i="17"/>
  <c r="DC58" i="17"/>
  <c r="DD58" i="17"/>
  <c r="DE58" i="17"/>
  <c r="DF58" i="17"/>
  <c r="DG58" i="17"/>
  <c r="DH58" i="17"/>
  <c r="DI58" i="17"/>
  <c r="DJ58" i="17"/>
  <c r="DK58" i="17"/>
  <c r="DL58" i="17"/>
  <c r="DM58" i="17"/>
  <c r="DN58" i="17"/>
  <c r="DO58" i="17"/>
  <c r="DP58" i="17"/>
  <c r="DQ58" i="17"/>
  <c r="DR58" i="17"/>
  <c r="DS58" i="17"/>
  <c r="DT58" i="17"/>
  <c r="DU58" i="17"/>
  <c r="DV58" i="17"/>
  <c r="DW58" i="17"/>
  <c r="DX58" i="17"/>
  <c r="DY58" i="17"/>
  <c r="DZ58" i="17"/>
  <c r="EA58" i="17"/>
  <c r="EB58" i="17"/>
  <c r="EC58" i="17"/>
  <c r="ED58" i="17"/>
  <c r="EE58" i="17"/>
  <c r="EF58" i="17"/>
  <c r="EG58" i="17"/>
  <c r="EH58" i="17"/>
  <c r="EI58" i="17"/>
  <c r="EJ58" i="17"/>
  <c r="EK58" i="17"/>
  <c r="EL58" i="17"/>
  <c r="EM58" i="17"/>
  <c r="EN58" i="17"/>
  <c r="EO58" i="17"/>
  <c r="EP58" i="17"/>
  <c r="EQ58" i="17"/>
  <c r="ER58" i="17"/>
  <c r="ES58" i="17"/>
  <c r="ET58" i="17"/>
  <c r="EU58" i="17"/>
  <c r="EV58" i="17"/>
  <c r="EW58" i="17"/>
  <c r="EX58" i="17"/>
  <c r="EY58" i="17"/>
  <c r="EZ58" i="17"/>
  <c r="FA58" i="17"/>
  <c r="FB58" i="17"/>
  <c r="FC58" i="17"/>
  <c r="FD58" i="17"/>
  <c r="FE58" i="17"/>
  <c r="FF58" i="17"/>
  <c r="FG58" i="17"/>
  <c r="FH58" i="17"/>
  <c r="FI58" i="17"/>
  <c r="FJ58" i="17"/>
  <c r="FK58" i="17"/>
  <c r="FL58" i="17"/>
  <c r="FM58" i="17"/>
  <c r="FN58" i="17"/>
  <c r="FO58" i="17"/>
  <c r="FP58" i="17"/>
  <c r="FQ58" i="17"/>
  <c r="FR58" i="17"/>
  <c r="FS58" i="17"/>
  <c r="FT58" i="17"/>
  <c r="FU58" i="17"/>
  <c r="FV58" i="17"/>
  <c r="FW58" i="17"/>
  <c r="FX58" i="17"/>
  <c r="FY58" i="17"/>
  <c r="FZ58" i="17"/>
  <c r="GA58" i="17"/>
  <c r="GB58" i="17"/>
  <c r="GC58" i="17"/>
  <c r="GD58" i="17"/>
  <c r="GE58" i="17"/>
  <c r="GF58" i="17"/>
  <c r="GG58" i="17"/>
  <c r="GH58" i="17"/>
  <c r="GI58" i="17"/>
  <c r="GJ58" i="17"/>
  <c r="GK58" i="17"/>
  <c r="GL58" i="17"/>
  <c r="GM58" i="17"/>
  <c r="GN58" i="17"/>
  <c r="GO58" i="17"/>
  <c r="GP58" i="17"/>
  <c r="GQ58" i="17"/>
  <c r="GR58" i="17"/>
  <c r="GS58" i="17"/>
  <c r="GT58" i="17"/>
  <c r="GU58" i="17"/>
  <c r="GV58" i="17"/>
  <c r="GW58" i="17"/>
  <c r="GX58" i="17"/>
  <c r="GY58" i="17"/>
  <c r="GZ58" i="17"/>
  <c r="HA58" i="17"/>
  <c r="HB58" i="17"/>
  <c r="HC58" i="17"/>
  <c r="HD58" i="17"/>
  <c r="HE58" i="17"/>
  <c r="HF58" i="17"/>
  <c r="HG58" i="17"/>
  <c r="HH58" i="17"/>
  <c r="HI58" i="17"/>
  <c r="HJ58" i="17"/>
  <c r="HK58" i="17"/>
  <c r="HL58" i="17"/>
  <c r="HM58" i="17"/>
  <c r="HN58" i="17"/>
  <c r="HO58" i="17"/>
  <c r="HP58" i="17"/>
  <c r="HQ58" i="17"/>
  <c r="HR58" i="17"/>
  <c r="HS58" i="17"/>
  <c r="HT58" i="17"/>
  <c r="HU58" i="17"/>
  <c r="HV58" i="17"/>
  <c r="HW58" i="17"/>
  <c r="HX58" i="17"/>
  <c r="HY58" i="17"/>
  <c r="HZ58" i="17"/>
  <c r="IA58" i="17"/>
  <c r="IB58" i="17"/>
  <c r="IC58" i="17"/>
  <c r="ID58" i="17"/>
  <c r="IE58" i="17"/>
  <c r="IF58" i="17"/>
  <c r="IG58" i="17"/>
  <c r="IH58" i="17"/>
  <c r="II58" i="17"/>
  <c r="IJ58" i="17"/>
  <c r="IK58" i="17"/>
  <c r="IL58" i="17"/>
  <c r="IM58" i="17"/>
  <c r="IN58" i="17"/>
  <c r="IO58" i="17"/>
  <c r="IP58" i="17"/>
  <c r="IQ58" i="17"/>
  <c r="IR58" i="17"/>
  <c r="IS58" i="17"/>
  <c r="IT58" i="17"/>
  <c r="IU58" i="17"/>
  <c r="IV58" i="17"/>
  <c r="A57" i="17"/>
  <c r="B57" i="17"/>
  <c r="C57" i="17"/>
  <c r="D57" i="17"/>
  <c r="E57" i="17"/>
  <c r="F57" i="17"/>
  <c r="G57" i="17"/>
  <c r="H57" i="17"/>
  <c r="I57" i="17"/>
  <c r="J57" i="17"/>
  <c r="K57" i="17"/>
  <c r="L57" i="17"/>
  <c r="M57" i="17"/>
  <c r="N57" i="17"/>
  <c r="O57" i="17"/>
  <c r="P57" i="17"/>
  <c r="Q57" i="17"/>
  <c r="R57" i="17"/>
  <c r="S57" i="17"/>
  <c r="T57" i="17"/>
  <c r="U57" i="17"/>
  <c r="V57" i="17"/>
  <c r="W57" i="17"/>
  <c r="X57" i="17"/>
  <c r="Y57" i="17"/>
  <c r="Z57" i="17"/>
  <c r="AA57" i="17"/>
  <c r="AB57" i="17"/>
  <c r="AC57" i="17"/>
  <c r="AD57" i="17"/>
  <c r="AE57" i="17"/>
  <c r="AF57" i="17"/>
  <c r="AG57" i="17"/>
  <c r="AH57" i="17"/>
  <c r="AI57" i="17"/>
  <c r="AJ57" i="17"/>
  <c r="AK57" i="17"/>
  <c r="AL57" i="17"/>
  <c r="AM57" i="17"/>
  <c r="AN57" i="17"/>
  <c r="AO57" i="17"/>
  <c r="AP57" i="17"/>
  <c r="AQ57" i="17"/>
  <c r="AR57" i="17"/>
  <c r="AS57" i="17"/>
  <c r="AT57" i="17"/>
  <c r="AU57" i="17"/>
  <c r="AV57" i="17"/>
  <c r="AW57" i="17"/>
  <c r="AX57" i="17"/>
  <c r="AY57" i="17"/>
  <c r="AZ57" i="17"/>
  <c r="BA57" i="17"/>
  <c r="BB57" i="17"/>
  <c r="BC57" i="17"/>
  <c r="BD57" i="17"/>
  <c r="BE57" i="17"/>
  <c r="BF57" i="17"/>
  <c r="BG57" i="17"/>
  <c r="BH57" i="17"/>
  <c r="BI57" i="17"/>
  <c r="BJ57" i="17"/>
  <c r="BK57" i="17"/>
  <c r="BL57" i="17"/>
  <c r="BM57" i="17"/>
  <c r="BN57" i="17"/>
  <c r="BO57" i="17"/>
  <c r="BP57" i="17"/>
  <c r="BQ57" i="17"/>
  <c r="BR57" i="17"/>
  <c r="BS57" i="17"/>
  <c r="BT57" i="17"/>
  <c r="BU57" i="17"/>
  <c r="BV57" i="17"/>
  <c r="BW57" i="17"/>
  <c r="BX57" i="17"/>
  <c r="BY57" i="17"/>
  <c r="BZ57" i="17"/>
  <c r="CA57" i="17"/>
  <c r="CB57" i="17"/>
  <c r="CC57" i="17"/>
  <c r="CD57" i="17"/>
  <c r="CE57" i="17"/>
  <c r="CF57" i="17"/>
  <c r="CG57" i="17"/>
  <c r="CH57" i="17"/>
  <c r="CI57" i="17"/>
  <c r="CJ57" i="17"/>
  <c r="CK57" i="17"/>
  <c r="CL57" i="17"/>
  <c r="CM57" i="17"/>
  <c r="CN57" i="17"/>
  <c r="CO57" i="17"/>
  <c r="CP57" i="17"/>
  <c r="CQ57" i="17"/>
  <c r="CR57" i="17"/>
  <c r="CS57" i="17"/>
  <c r="CT57" i="17"/>
  <c r="CU57" i="17"/>
  <c r="CV57" i="17"/>
  <c r="CW57" i="17"/>
  <c r="CX57" i="17"/>
  <c r="CY57" i="17"/>
  <c r="CZ57" i="17"/>
  <c r="DA57" i="17"/>
  <c r="DB57" i="17"/>
  <c r="DC57" i="17"/>
  <c r="DD57" i="17"/>
  <c r="DE57" i="17"/>
  <c r="DF57" i="17"/>
  <c r="DG57" i="17"/>
  <c r="DH57" i="17"/>
  <c r="DI57" i="17"/>
  <c r="DJ57" i="17"/>
  <c r="DK57" i="17"/>
  <c r="DL57" i="17"/>
  <c r="DM57" i="17"/>
  <c r="DN57" i="17"/>
  <c r="DO57" i="17"/>
  <c r="DP57" i="17"/>
  <c r="DQ57" i="17"/>
  <c r="DR57" i="17"/>
  <c r="DS57" i="17"/>
  <c r="DT57" i="17"/>
  <c r="DU57" i="17"/>
  <c r="DV57" i="17"/>
  <c r="DW57" i="17"/>
  <c r="DX57" i="17"/>
  <c r="DY57" i="17"/>
  <c r="DZ57" i="17"/>
  <c r="EA57" i="17"/>
  <c r="EB57" i="17"/>
  <c r="EC57" i="17"/>
  <c r="ED57" i="17"/>
  <c r="EE57" i="17"/>
  <c r="EF57" i="17"/>
  <c r="EG57" i="17"/>
  <c r="EH57" i="17"/>
  <c r="EI57" i="17"/>
  <c r="EJ57" i="17"/>
  <c r="EK57" i="17"/>
  <c r="EL57" i="17"/>
  <c r="EM57" i="17"/>
  <c r="EN57" i="17"/>
  <c r="EO57" i="17"/>
  <c r="EP57" i="17"/>
  <c r="EQ57" i="17"/>
  <c r="ER57" i="17"/>
  <c r="ES57" i="17"/>
  <c r="ET57" i="17"/>
  <c r="EU57" i="17"/>
  <c r="EV57" i="17"/>
  <c r="EW57" i="17"/>
  <c r="EX57" i="17"/>
  <c r="EY57" i="17"/>
  <c r="EZ57" i="17"/>
  <c r="FA57" i="17"/>
  <c r="FB57" i="17"/>
  <c r="FC57" i="17"/>
  <c r="FD57" i="17"/>
  <c r="FE57" i="17"/>
  <c r="FF57" i="17"/>
  <c r="FG57" i="17"/>
  <c r="FH57" i="17"/>
  <c r="FI57" i="17"/>
  <c r="FJ57" i="17"/>
  <c r="FK57" i="17"/>
  <c r="FL57" i="17"/>
  <c r="FM57" i="17"/>
  <c r="FN57" i="17"/>
  <c r="FO57" i="17"/>
  <c r="FP57" i="17"/>
  <c r="FQ57" i="17"/>
  <c r="FR57" i="17"/>
  <c r="FS57" i="17"/>
  <c r="FT57" i="17"/>
  <c r="FU57" i="17"/>
  <c r="FV57" i="17"/>
  <c r="FW57" i="17"/>
  <c r="FX57" i="17"/>
  <c r="FY57" i="17"/>
  <c r="FZ57" i="17"/>
  <c r="GA57" i="17"/>
  <c r="GB57" i="17"/>
  <c r="GC57" i="17"/>
  <c r="GD57" i="17"/>
  <c r="GE57" i="17"/>
  <c r="GF57" i="17"/>
  <c r="GG57" i="17"/>
  <c r="GH57" i="17"/>
  <c r="GI57" i="17"/>
  <c r="GJ57" i="17"/>
  <c r="GK57" i="17"/>
  <c r="GL57" i="17"/>
  <c r="GM57" i="17"/>
  <c r="GN57" i="17"/>
  <c r="GO57" i="17"/>
  <c r="GP57" i="17"/>
  <c r="GQ57" i="17"/>
  <c r="GR57" i="17"/>
  <c r="GS57" i="17"/>
  <c r="GT57" i="17"/>
  <c r="GU57" i="17"/>
  <c r="GV57" i="17"/>
  <c r="GW57" i="17"/>
  <c r="GX57" i="17"/>
  <c r="GY57" i="17"/>
  <c r="GZ57" i="17"/>
  <c r="HA57" i="17"/>
  <c r="HB57" i="17"/>
  <c r="HC57" i="17"/>
  <c r="HD57" i="17"/>
  <c r="HE57" i="17"/>
  <c r="HF57" i="17"/>
  <c r="HG57" i="17"/>
  <c r="HH57" i="17"/>
  <c r="HI57" i="17"/>
  <c r="HJ57" i="17"/>
  <c r="HK57" i="17"/>
  <c r="HL57" i="17"/>
  <c r="HM57" i="17"/>
  <c r="HN57" i="17"/>
  <c r="HO57" i="17"/>
  <c r="HP57" i="17"/>
  <c r="HQ57" i="17"/>
  <c r="HR57" i="17"/>
  <c r="HS57" i="17"/>
  <c r="HT57" i="17"/>
  <c r="HU57" i="17"/>
  <c r="HV57" i="17"/>
  <c r="HW57" i="17"/>
  <c r="HX57" i="17"/>
  <c r="HY57" i="17"/>
  <c r="HZ57" i="17"/>
  <c r="IA57" i="17"/>
  <c r="IB57" i="17"/>
  <c r="IC57" i="17"/>
  <c r="ID57" i="17"/>
  <c r="IE57" i="17"/>
  <c r="IF57" i="17"/>
  <c r="IG57" i="17"/>
  <c r="IH57" i="17"/>
  <c r="II57" i="17"/>
  <c r="IJ57" i="17"/>
  <c r="IK57" i="17"/>
  <c r="IL57" i="17"/>
  <c r="IM57" i="17"/>
  <c r="IN57" i="17"/>
  <c r="IO57" i="17"/>
  <c r="IP57" i="17"/>
  <c r="IQ57" i="17"/>
  <c r="IR57" i="17"/>
  <c r="IS57" i="17"/>
  <c r="IT57" i="17"/>
  <c r="IU57" i="17"/>
  <c r="IV57" i="17"/>
  <c r="A56" i="17"/>
  <c r="B56" i="17"/>
  <c r="C56" i="17"/>
  <c r="D56" i="17"/>
  <c r="E56" i="17"/>
  <c r="F56" i="17"/>
  <c r="G56" i="17"/>
  <c r="H56" i="17"/>
  <c r="I56" i="17"/>
  <c r="J56" i="17"/>
  <c r="K56" i="17"/>
  <c r="L56" i="17"/>
  <c r="M56" i="17"/>
  <c r="N56" i="17"/>
  <c r="O56" i="17"/>
  <c r="P56" i="17"/>
  <c r="Q56" i="17"/>
  <c r="R56" i="17"/>
  <c r="S56" i="17"/>
  <c r="T56" i="17"/>
  <c r="U56" i="17"/>
  <c r="V56" i="17"/>
  <c r="W56" i="17"/>
  <c r="X56" i="17"/>
  <c r="Y56" i="17"/>
  <c r="Z56" i="17"/>
  <c r="AA56" i="17"/>
  <c r="AB56" i="17"/>
  <c r="AC56" i="17"/>
  <c r="AD56" i="17"/>
  <c r="AE56" i="17"/>
  <c r="AF56" i="17"/>
  <c r="AG56" i="17"/>
  <c r="AH56" i="17"/>
  <c r="AI56" i="17"/>
  <c r="AJ56" i="17"/>
  <c r="AK56" i="17"/>
  <c r="AL56" i="17"/>
  <c r="AM56" i="17"/>
  <c r="AN56" i="17"/>
  <c r="AO56" i="17"/>
  <c r="AP56" i="17"/>
  <c r="AQ56" i="17"/>
  <c r="AR56" i="17"/>
  <c r="AS56" i="17"/>
  <c r="AT56" i="17"/>
  <c r="AU56" i="17"/>
  <c r="AV56" i="17"/>
  <c r="AW56" i="17"/>
  <c r="AX56" i="17"/>
  <c r="AY56" i="17"/>
  <c r="AZ56" i="17"/>
  <c r="BA56" i="17"/>
  <c r="BB56" i="17"/>
  <c r="BC56" i="17"/>
  <c r="BD56" i="17"/>
  <c r="BE56" i="17"/>
  <c r="BF56" i="17"/>
  <c r="BG56" i="17"/>
  <c r="BH56" i="17"/>
  <c r="BI56" i="17"/>
  <c r="BJ56" i="17"/>
  <c r="BK56" i="17"/>
  <c r="BL56" i="17"/>
  <c r="BM56" i="17"/>
  <c r="BN56" i="17"/>
  <c r="BO56" i="17"/>
  <c r="BP56" i="17"/>
  <c r="BQ56" i="17"/>
  <c r="BR56" i="17"/>
  <c r="BS56" i="17"/>
  <c r="BT56" i="17"/>
  <c r="BU56" i="17"/>
  <c r="BV56" i="17"/>
  <c r="BW56" i="17"/>
  <c r="BX56" i="17"/>
  <c r="BY56" i="17"/>
  <c r="BZ56" i="17"/>
  <c r="CA56" i="17"/>
  <c r="CB56" i="17"/>
  <c r="CC56" i="17"/>
  <c r="CD56" i="17"/>
  <c r="CE56" i="17"/>
  <c r="CF56" i="17"/>
  <c r="CG56" i="17"/>
  <c r="CH56" i="17"/>
  <c r="CI56" i="17"/>
  <c r="CJ56" i="17"/>
  <c r="CK56" i="17"/>
  <c r="CL56" i="17"/>
  <c r="CM56" i="17"/>
  <c r="CN56" i="17"/>
  <c r="CO56" i="17"/>
  <c r="CP56" i="17"/>
  <c r="CQ56" i="17"/>
  <c r="CR56" i="17"/>
  <c r="CS56" i="17"/>
  <c r="CT56" i="17"/>
  <c r="CU56" i="17"/>
  <c r="CV56" i="17"/>
  <c r="CW56" i="17"/>
  <c r="CX56" i="17"/>
  <c r="CY56" i="17"/>
  <c r="CZ56" i="17"/>
  <c r="DA56" i="17"/>
  <c r="DB56" i="17"/>
  <c r="DC56" i="17"/>
  <c r="DD56" i="17"/>
  <c r="DE56" i="17"/>
  <c r="DF56" i="17"/>
  <c r="DG56" i="17"/>
  <c r="DH56" i="17"/>
  <c r="DI56" i="17"/>
  <c r="DJ56" i="17"/>
  <c r="DK56" i="17"/>
  <c r="DL56" i="17"/>
  <c r="DM56" i="17"/>
  <c r="DN56" i="17"/>
  <c r="DO56" i="17"/>
  <c r="DP56" i="17"/>
  <c r="DQ56" i="17"/>
  <c r="DR56" i="17"/>
  <c r="DS56" i="17"/>
  <c r="DT56" i="17"/>
  <c r="DU56" i="17"/>
  <c r="DV56" i="17"/>
  <c r="DW56" i="17"/>
  <c r="DX56" i="17"/>
  <c r="DY56" i="17"/>
  <c r="DZ56" i="17"/>
  <c r="EA56" i="17"/>
  <c r="EB56" i="17"/>
  <c r="EC56" i="17"/>
  <c r="ED56" i="17"/>
  <c r="EE56" i="17"/>
  <c r="EF56" i="17"/>
  <c r="EG56" i="17"/>
  <c r="EH56" i="17"/>
  <c r="EI56" i="17"/>
  <c r="EJ56" i="17"/>
  <c r="EK56" i="17"/>
  <c r="EL56" i="17"/>
  <c r="EM56" i="17"/>
  <c r="EN56" i="17"/>
  <c r="EO56" i="17"/>
  <c r="EP56" i="17"/>
  <c r="EQ56" i="17"/>
  <c r="ER56" i="17"/>
  <c r="ES56" i="17"/>
  <c r="ET56" i="17"/>
  <c r="EU56" i="17"/>
  <c r="EV56" i="17"/>
  <c r="EW56" i="17"/>
  <c r="EX56" i="17"/>
  <c r="EY56" i="17"/>
  <c r="EZ56" i="17"/>
  <c r="FA56" i="17"/>
  <c r="FB56" i="17"/>
  <c r="FC56" i="17"/>
  <c r="FD56" i="17"/>
  <c r="FE56" i="17"/>
  <c r="FF56" i="17"/>
  <c r="FG56" i="17"/>
  <c r="FH56" i="17"/>
  <c r="FI56" i="17"/>
  <c r="FJ56" i="17"/>
  <c r="FK56" i="17"/>
  <c r="FL56" i="17"/>
  <c r="FM56" i="17"/>
  <c r="FN56" i="17"/>
  <c r="FO56" i="17"/>
  <c r="FP56" i="17"/>
  <c r="FQ56" i="17"/>
  <c r="FR56" i="17"/>
  <c r="FS56" i="17"/>
  <c r="FT56" i="17"/>
  <c r="FU56" i="17"/>
  <c r="FV56" i="17"/>
  <c r="FW56" i="17"/>
  <c r="FX56" i="17"/>
  <c r="FY56" i="17"/>
  <c r="FZ56" i="17"/>
  <c r="GA56" i="17"/>
  <c r="GB56" i="17"/>
  <c r="GC56" i="17"/>
  <c r="GD56" i="17"/>
  <c r="GE56" i="17"/>
  <c r="GF56" i="17"/>
  <c r="GG56" i="17"/>
  <c r="GH56" i="17"/>
  <c r="GI56" i="17"/>
  <c r="GJ56" i="17"/>
  <c r="GK56" i="17"/>
  <c r="GL56" i="17"/>
  <c r="GM56" i="17"/>
  <c r="GN56" i="17"/>
  <c r="GO56" i="17"/>
  <c r="GP56" i="17"/>
  <c r="GQ56" i="17"/>
  <c r="GR56" i="17"/>
  <c r="GS56" i="17"/>
  <c r="GT56" i="17"/>
  <c r="GU56" i="17"/>
  <c r="GV56" i="17"/>
  <c r="GW56" i="17"/>
  <c r="GX56" i="17"/>
  <c r="GY56" i="17"/>
  <c r="GZ56" i="17"/>
  <c r="HA56" i="17"/>
  <c r="HB56" i="17"/>
  <c r="HC56" i="17"/>
  <c r="HD56" i="17"/>
  <c r="HE56" i="17"/>
  <c r="HF56" i="17"/>
  <c r="HG56" i="17"/>
  <c r="HH56" i="17"/>
  <c r="HI56" i="17"/>
  <c r="HJ56" i="17"/>
  <c r="HK56" i="17"/>
  <c r="HL56" i="17"/>
  <c r="HM56" i="17"/>
  <c r="HN56" i="17"/>
  <c r="HO56" i="17"/>
  <c r="HP56" i="17"/>
  <c r="HQ56" i="17"/>
  <c r="HR56" i="17"/>
  <c r="HS56" i="17"/>
  <c r="HT56" i="17"/>
  <c r="HU56" i="17"/>
  <c r="HV56" i="17"/>
  <c r="HW56" i="17"/>
  <c r="HX56" i="17"/>
  <c r="HY56" i="17"/>
  <c r="HZ56" i="17"/>
  <c r="IA56" i="17"/>
  <c r="IB56" i="17"/>
  <c r="IC56" i="17"/>
  <c r="ID56" i="17"/>
  <c r="IE56" i="17"/>
  <c r="IF56" i="17"/>
  <c r="IG56" i="17"/>
  <c r="IH56" i="17"/>
  <c r="II56" i="17"/>
  <c r="IJ56" i="17"/>
  <c r="IK56" i="17"/>
  <c r="IL56" i="17"/>
  <c r="IM56" i="17"/>
  <c r="IN56" i="17"/>
  <c r="IO56" i="17"/>
  <c r="IP56" i="17"/>
  <c r="IQ56" i="17"/>
  <c r="IR56" i="17"/>
  <c r="IS56" i="17"/>
  <c r="IT56" i="17"/>
  <c r="IU56" i="17"/>
  <c r="IV56" i="17"/>
  <c r="A55" i="17"/>
  <c r="B55" i="17"/>
  <c r="C55" i="17"/>
  <c r="D55" i="17"/>
  <c r="E55" i="17"/>
  <c r="F55" i="17"/>
  <c r="G55" i="17"/>
  <c r="H55" i="17"/>
  <c r="I55" i="17"/>
  <c r="J55" i="17"/>
  <c r="K55" i="17"/>
  <c r="L55" i="17"/>
  <c r="M55" i="17"/>
  <c r="N55" i="17"/>
  <c r="O55" i="17"/>
  <c r="P55" i="17"/>
  <c r="Q55" i="17"/>
  <c r="R55" i="17"/>
  <c r="S55" i="17"/>
  <c r="T55" i="17"/>
  <c r="U55" i="17"/>
  <c r="V55" i="17"/>
  <c r="W55" i="17"/>
  <c r="X55" i="17"/>
  <c r="Y55" i="17"/>
  <c r="Z55" i="17"/>
  <c r="AA55" i="17"/>
  <c r="AB55" i="17"/>
  <c r="AC55" i="17"/>
  <c r="AD55" i="17"/>
  <c r="AE55" i="17"/>
  <c r="AF55" i="17"/>
  <c r="AG55" i="17"/>
  <c r="AH55" i="17"/>
  <c r="AI55" i="17"/>
  <c r="AJ55" i="17"/>
  <c r="AK55" i="17"/>
  <c r="AL55" i="17"/>
  <c r="AM55" i="17"/>
  <c r="AN55" i="17"/>
  <c r="AO55" i="17"/>
  <c r="AP55" i="17"/>
  <c r="AQ55" i="17"/>
  <c r="AR55" i="17"/>
  <c r="AS55" i="17"/>
  <c r="AT55" i="17"/>
  <c r="AU55" i="17"/>
  <c r="AV55" i="17"/>
  <c r="AW55" i="17"/>
  <c r="AX55" i="17"/>
  <c r="AY55" i="17"/>
  <c r="AZ55" i="17"/>
  <c r="BA55" i="17"/>
  <c r="BB55" i="17"/>
  <c r="BC55" i="17"/>
  <c r="BD55" i="17"/>
  <c r="BE55" i="17"/>
  <c r="BF55" i="17"/>
  <c r="BG55" i="17"/>
  <c r="BH55" i="17"/>
  <c r="BI55" i="17"/>
  <c r="BJ55" i="17"/>
  <c r="BK55" i="17"/>
  <c r="BL55" i="17"/>
  <c r="BM55" i="17"/>
  <c r="BN55" i="17"/>
  <c r="BO55" i="17"/>
  <c r="BP55" i="17"/>
  <c r="BQ55" i="17"/>
  <c r="BR55" i="17"/>
  <c r="BS55" i="17"/>
  <c r="BT55" i="17"/>
  <c r="BU55" i="17"/>
  <c r="BV55" i="17"/>
  <c r="BW55" i="17"/>
  <c r="BX55" i="17"/>
  <c r="BY55" i="17"/>
  <c r="BZ55" i="17"/>
  <c r="CA55" i="17"/>
  <c r="CB55" i="17"/>
  <c r="CC55" i="17"/>
  <c r="CD55" i="17"/>
  <c r="CE55" i="17"/>
  <c r="CF55" i="17"/>
  <c r="CG55" i="17"/>
  <c r="CH55" i="17"/>
  <c r="CI55" i="17"/>
  <c r="CJ55" i="17"/>
  <c r="CK55" i="17"/>
  <c r="CL55" i="17"/>
  <c r="CM55" i="17"/>
  <c r="CN55" i="17"/>
  <c r="CO55" i="17"/>
  <c r="CP55" i="17"/>
  <c r="CQ55" i="17"/>
  <c r="CR55" i="17"/>
  <c r="CS55" i="17"/>
  <c r="CT55" i="17"/>
  <c r="CU55" i="17"/>
  <c r="CV55" i="17"/>
  <c r="CW55" i="17"/>
  <c r="CX55" i="17"/>
  <c r="CY55" i="17"/>
  <c r="CZ55" i="17"/>
  <c r="DA55" i="17"/>
  <c r="DB55" i="17"/>
  <c r="DC55" i="17"/>
  <c r="DD55" i="17"/>
  <c r="DE55" i="17"/>
  <c r="DF55" i="17"/>
  <c r="DG55" i="17"/>
  <c r="DH55" i="17"/>
  <c r="DI55" i="17"/>
  <c r="DJ55" i="17"/>
  <c r="DK55" i="17"/>
  <c r="DL55" i="17"/>
  <c r="DM55" i="17"/>
  <c r="DN55" i="17"/>
  <c r="DO55" i="17"/>
  <c r="DP55" i="17"/>
  <c r="DQ55" i="17"/>
  <c r="DR55" i="17"/>
  <c r="DS55" i="17"/>
  <c r="DT55" i="17"/>
  <c r="DU55" i="17"/>
  <c r="DV55" i="17"/>
  <c r="DW55" i="17"/>
  <c r="DX55" i="17"/>
  <c r="DY55" i="17"/>
  <c r="DZ55" i="17"/>
  <c r="EA55" i="17"/>
  <c r="EB55" i="17"/>
  <c r="EC55" i="17"/>
  <c r="ED55" i="17"/>
  <c r="EE55" i="17"/>
  <c r="EF55" i="17"/>
  <c r="EG55" i="17"/>
  <c r="EH55" i="17"/>
  <c r="EI55" i="17"/>
  <c r="EJ55" i="17"/>
  <c r="EK55" i="17"/>
  <c r="EL55" i="17"/>
  <c r="EM55" i="17"/>
  <c r="EN55" i="17"/>
  <c r="EO55" i="17"/>
  <c r="EP55" i="17"/>
  <c r="EQ55" i="17"/>
  <c r="ER55" i="17"/>
  <c r="ES55" i="17"/>
  <c r="ET55" i="17"/>
  <c r="EU55" i="17"/>
  <c r="EV55" i="17"/>
  <c r="EW55" i="17"/>
  <c r="EX55" i="17"/>
  <c r="EY55" i="17"/>
  <c r="EZ55" i="17"/>
  <c r="FA55" i="17"/>
  <c r="FB55" i="17"/>
  <c r="FC55" i="17"/>
  <c r="FD55" i="17"/>
  <c r="FE55" i="17"/>
  <c r="FF55" i="17"/>
  <c r="FG55" i="17"/>
  <c r="FH55" i="17"/>
  <c r="FI55" i="17"/>
  <c r="FJ55" i="17"/>
  <c r="FK55" i="17"/>
  <c r="FL55" i="17"/>
  <c r="FM55" i="17"/>
  <c r="FN55" i="17"/>
  <c r="FO55" i="17"/>
  <c r="FP55" i="17"/>
  <c r="FQ55" i="17"/>
  <c r="FR55" i="17"/>
  <c r="FS55" i="17"/>
  <c r="FT55" i="17"/>
  <c r="FU55" i="17"/>
  <c r="FV55" i="17"/>
  <c r="FW55" i="17"/>
  <c r="FX55" i="17"/>
  <c r="FY55" i="17"/>
  <c r="FZ55" i="17"/>
  <c r="GA55" i="17"/>
  <c r="GB55" i="17"/>
  <c r="GC55" i="17"/>
  <c r="GD55" i="17"/>
  <c r="GE55" i="17"/>
  <c r="GF55" i="17"/>
  <c r="GG55" i="17"/>
  <c r="GH55" i="17"/>
  <c r="GI55" i="17"/>
  <c r="GJ55" i="17"/>
  <c r="GK55" i="17"/>
  <c r="GL55" i="17"/>
  <c r="GM55" i="17"/>
  <c r="GN55" i="17"/>
  <c r="GO55" i="17"/>
  <c r="GP55" i="17"/>
  <c r="GQ55" i="17"/>
  <c r="GR55" i="17"/>
  <c r="GS55" i="17"/>
  <c r="GT55" i="17"/>
  <c r="GU55" i="17"/>
  <c r="GV55" i="17"/>
  <c r="GW55" i="17"/>
  <c r="GX55" i="17"/>
  <c r="GY55" i="17"/>
  <c r="GZ55" i="17"/>
  <c r="HA55" i="17"/>
  <c r="HB55" i="17"/>
  <c r="HC55" i="17"/>
  <c r="HD55" i="17"/>
  <c r="HE55" i="17"/>
  <c r="HF55" i="17"/>
  <c r="HG55" i="17"/>
  <c r="HH55" i="17"/>
  <c r="HI55" i="17"/>
  <c r="HJ55" i="17"/>
  <c r="HK55" i="17"/>
  <c r="HL55" i="17"/>
  <c r="HM55" i="17"/>
  <c r="HN55" i="17"/>
  <c r="HO55" i="17"/>
  <c r="HP55" i="17"/>
  <c r="HQ55" i="17"/>
  <c r="HR55" i="17"/>
  <c r="HS55" i="17"/>
  <c r="HT55" i="17"/>
  <c r="HU55" i="17"/>
  <c r="HV55" i="17"/>
  <c r="HW55" i="17"/>
  <c r="HX55" i="17"/>
  <c r="HY55" i="17"/>
  <c r="HZ55" i="17"/>
  <c r="IA55" i="17"/>
  <c r="IB55" i="17"/>
  <c r="IC55" i="17"/>
  <c r="ID55" i="17"/>
  <c r="IE55" i="17"/>
  <c r="IF55" i="17"/>
  <c r="IG55" i="17"/>
  <c r="IH55" i="17"/>
  <c r="II55" i="17"/>
  <c r="IJ55" i="17"/>
  <c r="IK55" i="17"/>
  <c r="IL55" i="17"/>
  <c r="IM55" i="17"/>
  <c r="IN55" i="17"/>
  <c r="IO55" i="17"/>
  <c r="IP55" i="17"/>
  <c r="IQ55" i="17"/>
  <c r="IR55" i="17"/>
  <c r="IS55" i="17"/>
  <c r="IT55" i="17"/>
  <c r="IU55" i="17"/>
  <c r="IV55" i="17"/>
  <c r="A54" i="17"/>
  <c r="B54" i="17"/>
  <c r="C54" i="17"/>
  <c r="D54" i="17"/>
  <c r="E54" i="17"/>
  <c r="F54" i="17"/>
  <c r="G54" i="17"/>
  <c r="H54" i="17"/>
  <c r="I54" i="17"/>
  <c r="J54" i="17"/>
  <c r="K54" i="17"/>
  <c r="L54" i="17"/>
  <c r="M54" i="17"/>
  <c r="N54" i="17"/>
  <c r="O54" i="17"/>
  <c r="P54" i="17"/>
  <c r="Q54" i="17"/>
  <c r="R54" i="17"/>
  <c r="S54" i="17"/>
  <c r="T54" i="17"/>
  <c r="U54" i="17"/>
  <c r="V54" i="17"/>
  <c r="W54" i="17"/>
  <c r="X54" i="17"/>
  <c r="Y54" i="17"/>
  <c r="Z54" i="17"/>
  <c r="AA54" i="17"/>
  <c r="AB54" i="17"/>
  <c r="AC54" i="17"/>
  <c r="AD54" i="17"/>
  <c r="AE54" i="17"/>
  <c r="AF54" i="17"/>
  <c r="AG54" i="17"/>
  <c r="AH54" i="17"/>
  <c r="AI54" i="17"/>
  <c r="AJ54" i="17"/>
  <c r="AK54" i="17"/>
  <c r="AL54" i="17"/>
  <c r="AM54" i="17"/>
  <c r="AN54" i="17"/>
  <c r="AO54" i="17"/>
  <c r="AP54" i="17"/>
  <c r="AQ54" i="17"/>
  <c r="AR54" i="17"/>
  <c r="AS54" i="17"/>
  <c r="AT54" i="17"/>
  <c r="AU54" i="17"/>
  <c r="AV54" i="17"/>
  <c r="AW54" i="17"/>
  <c r="AX54" i="17"/>
  <c r="AY54" i="17"/>
  <c r="AZ54" i="17"/>
  <c r="BA54" i="17"/>
  <c r="BB54" i="17"/>
  <c r="BC54" i="17"/>
  <c r="BD54" i="17"/>
  <c r="BE54" i="17"/>
  <c r="BF54" i="17"/>
  <c r="BG54" i="17"/>
  <c r="BH54" i="17"/>
  <c r="BI54" i="17"/>
  <c r="BJ54" i="17"/>
  <c r="BK54" i="17"/>
  <c r="BL54" i="17"/>
  <c r="BM54" i="17"/>
  <c r="BN54" i="17"/>
  <c r="BO54" i="17"/>
  <c r="BP54" i="17"/>
  <c r="BQ54" i="17"/>
  <c r="BR54" i="17"/>
  <c r="BS54" i="17"/>
  <c r="BT54" i="17"/>
  <c r="BU54" i="17"/>
  <c r="BV54" i="17"/>
  <c r="BW54" i="17"/>
  <c r="BX54" i="17"/>
  <c r="BY54" i="17"/>
  <c r="BZ54" i="17"/>
  <c r="CA54" i="17"/>
  <c r="CB54" i="17"/>
  <c r="CC54" i="17"/>
  <c r="CD54" i="17"/>
  <c r="CE54" i="17"/>
  <c r="CF54" i="17"/>
  <c r="CG54" i="17"/>
  <c r="CH54" i="17"/>
  <c r="CI54" i="17"/>
  <c r="CJ54" i="17"/>
  <c r="CK54" i="17"/>
  <c r="CL54" i="17"/>
  <c r="CM54" i="17"/>
  <c r="CN54" i="17"/>
  <c r="CO54" i="17"/>
  <c r="CP54" i="17"/>
  <c r="CQ54" i="17"/>
  <c r="CR54" i="17"/>
  <c r="CS54" i="17"/>
  <c r="CT54" i="17"/>
  <c r="CU54" i="17"/>
  <c r="CV54" i="17"/>
  <c r="CW54" i="17"/>
  <c r="CX54" i="17"/>
  <c r="CY54" i="17"/>
  <c r="CZ54" i="17"/>
  <c r="DA54" i="17"/>
  <c r="DB54" i="17"/>
  <c r="DC54" i="17"/>
  <c r="DD54" i="17"/>
  <c r="DE54" i="17"/>
  <c r="DF54" i="17"/>
  <c r="DG54" i="17"/>
  <c r="DH54" i="17"/>
  <c r="DI54" i="17"/>
  <c r="DJ54" i="17"/>
  <c r="DK54" i="17"/>
  <c r="DL54" i="17"/>
  <c r="DM54" i="17"/>
  <c r="DN54" i="17"/>
  <c r="DO54" i="17"/>
  <c r="DP54" i="17"/>
  <c r="DQ54" i="17"/>
  <c r="DR54" i="17"/>
  <c r="DS54" i="17"/>
  <c r="DT54" i="17"/>
  <c r="DU54" i="17"/>
  <c r="DV54" i="17"/>
  <c r="DW54" i="17"/>
  <c r="DX54" i="17"/>
  <c r="DY54" i="17"/>
  <c r="DZ54" i="17"/>
  <c r="EA54" i="17"/>
  <c r="EB54" i="17"/>
  <c r="EC54" i="17"/>
  <c r="ED54" i="17"/>
  <c r="EE54" i="17"/>
  <c r="EF54" i="17"/>
  <c r="EG54" i="17"/>
  <c r="EH54" i="17"/>
  <c r="EI54" i="17"/>
  <c r="EJ54" i="17"/>
  <c r="EK54" i="17"/>
  <c r="EL54" i="17"/>
  <c r="EM54" i="17"/>
  <c r="EN54" i="17"/>
  <c r="EO54" i="17"/>
  <c r="EP54" i="17"/>
  <c r="EQ54" i="17"/>
  <c r="ER54" i="17"/>
  <c r="ES54" i="17"/>
  <c r="ET54" i="17"/>
  <c r="EU54" i="17"/>
  <c r="EV54" i="17"/>
  <c r="EW54" i="17"/>
  <c r="EX54" i="17"/>
  <c r="EY54" i="17"/>
  <c r="EZ54" i="17"/>
  <c r="FA54" i="17"/>
  <c r="FB54" i="17"/>
  <c r="FC54" i="17"/>
  <c r="FD54" i="17"/>
  <c r="FE54" i="17"/>
  <c r="FF54" i="17"/>
  <c r="FG54" i="17"/>
  <c r="FH54" i="17"/>
  <c r="FI54" i="17"/>
  <c r="FJ54" i="17"/>
  <c r="FK54" i="17"/>
  <c r="FL54" i="17"/>
  <c r="FM54" i="17"/>
  <c r="FN54" i="17"/>
  <c r="FO54" i="17"/>
  <c r="FP54" i="17"/>
  <c r="FQ54" i="17"/>
  <c r="FR54" i="17"/>
  <c r="FS54" i="17"/>
  <c r="FT54" i="17"/>
  <c r="FU54" i="17"/>
  <c r="FV54" i="17"/>
  <c r="FW54" i="17"/>
  <c r="FX54" i="17"/>
  <c r="FY54" i="17"/>
  <c r="FZ54" i="17"/>
  <c r="GA54" i="17"/>
  <c r="GB54" i="17"/>
  <c r="GC54" i="17"/>
  <c r="GD54" i="17"/>
  <c r="GE54" i="17"/>
  <c r="GF54" i="17"/>
  <c r="GG54" i="17"/>
  <c r="GH54" i="17"/>
  <c r="GI54" i="17"/>
  <c r="GJ54" i="17"/>
  <c r="GK54" i="17"/>
  <c r="GL54" i="17"/>
  <c r="GM54" i="17"/>
  <c r="GN54" i="17"/>
  <c r="GO54" i="17"/>
  <c r="GP54" i="17"/>
  <c r="GQ54" i="17"/>
  <c r="GR54" i="17"/>
  <c r="GS54" i="17"/>
  <c r="GT54" i="17"/>
  <c r="GU54" i="17"/>
  <c r="GV54" i="17"/>
  <c r="GW54" i="17"/>
  <c r="GX54" i="17"/>
  <c r="GY54" i="17"/>
  <c r="GZ54" i="17"/>
  <c r="HA54" i="17"/>
  <c r="HB54" i="17"/>
  <c r="HC54" i="17"/>
  <c r="HD54" i="17"/>
  <c r="HE54" i="17"/>
  <c r="HF54" i="17"/>
  <c r="HG54" i="17"/>
  <c r="HH54" i="17"/>
  <c r="HI54" i="17"/>
  <c r="HJ54" i="17"/>
  <c r="HK54" i="17"/>
  <c r="HL54" i="17"/>
  <c r="HM54" i="17"/>
  <c r="HN54" i="17"/>
  <c r="HO54" i="17"/>
  <c r="HP54" i="17"/>
  <c r="HQ54" i="17"/>
  <c r="HR54" i="17"/>
  <c r="HS54" i="17"/>
  <c r="HT54" i="17"/>
  <c r="HU54" i="17"/>
  <c r="HV54" i="17"/>
  <c r="HW54" i="17"/>
  <c r="HX54" i="17"/>
  <c r="HY54" i="17"/>
  <c r="HZ54" i="17"/>
  <c r="IA54" i="17"/>
  <c r="IB54" i="17"/>
  <c r="IC54" i="17"/>
  <c r="ID54" i="17"/>
  <c r="IE54" i="17"/>
  <c r="IF54" i="17"/>
  <c r="IG54" i="17"/>
  <c r="IH54" i="17"/>
  <c r="II54" i="17"/>
  <c r="IJ54" i="17"/>
  <c r="IK54" i="17"/>
  <c r="IL54" i="17"/>
  <c r="IM54" i="17"/>
  <c r="IN54" i="17"/>
  <c r="IO54" i="17"/>
  <c r="IP54" i="17"/>
  <c r="IQ54" i="17"/>
  <c r="IR54" i="17"/>
  <c r="IS54" i="17"/>
  <c r="IT54" i="17"/>
  <c r="IU54" i="17"/>
  <c r="IV54" i="17"/>
  <c r="A53" i="17"/>
  <c r="B53" i="17"/>
  <c r="C53" i="17"/>
  <c r="D53" i="17"/>
  <c r="E53" i="17"/>
  <c r="F53" i="17"/>
  <c r="G53" i="17"/>
  <c r="H53" i="17"/>
  <c r="I53" i="17"/>
  <c r="J53" i="17"/>
  <c r="K53" i="17"/>
  <c r="L53" i="17"/>
  <c r="M53" i="17"/>
  <c r="N53" i="17"/>
  <c r="O53" i="17"/>
  <c r="P53" i="17"/>
  <c r="Q53" i="17"/>
  <c r="R53" i="17"/>
  <c r="S53" i="17"/>
  <c r="T53" i="17"/>
  <c r="U53" i="17"/>
  <c r="V53" i="17"/>
  <c r="W53" i="17"/>
  <c r="X53" i="17"/>
  <c r="Y53" i="17"/>
  <c r="Z53" i="17"/>
  <c r="AA53" i="17"/>
  <c r="AB53" i="17"/>
  <c r="AC53" i="17"/>
  <c r="AD53" i="17"/>
  <c r="AE53" i="17"/>
  <c r="AF53" i="17"/>
  <c r="AG53" i="17"/>
  <c r="AH53" i="17"/>
  <c r="AI53" i="17"/>
  <c r="AJ53" i="17"/>
  <c r="AK53" i="17"/>
  <c r="AL53" i="17"/>
  <c r="AM53" i="17"/>
  <c r="AN53" i="17"/>
  <c r="AO53" i="17"/>
  <c r="AP53" i="17"/>
  <c r="AQ53" i="17"/>
  <c r="AR53" i="17"/>
  <c r="AS53" i="17"/>
  <c r="AT53" i="17"/>
  <c r="AU53" i="17"/>
  <c r="AV53" i="17"/>
  <c r="AW53" i="17"/>
  <c r="AX53" i="17"/>
  <c r="AY53" i="17"/>
  <c r="AZ53" i="17"/>
  <c r="BA53" i="17"/>
  <c r="BB53" i="17"/>
  <c r="BC53" i="17"/>
  <c r="BD53" i="17"/>
  <c r="BE53" i="17"/>
  <c r="BF53" i="17"/>
  <c r="BG53" i="17"/>
  <c r="BH53" i="17"/>
  <c r="BI53" i="17"/>
  <c r="BJ53" i="17"/>
  <c r="BK53" i="17"/>
  <c r="BL53" i="17"/>
  <c r="BM53" i="17"/>
  <c r="BN53" i="17"/>
  <c r="BO53" i="17"/>
  <c r="BP53" i="17"/>
  <c r="BQ53" i="17"/>
  <c r="BR53" i="17"/>
  <c r="BS53" i="17"/>
  <c r="BT53" i="17"/>
  <c r="BU53" i="17"/>
  <c r="BV53" i="17"/>
  <c r="BW53" i="17"/>
  <c r="BX53" i="17"/>
  <c r="BY53" i="17"/>
  <c r="BZ53" i="17"/>
  <c r="CA53" i="17"/>
  <c r="CB53" i="17"/>
  <c r="CC53" i="17"/>
  <c r="CD53" i="17"/>
  <c r="CE53" i="17"/>
  <c r="CF53" i="17"/>
  <c r="CG53" i="17"/>
  <c r="CH53" i="17"/>
  <c r="CI53" i="17"/>
  <c r="CJ53" i="17"/>
  <c r="CK53" i="17"/>
  <c r="CL53" i="17"/>
  <c r="CM53" i="17"/>
  <c r="CN53" i="17"/>
  <c r="CO53" i="17"/>
  <c r="CP53" i="17"/>
  <c r="CQ53" i="17"/>
  <c r="CR53" i="17"/>
  <c r="CS53" i="17"/>
  <c r="CT53" i="17"/>
  <c r="CU53" i="17"/>
  <c r="CV53" i="17"/>
  <c r="CW53" i="17"/>
  <c r="CX53" i="17"/>
  <c r="CY53" i="17"/>
  <c r="CZ53" i="17"/>
  <c r="DA53" i="17"/>
  <c r="DB53" i="17"/>
  <c r="DC53" i="17"/>
  <c r="DD53" i="17"/>
  <c r="DE53" i="17"/>
  <c r="DF53" i="17"/>
  <c r="DG53" i="17"/>
  <c r="DH53" i="17"/>
  <c r="DI53" i="17"/>
  <c r="DJ53" i="17"/>
  <c r="DK53" i="17"/>
  <c r="DL53" i="17"/>
  <c r="DM53" i="17"/>
  <c r="DN53" i="17"/>
  <c r="DO53" i="17"/>
  <c r="DP53" i="17"/>
  <c r="DQ53" i="17"/>
  <c r="DR53" i="17"/>
  <c r="DS53" i="17"/>
  <c r="DT53" i="17"/>
  <c r="DU53" i="17"/>
  <c r="DV53" i="17"/>
  <c r="DW53" i="17"/>
  <c r="DX53" i="17"/>
  <c r="DY53" i="17"/>
  <c r="DZ53" i="17"/>
  <c r="EA53" i="17"/>
  <c r="EB53" i="17"/>
  <c r="EC53" i="17"/>
  <c r="ED53" i="17"/>
  <c r="EE53" i="17"/>
  <c r="EF53" i="17"/>
  <c r="EG53" i="17"/>
  <c r="EH53" i="17"/>
  <c r="EI53" i="17"/>
  <c r="EJ53" i="17"/>
  <c r="EK53" i="17"/>
  <c r="EL53" i="17"/>
  <c r="EM53" i="17"/>
  <c r="EN53" i="17"/>
  <c r="EO53" i="17"/>
  <c r="EP53" i="17"/>
  <c r="EQ53" i="17"/>
  <c r="ER53" i="17"/>
  <c r="ES53" i="17"/>
  <c r="ET53" i="17"/>
  <c r="EU53" i="17"/>
  <c r="EV53" i="17"/>
  <c r="EW53" i="17"/>
  <c r="EX53" i="17"/>
  <c r="EY53" i="17"/>
  <c r="EZ53" i="17"/>
  <c r="FA53" i="17"/>
  <c r="FB53" i="17"/>
  <c r="FC53" i="17"/>
  <c r="FD53" i="17"/>
  <c r="FE53" i="17"/>
  <c r="FF53" i="17"/>
  <c r="FG53" i="17"/>
  <c r="FH53" i="17"/>
  <c r="FI53" i="17"/>
  <c r="FJ53" i="17"/>
  <c r="FK53" i="17"/>
  <c r="FL53" i="17"/>
  <c r="FM53" i="17"/>
  <c r="FN53" i="17"/>
  <c r="FO53" i="17"/>
  <c r="FP53" i="17"/>
  <c r="FQ53" i="17"/>
  <c r="FR53" i="17"/>
  <c r="FS53" i="17"/>
  <c r="FT53" i="17"/>
  <c r="FU53" i="17"/>
  <c r="FV53" i="17"/>
  <c r="FW53" i="17"/>
  <c r="FX53" i="17"/>
  <c r="FY53" i="17"/>
  <c r="FZ53" i="17"/>
  <c r="GA53" i="17"/>
  <c r="GB53" i="17"/>
  <c r="GC53" i="17"/>
  <c r="GD53" i="17"/>
  <c r="GE53" i="17"/>
  <c r="GF53" i="17"/>
  <c r="GG53" i="17"/>
  <c r="GH53" i="17"/>
  <c r="GI53" i="17"/>
  <c r="GJ53" i="17"/>
  <c r="GK53" i="17"/>
  <c r="GL53" i="17"/>
  <c r="GM53" i="17"/>
  <c r="GN53" i="17"/>
  <c r="GO53" i="17"/>
  <c r="GP53" i="17"/>
  <c r="GQ53" i="17"/>
  <c r="GR53" i="17"/>
  <c r="GS53" i="17"/>
  <c r="GT53" i="17"/>
  <c r="GU53" i="17"/>
  <c r="GV53" i="17"/>
  <c r="GW53" i="17"/>
  <c r="GX53" i="17"/>
  <c r="GY53" i="17"/>
  <c r="GZ53" i="17"/>
  <c r="HA53" i="17"/>
  <c r="HB53" i="17"/>
  <c r="HC53" i="17"/>
  <c r="HD53" i="17"/>
  <c r="HE53" i="17"/>
  <c r="HF53" i="17"/>
  <c r="HG53" i="17"/>
  <c r="HH53" i="17"/>
  <c r="HI53" i="17"/>
  <c r="HJ53" i="17"/>
  <c r="HK53" i="17"/>
  <c r="HL53" i="17"/>
  <c r="HM53" i="17"/>
  <c r="HN53" i="17"/>
  <c r="HO53" i="17"/>
  <c r="HP53" i="17"/>
  <c r="HQ53" i="17"/>
  <c r="HR53" i="17"/>
  <c r="HS53" i="17"/>
  <c r="HT53" i="17"/>
  <c r="HU53" i="17"/>
  <c r="HV53" i="17"/>
  <c r="HW53" i="17"/>
  <c r="HX53" i="17"/>
  <c r="HY53" i="17"/>
  <c r="HZ53" i="17"/>
  <c r="IA53" i="17"/>
  <c r="IB53" i="17"/>
  <c r="IC53" i="17"/>
  <c r="ID53" i="17"/>
  <c r="IE53" i="17"/>
  <c r="IF53" i="17"/>
  <c r="IG53" i="17"/>
  <c r="IH53" i="17"/>
  <c r="II53" i="17"/>
  <c r="IJ53" i="17"/>
  <c r="IK53" i="17"/>
  <c r="IL53" i="17"/>
  <c r="IM53" i="17"/>
  <c r="IN53" i="17"/>
  <c r="IO53" i="17"/>
  <c r="IP53" i="17"/>
  <c r="IQ53" i="17"/>
  <c r="IR53" i="17"/>
  <c r="IS53" i="17"/>
  <c r="IT53" i="17"/>
  <c r="IU53" i="17"/>
  <c r="IV53" i="17"/>
  <c r="A52" i="17"/>
  <c r="B52" i="17"/>
  <c r="C52" i="17"/>
  <c r="D52" i="17"/>
  <c r="E52" i="17"/>
  <c r="F52" i="17"/>
  <c r="G52" i="17"/>
  <c r="H52" i="17"/>
  <c r="I52" i="17"/>
  <c r="J52" i="17"/>
  <c r="K52" i="17"/>
  <c r="L52" i="17"/>
  <c r="M52" i="17"/>
  <c r="N52" i="17"/>
  <c r="O52" i="17"/>
  <c r="P52" i="17"/>
  <c r="Q52" i="17"/>
  <c r="R52" i="17"/>
  <c r="S52" i="17"/>
  <c r="T52" i="17"/>
  <c r="U52" i="17"/>
  <c r="V52" i="17"/>
  <c r="W52" i="17"/>
  <c r="X52" i="17"/>
  <c r="Y52" i="17"/>
  <c r="Z52" i="17"/>
  <c r="AA52" i="17"/>
  <c r="AB52" i="17"/>
  <c r="AC52" i="17"/>
  <c r="AD52" i="17"/>
  <c r="AE52" i="17"/>
  <c r="AF52" i="17"/>
  <c r="AG52" i="17"/>
  <c r="AH52" i="17"/>
  <c r="AI52" i="17"/>
  <c r="AJ52" i="17"/>
  <c r="AK52" i="17"/>
  <c r="AL52" i="17"/>
  <c r="AM52" i="17"/>
  <c r="AN52" i="17"/>
  <c r="AO52" i="17"/>
  <c r="AP52" i="17"/>
  <c r="AQ52" i="17"/>
  <c r="AR52" i="17"/>
  <c r="AS52" i="17"/>
  <c r="AT52" i="17"/>
  <c r="AU52" i="17"/>
  <c r="AV52" i="17"/>
  <c r="AW52" i="17"/>
  <c r="AX52" i="17"/>
  <c r="AY52" i="17"/>
  <c r="AZ52" i="17"/>
  <c r="BA52" i="17"/>
  <c r="BB52" i="17"/>
  <c r="BC52" i="17"/>
  <c r="BD52" i="17"/>
  <c r="BE52" i="17"/>
  <c r="BF52" i="17"/>
  <c r="BG52" i="17"/>
  <c r="BH52" i="17"/>
  <c r="BI52" i="17"/>
  <c r="BJ52" i="17"/>
  <c r="BK52" i="17"/>
  <c r="BL52" i="17"/>
  <c r="BM52" i="17"/>
  <c r="BN52" i="17"/>
  <c r="BO52" i="17"/>
  <c r="BP52" i="17"/>
  <c r="BQ52" i="17"/>
  <c r="BR52" i="17"/>
  <c r="BS52" i="17"/>
  <c r="BT52" i="17"/>
  <c r="BU52" i="17"/>
  <c r="BV52" i="17"/>
  <c r="BW52" i="17"/>
  <c r="BX52" i="17"/>
  <c r="BY52" i="17"/>
  <c r="BZ52" i="17"/>
  <c r="CA52" i="17"/>
  <c r="CB52" i="17"/>
  <c r="CC52" i="17"/>
  <c r="CD52" i="17"/>
  <c r="CE52" i="17"/>
  <c r="CF52" i="17"/>
  <c r="CG52" i="17"/>
  <c r="CH52" i="17"/>
  <c r="CI52" i="17"/>
  <c r="CJ52" i="17"/>
  <c r="CK52" i="17"/>
  <c r="CL52" i="17"/>
  <c r="CM52" i="17"/>
  <c r="CN52" i="17"/>
  <c r="CO52" i="17"/>
  <c r="CP52" i="17"/>
  <c r="CQ52" i="17"/>
  <c r="CR52" i="17"/>
  <c r="CS52" i="17"/>
  <c r="CT52" i="17"/>
  <c r="CU52" i="17"/>
  <c r="CV52" i="17"/>
  <c r="CW52" i="17"/>
  <c r="CX52" i="17"/>
  <c r="CY52" i="17"/>
  <c r="CZ52" i="17"/>
  <c r="DA52" i="17"/>
  <c r="DB52" i="17"/>
  <c r="DC52" i="17"/>
  <c r="DD52" i="17"/>
  <c r="DE52" i="17"/>
  <c r="DF52" i="17"/>
  <c r="DG52" i="17"/>
  <c r="DH52" i="17"/>
  <c r="DI52" i="17"/>
  <c r="DJ52" i="17"/>
  <c r="DK52" i="17"/>
  <c r="DL52" i="17"/>
  <c r="DM52" i="17"/>
  <c r="DN52" i="17"/>
  <c r="DO52" i="17"/>
  <c r="DP52" i="17"/>
  <c r="DQ52" i="17"/>
  <c r="DR52" i="17"/>
  <c r="DS52" i="17"/>
  <c r="DT52" i="17"/>
  <c r="DU52" i="17"/>
  <c r="DV52" i="17"/>
  <c r="DW52" i="17"/>
  <c r="DX52" i="17"/>
  <c r="DY52" i="17"/>
  <c r="DZ52" i="17"/>
  <c r="EA52" i="17"/>
  <c r="EB52" i="17"/>
  <c r="EC52" i="17"/>
  <c r="ED52" i="17"/>
  <c r="EE52" i="17"/>
  <c r="EF52" i="17"/>
  <c r="EG52" i="17"/>
  <c r="EH52" i="17"/>
  <c r="EI52" i="17"/>
  <c r="EJ52" i="17"/>
  <c r="EK52" i="17"/>
  <c r="EL52" i="17"/>
  <c r="EM52" i="17"/>
  <c r="EN52" i="17"/>
  <c r="EO52" i="17"/>
  <c r="EP52" i="17"/>
  <c r="EQ52" i="17"/>
  <c r="ER52" i="17"/>
  <c r="ES52" i="17"/>
  <c r="ET52" i="17"/>
  <c r="EU52" i="17"/>
  <c r="EV52" i="17"/>
  <c r="EW52" i="17"/>
  <c r="EX52" i="17"/>
  <c r="EY52" i="17"/>
  <c r="EZ52" i="17"/>
  <c r="FA52" i="17"/>
  <c r="FB52" i="17"/>
  <c r="FC52" i="17"/>
  <c r="FD52" i="17"/>
  <c r="FE52" i="17"/>
  <c r="FF52" i="17"/>
  <c r="FG52" i="17"/>
  <c r="FH52" i="17"/>
  <c r="FI52" i="17"/>
  <c r="FJ52" i="17"/>
  <c r="FK52" i="17"/>
  <c r="FL52" i="17"/>
  <c r="FM52" i="17"/>
  <c r="FN52" i="17"/>
  <c r="FO52" i="17"/>
  <c r="FP52" i="17"/>
  <c r="FQ52" i="17"/>
  <c r="FR52" i="17"/>
  <c r="FS52" i="17"/>
  <c r="FT52" i="17"/>
  <c r="FU52" i="17"/>
  <c r="FV52" i="17"/>
  <c r="FW52" i="17"/>
  <c r="FX52" i="17"/>
  <c r="FY52" i="17"/>
  <c r="FZ52" i="17"/>
  <c r="GA52" i="17"/>
  <c r="GB52" i="17"/>
  <c r="GC52" i="17"/>
  <c r="GD52" i="17"/>
  <c r="GE52" i="17"/>
  <c r="GF52" i="17"/>
  <c r="GG52" i="17"/>
  <c r="GH52" i="17"/>
  <c r="GI52" i="17"/>
  <c r="GJ52" i="17"/>
  <c r="GK52" i="17"/>
  <c r="GL52" i="17"/>
  <c r="GM52" i="17"/>
  <c r="GN52" i="17"/>
  <c r="GO52" i="17"/>
  <c r="GP52" i="17"/>
  <c r="GQ52" i="17"/>
  <c r="GR52" i="17"/>
  <c r="GS52" i="17"/>
  <c r="GT52" i="17"/>
  <c r="GU52" i="17"/>
  <c r="GV52" i="17"/>
  <c r="GW52" i="17"/>
  <c r="GX52" i="17"/>
  <c r="GY52" i="17"/>
  <c r="GZ52" i="17"/>
  <c r="HA52" i="17"/>
  <c r="HB52" i="17"/>
  <c r="HC52" i="17"/>
  <c r="HD52" i="17"/>
  <c r="HE52" i="17"/>
  <c r="HF52" i="17"/>
  <c r="HG52" i="17"/>
  <c r="HH52" i="17"/>
  <c r="HI52" i="17"/>
  <c r="HJ52" i="17"/>
  <c r="HK52" i="17"/>
  <c r="HL52" i="17"/>
  <c r="HM52" i="17"/>
  <c r="HN52" i="17"/>
  <c r="HO52" i="17"/>
  <c r="HP52" i="17"/>
  <c r="HQ52" i="17"/>
  <c r="HR52" i="17"/>
  <c r="HS52" i="17"/>
  <c r="HT52" i="17"/>
  <c r="HU52" i="17"/>
  <c r="HV52" i="17"/>
  <c r="HW52" i="17"/>
  <c r="HX52" i="17"/>
  <c r="HY52" i="17"/>
  <c r="HZ52" i="17"/>
  <c r="IA52" i="17"/>
  <c r="IB52" i="17"/>
  <c r="IC52" i="17"/>
  <c r="ID52" i="17"/>
  <c r="IE52" i="17"/>
  <c r="IF52" i="17"/>
  <c r="IG52" i="17"/>
  <c r="IH52" i="17"/>
  <c r="II52" i="17"/>
  <c r="IJ52" i="17"/>
  <c r="IK52" i="17"/>
  <c r="IL52" i="17"/>
  <c r="IM52" i="17"/>
  <c r="IN52" i="17"/>
  <c r="IO52" i="17"/>
  <c r="IP52" i="17"/>
  <c r="IQ52" i="17"/>
  <c r="IR52" i="17"/>
  <c r="IS52" i="17"/>
  <c r="IT52" i="17"/>
  <c r="IU52" i="17"/>
  <c r="IV52" i="17"/>
  <c r="A51" i="17"/>
  <c r="B51" i="17"/>
  <c r="C51" i="17"/>
  <c r="D51" i="17"/>
  <c r="E51" i="17"/>
  <c r="F51" i="17"/>
  <c r="G51" i="17"/>
  <c r="H51" i="17"/>
  <c r="I51" i="17"/>
  <c r="J51" i="17"/>
  <c r="K51" i="17"/>
  <c r="L51" i="17"/>
  <c r="M51" i="17"/>
  <c r="N51" i="17"/>
  <c r="O51" i="17"/>
  <c r="P51" i="17"/>
  <c r="Q51" i="17"/>
  <c r="R51" i="17"/>
  <c r="S51" i="17"/>
  <c r="T51" i="17"/>
  <c r="U51" i="17"/>
  <c r="V51" i="17"/>
  <c r="W51" i="17"/>
  <c r="X51" i="17"/>
  <c r="Y51" i="17"/>
  <c r="Z51" i="17"/>
  <c r="AA51" i="17"/>
  <c r="AB51" i="17"/>
  <c r="AC51" i="17"/>
  <c r="AD51" i="17"/>
  <c r="AE51" i="17"/>
  <c r="AF51" i="17"/>
  <c r="AG51" i="17"/>
  <c r="AH51" i="17"/>
  <c r="AI51" i="17"/>
  <c r="AJ51" i="17"/>
  <c r="AK51" i="17"/>
  <c r="AL51" i="17"/>
  <c r="AM51" i="17"/>
  <c r="AN51" i="17"/>
  <c r="AO51" i="17"/>
  <c r="AP51" i="17"/>
  <c r="AQ51" i="17"/>
  <c r="AR51" i="17"/>
  <c r="AS51" i="17"/>
  <c r="AT51" i="17"/>
  <c r="AU51" i="17"/>
  <c r="AV51" i="17"/>
  <c r="AW51" i="17"/>
  <c r="AX51" i="17"/>
  <c r="AY51" i="17"/>
  <c r="AZ51" i="17"/>
  <c r="BA51" i="17"/>
  <c r="BB51" i="17"/>
  <c r="BC51" i="17"/>
  <c r="BD51" i="17"/>
  <c r="BE51" i="17"/>
  <c r="BF51" i="17"/>
  <c r="BG51" i="17"/>
  <c r="BH51" i="17"/>
  <c r="BI51" i="17"/>
  <c r="BJ51" i="17"/>
  <c r="BK51" i="17"/>
  <c r="BL51" i="17"/>
  <c r="BM51" i="17"/>
  <c r="BN51" i="17"/>
  <c r="BO51" i="17"/>
  <c r="BP51" i="17"/>
  <c r="BQ51" i="17"/>
  <c r="BR51" i="17"/>
  <c r="BS51" i="17"/>
  <c r="BT51" i="17"/>
  <c r="BU51" i="17"/>
  <c r="BV51" i="17"/>
  <c r="BW51" i="17"/>
  <c r="BX51" i="17"/>
  <c r="BY51" i="17"/>
  <c r="BZ51" i="17"/>
  <c r="CA51" i="17"/>
  <c r="CB51" i="17"/>
  <c r="CC51" i="17"/>
  <c r="CD51" i="17"/>
  <c r="CE51" i="17"/>
  <c r="CF51" i="17"/>
  <c r="CG51" i="17"/>
  <c r="CH51" i="17"/>
  <c r="CI51" i="17"/>
  <c r="CJ51" i="17"/>
  <c r="CK51" i="17"/>
  <c r="CL51" i="17"/>
  <c r="CM51" i="17"/>
  <c r="CN51" i="17"/>
  <c r="CO51" i="17"/>
  <c r="CP51" i="17"/>
  <c r="CQ51" i="17"/>
  <c r="CR51" i="17"/>
  <c r="CS51" i="17"/>
  <c r="CT51" i="17"/>
  <c r="CU51" i="17"/>
  <c r="CV51" i="17"/>
  <c r="CW51" i="17"/>
  <c r="CX51" i="17"/>
  <c r="CY51" i="17"/>
  <c r="CZ51" i="17"/>
  <c r="DA51" i="17"/>
  <c r="DB51" i="17"/>
  <c r="DC51" i="17"/>
  <c r="DD51" i="17"/>
  <c r="DE51" i="17"/>
  <c r="DF51" i="17"/>
  <c r="DG51" i="17"/>
  <c r="DH51" i="17"/>
  <c r="DI51" i="17"/>
  <c r="DJ51" i="17"/>
  <c r="DK51" i="17"/>
  <c r="DL51" i="17"/>
  <c r="DM51" i="17"/>
  <c r="DN51" i="17"/>
  <c r="DO51" i="17"/>
  <c r="DP51" i="17"/>
  <c r="DQ51" i="17"/>
  <c r="DR51" i="17"/>
  <c r="DS51" i="17"/>
  <c r="DT51" i="17"/>
  <c r="DU51" i="17"/>
  <c r="DV51" i="17"/>
  <c r="DW51" i="17"/>
  <c r="DX51" i="17"/>
  <c r="DY51" i="17"/>
  <c r="DZ51" i="17"/>
  <c r="EA51" i="17"/>
  <c r="EB51" i="17"/>
  <c r="EC51" i="17"/>
  <c r="ED51" i="17"/>
  <c r="EE51" i="17"/>
  <c r="EF51" i="17"/>
  <c r="EG51" i="17"/>
  <c r="EH51" i="17"/>
  <c r="EI51" i="17"/>
  <c r="EJ51" i="17"/>
  <c r="EK51" i="17"/>
  <c r="EL51" i="17"/>
  <c r="EM51" i="17"/>
  <c r="EN51" i="17"/>
  <c r="EO51" i="17"/>
  <c r="EP51" i="17"/>
  <c r="EQ51" i="17"/>
  <c r="ER51" i="17"/>
  <c r="ES51" i="17"/>
  <c r="ET51" i="17"/>
  <c r="EU51" i="17"/>
  <c r="EV51" i="17"/>
  <c r="EW51" i="17"/>
  <c r="EX51" i="17"/>
  <c r="EY51" i="17"/>
  <c r="EZ51" i="17"/>
  <c r="FA51" i="17"/>
  <c r="FB51" i="17"/>
  <c r="FC51" i="17"/>
  <c r="FD51" i="17"/>
  <c r="FE51" i="17"/>
  <c r="FF51" i="17"/>
  <c r="FG51" i="17"/>
  <c r="FH51" i="17"/>
  <c r="FI51" i="17"/>
  <c r="FJ51" i="17"/>
  <c r="FK51" i="17"/>
  <c r="FL51" i="17"/>
  <c r="FM51" i="17"/>
  <c r="FN51" i="17"/>
  <c r="FO51" i="17"/>
  <c r="FP51" i="17"/>
  <c r="FQ51" i="17"/>
  <c r="FR51" i="17"/>
  <c r="FS51" i="17"/>
  <c r="FT51" i="17"/>
  <c r="FU51" i="17"/>
  <c r="FV51" i="17"/>
  <c r="FW51" i="17"/>
  <c r="FX51" i="17"/>
  <c r="FY51" i="17"/>
  <c r="FZ51" i="17"/>
  <c r="GA51" i="17"/>
  <c r="GB51" i="17"/>
  <c r="GC51" i="17"/>
  <c r="GD51" i="17"/>
  <c r="GE51" i="17"/>
  <c r="GF51" i="17"/>
  <c r="GG51" i="17"/>
  <c r="GH51" i="17"/>
  <c r="GI51" i="17"/>
  <c r="GJ51" i="17"/>
  <c r="GK51" i="17"/>
  <c r="GL51" i="17"/>
  <c r="GM51" i="17"/>
  <c r="GN51" i="17"/>
  <c r="GO51" i="17"/>
  <c r="GP51" i="17"/>
  <c r="GQ51" i="17"/>
  <c r="GR51" i="17"/>
  <c r="GS51" i="17"/>
  <c r="GT51" i="17"/>
  <c r="GU51" i="17"/>
  <c r="GV51" i="17"/>
  <c r="GW51" i="17"/>
  <c r="GX51" i="17"/>
  <c r="GY51" i="17"/>
  <c r="GZ51" i="17"/>
  <c r="HA51" i="17"/>
  <c r="HB51" i="17"/>
  <c r="HC51" i="17"/>
  <c r="HD51" i="17"/>
  <c r="HE51" i="17"/>
  <c r="HF51" i="17"/>
  <c r="HG51" i="17"/>
  <c r="HH51" i="17"/>
  <c r="HI51" i="17"/>
  <c r="HJ51" i="17"/>
  <c r="HK51" i="17"/>
  <c r="HL51" i="17"/>
  <c r="HM51" i="17"/>
  <c r="HN51" i="17"/>
  <c r="HO51" i="17"/>
  <c r="HP51" i="17"/>
  <c r="HQ51" i="17"/>
  <c r="HR51" i="17"/>
  <c r="HS51" i="17"/>
  <c r="HT51" i="17"/>
  <c r="HU51" i="17"/>
  <c r="HV51" i="17"/>
  <c r="HW51" i="17"/>
  <c r="HX51" i="17"/>
  <c r="HY51" i="17"/>
  <c r="HZ51" i="17"/>
  <c r="IA51" i="17"/>
  <c r="IB51" i="17"/>
  <c r="IC51" i="17"/>
  <c r="ID51" i="17"/>
  <c r="IE51" i="17"/>
  <c r="IF51" i="17"/>
  <c r="IG51" i="17"/>
  <c r="IH51" i="17"/>
  <c r="II51" i="17"/>
  <c r="IJ51" i="17"/>
  <c r="IK51" i="17"/>
  <c r="IL51" i="17"/>
  <c r="IM51" i="17"/>
  <c r="IN51" i="17"/>
  <c r="IO51" i="17"/>
  <c r="IP51" i="17"/>
  <c r="IQ51" i="17"/>
  <c r="IR51" i="17"/>
  <c r="IS51" i="17"/>
  <c r="IT51" i="17"/>
  <c r="IU51" i="17"/>
  <c r="IV51" i="17"/>
  <c r="A50" i="17"/>
  <c r="B50" i="17"/>
  <c r="C50" i="17"/>
  <c r="D50" i="17"/>
  <c r="E50" i="17"/>
  <c r="F50" i="17"/>
  <c r="G50" i="17"/>
  <c r="H50" i="17"/>
  <c r="I50" i="17"/>
  <c r="J50" i="17"/>
  <c r="K50" i="17"/>
  <c r="L50" i="17"/>
  <c r="M50" i="17"/>
  <c r="N50" i="17"/>
  <c r="O50" i="17"/>
  <c r="P50" i="17"/>
  <c r="Q50" i="17"/>
  <c r="R50" i="17"/>
  <c r="S50" i="17"/>
  <c r="T50" i="17"/>
  <c r="U50" i="17"/>
  <c r="V50" i="17"/>
  <c r="W50" i="17"/>
  <c r="X50" i="17"/>
  <c r="Y50" i="17"/>
  <c r="Z50" i="17"/>
  <c r="AA50" i="17"/>
  <c r="AB50" i="17"/>
  <c r="AC50" i="17"/>
  <c r="AD50" i="17"/>
  <c r="AE50" i="17"/>
  <c r="AF50" i="17"/>
  <c r="AG50" i="17"/>
  <c r="AH50" i="17"/>
  <c r="AI50" i="17"/>
  <c r="AJ50" i="17"/>
  <c r="AK50" i="17"/>
  <c r="AL50" i="17"/>
  <c r="AM50" i="17"/>
  <c r="AN50" i="17"/>
  <c r="AO50" i="17"/>
  <c r="AP50" i="17"/>
  <c r="AQ50" i="17"/>
  <c r="AR50" i="17"/>
  <c r="AS50" i="17"/>
  <c r="AT50" i="17"/>
  <c r="AU50" i="17"/>
  <c r="AV50" i="17"/>
  <c r="AW50" i="17"/>
  <c r="AX50" i="17"/>
  <c r="AY50" i="17"/>
  <c r="AZ50" i="17"/>
  <c r="BA50" i="17"/>
  <c r="BB50" i="17"/>
  <c r="BC50" i="17"/>
  <c r="BD50" i="17"/>
  <c r="BE50" i="17"/>
  <c r="BF50" i="17"/>
  <c r="BG50" i="17"/>
  <c r="BH50" i="17"/>
  <c r="BI50" i="17"/>
  <c r="BJ50" i="17"/>
  <c r="BK50" i="17"/>
  <c r="BL50" i="17"/>
  <c r="BM50" i="17"/>
  <c r="BN50" i="17"/>
  <c r="BO50" i="17"/>
  <c r="BP50" i="17"/>
  <c r="BQ50" i="17"/>
  <c r="BR50" i="17"/>
  <c r="BS50" i="17"/>
  <c r="BT50" i="17"/>
  <c r="BU50" i="17"/>
  <c r="BV50" i="17"/>
  <c r="BW50" i="17"/>
  <c r="BX50" i="17"/>
  <c r="BY50" i="17"/>
  <c r="BZ50" i="17"/>
  <c r="CA50" i="17"/>
  <c r="CB50" i="17"/>
  <c r="CC50" i="17"/>
  <c r="CD50" i="17"/>
  <c r="CE50" i="17"/>
  <c r="CF50" i="17"/>
  <c r="CG50" i="17"/>
  <c r="CH50" i="17"/>
  <c r="CI50" i="17"/>
  <c r="CJ50" i="17"/>
  <c r="CK50" i="17"/>
  <c r="CL50" i="17"/>
  <c r="CM50" i="17"/>
  <c r="CN50" i="17"/>
  <c r="CO50" i="17"/>
  <c r="CP50" i="17"/>
  <c r="CQ50" i="17"/>
  <c r="CR50" i="17"/>
  <c r="CS50" i="17"/>
  <c r="CT50" i="17"/>
  <c r="CU50" i="17"/>
  <c r="CV50" i="17"/>
  <c r="CW50" i="17"/>
  <c r="CX50" i="17"/>
  <c r="CY50" i="17"/>
  <c r="CZ50" i="17"/>
  <c r="DA50" i="17"/>
  <c r="DB50" i="17"/>
  <c r="DC50" i="17"/>
  <c r="DD50" i="17"/>
  <c r="DE50" i="17"/>
  <c r="DF50" i="17"/>
  <c r="DG50" i="17"/>
  <c r="DH50" i="17"/>
  <c r="DI50" i="17"/>
  <c r="DJ50" i="17"/>
  <c r="DK50" i="17"/>
  <c r="DL50" i="17"/>
  <c r="DM50" i="17"/>
  <c r="DN50" i="17"/>
  <c r="DO50" i="17"/>
  <c r="DP50" i="17"/>
  <c r="DQ50" i="17"/>
  <c r="DR50" i="17"/>
  <c r="DS50" i="17"/>
  <c r="DT50" i="17"/>
  <c r="DU50" i="17"/>
  <c r="DV50" i="17"/>
  <c r="DW50" i="17"/>
  <c r="DX50" i="17"/>
  <c r="DY50" i="17"/>
  <c r="DZ50" i="17"/>
  <c r="EA50" i="17"/>
  <c r="EB50" i="17"/>
  <c r="EC50" i="17"/>
  <c r="ED50" i="17"/>
  <c r="EE50" i="17"/>
  <c r="EF50" i="17"/>
  <c r="EG50" i="17"/>
  <c r="EH50" i="17"/>
  <c r="EI50" i="17"/>
  <c r="EJ50" i="17"/>
  <c r="EK50" i="17"/>
  <c r="EL50" i="17"/>
  <c r="EM50" i="17"/>
  <c r="EN50" i="17"/>
  <c r="EO50" i="17"/>
  <c r="EP50" i="17"/>
  <c r="EQ50" i="17"/>
  <c r="ER50" i="17"/>
  <c r="ES50" i="17"/>
  <c r="ET50" i="17"/>
  <c r="EU50" i="17"/>
  <c r="EV50" i="17"/>
  <c r="EW50" i="17"/>
  <c r="EX50" i="17"/>
  <c r="EY50" i="17"/>
  <c r="EZ50" i="17"/>
  <c r="FA50" i="17"/>
  <c r="FB50" i="17"/>
  <c r="FC50" i="17"/>
  <c r="FD50" i="17"/>
  <c r="FE50" i="17"/>
  <c r="FF50" i="17"/>
  <c r="FG50" i="17"/>
  <c r="FH50" i="17"/>
  <c r="FI50" i="17"/>
  <c r="FJ50" i="17"/>
  <c r="FK50" i="17"/>
  <c r="FL50" i="17"/>
  <c r="FM50" i="17"/>
  <c r="FN50" i="17"/>
  <c r="FO50" i="17"/>
  <c r="FP50" i="17"/>
  <c r="FQ50" i="17"/>
  <c r="FR50" i="17"/>
  <c r="FS50" i="17"/>
  <c r="FT50" i="17"/>
  <c r="FU50" i="17"/>
  <c r="FV50" i="17"/>
  <c r="FW50" i="17"/>
  <c r="FX50" i="17"/>
  <c r="FY50" i="17"/>
  <c r="FZ50" i="17"/>
  <c r="GA50" i="17"/>
  <c r="GB50" i="17"/>
  <c r="GC50" i="17"/>
  <c r="GD50" i="17"/>
  <c r="GE50" i="17"/>
  <c r="GF50" i="17"/>
  <c r="GG50" i="17"/>
  <c r="GH50" i="17"/>
  <c r="GI50" i="17"/>
  <c r="GJ50" i="17"/>
  <c r="GK50" i="17"/>
  <c r="GL50" i="17"/>
  <c r="GM50" i="17"/>
  <c r="GN50" i="17"/>
  <c r="GO50" i="17"/>
  <c r="GP50" i="17"/>
  <c r="GQ50" i="17"/>
  <c r="GR50" i="17"/>
  <c r="GS50" i="17"/>
  <c r="GT50" i="17"/>
  <c r="GU50" i="17"/>
  <c r="GV50" i="17"/>
  <c r="GW50" i="17"/>
  <c r="GX50" i="17"/>
  <c r="GY50" i="17"/>
  <c r="GZ50" i="17"/>
  <c r="HA50" i="17"/>
  <c r="HB50" i="17"/>
  <c r="HC50" i="17"/>
  <c r="HD50" i="17"/>
  <c r="HE50" i="17"/>
  <c r="HF50" i="17"/>
  <c r="HG50" i="17"/>
  <c r="HH50" i="17"/>
  <c r="HI50" i="17"/>
  <c r="HJ50" i="17"/>
  <c r="HK50" i="17"/>
  <c r="HL50" i="17"/>
  <c r="HM50" i="17"/>
  <c r="HN50" i="17"/>
  <c r="HO50" i="17"/>
  <c r="HP50" i="17"/>
  <c r="HQ50" i="17"/>
  <c r="HR50" i="17"/>
  <c r="HS50" i="17"/>
  <c r="HT50" i="17"/>
  <c r="HU50" i="17"/>
  <c r="HV50" i="17"/>
  <c r="HW50" i="17"/>
  <c r="HX50" i="17"/>
  <c r="HY50" i="17"/>
  <c r="HZ50" i="17"/>
  <c r="IA50" i="17"/>
  <c r="IB50" i="17"/>
  <c r="IC50" i="17"/>
  <c r="ID50" i="17"/>
  <c r="IE50" i="17"/>
  <c r="IF50" i="17"/>
  <c r="IG50" i="17"/>
  <c r="IH50" i="17"/>
  <c r="II50" i="17"/>
  <c r="IJ50" i="17"/>
  <c r="IK50" i="17"/>
  <c r="IL50" i="17"/>
  <c r="IM50" i="17"/>
  <c r="IN50" i="17"/>
  <c r="IO50" i="17"/>
  <c r="IP50" i="17"/>
  <c r="IQ50" i="17"/>
  <c r="IR50" i="17"/>
  <c r="IS50" i="17"/>
  <c r="IT50" i="17"/>
  <c r="IU50" i="17"/>
  <c r="IV50" i="17"/>
  <c r="A49" i="17"/>
  <c r="B49" i="17"/>
  <c r="C49" i="17"/>
  <c r="D49" i="17"/>
  <c r="E49" i="17"/>
  <c r="F49" i="17"/>
  <c r="G49" i="17"/>
  <c r="H49" i="17"/>
  <c r="I49" i="17"/>
  <c r="J49" i="17"/>
  <c r="K49" i="17"/>
  <c r="L49" i="17"/>
  <c r="M49" i="17"/>
  <c r="N49" i="17"/>
  <c r="O49" i="17"/>
  <c r="P49" i="17"/>
  <c r="Q49" i="17"/>
  <c r="R49" i="17"/>
  <c r="S49" i="17"/>
  <c r="T49" i="17"/>
  <c r="U49" i="17"/>
  <c r="V49" i="17"/>
  <c r="W49" i="17"/>
  <c r="X49" i="17"/>
  <c r="Y49" i="17"/>
  <c r="Z49" i="17"/>
  <c r="AA49" i="17"/>
  <c r="AB49" i="17"/>
  <c r="AC49" i="17"/>
  <c r="AD49" i="17"/>
  <c r="AE49" i="17"/>
  <c r="AF49" i="17"/>
  <c r="AG49" i="17"/>
  <c r="AH49" i="17"/>
  <c r="AI49" i="17"/>
  <c r="AJ49" i="17"/>
  <c r="AK49" i="17"/>
  <c r="AL49" i="17"/>
  <c r="AM49" i="17"/>
  <c r="AN49" i="17"/>
  <c r="AO49" i="17"/>
  <c r="AP49" i="17"/>
  <c r="AQ49" i="17"/>
  <c r="AR49" i="17"/>
  <c r="AS49" i="17"/>
  <c r="AT49" i="17"/>
  <c r="AU49" i="17"/>
  <c r="AV49" i="17"/>
  <c r="AW49" i="17"/>
  <c r="AX49" i="17"/>
  <c r="AY49" i="17"/>
  <c r="AZ49" i="17"/>
  <c r="BA49" i="17"/>
  <c r="BB49" i="17"/>
  <c r="BC49" i="17"/>
  <c r="BD49" i="17"/>
  <c r="BE49" i="17"/>
  <c r="BF49" i="17"/>
  <c r="BG49" i="17"/>
  <c r="BH49" i="17"/>
  <c r="BI49" i="17"/>
  <c r="BJ49" i="17"/>
  <c r="BK49" i="17"/>
  <c r="BL49" i="17"/>
  <c r="BM49" i="17"/>
  <c r="BN49" i="17"/>
  <c r="BO49" i="17"/>
  <c r="BP49" i="17"/>
  <c r="BQ49" i="17"/>
  <c r="BR49" i="17"/>
  <c r="BS49" i="17"/>
  <c r="BT49" i="17"/>
  <c r="BU49" i="17"/>
  <c r="BV49" i="17"/>
  <c r="BW49" i="17"/>
  <c r="BX49" i="17"/>
  <c r="BY49" i="17"/>
  <c r="BZ49" i="17"/>
  <c r="CA49" i="17"/>
  <c r="CB49" i="17"/>
  <c r="CC49" i="17"/>
  <c r="CD49" i="17"/>
  <c r="CE49" i="17"/>
  <c r="CF49" i="17"/>
  <c r="CG49" i="17"/>
  <c r="CH49" i="17"/>
  <c r="CI49" i="17"/>
  <c r="CJ49" i="17"/>
  <c r="CK49" i="17"/>
  <c r="CL49" i="17"/>
  <c r="CM49" i="17"/>
  <c r="CN49" i="17"/>
  <c r="CO49" i="17"/>
  <c r="CP49" i="17"/>
  <c r="CQ49" i="17"/>
  <c r="CR49" i="17"/>
  <c r="CS49" i="17"/>
  <c r="CT49" i="17"/>
  <c r="CU49" i="17"/>
  <c r="CV49" i="17"/>
  <c r="CW49" i="17"/>
  <c r="CX49" i="17"/>
  <c r="CY49" i="17"/>
  <c r="CZ49" i="17"/>
  <c r="DA49" i="17"/>
  <c r="DB49" i="17"/>
  <c r="DC49" i="17"/>
  <c r="DD49" i="17"/>
  <c r="DE49" i="17"/>
  <c r="DF49" i="17"/>
  <c r="DG49" i="17"/>
  <c r="DH49" i="17"/>
  <c r="DI49" i="17"/>
  <c r="DJ49" i="17"/>
  <c r="DK49" i="17"/>
  <c r="DL49" i="17"/>
  <c r="DM49" i="17"/>
  <c r="DN49" i="17"/>
  <c r="DO49" i="17"/>
  <c r="DP49" i="17"/>
  <c r="DQ49" i="17"/>
  <c r="DR49" i="17"/>
  <c r="DS49" i="17"/>
  <c r="DT49" i="17"/>
  <c r="DU49" i="17"/>
  <c r="DV49" i="17"/>
  <c r="DW49" i="17"/>
  <c r="DX49" i="17"/>
  <c r="DY49" i="17"/>
  <c r="DZ49" i="17"/>
  <c r="EA49" i="17"/>
  <c r="EB49" i="17"/>
  <c r="EC49" i="17"/>
  <c r="ED49" i="17"/>
  <c r="EE49" i="17"/>
  <c r="EF49" i="17"/>
  <c r="EG49" i="17"/>
  <c r="EH49" i="17"/>
  <c r="EI49" i="17"/>
  <c r="EJ49" i="17"/>
  <c r="EK49" i="17"/>
  <c r="EL49" i="17"/>
  <c r="EM49" i="17"/>
  <c r="EN49" i="17"/>
  <c r="EO49" i="17"/>
  <c r="EP49" i="17"/>
  <c r="EQ49" i="17"/>
  <c r="ER49" i="17"/>
  <c r="ES49" i="17"/>
  <c r="ET49" i="17"/>
  <c r="EU49" i="17"/>
  <c r="EV49" i="17"/>
  <c r="EW49" i="17"/>
  <c r="EX49" i="17"/>
  <c r="EY49" i="17"/>
  <c r="EZ49" i="17"/>
  <c r="FA49" i="17"/>
  <c r="FB49" i="17"/>
  <c r="FC49" i="17"/>
  <c r="FD49" i="17"/>
  <c r="FE49" i="17"/>
  <c r="FF49" i="17"/>
  <c r="FG49" i="17"/>
  <c r="FH49" i="17"/>
  <c r="FI49" i="17"/>
  <c r="FJ49" i="17"/>
  <c r="FK49" i="17"/>
  <c r="FL49" i="17"/>
  <c r="FM49" i="17"/>
  <c r="FN49" i="17"/>
  <c r="FO49" i="17"/>
  <c r="FP49" i="17"/>
  <c r="FQ49" i="17"/>
  <c r="FR49" i="17"/>
  <c r="FS49" i="17"/>
  <c r="FT49" i="17"/>
  <c r="FU49" i="17"/>
  <c r="FV49" i="17"/>
  <c r="FW49" i="17"/>
  <c r="FX49" i="17"/>
  <c r="FY49" i="17"/>
  <c r="FZ49" i="17"/>
  <c r="GA49" i="17"/>
  <c r="GB49" i="17"/>
  <c r="GC49" i="17"/>
  <c r="GD49" i="17"/>
  <c r="GE49" i="17"/>
  <c r="GF49" i="17"/>
  <c r="GG49" i="17"/>
  <c r="GH49" i="17"/>
  <c r="GI49" i="17"/>
  <c r="GJ49" i="17"/>
  <c r="GK49" i="17"/>
  <c r="GL49" i="17"/>
  <c r="GM49" i="17"/>
  <c r="GN49" i="17"/>
  <c r="GO49" i="17"/>
  <c r="GP49" i="17"/>
  <c r="GQ49" i="17"/>
  <c r="GR49" i="17"/>
  <c r="GS49" i="17"/>
  <c r="GT49" i="17"/>
  <c r="GU49" i="17"/>
  <c r="GV49" i="17"/>
  <c r="GW49" i="17"/>
  <c r="GX49" i="17"/>
  <c r="GY49" i="17"/>
  <c r="GZ49" i="17"/>
  <c r="HA49" i="17"/>
  <c r="HB49" i="17"/>
  <c r="HC49" i="17"/>
  <c r="HD49" i="17"/>
  <c r="HE49" i="17"/>
  <c r="HF49" i="17"/>
  <c r="HG49" i="17"/>
  <c r="HH49" i="17"/>
  <c r="HI49" i="17"/>
  <c r="HJ49" i="17"/>
  <c r="HK49" i="17"/>
  <c r="HL49" i="17"/>
  <c r="HM49" i="17"/>
  <c r="HN49" i="17"/>
  <c r="HO49" i="17"/>
  <c r="HP49" i="17"/>
  <c r="HQ49" i="17"/>
  <c r="HR49" i="17"/>
  <c r="HS49" i="17"/>
  <c r="HT49" i="17"/>
  <c r="HU49" i="17"/>
  <c r="HV49" i="17"/>
  <c r="HW49" i="17"/>
  <c r="HX49" i="17"/>
  <c r="HY49" i="17"/>
  <c r="HZ49" i="17"/>
  <c r="IA49" i="17"/>
  <c r="IB49" i="17"/>
  <c r="IC49" i="17"/>
  <c r="ID49" i="17"/>
  <c r="IE49" i="17"/>
  <c r="IF49" i="17"/>
  <c r="IG49" i="17"/>
  <c r="IH49" i="17"/>
  <c r="II49" i="17"/>
  <c r="IJ49" i="17"/>
  <c r="IK49" i="17"/>
  <c r="IL49" i="17"/>
  <c r="IM49" i="17"/>
  <c r="IN49" i="17"/>
  <c r="IO49" i="17"/>
  <c r="IP49" i="17"/>
  <c r="IQ49" i="17"/>
  <c r="IR49" i="17"/>
  <c r="IS49" i="17"/>
  <c r="IT49" i="17"/>
  <c r="IU49" i="17"/>
  <c r="IV49" i="17"/>
  <c r="A48" i="17"/>
  <c r="B48" i="17"/>
  <c r="C48" i="17"/>
  <c r="D48" i="17"/>
  <c r="E48" i="17"/>
  <c r="F48" i="17"/>
  <c r="G48" i="17"/>
  <c r="H48" i="17"/>
  <c r="I48" i="17"/>
  <c r="J48" i="17"/>
  <c r="K48" i="17"/>
  <c r="L48" i="17"/>
  <c r="M48" i="17"/>
  <c r="N48" i="17"/>
  <c r="O48" i="17"/>
  <c r="P48" i="17"/>
  <c r="Q48" i="17"/>
  <c r="R48" i="17"/>
  <c r="S48" i="17"/>
  <c r="T48" i="17"/>
  <c r="U48" i="17"/>
  <c r="V48" i="17"/>
  <c r="W48" i="17"/>
  <c r="X48" i="17"/>
  <c r="Z48" i="17"/>
  <c r="AA48" i="17"/>
  <c r="AB48" i="17"/>
  <c r="AC48" i="17"/>
  <c r="AD48" i="17"/>
  <c r="AE48" i="17"/>
  <c r="AF48" i="17"/>
  <c r="AG48" i="17"/>
  <c r="AH48" i="17"/>
  <c r="AI48" i="17"/>
  <c r="AJ48" i="17"/>
  <c r="AK48" i="17"/>
  <c r="AL48" i="17"/>
  <c r="AM48" i="17"/>
  <c r="AN48" i="17"/>
  <c r="AO48" i="17"/>
  <c r="AP48" i="17"/>
  <c r="AQ48" i="17"/>
  <c r="AR48" i="17"/>
  <c r="AS48" i="17"/>
  <c r="AT48" i="17"/>
  <c r="AU48" i="17"/>
  <c r="AV48" i="17"/>
  <c r="AW48" i="17"/>
  <c r="AX48" i="17"/>
  <c r="AY48" i="17"/>
  <c r="AZ48" i="17"/>
  <c r="BA48" i="17"/>
  <c r="BB48" i="17"/>
  <c r="BC48" i="17"/>
  <c r="BD48" i="17"/>
  <c r="BE48" i="17"/>
  <c r="BF48" i="17"/>
  <c r="BG48" i="17"/>
  <c r="BH48" i="17"/>
  <c r="BI48" i="17"/>
  <c r="BJ48" i="17"/>
  <c r="BK48" i="17"/>
  <c r="BL48" i="17"/>
  <c r="BM48" i="17"/>
  <c r="BN48" i="17"/>
  <c r="BO48" i="17"/>
  <c r="BP48" i="17"/>
  <c r="BQ48" i="17"/>
  <c r="BR48" i="17"/>
  <c r="BS48" i="17"/>
  <c r="BT48" i="17"/>
  <c r="BU48" i="17"/>
  <c r="BV48" i="17"/>
  <c r="BW48" i="17"/>
  <c r="BX48" i="17"/>
  <c r="BY48" i="17"/>
  <c r="BZ48" i="17"/>
  <c r="CA48" i="17"/>
  <c r="CB48" i="17"/>
  <c r="CC48" i="17"/>
  <c r="CD48" i="17"/>
  <c r="CE48" i="17"/>
  <c r="CF48" i="17"/>
  <c r="CG48" i="17"/>
  <c r="CH48" i="17"/>
  <c r="CI48" i="17"/>
  <c r="CJ48" i="17"/>
  <c r="CK48" i="17"/>
  <c r="CL48" i="17"/>
  <c r="CM48" i="17"/>
  <c r="CN48" i="17"/>
  <c r="CO48" i="17"/>
  <c r="CP48" i="17"/>
  <c r="CQ48" i="17"/>
  <c r="CR48" i="17"/>
  <c r="CS48" i="17"/>
  <c r="CT48" i="17"/>
  <c r="CU48" i="17"/>
  <c r="CV48" i="17"/>
  <c r="CW48" i="17"/>
  <c r="CX48" i="17"/>
  <c r="CY48" i="17"/>
  <c r="CZ48" i="17"/>
  <c r="DA48" i="17"/>
  <c r="DB48" i="17"/>
  <c r="DC48" i="17"/>
  <c r="DD48" i="17"/>
  <c r="DE48" i="17"/>
  <c r="DF48" i="17"/>
  <c r="DG48" i="17"/>
  <c r="DH48" i="17"/>
  <c r="DI48" i="17"/>
  <c r="DJ48" i="17"/>
  <c r="DK48" i="17"/>
  <c r="DL48" i="17"/>
  <c r="DM48" i="17"/>
  <c r="DN48" i="17"/>
  <c r="DO48" i="17"/>
  <c r="DP48" i="17"/>
  <c r="DQ48" i="17"/>
  <c r="DR48" i="17"/>
  <c r="DS48" i="17"/>
  <c r="DT48" i="17"/>
  <c r="DU48" i="17"/>
  <c r="DV48" i="17"/>
  <c r="DW48" i="17"/>
  <c r="DX48" i="17"/>
  <c r="DY48" i="17"/>
  <c r="DZ48" i="17"/>
  <c r="EA48" i="17"/>
  <c r="EB48" i="17"/>
  <c r="EC48" i="17"/>
  <c r="ED48" i="17"/>
  <c r="EE48" i="17"/>
  <c r="EF48" i="17"/>
  <c r="EG48" i="17"/>
  <c r="EH48" i="17"/>
  <c r="EI48" i="17"/>
  <c r="EJ48" i="17"/>
  <c r="EK48" i="17"/>
  <c r="EL48" i="17"/>
  <c r="EM48" i="17"/>
  <c r="EN48" i="17"/>
  <c r="EO48" i="17"/>
  <c r="EP48" i="17"/>
  <c r="EQ48" i="17"/>
  <c r="ER48" i="17"/>
  <c r="ES48" i="17"/>
  <c r="ET48" i="17"/>
  <c r="EU48" i="17"/>
  <c r="EV48" i="17"/>
  <c r="EW48" i="17"/>
  <c r="EX48" i="17"/>
  <c r="EY48" i="17"/>
  <c r="EZ48" i="17"/>
  <c r="FA48" i="17"/>
  <c r="FB48" i="17"/>
  <c r="FC48" i="17"/>
  <c r="FD48" i="17"/>
  <c r="FE48" i="17"/>
  <c r="FF48" i="17"/>
  <c r="FG48" i="17"/>
  <c r="FH48" i="17"/>
  <c r="FI48" i="17"/>
  <c r="FJ48" i="17"/>
  <c r="FK48" i="17"/>
  <c r="FL48" i="17"/>
  <c r="FM48" i="17"/>
  <c r="FN48" i="17"/>
  <c r="FO48" i="17"/>
  <c r="FP48" i="17"/>
  <c r="FQ48" i="17"/>
  <c r="FR48" i="17"/>
  <c r="FS48" i="17"/>
  <c r="FT48" i="17"/>
  <c r="FU48" i="17"/>
  <c r="FV48" i="17"/>
  <c r="FW48" i="17"/>
  <c r="FX48" i="17"/>
  <c r="FY48" i="17"/>
  <c r="FZ48" i="17"/>
  <c r="GA48" i="17"/>
  <c r="GB48" i="17"/>
  <c r="GC48" i="17"/>
  <c r="GD48" i="17"/>
  <c r="GE48" i="17"/>
  <c r="GF48" i="17"/>
  <c r="GG48" i="17"/>
  <c r="GH48" i="17"/>
  <c r="GI48" i="17"/>
  <c r="GJ48" i="17"/>
  <c r="GK48" i="17"/>
  <c r="GL48" i="17"/>
  <c r="GM48" i="17"/>
  <c r="GN48" i="17"/>
  <c r="GO48" i="17"/>
  <c r="GP48" i="17"/>
  <c r="GQ48" i="17"/>
  <c r="GR48" i="17"/>
  <c r="GS48" i="17"/>
  <c r="GT48" i="17"/>
  <c r="GU48" i="17"/>
  <c r="GV48" i="17"/>
  <c r="GW48" i="17"/>
  <c r="GX48" i="17"/>
  <c r="GY48" i="17"/>
  <c r="GZ48" i="17"/>
  <c r="HA48" i="17"/>
  <c r="HB48" i="17"/>
  <c r="HC48" i="17"/>
  <c r="HD48" i="17"/>
  <c r="HE48" i="17"/>
  <c r="HF48" i="17"/>
  <c r="HG48" i="17"/>
  <c r="HH48" i="17"/>
  <c r="HI48" i="17"/>
  <c r="HJ48" i="17"/>
  <c r="HK48" i="17"/>
  <c r="HL48" i="17"/>
  <c r="HM48" i="17"/>
  <c r="HN48" i="17"/>
  <c r="HO48" i="17"/>
  <c r="HP48" i="17"/>
  <c r="HQ48" i="17"/>
  <c r="HR48" i="17"/>
  <c r="HS48" i="17"/>
  <c r="HT48" i="17"/>
  <c r="HU48" i="17"/>
  <c r="HV48" i="17"/>
  <c r="HW48" i="17"/>
  <c r="HX48" i="17"/>
  <c r="HY48" i="17"/>
  <c r="HZ48" i="17"/>
  <c r="IA48" i="17"/>
  <c r="IB48" i="17"/>
  <c r="IC48" i="17"/>
  <c r="ID48" i="17"/>
  <c r="IE48" i="17"/>
  <c r="IF48" i="17"/>
  <c r="IG48" i="17"/>
  <c r="IH48" i="17"/>
  <c r="II48" i="17"/>
  <c r="IJ48" i="17"/>
  <c r="IK48" i="17"/>
  <c r="IL48" i="17"/>
  <c r="IM48" i="17"/>
  <c r="IN48" i="17"/>
  <c r="IO48" i="17"/>
  <c r="IP48" i="17"/>
  <c r="IQ48" i="17"/>
  <c r="IR48" i="17"/>
  <c r="IS48" i="17"/>
  <c r="IT48" i="17"/>
  <c r="IU48" i="17"/>
  <c r="IV48" i="17"/>
  <c r="A47" i="17"/>
  <c r="B47" i="17"/>
  <c r="C47" i="17"/>
  <c r="D47" i="17"/>
  <c r="E47" i="17"/>
  <c r="F47" i="17"/>
  <c r="G47" i="17"/>
  <c r="H47" i="17"/>
  <c r="I47" i="17"/>
  <c r="J47" i="17"/>
  <c r="K47" i="17"/>
  <c r="L47" i="17"/>
  <c r="M47" i="17"/>
  <c r="N47" i="17"/>
  <c r="O47" i="17"/>
  <c r="P47" i="17"/>
  <c r="Q47" i="17"/>
  <c r="R47" i="17"/>
  <c r="S47" i="17"/>
  <c r="T47" i="17"/>
  <c r="U47" i="17"/>
  <c r="V47" i="17"/>
  <c r="W47" i="17"/>
  <c r="X47" i="17"/>
  <c r="Y47" i="17"/>
  <c r="Z47" i="17"/>
  <c r="AA47" i="17"/>
  <c r="AB47" i="17"/>
  <c r="AC47" i="17"/>
  <c r="AD47" i="17"/>
  <c r="AE47" i="17"/>
  <c r="AF47" i="17"/>
  <c r="AG47" i="17"/>
  <c r="AH47" i="17"/>
  <c r="AI47" i="17"/>
  <c r="AJ47" i="17"/>
  <c r="AK47" i="17"/>
  <c r="AL47" i="17"/>
  <c r="AM47" i="17"/>
  <c r="AN47" i="17"/>
  <c r="AO47" i="17"/>
  <c r="AP47" i="17"/>
  <c r="AQ47" i="17"/>
  <c r="AR47" i="17"/>
  <c r="AS47" i="17"/>
  <c r="AT47" i="17"/>
  <c r="AU47" i="17"/>
  <c r="AV47" i="17"/>
  <c r="AW47" i="17"/>
  <c r="AX47" i="17"/>
  <c r="AY47" i="17"/>
  <c r="AZ47" i="17"/>
  <c r="BA47" i="17"/>
  <c r="BB47" i="17"/>
  <c r="BC47" i="17"/>
  <c r="BD47" i="17"/>
  <c r="BE47" i="17"/>
  <c r="BF47" i="17"/>
  <c r="BG47" i="17"/>
  <c r="BH47" i="17"/>
  <c r="BI47" i="17"/>
  <c r="BJ47" i="17"/>
  <c r="BK47" i="17"/>
  <c r="BL47" i="17"/>
  <c r="BM47" i="17"/>
  <c r="BN47" i="17"/>
  <c r="BO47" i="17"/>
  <c r="BP47" i="17"/>
  <c r="BQ47" i="17"/>
  <c r="BR47" i="17"/>
  <c r="BS47" i="17"/>
  <c r="BT47" i="17"/>
  <c r="BU47" i="17"/>
  <c r="BV47" i="17"/>
  <c r="BW47" i="17"/>
  <c r="BX47" i="17"/>
  <c r="BY47" i="17"/>
  <c r="BZ47" i="17"/>
  <c r="CA47" i="17"/>
  <c r="CB47" i="17"/>
  <c r="CC47" i="17"/>
  <c r="CD47" i="17"/>
  <c r="CE47" i="17"/>
  <c r="CF47" i="17"/>
  <c r="CG47" i="17"/>
  <c r="CH47" i="17"/>
  <c r="CI47" i="17"/>
  <c r="CJ47" i="17"/>
  <c r="CK47" i="17"/>
  <c r="CL47" i="17"/>
  <c r="CM47" i="17"/>
  <c r="CN47" i="17"/>
  <c r="CO47" i="17"/>
  <c r="CP47" i="17"/>
  <c r="CQ47" i="17"/>
  <c r="CR47" i="17"/>
  <c r="CS47" i="17"/>
  <c r="CT47" i="17"/>
  <c r="CU47" i="17"/>
  <c r="CV47" i="17"/>
  <c r="CW47" i="17"/>
  <c r="CX47" i="17"/>
  <c r="CY47" i="17"/>
  <c r="CZ47" i="17"/>
  <c r="DA47" i="17"/>
  <c r="DB47" i="17"/>
  <c r="DC47" i="17"/>
  <c r="DD47" i="17"/>
  <c r="DE47" i="17"/>
  <c r="DF47" i="17"/>
  <c r="DG47" i="17"/>
  <c r="DH47" i="17"/>
  <c r="DI47" i="17"/>
  <c r="DJ47" i="17"/>
  <c r="DK47" i="17"/>
  <c r="DL47" i="17"/>
  <c r="DM47" i="17"/>
  <c r="DN47" i="17"/>
  <c r="DO47" i="17"/>
  <c r="DP47" i="17"/>
  <c r="DQ47" i="17"/>
  <c r="DR47" i="17"/>
  <c r="DS47" i="17"/>
  <c r="DT47" i="17"/>
  <c r="DU47" i="17"/>
  <c r="DV47" i="17"/>
  <c r="DW47" i="17"/>
  <c r="DX47" i="17"/>
  <c r="DY47" i="17"/>
  <c r="DZ47" i="17"/>
  <c r="EA47" i="17"/>
  <c r="EB47" i="17"/>
  <c r="EC47" i="17"/>
  <c r="ED47" i="17"/>
  <c r="EE47" i="17"/>
  <c r="EF47" i="17"/>
  <c r="EG47" i="17"/>
  <c r="EH47" i="17"/>
  <c r="EI47" i="17"/>
  <c r="EJ47" i="17"/>
  <c r="EK47" i="17"/>
  <c r="EL47" i="17"/>
  <c r="EM47" i="17"/>
  <c r="EN47" i="17"/>
  <c r="EO47" i="17"/>
  <c r="EP47" i="17"/>
  <c r="EQ47" i="17"/>
  <c r="ER47" i="17"/>
  <c r="ES47" i="17"/>
  <c r="ET47" i="17"/>
  <c r="EU47" i="17"/>
  <c r="EV47" i="17"/>
  <c r="EW47" i="17"/>
  <c r="EX47" i="17"/>
  <c r="EY47" i="17"/>
  <c r="EZ47" i="17"/>
  <c r="FA47" i="17"/>
  <c r="FB47" i="17"/>
  <c r="FC47" i="17"/>
  <c r="FD47" i="17"/>
  <c r="FE47" i="17"/>
  <c r="FF47" i="17"/>
  <c r="FG47" i="17"/>
  <c r="FH47" i="17"/>
  <c r="FI47" i="17"/>
  <c r="FJ47" i="17"/>
  <c r="FK47" i="17"/>
  <c r="FL47" i="17"/>
  <c r="FM47" i="17"/>
  <c r="FN47" i="17"/>
  <c r="FO47" i="17"/>
  <c r="FP47" i="17"/>
  <c r="FQ47" i="17"/>
  <c r="FR47" i="17"/>
  <c r="FS47" i="17"/>
  <c r="FT47" i="17"/>
  <c r="FU47" i="17"/>
  <c r="FV47" i="17"/>
  <c r="FW47" i="17"/>
  <c r="FX47" i="17"/>
  <c r="FY47" i="17"/>
  <c r="FZ47" i="17"/>
  <c r="GA47" i="17"/>
  <c r="GB47" i="17"/>
  <c r="GC47" i="17"/>
  <c r="GD47" i="17"/>
  <c r="GE47" i="17"/>
  <c r="GF47" i="17"/>
  <c r="GG47" i="17"/>
  <c r="GH47" i="17"/>
  <c r="GI47" i="17"/>
  <c r="GJ47" i="17"/>
  <c r="GK47" i="17"/>
  <c r="GL47" i="17"/>
  <c r="GM47" i="17"/>
  <c r="GN47" i="17"/>
  <c r="GO47" i="17"/>
  <c r="GP47" i="17"/>
  <c r="GQ47" i="17"/>
  <c r="GR47" i="17"/>
  <c r="GS47" i="17"/>
  <c r="GT47" i="17"/>
  <c r="GU47" i="17"/>
  <c r="GV47" i="17"/>
  <c r="GW47" i="17"/>
  <c r="GX47" i="17"/>
  <c r="GY47" i="17"/>
  <c r="GZ47" i="17"/>
  <c r="HA47" i="17"/>
  <c r="HB47" i="17"/>
  <c r="HC47" i="17"/>
  <c r="HD47" i="17"/>
  <c r="HE47" i="17"/>
  <c r="HF47" i="17"/>
  <c r="HG47" i="17"/>
  <c r="HH47" i="17"/>
  <c r="HI47" i="17"/>
  <c r="HJ47" i="17"/>
  <c r="HK47" i="17"/>
  <c r="HL47" i="17"/>
  <c r="HM47" i="17"/>
  <c r="HN47" i="17"/>
  <c r="HO47" i="17"/>
  <c r="HP47" i="17"/>
  <c r="HQ47" i="17"/>
  <c r="HR47" i="17"/>
  <c r="HS47" i="17"/>
  <c r="HT47" i="17"/>
  <c r="HU47" i="17"/>
  <c r="HV47" i="17"/>
  <c r="HW47" i="17"/>
  <c r="HX47" i="17"/>
  <c r="HY47" i="17"/>
  <c r="HZ47" i="17"/>
  <c r="IA47" i="17"/>
  <c r="IB47" i="17"/>
  <c r="IC47" i="17"/>
  <c r="ID47" i="17"/>
  <c r="IE47" i="17"/>
  <c r="IF47" i="17"/>
  <c r="IG47" i="17"/>
  <c r="IH47" i="17"/>
  <c r="II47" i="17"/>
  <c r="IJ47" i="17"/>
  <c r="IK47" i="17"/>
  <c r="IL47" i="17"/>
  <c r="IM47" i="17"/>
  <c r="IN47" i="17"/>
  <c r="IO47" i="17"/>
  <c r="IP47" i="17"/>
  <c r="IQ47" i="17"/>
  <c r="IR47" i="17"/>
  <c r="IS47" i="17"/>
  <c r="IT47" i="17"/>
  <c r="IU47" i="17"/>
  <c r="IV47" i="17"/>
  <c r="A46" i="17"/>
  <c r="B46" i="17"/>
  <c r="C46" i="17"/>
  <c r="D46" i="17"/>
  <c r="E46" i="17"/>
  <c r="F46" i="17"/>
  <c r="G46" i="17"/>
  <c r="H46" i="17"/>
  <c r="I46" i="17"/>
  <c r="J46" i="17"/>
  <c r="K46" i="17"/>
  <c r="L46" i="17"/>
  <c r="M46" i="17"/>
  <c r="N46" i="17"/>
  <c r="O46" i="17"/>
  <c r="P46" i="17"/>
  <c r="Q46" i="17"/>
  <c r="R46" i="17"/>
  <c r="S46" i="17"/>
  <c r="T46" i="17"/>
  <c r="U46" i="17"/>
  <c r="V46" i="17"/>
  <c r="W46" i="17"/>
  <c r="Y46" i="17"/>
  <c r="Z46" i="17"/>
  <c r="AA46" i="17"/>
  <c r="AB46" i="17"/>
  <c r="AC46" i="17"/>
  <c r="AD46" i="17"/>
  <c r="AE46" i="17"/>
  <c r="AF46" i="17"/>
  <c r="AG46" i="17"/>
  <c r="AH46" i="17"/>
  <c r="AI46" i="17"/>
  <c r="AJ46" i="17"/>
  <c r="AK46" i="17"/>
  <c r="AL46" i="17"/>
  <c r="AM46" i="17"/>
  <c r="AN46" i="17"/>
  <c r="AO46" i="17"/>
  <c r="AP46" i="17"/>
  <c r="AQ46" i="17"/>
  <c r="AR46" i="17"/>
  <c r="AS46" i="17"/>
  <c r="AT46" i="17"/>
  <c r="AU46" i="17"/>
  <c r="AV46" i="17"/>
  <c r="AW46" i="17"/>
  <c r="AX46" i="17"/>
  <c r="AY46" i="17"/>
  <c r="AZ46" i="17"/>
  <c r="BA46" i="17"/>
  <c r="BB46" i="17"/>
  <c r="BC46" i="17"/>
  <c r="BD46" i="17"/>
  <c r="BE46" i="17"/>
  <c r="BF46" i="17"/>
  <c r="BG46" i="17"/>
  <c r="BH46" i="17"/>
  <c r="BI46" i="17"/>
  <c r="BJ46" i="17"/>
  <c r="BK46" i="17"/>
  <c r="BL46" i="17"/>
  <c r="BM46" i="17"/>
  <c r="BN46" i="17"/>
  <c r="BO46" i="17"/>
  <c r="BP46" i="17"/>
  <c r="BQ46" i="17"/>
  <c r="BR46" i="17"/>
  <c r="BS46" i="17"/>
  <c r="BT46" i="17"/>
  <c r="BU46" i="17"/>
  <c r="BV46" i="17"/>
  <c r="BW46" i="17"/>
  <c r="BX46" i="17"/>
  <c r="BY46" i="17"/>
  <c r="BZ46" i="17"/>
  <c r="CA46" i="17"/>
  <c r="CB46" i="17"/>
  <c r="CC46" i="17"/>
  <c r="CD46" i="17"/>
  <c r="CE46" i="17"/>
  <c r="CF46" i="17"/>
  <c r="CG46" i="17"/>
  <c r="CH46" i="17"/>
  <c r="CI46" i="17"/>
  <c r="CJ46" i="17"/>
  <c r="CK46" i="17"/>
  <c r="CL46" i="17"/>
  <c r="CM46" i="17"/>
  <c r="CN46" i="17"/>
  <c r="CO46" i="17"/>
  <c r="CP46" i="17"/>
  <c r="CQ46" i="17"/>
  <c r="CR46" i="17"/>
  <c r="CS46" i="17"/>
  <c r="CT46" i="17"/>
  <c r="CU46" i="17"/>
  <c r="CV46" i="17"/>
  <c r="CW46" i="17"/>
  <c r="CX46" i="17"/>
  <c r="CY46" i="17"/>
  <c r="CZ46" i="17"/>
  <c r="DA46" i="17"/>
  <c r="DB46" i="17"/>
  <c r="DC46" i="17"/>
  <c r="DD46" i="17"/>
  <c r="DE46" i="17"/>
  <c r="DF46" i="17"/>
  <c r="DG46" i="17"/>
  <c r="DH46" i="17"/>
  <c r="DI46" i="17"/>
  <c r="DJ46" i="17"/>
  <c r="DK46" i="17"/>
  <c r="DL46" i="17"/>
  <c r="DM46" i="17"/>
  <c r="DN46" i="17"/>
  <c r="DO46" i="17"/>
  <c r="DP46" i="17"/>
  <c r="DQ46" i="17"/>
  <c r="DR46" i="17"/>
  <c r="DS46" i="17"/>
  <c r="DT46" i="17"/>
  <c r="DU46" i="17"/>
  <c r="DV46" i="17"/>
  <c r="DW46" i="17"/>
  <c r="DX46" i="17"/>
  <c r="DY46" i="17"/>
  <c r="DZ46" i="17"/>
  <c r="EA46" i="17"/>
  <c r="EB46" i="17"/>
  <c r="EC46" i="17"/>
  <c r="ED46" i="17"/>
  <c r="EE46" i="17"/>
  <c r="EF46" i="17"/>
  <c r="EG46" i="17"/>
  <c r="EH46" i="17"/>
  <c r="EI46" i="17"/>
  <c r="EJ46" i="17"/>
  <c r="EK46" i="17"/>
  <c r="EL46" i="17"/>
  <c r="EM46" i="17"/>
  <c r="EN46" i="17"/>
  <c r="EO46" i="17"/>
  <c r="EP46" i="17"/>
  <c r="EQ46" i="17"/>
  <c r="ER46" i="17"/>
  <c r="ES46" i="17"/>
  <c r="ET46" i="17"/>
  <c r="EU46" i="17"/>
  <c r="EV46" i="17"/>
  <c r="EW46" i="17"/>
  <c r="EX46" i="17"/>
  <c r="EY46" i="17"/>
  <c r="EZ46" i="17"/>
  <c r="FA46" i="17"/>
  <c r="FB46" i="17"/>
  <c r="FC46" i="17"/>
  <c r="FD46" i="17"/>
  <c r="FE46" i="17"/>
  <c r="FF46" i="17"/>
  <c r="FG46" i="17"/>
  <c r="FH46" i="17"/>
  <c r="FI46" i="17"/>
  <c r="FJ46" i="17"/>
  <c r="FK46" i="17"/>
  <c r="FL46" i="17"/>
  <c r="FM46" i="17"/>
  <c r="FN46" i="17"/>
  <c r="FO46" i="17"/>
  <c r="FP46" i="17"/>
  <c r="FQ46" i="17"/>
  <c r="FR46" i="17"/>
  <c r="FS46" i="17"/>
  <c r="FT46" i="17"/>
  <c r="FU46" i="17"/>
  <c r="FV46" i="17"/>
  <c r="FW46" i="17"/>
  <c r="FX46" i="17"/>
  <c r="FY46" i="17"/>
  <c r="FZ46" i="17"/>
  <c r="GA46" i="17"/>
  <c r="GB46" i="17"/>
  <c r="GC46" i="17"/>
  <c r="GD46" i="17"/>
  <c r="GE46" i="17"/>
  <c r="GF46" i="17"/>
  <c r="GG46" i="17"/>
  <c r="GH46" i="17"/>
  <c r="GI46" i="17"/>
  <c r="GJ46" i="17"/>
  <c r="GK46" i="17"/>
  <c r="GL46" i="17"/>
  <c r="GM46" i="17"/>
  <c r="GN46" i="17"/>
  <c r="GO46" i="17"/>
  <c r="GP46" i="17"/>
  <c r="GQ46" i="17"/>
  <c r="GR46" i="17"/>
  <c r="GS46" i="17"/>
  <c r="GT46" i="17"/>
  <c r="GU46" i="17"/>
  <c r="GV46" i="17"/>
  <c r="GW46" i="17"/>
  <c r="GX46" i="17"/>
  <c r="GY46" i="17"/>
  <c r="GZ46" i="17"/>
  <c r="HA46" i="17"/>
  <c r="HB46" i="17"/>
  <c r="HC46" i="17"/>
  <c r="HD46" i="17"/>
  <c r="HE46" i="17"/>
  <c r="HF46" i="17"/>
  <c r="HG46" i="17"/>
  <c r="HH46" i="17"/>
  <c r="HI46" i="17"/>
  <c r="HJ46" i="17"/>
  <c r="HK46" i="17"/>
  <c r="HL46" i="17"/>
  <c r="HM46" i="17"/>
  <c r="HN46" i="17"/>
  <c r="HO46" i="17"/>
  <c r="HP46" i="17"/>
  <c r="HQ46" i="17"/>
  <c r="HR46" i="17"/>
  <c r="HS46" i="17"/>
  <c r="HT46" i="17"/>
  <c r="HU46" i="17"/>
  <c r="HV46" i="17"/>
  <c r="HW46" i="17"/>
  <c r="HX46" i="17"/>
  <c r="HY46" i="17"/>
  <c r="HZ46" i="17"/>
  <c r="IA46" i="17"/>
  <c r="IB46" i="17"/>
  <c r="IC46" i="17"/>
  <c r="ID46" i="17"/>
  <c r="IE46" i="17"/>
  <c r="IF46" i="17"/>
  <c r="IG46" i="17"/>
  <c r="IH46" i="17"/>
  <c r="II46" i="17"/>
  <c r="IJ46" i="17"/>
  <c r="IK46" i="17"/>
  <c r="IL46" i="17"/>
  <c r="IM46" i="17"/>
  <c r="IN46" i="17"/>
  <c r="IO46" i="17"/>
  <c r="IP46" i="17"/>
  <c r="IQ46" i="17"/>
  <c r="IR46" i="17"/>
  <c r="IS46" i="17"/>
  <c r="IT46" i="17"/>
  <c r="IU46" i="17"/>
  <c r="IV46" i="17"/>
  <c r="A45" i="17"/>
  <c r="B45" i="17"/>
  <c r="C45" i="17"/>
  <c r="D45" i="17"/>
  <c r="E45" i="17"/>
  <c r="F45" i="17"/>
  <c r="G45" i="17"/>
  <c r="H45" i="17"/>
  <c r="I45" i="17"/>
  <c r="J45" i="17"/>
  <c r="K45" i="17"/>
  <c r="L45" i="17"/>
  <c r="M45" i="17"/>
  <c r="N45" i="17"/>
  <c r="O45" i="17"/>
  <c r="P45" i="17"/>
  <c r="Q45" i="17"/>
  <c r="R45" i="17"/>
  <c r="S45" i="17"/>
  <c r="T45" i="17"/>
  <c r="U45" i="17"/>
  <c r="V45" i="17"/>
  <c r="W45" i="17"/>
  <c r="X45" i="17"/>
  <c r="Y45" i="17"/>
  <c r="Z45" i="17"/>
  <c r="AA45" i="17"/>
  <c r="AB45" i="17"/>
  <c r="AC45" i="17"/>
  <c r="AD45" i="17"/>
  <c r="AE45" i="17"/>
  <c r="AF45" i="17"/>
  <c r="AG45" i="17"/>
  <c r="AH45" i="17"/>
  <c r="AI45" i="17"/>
  <c r="AJ45" i="17"/>
  <c r="AK45" i="17"/>
  <c r="AL45" i="17"/>
  <c r="AM45" i="17"/>
  <c r="AN45" i="17"/>
  <c r="AO45" i="17"/>
  <c r="AP45" i="17"/>
  <c r="AQ45" i="17"/>
  <c r="AR45" i="17"/>
  <c r="AS45" i="17"/>
  <c r="AT45" i="17"/>
  <c r="AU45" i="17"/>
  <c r="AV45" i="17"/>
  <c r="AW45" i="17"/>
  <c r="AX45" i="17"/>
  <c r="AY45" i="17"/>
  <c r="AZ45" i="17"/>
  <c r="BA45" i="17"/>
  <c r="BB45" i="17"/>
  <c r="BC45" i="17"/>
  <c r="BD45" i="17"/>
  <c r="BE45" i="17"/>
  <c r="BF45" i="17"/>
  <c r="BG45" i="17"/>
  <c r="BH45" i="17"/>
  <c r="BI45" i="17"/>
  <c r="BJ45" i="17"/>
  <c r="BK45" i="17"/>
  <c r="BL45" i="17"/>
  <c r="BM45" i="17"/>
  <c r="BN45" i="17"/>
  <c r="BO45" i="17"/>
  <c r="BP45" i="17"/>
  <c r="BQ45" i="17"/>
  <c r="BR45" i="17"/>
  <c r="BS45" i="17"/>
  <c r="BT45" i="17"/>
  <c r="BU45" i="17"/>
  <c r="BV45" i="17"/>
  <c r="BW45" i="17"/>
  <c r="BX45" i="17"/>
  <c r="BY45" i="17"/>
  <c r="BZ45" i="17"/>
  <c r="CA45" i="17"/>
  <c r="CB45" i="17"/>
  <c r="CC45" i="17"/>
  <c r="CD45" i="17"/>
  <c r="CE45" i="17"/>
  <c r="CF45" i="17"/>
  <c r="CG45" i="17"/>
  <c r="CH45" i="17"/>
  <c r="CI45" i="17"/>
  <c r="CJ45" i="17"/>
  <c r="CK45" i="17"/>
  <c r="CL45" i="17"/>
  <c r="CM45" i="17"/>
  <c r="CN45" i="17"/>
  <c r="CO45" i="17"/>
  <c r="CP45" i="17"/>
  <c r="CQ45" i="17"/>
  <c r="CR45" i="17"/>
  <c r="CS45" i="17"/>
  <c r="CT45" i="17"/>
  <c r="CU45" i="17"/>
  <c r="CV45" i="17"/>
  <c r="CW45" i="17"/>
  <c r="CX45" i="17"/>
  <c r="CY45" i="17"/>
  <c r="CZ45" i="17"/>
  <c r="DA45" i="17"/>
  <c r="DB45" i="17"/>
  <c r="DC45" i="17"/>
  <c r="DD45" i="17"/>
  <c r="DE45" i="17"/>
  <c r="DF45" i="17"/>
  <c r="DG45" i="17"/>
  <c r="DH45" i="17"/>
  <c r="DI45" i="17"/>
  <c r="DJ45" i="17"/>
  <c r="DK45" i="17"/>
  <c r="DL45" i="17"/>
  <c r="DM45" i="17"/>
  <c r="DN45" i="17"/>
  <c r="DO45" i="17"/>
  <c r="DP45" i="17"/>
  <c r="DQ45" i="17"/>
  <c r="DR45" i="17"/>
  <c r="DS45" i="17"/>
  <c r="DT45" i="17"/>
  <c r="DU45" i="17"/>
  <c r="DV45" i="17"/>
  <c r="DW45" i="17"/>
  <c r="DX45" i="17"/>
  <c r="DY45" i="17"/>
  <c r="DZ45" i="17"/>
  <c r="EA45" i="17"/>
  <c r="EB45" i="17"/>
  <c r="EC45" i="17"/>
  <c r="ED45" i="17"/>
  <c r="EE45" i="17"/>
  <c r="EF45" i="17"/>
  <c r="EG45" i="17"/>
  <c r="EH45" i="17"/>
  <c r="EI45" i="17"/>
  <c r="EJ45" i="17"/>
  <c r="EK45" i="17"/>
  <c r="EL45" i="17"/>
  <c r="EM45" i="17"/>
  <c r="EN45" i="17"/>
  <c r="EO45" i="17"/>
  <c r="EP45" i="17"/>
  <c r="EQ45" i="17"/>
  <c r="ER45" i="17"/>
  <c r="ES45" i="17"/>
  <c r="ET45" i="17"/>
  <c r="EU45" i="17"/>
  <c r="EV45" i="17"/>
  <c r="EW45" i="17"/>
  <c r="EX45" i="17"/>
  <c r="EY45" i="17"/>
  <c r="EZ45" i="17"/>
  <c r="FA45" i="17"/>
  <c r="FB45" i="17"/>
  <c r="FC45" i="17"/>
  <c r="FD45" i="17"/>
  <c r="FE45" i="17"/>
  <c r="FF45" i="17"/>
  <c r="FG45" i="17"/>
  <c r="FH45" i="17"/>
  <c r="FI45" i="17"/>
  <c r="FJ45" i="17"/>
  <c r="FK45" i="17"/>
  <c r="FL45" i="17"/>
  <c r="FM45" i="17"/>
  <c r="FN45" i="17"/>
  <c r="FO45" i="17"/>
  <c r="FP45" i="17"/>
  <c r="FQ45" i="17"/>
  <c r="FR45" i="17"/>
  <c r="FS45" i="17"/>
  <c r="FT45" i="17"/>
  <c r="FU45" i="17"/>
  <c r="FV45" i="17"/>
  <c r="FW45" i="17"/>
  <c r="FX45" i="17"/>
  <c r="FY45" i="17"/>
  <c r="FZ45" i="17"/>
  <c r="GA45" i="17"/>
  <c r="GB45" i="17"/>
  <c r="GC45" i="17"/>
  <c r="GD45" i="17"/>
  <c r="GE45" i="17"/>
  <c r="GF45" i="17"/>
  <c r="GG45" i="17"/>
  <c r="GH45" i="17"/>
  <c r="GI45" i="17"/>
  <c r="GJ45" i="17"/>
  <c r="GK45" i="17"/>
  <c r="GL45" i="17"/>
  <c r="GM45" i="17"/>
  <c r="GN45" i="17"/>
  <c r="GO45" i="17"/>
  <c r="GP45" i="17"/>
  <c r="GQ45" i="17"/>
  <c r="GR45" i="17"/>
  <c r="GS45" i="17"/>
  <c r="GT45" i="17"/>
  <c r="GU45" i="17"/>
  <c r="GV45" i="17"/>
  <c r="GW45" i="17"/>
  <c r="GX45" i="17"/>
  <c r="GY45" i="17"/>
  <c r="GZ45" i="17"/>
  <c r="HA45" i="17"/>
  <c r="HB45" i="17"/>
  <c r="HC45" i="17"/>
  <c r="HD45" i="17"/>
  <c r="HE45" i="17"/>
  <c r="HF45" i="17"/>
  <c r="HG45" i="17"/>
  <c r="HH45" i="17"/>
  <c r="HI45" i="17"/>
  <c r="HJ45" i="17"/>
  <c r="HK45" i="17"/>
  <c r="HL45" i="17"/>
  <c r="HM45" i="17"/>
  <c r="HN45" i="17"/>
  <c r="HO45" i="17"/>
  <c r="HP45" i="17"/>
  <c r="HQ45" i="17"/>
  <c r="HR45" i="17"/>
  <c r="HS45" i="17"/>
  <c r="HT45" i="17"/>
  <c r="HU45" i="17"/>
  <c r="HV45" i="17"/>
  <c r="HW45" i="17"/>
  <c r="HX45" i="17"/>
  <c r="HY45" i="17"/>
  <c r="HZ45" i="17"/>
  <c r="IA45" i="17"/>
  <c r="IB45" i="17"/>
  <c r="IC45" i="17"/>
  <c r="ID45" i="17"/>
  <c r="IE45" i="17"/>
  <c r="IF45" i="17"/>
  <c r="IG45" i="17"/>
  <c r="IH45" i="17"/>
  <c r="II45" i="17"/>
  <c r="IJ45" i="17"/>
  <c r="IK45" i="17"/>
  <c r="IL45" i="17"/>
  <c r="IM45" i="17"/>
  <c r="IN45" i="17"/>
  <c r="IO45" i="17"/>
  <c r="IP45" i="17"/>
  <c r="IQ45" i="17"/>
  <c r="IR45" i="17"/>
  <c r="IS45" i="17"/>
  <c r="IT45" i="17"/>
  <c r="IU45" i="17"/>
  <c r="IV45" i="17"/>
  <c r="A44" i="17"/>
  <c r="B44" i="17"/>
  <c r="C44" i="17"/>
  <c r="D44" i="17"/>
  <c r="E44" i="17"/>
  <c r="F44" i="17"/>
  <c r="G44" i="17"/>
  <c r="H44" i="17"/>
  <c r="I44" i="17"/>
  <c r="J44" i="17"/>
  <c r="K44" i="17"/>
  <c r="L44" i="17"/>
  <c r="M44" i="17"/>
  <c r="N44" i="17"/>
  <c r="O44" i="17"/>
  <c r="P44" i="17"/>
  <c r="Q44" i="17"/>
  <c r="R44" i="17"/>
  <c r="S44" i="17"/>
  <c r="T44" i="17"/>
  <c r="U44" i="17"/>
  <c r="V44" i="17"/>
  <c r="X44" i="17"/>
  <c r="Y44" i="17"/>
  <c r="Z44" i="17"/>
  <c r="AA44" i="17"/>
  <c r="AB44" i="17"/>
  <c r="AC44" i="17"/>
  <c r="AD44" i="17"/>
  <c r="AE44" i="17"/>
  <c r="AF44" i="17"/>
  <c r="AG44" i="17"/>
  <c r="AH44" i="17"/>
  <c r="AI44" i="17"/>
  <c r="AJ44" i="17"/>
  <c r="AK44" i="17"/>
  <c r="AL44" i="17"/>
  <c r="AM44" i="17"/>
  <c r="AN44" i="17"/>
  <c r="AO44" i="17"/>
  <c r="AP44" i="17"/>
  <c r="AQ44" i="17"/>
  <c r="AR44" i="17"/>
  <c r="AS44" i="17"/>
  <c r="AT44" i="17"/>
  <c r="AU44" i="17"/>
  <c r="AV44" i="17"/>
  <c r="AW44" i="17"/>
  <c r="AX44" i="17"/>
  <c r="AY44" i="17"/>
  <c r="AZ44" i="17"/>
  <c r="BA44" i="17"/>
  <c r="BB44" i="17"/>
  <c r="BC44" i="17"/>
  <c r="BD44" i="17"/>
  <c r="BE44" i="17"/>
  <c r="BF44" i="17"/>
  <c r="BG44" i="17"/>
  <c r="BH44" i="17"/>
  <c r="BI44" i="17"/>
  <c r="BJ44" i="17"/>
  <c r="BK44" i="17"/>
  <c r="BL44" i="17"/>
  <c r="BM44" i="17"/>
  <c r="BN44" i="17"/>
  <c r="BO44" i="17"/>
  <c r="BP44" i="17"/>
  <c r="BQ44" i="17"/>
  <c r="BR44" i="17"/>
  <c r="BS44" i="17"/>
  <c r="BT44" i="17"/>
  <c r="BU44" i="17"/>
  <c r="BV44" i="17"/>
  <c r="BW44" i="17"/>
  <c r="BX44" i="17"/>
  <c r="BY44" i="17"/>
  <c r="BZ44" i="17"/>
  <c r="CA44" i="17"/>
  <c r="CB44" i="17"/>
  <c r="CC44" i="17"/>
  <c r="CD44" i="17"/>
  <c r="CE44" i="17"/>
  <c r="CF44" i="17"/>
  <c r="CG44" i="17"/>
  <c r="CH44" i="17"/>
  <c r="CI44" i="17"/>
  <c r="CJ44" i="17"/>
  <c r="CK44" i="17"/>
  <c r="CL44" i="17"/>
  <c r="CM44" i="17"/>
  <c r="CN44" i="17"/>
  <c r="CO44" i="17"/>
  <c r="CP44" i="17"/>
  <c r="CQ44" i="17"/>
  <c r="CR44" i="17"/>
  <c r="CS44" i="17"/>
  <c r="CT44" i="17"/>
  <c r="CU44" i="17"/>
  <c r="CV44" i="17"/>
  <c r="CW44" i="17"/>
  <c r="CX44" i="17"/>
  <c r="CY44" i="17"/>
  <c r="CZ44" i="17"/>
  <c r="DA44" i="17"/>
  <c r="DB44" i="17"/>
  <c r="DC44" i="17"/>
  <c r="DD44" i="17"/>
  <c r="DE44" i="17"/>
  <c r="DF44" i="17"/>
  <c r="DG44" i="17"/>
  <c r="DH44" i="17"/>
  <c r="DI44" i="17"/>
  <c r="DJ44" i="17"/>
  <c r="DK44" i="17"/>
  <c r="DL44" i="17"/>
  <c r="DM44" i="17"/>
  <c r="DN44" i="17"/>
  <c r="DO44" i="17"/>
  <c r="DP44" i="17"/>
  <c r="DQ44" i="17"/>
  <c r="DR44" i="17"/>
  <c r="DS44" i="17"/>
  <c r="DT44" i="17"/>
  <c r="DU44" i="17"/>
  <c r="DV44" i="17"/>
  <c r="DW44" i="17"/>
  <c r="DX44" i="17"/>
  <c r="DY44" i="17"/>
  <c r="DZ44" i="17"/>
  <c r="EA44" i="17"/>
  <c r="EB44" i="17"/>
  <c r="EC44" i="17"/>
  <c r="ED44" i="17"/>
  <c r="EE44" i="17"/>
  <c r="EF44" i="17"/>
  <c r="EG44" i="17"/>
  <c r="EH44" i="17"/>
  <c r="EI44" i="17"/>
  <c r="EJ44" i="17"/>
  <c r="EK44" i="17"/>
  <c r="EL44" i="17"/>
  <c r="EM44" i="17"/>
  <c r="EN44" i="17"/>
  <c r="EO44" i="17"/>
  <c r="EP44" i="17"/>
  <c r="EQ44" i="17"/>
  <c r="ER44" i="17"/>
  <c r="ES44" i="17"/>
  <c r="ET44" i="17"/>
  <c r="EU44" i="17"/>
  <c r="EV44" i="17"/>
  <c r="EW44" i="17"/>
  <c r="EX44" i="17"/>
  <c r="EY44" i="17"/>
  <c r="EZ44" i="17"/>
  <c r="FA44" i="17"/>
  <c r="FB44" i="17"/>
  <c r="FC44" i="17"/>
  <c r="FD44" i="17"/>
  <c r="FE44" i="17"/>
  <c r="FF44" i="17"/>
  <c r="FG44" i="17"/>
  <c r="FH44" i="17"/>
  <c r="FI44" i="17"/>
  <c r="FJ44" i="17"/>
  <c r="FK44" i="17"/>
  <c r="FL44" i="17"/>
  <c r="FM44" i="17"/>
  <c r="FN44" i="17"/>
  <c r="FO44" i="17"/>
  <c r="FP44" i="17"/>
  <c r="FQ44" i="17"/>
  <c r="FR44" i="17"/>
  <c r="FS44" i="17"/>
  <c r="FT44" i="17"/>
  <c r="FU44" i="17"/>
  <c r="FV44" i="17"/>
  <c r="FW44" i="17"/>
  <c r="FX44" i="17"/>
  <c r="FY44" i="17"/>
  <c r="FZ44" i="17"/>
  <c r="GA44" i="17"/>
  <c r="GB44" i="17"/>
  <c r="GC44" i="17"/>
  <c r="GD44" i="17"/>
  <c r="GE44" i="17"/>
  <c r="GF44" i="17"/>
  <c r="GG44" i="17"/>
  <c r="GH44" i="17"/>
  <c r="GI44" i="17"/>
  <c r="GJ44" i="17"/>
  <c r="GK44" i="17"/>
  <c r="GL44" i="17"/>
  <c r="GM44" i="17"/>
  <c r="GN44" i="17"/>
  <c r="GO44" i="17"/>
  <c r="GP44" i="17"/>
  <c r="GQ44" i="17"/>
  <c r="GR44" i="17"/>
  <c r="GS44" i="17"/>
  <c r="GT44" i="17"/>
  <c r="GU44" i="17"/>
  <c r="GV44" i="17"/>
  <c r="GW44" i="17"/>
  <c r="GX44" i="17"/>
  <c r="GY44" i="17"/>
  <c r="GZ44" i="17"/>
  <c r="HA44" i="17"/>
  <c r="HB44" i="17"/>
  <c r="HC44" i="17"/>
  <c r="HD44" i="17"/>
  <c r="HE44" i="17"/>
  <c r="HF44" i="17"/>
  <c r="HG44" i="17"/>
  <c r="HH44" i="17"/>
  <c r="HI44" i="17"/>
  <c r="HJ44" i="17"/>
  <c r="HK44" i="17"/>
  <c r="HL44" i="17"/>
  <c r="HM44" i="17"/>
  <c r="HN44" i="17"/>
  <c r="HO44" i="17"/>
  <c r="HP44" i="17"/>
  <c r="HQ44" i="17"/>
  <c r="HR44" i="17"/>
  <c r="HS44" i="17"/>
  <c r="HT44" i="17"/>
  <c r="HU44" i="17"/>
  <c r="HV44" i="17"/>
  <c r="HW44" i="17"/>
  <c r="HX44" i="17"/>
  <c r="HY44" i="17"/>
  <c r="HZ44" i="17"/>
  <c r="IA44" i="17"/>
  <c r="IB44" i="17"/>
  <c r="IC44" i="17"/>
  <c r="ID44" i="17"/>
  <c r="IE44" i="17"/>
  <c r="IF44" i="17"/>
  <c r="IG44" i="17"/>
  <c r="IH44" i="17"/>
  <c r="II44" i="17"/>
  <c r="IJ44" i="17"/>
  <c r="IK44" i="17"/>
  <c r="IL44" i="17"/>
  <c r="IM44" i="17"/>
  <c r="IN44" i="17"/>
  <c r="IO44" i="17"/>
  <c r="IP44" i="17"/>
  <c r="IQ44" i="17"/>
  <c r="IR44" i="17"/>
  <c r="IS44" i="17"/>
  <c r="IT44" i="17"/>
  <c r="IU44" i="17"/>
  <c r="IV44" i="17"/>
  <c r="A43" i="17"/>
  <c r="B43" i="17"/>
  <c r="C43" i="17"/>
  <c r="D43" i="17"/>
  <c r="E43" i="17"/>
  <c r="F43" i="17"/>
  <c r="G43" i="17"/>
  <c r="H43" i="17"/>
  <c r="I43" i="17"/>
  <c r="J43" i="17"/>
  <c r="K43" i="17"/>
  <c r="L43" i="17"/>
  <c r="M43" i="17"/>
  <c r="N43" i="17"/>
  <c r="O43" i="17"/>
  <c r="P43" i="17"/>
  <c r="Q43" i="17"/>
  <c r="R43" i="17"/>
  <c r="S43" i="17"/>
  <c r="T43" i="17"/>
  <c r="U43" i="17"/>
  <c r="V43" i="17"/>
  <c r="W43" i="17"/>
  <c r="X43" i="17"/>
  <c r="Y43" i="17"/>
  <c r="Z43" i="17"/>
  <c r="AA43" i="17"/>
  <c r="AB43" i="17"/>
  <c r="AC43" i="17"/>
  <c r="AD43" i="17"/>
  <c r="AE43" i="17"/>
  <c r="AF43" i="17"/>
  <c r="AG43" i="17"/>
  <c r="AH43" i="17"/>
  <c r="AI43" i="17"/>
  <c r="AJ43" i="17"/>
  <c r="AK43" i="17"/>
  <c r="AL43" i="17"/>
  <c r="AM43" i="17"/>
  <c r="AN43" i="17"/>
  <c r="AO43" i="17"/>
  <c r="AP43" i="17"/>
  <c r="AQ43" i="17"/>
  <c r="AR43" i="17"/>
  <c r="AS43" i="17"/>
  <c r="AT43" i="17"/>
  <c r="AU43" i="17"/>
  <c r="AV43" i="17"/>
  <c r="AW43" i="17"/>
  <c r="AX43" i="17"/>
  <c r="AY43" i="17"/>
  <c r="AZ43" i="17"/>
  <c r="BA43" i="17"/>
  <c r="BB43" i="17"/>
  <c r="BC43" i="17"/>
  <c r="BD43" i="17"/>
  <c r="BE43" i="17"/>
  <c r="BF43" i="17"/>
  <c r="BG43" i="17"/>
  <c r="BH43" i="17"/>
  <c r="BI43" i="17"/>
  <c r="BJ43" i="17"/>
  <c r="BK43" i="17"/>
  <c r="BL43" i="17"/>
  <c r="BM43" i="17"/>
  <c r="BN43" i="17"/>
  <c r="BO43" i="17"/>
  <c r="BP43" i="17"/>
  <c r="BQ43" i="17"/>
  <c r="BR43" i="17"/>
  <c r="BS43" i="17"/>
  <c r="BT43" i="17"/>
  <c r="BU43" i="17"/>
  <c r="BV43" i="17"/>
  <c r="BW43" i="17"/>
  <c r="BX43" i="17"/>
  <c r="BY43" i="17"/>
  <c r="BZ43" i="17"/>
  <c r="CA43" i="17"/>
  <c r="CB43" i="17"/>
  <c r="CC43" i="17"/>
  <c r="CD43" i="17"/>
  <c r="CE43" i="17"/>
  <c r="CF43" i="17"/>
  <c r="CG43" i="17"/>
  <c r="CH43" i="17"/>
  <c r="CI43" i="17"/>
  <c r="CJ43" i="17"/>
  <c r="CK43" i="17"/>
  <c r="CL43" i="17"/>
  <c r="CM43" i="17"/>
  <c r="CN43" i="17"/>
  <c r="CO43" i="17"/>
  <c r="CP43" i="17"/>
  <c r="CQ43" i="17"/>
  <c r="CR43" i="17"/>
  <c r="CS43" i="17"/>
  <c r="CT43" i="17"/>
  <c r="CU43" i="17"/>
  <c r="CV43" i="17"/>
  <c r="CW43" i="17"/>
  <c r="CX43" i="17"/>
  <c r="CY43" i="17"/>
  <c r="CZ43" i="17"/>
  <c r="DA43" i="17"/>
  <c r="DB43" i="17"/>
  <c r="DC43" i="17"/>
  <c r="DD43" i="17"/>
  <c r="DE43" i="17"/>
  <c r="DF43" i="17"/>
  <c r="DG43" i="17"/>
  <c r="DH43" i="17"/>
  <c r="DI43" i="17"/>
  <c r="DJ43" i="17"/>
  <c r="DK43" i="17"/>
  <c r="DL43" i="17"/>
  <c r="DM43" i="17"/>
  <c r="DN43" i="17"/>
  <c r="DO43" i="17"/>
  <c r="DP43" i="17"/>
  <c r="DQ43" i="17"/>
  <c r="DR43" i="17"/>
  <c r="DS43" i="17"/>
  <c r="DT43" i="17"/>
  <c r="DU43" i="17"/>
  <c r="DV43" i="17"/>
  <c r="DW43" i="17"/>
  <c r="DX43" i="17"/>
  <c r="DY43" i="17"/>
  <c r="DZ43" i="17"/>
  <c r="EA43" i="17"/>
  <c r="EB43" i="17"/>
  <c r="EC43" i="17"/>
  <c r="ED43" i="17"/>
  <c r="EE43" i="17"/>
  <c r="EF43" i="17"/>
  <c r="EG43" i="17"/>
  <c r="EH43" i="17"/>
  <c r="EI43" i="17"/>
  <c r="EJ43" i="17"/>
  <c r="EK43" i="17"/>
  <c r="EL43" i="17"/>
  <c r="EM43" i="17"/>
  <c r="EN43" i="17"/>
  <c r="EO43" i="17"/>
  <c r="EP43" i="17"/>
  <c r="EQ43" i="17"/>
  <c r="ER43" i="17"/>
  <c r="ES43" i="17"/>
  <c r="ET43" i="17"/>
  <c r="EU43" i="17"/>
  <c r="EV43" i="17"/>
  <c r="EW43" i="17"/>
  <c r="EX43" i="17"/>
  <c r="EY43" i="17"/>
  <c r="EZ43" i="17"/>
  <c r="FA43" i="17"/>
  <c r="FB43" i="17"/>
  <c r="FC43" i="17"/>
  <c r="FD43" i="17"/>
  <c r="FE43" i="17"/>
  <c r="FF43" i="17"/>
  <c r="FG43" i="17"/>
  <c r="FH43" i="17"/>
  <c r="FI43" i="17"/>
  <c r="FJ43" i="17"/>
  <c r="FK43" i="17"/>
  <c r="FL43" i="17"/>
  <c r="FM43" i="17"/>
  <c r="FN43" i="17"/>
  <c r="FO43" i="17"/>
  <c r="FP43" i="17"/>
  <c r="FQ43" i="17"/>
  <c r="FR43" i="17"/>
  <c r="FS43" i="17"/>
  <c r="FT43" i="17"/>
  <c r="FU43" i="17"/>
  <c r="FV43" i="17"/>
  <c r="FW43" i="17"/>
  <c r="FX43" i="17"/>
  <c r="FY43" i="17"/>
  <c r="FZ43" i="17"/>
  <c r="GA43" i="17"/>
  <c r="GB43" i="17"/>
  <c r="GC43" i="17"/>
  <c r="GD43" i="17"/>
  <c r="GE43" i="17"/>
  <c r="GF43" i="17"/>
  <c r="GG43" i="17"/>
  <c r="GH43" i="17"/>
  <c r="GI43" i="17"/>
  <c r="GJ43" i="17"/>
  <c r="GK43" i="17"/>
  <c r="GL43" i="17"/>
  <c r="GM43" i="17"/>
  <c r="GN43" i="17"/>
  <c r="GO43" i="17"/>
  <c r="GP43" i="17"/>
  <c r="GQ43" i="17"/>
  <c r="GR43" i="17"/>
  <c r="GS43" i="17"/>
  <c r="GT43" i="17"/>
  <c r="GU43" i="17"/>
  <c r="GV43" i="17"/>
  <c r="GW43" i="17"/>
  <c r="GX43" i="17"/>
  <c r="GY43" i="17"/>
  <c r="GZ43" i="17"/>
  <c r="HA43" i="17"/>
  <c r="HB43" i="17"/>
  <c r="HC43" i="17"/>
  <c r="HD43" i="17"/>
  <c r="HE43" i="17"/>
  <c r="HF43" i="17"/>
  <c r="HG43" i="17"/>
  <c r="HH43" i="17"/>
  <c r="HI43" i="17"/>
  <c r="HJ43" i="17"/>
  <c r="HK43" i="17"/>
  <c r="HL43" i="17"/>
  <c r="HM43" i="17"/>
  <c r="HN43" i="17"/>
  <c r="HO43" i="17"/>
  <c r="HP43" i="17"/>
  <c r="HQ43" i="17"/>
  <c r="HR43" i="17"/>
  <c r="HS43" i="17"/>
  <c r="HT43" i="17"/>
  <c r="HU43" i="17"/>
  <c r="HV43" i="17"/>
  <c r="HW43" i="17"/>
  <c r="HX43" i="17"/>
  <c r="HY43" i="17"/>
  <c r="HZ43" i="17"/>
  <c r="IA43" i="17"/>
  <c r="IB43" i="17"/>
  <c r="IC43" i="17"/>
  <c r="ID43" i="17"/>
  <c r="IE43" i="17"/>
  <c r="IF43" i="17"/>
  <c r="IG43" i="17"/>
  <c r="IH43" i="17"/>
  <c r="II43" i="17"/>
  <c r="IJ43" i="17"/>
  <c r="IK43" i="17"/>
  <c r="IL43" i="17"/>
  <c r="IM43" i="17"/>
  <c r="IN43" i="17"/>
  <c r="IO43" i="17"/>
  <c r="IP43" i="17"/>
  <c r="IQ43" i="17"/>
  <c r="IR43" i="17"/>
  <c r="IS43" i="17"/>
  <c r="IT43" i="17"/>
  <c r="IU43" i="17"/>
  <c r="IV43" i="17"/>
  <c r="A42" i="17"/>
  <c r="B42" i="17"/>
  <c r="C42" i="17"/>
  <c r="D42" i="17"/>
  <c r="E42" i="17"/>
  <c r="F42" i="17"/>
  <c r="G42" i="17"/>
  <c r="H42" i="17"/>
  <c r="I42" i="17"/>
  <c r="J42" i="17"/>
  <c r="K42" i="17"/>
  <c r="L42" i="17"/>
  <c r="M42" i="17"/>
  <c r="N42" i="17"/>
  <c r="O42" i="17"/>
  <c r="P42" i="17"/>
  <c r="Q42" i="17"/>
  <c r="R42" i="17"/>
  <c r="S42" i="17"/>
  <c r="T42" i="17"/>
  <c r="U42" i="17"/>
  <c r="W42" i="17"/>
  <c r="X42" i="17"/>
  <c r="Y42" i="17"/>
  <c r="Z42" i="17"/>
  <c r="AA42" i="17"/>
  <c r="AB42" i="17"/>
  <c r="AC42" i="17"/>
  <c r="AD42" i="17"/>
  <c r="AE42" i="17"/>
  <c r="AF42" i="17"/>
  <c r="AG42" i="17"/>
  <c r="AH42" i="17"/>
  <c r="AI42" i="17"/>
  <c r="AJ42" i="17"/>
  <c r="AK42" i="17"/>
  <c r="AL42" i="17"/>
  <c r="AM42" i="17"/>
  <c r="AN42" i="17"/>
  <c r="AO42" i="17"/>
  <c r="AP42" i="17"/>
  <c r="AQ42" i="17"/>
  <c r="AR42" i="17"/>
  <c r="AS42" i="17"/>
  <c r="AT42" i="17"/>
  <c r="AU42" i="17"/>
  <c r="AV42" i="17"/>
  <c r="AW42" i="17"/>
  <c r="AX42" i="17"/>
  <c r="AY42" i="17"/>
  <c r="AZ42" i="17"/>
  <c r="BA42" i="17"/>
  <c r="BB42" i="17"/>
  <c r="BC42" i="17"/>
  <c r="BD42" i="17"/>
  <c r="BE42" i="17"/>
  <c r="BF42" i="17"/>
  <c r="BG42" i="17"/>
  <c r="BH42" i="17"/>
  <c r="BI42" i="17"/>
  <c r="BJ42" i="17"/>
  <c r="BK42" i="17"/>
  <c r="BL42" i="17"/>
  <c r="BM42" i="17"/>
  <c r="BN42" i="17"/>
  <c r="BO42" i="17"/>
  <c r="BP42" i="17"/>
  <c r="BQ42" i="17"/>
  <c r="BR42" i="17"/>
  <c r="BS42" i="17"/>
  <c r="BT42" i="17"/>
  <c r="BU42" i="17"/>
  <c r="BV42" i="17"/>
  <c r="BW42" i="17"/>
  <c r="BX42" i="17"/>
  <c r="BY42" i="17"/>
  <c r="BZ42" i="17"/>
  <c r="CA42" i="17"/>
  <c r="CB42" i="17"/>
  <c r="CC42" i="17"/>
  <c r="CD42" i="17"/>
  <c r="CE42" i="17"/>
  <c r="CF42" i="17"/>
  <c r="CG42" i="17"/>
  <c r="CH42" i="17"/>
  <c r="CI42" i="17"/>
  <c r="CJ42" i="17"/>
  <c r="CK42" i="17"/>
  <c r="CL42" i="17"/>
  <c r="CM42" i="17"/>
  <c r="CN42" i="17"/>
  <c r="CO42" i="17"/>
  <c r="CP42" i="17"/>
  <c r="CQ42" i="17"/>
  <c r="CR42" i="17"/>
  <c r="CS42" i="17"/>
  <c r="CT42" i="17"/>
  <c r="CU42" i="17"/>
  <c r="CV42" i="17"/>
  <c r="CW42" i="17"/>
  <c r="CX42" i="17"/>
  <c r="CY42" i="17"/>
  <c r="CZ42" i="17"/>
  <c r="DA42" i="17"/>
  <c r="DB42" i="17"/>
  <c r="DC42" i="17"/>
  <c r="DD42" i="17"/>
  <c r="DE42" i="17"/>
  <c r="DF42" i="17"/>
  <c r="DG42" i="17"/>
  <c r="DH42" i="17"/>
  <c r="DI42" i="17"/>
  <c r="DJ42" i="17"/>
  <c r="DK42" i="17"/>
  <c r="DL42" i="17"/>
  <c r="DM42" i="17"/>
  <c r="DN42" i="17"/>
  <c r="DO42" i="17"/>
  <c r="DP42" i="17"/>
  <c r="DQ42" i="17"/>
  <c r="DR42" i="17"/>
  <c r="DS42" i="17"/>
  <c r="DT42" i="17"/>
  <c r="DU42" i="17"/>
  <c r="DV42" i="17"/>
  <c r="DW42" i="17"/>
  <c r="DX42" i="17"/>
  <c r="DY42" i="17"/>
  <c r="DZ42" i="17"/>
  <c r="EA42" i="17"/>
  <c r="EB42" i="17"/>
  <c r="EC42" i="17"/>
  <c r="ED42" i="17"/>
  <c r="EE42" i="17"/>
  <c r="EF42" i="17"/>
  <c r="EG42" i="17"/>
  <c r="EH42" i="17"/>
  <c r="EI42" i="17"/>
  <c r="EJ42" i="17"/>
  <c r="EK42" i="17"/>
  <c r="EL42" i="17"/>
  <c r="EM42" i="17"/>
  <c r="EN42" i="17"/>
  <c r="EO42" i="17"/>
  <c r="EP42" i="17"/>
  <c r="EQ42" i="17"/>
  <c r="ER42" i="17"/>
  <c r="ES42" i="17"/>
  <c r="ET42" i="17"/>
  <c r="EU42" i="17"/>
  <c r="EV42" i="17"/>
  <c r="EW42" i="17"/>
  <c r="EX42" i="17"/>
  <c r="EY42" i="17"/>
  <c r="EZ42" i="17"/>
  <c r="FA42" i="17"/>
  <c r="FB42" i="17"/>
  <c r="FC42" i="17"/>
  <c r="FD42" i="17"/>
  <c r="FE42" i="17"/>
  <c r="FF42" i="17"/>
  <c r="FG42" i="17"/>
  <c r="FH42" i="17"/>
  <c r="FI42" i="17"/>
  <c r="FJ42" i="17"/>
  <c r="FK42" i="17"/>
  <c r="FL42" i="17"/>
  <c r="FM42" i="17"/>
  <c r="FN42" i="17"/>
  <c r="FO42" i="17"/>
  <c r="FP42" i="17"/>
  <c r="FQ42" i="17"/>
  <c r="FR42" i="17"/>
  <c r="FS42" i="17"/>
  <c r="FT42" i="17"/>
  <c r="FU42" i="17"/>
  <c r="FV42" i="17"/>
  <c r="FW42" i="17"/>
  <c r="FX42" i="17"/>
  <c r="FY42" i="17"/>
  <c r="FZ42" i="17"/>
  <c r="GA42" i="17"/>
  <c r="GB42" i="17"/>
  <c r="GC42" i="17"/>
  <c r="GD42" i="17"/>
  <c r="GE42" i="17"/>
  <c r="GF42" i="17"/>
  <c r="GG42" i="17"/>
  <c r="GH42" i="17"/>
  <c r="GI42" i="17"/>
  <c r="GJ42" i="17"/>
  <c r="GK42" i="17"/>
  <c r="GL42" i="17"/>
  <c r="GM42" i="17"/>
  <c r="GN42" i="17"/>
  <c r="GO42" i="17"/>
  <c r="GP42" i="17"/>
  <c r="GQ42" i="17"/>
  <c r="GR42" i="17"/>
  <c r="GS42" i="17"/>
  <c r="GT42" i="17"/>
  <c r="GU42" i="17"/>
  <c r="GV42" i="17"/>
  <c r="GW42" i="17"/>
  <c r="GX42" i="17"/>
  <c r="GY42" i="17"/>
  <c r="GZ42" i="17"/>
  <c r="HA42" i="17"/>
  <c r="HB42" i="17"/>
  <c r="HC42" i="17"/>
  <c r="HD42" i="17"/>
  <c r="HE42" i="17"/>
  <c r="HF42" i="17"/>
  <c r="HG42" i="17"/>
  <c r="HH42" i="17"/>
  <c r="HI42" i="17"/>
  <c r="HJ42" i="17"/>
  <c r="HK42" i="17"/>
  <c r="HL42" i="17"/>
  <c r="HM42" i="17"/>
  <c r="HN42" i="17"/>
  <c r="HO42" i="17"/>
  <c r="HP42" i="17"/>
  <c r="HQ42" i="17"/>
  <c r="HR42" i="17"/>
  <c r="HS42" i="17"/>
  <c r="HT42" i="17"/>
  <c r="HU42" i="17"/>
  <c r="HV42" i="17"/>
  <c r="HW42" i="17"/>
  <c r="HX42" i="17"/>
  <c r="HY42" i="17"/>
  <c r="HZ42" i="17"/>
  <c r="IA42" i="17"/>
  <c r="IB42" i="17"/>
  <c r="IC42" i="17"/>
  <c r="ID42" i="17"/>
  <c r="IE42" i="17"/>
  <c r="IF42" i="17"/>
  <c r="IG42" i="17"/>
  <c r="IH42" i="17"/>
  <c r="II42" i="17"/>
  <c r="IJ42" i="17"/>
  <c r="IK42" i="17"/>
  <c r="IL42" i="17"/>
  <c r="IM42" i="17"/>
  <c r="IN42" i="17"/>
  <c r="IO42" i="17"/>
  <c r="IP42" i="17"/>
  <c r="IQ42" i="17"/>
  <c r="IR42" i="17"/>
  <c r="IS42" i="17"/>
  <c r="IT42" i="17"/>
  <c r="IU42" i="17"/>
  <c r="IV42" i="17"/>
  <c r="A41" i="17"/>
  <c r="B41" i="17"/>
  <c r="C41" i="17"/>
  <c r="D41" i="17"/>
  <c r="E41" i="17"/>
  <c r="F41" i="17"/>
  <c r="G41" i="17"/>
  <c r="H41" i="17"/>
  <c r="I41" i="17"/>
  <c r="J41" i="17"/>
  <c r="K41" i="17"/>
  <c r="L41" i="17"/>
  <c r="M41" i="17"/>
  <c r="N41" i="17"/>
  <c r="O41" i="17"/>
  <c r="P41" i="17"/>
  <c r="Q41" i="17"/>
  <c r="R41" i="17"/>
  <c r="S41" i="17"/>
  <c r="T41" i="17"/>
  <c r="U41" i="17"/>
  <c r="V41" i="17"/>
  <c r="W41" i="17"/>
  <c r="X41" i="17"/>
  <c r="Y41" i="17"/>
  <c r="Z41" i="17"/>
  <c r="AA41" i="17"/>
  <c r="AB41" i="17"/>
  <c r="AC41" i="17"/>
  <c r="AD41" i="17"/>
  <c r="AE41" i="17"/>
  <c r="AF41" i="17"/>
  <c r="AG41" i="17"/>
  <c r="AH41" i="17"/>
  <c r="AI41" i="17"/>
  <c r="AJ41" i="17"/>
  <c r="AK41" i="17"/>
  <c r="AL41" i="17"/>
  <c r="AM41" i="17"/>
  <c r="AN41" i="17"/>
  <c r="AO41" i="17"/>
  <c r="AP41" i="17"/>
  <c r="AQ41" i="17"/>
  <c r="AR41" i="17"/>
  <c r="AS41" i="17"/>
  <c r="AT41" i="17"/>
  <c r="AU41" i="17"/>
  <c r="AV41" i="17"/>
  <c r="AW41" i="17"/>
  <c r="AX41" i="17"/>
  <c r="AY41" i="17"/>
  <c r="AZ41" i="17"/>
  <c r="BA41" i="17"/>
  <c r="BB41" i="17"/>
  <c r="BC41" i="17"/>
  <c r="BD41" i="17"/>
  <c r="BE41" i="17"/>
  <c r="BF41" i="17"/>
  <c r="BG41" i="17"/>
  <c r="BH41" i="17"/>
  <c r="BI41" i="17"/>
  <c r="BJ41" i="17"/>
  <c r="BK41" i="17"/>
  <c r="BL41" i="17"/>
  <c r="BM41" i="17"/>
  <c r="BN41" i="17"/>
  <c r="BO41" i="17"/>
  <c r="BP41" i="17"/>
  <c r="BQ41" i="17"/>
  <c r="BR41" i="17"/>
  <c r="BS41" i="17"/>
  <c r="BT41" i="17"/>
  <c r="BU41" i="17"/>
  <c r="BV41" i="17"/>
  <c r="BW41" i="17"/>
  <c r="BX41" i="17"/>
  <c r="BY41" i="17"/>
  <c r="BZ41" i="17"/>
  <c r="CA41" i="17"/>
  <c r="CB41" i="17"/>
  <c r="CC41" i="17"/>
  <c r="CD41" i="17"/>
  <c r="CE41" i="17"/>
  <c r="CF41" i="17"/>
  <c r="CG41" i="17"/>
  <c r="CH41" i="17"/>
  <c r="CI41" i="17"/>
  <c r="CJ41" i="17"/>
  <c r="CK41" i="17"/>
  <c r="CL41" i="17"/>
  <c r="CM41" i="17"/>
  <c r="CN41" i="17"/>
  <c r="CO41" i="17"/>
  <c r="CP41" i="17"/>
  <c r="CQ41" i="17"/>
  <c r="CR41" i="17"/>
  <c r="CS41" i="17"/>
  <c r="CT41" i="17"/>
  <c r="CU41" i="17"/>
  <c r="CV41" i="17"/>
  <c r="CW41" i="17"/>
  <c r="CX41" i="17"/>
  <c r="CY41" i="17"/>
  <c r="CZ41" i="17"/>
  <c r="DA41" i="17"/>
  <c r="DB41" i="17"/>
  <c r="DC41" i="17"/>
  <c r="DD41" i="17"/>
  <c r="DE41" i="17"/>
  <c r="DF41" i="17"/>
  <c r="DG41" i="17"/>
  <c r="DH41" i="17"/>
  <c r="DI41" i="17"/>
  <c r="DJ41" i="17"/>
  <c r="DK41" i="17"/>
  <c r="DL41" i="17"/>
  <c r="DM41" i="17"/>
  <c r="DN41" i="17"/>
  <c r="DO41" i="17"/>
  <c r="DP41" i="17"/>
  <c r="DQ41" i="17"/>
  <c r="DR41" i="17"/>
  <c r="DS41" i="17"/>
  <c r="DT41" i="17"/>
  <c r="DU41" i="17"/>
  <c r="DV41" i="17"/>
  <c r="DW41" i="17"/>
  <c r="DX41" i="17"/>
  <c r="DY41" i="17"/>
  <c r="DZ41" i="17"/>
  <c r="EA41" i="17"/>
  <c r="EB41" i="17"/>
  <c r="EC41" i="17"/>
  <c r="ED41" i="17"/>
  <c r="EE41" i="17"/>
  <c r="EF41" i="17"/>
  <c r="EG41" i="17"/>
  <c r="EH41" i="17"/>
  <c r="EI41" i="17"/>
  <c r="EJ41" i="17"/>
  <c r="EK41" i="17"/>
  <c r="EL41" i="17"/>
  <c r="EM41" i="17"/>
  <c r="EN41" i="17"/>
  <c r="EO41" i="17"/>
  <c r="EP41" i="17"/>
  <c r="EQ41" i="17"/>
  <c r="ER41" i="17"/>
  <c r="ES41" i="17"/>
  <c r="ET41" i="17"/>
  <c r="EU41" i="17"/>
  <c r="EV41" i="17"/>
  <c r="EW41" i="17"/>
  <c r="EX41" i="17"/>
  <c r="EY41" i="17"/>
  <c r="EZ41" i="17"/>
  <c r="FA41" i="17"/>
  <c r="FB41" i="17"/>
  <c r="FC41" i="17"/>
  <c r="FD41" i="17"/>
  <c r="FE41" i="17"/>
  <c r="FF41" i="17"/>
  <c r="FG41" i="17"/>
  <c r="FH41" i="17"/>
  <c r="FI41" i="17"/>
  <c r="FJ41" i="17"/>
  <c r="FK41" i="17"/>
  <c r="FL41" i="17"/>
  <c r="FM41" i="17"/>
  <c r="FN41" i="17"/>
  <c r="FO41" i="17"/>
  <c r="FP41" i="17"/>
  <c r="FQ41" i="17"/>
  <c r="FR41" i="17"/>
  <c r="FS41" i="17"/>
  <c r="FT41" i="17"/>
  <c r="FU41" i="17"/>
  <c r="FV41" i="17"/>
  <c r="FW41" i="17"/>
  <c r="FX41" i="17"/>
  <c r="FY41" i="17"/>
  <c r="FZ41" i="17"/>
  <c r="GA41" i="17"/>
  <c r="GB41" i="17"/>
  <c r="GC41" i="17"/>
  <c r="GD41" i="17"/>
  <c r="GE41" i="17"/>
  <c r="GF41" i="17"/>
  <c r="GG41" i="17"/>
  <c r="GH41" i="17"/>
  <c r="GI41" i="17"/>
  <c r="GJ41" i="17"/>
  <c r="GK41" i="17"/>
  <c r="GL41" i="17"/>
  <c r="GM41" i="17"/>
  <c r="GN41" i="17"/>
  <c r="GO41" i="17"/>
  <c r="GP41" i="17"/>
  <c r="GQ41" i="17"/>
  <c r="GR41" i="17"/>
  <c r="GS41" i="17"/>
  <c r="GT41" i="17"/>
  <c r="GU41" i="17"/>
  <c r="GV41" i="17"/>
  <c r="GW41" i="17"/>
  <c r="GX41" i="17"/>
  <c r="GY41" i="17"/>
  <c r="GZ41" i="17"/>
  <c r="HA41" i="17"/>
  <c r="HB41" i="17"/>
  <c r="HC41" i="17"/>
  <c r="HD41" i="17"/>
  <c r="HE41" i="17"/>
  <c r="HF41" i="17"/>
  <c r="HG41" i="17"/>
  <c r="HH41" i="17"/>
  <c r="HI41" i="17"/>
  <c r="HJ41" i="17"/>
  <c r="HK41" i="17"/>
  <c r="HL41" i="17"/>
  <c r="HM41" i="17"/>
  <c r="HN41" i="17"/>
  <c r="HO41" i="17"/>
  <c r="HP41" i="17"/>
  <c r="HQ41" i="17"/>
  <c r="HR41" i="17"/>
  <c r="HS41" i="17"/>
  <c r="HT41" i="17"/>
  <c r="HU41" i="17"/>
  <c r="HV41" i="17"/>
  <c r="HW41" i="17"/>
  <c r="HX41" i="17"/>
  <c r="HY41" i="17"/>
  <c r="HZ41" i="17"/>
  <c r="IA41" i="17"/>
  <c r="IB41" i="17"/>
  <c r="IC41" i="17"/>
  <c r="ID41" i="17"/>
  <c r="IE41" i="17"/>
  <c r="IF41" i="17"/>
  <c r="IG41" i="17"/>
  <c r="IH41" i="17"/>
  <c r="II41" i="17"/>
  <c r="IJ41" i="17"/>
  <c r="IK41" i="17"/>
  <c r="IL41" i="17"/>
  <c r="IM41" i="17"/>
  <c r="IN41" i="17"/>
  <c r="IO41" i="17"/>
  <c r="IP41" i="17"/>
  <c r="IQ41" i="17"/>
  <c r="IR41" i="17"/>
  <c r="IS41" i="17"/>
  <c r="IT41" i="17"/>
  <c r="IU41" i="17"/>
  <c r="IV41" i="17"/>
  <c r="A40" i="17"/>
  <c r="B40" i="17"/>
  <c r="C40" i="17"/>
  <c r="D40" i="17"/>
  <c r="E40" i="17"/>
  <c r="F40" i="17"/>
  <c r="G40" i="17"/>
  <c r="H40" i="17"/>
  <c r="I40" i="17"/>
  <c r="J40" i="17"/>
  <c r="K40" i="17"/>
  <c r="L40" i="17"/>
  <c r="M40" i="17"/>
  <c r="N40" i="17"/>
  <c r="O40" i="17"/>
  <c r="P40" i="17"/>
  <c r="Q40" i="17"/>
  <c r="R40" i="17"/>
  <c r="S40" i="17"/>
  <c r="T40" i="17"/>
  <c r="V40" i="17"/>
  <c r="W40" i="17"/>
  <c r="X40" i="17"/>
  <c r="Y40" i="17"/>
  <c r="Z40" i="17"/>
  <c r="AA40" i="17"/>
  <c r="AB40" i="17"/>
  <c r="AC40" i="17"/>
  <c r="AD40" i="17"/>
  <c r="AE40" i="17"/>
  <c r="AF40" i="17"/>
  <c r="AG40" i="17"/>
  <c r="AH40" i="17"/>
  <c r="AI40" i="17"/>
  <c r="AJ40" i="17"/>
  <c r="AK40" i="17"/>
  <c r="AL40" i="17"/>
  <c r="AM40" i="17"/>
  <c r="AN40" i="17"/>
  <c r="AO40" i="17"/>
  <c r="AP40" i="17"/>
  <c r="AQ40" i="17"/>
  <c r="AR40" i="17"/>
  <c r="AS40" i="17"/>
  <c r="AT40" i="17"/>
  <c r="AU40" i="17"/>
  <c r="AV40" i="17"/>
  <c r="AW40" i="17"/>
  <c r="AX40" i="17"/>
  <c r="AY40" i="17"/>
  <c r="AZ40" i="17"/>
  <c r="BA40" i="17"/>
  <c r="BB40" i="17"/>
  <c r="BC40" i="17"/>
  <c r="BD40" i="17"/>
  <c r="BE40" i="17"/>
  <c r="BF40" i="17"/>
  <c r="BG40" i="17"/>
  <c r="BH40" i="17"/>
  <c r="BI40" i="17"/>
  <c r="BJ40" i="17"/>
  <c r="BK40" i="17"/>
  <c r="BL40" i="17"/>
  <c r="BM40" i="17"/>
  <c r="BN40" i="17"/>
  <c r="BO40" i="17"/>
  <c r="BP40" i="17"/>
  <c r="BQ40" i="17"/>
  <c r="BR40" i="17"/>
  <c r="BS40" i="17"/>
  <c r="BT40" i="17"/>
  <c r="BU40" i="17"/>
  <c r="BV40" i="17"/>
  <c r="BW40" i="17"/>
  <c r="BX40" i="17"/>
  <c r="BY40" i="17"/>
  <c r="BZ40" i="17"/>
  <c r="CA40" i="17"/>
  <c r="CB40" i="17"/>
  <c r="CC40" i="17"/>
  <c r="CD40" i="17"/>
  <c r="CE40" i="17"/>
  <c r="CF40" i="17"/>
  <c r="CG40" i="17"/>
  <c r="CH40" i="17"/>
  <c r="CI40" i="17"/>
  <c r="CJ40" i="17"/>
  <c r="CK40" i="17"/>
  <c r="CL40" i="17"/>
  <c r="CM40" i="17"/>
  <c r="CN40" i="17"/>
  <c r="CO40" i="17"/>
  <c r="CP40" i="17"/>
  <c r="CQ40" i="17"/>
  <c r="CR40" i="17"/>
  <c r="CS40" i="17"/>
  <c r="CT40" i="17"/>
  <c r="CU40" i="17"/>
  <c r="CV40" i="17"/>
  <c r="CW40" i="17"/>
  <c r="CX40" i="17"/>
  <c r="CY40" i="17"/>
  <c r="CZ40" i="17"/>
  <c r="DA40" i="17"/>
  <c r="DB40" i="17"/>
  <c r="DC40" i="17"/>
  <c r="DD40" i="17"/>
  <c r="DE40" i="17"/>
  <c r="DF40" i="17"/>
  <c r="DG40" i="17"/>
  <c r="DH40" i="17"/>
  <c r="DI40" i="17"/>
  <c r="DJ40" i="17"/>
  <c r="DK40" i="17"/>
  <c r="DL40" i="17"/>
  <c r="DM40" i="17"/>
  <c r="DN40" i="17"/>
  <c r="DO40" i="17"/>
  <c r="DP40" i="17"/>
  <c r="DQ40" i="17"/>
  <c r="DR40" i="17"/>
  <c r="DS40" i="17"/>
  <c r="DT40" i="17"/>
  <c r="DU40" i="17"/>
  <c r="DV40" i="17"/>
  <c r="DW40" i="17"/>
  <c r="DX40" i="17"/>
  <c r="DY40" i="17"/>
  <c r="DZ40" i="17"/>
  <c r="EA40" i="17"/>
  <c r="EB40" i="17"/>
  <c r="EC40" i="17"/>
  <c r="ED40" i="17"/>
  <c r="EE40" i="17"/>
  <c r="EF40" i="17"/>
  <c r="EG40" i="17"/>
  <c r="EH40" i="17"/>
  <c r="EI40" i="17"/>
  <c r="EJ40" i="17"/>
  <c r="EK40" i="17"/>
  <c r="EL40" i="17"/>
  <c r="EM40" i="17"/>
  <c r="EN40" i="17"/>
  <c r="EO40" i="17"/>
  <c r="EP40" i="17"/>
  <c r="EQ40" i="17"/>
  <c r="ER40" i="17"/>
  <c r="ES40" i="17"/>
  <c r="ET40" i="17"/>
  <c r="EU40" i="17"/>
  <c r="EV40" i="17"/>
  <c r="EW40" i="17"/>
  <c r="EX40" i="17"/>
  <c r="EY40" i="17"/>
  <c r="EZ40" i="17"/>
  <c r="FA40" i="17"/>
  <c r="FB40" i="17"/>
  <c r="FC40" i="17"/>
  <c r="FD40" i="17"/>
  <c r="FE40" i="17"/>
  <c r="FF40" i="17"/>
  <c r="FG40" i="17"/>
  <c r="FH40" i="17"/>
  <c r="FI40" i="17"/>
  <c r="FJ40" i="17"/>
  <c r="FK40" i="17"/>
  <c r="FL40" i="17"/>
  <c r="FM40" i="17"/>
  <c r="FN40" i="17"/>
  <c r="FO40" i="17"/>
  <c r="FP40" i="17"/>
  <c r="FQ40" i="17"/>
  <c r="FR40" i="17"/>
  <c r="FS40" i="17"/>
  <c r="FT40" i="17"/>
  <c r="FU40" i="17"/>
  <c r="FV40" i="17"/>
  <c r="FW40" i="17"/>
  <c r="FX40" i="17"/>
  <c r="FY40" i="17"/>
  <c r="FZ40" i="17"/>
  <c r="GA40" i="17"/>
  <c r="GB40" i="17"/>
  <c r="GC40" i="17"/>
  <c r="GD40" i="17"/>
  <c r="GE40" i="17"/>
  <c r="GF40" i="17"/>
  <c r="GG40" i="17"/>
  <c r="GH40" i="17"/>
  <c r="GI40" i="17"/>
  <c r="GJ40" i="17"/>
  <c r="GK40" i="17"/>
  <c r="GL40" i="17"/>
  <c r="GM40" i="17"/>
  <c r="GN40" i="17"/>
  <c r="GO40" i="17"/>
  <c r="GP40" i="17"/>
  <c r="GQ40" i="17"/>
  <c r="GR40" i="17"/>
  <c r="GS40" i="17"/>
  <c r="GT40" i="17"/>
  <c r="GU40" i="17"/>
  <c r="GV40" i="17"/>
  <c r="GW40" i="17"/>
  <c r="GX40" i="17"/>
  <c r="GY40" i="17"/>
  <c r="GZ40" i="17"/>
  <c r="HA40" i="17"/>
  <c r="HB40" i="17"/>
  <c r="HC40" i="17"/>
  <c r="HD40" i="17"/>
  <c r="HE40" i="17"/>
  <c r="HF40" i="17"/>
  <c r="HG40" i="17"/>
  <c r="HH40" i="17"/>
  <c r="HI40" i="17"/>
  <c r="HJ40" i="17"/>
  <c r="HK40" i="17"/>
  <c r="HL40" i="17"/>
  <c r="HM40" i="17"/>
  <c r="HN40" i="17"/>
  <c r="HO40" i="17"/>
  <c r="HP40" i="17"/>
  <c r="HQ40" i="17"/>
  <c r="HR40" i="17"/>
  <c r="HS40" i="17"/>
  <c r="HT40" i="17"/>
  <c r="HU40" i="17"/>
  <c r="HV40" i="17"/>
  <c r="HW40" i="17"/>
  <c r="HX40" i="17"/>
  <c r="HY40" i="17"/>
  <c r="HZ40" i="17"/>
  <c r="IA40" i="17"/>
  <c r="IB40" i="17"/>
  <c r="IC40" i="17"/>
  <c r="ID40" i="17"/>
  <c r="IE40" i="17"/>
  <c r="IF40" i="17"/>
  <c r="IG40" i="17"/>
  <c r="IH40" i="17"/>
  <c r="II40" i="17"/>
  <c r="IJ40" i="17"/>
  <c r="IK40" i="17"/>
  <c r="IL40" i="17"/>
  <c r="IM40" i="17"/>
  <c r="IN40" i="17"/>
  <c r="IO40" i="17"/>
  <c r="IP40" i="17"/>
  <c r="IQ40" i="17"/>
  <c r="IR40" i="17"/>
  <c r="IS40" i="17"/>
  <c r="IT40" i="17"/>
  <c r="IU40" i="17"/>
  <c r="IV40" i="17"/>
  <c r="A39" i="17"/>
  <c r="B39" i="17"/>
  <c r="C39" i="17"/>
  <c r="D39" i="17"/>
  <c r="E39" i="17"/>
  <c r="F39" i="17"/>
  <c r="G39" i="17"/>
  <c r="H39" i="17"/>
  <c r="I39" i="17"/>
  <c r="J39" i="17"/>
  <c r="K39" i="17"/>
  <c r="L39" i="17"/>
  <c r="M39" i="17"/>
  <c r="N39" i="17"/>
  <c r="O39" i="17"/>
  <c r="P39" i="17"/>
  <c r="Q39" i="17"/>
  <c r="R39" i="17"/>
  <c r="S39" i="17"/>
  <c r="T39" i="17"/>
  <c r="U39" i="17"/>
  <c r="V39" i="17"/>
  <c r="W39" i="17"/>
  <c r="X39" i="17"/>
  <c r="Y39" i="17"/>
  <c r="Z39" i="17"/>
  <c r="AA39" i="17"/>
  <c r="AB39" i="17"/>
  <c r="AC39" i="17"/>
  <c r="AD39" i="17"/>
  <c r="AE39" i="17"/>
  <c r="AF39" i="17"/>
  <c r="AG39" i="17"/>
  <c r="AH39" i="17"/>
  <c r="AI39" i="17"/>
  <c r="AJ39" i="17"/>
  <c r="AK39" i="17"/>
  <c r="AL39" i="17"/>
  <c r="AM39" i="17"/>
  <c r="AN39" i="17"/>
  <c r="AO39" i="17"/>
  <c r="AP39" i="17"/>
  <c r="AQ39" i="17"/>
  <c r="AR39" i="17"/>
  <c r="AS39" i="17"/>
  <c r="AT39" i="17"/>
  <c r="AU39" i="17"/>
  <c r="AV39" i="17"/>
  <c r="AW39" i="17"/>
  <c r="AX39" i="17"/>
  <c r="AY39" i="17"/>
  <c r="AZ39" i="17"/>
  <c r="BA39" i="17"/>
  <c r="BB39" i="17"/>
  <c r="BC39" i="17"/>
  <c r="BD39" i="17"/>
  <c r="BE39" i="17"/>
  <c r="BF39" i="17"/>
  <c r="BG39" i="17"/>
  <c r="BH39" i="17"/>
  <c r="BI39" i="17"/>
  <c r="BJ39" i="17"/>
  <c r="BK39" i="17"/>
  <c r="BL39" i="17"/>
  <c r="BM39" i="17"/>
  <c r="BN39" i="17"/>
  <c r="BO39" i="17"/>
  <c r="BP39" i="17"/>
  <c r="BQ39" i="17"/>
  <c r="BR39" i="17"/>
  <c r="BS39" i="17"/>
  <c r="BT39" i="17"/>
  <c r="BU39" i="17"/>
  <c r="BV39" i="17"/>
  <c r="BW39" i="17"/>
  <c r="BX39" i="17"/>
  <c r="BY39" i="17"/>
  <c r="BZ39" i="17"/>
  <c r="CA39" i="17"/>
  <c r="CB39" i="17"/>
  <c r="CC39" i="17"/>
  <c r="CD39" i="17"/>
  <c r="CE39" i="17"/>
  <c r="CF39" i="17"/>
  <c r="CG39" i="17"/>
  <c r="CH39" i="17"/>
  <c r="CI39" i="17"/>
  <c r="CJ39" i="17"/>
  <c r="CK39" i="17"/>
  <c r="CL39" i="17"/>
  <c r="CM39" i="17"/>
  <c r="CN39" i="17"/>
  <c r="CO39" i="17"/>
  <c r="CP39" i="17"/>
  <c r="CQ39" i="17"/>
  <c r="CR39" i="17"/>
  <c r="CS39" i="17"/>
  <c r="CT39" i="17"/>
  <c r="CU39" i="17"/>
  <c r="CV39" i="17"/>
  <c r="CW39" i="17"/>
  <c r="CX39" i="17"/>
  <c r="CY39" i="17"/>
  <c r="CZ39" i="17"/>
  <c r="DA39" i="17"/>
  <c r="DB39" i="17"/>
  <c r="DC39" i="17"/>
  <c r="DD39" i="17"/>
  <c r="DE39" i="17"/>
  <c r="DF39" i="17"/>
  <c r="DG39" i="17"/>
  <c r="DH39" i="17"/>
  <c r="DI39" i="17"/>
  <c r="DJ39" i="17"/>
  <c r="DK39" i="17"/>
  <c r="DL39" i="17"/>
  <c r="DM39" i="17"/>
  <c r="DN39" i="17"/>
  <c r="DO39" i="17"/>
  <c r="DP39" i="17"/>
  <c r="DQ39" i="17"/>
  <c r="DR39" i="17"/>
  <c r="DS39" i="17"/>
  <c r="DT39" i="17"/>
  <c r="DU39" i="17"/>
  <c r="DV39" i="17"/>
  <c r="DW39" i="17"/>
  <c r="DX39" i="17"/>
  <c r="DY39" i="17"/>
  <c r="DZ39" i="17"/>
  <c r="EA39" i="17"/>
  <c r="EB39" i="17"/>
  <c r="EC39" i="17"/>
  <c r="EL39" i="17"/>
  <c r="EP39" i="17"/>
  <c r="EQ39" i="17"/>
  <c r="ER39" i="17"/>
  <c r="ES39" i="17"/>
  <c r="ET39" i="17"/>
  <c r="EU39" i="17"/>
  <c r="EV39" i="17"/>
  <c r="EW39" i="17"/>
  <c r="EX39" i="17"/>
  <c r="EY39" i="17"/>
  <c r="EZ39" i="17"/>
  <c r="FA39" i="17"/>
  <c r="FB39" i="17"/>
  <c r="FC39" i="17"/>
  <c r="FD39" i="17"/>
  <c r="FE39" i="17"/>
  <c r="FF39" i="17"/>
  <c r="FG39" i="17"/>
  <c r="FH39" i="17"/>
  <c r="FI39" i="17"/>
  <c r="FJ39" i="17"/>
  <c r="FK39" i="17"/>
  <c r="FL39" i="17"/>
  <c r="FM39" i="17"/>
  <c r="FN39" i="17"/>
  <c r="FO39" i="17"/>
  <c r="FP39" i="17"/>
  <c r="FQ39" i="17"/>
  <c r="FR39" i="17"/>
  <c r="FS39" i="17"/>
  <c r="FT39" i="17"/>
  <c r="FU39" i="17"/>
  <c r="FV39" i="17"/>
  <c r="FW39" i="17"/>
  <c r="FX39" i="17"/>
  <c r="FY39" i="17"/>
  <c r="FZ39" i="17"/>
  <c r="GA39" i="17"/>
  <c r="GB39" i="17"/>
  <c r="GC39" i="17"/>
  <c r="GD39" i="17"/>
  <c r="GE39" i="17"/>
  <c r="GF39" i="17"/>
  <c r="GG39" i="17"/>
  <c r="GH39" i="17"/>
  <c r="GI39" i="17"/>
  <c r="GJ39" i="17"/>
  <c r="GK39" i="17"/>
  <c r="GL39" i="17"/>
  <c r="GM39" i="17"/>
  <c r="GN39" i="17"/>
  <c r="GO39" i="17"/>
  <c r="GP39" i="17"/>
  <c r="GQ39" i="17"/>
  <c r="GR39" i="17"/>
  <c r="GS39" i="17"/>
  <c r="GT39" i="17"/>
  <c r="GU39" i="17"/>
  <c r="GV39" i="17"/>
  <c r="GW39" i="17"/>
  <c r="GX39" i="17"/>
  <c r="GY39" i="17"/>
  <c r="GZ39" i="17"/>
  <c r="HA39" i="17"/>
  <c r="HB39" i="17"/>
  <c r="HC39" i="17"/>
  <c r="HD39" i="17"/>
  <c r="HE39" i="17"/>
  <c r="HF39" i="17"/>
  <c r="HG39" i="17"/>
  <c r="HH39" i="17"/>
  <c r="HI39" i="17"/>
  <c r="HJ39" i="17"/>
  <c r="HK39" i="17"/>
  <c r="HL39" i="17"/>
  <c r="HM39" i="17"/>
  <c r="HN39" i="17"/>
  <c r="HO39" i="17"/>
  <c r="HP39" i="17"/>
  <c r="HQ39" i="17"/>
  <c r="HR39" i="17"/>
  <c r="HS39" i="17"/>
  <c r="HT39" i="17"/>
  <c r="HU39" i="17"/>
  <c r="HV39" i="17"/>
  <c r="HW39" i="17"/>
  <c r="HX39" i="17"/>
  <c r="HY39" i="17"/>
  <c r="HZ39" i="17"/>
  <c r="IA39" i="17"/>
  <c r="IB39" i="17"/>
  <c r="IC39" i="17"/>
  <c r="ID39" i="17"/>
  <c r="IE39" i="17"/>
  <c r="IF39" i="17"/>
  <c r="IG39" i="17"/>
  <c r="IH39" i="17"/>
  <c r="II39" i="17"/>
  <c r="IJ39" i="17"/>
  <c r="IK39" i="17"/>
  <c r="IL39" i="17"/>
  <c r="IM39" i="17"/>
  <c r="IN39" i="17"/>
  <c r="IO39" i="17"/>
  <c r="IP39" i="17"/>
  <c r="IQ39" i="17"/>
  <c r="IR39" i="17"/>
  <c r="IS39" i="17"/>
  <c r="IT39" i="17"/>
  <c r="IU39" i="17"/>
  <c r="IV39" i="17"/>
  <c r="A38" i="17"/>
  <c r="B38" i="17"/>
  <c r="C38" i="17"/>
  <c r="D38" i="17"/>
  <c r="E38" i="17"/>
  <c r="G38" i="17"/>
  <c r="H38" i="17"/>
  <c r="I38" i="17"/>
  <c r="J38" i="17"/>
  <c r="K38" i="17"/>
  <c r="L38" i="17"/>
  <c r="M38" i="17"/>
  <c r="N38" i="17"/>
  <c r="O38" i="17"/>
  <c r="P38" i="17"/>
  <c r="Q38" i="17"/>
  <c r="R38" i="17"/>
  <c r="S38" i="17"/>
  <c r="T38" i="17"/>
  <c r="U38" i="17"/>
  <c r="V38" i="17"/>
  <c r="W38" i="17"/>
  <c r="X38" i="17"/>
  <c r="Y38" i="17"/>
  <c r="Z38" i="17"/>
  <c r="AA38" i="17"/>
  <c r="AB38" i="17"/>
  <c r="AC38" i="17"/>
  <c r="AD38" i="17"/>
  <c r="AE38" i="17"/>
  <c r="AF38" i="17"/>
  <c r="AG38" i="17"/>
  <c r="AH38" i="17"/>
  <c r="AI38" i="17"/>
  <c r="AJ38" i="17"/>
  <c r="AK38" i="17"/>
  <c r="AL38" i="17"/>
  <c r="AM38" i="17"/>
  <c r="AN38" i="17"/>
  <c r="AO38" i="17"/>
  <c r="AP38" i="17"/>
  <c r="AQ38" i="17"/>
  <c r="AR38" i="17"/>
  <c r="AS38" i="17"/>
  <c r="AT38" i="17"/>
  <c r="AU38" i="17"/>
  <c r="AV38" i="17"/>
  <c r="AW38" i="17"/>
  <c r="AX38" i="17"/>
  <c r="AY38" i="17"/>
  <c r="AZ38" i="17"/>
  <c r="BA38" i="17"/>
  <c r="BB38" i="17"/>
  <c r="BC38" i="17"/>
  <c r="BD38" i="17"/>
  <c r="BE38" i="17"/>
  <c r="BF38" i="17"/>
  <c r="BG38" i="17"/>
  <c r="BH38" i="17"/>
  <c r="BI38" i="17"/>
  <c r="BJ38" i="17"/>
  <c r="BK38" i="17"/>
  <c r="BL38" i="17"/>
  <c r="BM38" i="17"/>
  <c r="BN38" i="17"/>
  <c r="BO38" i="17"/>
  <c r="BP38" i="17"/>
  <c r="BQ38" i="17"/>
  <c r="BR38" i="17"/>
  <c r="BS38" i="17"/>
  <c r="BT38" i="17"/>
  <c r="BU38" i="17"/>
  <c r="BV38" i="17"/>
  <c r="BW38" i="17"/>
  <c r="BX38" i="17"/>
  <c r="BY38" i="17"/>
  <c r="BZ38" i="17"/>
  <c r="CA38" i="17"/>
  <c r="CB38" i="17"/>
  <c r="CC38" i="17"/>
  <c r="CD38" i="17"/>
  <c r="CE38" i="17"/>
  <c r="CF38" i="17"/>
  <c r="CG38" i="17"/>
  <c r="CH38" i="17"/>
  <c r="CI38" i="17"/>
  <c r="CJ38" i="17"/>
  <c r="CK38" i="17"/>
  <c r="CL38" i="17"/>
  <c r="CM38" i="17"/>
  <c r="CN38" i="17"/>
  <c r="CO38" i="17"/>
  <c r="CP38" i="17"/>
  <c r="CQ38" i="17"/>
  <c r="CR38" i="17"/>
  <c r="CS38" i="17"/>
  <c r="CT38" i="17"/>
  <c r="CU38" i="17"/>
  <c r="CV38" i="17"/>
  <c r="CW38" i="17"/>
  <c r="CX38" i="17"/>
  <c r="CY38" i="17"/>
  <c r="CZ38" i="17"/>
  <c r="DA38" i="17"/>
  <c r="DB38" i="17"/>
  <c r="DC38" i="17"/>
  <c r="DD38" i="17"/>
  <c r="DE38" i="17"/>
  <c r="DF38" i="17"/>
  <c r="DG38" i="17"/>
  <c r="DH38" i="17"/>
  <c r="DI38" i="17"/>
  <c r="DJ38" i="17"/>
  <c r="DK38" i="17"/>
  <c r="DL38" i="17"/>
  <c r="DM38" i="17"/>
  <c r="DN38" i="17"/>
  <c r="DO38" i="17"/>
  <c r="DP38" i="17"/>
  <c r="DQ38" i="17"/>
  <c r="DR38" i="17"/>
  <c r="DS38" i="17"/>
  <c r="DT38" i="17"/>
  <c r="DU38" i="17"/>
  <c r="DV38" i="17"/>
  <c r="DW38" i="17"/>
  <c r="DX38" i="17"/>
  <c r="DY38" i="17"/>
  <c r="DZ38" i="17"/>
  <c r="EA38" i="17"/>
  <c r="EB38" i="17"/>
  <c r="EC38" i="17"/>
  <c r="ED38" i="17"/>
  <c r="EE38" i="17"/>
  <c r="EF38" i="17"/>
  <c r="EG38" i="17"/>
  <c r="EH38" i="17"/>
  <c r="EI38" i="17"/>
  <c r="EJ38" i="17"/>
  <c r="EK38" i="17"/>
  <c r="EL38" i="17"/>
  <c r="EM38" i="17"/>
  <c r="EN38" i="17"/>
  <c r="EO38" i="17"/>
  <c r="EP38" i="17"/>
  <c r="EQ38" i="17"/>
  <c r="ER38" i="17"/>
  <c r="ES38" i="17"/>
  <c r="ET38" i="17"/>
  <c r="EU38" i="17"/>
  <c r="EV38" i="17"/>
  <c r="EW38" i="17"/>
  <c r="EX38" i="17"/>
  <c r="EY38" i="17"/>
  <c r="EZ38" i="17"/>
  <c r="FA38" i="17"/>
  <c r="FB38" i="17"/>
  <c r="FC38" i="17"/>
  <c r="FD38" i="17"/>
  <c r="FE38" i="17"/>
  <c r="FF38" i="17"/>
  <c r="FG38" i="17"/>
  <c r="FH38" i="17"/>
  <c r="FI38" i="17"/>
  <c r="FJ38" i="17"/>
  <c r="FK38" i="17"/>
  <c r="FL38" i="17"/>
  <c r="FM38" i="17"/>
  <c r="FN38" i="17"/>
  <c r="FO38" i="17"/>
  <c r="FP38" i="17"/>
  <c r="FQ38" i="17"/>
  <c r="FR38" i="17"/>
  <c r="FS38" i="17"/>
  <c r="FT38" i="17"/>
  <c r="FU38" i="17"/>
  <c r="FV38" i="17"/>
  <c r="FW38" i="17"/>
  <c r="FX38" i="17"/>
  <c r="FY38" i="17"/>
  <c r="FZ38" i="17"/>
  <c r="GA38" i="17"/>
  <c r="GB38" i="17"/>
  <c r="GC38" i="17"/>
  <c r="GD38" i="17"/>
  <c r="GE38" i="17"/>
  <c r="GF38" i="17"/>
  <c r="GG38" i="17"/>
  <c r="GH38" i="17"/>
  <c r="GI38" i="17"/>
  <c r="GJ38" i="17"/>
  <c r="GK38" i="17"/>
  <c r="GL38" i="17"/>
  <c r="GM38" i="17"/>
  <c r="GN38" i="17"/>
  <c r="GO38" i="17"/>
  <c r="GP38" i="17"/>
  <c r="GQ38" i="17"/>
  <c r="GR38" i="17"/>
  <c r="GS38" i="17"/>
  <c r="GT38" i="17"/>
  <c r="GU38" i="17"/>
  <c r="GV38" i="17"/>
  <c r="GW38" i="17"/>
  <c r="GX38" i="17"/>
  <c r="GY38" i="17"/>
  <c r="GZ38" i="17"/>
  <c r="HA38" i="17"/>
  <c r="HB38" i="17"/>
  <c r="HC38" i="17"/>
  <c r="HD38" i="17"/>
  <c r="HE38" i="17"/>
  <c r="HF38" i="17"/>
  <c r="HG38" i="17"/>
  <c r="HH38" i="17"/>
  <c r="HI38" i="17"/>
  <c r="HJ38" i="17"/>
  <c r="HK38" i="17"/>
  <c r="HL38" i="17"/>
  <c r="HM38" i="17"/>
  <c r="HN38" i="17"/>
  <c r="HO38" i="17"/>
  <c r="HP38" i="17"/>
  <c r="HQ38" i="17"/>
  <c r="HR38" i="17"/>
  <c r="HS38" i="17"/>
  <c r="HT38" i="17"/>
  <c r="HU38" i="17"/>
  <c r="HV38" i="17"/>
  <c r="HW38" i="17"/>
  <c r="HX38" i="17"/>
  <c r="HY38" i="17"/>
  <c r="HZ38" i="17"/>
  <c r="IA38" i="17"/>
  <c r="IB38" i="17"/>
  <c r="IC38" i="17"/>
  <c r="ID38" i="17"/>
  <c r="IE38" i="17"/>
  <c r="IF38" i="17"/>
  <c r="IG38" i="17"/>
  <c r="IH38" i="17"/>
  <c r="II38" i="17"/>
  <c r="IJ38" i="17"/>
  <c r="IK38" i="17"/>
  <c r="IL38" i="17"/>
  <c r="IM38" i="17"/>
  <c r="IN38" i="17"/>
  <c r="IO38" i="17"/>
  <c r="IP38" i="17"/>
  <c r="IQ38" i="17"/>
  <c r="IR38" i="17"/>
  <c r="IS38" i="17"/>
  <c r="IT38" i="17"/>
  <c r="IU38" i="17"/>
  <c r="IV38" i="17"/>
  <c r="A37" i="17"/>
  <c r="B37" i="17"/>
  <c r="C37" i="17"/>
  <c r="D37" i="17"/>
  <c r="E37" i="17"/>
  <c r="F37" i="17"/>
  <c r="G37" i="17"/>
  <c r="H37" i="17"/>
  <c r="I37" i="17"/>
  <c r="J37" i="17"/>
  <c r="K37" i="17"/>
  <c r="L37" i="17"/>
  <c r="M37" i="17"/>
  <c r="N37" i="17"/>
  <c r="O37" i="17"/>
  <c r="P37" i="17"/>
  <c r="Q37" i="17"/>
  <c r="R37" i="17"/>
  <c r="S37" i="17"/>
  <c r="T37" i="17"/>
  <c r="U37" i="17"/>
  <c r="V37" i="17"/>
  <c r="W37" i="17"/>
  <c r="X37" i="17"/>
  <c r="Y37" i="17"/>
  <c r="Z37" i="17"/>
  <c r="AA37" i="17"/>
  <c r="AC37" i="17"/>
  <c r="AD37" i="17"/>
  <c r="AE37" i="17"/>
  <c r="AF37" i="17"/>
  <c r="AG37" i="17"/>
  <c r="AH37" i="17"/>
  <c r="AI37" i="17"/>
  <c r="AJ37" i="17"/>
  <c r="AK37" i="17"/>
  <c r="AL37" i="17"/>
  <c r="AM37" i="17"/>
  <c r="AN37" i="17"/>
  <c r="AO37" i="17"/>
  <c r="AP37" i="17"/>
  <c r="AQ37" i="17"/>
  <c r="AR37" i="17"/>
  <c r="AS37" i="17"/>
  <c r="AT37" i="17"/>
  <c r="AU37" i="17"/>
  <c r="AV37" i="17"/>
  <c r="AW37" i="17"/>
  <c r="AX37" i="17"/>
  <c r="AY37" i="17"/>
  <c r="AZ37" i="17"/>
  <c r="BA37" i="17"/>
  <c r="BB37" i="17"/>
  <c r="BC37" i="17"/>
  <c r="BD37" i="17"/>
  <c r="BE37" i="17"/>
  <c r="BF37" i="17"/>
  <c r="BG37" i="17"/>
  <c r="BH37" i="17"/>
  <c r="BI37" i="17"/>
  <c r="BJ37" i="17"/>
  <c r="BK37" i="17"/>
  <c r="BL37" i="17"/>
  <c r="BM37" i="17"/>
  <c r="BN37" i="17"/>
  <c r="BO37" i="17"/>
  <c r="BP37" i="17"/>
  <c r="BQ37" i="17"/>
  <c r="BR37" i="17"/>
  <c r="BS37" i="17"/>
  <c r="BT37" i="17"/>
  <c r="BU37" i="17"/>
  <c r="BV37" i="17"/>
  <c r="BW37" i="17"/>
  <c r="BX37" i="17"/>
  <c r="BY37" i="17"/>
  <c r="BZ37" i="17"/>
  <c r="CA37" i="17"/>
  <c r="CB37" i="17"/>
  <c r="CC37" i="17"/>
  <c r="CD37" i="17"/>
  <c r="CE37" i="17"/>
  <c r="CF37" i="17"/>
  <c r="CG37" i="17"/>
  <c r="CH37" i="17"/>
  <c r="CI37" i="17"/>
  <c r="CJ37" i="17"/>
  <c r="CK37" i="17"/>
  <c r="CL37" i="17"/>
  <c r="CM37" i="17"/>
  <c r="CN37" i="17"/>
  <c r="CO37" i="17"/>
  <c r="CP37" i="17"/>
  <c r="CQ37" i="17"/>
  <c r="CR37" i="17"/>
  <c r="CS37" i="17"/>
  <c r="CT37" i="17"/>
  <c r="CU37" i="17"/>
  <c r="CV37" i="17"/>
  <c r="CW37" i="17"/>
  <c r="CX37" i="17"/>
  <c r="CY37" i="17"/>
  <c r="CZ37" i="17"/>
  <c r="DA37" i="17"/>
  <c r="DB37" i="17"/>
  <c r="DC37" i="17"/>
  <c r="DD37" i="17"/>
  <c r="DE37" i="17"/>
  <c r="DF37" i="17"/>
  <c r="DG37" i="17"/>
  <c r="DH37" i="17"/>
  <c r="DI37" i="17"/>
  <c r="DJ37" i="17"/>
  <c r="DK37" i="17"/>
  <c r="DL37" i="17"/>
  <c r="DM37" i="17"/>
  <c r="DN37" i="17"/>
  <c r="DO37" i="17"/>
  <c r="DP37" i="17"/>
  <c r="DQ37" i="17"/>
  <c r="DR37" i="17"/>
  <c r="DS37" i="17"/>
  <c r="DT37" i="17"/>
  <c r="DU37" i="17"/>
  <c r="DV37" i="17"/>
  <c r="DW37" i="17"/>
  <c r="DX37" i="17"/>
  <c r="DY37" i="17"/>
  <c r="DZ37" i="17"/>
  <c r="EA37" i="17"/>
  <c r="EB37" i="17"/>
  <c r="EC37" i="17"/>
  <c r="ED37" i="17"/>
  <c r="EE37" i="17"/>
  <c r="EF37" i="17"/>
  <c r="EG37" i="17"/>
  <c r="EH37" i="17"/>
  <c r="EI37" i="17"/>
  <c r="EJ37" i="17"/>
  <c r="EK37" i="17"/>
  <c r="EL37" i="17"/>
  <c r="EM37" i="17"/>
  <c r="EN37" i="17"/>
  <c r="EO37" i="17"/>
  <c r="EP37" i="17"/>
  <c r="EQ37" i="17"/>
  <c r="ER37" i="17"/>
  <c r="ES37" i="17"/>
  <c r="ET37" i="17"/>
  <c r="EU37" i="17"/>
  <c r="EV37" i="17"/>
  <c r="EW37" i="17"/>
  <c r="EX37" i="17"/>
  <c r="EY37" i="17"/>
  <c r="EZ37" i="17"/>
  <c r="FA37" i="17"/>
  <c r="FB37" i="17"/>
  <c r="FC37" i="17"/>
  <c r="FD37" i="17"/>
  <c r="FE37" i="17"/>
  <c r="FF37" i="17"/>
  <c r="FG37" i="17"/>
  <c r="FH37" i="17"/>
  <c r="FI37" i="17"/>
  <c r="FJ37" i="17"/>
  <c r="FK37" i="17"/>
  <c r="FL37" i="17"/>
  <c r="FM37" i="17"/>
  <c r="FN37" i="17"/>
  <c r="FO37" i="17"/>
  <c r="FP37" i="17"/>
  <c r="FQ37" i="17"/>
  <c r="FR37" i="17"/>
  <c r="FS37" i="17"/>
  <c r="FT37" i="17"/>
  <c r="FU37" i="17"/>
  <c r="FV37" i="17"/>
  <c r="FW37" i="17"/>
  <c r="FX37" i="17"/>
  <c r="FY37" i="17"/>
  <c r="FZ37" i="17"/>
  <c r="GA37" i="17"/>
  <c r="GB37" i="17"/>
  <c r="GC37" i="17"/>
  <c r="GD37" i="17"/>
  <c r="GE37" i="17"/>
  <c r="GF37" i="17"/>
  <c r="GG37" i="17"/>
  <c r="GH37" i="17"/>
  <c r="GI37" i="17"/>
  <c r="GJ37" i="17"/>
  <c r="GK37" i="17"/>
  <c r="GL37" i="17"/>
  <c r="GM37" i="17"/>
  <c r="GN37" i="17"/>
  <c r="GO37" i="17"/>
  <c r="GP37" i="17"/>
  <c r="GQ37" i="17"/>
  <c r="GR37" i="17"/>
  <c r="GS37" i="17"/>
  <c r="GT37" i="17"/>
  <c r="GU37" i="17"/>
  <c r="GV37" i="17"/>
  <c r="GW37" i="17"/>
  <c r="GX37" i="17"/>
  <c r="GY37" i="17"/>
  <c r="GZ37" i="17"/>
  <c r="HA37" i="17"/>
  <c r="HB37" i="17"/>
  <c r="HC37" i="17"/>
  <c r="HD37" i="17"/>
  <c r="HE37" i="17"/>
  <c r="HF37" i="17"/>
  <c r="HG37" i="17"/>
  <c r="HH37" i="17"/>
  <c r="HI37" i="17"/>
  <c r="HJ37" i="17"/>
  <c r="HK37" i="17"/>
  <c r="HL37" i="17"/>
  <c r="HM37" i="17"/>
  <c r="HN37" i="17"/>
  <c r="HO37" i="17"/>
  <c r="HP37" i="17"/>
  <c r="HQ37" i="17"/>
  <c r="HR37" i="17"/>
  <c r="HS37" i="17"/>
  <c r="HT37" i="17"/>
  <c r="HU37" i="17"/>
  <c r="HV37" i="17"/>
  <c r="HW37" i="17"/>
  <c r="HX37" i="17"/>
  <c r="HY37" i="17"/>
  <c r="HZ37" i="17"/>
  <c r="IA37" i="17"/>
  <c r="IB37" i="17"/>
  <c r="IC37" i="17"/>
  <c r="ID37" i="17"/>
  <c r="IE37" i="17"/>
  <c r="IF37" i="17"/>
  <c r="IG37" i="17"/>
  <c r="IH37" i="17"/>
  <c r="II37" i="17"/>
  <c r="IJ37" i="17"/>
  <c r="IK37" i="17"/>
  <c r="IL37" i="17"/>
  <c r="IM37" i="17"/>
  <c r="IN37" i="17"/>
  <c r="IO37" i="17"/>
  <c r="IP37" i="17"/>
  <c r="IQ37" i="17"/>
  <c r="IR37" i="17"/>
  <c r="IS37" i="17"/>
  <c r="IT37" i="17"/>
  <c r="IU37" i="17"/>
  <c r="IV37" i="17"/>
  <c r="A36" i="17"/>
  <c r="B36" i="17"/>
  <c r="C36" i="17"/>
  <c r="D36" i="17"/>
  <c r="E36" i="17"/>
  <c r="F36" i="17"/>
  <c r="G36" i="17"/>
  <c r="H36" i="17"/>
  <c r="I36" i="17"/>
  <c r="J36" i="17"/>
  <c r="L36" i="17"/>
  <c r="M36" i="17"/>
  <c r="N36" i="17"/>
  <c r="O36" i="17"/>
  <c r="P36" i="17"/>
  <c r="Q36" i="17"/>
  <c r="R36" i="17"/>
  <c r="S36" i="17"/>
  <c r="T36" i="17"/>
  <c r="U36" i="17"/>
  <c r="V36" i="17"/>
  <c r="W36" i="17"/>
  <c r="X36" i="17"/>
  <c r="Y36" i="17"/>
  <c r="Z36" i="17"/>
  <c r="AA36" i="17"/>
  <c r="AB36" i="17"/>
  <c r="AC36" i="17"/>
  <c r="AD36" i="17"/>
  <c r="AE36" i="17"/>
  <c r="AF36" i="17"/>
  <c r="AG36" i="17"/>
  <c r="AH36" i="17"/>
  <c r="AI36" i="17"/>
  <c r="AJ36" i="17"/>
  <c r="AK36" i="17"/>
  <c r="AL36" i="17"/>
  <c r="AM36" i="17"/>
  <c r="AN36" i="17"/>
  <c r="AO36" i="17"/>
  <c r="AP36" i="17"/>
  <c r="AQ36" i="17"/>
  <c r="AR36" i="17"/>
  <c r="AS36" i="17"/>
  <c r="AT36" i="17"/>
  <c r="AU36" i="17"/>
  <c r="AV36" i="17"/>
  <c r="AW36" i="17"/>
  <c r="AX36" i="17"/>
  <c r="AY36" i="17"/>
  <c r="AZ36" i="17"/>
  <c r="BA36" i="17"/>
  <c r="BB36" i="17"/>
  <c r="BC36" i="17"/>
  <c r="BD36" i="17"/>
  <c r="BE36" i="17"/>
  <c r="BF36" i="17"/>
  <c r="BG36" i="17"/>
  <c r="BH36" i="17"/>
  <c r="BI36" i="17"/>
  <c r="BJ36" i="17"/>
  <c r="BK36" i="17"/>
  <c r="BL36" i="17"/>
  <c r="BM36" i="17"/>
  <c r="BN36" i="17"/>
  <c r="BO36" i="17"/>
  <c r="BP36" i="17"/>
  <c r="BQ36" i="17"/>
  <c r="BR36" i="17"/>
  <c r="BS36" i="17"/>
  <c r="BT36" i="17"/>
  <c r="BU36" i="17"/>
  <c r="BV36" i="17"/>
  <c r="BW36" i="17"/>
  <c r="BX36" i="17"/>
  <c r="BY36" i="17"/>
  <c r="BZ36" i="17"/>
  <c r="CA36" i="17"/>
  <c r="CB36" i="17"/>
  <c r="CC36" i="17"/>
  <c r="CD36" i="17"/>
  <c r="CE36" i="17"/>
  <c r="CF36" i="17"/>
  <c r="CG36" i="17"/>
  <c r="CH36" i="17"/>
  <c r="CI36" i="17"/>
  <c r="CJ36" i="17"/>
  <c r="CK36" i="17"/>
  <c r="CL36" i="17"/>
  <c r="CM36" i="17"/>
  <c r="CN36" i="17"/>
  <c r="CO36" i="17"/>
  <c r="CP36" i="17"/>
  <c r="CQ36" i="17"/>
  <c r="CR36" i="17"/>
  <c r="CS36" i="17"/>
  <c r="CT36" i="17"/>
  <c r="CU36" i="17"/>
  <c r="CV36" i="17"/>
  <c r="CW36" i="17"/>
  <c r="CX36" i="17"/>
  <c r="CY36" i="17"/>
  <c r="CZ36" i="17"/>
  <c r="DA36" i="17"/>
  <c r="DB36" i="17"/>
  <c r="DC36" i="17"/>
  <c r="DD36" i="17"/>
  <c r="DE36" i="17"/>
  <c r="DF36" i="17"/>
  <c r="DG36" i="17"/>
  <c r="DH36" i="17"/>
  <c r="DI36" i="17"/>
  <c r="DJ36" i="17"/>
  <c r="DK36" i="17"/>
  <c r="DL36" i="17"/>
  <c r="DM36" i="17"/>
  <c r="DN36" i="17"/>
  <c r="DO36" i="17"/>
  <c r="DP36" i="17"/>
  <c r="DQ36" i="17"/>
  <c r="DR36" i="17"/>
  <c r="DS36" i="17"/>
  <c r="DT36" i="17"/>
  <c r="DU36" i="17"/>
  <c r="DV36" i="17"/>
  <c r="DW36" i="17"/>
  <c r="DX36" i="17"/>
  <c r="DY36" i="17"/>
  <c r="DZ36" i="17"/>
  <c r="EA36" i="17"/>
  <c r="EB36" i="17"/>
  <c r="EC36" i="17"/>
  <c r="ED36" i="17"/>
  <c r="EE36" i="17"/>
  <c r="EF36" i="17"/>
  <c r="EG36" i="17"/>
  <c r="EH36" i="17"/>
  <c r="EI36" i="17"/>
  <c r="EJ36" i="17"/>
  <c r="EK36" i="17"/>
  <c r="EL36" i="17"/>
  <c r="EM36" i="17"/>
  <c r="EN36" i="17"/>
  <c r="EO36" i="17"/>
  <c r="EP36" i="17"/>
  <c r="EQ36" i="17"/>
  <c r="ER36" i="17"/>
  <c r="ES36" i="17"/>
  <c r="ET36" i="17"/>
  <c r="EU36" i="17"/>
  <c r="EV36" i="17"/>
  <c r="EW36" i="17"/>
  <c r="EX36" i="17"/>
  <c r="EY36" i="17"/>
  <c r="EZ36" i="17"/>
  <c r="FA36" i="17"/>
  <c r="FB36" i="17"/>
  <c r="FC36" i="17"/>
  <c r="FD36" i="17"/>
  <c r="FE36" i="17"/>
  <c r="FF36" i="17"/>
  <c r="FG36" i="17"/>
  <c r="FH36" i="17"/>
  <c r="FI36" i="17"/>
  <c r="FJ36" i="17"/>
  <c r="FK36" i="17"/>
  <c r="FL36" i="17"/>
  <c r="FM36" i="17"/>
  <c r="FN36" i="17"/>
  <c r="FO36" i="17"/>
  <c r="FP36" i="17"/>
  <c r="FQ36" i="17"/>
  <c r="FR36" i="17"/>
  <c r="FS36" i="17"/>
  <c r="FT36" i="17"/>
  <c r="FU36" i="17"/>
  <c r="FV36" i="17"/>
  <c r="FW36" i="17"/>
  <c r="FX36" i="17"/>
  <c r="FY36" i="17"/>
  <c r="FZ36" i="17"/>
  <c r="GA36" i="17"/>
  <c r="GB36" i="17"/>
  <c r="GC36" i="17"/>
  <c r="GD36" i="17"/>
  <c r="GE36" i="17"/>
  <c r="GF36" i="17"/>
  <c r="GG36" i="17"/>
  <c r="GH36" i="17"/>
  <c r="GI36" i="17"/>
  <c r="GJ36" i="17"/>
  <c r="GK36" i="17"/>
  <c r="GL36" i="17"/>
  <c r="GM36" i="17"/>
  <c r="GN36" i="17"/>
  <c r="GO36" i="17"/>
  <c r="GP36" i="17"/>
  <c r="GQ36" i="17"/>
  <c r="GR36" i="17"/>
  <c r="GS36" i="17"/>
  <c r="GT36" i="17"/>
  <c r="GU36" i="17"/>
  <c r="GV36" i="17"/>
  <c r="GW36" i="17"/>
  <c r="GX36" i="17"/>
  <c r="GY36" i="17"/>
  <c r="GZ36" i="17"/>
  <c r="HA36" i="17"/>
  <c r="HB36" i="17"/>
  <c r="HC36" i="17"/>
  <c r="HD36" i="17"/>
  <c r="HE36" i="17"/>
  <c r="HF36" i="17"/>
  <c r="HG36" i="17"/>
  <c r="HH36" i="17"/>
  <c r="HI36" i="17"/>
  <c r="HJ36" i="17"/>
  <c r="HK36" i="17"/>
  <c r="HL36" i="17"/>
  <c r="HM36" i="17"/>
  <c r="HN36" i="17"/>
  <c r="HO36" i="17"/>
  <c r="HP36" i="17"/>
  <c r="HQ36" i="17"/>
  <c r="HR36" i="17"/>
  <c r="HS36" i="17"/>
  <c r="HT36" i="17"/>
  <c r="HU36" i="17"/>
  <c r="HV36" i="17"/>
  <c r="HW36" i="17"/>
  <c r="HX36" i="17"/>
  <c r="HY36" i="17"/>
  <c r="HZ36" i="17"/>
  <c r="IA36" i="17"/>
  <c r="IB36" i="17"/>
  <c r="IC36" i="17"/>
  <c r="ID36" i="17"/>
  <c r="IE36" i="17"/>
  <c r="IF36" i="17"/>
  <c r="IG36" i="17"/>
  <c r="IH36" i="17"/>
  <c r="II36" i="17"/>
  <c r="IJ36" i="17"/>
  <c r="IK36" i="17"/>
  <c r="IL36" i="17"/>
  <c r="IM36" i="17"/>
  <c r="IN36" i="17"/>
  <c r="IO36" i="17"/>
  <c r="IP36" i="17"/>
  <c r="IQ36" i="17"/>
  <c r="IR36" i="17"/>
  <c r="IS36" i="17"/>
  <c r="IT36" i="17"/>
  <c r="IU36" i="17"/>
  <c r="IV36" i="17"/>
  <c r="A35" i="17"/>
  <c r="B35" i="17"/>
  <c r="C35" i="17"/>
  <c r="D35" i="17"/>
  <c r="E35" i="17"/>
  <c r="F35" i="17"/>
  <c r="G35" i="17"/>
  <c r="H35" i="17"/>
  <c r="I35" i="17"/>
  <c r="J35" i="17"/>
  <c r="K35" i="17"/>
  <c r="L35" i="17"/>
  <c r="M35" i="17"/>
  <c r="N35" i="17"/>
  <c r="O35" i="17"/>
  <c r="P35" i="17"/>
  <c r="Q35" i="17"/>
  <c r="R35" i="17"/>
  <c r="S35" i="17"/>
  <c r="T35" i="17"/>
  <c r="U35" i="17"/>
  <c r="V35" i="17"/>
  <c r="W35" i="17"/>
  <c r="X35" i="17"/>
  <c r="Y35" i="17"/>
  <c r="Z35" i="17"/>
  <c r="AA35" i="17"/>
  <c r="AB35" i="17"/>
  <c r="AC35" i="17"/>
  <c r="AD35" i="17"/>
  <c r="AE35" i="17"/>
  <c r="AF35" i="17"/>
  <c r="AG35" i="17"/>
  <c r="AH35" i="17"/>
  <c r="AI35" i="17"/>
  <c r="AJ35" i="17"/>
  <c r="AK35" i="17"/>
  <c r="AL35" i="17"/>
  <c r="AM35" i="17"/>
  <c r="AN35" i="17"/>
  <c r="AO35" i="17"/>
  <c r="AP35" i="17"/>
  <c r="AQ35" i="17"/>
  <c r="AR35" i="17"/>
  <c r="AS35" i="17"/>
  <c r="AT35" i="17"/>
  <c r="AU35" i="17"/>
  <c r="AV35" i="17"/>
  <c r="AW35" i="17"/>
  <c r="AX35" i="17"/>
  <c r="AY35" i="17"/>
  <c r="AZ35" i="17"/>
  <c r="BA35" i="17"/>
  <c r="BB35" i="17"/>
  <c r="BC35" i="17"/>
  <c r="BD35" i="17"/>
  <c r="BE35" i="17"/>
  <c r="BF35" i="17"/>
  <c r="BG35" i="17"/>
  <c r="BH35" i="17"/>
  <c r="BI35" i="17"/>
  <c r="BJ35" i="17"/>
  <c r="BK35" i="17"/>
  <c r="BL35" i="17"/>
  <c r="BM35" i="17"/>
  <c r="BN35" i="17"/>
  <c r="BO35" i="17"/>
  <c r="BP35" i="17"/>
  <c r="BQ35" i="17"/>
  <c r="BR35" i="17"/>
  <c r="BS35" i="17"/>
  <c r="BT35" i="17"/>
  <c r="BU35" i="17"/>
  <c r="BV35" i="17"/>
  <c r="BW35" i="17"/>
  <c r="BX35" i="17"/>
  <c r="BY35" i="17"/>
  <c r="BZ35" i="17"/>
  <c r="CA35" i="17"/>
  <c r="CB35" i="17"/>
  <c r="CC35" i="17"/>
  <c r="CD35" i="17"/>
  <c r="CE35" i="17"/>
  <c r="CF35" i="17"/>
  <c r="CG35" i="17"/>
  <c r="CH35" i="17"/>
  <c r="CI35" i="17"/>
  <c r="CJ35" i="17"/>
  <c r="CK35" i="17"/>
  <c r="CL35" i="17"/>
  <c r="CM35" i="17"/>
  <c r="CN35" i="17"/>
  <c r="CO35" i="17"/>
  <c r="CP35" i="17"/>
  <c r="CQ35" i="17"/>
  <c r="CR35" i="17"/>
  <c r="CS35" i="17"/>
  <c r="CT35" i="17"/>
  <c r="CU35" i="17"/>
  <c r="CV35" i="17"/>
  <c r="CW35" i="17"/>
  <c r="CX35" i="17"/>
  <c r="CY35" i="17"/>
  <c r="CZ35" i="17"/>
  <c r="DA35" i="17"/>
  <c r="DB35" i="17"/>
  <c r="DC35" i="17"/>
  <c r="DD35" i="17"/>
  <c r="DE35" i="17"/>
  <c r="DF35" i="17"/>
  <c r="DG35" i="17"/>
  <c r="DH35" i="17"/>
  <c r="DI35" i="17"/>
  <c r="DJ35" i="17"/>
  <c r="DK35" i="17"/>
  <c r="DL35" i="17"/>
  <c r="DM35" i="17"/>
  <c r="DN35" i="17"/>
  <c r="DO35" i="17"/>
  <c r="DP35" i="17"/>
  <c r="DQ35" i="17"/>
  <c r="DR35" i="17"/>
  <c r="DS35" i="17"/>
  <c r="DT35" i="17"/>
  <c r="DU35" i="17"/>
  <c r="DV35" i="17"/>
  <c r="DW35" i="17"/>
  <c r="DX35" i="17"/>
  <c r="DY35" i="17"/>
  <c r="DZ35" i="17"/>
  <c r="EA35" i="17"/>
  <c r="EB35" i="17"/>
  <c r="EC35" i="17"/>
  <c r="ED35" i="17"/>
  <c r="EE35" i="17"/>
  <c r="EF35" i="17"/>
  <c r="EG35" i="17"/>
  <c r="EH35" i="17"/>
  <c r="EI35" i="17"/>
  <c r="EJ35" i="17"/>
  <c r="EK35" i="17"/>
  <c r="EL35" i="17"/>
  <c r="EM35" i="17"/>
  <c r="EN35" i="17"/>
  <c r="EO35" i="17"/>
  <c r="EP35" i="17"/>
  <c r="EQ35" i="17"/>
  <c r="ER35" i="17"/>
  <c r="ES35" i="17"/>
  <c r="ET35" i="17"/>
  <c r="EU35" i="17"/>
  <c r="EV35" i="17"/>
  <c r="EW35" i="17"/>
  <c r="EX35" i="17"/>
  <c r="EY35" i="17"/>
  <c r="EZ35" i="17"/>
  <c r="FA35" i="17"/>
  <c r="FB35" i="17"/>
  <c r="FC35" i="17"/>
  <c r="FD35" i="17"/>
  <c r="FE35" i="17"/>
  <c r="FF35" i="17"/>
  <c r="FG35" i="17"/>
  <c r="FH35" i="17"/>
  <c r="FI35" i="17"/>
  <c r="FJ35" i="17"/>
  <c r="FK35" i="17"/>
  <c r="FL35" i="17"/>
  <c r="FM35" i="17"/>
  <c r="FN35" i="17"/>
  <c r="FO35" i="17"/>
  <c r="FP35" i="17"/>
  <c r="FQ35" i="17"/>
  <c r="FR35" i="17"/>
  <c r="FS35" i="17"/>
  <c r="FT35" i="17"/>
  <c r="FU35" i="17"/>
  <c r="FV35" i="17"/>
  <c r="FW35" i="17"/>
  <c r="FX35" i="17"/>
  <c r="FY35" i="17"/>
  <c r="FZ35" i="17"/>
  <c r="GA35" i="17"/>
  <c r="GB35" i="17"/>
  <c r="GC35" i="17"/>
  <c r="GD35" i="17"/>
  <c r="GE35" i="17"/>
  <c r="GF35" i="17"/>
  <c r="GG35" i="17"/>
  <c r="GH35" i="17"/>
  <c r="GI35" i="17"/>
  <c r="GJ35" i="17"/>
  <c r="GK35" i="17"/>
  <c r="GL35" i="17"/>
  <c r="GM35" i="17"/>
  <c r="GN35" i="17"/>
  <c r="GO35" i="17"/>
  <c r="GP35" i="17"/>
  <c r="GQ35" i="17"/>
  <c r="GR35" i="17"/>
  <c r="GS35" i="17"/>
  <c r="GT35" i="17"/>
  <c r="GU35" i="17"/>
  <c r="GV35" i="17"/>
  <c r="GW35" i="17"/>
  <c r="GX35" i="17"/>
  <c r="GY35" i="17"/>
  <c r="GZ35" i="17"/>
  <c r="HA35" i="17"/>
  <c r="HB35" i="17"/>
  <c r="HC35" i="17"/>
  <c r="HD35" i="17"/>
  <c r="HE35" i="17"/>
  <c r="HF35" i="17"/>
  <c r="HG35" i="17"/>
  <c r="HH35" i="17"/>
  <c r="HI35" i="17"/>
  <c r="HJ35" i="17"/>
  <c r="HK35" i="17"/>
  <c r="HL35" i="17"/>
  <c r="HM35" i="17"/>
  <c r="HN35" i="17"/>
  <c r="HO35" i="17"/>
  <c r="HP35" i="17"/>
  <c r="HQ35" i="17"/>
  <c r="HR35" i="17"/>
  <c r="HS35" i="17"/>
  <c r="HT35" i="17"/>
  <c r="HU35" i="17"/>
  <c r="HV35" i="17"/>
  <c r="HW35" i="17"/>
  <c r="HX35" i="17"/>
  <c r="HY35" i="17"/>
  <c r="HZ35" i="17"/>
  <c r="IA35" i="17"/>
  <c r="IB35" i="17"/>
  <c r="IC35" i="17"/>
  <c r="ID35" i="17"/>
  <c r="IE35" i="17"/>
  <c r="IF35" i="17"/>
  <c r="IG35" i="17"/>
  <c r="IH35" i="17"/>
  <c r="II35" i="17"/>
  <c r="IJ35" i="17"/>
  <c r="IK35" i="17"/>
  <c r="IL35" i="17"/>
  <c r="IM35" i="17"/>
  <c r="IN35" i="17"/>
  <c r="IO35" i="17"/>
  <c r="IP35" i="17"/>
  <c r="IQ35" i="17"/>
  <c r="IR35" i="17"/>
  <c r="IS35" i="17"/>
  <c r="IT35" i="17"/>
  <c r="IU35" i="17"/>
  <c r="IV35" i="17"/>
  <c r="A34" i="17"/>
  <c r="B34" i="17"/>
  <c r="C34" i="17"/>
  <c r="D34" i="17"/>
  <c r="E34" i="17"/>
  <c r="F34" i="17"/>
  <c r="G34" i="17"/>
  <c r="H34" i="17"/>
  <c r="I34" i="17"/>
  <c r="J34" i="17"/>
  <c r="K34" i="17"/>
  <c r="L34" i="17"/>
  <c r="M34" i="17"/>
  <c r="N34" i="17"/>
  <c r="O34" i="17"/>
  <c r="P34" i="17"/>
  <c r="Q34" i="17"/>
  <c r="R34" i="17"/>
  <c r="S34" i="17"/>
  <c r="T34" i="17"/>
  <c r="U34" i="17"/>
  <c r="V34" i="17"/>
  <c r="W34" i="17"/>
  <c r="X34" i="17"/>
  <c r="Y34" i="17"/>
  <c r="Z34" i="17"/>
  <c r="AA34" i="17"/>
  <c r="AB34" i="17"/>
  <c r="AC34" i="17"/>
  <c r="AD34" i="17"/>
  <c r="AE34" i="17"/>
  <c r="AF34" i="17"/>
  <c r="AG34" i="17"/>
  <c r="AH34" i="17"/>
  <c r="AI34" i="17"/>
  <c r="AJ34" i="17"/>
  <c r="AK34" i="17"/>
  <c r="AL34" i="17"/>
  <c r="AM34" i="17"/>
  <c r="AN34" i="17"/>
  <c r="AO34" i="17"/>
  <c r="AP34" i="17"/>
  <c r="AQ34" i="17"/>
  <c r="AR34" i="17"/>
  <c r="AS34" i="17"/>
  <c r="AT34" i="17"/>
  <c r="AU34" i="17"/>
  <c r="AV34" i="17"/>
  <c r="AW34" i="17"/>
  <c r="AX34" i="17"/>
  <c r="AY34" i="17"/>
  <c r="AZ34" i="17"/>
  <c r="BA34" i="17"/>
  <c r="BB34" i="17"/>
  <c r="BC34" i="17"/>
  <c r="BD34" i="17"/>
  <c r="BE34" i="17"/>
  <c r="BF34" i="17"/>
  <c r="BG34" i="17"/>
  <c r="BH34" i="17"/>
  <c r="BI34" i="17"/>
  <c r="BJ34" i="17"/>
  <c r="BK34" i="17"/>
  <c r="BL34" i="17"/>
  <c r="BM34" i="17"/>
  <c r="BN34" i="17"/>
  <c r="BO34" i="17"/>
  <c r="BP34" i="17"/>
  <c r="BQ34" i="17"/>
  <c r="BR34" i="17"/>
  <c r="BS34" i="17"/>
  <c r="BT34" i="17"/>
  <c r="BU34" i="17"/>
  <c r="BV34" i="17"/>
  <c r="BW34" i="17"/>
  <c r="BX34" i="17"/>
  <c r="BY34" i="17"/>
  <c r="BZ34" i="17"/>
  <c r="CA34" i="17"/>
  <c r="CB34" i="17"/>
  <c r="CC34" i="17"/>
  <c r="CD34" i="17"/>
  <c r="CE34" i="17"/>
  <c r="CF34" i="17"/>
  <c r="CG34" i="17"/>
  <c r="CH34" i="17"/>
  <c r="CI34" i="17"/>
  <c r="CJ34" i="17"/>
  <c r="CK34" i="17"/>
  <c r="CL34" i="17"/>
  <c r="CM34" i="17"/>
  <c r="CN34" i="17"/>
  <c r="CO34" i="17"/>
  <c r="CP34" i="17"/>
  <c r="CQ34" i="17"/>
  <c r="CR34" i="17"/>
  <c r="CS34" i="17"/>
  <c r="CT34" i="17"/>
  <c r="CU34" i="17"/>
  <c r="CV34" i="17"/>
  <c r="CW34" i="17"/>
  <c r="CX34" i="17"/>
  <c r="CY34" i="17"/>
  <c r="CZ34" i="17"/>
  <c r="DA34" i="17"/>
  <c r="DB34" i="17"/>
  <c r="DC34" i="17"/>
  <c r="DD34" i="17"/>
  <c r="DE34" i="17"/>
  <c r="DF34" i="17"/>
  <c r="DG34" i="17"/>
  <c r="DH34" i="17"/>
  <c r="DI34" i="17"/>
  <c r="DJ34" i="17"/>
  <c r="DK34" i="17"/>
  <c r="DL34" i="17"/>
  <c r="DM34" i="17"/>
  <c r="DN34" i="17"/>
  <c r="DO34" i="17"/>
  <c r="DP34" i="17"/>
  <c r="DQ34" i="17"/>
  <c r="DR34" i="17"/>
  <c r="DS34" i="17"/>
  <c r="DT34" i="17"/>
  <c r="DU34" i="17"/>
  <c r="DV34" i="17"/>
  <c r="DW34" i="17"/>
  <c r="DX34" i="17"/>
  <c r="DY34" i="17"/>
  <c r="DZ34" i="17"/>
  <c r="EA34" i="17"/>
  <c r="EB34" i="17"/>
  <c r="EC34" i="17"/>
  <c r="ED34" i="17"/>
  <c r="EE34" i="17"/>
  <c r="EF34" i="17"/>
  <c r="EG34" i="17"/>
  <c r="EH34" i="17"/>
  <c r="EI34" i="17"/>
  <c r="EJ34" i="17"/>
  <c r="EK34" i="17"/>
  <c r="EL34" i="17"/>
  <c r="EM34" i="17"/>
  <c r="EN34" i="17"/>
  <c r="EO34" i="17"/>
  <c r="EP34" i="17"/>
  <c r="EQ34" i="17"/>
  <c r="ER34" i="17"/>
  <c r="ES34" i="17"/>
  <c r="ET34" i="17"/>
  <c r="EU34" i="17"/>
  <c r="EV34" i="17"/>
  <c r="EW34" i="17"/>
  <c r="EX34" i="17"/>
  <c r="EY34" i="17"/>
  <c r="EZ34" i="17"/>
  <c r="FA34" i="17"/>
  <c r="FB34" i="17"/>
  <c r="FC34" i="17"/>
  <c r="FD34" i="17"/>
  <c r="FE34" i="17"/>
  <c r="FF34" i="17"/>
  <c r="FG34" i="17"/>
  <c r="FH34" i="17"/>
  <c r="FI34" i="17"/>
  <c r="FJ34" i="17"/>
  <c r="FK34" i="17"/>
  <c r="FL34" i="17"/>
  <c r="FM34" i="17"/>
  <c r="FN34" i="17"/>
  <c r="FO34" i="17"/>
  <c r="FP34" i="17"/>
  <c r="FQ34" i="17"/>
  <c r="FR34" i="17"/>
  <c r="FS34" i="17"/>
  <c r="FT34" i="17"/>
  <c r="FU34" i="17"/>
  <c r="FV34" i="17"/>
  <c r="FW34" i="17"/>
  <c r="FX34" i="17"/>
  <c r="FY34" i="17"/>
  <c r="FZ34" i="17"/>
  <c r="GA34" i="17"/>
  <c r="GB34" i="17"/>
  <c r="GC34" i="17"/>
  <c r="GD34" i="17"/>
  <c r="GE34" i="17"/>
  <c r="GF34" i="17"/>
  <c r="GG34" i="17"/>
  <c r="GH34" i="17"/>
  <c r="GI34" i="17"/>
  <c r="GJ34" i="17"/>
  <c r="GK34" i="17"/>
  <c r="GL34" i="17"/>
  <c r="GM34" i="17"/>
  <c r="GN34" i="17"/>
  <c r="GO34" i="17"/>
  <c r="GP34" i="17"/>
  <c r="GQ34" i="17"/>
  <c r="GR34" i="17"/>
  <c r="GS34" i="17"/>
  <c r="GT34" i="17"/>
  <c r="GU34" i="17"/>
  <c r="GV34" i="17"/>
  <c r="GW34" i="17"/>
  <c r="GX34" i="17"/>
  <c r="GY34" i="17"/>
  <c r="GZ34" i="17"/>
  <c r="HA34" i="17"/>
  <c r="HB34" i="17"/>
  <c r="HC34" i="17"/>
  <c r="HD34" i="17"/>
  <c r="HE34" i="17"/>
  <c r="HF34" i="17"/>
  <c r="HG34" i="17"/>
  <c r="HH34" i="17"/>
  <c r="HI34" i="17"/>
  <c r="HJ34" i="17"/>
  <c r="HK34" i="17"/>
  <c r="HL34" i="17"/>
  <c r="HM34" i="17"/>
  <c r="HN34" i="17"/>
  <c r="HO34" i="17"/>
  <c r="HP34" i="17"/>
  <c r="HQ34" i="17"/>
  <c r="HR34" i="17"/>
  <c r="HS34" i="17"/>
  <c r="HT34" i="17"/>
  <c r="HU34" i="17"/>
  <c r="HV34" i="17"/>
  <c r="HW34" i="17"/>
  <c r="HX34" i="17"/>
  <c r="HY34" i="17"/>
  <c r="HZ34" i="17"/>
  <c r="IA34" i="17"/>
  <c r="IB34" i="17"/>
  <c r="IC34" i="17"/>
  <c r="ID34" i="17"/>
  <c r="IE34" i="17"/>
  <c r="IF34" i="17"/>
  <c r="IG34" i="17"/>
  <c r="IH34" i="17"/>
  <c r="II34" i="17"/>
  <c r="IJ34" i="17"/>
  <c r="IK34" i="17"/>
  <c r="IL34" i="17"/>
  <c r="IM34" i="17"/>
  <c r="IN34" i="17"/>
  <c r="IO34" i="17"/>
  <c r="IP34" i="17"/>
  <c r="IQ34" i="17"/>
  <c r="IR34" i="17"/>
  <c r="IS34" i="17"/>
  <c r="IT34" i="17"/>
  <c r="IU34" i="17"/>
  <c r="IV34" i="17"/>
  <c r="A33" i="17"/>
  <c r="B33" i="17"/>
  <c r="C33" i="17"/>
  <c r="D33" i="17"/>
  <c r="E33" i="17"/>
  <c r="F33" i="17"/>
  <c r="G33" i="17"/>
  <c r="H33" i="17"/>
  <c r="I33" i="17"/>
  <c r="J33" i="17"/>
  <c r="K33" i="17"/>
  <c r="L33" i="17"/>
  <c r="M33" i="17"/>
  <c r="N33" i="17"/>
  <c r="O33" i="17"/>
  <c r="P33" i="17"/>
  <c r="Q33" i="17"/>
  <c r="R33" i="17"/>
  <c r="S33" i="17"/>
  <c r="T33" i="17"/>
  <c r="U33" i="17"/>
  <c r="V33" i="17"/>
  <c r="W33" i="17"/>
  <c r="X33" i="17"/>
  <c r="Y33" i="17"/>
  <c r="Z33" i="17"/>
  <c r="AA33" i="17"/>
  <c r="AB33" i="17"/>
  <c r="AC33" i="17"/>
  <c r="AD33" i="17"/>
  <c r="AE33" i="17"/>
  <c r="AF33" i="17"/>
  <c r="AG33" i="17"/>
  <c r="AH33" i="17"/>
  <c r="AI33" i="17"/>
  <c r="AJ33" i="17"/>
  <c r="AK33" i="17"/>
  <c r="AM33" i="17"/>
  <c r="AN33" i="17"/>
  <c r="AO33" i="17"/>
  <c r="AP33" i="17"/>
  <c r="AQ33" i="17"/>
  <c r="AR33" i="17"/>
  <c r="AS33" i="17"/>
  <c r="AT33" i="17"/>
  <c r="AU33" i="17"/>
  <c r="AV33" i="17"/>
  <c r="AW33" i="17"/>
  <c r="AX33" i="17"/>
  <c r="AY33" i="17"/>
  <c r="AZ33" i="17"/>
  <c r="BA33" i="17"/>
  <c r="BB33" i="17"/>
  <c r="BC33" i="17"/>
  <c r="BD33" i="17"/>
  <c r="BE33" i="17"/>
  <c r="BF33" i="17"/>
  <c r="BG33" i="17"/>
  <c r="BH33" i="17"/>
  <c r="BI33" i="17"/>
  <c r="BJ33" i="17"/>
  <c r="BK33" i="17"/>
  <c r="BL33" i="17"/>
  <c r="BM33" i="17"/>
  <c r="BN33" i="17"/>
  <c r="BO33" i="17"/>
  <c r="BP33" i="17"/>
  <c r="BQ33" i="17"/>
  <c r="BR33" i="17"/>
  <c r="BS33" i="17"/>
  <c r="BT33" i="17"/>
  <c r="BU33" i="17"/>
  <c r="BV33" i="17"/>
  <c r="BW33" i="17"/>
  <c r="BX33" i="17"/>
  <c r="BY33" i="17"/>
  <c r="BZ33" i="17"/>
  <c r="CA33" i="17"/>
  <c r="CB33" i="17"/>
  <c r="CC33" i="17"/>
  <c r="CD33" i="17"/>
  <c r="CE33" i="17"/>
  <c r="CF33" i="17"/>
  <c r="CG33" i="17"/>
  <c r="CH33" i="17"/>
  <c r="CI33" i="17"/>
  <c r="CJ33" i="17"/>
  <c r="CK33" i="17"/>
  <c r="CL33" i="17"/>
  <c r="CM33" i="17"/>
  <c r="CN33" i="17"/>
  <c r="CO33" i="17"/>
  <c r="CP33" i="17"/>
  <c r="CQ33" i="17"/>
  <c r="CR33" i="17"/>
  <c r="CS33" i="17"/>
  <c r="CT33" i="17"/>
  <c r="CU33" i="17"/>
  <c r="CV33" i="17"/>
  <c r="CW33" i="17"/>
  <c r="CX33" i="17"/>
  <c r="CY33" i="17"/>
  <c r="CZ33" i="17"/>
  <c r="DA33" i="17"/>
  <c r="DB33" i="17"/>
  <c r="DC33" i="17"/>
  <c r="DD33" i="17"/>
  <c r="DE33" i="17"/>
  <c r="DF33" i="17"/>
  <c r="DG33" i="17"/>
  <c r="DH33" i="17"/>
  <c r="DI33" i="17"/>
  <c r="DJ33" i="17"/>
  <c r="DK33" i="17"/>
  <c r="DL33" i="17"/>
  <c r="DM33" i="17"/>
  <c r="DN33" i="17"/>
  <c r="DO33" i="17"/>
  <c r="DP33" i="17"/>
  <c r="DQ33" i="17"/>
  <c r="DR33" i="17"/>
  <c r="DS33" i="17"/>
  <c r="DT33" i="17"/>
  <c r="DU33" i="17"/>
  <c r="DV33" i="17"/>
  <c r="DW33" i="17"/>
  <c r="DX33" i="17"/>
  <c r="DY33" i="17"/>
  <c r="DZ33" i="17"/>
  <c r="EA33" i="17"/>
  <c r="EB33" i="17"/>
  <c r="EC33" i="17"/>
  <c r="ED33" i="17"/>
  <c r="EE33" i="17"/>
  <c r="EF33" i="17"/>
  <c r="EG33" i="17"/>
  <c r="EH33" i="17"/>
  <c r="EI33" i="17"/>
  <c r="EJ33" i="17"/>
  <c r="EK33" i="17"/>
  <c r="EL33" i="17"/>
  <c r="EM33" i="17"/>
  <c r="EN33" i="17"/>
  <c r="EO33" i="17"/>
  <c r="EP33" i="17"/>
  <c r="EQ33" i="17"/>
  <c r="ER33" i="17"/>
  <c r="ES33" i="17"/>
  <c r="ET33" i="17"/>
  <c r="EU33" i="17"/>
  <c r="EV33" i="17"/>
  <c r="EW33" i="17"/>
  <c r="EX33" i="17"/>
  <c r="EY33" i="17"/>
  <c r="EZ33" i="17"/>
  <c r="FA33" i="17"/>
  <c r="FB33" i="17"/>
  <c r="FC33" i="17"/>
  <c r="FD33" i="17"/>
  <c r="FE33" i="17"/>
  <c r="FF33" i="17"/>
  <c r="FG33" i="17"/>
  <c r="FH33" i="17"/>
  <c r="FI33" i="17"/>
  <c r="FJ33" i="17"/>
  <c r="FK33" i="17"/>
  <c r="FL33" i="17"/>
  <c r="FM33" i="17"/>
  <c r="FN33" i="17"/>
  <c r="FO33" i="17"/>
  <c r="FP33" i="17"/>
  <c r="FQ33" i="17"/>
  <c r="FR33" i="17"/>
  <c r="FS33" i="17"/>
  <c r="FT33" i="17"/>
  <c r="FU33" i="17"/>
  <c r="FV33" i="17"/>
  <c r="FW33" i="17"/>
  <c r="FX33" i="17"/>
  <c r="FY33" i="17"/>
  <c r="FZ33" i="17"/>
  <c r="GA33" i="17"/>
  <c r="GB33" i="17"/>
  <c r="GC33" i="17"/>
  <c r="GD33" i="17"/>
  <c r="GE33" i="17"/>
  <c r="GF33" i="17"/>
  <c r="GG33" i="17"/>
  <c r="GH33" i="17"/>
  <c r="GI33" i="17"/>
  <c r="GJ33" i="17"/>
  <c r="GK33" i="17"/>
  <c r="GL33" i="17"/>
  <c r="GM33" i="17"/>
  <c r="GN33" i="17"/>
  <c r="GO33" i="17"/>
  <c r="GP33" i="17"/>
  <c r="GQ33" i="17"/>
  <c r="GR33" i="17"/>
  <c r="GS33" i="17"/>
  <c r="GT33" i="17"/>
  <c r="GU33" i="17"/>
  <c r="GV33" i="17"/>
  <c r="GW33" i="17"/>
  <c r="GX33" i="17"/>
  <c r="GY33" i="17"/>
  <c r="GZ33" i="17"/>
  <c r="HA33" i="17"/>
  <c r="HB33" i="17"/>
  <c r="HC33" i="17"/>
  <c r="HD33" i="17"/>
  <c r="HE33" i="17"/>
  <c r="HF33" i="17"/>
  <c r="HG33" i="17"/>
  <c r="HH33" i="17"/>
  <c r="HI33" i="17"/>
  <c r="HJ33" i="17"/>
  <c r="HK33" i="17"/>
  <c r="HL33" i="17"/>
  <c r="HM33" i="17"/>
  <c r="HN33" i="17"/>
  <c r="HO33" i="17"/>
  <c r="HP33" i="17"/>
  <c r="HQ33" i="17"/>
  <c r="HR33" i="17"/>
  <c r="HS33" i="17"/>
  <c r="HT33" i="17"/>
  <c r="HU33" i="17"/>
  <c r="HV33" i="17"/>
  <c r="HW33" i="17"/>
  <c r="HX33" i="17"/>
  <c r="HY33" i="17"/>
  <c r="HZ33" i="17"/>
  <c r="IA33" i="17"/>
  <c r="IB33" i="17"/>
  <c r="IC33" i="17"/>
  <c r="ID33" i="17"/>
  <c r="IE33" i="17"/>
  <c r="IF33" i="17"/>
  <c r="IG33" i="17"/>
  <c r="IH33" i="17"/>
  <c r="II33" i="17"/>
  <c r="IJ33" i="17"/>
  <c r="IK33" i="17"/>
  <c r="IL33" i="17"/>
  <c r="IM33" i="17"/>
  <c r="IN33" i="17"/>
  <c r="IO33" i="17"/>
  <c r="IP33" i="17"/>
  <c r="IQ33" i="17"/>
  <c r="IR33" i="17"/>
  <c r="IS33" i="17"/>
  <c r="IT33" i="17"/>
  <c r="IU33" i="17"/>
  <c r="IV33" i="17"/>
  <c r="A32" i="17"/>
  <c r="B32" i="17"/>
  <c r="C32" i="17"/>
  <c r="D32" i="17"/>
  <c r="E32" i="17"/>
  <c r="F32" i="17"/>
  <c r="G32" i="17"/>
  <c r="H32" i="17"/>
  <c r="I32" i="17"/>
  <c r="J32" i="17"/>
  <c r="K32" i="17"/>
  <c r="L32" i="17"/>
  <c r="M32" i="17"/>
  <c r="N32" i="17"/>
  <c r="O32" i="17"/>
  <c r="P32" i="17"/>
  <c r="Q32" i="17"/>
  <c r="R32" i="17"/>
  <c r="S32" i="17"/>
  <c r="T32" i="17"/>
  <c r="V32" i="17"/>
  <c r="W32" i="17"/>
  <c r="X32" i="17"/>
  <c r="Y32" i="17"/>
  <c r="Z32" i="17"/>
  <c r="AA32" i="17"/>
  <c r="AB32" i="17"/>
  <c r="AC32" i="17"/>
  <c r="AD32" i="17"/>
  <c r="AE32" i="17"/>
  <c r="AF32" i="17"/>
  <c r="AG32" i="17"/>
  <c r="AH32" i="17"/>
  <c r="AI32" i="17"/>
  <c r="AJ32" i="17"/>
  <c r="AK32" i="17"/>
  <c r="AL32" i="17"/>
  <c r="AM32" i="17"/>
  <c r="AN32" i="17"/>
  <c r="AO32" i="17"/>
  <c r="AP32" i="17"/>
  <c r="AQ32" i="17"/>
  <c r="AR32" i="17"/>
  <c r="AS32" i="17"/>
  <c r="AT32" i="17"/>
  <c r="AU32" i="17"/>
  <c r="AV32" i="17"/>
  <c r="AW32" i="17"/>
  <c r="AX32" i="17"/>
  <c r="AY32" i="17"/>
  <c r="AZ32" i="17"/>
  <c r="BA32" i="17"/>
  <c r="BB32" i="17"/>
  <c r="BC32" i="17"/>
  <c r="BD32" i="17"/>
  <c r="BE32" i="17"/>
  <c r="BF32" i="17"/>
  <c r="BG32" i="17"/>
  <c r="BH32" i="17"/>
  <c r="BI32" i="17"/>
  <c r="BJ32" i="17"/>
  <c r="BK32" i="17"/>
  <c r="BL32" i="17"/>
  <c r="BM32" i="17"/>
  <c r="BN32" i="17"/>
  <c r="BO32" i="17"/>
  <c r="BP32" i="17"/>
  <c r="BQ32" i="17"/>
  <c r="BR32" i="17"/>
  <c r="BS32" i="17"/>
  <c r="BT32" i="17"/>
  <c r="BU32" i="17"/>
  <c r="BV32" i="17"/>
  <c r="BW32" i="17"/>
  <c r="BX32" i="17"/>
  <c r="BY32" i="17"/>
  <c r="BZ32" i="17"/>
  <c r="CA32" i="17"/>
  <c r="CB32" i="17"/>
  <c r="CC32" i="17"/>
  <c r="CD32" i="17"/>
  <c r="CE32" i="17"/>
  <c r="CF32" i="17"/>
  <c r="CG32" i="17"/>
  <c r="CH32" i="17"/>
  <c r="CI32" i="17"/>
  <c r="CJ32" i="17"/>
  <c r="CK32" i="17"/>
  <c r="CL32" i="17"/>
  <c r="CM32" i="17"/>
  <c r="CN32" i="17"/>
  <c r="CO32" i="17"/>
  <c r="CP32" i="17"/>
  <c r="CQ32" i="17"/>
  <c r="CR32" i="17"/>
  <c r="CS32" i="17"/>
  <c r="CT32" i="17"/>
  <c r="CU32" i="17"/>
  <c r="CV32" i="17"/>
  <c r="CW32" i="17"/>
  <c r="CX32" i="17"/>
  <c r="CY32" i="17"/>
  <c r="CZ32" i="17"/>
  <c r="DA32" i="17"/>
  <c r="DB32" i="17"/>
  <c r="DC32" i="17"/>
  <c r="DD32" i="17"/>
  <c r="DE32" i="17"/>
  <c r="DF32" i="17"/>
  <c r="DG32" i="17"/>
  <c r="DH32" i="17"/>
  <c r="DI32" i="17"/>
  <c r="DJ32" i="17"/>
  <c r="DK32" i="17"/>
  <c r="DL32" i="17"/>
  <c r="DM32" i="17"/>
  <c r="DN32" i="17"/>
  <c r="DO32" i="17"/>
  <c r="DP32" i="17"/>
  <c r="DQ32" i="17"/>
  <c r="DR32" i="17"/>
  <c r="DS32" i="17"/>
  <c r="DT32" i="17"/>
  <c r="DU32" i="17"/>
  <c r="DV32" i="17"/>
  <c r="DW32" i="17"/>
  <c r="DX32" i="17"/>
  <c r="DY32" i="17"/>
  <c r="DZ32" i="17"/>
  <c r="EA32" i="17"/>
  <c r="EB32" i="17"/>
  <c r="EC32" i="17"/>
  <c r="ED32" i="17"/>
  <c r="EE32" i="17"/>
  <c r="EF32" i="17"/>
  <c r="EG32" i="17"/>
  <c r="EH32" i="17"/>
  <c r="EI32" i="17"/>
  <c r="EJ32" i="17"/>
  <c r="EK32" i="17"/>
  <c r="EL32" i="17"/>
  <c r="EM32" i="17"/>
  <c r="EN32" i="17"/>
  <c r="EO32" i="17"/>
  <c r="EP32" i="17"/>
  <c r="EQ32" i="17"/>
  <c r="ER32" i="17"/>
  <c r="ES32" i="17"/>
  <c r="ET32" i="17"/>
  <c r="EU32" i="17"/>
  <c r="EV32" i="17"/>
  <c r="EW32" i="17"/>
  <c r="EX32" i="17"/>
  <c r="EY32" i="17"/>
  <c r="EZ32" i="17"/>
  <c r="FA32" i="17"/>
  <c r="FB32" i="17"/>
  <c r="FC32" i="17"/>
  <c r="FD32" i="17"/>
  <c r="FE32" i="17"/>
  <c r="FF32" i="17"/>
  <c r="FG32" i="17"/>
  <c r="FH32" i="17"/>
  <c r="FI32" i="17"/>
  <c r="FJ32" i="17"/>
  <c r="FK32" i="17"/>
  <c r="FL32" i="17"/>
  <c r="FM32" i="17"/>
  <c r="FN32" i="17"/>
  <c r="FO32" i="17"/>
  <c r="FP32" i="17"/>
  <c r="FQ32" i="17"/>
  <c r="FR32" i="17"/>
  <c r="FS32" i="17"/>
  <c r="FT32" i="17"/>
  <c r="FU32" i="17"/>
  <c r="FV32" i="17"/>
  <c r="FW32" i="17"/>
  <c r="FX32" i="17"/>
  <c r="FY32" i="17"/>
  <c r="FZ32" i="17"/>
  <c r="GA32" i="17"/>
  <c r="GB32" i="17"/>
  <c r="GC32" i="17"/>
  <c r="GD32" i="17"/>
  <c r="GE32" i="17"/>
  <c r="GF32" i="17"/>
  <c r="GG32" i="17"/>
  <c r="GH32" i="17"/>
  <c r="GI32" i="17"/>
  <c r="GJ32" i="17"/>
  <c r="GK32" i="17"/>
  <c r="GL32" i="17"/>
  <c r="GM32" i="17"/>
  <c r="GN32" i="17"/>
  <c r="GO32" i="17"/>
  <c r="GP32" i="17"/>
  <c r="GQ32" i="17"/>
  <c r="GR32" i="17"/>
  <c r="GS32" i="17"/>
  <c r="GT32" i="17"/>
  <c r="GU32" i="17"/>
  <c r="GV32" i="17"/>
  <c r="GW32" i="17"/>
  <c r="GX32" i="17"/>
  <c r="GY32" i="17"/>
  <c r="GZ32" i="17"/>
  <c r="HA32" i="17"/>
  <c r="HB32" i="17"/>
  <c r="HC32" i="17"/>
  <c r="HD32" i="17"/>
  <c r="HE32" i="17"/>
  <c r="HF32" i="17"/>
  <c r="HG32" i="17"/>
  <c r="HH32" i="17"/>
  <c r="HI32" i="17"/>
  <c r="HJ32" i="17"/>
  <c r="HK32" i="17"/>
  <c r="HL32" i="17"/>
  <c r="HM32" i="17"/>
  <c r="HN32" i="17"/>
  <c r="HO32" i="17"/>
  <c r="HP32" i="17"/>
  <c r="HQ32" i="17"/>
  <c r="HR32" i="17"/>
  <c r="HS32" i="17"/>
  <c r="HT32" i="17"/>
  <c r="HU32" i="17"/>
  <c r="HV32" i="17"/>
  <c r="HW32" i="17"/>
  <c r="HX32" i="17"/>
  <c r="HY32" i="17"/>
  <c r="HZ32" i="17"/>
  <c r="IA32" i="17"/>
  <c r="IB32" i="17"/>
  <c r="IC32" i="17"/>
  <c r="ID32" i="17"/>
  <c r="IE32" i="17"/>
  <c r="IF32" i="17"/>
  <c r="IG32" i="17"/>
  <c r="IH32" i="17"/>
  <c r="II32" i="17"/>
  <c r="IJ32" i="17"/>
  <c r="IK32" i="17"/>
  <c r="IL32" i="17"/>
  <c r="IM32" i="17"/>
  <c r="IN32" i="17"/>
  <c r="IO32" i="17"/>
  <c r="IP32" i="17"/>
  <c r="IQ32" i="17"/>
  <c r="IR32" i="17"/>
  <c r="IS32" i="17"/>
  <c r="IT32" i="17"/>
  <c r="IU32" i="17"/>
  <c r="IV32" i="17"/>
  <c r="A31" i="17"/>
  <c r="B31" i="17"/>
  <c r="C31" i="17"/>
  <c r="E31" i="17"/>
  <c r="F31" i="17"/>
  <c r="G31" i="17"/>
  <c r="H31" i="17"/>
  <c r="I31" i="17"/>
  <c r="J31" i="17"/>
  <c r="K31" i="17"/>
  <c r="L31" i="17"/>
  <c r="M31" i="17"/>
  <c r="N31" i="17"/>
  <c r="O31" i="17"/>
  <c r="P31" i="17"/>
  <c r="Q31" i="17"/>
  <c r="R31" i="17"/>
  <c r="S31" i="17"/>
  <c r="T31" i="17"/>
  <c r="U31" i="17"/>
  <c r="V31" i="17"/>
  <c r="W31" i="17"/>
  <c r="X31" i="17"/>
  <c r="Y31" i="17"/>
  <c r="Z31" i="17"/>
  <c r="AA31" i="17"/>
  <c r="AB31" i="17"/>
  <c r="AC31" i="17"/>
  <c r="AD31" i="17"/>
  <c r="AE31" i="17"/>
  <c r="AF31" i="17"/>
  <c r="AG31" i="17"/>
  <c r="AH31" i="17"/>
  <c r="AI31" i="17"/>
  <c r="AJ31" i="17"/>
  <c r="AK31" i="17"/>
  <c r="AL31" i="17"/>
  <c r="AM31" i="17"/>
  <c r="AN31" i="17"/>
  <c r="AO31" i="17"/>
  <c r="AP31" i="17"/>
  <c r="AQ31" i="17"/>
  <c r="AR31" i="17"/>
  <c r="AS31" i="17"/>
  <c r="AT31" i="17"/>
  <c r="AU31" i="17"/>
  <c r="AV31" i="17"/>
  <c r="AW31" i="17"/>
  <c r="AX31" i="17"/>
  <c r="AY31" i="17"/>
  <c r="AZ31" i="17"/>
  <c r="BA31" i="17"/>
  <c r="BB31" i="17"/>
  <c r="BC31" i="17"/>
  <c r="BD31" i="17"/>
  <c r="BE31" i="17"/>
  <c r="BF31" i="17"/>
  <c r="BG31" i="17"/>
  <c r="BH31" i="17"/>
  <c r="BI31" i="17"/>
  <c r="BJ31" i="17"/>
  <c r="BK31" i="17"/>
  <c r="BL31" i="17"/>
  <c r="BM31" i="17"/>
  <c r="BN31" i="17"/>
  <c r="BO31" i="17"/>
  <c r="BP31" i="17"/>
  <c r="BQ31" i="17"/>
  <c r="BR31" i="17"/>
  <c r="BS31" i="17"/>
  <c r="BT31" i="17"/>
  <c r="BU31" i="17"/>
  <c r="BV31" i="17"/>
  <c r="BW31" i="17"/>
  <c r="BX31" i="17"/>
  <c r="BY31" i="17"/>
  <c r="BZ31" i="17"/>
  <c r="CA31" i="17"/>
  <c r="CB31" i="17"/>
  <c r="CC31" i="17"/>
  <c r="CD31" i="17"/>
  <c r="CE31" i="17"/>
  <c r="CF31" i="17"/>
  <c r="CG31" i="17"/>
  <c r="CH31" i="17"/>
  <c r="CI31" i="17"/>
  <c r="CJ31" i="17"/>
  <c r="CK31" i="17"/>
  <c r="CL31" i="17"/>
  <c r="CM31" i="17"/>
  <c r="CN31" i="17"/>
  <c r="CO31" i="17"/>
  <c r="CP31" i="17"/>
  <c r="CQ31" i="17"/>
  <c r="CR31" i="17"/>
  <c r="CS31" i="17"/>
  <c r="CT31" i="17"/>
  <c r="CU31" i="17"/>
  <c r="CV31" i="17"/>
  <c r="CW31" i="17"/>
  <c r="CX31" i="17"/>
  <c r="CY31" i="17"/>
  <c r="CZ31" i="17"/>
  <c r="DA31" i="17"/>
  <c r="DB31" i="17"/>
  <c r="DC31" i="17"/>
  <c r="DD31" i="17"/>
  <c r="DE31" i="17"/>
  <c r="DF31" i="17"/>
  <c r="DG31" i="17"/>
  <c r="DH31" i="17"/>
  <c r="DI31" i="17"/>
  <c r="DJ31" i="17"/>
  <c r="DK31" i="17"/>
  <c r="DL31" i="17"/>
  <c r="DM31" i="17"/>
  <c r="DN31" i="17"/>
  <c r="DO31" i="17"/>
  <c r="DP31" i="17"/>
  <c r="DQ31" i="17"/>
  <c r="DR31" i="17"/>
  <c r="DS31" i="17"/>
  <c r="DT31" i="17"/>
  <c r="DU31" i="17"/>
  <c r="DV31" i="17"/>
  <c r="DW31" i="17"/>
  <c r="DX31" i="17"/>
  <c r="DY31" i="17"/>
  <c r="DZ31" i="17"/>
  <c r="EA31" i="17"/>
  <c r="EB31" i="17"/>
  <c r="EC31" i="17"/>
  <c r="ED31" i="17"/>
  <c r="EE31" i="17"/>
  <c r="EF31" i="17"/>
  <c r="EG31" i="17"/>
  <c r="EH31" i="17"/>
  <c r="EI31" i="17"/>
  <c r="EJ31" i="17"/>
  <c r="EK31" i="17"/>
  <c r="EL31" i="17"/>
  <c r="EM31" i="17"/>
  <c r="EN31" i="17"/>
  <c r="EO31" i="17"/>
  <c r="EP31" i="17"/>
  <c r="EQ31" i="17"/>
  <c r="ER31" i="17"/>
  <c r="ES31" i="17"/>
  <c r="ET31" i="17"/>
  <c r="EU31" i="17"/>
  <c r="EV31" i="17"/>
  <c r="EW31" i="17"/>
  <c r="EX31" i="17"/>
  <c r="EY31" i="17"/>
  <c r="EZ31" i="17"/>
  <c r="FA31" i="17"/>
  <c r="FB31" i="17"/>
  <c r="FC31" i="17"/>
  <c r="FD31" i="17"/>
  <c r="FE31" i="17"/>
  <c r="FF31" i="17"/>
  <c r="FG31" i="17"/>
  <c r="FH31" i="17"/>
  <c r="FI31" i="17"/>
  <c r="FJ31" i="17"/>
  <c r="FK31" i="17"/>
  <c r="FL31" i="17"/>
  <c r="FM31" i="17"/>
  <c r="FN31" i="17"/>
  <c r="FO31" i="17"/>
  <c r="FP31" i="17"/>
  <c r="FQ31" i="17"/>
  <c r="FR31" i="17"/>
  <c r="FS31" i="17"/>
  <c r="FT31" i="17"/>
  <c r="FU31" i="17"/>
  <c r="FV31" i="17"/>
  <c r="FW31" i="17"/>
  <c r="FX31" i="17"/>
  <c r="FY31" i="17"/>
  <c r="FZ31" i="17"/>
  <c r="GA31" i="17"/>
  <c r="GB31" i="17"/>
  <c r="GC31" i="17"/>
  <c r="GD31" i="17"/>
  <c r="GE31" i="17"/>
  <c r="GF31" i="17"/>
  <c r="GG31" i="17"/>
  <c r="GH31" i="17"/>
  <c r="GI31" i="17"/>
  <c r="GJ31" i="17"/>
  <c r="GK31" i="17"/>
  <c r="GL31" i="17"/>
  <c r="GM31" i="17"/>
  <c r="GN31" i="17"/>
  <c r="GO31" i="17"/>
  <c r="GP31" i="17"/>
  <c r="GQ31" i="17"/>
  <c r="GR31" i="17"/>
  <c r="GS31" i="17"/>
  <c r="GT31" i="17"/>
  <c r="GU31" i="17"/>
  <c r="GV31" i="17"/>
  <c r="GW31" i="17"/>
  <c r="GX31" i="17"/>
  <c r="GY31" i="17"/>
  <c r="GZ31" i="17"/>
  <c r="HA31" i="17"/>
  <c r="HB31" i="17"/>
  <c r="HC31" i="17"/>
  <c r="HD31" i="17"/>
  <c r="HE31" i="17"/>
  <c r="HF31" i="17"/>
  <c r="HG31" i="17"/>
  <c r="HH31" i="17"/>
  <c r="HI31" i="17"/>
  <c r="HJ31" i="17"/>
  <c r="HK31" i="17"/>
  <c r="HL31" i="17"/>
  <c r="HM31" i="17"/>
  <c r="HN31" i="17"/>
  <c r="HO31" i="17"/>
  <c r="HP31" i="17"/>
  <c r="HQ31" i="17"/>
  <c r="HR31" i="17"/>
  <c r="HS31" i="17"/>
  <c r="HT31" i="17"/>
  <c r="HU31" i="17"/>
  <c r="HV31" i="17"/>
  <c r="HW31" i="17"/>
  <c r="HX31" i="17"/>
  <c r="HY31" i="17"/>
  <c r="HZ31" i="17"/>
  <c r="IA31" i="17"/>
  <c r="IB31" i="17"/>
  <c r="IC31" i="17"/>
  <c r="ID31" i="17"/>
  <c r="IE31" i="17"/>
  <c r="IF31" i="17"/>
  <c r="IG31" i="17"/>
  <c r="IH31" i="17"/>
  <c r="II31" i="17"/>
  <c r="IJ31" i="17"/>
  <c r="IK31" i="17"/>
  <c r="IL31" i="17"/>
  <c r="IM31" i="17"/>
  <c r="IN31" i="17"/>
  <c r="IO31" i="17"/>
  <c r="IP31" i="17"/>
  <c r="IQ31" i="17"/>
  <c r="IR31" i="17"/>
  <c r="IS31" i="17"/>
  <c r="IT31" i="17"/>
  <c r="IU31" i="17"/>
  <c r="IV31" i="17"/>
  <c r="A30" i="17"/>
  <c r="B30" i="17"/>
  <c r="C30" i="17"/>
  <c r="D30" i="17"/>
  <c r="E30" i="17"/>
  <c r="F30" i="17"/>
  <c r="G30" i="17"/>
  <c r="H30" i="17"/>
  <c r="I30" i="17"/>
  <c r="J30" i="17"/>
  <c r="K30" i="17"/>
  <c r="L30" i="17"/>
  <c r="M30" i="17"/>
  <c r="N30" i="17"/>
  <c r="O30" i="17"/>
  <c r="P30" i="17"/>
  <c r="Q30" i="17"/>
  <c r="R30" i="17"/>
  <c r="S30" i="17"/>
  <c r="T30" i="17"/>
  <c r="U30" i="17"/>
  <c r="V30" i="17"/>
  <c r="W30" i="17"/>
  <c r="X30" i="17"/>
  <c r="Y30" i="17"/>
  <c r="AA30" i="17"/>
  <c r="AB30" i="17"/>
  <c r="AC30" i="17"/>
  <c r="AD30" i="17"/>
  <c r="AE30" i="17"/>
  <c r="AF30" i="17"/>
  <c r="AG30" i="17"/>
  <c r="AH30" i="17"/>
  <c r="AI30" i="17"/>
  <c r="AJ30" i="17"/>
  <c r="AK30" i="17"/>
  <c r="AL30" i="17"/>
  <c r="AM30" i="17"/>
  <c r="AN30" i="17"/>
  <c r="AO30" i="17"/>
  <c r="AP30" i="17"/>
  <c r="AQ30" i="17"/>
  <c r="AR30" i="17"/>
  <c r="AS30" i="17"/>
  <c r="AT30" i="17"/>
  <c r="AU30" i="17"/>
  <c r="AV30" i="17"/>
  <c r="AW30" i="17"/>
  <c r="AX30" i="17"/>
  <c r="AY30" i="17"/>
  <c r="AZ30" i="17"/>
  <c r="BA30" i="17"/>
  <c r="BB30" i="17"/>
  <c r="BC30" i="17"/>
  <c r="BD30" i="17"/>
  <c r="BE30" i="17"/>
  <c r="BF30" i="17"/>
  <c r="BG30" i="17"/>
  <c r="BH30" i="17"/>
  <c r="BI30" i="17"/>
  <c r="BJ30" i="17"/>
  <c r="BK30" i="17"/>
  <c r="BL30" i="17"/>
  <c r="BM30" i="17"/>
  <c r="BN30" i="17"/>
  <c r="BO30" i="17"/>
  <c r="BP30" i="17"/>
  <c r="BQ30" i="17"/>
  <c r="BR30" i="17"/>
  <c r="BS30" i="17"/>
  <c r="BT30" i="17"/>
  <c r="BU30" i="17"/>
  <c r="BV30" i="17"/>
  <c r="BW30" i="17"/>
  <c r="BX30" i="17"/>
  <c r="BY30" i="17"/>
  <c r="BZ30" i="17"/>
  <c r="CA30" i="17"/>
  <c r="CB30" i="17"/>
  <c r="CC30" i="17"/>
  <c r="CD30" i="17"/>
  <c r="CE30" i="17"/>
  <c r="CF30" i="17"/>
  <c r="CG30" i="17"/>
  <c r="CH30" i="17"/>
  <c r="CI30" i="17"/>
  <c r="CJ30" i="17"/>
  <c r="CK30" i="17"/>
  <c r="CL30" i="17"/>
  <c r="CM30" i="17"/>
  <c r="CN30" i="17"/>
  <c r="CO30" i="17"/>
  <c r="CP30" i="17"/>
  <c r="CQ30" i="17"/>
  <c r="CR30" i="17"/>
  <c r="CS30" i="17"/>
  <c r="CT30" i="17"/>
  <c r="CU30" i="17"/>
  <c r="CV30" i="17"/>
  <c r="CW30" i="17"/>
  <c r="CX30" i="17"/>
  <c r="CY30" i="17"/>
  <c r="CZ30" i="17"/>
  <c r="DA30" i="17"/>
  <c r="DB30" i="17"/>
  <c r="DC30" i="17"/>
  <c r="DD30" i="17"/>
  <c r="DE30" i="17"/>
  <c r="DF30" i="17"/>
  <c r="DG30" i="17"/>
  <c r="DH30" i="17"/>
  <c r="DI30" i="17"/>
  <c r="DJ30" i="17"/>
  <c r="DK30" i="17"/>
  <c r="DL30" i="17"/>
  <c r="DM30" i="17"/>
  <c r="DN30" i="17"/>
  <c r="DO30" i="17"/>
  <c r="DP30" i="17"/>
  <c r="DQ30" i="17"/>
  <c r="DR30" i="17"/>
  <c r="DS30" i="17"/>
  <c r="DT30" i="17"/>
  <c r="DU30" i="17"/>
  <c r="DV30" i="17"/>
  <c r="DW30" i="17"/>
  <c r="DX30" i="17"/>
  <c r="DY30" i="17"/>
  <c r="DZ30" i="17"/>
  <c r="EA30" i="17"/>
  <c r="EB30" i="17"/>
  <c r="EC30" i="17"/>
  <c r="ED30" i="17"/>
  <c r="EE30" i="17"/>
  <c r="EF30" i="17"/>
  <c r="EG30" i="17"/>
  <c r="EH30" i="17"/>
  <c r="EI30" i="17"/>
  <c r="EJ30" i="17"/>
  <c r="EK30" i="17"/>
  <c r="EL30" i="17"/>
  <c r="EM30" i="17"/>
  <c r="EN30" i="17"/>
  <c r="EO30" i="17"/>
  <c r="EP30" i="17"/>
  <c r="EQ30" i="17"/>
  <c r="ER30" i="17"/>
  <c r="ES30" i="17"/>
  <c r="ET30" i="17"/>
  <c r="EU30" i="17"/>
  <c r="EV30" i="17"/>
  <c r="EW30" i="17"/>
  <c r="EX30" i="17"/>
  <c r="EY30" i="17"/>
  <c r="EZ30" i="17"/>
  <c r="FA30" i="17"/>
  <c r="FB30" i="17"/>
  <c r="FC30" i="17"/>
  <c r="FD30" i="17"/>
  <c r="FE30" i="17"/>
  <c r="FF30" i="17"/>
  <c r="FG30" i="17"/>
  <c r="FH30" i="17"/>
  <c r="FI30" i="17"/>
  <c r="FJ30" i="17"/>
  <c r="FK30" i="17"/>
  <c r="FL30" i="17"/>
  <c r="FM30" i="17"/>
  <c r="FN30" i="17"/>
  <c r="FO30" i="17"/>
  <c r="FP30" i="17"/>
  <c r="FQ30" i="17"/>
  <c r="FR30" i="17"/>
  <c r="FS30" i="17"/>
  <c r="FT30" i="17"/>
  <c r="FU30" i="17"/>
  <c r="FV30" i="17"/>
  <c r="FW30" i="17"/>
  <c r="FX30" i="17"/>
  <c r="FY30" i="17"/>
  <c r="FZ30" i="17"/>
  <c r="GA30" i="17"/>
  <c r="GB30" i="17"/>
  <c r="GC30" i="17"/>
  <c r="GD30" i="17"/>
  <c r="GE30" i="17"/>
  <c r="GF30" i="17"/>
  <c r="GG30" i="17"/>
  <c r="GH30" i="17"/>
  <c r="GI30" i="17"/>
  <c r="GJ30" i="17"/>
  <c r="GK30" i="17"/>
  <c r="GL30" i="17"/>
  <c r="GM30" i="17"/>
  <c r="GN30" i="17"/>
  <c r="GO30" i="17"/>
  <c r="GP30" i="17"/>
  <c r="GQ30" i="17"/>
  <c r="GR30" i="17"/>
  <c r="GS30" i="17"/>
  <c r="GT30" i="17"/>
  <c r="GU30" i="17"/>
  <c r="GV30" i="17"/>
  <c r="GW30" i="17"/>
  <c r="GX30" i="17"/>
  <c r="GY30" i="17"/>
  <c r="GZ30" i="17"/>
  <c r="HA30" i="17"/>
  <c r="HB30" i="17"/>
  <c r="HC30" i="17"/>
  <c r="HD30" i="17"/>
  <c r="HE30" i="17"/>
  <c r="HF30" i="17"/>
  <c r="HG30" i="17"/>
  <c r="HH30" i="17"/>
  <c r="HI30" i="17"/>
  <c r="HJ30" i="17"/>
  <c r="HK30" i="17"/>
  <c r="HL30" i="17"/>
  <c r="HM30" i="17"/>
  <c r="HN30" i="17"/>
  <c r="HO30" i="17"/>
  <c r="HP30" i="17"/>
  <c r="HQ30" i="17"/>
  <c r="HR30" i="17"/>
  <c r="HS30" i="17"/>
  <c r="HT30" i="17"/>
  <c r="HU30" i="17"/>
  <c r="HV30" i="17"/>
  <c r="HW30" i="17"/>
  <c r="HX30" i="17"/>
  <c r="HY30" i="17"/>
  <c r="HZ30" i="17"/>
  <c r="IA30" i="17"/>
  <c r="IB30" i="17"/>
  <c r="IC30" i="17"/>
  <c r="ID30" i="17"/>
  <c r="IE30" i="17"/>
  <c r="IF30" i="17"/>
  <c r="IG30" i="17"/>
  <c r="IH30" i="17"/>
  <c r="II30" i="17"/>
  <c r="IJ30" i="17"/>
  <c r="IK30" i="17"/>
  <c r="IL30" i="17"/>
  <c r="IM30" i="17"/>
  <c r="IN30" i="17"/>
  <c r="IO30" i="17"/>
  <c r="IP30" i="17"/>
  <c r="IQ30" i="17"/>
  <c r="IR30" i="17"/>
  <c r="IS30" i="17"/>
  <c r="IT30" i="17"/>
  <c r="IU30" i="17"/>
  <c r="IV30" i="17"/>
  <c r="A29" i="17"/>
  <c r="B29" i="17"/>
  <c r="C29" i="17"/>
  <c r="D29" i="17"/>
  <c r="E29" i="17"/>
  <c r="F29" i="17"/>
  <c r="G29" i="17"/>
  <c r="H29" i="17"/>
  <c r="J29" i="17"/>
  <c r="K29" i="17"/>
  <c r="L29" i="17"/>
  <c r="M29" i="17"/>
  <c r="N29" i="17"/>
  <c r="O29" i="17"/>
  <c r="P29" i="17"/>
  <c r="Q29" i="17"/>
  <c r="R29" i="17"/>
  <c r="S29" i="17"/>
  <c r="T29" i="17"/>
  <c r="U29" i="17"/>
  <c r="V29" i="17"/>
  <c r="W29" i="17"/>
  <c r="X29" i="17"/>
  <c r="Y29" i="17"/>
  <c r="Z29" i="17"/>
  <c r="AA29" i="17"/>
  <c r="AB29" i="17"/>
  <c r="AC29" i="17"/>
  <c r="AD29" i="17"/>
  <c r="AE29" i="17"/>
  <c r="AF29" i="17"/>
  <c r="AG29" i="17"/>
  <c r="AH29" i="17"/>
  <c r="AI29" i="17"/>
  <c r="AJ29" i="17"/>
  <c r="AK29" i="17"/>
  <c r="AL29" i="17"/>
  <c r="AM29" i="17"/>
  <c r="AN29" i="17"/>
  <c r="AO29" i="17"/>
  <c r="AP29" i="17"/>
  <c r="AQ29" i="17"/>
  <c r="AR29" i="17"/>
  <c r="AS29" i="17"/>
  <c r="AT29" i="17"/>
  <c r="AU29" i="17"/>
  <c r="AV29" i="17"/>
  <c r="AW29" i="17"/>
  <c r="AX29" i="17"/>
  <c r="AY29" i="17"/>
  <c r="AZ29" i="17"/>
  <c r="BA29" i="17"/>
  <c r="BB29" i="17"/>
  <c r="BC29" i="17"/>
  <c r="BD29" i="17"/>
  <c r="BE29" i="17"/>
  <c r="BF29" i="17"/>
  <c r="BG29" i="17"/>
  <c r="BH29" i="17"/>
  <c r="BI29" i="17"/>
  <c r="BJ29" i="17"/>
  <c r="BK29" i="17"/>
  <c r="BL29" i="17"/>
  <c r="BM29" i="17"/>
  <c r="BN29" i="17"/>
  <c r="BO29" i="17"/>
  <c r="BP29" i="17"/>
  <c r="BQ29" i="17"/>
  <c r="BR29" i="17"/>
  <c r="BS29" i="17"/>
  <c r="BT29" i="17"/>
  <c r="BU29" i="17"/>
  <c r="BV29" i="17"/>
  <c r="BW29" i="17"/>
  <c r="BX29" i="17"/>
  <c r="BY29" i="17"/>
  <c r="BZ29" i="17"/>
  <c r="CA29" i="17"/>
  <c r="CB29" i="17"/>
  <c r="CC29" i="17"/>
  <c r="CD29" i="17"/>
  <c r="CE29" i="17"/>
  <c r="CF29" i="17"/>
  <c r="CG29" i="17"/>
  <c r="CH29" i="17"/>
  <c r="CI29" i="17"/>
  <c r="CJ29" i="17"/>
  <c r="CK29" i="17"/>
  <c r="CL29" i="17"/>
  <c r="CM29" i="17"/>
  <c r="CN29" i="17"/>
  <c r="CO29" i="17"/>
  <c r="CP29" i="17"/>
  <c r="CQ29" i="17"/>
  <c r="CR29" i="17"/>
  <c r="CS29" i="17"/>
  <c r="CT29" i="17"/>
  <c r="CU29" i="17"/>
  <c r="CV29" i="17"/>
  <c r="CW29" i="17"/>
  <c r="CX29" i="17"/>
  <c r="CY29" i="17"/>
  <c r="CZ29" i="17"/>
  <c r="DA29" i="17"/>
  <c r="DB29" i="17"/>
  <c r="DC29" i="17"/>
  <c r="DD29" i="17"/>
  <c r="DE29" i="17"/>
  <c r="DF29" i="17"/>
  <c r="DG29" i="17"/>
  <c r="DH29" i="17"/>
  <c r="DI29" i="17"/>
  <c r="DJ29" i="17"/>
  <c r="DK29" i="17"/>
  <c r="DL29" i="17"/>
  <c r="DM29" i="17"/>
  <c r="DN29" i="17"/>
  <c r="DO29" i="17"/>
  <c r="DP29" i="17"/>
  <c r="DQ29" i="17"/>
  <c r="DR29" i="17"/>
  <c r="DS29" i="17"/>
  <c r="DT29" i="17"/>
  <c r="DU29" i="17"/>
  <c r="DV29" i="17"/>
  <c r="DW29" i="17"/>
  <c r="DX29" i="17"/>
  <c r="DY29" i="17"/>
  <c r="DZ29" i="17"/>
  <c r="EA29" i="17"/>
  <c r="EB29" i="17"/>
  <c r="EC29" i="17"/>
  <c r="ED29" i="17"/>
  <c r="EE29" i="17"/>
  <c r="EF29" i="17"/>
  <c r="EG29" i="17"/>
  <c r="EH29" i="17"/>
  <c r="EI29" i="17"/>
  <c r="EJ29" i="17"/>
  <c r="EK29" i="17"/>
  <c r="EL29" i="17"/>
  <c r="EM29" i="17"/>
  <c r="EN29" i="17"/>
  <c r="EO29" i="17"/>
  <c r="EP29" i="17"/>
  <c r="EQ29" i="17"/>
  <c r="ER29" i="17"/>
  <c r="ES29" i="17"/>
  <c r="ET29" i="17"/>
  <c r="EU29" i="17"/>
  <c r="EV29" i="17"/>
  <c r="EW29" i="17"/>
  <c r="EX29" i="17"/>
  <c r="EY29" i="17"/>
  <c r="EZ29" i="17"/>
  <c r="FA29" i="17"/>
  <c r="FB29" i="17"/>
  <c r="FC29" i="17"/>
  <c r="FD29" i="17"/>
  <c r="FE29" i="17"/>
  <c r="FF29" i="17"/>
  <c r="FG29" i="17"/>
  <c r="FH29" i="17"/>
  <c r="FI29" i="17"/>
  <c r="FJ29" i="17"/>
  <c r="FK29" i="17"/>
  <c r="FL29" i="17"/>
  <c r="FM29" i="17"/>
  <c r="FN29" i="17"/>
  <c r="FO29" i="17"/>
  <c r="FP29" i="17"/>
  <c r="FQ29" i="17"/>
  <c r="FR29" i="17"/>
  <c r="FS29" i="17"/>
  <c r="FT29" i="17"/>
  <c r="FU29" i="17"/>
  <c r="FV29" i="17"/>
  <c r="FW29" i="17"/>
  <c r="FX29" i="17"/>
  <c r="FY29" i="17"/>
  <c r="FZ29" i="17"/>
  <c r="GA29" i="17"/>
  <c r="GB29" i="17"/>
  <c r="GC29" i="17"/>
  <c r="GD29" i="17"/>
  <c r="GE29" i="17"/>
  <c r="GF29" i="17"/>
  <c r="GG29" i="17"/>
  <c r="GH29" i="17"/>
  <c r="GI29" i="17"/>
  <c r="GJ29" i="17"/>
  <c r="GK29" i="17"/>
  <c r="GL29" i="17"/>
  <c r="GM29" i="17"/>
  <c r="GN29" i="17"/>
  <c r="GO29" i="17"/>
  <c r="GP29" i="17"/>
  <c r="GQ29" i="17"/>
  <c r="GR29" i="17"/>
  <c r="GS29" i="17"/>
  <c r="GT29" i="17"/>
  <c r="GU29" i="17"/>
  <c r="GV29" i="17"/>
  <c r="GW29" i="17"/>
  <c r="GX29" i="17"/>
  <c r="GY29" i="17"/>
  <c r="GZ29" i="17"/>
  <c r="HA29" i="17"/>
  <c r="HB29" i="17"/>
  <c r="HC29" i="17"/>
  <c r="HD29" i="17"/>
  <c r="HE29" i="17"/>
  <c r="HF29" i="17"/>
  <c r="HG29" i="17"/>
  <c r="HH29" i="17"/>
  <c r="HI29" i="17"/>
  <c r="HJ29" i="17"/>
  <c r="HK29" i="17"/>
  <c r="HL29" i="17"/>
  <c r="HM29" i="17"/>
  <c r="HN29" i="17"/>
  <c r="HO29" i="17"/>
  <c r="HP29" i="17"/>
  <c r="HQ29" i="17"/>
  <c r="HR29" i="17"/>
  <c r="HS29" i="17"/>
  <c r="HT29" i="17"/>
  <c r="HU29" i="17"/>
  <c r="HV29" i="17"/>
  <c r="HW29" i="17"/>
  <c r="HX29" i="17"/>
  <c r="HY29" i="17"/>
  <c r="HZ29" i="17"/>
  <c r="IA29" i="17"/>
  <c r="IB29" i="17"/>
  <c r="IC29" i="17"/>
  <c r="ID29" i="17"/>
  <c r="IE29" i="17"/>
  <c r="IF29" i="17"/>
  <c r="IG29" i="17"/>
  <c r="IH29" i="17"/>
  <c r="II29" i="17"/>
  <c r="IJ29" i="17"/>
  <c r="IK29" i="17"/>
  <c r="IL29" i="17"/>
  <c r="IM29" i="17"/>
  <c r="IN29" i="17"/>
  <c r="IO29" i="17"/>
  <c r="IP29" i="17"/>
  <c r="IQ29" i="17"/>
  <c r="IR29" i="17"/>
  <c r="IS29" i="17"/>
  <c r="IT29" i="17"/>
  <c r="IU29" i="17"/>
  <c r="IV29" i="17"/>
  <c r="A28" i="17"/>
  <c r="B28" i="17"/>
  <c r="C28" i="17"/>
  <c r="D28" i="17"/>
  <c r="E28" i="17"/>
  <c r="F28" i="17"/>
  <c r="G28" i="17"/>
  <c r="H28" i="17"/>
  <c r="I28" i="17"/>
  <c r="J28" i="17"/>
  <c r="K28" i="17"/>
  <c r="L28" i="17"/>
  <c r="M28" i="17"/>
  <c r="N28" i="17"/>
  <c r="O28" i="17"/>
  <c r="P28" i="17"/>
  <c r="Q28" i="17"/>
  <c r="R28" i="17"/>
  <c r="S28" i="17"/>
  <c r="T28" i="17"/>
  <c r="U28" i="17"/>
  <c r="V28" i="17"/>
  <c r="W28" i="17"/>
  <c r="X28" i="17"/>
  <c r="Y28" i="17"/>
  <c r="Z28" i="17"/>
  <c r="AA28" i="17"/>
  <c r="AB28" i="17"/>
  <c r="AC28" i="17"/>
  <c r="AD28" i="17"/>
  <c r="AF28" i="17"/>
  <c r="AG28" i="17"/>
  <c r="AH28" i="17"/>
  <c r="AI28" i="17"/>
  <c r="AJ28" i="17"/>
  <c r="AK28" i="17"/>
  <c r="AL28" i="17"/>
  <c r="AM28" i="17"/>
  <c r="AN28" i="17"/>
  <c r="AO28" i="17"/>
  <c r="AP28" i="17"/>
  <c r="AQ28" i="17"/>
  <c r="AR28" i="17"/>
  <c r="AS28" i="17"/>
  <c r="AT28" i="17"/>
  <c r="AU28" i="17"/>
  <c r="AV28" i="17"/>
  <c r="AW28" i="17"/>
  <c r="AX28" i="17"/>
  <c r="AY28" i="17"/>
  <c r="AZ28" i="17"/>
  <c r="BA28" i="17"/>
  <c r="BB28" i="17"/>
  <c r="BC28" i="17"/>
  <c r="BD28" i="17"/>
  <c r="BE28" i="17"/>
  <c r="BF28" i="17"/>
  <c r="BG28" i="17"/>
  <c r="BH28" i="17"/>
  <c r="BI28" i="17"/>
  <c r="BJ28" i="17"/>
  <c r="BK28" i="17"/>
  <c r="BL28" i="17"/>
  <c r="BM28" i="17"/>
  <c r="BN28" i="17"/>
  <c r="BO28" i="17"/>
  <c r="BP28" i="17"/>
  <c r="BQ28" i="17"/>
  <c r="BR28" i="17"/>
  <c r="BS28" i="17"/>
  <c r="BT28" i="17"/>
  <c r="BU28" i="17"/>
  <c r="BV28" i="17"/>
  <c r="BW28" i="17"/>
  <c r="BX28" i="17"/>
  <c r="BY28" i="17"/>
  <c r="BZ28" i="17"/>
  <c r="CA28" i="17"/>
  <c r="CB28" i="17"/>
  <c r="CC28" i="17"/>
  <c r="CD28" i="17"/>
  <c r="CE28" i="17"/>
  <c r="CF28" i="17"/>
  <c r="CG28" i="17"/>
  <c r="CH28" i="17"/>
  <c r="CI28" i="17"/>
  <c r="CJ28" i="17"/>
  <c r="CK28" i="17"/>
  <c r="CL28" i="17"/>
  <c r="CM28" i="17"/>
  <c r="CN28" i="17"/>
  <c r="CO28" i="17"/>
  <c r="CP28" i="17"/>
  <c r="CQ28" i="17"/>
  <c r="CR28" i="17"/>
  <c r="CS28" i="17"/>
  <c r="CT28" i="17"/>
  <c r="CU28" i="17"/>
  <c r="CV28" i="17"/>
  <c r="CW28" i="17"/>
  <c r="CX28" i="17"/>
  <c r="CY28" i="17"/>
  <c r="CZ28" i="17"/>
  <c r="DA28" i="17"/>
  <c r="DB28" i="17"/>
  <c r="DC28" i="17"/>
  <c r="DD28" i="17"/>
  <c r="DE28" i="17"/>
  <c r="DF28" i="17"/>
  <c r="DG28" i="17"/>
  <c r="DH28" i="17"/>
  <c r="DI28" i="17"/>
  <c r="DJ28" i="17"/>
  <c r="DK28" i="17"/>
  <c r="DL28" i="17"/>
  <c r="DM28" i="17"/>
  <c r="DN28" i="17"/>
  <c r="DO28" i="17"/>
  <c r="DP28" i="17"/>
  <c r="DQ28" i="17"/>
  <c r="DR28" i="17"/>
  <c r="DS28" i="17"/>
  <c r="DT28" i="17"/>
  <c r="DU28" i="17"/>
  <c r="DV28" i="17"/>
  <c r="DW28" i="17"/>
  <c r="DX28" i="17"/>
  <c r="DY28" i="17"/>
  <c r="DZ28" i="17"/>
  <c r="EA28" i="17"/>
  <c r="EB28" i="17"/>
  <c r="EC28" i="17"/>
  <c r="ED28" i="17"/>
  <c r="EE28" i="17"/>
  <c r="EF28" i="17"/>
  <c r="EG28" i="17"/>
  <c r="EH28" i="17"/>
  <c r="EI28" i="17"/>
  <c r="EJ28" i="17"/>
  <c r="EK28" i="17"/>
  <c r="EL28" i="17"/>
  <c r="EM28" i="17"/>
  <c r="EN28" i="17"/>
  <c r="EO28" i="17"/>
  <c r="EP28" i="17"/>
  <c r="EQ28" i="17"/>
  <c r="ER28" i="17"/>
  <c r="ES28" i="17"/>
  <c r="ET28" i="17"/>
  <c r="EU28" i="17"/>
  <c r="EV28" i="17"/>
  <c r="EW28" i="17"/>
  <c r="EX28" i="17"/>
  <c r="EY28" i="17"/>
  <c r="EZ28" i="17"/>
  <c r="FA28" i="17"/>
  <c r="FB28" i="17"/>
  <c r="FC28" i="17"/>
  <c r="FD28" i="17"/>
  <c r="FE28" i="17"/>
  <c r="FF28" i="17"/>
  <c r="FG28" i="17"/>
  <c r="FH28" i="17"/>
  <c r="FI28" i="17"/>
  <c r="FJ28" i="17"/>
  <c r="FK28" i="17"/>
  <c r="FL28" i="17"/>
  <c r="FM28" i="17"/>
  <c r="FN28" i="17"/>
  <c r="FO28" i="17"/>
  <c r="FP28" i="17"/>
  <c r="FQ28" i="17"/>
  <c r="FR28" i="17"/>
  <c r="FS28" i="17"/>
  <c r="FT28" i="17"/>
  <c r="FU28" i="17"/>
  <c r="FV28" i="17"/>
  <c r="FW28" i="17"/>
  <c r="FX28" i="17"/>
  <c r="FY28" i="17"/>
  <c r="FZ28" i="17"/>
  <c r="GA28" i="17"/>
  <c r="GB28" i="17"/>
  <c r="GC28" i="17"/>
  <c r="GD28" i="17"/>
  <c r="GE28" i="17"/>
  <c r="GF28" i="17"/>
  <c r="GG28" i="17"/>
  <c r="GH28" i="17"/>
  <c r="GI28" i="17"/>
  <c r="GJ28" i="17"/>
  <c r="GK28" i="17"/>
  <c r="GL28" i="17"/>
  <c r="GM28" i="17"/>
  <c r="GN28" i="17"/>
  <c r="GO28" i="17"/>
  <c r="GP28" i="17"/>
  <c r="GQ28" i="17"/>
  <c r="GR28" i="17"/>
  <c r="GS28" i="17"/>
  <c r="GT28" i="17"/>
  <c r="GU28" i="17"/>
  <c r="GV28" i="17"/>
  <c r="GW28" i="17"/>
  <c r="GX28" i="17"/>
  <c r="GY28" i="17"/>
  <c r="GZ28" i="17"/>
  <c r="HA28" i="17"/>
  <c r="HB28" i="17"/>
  <c r="HC28" i="17"/>
  <c r="HD28" i="17"/>
  <c r="HE28" i="17"/>
  <c r="HF28" i="17"/>
  <c r="HG28" i="17"/>
  <c r="HH28" i="17"/>
  <c r="HI28" i="17"/>
  <c r="HJ28" i="17"/>
  <c r="HK28" i="17"/>
  <c r="HL28" i="17"/>
  <c r="HM28" i="17"/>
  <c r="HN28" i="17"/>
  <c r="HO28" i="17"/>
  <c r="HP28" i="17"/>
  <c r="HQ28" i="17"/>
  <c r="HR28" i="17"/>
  <c r="HS28" i="17"/>
  <c r="HT28" i="17"/>
  <c r="HU28" i="17"/>
  <c r="HV28" i="17"/>
  <c r="HW28" i="17"/>
  <c r="HX28" i="17"/>
  <c r="HY28" i="17"/>
  <c r="HZ28" i="17"/>
  <c r="IA28" i="17"/>
  <c r="IB28" i="17"/>
  <c r="IC28" i="17"/>
  <c r="ID28" i="17"/>
  <c r="IE28" i="17"/>
  <c r="IF28" i="17"/>
  <c r="IG28" i="17"/>
  <c r="IH28" i="17"/>
  <c r="II28" i="17"/>
  <c r="IJ28" i="17"/>
  <c r="IK28" i="17"/>
  <c r="IL28" i="17"/>
  <c r="IM28" i="17"/>
  <c r="IN28" i="17"/>
  <c r="IO28" i="17"/>
  <c r="IP28" i="17"/>
  <c r="IQ28" i="17"/>
  <c r="IR28" i="17"/>
  <c r="IS28" i="17"/>
  <c r="IT28" i="17"/>
  <c r="IU28" i="17"/>
  <c r="IV28" i="17"/>
  <c r="A27" i="17"/>
  <c r="B27" i="17"/>
  <c r="C27" i="17"/>
  <c r="D27" i="17"/>
  <c r="E27" i="17"/>
  <c r="F27" i="17"/>
  <c r="G27" i="17"/>
  <c r="H27" i="17"/>
  <c r="I27" i="17"/>
  <c r="J27" i="17"/>
  <c r="K27" i="17"/>
  <c r="L27" i="17"/>
  <c r="M27" i="17"/>
  <c r="O27" i="17"/>
  <c r="P27" i="17"/>
  <c r="Q27" i="17"/>
  <c r="R27" i="17"/>
  <c r="S27" i="17"/>
  <c r="T27" i="17"/>
  <c r="U27" i="17"/>
  <c r="V27" i="17"/>
  <c r="W27" i="17"/>
  <c r="X27" i="17"/>
  <c r="Y27" i="17"/>
  <c r="Z27" i="17"/>
  <c r="AA27" i="17"/>
  <c r="AB27" i="17"/>
  <c r="AC27" i="17"/>
  <c r="AD27" i="17"/>
  <c r="AE27" i="17"/>
  <c r="AF27" i="17"/>
  <c r="AG27" i="17"/>
  <c r="AH27" i="17"/>
  <c r="AI27" i="17"/>
  <c r="AJ27" i="17"/>
  <c r="AK27" i="17"/>
  <c r="AL27" i="17"/>
  <c r="AM27" i="17"/>
  <c r="AN27" i="17"/>
  <c r="AO27" i="17"/>
  <c r="AP27" i="17"/>
  <c r="AQ27" i="17"/>
  <c r="AR27" i="17"/>
  <c r="AS27" i="17"/>
  <c r="AT27" i="17"/>
  <c r="AU27" i="17"/>
  <c r="AV27" i="17"/>
  <c r="AW27" i="17"/>
  <c r="AX27" i="17"/>
  <c r="AY27" i="17"/>
  <c r="AZ27" i="17"/>
  <c r="BA27" i="17"/>
  <c r="BB27" i="17"/>
  <c r="BC27" i="17"/>
  <c r="BD27" i="17"/>
  <c r="BE27" i="17"/>
  <c r="BF27" i="17"/>
  <c r="BG27" i="17"/>
  <c r="BH27" i="17"/>
  <c r="BI27" i="17"/>
  <c r="BJ27" i="17"/>
  <c r="BK27" i="17"/>
  <c r="BL27" i="17"/>
  <c r="BM27" i="17"/>
  <c r="BN27" i="17"/>
  <c r="BO27" i="17"/>
  <c r="BP27" i="17"/>
  <c r="BQ27" i="17"/>
  <c r="BR27" i="17"/>
  <c r="BS27" i="17"/>
  <c r="BT27" i="17"/>
  <c r="BU27" i="17"/>
  <c r="BV27" i="17"/>
  <c r="BW27" i="17"/>
  <c r="BX27" i="17"/>
  <c r="BY27" i="17"/>
  <c r="BZ27" i="17"/>
  <c r="CA27" i="17"/>
  <c r="CB27" i="17"/>
  <c r="CC27" i="17"/>
  <c r="CD27" i="17"/>
  <c r="CE27" i="17"/>
  <c r="CF27" i="17"/>
  <c r="CG27" i="17"/>
  <c r="CH27" i="17"/>
  <c r="CI27" i="17"/>
  <c r="CJ27" i="17"/>
  <c r="CK27" i="17"/>
  <c r="CL27" i="17"/>
  <c r="CM27" i="17"/>
  <c r="CN27" i="17"/>
  <c r="CO27" i="17"/>
  <c r="CP27" i="17"/>
  <c r="CQ27" i="17"/>
  <c r="CR27" i="17"/>
  <c r="CS27" i="17"/>
  <c r="CT27" i="17"/>
  <c r="CU27" i="17"/>
  <c r="CV27" i="17"/>
  <c r="CW27" i="17"/>
  <c r="CX27" i="17"/>
  <c r="CY27" i="17"/>
  <c r="CZ27" i="17"/>
  <c r="DA27" i="17"/>
  <c r="DB27" i="17"/>
  <c r="DC27" i="17"/>
  <c r="DD27" i="17"/>
  <c r="DE27" i="17"/>
  <c r="DF27" i="17"/>
  <c r="DG27" i="17"/>
  <c r="DH27" i="17"/>
  <c r="DI27" i="17"/>
  <c r="DJ27" i="17"/>
  <c r="DK27" i="17"/>
  <c r="DL27" i="17"/>
  <c r="DM27" i="17"/>
  <c r="DN27" i="17"/>
  <c r="DO27" i="17"/>
  <c r="DP27" i="17"/>
  <c r="DQ27" i="17"/>
  <c r="DR27" i="17"/>
  <c r="DS27" i="17"/>
  <c r="DT27" i="17"/>
  <c r="DU27" i="17"/>
  <c r="DV27" i="17"/>
  <c r="DW27" i="17"/>
  <c r="DX27" i="17"/>
  <c r="DY27" i="17"/>
  <c r="DZ27" i="17"/>
  <c r="EA27" i="17"/>
  <c r="EB27" i="17"/>
  <c r="EC27" i="17"/>
  <c r="ED27" i="17"/>
  <c r="EE27" i="17"/>
  <c r="EF27" i="17"/>
  <c r="EG27" i="17"/>
  <c r="EH27" i="17"/>
  <c r="EI27" i="17"/>
  <c r="EJ27" i="17"/>
  <c r="EK27" i="17"/>
  <c r="EL27" i="17"/>
  <c r="EM27" i="17"/>
  <c r="EN27" i="17"/>
  <c r="EO27" i="17"/>
  <c r="EP27" i="17"/>
  <c r="EQ27" i="17"/>
  <c r="ER27" i="17"/>
  <c r="ES27" i="17"/>
  <c r="ET27" i="17"/>
  <c r="EU27" i="17"/>
  <c r="EV27" i="17"/>
  <c r="EW27" i="17"/>
  <c r="EX27" i="17"/>
  <c r="EY27" i="17"/>
  <c r="EZ27" i="17"/>
  <c r="FA27" i="17"/>
  <c r="FB27" i="17"/>
  <c r="FC27" i="17"/>
  <c r="FD27" i="17"/>
  <c r="FE27" i="17"/>
  <c r="FF27" i="17"/>
  <c r="FG27" i="17"/>
  <c r="FH27" i="17"/>
  <c r="FI27" i="17"/>
  <c r="FJ27" i="17"/>
  <c r="FK27" i="17"/>
  <c r="FL27" i="17"/>
  <c r="FM27" i="17"/>
  <c r="FN27" i="17"/>
  <c r="FO27" i="17"/>
  <c r="FP27" i="17"/>
  <c r="FQ27" i="17"/>
  <c r="FR27" i="17"/>
  <c r="FS27" i="17"/>
  <c r="FT27" i="17"/>
  <c r="FU27" i="17"/>
  <c r="FV27" i="17"/>
  <c r="FW27" i="17"/>
  <c r="FX27" i="17"/>
  <c r="FY27" i="17"/>
  <c r="FZ27" i="17"/>
  <c r="GA27" i="17"/>
  <c r="GB27" i="17"/>
  <c r="GC27" i="17"/>
  <c r="GD27" i="17"/>
  <c r="GE27" i="17"/>
  <c r="GF27" i="17"/>
  <c r="GG27" i="17"/>
  <c r="GH27" i="17"/>
  <c r="GI27" i="17"/>
  <c r="GJ27" i="17"/>
  <c r="GK27" i="17"/>
  <c r="GL27" i="17"/>
  <c r="GM27" i="17"/>
  <c r="GN27" i="17"/>
  <c r="GO27" i="17"/>
  <c r="GP27" i="17"/>
  <c r="GQ27" i="17"/>
  <c r="GR27" i="17"/>
  <c r="GS27" i="17"/>
  <c r="GT27" i="17"/>
  <c r="GU27" i="17"/>
  <c r="GV27" i="17"/>
  <c r="GW27" i="17"/>
  <c r="GX27" i="17"/>
  <c r="GY27" i="17"/>
  <c r="GZ27" i="17"/>
  <c r="HA27" i="17"/>
  <c r="HB27" i="17"/>
  <c r="HC27" i="17"/>
  <c r="HD27" i="17"/>
  <c r="HE27" i="17"/>
  <c r="HF27" i="17"/>
  <c r="HG27" i="17"/>
  <c r="HH27" i="17"/>
  <c r="HI27" i="17"/>
  <c r="HJ27" i="17"/>
  <c r="HK27" i="17"/>
  <c r="HL27" i="17"/>
  <c r="HM27" i="17"/>
  <c r="HN27" i="17"/>
  <c r="HO27" i="17"/>
  <c r="HP27" i="17"/>
  <c r="HQ27" i="17"/>
  <c r="HR27" i="17"/>
  <c r="HS27" i="17"/>
  <c r="HT27" i="17"/>
  <c r="HU27" i="17"/>
  <c r="HV27" i="17"/>
  <c r="HW27" i="17"/>
  <c r="HX27" i="17"/>
  <c r="HY27" i="17"/>
  <c r="HZ27" i="17"/>
  <c r="IA27" i="17"/>
  <c r="IB27" i="17"/>
  <c r="IC27" i="17"/>
  <c r="ID27" i="17"/>
  <c r="IE27" i="17"/>
  <c r="IF27" i="17"/>
  <c r="IG27" i="17"/>
  <c r="IH27" i="17"/>
  <c r="II27" i="17"/>
  <c r="IJ27" i="17"/>
  <c r="IK27" i="17"/>
  <c r="IL27" i="17"/>
  <c r="IM27" i="17"/>
  <c r="IN27" i="17"/>
  <c r="IO27" i="17"/>
  <c r="IP27" i="17"/>
  <c r="IQ27" i="17"/>
  <c r="IR27" i="17"/>
  <c r="IS27" i="17"/>
  <c r="IT27" i="17"/>
  <c r="IU27" i="17"/>
  <c r="IV27" i="17"/>
  <c r="A26" i="17"/>
  <c r="B26" i="17"/>
  <c r="C26" i="17"/>
  <c r="D26" i="17"/>
  <c r="E26" i="17"/>
  <c r="F26" i="17"/>
  <c r="G26" i="17"/>
  <c r="H26" i="17"/>
  <c r="I26" i="17"/>
  <c r="J26" i="17"/>
  <c r="K26" i="17"/>
  <c r="L26" i="17"/>
  <c r="M26" i="17"/>
  <c r="N26" i="17"/>
  <c r="O26" i="17"/>
  <c r="P26" i="17"/>
  <c r="Q26" i="17"/>
  <c r="R26" i="17"/>
  <c r="S26" i="17"/>
  <c r="T26" i="17"/>
  <c r="U26" i="17"/>
  <c r="V26" i="17"/>
  <c r="W26" i="17"/>
  <c r="X26" i="17"/>
  <c r="Y26" i="17"/>
  <c r="Z26" i="17"/>
  <c r="AA26" i="17"/>
  <c r="AB26" i="17"/>
  <c r="AC26" i="17"/>
  <c r="AD26" i="17"/>
  <c r="AE26" i="17"/>
  <c r="AF26" i="17"/>
  <c r="AG26" i="17"/>
  <c r="AH26" i="17"/>
  <c r="AI26" i="17"/>
  <c r="AK26" i="17"/>
  <c r="AL26" i="17"/>
  <c r="AM26" i="17"/>
  <c r="AN26" i="17"/>
  <c r="AO26" i="17"/>
  <c r="AP26" i="17"/>
  <c r="AQ26" i="17"/>
  <c r="AR26" i="17"/>
  <c r="AS26" i="17"/>
  <c r="AT26" i="17"/>
  <c r="AU26" i="17"/>
  <c r="AV26" i="17"/>
  <c r="AW26" i="17"/>
  <c r="AX26" i="17"/>
  <c r="AY26" i="17"/>
  <c r="AZ26" i="17"/>
  <c r="BA26" i="17"/>
  <c r="BB26" i="17"/>
  <c r="BC26" i="17"/>
  <c r="BD26" i="17"/>
  <c r="BE26" i="17"/>
  <c r="BF26" i="17"/>
  <c r="BG26" i="17"/>
  <c r="BH26" i="17"/>
  <c r="BI26" i="17"/>
  <c r="BJ26" i="17"/>
  <c r="BK26" i="17"/>
  <c r="BL26" i="17"/>
  <c r="BM26" i="17"/>
  <c r="BN26" i="17"/>
  <c r="BO26" i="17"/>
  <c r="BP26" i="17"/>
  <c r="BQ26" i="17"/>
  <c r="BR26" i="17"/>
  <c r="BS26" i="17"/>
  <c r="BT26" i="17"/>
  <c r="BU26" i="17"/>
  <c r="BV26" i="17"/>
  <c r="BW26" i="17"/>
  <c r="BX26" i="17"/>
  <c r="BY26" i="17"/>
  <c r="BZ26" i="17"/>
  <c r="CA26" i="17"/>
  <c r="CB26" i="17"/>
  <c r="CC26" i="17"/>
  <c r="CD26" i="17"/>
  <c r="CE26" i="17"/>
  <c r="CF26" i="17"/>
  <c r="CG26" i="17"/>
  <c r="CH26" i="17"/>
  <c r="CI26" i="17"/>
  <c r="CJ26" i="17"/>
  <c r="CK26" i="17"/>
  <c r="CL26" i="17"/>
  <c r="CM26" i="17"/>
  <c r="CN26" i="17"/>
  <c r="CO26" i="17"/>
  <c r="CP26" i="17"/>
  <c r="CQ26" i="17"/>
  <c r="CR26" i="17"/>
  <c r="CS26" i="17"/>
  <c r="CT26" i="17"/>
  <c r="CU26" i="17"/>
  <c r="CV26" i="17"/>
  <c r="CW26" i="17"/>
  <c r="CX26" i="17"/>
  <c r="CY26" i="17"/>
  <c r="CZ26" i="17"/>
  <c r="DA26" i="17"/>
  <c r="DB26" i="17"/>
  <c r="DC26" i="17"/>
  <c r="DD26" i="17"/>
  <c r="DE26" i="17"/>
  <c r="DF26" i="17"/>
  <c r="DG26" i="17"/>
  <c r="DH26" i="17"/>
  <c r="DI26" i="17"/>
  <c r="DJ26" i="17"/>
  <c r="DK26" i="17"/>
  <c r="DL26" i="17"/>
  <c r="DM26" i="17"/>
  <c r="DN26" i="17"/>
  <c r="DO26" i="17"/>
  <c r="DP26" i="17"/>
  <c r="DQ26" i="17"/>
  <c r="DR26" i="17"/>
  <c r="DS26" i="17"/>
  <c r="DT26" i="17"/>
  <c r="DU26" i="17"/>
  <c r="DV26" i="17"/>
  <c r="DW26" i="17"/>
  <c r="DX26" i="17"/>
  <c r="DY26" i="17"/>
  <c r="DZ26" i="17"/>
  <c r="EA26" i="17"/>
  <c r="EB26" i="17"/>
  <c r="EC26" i="17"/>
  <c r="ED26" i="17"/>
  <c r="EE26" i="17"/>
  <c r="EF26" i="17"/>
  <c r="EG26" i="17"/>
  <c r="EH26" i="17"/>
  <c r="EI26" i="17"/>
  <c r="EJ26" i="17"/>
  <c r="EK26" i="17"/>
  <c r="EL26" i="17"/>
  <c r="EM26" i="17"/>
  <c r="EN26" i="17"/>
  <c r="EO26" i="17"/>
  <c r="EP26" i="17"/>
  <c r="EQ26" i="17"/>
  <c r="ER26" i="17"/>
  <c r="ES26" i="17"/>
  <c r="ET26" i="17"/>
  <c r="EU26" i="17"/>
  <c r="EV26" i="17"/>
  <c r="EW26" i="17"/>
  <c r="EX26" i="17"/>
  <c r="EY26" i="17"/>
  <c r="EZ26" i="17"/>
  <c r="FA26" i="17"/>
  <c r="FB26" i="17"/>
  <c r="FC26" i="17"/>
  <c r="FD26" i="17"/>
  <c r="FE26" i="17"/>
  <c r="FF26" i="17"/>
  <c r="FG26" i="17"/>
  <c r="FH26" i="17"/>
  <c r="FI26" i="17"/>
  <c r="FJ26" i="17"/>
  <c r="FK26" i="17"/>
  <c r="FL26" i="17"/>
  <c r="FM26" i="17"/>
  <c r="FN26" i="17"/>
  <c r="FO26" i="17"/>
  <c r="FP26" i="17"/>
  <c r="FQ26" i="17"/>
  <c r="FR26" i="17"/>
  <c r="FS26" i="17"/>
  <c r="FT26" i="17"/>
  <c r="FU26" i="17"/>
  <c r="FV26" i="17"/>
  <c r="FW26" i="17"/>
  <c r="FX26" i="17"/>
  <c r="FY26" i="17"/>
  <c r="FZ26" i="17"/>
  <c r="GA26" i="17"/>
  <c r="GB26" i="17"/>
  <c r="GC26" i="17"/>
  <c r="GD26" i="17"/>
  <c r="GE26" i="17"/>
  <c r="GF26" i="17"/>
  <c r="GG26" i="17"/>
  <c r="GH26" i="17"/>
  <c r="GI26" i="17"/>
  <c r="GJ26" i="17"/>
  <c r="GK26" i="17"/>
  <c r="GL26" i="17"/>
  <c r="GM26" i="17"/>
  <c r="GN26" i="17"/>
  <c r="GO26" i="17"/>
  <c r="GP26" i="17"/>
  <c r="GQ26" i="17"/>
  <c r="GR26" i="17"/>
  <c r="GS26" i="17"/>
  <c r="GT26" i="17"/>
  <c r="GU26" i="17"/>
  <c r="GV26" i="17"/>
  <c r="GW26" i="17"/>
  <c r="GX26" i="17"/>
  <c r="GY26" i="17"/>
  <c r="GZ26" i="17"/>
  <c r="HA26" i="17"/>
  <c r="HB26" i="17"/>
  <c r="HC26" i="17"/>
  <c r="HD26" i="17"/>
  <c r="HE26" i="17"/>
  <c r="HF26" i="17"/>
  <c r="HG26" i="17"/>
  <c r="HH26" i="17"/>
  <c r="HI26" i="17"/>
  <c r="HJ26" i="17"/>
  <c r="HK26" i="17"/>
  <c r="HL26" i="17"/>
  <c r="HM26" i="17"/>
  <c r="HN26" i="17"/>
  <c r="HO26" i="17"/>
  <c r="HP26" i="17"/>
  <c r="HQ26" i="17"/>
  <c r="HR26" i="17"/>
  <c r="HS26" i="17"/>
  <c r="HT26" i="17"/>
  <c r="HU26" i="17"/>
  <c r="HV26" i="17"/>
  <c r="HW26" i="17"/>
  <c r="HX26" i="17"/>
  <c r="HY26" i="17"/>
  <c r="HZ26" i="17"/>
  <c r="IA26" i="17"/>
  <c r="IB26" i="17"/>
  <c r="IC26" i="17"/>
  <c r="ID26" i="17"/>
  <c r="IE26" i="17"/>
  <c r="IF26" i="17"/>
  <c r="IG26" i="17"/>
  <c r="IH26" i="17"/>
  <c r="II26" i="17"/>
  <c r="IJ26" i="17"/>
  <c r="IK26" i="17"/>
  <c r="IL26" i="17"/>
  <c r="IM26" i="17"/>
  <c r="IN26" i="17"/>
  <c r="IO26" i="17"/>
  <c r="IP26" i="17"/>
  <c r="IQ26" i="17"/>
  <c r="IR26" i="17"/>
  <c r="IS26" i="17"/>
  <c r="IT26" i="17"/>
  <c r="IU26" i="17"/>
  <c r="IV26" i="17"/>
  <c r="A25" i="17"/>
  <c r="B25" i="17"/>
  <c r="C25" i="17"/>
  <c r="D25" i="17"/>
  <c r="E25" i="17"/>
  <c r="F25" i="17"/>
  <c r="G25" i="17"/>
  <c r="H25" i="17"/>
  <c r="I25" i="17"/>
  <c r="J25" i="17"/>
  <c r="K25" i="17"/>
  <c r="L25" i="17"/>
  <c r="M25" i="17"/>
  <c r="N25" i="17"/>
  <c r="O25" i="17"/>
  <c r="P25" i="17"/>
  <c r="Q25" i="17"/>
  <c r="R25" i="17"/>
  <c r="T25" i="17"/>
  <c r="U25" i="17"/>
  <c r="V25" i="17"/>
  <c r="W25" i="17"/>
  <c r="X25" i="17"/>
  <c r="Y25" i="17"/>
  <c r="Z25" i="17"/>
  <c r="AA25" i="17"/>
  <c r="AB25" i="17"/>
  <c r="AC25" i="17"/>
  <c r="AD25" i="17"/>
  <c r="AE25" i="17"/>
  <c r="AF25" i="17"/>
  <c r="AG25" i="17"/>
  <c r="AH25" i="17"/>
  <c r="AI25" i="17"/>
  <c r="AJ25" i="17"/>
  <c r="AK25" i="17"/>
  <c r="AL25" i="17"/>
  <c r="AM25" i="17"/>
  <c r="AN25" i="17"/>
  <c r="AO25" i="17"/>
  <c r="AP25" i="17"/>
  <c r="AQ25" i="17"/>
  <c r="AR25" i="17"/>
  <c r="AS25" i="17"/>
  <c r="AT25" i="17"/>
  <c r="AU25" i="17"/>
  <c r="AV25" i="17"/>
  <c r="AW25" i="17"/>
  <c r="AX25" i="17"/>
  <c r="AY25" i="17"/>
  <c r="AZ25" i="17"/>
  <c r="BA25" i="17"/>
  <c r="BB25" i="17"/>
  <c r="BC25" i="17"/>
  <c r="BD25" i="17"/>
  <c r="BE25" i="17"/>
  <c r="BF25" i="17"/>
  <c r="BG25" i="17"/>
  <c r="BH25" i="17"/>
  <c r="BI25" i="17"/>
  <c r="BJ25" i="17"/>
  <c r="BK25" i="17"/>
  <c r="BL25" i="17"/>
  <c r="BM25" i="17"/>
  <c r="BN25" i="17"/>
  <c r="BO25" i="17"/>
  <c r="BP25" i="17"/>
  <c r="BQ25" i="17"/>
  <c r="BR25" i="17"/>
  <c r="BS25" i="17"/>
  <c r="BT25" i="17"/>
  <c r="BU25" i="17"/>
  <c r="BV25" i="17"/>
  <c r="BW25" i="17"/>
  <c r="BX25" i="17"/>
  <c r="BY25" i="17"/>
  <c r="BZ25" i="17"/>
  <c r="CA25" i="17"/>
  <c r="CB25" i="17"/>
  <c r="CC25" i="17"/>
  <c r="CD25" i="17"/>
  <c r="CE25" i="17"/>
  <c r="CF25" i="17"/>
  <c r="CG25" i="17"/>
  <c r="CH25" i="17"/>
  <c r="CI25" i="17"/>
  <c r="CJ25" i="17"/>
  <c r="CK25" i="17"/>
  <c r="CL25" i="17"/>
  <c r="CM25" i="17"/>
  <c r="CN25" i="17"/>
  <c r="CO25" i="17"/>
  <c r="CP25" i="17"/>
  <c r="CQ25" i="17"/>
  <c r="CR25" i="17"/>
  <c r="CS25" i="17"/>
  <c r="CT25" i="17"/>
  <c r="CU25" i="17"/>
  <c r="CV25" i="17"/>
  <c r="CW25" i="17"/>
  <c r="CX25" i="17"/>
  <c r="CY25" i="17"/>
  <c r="CZ25" i="17"/>
  <c r="DA25" i="17"/>
  <c r="DB25" i="17"/>
  <c r="DC25" i="17"/>
  <c r="DD25" i="17"/>
  <c r="DE25" i="17"/>
  <c r="DF25" i="17"/>
  <c r="DG25" i="17"/>
  <c r="DH25" i="17"/>
  <c r="DI25" i="17"/>
  <c r="DJ25" i="17"/>
  <c r="DK25" i="17"/>
  <c r="DL25" i="17"/>
  <c r="DM25" i="17"/>
  <c r="DN25" i="17"/>
  <c r="DO25" i="17"/>
  <c r="DP25" i="17"/>
  <c r="DQ25" i="17"/>
  <c r="DR25" i="17"/>
  <c r="DS25" i="17"/>
  <c r="DT25" i="17"/>
  <c r="DU25" i="17"/>
  <c r="DV25" i="17"/>
  <c r="DW25" i="17"/>
  <c r="DX25" i="17"/>
  <c r="DY25" i="17"/>
  <c r="DZ25" i="17"/>
  <c r="EA25" i="17"/>
  <c r="EB25" i="17"/>
  <c r="EC25" i="17"/>
  <c r="ED25" i="17"/>
  <c r="EE25" i="17"/>
  <c r="EF25" i="17"/>
  <c r="EG25" i="17"/>
  <c r="EH25" i="17"/>
  <c r="EI25" i="17"/>
  <c r="EJ25" i="17"/>
  <c r="EK25" i="17"/>
  <c r="EL25" i="17"/>
  <c r="EM25" i="17"/>
  <c r="EN25" i="17"/>
  <c r="EO25" i="17"/>
  <c r="EP25" i="17"/>
  <c r="EQ25" i="17"/>
  <c r="ER25" i="17"/>
  <c r="ES25" i="17"/>
  <c r="ET25" i="17"/>
  <c r="EU25" i="17"/>
  <c r="EV25" i="17"/>
  <c r="EW25" i="17"/>
  <c r="EX25" i="17"/>
  <c r="EY25" i="17"/>
  <c r="EZ25" i="17"/>
  <c r="FA25" i="17"/>
  <c r="FB25" i="17"/>
  <c r="FC25" i="17"/>
  <c r="FD25" i="17"/>
  <c r="FE25" i="17"/>
  <c r="FF25" i="17"/>
  <c r="FG25" i="17"/>
  <c r="FH25" i="17"/>
  <c r="FI25" i="17"/>
  <c r="FJ25" i="17"/>
  <c r="FK25" i="17"/>
  <c r="FL25" i="17"/>
  <c r="FM25" i="17"/>
  <c r="FN25" i="17"/>
  <c r="FO25" i="17"/>
  <c r="FP25" i="17"/>
  <c r="FQ25" i="17"/>
  <c r="FR25" i="17"/>
  <c r="FS25" i="17"/>
  <c r="FT25" i="17"/>
  <c r="FU25" i="17"/>
  <c r="FV25" i="17"/>
  <c r="FW25" i="17"/>
  <c r="FX25" i="17"/>
  <c r="FY25" i="17"/>
  <c r="FZ25" i="17"/>
  <c r="GA25" i="17"/>
  <c r="GB25" i="17"/>
  <c r="GC25" i="17"/>
  <c r="GD25" i="17"/>
  <c r="GE25" i="17"/>
  <c r="GF25" i="17"/>
  <c r="GG25" i="17"/>
  <c r="GH25" i="17"/>
  <c r="GI25" i="17"/>
  <c r="GJ25" i="17"/>
  <c r="GK25" i="17"/>
  <c r="GL25" i="17"/>
  <c r="GM25" i="17"/>
  <c r="GN25" i="17"/>
  <c r="GO25" i="17"/>
  <c r="GP25" i="17"/>
  <c r="GQ25" i="17"/>
  <c r="GR25" i="17"/>
  <c r="GS25" i="17"/>
  <c r="GT25" i="17"/>
  <c r="GU25" i="17"/>
  <c r="GV25" i="17"/>
  <c r="GW25" i="17"/>
  <c r="GX25" i="17"/>
  <c r="GY25" i="17"/>
  <c r="GZ25" i="17"/>
  <c r="HA25" i="17"/>
  <c r="HB25" i="17"/>
  <c r="HC25" i="17"/>
  <c r="HD25" i="17"/>
  <c r="HE25" i="17"/>
  <c r="HF25" i="17"/>
  <c r="HG25" i="17"/>
  <c r="HH25" i="17"/>
  <c r="HI25" i="17"/>
  <c r="HJ25" i="17"/>
  <c r="HK25" i="17"/>
  <c r="HL25" i="17"/>
  <c r="HM25" i="17"/>
  <c r="HN25" i="17"/>
  <c r="HO25" i="17"/>
  <c r="HP25" i="17"/>
  <c r="HQ25" i="17"/>
  <c r="HR25" i="17"/>
  <c r="HS25" i="17"/>
  <c r="HT25" i="17"/>
  <c r="HU25" i="17"/>
  <c r="HV25" i="17"/>
  <c r="HW25" i="17"/>
  <c r="HX25" i="17"/>
  <c r="HY25" i="17"/>
  <c r="HZ25" i="17"/>
  <c r="IA25" i="17"/>
  <c r="IB25" i="17"/>
  <c r="IC25" i="17"/>
  <c r="ID25" i="17"/>
  <c r="IE25" i="17"/>
  <c r="IF25" i="17"/>
  <c r="IG25" i="17"/>
  <c r="IH25" i="17"/>
  <c r="II25" i="17"/>
  <c r="IJ25" i="17"/>
  <c r="IK25" i="17"/>
  <c r="IL25" i="17"/>
  <c r="IM25" i="17"/>
  <c r="IN25" i="17"/>
  <c r="IO25" i="17"/>
  <c r="IP25" i="17"/>
  <c r="IQ25" i="17"/>
  <c r="IR25" i="17"/>
  <c r="IS25" i="17"/>
  <c r="IT25" i="17"/>
  <c r="IU25" i="17"/>
  <c r="IV25" i="17"/>
  <c r="A24" i="17"/>
  <c r="B24" i="17"/>
  <c r="C24" i="17"/>
  <c r="D24" i="17"/>
  <c r="E24" i="17"/>
  <c r="F24" i="17"/>
  <c r="G24" i="17"/>
  <c r="H24" i="17"/>
  <c r="I24" i="17"/>
  <c r="J24" i="17"/>
  <c r="K24" i="17"/>
  <c r="L24" i="17"/>
  <c r="M24" i="17"/>
  <c r="N24" i="17"/>
  <c r="O24" i="17"/>
  <c r="P24" i="17"/>
  <c r="Q24" i="17"/>
  <c r="R24" i="17"/>
  <c r="S24" i="17"/>
  <c r="T24" i="17"/>
  <c r="U24" i="17"/>
  <c r="V24" i="17"/>
  <c r="W24" i="17"/>
  <c r="X24" i="17"/>
  <c r="Y24" i="17"/>
  <c r="Z24" i="17"/>
  <c r="AA24" i="17"/>
  <c r="AB24" i="17"/>
  <c r="AC24" i="17"/>
  <c r="AD24" i="17"/>
  <c r="AE24" i="17"/>
  <c r="AF24" i="17"/>
  <c r="AG24" i="17"/>
  <c r="AH24" i="17"/>
  <c r="AI24" i="17"/>
  <c r="AJ24" i="17"/>
  <c r="AK24" i="17"/>
  <c r="AL24" i="17"/>
  <c r="AM24" i="17"/>
  <c r="AN24" i="17"/>
  <c r="AO24" i="17"/>
  <c r="AP24" i="17"/>
  <c r="AQ24" i="17"/>
  <c r="AR24" i="17"/>
  <c r="AS24" i="17"/>
  <c r="AT24" i="17"/>
  <c r="AU24" i="17"/>
  <c r="AV24" i="17"/>
  <c r="AW24" i="17"/>
  <c r="AX24" i="17"/>
  <c r="AY24" i="17"/>
  <c r="AZ24" i="17"/>
  <c r="BA24" i="17"/>
  <c r="BB24" i="17"/>
  <c r="BC24" i="17"/>
  <c r="BD24" i="17"/>
  <c r="BE24" i="17"/>
  <c r="BF24" i="17"/>
  <c r="BG24" i="17"/>
  <c r="BH24" i="17"/>
  <c r="BI24" i="17"/>
  <c r="BJ24" i="17"/>
  <c r="BK24" i="17"/>
  <c r="BL24" i="17"/>
  <c r="BM24" i="17"/>
  <c r="BN24" i="17"/>
  <c r="BO24" i="17"/>
  <c r="BP24" i="17"/>
  <c r="BQ24" i="17"/>
  <c r="BR24" i="17"/>
  <c r="BS24" i="17"/>
  <c r="BT24" i="17"/>
  <c r="BU24" i="17"/>
  <c r="BV24" i="17"/>
  <c r="BW24" i="17"/>
  <c r="BX24" i="17"/>
  <c r="BY24" i="17"/>
  <c r="BZ24" i="17"/>
  <c r="CA24" i="17"/>
  <c r="CB24" i="17"/>
  <c r="CC24" i="17"/>
  <c r="CD24" i="17"/>
  <c r="CE24" i="17"/>
  <c r="CF24" i="17"/>
  <c r="CG24" i="17"/>
  <c r="CH24" i="17"/>
  <c r="CI24" i="17"/>
  <c r="CJ24" i="17"/>
  <c r="CK24" i="17"/>
  <c r="CL24" i="17"/>
  <c r="CM24" i="17"/>
  <c r="CN24" i="17"/>
  <c r="CO24" i="17"/>
  <c r="CP24" i="17"/>
  <c r="CQ24" i="17"/>
  <c r="CR24" i="17"/>
  <c r="CS24" i="17"/>
  <c r="CT24" i="17"/>
  <c r="CU24" i="17"/>
  <c r="CV24" i="17"/>
  <c r="CW24" i="17"/>
  <c r="CX24" i="17"/>
  <c r="CY24" i="17"/>
  <c r="CZ24" i="17"/>
  <c r="DA24" i="17"/>
  <c r="DB24" i="17"/>
  <c r="DC24" i="17"/>
  <c r="DD24" i="17"/>
  <c r="DE24" i="17"/>
  <c r="DF24" i="17"/>
  <c r="DG24" i="17"/>
  <c r="DH24" i="17"/>
  <c r="DI24" i="17"/>
  <c r="DJ24" i="17"/>
  <c r="DK24" i="17"/>
  <c r="DL24" i="17"/>
  <c r="DM24" i="17"/>
  <c r="DN24" i="17"/>
  <c r="DO24" i="17"/>
  <c r="DP24" i="17"/>
  <c r="DQ24" i="17"/>
  <c r="DR24" i="17"/>
  <c r="DS24" i="17"/>
  <c r="DT24" i="17"/>
  <c r="DU24" i="17"/>
  <c r="DV24" i="17"/>
  <c r="DW24" i="17"/>
  <c r="DX24" i="17"/>
  <c r="DY24" i="17"/>
  <c r="DZ24" i="17"/>
  <c r="EA24" i="17"/>
  <c r="EB24" i="17"/>
  <c r="EC24" i="17"/>
  <c r="ED24" i="17"/>
  <c r="EE24" i="17"/>
  <c r="EF24" i="17"/>
  <c r="EG24" i="17"/>
  <c r="EH24" i="17"/>
  <c r="EI24" i="17"/>
  <c r="EJ24" i="17"/>
  <c r="EK24" i="17"/>
  <c r="EL24" i="17"/>
  <c r="EM24" i="17"/>
  <c r="EN24" i="17"/>
  <c r="EO24" i="17"/>
  <c r="EP24" i="17"/>
  <c r="EQ24" i="17"/>
  <c r="ER24" i="17"/>
  <c r="ES24" i="17"/>
  <c r="ET24" i="17"/>
  <c r="EU24" i="17"/>
  <c r="EV24" i="17"/>
  <c r="EW24" i="17"/>
  <c r="EX24" i="17"/>
  <c r="EY24" i="17"/>
  <c r="EZ24" i="17"/>
  <c r="FA24" i="17"/>
  <c r="FB24" i="17"/>
  <c r="FC24" i="17"/>
  <c r="FD24" i="17"/>
  <c r="FE24" i="17"/>
  <c r="FF24" i="17"/>
  <c r="FG24" i="17"/>
  <c r="FH24" i="17"/>
  <c r="FI24" i="17"/>
  <c r="FJ24" i="17"/>
  <c r="FK24" i="17"/>
  <c r="FL24" i="17"/>
  <c r="FM24" i="17"/>
  <c r="FN24" i="17"/>
  <c r="FO24" i="17"/>
  <c r="FP24" i="17"/>
  <c r="FQ24" i="17"/>
  <c r="FR24" i="17"/>
  <c r="FS24" i="17"/>
  <c r="FT24" i="17"/>
  <c r="FU24" i="17"/>
  <c r="FV24" i="17"/>
  <c r="FW24" i="17"/>
  <c r="FX24" i="17"/>
  <c r="FY24" i="17"/>
  <c r="FZ24" i="17"/>
  <c r="GA24" i="17"/>
  <c r="GB24" i="17"/>
  <c r="GC24" i="17"/>
  <c r="GD24" i="17"/>
  <c r="GE24" i="17"/>
  <c r="GF24" i="17"/>
  <c r="GG24" i="17"/>
  <c r="GH24" i="17"/>
  <c r="GI24" i="17"/>
  <c r="GJ24" i="17"/>
  <c r="GK24" i="17"/>
  <c r="GL24" i="17"/>
  <c r="GM24" i="17"/>
  <c r="GN24" i="17"/>
  <c r="GO24" i="17"/>
  <c r="GP24" i="17"/>
  <c r="GQ24" i="17"/>
  <c r="GR24" i="17"/>
  <c r="GS24" i="17"/>
  <c r="GT24" i="17"/>
  <c r="GU24" i="17"/>
  <c r="GV24" i="17"/>
  <c r="GW24" i="17"/>
  <c r="GX24" i="17"/>
  <c r="GY24" i="17"/>
  <c r="GZ24" i="17"/>
  <c r="HA24" i="17"/>
  <c r="HB24" i="17"/>
  <c r="HC24" i="17"/>
  <c r="HD24" i="17"/>
  <c r="HE24" i="17"/>
  <c r="HF24" i="17"/>
  <c r="HG24" i="17"/>
  <c r="HH24" i="17"/>
  <c r="HI24" i="17"/>
  <c r="HJ24" i="17"/>
  <c r="HK24" i="17"/>
  <c r="HL24" i="17"/>
  <c r="HM24" i="17"/>
  <c r="HN24" i="17"/>
  <c r="HO24" i="17"/>
  <c r="HP24" i="17"/>
  <c r="HQ24" i="17"/>
  <c r="HR24" i="17"/>
  <c r="HS24" i="17"/>
  <c r="HT24" i="17"/>
  <c r="HU24" i="17"/>
  <c r="HV24" i="17"/>
  <c r="HW24" i="17"/>
  <c r="HX24" i="17"/>
  <c r="HY24" i="17"/>
  <c r="HZ24" i="17"/>
  <c r="IA24" i="17"/>
  <c r="IB24" i="17"/>
  <c r="IC24" i="17"/>
  <c r="ID24" i="17"/>
  <c r="IE24" i="17"/>
  <c r="IF24" i="17"/>
  <c r="IG24" i="17"/>
  <c r="IH24" i="17"/>
  <c r="II24" i="17"/>
  <c r="IJ24" i="17"/>
  <c r="IK24" i="17"/>
  <c r="IL24" i="17"/>
  <c r="IM24" i="17"/>
  <c r="IN24" i="17"/>
  <c r="IO24" i="17"/>
  <c r="IP24" i="17"/>
  <c r="IQ24" i="17"/>
  <c r="IR24" i="17"/>
  <c r="IS24" i="17"/>
  <c r="IT24" i="17"/>
  <c r="IU24" i="17"/>
  <c r="IV24" i="17"/>
  <c r="A23" i="17"/>
  <c r="B23" i="17"/>
  <c r="C23" i="17"/>
  <c r="D23" i="17"/>
  <c r="E23" i="17"/>
  <c r="F23" i="17"/>
  <c r="G23" i="17"/>
  <c r="H23" i="17"/>
  <c r="I23" i="17"/>
  <c r="J23" i="17"/>
  <c r="K23" i="17"/>
  <c r="L23" i="17"/>
  <c r="M23" i="17"/>
  <c r="N23" i="17"/>
  <c r="O23" i="17"/>
  <c r="P23" i="17"/>
  <c r="Q23" i="17"/>
  <c r="R23" i="17"/>
  <c r="S23" i="17"/>
  <c r="T23" i="17"/>
  <c r="U23" i="17"/>
  <c r="V23" i="17"/>
  <c r="W23" i="17"/>
  <c r="X23" i="17"/>
  <c r="Y23" i="17"/>
  <c r="Z23" i="17"/>
  <c r="AA23" i="17"/>
  <c r="AB23" i="17"/>
  <c r="AC23" i="17"/>
  <c r="AD23" i="17"/>
  <c r="AE23" i="17"/>
  <c r="AF23" i="17"/>
  <c r="AG23" i="17"/>
  <c r="AH23" i="17"/>
  <c r="AI23" i="17"/>
  <c r="AJ23" i="17"/>
  <c r="AK23" i="17"/>
  <c r="AL23" i="17"/>
  <c r="AM23" i="17"/>
  <c r="AN23" i="17"/>
  <c r="AO23" i="17"/>
  <c r="AP23" i="17"/>
  <c r="AQ23" i="17"/>
  <c r="AR23" i="17"/>
  <c r="AS23" i="17"/>
  <c r="AT23" i="17"/>
  <c r="AU23" i="17"/>
  <c r="AV23" i="17"/>
  <c r="AW23" i="17"/>
  <c r="AX23" i="17"/>
  <c r="AY23" i="17"/>
  <c r="AZ23" i="17"/>
  <c r="BA23" i="17"/>
  <c r="BB23" i="17"/>
  <c r="BC23" i="17"/>
  <c r="BD23" i="17"/>
  <c r="BE23" i="17"/>
  <c r="BF23" i="17"/>
  <c r="BG23" i="17"/>
  <c r="BH23" i="17"/>
  <c r="BI23" i="17"/>
  <c r="BJ23" i="17"/>
  <c r="BK23" i="17"/>
  <c r="BL23" i="17"/>
  <c r="BM23" i="17"/>
  <c r="BN23" i="17"/>
  <c r="BO23" i="17"/>
  <c r="BP23" i="17"/>
  <c r="BQ23" i="17"/>
  <c r="BR23" i="17"/>
  <c r="BS23" i="17"/>
  <c r="BT23" i="17"/>
  <c r="BU23" i="17"/>
  <c r="BV23" i="17"/>
  <c r="BW23" i="17"/>
  <c r="BX23" i="17"/>
  <c r="BY23" i="17"/>
  <c r="BZ23" i="17"/>
  <c r="CA23" i="17"/>
  <c r="CB23" i="17"/>
  <c r="CC23" i="17"/>
  <c r="CD23" i="17"/>
  <c r="CE23" i="17"/>
  <c r="CF23" i="17"/>
  <c r="CG23" i="17"/>
  <c r="CH23" i="17"/>
  <c r="CI23" i="17"/>
  <c r="CJ23" i="17"/>
  <c r="CK23" i="17"/>
  <c r="CL23" i="17"/>
  <c r="CM23" i="17"/>
  <c r="CN23" i="17"/>
  <c r="CO23" i="17"/>
  <c r="CP23" i="17"/>
  <c r="CQ23" i="17"/>
  <c r="CR23" i="17"/>
  <c r="CS23" i="17"/>
  <c r="CT23" i="17"/>
  <c r="CU23" i="17"/>
  <c r="CV23" i="17"/>
  <c r="CW23" i="17"/>
  <c r="CX23" i="17"/>
  <c r="CY23" i="17"/>
  <c r="CZ23" i="17"/>
  <c r="DA23" i="17"/>
  <c r="DB23" i="17"/>
  <c r="DC23" i="17"/>
  <c r="DD23" i="17"/>
  <c r="DE23" i="17"/>
  <c r="DF23" i="17"/>
  <c r="DG23" i="17"/>
  <c r="DH23" i="17"/>
  <c r="DI23" i="17"/>
  <c r="DJ23" i="17"/>
  <c r="DK23" i="17"/>
  <c r="DL23" i="17"/>
  <c r="DM23" i="17"/>
  <c r="DN23" i="17"/>
  <c r="DO23" i="17"/>
  <c r="DP23" i="17"/>
  <c r="DQ23" i="17"/>
  <c r="DR23" i="17"/>
  <c r="DS23" i="17"/>
  <c r="DT23" i="17"/>
  <c r="DU23" i="17"/>
  <c r="DV23" i="17"/>
  <c r="DW23" i="17"/>
  <c r="DX23" i="17"/>
  <c r="DY23" i="17"/>
  <c r="DZ23" i="17"/>
  <c r="EA23" i="17"/>
  <c r="EB23" i="17"/>
  <c r="EC23" i="17"/>
  <c r="ED23" i="17"/>
  <c r="EE23" i="17"/>
  <c r="EF23" i="17"/>
  <c r="EG23" i="17"/>
  <c r="EH23" i="17"/>
  <c r="EI23" i="17"/>
  <c r="EJ23" i="17"/>
  <c r="EK23" i="17"/>
  <c r="EL23" i="17"/>
  <c r="EM23" i="17"/>
  <c r="EN23" i="17"/>
  <c r="EO23" i="17"/>
  <c r="EP23" i="17"/>
  <c r="EQ23" i="17"/>
  <c r="ER23" i="17"/>
  <c r="ES23" i="17"/>
  <c r="ET23" i="17"/>
  <c r="EU23" i="17"/>
  <c r="EV23" i="17"/>
  <c r="EW23" i="17"/>
  <c r="EX23" i="17"/>
  <c r="EY23" i="17"/>
  <c r="EZ23" i="17"/>
  <c r="FA23" i="17"/>
  <c r="FB23" i="17"/>
  <c r="FC23" i="17"/>
  <c r="FD23" i="17"/>
  <c r="FE23" i="17"/>
  <c r="FF23" i="17"/>
  <c r="FG23" i="17"/>
  <c r="FH23" i="17"/>
  <c r="FI23" i="17"/>
  <c r="FJ23" i="17"/>
  <c r="FK23" i="17"/>
  <c r="FL23" i="17"/>
  <c r="FM23" i="17"/>
  <c r="FN23" i="17"/>
  <c r="FO23" i="17"/>
  <c r="FP23" i="17"/>
  <c r="FQ23" i="17"/>
  <c r="FR23" i="17"/>
  <c r="FS23" i="17"/>
  <c r="FT23" i="17"/>
  <c r="FU23" i="17"/>
  <c r="FV23" i="17"/>
  <c r="FW23" i="17"/>
  <c r="FX23" i="17"/>
  <c r="FY23" i="17"/>
  <c r="FZ23" i="17"/>
  <c r="GA23" i="17"/>
  <c r="GB23" i="17"/>
  <c r="GC23" i="17"/>
  <c r="GD23" i="17"/>
  <c r="GE23" i="17"/>
  <c r="GF23" i="17"/>
  <c r="GG23" i="17"/>
  <c r="GH23" i="17"/>
  <c r="GI23" i="17"/>
  <c r="GJ23" i="17"/>
  <c r="GK23" i="17"/>
  <c r="GL23" i="17"/>
  <c r="GM23" i="17"/>
  <c r="GN23" i="17"/>
  <c r="GO23" i="17"/>
  <c r="GP23" i="17"/>
  <c r="GQ23" i="17"/>
  <c r="GR23" i="17"/>
  <c r="GS23" i="17"/>
  <c r="GT23" i="17"/>
  <c r="GU23" i="17"/>
  <c r="GV23" i="17"/>
  <c r="GW23" i="17"/>
  <c r="GX23" i="17"/>
  <c r="GY23" i="17"/>
  <c r="GZ23" i="17"/>
  <c r="HA23" i="17"/>
  <c r="HB23" i="17"/>
  <c r="HC23" i="17"/>
  <c r="HD23" i="17"/>
  <c r="HE23" i="17"/>
  <c r="HF23" i="17"/>
  <c r="HG23" i="17"/>
  <c r="HH23" i="17"/>
  <c r="HI23" i="17"/>
  <c r="HJ23" i="17"/>
  <c r="HK23" i="17"/>
  <c r="HL23" i="17"/>
  <c r="HM23" i="17"/>
  <c r="HN23" i="17"/>
  <c r="HO23" i="17"/>
  <c r="HP23" i="17"/>
  <c r="HQ23" i="17"/>
  <c r="HR23" i="17"/>
  <c r="HS23" i="17"/>
  <c r="HT23" i="17"/>
  <c r="HU23" i="17"/>
  <c r="HV23" i="17"/>
  <c r="HW23" i="17"/>
  <c r="HX23" i="17"/>
  <c r="HY23" i="17"/>
  <c r="HZ23" i="17"/>
  <c r="IA23" i="17"/>
  <c r="IB23" i="17"/>
  <c r="IC23" i="17"/>
  <c r="ID23" i="17"/>
  <c r="IE23" i="17"/>
  <c r="IF23" i="17"/>
  <c r="IG23" i="17"/>
  <c r="IH23" i="17"/>
  <c r="II23" i="17"/>
  <c r="IJ23" i="17"/>
  <c r="IK23" i="17"/>
  <c r="IL23" i="17"/>
  <c r="IM23" i="17"/>
  <c r="IN23" i="17"/>
  <c r="IO23" i="17"/>
  <c r="IP23" i="17"/>
  <c r="IQ23" i="17"/>
  <c r="IR23" i="17"/>
  <c r="IS23" i="17"/>
  <c r="IT23" i="17"/>
  <c r="IU23" i="17"/>
  <c r="IV23" i="17"/>
  <c r="A22" i="17"/>
  <c r="B22" i="17"/>
  <c r="C22" i="17"/>
  <c r="D22" i="17"/>
  <c r="E22" i="17"/>
  <c r="F22" i="17"/>
  <c r="H22" i="17"/>
  <c r="I22" i="17"/>
  <c r="J22" i="17"/>
  <c r="K22" i="17"/>
  <c r="L22" i="17"/>
  <c r="M22" i="17"/>
  <c r="N22" i="17"/>
  <c r="O22" i="17"/>
  <c r="P22" i="17"/>
  <c r="Q22" i="17"/>
  <c r="R22" i="17"/>
  <c r="S22" i="17"/>
  <c r="T22" i="17"/>
  <c r="U22" i="17"/>
  <c r="V22" i="17"/>
  <c r="W22" i="17"/>
  <c r="X22" i="17"/>
  <c r="Y22" i="17"/>
  <c r="Z22" i="17"/>
  <c r="AA22" i="17"/>
  <c r="AB22" i="17"/>
  <c r="AC22" i="17"/>
  <c r="AD22" i="17"/>
  <c r="AE22" i="17"/>
  <c r="AF22" i="17"/>
  <c r="AG22" i="17"/>
  <c r="AH22" i="17"/>
  <c r="AI22" i="17"/>
  <c r="AJ22" i="17"/>
  <c r="AK22" i="17"/>
  <c r="AL22" i="17"/>
  <c r="AM22" i="17"/>
  <c r="AN22" i="17"/>
  <c r="AO22" i="17"/>
  <c r="AP22" i="17"/>
  <c r="AQ22" i="17"/>
  <c r="AR22" i="17"/>
  <c r="AS22" i="17"/>
  <c r="AT22" i="17"/>
  <c r="AU22" i="17"/>
  <c r="AV22" i="17"/>
  <c r="AW22" i="17"/>
  <c r="AX22" i="17"/>
  <c r="AY22" i="17"/>
  <c r="AZ22" i="17"/>
  <c r="BA22" i="17"/>
  <c r="BB22" i="17"/>
  <c r="BC22" i="17"/>
  <c r="BD22" i="17"/>
  <c r="BE22" i="17"/>
  <c r="BF22" i="17"/>
  <c r="BG22" i="17"/>
  <c r="BH22" i="17"/>
  <c r="BI22" i="17"/>
  <c r="BJ22" i="17"/>
  <c r="BK22" i="17"/>
  <c r="BL22" i="17"/>
  <c r="BM22" i="17"/>
  <c r="BN22" i="17"/>
  <c r="BO22" i="17"/>
  <c r="BP22" i="17"/>
  <c r="BQ22" i="17"/>
  <c r="BR22" i="17"/>
  <c r="BS22" i="17"/>
  <c r="BT22" i="17"/>
  <c r="BU22" i="17"/>
  <c r="BV22" i="17"/>
  <c r="BW22" i="17"/>
  <c r="BX22" i="17"/>
  <c r="BY22" i="17"/>
  <c r="BZ22" i="17"/>
  <c r="CA22" i="17"/>
  <c r="CB22" i="17"/>
  <c r="CC22" i="17"/>
  <c r="CD22" i="17"/>
  <c r="CE22" i="17"/>
  <c r="CF22" i="17"/>
  <c r="CG22" i="17"/>
  <c r="CH22" i="17"/>
  <c r="CI22" i="17"/>
  <c r="CJ22" i="17"/>
  <c r="CK22" i="17"/>
  <c r="CL22" i="17"/>
  <c r="CM22" i="17"/>
  <c r="CN22" i="17"/>
  <c r="CO22" i="17"/>
  <c r="CP22" i="17"/>
  <c r="CQ22" i="17"/>
  <c r="CR22" i="17"/>
  <c r="CS22" i="17"/>
  <c r="CT22" i="17"/>
  <c r="CU22" i="17"/>
  <c r="CV22" i="17"/>
  <c r="CW22" i="17"/>
  <c r="CX22" i="17"/>
  <c r="CY22" i="17"/>
  <c r="CZ22" i="17"/>
  <c r="DA22" i="17"/>
  <c r="DB22" i="17"/>
  <c r="DC22" i="17"/>
  <c r="DD22" i="17"/>
  <c r="DE22" i="17"/>
  <c r="DF22" i="17"/>
  <c r="DG22" i="17"/>
  <c r="DH22" i="17"/>
  <c r="DI22" i="17"/>
  <c r="DJ22" i="17"/>
  <c r="DK22" i="17"/>
  <c r="DL22" i="17"/>
  <c r="DM22" i="17"/>
  <c r="DN22" i="17"/>
  <c r="DO22" i="17"/>
  <c r="DP22" i="17"/>
  <c r="DQ22" i="17"/>
  <c r="DR22" i="17"/>
  <c r="DS22" i="17"/>
  <c r="DT22" i="17"/>
  <c r="DU22" i="17"/>
  <c r="DV22" i="17"/>
  <c r="DW22" i="17"/>
  <c r="DX22" i="17"/>
  <c r="DY22" i="17"/>
  <c r="DZ22" i="17"/>
  <c r="EA22" i="17"/>
  <c r="EB22" i="17"/>
  <c r="EC22" i="17"/>
  <c r="ED22" i="17"/>
  <c r="EE22" i="17"/>
  <c r="EF22" i="17"/>
  <c r="EG22" i="17"/>
  <c r="EH22" i="17"/>
  <c r="EI22" i="17"/>
  <c r="EJ22" i="17"/>
  <c r="EK22" i="17"/>
  <c r="EL22" i="17"/>
  <c r="EM22" i="17"/>
  <c r="EN22" i="17"/>
  <c r="EO22" i="17"/>
  <c r="EP22" i="17"/>
  <c r="EQ22" i="17"/>
  <c r="ER22" i="17"/>
  <c r="ES22" i="17"/>
  <c r="ET22" i="17"/>
  <c r="EU22" i="17"/>
  <c r="EV22" i="17"/>
  <c r="EW22" i="17"/>
  <c r="EX22" i="17"/>
  <c r="EY22" i="17"/>
  <c r="EZ22" i="17"/>
  <c r="FA22" i="17"/>
  <c r="FB22" i="17"/>
  <c r="FC22" i="17"/>
  <c r="FD22" i="17"/>
  <c r="FE22" i="17"/>
  <c r="FF22" i="17"/>
  <c r="FG22" i="17"/>
  <c r="FH22" i="17"/>
  <c r="FI22" i="17"/>
  <c r="FJ22" i="17"/>
  <c r="FK22" i="17"/>
  <c r="FL22" i="17"/>
  <c r="FM22" i="17"/>
  <c r="FN22" i="17"/>
  <c r="FO22" i="17"/>
  <c r="FP22" i="17"/>
  <c r="FQ22" i="17"/>
  <c r="FR22" i="17"/>
  <c r="FS22" i="17"/>
  <c r="FT22" i="17"/>
  <c r="FU22" i="17"/>
  <c r="FV22" i="17"/>
  <c r="FW22" i="17"/>
  <c r="FX22" i="17"/>
  <c r="FY22" i="17"/>
  <c r="FZ22" i="17"/>
  <c r="GA22" i="17"/>
  <c r="GB22" i="17"/>
  <c r="GC22" i="17"/>
  <c r="GD22" i="17"/>
  <c r="GE22" i="17"/>
  <c r="GF22" i="17"/>
  <c r="GG22" i="17"/>
  <c r="GH22" i="17"/>
  <c r="GI22" i="17"/>
  <c r="GJ22" i="17"/>
  <c r="GK22" i="17"/>
  <c r="GL22" i="17"/>
  <c r="GM22" i="17"/>
  <c r="GN22" i="17"/>
  <c r="GO22" i="17"/>
  <c r="GP22" i="17"/>
  <c r="GQ22" i="17"/>
  <c r="GR22" i="17"/>
  <c r="GS22" i="17"/>
  <c r="GT22" i="17"/>
  <c r="GU22" i="17"/>
  <c r="GV22" i="17"/>
  <c r="GW22" i="17"/>
  <c r="GX22" i="17"/>
  <c r="GY22" i="17"/>
  <c r="GZ22" i="17"/>
  <c r="HA22" i="17"/>
  <c r="HB22" i="17"/>
  <c r="HC22" i="17"/>
  <c r="HD22" i="17"/>
  <c r="HE22" i="17"/>
  <c r="HF22" i="17"/>
  <c r="HG22" i="17"/>
  <c r="HH22" i="17"/>
  <c r="HI22" i="17"/>
  <c r="HJ22" i="17"/>
  <c r="HK22" i="17"/>
  <c r="HL22" i="17"/>
  <c r="HM22" i="17"/>
  <c r="HN22" i="17"/>
  <c r="HO22" i="17"/>
  <c r="HP22" i="17"/>
  <c r="HQ22" i="17"/>
  <c r="HR22" i="17"/>
  <c r="HS22" i="17"/>
  <c r="HT22" i="17"/>
  <c r="HU22" i="17"/>
  <c r="HV22" i="17"/>
  <c r="HW22" i="17"/>
  <c r="HX22" i="17"/>
  <c r="HY22" i="17"/>
  <c r="HZ22" i="17"/>
  <c r="IA22" i="17"/>
  <c r="IB22" i="17"/>
  <c r="IC22" i="17"/>
  <c r="ID22" i="17"/>
  <c r="IE22" i="17"/>
  <c r="IF22" i="17"/>
  <c r="IG22" i="17"/>
  <c r="IH22" i="17"/>
  <c r="II22" i="17"/>
  <c r="IJ22" i="17"/>
  <c r="IK22" i="17"/>
  <c r="IL22" i="17"/>
  <c r="IM22" i="17"/>
  <c r="IN22" i="17"/>
  <c r="IO22" i="17"/>
  <c r="IP22" i="17"/>
  <c r="IQ22" i="17"/>
  <c r="IR22" i="17"/>
  <c r="IS22" i="17"/>
  <c r="IT22" i="17"/>
  <c r="IU22" i="17"/>
  <c r="IV22" i="17"/>
  <c r="A21" i="17"/>
  <c r="B21" i="17"/>
  <c r="C21" i="17"/>
  <c r="D21" i="17"/>
  <c r="E21" i="17"/>
  <c r="F21" i="17"/>
  <c r="G21" i="17"/>
  <c r="H21" i="17"/>
  <c r="I21" i="17"/>
  <c r="J21" i="17"/>
  <c r="K21" i="17"/>
  <c r="L21" i="17"/>
  <c r="M21" i="17"/>
  <c r="N21" i="17"/>
  <c r="O21" i="17"/>
  <c r="P21" i="17"/>
  <c r="Q21" i="17"/>
  <c r="R21" i="17"/>
  <c r="S21" i="17"/>
  <c r="T21" i="17"/>
  <c r="U21" i="17"/>
  <c r="V21" i="17"/>
  <c r="W21" i="17"/>
  <c r="X21" i="17"/>
  <c r="Y21" i="17"/>
  <c r="Z21" i="17"/>
  <c r="AA21" i="17"/>
  <c r="AB21" i="17"/>
  <c r="AD21" i="17"/>
  <c r="AE21" i="17"/>
  <c r="AF21" i="17"/>
  <c r="AG21" i="17"/>
  <c r="AH21" i="17"/>
  <c r="AI21" i="17"/>
  <c r="AJ21" i="17"/>
  <c r="AK21" i="17"/>
  <c r="AL21" i="17"/>
  <c r="AM21" i="17"/>
  <c r="AN21" i="17"/>
  <c r="AO21" i="17"/>
  <c r="AP21" i="17"/>
  <c r="AQ21" i="17"/>
  <c r="AR21" i="17"/>
  <c r="AS21" i="17"/>
  <c r="AT21" i="17"/>
  <c r="AU21" i="17"/>
  <c r="AV21" i="17"/>
  <c r="AW21" i="17"/>
  <c r="AX21" i="17"/>
  <c r="AY21" i="17"/>
  <c r="AZ21" i="17"/>
  <c r="BA21" i="17"/>
  <c r="BB21" i="17"/>
  <c r="BC21" i="17"/>
  <c r="BD21" i="17"/>
  <c r="BE21" i="17"/>
  <c r="BF21" i="17"/>
  <c r="BG21" i="17"/>
  <c r="BH21" i="17"/>
  <c r="BI21" i="17"/>
  <c r="BJ21" i="17"/>
  <c r="BK21" i="17"/>
  <c r="BL21" i="17"/>
  <c r="BM21" i="17"/>
  <c r="BN21" i="17"/>
  <c r="BO21" i="17"/>
  <c r="BP21" i="17"/>
  <c r="BQ21" i="17"/>
  <c r="BR21" i="17"/>
  <c r="BS21" i="17"/>
  <c r="BT21" i="17"/>
  <c r="BU21" i="17"/>
  <c r="BV21" i="17"/>
  <c r="BW21" i="17"/>
  <c r="BX21" i="17"/>
  <c r="BY21" i="17"/>
  <c r="BZ21" i="17"/>
  <c r="CA21" i="17"/>
  <c r="CB21" i="17"/>
  <c r="CC21" i="17"/>
  <c r="CD21" i="17"/>
  <c r="CE21" i="17"/>
  <c r="CF21" i="17"/>
  <c r="CG21" i="17"/>
  <c r="CH21" i="17"/>
  <c r="CI21" i="17"/>
  <c r="CJ21" i="17"/>
  <c r="CK21" i="17"/>
  <c r="CL21" i="17"/>
  <c r="CM21" i="17"/>
  <c r="CN21" i="17"/>
  <c r="CO21" i="17"/>
  <c r="CP21" i="17"/>
  <c r="CQ21" i="17"/>
  <c r="CR21" i="17"/>
  <c r="CS21" i="17"/>
  <c r="CT21" i="17"/>
  <c r="CU21" i="17"/>
  <c r="CV21" i="17"/>
  <c r="CW21" i="17"/>
  <c r="CX21" i="17"/>
  <c r="CY21" i="17"/>
  <c r="CZ21" i="17"/>
  <c r="DA21" i="17"/>
  <c r="DB21" i="17"/>
  <c r="DC21" i="17"/>
  <c r="DD21" i="17"/>
  <c r="DE21" i="17"/>
  <c r="DF21" i="17"/>
  <c r="DG21" i="17"/>
  <c r="DH21" i="17"/>
  <c r="DI21" i="17"/>
  <c r="DJ21" i="17"/>
  <c r="DK21" i="17"/>
  <c r="DL21" i="17"/>
  <c r="DM21" i="17"/>
  <c r="DN21" i="17"/>
  <c r="DO21" i="17"/>
  <c r="DP21" i="17"/>
  <c r="DQ21" i="17"/>
  <c r="DR21" i="17"/>
  <c r="DS21" i="17"/>
  <c r="DT21" i="17"/>
  <c r="DU21" i="17"/>
  <c r="DV21" i="17"/>
  <c r="DW21" i="17"/>
  <c r="DX21" i="17"/>
  <c r="DY21" i="17"/>
  <c r="DZ21" i="17"/>
  <c r="EA21" i="17"/>
  <c r="EB21" i="17"/>
  <c r="EC21" i="17"/>
  <c r="ED21" i="17"/>
  <c r="EE21" i="17"/>
  <c r="EF21" i="17"/>
  <c r="EG21" i="17"/>
  <c r="EH21" i="17"/>
  <c r="EI21" i="17"/>
  <c r="EJ21" i="17"/>
  <c r="EK21" i="17"/>
  <c r="EL21" i="17"/>
  <c r="EM21" i="17"/>
  <c r="EN21" i="17"/>
  <c r="EO21" i="17"/>
  <c r="EP21" i="17"/>
  <c r="EQ21" i="17"/>
  <c r="ER21" i="17"/>
  <c r="ES21" i="17"/>
  <c r="ET21" i="17"/>
  <c r="EU21" i="17"/>
  <c r="EV21" i="17"/>
  <c r="EW21" i="17"/>
  <c r="EX21" i="17"/>
  <c r="EY21" i="17"/>
  <c r="EZ21" i="17"/>
  <c r="FA21" i="17"/>
  <c r="FB21" i="17"/>
  <c r="FC21" i="17"/>
  <c r="FD21" i="17"/>
  <c r="FE21" i="17"/>
  <c r="FF21" i="17"/>
  <c r="FG21" i="17"/>
  <c r="FH21" i="17"/>
  <c r="FI21" i="17"/>
  <c r="FJ21" i="17"/>
  <c r="FK21" i="17"/>
  <c r="FL21" i="17"/>
  <c r="FM21" i="17"/>
  <c r="FN21" i="17"/>
  <c r="FO21" i="17"/>
  <c r="FP21" i="17"/>
  <c r="FQ21" i="17"/>
  <c r="FR21" i="17"/>
  <c r="FS21" i="17"/>
  <c r="FT21" i="17"/>
  <c r="FU21" i="17"/>
  <c r="FV21" i="17"/>
  <c r="FW21" i="17"/>
  <c r="FX21" i="17"/>
  <c r="FY21" i="17"/>
  <c r="FZ21" i="17"/>
  <c r="GA21" i="17"/>
  <c r="GB21" i="17"/>
  <c r="GC21" i="17"/>
  <c r="GD21" i="17"/>
  <c r="GE21" i="17"/>
  <c r="GF21" i="17"/>
  <c r="GG21" i="17"/>
  <c r="GH21" i="17"/>
  <c r="GI21" i="17"/>
  <c r="GJ21" i="17"/>
  <c r="GK21" i="17"/>
  <c r="GL21" i="17"/>
  <c r="GM21" i="17"/>
  <c r="GN21" i="17"/>
  <c r="GO21" i="17"/>
  <c r="GP21" i="17"/>
  <c r="GQ21" i="17"/>
  <c r="GR21" i="17"/>
  <c r="GS21" i="17"/>
  <c r="GT21" i="17"/>
  <c r="GU21" i="17"/>
  <c r="GV21" i="17"/>
  <c r="GW21" i="17"/>
  <c r="GX21" i="17"/>
  <c r="GY21" i="17"/>
  <c r="GZ21" i="17"/>
  <c r="HA21" i="17"/>
  <c r="HB21" i="17"/>
  <c r="HC21" i="17"/>
  <c r="HD21" i="17"/>
  <c r="HE21" i="17"/>
  <c r="HF21" i="17"/>
  <c r="HG21" i="17"/>
  <c r="HH21" i="17"/>
  <c r="HI21" i="17"/>
  <c r="HJ21" i="17"/>
  <c r="HK21" i="17"/>
  <c r="HL21" i="17"/>
  <c r="HM21" i="17"/>
  <c r="HN21" i="17"/>
  <c r="HO21" i="17"/>
  <c r="HP21" i="17"/>
  <c r="HQ21" i="17"/>
  <c r="HR21" i="17"/>
  <c r="HS21" i="17"/>
  <c r="HT21" i="17"/>
  <c r="HU21" i="17"/>
  <c r="HV21" i="17"/>
  <c r="HW21" i="17"/>
  <c r="HX21" i="17"/>
  <c r="HY21" i="17"/>
  <c r="HZ21" i="17"/>
  <c r="IA21" i="17"/>
  <c r="IB21" i="17"/>
  <c r="IC21" i="17"/>
  <c r="ID21" i="17"/>
  <c r="IE21" i="17"/>
  <c r="IF21" i="17"/>
  <c r="IG21" i="17"/>
  <c r="IH21" i="17"/>
  <c r="II21" i="17"/>
  <c r="IJ21" i="17"/>
  <c r="IK21" i="17"/>
  <c r="IL21" i="17"/>
  <c r="IM21" i="17"/>
  <c r="IN21" i="17"/>
  <c r="IO21" i="17"/>
  <c r="IP21" i="17"/>
  <c r="IQ21" i="17"/>
  <c r="IR21" i="17"/>
  <c r="IS21" i="17"/>
  <c r="IT21" i="17"/>
  <c r="IU21" i="17"/>
  <c r="IV21" i="17"/>
  <c r="A20" i="17"/>
  <c r="B20" i="17"/>
  <c r="C20" i="17"/>
  <c r="D20" i="17"/>
  <c r="E20" i="17"/>
  <c r="F20" i="17"/>
  <c r="G20" i="17"/>
  <c r="H20" i="17"/>
  <c r="I20" i="17"/>
  <c r="J20" i="17"/>
  <c r="K20" i="17"/>
  <c r="L20" i="17"/>
  <c r="M20" i="17"/>
  <c r="N20" i="17"/>
  <c r="O20" i="17"/>
  <c r="P20" i="17"/>
  <c r="Q20" i="17"/>
  <c r="R20" i="17"/>
  <c r="S20" i="17"/>
  <c r="T20" i="17"/>
  <c r="U20" i="17"/>
  <c r="V20" i="17"/>
  <c r="W20" i="17"/>
  <c r="X20" i="17"/>
  <c r="Y20" i="17"/>
  <c r="Z20" i="17"/>
  <c r="AA20" i="17"/>
  <c r="AB20" i="17"/>
  <c r="AC20" i="17"/>
  <c r="AD20" i="17"/>
  <c r="AE20" i="17"/>
  <c r="AF20" i="17"/>
  <c r="AG20" i="17"/>
  <c r="AH20" i="17"/>
  <c r="AI20" i="17"/>
  <c r="AJ20" i="17"/>
  <c r="AK20" i="17"/>
  <c r="AL20" i="17"/>
  <c r="AM20" i="17"/>
  <c r="AN20" i="17"/>
  <c r="AO20" i="17"/>
  <c r="AP20" i="17"/>
  <c r="AQ20" i="17"/>
  <c r="AR20" i="17"/>
  <c r="AS20" i="17"/>
  <c r="AT20" i="17"/>
  <c r="AU20" i="17"/>
  <c r="AV20" i="17"/>
  <c r="AW20" i="17"/>
  <c r="AX20" i="17"/>
  <c r="AY20" i="17"/>
  <c r="AZ20" i="17"/>
  <c r="BA20" i="17"/>
  <c r="BB20" i="17"/>
  <c r="BC20" i="17"/>
  <c r="BD20" i="17"/>
  <c r="BE20" i="17"/>
  <c r="BF20" i="17"/>
  <c r="BG20" i="17"/>
  <c r="BH20" i="17"/>
  <c r="BI20" i="17"/>
  <c r="BJ20" i="17"/>
  <c r="BK20" i="17"/>
  <c r="BL20" i="17"/>
  <c r="BM20" i="17"/>
  <c r="BN20" i="17"/>
  <c r="BO20" i="17"/>
  <c r="BP20" i="17"/>
  <c r="BQ20" i="17"/>
  <c r="BR20" i="17"/>
  <c r="BS20" i="17"/>
  <c r="BT20" i="17"/>
  <c r="BU20" i="17"/>
  <c r="BV20" i="17"/>
  <c r="BW20" i="17"/>
  <c r="BX20" i="17"/>
  <c r="BY20" i="17"/>
  <c r="BZ20" i="17"/>
  <c r="CA20" i="17"/>
  <c r="CB20" i="17"/>
  <c r="CC20" i="17"/>
  <c r="CD20" i="17"/>
  <c r="CE20" i="17"/>
  <c r="CF20" i="17"/>
  <c r="CG20" i="17"/>
  <c r="CH20" i="17"/>
  <c r="CI20" i="17"/>
  <c r="CJ20" i="17"/>
  <c r="CK20" i="17"/>
  <c r="CL20" i="17"/>
  <c r="CM20" i="17"/>
  <c r="CN20" i="17"/>
  <c r="CO20" i="17"/>
  <c r="CP20" i="17"/>
  <c r="CQ20" i="17"/>
  <c r="CR20" i="17"/>
  <c r="CS20" i="17"/>
  <c r="CT20" i="17"/>
  <c r="CU20" i="17"/>
  <c r="CV20" i="17"/>
  <c r="CW20" i="17"/>
  <c r="CX20" i="17"/>
  <c r="CY20" i="17"/>
  <c r="CZ20" i="17"/>
  <c r="DA20" i="17"/>
  <c r="DB20" i="17"/>
  <c r="DC20" i="17"/>
  <c r="DD20" i="17"/>
  <c r="DE20" i="17"/>
  <c r="DF20" i="17"/>
  <c r="DG20" i="17"/>
  <c r="DH20" i="17"/>
  <c r="DI20" i="17"/>
  <c r="DJ20" i="17"/>
  <c r="DK20" i="17"/>
  <c r="DL20" i="17"/>
  <c r="DM20" i="17"/>
  <c r="DN20" i="17"/>
  <c r="DO20" i="17"/>
  <c r="DP20" i="17"/>
  <c r="DQ20" i="17"/>
  <c r="DR20" i="17"/>
  <c r="DS20" i="17"/>
  <c r="DT20" i="17"/>
  <c r="DU20" i="17"/>
  <c r="DV20" i="17"/>
  <c r="DW20" i="17"/>
  <c r="DX20" i="17"/>
  <c r="DY20" i="17"/>
  <c r="DZ20" i="17"/>
  <c r="EA20" i="17"/>
  <c r="EB20" i="17"/>
  <c r="EC20" i="17"/>
  <c r="ED20" i="17"/>
  <c r="EE20" i="17"/>
  <c r="EF20" i="17"/>
  <c r="EG20" i="17"/>
  <c r="EH20" i="17"/>
  <c r="EI20" i="17"/>
  <c r="EJ20" i="17"/>
  <c r="EK20" i="17"/>
  <c r="EL20" i="17"/>
  <c r="EM20" i="17"/>
  <c r="EN20" i="17"/>
  <c r="EO20" i="17"/>
  <c r="EP20" i="17"/>
  <c r="EQ20" i="17"/>
  <c r="ER20" i="17"/>
  <c r="ES20" i="17"/>
  <c r="ET20" i="17"/>
  <c r="EU20" i="17"/>
  <c r="EV20" i="17"/>
  <c r="EW20" i="17"/>
  <c r="EX20" i="17"/>
  <c r="EY20" i="17"/>
  <c r="EZ20" i="17"/>
  <c r="FA20" i="17"/>
  <c r="FB20" i="17"/>
  <c r="FC20" i="17"/>
  <c r="FD20" i="17"/>
  <c r="FE20" i="17"/>
  <c r="FF20" i="17"/>
  <c r="FG20" i="17"/>
  <c r="FH20" i="17"/>
  <c r="FI20" i="17"/>
  <c r="FJ20" i="17"/>
  <c r="FK20" i="17"/>
  <c r="FL20" i="17"/>
  <c r="FM20" i="17"/>
  <c r="FN20" i="17"/>
  <c r="FO20" i="17"/>
  <c r="FP20" i="17"/>
  <c r="FQ20" i="17"/>
  <c r="FR20" i="17"/>
  <c r="FS20" i="17"/>
  <c r="FT20" i="17"/>
  <c r="FU20" i="17"/>
  <c r="FV20" i="17"/>
  <c r="FW20" i="17"/>
  <c r="FX20" i="17"/>
  <c r="FY20" i="17"/>
  <c r="FZ20" i="17"/>
  <c r="GA20" i="17"/>
  <c r="GB20" i="17"/>
  <c r="GC20" i="17"/>
  <c r="GD20" i="17"/>
  <c r="GE20" i="17"/>
  <c r="GF20" i="17"/>
  <c r="GG20" i="17"/>
  <c r="GH20" i="17"/>
  <c r="GI20" i="17"/>
  <c r="GJ20" i="17"/>
  <c r="GK20" i="17"/>
  <c r="GL20" i="17"/>
  <c r="GM20" i="17"/>
  <c r="GN20" i="17"/>
  <c r="GO20" i="17"/>
  <c r="GP20" i="17"/>
  <c r="GQ20" i="17"/>
  <c r="GR20" i="17"/>
  <c r="GS20" i="17"/>
  <c r="GT20" i="17"/>
  <c r="GU20" i="17"/>
  <c r="GV20" i="17"/>
  <c r="GW20" i="17"/>
  <c r="GX20" i="17"/>
  <c r="GY20" i="17"/>
  <c r="GZ20" i="17"/>
  <c r="HA20" i="17"/>
  <c r="HB20" i="17"/>
  <c r="HC20" i="17"/>
  <c r="HD20" i="17"/>
  <c r="HE20" i="17"/>
  <c r="HF20" i="17"/>
  <c r="HG20" i="17"/>
  <c r="HH20" i="17"/>
  <c r="HI20" i="17"/>
  <c r="HJ20" i="17"/>
  <c r="HK20" i="17"/>
  <c r="HL20" i="17"/>
  <c r="HM20" i="17"/>
  <c r="HN20" i="17"/>
  <c r="HO20" i="17"/>
  <c r="HP20" i="17"/>
  <c r="HQ20" i="17"/>
  <c r="HR20" i="17"/>
  <c r="HS20" i="17"/>
  <c r="HT20" i="17"/>
  <c r="HU20" i="17"/>
  <c r="HV20" i="17"/>
  <c r="HW20" i="17"/>
  <c r="HX20" i="17"/>
  <c r="HY20" i="17"/>
  <c r="HZ20" i="17"/>
  <c r="IA20" i="17"/>
  <c r="IB20" i="17"/>
  <c r="IC20" i="17"/>
  <c r="ID20" i="17"/>
  <c r="IE20" i="17"/>
  <c r="IF20" i="17"/>
  <c r="IG20" i="17"/>
  <c r="IH20" i="17"/>
  <c r="II20" i="17"/>
  <c r="IJ20" i="17"/>
  <c r="IK20" i="17"/>
  <c r="IL20" i="17"/>
  <c r="IM20" i="17"/>
  <c r="IN20" i="17"/>
  <c r="IO20" i="17"/>
  <c r="IP20" i="17"/>
  <c r="IQ20" i="17"/>
  <c r="IR20" i="17"/>
  <c r="IS20" i="17"/>
  <c r="IT20" i="17"/>
  <c r="IU20" i="17"/>
  <c r="IV20" i="17"/>
  <c r="A19" i="17"/>
  <c r="B19" i="17"/>
  <c r="C19" i="17"/>
  <c r="D19" i="17"/>
  <c r="E19" i="17"/>
  <c r="F19" i="17"/>
  <c r="G19" i="17"/>
  <c r="H19" i="17"/>
  <c r="I19" i="17"/>
  <c r="J19" i="17"/>
  <c r="K19" i="17"/>
  <c r="L19" i="17"/>
  <c r="M19" i="17"/>
  <c r="N19" i="17"/>
  <c r="O19" i="17"/>
  <c r="P19" i="17"/>
  <c r="Q19" i="17"/>
  <c r="R19" i="17"/>
  <c r="S19" i="17"/>
  <c r="T19" i="17"/>
  <c r="U19" i="17"/>
  <c r="V19" i="17"/>
  <c r="W19" i="17"/>
  <c r="X19" i="17"/>
  <c r="Y19" i="17"/>
  <c r="Z19" i="17"/>
  <c r="AA19" i="17"/>
  <c r="AB19" i="17"/>
  <c r="AC19" i="17"/>
  <c r="AD19" i="17"/>
  <c r="AE19" i="17"/>
  <c r="AF19" i="17"/>
  <c r="AG19" i="17"/>
  <c r="AH19" i="17"/>
  <c r="AI19" i="17"/>
  <c r="AJ19" i="17"/>
  <c r="AK19" i="17"/>
  <c r="AL19" i="17"/>
  <c r="AM19" i="17"/>
  <c r="AN19" i="17"/>
  <c r="AO19" i="17"/>
  <c r="AP19" i="17"/>
  <c r="AQ19" i="17"/>
  <c r="AR19" i="17"/>
  <c r="AS19" i="17"/>
  <c r="AT19" i="17"/>
  <c r="AU19" i="17"/>
  <c r="AV19" i="17"/>
  <c r="AW19" i="17"/>
  <c r="AX19" i="17"/>
  <c r="AY19" i="17"/>
  <c r="AZ19" i="17"/>
  <c r="BA19" i="17"/>
  <c r="BB19" i="17"/>
  <c r="BC19" i="17"/>
  <c r="BD19" i="17"/>
  <c r="BE19" i="17"/>
  <c r="BF19" i="17"/>
  <c r="BG19" i="17"/>
  <c r="BH19" i="17"/>
  <c r="BI19" i="17"/>
  <c r="BJ19" i="17"/>
  <c r="BK19" i="17"/>
  <c r="BL19" i="17"/>
  <c r="BM19" i="17"/>
  <c r="BN19" i="17"/>
  <c r="BO19" i="17"/>
  <c r="BP19" i="17"/>
  <c r="BQ19" i="17"/>
  <c r="BR19" i="17"/>
  <c r="BS19" i="17"/>
  <c r="BT19" i="17"/>
  <c r="BU19" i="17"/>
  <c r="BV19" i="17"/>
  <c r="BW19" i="17"/>
  <c r="BX19" i="17"/>
  <c r="BY19" i="17"/>
  <c r="BZ19" i="17"/>
  <c r="CA19" i="17"/>
  <c r="CB19" i="17"/>
  <c r="CC19" i="17"/>
  <c r="CD19" i="17"/>
  <c r="CE19" i="17"/>
  <c r="CF19" i="17"/>
  <c r="CG19" i="17"/>
  <c r="CH19" i="17"/>
  <c r="CI19" i="17"/>
  <c r="CJ19" i="17"/>
  <c r="CK19" i="17"/>
  <c r="CL19" i="17"/>
  <c r="CM19" i="17"/>
  <c r="CN19" i="17"/>
  <c r="CO19" i="17"/>
  <c r="CP19" i="17"/>
  <c r="CQ19" i="17"/>
  <c r="CR19" i="17"/>
  <c r="CS19" i="17"/>
  <c r="CT19" i="17"/>
  <c r="CU19" i="17"/>
  <c r="CV19" i="17"/>
  <c r="CW19" i="17"/>
  <c r="CX19" i="17"/>
  <c r="CY19" i="17"/>
  <c r="CZ19" i="17"/>
  <c r="DA19" i="17"/>
  <c r="DB19" i="17"/>
  <c r="DC19" i="17"/>
  <c r="DD19" i="17"/>
  <c r="DE19" i="17"/>
  <c r="DF19" i="17"/>
  <c r="DG19" i="17"/>
  <c r="DH19" i="17"/>
  <c r="DI19" i="17"/>
  <c r="DJ19" i="17"/>
  <c r="DK19" i="17"/>
  <c r="DL19" i="17"/>
  <c r="DM19" i="17"/>
  <c r="DN19" i="17"/>
  <c r="DO19" i="17"/>
  <c r="DP19" i="17"/>
  <c r="DQ19" i="17"/>
  <c r="DR19" i="17"/>
  <c r="DS19" i="17"/>
  <c r="DT19" i="17"/>
  <c r="DU19" i="17"/>
  <c r="DV19" i="17"/>
  <c r="DW19" i="17"/>
  <c r="DX19" i="17"/>
  <c r="DY19" i="17"/>
  <c r="DZ19" i="17"/>
  <c r="EA19" i="17"/>
  <c r="EB19" i="17"/>
  <c r="EC19" i="17"/>
  <c r="ED19" i="17"/>
  <c r="EE19" i="17"/>
  <c r="EF19" i="17"/>
  <c r="EG19" i="17"/>
  <c r="EH19" i="17"/>
  <c r="EI19" i="17"/>
  <c r="EJ19" i="17"/>
  <c r="EK19" i="17"/>
  <c r="EL19" i="17"/>
  <c r="EM19" i="17"/>
  <c r="EN19" i="17"/>
  <c r="EO19" i="17"/>
  <c r="EP19" i="17"/>
  <c r="EQ19" i="17"/>
  <c r="ER19" i="17"/>
  <c r="ES19" i="17"/>
  <c r="ET19" i="17"/>
  <c r="EU19" i="17"/>
  <c r="EV19" i="17"/>
  <c r="EW19" i="17"/>
  <c r="EX19" i="17"/>
  <c r="EY19" i="17"/>
  <c r="EZ19" i="17"/>
  <c r="FA19" i="17"/>
  <c r="FB19" i="17"/>
  <c r="FC19" i="17"/>
  <c r="FD19" i="17"/>
  <c r="FE19" i="17"/>
  <c r="FF19" i="17"/>
  <c r="FG19" i="17"/>
  <c r="FH19" i="17"/>
  <c r="FI19" i="17"/>
  <c r="FJ19" i="17"/>
  <c r="FK19" i="17"/>
  <c r="FL19" i="17"/>
  <c r="FM19" i="17"/>
  <c r="FN19" i="17"/>
  <c r="FO19" i="17"/>
  <c r="FP19" i="17"/>
  <c r="FQ19" i="17"/>
  <c r="FR19" i="17"/>
  <c r="FS19" i="17"/>
  <c r="FT19" i="17"/>
  <c r="FU19" i="17"/>
  <c r="FV19" i="17"/>
  <c r="FW19" i="17"/>
  <c r="FX19" i="17"/>
  <c r="FY19" i="17"/>
  <c r="FZ19" i="17"/>
  <c r="GA19" i="17"/>
  <c r="GB19" i="17"/>
  <c r="GC19" i="17"/>
  <c r="GD19" i="17"/>
  <c r="GE19" i="17"/>
  <c r="GF19" i="17"/>
  <c r="GG19" i="17"/>
  <c r="GH19" i="17"/>
  <c r="GI19" i="17"/>
  <c r="GJ19" i="17"/>
  <c r="GK19" i="17"/>
  <c r="GL19" i="17"/>
  <c r="GM19" i="17"/>
  <c r="GN19" i="17"/>
  <c r="GO19" i="17"/>
  <c r="GP19" i="17"/>
  <c r="GQ19" i="17"/>
  <c r="GR19" i="17"/>
  <c r="GS19" i="17"/>
  <c r="GT19" i="17"/>
  <c r="GU19" i="17"/>
  <c r="GV19" i="17"/>
  <c r="GW19" i="17"/>
  <c r="GX19" i="17"/>
  <c r="GY19" i="17"/>
  <c r="GZ19" i="17"/>
  <c r="HA19" i="17"/>
  <c r="HB19" i="17"/>
  <c r="HC19" i="17"/>
  <c r="HD19" i="17"/>
  <c r="HE19" i="17"/>
  <c r="HF19" i="17"/>
  <c r="HG19" i="17"/>
  <c r="HH19" i="17"/>
  <c r="HI19" i="17"/>
  <c r="HJ19" i="17"/>
  <c r="HK19" i="17"/>
  <c r="HL19" i="17"/>
  <c r="HM19" i="17"/>
  <c r="HN19" i="17"/>
  <c r="HO19" i="17"/>
  <c r="HP19" i="17"/>
  <c r="HQ19" i="17"/>
  <c r="HR19" i="17"/>
  <c r="HS19" i="17"/>
  <c r="HT19" i="17"/>
  <c r="HU19" i="17"/>
  <c r="HV19" i="17"/>
  <c r="HW19" i="17"/>
  <c r="HX19" i="17"/>
  <c r="HY19" i="17"/>
  <c r="HZ19" i="17"/>
  <c r="IA19" i="17"/>
  <c r="IB19" i="17"/>
  <c r="IC19" i="17"/>
  <c r="ID19" i="17"/>
  <c r="IE19" i="17"/>
  <c r="IF19" i="17"/>
  <c r="IG19" i="17"/>
  <c r="IH19" i="17"/>
  <c r="II19" i="17"/>
  <c r="IJ19" i="17"/>
  <c r="IK19" i="17"/>
  <c r="IL19" i="17"/>
  <c r="IM19" i="17"/>
  <c r="IN19" i="17"/>
  <c r="IO19" i="17"/>
  <c r="IP19" i="17"/>
  <c r="IQ19" i="17"/>
  <c r="IR19" i="17"/>
  <c r="IS19" i="17"/>
  <c r="IT19" i="17"/>
  <c r="IU19" i="17"/>
  <c r="IV19" i="17"/>
  <c r="A18" i="17"/>
  <c r="B18" i="17"/>
  <c r="C18" i="17"/>
  <c r="D18" i="17"/>
  <c r="E18" i="17"/>
  <c r="F18" i="17"/>
  <c r="G18" i="17"/>
  <c r="H18" i="17"/>
  <c r="I18" i="17"/>
  <c r="J18" i="17"/>
  <c r="K18" i="17"/>
  <c r="L18" i="17"/>
  <c r="M18" i="17"/>
  <c r="N18" i="17"/>
  <c r="O18" i="17"/>
  <c r="P18" i="17"/>
  <c r="R18" i="17"/>
  <c r="S18" i="17"/>
  <c r="T18" i="17"/>
  <c r="U18" i="17"/>
  <c r="V18" i="17"/>
  <c r="W18" i="17"/>
  <c r="X18" i="17"/>
  <c r="Y18" i="17"/>
  <c r="Z18" i="17"/>
  <c r="AA18" i="17"/>
  <c r="AB18" i="17"/>
  <c r="AC18" i="17"/>
  <c r="AD18" i="17"/>
  <c r="AE18" i="17"/>
  <c r="AF18" i="17"/>
  <c r="AG18" i="17"/>
  <c r="AH18" i="17"/>
  <c r="AI18" i="17"/>
  <c r="AJ18" i="17"/>
  <c r="AK18" i="17"/>
  <c r="AL18" i="17"/>
  <c r="AM18" i="17"/>
  <c r="AN18" i="17"/>
  <c r="AO18" i="17"/>
  <c r="AP18" i="17"/>
  <c r="AQ18" i="17"/>
  <c r="AR18" i="17"/>
  <c r="AS18" i="17"/>
  <c r="AT18" i="17"/>
  <c r="AU18" i="17"/>
  <c r="AV18" i="17"/>
  <c r="AW18" i="17"/>
  <c r="AX18" i="17"/>
  <c r="AY18" i="17"/>
  <c r="AZ18" i="17"/>
  <c r="BA18" i="17"/>
  <c r="BB18" i="17"/>
  <c r="BC18" i="17"/>
  <c r="BD18" i="17"/>
  <c r="BE18" i="17"/>
  <c r="BF18" i="17"/>
  <c r="BG18" i="17"/>
  <c r="BH18" i="17"/>
  <c r="BI18" i="17"/>
  <c r="BJ18" i="17"/>
  <c r="BK18" i="17"/>
  <c r="BL18" i="17"/>
  <c r="BM18" i="17"/>
  <c r="BN18" i="17"/>
  <c r="BO18" i="17"/>
  <c r="BP18" i="17"/>
  <c r="BQ18" i="17"/>
  <c r="BR18" i="17"/>
  <c r="BS18" i="17"/>
  <c r="BT18" i="17"/>
  <c r="BU18" i="17"/>
  <c r="BV18" i="17"/>
  <c r="BW18" i="17"/>
  <c r="BX18" i="17"/>
  <c r="BY18" i="17"/>
  <c r="BZ18" i="17"/>
  <c r="CA18" i="17"/>
  <c r="CB18" i="17"/>
  <c r="CC18" i="17"/>
  <c r="CD18" i="17"/>
  <c r="CE18" i="17"/>
  <c r="CF18" i="17"/>
  <c r="CG18" i="17"/>
  <c r="CH18" i="17"/>
  <c r="CI18" i="17"/>
  <c r="CJ18" i="17"/>
  <c r="CK18" i="17"/>
  <c r="CL18" i="17"/>
  <c r="CM18" i="17"/>
  <c r="CN18" i="17"/>
  <c r="CO18" i="17"/>
  <c r="CP18" i="17"/>
  <c r="CQ18" i="17"/>
  <c r="CR18" i="17"/>
  <c r="CS18" i="17"/>
  <c r="CT18" i="17"/>
  <c r="CU18" i="17"/>
  <c r="CV18" i="17"/>
  <c r="CW18" i="17"/>
  <c r="CX18" i="17"/>
  <c r="CY18" i="17"/>
  <c r="CZ18" i="17"/>
  <c r="DA18" i="17"/>
  <c r="DB18" i="17"/>
  <c r="DC18" i="17"/>
  <c r="DD18" i="17"/>
  <c r="DE18" i="17"/>
  <c r="DF18" i="17"/>
  <c r="DG18" i="17"/>
  <c r="DH18" i="17"/>
  <c r="DI18" i="17"/>
  <c r="DJ18" i="17"/>
  <c r="DK18" i="17"/>
  <c r="DL18" i="17"/>
  <c r="DM18" i="17"/>
  <c r="DN18" i="17"/>
  <c r="DO18" i="17"/>
  <c r="DP18" i="17"/>
  <c r="DQ18" i="17"/>
  <c r="DR18" i="17"/>
  <c r="DS18" i="17"/>
  <c r="DT18" i="17"/>
  <c r="DU18" i="17"/>
  <c r="DV18" i="17"/>
  <c r="DW18" i="17"/>
  <c r="DX18" i="17"/>
  <c r="DY18" i="17"/>
  <c r="DZ18" i="17"/>
  <c r="EA18" i="17"/>
  <c r="EB18" i="17"/>
  <c r="EC18" i="17"/>
  <c r="ED18" i="17"/>
  <c r="EE18" i="17"/>
  <c r="EF18" i="17"/>
  <c r="EG18" i="17"/>
  <c r="EH18" i="17"/>
  <c r="EI18" i="17"/>
  <c r="EJ18" i="17"/>
  <c r="EK18" i="17"/>
  <c r="EL18" i="17"/>
  <c r="EM18" i="17"/>
  <c r="EN18" i="17"/>
  <c r="EO18" i="17"/>
  <c r="EP18" i="17"/>
  <c r="EQ18" i="17"/>
  <c r="ER18" i="17"/>
  <c r="ES18" i="17"/>
  <c r="ET18" i="17"/>
  <c r="EU18" i="17"/>
  <c r="EV18" i="17"/>
  <c r="EW18" i="17"/>
  <c r="EX18" i="17"/>
  <c r="EY18" i="17"/>
  <c r="EZ18" i="17"/>
  <c r="FA18" i="17"/>
  <c r="FB18" i="17"/>
  <c r="FC18" i="17"/>
  <c r="FD18" i="17"/>
  <c r="FE18" i="17"/>
  <c r="FF18" i="17"/>
  <c r="FG18" i="17"/>
  <c r="FH18" i="17"/>
  <c r="FI18" i="17"/>
  <c r="FJ18" i="17"/>
  <c r="FK18" i="17"/>
  <c r="FL18" i="17"/>
  <c r="FM18" i="17"/>
  <c r="FN18" i="17"/>
  <c r="FO18" i="17"/>
  <c r="FP18" i="17"/>
  <c r="FQ18" i="17"/>
  <c r="FR18" i="17"/>
  <c r="FS18" i="17"/>
  <c r="FT18" i="17"/>
  <c r="FU18" i="17"/>
  <c r="FV18" i="17"/>
  <c r="FW18" i="17"/>
  <c r="FX18" i="17"/>
  <c r="FY18" i="17"/>
  <c r="FZ18" i="17"/>
  <c r="GA18" i="17"/>
  <c r="GB18" i="17"/>
  <c r="GC18" i="17"/>
  <c r="GD18" i="17"/>
  <c r="GE18" i="17"/>
  <c r="GF18" i="17"/>
  <c r="GG18" i="17"/>
  <c r="GH18" i="17"/>
  <c r="GI18" i="17"/>
  <c r="GJ18" i="17"/>
  <c r="GK18" i="17"/>
  <c r="GL18" i="17"/>
  <c r="GM18" i="17"/>
  <c r="GN18" i="17"/>
  <c r="GO18" i="17"/>
  <c r="GP18" i="17"/>
  <c r="GQ18" i="17"/>
  <c r="GR18" i="17"/>
  <c r="GS18" i="17"/>
  <c r="GT18" i="17"/>
  <c r="GU18" i="17"/>
  <c r="GV18" i="17"/>
  <c r="GW18" i="17"/>
  <c r="GX18" i="17"/>
  <c r="GY18" i="17"/>
  <c r="GZ18" i="17"/>
  <c r="HA18" i="17"/>
  <c r="HB18" i="17"/>
  <c r="HC18" i="17"/>
  <c r="HD18" i="17"/>
  <c r="HE18" i="17"/>
  <c r="HF18" i="17"/>
  <c r="HG18" i="17"/>
  <c r="HH18" i="17"/>
  <c r="HI18" i="17"/>
  <c r="HJ18" i="17"/>
  <c r="HK18" i="17"/>
  <c r="HL18" i="17"/>
  <c r="HM18" i="17"/>
  <c r="HN18" i="17"/>
  <c r="HO18" i="17"/>
  <c r="HP18" i="17"/>
  <c r="HQ18" i="17"/>
  <c r="HR18" i="17"/>
  <c r="HS18" i="17"/>
  <c r="HT18" i="17"/>
  <c r="HU18" i="17"/>
  <c r="HV18" i="17"/>
  <c r="HW18" i="17"/>
  <c r="HX18" i="17"/>
  <c r="HY18" i="17"/>
  <c r="HZ18" i="17"/>
  <c r="IA18" i="17"/>
  <c r="IB18" i="17"/>
  <c r="IC18" i="17"/>
  <c r="ID18" i="17"/>
  <c r="IE18" i="17"/>
  <c r="IF18" i="17"/>
  <c r="IG18" i="17"/>
  <c r="IH18" i="17"/>
  <c r="II18" i="17"/>
  <c r="IJ18" i="17"/>
  <c r="IK18" i="17"/>
  <c r="IL18" i="17"/>
  <c r="IM18" i="17"/>
  <c r="IN18" i="17"/>
  <c r="IO18" i="17"/>
  <c r="IP18" i="17"/>
  <c r="IQ18" i="17"/>
  <c r="IR18" i="17"/>
  <c r="IS18" i="17"/>
  <c r="IT18" i="17"/>
  <c r="IU18" i="17"/>
  <c r="IV18" i="17"/>
  <c r="A17" i="17"/>
  <c r="B17" i="17"/>
  <c r="C17" i="17"/>
  <c r="D17" i="17"/>
  <c r="E17" i="17"/>
  <c r="F17" i="17"/>
  <c r="G17" i="17"/>
  <c r="H17" i="17"/>
  <c r="I17" i="17"/>
  <c r="J17" i="17"/>
  <c r="K17" i="17"/>
  <c r="L17" i="17"/>
  <c r="M17" i="17"/>
  <c r="N17" i="17"/>
  <c r="O17" i="17"/>
  <c r="P17" i="17"/>
  <c r="Q17" i="17"/>
  <c r="R17" i="17"/>
  <c r="S17" i="17"/>
  <c r="T17" i="17"/>
  <c r="U17" i="17"/>
  <c r="V17" i="17"/>
  <c r="W17" i="17"/>
  <c r="X17" i="17"/>
  <c r="Y17" i="17"/>
  <c r="Z17" i="17"/>
  <c r="AA17" i="17"/>
  <c r="AB17" i="17"/>
  <c r="AC17" i="17"/>
  <c r="AD17" i="17"/>
  <c r="AE17" i="17"/>
  <c r="AF17" i="17"/>
  <c r="AG17" i="17"/>
  <c r="AH17" i="17"/>
  <c r="AI17" i="17"/>
  <c r="AJ17" i="17"/>
  <c r="AK17" i="17"/>
  <c r="AL17" i="17"/>
  <c r="AM17" i="17"/>
  <c r="AN17" i="17"/>
  <c r="AO17" i="17"/>
  <c r="AP17" i="17"/>
  <c r="AQ17" i="17"/>
  <c r="AR17" i="17"/>
  <c r="AS17" i="17"/>
  <c r="AT17" i="17"/>
  <c r="AU17" i="17"/>
  <c r="AV17" i="17"/>
  <c r="AW17" i="17"/>
  <c r="AX17" i="17"/>
  <c r="AY17" i="17"/>
  <c r="AZ17" i="17"/>
  <c r="BA17" i="17"/>
  <c r="BB17" i="17"/>
  <c r="BC17" i="17"/>
  <c r="BD17" i="17"/>
  <c r="BE17" i="17"/>
  <c r="BF17" i="17"/>
  <c r="BG17" i="17"/>
  <c r="BH17" i="17"/>
  <c r="BI17" i="17"/>
  <c r="BJ17" i="17"/>
  <c r="BK17" i="17"/>
  <c r="BL17" i="17"/>
  <c r="BM17" i="17"/>
  <c r="BN17" i="17"/>
  <c r="BO17" i="17"/>
  <c r="BP17" i="17"/>
  <c r="BQ17" i="17"/>
  <c r="BR17" i="17"/>
  <c r="BS17" i="17"/>
  <c r="BT17" i="17"/>
  <c r="BU17" i="17"/>
  <c r="BV17" i="17"/>
  <c r="BW17" i="17"/>
  <c r="BX17" i="17"/>
  <c r="BY17" i="17"/>
  <c r="BZ17" i="17"/>
  <c r="CA17" i="17"/>
  <c r="CB17" i="17"/>
  <c r="CC17" i="17"/>
  <c r="CD17" i="17"/>
  <c r="CE17" i="17"/>
  <c r="CF17" i="17"/>
  <c r="CG17" i="17"/>
  <c r="CH17" i="17"/>
  <c r="CI17" i="17"/>
  <c r="CJ17" i="17"/>
  <c r="CK17" i="17"/>
  <c r="CL17" i="17"/>
  <c r="CM17" i="17"/>
  <c r="CN17" i="17"/>
  <c r="CO17" i="17"/>
  <c r="CP17" i="17"/>
  <c r="CQ17" i="17"/>
  <c r="CR17" i="17"/>
  <c r="CS17" i="17"/>
  <c r="CT17" i="17"/>
  <c r="CU17" i="17"/>
  <c r="CV17" i="17"/>
  <c r="CW17" i="17"/>
  <c r="CX17" i="17"/>
  <c r="CY17" i="17"/>
  <c r="CZ17" i="17"/>
  <c r="DA17" i="17"/>
  <c r="DB17" i="17"/>
  <c r="DC17" i="17"/>
  <c r="DD17" i="17"/>
  <c r="DE17" i="17"/>
  <c r="DF17" i="17"/>
  <c r="DG17" i="17"/>
  <c r="DH17" i="17"/>
  <c r="DI17" i="17"/>
  <c r="DJ17" i="17"/>
  <c r="DK17" i="17"/>
  <c r="DL17" i="17"/>
  <c r="DM17" i="17"/>
  <c r="DN17" i="17"/>
  <c r="DO17" i="17"/>
  <c r="DP17" i="17"/>
  <c r="DQ17" i="17"/>
  <c r="DR17" i="17"/>
  <c r="DS17" i="17"/>
  <c r="DT17" i="17"/>
  <c r="DU17" i="17"/>
  <c r="DV17" i="17"/>
  <c r="DW17" i="17"/>
  <c r="DX17" i="17"/>
  <c r="DY17" i="17"/>
  <c r="DZ17" i="17"/>
  <c r="EA17" i="17"/>
  <c r="EB17" i="17"/>
  <c r="EC17" i="17"/>
  <c r="ED17" i="17"/>
  <c r="EE17" i="17"/>
  <c r="EF17" i="17"/>
  <c r="EG17" i="17"/>
  <c r="EH17" i="17"/>
  <c r="EI17" i="17"/>
  <c r="EJ17" i="17"/>
  <c r="EK17" i="17"/>
  <c r="EL17" i="17"/>
  <c r="EM17" i="17"/>
  <c r="EN17" i="17"/>
  <c r="EO17" i="17"/>
  <c r="EP17" i="17"/>
  <c r="EQ17" i="17"/>
  <c r="ER17" i="17"/>
  <c r="ES17" i="17"/>
  <c r="ET17" i="17"/>
  <c r="EU17" i="17"/>
  <c r="EV17" i="17"/>
  <c r="EW17" i="17"/>
  <c r="EX17" i="17"/>
  <c r="EY17" i="17"/>
  <c r="EZ17" i="17"/>
  <c r="FA17" i="17"/>
  <c r="FB17" i="17"/>
  <c r="FC17" i="17"/>
  <c r="FD17" i="17"/>
  <c r="FE17" i="17"/>
  <c r="FF17" i="17"/>
  <c r="FG17" i="17"/>
  <c r="FH17" i="17"/>
  <c r="FI17" i="17"/>
  <c r="FJ17" i="17"/>
  <c r="FK17" i="17"/>
  <c r="FL17" i="17"/>
  <c r="FM17" i="17"/>
  <c r="FN17" i="17"/>
  <c r="FO17" i="17"/>
  <c r="FP17" i="17"/>
  <c r="FQ17" i="17"/>
  <c r="FR17" i="17"/>
  <c r="FS17" i="17"/>
  <c r="FT17" i="17"/>
  <c r="FU17" i="17"/>
  <c r="FV17" i="17"/>
  <c r="FW17" i="17"/>
  <c r="FX17" i="17"/>
  <c r="FY17" i="17"/>
  <c r="FZ17" i="17"/>
  <c r="GA17" i="17"/>
  <c r="GB17" i="17"/>
  <c r="GC17" i="17"/>
  <c r="GD17" i="17"/>
  <c r="GE17" i="17"/>
  <c r="GF17" i="17"/>
  <c r="GG17" i="17"/>
  <c r="GH17" i="17"/>
  <c r="GI17" i="17"/>
  <c r="GJ17" i="17"/>
  <c r="GK17" i="17"/>
  <c r="GL17" i="17"/>
  <c r="GM17" i="17"/>
  <c r="GN17" i="17"/>
  <c r="GO17" i="17"/>
  <c r="GP17" i="17"/>
  <c r="GQ17" i="17"/>
  <c r="GR17" i="17"/>
  <c r="GS17" i="17"/>
  <c r="GT17" i="17"/>
  <c r="GU17" i="17"/>
  <c r="GV17" i="17"/>
  <c r="GW17" i="17"/>
  <c r="GX17" i="17"/>
  <c r="GY17" i="17"/>
  <c r="GZ17" i="17"/>
  <c r="HA17" i="17"/>
  <c r="HB17" i="17"/>
  <c r="HC17" i="17"/>
  <c r="HD17" i="17"/>
  <c r="HE17" i="17"/>
  <c r="HF17" i="17"/>
  <c r="HG17" i="17"/>
  <c r="HH17" i="17"/>
  <c r="HI17" i="17"/>
  <c r="HJ17" i="17"/>
  <c r="HK17" i="17"/>
  <c r="HL17" i="17"/>
  <c r="HM17" i="17"/>
  <c r="HN17" i="17"/>
  <c r="HO17" i="17"/>
  <c r="HP17" i="17"/>
  <c r="HQ17" i="17"/>
  <c r="HR17" i="17"/>
  <c r="HS17" i="17"/>
  <c r="HT17" i="17"/>
  <c r="HU17" i="17"/>
  <c r="HV17" i="17"/>
  <c r="HW17" i="17"/>
  <c r="HX17" i="17"/>
  <c r="HY17" i="17"/>
  <c r="HZ17" i="17"/>
  <c r="IA17" i="17"/>
  <c r="IB17" i="17"/>
  <c r="IC17" i="17"/>
  <c r="ID17" i="17"/>
  <c r="IE17" i="17"/>
  <c r="IF17" i="17"/>
  <c r="IG17" i="17"/>
  <c r="IH17" i="17"/>
  <c r="II17" i="17"/>
  <c r="IJ17" i="17"/>
  <c r="IK17" i="17"/>
  <c r="IL17" i="17"/>
  <c r="IM17" i="17"/>
  <c r="IN17" i="17"/>
  <c r="IO17" i="17"/>
  <c r="IP17" i="17"/>
  <c r="IQ17" i="17"/>
  <c r="IR17" i="17"/>
  <c r="IS17" i="17"/>
  <c r="IT17" i="17"/>
  <c r="IU17" i="17"/>
  <c r="IV17" i="17"/>
  <c r="A16" i="17"/>
  <c r="B16" i="17"/>
  <c r="C16" i="17"/>
  <c r="D16" i="17"/>
  <c r="E16" i="17"/>
  <c r="F16" i="17"/>
  <c r="G16" i="17"/>
  <c r="H16" i="17"/>
  <c r="I16" i="17"/>
  <c r="J16" i="17"/>
  <c r="K16" i="17"/>
  <c r="L16" i="17"/>
  <c r="M16" i="17"/>
  <c r="N16" i="17"/>
  <c r="O16" i="17"/>
  <c r="P16" i="17"/>
  <c r="Q16" i="17"/>
  <c r="R16" i="17"/>
  <c r="S16" i="17"/>
  <c r="T16" i="17"/>
  <c r="U16" i="17"/>
  <c r="V16" i="17"/>
  <c r="W16" i="17"/>
  <c r="X16" i="17"/>
  <c r="Y16" i="17"/>
  <c r="Z16" i="17"/>
  <c r="AA16" i="17"/>
  <c r="AB16" i="17"/>
  <c r="AC16" i="17"/>
  <c r="AD16" i="17"/>
  <c r="AE16" i="17"/>
  <c r="AF16" i="17"/>
  <c r="AG16" i="17"/>
  <c r="AH16" i="17"/>
  <c r="AI16" i="17"/>
  <c r="AJ16" i="17"/>
  <c r="AK16" i="17"/>
  <c r="AL16" i="17"/>
  <c r="AM16" i="17"/>
  <c r="AN16" i="17"/>
  <c r="AO16" i="17"/>
  <c r="AP16" i="17"/>
  <c r="AQ16" i="17"/>
  <c r="AR16" i="17"/>
  <c r="AS16" i="17"/>
  <c r="AT16" i="17"/>
  <c r="AU16" i="17"/>
  <c r="AV16" i="17"/>
  <c r="AW16" i="17"/>
  <c r="AX16" i="17"/>
  <c r="AY16" i="17"/>
  <c r="AZ16" i="17"/>
  <c r="BA16" i="17"/>
  <c r="BB16" i="17"/>
  <c r="BC16" i="17"/>
  <c r="BD16" i="17"/>
  <c r="BE16" i="17"/>
  <c r="BF16" i="17"/>
  <c r="BG16" i="17"/>
  <c r="BH16" i="17"/>
  <c r="BI16" i="17"/>
  <c r="BJ16" i="17"/>
  <c r="BK16" i="17"/>
  <c r="BL16" i="17"/>
  <c r="BM16" i="17"/>
  <c r="BN16" i="17"/>
  <c r="BO16" i="17"/>
  <c r="BP16" i="17"/>
  <c r="BQ16" i="17"/>
  <c r="BR16" i="17"/>
  <c r="BS16" i="17"/>
  <c r="BT16" i="17"/>
  <c r="BU16" i="17"/>
  <c r="BV16" i="17"/>
  <c r="BW16" i="17"/>
  <c r="BX16" i="17"/>
  <c r="BY16" i="17"/>
  <c r="BZ16" i="17"/>
  <c r="CA16" i="17"/>
  <c r="CB16" i="17"/>
  <c r="CC16" i="17"/>
  <c r="CD16" i="17"/>
  <c r="CE16" i="17"/>
  <c r="CF16" i="17"/>
  <c r="CG16" i="17"/>
  <c r="CH16" i="17"/>
  <c r="CI16" i="17"/>
  <c r="CJ16" i="17"/>
  <c r="CK16" i="17"/>
  <c r="CL16" i="17"/>
  <c r="CM16" i="17"/>
  <c r="CN16" i="17"/>
  <c r="CO16" i="17"/>
  <c r="CP16" i="17"/>
  <c r="CQ16" i="17"/>
  <c r="CR16" i="17"/>
  <c r="CS16" i="17"/>
  <c r="CT16" i="17"/>
  <c r="CU16" i="17"/>
  <c r="CV16" i="17"/>
  <c r="CW16" i="17"/>
  <c r="CX16" i="17"/>
  <c r="CY16" i="17"/>
  <c r="CZ16" i="17"/>
  <c r="DA16" i="17"/>
  <c r="DB16" i="17"/>
  <c r="DC16" i="17"/>
  <c r="DD16" i="17"/>
  <c r="DE16" i="17"/>
  <c r="DF16" i="17"/>
  <c r="DG16" i="17"/>
  <c r="DH16" i="17"/>
  <c r="DI16" i="17"/>
  <c r="DJ16" i="17"/>
  <c r="DK16" i="17"/>
  <c r="DL16" i="17"/>
  <c r="DM16" i="17"/>
  <c r="DN16" i="17"/>
  <c r="DO16" i="17"/>
  <c r="DP16" i="17"/>
  <c r="DQ16" i="17"/>
  <c r="DR16" i="17"/>
  <c r="DS16" i="17"/>
  <c r="DT16" i="17"/>
  <c r="DU16" i="17"/>
  <c r="DV16" i="17"/>
  <c r="DW16" i="17"/>
  <c r="DX16" i="17"/>
  <c r="DY16" i="17"/>
  <c r="DZ16" i="17"/>
  <c r="EA16" i="17"/>
  <c r="EB16" i="17"/>
  <c r="EC16" i="17"/>
  <c r="ED16" i="17"/>
  <c r="EE16" i="17"/>
  <c r="EF16" i="17"/>
  <c r="EG16" i="17"/>
  <c r="EH16" i="17"/>
  <c r="EI16" i="17"/>
  <c r="EJ16" i="17"/>
  <c r="EK16" i="17"/>
  <c r="EL16" i="17"/>
  <c r="EM16" i="17"/>
  <c r="EN16" i="17"/>
  <c r="EO16" i="17"/>
  <c r="EP16" i="17"/>
  <c r="EQ16" i="17"/>
  <c r="ER16" i="17"/>
  <c r="ES16" i="17"/>
  <c r="ET16" i="17"/>
  <c r="EU16" i="17"/>
  <c r="EV16" i="17"/>
  <c r="EW16" i="17"/>
  <c r="EX16" i="17"/>
  <c r="EY16" i="17"/>
  <c r="EZ16" i="17"/>
  <c r="FA16" i="17"/>
  <c r="FB16" i="17"/>
  <c r="FC16" i="17"/>
  <c r="FD16" i="17"/>
  <c r="FE16" i="17"/>
  <c r="FF16" i="17"/>
  <c r="FG16" i="17"/>
  <c r="FH16" i="17"/>
  <c r="FI16" i="17"/>
  <c r="FJ16" i="17"/>
  <c r="FK16" i="17"/>
  <c r="FL16" i="17"/>
  <c r="FM16" i="17"/>
  <c r="FN16" i="17"/>
  <c r="FO16" i="17"/>
  <c r="FP16" i="17"/>
  <c r="FQ16" i="17"/>
  <c r="FR16" i="17"/>
  <c r="FS16" i="17"/>
  <c r="FT16" i="17"/>
  <c r="FU16" i="17"/>
  <c r="FV16" i="17"/>
  <c r="FW16" i="17"/>
  <c r="FX16" i="17"/>
  <c r="FY16" i="17"/>
  <c r="FZ16" i="17"/>
  <c r="GA16" i="17"/>
  <c r="GB16" i="17"/>
  <c r="GC16" i="17"/>
  <c r="GD16" i="17"/>
  <c r="GE16" i="17"/>
  <c r="GF16" i="17"/>
  <c r="GG16" i="17"/>
  <c r="GH16" i="17"/>
  <c r="GI16" i="17"/>
  <c r="GJ16" i="17"/>
  <c r="GK16" i="17"/>
  <c r="GL16" i="17"/>
  <c r="GM16" i="17"/>
  <c r="GN16" i="17"/>
  <c r="GO16" i="17"/>
  <c r="GP16" i="17"/>
  <c r="GQ16" i="17"/>
  <c r="GR16" i="17"/>
  <c r="GS16" i="17"/>
  <c r="GT16" i="17"/>
  <c r="GU16" i="17"/>
  <c r="GV16" i="17"/>
  <c r="GW16" i="17"/>
  <c r="GX16" i="17"/>
  <c r="GY16" i="17"/>
  <c r="GZ16" i="17"/>
  <c r="HA16" i="17"/>
  <c r="HB16" i="17"/>
  <c r="HC16" i="17"/>
  <c r="HD16" i="17"/>
  <c r="HE16" i="17"/>
  <c r="HF16" i="17"/>
  <c r="HG16" i="17"/>
  <c r="HH16" i="17"/>
  <c r="HI16" i="17"/>
  <c r="HJ16" i="17"/>
  <c r="HK16" i="17"/>
  <c r="HL16" i="17"/>
  <c r="HM16" i="17"/>
  <c r="HN16" i="17"/>
  <c r="HO16" i="17"/>
  <c r="HP16" i="17"/>
  <c r="HQ16" i="17"/>
  <c r="HR16" i="17"/>
  <c r="HS16" i="17"/>
  <c r="HT16" i="17"/>
  <c r="HU16" i="17"/>
  <c r="HV16" i="17"/>
  <c r="HW16" i="17"/>
  <c r="HX16" i="17"/>
  <c r="HY16" i="17"/>
  <c r="HZ16" i="17"/>
  <c r="IA16" i="17"/>
  <c r="IB16" i="17"/>
  <c r="IC16" i="17"/>
  <c r="ID16" i="17"/>
  <c r="IE16" i="17"/>
  <c r="IF16" i="17"/>
  <c r="IG16" i="17"/>
  <c r="IH16" i="17"/>
  <c r="II16" i="17"/>
  <c r="IJ16" i="17"/>
  <c r="IK16" i="17"/>
  <c r="IL16" i="17"/>
  <c r="IM16" i="17"/>
  <c r="IN16" i="17"/>
  <c r="IO16" i="17"/>
  <c r="IP16" i="17"/>
  <c r="IQ16" i="17"/>
  <c r="IR16" i="17"/>
  <c r="IS16" i="17"/>
  <c r="IT16" i="17"/>
  <c r="IU16" i="17"/>
  <c r="IV16" i="17"/>
  <c r="A15" i="17"/>
  <c r="B15" i="17"/>
  <c r="C15" i="17"/>
  <c r="D15" i="17"/>
  <c r="F15" i="17"/>
  <c r="G15" i="17"/>
  <c r="H15" i="17"/>
  <c r="I15" i="17"/>
  <c r="J15" i="17"/>
  <c r="K15" i="17"/>
  <c r="L15" i="17"/>
  <c r="M15" i="17"/>
  <c r="N15" i="17"/>
  <c r="O15" i="17"/>
  <c r="P15" i="17"/>
  <c r="Q15" i="17"/>
  <c r="R15" i="17"/>
  <c r="S15" i="17"/>
  <c r="T15" i="17"/>
  <c r="U15" i="17"/>
  <c r="V15" i="17"/>
  <c r="W15" i="17"/>
  <c r="X15" i="17"/>
  <c r="Y15" i="17"/>
  <c r="Z15" i="17"/>
  <c r="AA15" i="17"/>
  <c r="AB15" i="17"/>
  <c r="AC15" i="17"/>
  <c r="AD15" i="17"/>
  <c r="AE15" i="17"/>
  <c r="AF15" i="17"/>
  <c r="AG15" i="17"/>
  <c r="AH15" i="17"/>
  <c r="AI15" i="17"/>
  <c r="AJ15" i="17"/>
  <c r="AK15" i="17"/>
  <c r="AL15" i="17"/>
  <c r="AM15" i="17"/>
  <c r="AN15" i="17"/>
  <c r="AO15" i="17"/>
  <c r="AP15" i="17"/>
  <c r="AQ15" i="17"/>
  <c r="AR15" i="17"/>
  <c r="AS15" i="17"/>
  <c r="AT15" i="17"/>
  <c r="AU15" i="17"/>
  <c r="AV15" i="17"/>
  <c r="AW15" i="17"/>
  <c r="AX15" i="17"/>
  <c r="AY15" i="17"/>
  <c r="AZ15" i="17"/>
  <c r="BA15" i="17"/>
  <c r="BB15" i="17"/>
  <c r="BC15" i="17"/>
  <c r="BD15" i="17"/>
  <c r="BE15" i="17"/>
  <c r="BF15" i="17"/>
  <c r="BG15" i="17"/>
  <c r="BH15" i="17"/>
  <c r="BI15" i="17"/>
  <c r="BJ15" i="17"/>
  <c r="BK15" i="17"/>
  <c r="BL15" i="17"/>
  <c r="BM15" i="17"/>
  <c r="BN15" i="17"/>
  <c r="BO15" i="17"/>
  <c r="BP15" i="17"/>
  <c r="BQ15" i="17"/>
  <c r="BR15" i="17"/>
  <c r="BS15" i="17"/>
  <c r="BT15" i="17"/>
  <c r="BU15" i="17"/>
  <c r="BV15" i="17"/>
  <c r="BW15" i="17"/>
  <c r="BX15" i="17"/>
  <c r="BY15" i="17"/>
  <c r="BZ15" i="17"/>
  <c r="CA15" i="17"/>
  <c r="CB15" i="17"/>
  <c r="CC15" i="17"/>
  <c r="CD15" i="17"/>
  <c r="CE15" i="17"/>
  <c r="CF15" i="17"/>
  <c r="CG15" i="17"/>
  <c r="CH15" i="17"/>
  <c r="CI15" i="17"/>
  <c r="CJ15" i="17"/>
  <c r="CK15" i="17"/>
  <c r="CL15" i="17"/>
  <c r="CM15" i="17"/>
  <c r="CN15" i="17"/>
  <c r="CO15" i="17"/>
  <c r="CP15" i="17"/>
  <c r="CQ15" i="17"/>
  <c r="CR15" i="17"/>
  <c r="CS15" i="17"/>
  <c r="CT15" i="17"/>
  <c r="CU15" i="17"/>
  <c r="CV15" i="17"/>
  <c r="CW15" i="17"/>
  <c r="CX15" i="17"/>
  <c r="CY15" i="17"/>
  <c r="CZ15" i="17"/>
  <c r="DA15" i="17"/>
  <c r="DB15" i="17"/>
  <c r="DC15" i="17"/>
  <c r="DD15" i="17"/>
  <c r="DE15" i="17"/>
  <c r="DF15" i="17"/>
  <c r="DG15" i="17"/>
  <c r="DH15" i="17"/>
  <c r="DI15" i="17"/>
  <c r="DJ15" i="17"/>
  <c r="DK15" i="17"/>
  <c r="DL15" i="17"/>
  <c r="DM15" i="17"/>
  <c r="DN15" i="17"/>
  <c r="DO15" i="17"/>
  <c r="DP15" i="17"/>
  <c r="DQ15" i="17"/>
  <c r="DR15" i="17"/>
  <c r="DS15" i="17"/>
  <c r="DT15" i="17"/>
  <c r="DU15" i="17"/>
  <c r="DV15" i="17"/>
  <c r="DW15" i="17"/>
  <c r="DX15" i="17"/>
  <c r="DY15" i="17"/>
  <c r="DZ15" i="17"/>
  <c r="EA15" i="17"/>
  <c r="EB15" i="17"/>
  <c r="EC15" i="17"/>
  <c r="ED15" i="17"/>
  <c r="EE15" i="17"/>
  <c r="EF15" i="17"/>
  <c r="EG15" i="17"/>
  <c r="EH15" i="17"/>
  <c r="EI15" i="17"/>
  <c r="EJ15" i="17"/>
  <c r="EK15" i="17"/>
  <c r="EL15" i="17"/>
  <c r="EM15" i="17"/>
  <c r="EN15" i="17"/>
  <c r="EO15" i="17"/>
  <c r="EP15" i="17"/>
  <c r="EQ15" i="17"/>
  <c r="ER15" i="17"/>
  <c r="ES15" i="17"/>
  <c r="ET15" i="17"/>
  <c r="EU15" i="17"/>
  <c r="EV15" i="17"/>
  <c r="EW15" i="17"/>
  <c r="EX15" i="17"/>
  <c r="EY15" i="17"/>
  <c r="EZ15" i="17"/>
  <c r="FA15" i="17"/>
  <c r="FB15" i="17"/>
  <c r="FC15" i="17"/>
  <c r="FD15" i="17"/>
  <c r="FE15" i="17"/>
  <c r="FF15" i="17"/>
  <c r="FG15" i="17"/>
  <c r="FH15" i="17"/>
  <c r="FI15" i="17"/>
  <c r="FJ15" i="17"/>
  <c r="FK15" i="17"/>
  <c r="FL15" i="17"/>
  <c r="FM15" i="17"/>
  <c r="FN15" i="17"/>
  <c r="FO15" i="17"/>
  <c r="FP15" i="17"/>
  <c r="FQ15" i="17"/>
  <c r="FR15" i="17"/>
  <c r="FS15" i="17"/>
  <c r="FT15" i="17"/>
  <c r="FU15" i="17"/>
  <c r="FV15" i="17"/>
  <c r="FW15" i="17"/>
  <c r="FX15" i="17"/>
  <c r="FY15" i="17"/>
  <c r="FZ15" i="17"/>
  <c r="GA15" i="17"/>
  <c r="GB15" i="17"/>
  <c r="GC15" i="17"/>
  <c r="GD15" i="17"/>
  <c r="GE15" i="17"/>
  <c r="GF15" i="17"/>
  <c r="GG15" i="17"/>
  <c r="GH15" i="17"/>
  <c r="GI15" i="17"/>
  <c r="GJ15" i="17"/>
  <c r="GK15" i="17"/>
  <c r="GL15" i="17"/>
  <c r="GM15" i="17"/>
  <c r="GN15" i="17"/>
  <c r="GO15" i="17"/>
  <c r="GP15" i="17"/>
  <c r="GQ15" i="17"/>
  <c r="GR15" i="17"/>
  <c r="GS15" i="17"/>
  <c r="GT15" i="17"/>
  <c r="GU15" i="17"/>
  <c r="GV15" i="17"/>
  <c r="GW15" i="17"/>
  <c r="GX15" i="17"/>
  <c r="GY15" i="17"/>
  <c r="GZ15" i="17"/>
  <c r="HA15" i="17"/>
  <c r="HB15" i="17"/>
  <c r="HC15" i="17"/>
  <c r="HD15" i="17"/>
  <c r="HE15" i="17"/>
  <c r="HF15" i="17"/>
  <c r="HG15" i="17"/>
  <c r="HH15" i="17"/>
  <c r="HI15" i="17"/>
  <c r="HJ15" i="17"/>
  <c r="HK15" i="17"/>
  <c r="HL15" i="17"/>
  <c r="HM15" i="17"/>
  <c r="HN15" i="17"/>
  <c r="HO15" i="17"/>
  <c r="HP15" i="17"/>
  <c r="HQ15" i="17"/>
  <c r="HR15" i="17"/>
  <c r="HS15" i="17"/>
  <c r="HT15" i="17"/>
  <c r="HU15" i="17"/>
  <c r="HV15" i="17"/>
  <c r="HW15" i="17"/>
  <c r="HX15" i="17"/>
  <c r="HY15" i="17"/>
  <c r="HZ15" i="17"/>
  <c r="IA15" i="17"/>
  <c r="IB15" i="17"/>
  <c r="IC15" i="17"/>
  <c r="ID15" i="17"/>
  <c r="IE15" i="17"/>
  <c r="IF15" i="17"/>
  <c r="IG15" i="17"/>
  <c r="IH15" i="17"/>
  <c r="II15" i="17"/>
  <c r="IJ15" i="17"/>
  <c r="IK15" i="17"/>
  <c r="IL15" i="17"/>
  <c r="IM15" i="17"/>
  <c r="IN15" i="17"/>
  <c r="IO15" i="17"/>
  <c r="IP15" i="17"/>
  <c r="IQ15" i="17"/>
  <c r="IR15" i="17"/>
  <c r="IS15" i="17"/>
  <c r="IT15" i="17"/>
  <c r="IU15" i="17"/>
  <c r="IV15" i="17"/>
  <c r="A14" i="17"/>
  <c r="B14" i="17"/>
  <c r="C14" i="17"/>
  <c r="D14" i="17"/>
  <c r="E14" i="17"/>
  <c r="F14" i="17"/>
  <c r="G14" i="17"/>
  <c r="H14" i="17"/>
  <c r="I14" i="17"/>
  <c r="J14" i="17"/>
  <c r="K14" i="17"/>
  <c r="L14" i="17"/>
  <c r="M14" i="17"/>
  <c r="N14" i="17"/>
  <c r="O14" i="17"/>
  <c r="P14" i="17"/>
  <c r="Q14" i="17"/>
  <c r="R14" i="17"/>
  <c r="S14" i="17"/>
  <c r="T14" i="17"/>
  <c r="U14" i="17"/>
  <c r="V14" i="17"/>
  <c r="W14" i="17"/>
  <c r="X14" i="17"/>
  <c r="Y14" i="17"/>
  <c r="Z14" i="17"/>
  <c r="AB14" i="17"/>
  <c r="AC14" i="17"/>
  <c r="AD14" i="17"/>
  <c r="AE14" i="17"/>
  <c r="AF14" i="17"/>
  <c r="AG14" i="17"/>
  <c r="AH14" i="17"/>
  <c r="AI14" i="17"/>
  <c r="AJ14" i="17"/>
  <c r="AK14" i="17"/>
  <c r="AL14" i="17"/>
  <c r="AM14" i="17"/>
  <c r="AN14" i="17"/>
  <c r="AO14" i="17"/>
  <c r="AP14" i="17"/>
  <c r="AQ14" i="17"/>
  <c r="AR14" i="17"/>
  <c r="AS14" i="17"/>
  <c r="AT14" i="17"/>
  <c r="AU14" i="17"/>
  <c r="AV14" i="17"/>
  <c r="AW14" i="17"/>
  <c r="AX14" i="17"/>
  <c r="AY14" i="17"/>
  <c r="AZ14" i="17"/>
  <c r="BA14" i="17"/>
  <c r="BB14" i="17"/>
  <c r="BC14" i="17"/>
  <c r="BD14" i="17"/>
  <c r="BE14" i="17"/>
  <c r="BF14" i="17"/>
  <c r="BG14" i="17"/>
  <c r="BH14" i="17"/>
  <c r="BI14" i="17"/>
  <c r="BJ14" i="17"/>
  <c r="BK14" i="17"/>
  <c r="BL14" i="17"/>
  <c r="BM14" i="17"/>
  <c r="BN14" i="17"/>
  <c r="BO14" i="17"/>
  <c r="BP14" i="17"/>
  <c r="BQ14" i="17"/>
  <c r="BR14" i="17"/>
  <c r="BS14" i="17"/>
  <c r="BT14" i="17"/>
  <c r="BU14" i="17"/>
  <c r="BV14" i="17"/>
  <c r="BW14" i="17"/>
  <c r="BX14" i="17"/>
  <c r="BY14" i="17"/>
  <c r="BZ14" i="17"/>
  <c r="CA14" i="17"/>
  <c r="CB14" i="17"/>
  <c r="CC14" i="17"/>
  <c r="CD14" i="17"/>
  <c r="CE14" i="17"/>
  <c r="CF14" i="17"/>
  <c r="CG14" i="17"/>
  <c r="CH14" i="17"/>
  <c r="CI14" i="17"/>
  <c r="CJ14" i="17"/>
  <c r="CK14" i="17"/>
  <c r="CL14" i="17"/>
  <c r="CM14" i="17"/>
  <c r="CN14" i="17"/>
  <c r="CO14" i="17"/>
  <c r="CP14" i="17"/>
  <c r="CQ14" i="17"/>
  <c r="CR14" i="17"/>
  <c r="CS14" i="17"/>
  <c r="CT14" i="17"/>
  <c r="CU14" i="17"/>
  <c r="CV14" i="17"/>
  <c r="CW14" i="17"/>
  <c r="CX14" i="17"/>
  <c r="CY14" i="17"/>
  <c r="CZ14" i="17"/>
  <c r="DA14" i="17"/>
  <c r="DB14" i="17"/>
  <c r="DC14" i="17"/>
  <c r="DD14" i="17"/>
  <c r="DE14" i="17"/>
  <c r="DF14" i="17"/>
  <c r="DG14" i="17"/>
  <c r="DH14" i="17"/>
  <c r="DI14" i="17"/>
  <c r="DJ14" i="17"/>
  <c r="DK14" i="17"/>
  <c r="DL14" i="17"/>
  <c r="DM14" i="17"/>
  <c r="DN14" i="17"/>
  <c r="DO14" i="17"/>
  <c r="DP14" i="17"/>
  <c r="DQ14" i="17"/>
  <c r="DR14" i="17"/>
  <c r="DS14" i="17"/>
  <c r="DT14" i="17"/>
  <c r="DU14" i="17"/>
  <c r="DV14" i="17"/>
  <c r="DW14" i="17"/>
  <c r="DX14" i="17"/>
  <c r="DY14" i="17"/>
  <c r="DZ14" i="17"/>
  <c r="EA14" i="17"/>
  <c r="EB14" i="17"/>
  <c r="EC14" i="17"/>
  <c r="ED14" i="17"/>
  <c r="EE14" i="17"/>
  <c r="EF14" i="17"/>
  <c r="EG14" i="17"/>
  <c r="EH14" i="17"/>
  <c r="EI14" i="17"/>
  <c r="EJ14" i="17"/>
  <c r="EK14" i="17"/>
  <c r="EL14" i="17"/>
  <c r="EM14" i="17"/>
  <c r="EN14" i="17"/>
  <c r="EO14" i="17"/>
  <c r="EP14" i="17"/>
  <c r="EQ14" i="17"/>
  <c r="ER14" i="17"/>
  <c r="ES14" i="17"/>
  <c r="ET14" i="17"/>
  <c r="EU14" i="17"/>
  <c r="EV14" i="17"/>
  <c r="EW14" i="17"/>
  <c r="EX14" i="17"/>
  <c r="EY14" i="17"/>
  <c r="EZ14" i="17"/>
  <c r="FA14" i="17"/>
  <c r="FB14" i="17"/>
  <c r="FC14" i="17"/>
  <c r="FD14" i="17"/>
  <c r="FE14" i="17"/>
  <c r="FF14" i="17"/>
  <c r="FG14" i="17"/>
  <c r="FH14" i="17"/>
  <c r="FI14" i="17"/>
  <c r="FJ14" i="17"/>
  <c r="FK14" i="17"/>
  <c r="FL14" i="17"/>
  <c r="FM14" i="17"/>
  <c r="FN14" i="17"/>
  <c r="FO14" i="17"/>
  <c r="FP14" i="17"/>
  <c r="FQ14" i="17"/>
  <c r="FR14" i="17"/>
  <c r="FS14" i="17"/>
  <c r="FT14" i="17"/>
  <c r="FU14" i="17"/>
  <c r="FV14" i="17"/>
  <c r="FW14" i="17"/>
  <c r="FX14" i="17"/>
  <c r="FY14" i="17"/>
  <c r="FZ14" i="17"/>
  <c r="GA14" i="17"/>
  <c r="GB14" i="17"/>
  <c r="GC14" i="17"/>
  <c r="GD14" i="17"/>
  <c r="GE14" i="17"/>
  <c r="GF14" i="17"/>
  <c r="GG14" i="17"/>
  <c r="GH14" i="17"/>
  <c r="GI14" i="17"/>
  <c r="GJ14" i="17"/>
  <c r="GK14" i="17"/>
  <c r="GL14" i="17"/>
  <c r="GM14" i="17"/>
  <c r="GN14" i="17"/>
  <c r="GO14" i="17"/>
  <c r="GP14" i="17"/>
  <c r="GQ14" i="17"/>
  <c r="GR14" i="17"/>
  <c r="GS14" i="17"/>
  <c r="GT14" i="17"/>
  <c r="GU14" i="17"/>
  <c r="GV14" i="17"/>
  <c r="GW14" i="17"/>
  <c r="GX14" i="17"/>
  <c r="GY14" i="17"/>
  <c r="GZ14" i="17"/>
  <c r="HA14" i="17"/>
  <c r="HB14" i="17"/>
  <c r="HC14" i="17"/>
  <c r="HD14" i="17"/>
  <c r="HE14" i="17"/>
  <c r="HF14" i="17"/>
  <c r="HG14" i="17"/>
  <c r="HH14" i="17"/>
  <c r="HI14" i="17"/>
  <c r="HJ14" i="17"/>
  <c r="HK14" i="17"/>
  <c r="HL14" i="17"/>
  <c r="HM14" i="17"/>
  <c r="HN14" i="17"/>
  <c r="HO14" i="17"/>
  <c r="HP14" i="17"/>
  <c r="HQ14" i="17"/>
  <c r="HR14" i="17"/>
  <c r="HS14" i="17"/>
  <c r="HT14" i="17"/>
  <c r="HU14" i="17"/>
  <c r="HV14" i="17"/>
  <c r="HW14" i="17"/>
  <c r="HX14" i="17"/>
  <c r="HY14" i="17"/>
  <c r="HZ14" i="17"/>
  <c r="IA14" i="17"/>
  <c r="IB14" i="17"/>
  <c r="IC14" i="17"/>
  <c r="ID14" i="17"/>
  <c r="IE14" i="17"/>
  <c r="IF14" i="17"/>
  <c r="IG14" i="17"/>
  <c r="IH14" i="17"/>
  <c r="II14" i="17"/>
  <c r="IJ14" i="17"/>
  <c r="IK14" i="17"/>
  <c r="IL14" i="17"/>
  <c r="IM14" i="17"/>
  <c r="IN14" i="17"/>
  <c r="IO14" i="17"/>
  <c r="IP14" i="17"/>
  <c r="IQ14" i="17"/>
  <c r="IR14" i="17"/>
  <c r="IS14" i="17"/>
  <c r="IT14" i="17"/>
  <c r="IU14" i="17"/>
  <c r="IV14" i="17"/>
  <c r="A13" i="17"/>
  <c r="B13" i="17"/>
  <c r="C13" i="17"/>
  <c r="D13" i="17"/>
  <c r="E13" i="17"/>
  <c r="F13" i="17"/>
  <c r="G13" i="17"/>
  <c r="H13" i="17"/>
  <c r="I13" i="17"/>
  <c r="K13" i="17"/>
  <c r="L13" i="17"/>
  <c r="M13" i="17"/>
  <c r="N13" i="17"/>
  <c r="O13" i="17"/>
  <c r="P13" i="17"/>
  <c r="Q13" i="17"/>
  <c r="R13" i="17"/>
  <c r="S13" i="17"/>
  <c r="T13" i="17"/>
  <c r="U13" i="17"/>
  <c r="V13" i="17"/>
  <c r="W13" i="17"/>
  <c r="X13" i="17"/>
  <c r="Y13" i="17"/>
  <c r="Z13" i="17"/>
  <c r="AA13" i="17"/>
  <c r="AB13" i="17"/>
  <c r="AC13" i="17"/>
  <c r="AD13" i="17"/>
  <c r="AE13" i="17"/>
  <c r="AF13" i="17"/>
  <c r="AG13" i="17"/>
  <c r="AH13" i="17"/>
  <c r="AI13" i="17"/>
  <c r="AJ13" i="17"/>
  <c r="AK13" i="17"/>
  <c r="AL13" i="17"/>
  <c r="AM13" i="17"/>
  <c r="AN13" i="17"/>
  <c r="AO13" i="17"/>
  <c r="AP13" i="17"/>
  <c r="AQ13" i="17"/>
  <c r="AR13" i="17"/>
  <c r="AS13" i="17"/>
  <c r="AT13" i="17"/>
  <c r="AU13" i="17"/>
  <c r="AV13" i="17"/>
  <c r="AW13" i="17"/>
  <c r="AX13" i="17"/>
  <c r="AY13" i="17"/>
  <c r="AZ13" i="17"/>
  <c r="BA13" i="17"/>
  <c r="BB13" i="17"/>
  <c r="BC13" i="17"/>
  <c r="BD13" i="17"/>
  <c r="BE13" i="17"/>
  <c r="BF13" i="17"/>
  <c r="BG13" i="17"/>
  <c r="BH13" i="17"/>
  <c r="BI13" i="17"/>
  <c r="BJ13" i="17"/>
  <c r="BK13" i="17"/>
  <c r="BL13" i="17"/>
  <c r="BM13" i="17"/>
  <c r="BN13" i="17"/>
  <c r="BO13" i="17"/>
  <c r="BP13" i="17"/>
  <c r="BQ13" i="17"/>
  <c r="BR13" i="17"/>
  <c r="BS13" i="17"/>
  <c r="BT13" i="17"/>
  <c r="BU13" i="17"/>
  <c r="BV13" i="17"/>
  <c r="BW13" i="17"/>
  <c r="BX13" i="17"/>
  <c r="BY13" i="17"/>
  <c r="BZ13" i="17"/>
  <c r="CA13" i="17"/>
  <c r="CB13" i="17"/>
  <c r="CC13" i="17"/>
  <c r="CD13" i="17"/>
  <c r="CE13" i="17"/>
  <c r="CF13" i="17"/>
  <c r="CG13" i="17"/>
  <c r="CH13" i="17"/>
  <c r="CI13" i="17"/>
  <c r="CJ13" i="17"/>
  <c r="CK13" i="17"/>
  <c r="CL13" i="17"/>
  <c r="CM13" i="17"/>
  <c r="CN13" i="17"/>
  <c r="CO13" i="17"/>
  <c r="CP13" i="17"/>
  <c r="CQ13" i="17"/>
  <c r="CR13" i="17"/>
  <c r="CS13" i="17"/>
  <c r="CT13" i="17"/>
  <c r="CU13" i="17"/>
  <c r="CV13" i="17"/>
  <c r="CW13" i="17"/>
  <c r="CX13" i="17"/>
  <c r="CY13" i="17"/>
  <c r="CZ13" i="17"/>
  <c r="DA13" i="17"/>
  <c r="DB13" i="17"/>
  <c r="DC13" i="17"/>
  <c r="DD13" i="17"/>
  <c r="DE13" i="17"/>
  <c r="DF13" i="17"/>
  <c r="DG13" i="17"/>
  <c r="DH13" i="17"/>
  <c r="DI13" i="17"/>
  <c r="DJ13" i="17"/>
  <c r="DK13" i="17"/>
  <c r="DL13" i="17"/>
  <c r="DM13" i="17"/>
  <c r="DN13" i="17"/>
  <c r="DO13" i="17"/>
  <c r="DP13" i="17"/>
  <c r="DQ13" i="17"/>
  <c r="DR13" i="17"/>
  <c r="DS13" i="17"/>
  <c r="DT13" i="17"/>
  <c r="DU13" i="17"/>
  <c r="DV13" i="17"/>
  <c r="DW13" i="17"/>
  <c r="DX13" i="17"/>
  <c r="DY13" i="17"/>
  <c r="DZ13" i="17"/>
  <c r="EA13" i="17"/>
  <c r="EB13" i="17"/>
  <c r="EC13" i="17"/>
  <c r="ED13" i="17"/>
  <c r="EE13" i="17"/>
  <c r="EF13" i="17"/>
  <c r="EG13" i="17"/>
  <c r="EH13" i="17"/>
  <c r="EI13" i="17"/>
  <c r="EJ13" i="17"/>
  <c r="EK13" i="17"/>
  <c r="EL13" i="17"/>
  <c r="EM13" i="17"/>
  <c r="EN13" i="17"/>
  <c r="EO13" i="17"/>
  <c r="EP13" i="17"/>
  <c r="EQ13" i="17"/>
  <c r="ER13" i="17"/>
  <c r="ES13" i="17"/>
  <c r="ET13" i="17"/>
  <c r="EU13" i="17"/>
  <c r="EV13" i="17"/>
  <c r="EW13" i="17"/>
  <c r="EX13" i="17"/>
  <c r="EY13" i="17"/>
  <c r="EZ13" i="17"/>
  <c r="FA13" i="17"/>
  <c r="FB13" i="17"/>
  <c r="FC13" i="17"/>
  <c r="FD13" i="17"/>
  <c r="FE13" i="17"/>
  <c r="FF13" i="17"/>
  <c r="FG13" i="17"/>
  <c r="FH13" i="17"/>
  <c r="FI13" i="17"/>
  <c r="FJ13" i="17"/>
  <c r="FK13" i="17"/>
  <c r="FL13" i="17"/>
  <c r="FM13" i="17"/>
  <c r="FN13" i="17"/>
  <c r="FO13" i="17"/>
  <c r="FP13" i="17"/>
  <c r="FQ13" i="17"/>
  <c r="FR13" i="17"/>
  <c r="FS13" i="17"/>
  <c r="FT13" i="17"/>
  <c r="FU13" i="17"/>
  <c r="FV13" i="17"/>
  <c r="FW13" i="17"/>
  <c r="FX13" i="17"/>
  <c r="FY13" i="17"/>
  <c r="FZ13" i="17"/>
  <c r="GA13" i="17"/>
  <c r="GB13" i="17"/>
  <c r="GC13" i="17"/>
  <c r="GD13" i="17"/>
  <c r="GE13" i="17"/>
  <c r="GF13" i="17"/>
  <c r="GG13" i="17"/>
  <c r="GH13" i="17"/>
  <c r="GI13" i="17"/>
  <c r="GJ13" i="17"/>
  <c r="GK13" i="17"/>
  <c r="GL13" i="17"/>
  <c r="GM13" i="17"/>
  <c r="GN13" i="17"/>
  <c r="GO13" i="17"/>
  <c r="GP13" i="17"/>
  <c r="GQ13" i="17"/>
  <c r="GR13" i="17"/>
  <c r="GS13" i="17"/>
  <c r="GT13" i="17"/>
  <c r="GU13" i="17"/>
  <c r="GV13" i="17"/>
  <c r="GW13" i="17"/>
  <c r="GX13" i="17"/>
  <c r="GY13" i="17"/>
  <c r="GZ13" i="17"/>
  <c r="HA13" i="17"/>
  <c r="HB13" i="17"/>
  <c r="HC13" i="17"/>
  <c r="HD13" i="17"/>
  <c r="HE13" i="17"/>
  <c r="HF13" i="17"/>
  <c r="HG13" i="17"/>
  <c r="HH13" i="17"/>
  <c r="HI13" i="17"/>
  <c r="HJ13" i="17"/>
  <c r="HK13" i="17"/>
  <c r="HL13" i="17"/>
  <c r="HM13" i="17"/>
  <c r="HN13" i="17"/>
  <c r="HO13" i="17"/>
  <c r="HP13" i="17"/>
  <c r="HQ13" i="17"/>
  <c r="HR13" i="17"/>
  <c r="HS13" i="17"/>
  <c r="HT13" i="17"/>
  <c r="HU13" i="17"/>
  <c r="HV13" i="17"/>
  <c r="HW13" i="17"/>
  <c r="HX13" i="17"/>
  <c r="HY13" i="17"/>
  <c r="HZ13" i="17"/>
  <c r="IA13" i="17"/>
  <c r="IB13" i="17"/>
  <c r="IC13" i="17"/>
  <c r="ID13" i="17"/>
  <c r="IE13" i="17"/>
  <c r="IF13" i="17"/>
  <c r="IG13" i="17"/>
  <c r="IH13" i="17"/>
  <c r="II13" i="17"/>
  <c r="IJ13" i="17"/>
  <c r="IK13" i="17"/>
  <c r="IL13" i="17"/>
  <c r="IM13" i="17"/>
  <c r="IN13" i="17"/>
  <c r="IO13" i="17"/>
  <c r="IP13" i="17"/>
  <c r="IQ13" i="17"/>
  <c r="IR13" i="17"/>
  <c r="IS13" i="17"/>
  <c r="IT13" i="17"/>
  <c r="IU13" i="17"/>
  <c r="IV13" i="17"/>
  <c r="A12" i="17"/>
  <c r="B12" i="17"/>
  <c r="C12" i="17"/>
  <c r="D12" i="17"/>
  <c r="E12" i="17"/>
  <c r="F12" i="17"/>
  <c r="G12" i="17"/>
  <c r="H12" i="17"/>
  <c r="I12" i="17"/>
  <c r="J12" i="17"/>
  <c r="K12" i="17"/>
  <c r="L12" i="17"/>
  <c r="M12" i="17"/>
  <c r="N12" i="17"/>
  <c r="O12" i="17"/>
  <c r="P12" i="17"/>
  <c r="Q12" i="17"/>
  <c r="R12" i="17"/>
  <c r="S12" i="17"/>
  <c r="T12" i="17"/>
  <c r="U12" i="17"/>
  <c r="V12" i="17"/>
  <c r="W12" i="17"/>
  <c r="X12" i="17"/>
  <c r="Y12" i="17"/>
  <c r="Z12" i="17"/>
  <c r="AA12" i="17"/>
  <c r="AB12" i="17"/>
  <c r="AC12" i="17"/>
  <c r="AD12" i="17"/>
  <c r="AE12" i="17"/>
  <c r="AF12" i="17"/>
  <c r="AG12" i="17"/>
  <c r="AH12" i="17"/>
  <c r="AI12" i="17"/>
  <c r="AJ12" i="17"/>
  <c r="AK12" i="17"/>
  <c r="AL12" i="17"/>
  <c r="AM12" i="17"/>
  <c r="AN12" i="17"/>
  <c r="AO12" i="17"/>
  <c r="AP12" i="17"/>
  <c r="AQ12" i="17"/>
  <c r="AR12" i="17"/>
  <c r="AS12" i="17"/>
  <c r="AT12" i="17"/>
  <c r="AU12" i="17"/>
  <c r="AV12" i="17"/>
  <c r="AW12" i="17"/>
  <c r="AX12" i="17"/>
  <c r="AY12" i="17"/>
  <c r="AZ12" i="17"/>
  <c r="BA12" i="17"/>
  <c r="BB12" i="17"/>
  <c r="BC12" i="17"/>
  <c r="BD12" i="17"/>
  <c r="BE12" i="17"/>
  <c r="BF12" i="17"/>
  <c r="BG12" i="17"/>
  <c r="BH12" i="17"/>
  <c r="BI12" i="17"/>
  <c r="BJ12" i="17"/>
  <c r="BK12" i="17"/>
  <c r="BL12" i="17"/>
  <c r="BM12" i="17"/>
  <c r="BN12" i="17"/>
  <c r="BO12" i="17"/>
  <c r="BP12" i="17"/>
  <c r="BQ12" i="17"/>
  <c r="BR12" i="17"/>
  <c r="BS12" i="17"/>
  <c r="BT12" i="17"/>
  <c r="BU12" i="17"/>
  <c r="BV12" i="17"/>
  <c r="BW12" i="17"/>
  <c r="BX12" i="17"/>
  <c r="BY12" i="17"/>
  <c r="BZ12" i="17"/>
  <c r="CA12" i="17"/>
  <c r="CB12" i="17"/>
  <c r="CC12" i="17"/>
  <c r="CD12" i="17"/>
  <c r="CE12" i="17"/>
  <c r="CF12" i="17"/>
  <c r="CG12" i="17"/>
  <c r="CH12" i="17"/>
  <c r="CI12" i="17"/>
  <c r="CJ12" i="17"/>
  <c r="CK12" i="17"/>
  <c r="CL12" i="17"/>
  <c r="CM12" i="17"/>
  <c r="CN12" i="17"/>
  <c r="CO12" i="17"/>
  <c r="CP12" i="17"/>
  <c r="CQ12" i="17"/>
  <c r="CR12" i="17"/>
  <c r="CS12" i="17"/>
  <c r="CT12" i="17"/>
  <c r="CU12" i="17"/>
  <c r="CV12" i="17"/>
  <c r="CW12" i="17"/>
  <c r="CX12" i="17"/>
  <c r="CY12" i="17"/>
  <c r="CZ12" i="17"/>
  <c r="DA12" i="17"/>
  <c r="DB12" i="17"/>
  <c r="DC12" i="17"/>
  <c r="DD12" i="17"/>
  <c r="DE12" i="17"/>
  <c r="DF12" i="17"/>
  <c r="DG12" i="17"/>
  <c r="DH12" i="17"/>
  <c r="DI12" i="17"/>
  <c r="DJ12" i="17"/>
  <c r="DK12" i="17"/>
  <c r="DL12" i="17"/>
  <c r="DM12" i="17"/>
  <c r="DN12" i="17"/>
  <c r="DO12" i="17"/>
  <c r="DP12" i="17"/>
  <c r="DQ12" i="17"/>
  <c r="DR12" i="17"/>
  <c r="DS12" i="17"/>
  <c r="DT12" i="17"/>
  <c r="DU12" i="17"/>
  <c r="DV12" i="17"/>
  <c r="DW12" i="17"/>
  <c r="DX12" i="17"/>
  <c r="DY12" i="17"/>
  <c r="DZ12" i="17"/>
  <c r="EA12" i="17"/>
  <c r="EB12" i="17"/>
  <c r="EC12" i="17"/>
  <c r="ED12" i="17"/>
  <c r="EE12" i="17"/>
  <c r="EF12" i="17"/>
  <c r="EG12" i="17"/>
  <c r="EH12" i="17"/>
  <c r="EI12" i="17"/>
  <c r="EJ12" i="17"/>
  <c r="EK12" i="17"/>
  <c r="EL12" i="17"/>
  <c r="EM12" i="17"/>
  <c r="EN12" i="17"/>
  <c r="EO12" i="17"/>
  <c r="EP12" i="17"/>
  <c r="EQ12" i="17"/>
  <c r="ER12" i="17"/>
  <c r="ES12" i="17"/>
  <c r="ET12" i="17"/>
  <c r="EU12" i="17"/>
  <c r="EV12" i="17"/>
  <c r="EW12" i="17"/>
  <c r="EX12" i="17"/>
  <c r="EY12" i="17"/>
  <c r="EZ12" i="17"/>
  <c r="FA12" i="17"/>
  <c r="FB12" i="17"/>
  <c r="FC12" i="17"/>
  <c r="FD12" i="17"/>
  <c r="FE12" i="17"/>
  <c r="FF12" i="17"/>
  <c r="FG12" i="17"/>
  <c r="FH12" i="17"/>
  <c r="FI12" i="17"/>
  <c r="FJ12" i="17"/>
  <c r="FK12" i="17"/>
  <c r="FL12" i="17"/>
  <c r="FM12" i="17"/>
  <c r="FN12" i="17"/>
  <c r="FO12" i="17"/>
  <c r="FP12" i="17"/>
  <c r="FQ12" i="17"/>
  <c r="FR12" i="17"/>
  <c r="FS12" i="17"/>
  <c r="FT12" i="17"/>
  <c r="FU12" i="17"/>
  <c r="FV12" i="17"/>
  <c r="FW12" i="17"/>
  <c r="FX12" i="17"/>
  <c r="FY12" i="17"/>
  <c r="FZ12" i="17"/>
  <c r="GA12" i="17"/>
  <c r="GB12" i="17"/>
  <c r="GC12" i="17"/>
  <c r="GD12" i="17"/>
  <c r="GE12" i="17"/>
  <c r="GF12" i="17"/>
  <c r="GG12" i="17"/>
  <c r="GH12" i="17"/>
  <c r="GI12" i="17"/>
  <c r="GJ12" i="17"/>
  <c r="GK12" i="17"/>
  <c r="GL12" i="17"/>
  <c r="GM12" i="17"/>
  <c r="GN12" i="17"/>
  <c r="GO12" i="17"/>
  <c r="GP12" i="17"/>
  <c r="GQ12" i="17"/>
  <c r="GR12" i="17"/>
  <c r="GS12" i="17"/>
  <c r="GT12" i="17"/>
  <c r="GU12" i="17"/>
  <c r="GV12" i="17"/>
  <c r="GW12" i="17"/>
  <c r="GX12" i="17"/>
  <c r="GY12" i="17"/>
  <c r="GZ12" i="17"/>
  <c r="HA12" i="17"/>
  <c r="HB12" i="17"/>
  <c r="HC12" i="17"/>
  <c r="HD12" i="17"/>
  <c r="HE12" i="17"/>
  <c r="HF12" i="17"/>
  <c r="HG12" i="17"/>
  <c r="HH12" i="17"/>
  <c r="HI12" i="17"/>
  <c r="HJ12" i="17"/>
  <c r="HK12" i="17"/>
  <c r="HL12" i="17"/>
  <c r="HM12" i="17"/>
  <c r="HN12" i="17"/>
  <c r="HO12" i="17"/>
  <c r="HP12" i="17"/>
  <c r="HQ12" i="17"/>
  <c r="HR12" i="17"/>
  <c r="HS12" i="17"/>
  <c r="HT12" i="17"/>
  <c r="HU12" i="17"/>
  <c r="HV12" i="17"/>
  <c r="HW12" i="17"/>
  <c r="HX12" i="17"/>
  <c r="HY12" i="17"/>
  <c r="HZ12" i="17"/>
  <c r="IA12" i="17"/>
  <c r="IB12" i="17"/>
  <c r="IC12" i="17"/>
  <c r="ID12" i="17"/>
  <c r="IE12" i="17"/>
  <c r="IF12" i="17"/>
  <c r="IG12" i="17"/>
  <c r="IH12" i="17"/>
  <c r="II12" i="17"/>
  <c r="IJ12" i="17"/>
  <c r="IK12" i="17"/>
  <c r="IL12" i="17"/>
  <c r="IM12" i="17"/>
  <c r="IN12" i="17"/>
  <c r="IO12" i="17"/>
  <c r="IP12" i="17"/>
  <c r="IQ12" i="17"/>
  <c r="IR12" i="17"/>
  <c r="IS12" i="17"/>
  <c r="IT12" i="17"/>
  <c r="IU12" i="17"/>
  <c r="IV12" i="17"/>
  <c r="A11" i="17"/>
  <c r="B11" i="17"/>
  <c r="C11" i="17"/>
  <c r="D11" i="17"/>
  <c r="E11" i="17"/>
  <c r="F11" i="17"/>
  <c r="G11" i="17"/>
  <c r="H11" i="17"/>
  <c r="I11" i="17"/>
  <c r="J11" i="17"/>
  <c r="K11" i="17"/>
  <c r="L11" i="17"/>
  <c r="M11" i="17"/>
  <c r="N11" i="17"/>
  <c r="P11" i="17"/>
  <c r="Q11" i="17"/>
  <c r="R11" i="17"/>
  <c r="S11" i="17"/>
  <c r="T11" i="17"/>
  <c r="U11" i="17"/>
  <c r="V11" i="17"/>
  <c r="W11" i="17"/>
  <c r="X11" i="17"/>
  <c r="Y11" i="17"/>
  <c r="Z11" i="17"/>
  <c r="AA11" i="17"/>
  <c r="AB11" i="17"/>
  <c r="AC11" i="17"/>
  <c r="AD11" i="17"/>
  <c r="AE11" i="17"/>
  <c r="AF11" i="17"/>
  <c r="AG11" i="17"/>
  <c r="AH11" i="17"/>
  <c r="AI11" i="17"/>
  <c r="AJ11" i="17"/>
  <c r="AK11" i="17"/>
  <c r="AL11" i="17"/>
  <c r="AM11" i="17"/>
  <c r="AN11" i="17"/>
  <c r="AO11" i="17"/>
  <c r="AP11" i="17"/>
  <c r="AQ11" i="17"/>
  <c r="AR11" i="17"/>
  <c r="AS11" i="17"/>
  <c r="AT11" i="17"/>
  <c r="AU11" i="17"/>
  <c r="AV11" i="17"/>
  <c r="AW11" i="17"/>
  <c r="AX11" i="17"/>
  <c r="AY11" i="17"/>
  <c r="AZ11" i="17"/>
  <c r="BA11" i="17"/>
  <c r="BB11" i="17"/>
  <c r="BC11" i="17"/>
  <c r="BD11" i="17"/>
  <c r="BE11" i="17"/>
  <c r="BF11" i="17"/>
  <c r="BG11" i="17"/>
  <c r="BH11" i="17"/>
  <c r="BI11" i="17"/>
  <c r="BJ11" i="17"/>
  <c r="BK11" i="17"/>
  <c r="BL11" i="17"/>
  <c r="BM11" i="17"/>
  <c r="BN11" i="17"/>
  <c r="BO11" i="17"/>
  <c r="BP11" i="17"/>
  <c r="BQ11" i="17"/>
  <c r="BR11" i="17"/>
  <c r="BS11" i="17"/>
  <c r="BT11" i="17"/>
  <c r="BU11" i="17"/>
  <c r="BV11" i="17"/>
  <c r="BW11" i="17"/>
  <c r="BX11" i="17"/>
  <c r="BY11" i="17"/>
  <c r="BZ11" i="17"/>
  <c r="CA11" i="17"/>
  <c r="CB11" i="17"/>
  <c r="CC11" i="17"/>
  <c r="CD11" i="17"/>
  <c r="CE11" i="17"/>
  <c r="CF11" i="17"/>
  <c r="CG11" i="17"/>
  <c r="CH11" i="17"/>
  <c r="CI11" i="17"/>
  <c r="CJ11" i="17"/>
  <c r="CK11" i="17"/>
  <c r="CL11" i="17"/>
  <c r="CM11" i="17"/>
  <c r="CN11" i="17"/>
  <c r="CO11" i="17"/>
  <c r="CP11" i="17"/>
  <c r="CQ11" i="17"/>
  <c r="CR11" i="17"/>
  <c r="CS11" i="17"/>
  <c r="CT11" i="17"/>
  <c r="CU11" i="17"/>
  <c r="CV11" i="17"/>
  <c r="CW11" i="17"/>
  <c r="CX11" i="17"/>
  <c r="CY11" i="17"/>
  <c r="CZ11" i="17"/>
  <c r="DA11" i="17"/>
  <c r="DB11" i="17"/>
  <c r="DC11" i="17"/>
  <c r="DD11" i="17"/>
  <c r="DE11" i="17"/>
  <c r="DF11" i="17"/>
  <c r="DG11" i="17"/>
  <c r="DH11" i="17"/>
  <c r="DI11" i="17"/>
  <c r="DJ11" i="17"/>
  <c r="DK11" i="17"/>
  <c r="DL11" i="17"/>
  <c r="DM11" i="17"/>
  <c r="DN11" i="17"/>
  <c r="DO11" i="17"/>
  <c r="DP11" i="17"/>
  <c r="DQ11" i="17"/>
  <c r="DR11" i="17"/>
  <c r="DS11" i="17"/>
  <c r="DT11" i="17"/>
  <c r="DU11" i="17"/>
  <c r="DV11" i="17"/>
  <c r="DW11" i="17"/>
  <c r="DX11" i="17"/>
  <c r="DY11" i="17"/>
  <c r="DZ11" i="17"/>
  <c r="EA11" i="17"/>
  <c r="EB11" i="17"/>
  <c r="EC11" i="17"/>
  <c r="ED11" i="17"/>
  <c r="EE11" i="17"/>
  <c r="EF11" i="17"/>
  <c r="EG11" i="17"/>
  <c r="EH11" i="17"/>
  <c r="EI11" i="17"/>
  <c r="EJ11" i="17"/>
  <c r="EK11" i="17"/>
  <c r="EL11" i="17"/>
  <c r="EM11" i="17"/>
  <c r="EN11" i="17"/>
  <c r="EO11" i="17"/>
  <c r="EP11" i="17"/>
  <c r="EQ11" i="17"/>
  <c r="ER11" i="17"/>
  <c r="ES11" i="17"/>
  <c r="ET11" i="17"/>
  <c r="EU11" i="17"/>
  <c r="EV11" i="17"/>
  <c r="EW11" i="17"/>
  <c r="EX11" i="17"/>
  <c r="EY11" i="17"/>
  <c r="EZ11" i="17"/>
  <c r="FA11" i="17"/>
  <c r="FB11" i="17"/>
  <c r="FC11" i="17"/>
  <c r="FD11" i="17"/>
  <c r="FE11" i="17"/>
  <c r="FF11" i="17"/>
  <c r="FG11" i="17"/>
  <c r="FH11" i="17"/>
  <c r="FI11" i="17"/>
  <c r="FJ11" i="17"/>
  <c r="FK11" i="17"/>
  <c r="FL11" i="17"/>
  <c r="FM11" i="17"/>
  <c r="FN11" i="17"/>
  <c r="FO11" i="17"/>
  <c r="FP11" i="17"/>
  <c r="FQ11" i="17"/>
  <c r="FR11" i="17"/>
  <c r="FS11" i="17"/>
  <c r="FT11" i="17"/>
  <c r="FU11" i="17"/>
  <c r="FV11" i="17"/>
  <c r="FW11" i="17"/>
  <c r="FX11" i="17"/>
  <c r="FY11" i="17"/>
  <c r="FZ11" i="17"/>
  <c r="GA11" i="17"/>
  <c r="GB11" i="17"/>
  <c r="GC11" i="17"/>
  <c r="GD11" i="17"/>
  <c r="GE11" i="17"/>
  <c r="GF11" i="17"/>
  <c r="GG11" i="17"/>
  <c r="GH11" i="17"/>
  <c r="GI11" i="17"/>
  <c r="GJ11" i="17"/>
  <c r="GK11" i="17"/>
  <c r="GL11" i="17"/>
  <c r="GM11" i="17"/>
  <c r="GN11" i="17"/>
  <c r="GO11" i="17"/>
  <c r="GP11" i="17"/>
  <c r="GQ11" i="17"/>
  <c r="GR11" i="17"/>
  <c r="GS11" i="17"/>
  <c r="GT11" i="17"/>
  <c r="GU11" i="17"/>
  <c r="GV11" i="17"/>
  <c r="GW11" i="17"/>
  <c r="GX11" i="17"/>
  <c r="GY11" i="17"/>
  <c r="GZ11" i="17"/>
  <c r="HA11" i="17"/>
  <c r="HB11" i="17"/>
  <c r="HC11" i="17"/>
  <c r="HD11" i="17"/>
  <c r="HE11" i="17"/>
  <c r="HF11" i="17"/>
  <c r="HG11" i="17"/>
  <c r="HH11" i="17"/>
  <c r="HI11" i="17"/>
  <c r="HJ11" i="17"/>
  <c r="HK11" i="17"/>
  <c r="HL11" i="17"/>
  <c r="HM11" i="17"/>
  <c r="HN11" i="17"/>
  <c r="HO11" i="17"/>
  <c r="HP11" i="17"/>
  <c r="HQ11" i="17"/>
  <c r="HR11" i="17"/>
  <c r="HS11" i="17"/>
  <c r="HT11" i="17"/>
  <c r="HU11" i="17"/>
  <c r="HV11" i="17"/>
  <c r="HW11" i="17"/>
  <c r="HX11" i="17"/>
  <c r="HY11" i="17"/>
  <c r="HZ11" i="17"/>
  <c r="IA11" i="17"/>
  <c r="IB11" i="17"/>
  <c r="IC11" i="17"/>
  <c r="ID11" i="17"/>
  <c r="IE11" i="17"/>
  <c r="IF11" i="17"/>
  <c r="IG11" i="17"/>
  <c r="IH11" i="17"/>
  <c r="II11" i="17"/>
  <c r="IJ11" i="17"/>
  <c r="IK11" i="17"/>
  <c r="IL11" i="17"/>
  <c r="IM11" i="17"/>
  <c r="IN11" i="17"/>
  <c r="IO11" i="17"/>
  <c r="IP11" i="17"/>
  <c r="IQ11" i="17"/>
  <c r="IR11" i="17"/>
  <c r="IS11" i="17"/>
  <c r="IT11" i="17"/>
  <c r="IU11" i="17"/>
  <c r="IV11" i="17"/>
  <c r="A10" i="17"/>
  <c r="B10" i="17"/>
  <c r="C10" i="17"/>
  <c r="D10" i="17"/>
  <c r="E10" i="17"/>
  <c r="F10" i="17"/>
  <c r="G10" i="17"/>
  <c r="H10" i="17"/>
  <c r="I10" i="17"/>
  <c r="J10" i="17"/>
  <c r="K10" i="17"/>
  <c r="L10" i="17"/>
  <c r="M10" i="17"/>
  <c r="N10" i="17"/>
  <c r="O10" i="17"/>
  <c r="P10" i="17"/>
  <c r="Q10" i="17"/>
  <c r="R10" i="17"/>
  <c r="S10" i="17"/>
  <c r="T10" i="17"/>
  <c r="U10" i="17"/>
  <c r="V10" i="17"/>
  <c r="W10" i="17"/>
  <c r="X10" i="17"/>
  <c r="Y10" i="17"/>
  <c r="Z10" i="17"/>
  <c r="AA10" i="17"/>
  <c r="AB10" i="17"/>
  <c r="AC10" i="17"/>
  <c r="AD10" i="17"/>
  <c r="AE10" i="17"/>
  <c r="AF10" i="17"/>
  <c r="AG10" i="17"/>
  <c r="AH10" i="17"/>
  <c r="AI10" i="17"/>
  <c r="AJ10" i="17"/>
  <c r="AK10" i="17"/>
  <c r="AL10" i="17"/>
  <c r="AM10" i="17"/>
  <c r="AN10" i="17"/>
  <c r="AO10" i="17"/>
  <c r="AP10" i="17"/>
  <c r="AQ10" i="17"/>
  <c r="AR10" i="17"/>
  <c r="AS10" i="17"/>
  <c r="AT10" i="17"/>
  <c r="AU10" i="17"/>
  <c r="AV10" i="17"/>
  <c r="AW10" i="17"/>
  <c r="AX10" i="17"/>
  <c r="AY10" i="17"/>
  <c r="AZ10" i="17"/>
  <c r="BA10" i="17"/>
  <c r="BB10" i="17"/>
  <c r="BC10" i="17"/>
  <c r="BD10" i="17"/>
  <c r="BE10" i="17"/>
  <c r="BF10" i="17"/>
  <c r="BG10" i="17"/>
  <c r="BH10" i="17"/>
  <c r="BI10" i="17"/>
  <c r="BJ10" i="17"/>
  <c r="BK10" i="17"/>
  <c r="BL10" i="17"/>
  <c r="BM10" i="17"/>
  <c r="BN10" i="17"/>
  <c r="BO10" i="17"/>
  <c r="BP10" i="17"/>
  <c r="BQ10" i="17"/>
  <c r="BR10" i="17"/>
  <c r="BS10" i="17"/>
  <c r="BT10" i="17"/>
  <c r="BU10" i="17"/>
  <c r="BV10" i="17"/>
  <c r="BW10" i="17"/>
  <c r="BX10" i="17"/>
  <c r="BY10" i="17"/>
  <c r="BZ10" i="17"/>
  <c r="CA10" i="17"/>
  <c r="CB10" i="17"/>
  <c r="CC10" i="17"/>
  <c r="CD10" i="17"/>
  <c r="CE10" i="17"/>
  <c r="CF10" i="17"/>
  <c r="CG10" i="17"/>
  <c r="CH10" i="17"/>
  <c r="CI10" i="17"/>
  <c r="CJ10" i="17"/>
  <c r="CK10" i="17"/>
  <c r="CL10" i="17"/>
  <c r="CM10" i="17"/>
  <c r="CN10" i="17"/>
  <c r="CO10" i="17"/>
  <c r="CP10" i="17"/>
  <c r="CQ10" i="17"/>
  <c r="CR10" i="17"/>
  <c r="CS10" i="17"/>
  <c r="CT10" i="17"/>
  <c r="CU10" i="17"/>
  <c r="CV10" i="17"/>
  <c r="CW10" i="17"/>
  <c r="CX10" i="17"/>
  <c r="CY10" i="17"/>
  <c r="CZ10" i="17"/>
  <c r="DA10" i="17"/>
  <c r="DB10" i="17"/>
  <c r="DC10" i="17"/>
  <c r="DD10" i="17"/>
  <c r="DE10" i="17"/>
  <c r="DF10" i="17"/>
  <c r="DG10" i="17"/>
  <c r="DH10" i="17"/>
  <c r="DI10" i="17"/>
  <c r="DJ10" i="17"/>
  <c r="DK10" i="17"/>
  <c r="DL10" i="17"/>
  <c r="DM10" i="17"/>
  <c r="DN10" i="17"/>
  <c r="DO10" i="17"/>
  <c r="DP10" i="17"/>
  <c r="DQ10" i="17"/>
  <c r="DR10" i="17"/>
  <c r="DS10" i="17"/>
  <c r="DT10" i="17"/>
  <c r="DU10" i="17"/>
  <c r="DV10" i="17"/>
  <c r="DW10" i="17"/>
  <c r="DX10" i="17"/>
  <c r="DY10" i="17"/>
  <c r="DZ10" i="17"/>
  <c r="EA10" i="17"/>
  <c r="EB10" i="17"/>
  <c r="EC10" i="17"/>
  <c r="ED10" i="17"/>
  <c r="EE10" i="17"/>
  <c r="EF10" i="17"/>
  <c r="EG10" i="17"/>
  <c r="EH10" i="17"/>
  <c r="EI10" i="17"/>
  <c r="EJ10" i="17"/>
  <c r="EK10" i="17"/>
  <c r="EL10" i="17"/>
  <c r="EM10" i="17"/>
  <c r="EN10" i="17"/>
  <c r="EO10" i="17"/>
  <c r="EP10" i="17"/>
  <c r="EQ10" i="17"/>
  <c r="ER10" i="17"/>
  <c r="ES10" i="17"/>
  <c r="ET10" i="17"/>
  <c r="EU10" i="17"/>
  <c r="EV10" i="17"/>
  <c r="EW10" i="17"/>
  <c r="EX10" i="17"/>
  <c r="EY10" i="17"/>
  <c r="EZ10" i="17"/>
  <c r="FA10" i="17"/>
  <c r="FB10" i="17"/>
  <c r="FC10" i="17"/>
  <c r="FD10" i="17"/>
  <c r="FE10" i="17"/>
  <c r="FF10" i="17"/>
  <c r="FG10" i="17"/>
  <c r="FH10" i="17"/>
  <c r="FI10" i="17"/>
  <c r="FJ10" i="17"/>
  <c r="FK10" i="17"/>
  <c r="FL10" i="17"/>
  <c r="FM10" i="17"/>
  <c r="FN10" i="17"/>
  <c r="FO10" i="17"/>
  <c r="FP10" i="17"/>
  <c r="FQ10" i="17"/>
  <c r="FR10" i="17"/>
  <c r="FS10" i="17"/>
  <c r="FT10" i="17"/>
  <c r="FU10" i="17"/>
  <c r="FV10" i="17"/>
  <c r="FW10" i="17"/>
  <c r="FX10" i="17"/>
  <c r="FY10" i="17"/>
  <c r="FZ10" i="17"/>
  <c r="GA10" i="17"/>
  <c r="GB10" i="17"/>
  <c r="GC10" i="17"/>
  <c r="GD10" i="17"/>
  <c r="GE10" i="17"/>
  <c r="GF10" i="17"/>
  <c r="GG10" i="17"/>
  <c r="GH10" i="17"/>
  <c r="GI10" i="17"/>
  <c r="GJ10" i="17"/>
  <c r="GK10" i="17"/>
  <c r="GL10" i="17"/>
  <c r="GM10" i="17"/>
  <c r="GN10" i="17"/>
  <c r="GO10" i="17"/>
  <c r="GP10" i="17"/>
  <c r="GQ10" i="17"/>
  <c r="GR10" i="17"/>
  <c r="GS10" i="17"/>
  <c r="GT10" i="17"/>
  <c r="GU10" i="17"/>
  <c r="GV10" i="17"/>
  <c r="GW10" i="17"/>
  <c r="GX10" i="17"/>
  <c r="GY10" i="17"/>
  <c r="GZ10" i="17"/>
  <c r="HA10" i="17"/>
  <c r="HB10" i="17"/>
  <c r="HC10" i="17"/>
  <c r="HD10" i="17"/>
  <c r="HE10" i="17"/>
  <c r="HF10" i="17"/>
  <c r="HG10" i="17"/>
  <c r="HH10" i="17"/>
  <c r="HI10" i="17"/>
  <c r="HJ10" i="17"/>
  <c r="HK10" i="17"/>
  <c r="HL10" i="17"/>
  <c r="HM10" i="17"/>
  <c r="HN10" i="17"/>
  <c r="HO10" i="17"/>
  <c r="HP10" i="17"/>
  <c r="HQ10" i="17"/>
  <c r="HR10" i="17"/>
  <c r="HS10" i="17"/>
  <c r="HT10" i="17"/>
  <c r="HU10" i="17"/>
  <c r="HV10" i="17"/>
  <c r="HW10" i="17"/>
  <c r="HX10" i="17"/>
  <c r="HY10" i="17"/>
  <c r="HZ10" i="17"/>
  <c r="IA10" i="17"/>
  <c r="IB10" i="17"/>
  <c r="IC10" i="17"/>
  <c r="ID10" i="17"/>
  <c r="IE10" i="17"/>
  <c r="IF10" i="17"/>
  <c r="IG10" i="17"/>
  <c r="IH10" i="17"/>
  <c r="II10" i="17"/>
  <c r="IJ10" i="17"/>
  <c r="IK10" i="17"/>
  <c r="IL10" i="17"/>
  <c r="IM10" i="17"/>
  <c r="IN10" i="17"/>
  <c r="IO10" i="17"/>
  <c r="IP10" i="17"/>
  <c r="IQ10" i="17"/>
  <c r="IR10" i="17"/>
  <c r="IS10" i="17"/>
  <c r="IT10" i="17"/>
  <c r="IU10" i="17"/>
  <c r="IV10" i="17"/>
  <c r="A9" i="17"/>
  <c r="B9" i="17"/>
  <c r="C9" i="17"/>
  <c r="D9" i="17"/>
  <c r="E9" i="17"/>
  <c r="F9" i="17"/>
  <c r="G9" i="17"/>
  <c r="H9" i="17"/>
  <c r="I9" i="17"/>
  <c r="J9" i="17"/>
  <c r="K9" i="17"/>
  <c r="L9" i="17"/>
  <c r="M9" i="17"/>
  <c r="N9" i="17"/>
  <c r="O9" i="17"/>
  <c r="P9" i="17"/>
  <c r="Q9" i="17"/>
  <c r="R9" i="17"/>
  <c r="S9" i="17"/>
  <c r="T9" i="17"/>
  <c r="U9" i="17"/>
  <c r="V9" i="17"/>
  <c r="W9" i="17"/>
  <c r="X9" i="17"/>
  <c r="Y9" i="17"/>
  <c r="Z9" i="17"/>
  <c r="AA9" i="17"/>
  <c r="AB9" i="17"/>
  <c r="AC9" i="17"/>
  <c r="AD9" i="17"/>
  <c r="AE9" i="17"/>
  <c r="AF9" i="17"/>
  <c r="AG9" i="17"/>
  <c r="AH9" i="17"/>
  <c r="AI9" i="17"/>
  <c r="AJ9" i="17"/>
  <c r="AK9" i="17"/>
  <c r="AL9" i="17"/>
  <c r="AM9" i="17"/>
  <c r="AN9" i="17"/>
  <c r="AO9" i="17"/>
  <c r="AP9" i="17"/>
  <c r="AQ9" i="17"/>
  <c r="AR9" i="17"/>
  <c r="AS9" i="17"/>
  <c r="AT9" i="17"/>
  <c r="AU9" i="17"/>
  <c r="AV9" i="17"/>
  <c r="AW9" i="17"/>
  <c r="AX9" i="17"/>
  <c r="AY9" i="17"/>
  <c r="AZ9" i="17"/>
  <c r="BA9" i="17"/>
  <c r="BB9" i="17"/>
  <c r="BC9" i="17"/>
  <c r="BD9" i="17"/>
  <c r="BE9" i="17"/>
  <c r="BF9" i="17"/>
  <c r="BG9" i="17"/>
  <c r="BH9" i="17"/>
  <c r="BI9" i="17"/>
  <c r="BJ9" i="17"/>
  <c r="BK9" i="17"/>
  <c r="BL9" i="17"/>
  <c r="BM9" i="17"/>
  <c r="BN9" i="17"/>
  <c r="BO9" i="17"/>
  <c r="BP9" i="17"/>
  <c r="BQ9" i="17"/>
  <c r="BR9" i="17"/>
  <c r="BS9" i="17"/>
  <c r="BT9" i="17"/>
  <c r="BU9" i="17"/>
  <c r="BV9" i="17"/>
  <c r="BW9" i="17"/>
  <c r="BX9" i="17"/>
  <c r="BY9" i="17"/>
  <c r="BZ9" i="17"/>
  <c r="CA9" i="17"/>
  <c r="CB9" i="17"/>
  <c r="CC9" i="17"/>
  <c r="CD9" i="17"/>
  <c r="CE9" i="17"/>
  <c r="CF9" i="17"/>
  <c r="CG9" i="17"/>
  <c r="CH9" i="17"/>
  <c r="CI9" i="17"/>
  <c r="CJ9" i="17"/>
  <c r="CK9" i="17"/>
  <c r="CL9" i="17"/>
  <c r="CM9" i="17"/>
  <c r="CN9" i="17"/>
  <c r="CO9" i="17"/>
  <c r="CP9" i="17"/>
  <c r="CQ9" i="17"/>
  <c r="CR9" i="17"/>
  <c r="CS9" i="17"/>
  <c r="CT9" i="17"/>
  <c r="CU9" i="17"/>
  <c r="CV9" i="17"/>
  <c r="CW9" i="17"/>
  <c r="CX9" i="17"/>
  <c r="CY9" i="17"/>
  <c r="CZ9" i="17"/>
  <c r="DA9" i="17"/>
  <c r="DB9" i="17"/>
  <c r="DC9" i="17"/>
  <c r="DD9" i="17"/>
  <c r="DE9" i="17"/>
  <c r="DF9" i="17"/>
  <c r="DG9" i="17"/>
  <c r="DH9" i="17"/>
  <c r="DI9" i="17"/>
  <c r="DJ9" i="17"/>
  <c r="DK9" i="17"/>
  <c r="DL9" i="17"/>
  <c r="DM9" i="17"/>
  <c r="DN9" i="17"/>
  <c r="DO9" i="17"/>
  <c r="DP9" i="17"/>
  <c r="DQ9" i="17"/>
  <c r="DR9" i="17"/>
  <c r="DS9" i="17"/>
  <c r="DT9" i="17"/>
  <c r="DU9" i="17"/>
  <c r="DV9" i="17"/>
  <c r="DW9" i="17"/>
  <c r="DX9" i="17"/>
  <c r="DY9" i="17"/>
  <c r="DZ9" i="17"/>
  <c r="EA9" i="17"/>
  <c r="EB9" i="17"/>
  <c r="EC9" i="17"/>
  <c r="ED9" i="17"/>
  <c r="EE9" i="17"/>
  <c r="EF9" i="17"/>
  <c r="EG9" i="17"/>
  <c r="EH9" i="17"/>
  <c r="EI9" i="17"/>
  <c r="EJ9" i="17"/>
  <c r="EK9" i="17"/>
  <c r="EL9" i="17"/>
  <c r="EM9" i="17"/>
  <c r="EN9" i="17"/>
  <c r="EO9" i="17"/>
  <c r="EP9" i="17"/>
  <c r="EQ9" i="17"/>
  <c r="ER9" i="17"/>
  <c r="ES9" i="17"/>
  <c r="ET9" i="17"/>
  <c r="EU9" i="17"/>
  <c r="EV9" i="17"/>
  <c r="EW9" i="17"/>
  <c r="EX9" i="17"/>
  <c r="EY9" i="17"/>
  <c r="EZ9" i="17"/>
  <c r="FA9" i="17"/>
  <c r="FB9" i="17"/>
  <c r="FC9" i="17"/>
  <c r="FD9" i="17"/>
  <c r="FE9" i="17"/>
  <c r="FF9" i="17"/>
  <c r="FG9" i="17"/>
  <c r="FH9" i="17"/>
  <c r="FI9" i="17"/>
  <c r="FJ9" i="17"/>
  <c r="FK9" i="17"/>
  <c r="FL9" i="17"/>
  <c r="FM9" i="17"/>
  <c r="FN9" i="17"/>
  <c r="FO9" i="17"/>
  <c r="FP9" i="17"/>
  <c r="FQ9" i="17"/>
  <c r="FR9" i="17"/>
  <c r="FS9" i="17"/>
  <c r="FT9" i="17"/>
  <c r="FU9" i="17"/>
  <c r="FV9" i="17"/>
  <c r="FW9" i="17"/>
  <c r="FX9" i="17"/>
  <c r="FY9" i="17"/>
  <c r="FZ9" i="17"/>
  <c r="GA9" i="17"/>
  <c r="GB9" i="17"/>
  <c r="GC9" i="17"/>
  <c r="GD9" i="17"/>
  <c r="GE9" i="17"/>
  <c r="GF9" i="17"/>
  <c r="GG9" i="17"/>
  <c r="GH9" i="17"/>
  <c r="GI9" i="17"/>
  <c r="GJ9" i="17"/>
  <c r="GK9" i="17"/>
  <c r="GL9" i="17"/>
  <c r="GM9" i="17"/>
  <c r="GN9" i="17"/>
  <c r="GO9" i="17"/>
  <c r="GP9" i="17"/>
  <c r="GQ9" i="17"/>
  <c r="GR9" i="17"/>
  <c r="GS9" i="17"/>
  <c r="GT9" i="17"/>
  <c r="GU9" i="17"/>
  <c r="GV9" i="17"/>
  <c r="GW9" i="17"/>
  <c r="GX9" i="17"/>
  <c r="GY9" i="17"/>
  <c r="GZ9" i="17"/>
  <c r="HA9" i="17"/>
  <c r="HB9" i="17"/>
  <c r="HC9" i="17"/>
  <c r="HD9" i="17"/>
  <c r="HE9" i="17"/>
  <c r="HF9" i="17"/>
  <c r="HG9" i="17"/>
  <c r="HH9" i="17"/>
  <c r="HI9" i="17"/>
  <c r="HJ9" i="17"/>
  <c r="HK9" i="17"/>
  <c r="HL9" i="17"/>
  <c r="HM9" i="17"/>
  <c r="HN9" i="17"/>
  <c r="HO9" i="17"/>
  <c r="HP9" i="17"/>
  <c r="HQ9" i="17"/>
  <c r="HR9" i="17"/>
  <c r="HS9" i="17"/>
  <c r="HT9" i="17"/>
  <c r="HU9" i="17"/>
  <c r="HV9" i="17"/>
  <c r="HW9" i="17"/>
  <c r="HX9" i="17"/>
  <c r="HY9" i="17"/>
  <c r="HZ9" i="17"/>
  <c r="IA9" i="17"/>
  <c r="IB9" i="17"/>
  <c r="IC9" i="17"/>
  <c r="ID9" i="17"/>
  <c r="IE9" i="17"/>
  <c r="IF9" i="17"/>
  <c r="IG9" i="17"/>
  <c r="IH9" i="17"/>
  <c r="II9" i="17"/>
  <c r="IJ9" i="17"/>
  <c r="IK9" i="17"/>
  <c r="IL9" i="17"/>
  <c r="IM9" i="17"/>
  <c r="IN9" i="17"/>
  <c r="IO9" i="17"/>
  <c r="IP9" i="17"/>
  <c r="IQ9" i="17"/>
  <c r="IR9" i="17"/>
  <c r="IS9" i="17"/>
  <c r="IT9" i="17"/>
  <c r="IU9" i="17"/>
  <c r="IV9" i="17"/>
  <c r="A8" i="17"/>
  <c r="B8" i="17"/>
  <c r="C8" i="17"/>
  <c r="D8" i="17"/>
  <c r="E8" i="17"/>
  <c r="F8" i="17"/>
  <c r="G8" i="17"/>
  <c r="H8" i="17"/>
  <c r="I8" i="17"/>
  <c r="J8" i="17"/>
  <c r="K8" i="17"/>
  <c r="L8" i="17"/>
  <c r="M8" i="17"/>
  <c r="N8" i="17"/>
  <c r="O8" i="17"/>
  <c r="P8" i="17"/>
  <c r="Q8" i="17"/>
  <c r="R8" i="17"/>
  <c r="S8" i="17"/>
  <c r="T8" i="17"/>
  <c r="U8" i="17"/>
  <c r="V8" i="17"/>
  <c r="W8" i="17"/>
  <c r="X8" i="17"/>
  <c r="Y8" i="17"/>
  <c r="Z8" i="17"/>
  <c r="AA8" i="17"/>
  <c r="AB8" i="17"/>
  <c r="AC8" i="17"/>
  <c r="AD8" i="17"/>
  <c r="AE8" i="17"/>
  <c r="AF8" i="17"/>
  <c r="AG8" i="17"/>
  <c r="AH8" i="17"/>
  <c r="AI8" i="17"/>
  <c r="AJ8" i="17"/>
  <c r="AK8" i="17"/>
  <c r="AL8" i="17"/>
  <c r="AM8" i="17"/>
  <c r="AN8" i="17"/>
  <c r="AO8" i="17"/>
  <c r="AP8" i="17"/>
  <c r="AQ8" i="17"/>
  <c r="AR8" i="17"/>
  <c r="AS8" i="17"/>
  <c r="AT8" i="17"/>
  <c r="AU8" i="17"/>
  <c r="AV8" i="17"/>
  <c r="AW8" i="17"/>
  <c r="AX8" i="17"/>
  <c r="AY8" i="17"/>
  <c r="AZ8" i="17"/>
  <c r="BA8" i="17"/>
  <c r="BB8" i="17"/>
  <c r="BC8" i="17"/>
  <c r="BD8" i="17"/>
  <c r="BE8" i="17"/>
  <c r="BF8" i="17"/>
  <c r="BG8" i="17"/>
  <c r="BH8" i="17"/>
  <c r="BI8" i="17"/>
  <c r="BJ8" i="17"/>
  <c r="BK8" i="17"/>
  <c r="BL8" i="17"/>
  <c r="BM8" i="17"/>
  <c r="BN8" i="17"/>
  <c r="BO8" i="17"/>
  <c r="BP8" i="17"/>
  <c r="BQ8" i="17"/>
  <c r="BR8" i="17"/>
  <c r="BS8" i="17"/>
  <c r="BT8" i="17"/>
  <c r="BU8" i="17"/>
  <c r="BV8" i="17"/>
  <c r="BW8" i="17"/>
  <c r="BX8" i="17"/>
  <c r="BY8" i="17"/>
  <c r="BZ8" i="17"/>
  <c r="CA8" i="17"/>
  <c r="CB8" i="17"/>
  <c r="CC8" i="17"/>
  <c r="CD8" i="17"/>
  <c r="CE8" i="17"/>
  <c r="CF8" i="17"/>
  <c r="CG8" i="17"/>
  <c r="CH8" i="17"/>
  <c r="CI8" i="17"/>
  <c r="CJ8" i="17"/>
  <c r="CK8" i="17"/>
  <c r="CL8" i="17"/>
  <c r="CM8" i="17"/>
  <c r="CN8" i="17"/>
  <c r="CO8" i="17"/>
  <c r="CP8" i="17"/>
  <c r="CQ8" i="17"/>
  <c r="CR8" i="17"/>
  <c r="CS8" i="17"/>
  <c r="CT8" i="17"/>
  <c r="CU8" i="17"/>
  <c r="CV8" i="17"/>
  <c r="CW8" i="17"/>
  <c r="CX8" i="17"/>
  <c r="CY8" i="17"/>
  <c r="CZ8" i="17"/>
  <c r="DA8" i="17"/>
  <c r="DB8" i="17"/>
  <c r="DC8" i="17"/>
  <c r="DD8" i="17"/>
  <c r="DE8" i="17"/>
  <c r="DF8" i="17"/>
  <c r="DG8" i="17"/>
  <c r="DH8" i="17"/>
  <c r="DI8" i="17"/>
  <c r="DJ8" i="17"/>
  <c r="DK8" i="17"/>
  <c r="DL8" i="17"/>
  <c r="DM8" i="17"/>
  <c r="DN8" i="17"/>
  <c r="DO8" i="17"/>
  <c r="DP8" i="17"/>
  <c r="DQ8" i="17"/>
  <c r="DR8" i="17"/>
  <c r="DS8" i="17"/>
  <c r="DT8" i="17"/>
  <c r="DU8" i="17"/>
  <c r="DV8" i="17"/>
  <c r="DW8" i="17"/>
  <c r="DX8" i="17"/>
  <c r="DY8" i="17"/>
  <c r="DZ8" i="17"/>
  <c r="EA8" i="17"/>
  <c r="EB8" i="17"/>
  <c r="EC8" i="17"/>
  <c r="ED8" i="17"/>
  <c r="EE8" i="17"/>
  <c r="EF8" i="17"/>
  <c r="EG8" i="17"/>
  <c r="EH8" i="17"/>
  <c r="EI8" i="17"/>
  <c r="EJ8" i="17"/>
  <c r="EK8" i="17"/>
  <c r="EL8" i="17"/>
  <c r="EM8" i="17"/>
  <c r="EN8" i="17"/>
  <c r="EO8" i="17"/>
  <c r="EP8" i="17"/>
  <c r="EQ8" i="17"/>
  <c r="ER8" i="17"/>
  <c r="ES8" i="17"/>
  <c r="ET8" i="17"/>
  <c r="EU8" i="17"/>
  <c r="EV8" i="17"/>
  <c r="EW8" i="17"/>
  <c r="EX8" i="17"/>
  <c r="EY8" i="17"/>
  <c r="EZ8" i="17"/>
  <c r="FA8" i="17"/>
  <c r="FB8" i="17"/>
  <c r="FC8" i="17"/>
  <c r="FD8" i="17"/>
  <c r="FE8" i="17"/>
  <c r="FF8" i="17"/>
  <c r="FG8" i="17"/>
  <c r="FH8" i="17"/>
  <c r="FI8" i="17"/>
  <c r="FJ8" i="17"/>
  <c r="FK8" i="17"/>
  <c r="FL8" i="17"/>
  <c r="FM8" i="17"/>
  <c r="FN8" i="17"/>
  <c r="FO8" i="17"/>
  <c r="FP8" i="17"/>
  <c r="FQ8" i="17"/>
  <c r="FR8" i="17"/>
  <c r="FS8" i="17"/>
  <c r="FT8" i="17"/>
  <c r="FU8" i="17"/>
  <c r="FV8" i="17"/>
  <c r="FW8" i="17"/>
  <c r="FX8" i="17"/>
  <c r="FY8" i="17"/>
  <c r="FZ8" i="17"/>
  <c r="GA8" i="17"/>
  <c r="GB8" i="17"/>
  <c r="GC8" i="17"/>
  <c r="GD8" i="17"/>
  <c r="GE8" i="17"/>
  <c r="GF8" i="17"/>
  <c r="GG8" i="17"/>
  <c r="GH8" i="17"/>
  <c r="GI8" i="17"/>
  <c r="GJ8" i="17"/>
  <c r="GK8" i="17"/>
  <c r="GL8" i="17"/>
  <c r="GM8" i="17"/>
  <c r="GN8" i="17"/>
  <c r="GO8" i="17"/>
  <c r="GP8" i="17"/>
  <c r="GQ8" i="17"/>
  <c r="GR8" i="17"/>
  <c r="GS8" i="17"/>
  <c r="GT8" i="17"/>
  <c r="GU8" i="17"/>
  <c r="GV8" i="17"/>
  <c r="GW8" i="17"/>
  <c r="GX8" i="17"/>
  <c r="GY8" i="17"/>
  <c r="GZ8" i="17"/>
  <c r="HA8" i="17"/>
  <c r="HB8" i="17"/>
  <c r="HC8" i="17"/>
  <c r="HD8" i="17"/>
  <c r="HE8" i="17"/>
  <c r="HF8" i="17"/>
  <c r="HG8" i="17"/>
  <c r="HH8" i="17"/>
  <c r="HI8" i="17"/>
  <c r="HJ8" i="17"/>
  <c r="HK8" i="17"/>
  <c r="HL8" i="17"/>
  <c r="HM8" i="17"/>
  <c r="HN8" i="17"/>
  <c r="HO8" i="17"/>
  <c r="HP8" i="17"/>
  <c r="HQ8" i="17"/>
  <c r="HR8" i="17"/>
  <c r="HS8" i="17"/>
  <c r="HT8" i="17"/>
  <c r="HU8" i="17"/>
  <c r="HV8" i="17"/>
  <c r="HW8" i="17"/>
  <c r="HX8" i="17"/>
  <c r="HY8" i="17"/>
  <c r="HZ8" i="17"/>
  <c r="IA8" i="17"/>
  <c r="IB8" i="17"/>
  <c r="IC8" i="17"/>
  <c r="ID8" i="17"/>
  <c r="IE8" i="17"/>
  <c r="IF8" i="17"/>
  <c r="IG8" i="17"/>
  <c r="IH8" i="17"/>
  <c r="II8" i="17"/>
  <c r="IJ8" i="17"/>
  <c r="IK8" i="17"/>
  <c r="IL8" i="17"/>
  <c r="IM8" i="17"/>
  <c r="IN8" i="17"/>
  <c r="IO8" i="17"/>
  <c r="IP8" i="17"/>
  <c r="IQ8" i="17"/>
  <c r="IR8" i="17"/>
  <c r="IS8" i="17"/>
  <c r="IT8" i="17"/>
  <c r="IU8" i="17"/>
  <c r="IV8" i="17"/>
  <c r="A7" i="17"/>
  <c r="B7" i="17"/>
  <c r="C7" i="17"/>
  <c r="D7" i="17"/>
  <c r="E7" i="17"/>
  <c r="F7" i="17"/>
  <c r="G7" i="17"/>
  <c r="H7" i="17"/>
  <c r="I7" i="17"/>
  <c r="J7" i="17"/>
  <c r="K7" i="17"/>
  <c r="L7" i="17"/>
  <c r="M7" i="17"/>
  <c r="N7" i="17"/>
  <c r="O7" i="17"/>
  <c r="P7" i="17"/>
  <c r="Q7" i="17"/>
  <c r="R7" i="17"/>
  <c r="S7" i="17"/>
  <c r="T7" i="17"/>
  <c r="U7" i="17"/>
  <c r="V7" i="17"/>
  <c r="W7" i="17"/>
  <c r="X7" i="17"/>
  <c r="Y7" i="17"/>
  <c r="Z7" i="17"/>
  <c r="AA7" i="17"/>
  <c r="AB7" i="17"/>
  <c r="AC7" i="17"/>
  <c r="AD7" i="17"/>
  <c r="AE7" i="17"/>
  <c r="AF7" i="17"/>
  <c r="AG7" i="17"/>
  <c r="AH7" i="17"/>
  <c r="AI7" i="17"/>
  <c r="AJ7" i="17"/>
  <c r="AK7" i="17"/>
  <c r="AL7" i="17"/>
  <c r="AM7" i="17"/>
  <c r="AN7" i="17"/>
  <c r="AO7" i="17"/>
  <c r="AP7" i="17"/>
  <c r="AQ7" i="17"/>
  <c r="AR7" i="17"/>
  <c r="AS7" i="17"/>
  <c r="AT7" i="17"/>
  <c r="AU7" i="17"/>
  <c r="AV7" i="17"/>
  <c r="AW7" i="17"/>
  <c r="AX7" i="17"/>
  <c r="AY7" i="17"/>
  <c r="AZ7" i="17"/>
  <c r="BA7" i="17"/>
  <c r="BB7" i="17"/>
  <c r="BC7" i="17"/>
  <c r="BD7" i="17"/>
  <c r="BE7" i="17"/>
  <c r="BF7" i="17"/>
  <c r="BG7" i="17"/>
  <c r="BH7" i="17"/>
  <c r="BI7" i="17"/>
  <c r="BJ7" i="17"/>
  <c r="BK7" i="17"/>
  <c r="BL7" i="17"/>
  <c r="BM7" i="17"/>
  <c r="BN7" i="17"/>
  <c r="BO7" i="17"/>
  <c r="BP7" i="17"/>
  <c r="BQ7" i="17"/>
  <c r="BR7" i="17"/>
  <c r="BS7" i="17"/>
  <c r="BT7" i="17"/>
  <c r="BU7" i="17"/>
  <c r="BV7" i="17"/>
  <c r="BW7" i="17"/>
  <c r="BX7" i="17"/>
  <c r="BY7" i="17"/>
  <c r="BZ7" i="17"/>
  <c r="CA7" i="17"/>
  <c r="CB7" i="17"/>
  <c r="CC7" i="17"/>
  <c r="CD7" i="17"/>
  <c r="CE7" i="17"/>
  <c r="CF7" i="17"/>
  <c r="CG7" i="17"/>
  <c r="CH7" i="17"/>
  <c r="CI7" i="17"/>
  <c r="CJ7" i="17"/>
  <c r="CK7" i="17"/>
  <c r="CL7" i="17"/>
  <c r="CM7" i="17"/>
  <c r="CN7" i="17"/>
  <c r="CO7" i="17"/>
  <c r="CP7" i="17"/>
  <c r="CQ7" i="17"/>
  <c r="CR7" i="17"/>
  <c r="CS7" i="17"/>
  <c r="CT7" i="17"/>
  <c r="CU7" i="17"/>
  <c r="CV7" i="17"/>
  <c r="CW7" i="17"/>
  <c r="CX7" i="17"/>
  <c r="CY7" i="17"/>
  <c r="CZ7" i="17"/>
  <c r="DA7" i="17"/>
  <c r="DB7" i="17"/>
  <c r="DC7" i="17"/>
  <c r="DD7" i="17"/>
  <c r="DE7" i="17"/>
  <c r="DF7" i="17"/>
  <c r="DG7" i="17"/>
  <c r="DH7" i="17"/>
  <c r="DI7" i="17"/>
  <c r="DJ7" i="17"/>
  <c r="DK7" i="17"/>
  <c r="DL7" i="17"/>
  <c r="DM7" i="17"/>
  <c r="DN7" i="17"/>
  <c r="DO7" i="17"/>
  <c r="DP7" i="17"/>
  <c r="DQ7" i="17"/>
  <c r="DR7" i="17"/>
  <c r="DS7" i="17"/>
  <c r="DT7" i="17"/>
  <c r="DU7" i="17"/>
  <c r="DV7" i="17"/>
  <c r="DW7" i="17"/>
  <c r="DX7" i="17"/>
  <c r="DY7" i="17"/>
  <c r="DZ7" i="17"/>
  <c r="EA7" i="17"/>
  <c r="EB7" i="17"/>
  <c r="EC7" i="17"/>
  <c r="ED7" i="17"/>
  <c r="EE7" i="17"/>
  <c r="EF7" i="17"/>
  <c r="EG7" i="17"/>
  <c r="EH7" i="17"/>
  <c r="EI7" i="17"/>
  <c r="EJ7" i="17"/>
  <c r="EK7" i="17"/>
  <c r="EL7" i="17"/>
  <c r="EM7" i="17"/>
  <c r="EN7" i="17"/>
  <c r="EO7" i="17"/>
  <c r="EP7" i="17"/>
  <c r="EQ7" i="17"/>
  <c r="ER7" i="17"/>
  <c r="ES7" i="17"/>
  <c r="ET7" i="17"/>
  <c r="EU7" i="17"/>
  <c r="EV7" i="17"/>
  <c r="EW7" i="17"/>
  <c r="EX7" i="17"/>
  <c r="EY7" i="17"/>
  <c r="EZ7" i="17"/>
  <c r="FA7" i="17"/>
  <c r="FB7" i="17"/>
  <c r="FC7" i="17"/>
  <c r="FD7" i="17"/>
  <c r="FE7" i="17"/>
  <c r="FF7" i="17"/>
  <c r="FG7" i="17"/>
  <c r="FH7" i="17"/>
  <c r="FI7" i="17"/>
  <c r="FJ7" i="17"/>
  <c r="FK7" i="17"/>
  <c r="FL7" i="17"/>
  <c r="FM7" i="17"/>
  <c r="FN7" i="17"/>
  <c r="FO7" i="17"/>
  <c r="FP7" i="17"/>
  <c r="FQ7" i="17"/>
  <c r="FR7" i="17"/>
  <c r="FS7" i="17"/>
  <c r="FT7" i="17"/>
  <c r="FU7" i="17"/>
  <c r="FV7" i="17"/>
  <c r="FW7" i="17"/>
  <c r="FX7" i="17"/>
  <c r="FY7" i="17"/>
  <c r="FZ7" i="17"/>
  <c r="GA7" i="17"/>
  <c r="GB7" i="17"/>
  <c r="GC7" i="17"/>
  <c r="GD7" i="17"/>
  <c r="GE7" i="17"/>
  <c r="GF7" i="17"/>
  <c r="GG7" i="17"/>
  <c r="GH7" i="17"/>
  <c r="GI7" i="17"/>
  <c r="GJ7" i="17"/>
  <c r="GK7" i="17"/>
  <c r="GL7" i="17"/>
  <c r="GM7" i="17"/>
  <c r="GN7" i="17"/>
  <c r="GO7" i="17"/>
  <c r="GP7" i="17"/>
  <c r="GQ7" i="17"/>
  <c r="GR7" i="17"/>
  <c r="GS7" i="17"/>
  <c r="GT7" i="17"/>
  <c r="GU7" i="17"/>
  <c r="GV7" i="17"/>
  <c r="GW7" i="17"/>
  <c r="GX7" i="17"/>
  <c r="GY7" i="17"/>
  <c r="GZ7" i="17"/>
  <c r="HA7" i="17"/>
  <c r="HB7" i="17"/>
  <c r="HC7" i="17"/>
  <c r="HD7" i="17"/>
  <c r="HE7" i="17"/>
  <c r="HF7" i="17"/>
  <c r="HG7" i="17"/>
  <c r="HH7" i="17"/>
  <c r="HI7" i="17"/>
  <c r="HJ7" i="17"/>
  <c r="HK7" i="17"/>
  <c r="HL7" i="17"/>
  <c r="HM7" i="17"/>
  <c r="HN7" i="17"/>
  <c r="HO7" i="17"/>
  <c r="HP7" i="17"/>
  <c r="HQ7" i="17"/>
  <c r="HR7" i="17"/>
  <c r="HS7" i="17"/>
  <c r="HT7" i="17"/>
  <c r="HU7" i="17"/>
  <c r="HV7" i="17"/>
  <c r="HW7" i="17"/>
  <c r="HX7" i="17"/>
  <c r="HY7" i="17"/>
  <c r="HZ7" i="17"/>
  <c r="IA7" i="17"/>
  <c r="IB7" i="17"/>
  <c r="IC7" i="17"/>
  <c r="ID7" i="17"/>
  <c r="IE7" i="17"/>
  <c r="IF7" i="17"/>
  <c r="IG7" i="17"/>
  <c r="IH7" i="17"/>
  <c r="II7" i="17"/>
  <c r="IJ7" i="17"/>
  <c r="IK7" i="17"/>
  <c r="IL7" i="17"/>
  <c r="IM7" i="17"/>
  <c r="IN7" i="17"/>
  <c r="IO7" i="17"/>
  <c r="IP7" i="17"/>
  <c r="IQ7" i="17"/>
  <c r="IR7" i="17"/>
  <c r="IS7" i="17"/>
  <c r="IT7" i="17"/>
  <c r="IU7" i="17"/>
  <c r="IV7" i="17"/>
  <c r="A6" i="17"/>
  <c r="B6" i="17"/>
  <c r="C6" i="17"/>
  <c r="D6" i="17"/>
  <c r="E6" i="17"/>
  <c r="F6" i="17"/>
  <c r="G6" i="17"/>
  <c r="I6" i="17"/>
  <c r="J6" i="17"/>
  <c r="K6" i="17"/>
  <c r="L6" i="17"/>
  <c r="M6" i="17"/>
  <c r="N6" i="17"/>
  <c r="O6" i="17"/>
  <c r="P6" i="17"/>
  <c r="Q6" i="17"/>
  <c r="R6" i="17"/>
  <c r="S6" i="17"/>
  <c r="T6" i="17"/>
  <c r="U6" i="17"/>
  <c r="V6" i="17"/>
  <c r="W6" i="17"/>
  <c r="X6" i="17"/>
  <c r="Y6" i="17"/>
  <c r="Z6" i="17"/>
  <c r="AA6" i="17"/>
  <c r="AB6" i="17"/>
  <c r="AC6" i="17"/>
  <c r="AD6" i="17"/>
  <c r="AE6" i="17"/>
  <c r="AF6" i="17"/>
  <c r="AG6" i="17"/>
  <c r="AH6" i="17"/>
  <c r="AI6" i="17"/>
  <c r="AJ6" i="17"/>
  <c r="AK6" i="17"/>
  <c r="AL6" i="17"/>
  <c r="AM6" i="17"/>
  <c r="AN6" i="17"/>
  <c r="AO6" i="17"/>
  <c r="AP6" i="17"/>
  <c r="AQ6" i="17"/>
  <c r="AR6" i="17"/>
  <c r="AS6" i="17"/>
  <c r="AT6" i="17"/>
  <c r="AU6" i="17"/>
  <c r="AV6" i="17"/>
  <c r="AW6" i="17"/>
  <c r="AX6" i="17"/>
  <c r="AY6" i="17"/>
  <c r="AZ6" i="17"/>
  <c r="BA6" i="17"/>
  <c r="BB6" i="17"/>
  <c r="BC6" i="17"/>
  <c r="BD6" i="17"/>
  <c r="BE6" i="17"/>
  <c r="BF6" i="17"/>
  <c r="BG6" i="17"/>
  <c r="BH6" i="17"/>
  <c r="BI6" i="17"/>
  <c r="BJ6" i="17"/>
  <c r="BK6" i="17"/>
  <c r="BL6" i="17"/>
  <c r="BM6" i="17"/>
  <c r="BN6" i="17"/>
  <c r="BO6" i="17"/>
  <c r="BP6" i="17"/>
  <c r="BQ6" i="17"/>
  <c r="BR6" i="17"/>
  <c r="BS6" i="17"/>
  <c r="BT6" i="17"/>
  <c r="BU6" i="17"/>
  <c r="BV6" i="17"/>
  <c r="BW6" i="17"/>
  <c r="BX6" i="17"/>
  <c r="BY6" i="17"/>
  <c r="BZ6" i="17"/>
  <c r="CA6" i="17"/>
  <c r="CB6" i="17"/>
  <c r="CC6" i="17"/>
  <c r="CD6" i="17"/>
  <c r="CE6" i="17"/>
  <c r="CF6" i="17"/>
  <c r="CG6" i="17"/>
  <c r="CH6" i="17"/>
  <c r="CI6" i="17"/>
  <c r="CJ6" i="17"/>
  <c r="CK6" i="17"/>
  <c r="CL6" i="17"/>
  <c r="CM6" i="17"/>
  <c r="CN6" i="17"/>
  <c r="CO6" i="17"/>
  <c r="CP6" i="17"/>
  <c r="CQ6" i="17"/>
  <c r="CR6" i="17"/>
  <c r="CS6" i="17"/>
  <c r="CT6" i="17"/>
  <c r="CU6" i="17"/>
  <c r="CV6" i="17"/>
  <c r="CW6" i="17"/>
  <c r="CX6" i="17"/>
  <c r="CY6" i="17"/>
  <c r="CZ6" i="17"/>
  <c r="DA6" i="17"/>
  <c r="DB6" i="17"/>
  <c r="DC6" i="17"/>
  <c r="DD6" i="17"/>
  <c r="DE6" i="17"/>
  <c r="DF6" i="17"/>
  <c r="DG6" i="17"/>
  <c r="DH6" i="17"/>
  <c r="DI6" i="17"/>
  <c r="DJ6" i="17"/>
  <c r="DK6" i="17"/>
  <c r="DL6" i="17"/>
  <c r="DM6" i="17"/>
  <c r="DN6" i="17"/>
  <c r="DO6" i="17"/>
  <c r="DP6" i="17"/>
  <c r="DQ6" i="17"/>
  <c r="DR6" i="17"/>
  <c r="DS6" i="17"/>
  <c r="DT6" i="17"/>
  <c r="DU6" i="17"/>
  <c r="DV6" i="17"/>
  <c r="DW6" i="17"/>
  <c r="DX6" i="17"/>
  <c r="DY6" i="17"/>
  <c r="DZ6" i="17"/>
  <c r="EA6" i="17"/>
  <c r="EB6" i="17"/>
  <c r="EC6" i="17"/>
  <c r="ED6" i="17"/>
  <c r="EE6" i="17"/>
  <c r="EF6" i="17"/>
  <c r="EG6" i="17"/>
  <c r="EH6" i="17"/>
  <c r="EI6" i="17"/>
  <c r="EJ6" i="17"/>
  <c r="EK6" i="17"/>
  <c r="EL6" i="17"/>
  <c r="EM6" i="17"/>
  <c r="EN6" i="17"/>
  <c r="EO6" i="17"/>
  <c r="EP6" i="17"/>
  <c r="EQ6" i="17"/>
  <c r="ER6" i="17"/>
  <c r="ES6" i="17"/>
  <c r="ET6" i="17"/>
  <c r="EU6" i="17"/>
  <c r="EV6" i="17"/>
  <c r="EW6" i="17"/>
  <c r="EX6" i="17"/>
  <c r="EY6" i="17"/>
  <c r="EZ6" i="17"/>
  <c r="FA6" i="17"/>
  <c r="FB6" i="17"/>
  <c r="FC6" i="17"/>
  <c r="FD6" i="17"/>
  <c r="FE6" i="17"/>
  <c r="FF6" i="17"/>
  <c r="FG6" i="17"/>
  <c r="FH6" i="17"/>
  <c r="FI6" i="17"/>
  <c r="FJ6" i="17"/>
  <c r="FK6" i="17"/>
  <c r="FL6" i="17"/>
  <c r="FM6" i="17"/>
  <c r="FN6" i="17"/>
  <c r="FO6" i="17"/>
  <c r="FP6" i="17"/>
  <c r="FQ6" i="17"/>
  <c r="FR6" i="17"/>
  <c r="FS6" i="17"/>
  <c r="FT6" i="17"/>
  <c r="FU6" i="17"/>
  <c r="FV6" i="17"/>
  <c r="FW6" i="17"/>
  <c r="FX6" i="17"/>
  <c r="FY6" i="17"/>
  <c r="FZ6" i="17"/>
  <c r="GA6" i="17"/>
  <c r="GB6" i="17"/>
  <c r="GC6" i="17"/>
  <c r="GD6" i="17"/>
  <c r="GE6" i="17"/>
  <c r="GF6" i="17"/>
  <c r="GG6" i="17"/>
  <c r="GH6" i="17"/>
  <c r="GI6" i="17"/>
  <c r="GJ6" i="17"/>
  <c r="GK6" i="17"/>
  <c r="GL6" i="17"/>
  <c r="GM6" i="17"/>
  <c r="GN6" i="17"/>
  <c r="GO6" i="17"/>
  <c r="GP6" i="17"/>
  <c r="GQ6" i="17"/>
  <c r="GR6" i="17"/>
  <c r="GS6" i="17"/>
  <c r="GT6" i="17"/>
  <c r="GU6" i="17"/>
  <c r="GV6" i="17"/>
  <c r="GW6" i="17"/>
  <c r="GX6" i="17"/>
  <c r="GY6" i="17"/>
  <c r="GZ6" i="17"/>
  <c r="HA6" i="17"/>
  <c r="HB6" i="17"/>
  <c r="HC6" i="17"/>
  <c r="HD6" i="17"/>
  <c r="HE6" i="17"/>
  <c r="HF6" i="17"/>
  <c r="HG6" i="17"/>
  <c r="HH6" i="17"/>
  <c r="HI6" i="17"/>
  <c r="HJ6" i="17"/>
  <c r="HK6" i="17"/>
  <c r="HL6" i="17"/>
  <c r="HM6" i="17"/>
  <c r="HN6" i="17"/>
  <c r="HO6" i="17"/>
  <c r="HP6" i="17"/>
  <c r="HQ6" i="17"/>
  <c r="HR6" i="17"/>
  <c r="HS6" i="17"/>
  <c r="HT6" i="17"/>
  <c r="HU6" i="17"/>
  <c r="HV6" i="17"/>
  <c r="HW6" i="17"/>
  <c r="HX6" i="17"/>
  <c r="HY6" i="17"/>
  <c r="HZ6" i="17"/>
  <c r="IA6" i="17"/>
  <c r="IB6" i="17"/>
  <c r="IC6" i="17"/>
  <c r="ID6" i="17"/>
  <c r="IE6" i="17"/>
  <c r="IF6" i="17"/>
  <c r="IG6" i="17"/>
  <c r="IH6" i="17"/>
  <c r="II6" i="17"/>
  <c r="IJ6" i="17"/>
  <c r="IK6" i="17"/>
  <c r="IL6" i="17"/>
  <c r="IM6" i="17"/>
  <c r="IN6" i="17"/>
  <c r="IO6" i="17"/>
  <c r="IP6" i="17"/>
  <c r="IQ6" i="17"/>
  <c r="IR6" i="17"/>
  <c r="IS6" i="17"/>
  <c r="IT6" i="17"/>
  <c r="IU6" i="17"/>
  <c r="IV6" i="17"/>
  <c r="A5" i="17"/>
  <c r="B5" i="17"/>
  <c r="C5" i="17"/>
  <c r="D5" i="17"/>
  <c r="E5" i="17"/>
  <c r="F5" i="17"/>
  <c r="G5" i="17"/>
  <c r="H5" i="17"/>
  <c r="I5" i="17"/>
  <c r="J5" i="17"/>
  <c r="K5" i="17"/>
  <c r="L5" i="17"/>
  <c r="M5" i="17"/>
  <c r="N5" i="17"/>
  <c r="O5" i="17"/>
  <c r="P5" i="17"/>
  <c r="Q5" i="17"/>
  <c r="R5" i="17"/>
  <c r="S5" i="17"/>
  <c r="T5" i="17"/>
  <c r="U5" i="17"/>
  <c r="V5" i="17"/>
  <c r="W5" i="17"/>
  <c r="X5" i="17"/>
  <c r="Y5" i="17"/>
  <c r="Z5" i="17"/>
  <c r="AA5" i="17"/>
  <c r="AB5" i="17"/>
  <c r="AC5" i="17"/>
  <c r="AD5" i="17"/>
  <c r="AE5" i="17"/>
  <c r="AF5" i="17"/>
  <c r="AG5" i="17"/>
  <c r="AH5" i="17"/>
  <c r="AI5" i="17"/>
  <c r="AJ5" i="17"/>
  <c r="AK5" i="17"/>
  <c r="AL5" i="17"/>
  <c r="AM5" i="17"/>
  <c r="AN5" i="17"/>
  <c r="AO5" i="17"/>
  <c r="AP5" i="17"/>
  <c r="AQ5" i="17"/>
  <c r="AR5" i="17"/>
  <c r="AS5" i="17"/>
  <c r="AT5" i="17"/>
  <c r="AU5" i="17"/>
  <c r="AV5" i="17"/>
  <c r="AW5" i="17"/>
  <c r="AX5" i="17"/>
  <c r="AY5" i="17"/>
  <c r="AZ5" i="17"/>
  <c r="BA5" i="17"/>
  <c r="BB5" i="17"/>
  <c r="BC5" i="17"/>
  <c r="BD5" i="17"/>
  <c r="BE5" i="17"/>
  <c r="BF5" i="17"/>
  <c r="BG5" i="17"/>
  <c r="BH5" i="17"/>
  <c r="BI5" i="17"/>
  <c r="BJ5" i="17"/>
  <c r="BK5" i="17"/>
  <c r="BL5" i="17"/>
  <c r="BM5" i="17"/>
  <c r="BN5" i="17"/>
  <c r="BO5" i="17"/>
  <c r="BP5" i="17"/>
  <c r="BQ5" i="17"/>
  <c r="BR5" i="17"/>
  <c r="BS5" i="17"/>
  <c r="BT5" i="17"/>
  <c r="BU5" i="17"/>
  <c r="BV5" i="17"/>
  <c r="BW5" i="17"/>
  <c r="BX5" i="17"/>
  <c r="BY5" i="17"/>
  <c r="BZ5" i="17"/>
  <c r="CA5" i="17"/>
  <c r="CB5" i="17"/>
  <c r="CC5" i="17"/>
  <c r="CD5" i="17"/>
  <c r="CE5" i="17"/>
  <c r="CF5" i="17"/>
  <c r="CG5" i="17"/>
  <c r="CH5" i="17"/>
  <c r="CI5" i="17"/>
  <c r="CJ5" i="17"/>
  <c r="CK5" i="17"/>
  <c r="CL5" i="17"/>
  <c r="CM5" i="17"/>
  <c r="CN5" i="17"/>
  <c r="CO5" i="17"/>
  <c r="CP5" i="17"/>
  <c r="CQ5" i="17"/>
  <c r="CR5" i="17"/>
  <c r="CS5" i="17"/>
  <c r="CT5" i="17"/>
  <c r="CU5" i="17"/>
  <c r="CV5" i="17"/>
  <c r="CW5" i="17"/>
  <c r="CX5" i="17"/>
  <c r="CY5" i="17"/>
  <c r="CZ5" i="17"/>
  <c r="DA5" i="17"/>
  <c r="DB5" i="17"/>
  <c r="DC5" i="17"/>
  <c r="DD5" i="17"/>
  <c r="DE5" i="17"/>
  <c r="DF5" i="17"/>
  <c r="DG5" i="17"/>
  <c r="DH5" i="17"/>
  <c r="DI5" i="17"/>
  <c r="DJ5" i="17"/>
  <c r="DK5" i="17"/>
  <c r="DL5" i="17"/>
  <c r="DM5" i="17"/>
  <c r="DN5" i="17"/>
  <c r="DO5" i="17"/>
  <c r="DP5" i="17"/>
  <c r="DQ5" i="17"/>
  <c r="DR5" i="17"/>
  <c r="DS5" i="17"/>
  <c r="DT5" i="17"/>
  <c r="DU5" i="17"/>
  <c r="DV5" i="17"/>
  <c r="DW5" i="17"/>
  <c r="DX5" i="17"/>
  <c r="DY5" i="17"/>
  <c r="DZ5" i="17"/>
  <c r="EA5" i="17"/>
  <c r="EB5" i="17"/>
  <c r="EC5" i="17"/>
  <c r="ED5" i="17"/>
  <c r="EE5" i="17"/>
  <c r="EF5" i="17"/>
  <c r="EG5" i="17"/>
  <c r="EH5" i="17"/>
  <c r="EI5" i="17"/>
  <c r="EJ5" i="17"/>
  <c r="EK5" i="17"/>
  <c r="EL5" i="17"/>
  <c r="EM5" i="17"/>
  <c r="EN5" i="17"/>
  <c r="EO5" i="17"/>
  <c r="EP5" i="17"/>
  <c r="EQ5" i="17"/>
  <c r="ER5" i="17"/>
  <c r="ES5" i="17"/>
  <c r="ET5" i="17"/>
  <c r="EU5" i="17"/>
  <c r="EV5" i="17"/>
  <c r="EW5" i="17"/>
  <c r="EX5" i="17"/>
  <c r="EY5" i="17"/>
  <c r="EZ5" i="17"/>
  <c r="FA5" i="17"/>
  <c r="FB5" i="17"/>
  <c r="FC5" i="17"/>
  <c r="FD5" i="17"/>
  <c r="FE5" i="17"/>
  <c r="FF5" i="17"/>
  <c r="FG5" i="17"/>
  <c r="FH5" i="17"/>
  <c r="FI5" i="17"/>
  <c r="FJ5" i="17"/>
  <c r="FK5" i="17"/>
  <c r="FL5" i="17"/>
  <c r="FM5" i="17"/>
  <c r="FN5" i="17"/>
  <c r="FO5" i="17"/>
  <c r="FP5" i="17"/>
  <c r="FQ5" i="17"/>
  <c r="FR5" i="17"/>
  <c r="FS5" i="17"/>
  <c r="FT5" i="17"/>
  <c r="FU5" i="17"/>
  <c r="FV5" i="17"/>
  <c r="FW5" i="17"/>
  <c r="FX5" i="17"/>
  <c r="FY5" i="17"/>
  <c r="FZ5" i="17"/>
  <c r="GA5" i="17"/>
  <c r="GB5" i="17"/>
  <c r="GC5" i="17"/>
  <c r="GD5" i="17"/>
  <c r="GE5" i="17"/>
  <c r="GF5" i="17"/>
  <c r="GG5" i="17"/>
  <c r="GH5" i="17"/>
  <c r="GI5" i="17"/>
  <c r="GJ5" i="17"/>
  <c r="GK5" i="17"/>
  <c r="GL5" i="17"/>
  <c r="GM5" i="17"/>
  <c r="GN5" i="17"/>
  <c r="GO5" i="17"/>
  <c r="GP5" i="17"/>
  <c r="GQ5" i="17"/>
  <c r="GR5" i="17"/>
  <c r="GS5" i="17"/>
  <c r="GT5" i="17"/>
  <c r="GU5" i="17"/>
  <c r="GV5" i="17"/>
  <c r="GW5" i="17"/>
  <c r="GX5" i="17"/>
  <c r="GY5" i="17"/>
  <c r="GZ5" i="17"/>
  <c r="HA5" i="17"/>
  <c r="HB5" i="17"/>
  <c r="HC5" i="17"/>
  <c r="HD5" i="17"/>
  <c r="HE5" i="17"/>
  <c r="HF5" i="17"/>
  <c r="HG5" i="17"/>
  <c r="HH5" i="17"/>
  <c r="HI5" i="17"/>
  <c r="HJ5" i="17"/>
  <c r="HK5" i="17"/>
  <c r="HL5" i="17"/>
  <c r="HM5" i="17"/>
  <c r="HN5" i="17"/>
  <c r="HO5" i="17"/>
  <c r="HP5" i="17"/>
  <c r="HQ5" i="17"/>
  <c r="HR5" i="17"/>
  <c r="HS5" i="17"/>
  <c r="HT5" i="17"/>
  <c r="HU5" i="17"/>
  <c r="HV5" i="17"/>
  <c r="HW5" i="17"/>
  <c r="HX5" i="17"/>
  <c r="HY5" i="17"/>
  <c r="HZ5" i="17"/>
  <c r="IA5" i="17"/>
  <c r="IB5" i="17"/>
  <c r="IC5" i="17"/>
  <c r="ID5" i="17"/>
  <c r="IE5" i="17"/>
  <c r="IF5" i="17"/>
  <c r="IG5" i="17"/>
  <c r="IH5" i="17"/>
  <c r="II5" i="17"/>
  <c r="IJ5" i="17"/>
  <c r="IK5" i="17"/>
  <c r="IL5" i="17"/>
  <c r="IM5" i="17"/>
  <c r="IN5" i="17"/>
  <c r="IO5" i="17"/>
  <c r="IP5" i="17"/>
  <c r="IQ5" i="17"/>
  <c r="IR5" i="17"/>
  <c r="IS5" i="17"/>
  <c r="IT5" i="17"/>
  <c r="IU5" i="17"/>
  <c r="IV5" i="17"/>
  <c r="A4" i="17"/>
  <c r="B4" i="17"/>
  <c r="C4" i="17"/>
  <c r="D4" i="17"/>
  <c r="E4" i="17"/>
  <c r="F4" i="17"/>
  <c r="G4" i="17"/>
  <c r="H4" i="17"/>
  <c r="I4" i="17"/>
  <c r="J4" i="17"/>
  <c r="K4" i="17"/>
  <c r="L4" i="17"/>
  <c r="N4" i="17"/>
  <c r="O4" i="17"/>
  <c r="P4" i="17"/>
  <c r="Q4" i="17"/>
  <c r="R4" i="17"/>
  <c r="S4" i="17"/>
  <c r="T4" i="17"/>
  <c r="U4" i="17"/>
  <c r="V4" i="17"/>
  <c r="W4" i="17"/>
  <c r="X4" i="17"/>
  <c r="Y4" i="17"/>
  <c r="Z4" i="17"/>
  <c r="AA4" i="17"/>
  <c r="AB4" i="17"/>
  <c r="AC4" i="17"/>
  <c r="AD4" i="17"/>
  <c r="AE4" i="17"/>
  <c r="AF4" i="17"/>
  <c r="AG4" i="17"/>
  <c r="AH4" i="17"/>
  <c r="AI4" i="17"/>
  <c r="AJ4" i="17"/>
  <c r="AK4" i="17"/>
  <c r="AL4" i="17"/>
  <c r="AM4" i="17"/>
  <c r="AN4" i="17"/>
  <c r="AO4" i="17"/>
  <c r="AP4" i="17"/>
  <c r="AQ4" i="17"/>
  <c r="AR4" i="17"/>
  <c r="AS4" i="17"/>
  <c r="AT4" i="17"/>
  <c r="AU4" i="17"/>
  <c r="AV4" i="17"/>
  <c r="AW4" i="17"/>
  <c r="AX4" i="17"/>
  <c r="AY4" i="17"/>
  <c r="AZ4" i="17"/>
  <c r="BA4" i="17"/>
  <c r="BB4" i="17"/>
  <c r="BC4" i="17"/>
  <c r="BD4" i="17"/>
  <c r="BE4" i="17"/>
  <c r="BF4" i="17"/>
  <c r="BG4" i="17"/>
  <c r="BH4" i="17"/>
  <c r="BI4" i="17"/>
  <c r="BJ4" i="17"/>
  <c r="BK4" i="17"/>
  <c r="BL4" i="17"/>
  <c r="BM4" i="17"/>
  <c r="BN4" i="17"/>
  <c r="BO4" i="17"/>
  <c r="BP4" i="17"/>
  <c r="BQ4" i="17"/>
  <c r="BR4" i="17"/>
  <c r="BS4" i="17"/>
  <c r="BT4" i="17"/>
  <c r="BU4" i="17"/>
  <c r="BV4" i="17"/>
  <c r="BW4" i="17"/>
  <c r="BX4" i="17"/>
  <c r="BY4" i="17"/>
  <c r="BZ4" i="17"/>
  <c r="CA4" i="17"/>
  <c r="CB4" i="17"/>
  <c r="CC4" i="17"/>
  <c r="CD4" i="17"/>
  <c r="CE4" i="17"/>
  <c r="CF4" i="17"/>
  <c r="CG4" i="17"/>
  <c r="CH4" i="17"/>
  <c r="CI4" i="17"/>
  <c r="CJ4" i="17"/>
  <c r="CK4" i="17"/>
  <c r="CL4" i="17"/>
  <c r="CM4" i="17"/>
  <c r="CN4" i="17"/>
  <c r="CO4" i="17"/>
  <c r="CP4" i="17"/>
  <c r="CQ4" i="17"/>
  <c r="CR4" i="17"/>
  <c r="CS4" i="17"/>
  <c r="CT4" i="17"/>
  <c r="CU4" i="17"/>
  <c r="CV4" i="17"/>
  <c r="CW4" i="17"/>
  <c r="CX4" i="17"/>
  <c r="CY4" i="17"/>
  <c r="CZ4" i="17"/>
  <c r="DA4" i="17"/>
  <c r="DB4" i="17"/>
  <c r="DC4" i="17"/>
  <c r="DD4" i="17"/>
  <c r="DE4" i="17"/>
  <c r="DF4" i="17"/>
  <c r="DG4" i="17"/>
  <c r="DH4" i="17"/>
  <c r="DI4" i="17"/>
  <c r="DJ4" i="17"/>
  <c r="DK4" i="17"/>
  <c r="DL4" i="17"/>
  <c r="DM4" i="17"/>
  <c r="DN4" i="17"/>
  <c r="DO4" i="17"/>
  <c r="DP4" i="17"/>
  <c r="DQ4" i="17"/>
  <c r="DR4" i="17"/>
  <c r="DS4" i="17"/>
  <c r="DT4" i="17"/>
  <c r="DU4" i="17"/>
  <c r="DV4" i="17"/>
  <c r="DW4" i="17"/>
  <c r="DX4" i="17"/>
  <c r="DY4" i="17"/>
  <c r="DZ4" i="17"/>
  <c r="EA4" i="17"/>
  <c r="EB4" i="17"/>
  <c r="EC4" i="17"/>
  <c r="ED4" i="17"/>
  <c r="EE4" i="17"/>
  <c r="EF4" i="17"/>
  <c r="EG4" i="17"/>
  <c r="EH4" i="17"/>
  <c r="EI4" i="17"/>
  <c r="EJ4" i="17"/>
  <c r="EK4" i="17"/>
  <c r="EL4" i="17"/>
  <c r="EM4" i="17"/>
  <c r="EN4" i="17"/>
  <c r="EO4" i="17"/>
  <c r="EP4" i="17"/>
  <c r="EQ4" i="17"/>
  <c r="ER4" i="17"/>
  <c r="ES4" i="17"/>
  <c r="ET4" i="17"/>
  <c r="EU4" i="17"/>
  <c r="EV4" i="17"/>
  <c r="EW4" i="17"/>
  <c r="EX4" i="17"/>
  <c r="EY4" i="17"/>
  <c r="EZ4" i="17"/>
  <c r="FA4" i="17"/>
  <c r="FB4" i="17"/>
  <c r="FC4" i="17"/>
  <c r="FD4" i="17"/>
  <c r="FE4" i="17"/>
  <c r="FF4" i="17"/>
  <c r="FG4" i="17"/>
  <c r="FH4" i="17"/>
  <c r="FI4" i="17"/>
  <c r="FJ4" i="17"/>
  <c r="FK4" i="17"/>
  <c r="FL4" i="17"/>
  <c r="FM4" i="17"/>
  <c r="FN4" i="17"/>
  <c r="FO4" i="17"/>
  <c r="FP4" i="17"/>
  <c r="FQ4" i="17"/>
  <c r="FR4" i="17"/>
  <c r="FS4" i="17"/>
  <c r="FT4" i="17"/>
  <c r="FU4" i="17"/>
  <c r="FV4" i="17"/>
  <c r="FW4" i="17"/>
  <c r="FX4" i="17"/>
  <c r="FY4" i="17"/>
  <c r="FZ4" i="17"/>
  <c r="GA4" i="17"/>
  <c r="GB4" i="17"/>
  <c r="GC4" i="17"/>
  <c r="GD4" i="17"/>
  <c r="GE4" i="17"/>
  <c r="GF4" i="17"/>
  <c r="GG4" i="17"/>
  <c r="GH4" i="17"/>
  <c r="GI4" i="17"/>
  <c r="GJ4" i="17"/>
  <c r="GK4" i="17"/>
  <c r="GL4" i="17"/>
  <c r="GM4" i="17"/>
  <c r="GN4" i="17"/>
  <c r="GO4" i="17"/>
  <c r="GP4" i="17"/>
  <c r="GQ4" i="17"/>
  <c r="GR4" i="17"/>
  <c r="GS4" i="17"/>
  <c r="GT4" i="17"/>
  <c r="GU4" i="17"/>
  <c r="GV4" i="17"/>
  <c r="GW4" i="17"/>
  <c r="GX4" i="17"/>
  <c r="GY4" i="17"/>
  <c r="GZ4" i="17"/>
  <c r="HA4" i="17"/>
  <c r="HB4" i="17"/>
  <c r="HC4" i="17"/>
  <c r="HD4" i="17"/>
  <c r="HE4" i="17"/>
  <c r="HF4" i="17"/>
  <c r="HG4" i="17"/>
  <c r="HH4" i="17"/>
  <c r="HI4" i="17"/>
  <c r="HJ4" i="17"/>
  <c r="HK4" i="17"/>
  <c r="HL4" i="17"/>
  <c r="HM4" i="17"/>
  <c r="HN4" i="17"/>
  <c r="HO4" i="17"/>
  <c r="HP4" i="17"/>
  <c r="HQ4" i="17"/>
  <c r="HR4" i="17"/>
  <c r="HS4" i="17"/>
  <c r="HT4" i="17"/>
  <c r="HU4" i="17"/>
  <c r="HV4" i="17"/>
  <c r="HW4" i="17"/>
  <c r="HX4" i="17"/>
  <c r="HY4" i="17"/>
  <c r="HZ4" i="17"/>
  <c r="IA4" i="17"/>
  <c r="IB4" i="17"/>
  <c r="IC4" i="17"/>
  <c r="ID4" i="17"/>
  <c r="IE4" i="17"/>
  <c r="IF4" i="17"/>
  <c r="IG4" i="17"/>
  <c r="IH4" i="17"/>
  <c r="II4" i="17"/>
  <c r="IJ4" i="17"/>
  <c r="IK4" i="17"/>
  <c r="IL4" i="17"/>
  <c r="IM4" i="17"/>
  <c r="IN4" i="17"/>
  <c r="IO4" i="17"/>
  <c r="IP4" i="17"/>
  <c r="IQ4" i="17"/>
  <c r="IR4" i="17"/>
  <c r="IS4" i="17"/>
  <c r="IT4" i="17"/>
  <c r="IU4" i="17"/>
  <c r="IV4" i="17"/>
  <c r="A3" i="17"/>
  <c r="B3" i="17"/>
  <c r="C3" i="17"/>
  <c r="D3" i="17"/>
  <c r="E3" i="17"/>
  <c r="F3" i="17"/>
  <c r="G3" i="17"/>
  <c r="H3" i="17"/>
  <c r="I3" i="17"/>
  <c r="J3" i="17"/>
  <c r="K3" i="17"/>
  <c r="L3" i="17"/>
  <c r="M3" i="17"/>
  <c r="N3" i="17"/>
  <c r="O3" i="17"/>
  <c r="P3" i="17"/>
  <c r="Q3" i="17"/>
  <c r="R3" i="17"/>
  <c r="S3" i="17"/>
  <c r="T3" i="17"/>
  <c r="U3" i="17"/>
  <c r="V3" i="17"/>
  <c r="W3" i="17"/>
  <c r="X3" i="17"/>
  <c r="Y3" i="17"/>
  <c r="Z3" i="17"/>
  <c r="AA3" i="17"/>
  <c r="AB3" i="17"/>
  <c r="AC3" i="17"/>
  <c r="AD3" i="17"/>
  <c r="AE3" i="17"/>
  <c r="AF3" i="17"/>
  <c r="AG3" i="17"/>
  <c r="AH3" i="17"/>
  <c r="AI3" i="17"/>
  <c r="AJ3" i="17"/>
  <c r="AK3" i="17"/>
  <c r="AL3" i="17"/>
  <c r="AM3" i="17"/>
  <c r="AN3" i="17"/>
  <c r="AO3" i="17"/>
  <c r="AP3" i="17"/>
  <c r="AQ3" i="17"/>
  <c r="AR3" i="17"/>
  <c r="AS3" i="17"/>
  <c r="AT3" i="17"/>
  <c r="AU3" i="17"/>
  <c r="AV3" i="17"/>
  <c r="AW3" i="17"/>
  <c r="AX3" i="17"/>
  <c r="AY3" i="17"/>
  <c r="AZ3" i="17"/>
  <c r="BA3" i="17"/>
  <c r="BB3" i="17"/>
  <c r="BC3" i="17"/>
  <c r="BD3" i="17"/>
  <c r="BE3" i="17"/>
  <c r="BF3" i="17"/>
  <c r="BG3" i="17"/>
  <c r="BH3" i="17"/>
  <c r="BI3" i="17"/>
  <c r="BJ3" i="17"/>
  <c r="BK3" i="17"/>
  <c r="BL3" i="17"/>
  <c r="BM3" i="17"/>
  <c r="BN3" i="17"/>
  <c r="BO3" i="17"/>
  <c r="BP3" i="17"/>
  <c r="BQ3" i="17"/>
  <c r="BR3" i="17"/>
  <c r="BS3" i="17"/>
  <c r="BT3" i="17"/>
  <c r="BU3" i="17"/>
  <c r="BV3" i="17"/>
  <c r="BW3" i="17"/>
  <c r="BX3" i="17"/>
  <c r="BY3" i="17"/>
  <c r="BZ3" i="17"/>
  <c r="CA3" i="17"/>
  <c r="CB3" i="17"/>
  <c r="CC3" i="17"/>
  <c r="CD3" i="17"/>
  <c r="CE3" i="17"/>
  <c r="CF3" i="17"/>
  <c r="CG3" i="17"/>
  <c r="CH3" i="17"/>
  <c r="CI3" i="17"/>
  <c r="CJ3" i="17"/>
  <c r="CK3" i="17"/>
  <c r="CL3" i="17"/>
  <c r="CM3" i="17"/>
  <c r="CN3" i="17"/>
  <c r="CO3" i="17"/>
  <c r="CP3" i="17"/>
  <c r="CQ3" i="17"/>
  <c r="CR3" i="17"/>
  <c r="CS3" i="17"/>
  <c r="CT3" i="17"/>
  <c r="CU3" i="17"/>
  <c r="CV3" i="17"/>
  <c r="CW3" i="17"/>
  <c r="CX3" i="17"/>
  <c r="CY3" i="17"/>
  <c r="CZ3" i="17"/>
  <c r="DA3" i="17"/>
  <c r="DB3" i="17"/>
  <c r="DC3" i="17"/>
  <c r="DD3" i="17"/>
  <c r="DE3" i="17"/>
  <c r="DF3" i="17"/>
  <c r="DG3" i="17"/>
  <c r="DH3" i="17"/>
  <c r="DI3" i="17"/>
  <c r="DJ3" i="17"/>
  <c r="DK3" i="17"/>
  <c r="DL3" i="17"/>
  <c r="DM3" i="17"/>
  <c r="DN3" i="17"/>
  <c r="DO3" i="17"/>
  <c r="DP3" i="17"/>
  <c r="DQ3" i="17"/>
  <c r="DR3" i="17"/>
  <c r="DS3" i="17"/>
  <c r="DT3" i="17"/>
  <c r="DU3" i="17"/>
  <c r="DV3" i="17"/>
  <c r="DW3" i="17"/>
  <c r="DX3" i="17"/>
  <c r="DY3" i="17"/>
  <c r="DZ3" i="17"/>
  <c r="EA3" i="17"/>
  <c r="EB3" i="17"/>
  <c r="EC3" i="17"/>
  <c r="ED3" i="17"/>
  <c r="EE3" i="17"/>
  <c r="EF3" i="17"/>
  <c r="EG3" i="17"/>
  <c r="EH3" i="17"/>
  <c r="EI3" i="17"/>
  <c r="EJ3" i="17"/>
  <c r="EK3" i="17"/>
  <c r="EL3" i="17"/>
  <c r="EM3" i="17"/>
  <c r="EN3" i="17"/>
  <c r="EO3" i="17"/>
  <c r="EP3" i="17"/>
  <c r="EQ3" i="17"/>
  <c r="ER3" i="17"/>
  <c r="ES3" i="17"/>
  <c r="ET3" i="17"/>
  <c r="EU3" i="17"/>
  <c r="EV3" i="17"/>
  <c r="EW3" i="17"/>
  <c r="EX3" i="17"/>
  <c r="EY3" i="17"/>
  <c r="EZ3" i="17"/>
  <c r="FA3" i="17"/>
  <c r="FB3" i="17"/>
  <c r="FC3" i="17"/>
  <c r="FD3" i="17"/>
  <c r="FE3" i="17"/>
  <c r="FF3" i="17"/>
  <c r="FG3" i="17"/>
  <c r="FH3" i="17"/>
  <c r="FI3" i="17"/>
  <c r="FJ3" i="17"/>
  <c r="FK3" i="17"/>
  <c r="FL3" i="17"/>
  <c r="FM3" i="17"/>
  <c r="FN3" i="17"/>
  <c r="FO3" i="17"/>
  <c r="FP3" i="17"/>
  <c r="FQ3" i="17"/>
  <c r="FR3" i="17"/>
  <c r="FS3" i="17"/>
  <c r="FT3" i="17"/>
  <c r="FU3" i="17"/>
  <c r="FV3" i="17"/>
  <c r="FW3" i="17"/>
  <c r="FX3" i="17"/>
  <c r="FY3" i="17"/>
  <c r="FZ3" i="17"/>
  <c r="GA3" i="17"/>
  <c r="GB3" i="17"/>
  <c r="GC3" i="17"/>
  <c r="GD3" i="17"/>
  <c r="GE3" i="17"/>
  <c r="GF3" i="17"/>
  <c r="GG3" i="17"/>
  <c r="GH3" i="17"/>
  <c r="GI3" i="17"/>
  <c r="GJ3" i="17"/>
  <c r="GK3" i="17"/>
  <c r="GL3" i="17"/>
  <c r="GM3" i="17"/>
  <c r="GN3" i="17"/>
  <c r="GO3" i="17"/>
  <c r="GP3" i="17"/>
  <c r="GQ3" i="17"/>
  <c r="GR3" i="17"/>
  <c r="GS3" i="17"/>
  <c r="GT3" i="17"/>
  <c r="GU3" i="17"/>
  <c r="GV3" i="17"/>
  <c r="GW3" i="17"/>
  <c r="GX3" i="17"/>
  <c r="GY3" i="17"/>
  <c r="GZ3" i="17"/>
  <c r="HA3" i="17"/>
  <c r="HB3" i="17"/>
  <c r="HC3" i="17"/>
  <c r="HD3" i="17"/>
  <c r="HE3" i="17"/>
  <c r="HF3" i="17"/>
  <c r="HG3" i="17"/>
  <c r="HH3" i="17"/>
  <c r="HI3" i="17"/>
  <c r="HJ3" i="17"/>
  <c r="HK3" i="17"/>
  <c r="HL3" i="17"/>
  <c r="HM3" i="17"/>
  <c r="HN3" i="17"/>
  <c r="HO3" i="17"/>
  <c r="HP3" i="17"/>
  <c r="HQ3" i="17"/>
  <c r="HR3" i="17"/>
  <c r="HS3" i="17"/>
  <c r="HT3" i="17"/>
  <c r="HU3" i="17"/>
  <c r="HV3" i="17"/>
  <c r="HW3" i="17"/>
  <c r="HX3" i="17"/>
  <c r="HY3" i="17"/>
  <c r="HZ3" i="17"/>
  <c r="IA3" i="17"/>
  <c r="IB3" i="17"/>
  <c r="IC3" i="17"/>
  <c r="ID3" i="17"/>
  <c r="IE3" i="17"/>
  <c r="IF3" i="17"/>
  <c r="IG3" i="17"/>
  <c r="IH3" i="17"/>
  <c r="II3" i="17"/>
  <c r="IJ3" i="17"/>
  <c r="IK3" i="17"/>
  <c r="IL3" i="17"/>
  <c r="IM3" i="17"/>
  <c r="IN3" i="17"/>
  <c r="IO3" i="17"/>
  <c r="IP3" i="17"/>
  <c r="IQ3" i="17"/>
  <c r="IR3" i="17"/>
  <c r="IS3" i="17"/>
  <c r="IT3" i="17"/>
  <c r="IU3" i="17"/>
  <c r="IV3" i="17"/>
  <c r="A2" i="17"/>
  <c r="B2" i="17"/>
  <c r="C2" i="17"/>
  <c r="D2" i="17"/>
  <c r="E2" i="17"/>
  <c r="F2" i="17"/>
  <c r="G2" i="17"/>
  <c r="H2" i="17"/>
  <c r="I2" i="17"/>
  <c r="J2" i="17"/>
  <c r="K2" i="17"/>
  <c r="L2" i="17"/>
  <c r="M2" i="17"/>
  <c r="N2" i="17"/>
  <c r="O2" i="17"/>
  <c r="P2" i="17"/>
  <c r="Q2" i="17"/>
  <c r="R2" i="17"/>
  <c r="S2" i="17"/>
  <c r="T2" i="17"/>
  <c r="U2" i="17"/>
  <c r="V2" i="17"/>
  <c r="W2" i="17"/>
  <c r="X2" i="17"/>
  <c r="Y2" i="17"/>
  <c r="Z2" i="17"/>
  <c r="AA2" i="17"/>
  <c r="AB2" i="17"/>
  <c r="AC2" i="17"/>
  <c r="AD2" i="17"/>
  <c r="AE2" i="17"/>
  <c r="AF2" i="17"/>
  <c r="AG2" i="17"/>
  <c r="AH2" i="17"/>
  <c r="AI2" i="17"/>
  <c r="AJ2" i="17"/>
  <c r="AK2" i="17"/>
  <c r="AL2" i="17"/>
  <c r="AM2" i="17"/>
  <c r="AN2" i="17"/>
  <c r="AO2" i="17"/>
  <c r="AP2" i="17"/>
  <c r="AQ2" i="17"/>
  <c r="AR2" i="17"/>
  <c r="AS2" i="17"/>
  <c r="AT2" i="17"/>
  <c r="AU2" i="17"/>
  <c r="AV2" i="17"/>
  <c r="AW2" i="17"/>
  <c r="AX2" i="17"/>
  <c r="AY2" i="17"/>
  <c r="AZ2" i="17"/>
  <c r="BA2" i="17"/>
  <c r="BB2" i="17"/>
  <c r="BC2" i="17"/>
  <c r="BD2" i="17"/>
  <c r="BE2" i="17"/>
  <c r="BF2" i="17"/>
  <c r="BG2" i="17"/>
  <c r="BH2" i="17"/>
  <c r="BI2" i="17"/>
  <c r="BJ2" i="17"/>
  <c r="BK2" i="17"/>
  <c r="BL2" i="17"/>
  <c r="BM2" i="17"/>
  <c r="BN2" i="17"/>
  <c r="BO2" i="17"/>
  <c r="BP2" i="17"/>
  <c r="BQ2" i="17"/>
  <c r="BR2" i="17"/>
  <c r="BS2" i="17"/>
  <c r="BT2" i="17"/>
  <c r="BU2" i="17"/>
  <c r="BV2" i="17"/>
  <c r="BW2" i="17"/>
  <c r="BX2" i="17"/>
  <c r="BY2" i="17"/>
  <c r="BZ2" i="17"/>
  <c r="CA2" i="17"/>
  <c r="CB2" i="17"/>
  <c r="CC2" i="17"/>
  <c r="CD2" i="17"/>
  <c r="CE2" i="17"/>
  <c r="CF2" i="17"/>
  <c r="CG2" i="17"/>
  <c r="CH2" i="17"/>
  <c r="CI2" i="17"/>
  <c r="CJ2" i="17"/>
  <c r="CK2" i="17"/>
  <c r="CL2" i="17"/>
  <c r="CM2" i="17"/>
  <c r="CN2" i="17"/>
  <c r="CO2" i="17"/>
  <c r="CP2" i="17"/>
  <c r="CQ2" i="17"/>
  <c r="CR2" i="17"/>
  <c r="CS2" i="17"/>
  <c r="CT2" i="17"/>
  <c r="CU2" i="17"/>
  <c r="CV2" i="17"/>
  <c r="CW2" i="17"/>
  <c r="CX2" i="17"/>
  <c r="CY2" i="17"/>
  <c r="CZ2" i="17"/>
  <c r="DA2" i="17"/>
  <c r="DB2" i="17"/>
  <c r="DC2" i="17"/>
  <c r="DD2" i="17"/>
  <c r="DE2" i="17"/>
  <c r="DF2" i="17"/>
  <c r="DG2" i="17"/>
  <c r="DH2" i="17"/>
  <c r="DI2" i="17"/>
  <c r="DJ2" i="17"/>
  <c r="DK2" i="17"/>
  <c r="DL2" i="17"/>
  <c r="DM2" i="17"/>
  <c r="DN2" i="17"/>
  <c r="DO2" i="17"/>
  <c r="DP2" i="17"/>
  <c r="DQ2" i="17"/>
  <c r="DR2" i="17"/>
  <c r="DS2" i="17"/>
  <c r="DT2" i="17"/>
  <c r="DU2" i="17"/>
  <c r="DV2" i="17"/>
  <c r="DW2" i="17"/>
  <c r="DX2" i="17"/>
  <c r="DY2" i="17"/>
  <c r="DZ2" i="17"/>
  <c r="EA2" i="17"/>
  <c r="EB2" i="17"/>
  <c r="EC2" i="17"/>
  <c r="ED2" i="17"/>
  <c r="EE2" i="17"/>
  <c r="EF2" i="17"/>
  <c r="EG2" i="17"/>
  <c r="EH2" i="17"/>
  <c r="EI2" i="17"/>
  <c r="EJ2" i="17"/>
  <c r="EK2" i="17"/>
  <c r="EL2" i="17"/>
  <c r="EM2" i="17"/>
  <c r="EN2" i="17"/>
  <c r="EO2" i="17"/>
  <c r="EP2" i="17"/>
  <c r="EQ2" i="17"/>
  <c r="ER2" i="17"/>
  <c r="ES2" i="17"/>
  <c r="ET2" i="17"/>
  <c r="EU2" i="17"/>
  <c r="EV2" i="17"/>
  <c r="EW2" i="17"/>
  <c r="EX2" i="17"/>
  <c r="EY2" i="17"/>
  <c r="EZ2" i="17"/>
  <c r="FA2" i="17"/>
  <c r="FB2" i="17"/>
  <c r="FC2" i="17"/>
  <c r="FD2" i="17"/>
  <c r="FE2" i="17"/>
  <c r="FF2" i="17"/>
  <c r="FG2" i="17"/>
  <c r="FH2" i="17"/>
  <c r="FI2" i="17"/>
  <c r="FJ2" i="17"/>
  <c r="FK2" i="17"/>
  <c r="FL2" i="17"/>
  <c r="FM2" i="17"/>
  <c r="FN2" i="17"/>
  <c r="FO2" i="17"/>
  <c r="FP2" i="17"/>
  <c r="FQ2" i="17"/>
  <c r="FR2" i="17"/>
  <c r="FS2" i="17"/>
  <c r="FT2" i="17"/>
  <c r="FU2" i="17"/>
  <c r="FV2" i="17"/>
  <c r="FW2" i="17"/>
  <c r="FX2" i="17"/>
  <c r="FY2" i="17"/>
  <c r="FZ2" i="17"/>
  <c r="GA2" i="17"/>
  <c r="GB2" i="17"/>
  <c r="GC2" i="17"/>
  <c r="GD2" i="17"/>
  <c r="GE2" i="17"/>
  <c r="GF2" i="17"/>
  <c r="GG2" i="17"/>
  <c r="GH2" i="17"/>
  <c r="GI2" i="17"/>
  <c r="GJ2" i="17"/>
  <c r="GK2" i="17"/>
  <c r="GL2" i="17"/>
  <c r="GM2" i="17"/>
  <c r="GN2" i="17"/>
  <c r="GO2" i="17"/>
  <c r="GP2" i="17"/>
  <c r="GQ2" i="17"/>
  <c r="GR2" i="17"/>
  <c r="GS2" i="17"/>
  <c r="GT2" i="17"/>
  <c r="GU2" i="17"/>
  <c r="GV2" i="17"/>
  <c r="GW2" i="17"/>
  <c r="GX2" i="17"/>
  <c r="GY2" i="17"/>
  <c r="GZ2" i="17"/>
  <c r="HA2" i="17"/>
  <c r="HB2" i="17"/>
  <c r="HC2" i="17"/>
  <c r="HD2" i="17"/>
  <c r="HE2" i="17"/>
  <c r="HF2" i="17"/>
  <c r="HG2" i="17"/>
  <c r="HH2" i="17"/>
  <c r="HI2" i="17"/>
  <c r="HJ2" i="17"/>
  <c r="HK2" i="17"/>
  <c r="HL2" i="17"/>
  <c r="HM2" i="17"/>
  <c r="HN2" i="17"/>
  <c r="HO2" i="17"/>
  <c r="HP2" i="17"/>
  <c r="HQ2" i="17"/>
  <c r="HR2" i="17"/>
  <c r="HS2" i="17"/>
  <c r="HT2" i="17"/>
  <c r="HU2" i="17"/>
  <c r="HV2" i="17"/>
  <c r="HW2" i="17"/>
  <c r="HX2" i="17"/>
  <c r="HY2" i="17"/>
  <c r="HZ2" i="17"/>
  <c r="IA2" i="17"/>
  <c r="IB2" i="17"/>
  <c r="IC2" i="17"/>
  <c r="ID2" i="17"/>
  <c r="IE2" i="17"/>
  <c r="IF2" i="17"/>
  <c r="IG2" i="17"/>
  <c r="IH2" i="17"/>
  <c r="II2" i="17"/>
  <c r="IJ2" i="17"/>
  <c r="IK2" i="17"/>
  <c r="IL2" i="17"/>
  <c r="IM2" i="17"/>
  <c r="IN2" i="17"/>
  <c r="IO2" i="17"/>
  <c r="IP2" i="17"/>
  <c r="IQ2" i="17"/>
  <c r="IR2" i="17"/>
  <c r="IS2" i="17"/>
  <c r="IT2" i="17"/>
  <c r="IU2" i="17"/>
  <c r="IV2" i="17"/>
  <c r="A1" i="17"/>
  <c r="B1" i="17"/>
  <c r="C1" i="17"/>
  <c r="D1" i="17"/>
  <c r="E1" i="17"/>
  <c r="F1" i="17"/>
  <c r="G1" i="17"/>
  <c r="H1" i="17"/>
  <c r="I1" i="17"/>
  <c r="J1" i="17"/>
  <c r="K1" i="17"/>
  <c r="L1" i="17"/>
  <c r="M1" i="17"/>
  <c r="N1" i="17"/>
  <c r="O1" i="17"/>
  <c r="P1" i="17"/>
  <c r="Q1" i="17"/>
  <c r="R1" i="17"/>
  <c r="S1" i="17"/>
  <c r="T1" i="17"/>
  <c r="U1" i="17"/>
  <c r="V1" i="17"/>
  <c r="W1" i="17"/>
  <c r="X1" i="17"/>
  <c r="Y1" i="17"/>
  <c r="Z1" i="17"/>
  <c r="AA1" i="17"/>
  <c r="AB1" i="17"/>
  <c r="AC1" i="17"/>
  <c r="AD1" i="17"/>
  <c r="AE1" i="17"/>
  <c r="AF1" i="17"/>
  <c r="AG1" i="17"/>
  <c r="AH1" i="17"/>
  <c r="AI1" i="17"/>
  <c r="AJ1" i="17"/>
  <c r="AK1" i="17"/>
  <c r="AL1" i="17"/>
  <c r="AM1" i="17"/>
  <c r="AN1" i="17"/>
  <c r="AO1" i="17"/>
  <c r="AP1" i="17"/>
  <c r="AQ1" i="17"/>
  <c r="AR1" i="17"/>
  <c r="AS1" i="17"/>
  <c r="AT1" i="17"/>
  <c r="AU1" i="17"/>
  <c r="AV1" i="17"/>
  <c r="AW1" i="17"/>
  <c r="AX1" i="17"/>
  <c r="AY1" i="17"/>
  <c r="AZ1" i="17"/>
  <c r="BA1" i="17"/>
  <c r="BB1" i="17"/>
  <c r="BC1" i="17"/>
  <c r="BD1" i="17"/>
  <c r="BE1" i="17"/>
  <c r="BF1" i="17"/>
  <c r="BG1" i="17"/>
  <c r="BH1" i="17"/>
  <c r="BI1" i="17"/>
  <c r="BJ1" i="17"/>
  <c r="BK1" i="17"/>
  <c r="BL1" i="17"/>
  <c r="BM1" i="17"/>
  <c r="BN1" i="17"/>
  <c r="BO1" i="17"/>
  <c r="BP1" i="17"/>
  <c r="BQ1" i="17"/>
  <c r="BR1" i="17"/>
  <c r="BS1" i="17"/>
  <c r="BT1" i="17"/>
  <c r="BU1" i="17"/>
  <c r="BV1" i="17"/>
  <c r="BW1" i="17"/>
  <c r="BX1" i="17"/>
  <c r="BY1" i="17"/>
  <c r="BZ1" i="17"/>
  <c r="CA1" i="17"/>
  <c r="CB1" i="17"/>
  <c r="CC1" i="17"/>
  <c r="CD1" i="17"/>
  <c r="CE1" i="17"/>
  <c r="CF1" i="17"/>
  <c r="CG1" i="17"/>
  <c r="CH1" i="17"/>
  <c r="CI1" i="17"/>
  <c r="CJ1" i="17"/>
  <c r="CK1" i="17"/>
  <c r="CL1" i="17"/>
  <c r="CM1" i="17"/>
  <c r="CN1" i="17"/>
  <c r="CO1" i="17"/>
  <c r="CP1" i="17"/>
  <c r="CQ1" i="17"/>
  <c r="CR1" i="17"/>
  <c r="CS1" i="17"/>
  <c r="CT1" i="17"/>
  <c r="CU1" i="17"/>
  <c r="CV1" i="17"/>
  <c r="CW1" i="17"/>
  <c r="CX1" i="17"/>
  <c r="CY1" i="17"/>
  <c r="CZ1" i="17"/>
  <c r="DA1" i="17"/>
  <c r="DB1" i="17"/>
  <c r="DC1" i="17"/>
  <c r="DD1" i="17"/>
  <c r="DE1" i="17"/>
  <c r="DF1" i="17"/>
  <c r="DG1" i="17"/>
  <c r="DH1" i="17"/>
  <c r="DI1" i="17"/>
  <c r="DJ1" i="17"/>
  <c r="DK1" i="17"/>
  <c r="DL1" i="17"/>
  <c r="DM1" i="17"/>
  <c r="DN1" i="17"/>
  <c r="DO1" i="17"/>
  <c r="DP1" i="17"/>
  <c r="DQ1" i="17"/>
  <c r="DR1" i="17"/>
  <c r="DS1" i="17"/>
  <c r="DT1" i="17"/>
  <c r="DU1" i="17"/>
  <c r="DV1" i="17"/>
  <c r="DW1" i="17"/>
  <c r="DX1" i="17"/>
  <c r="DY1" i="17"/>
  <c r="DZ1" i="17"/>
  <c r="EA1" i="17"/>
  <c r="EB1" i="17"/>
  <c r="EC1" i="17"/>
  <c r="ED1" i="17"/>
  <c r="EE1" i="17"/>
  <c r="EF1" i="17"/>
  <c r="EG1" i="17"/>
  <c r="EH1" i="17"/>
  <c r="EI1" i="17"/>
  <c r="EJ1" i="17"/>
  <c r="EK1" i="17"/>
  <c r="EL1" i="17"/>
  <c r="EM1" i="17"/>
  <c r="EN1" i="17"/>
  <c r="EO1" i="17"/>
  <c r="EP1" i="17"/>
  <c r="EQ1" i="17"/>
  <c r="ER1" i="17"/>
  <c r="ES1" i="17"/>
  <c r="ET1" i="17"/>
  <c r="EU1" i="17"/>
  <c r="EV1" i="17"/>
  <c r="EW1" i="17"/>
  <c r="EX1" i="17"/>
  <c r="EY1" i="17"/>
  <c r="EZ1" i="17"/>
  <c r="FA1" i="17"/>
  <c r="FB1" i="17"/>
  <c r="FC1" i="17"/>
  <c r="FD1" i="17"/>
  <c r="FE1" i="17"/>
  <c r="FF1" i="17"/>
  <c r="FG1" i="17"/>
  <c r="FH1" i="17"/>
  <c r="FI1" i="17"/>
  <c r="FJ1" i="17"/>
  <c r="FK1" i="17"/>
  <c r="FL1" i="17"/>
  <c r="FM1" i="17"/>
  <c r="FN1" i="17"/>
  <c r="FO1" i="17"/>
  <c r="FP1" i="17"/>
  <c r="FQ1" i="17"/>
  <c r="FR1" i="17"/>
  <c r="FS1" i="17"/>
  <c r="FT1" i="17"/>
  <c r="FU1" i="17"/>
  <c r="FV1" i="17"/>
  <c r="FW1" i="17"/>
  <c r="FX1" i="17"/>
  <c r="FY1" i="17"/>
  <c r="FZ1" i="17"/>
  <c r="GA1" i="17"/>
  <c r="GB1" i="17"/>
  <c r="GC1" i="17"/>
  <c r="GD1" i="17"/>
  <c r="GE1" i="17"/>
  <c r="GF1" i="17"/>
  <c r="GG1" i="17"/>
  <c r="GH1" i="17"/>
  <c r="GI1" i="17"/>
  <c r="GJ1" i="17"/>
  <c r="GK1" i="17"/>
  <c r="GL1" i="17"/>
  <c r="GM1" i="17"/>
  <c r="GN1" i="17"/>
  <c r="GO1" i="17"/>
  <c r="GP1" i="17"/>
  <c r="GQ1" i="17"/>
  <c r="GR1" i="17"/>
  <c r="GS1" i="17"/>
  <c r="GT1" i="17"/>
  <c r="GU1" i="17"/>
  <c r="GV1" i="17"/>
  <c r="GW1" i="17"/>
  <c r="GX1" i="17"/>
  <c r="GY1" i="17"/>
  <c r="GZ1" i="17"/>
  <c r="HA1" i="17"/>
  <c r="HB1" i="17"/>
  <c r="HC1" i="17"/>
  <c r="HD1" i="17"/>
  <c r="HE1" i="17"/>
  <c r="HF1" i="17"/>
  <c r="HG1" i="17"/>
  <c r="HH1" i="17"/>
  <c r="HI1" i="17"/>
  <c r="HJ1" i="17"/>
  <c r="HK1" i="17"/>
  <c r="HL1" i="17"/>
  <c r="HM1" i="17"/>
  <c r="HN1" i="17"/>
  <c r="HO1" i="17"/>
  <c r="HP1" i="17"/>
  <c r="HQ1" i="17"/>
  <c r="HR1" i="17"/>
  <c r="HS1" i="17"/>
  <c r="HT1" i="17"/>
  <c r="HU1" i="17"/>
  <c r="HV1" i="17"/>
  <c r="HW1" i="17"/>
  <c r="HX1" i="17"/>
  <c r="HY1" i="17"/>
  <c r="HZ1" i="17"/>
  <c r="IA1" i="17"/>
  <c r="IB1" i="17"/>
  <c r="IC1" i="17"/>
  <c r="ID1" i="17"/>
  <c r="IE1" i="17"/>
  <c r="IF1" i="17"/>
  <c r="IG1" i="17"/>
  <c r="IH1" i="17"/>
  <c r="II1" i="17"/>
  <c r="IJ1" i="17"/>
  <c r="IK1" i="17"/>
  <c r="IL1" i="17"/>
  <c r="IM1" i="17"/>
  <c r="IN1" i="17"/>
  <c r="IO1" i="17"/>
  <c r="IP1" i="17"/>
  <c r="IQ1" i="17"/>
  <c r="IR1" i="17"/>
  <c r="IS1" i="17"/>
  <c r="IT1" i="17"/>
  <c r="IU1" i="17"/>
  <c r="IV1" i="17"/>
  <c r="I306" i="1"/>
  <c r="H306" i="1"/>
  <c r="G306" i="1"/>
  <c r="F306" i="1"/>
  <c r="I305" i="1"/>
  <c r="H305" i="1"/>
  <c r="G305" i="1"/>
  <c r="F305" i="1"/>
  <c r="I293" i="1"/>
  <c r="H293" i="1"/>
  <c r="G293" i="1"/>
  <c r="F293" i="1"/>
  <c r="Z30" i="17"/>
  <c r="I216" i="1"/>
  <c r="H216" i="1"/>
  <c r="G216" i="1"/>
  <c r="F216" i="1"/>
  <c r="N50" i="1"/>
  <c r="I163" i="1"/>
  <c r="H163" i="1"/>
  <c r="G163" i="1"/>
  <c r="F163" i="1"/>
  <c r="GR176" i="17"/>
  <c r="GQ176" i="17"/>
  <c r="K142" i="17"/>
  <c r="L134" i="17"/>
  <c r="D124" i="17"/>
  <c r="D129" i="17"/>
  <c r="I140" i="1"/>
  <c r="H140" i="1"/>
  <c r="G140" i="1"/>
  <c r="F140" i="1"/>
  <c r="I315" i="1"/>
  <c r="H315" i="1"/>
  <c r="G315" i="1"/>
  <c r="F315" i="1"/>
  <c r="I250" i="1"/>
  <c r="H250" i="1"/>
  <c r="G250" i="1"/>
  <c r="F250" i="1"/>
  <c r="I102" i="1"/>
  <c r="H102" i="1"/>
  <c r="G102" i="1"/>
  <c r="F102" i="1"/>
  <c r="I139" i="1"/>
  <c r="H139" i="1"/>
  <c r="G139" i="1"/>
  <c r="F139" i="1"/>
  <c r="I169" i="1"/>
  <c r="H169" i="1"/>
  <c r="G169" i="1"/>
  <c r="F169" i="1"/>
  <c r="I138" i="1"/>
  <c r="H138" i="1"/>
  <c r="G138" i="1"/>
  <c r="F138" i="1"/>
  <c r="H319" i="1"/>
  <c r="F319" i="1"/>
  <c r="N27" i="17"/>
  <c r="I85" i="1"/>
  <c r="H85" i="1"/>
  <c r="G85" i="1"/>
  <c r="F85" i="1"/>
  <c r="Y464" i="2"/>
  <c r="Y466" i="2"/>
  <c r="Y474" i="2"/>
  <c r="Y475" i="2"/>
  <c r="Y478" i="2"/>
  <c r="Y479" i="2"/>
  <c r="M73" i="1"/>
  <c r="N73" i="1" s="1"/>
  <c r="M76" i="1"/>
  <c r="N76" i="1" s="1"/>
  <c r="M77" i="1"/>
  <c r="N77" i="1" s="1"/>
  <c r="F73" i="1"/>
  <c r="F76" i="1"/>
  <c r="F77" i="1"/>
  <c r="I73" i="1"/>
  <c r="I76" i="1"/>
  <c r="I77" i="1"/>
  <c r="H73" i="1"/>
  <c r="H76" i="1"/>
  <c r="H77" i="1"/>
  <c r="G73" i="1"/>
  <c r="G76" i="1"/>
  <c r="G77" i="1"/>
  <c r="I161" i="1"/>
  <c r="H161" i="1"/>
  <c r="G161" i="1"/>
  <c r="F161" i="1"/>
  <c r="I336" i="1"/>
  <c r="H336" i="1"/>
  <c r="G336" i="1"/>
  <c r="F336" i="1"/>
  <c r="I337" i="1"/>
  <c r="H337" i="1"/>
  <c r="G337" i="1"/>
  <c r="F337" i="1"/>
  <c r="I343" i="1"/>
  <c r="H343" i="1"/>
  <c r="G343" i="1"/>
  <c r="F343" i="1"/>
  <c r="I83" i="1"/>
  <c r="H83" i="1"/>
  <c r="G83" i="1"/>
  <c r="F83" i="1"/>
  <c r="U5" i="2"/>
  <c r="T5" i="2"/>
  <c r="I241" i="1"/>
  <c r="R93" i="4"/>
  <c r="R94" i="4"/>
  <c r="R95" i="4"/>
  <c r="R96" i="4"/>
  <c r="R97" i="4"/>
  <c r="R98" i="4"/>
  <c r="R99" i="4"/>
  <c r="R100" i="4"/>
  <c r="R101" i="4"/>
  <c r="R102" i="4"/>
  <c r="R103" i="4"/>
  <c r="R104" i="4"/>
  <c r="R105" i="4"/>
  <c r="R106" i="4"/>
  <c r="R107" i="4"/>
  <c r="R108" i="4"/>
  <c r="R109" i="4"/>
  <c r="R110" i="4"/>
  <c r="R111" i="4"/>
  <c r="R112" i="4"/>
  <c r="R113" i="4"/>
  <c r="R114" i="4"/>
  <c r="R115" i="4"/>
  <c r="R116" i="4"/>
  <c r="R117" i="4"/>
  <c r="R118" i="4"/>
  <c r="R119" i="4"/>
  <c r="R120" i="4"/>
  <c r="R121" i="4"/>
  <c r="R122" i="4"/>
  <c r="R123" i="4"/>
  <c r="R124" i="4"/>
  <c r="R125" i="4"/>
  <c r="R126" i="4"/>
  <c r="R127" i="4"/>
  <c r="R128" i="4"/>
  <c r="R129" i="4"/>
  <c r="R130" i="4"/>
  <c r="R131" i="4"/>
  <c r="R132" i="4"/>
  <c r="R133" i="4"/>
  <c r="R134" i="4"/>
  <c r="R135" i="4"/>
  <c r="R136" i="4"/>
  <c r="R137" i="4"/>
  <c r="R138" i="4"/>
  <c r="R139" i="4"/>
  <c r="R140" i="4"/>
  <c r="R141" i="4"/>
  <c r="R142" i="4"/>
  <c r="R143" i="4"/>
  <c r="R144" i="4"/>
  <c r="R145" i="4"/>
  <c r="R146" i="4"/>
  <c r="R147" i="4"/>
  <c r="R148" i="4"/>
  <c r="R149" i="4"/>
  <c r="R150" i="4"/>
  <c r="R151" i="4"/>
  <c r="R152" i="4"/>
  <c r="R153" i="4"/>
  <c r="R154" i="4"/>
  <c r="R155" i="4"/>
  <c r="R156" i="4"/>
  <c r="R157" i="4"/>
  <c r="R158" i="4"/>
  <c r="R159" i="4"/>
  <c r="R160" i="4"/>
  <c r="R161" i="4"/>
  <c r="R162" i="4"/>
  <c r="R163" i="4"/>
  <c r="R164" i="4"/>
  <c r="R165" i="4"/>
  <c r="R166" i="4"/>
  <c r="R167" i="4"/>
  <c r="R168" i="4"/>
  <c r="R169" i="4"/>
  <c r="R170" i="4"/>
  <c r="R171" i="4"/>
  <c r="R172" i="4"/>
  <c r="R173" i="4"/>
  <c r="R174" i="4"/>
  <c r="R175" i="4"/>
  <c r="R176" i="4"/>
  <c r="R177" i="4"/>
  <c r="R178" i="4"/>
  <c r="R179" i="4"/>
  <c r="R180" i="4"/>
  <c r="R181" i="4"/>
  <c r="R182" i="4"/>
  <c r="R183" i="4"/>
  <c r="R184" i="4"/>
  <c r="R185" i="4"/>
  <c r="R186" i="4"/>
  <c r="R187" i="4"/>
  <c r="R188" i="4"/>
  <c r="R189" i="4"/>
  <c r="R190" i="4"/>
  <c r="R191" i="4"/>
  <c r="R192" i="4"/>
  <c r="R193" i="4"/>
  <c r="R194" i="4"/>
  <c r="R195" i="4"/>
  <c r="R196" i="4"/>
  <c r="R197" i="4"/>
  <c r="R198" i="4"/>
  <c r="R199" i="4"/>
  <c r="R200" i="4"/>
  <c r="R201" i="4"/>
  <c r="R202" i="4"/>
  <c r="R203" i="4"/>
  <c r="R204" i="4"/>
  <c r="R205" i="4"/>
  <c r="R206" i="4"/>
  <c r="R207" i="4"/>
  <c r="R208" i="4"/>
  <c r="R209" i="4"/>
  <c r="R210" i="4"/>
  <c r="R211" i="4"/>
  <c r="R212" i="4"/>
  <c r="R213" i="4"/>
  <c r="R214" i="4"/>
  <c r="R215" i="4"/>
  <c r="R216" i="4"/>
  <c r="R193" i="17" s="1"/>
  <c r="R217" i="4"/>
  <c r="R218" i="4"/>
  <c r="R219" i="4"/>
  <c r="R220" i="4"/>
  <c r="R221" i="4"/>
  <c r="R222" i="4"/>
  <c r="R223" i="4"/>
  <c r="R224" i="4"/>
  <c r="R225" i="4"/>
  <c r="R226" i="4"/>
  <c r="R227" i="4"/>
  <c r="R228" i="4"/>
  <c r="R229" i="4"/>
  <c r="R230" i="4"/>
  <c r="R231" i="4"/>
  <c r="R232" i="4"/>
  <c r="R233" i="4"/>
  <c r="R234" i="4"/>
  <c r="R235" i="4"/>
  <c r="R236" i="4"/>
  <c r="R237" i="4"/>
  <c r="R238" i="4"/>
  <c r="R239" i="4"/>
  <c r="R240" i="4"/>
  <c r="R241" i="4"/>
  <c r="R242" i="4"/>
  <c r="R243" i="4"/>
  <c r="R244" i="4"/>
  <c r="R245" i="4"/>
  <c r="R246" i="4"/>
  <c r="R247" i="4"/>
  <c r="R248" i="4"/>
  <c r="R249" i="4"/>
  <c r="R250" i="4"/>
  <c r="R251" i="4"/>
  <c r="R252" i="4"/>
  <c r="R253" i="4"/>
  <c r="R254" i="4"/>
  <c r="R255" i="4"/>
  <c r="R256" i="4"/>
  <c r="R257" i="4"/>
  <c r="R258" i="4"/>
  <c r="R259" i="4"/>
  <c r="R260" i="4"/>
  <c r="R261" i="4"/>
  <c r="R262" i="4"/>
  <c r="R263" i="4"/>
  <c r="R264" i="4"/>
  <c r="R265" i="4"/>
  <c r="R266" i="4"/>
  <c r="R267" i="4"/>
  <c r="R268" i="4"/>
  <c r="R269" i="4"/>
  <c r="R270" i="4"/>
  <c r="R271" i="4"/>
  <c r="R272" i="4"/>
  <c r="R273" i="4"/>
  <c r="R274" i="4"/>
  <c r="R275" i="4"/>
  <c r="R276" i="4"/>
  <c r="R277" i="4"/>
  <c r="R278" i="4"/>
  <c r="R279" i="4"/>
  <c r="R280" i="4"/>
  <c r="R281" i="4"/>
  <c r="R282" i="4"/>
  <c r="R283" i="4"/>
  <c r="R284" i="4"/>
  <c r="R285" i="4"/>
  <c r="R286" i="4"/>
  <c r="R287" i="4"/>
  <c r="R288" i="4"/>
  <c r="R289" i="4"/>
  <c r="R290" i="4"/>
  <c r="R291" i="4"/>
  <c r="R292" i="4"/>
  <c r="R293" i="4"/>
  <c r="R294" i="4"/>
  <c r="R295" i="4"/>
  <c r="R296" i="4"/>
  <c r="R297" i="4"/>
  <c r="R298" i="4"/>
  <c r="R299" i="4"/>
  <c r="R300" i="4"/>
  <c r="R301" i="4"/>
  <c r="R302" i="4"/>
  <c r="R303" i="4"/>
  <c r="R304" i="4"/>
  <c r="R305" i="4"/>
  <c r="R306" i="4"/>
  <c r="R307" i="4"/>
  <c r="R308" i="4"/>
  <c r="R309" i="4"/>
  <c r="R310" i="4"/>
  <c r="R311" i="4"/>
  <c r="R312" i="4"/>
  <c r="R313" i="4"/>
  <c r="R314" i="4"/>
  <c r="R315" i="4"/>
  <c r="R316" i="4"/>
  <c r="R317" i="4"/>
  <c r="R318" i="4"/>
  <c r="R319" i="4"/>
  <c r="R320" i="4"/>
  <c r="R321" i="4"/>
  <c r="R322" i="4"/>
  <c r="R323" i="4"/>
  <c r="R324" i="4"/>
  <c r="R325" i="4"/>
  <c r="R326" i="4"/>
  <c r="R327" i="4"/>
  <c r="R328" i="4"/>
  <c r="R329" i="4"/>
  <c r="R330" i="4"/>
  <c r="R331" i="4"/>
  <c r="R332" i="4"/>
  <c r="R333" i="4"/>
  <c r="R334" i="4"/>
  <c r="R335" i="4"/>
  <c r="R336" i="4"/>
  <c r="R337" i="4"/>
  <c r="R338" i="4"/>
  <c r="R339" i="4"/>
  <c r="R340" i="4"/>
  <c r="R341" i="4"/>
  <c r="R342" i="4"/>
  <c r="R343" i="4"/>
  <c r="R344" i="4"/>
  <c r="R202" i="17" s="1"/>
  <c r="R345" i="4"/>
  <c r="R346" i="4"/>
  <c r="R347" i="4"/>
  <c r="R348" i="4"/>
  <c r="R349" i="4"/>
  <c r="R350" i="4"/>
  <c r="R351" i="4"/>
  <c r="R352" i="4"/>
  <c r="R353" i="4"/>
  <c r="R354" i="4"/>
  <c r="R355" i="4"/>
  <c r="R356" i="4"/>
  <c r="R357" i="4"/>
  <c r="R358" i="4"/>
  <c r="R359" i="4"/>
  <c r="R360" i="4"/>
  <c r="R361" i="4"/>
  <c r="R362" i="4"/>
  <c r="R363" i="4"/>
  <c r="R364" i="4"/>
  <c r="R365" i="4"/>
  <c r="R366" i="4"/>
  <c r="R367" i="4"/>
  <c r="R368" i="4"/>
  <c r="V5" i="2"/>
  <c r="W5" i="2"/>
  <c r="V42" i="17"/>
  <c r="V69" i="17"/>
  <c r="W71" i="17"/>
  <c r="T92" i="17"/>
  <c r="U94" i="17"/>
  <c r="V96" i="17"/>
  <c r="W98" i="17"/>
  <c r="U121" i="17"/>
  <c r="F10" i="1"/>
  <c r="G10" i="1"/>
  <c r="H10" i="1"/>
  <c r="I10" i="1"/>
  <c r="F12" i="1"/>
  <c r="G12" i="1"/>
  <c r="H12" i="1"/>
  <c r="I12" i="1"/>
  <c r="M12" i="1"/>
  <c r="N12" i="1" s="1"/>
  <c r="F15" i="1"/>
  <c r="G15" i="1"/>
  <c r="H15" i="1"/>
  <c r="I15" i="1"/>
  <c r="M15" i="1"/>
  <c r="N15" i="1" s="1"/>
  <c r="F16" i="1"/>
  <c r="G16" i="1"/>
  <c r="H16" i="1"/>
  <c r="I16" i="1"/>
  <c r="F17" i="1"/>
  <c r="G17" i="1"/>
  <c r="H17" i="1"/>
  <c r="I17" i="1"/>
  <c r="N17" i="1"/>
  <c r="F18" i="1"/>
  <c r="G18" i="1"/>
  <c r="H18" i="1"/>
  <c r="I18" i="1"/>
  <c r="M18" i="1"/>
  <c r="F19" i="1"/>
  <c r="G19" i="1"/>
  <c r="H19" i="1"/>
  <c r="I19" i="1"/>
  <c r="M19" i="1"/>
  <c r="N19" i="1" s="1"/>
  <c r="F20" i="1"/>
  <c r="G20" i="1"/>
  <c r="H20" i="1"/>
  <c r="I20" i="1"/>
  <c r="M20" i="1"/>
  <c r="N20" i="1" s="1"/>
  <c r="F21" i="1"/>
  <c r="G21" i="1"/>
  <c r="H21" i="1"/>
  <c r="I21" i="1"/>
  <c r="M21" i="1"/>
  <c r="N21" i="1" s="1"/>
  <c r="F22" i="1"/>
  <c r="G22" i="1"/>
  <c r="H22" i="1"/>
  <c r="I22" i="1"/>
  <c r="M22" i="1"/>
  <c r="N22" i="1" s="1"/>
  <c r="F23" i="1"/>
  <c r="G23" i="1"/>
  <c r="H23" i="1"/>
  <c r="I23" i="1"/>
  <c r="M23" i="1"/>
  <c r="N23" i="1" s="1"/>
  <c r="F24" i="1"/>
  <c r="G24" i="1"/>
  <c r="H24" i="1"/>
  <c r="I24" i="1"/>
  <c r="M24" i="1"/>
  <c r="N24" i="1"/>
  <c r="F25" i="1"/>
  <c r="G25" i="1"/>
  <c r="H25" i="1"/>
  <c r="I25" i="1"/>
  <c r="M25" i="1"/>
  <c r="M4" i="17" s="1"/>
  <c r="F27" i="1"/>
  <c r="G27" i="1"/>
  <c r="H27" i="1"/>
  <c r="I27" i="1"/>
  <c r="M27" i="1"/>
  <c r="N27" i="1" s="1"/>
  <c r="F28" i="1"/>
  <c r="G28" i="1"/>
  <c r="H28" i="1"/>
  <c r="I28" i="1"/>
  <c r="M28" i="1"/>
  <c r="N28" i="1" s="1"/>
  <c r="F29" i="1"/>
  <c r="G29" i="1"/>
  <c r="H29" i="1"/>
  <c r="I29" i="1"/>
  <c r="M29" i="1"/>
  <c r="N29" i="1" s="1"/>
  <c r="F30" i="1"/>
  <c r="G30" i="1"/>
  <c r="H30" i="1"/>
  <c r="I30" i="1"/>
  <c r="M30" i="1"/>
  <c r="N30" i="1" s="1"/>
  <c r="F31" i="1"/>
  <c r="G31" i="1"/>
  <c r="H31" i="1"/>
  <c r="I31" i="1"/>
  <c r="M31" i="1"/>
  <c r="N31" i="1" s="1"/>
  <c r="F32" i="1"/>
  <c r="G32" i="1"/>
  <c r="H32" i="1"/>
  <c r="I32" i="1"/>
  <c r="M32" i="1"/>
  <c r="F33" i="1"/>
  <c r="G33" i="1"/>
  <c r="H33" i="1"/>
  <c r="I33" i="1"/>
  <c r="M33" i="1"/>
  <c r="N33" i="1" s="1"/>
  <c r="F35" i="1"/>
  <c r="G35" i="1"/>
  <c r="H35" i="1"/>
  <c r="I35" i="1"/>
  <c r="M35" i="1"/>
  <c r="N35" i="1" s="1"/>
  <c r="F36" i="1"/>
  <c r="G36" i="1"/>
  <c r="J36" i="1" s="1"/>
  <c r="H36" i="1"/>
  <c r="I36" i="1"/>
  <c r="M36" i="1"/>
  <c r="N36" i="1"/>
  <c r="F37" i="1"/>
  <c r="G37" i="1"/>
  <c r="H37" i="1"/>
  <c r="I37" i="1"/>
  <c r="M37" i="1"/>
  <c r="N37" i="1" s="1"/>
  <c r="F39" i="1"/>
  <c r="EF39" i="17" s="1"/>
  <c r="G39" i="1"/>
  <c r="H39" i="1"/>
  <c r="EH39" i="17" s="1"/>
  <c r="I39" i="1"/>
  <c r="M39" i="1"/>
  <c r="EM39" i="17" s="1"/>
  <c r="F40" i="1"/>
  <c r="G40" i="1"/>
  <c r="H40" i="1"/>
  <c r="I40" i="1"/>
  <c r="M40" i="1"/>
  <c r="N40" i="1" s="1"/>
  <c r="F41" i="1"/>
  <c r="G41" i="1"/>
  <c r="H41" i="1"/>
  <c r="H6" i="17" s="1"/>
  <c r="I41" i="1"/>
  <c r="M41" i="1"/>
  <c r="N41" i="1" s="1"/>
  <c r="F42" i="1"/>
  <c r="G42" i="1"/>
  <c r="H42" i="1"/>
  <c r="I42" i="1"/>
  <c r="M42" i="1"/>
  <c r="N42" i="1" s="1"/>
  <c r="F43" i="1"/>
  <c r="G43" i="1"/>
  <c r="H43" i="1"/>
  <c r="I43" i="1"/>
  <c r="M43" i="1"/>
  <c r="F44" i="1"/>
  <c r="G44" i="1"/>
  <c r="H44" i="1"/>
  <c r="I44" i="1"/>
  <c r="M44" i="1"/>
  <c r="N44" i="1" s="1"/>
  <c r="F45" i="1"/>
  <c r="G45" i="1"/>
  <c r="H45" i="1"/>
  <c r="I45" i="1"/>
  <c r="M45" i="1"/>
  <c r="N45" i="1" s="1"/>
  <c r="F46" i="1"/>
  <c r="G46" i="1"/>
  <c r="H46" i="1"/>
  <c r="I46" i="1"/>
  <c r="M46" i="1"/>
  <c r="N46" i="1" s="1"/>
  <c r="F47" i="1"/>
  <c r="G47" i="1"/>
  <c r="H47" i="1"/>
  <c r="I47" i="1"/>
  <c r="M47" i="1"/>
  <c r="F48" i="1"/>
  <c r="G48" i="1"/>
  <c r="H48" i="1"/>
  <c r="I48" i="1"/>
  <c r="M48" i="1"/>
  <c r="F51" i="1"/>
  <c r="G51" i="1"/>
  <c r="H51" i="1"/>
  <c r="I51" i="1"/>
  <c r="M51" i="1"/>
  <c r="N51" i="1" s="1"/>
  <c r="F52" i="1"/>
  <c r="G52" i="1"/>
  <c r="H52" i="1"/>
  <c r="I52" i="1"/>
  <c r="M52" i="1"/>
  <c r="N52" i="1" s="1"/>
  <c r="F54" i="1"/>
  <c r="G54" i="1"/>
  <c r="H54" i="1"/>
  <c r="I54" i="1"/>
  <c r="M54" i="1"/>
  <c r="N54" i="1" s="1"/>
  <c r="F56" i="1"/>
  <c r="G56" i="1"/>
  <c r="H56" i="1"/>
  <c r="I56" i="1"/>
  <c r="M56" i="1"/>
  <c r="N56" i="1" s="1"/>
  <c r="F57" i="1"/>
  <c r="G57" i="1"/>
  <c r="H57" i="1"/>
  <c r="I57" i="1"/>
  <c r="M57" i="1"/>
  <c r="N57" i="1" s="1"/>
  <c r="F58" i="1"/>
  <c r="G58" i="1"/>
  <c r="H58" i="1"/>
  <c r="I58" i="1"/>
  <c r="M58" i="1"/>
  <c r="N58" i="1" s="1"/>
  <c r="F59" i="1"/>
  <c r="G59" i="1"/>
  <c r="H59" i="1"/>
  <c r="I59" i="1"/>
  <c r="M59" i="1"/>
  <c r="N59" i="1" s="1"/>
  <c r="F60" i="1"/>
  <c r="G60" i="1"/>
  <c r="H60" i="1"/>
  <c r="I60" i="1"/>
  <c r="M60" i="1"/>
  <c r="N60" i="1" s="1"/>
  <c r="F61" i="1"/>
  <c r="G61" i="1"/>
  <c r="H61" i="1"/>
  <c r="I61" i="1"/>
  <c r="M61" i="1"/>
  <c r="N61" i="1" s="1"/>
  <c r="F63" i="1"/>
  <c r="G63" i="1"/>
  <c r="H63" i="1"/>
  <c r="I63" i="1"/>
  <c r="M63" i="1"/>
  <c r="N63" i="1" s="1"/>
  <c r="F64" i="1"/>
  <c r="G64" i="1"/>
  <c r="H64" i="1"/>
  <c r="I64" i="1"/>
  <c r="M64" i="1"/>
  <c r="N64" i="1" s="1"/>
  <c r="F65" i="1"/>
  <c r="G65" i="1"/>
  <c r="H65" i="1"/>
  <c r="I65" i="1"/>
  <c r="M65" i="1"/>
  <c r="N65" i="1" s="1"/>
  <c r="F66" i="1"/>
  <c r="G66" i="1"/>
  <c r="H66" i="1"/>
  <c r="I66" i="1"/>
  <c r="M66" i="1"/>
  <c r="N66" i="1" s="1"/>
  <c r="F67" i="1"/>
  <c r="G67" i="1"/>
  <c r="H67" i="1"/>
  <c r="I67" i="1"/>
  <c r="M67" i="1"/>
  <c r="N67" i="1" s="1"/>
  <c r="F68" i="1"/>
  <c r="G68" i="1"/>
  <c r="H68" i="1"/>
  <c r="I68" i="1"/>
  <c r="M68" i="1"/>
  <c r="N68" i="1" s="1"/>
  <c r="F69" i="1"/>
  <c r="G69" i="1"/>
  <c r="H69" i="1"/>
  <c r="I69" i="1"/>
  <c r="M69" i="1"/>
  <c r="N69" i="1" s="1"/>
  <c r="F70" i="1"/>
  <c r="G70" i="1"/>
  <c r="H70" i="1"/>
  <c r="I70" i="1"/>
  <c r="M70" i="1"/>
  <c r="N70" i="1" s="1"/>
  <c r="F71" i="1"/>
  <c r="G71" i="1"/>
  <c r="H71" i="1"/>
  <c r="I71" i="1"/>
  <c r="M71" i="1"/>
  <c r="N71" i="1" s="1"/>
  <c r="F72" i="1"/>
  <c r="G72" i="1"/>
  <c r="H72" i="1"/>
  <c r="I72" i="1"/>
  <c r="M72" i="1"/>
  <c r="N72" i="1" s="1"/>
  <c r="F81" i="1"/>
  <c r="G81" i="1"/>
  <c r="H81" i="1"/>
  <c r="I81" i="1"/>
  <c r="N81" i="1"/>
  <c r="F86" i="1"/>
  <c r="G86" i="1"/>
  <c r="H86" i="1"/>
  <c r="I86" i="1"/>
  <c r="F87" i="1"/>
  <c r="G87" i="1"/>
  <c r="H87" i="1"/>
  <c r="I87" i="1"/>
  <c r="F90" i="1"/>
  <c r="G90" i="1"/>
  <c r="H90" i="1"/>
  <c r="I90" i="1"/>
  <c r="F91" i="1"/>
  <c r="G91" i="1"/>
  <c r="H91" i="1"/>
  <c r="I91" i="1"/>
  <c r="F92" i="1"/>
  <c r="G92" i="1"/>
  <c r="H92" i="1"/>
  <c r="I92" i="1"/>
  <c r="F93" i="1"/>
  <c r="G93" i="1"/>
  <c r="H93" i="1"/>
  <c r="I93" i="1"/>
  <c r="F94" i="1"/>
  <c r="G94" i="1"/>
  <c r="H94" i="1"/>
  <c r="I94" i="1"/>
  <c r="F96" i="1"/>
  <c r="G96" i="1"/>
  <c r="H96" i="1"/>
  <c r="I96" i="1"/>
  <c r="F98" i="1"/>
  <c r="G98" i="1"/>
  <c r="H98" i="1"/>
  <c r="I98" i="1"/>
  <c r="F99" i="1"/>
  <c r="G99" i="1"/>
  <c r="H99" i="1"/>
  <c r="I99" i="1"/>
  <c r="F100" i="1"/>
  <c r="G100" i="1"/>
  <c r="H100" i="1"/>
  <c r="I100" i="1"/>
  <c r="F101" i="1"/>
  <c r="G101" i="1"/>
  <c r="H101" i="1"/>
  <c r="I101" i="1"/>
  <c r="F103" i="1"/>
  <c r="G103" i="1"/>
  <c r="H103" i="1"/>
  <c r="I103" i="1"/>
  <c r="F104" i="1"/>
  <c r="G104" i="1"/>
  <c r="H104" i="1"/>
  <c r="I104" i="1"/>
  <c r="F107" i="1"/>
  <c r="G107" i="1"/>
  <c r="H107" i="1"/>
  <c r="J107" i="1" s="1"/>
  <c r="K107" i="1" s="1"/>
  <c r="I107" i="1"/>
  <c r="F108" i="1"/>
  <c r="G108" i="1"/>
  <c r="H108" i="1"/>
  <c r="I108" i="1"/>
  <c r="F109" i="1"/>
  <c r="G109" i="1"/>
  <c r="H109" i="1"/>
  <c r="I109" i="1"/>
  <c r="F110" i="1"/>
  <c r="G110" i="1"/>
  <c r="H110" i="1"/>
  <c r="J110" i="1" s="1"/>
  <c r="I110" i="1"/>
  <c r="F111" i="1"/>
  <c r="G111" i="1"/>
  <c r="H111" i="1"/>
  <c r="J111" i="1" s="1"/>
  <c r="I111" i="1"/>
  <c r="F114" i="1"/>
  <c r="G114" i="1"/>
  <c r="H114" i="1"/>
  <c r="I114" i="1"/>
  <c r="F115" i="1"/>
  <c r="G115" i="1"/>
  <c r="H115" i="1"/>
  <c r="I115" i="1"/>
  <c r="F116" i="1"/>
  <c r="G116" i="1"/>
  <c r="H116" i="1"/>
  <c r="I116" i="1"/>
  <c r="F117" i="1"/>
  <c r="G117" i="1"/>
  <c r="H117" i="1"/>
  <c r="I117" i="1"/>
  <c r="F119" i="1"/>
  <c r="G119" i="1"/>
  <c r="H119" i="1"/>
  <c r="I119" i="1"/>
  <c r="F120" i="1"/>
  <c r="G120" i="1"/>
  <c r="H120" i="1"/>
  <c r="J120" i="1" s="1"/>
  <c r="I120" i="1"/>
  <c r="F148" i="1"/>
  <c r="G148" i="1"/>
  <c r="H148" i="1"/>
  <c r="I148" i="1"/>
  <c r="F162" i="1"/>
  <c r="G162" i="1"/>
  <c r="H162" i="1"/>
  <c r="J162" i="1" s="1"/>
  <c r="I162" i="1"/>
  <c r="F164" i="1"/>
  <c r="G164" i="1"/>
  <c r="H164" i="1"/>
  <c r="I164" i="1"/>
  <c r="F165" i="1"/>
  <c r="G165" i="1"/>
  <c r="H165" i="1"/>
  <c r="I165" i="1"/>
  <c r="F166" i="1"/>
  <c r="G166" i="1"/>
  <c r="H166" i="1"/>
  <c r="I166" i="1"/>
  <c r="F168" i="1"/>
  <c r="G168" i="1"/>
  <c r="H168" i="1"/>
  <c r="I168" i="1"/>
  <c r="F170" i="1"/>
  <c r="G170" i="1"/>
  <c r="H170" i="1"/>
  <c r="I170" i="1"/>
  <c r="F176" i="1"/>
  <c r="G176" i="1"/>
  <c r="H176" i="1"/>
  <c r="I176" i="1"/>
  <c r="F178" i="1"/>
  <c r="G178" i="1"/>
  <c r="H178" i="1"/>
  <c r="I178" i="1"/>
  <c r="F179" i="1"/>
  <c r="G179" i="1"/>
  <c r="H179" i="1"/>
  <c r="I179" i="1"/>
  <c r="F180" i="1"/>
  <c r="G180" i="1"/>
  <c r="H180" i="1"/>
  <c r="I180" i="1"/>
  <c r="F181" i="1"/>
  <c r="G181" i="1"/>
  <c r="H181" i="1"/>
  <c r="I181" i="1"/>
  <c r="F182" i="1"/>
  <c r="G182" i="1"/>
  <c r="H182" i="1"/>
  <c r="I182" i="1"/>
  <c r="F184" i="1"/>
  <c r="G184" i="1"/>
  <c r="H184" i="1"/>
  <c r="I184" i="1"/>
  <c r="F185" i="1"/>
  <c r="G185" i="1"/>
  <c r="H185" i="1"/>
  <c r="I185" i="1"/>
  <c r="F186" i="1"/>
  <c r="G186" i="1"/>
  <c r="H186" i="1"/>
  <c r="I186" i="1"/>
  <c r="F194" i="1"/>
  <c r="G194" i="1"/>
  <c r="H194" i="1"/>
  <c r="I194" i="1"/>
  <c r="F214" i="1"/>
  <c r="G214" i="1"/>
  <c r="H214" i="1"/>
  <c r="I214" i="1"/>
  <c r="F215" i="1"/>
  <c r="G215" i="1"/>
  <c r="H215" i="1"/>
  <c r="I215" i="1"/>
  <c r="F217" i="1"/>
  <c r="G217" i="1"/>
  <c r="H217" i="1"/>
  <c r="I217" i="1"/>
  <c r="F219" i="1"/>
  <c r="G219" i="1"/>
  <c r="H219" i="1"/>
  <c r="I219" i="1"/>
  <c r="F221" i="1"/>
  <c r="G221" i="1"/>
  <c r="H221" i="1"/>
  <c r="I221" i="1"/>
  <c r="F223" i="1"/>
  <c r="G223" i="1"/>
  <c r="H223" i="1"/>
  <c r="I223" i="1"/>
  <c r="F225" i="1"/>
  <c r="G225" i="1"/>
  <c r="H225" i="1"/>
  <c r="I225" i="1"/>
  <c r="F226" i="1"/>
  <c r="G226" i="1"/>
  <c r="H226" i="1"/>
  <c r="I226" i="1"/>
  <c r="F227" i="1"/>
  <c r="G227" i="1"/>
  <c r="H227" i="1"/>
  <c r="I227" i="1"/>
  <c r="F232" i="1"/>
  <c r="G232" i="1"/>
  <c r="H232" i="1"/>
  <c r="I232" i="1"/>
  <c r="F238" i="1"/>
  <c r="G238" i="1"/>
  <c r="H238" i="1"/>
  <c r="I238" i="1"/>
  <c r="F241" i="1"/>
  <c r="G241" i="1"/>
  <c r="H241" i="1"/>
  <c r="F242" i="1"/>
  <c r="G242" i="1"/>
  <c r="H242" i="1"/>
  <c r="I242" i="1"/>
  <c r="F243" i="1"/>
  <c r="G243" i="1"/>
  <c r="H243" i="1"/>
  <c r="I243" i="1"/>
  <c r="F245" i="1"/>
  <c r="G245" i="1"/>
  <c r="H245" i="1"/>
  <c r="I245" i="1"/>
  <c r="F247" i="1"/>
  <c r="G247" i="1"/>
  <c r="H247" i="1"/>
  <c r="I247" i="1"/>
  <c r="F248" i="1"/>
  <c r="G248" i="1"/>
  <c r="H248" i="1"/>
  <c r="I248" i="1"/>
  <c r="F249" i="1"/>
  <c r="G249" i="1"/>
  <c r="H249" i="1"/>
  <c r="I249" i="1"/>
  <c r="F252" i="1"/>
  <c r="G252" i="1"/>
  <c r="H252" i="1"/>
  <c r="I252" i="1"/>
  <c r="F254" i="1"/>
  <c r="G254" i="1"/>
  <c r="H254" i="1"/>
  <c r="I254" i="1"/>
  <c r="F256" i="1"/>
  <c r="G256" i="1"/>
  <c r="H256" i="1"/>
  <c r="I256" i="1"/>
  <c r="F259" i="1"/>
  <c r="G259" i="1"/>
  <c r="H259" i="1"/>
  <c r="I259" i="1"/>
  <c r="F261" i="1"/>
  <c r="G261" i="1"/>
  <c r="H261" i="1"/>
  <c r="I261" i="1"/>
  <c r="I29" i="17"/>
  <c r="F264" i="1"/>
  <c r="G264" i="1"/>
  <c r="H264" i="1"/>
  <c r="I264" i="1"/>
  <c r="F265" i="1"/>
  <c r="G265" i="1"/>
  <c r="H265" i="1"/>
  <c r="I265" i="1"/>
  <c r="F269" i="1"/>
  <c r="G269" i="1"/>
  <c r="H269" i="1"/>
  <c r="I269" i="1"/>
  <c r="F270" i="1"/>
  <c r="G270" i="1"/>
  <c r="H270" i="1"/>
  <c r="I270" i="1"/>
  <c r="F271" i="1"/>
  <c r="G271" i="1"/>
  <c r="H271" i="1"/>
  <c r="I271" i="1"/>
  <c r="F273" i="1"/>
  <c r="G273" i="1"/>
  <c r="H273" i="1"/>
  <c r="I273" i="1"/>
  <c r="F277" i="1"/>
  <c r="G277" i="1"/>
  <c r="H277" i="1"/>
  <c r="I277" i="1"/>
  <c r="F279" i="1"/>
  <c r="G279" i="1"/>
  <c r="H279" i="1"/>
  <c r="I279" i="1"/>
  <c r="F281" i="1"/>
  <c r="G281" i="1"/>
  <c r="G22" i="17" s="1"/>
  <c r="H281" i="1"/>
  <c r="I281" i="1"/>
  <c r="F282" i="1"/>
  <c r="G282" i="1"/>
  <c r="H282" i="1"/>
  <c r="I282" i="1"/>
  <c r="F284" i="1"/>
  <c r="G284" i="1"/>
  <c r="H284" i="1"/>
  <c r="I284" i="1"/>
  <c r="F285" i="1"/>
  <c r="G285" i="1"/>
  <c r="H285" i="1"/>
  <c r="I285" i="1"/>
  <c r="F286" i="1"/>
  <c r="G286" i="1"/>
  <c r="H286" i="1"/>
  <c r="I286" i="1"/>
  <c r="F287" i="1"/>
  <c r="G287" i="1"/>
  <c r="H287" i="1"/>
  <c r="J287" i="1" s="1"/>
  <c r="I287" i="1"/>
  <c r="F288" i="1"/>
  <c r="G288" i="1"/>
  <c r="H288" i="1"/>
  <c r="I288" i="1"/>
  <c r="F289" i="1"/>
  <c r="G289" i="1"/>
  <c r="H289" i="1"/>
  <c r="I289" i="1"/>
  <c r="F292" i="1"/>
  <c r="G292" i="1"/>
  <c r="H292" i="1"/>
  <c r="J292" i="1" s="1"/>
  <c r="I292" i="1"/>
  <c r="F294" i="1"/>
  <c r="G294" i="1"/>
  <c r="H294" i="1"/>
  <c r="I294" i="1"/>
  <c r="F295" i="1"/>
  <c r="G295" i="1"/>
  <c r="H295" i="1"/>
  <c r="I295" i="1"/>
  <c r="F296" i="1"/>
  <c r="G296" i="1"/>
  <c r="H296" i="1"/>
  <c r="I296" i="1"/>
  <c r="F297" i="1"/>
  <c r="G297" i="1"/>
  <c r="H297" i="1"/>
  <c r="I297" i="1"/>
  <c r="F299" i="1"/>
  <c r="G299" i="1"/>
  <c r="H299" i="1"/>
  <c r="I299" i="1"/>
  <c r="F300" i="1"/>
  <c r="G300" i="1"/>
  <c r="H300" i="1"/>
  <c r="I300" i="1"/>
  <c r="F301" i="1"/>
  <c r="G301" i="1"/>
  <c r="H301" i="1"/>
  <c r="I301" i="1"/>
  <c r="F302" i="1"/>
  <c r="G302" i="1"/>
  <c r="H302" i="1"/>
  <c r="I302" i="1"/>
  <c r="F307" i="1"/>
  <c r="G307" i="1"/>
  <c r="H307" i="1"/>
  <c r="I307" i="1"/>
  <c r="F308" i="1"/>
  <c r="G308" i="1"/>
  <c r="H308" i="1"/>
  <c r="I308" i="1"/>
  <c r="F310" i="1"/>
  <c r="G310" i="1"/>
  <c r="H310" i="1"/>
  <c r="I310" i="1"/>
  <c r="F311" i="1"/>
  <c r="G311" i="1"/>
  <c r="H311" i="1"/>
  <c r="I311" i="1"/>
  <c r="F313" i="1"/>
  <c r="G313" i="1"/>
  <c r="H313" i="1"/>
  <c r="J313" i="1" s="1"/>
  <c r="I313" i="1"/>
  <c r="F317" i="1"/>
  <c r="G317" i="1"/>
  <c r="H317" i="1"/>
  <c r="I317" i="1"/>
  <c r="F318" i="1"/>
  <c r="G318" i="1"/>
  <c r="H318" i="1"/>
  <c r="I318" i="1"/>
  <c r="G319" i="1"/>
  <c r="I319" i="1"/>
  <c r="F320" i="1"/>
  <c r="G320" i="1"/>
  <c r="H320" i="1"/>
  <c r="I320" i="1"/>
  <c r="F321" i="1"/>
  <c r="J321" i="1" s="1"/>
  <c r="G321" i="1"/>
  <c r="H321" i="1"/>
  <c r="I321" i="1"/>
  <c r="F322" i="1"/>
  <c r="G322" i="1"/>
  <c r="H322" i="1"/>
  <c r="I322" i="1"/>
  <c r="F325" i="1"/>
  <c r="G325" i="1"/>
  <c r="H325" i="1"/>
  <c r="I325" i="1"/>
  <c r="F332" i="1"/>
  <c r="G332" i="1"/>
  <c r="H332" i="1"/>
  <c r="I332" i="1"/>
  <c r="F333" i="1"/>
  <c r="G333" i="1"/>
  <c r="H333" i="1"/>
  <c r="I333" i="1"/>
  <c r="F334" i="1"/>
  <c r="G334" i="1"/>
  <c r="H334" i="1"/>
  <c r="I334" i="1"/>
  <c r="H409" i="17"/>
  <c r="F338" i="1"/>
  <c r="G338" i="1"/>
  <c r="H338" i="1"/>
  <c r="I338" i="1"/>
  <c r="F342" i="1"/>
  <c r="G342" i="1"/>
  <c r="H342" i="1"/>
  <c r="I342" i="1"/>
  <c r="F38" i="17"/>
  <c r="F344" i="1"/>
  <c r="G344" i="1"/>
  <c r="H344" i="1"/>
  <c r="I344" i="1"/>
  <c r="T437" i="2"/>
  <c r="T441" i="2"/>
  <c r="T445" i="2"/>
  <c r="T438" i="2"/>
  <c r="T442" i="2"/>
  <c r="T469" i="2"/>
  <c r="X469" i="2" s="1"/>
  <c r="Y469" i="2" s="1"/>
  <c r="T439" i="2"/>
  <c r="T447" i="2"/>
  <c r="U447" i="2" s="1"/>
  <c r="T470" i="2"/>
  <c r="T444" i="2"/>
  <c r="U444" i="2" s="1"/>
  <c r="T448" i="2"/>
  <c r="T398" i="2"/>
  <c r="M407" i="17"/>
  <c r="T325" i="2"/>
  <c r="T322" i="2"/>
  <c r="V344" i="2"/>
  <c r="W344" i="2" s="1"/>
  <c r="T328" i="2"/>
  <c r="U328" i="2" s="1"/>
  <c r="T330" i="2"/>
  <c r="T393" i="2"/>
  <c r="T391" i="2"/>
  <c r="T387" i="2"/>
  <c r="T374" i="2"/>
  <c r="U374" i="2" s="1"/>
  <c r="T377" i="2"/>
  <c r="T378" i="2"/>
  <c r="T317" i="2"/>
  <c r="U317" i="2" s="1"/>
  <c r="T319" i="2"/>
  <c r="T321" i="2"/>
  <c r="T334" i="2"/>
  <c r="U334" i="2" s="1"/>
  <c r="T336" i="2"/>
  <c r="U336" i="2" s="1"/>
  <c r="T384" i="2"/>
  <c r="T388" i="2"/>
  <c r="T392" i="2"/>
  <c r="T394" i="2"/>
  <c r="T333" i="2"/>
  <c r="U333" i="2" s="1"/>
  <c r="T370" i="2"/>
  <c r="T371" i="2"/>
  <c r="T375" i="2"/>
  <c r="U375" i="2" s="1"/>
  <c r="T380" i="2"/>
  <c r="T329" i="2"/>
  <c r="U329" i="2" s="1"/>
  <c r="T382" i="2"/>
  <c r="U382" i="2" s="1"/>
  <c r="V382" i="2" s="1"/>
  <c r="T320" i="2"/>
  <c r="U320" i="2" s="1"/>
  <c r="T323" i="2"/>
  <c r="T337" i="2"/>
  <c r="U337" i="2" s="1"/>
  <c r="T396" i="2"/>
  <c r="V396" i="2" s="1"/>
  <c r="U340" i="2"/>
  <c r="V340" i="2" s="1"/>
  <c r="U419" i="2"/>
  <c r="V419" i="2" s="1"/>
  <c r="U417" i="2"/>
  <c r="V417" i="2"/>
  <c r="U414" i="2"/>
  <c r="V414" i="2" s="1"/>
  <c r="U411" i="2"/>
  <c r="V411" i="2" s="1"/>
  <c r="U412" i="2"/>
  <c r="V412" i="2"/>
  <c r="U408" i="2"/>
  <c r="V408" i="2" s="1"/>
  <c r="U409" i="2"/>
  <c r="V409" i="2"/>
  <c r="U405" i="2"/>
  <c r="U282" i="2"/>
  <c r="U341" i="2"/>
  <c r="V341" i="2" s="1"/>
  <c r="U339" i="2"/>
  <c r="U401" i="2"/>
  <c r="U420" i="2"/>
  <c r="V420" i="2" s="1"/>
  <c r="W431" i="2"/>
  <c r="W429" i="2"/>
  <c r="W423" i="2"/>
  <c r="W407" i="2"/>
  <c r="W301" i="2"/>
  <c r="W305" i="2"/>
  <c r="W306" i="2"/>
  <c r="W309" i="2"/>
  <c r="W312" i="2"/>
  <c r="W302" i="2"/>
  <c r="W308" i="2"/>
  <c r="W315" i="2"/>
  <c r="W424" i="2"/>
  <c r="W426" i="2"/>
  <c r="W432" i="2"/>
  <c r="T272" i="2"/>
  <c r="T265" i="2"/>
  <c r="U265" i="2" s="1"/>
  <c r="T245" i="2"/>
  <c r="T266" i="2"/>
  <c r="T256" i="2"/>
  <c r="T264" i="2"/>
  <c r="U264" i="2" s="1"/>
  <c r="V264" i="2" s="1"/>
  <c r="W264" i="2" s="1"/>
  <c r="T261" i="2"/>
  <c r="T254" i="2"/>
  <c r="T244" i="2"/>
  <c r="T267" i="2"/>
  <c r="T257" i="2"/>
  <c r="T270" i="2"/>
  <c r="T262" i="2"/>
  <c r="T260" i="2"/>
  <c r="U260" i="2" s="1"/>
  <c r="T258" i="2"/>
  <c r="T273" i="2"/>
  <c r="T263" i="2"/>
  <c r="T243" i="2"/>
  <c r="U243" i="2" s="1"/>
  <c r="T275" i="2"/>
  <c r="U275" i="2" s="1"/>
  <c r="U293" i="2"/>
  <c r="V293" i="2" s="1"/>
  <c r="U292" i="2"/>
  <c r="V292" i="2" s="1"/>
  <c r="U296" i="2"/>
  <c r="V296" i="2" s="1"/>
  <c r="U289" i="2"/>
  <c r="V289" i="2" s="1"/>
  <c r="U291" i="2"/>
  <c r="V291" i="2"/>
  <c r="U295" i="2"/>
  <c r="V295" i="2" s="1"/>
  <c r="U284" i="2"/>
  <c r="U283" i="2"/>
  <c r="V283" i="2" s="1"/>
  <c r="U281" i="2"/>
  <c r="V281" i="2" s="1"/>
  <c r="U279" i="2"/>
  <c r="V279" i="2" s="1"/>
  <c r="U287" i="2"/>
  <c r="V287" i="2" s="1"/>
  <c r="W287" i="2"/>
  <c r="U277" i="2"/>
  <c r="V277" i="2" s="1"/>
  <c r="U286" i="2"/>
  <c r="T242" i="2"/>
  <c r="T238" i="2"/>
  <c r="U238" i="2" s="1"/>
  <c r="V238" i="2" s="1"/>
  <c r="T235" i="2"/>
  <c r="U235" i="2" s="1"/>
  <c r="T230" i="2"/>
  <c r="T240" i="2"/>
  <c r="T223" i="2"/>
  <c r="T228" i="2"/>
  <c r="T236" i="2"/>
  <c r="U236" i="2" s="1"/>
  <c r="T234" i="2"/>
  <c r="U234" i="2" s="1"/>
  <c r="T239" i="2"/>
  <c r="T224" i="2"/>
  <c r="U224" i="2" s="1"/>
  <c r="T210" i="2"/>
  <c r="T214" i="2"/>
  <c r="U214" i="2" s="1"/>
  <c r="T201" i="2"/>
  <c r="T200" i="2"/>
  <c r="U200" i="2" s="1"/>
  <c r="T198" i="2"/>
  <c r="T199" i="2"/>
  <c r="T202" i="2"/>
  <c r="U202" i="2"/>
  <c r="T213" i="2"/>
  <c r="U213" i="2" s="1"/>
  <c r="T219" i="2"/>
  <c r="T222" i="2"/>
  <c r="T221" i="2"/>
  <c r="U221" i="2" s="1"/>
  <c r="T203" i="2"/>
  <c r="T205" i="2"/>
  <c r="T207" i="2"/>
  <c r="U207" i="2" s="1"/>
  <c r="T208" i="2"/>
  <c r="T209" i="2"/>
  <c r="T211" i="2"/>
  <c r="U211" i="2" s="1"/>
  <c r="T217" i="2"/>
  <c r="U217" i="2" s="1"/>
  <c r="T233" i="2"/>
  <c r="T192" i="2"/>
  <c r="U192" i="2" s="1"/>
  <c r="T190" i="2"/>
  <c r="U190" i="2" s="1"/>
  <c r="T193" i="2"/>
  <c r="T180" i="2"/>
  <c r="T184" i="2"/>
  <c r="T185" i="2"/>
  <c r="T186" i="2"/>
  <c r="T183" i="2"/>
  <c r="T187" i="2"/>
  <c r="U187" i="2" s="1"/>
  <c r="W173" i="2"/>
  <c r="W170" i="2"/>
  <c r="W174" i="2"/>
  <c r="W176" i="2"/>
  <c r="W179" i="2"/>
  <c r="U165" i="2"/>
  <c r="T155" i="2"/>
  <c r="U155" i="2" s="1"/>
  <c r="V155" i="2" s="1"/>
  <c r="T160" i="2"/>
  <c r="U160" i="2" s="1"/>
  <c r="T149" i="2"/>
  <c r="U149" i="2" s="1"/>
  <c r="V149" i="2" s="1"/>
  <c r="T143" i="2"/>
  <c r="U143" i="2" s="1"/>
  <c r="T157" i="2"/>
  <c r="T151" i="2"/>
  <c r="T144" i="2"/>
  <c r="U144" i="2" s="1"/>
  <c r="T139" i="2"/>
  <c r="T136" i="2"/>
  <c r="T132" i="2"/>
  <c r="U132" i="2" s="1"/>
  <c r="T156" i="2"/>
  <c r="V156" i="2" s="1"/>
  <c r="T162" i="2"/>
  <c r="T164" i="2"/>
  <c r="U164" i="2" s="1"/>
  <c r="T133" i="2"/>
  <c r="U133" i="2" s="1"/>
  <c r="T134" i="2"/>
  <c r="U134" i="2" s="1"/>
  <c r="T137" i="2"/>
  <c r="T142" i="2"/>
  <c r="T148" i="2"/>
  <c r="U148" i="2" s="1"/>
  <c r="T152" i="2"/>
  <c r="U152" i="2" s="1"/>
  <c r="V152" i="2" s="1"/>
  <c r="T154" i="2"/>
  <c r="U154" i="2" s="1"/>
  <c r="U359" i="2"/>
  <c r="V359" i="2" s="1"/>
  <c r="U356" i="2"/>
  <c r="V356" i="2" s="1"/>
  <c r="T129" i="2"/>
  <c r="T126" i="2"/>
  <c r="T123" i="2"/>
  <c r="T351" i="2"/>
  <c r="U351" i="2" s="1"/>
  <c r="T347" i="2"/>
  <c r="T355" i="2"/>
  <c r="T127" i="2"/>
  <c r="T348" i="2"/>
  <c r="T357" i="2"/>
  <c r="T346" i="2"/>
  <c r="T350" i="2"/>
  <c r="W365" i="2"/>
  <c r="W366" i="2"/>
  <c r="W368" i="2"/>
  <c r="W369" i="2"/>
  <c r="U70" i="2"/>
  <c r="V70" i="2" s="1"/>
  <c r="W86" i="2"/>
  <c r="U72" i="2"/>
  <c r="U67" i="2"/>
  <c r="V67" i="2" s="1"/>
  <c r="W73" i="2"/>
  <c r="W69" i="2"/>
  <c r="V31" i="2"/>
  <c r="T117" i="2"/>
  <c r="U117" i="2" s="1"/>
  <c r="V117" i="2" s="1"/>
  <c r="T55" i="2"/>
  <c r="T56" i="2"/>
  <c r="U56" i="2" s="1"/>
  <c r="T20" i="2"/>
  <c r="U20" i="2" s="1"/>
  <c r="T24" i="2"/>
  <c r="U24" i="2" s="1"/>
  <c r="T37" i="2"/>
  <c r="T40" i="2"/>
  <c r="T41" i="2"/>
  <c r="T43" i="2"/>
  <c r="T118" i="2"/>
  <c r="U118" i="2" s="1"/>
  <c r="V118" i="2" s="1"/>
  <c r="T15" i="2"/>
  <c r="T52" i="2"/>
  <c r="T54" i="2"/>
  <c r="T63" i="2"/>
  <c r="U63" i="2" s="1"/>
  <c r="T10" i="2"/>
  <c r="T17" i="2"/>
  <c r="T21" i="2"/>
  <c r="T65" i="2"/>
  <c r="T18" i="2"/>
  <c r="U18" i="2" s="1"/>
  <c r="V18" i="2" s="1"/>
  <c r="T22" i="2"/>
  <c r="T64" i="2"/>
  <c r="U64" i="2" s="1"/>
  <c r="T11" i="2"/>
  <c r="U11" i="2" s="1"/>
  <c r="T14" i="2"/>
  <c r="T19" i="2"/>
  <c r="U19" i="2" s="1"/>
  <c r="T23" i="2"/>
  <c r="T46" i="2"/>
  <c r="T47" i="2"/>
  <c r="T48" i="2"/>
  <c r="T51" i="2"/>
  <c r="T53" i="2"/>
  <c r="T12" i="2"/>
  <c r="U75" i="2"/>
  <c r="V75" i="2" s="1"/>
  <c r="U74" i="2"/>
  <c r="V74" i="2" s="1"/>
  <c r="U119" i="2"/>
  <c r="V119" i="2" s="1"/>
  <c r="U77" i="2"/>
  <c r="V77" i="2" s="1"/>
  <c r="U28" i="2"/>
  <c r="V28" i="2" s="1"/>
  <c r="U27" i="2"/>
  <c r="V27" i="2" s="1"/>
  <c r="W120" i="2"/>
  <c r="W58" i="2"/>
  <c r="W32" i="2"/>
  <c r="W87" i="2"/>
  <c r="W59" i="2"/>
  <c r="W121" i="2"/>
  <c r="W122" i="2"/>
  <c r="W45" i="2"/>
  <c r="W34" i="2"/>
  <c r="W35" i="2"/>
  <c r="W36" i="2"/>
  <c r="J161" i="1"/>
  <c r="O161" i="1" s="1"/>
  <c r="K36" i="17"/>
  <c r="X73" i="17"/>
  <c r="X368" i="17"/>
  <c r="X395" i="17"/>
  <c r="HU203" i="17"/>
  <c r="D31" i="17"/>
  <c r="EI39" i="17"/>
  <c r="U40" i="17"/>
  <c r="Y842" i="2"/>
  <c r="Y809" i="2"/>
  <c r="Y777" i="2"/>
  <c r="Y456" i="2"/>
  <c r="Y758" i="2"/>
  <c r="Y564" i="2"/>
  <c r="Y628" i="2"/>
  <c r="Y532" i="2"/>
  <c r="Y500" i="2"/>
  <c r="Y838" i="2"/>
  <c r="Y830" i="2"/>
  <c r="Y739" i="2"/>
  <c r="Y703" i="2"/>
  <c r="Y695" i="2"/>
  <c r="Y683" i="2"/>
  <c r="Y635" i="2"/>
  <c r="Y627" i="2"/>
  <c r="Y571" i="2"/>
  <c r="Y563" i="2"/>
  <c r="Y507" i="2"/>
  <c r="Y499" i="2"/>
  <c r="E15" i="17"/>
  <c r="Y847" i="2"/>
  <c r="Y829" i="2"/>
  <c r="Y821" i="2"/>
  <c r="Y817" i="2"/>
  <c r="Y797" i="2"/>
  <c r="Y793" i="2"/>
  <c r="Y789" i="2"/>
  <c r="Y781" i="2"/>
  <c r="Y765" i="2"/>
  <c r="Y748" i="2"/>
  <c r="Y732" i="2"/>
  <c r="Y726" i="2"/>
  <c r="Y722" i="2"/>
  <c r="Y718" i="2"/>
  <c r="Y702" i="2"/>
  <c r="Y698" i="2"/>
  <c r="Y653" i="2"/>
  <c r="Y649" i="2"/>
  <c r="Y644" i="2"/>
  <c r="Y636" i="2"/>
  <c r="Y632" i="2"/>
  <c r="Y620" i="2"/>
  <c r="Y612" i="2"/>
  <c r="Y600" i="2"/>
  <c r="Y592" i="2"/>
  <c r="Y584" i="2"/>
  <c r="Y580" i="2"/>
  <c r="Y576" i="2"/>
  <c r="Y572" i="2"/>
  <c r="Y568" i="2"/>
  <c r="Y560" i="2"/>
  <c r="Y556" i="2"/>
  <c r="Y552" i="2"/>
  <c r="Y548" i="2"/>
  <c r="Y544" i="2"/>
  <c r="Y540" i="2"/>
  <c r="Y536" i="2"/>
  <c r="Y528" i="2"/>
  <c r="Y524" i="2"/>
  <c r="Y520" i="2"/>
  <c r="Y512" i="2"/>
  <c r="Y508" i="2"/>
  <c r="Y504" i="2"/>
  <c r="Y492" i="2"/>
  <c r="Y846" i="2"/>
  <c r="T119" i="17"/>
  <c r="Y858" i="2"/>
  <c r="Y854" i="2"/>
  <c r="Y834" i="2"/>
  <c r="Y747" i="2"/>
  <c r="Y735" i="2"/>
  <c r="Y643" i="2"/>
  <c r="Y619" i="2"/>
  <c r="Y603" i="2"/>
  <c r="Y587" i="2"/>
  <c r="Y555" i="2"/>
  <c r="Y531" i="2"/>
  <c r="Y523" i="2"/>
  <c r="Y483" i="2"/>
  <c r="Y678" i="2"/>
  <c r="Y670" i="2"/>
  <c r="Y790" i="2"/>
  <c r="Y774" i="2"/>
  <c r="Y461" i="2"/>
  <c r="ED39" i="17"/>
  <c r="EG39" i="17"/>
  <c r="N43" i="1"/>
  <c r="Y864" i="2"/>
  <c r="Y860" i="2"/>
  <c r="Y852" i="2"/>
  <c r="Y851" i="2"/>
  <c r="Y848" i="2"/>
  <c r="Y843" i="2"/>
  <c r="Y840" i="2"/>
  <c r="Y836" i="2"/>
  <c r="Y835" i="2"/>
  <c r="Y827" i="2"/>
  <c r="Y826" i="2"/>
  <c r="Y823" i="2"/>
  <c r="Y802" i="2"/>
  <c r="Y799" i="2"/>
  <c r="Y795" i="2"/>
  <c r="Y794" i="2"/>
  <c r="Y783" i="2"/>
  <c r="Y779" i="2"/>
  <c r="Y775" i="2"/>
  <c r="Y770" i="2"/>
  <c r="Y767" i="2"/>
  <c r="Y759" i="2"/>
  <c r="Y755" i="2"/>
  <c r="Y749" i="2"/>
  <c r="Y745" i="2"/>
  <c r="Y744" i="2"/>
  <c r="Y728" i="2"/>
  <c r="Y727" i="2"/>
  <c r="Y720" i="2"/>
  <c r="Y711" i="2"/>
  <c r="Y704" i="2"/>
  <c r="Y696" i="2"/>
  <c r="Y693" i="2"/>
  <c r="Y685" i="2"/>
  <c r="Y102" i="17"/>
  <c r="Y676" i="2"/>
  <c r="Y673" i="2"/>
  <c r="Y672" i="2"/>
  <c r="Y668" i="2"/>
  <c r="Y656" i="2"/>
  <c r="Y655" i="2"/>
  <c r="Y651" i="2"/>
  <c r="Y647" i="2"/>
  <c r="Y642" i="2"/>
  <c r="Y631" i="2"/>
  <c r="Y630" i="2"/>
  <c r="Y626" i="2"/>
  <c r="Y623" i="2"/>
  <c r="Y618" i="2"/>
  <c r="Y614" i="2"/>
  <c r="Y610" i="2"/>
  <c r="Y607" i="2"/>
  <c r="Y602" i="2"/>
  <c r="Y599" i="2"/>
  <c r="Y590" i="2"/>
  <c r="Y583" i="2"/>
  <c r="Y582" i="2"/>
  <c r="Y578" i="2"/>
  <c r="Y575" i="2"/>
  <c r="Y574" i="2"/>
  <c r="Y567" i="2"/>
  <c r="Y566" i="2"/>
  <c r="Y562" i="2"/>
  <c r="Y554" i="2"/>
  <c r="Y551" i="2"/>
  <c r="Y550" i="2"/>
  <c r="Y546" i="2"/>
  <c r="Y543" i="2"/>
  <c r="Y542" i="2"/>
  <c r="Y538" i="2"/>
  <c r="Y535" i="2"/>
  <c r="Y534" i="2"/>
  <c r="Y530" i="2"/>
  <c r="Y527" i="2"/>
  <c r="Y519" i="2"/>
  <c r="Y514" i="2"/>
  <c r="Y511" i="2"/>
  <c r="Y510" i="2"/>
  <c r="Y503" i="2"/>
  <c r="Y502" i="2"/>
  <c r="Y498" i="2"/>
  <c r="Y495" i="2"/>
  <c r="Y494" i="2"/>
  <c r="Y490" i="2"/>
  <c r="Y482" i="2"/>
  <c r="Y468" i="2"/>
  <c r="Y460" i="2"/>
  <c r="Y458" i="2"/>
  <c r="Y457" i="2"/>
  <c r="Y455" i="2"/>
  <c r="Y861" i="2"/>
  <c r="Y853" i="2"/>
  <c r="Y837" i="2"/>
  <c r="Y833" i="2"/>
  <c r="Y824" i="2"/>
  <c r="Y812" i="2"/>
  <c r="Y804" i="2"/>
  <c r="Y788" i="2"/>
  <c r="Y784" i="2"/>
  <c r="Y776" i="2"/>
  <c r="Y764" i="2"/>
  <c r="Y742" i="2"/>
  <c r="Y738" i="2"/>
  <c r="Y713" i="2"/>
  <c r="Y669" i="2"/>
  <c r="Y652" i="2"/>
  <c r="Y646" i="2"/>
  <c r="Y641" i="2"/>
  <c r="Y633" i="2"/>
  <c r="Y629" i="2"/>
  <c r="Y621" i="2"/>
  <c r="Y613" i="2"/>
  <c r="Y609" i="2"/>
  <c r="Y605" i="2"/>
  <c r="Y597" i="2"/>
  <c r="Y585" i="2"/>
  <c r="Y577" i="2"/>
  <c r="Y573" i="2"/>
  <c r="Y565" i="2"/>
  <c r="Y561" i="2"/>
  <c r="Y553" i="2"/>
  <c r="Y545" i="2"/>
  <c r="Y533" i="2"/>
  <c r="Y525" i="2"/>
  <c r="Y521" i="2"/>
  <c r="Y513" i="2"/>
  <c r="Y501" i="2"/>
  <c r="Y493" i="2"/>
  <c r="Y489" i="2"/>
  <c r="Y485" i="2"/>
  <c r="Y454" i="2"/>
  <c r="Y857" i="2"/>
  <c r="Y808" i="2"/>
  <c r="Y800" i="2"/>
  <c r="Y796" i="2"/>
  <c r="Y780" i="2"/>
  <c r="Y760" i="2"/>
  <c r="Y746" i="2"/>
  <c r="Y721" i="2"/>
  <c r="Y697" i="2"/>
  <c r="Y684" i="2"/>
  <c r="Y682" i="2"/>
  <c r="Y675" i="2"/>
  <c r="Y663" i="2"/>
  <c r="Y658" i="2"/>
  <c r="Y637" i="2"/>
  <c r="Y617" i="2"/>
  <c r="Y593" i="2"/>
  <c r="Y581" i="2"/>
  <c r="Y569" i="2"/>
  <c r="Y529" i="2"/>
  <c r="Y509" i="2"/>
  <c r="Y707" i="2"/>
  <c r="Y752" i="2"/>
  <c r="Y753" i="2"/>
  <c r="Y645" i="2"/>
  <c r="Y662" i="2"/>
  <c r="Y467" i="2"/>
  <c r="Y865" i="2"/>
  <c r="Y867" i="2"/>
  <c r="AA14" i="17"/>
  <c r="Y870" i="2"/>
  <c r="Y869" i="2"/>
  <c r="Y866" i="2"/>
  <c r="Y872" i="2"/>
  <c r="Y473" i="2"/>
  <c r="Y730" i="2"/>
  <c r="U470" i="2"/>
  <c r="V444" i="2"/>
  <c r="U437" i="2"/>
  <c r="V437" i="2" s="1"/>
  <c r="U322" i="2"/>
  <c r="U396" i="2"/>
  <c r="V334" i="2"/>
  <c r="W334" i="2" s="1"/>
  <c r="U319" i="2"/>
  <c r="V339" i="2"/>
  <c r="W382" i="2"/>
  <c r="U256" i="2"/>
  <c r="V286" i="2"/>
  <c r="W286" i="2" s="1"/>
  <c r="U233" i="2"/>
  <c r="V235" i="2"/>
  <c r="U230" i="2"/>
  <c r="W238" i="2"/>
  <c r="U228" i="2"/>
  <c r="V228" i="2"/>
  <c r="U240" i="2"/>
  <c r="V200" i="2"/>
  <c r="W200" i="2" s="1"/>
  <c r="U151" i="2"/>
  <c r="V151" i="2"/>
  <c r="U156" i="2"/>
  <c r="U139" i="2"/>
  <c r="V139" i="2"/>
  <c r="U142" i="2"/>
  <c r="U348" i="2"/>
  <c r="U346" i="2"/>
  <c r="V346" i="2"/>
  <c r="U17" i="2"/>
  <c r="U10" i="2"/>
  <c r="V10" i="2"/>
  <c r="AB37" i="17"/>
  <c r="AC21" i="17"/>
  <c r="V413" i="17"/>
  <c r="W415" i="17"/>
  <c r="U427" i="17"/>
  <c r="U411" i="17"/>
  <c r="U301" i="17"/>
  <c r="R401" i="17"/>
  <c r="W366" i="17"/>
  <c r="T387" i="17"/>
  <c r="T360" i="17"/>
  <c r="T65" i="17"/>
  <c r="U67" i="17"/>
  <c r="U32" i="17"/>
  <c r="J13" i="17"/>
  <c r="FG129" i="17"/>
  <c r="EE39" i="17"/>
  <c r="Q18" i="17"/>
  <c r="O11" i="17"/>
  <c r="AE28" i="17"/>
  <c r="R405" i="17"/>
  <c r="AI406" i="17"/>
  <c r="AL33" i="17"/>
  <c r="Y48" i="17"/>
  <c r="R350" i="17"/>
  <c r="S25" i="17"/>
  <c r="X46" i="17"/>
  <c r="FE129" i="17"/>
  <c r="FF129" i="17"/>
  <c r="W44" i="17"/>
  <c r="AJ26" i="17"/>
  <c r="X417" i="17"/>
  <c r="BC205" i="17"/>
  <c r="BY425" i="17"/>
  <c r="HW204" i="17"/>
  <c r="U209" i="2" l="1"/>
  <c r="V209" i="2" s="1"/>
  <c r="W209" i="2" s="1"/>
  <c r="V257" i="2"/>
  <c r="W257" i="2" s="1"/>
  <c r="U257" i="2"/>
  <c r="W139" i="2"/>
  <c r="U193" i="2"/>
  <c r="V193" i="2" s="1"/>
  <c r="U222" i="2"/>
  <c r="V222" i="2" s="1"/>
  <c r="W222" i="2" s="1"/>
  <c r="V282" i="2"/>
  <c r="W282" i="2" s="1"/>
  <c r="U394" i="2"/>
  <c r="V394" i="2" s="1"/>
  <c r="J104" i="1"/>
  <c r="U321" i="2"/>
  <c r="V321" i="2"/>
  <c r="W321" i="2" s="1"/>
  <c r="U15" i="2"/>
  <c r="V15" i="2"/>
  <c r="W15" i="2" s="1"/>
  <c r="W23" i="2"/>
  <c r="U23" i="2"/>
  <c r="V23" i="2" s="1"/>
  <c r="U21" i="2"/>
  <c r="V21" i="2" s="1"/>
  <c r="V350" i="2"/>
  <c r="U350" i="2"/>
  <c r="V142" i="2"/>
  <c r="W142" i="2" s="1"/>
  <c r="U157" i="2"/>
  <c r="V157" i="2"/>
  <c r="V221" i="2"/>
  <c r="W221" i="2"/>
  <c r="V422" i="2"/>
  <c r="W422" i="2" s="1"/>
  <c r="V421" i="2"/>
  <c r="W421" i="2" s="1"/>
  <c r="V299" i="2"/>
  <c r="W299" i="2" s="1"/>
  <c r="V167" i="2"/>
  <c r="W167" i="2" s="1"/>
  <c r="V362" i="2"/>
  <c r="V30" i="2"/>
  <c r="W30" i="2" s="1"/>
  <c r="V84" i="2"/>
  <c r="V418" i="2"/>
  <c r="V298" i="2"/>
  <c r="W298" i="2" s="1"/>
  <c r="V76" i="2"/>
  <c r="V79" i="2"/>
  <c r="W79" i="2" s="1"/>
  <c r="V168" i="2"/>
  <c r="V410" i="2"/>
  <c r="V300" i="2"/>
  <c r="W300" i="2" s="1"/>
  <c r="V80" i="2"/>
  <c r="W80" i="2" s="1"/>
  <c r="V343" i="2"/>
  <c r="W343" i="2" s="1"/>
  <c r="V363" i="2"/>
  <c r="V82" i="2"/>
  <c r="W82" i="2" s="1"/>
  <c r="J341" i="1"/>
  <c r="J256" i="1"/>
  <c r="J148" i="1"/>
  <c r="J241" i="1"/>
  <c r="K241" i="1" s="1"/>
  <c r="J105" i="1"/>
  <c r="J199" i="1"/>
  <c r="V148" i="2"/>
  <c r="W148" i="2" s="1"/>
  <c r="V336" i="2"/>
  <c r="W336" i="2" s="1"/>
  <c r="J25" i="1"/>
  <c r="T433" i="2"/>
  <c r="T449" i="2"/>
  <c r="U449" i="2" s="1"/>
  <c r="T446" i="2"/>
  <c r="U446" i="2" s="1"/>
  <c r="T443" i="2"/>
  <c r="T440" i="2"/>
  <c r="U440" i="2" s="1"/>
  <c r="T397" i="2"/>
  <c r="T324" i="2"/>
  <c r="T395" i="2"/>
  <c r="U395" i="2" s="1"/>
  <c r="T389" i="2"/>
  <c r="T383" i="2"/>
  <c r="T376" i="2"/>
  <c r="T326" i="2"/>
  <c r="T342" i="2"/>
  <c r="T390" i="2"/>
  <c r="T327" i="2"/>
  <c r="T372" i="2"/>
  <c r="T381" i="2"/>
  <c r="T316" i="2"/>
  <c r="T335" i="2"/>
  <c r="T250" i="2"/>
  <c r="U250" i="2" s="1"/>
  <c r="T246" i="2"/>
  <c r="T259" i="2"/>
  <c r="T271" i="2"/>
  <c r="U271" i="2" s="1"/>
  <c r="V271" i="2" s="1"/>
  <c r="T247" i="2"/>
  <c r="U247" i="2" s="1"/>
  <c r="T251" i="2"/>
  <c r="T253" i="2"/>
  <c r="T268" i="2"/>
  <c r="T237" i="2"/>
  <c r="T225" i="2"/>
  <c r="U225" i="2" s="1"/>
  <c r="T241" i="2"/>
  <c r="U241" i="2" s="1"/>
  <c r="T231" i="2"/>
  <c r="U231" i="2" s="1"/>
  <c r="T218" i="2"/>
  <c r="T212" i="2"/>
  <c r="T197" i="2"/>
  <c r="T227" i="2"/>
  <c r="U227" i="2" s="1"/>
  <c r="T204" i="2"/>
  <c r="T220" i="2"/>
  <c r="T189" i="2"/>
  <c r="U189" i="2" s="1"/>
  <c r="T191" i="2"/>
  <c r="U191" i="2" s="1"/>
  <c r="T182" i="2"/>
  <c r="T188" i="2"/>
  <c r="T153" i="2"/>
  <c r="U153" i="2" s="1"/>
  <c r="T147" i="2"/>
  <c r="T146" i="2"/>
  <c r="U146" i="2" s="1"/>
  <c r="V146" i="2" s="1"/>
  <c r="W146" i="2" s="1"/>
  <c r="T141" i="2"/>
  <c r="U141" i="2" s="1"/>
  <c r="T145" i="2"/>
  <c r="T163" i="2"/>
  <c r="T161" i="2"/>
  <c r="T158" i="2"/>
  <c r="T125" i="2"/>
  <c r="T354" i="2"/>
  <c r="T124" i="2"/>
  <c r="T353" i="2"/>
  <c r="T352" i="2"/>
  <c r="U352" i="2" s="1"/>
  <c r="T345" i="2"/>
  <c r="T16" i="2"/>
  <c r="U16" i="2" s="1"/>
  <c r="T38" i="2"/>
  <c r="T42" i="2"/>
  <c r="T116" i="2"/>
  <c r="L265" i="19"/>
  <c r="J286" i="1"/>
  <c r="J210" i="1"/>
  <c r="K210" i="1" s="1"/>
  <c r="W217" i="2"/>
  <c r="V275" i="2"/>
  <c r="J22" i="1"/>
  <c r="O22" i="1" s="1"/>
  <c r="W444" i="2"/>
  <c r="W67" i="2"/>
  <c r="V214" i="2"/>
  <c r="W214" i="2" s="1"/>
  <c r="V217" i="2"/>
  <c r="W283" i="2"/>
  <c r="T13" i="2"/>
  <c r="T49" i="2"/>
  <c r="T25" i="2"/>
  <c r="U25" i="2" s="1"/>
  <c r="T8" i="2"/>
  <c r="U8" i="2" s="1"/>
  <c r="T60" i="2"/>
  <c r="U60" i="2" s="1"/>
  <c r="T61" i="2"/>
  <c r="U61" i="2" s="1"/>
  <c r="T50" i="2"/>
  <c r="T62" i="2"/>
  <c r="U62" i="2" s="1"/>
  <c r="T39" i="2"/>
  <c r="T9" i="2"/>
  <c r="U9" i="2" s="1"/>
  <c r="T358" i="2"/>
  <c r="T130" i="2"/>
  <c r="U130" i="2" s="1"/>
  <c r="T349" i="2"/>
  <c r="T128" i="2"/>
  <c r="U128" i="2" s="1"/>
  <c r="T135" i="2"/>
  <c r="U135" i="2" s="1"/>
  <c r="T140" i="2"/>
  <c r="U140" i="2" s="1"/>
  <c r="V140" i="2" s="1"/>
  <c r="T150" i="2"/>
  <c r="U150" i="2" s="1"/>
  <c r="T138" i="2"/>
  <c r="U138" i="2" s="1"/>
  <c r="T159" i="2"/>
  <c r="T181" i="2"/>
  <c r="T131" i="2"/>
  <c r="U131" i="2" s="1"/>
  <c r="T194" i="2"/>
  <c r="T215" i="2"/>
  <c r="U215" i="2" s="1"/>
  <c r="T206" i="2"/>
  <c r="U206" i="2" s="1"/>
  <c r="T195" i="2"/>
  <c r="T196" i="2"/>
  <c r="T216" i="2"/>
  <c r="U216" i="2" s="1"/>
  <c r="T229" i="2"/>
  <c r="U229" i="2" s="1"/>
  <c r="T226" i="2"/>
  <c r="T232" i="2"/>
  <c r="U232" i="2" s="1"/>
  <c r="T274" i="2"/>
  <c r="T248" i="2"/>
  <c r="T252" i="2"/>
  <c r="U252" i="2" s="1"/>
  <c r="T249" i="2"/>
  <c r="T269" i="2"/>
  <c r="T255" i="2"/>
  <c r="U255" i="2" s="1"/>
  <c r="T331" i="2"/>
  <c r="T338" i="2"/>
  <c r="U338" i="2" s="1"/>
  <c r="T373" i="2"/>
  <c r="T400" i="2"/>
  <c r="U400" i="2" s="1"/>
  <c r="T386" i="2"/>
  <c r="T332" i="2"/>
  <c r="T379" i="2"/>
  <c r="T385" i="2"/>
  <c r="T399" i="2"/>
  <c r="T318" i="2"/>
  <c r="T436" i="2"/>
  <c r="T435" i="2"/>
  <c r="U435" i="2" s="1"/>
  <c r="T434" i="2"/>
  <c r="U434" i="2" s="1"/>
  <c r="W425" i="2"/>
  <c r="W427" i="2"/>
  <c r="W304" i="2"/>
  <c r="W310" i="2"/>
  <c r="W311" i="2"/>
  <c r="W430" i="2"/>
  <c r="W172" i="2"/>
  <c r="W175" i="2"/>
  <c r="W367" i="2"/>
  <c r="U416" i="2"/>
  <c r="V416" i="2" s="1"/>
  <c r="U406" i="2"/>
  <c r="U404" i="2"/>
  <c r="U403" i="2"/>
  <c r="V403" i="2" s="1"/>
  <c r="U297" i="2"/>
  <c r="V297" i="2" s="1"/>
  <c r="U290" i="2"/>
  <c r="V290" i="2" s="1"/>
  <c r="U294" i="2"/>
  <c r="V294" i="2" s="1"/>
  <c r="U285" i="2"/>
  <c r="U276" i="2"/>
  <c r="V276" i="2" s="1"/>
  <c r="U360" i="2"/>
  <c r="U66" i="2"/>
  <c r="V66" i="2" s="1"/>
  <c r="U68" i="2"/>
  <c r="V68" i="2" s="1"/>
  <c r="J336" i="1"/>
  <c r="J337" i="1"/>
  <c r="J320" i="1"/>
  <c r="K320" i="1" s="1"/>
  <c r="J50" i="1"/>
  <c r="O50" i="1" s="1"/>
  <c r="J24" i="1"/>
  <c r="J118" i="1"/>
  <c r="K118" i="1" s="1"/>
  <c r="J343" i="1"/>
  <c r="O343" i="1" s="1"/>
  <c r="J61" i="1"/>
  <c r="J47" i="1"/>
  <c r="J45" i="1"/>
  <c r="O45" i="1" s="1"/>
  <c r="J76" i="1"/>
  <c r="J179" i="1"/>
  <c r="J134" i="1"/>
  <c r="J113" i="1"/>
  <c r="J201" i="1"/>
  <c r="K265" i="19"/>
  <c r="X871" i="2"/>
  <c r="Y871" i="2" s="1"/>
  <c r="X868" i="2"/>
  <c r="Y868" i="2" s="1"/>
  <c r="X863" i="2"/>
  <c r="Y863" i="2" s="1"/>
  <c r="X862" i="2"/>
  <c r="Y862" i="2" s="1"/>
  <c r="X859" i="2"/>
  <c r="Y859" i="2" s="1"/>
  <c r="X856" i="2"/>
  <c r="Y856" i="2" s="1"/>
  <c r="X855" i="2"/>
  <c r="Y855" i="2" s="1"/>
  <c r="X850" i="2"/>
  <c r="Y850" i="2" s="1"/>
  <c r="X849" i="2"/>
  <c r="Y849" i="2" s="1"/>
  <c r="X845" i="2"/>
  <c r="Y845" i="2" s="1"/>
  <c r="X844" i="2"/>
  <c r="Y844" i="2" s="1"/>
  <c r="X839" i="2"/>
  <c r="Y839" i="2" s="1"/>
  <c r="X832" i="2"/>
  <c r="Y832" i="2" s="1"/>
  <c r="X831" i="2"/>
  <c r="Y831" i="2" s="1"/>
  <c r="X828" i="2"/>
  <c r="Y828" i="2" s="1"/>
  <c r="X825" i="2"/>
  <c r="Y825" i="2" s="1"/>
  <c r="X822" i="2"/>
  <c r="Y822" i="2" s="1"/>
  <c r="X819" i="2"/>
  <c r="Y819" i="2" s="1"/>
  <c r="X818" i="2"/>
  <c r="Y818" i="2" s="1"/>
  <c r="X816" i="2"/>
  <c r="Y816" i="2" s="1"/>
  <c r="X815" i="2"/>
  <c r="Y815" i="2" s="1"/>
  <c r="X814" i="2"/>
  <c r="Y814" i="2" s="1"/>
  <c r="X813" i="2"/>
  <c r="Y813" i="2" s="1"/>
  <c r="X811" i="2"/>
  <c r="Y811" i="2" s="1"/>
  <c r="X807" i="2"/>
  <c r="Y807" i="2" s="1"/>
  <c r="X806" i="2"/>
  <c r="Y806" i="2" s="1"/>
  <c r="X805" i="2"/>
  <c r="Y805" i="2" s="1"/>
  <c r="X803" i="2"/>
  <c r="Y803" i="2" s="1"/>
  <c r="X801" i="2"/>
  <c r="Y801" i="2" s="1"/>
  <c r="X792" i="2"/>
  <c r="Y792" i="2" s="1"/>
  <c r="X791" i="2"/>
  <c r="Y791" i="2" s="1"/>
  <c r="X787" i="2"/>
  <c r="Y787" i="2" s="1"/>
  <c r="X786" i="2"/>
  <c r="Y786" i="2" s="1"/>
  <c r="X785" i="2"/>
  <c r="Y785" i="2" s="1"/>
  <c r="X782" i="2"/>
  <c r="Y782" i="2" s="1"/>
  <c r="X778" i="2"/>
  <c r="Y778" i="2" s="1"/>
  <c r="X773" i="2"/>
  <c r="Y773" i="2" s="1"/>
  <c r="X772" i="2"/>
  <c r="Y772" i="2" s="1"/>
  <c r="X771" i="2"/>
  <c r="Y771" i="2" s="1"/>
  <c r="X769" i="2"/>
  <c r="Y769" i="2" s="1"/>
  <c r="X768" i="2"/>
  <c r="Y768" i="2" s="1"/>
  <c r="X766" i="2"/>
  <c r="Y766" i="2" s="1"/>
  <c r="X762" i="2"/>
  <c r="Y762" i="2" s="1"/>
  <c r="X761" i="2"/>
  <c r="Y761" i="2" s="1"/>
  <c r="X757" i="2"/>
  <c r="Y757" i="2" s="1"/>
  <c r="X754" i="2"/>
  <c r="Y754" i="2" s="1"/>
  <c r="X750" i="2"/>
  <c r="Y750" i="2" s="1"/>
  <c r="X743" i="2"/>
  <c r="Y743" i="2" s="1"/>
  <c r="X741" i="2"/>
  <c r="Y741" i="2" s="1"/>
  <c r="X740" i="2"/>
  <c r="Y740" i="2" s="1"/>
  <c r="X737" i="2"/>
  <c r="Y737" i="2" s="1"/>
  <c r="X736" i="2"/>
  <c r="Y736" i="2" s="1"/>
  <c r="X734" i="2"/>
  <c r="Y734" i="2" s="1"/>
  <c r="X733" i="2"/>
  <c r="Y733" i="2" s="1"/>
  <c r="C17" i="27"/>
  <c r="X731" i="2"/>
  <c r="Y731" i="2" s="1"/>
  <c r="X725" i="2"/>
  <c r="Y725" i="2" s="1"/>
  <c r="X724" i="2"/>
  <c r="Y724" i="2" s="1"/>
  <c r="X723" i="2"/>
  <c r="Y723" i="2" s="1"/>
  <c r="X719" i="2"/>
  <c r="Y719" i="2" s="1"/>
  <c r="X716" i="2"/>
  <c r="Y716" i="2" s="1"/>
  <c r="X715" i="2"/>
  <c r="Y715" i="2" s="1"/>
  <c r="X712" i="2"/>
  <c r="Y712" i="2" s="1"/>
  <c r="X709" i="2"/>
  <c r="Y709" i="2" s="1"/>
  <c r="X708" i="2"/>
  <c r="Y708" i="2" s="1"/>
  <c r="X706" i="2"/>
  <c r="Y706" i="2" s="1"/>
  <c r="X705" i="2"/>
  <c r="Y705" i="2" s="1"/>
  <c r="X701" i="2"/>
  <c r="Y701" i="2" s="1"/>
  <c r="X700" i="2"/>
  <c r="Y700" i="2" s="1"/>
  <c r="X699" i="2"/>
  <c r="Y699" i="2" s="1"/>
  <c r="X692" i="2"/>
  <c r="Y692" i="2" s="1"/>
  <c r="X691" i="2"/>
  <c r="Y691" i="2" s="1"/>
  <c r="X690" i="2"/>
  <c r="Y690" i="2" s="1"/>
  <c r="X688" i="2"/>
  <c r="Y688" i="2" s="1"/>
  <c r="X687" i="2"/>
  <c r="Y687" i="2" s="1"/>
  <c r="X686" i="2"/>
  <c r="Y686" i="2" s="1"/>
  <c r="X680" i="2"/>
  <c r="Y680" i="2" s="1"/>
  <c r="X679" i="2"/>
  <c r="Y679" i="2" s="1"/>
  <c r="X677" i="2"/>
  <c r="Y677" i="2" s="1"/>
  <c r="X674" i="2"/>
  <c r="Y674" i="2" s="1"/>
  <c r="X671" i="2"/>
  <c r="Y671" i="2" s="1"/>
  <c r="X667" i="2"/>
  <c r="Y667" i="2" s="1"/>
  <c r="X666" i="2"/>
  <c r="X665" i="2"/>
  <c r="Y665" i="2" s="1"/>
  <c r="X664" i="2"/>
  <c r="Y664" i="2" s="1"/>
  <c r="X661" i="2"/>
  <c r="Y661" i="2" s="1"/>
  <c r="X660" i="2"/>
  <c r="Y660" i="2" s="1"/>
  <c r="X657" i="2"/>
  <c r="Y657" i="2" s="1"/>
  <c r="X650" i="2"/>
  <c r="Y650" i="2" s="1"/>
  <c r="X640" i="2"/>
  <c r="Y640" i="2" s="1"/>
  <c r="X639" i="2"/>
  <c r="Y639" i="2" s="1"/>
  <c r="X638" i="2"/>
  <c r="Y638" i="2" s="1"/>
  <c r="X634" i="2"/>
  <c r="Y634" i="2" s="1"/>
  <c r="X625" i="2"/>
  <c r="Y625" i="2" s="1"/>
  <c r="X622" i="2"/>
  <c r="Y622" i="2" s="1"/>
  <c r="X616" i="2"/>
  <c r="Y616" i="2" s="1"/>
  <c r="X615" i="2"/>
  <c r="Y615" i="2" s="1"/>
  <c r="X608" i="2"/>
  <c r="Y608" i="2" s="1"/>
  <c r="X606" i="2"/>
  <c r="Y606" i="2" s="1"/>
  <c r="X604" i="2"/>
  <c r="Y604" i="2" s="1"/>
  <c r="X601" i="2"/>
  <c r="Y601" i="2" s="1"/>
  <c r="X598" i="2"/>
  <c r="Y598" i="2" s="1"/>
  <c r="X595" i="2"/>
  <c r="Y595" i="2" s="1"/>
  <c r="X594" i="2"/>
  <c r="Y594" i="2" s="1"/>
  <c r="X589" i="2"/>
  <c r="Y589" i="2" s="1"/>
  <c r="X586" i="2"/>
  <c r="Y586" i="2" s="1"/>
  <c r="X570" i="2"/>
  <c r="Y570" i="2" s="1"/>
  <c r="X559" i="2"/>
  <c r="Y559" i="2" s="1"/>
  <c r="X557" i="2"/>
  <c r="Y557" i="2" s="1"/>
  <c r="X549" i="2"/>
  <c r="Y549" i="2" s="1"/>
  <c r="X547" i="2"/>
  <c r="Y547" i="2" s="1"/>
  <c r="X539" i="2"/>
  <c r="Y539" i="2" s="1"/>
  <c r="X526" i="2"/>
  <c r="Y526" i="2" s="1"/>
  <c r="X522" i="2"/>
  <c r="Y522" i="2" s="1"/>
  <c r="X518" i="2"/>
  <c r="Y518" i="2" s="1"/>
  <c r="X517" i="2"/>
  <c r="Y517" i="2" s="1"/>
  <c r="X516" i="2"/>
  <c r="Y516" i="2" s="1"/>
  <c r="X515" i="2"/>
  <c r="Y515" i="2" s="1"/>
  <c r="X506" i="2"/>
  <c r="Y506" i="2" s="1"/>
  <c r="X505" i="2"/>
  <c r="Y505" i="2" s="1"/>
  <c r="X491" i="2"/>
  <c r="Y491" i="2" s="1"/>
  <c r="X488" i="2"/>
  <c r="Y488" i="2" s="1"/>
  <c r="X487" i="2"/>
  <c r="Y487" i="2" s="1"/>
  <c r="X484" i="2"/>
  <c r="Y484" i="2" s="1"/>
  <c r="X481" i="2"/>
  <c r="Y481" i="2" s="1"/>
  <c r="X477" i="2"/>
  <c r="Y477" i="2" s="1"/>
  <c r="X472" i="2"/>
  <c r="Y472" i="2" s="1"/>
  <c r="X471" i="2"/>
  <c r="Y471" i="2" s="1"/>
  <c r="X465" i="2"/>
  <c r="Y465" i="2" s="1"/>
  <c r="X463" i="2"/>
  <c r="Y463" i="2" s="1"/>
  <c r="X459" i="2"/>
  <c r="Y459" i="2" s="1"/>
  <c r="X453" i="2"/>
  <c r="Y453" i="2" s="1"/>
  <c r="X452" i="2"/>
  <c r="Y452" i="2" s="1"/>
  <c r="X451" i="2"/>
  <c r="Y451" i="2" s="1"/>
  <c r="J228" i="1"/>
  <c r="J130" i="1"/>
  <c r="E6" i="27"/>
  <c r="E16" i="27"/>
  <c r="G17" i="27"/>
  <c r="O24" i="1"/>
  <c r="K24" i="1"/>
  <c r="K113" i="1"/>
  <c r="O113" i="1"/>
  <c r="K337" i="1"/>
  <c r="O337" i="1"/>
  <c r="J88" i="1"/>
  <c r="K88" i="1" s="1"/>
  <c r="J209" i="1"/>
  <c r="K209" i="1" s="1"/>
  <c r="J251" i="1"/>
  <c r="K251" i="1" s="1"/>
  <c r="J267" i="1"/>
  <c r="J125" i="1"/>
  <c r="K125" i="1" s="1"/>
  <c r="N39" i="1"/>
  <c r="EN39" i="17" s="1"/>
  <c r="J18" i="1"/>
  <c r="J17" i="1"/>
  <c r="J218" i="1"/>
  <c r="J154" i="1"/>
  <c r="J274" i="1"/>
  <c r="J188" i="1"/>
  <c r="J189" i="1"/>
  <c r="K189" i="1" s="1"/>
  <c r="J190" i="1"/>
  <c r="J192" i="1"/>
  <c r="K192" i="1" s="1"/>
  <c r="J193" i="1"/>
  <c r="O193" i="1" s="1"/>
  <c r="J131" i="1"/>
  <c r="K131" i="1" s="1"/>
  <c r="J204" i="1"/>
  <c r="J317" i="1"/>
  <c r="J219" i="1"/>
  <c r="J60" i="1"/>
  <c r="O60" i="1" s="1"/>
  <c r="J252" i="1"/>
  <c r="J238" i="1"/>
  <c r="J109" i="1"/>
  <c r="J23" i="1"/>
  <c r="J257" i="1"/>
  <c r="K161" i="1"/>
  <c r="J63" i="1"/>
  <c r="O63" i="1" s="1"/>
  <c r="J211" i="1"/>
  <c r="O211" i="1" s="1"/>
  <c r="J38" i="1"/>
  <c r="J14" i="1"/>
  <c r="O14" i="1" s="1"/>
  <c r="J156" i="1"/>
  <c r="J327" i="1"/>
  <c r="O327" i="1" s="1"/>
  <c r="J229" i="1"/>
  <c r="J298" i="1"/>
  <c r="J158" i="1"/>
  <c r="J335" i="1"/>
  <c r="K335" i="1" s="1"/>
  <c r="J175" i="1"/>
  <c r="J89" i="1"/>
  <c r="J55" i="1"/>
  <c r="J272" i="1"/>
  <c r="O272" i="1" s="1"/>
  <c r="J146" i="1"/>
  <c r="K343" i="1"/>
  <c r="J244" i="1"/>
  <c r="J239" i="1"/>
  <c r="K239" i="1" s="1"/>
  <c r="J145" i="1"/>
  <c r="K145" i="1" s="1"/>
  <c r="J124" i="1"/>
  <c r="O124" i="1" s="1"/>
  <c r="K109" i="1"/>
  <c r="O109" i="1"/>
  <c r="J96" i="1"/>
  <c r="K96" i="1" s="1"/>
  <c r="N346" i="1"/>
  <c r="L347" i="1"/>
  <c r="D346" i="1"/>
  <c r="E79" i="1"/>
  <c r="U239" i="2"/>
  <c r="V239" i="2" s="1"/>
  <c r="V252" i="2"/>
  <c r="W252" i="2" s="1"/>
  <c r="V404" i="2"/>
  <c r="W404" i="2" s="1"/>
  <c r="V17" i="2"/>
  <c r="W17" i="2"/>
  <c r="U145" i="2"/>
  <c r="V145" i="2" s="1"/>
  <c r="W145" i="2" s="1"/>
  <c r="U274" i="2"/>
  <c r="V274" i="2" s="1"/>
  <c r="U249" i="2"/>
  <c r="U448" i="2"/>
  <c r="V448" i="2" s="1"/>
  <c r="V435" i="2"/>
  <c r="U438" i="2"/>
  <c r="V438" i="2" s="1"/>
  <c r="W438" i="2"/>
  <c r="K162" i="1"/>
  <c r="O162" i="1"/>
  <c r="M79" i="1"/>
  <c r="M347" i="1" s="1"/>
  <c r="O36" i="1"/>
  <c r="K36" i="1"/>
  <c r="U55" i="2"/>
  <c r="V55" i="2"/>
  <c r="U273" i="2"/>
  <c r="V273" i="2" s="1"/>
  <c r="V243" i="2"/>
  <c r="V16" i="2"/>
  <c r="W16" i="2" s="1"/>
  <c r="U354" i="2"/>
  <c r="V354" i="2"/>
  <c r="U266" i="2"/>
  <c r="V266" i="2" s="1"/>
  <c r="W266" i="2"/>
  <c r="X470" i="2"/>
  <c r="Y470" i="2" s="1"/>
  <c r="U258" i="2"/>
  <c r="V258" i="2" s="1"/>
  <c r="I346" i="1"/>
  <c r="W350" i="2"/>
  <c r="U194" i="2"/>
  <c r="V194" i="2" s="1"/>
  <c r="U223" i="2"/>
  <c r="V223" i="2" s="1"/>
  <c r="U242" i="2"/>
  <c r="V242" i="2" s="1"/>
  <c r="W242" i="2" s="1"/>
  <c r="U244" i="2"/>
  <c r="V244" i="2" s="1"/>
  <c r="U261" i="2"/>
  <c r="V261" i="2"/>
  <c r="U326" i="2"/>
  <c r="V326" i="2" s="1"/>
  <c r="W326" i="2" s="1"/>
  <c r="V241" i="2"/>
  <c r="W241" i="2" s="1"/>
  <c r="U316" i="2"/>
  <c r="V316" i="2" s="1"/>
  <c r="W316" i="2" s="1"/>
  <c r="U161" i="2"/>
  <c r="V161" i="2" s="1"/>
  <c r="W161" i="2"/>
  <c r="U220" i="2"/>
  <c r="V220" i="2" s="1"/>
  <c r="W220" i="2" s="1"/>
  <c r="V284" i="2"/>
  <c r="W284" i="2" s="1"/>
  <c r="U262" i="2"/>
  <c r="V262" i="2" s="1"/>
  <c r="W262" i="2" s="1"/>
  <c r="W261" i="2"/>
  <c r="X438" i="2"/>
  <c r="Y438" i="2" s="1"/>
  <c r="V236" i="2"/>
  <c r="W236" i="2" s="1"/>
  <c r="V227" i="2"/>
  <c r="W227" i="2" s="1"/>
  <c r="V72" i="2"/>
  <c r="W72" i="2" s="1"/>
  <c r="V348" i="2"/>
  <c r="W348" i="2" s="1"/>
  <c r="V190" i="2"/>
  <c r="V9" i="2"/>
  <c r="W9" i="2" s="1"/>
  <c r="V160" i="2"/>
  <c r="W160" i="2" s="1"/>
  <c r="V150" i="2"/>
  <c r="W150" i="2" s="1"/>
  <c r="U158" i="2"/>
  <c r="V158" i="2" s="1"/>
  <c r="W158" i="2" s="1"/>
  <c r="V225" i="2"/>
  <c r="W225" i="2" s="1"/>
  <c r="V233" i="2"/>
  <c r="W233" i="2" s="1"/>
  <c r="U441" i="2"/>
  <c r="V441" i="2" s="1"/>
  <c r="V470" i="2"/>
  <c r="W470" i="2" s="1"/>
  <c r="W119" i="2"/>
  <c r="W346" i="2"/>
  <c r="U347" i="2"/>
  <c r="W156" i="2"/>
  <c r="W155" i="2"/>
  <c r="U219" i="2"/>
  <c r="V219" i="2" s="1"/>
  <c r="U226" i="2"/>
  <c r="V226" i="2" s="1"/>
  <c r="W226" i="2" s="1"/>
  <c r="V333" i="2"/>
  <c r="W333" i="2" s="1"/>
  <c r="U332" i="2"/>
  <c r="V332" i="2"/>
  <c r="U398" i="2"/>
  <c r="V398" i="2" s="1"/>
  <c r="K61" i="1"/>
  <c r="O61" i="1"/>
  <c r="J308" i="1"/>
  <c r="W396" i="2"/>
  <c r="J319" i="1"/>
  <c r="K319" i="1" s="1"/>
  <c r="K134" i="1"/>
  <c r="O134" i="1"/>
  <c r="W18" i="2"/>
  <c r="U129" i="2"/>
  <c r="FC129" i="17" s="1"/>
  <c r="V401" i="2"/>
  <c r="W401" i="2" s="1"/>
  <c r="FB129" i="17"/>
  <c r="V446" i="2"/>
  <c r="W446" i="2" s="1"/>
  <c r="X446" i="2" s="1"/>
  <c r="Y446" i="2" s="1"/>
  <c r="W157" i="2"/>
  <c r="O76" i="1"/>
  <c r="K76" i="1"/>
  <c r="J342" i="1"/>
  <c r="K342" i="1" s="1"/>
  <c r="J338" i="1"/>
  <c r="J334" i="1"/>
  <c r="J333" i="1"/>
  <c r="J325" i="1"/>
  <c r="J322" i="1"/>
  <c r="J307" i="1"/>
  <c r="J302" i="1"/>
  <c r="J301" i="1"/>
  <c r="K301" i="1" s="1"/>
  <c r="J300" i="1"/>
  <c r="O300" i="1" s="1"/>
  <c r="J296" i="1"/>
  <c r="O296" i="1" s="1"/>
  <c r="J295" i="1"/>
  <c r="J294" i="1"/>
  <c r="J289" i="1"/>
  <c r="J285" i="1"/>
  <c r="J282" i="1"/>
  <c r="J265" i="1"/>
  <c r="O265" i="1" s="1"/>
  <c r="J264" i="1"/>
  <c r="J261" i="1"/>
  <c r="K261" i="1" s="1"/>
  <c r="J259" i="1"/>
  <c r="J254" i="1"/>
  <c r="K254" i="1" s="1"/>
  <c r="J249" i="1"/>
  <c r="J248" i="1"/>
  <c r="J245" i="1"/>
  <c r="J243" i="1"/>
  <c r="J232" i="1"/>
  <c r="J226" i="1"/>
  <c r="J225" i="1"/>
  <c r="J221" i="1"/>
  <c r="J217" i="1"/>
  <c r="O217" i="1" s="1"/>
  <c r="J214" i="1"/>
  <c r="J194" i="1"/>
  <c r="J186" i="1"/>
  <c r="K186" i="1" s="1"/>
  <c r="J182" i="1"/>
  <c r="J170" i="1"/>
  <c r="J164" i="1"/>
  <c r="J119" i="1"/>
  <c r="J114" i="1"/>
  <c r="J108" i="1"/>
  <c r="J99" i="1"/>
  <c r="J93" i="1"/>
  <c r="J92" i="1"/>
  <c r="J90" i="1"/>
  <c r="J86" i="1"/>
  <c r="G346" i="1"/>
  <c r="K18" i="1"/>
  <c r="N18" i="1"/>
  <c r="O18" i="1" s="1"/>
  <c r="G79" i="1"/>
  <c r="J102" i="1"/>
  <c r="K102" i="1" s="1"/>
  <c r="K199" i="1"/>
  <c r="O199" i="1"/>
  <c r="J64" i="1"/>
  <c r="J57" i="1"/>
  <c r="J51" i="1"/>
  <c r="J43" i="1"/>
  <c r="O43" i="1" s="1"/>
  <c r="J35" i="1"/>
  <c r="O35" i="1" s="1"/>
  <c r="J32" i="1"/>
  <c r="J20" i="1"/>
  <c r="K341" i="1"/>
  <c r="O341" i="1"/>
  <c r="J169" i="1"/>
  <c r="K169" i="1" s="1"/>
  <c r="K124" i="1"/>
  <c r="O274" i="1"/>
  <c r="K274" i="1"/>
  <c r="J268" i="1"/>
  <c r="O257" i="1"/>
  <c r="K257" i="1"/>
  <c r="K204" i="1"/>
  <c r="O204" i="1"/>
  <c r="J138" i="1"/>
  <c r="X13" i="18"/>
  <c r="Z17" i="18" s="1"/>
  <c r="O229" i="1"/>
  <c r="K229" i="1"/>
  <c r="K298" i="1"/>
  <c r="O298" i="1"/>
  <c r="K158" i="1"/>
  <c r="O158" i="1"/>
  <c r="O175" i="1"/>
  <c r="K175" i="1"/>
  <c r="O89" i="1"/>
  <c r="K89" i="1"/>
  <c r="O55" i="1"/>
  <c r="K55" i="1"/>
  <c r="W85" i="2"/>
  <c r="W364" i="2"/>
  <c r="V138" i="2"/>
  <c r="W177" i="2"/>
  <c r="W171" i="2"/>
  <c r="W178" i="2"/>
  <c r="W428" i="2"/>
  <c r="W313" i="2"/>
  <c r="W314" i="2"/>
  <c r="W307" i="2"/>
  <c r="W303" i="2"/>
  <c r="W437" i="2"/>
  <c r="J344" i="1"/>
  <c r="J318" i="1"/>
  <c r="O318" i="1" s="1"/>
  <c r="J311" i="1"/>
  <c r="K311" i="1" s="1"/>
  <c r="J310" i="1"/>
  <c r="J288" i="1"/>
  <c r="J279" i="1"/>
  <c r="O279" i="1" s="1"/>
  <c r="J271" i="1"/>
  <c r="K271" i="1" s="1"/>
  <c r="J269" i="1"/>
  <c r="J185" i="1"/>
  <c r="K185" i="1" s="1"/>
  <c r="J184" i="1"/>
  <c r="O184" i="1" s="1"/>
  <c r="J181" i="1"/>
  <c r="O181" i="1" s="1"/>
  <c r="J176" i="1"/>
  <c r="J168" i="1"/>
  <c r="J166" i="1"/>
  <c r="J165" i="1"/>
  <c r="O165" i="1" s="1"/>
  <c r="J117" i="1"/>
  <c r="K117" i="1" s="1"/>
  <c r="J103" i="1"/>
  <c r="J100" i="1"/>
  <c r="J87" i="1"/>
  <c r="O87" i="1" s="1"/>
  <c r="J58" i="1"/>
  <c r="O58" i="1" s="1"/>
  <c r="J54" i="1"/>
  <c r="O54" i="1" s="1"/>
  <c r="N48" i="1"/>
  <c r="J48" i="1"/>
  <c r="O48" i="1" s="1"/>
  <c r="J39" i="1"/>
  <c r="K39" i="1" s="1"/>
  <c r="EK39" i="17" s="1"/>
  <c r="N32" i="1"/>
  <c r="J30" i="1"/>
  <c r="O30" i="1" s="1"/>
  <c r="N25" i="1"/>
  <c r="O25" i="1" s="1"/>
  <c r="J85" i="1"/>
  <c r="J315" i="1"/>
  <c r="J140" i="1"/>
  <c r="O210" i="1"/>
  <c r="J13" i="1"/>
  <c r="O267" i="1"/>
  <c r="K267" i="1"/>
  <c r="O244" i="1"/>
  <c r="K244" i="1"/>
  <c r="K14" i="1"/>
  <c r="J171" i="1"/>
  <c r="J312" i="1"/>
  <c r="K312" i="1" s="1"/>
  <c r="J309" i="1"/>
  <c r="O309" i="1" s="1"/>
  <c r="J340" i="1"/>
  <c r="J167" i="1"/>
  <c r="J234" i="1"/>
  <c r="O234" i="1" s="1"/>
  <c r="J278" i="1"/>
  <c r="J132" i="1"/>
  <c r="K132" i="1" s="1"/>
  <c r="D17" i="27"/>
  <c r="D27" i="27" s="1"/>
  <c r="J328" i="1"/>
  <c r="J206" i="1"/>
  <c r="O209" i="1"/>
  <c r="J255" i="1"/>
  <c r="J314" i="1"/>
  <c r="E10" i="27"/>
  <c r="E17" i="27" s="1"/>
  <c r="J200" i="1"/>
  <c r="J26" i="1"/>
  <c r="O26" i="1" s="1"/>
  <c r="J75" i="1"/>
  <c r="J106" i="1"/>
  <c r="J123" i="1"/>
  <c r="J260" i="1"/>
  <c r="O260" i="1" s="1"/>
  <c r="J303" i="1"/>
  <c r="J330" i="1"/>
  <c r="O330" i="1" s="1"/>
  <c r="J71" i="1"/>
  <c r="J69" i="1"/>
  <c r="K69" i="1" s="1"/>
  <c r="J66" i="1"/>
  <c r="O66" i="1" s="1"/>
  <c r="J65" i="1"/>
  <c r="K63" i="1"/>
  <c r="J46" i="1"/>
  <c r="J21" i="1"/>
  <c r="O21" i="1" s="1"/>
  <c r="J12" i="1"/>
  <c r="K12" i="1" s="1"/>
  <c r="J83" i="1"/>
  <c r="O83" i="1" s="1"/>
  <c r="J216" i="1"/>
  <c r="K216" i="1" s="1"/>
  <c r="J293" i="1"/>
  <c r="J53" i="1"/>
  <c r="J34" i="1"/>
  <c r="J150" i="1"/>
  <c r="K150" i="1" s="1"/>
  <c r="J203" i="1"/>
  <c r="J159" i="1"/>
  <c r="J157" i="1"/>
  <c r="K157" i="1" s="1"/>
  <c r="J151" i="1"/>
  <c r="O151" i="1" s="1"/>
  <c r="J152" i="1"/>
  <c r="J155" i="1"/>
  <c r="J142" i="1"/>
  <c r="O142" i="1" s="1"/>
  <c r="J141" i="1"/>
  <c r="O118" i="1"/>
  <c r="O82" i="1"/>
  <c r="J230" i="1"/>
  <c r="K230" i="1" s="1"/>
  <c r="O129" i="1"/>
  <c r="J147" i="1"/>
  <c r="J172" i="1"/>
  <c r="J246" i="1"/>
  <c r="O246" i="1" s="1"/>
  <c r="J253" i="1"/>
  <c r="O253" i="1" s="1"/>
  <c r="J231" i="1"/>
  <c r="J207" i="1"/>
  <c r="J237" i="1"/>
  <c r="K237" i="1" s="1"/>
  <c r="J339" i="1"/>
  <c r="K339" i="1" s="1"/>
  <c r="J202" i="1"/>
  <c r="J205" i="1"/>
  <c r="J326" i="1"/>
  <c r="J258" i="1"/>
  <c r="J183" i="1"/>
  <c r="O183" i="1" s="1"/>
  <c r="J324" i="1"/>
  <c r="J263" i="1"/>
  <c r="O263" i="1" s="1"/>
  <c r="J220" i="1"/>
  <c r="O220" i="1" s="1"/>
  <c r="J149" i="1"/>
  <c r="O251" i="1"/>
  <c r="J112" i="1"/>
  <c r="J266" i="1"/>
  <c r="J97" i="1"/>
  <c r="J212" i="1"/>
  <c r="J122" i="1"/>
  <c r="O122" i="1" s="1"/>
  <c r="C25" i="27"/>
  <c r="E25" i="27" s="1"/>
  <c r="J121" i="1"/>
  <c r="J304" i="1"/>
  <c r="J329" i="1"/>
  <c r="K329" i="1" s="1"/>
  <c r="J283" i="1"/>
  <c r="J143" i="1"/>
  <c r="J174" i="1"/>
  <c r="V211" i="2"/>
  <c r="W211" i="2" s="1"/>
  <c r="V265" i="2"/>
  <c r="W265" i="2" s="1"/>
  <c r="K104" i="1"/>
  <c r="O104" i="1"/>
  <c r="K120" i="1"/>
  <c r="O120" i="1"/>
  <c r="K256" i="1"/>
  <c r="O256" i="1"/>
  <c r="K110" i="1"/>
  <c r="O110" i="1"/>
  <c r="K292" i="1"/>
  <c r="O292" i="1"/>
  <c r="K313" i="1"/>
  <c r="O313" i="1"/>
  <c r="V20" i="2"/>
  <c r="W20" i="2"/>
  <c r="V154" i="2"/>
  <c r="W154" i="2" s="1"/>
  <c r="V153" i="2"/>
  <c r="W153" i="2" s="1"/>
  <c r="V447" i="2"/>
  <c r="K318" i="1"/>
  <c r="O310" i="1"/>
  <c r="K310" i="1"/>
  <c r="K288" i="1"/>
  <c r="O288" i="1"/>
  <c r="K279" i="1"/>
  <c r="K269" i="1"/>
  <c r="O269" i="1"/>
  <c r="K184" i="1"/>
  <c r="K176" i="1"/>
  <c r="O176" i="1"/>
  <c r="K168" i="1"/>
  <c r="O168" i="1"/>
  <c r="K166" i="1"/>
  <c r="O166" i="1"/>
  <c r="K103" i="1"/>
  <c r="O103" i="1"/>
  <c r="K100" i="1"/>
  <c r="O100" i="1"/>
  <c r="O64" i="1"/>
  <c r="K64" i="1"/>
  <c r="K51" i="1"/>
  <c r="O51" i="1"/>
  <c r="O20" i="1"/>
  <c r="K20" i="1"/>
  <c r="O185" i="1"/>
  <c r="W149" i="2"/>
  <c r="W151" i="2"/>
  <c r="K287" i="1"/>
  <c r="O287" i="1"/>
  <c r="K179" i="1"/>
  <c r="O179" i="1"/>
  <c r="K111" i="1"/>
  <c r="O111" i="1"/>
  <c r="K317" i="1"/>
  <c r="O317" i="1"/>
  <c r="K148" i="1"/>
  <c r="O148" i="1"/>
  <c r="V8" i="2"/>
  <c r="U263" i="2"/>
  <c r="V263" i="2" s="1"/>
  <c r="U248" i="2"/>
  <c r="V248" i="2" s="1"/>
  <c r="W248" i="2" s="1"/>
  <c r="U270" i="2"/>
  <c r="V270" i="2" s="1"/>
  <c r="U267" i="2"/>
  <c r="U254" i="2"/>
  <c r="V254" i="2" s="1"/>
  <c r="U269" i="2"/>
  <c r="V269" i="2" s="1"/>
  <c r="W269" i="2" s="1"/>
  <c r="U245" i="2"/>
  <c r="V245" i="2" s="1"/>
  <c r="U272" i="2"/>
  <c r="U381" i="2"/>
  <c r="K85" i="1"/>
  <c r="O85" i="1"/>
  <c r="O138" i="1"/>
  <c r="K138" i="1"/>
  <c r="V11" i="2"/>
  <c r="W11" i="2" s="1"/>
  <c r="O319" i="1"/>
  <c r="W8" i="2"/>
  <c r="W138" i="2"/>
  <c r="V143" i="2"/>
  <c r="W143" i="2" s="1"/>
  <c r="W152" i="2"/>
  <c r="K35" i="1"/>
  <c r="O107" i="1"/>
  <c r="W10" i="2"/>
  <c r="V141" i="2"/>
  <c r="W141" i="2"/>
  <c r="V232" i="2"/>
  <c r="W232" i="2" s="1"/>
  <c r="W235" i="2"/>
  <c r="O96" i="1"/>
  <c r="K321" i="1"/>
  <c r="O321" i="1"/>
  <c r="K336" i="1"/>
  <c r="O336" i="1"/>
  <c r="V405" i="2"/>
  <c r="W405" i="2" s="1"/>
  <c r="U323" i="2"/>
  <c r="K338" i="1"/>
  <c r="O338" i="1"/>
  <c r="K334" i="1"/>
  <c r="O334" i="1"/>
  <c r="K333" i="1"/>
  <c r="O333" i="1"/>
  <c r="K322" i="1"/>
  <c r="O322" i="1"/>
  <c r="O302" i="1"/>
  <c r="K302" i="1"/>
  <c r="K296" i="1"/>
  <c r="K295" i="1"/>
  <c r="O295" i="1"/>
  <c r="K282" i="1"/>
  <c r="O282" i="1"/>
  <c r="O232" i="1"/>
  <c r="K232" i="1"/>
  <c r="K214" i="1"/>
  <c r="O214" i="1"/>
  <c r="K194" i="1"/>
  <c r="O194" i="1"/>
  <c r="K182" i="1"/>
  <c r="O182" i="1"/>
  <c r="O170" i="1"/>
  <c r="K170" i="1"/>
  <c r="K114" i="1"/>
  <c r="O114" i="1"/>
  <c r="K108" i="1"/>
  <c r="O108" i="1"/>
  <c r="K99" i="1"/>
  <c r="O99" i="1"/>
  <c r="K90" i="1"/>
  <c r="O90" i="1"/>
  <c r="O65" i="1"/>
  <c r="K65" i="1"/>
  <c r="O12" i="1"/>
  <c r="K83" i="1"/>
  <c r="O216" i="1"/>
  <c r="V144" i="2"/>
  <c r="W144" i="2" s="1"/>
  <c r="O320" i="1"/>
  <c r="V240" i="2"/>
  <c r="W240" i="2" s="1"/>
  <c r="V231" i="2"/>
  <c r="W231" i="2" s="1"/>
  <c r="X437" i="2"/>
  <c r="Y437" i="2" s="1"/>
  <c r="K286" i="1"/>
  <c r="O286" i="1"/>
  <c r="K238" i="1"/>
  <c r="O238" i="1"/>
  <c r="K252" i="1"/>
  <c r="O252" i="1"/>
  <c r="V19" i="2"/>
  <c r="W19" i="2" s="1"/>
  <c r="U22" i="2"/>
  <c r="V22" i="2" s="1"/>
  <c r="V128" i="2"/>
  <c r="W128" i="2" s="1"/>
  <c r="V260" i="2"/>
  <c r="W260" i="2" s="1"/>
  <c r="V256" i="2"/>
  <c r="W256" i="2" s="1"/>
  <c r="V328" i="2"/>
  <c r="W328" i="2"/>
  <c r="EJ39" i="17"/>
  <c r="O39" i="1"/>
  <c r="EO39" i="17" s="1"/>
  <c r="K17" i="1"/>
  <c r="O17" i="1"/>
  <c r="K140" i="1"/>
  <c r="O140" i="1"/>
  <c r="F79" i="1"/>
  <c r="V406" i="2"/>
  <c r="W406" i="2" s="1"/>
  <c r="U393" i="2"/>
  <c r="V393" i="2" s="1"/>
  <c r="U330" i="2"/>
  <c r="V330" i="2" s="1"/>
  <c r="O102" i="1"/>
  <c r="K50" i="1"/>
  <c r="J67" i="1"/>
  <c r="J59" i="1"/>
  <c r="O59" i="1" s="1"/>
  <c r="J52" i="1"/>
  <c r="J40" i="1"/>
  <c r="O40" i="1" s="1"/>
  <c r="O340" i="1"/>
  <c r="K340" i="1"/>
  <c r="K167" i="1"/>
  <c r="O167" i="1"/>
  <c r="O278" i="1"/>
  <c r="K278" i="1"/>
  <c r="K21" i="1"/>
  <c r="W435" i="2"/>
  <c r="X435" i="2" s="1"/>
  <c r="Y435" i="2" s="1"/>
  <c r="Y75" i="17" s="1"/>
  <c r="U439" i="2"/>
  <c r="V439" i="2" s="1"/>
  <c r="V213" i="2"/>
  <c r="W213" i="2" s="1"/>
  <c r="V224" i="2"/>
  <c r="W224" i="2" s="1"/>
  <c r="W271" i="2"/>
  <c r="V250" i="2"/>
  <c r="W250" i="2" s="1"/>
  <c r="O261" i="1"/>
  <c r="W70" i="2"/>
  <c r="V189" i="2"/>
  <c r="W68" i="2"/>
  <c r="V352" i="2"/>
  <c r="W339" i="2"/>
  <c r="V319" i="2"/>
  <c r="W319" i="2" s="1"/>
  <c r="J42" i="1"/>
  <c r="J33" i="1"/>
  <c r="E346" i="1"/>
  <c r="J81" i="1"/>
  <c r="J27" i="1"/>
  <c r="O157" i="1"/>
  <c r="K151" i="1"/>
  <c r="K142" i="1"/>
  <c r="I79" i="1"/>
  <c r="O312" i="1"/>
  <c r="O190" i="1"/>
  <c r="K190" i="1"/>
  <c r="U442" i="2"/>
  <c r="V442" i="2" s="1"/>
  <c r="J10" i="1"/>
  <c r="K10" i="1" s="1"/>
  <c r="W216" i="2"/>
  <c r="V216" i="2"/>
  <c r="V351" i="2"/>
  <c r="W351" i="2" s="1"/>
  <c r="V130" i="2"/>
  <c r="W130" i="2" s="1"/>
  <c r="V192" i="2"/>
  <c r="V234" i="2"/>
  <c r="V191" i="2"/>
  <c r="V329" i="2"/>
  <c r="W329" i="2" s="1"/>
  <c r="F346" i="1"/>
  <c r="J37" i="1"/>
  <c r="K30" i="1"/>
  <c r="K25" i="1"/>
  <c r="W140" i="2"/>
  <c r="W234" i="2"/>
  <c r="X444" i="2"/>
  <c r="Y444" i="2" s="1"/>
  <c r="K45" i="1"/>
  <c r="O241" i="1"/>
  <c r="K54" i="1"/>
  <c r="U195" i="2"/>
  <c r="V195" i="2" s="1"/>
  <c r="V230" i="2"/>
  <c r="W230" i="2" s="1"/>
  <c r="U201" i="2"/>
  <c r="V215" i="2"/>
  <c r="W215" i="2" s="1"/>
  <c r="V255" i="2"/>
  <c r="W255" i="2" s="1"/>
  <c r="V247" i="2"/>
  <c r="W247" i="2" s="1"/>
  <c r="U253" i="2"/>
  <c r="V253" i="2" s="1"/>
  <c r="W243" i="2"/>
  <c r="V320" i="2"/>
  <c r="W320" i="2" s="1"/>
  <c r="U335" i="2"/>
  <c r="U318" i="2"/>
  <c r="V318" i="2" s="1"/>
  <c r="V434" i="2"/>
  <c r="W434" i="2" s="1"/>
  <c r="U469" i="2"/>
  <c r="V469" i="2" s="1"/>
  <c r="U445" i="2"/>
  <c r="J281" i="1"/>
  <c r="U210" i="2"/>
  <c r="V210" i="2" s="1"/>
  <c r="V229" i="2"/>
  <c r="W229" i="2" s="1"/>
  <c r="W228" i="2"/>
  <c r="V395" i="2"/>
  <c r="W395" i="2" s="1"/>
  <c r="K58" i="1"/>
  <c r="V440" i="2"/>
  <c r="V449" i="2"/>
  <c r="J299" i="1"/>
  <c r="J273" i="1"/>
  <c r="J270" i="1"/>
  <c r="J227" i="1"/>
  <c r="J115" i="1"/>
  <c r="J91" i="1"/>
  <c r="H346" i="1"/>
  <c r="J68" i="1"/>
  <c r="K66" i="1"/>
  <c r="N47" i="1"/>
  <c r="O47" i="1" s="1"/>
  <c r="K47" i="1"/>
  <c r="J15" i="1"/>
  <c r="J73" i="1"/>
  <c r="O73" i="1" s="1"/>
  <c r="J77" i="1"/>
  <c r="O77" i="1" s="1"/>
  <c r="J250" i="1"/>
  <c r="O13" i="1"/>
  <c r="K13" i="1"/>
  <c r="J163" i="1"/>
  <c r="J94" i="1"/>
  <c r="J16" i="1"/>
  <c r="J139" i="1"/>
  <c r="J70" i="1"/>
  <c r="K268" i="1"/>
  <c r="O268" i="1"/>
  <c r="K149" i="1"/>
  <c r="O149" i="1"/>
  <c r="J215" i="1"/>
  <c r="J284" i="1"/>
  <c r="J19" i="1"/>
  <c r="J29" i="1"/>
  <c r="J247" i="1"/>
  <c r="J297" i="1"/>
  <c r="J223" i="1"/>
  <c r="J153" i="1"/>
  <c r="J101" i="1"/>
  <c r="J198" i="1"/>
  <c r="J144" i="1"/>
  <c r="J160" i="1"/>
  <c r="K156" i="1"/>
  <c r="O156" i="1"/>
  <c r="W66" i="2"/>
  <c r="V164" i="2"/>
  <c r="W403" i="2"/>
  <c r="V400" i="2"/>
  <c r="W400" i="2" s="1"/>
  <c r="V322" i="2"/>
  <c r="W322" i="2" s="1"/>
  <c r="J56" i="1"/>
  <c r="J41" i="1"/>
  <c r="J31" i="1"/>
  <c r="K22" i="1"/>
  <c r="H79" i="1"/>
  <c r="V413" i="2"/>
  <c r="V169" i="2"/>
  <c r="V57" i="2"/>
  <c r="V29" i="2"/>
  <c r="W29" i="2" s="1"/>
  <c r="V81" i="2"/>
  <c r="W81" i="2" s="1"/>
  <c r="V83" i="2"/>
  <c r="W83" i="2" s="1"/>
  <c r="V33" i="2"/>
  <c r="W33" i="2" s="1"/>
  <c r="U402" i="2"/>
  <c r="U415" i="2"/>
  <c r="V415" i="2" s="1"/>
  <c r="U288" i="2"/>
  <c r="U280" i="2"/>
  <c r="V280" i="2" s="1"/>
  <c r="U278" i="2"/>
  <c r="V278" i="2" s="1"/>
  <c r="U166" i="2"/>
  <c r="U361" i="2"/>
  <c r="U71" i="2"/>
  <c r="U78" i="2"/>
  <c r="V78" i="2" s="1"/>
  <c r="U44" i="2"/>
  <c r="V44" i="2" s="1"/>
  <c r="U26" i="2"/>
  <c r="V26" i="2" s="1"/>
  <c r="J180" i="1"/>
  <c r="J44" i="1"/>
  <c r="J72" i="1"/>
  <c r="J62" i="1"/>
  <c r="J178" i="1"/>
  <c r="K211" i="1"/>
  <c r="J306" i="1"/>
  <c r="J197" i="1"/>
  <c r="J28" i="1"/>
  <c r="O28" i="1" s="1"/>
  <c r="K309" i="1"/>
  <c r="K172" i="1"/>
  <c r="O172" i="1"/>
  <c r="O207" i="1"/>
  <c r="K207" i="1"/>
  <c r="J277" i="1"/>
  <c r="J242" i="1"/>
  <c r="J116" i="1"/>
  <c r="J98" i="1"/>
  <c r="J305" i="1"/>
  <c r="K38" i="1"/>
  <c r="O38" i="1"/>
  <c r="K220" i="1"/>
  <c r="O171" i="1"/>
  <c r="K171" i="1"/>
  <c r="J332" i="1"/>
  <c r="O130" i="1"/>
  <c r="K130" i="1"/>
  <c r="O201" i="1"/>
  <c r="K201" i="1"/>
  <c r="K188" i="1"/>
  <c r="O188" i="1"/>
  <c r="O189" i="1"/>
  <c r="I6" i="27"/>
  <c r="I10" i="27" s="1"/>
  <c r="H10" i="27"/>
  <c r="H17" i="27" s="1"/>
  <c r="H27" i="27" s="1"/>
  <c r="K143" i="1"/>
  <c r="O143" i="1"/>
  <c r="J233" i="1"/>
  <c r="K228" i="1"/>
  <c r="O228" i="1"/>
  <c r="K183" i="1"/>
  <c r="O339" i="1"/>
  <c r="O146" i="1"/>
  <c r="K146" i="1"/>
  <c r="J187" i="1"/>
  <c r="J191" i="1"/>
  <c r="K200" i="1"/>
  <c r="O200" i="1"/>
  <c r="J11" i="1"/>
  <c r="D79" i="1"/>
  <c r="K75" i="1"/>
  <c r="O75" i="1"/>
  <c r="J236" i="1"/>
  <c r="J290" i="1"/>
  <c r="O192" i="1"/>
  <c r="O125" i="1"/>
  <c r="O132" i="1"/>
  <c r="K147" i="1"/>
  <c r="O147" i="1"/>
  <c r="O231" i="1"/>
  <c r="K231" i="1"/>
  <c r="K202" i="1"/>
  <c r="O202" i="1"/>
  <c r="K314" i="1"/>
  <c r="O314" i="1"/>
  <c r="J126" i="1"/>
  <c r="O324" i="1"/>
  <c r="K324" i="1"/>
  <c r="O123" i="1"/>
  <c r="K123" i="1"/>
  <c r="K263" i="1"/>
  <c r="O323" i="1"/>
  <c r="K323" i="1"/>
  <c r="O208" i="1"/>
  <c r="K208" i="1"/>
  <c r="O174" i="1"/>
  <c r="K174" i="1"/>
  <c r="K330" i="1"/>
  <c r="K224" i="1"/>
  <c r="J196" i="1"/>
  <c r="K193" i="1"/>
  <c r="O97" i="1"/>
  <c r="K97" i="1"/>
  <c r="K121" i="1"/>
  <c r="O121" i="1"/>
  <c r="O304" i="1"/>
  <c r="K304" i="1"/>
  <c r="O329" i="1"/>
  <c r="K74" i="1"/>
  <c r="N74" i="1"/>
  <c r="O74" i="1" s="1"/>
  <c r="O127" i="1"/>
  <c r="J280" i="1"/>
  <c r="J49" i="1"/>
  <c r="J275" i="1"/>
  <c r="G25" i="27"/>
  <c r="I22" i="27"/>
  <c r="J133" i="1"/>
  <c r="I17" i="27"/>
  <c r="C27" i="27"/>
  <c r="E27" i="27" s="1"/>
  <c r="J213" i="1"/>
  <c r="J235" i="1"/>
  <c r="J136" i="1"/>
  <c r="J95" i="1"/>
  <c r="J177" i="1"/>
  <c r="J331" i="1"/>
  <c r="J291" i="1"/>
  <c r="J240" i="1"/>
  <c r="J195" i="1"/>
  <c r="J316" i="1"/>
  <c r="J222" i="1"/>
  <c r="J135" i="1"/>
  <c r="J173" i="1"/>
  <c r="J262" i="1"/>
  <c r="J128" i="1"/>
  <c r="J137" i="1"/>
  <c r="J84" i="1"/>
  <c r="J276" i="1"/>
  <c r="U259" i="2" l="1"/>
  <c r="V259" i="2" s="1"/>
  <c r="W259" i="2" s="1"/>
  <c r="U397" i="2"/>
  <c r="V397" i="2" s="1"/>
  <c r="W439" i="2"/>
  <c r="U436" i="2"/>
  <c r="V436" i="2"/>
  <c r="U159" i="2"/>
  <c r="V159" i="2" s="1"/>
  <c r="U353" i="2"/>
  <c r="V353" i="2" s="1"/>
  <c r="U188" i="2"/>
  <c r="V188" i="2"/>
  <c r="U212" i="2"/>
  <c r="V212" i="2" s="1"/>
  <c r="U251" i="2"/>
  <c r="V251" i="2" s="1"/>
  <c r="W251" i="2" s="1"/>
  <c r="U246" i="2"/>
  <c r="V246" i="2" s="1"/>
  <c r="U433" i="2"/>
  <c r="V433" i="2"/>
  <c r="W21" i="2"/>
  <c r="V285" i="2"/>
  <c r="W285" i="2" s="1"/>
  <c r="U218" i="2"/>
  <c r="V218" i="2"/>
  <c r="U237" i="2"/>
  <c r="V237" i="2" s="1"/>
  <c r="U443" i="2"/>
  <c r="V443" i="2"/>
  <c r="K105" i="1"/>
  <c r="O105" i="1"/>
  <c r="W394" i="2"/>
  <c r="V129" i="2"/>
  <c r="FD129" i="17" s="1"/>
  <c r="X100" i="17"/>
  <c r="Y666" i="2"/>
  <c r="U399" i="2"/>
  <c r="V399" i="2"/>
  <c r="W399" i="2" s="1"/>
  <c r="U331" i="2"/>
  <c r="V331" i="2" s="1"/>
  <c r="V349" i="2"/>
  <c r="W349" i="2" s="1"/>
  <c r="U349" i="2"/>
  <c r="U147" i="2"/>
  <c r="V147" i="2"/>
  <c r="U268" i="2"/>
  <c r="W268" i="2" s="1"/>
  <c r="V268" i="2"/>
  <c r="U327" i="2"/>
  <c r="V327" i="2" s="1"/>
  <c r="O131" i="1"/>
  <c r="K60" i="1"/>
  <c r="O150" i="1"/>
  <c r="O301" i="1"/>
  <c r="O311" i="1"/>
  <c r="O335" i="1"/>
  <c r="K327" i="1"/>
  <c r="O154" i="1"/>
  <c r="K154" i="1"/>
  <c r="K23" i="1"/>
  <c r="O23" i="1"/>
  <c r="K218" i="1"/>
  <c r="O218" i="1"/>
  <c r="K253" i="1"/>
  <c r="K272" i="1"/>
  <c r="K77" i="1"/>
  <c r="O254" i="1"/>
  <c r="K43" i="1"/>
  <c r="O271" i="1"/>
  <c r="O239" i="1"/>
  <c r="N79" i="1"/>
  <c r="K219" i="1"/>
  <c r="O219" i="1"/>
  <c r="O69" i="1"/>
  <c r="O342" i="1"/>
  <c r="O88" i="1"/>
  <c r="O32" i="1"/>
  <c r="K300" i="1"/>
  <c r="K217" i="1"/>
  <c r="O145" i="1"/>
  <c r="D347" i="1"/>
  <c r="D350" i="1" s="1"/>
  <c r="O117" i="1"/>
  <c r="N347" i="1"/>
  <c r="I347" i="1"/>
  <c r="G347" i="1"/>
  <c r="G350" i="1" s="1"/>
  <c r="E347" i="1"/>
  <c r="E350" i="1" s="1"/>
  <c r="O34" i="1"/>
  <c r="K34" i="1"/>
  <c r="O46" i="1"/>
  <c r="K46" i="1"/>
  <c r="K255" i="1"/>
  <c r="O255" i="1"/>
  <c r="O243" i="1"/>
  <c r="K243" i="1"/>
  <c r="K294" i="1"/>
  <c r="O294" i="1"/>
  <c r="K246" i="1"/>
  <c r="K26" i="1"/>
  <c r="O230" i="1"/>
  <c r="O237" i="1"/>
  <c r="W398" i="2"/>
  <c r="O169" i="1"/>
  <c r="O186" i="1"/>
  <c r="K265" i="1"/>
  <c r="K87" i="1"/>
  <c r="K165" i="1"/>
  <c r="K181" i="1"/>
  <c r="O283" i="1"/>
  <c r="K283" i="1"/>
  <c r="O266" i="1"/>
  <c r="K266" i="1"/>
  <c r="O258" i="1"/>
  <c r="K258" i="1"/>
  <c r="K141" i="1"/>
  <c r="O141" i="1"/>
  <c r="K303" i="1"/>
  <c r="O303" i="1"/>
  <c r="K206" i="1"/>
  <c r="O206" i="1"/>
  <c r="K92" i="1"/>
  <c r="O92" i="1"/>
  <c r="K249" i="1"/>
  <c r="O249" i="1"/>
  <c r="K264" i="1"/>
  <c r="O264" i="1"/>
  <c r="O289" i="1"/>
  <c r="K289" i="1"/>
  <c r="V347" i="2"/>
  <c r="W347" i="2" s="1"/>
  <c r="W244" i="2"/>
  <c r="K48" i="1"/>
  <c r="K93" i="1"/>
  <c r="O93" i="1"/>
  <c r="O221" i="1"/>
  <c r="K221" i="1"/>
  <c r="O325" i="1"/>
  <c r="K325" i="1"/>
  <c r="K234" i="1"/>
  <c r="O212" i="1"/>
  <c r="K212" i="1"/>
  <c r="K205" i="1"/>
  <c r="O205" i="1"/>
  <c r="K155" i="1"/>
  <c r="O155" i="1"/>
  <c r="K159" i="1"/>
  <c r="O159" i="1"/>
  <c r="O53" i="1"/>
  <c r="K53" i="1"/>
  <c r="K71" i="1"/>
  <c r="O71" i="1"/>
  <c r="K32" i="1"/>
  <c r="O86" i="1"/>
  <c r="K86" i="1"/>
  <c r="K164" i="1"/>
  <c r="O164" i="1"/>
  <c r="K225" i="1"/>
  <c r="O225" i="1"/>
  <c r="O245" i="1"/>
  <c r="K245" i="1"/>
  <c r="O259" i="1"/>
  <c r="K259" i="1"/>
  <c r="K308" i="1"/>
  <c r="O308" i="1"/>
  <c r="W448" i="2"/>
  <c r="X448" i="2" s="1"/>
  <c r="Y448" i="2" s="1"/>
  <c r="W258" i="2"/>
  <c r="X434" i="2"/>
  <c r="Y434" i="2" s="1"/>
  <c r="W195" i="2"/>
  <c r="K112" i="1"/>
  <c r="O112" i="1"/>
  <c r="O326" i="1"/>
  <c r="K326" i="1"/>
  <c r="O328" i="1"/>
  <c r="K328" i="1"/>
  <c r="K119" i="1"/>
  <c r="O119" i="1"/>
  <c r="W219" i="2"/>
  <c r="W223" i="2"/>
  <c r="K122" i="1"/>
  <c r="K260" i="1"/>
  <c r="W210" i="2"/>
  <c r="H347" i="1"/>
  <c r="K73" i="1"/>
  <c r="V272" i="2"/>
  <c r="W272" i="2" s="1"/>
  <c r="K152" i="1"/>
  <c r="O152" i="1"/>
  <c r="K203" i="1"/>
  <c r="O203" i="1"/>
  <c r="O293" i="1"/>
  <c r="K293" i="1"/>
  <c r="K106" i="1"/>
  <c r="O106" i="1"/>
  <c r="K315" i="1"/>
  <c r="O315" i="1"/>
  <c r="K344" i="1"/>
  <c r="O344" i="1"/>
  <c r="O57" i="1"/>
  <c r="K57" i="1"/>
  <c r="K226" i="1"/>
  <c r="O226" i="1"/>
  <c r="O248" i="1"/>
  <c r="K248" i="1"/>
  <c r="O285" i="1"/>
  <c r="K285" i="1"/>
  <c r="O307" i="1"/>
  <c r="K307" i="1"/>
  <c r="W332" i="2"/>
  <c r="W441" i="2"/>
  <c r="X441" i="2" s="1"/>
  <c r="Y441" i="2" s="1"/>
  <c r="V249" i="2"/>
  <c r="W249" i="2" s="1"/>
  <c r="W239" i="2"/>
  <c r="O262" i="1"/>
  <c r="K262" i="1"/>
  <c r="O133" i="1"/>
  <c r="K133" i="1"/>
  <c r="K305" i="1"/>
  <c r="O305" i="1"/>
  <c r="O180" i="1"/>
  <c r="K180" i="1"/>
  <c r="K153" i="1"/>
  <c r="O153" i="1"/>
  <c r="W318" i="2"/>
  <c r="O31" i="1"/>
  <c r="K31" i="1"/>
  <c r="O144" i="1"/>
  <c r="K144" i="1"/>
  <c r="K223" i="1"/>
  <c r="O223" i="1"/>
  <c r="K19" i="1"/>
  <c r="O19" i="1"/>
  <c r="O139" i="1"/>
  <c r="K139" i="1"/>
  <c r="K270" i="1"/>
  <c r="O270" i="1"/>
  <c r="W449" i="2"/>
  <c r="X449" i="2" s="1"/>
  <c r="Y449" i="2" s="1"/>
  <c r="K281" i="1"/>
  <c r="O281" i="1"/>
  <c r="V381" i="2"/>
  <c r="W381" i="2" s="1"/>
  <c r="W263" i="2"/>
  <c r="K316" i="1"/>
  <c r="O316" i="1"/>
  <c r="K235" i="1"/>
  <c r="O235" i="1"/>
  <c r="K49" i="1"/>
  <c r="O49" i="1"/>
  <c r="K277" i="1"/>
  <c r="O277" i="1"/>
  <c r="V71" i="2"/>
  <c r="W71" i="2"/>
  <c r="K160" i="1"/>
  <c r="O160" i="1"/>
  <c r="K70" i="1"/>
  <c r="O70" i="1"/>
  <c r="K37" i="1"/>
  <c r="O37" i="1"/>
  <c r="V201" i="2"/>
  <c r="W201" i="2" s="1"/>
  <c r="W253" i="2"/>
  <c r="K173" i="1"/>
  <c r="O173" i="1"/>
  <c r="O177" i="1"/>
  <c r="K177" i="1"/>
  <c r="K196" i="1"/>
  <c r="O196" i="1"/>
  <c r="K126" i="1"/>
  <c r="O126" i="1"/>
  <c r="O191" i="1"/>
  <c r="K191" i="1"/>
  <c r="O197" i="1"/>
  <c r="K197" i="1"/>
  <c r="K137" i="1"/>
  <c r="O137" i="1"/>
  <c r="O135" i="1"/>
  <c r="K135" i="1"/>
  <c r="O240" i="1"/>
  <c r="K240" i="1"/>
  <c r="K95" i="1"/>
  <c r="O95" i="1"/>
  <c r="I25" i="27"/>
  <c r="G27" i="27"/>
  <c r="I27" i="27" s="1"/>
  <c r="K290" i="1"/>
  <c r="O290" i="1"/>
  <c r="K187" i="1"/>
  <c r="O187" i="1"/>
  <c r="O233" i="1"/>
  <c r="K233" i="1"/>
  <c r="O332" i="1"/>
  <c r="K332" i="1"/>
  <c r="K116" i="1"/>
  <c r="O116" i="1"/>
  <c r="O306" i="1"/>
  <c r="K306" i="1"/>
  <c r="O72" i="1"/>
  <c r="K72" i="1"/>
  <c r="K41" i="1"/>
  <c r="O41" i="1"/>
  <c r="O198" i="1"/>
  <c r="K198" i="1"/>
  <c r="K297" i="1"/>
  <c r="O297" i="1"/>
  <c r="O284" i="1"/>
  <c r="K284" i="1"/>
  <c r="K16" i="1"/>
  <c r="O16" i="1"/>
  <c r="K91" i="1"/>
  <c r="O91" i="1"/>
  <c r="K273" i="1"/>
  <c r="O273" i="1"/>
  <c r="W469" i="2"/>
  <c r="J79" i="1"/>
  <c r="O10" i="1"/>
  <c r="O27" i="1"/>
  <c r="K27" i="1"/>
  <c r="K33" i="1"/>
  <c r="O33" i="1"/>
  <c r="O52" i="1"/>
  <c r="K52" i="1"/>
  <c r="W393" i="2"/>
  <c r="X439" i="2"/>
  <c r="Y439" i="2" s="1"/>
  <c r="V323" i="2"/>
  <c r="W323" i="2" s="1"/>
  <c r="V267" i="2"/>
  <c r="W267" i="2" s="1"/>
  <c r="K28" i="1"/>
  <c r="W447" i="2"/>
  <c r="X447" i="2" s="1"/>
  <c r="Y447" i="2" s="1"/>
  <c r="O276" i="1"/>
  <c r="K276" i="1"/>
  <c r="K331" i="1"/>
  <c r="O331" i="1"/>
  <c r="K178" i="1"/>
  <c r="O178" i="1"/>
  <c r="K29" i="1"/>
  <c r="O29" i="1"/>
  <c r="O163" i="1"/>
  <c r="K163" i="1"/>
  <c r="K68" i="1"/>
  <c r="O68" i="1"/>
  <c r="K227" i="1"/>
  <c r="O227" i="1"/>
  <c r="O67" i="1"/>
  <c r="K67" i="1"/>
  <c r="O84" i="1"/>
  <c r="K84" i="1"/>
  <c r="O195" i="1"/>
  <c r="K195" i="1"/>
  <c r="O213" i="1"/>
  <c r="K213" i="1"/>
  <c r="O280" i="1"/>
  <c r="K280" i="1"/>
  <c r="O98" i="1"/>
  <c r="K98" i="1"/>
  <c r="O62" i="1"/>
  <c r="K62" i="1"/>
  <c r="V288" i="2"/>
  <c r="W288" i="2"/>
  <c r="O128" i="1"/>
  <c r="K128" i="1"/>
  <c r="O222" i="1"/>
  <c r="K222" i="1"/>
  <c r="K291" i="1"/>
  <c r="O291" i="1"/>
  <c r="K136" i="1"/>
  <c r="O136" i="1"/>
  <c r="K275" i="1"/>
  <c r="O275" i="1"/>
  <c r="K236" i="1"/>
  <c r="O236" i="1"/>
  <c r="O11" i="1"/>
  <c r="K11" i="1"/>
  <c r="O242" i="1"/>
  <c r="K242" i="1"/>
  <c r="K44" i="1"/>
  <c r="O44" i="1"/>
  <c r="V402" i="2"/>
  <c r="W402" i="2" s="1"/>
  <c r="O56" i="1"/>
  <c r="K56" i="1"/>
  <c r="K101" i="1"/>
  <c r="O101" i="1"/>
  <c r="K247" i="1"/>
  <c r="O247" i="1"/>
  <c r="K215" i="1"/>
  <c r="O215" i="1"/>
  <c r="O94" i="1"/>
  <c r="K94" i="1"/>
  <c r="K250" i="1"/>
  <c r="O250" i="1"/>
  <c r="O15" i="1"/>
  <c r="K15" i="1"/>
  <c r="O115" i="1"/>
  <c r="K115" i="1"/>
  <c r="K299" i="1"/>
  <c r="O299" i="1"/>
  <c r="F347" i="1"/>
  <c r="V335" i="2"/>
  <c r="W335" i="2" s="1"/>
  <c r="O81" i="1"/>
  <c r="K81" i="1"/>
  <c r="J346" i="1"/>
  <c r="O42" i="1"/>
  <c r="K42" i="1"/>
  <c r="V445" i="2"/>
  <c r="W445" i="2" s="1"/>
  <c r="W442" i="2"/>
  <c r="X442" i="2" s="1"/>
  <c r="Y442" i="2" s="1"/>
  <c r="W330" i="2"/>
  <c r="K59" i="1"/>
  <c r="W22" i="2"/>
  <c r="W440" i="2"/>
  <c r="X440" i="2" s="1"/>
  <c r="Y440" i="2" s="1"/>
  <c r="W245" i="2"/>
  <c r="W254" i="2"/>
  <c r="W270" i="2"/>
  <c r="K40" i="1"/>
  <c r="W331" i="2" l="1"/>
  <c r="W237" i="2"/>
  <c r="W433" i="2"/>
  <c r="X433" i="2" s="1"/>
  <c r="Y433" i="2" s="1"/>
  <c r="W246" i="2"/>
  <c r="W397" i="2"/>
  <c r="W327" i="2"/>
  <c r="W212" i="2"/>
  <c r="W436" i="2"/>
  <c r="X436" i="2" s="1"/>
  <c r="Y436" i="2" s="1"/>
  <c r="W147" i="2"/>
  <c r="W443" i="2"/>
  <c r="X443" i="2" s="1"/>
  <c r="Y443" i="2" s="1"/>
  <c r="W218" i="2"/>
  <c r="W159" i="2"/>
  <c r="J347" i="1"/>
  <c r="K79" i="1"/>
  <c r="O346" i="1"/>
  <c r="O79" i="1"/>
  <c r="X445" i="2"/>
  <c r="Y445" i="2" s="1"/>
  <c r="O347" i="1" l="1"/>
</calcChain>
</file>

<file path=xl/comments1.xml><?xml version="1.0" encoding="utf-8"?>
<comments xmlns="http://schemas.openxmlformats.org/spreadsheetml/2006/main">
  <authors>
    <author>KATIA</author>
  </authors>
  <commentList>
    <comment ref="B155" authorId="0">
      <text>
        <r>
          <rPr>
            <b/>
            <sz val="8"/>
            <color indexed="81"/>
            <rFont val="Tahoma"/>
            <family val="2"/>
          </rPr>
          <t>KATIA:</t>
        </r>
        <r>
          <rPr>
            <sz val="8"/>
            <color indexed="81"/>
            <rFont val="Tahoma"/>
            <family val="2"/>
          </rPr>
          <t xml:space="preserve">
PENDIENTE POR MODIFICAR NOMBRE</t>
        </r>
      </text>
    </comment>
  </commentList>
</comments>
</file>

<file path=xl/sharedStrings.xml><?xml version="1.0" encoding="utf-8"?>
<sst xmlns="http://schemas.openxmlformats.org/spreadsheetml/2006/main" count="6197" uniqueCount="1041">
  <si>
    <t>DIBUJO TECNICO</t>
  </si>
  <si>
    <t>BASICO DE MANTENIMIENTO DE MAQUINAS DE CONFECCION</t>
  </si>
  <si>
    <t>DESPLAZADOS</t>
  </si>
  <si>
    <t>JOVENES VULNERABLES</t>
  </si>
  <si>
    <t>FUNDAMENTACION DE ELABORACION DE BOLSOS Y MONEDEROS</t>
  </si>
  <si>
    <t>ELABORACION DE BOLSOS Y MONEDEROS</t>
  </si>
  <si>
    <t>MUJERES CABEZA DE HOGAR</t>
  </si>
  <si>
    <t>EMPRESAS</t>
  </si>
  <si>
    <t>FORMACION VIRTUAL</t>
  </si>
  <si>
    <t>CONFECCION DE BLUSA Y PANTALON</t>
  </si>
  <si>
    <t>FUNDAMENTACION DE PATRONAJE DE ROPA FEMENINA</t>
  </si>
  <si>
    <t>PATRONAJE DE ROPA FEMENINA</t>
  </si>
  <si>
    <t>CURSO DE CONFECCION VIRTUAL</t>
  </si>
  <si>
    <t>BASICO DE MECANICA DIESEL</t>
  </si>
  <si>
    <t>FUNDAMENTACION PARA ELABORACION DE CALZADO  MASCULINO</t>
  </si>
  <si>
    <t>ELABORACION DE CALZADO MASCULINO</t>
  </si>
  <si>
    <t>ELABORACION DE SANDALIAS PARA DAMA</t>
  </si>
  <si>
    <t>BASICO DE ELECTRICIDAD AUTOMOTRIZ</t>
  </si>
  <si>
    <t>TECNOLOGIAS DE LA INFORMACION Y COMUNICACIÓN</t>
  </si>
  <si>
    <t>DISCAPACITADOS</t>
  </si>
  <si>
    <t>CURSO DE SISTEMAS VIRTUAL</t>
  </si>
  <si>
    <t>EMPRENDIMIENTO</t>
  </si>
  <si>
    <t>FUNDAMENTACION DE ELABORACION DE SANDALIAS PARA DAMA</t>
  </si>
  <si>
    <t>DESARROLLO CURRICULAR</t>
  </si>
  <si>
    <t>OFIMATICA</t>
  </si>
  <si>
    <t>SERVICIO AL CLIENTE</t>
  </si>
  <si>
    <t>EMPRENDIMIENTO DE INNOVACION</t>
  </si>
  <si>
    <t>ADMINISTRACION BASICA</t>
  </si>
  <si>
    <t>GESTION DE LA CALIDAD</t>
  </si>
  <si>
    <t>SISTEMAS DE DIAGNOSTICO OBD II DIESEL</t>
  </si>
  <si>
    <t>BASICO DE MOTOCICLETAS</t>
  </si>
  <si>
    <t>FUNDAMENTACION PARA LA ELABORACION DE CALZADO FEMENINO</t>
  </si>
  <si>
    <t>FUNDAMENTACION PARA LA ELABORACION DE SANDALIAS</t>
  </si>
  <si>
    <t>ELABORACION DE CALZADO FEMENINO</t>
  </si>
  <si>
    <t>ELABORACION DE SANDALIAS</t>
  </si>
  <si>
    <t>NORMALIZACION DE COMPETENCIAS</t>
  </si>
  <si>
    <t>CURSO GESTION VIRTUAL</t>
  </si>
  <si>
    <t>INTEGRACION VIRTUAL</t>
  </si>
  <si>
    <t>CURSOS CONSTRUCCION EN EMPRESAS</t>
  </si>
  <si>
    <t>PROCESOS CONSTRUCTIVOS</t>
  </si>
  <si>
    <t>CURSO BASICO DE TRABAJO SEGURO EN ALTURAS</t>
  </si>
  <si>
    <t>CURSO AVANZADO TRABAJO SEGURO EN ALTURAS</t>
  </si>
  <si>
    <t>BRICOLAGE Y DECORACION</t>
  </si>
  <si>
    <t>FUNDAMENTACION PARA MODELAJE DE CALZADO FEMENINO</t>
  </si>
  <si>
    <t>FUNDAMENTACION PARA ELABORACION DE CALZADO FEMENINO</t>
  </si>
  <si>
    <t>MODELAJE DE CALZADO FEMENINO</t>
  </si>
  <si>
    <t>FUNDAMENTACION PARA ELABORACION DE CALZADO MASCULINO</t>
  </si>
  <si>
    <t>INPEC</t>
  </si>
  <si>
    <t>NORMAS ISO 9000</t>
  </si>
  <si>
    <t>AUDITORIAS DE CALIDAD</t>
  </si>
  <si>
    <t>INDICADORES DE GESTION</t>
  </si>
  <si>
    <t>ENCHAPES</t>
  </si>
  <si>
    <t>INSTALACIONES ELECTRICAS DOMICILIARIAS</t>
  </si>
  <si>
    <t>PROGRAMA EDO</t>
  </si>
  <si>
    <t>CURSOS DE SISTEMAS VIRTUAL</t>
  </si>
  <si>
    <t>BASICO DE MANEJO DE MAQUINAS DE CONFECCION</t>
  </si>
  <si>
    <t>INGLES CONVERSACIONAL - SENA 24 HORAS</t>
  </si>
  <si>
    <t>MAMPOSTERIA</t>
  </si>
  <si>
    <t>FUNDAMENTACION PARA LA ELABORACION DE CALZADO ESCOLAR</t>
  </si>
  <si>
    <t>ELABORACION DE CALZADO ESCOLAR</t>
  </si>
  <si>
    <t>FUNDAMENTACION PARA ELABORACION DE SANDALIAS</t>
  </si>
  <si>
    <t>BASICO DE PINTURA SOBRE MADERA</t>
  </si>
  <si>
    <t>OFIMATICA - SENA 24 HORAS</t>
  </si>
  <si>
    <t>DISEÑO DE INTERIORES</t>
  </si>
  <si>
    <t>BASICO DE EBANISTERIA</t>
  </si>
  <si>
    <t>MANUALIDADES EN MADERA</t>
  </si>
  <si>
    <t>CARI</t>
  </si>
  <si>
    <t>SEGUIMIENTO APRENDICES</t>
  </si>
  <si>
    <t>CONFECCION DE CAMISA Y PANTALON</t>
  </si>
  <si>
    <t>SEGUIMIENTO MUNICIPIOS</t>
  </si>
  <si>
    <t>DESPLAZADOS POR FENOMENOS NATURALES</t>
  </si>
  <si>
    <t>MENOR INFRACTOR</t>
  </si>
  <si>
    <t>NEGRITUDES</t>
  </si>
  <si>
    <t>ADOLESCENTE TRABAJADOR</t>
  </si>
  <si>
    <t>SOLDADOS CAMPESINOS</t>
  </si>
  <si>
    <t>JAVIER CALDERIN</t>
  </si>
  <si>
    <r>
      <t>FORMATO DE CAPACIDAD DE UTILIZACIÓN DE HORAS INSTRUCTOR</t>
    </r>
    <r>
      <rPr>
        <sz val="7"/>
        <rFont val="Arial"/>
        <family val="2"/>
      </rPr>
      <t xml:space="preserve">
</t>
    </r>
    <r>
      <rPr>
        <sz val="10"/>
        <rFont val="Arial"/>
        <family val="2"/>
      </rPr>
      <t>F03-9208-004/08-08 - Versión: 03
PLANEACIÓN ESTRATÉGICA
PROCEDIMIENTO PROGRAMACIÓN ESPECIFICA</t>
    </r>
  </si>
  <si>
    <t>Modelo de Mejora Continua</t>
  </si>
  <si>
    <t>Cap</t>
  </si>
  <si>
    <t>PC</t>
  </si>
  <si>
    <r>
      <t>FORMATO DE PROGRAMACIÓN ANUAL DE FORMACIÓN TITULADA</t>
    </r>
    <r>
      <rPr>
        <sz val="10"/>
        <rFont val="Arial"/>
        <family val="2"/>
      </rPr>
      <t xml:space="preserve">
F03-9208-005/08-08- Versión: 03
PLANEACIÓN ESTRATÉGICA
PROCEDIMIENTO PROGRAMACIÓN ESPECIFICA</t>
    </r>
  </si>
  <si>
    <r>
      <t>FORMATO DE PROGRAMACIÓN DE FORMACIÓN COMPLEMENTARIA</t>
    </r>
    <r>
      <rPr>
        <sz val="10"/>
        <rFont val="Arial"/>
        <family val="2"/>
      </rPr>
      <t xml:space="preserve"> 
F03-9208-006/08-08 - Versión: 03
PLANEACIÓN ESTRATÉGICA
PROCEDIMIENTO PROGRAMACIÓN ESPECIFICA</t>
    </r>
  </si>
  <si>
    <r>
      <t>FORMATO DE PROGRAMACIÓN OTRAS ACCIONES</t>
    </r>
    <r>
      <rPr>
        <sz val="7"/>
        <rFont val="Arial"/>
        <family val="2"/>
      </rPr>
      <t xml:space="preserve">
</t>
    </r>
    <r>
      <rPr>
        <sz val="9"/>
        <rFont val="Arial"/>
        <family val="2"/>
      </rPr>
      <t>F03-9208-007/08-08 - Versión: 02
PLANEACIÓN ESTRATÉGICA
PROCEDIMIENTO PROGRAMACIÓN ESPECIFICA</t>
    </r>
  </si>
  <si>
    <t>Horas Dedicadas a Metas</t>
  </si>
  <si>
    <t>Otras horas no ejec. Resp.</t>
  </si>
  <si>
    <t>TOTAL</t>
  </si>
  <si>
    <t>No</t>
  </si>
  <si>
    <t>Instructores</t>
  </si>
  <si>
    <t>Planta</t>
  </si>
  <si>
    <t>Contratistas</t>
  </si>
  <si>
    <t>Subtotal Contratistas</t>
  </si>
  <si>
    <t>TOTAL CENTRO</t>
  </si>
  <si>
    <t>Servicios Tecnológicos</t>
  </si>
  <si>
    <t>Evalua Certific</t>
  </si>
  <si>
    <t>Nombre Curso</t>
  </si>
  <si>
    <t>Fecha Inicio</t>
  </si>
  <si>
    <t>N° Alumnos</t>
  </si>
  <si>
    <t>Nombre Instructores Programados</t>
  </si>
  <si>
    <t>Horas Instructor</t>
  </si>
  <si>
    <t>Fecha Termin.</t>
  </si>
  <si>
    <t>Fecha de Inicio</t>
  </si>
  <si>
    <t>Fecha de fin.</t>
  </si>
  <si>
    <t>Horario</t>
  </si>
  <si>
    <t>Código de Aula</t>
  </si>
  <si>
    <t>Lugar de ejecución</t>
  </si>
  <si>
    <t>Dias de  Semana</t>
  </si>
  <si>
    <t>Tipo de Población</t>
  </si>
  <si>
    <t>No de Cursos</t>
  </si>
  <si>
    <t>Nombre Instructor Programados</t>
  </si>
  <si>
    <t>Subtotal Horas a Metas</t>
  </si>
  <si>
    <t>Subtotal Horas No Ejec</t>
  </si>
  <si>
    <t>Complement.</t>
  </si>
  <si>
    <t>SERVICIOS TECNOLÓGICOS</t>
  </si>
  <si>
    <t>Nombre Instructor Programado</t>
  </si>
  <si>
    <t>EVALUACIÓN Y CERTIFICACIÓN DE COMPETENCIAS LABORALES</t>
  </si>
  <si>
    <t>Diseño Curricular</t>
  </si>
  <si>
    <t>ELABORA</t>
  </si>
  <si>
    <t>PROGRAMA</t>
  </si>
  <si>
    <t>VIGENCIA</t>
  </si>
  <si>
    <t>DIAS HABILES DEL AÑO</t>
  </si>
  <si>
    <t>Horas  x Programar</t>
  </si>
  <si>
    <t>Horas Total</t>
  </si>
  <si>
    <t>Horas por Curso</t>
  </si>
  <si>
    <t>Modalidad</t>
  </si>
  <si>
    <t>Presencial</t>
  </si>
  <si>
    <t>Virtual</t>
  </si>
  <si>
    <t>Ambiente de aprendizaje</t>
  </si>
  <si>
    <t>1er</t>
  </si>
  <si>
    <t>2o</t>
  </si>
  <si>
    <t>3er</t>
  </si>
  <si>
    <t>4o</t>
  </si>
  <si>
    <t>INTEGRACION CON LA MEDIA TECNICA</t>
  </si>
  <si>
    <t>EDWIN POLO</t>
  </si>
  <si>
    <t>ENGELBERTO COBA</t>
  </si>
  <si>
    <t>LEONARDO FLOREZ</t>
  </si>
  <si>
    <t>LUZ MARINA RODRIGUEZ</t>
  </si>
  <si>
    <t>MARIO MONTOYA</t>
  </si>
  <si>
    <t>MILDRED BELTRAN</t>
  </si>
  <si>
    <t>WILLIAM PATIÑO</t>
  </si>
  <si>
    <t>CARLOS RIPOLL</t>
  </si>
  <si>
    <t>KENDRY PRIETO</t>
  </si>
  <si>
    <t>RAFAEL JULIAO</t>
  </si>
  <si>
    <t>JORGE BENAVIDES</t>
  </si>
  <si>
    <t>JOSE GOMEZ</t>
  </si>
  <si>
    <t>ORLANDO MOLINARES</t>
  </si>
  <si>
    <t>JUSTINIANO ARDILA</t>
  </si>
  <si>
    <t>ÁLVARO ESTRADA</t>
  </si>
  <si>
    <t>ARMANDO PABON</t>
  </si>
  <si>
    <t>JOSE GUALDRON</t>
  </si>
  <si>
    <t>VERA DIAZ ARROYO</t>
  </si>
  <si>
    <t>ALVARO ARRAZOLA</t>
  </si>
  <si>
    <t>IBETH TEJERA</t>
  </si>
  <si>
    <t>SILVIA VILLEGAS</t>
  </si>
  <si>
    <t>MILDRED ROLONG</t>
  </si>
  <si>
    <t>IVAN GARCIA</t>
  </si>
  <si>
    <t>FERNANDO TORRES</t>
  </si>
  <si>
    <t>RAMIRO SANTIAGO</t>
  </si>
  <si>
    <t>BORIS VELILLA</t>
  </si>
  <si>
    <t>JOHNNY DE LA ROSA</t>
  </si>
  <si>
    <t>ELBERTO PERTUZ DE LA HOZ</t>
  </si>
  <si>
    <t>LUCAS GUTIERREZ PANZA</t>
  </si>
  <si>
    <t>GRACIELA ANGARITA POLO</t>
  </si>
  <si>
    <t>NELSON COBA FERNANDEZ</t>
  </si>
  <si>
    <t>MANUEL ALZAMORA NIEBLES</t>
  </si>
  <si>
    <t>ALVARO SALAS INFANTE</t>
  </si>
  <si>
    <t>JUAN URIBE MONSALVE</t>
  </si>
  <si>
    <t>JAIME VENDRIES VARGAS</t>
  </si>
  <si>
    <t>FELIX AMARIS JACOME</t>
  </si>
  <si>
    <t>HENRY IBARRA RANGEL</t>
  </si>
  <si>
    <t>OSVALDO CASTRO MOLINA</t>
  </si>
  <si>
    <t>PATRICIA DOVALE PEREZ</t>
  </si>
  <si>
    <t>NANCY FABREGAS CARRILLO</t>
  </si>
  <si>
    <t>RAFAEL BARRAZA FERNANDEZ</t>
  </si>
  <si>
    <t>ARMANDO ACEVEDO TIRIA</t>
  </si>
  <si>
    <t>ALICIA NAVARRO CASANOVA</t>
  </si>
  <si>
    <t>JUAN FARELO PEÑA</t>
  </si>
  <si>
    <t>RUBEN SAENZ PINTO</t>
  </si>
  <si>
    <t>CÈSAR BOLAÑO ROYERO</t>
  </si>
  <si>
    <t>VIOLET HANI</t>
  </si>
  <si>
    <t>CARLOS MURCIA</t>
  </si>
  <si>
    <t>LUISA VILLAREAL</t>
  </si>
  <si>
    <t>REBECA ZAPATA</t>
  </si>
  <si>
    <t>ENITH MENCO</t>
  </si>
  <si>
    <t>ALCIBIADES DE LA ROSA</t>
  </si>
  <si>
    <t>TODOS</t>
  </si>
  <si>
    <t>LINA MARIA NADER VILLA</t>
  </si>
  <si>
    <t>FERNEY ORTIZ</t>
  </si>
  <si>
    <t>Bloque de conocimiento</t>
  </si>
  <si>
    <t>Competencia</t>
  </si>
  <si>
    <t>--</t>
  </si>
  <si>
    <t>CENTRO</t>
  </si>
  <si>
    <t>VIRTUAL</t>
  </si>
  <si>
    <t>AVA</t>
  </si>
  <si>
    <t>HEBER CASTRO</t>
  </si>
  <si>
    <t>BILINGUISMO</t>
  </si>
  <si>
    <t>ADA LUZ ROMERO</t>
  </si>
  <si>
    <t>SALUD OCUPACIONAL</t>
  </si>
  <si>
    <t>FUERA DE CENTRO</t>
  </si>
  <si>
    <t>EDELBERTO LOPEZ</t>
  </si>
  <si>
    <t>N° Ficha</t>
  </si>
  <si>
    <t>PRESENCIAL</t>
  </si>
  <si>
    <t>ADAN BARRIOS BARON</t>
  </si>
  <si>
    <t>N° Aprendices</t>
  </si>
  <si>
    <t>Total Aprendices</t>
  </si>
  <si>
    <t>MANTENIMIENTO DE MOTOCICLETAS</t>
  </si>
  <si>
    <t>DISEÑO O DESARROLLO CURRICULAR</t>
  </si>
  <si>
    <t>CONFECCION</t>
  </si>
  <si>
    <t>BASICO DE AIRES ACONDICIONADO</t>
  </si>
  <si>
    <t>CONSTRUCCION</t>
  </si>
  <si>
    <t>PHOTOSHOP BÁSICO</t>
  </si>
  <si>
    <t>EDUARDO DEL REAL JARABA</t>
  </si>
  <si>
    <t>RICARDO SANDOVAL</t>
  </si>
  <si>
    <t>CASILDA RODRIGUEZ</t>
  </si>
  <si>
    <t>PEDAGOGIA</t>
  </si>
  <si>
    <t>1 er Trim</t>
  </si>
  <si>
    <t>2 er Trim</t>
  </si>
  <si>
    <t>3 er Trim</t>
  </si>
  <si>
    <t>4 er Trim</t>
  </si>
  <si>
    <t>ADMINISTRACIÓN EDUCATIVA</t>
  </si>
  <si>
    <t>PEDAGOGIA BASICA PARA ORIENTAR LA FORMACION PROFESIONAL INTEGRAL</t>
  </si>
  <si>
    <t>CURSO CONFECCIONES</t>
  </si>
  <si>
    <t>Total</t>
  </si>
  <si>
    <t>Remitidos por SPE</t>
  </si>
  <si>
    <t>ELABORACION DE PRODUCTOS
ARTESANALES EN PAPEL
RECICLABLE</t>
  </si>
  <si>
    <t>CASAS SISMORESISTENTES</t>
  </si>
  <si>
    <t>SISTEMAS ELECTRICOS PROCESOS INDUSTRIALES</t>
  </si>
  <si>
    <t>FINANZAS Y ADMINISTRACIÓN</t>
  </si>
  <si>
    <t>ADMINISTRACIÓN BASICA</t>
  </si>
  <si>
    <t>TSA</t>
  </si>
  <si>
    <t>MAQUINARIA PESADA</t>
  </si>
  <si>
    <t>APSB</t>
  </si>
  <si>
    <t>ELECTRICIDAD DOMICILIARIA</t>
  </si>
  <si>
    <t>TERCERA EDAD</t>
  </si>
  <si>
    <t>Integ con la media</t>
  </si>
  <si>
    <t>Titulada</t>
  </si>
  <si>
    <t>JOHN JAIRO JIMENEZ</t>
  </si>
  <si>
    <t>WILMARO GARAY</t>
  </si>
  <si>
    <t>CATALINA LOPEZ</t>
  </si>
  <si>
    <t xml:space="preserve">ADRIAN ALFONSO DENNIS VEGA </t>
  </si>
  <si>
    <t>ALBERTO ELVIS ARENAS ESPITIA</t>
  </si>
  <si>
    <t xml:space="preserve">ALBERTO LONDOÑO BERMUDEZ </t>
  </si>
  <si>
    <t xml:space="preserve">ALEJANDRO RAFAEL GAMEZ SERNA </t>
  </si>
  <si>
    <t xml:space="preserve">ALEX DAVID BARRANCO GÓMEZ </t>
  </si>
  <si>
    <t>ALEXANDER RAFAEL ROJANO POLO</t>
  </si>
  <si>
    <t>ALFREDO ALCOCER CORVACHO</t>
  </si>
  <si>
    <t>ALFREDO MARIO DE LA ROSA PAREJO</t>
  </si>
  <si>
    <t xml:space="preserve">ALVARO CARBONELL CUENTAS </t>
  </si>
  <si>
    <t xml:space="preserve">ANA MARÍA GARCÍA SÁNCHEZ </t>
  </si>
  <si>
    <t>ANA SOFIA ROCHA IGUARAN</t>
  </si>
  <si>
    <t>ANDERSSON ANTONIO OLIVO CANTILLO</t>
  </si>
  <si>
    <t>ANGELICA AMPARO RAMOS BOLAÑOS</t>
  </si>
  <si>
    <t>ARCENIO MANUEL   PUERTA RODRÍGUEZ</t>
  </si>
  <si>
    <t>AURA PATRICIA OJEDA POLO</t>
  </si>
  <si>
    <t xml:space="preserve">BELEMIR BLANCO BARBOSA </t>
  </si>
  <si>
    <t>BENJAMIN FIDEL GARCIA VILLALBA</t>
  </si>
  <si>
    <t xml:space="preserve">CARLOS ANDRÉS URIBE DE LA CRUZ </t>
  </si>
  <si>
    <t>CARLOS EDUARDO VENGOECHEA CARRILLO</t>
  </si>
  <si>
    <t xml:space="preserve">CATALINO JESUS SUAREZ RUIZ </t>
  </si>
  <si>
    <t>CENIA ELENA CASTRO CANTILLO</t>
  </si>
  <si>
    <t>DANIEL EDUARDO CARBONELL PEREZ</t>
  </si>
  <si>
    <t xml:space="preserve">DANIEL ENRIQUE CABARCAS MARÍN </t>
  </si>
  <si>
    <t>DANIS ALBERTO MONTAÑA BASTIDAS</t>
  </si>
  <si>
    <t xml:space="preserve">DAVID ANDRÉS OCHOA MIRANDA </t>
  </si>
  <si>
    <t>DAVID FERNANDO ARZUZA TORRADO</t>
  </si>
  <si>
    <t>DIANA LUZ DE LEON OBREGON</t>
  </si>
  <si>
    <t xml:space="preserve">EDINSON JESÚS ARIZA ROCHA </t>
  </si>
  <si>
    <t xml:space="preserve">ELIAS MOISES PATIÑO HURTADO </t>
  </si>
  <si>
    <t xml:space="preserve">ELISEO ANGEL RODRIGUEZ SANABRIA </t>
  </si>
  <si>
    <t>ELVIS XAVIER RODRIGUEZ BARRIOS</t>
  </si>
  <si>
    <t xml:space="preserve">ERICK WILSON BUENAVENTURA MEDINA </t>
  </si>
  <si>
    <t xml:space="preserve">ERIKA MARIA VELASQUEZ CARRILLO </t>
  </si>
  <si>
    <t xml:space="preserve">EUCLIDES DE LA CRUZ PEREZ </t>
  </si>
  <si>
    <t>EUGENIO NELSON REY CELI</t>
  </si>
  <si>
    <t xml:space="preserve">EVERALDO DE LA HOZ MERCADO </t>
  </si>
  <si>
    <t xml:space="preserve">FRANCISCO JAVIER GARCÍA PADILLA </t>
  </si>
  <si>
    <t>FREDDY ADOLFO ACOSTA AGUILAR</t>
  </si>
  <si>
    <t>GUILLERMO MAESTRE ARAQUE.</t>
  </si>
  <si>
    <t>GUSTAVO ADOLFO BLANCO CARBONELL</t>
  </si>
  <si>
    <t>GUSTAVO JOSE CALDERON BERMEJO</t>
  </si>
  <si>
    <t>HAROLD FLOREZ BUELVAS</t>
  </si>
  <si>
    <t xml:space="preserve">HEINER ENRIQUE CABARCAS BONILLA </t>
  </si>
  <si>
    <t xml:space="preserve">HERNANDO LUÍS ESTARITA TAPIAS </t>
  </si>
  <si>
    <t>HUMBERTO VARELA VILLA</t>
  </si>
  <si>
    <t>INGRID DEL CARMEN BERDUGO CERA</t>
  </si>
  <si>
    <t>IRINA ISABEL ROGET VILORIA</t>
  </si>
  <si>
    <t xml:space="preserve">IVAN ALONSO VARGAS ACOSTA </t>
  </si>
  <si>
    <t>JACKELINE DEL ROSARIO VIZCAINO VILLAFAÑE</t>
  </si>
  <si>
    <t>JAIRO ENRIQUE BARRIOS DONADO</t>
  </si>
  <si>
    <t>JESUS MARIA PEREZ GONZALEZ</t>
  </si>
  <si>
    <t xml:space="preserve">JHON JAIRO JIMENEZ SERPA </t>
  </si>
  <si>
    <t xml:space="preserve">JORGE ALBERTO GONZALEZ MOSCARELLA </t>
  </si>
  <si>
    <t>JOSE  MANUEL MARTINEZ SANDOVAL</t>
  </si>
  <si>
    <t xml:space="preserve">JOSÉ ALBERTO COLONNA PERTUZ </t>
  </si>
  <si>
    <t>JOSE DEL CARMEN GONZALEZ GUTIERREZ</t>
  </si>
  <si>
    <t>JOSE MIGUEL NARVAEZ PEREZ</t>
  </si>
  <si>
    <t xml:space="preserve">JOSÉ NELSÓN DÍAZ FIGUEROA </t>
  </si>
  <si>
    <t xml:space="preserve">JULIAN ALBERTO  RIVAS SANTIAGO </t>
  </si>
  <si>
    <t>KATIA MILENA VILLARREAL ARTETA</t>
  </si>
  <si>
    <t>LEDYS ESTHER PATIÑO BARRIOS</t>
  </si>
  <si>
    <t>LEINER JOSE ALVAREZ URECHE</t>
  </si>
  <si>
    <t>LICETH MILENA DE LA TORRE CASTILLO</t>
  </si>
  <si>
    <t xml:space="preserve">LILIANA PATRICIA MARTÍNEZ FERNÁNDEZ </t>
  </si>
  <si>
    <t>LINA MARIA PÉREZ MAESTRE</t>
  </si>
  <si>
    <t xml:space="preserve">LIOJANIS LINETH ALVARADO CASTILLO </t>
  </si>
  <si>
    <t>LUZ MARINA CUELLO CUELLO</t>
  </si>
  <si>
    <t>MARGARITA MARIA CERVANTES PATERNINA</t>
  </si>
  <si>
    <t>MARTHA BEATRIZ ESTARITA TAPIAS</t>
  </si>
  <si>
    <t>MARTHA ISABEL ROA HERNANDEZ</t>
  </si>
  <si>
    <t>MIGUEL ELIAS BENDECK FLOREZ</t>
  </si>
  <si>
    <t xml:space="preserve">NINA PAOLA DE  LA CRUZ SANDOVAL </t>
  </si>
  <si>
    <t>NORLY DE JESUS CALVO ARCHBOLD</t>
  </si>
  <si>
    <t xml:space="preserve">NORYS MILENA ORTIZ SALAZAR </t>
  </si>
  <si>
    <t>OSVALDO MANUEL TUIRAN MIRANDA</t>
  </si>
  <si>
    <t>PAOLA MERCEDES PEDROZA CAMARGO</t>
  </si>
  <si>
    <t xml:space="preserve">PAOLA PATRICIA MAESTRE BUJATO </t>
  </si>
  <si>
    <t xml:space="preserve">PATRICIA ELENA MENDOZA SALAZAR  </t>
  </si>
  <si>
    <t xml:space="preserve">PEDRO VERGEL ORTEGA </t>
  </si>
  <si>
    <t>RAMON ELIAS JARAMILLO GOMEZ</t>
  </si>
  <si>
    <t>RICARDO ANTONIO CALIXTO BARRIOS</t>
  </si>
  <si>
    <t>RICARDO LEON MEJIA MIRANDA</t>
  </si>
  <si>
    <t xml:space="preserve">ROBERTO DE JESÚS RODRÍGUEZ VANEGAS </t>
  </si>
  <si>
    <t>RODOLFO DE JESUS NUÑEZ CAMPO</t>
  </si>
  <si>
    <t>RONALD ANDRES GUTIERREZ ACOSTA</t>
  </si>
  <si>
    <t>ROQUE AUGUSTO BUENO ARCHBOLD</t>
  </si>
  <si>
    <t>ROY CANEDO QUINTERO</t>
  </si>
  <si>
    <t xml:space="preserve">RUBIEL JOSE  MUÑOZ ALMARIO </t>
  </si>
  <si>
    <t xml:space="preserve">SANTANDER ALFONSO OLIVERO  MARQUEZ </t>
  </si>
  <si>
    <t xml:space="preserve">SOVEIDA SANTOS ALARCON </t>
  </si>
  <si>
    <t>TERESA DE JESUS RODRIGUEZ ROMERO</t>
  </si>
  <si>
    <t xml:space="preserve">TOMAS BRU VILLA </t>
  </si>
  <si>
    <t>VICTOR MANUEL DE LIMA VARGAS</t>
  </si>
  <si>
    <t xml:space="preserve">WILFRIDO RAFAEL GUERRERO GAVIRIA </t>
  </si>
  <si>
    <t>YENNY MOISES VILLA</t>
  </si>
  <si>
    <t xml:space="preserve">YONIS JAVIER FONTALVO GUETTE </t>
  </si>
  <si>
    <t xml:space="preserve">YOVELIS YANETH ROMERO REDONDO </t>
  </si>
  <si>
    <t>ZAHEDYS MANUEL RODRIGUEZ VILLARREAL</t>
  </si>
  <si>
    <t>ZUHANNY MILENA CANO CHAMORRO</t>
  </si>
  <si>
    <t>ASTRIID DEL CARMEN NADER ROMANOS</t>
  </si>
  <si>
    <t>JOHN ALEX ZAMORA SALAS</t>
  </si>
  <si>
    <t>AUTOMOTRIZ</t>
  </si>
  <si>
    <t>INSTALACIONES ELÉCTRICAS RESIDENCIALES</t>
  </si>
  <si>
    <t>REGULAR</t>
  </si>
  <si>
    <t>Regular</t>
  </si>
  <si>
    <t>Enero</t>
  </si>
  <si>
    <t>sm</t>
  </si>
  <si>
    <t>Lun a Sab</t>
  </si>
  <si>
    <t>Lun a Vie</t>
  </si>
  <si>
    <t>LUNES</t>
  </si>
  <si>
    <t>MARTES</t>
  </si>
  <si>
    <t>MIERCOLES</t>
  </si>
  <si>
    <t>JUEVES</t>
  </si>
  <si>
    <t>VIERNES</t>
  </si>
  <si>
    <t>SABADO</t>
  </si>
  <si>
    <t>DOMINGO</t>
  </si>
  <si>
    <t>Primer Trimestre</t>
  </si>
  <si>
    <t>Segundo Trimestre</t>
  </si>
  <si>
    <t>Tercer Trimestre</t>
  </si>
  <si>
    <t>Cuarto Trimestre</t>
  </si>
  <si>
    <t>Alistamiento</t>
  </si>
  <si>
    <t>1er Trim</t>
  </si>
  <si>
    <t>Horas Prog</t>
  </si>
  <si>
    <t>Febrero</t>
  </si>
  <si>
    <t>Jornada de integración</t>
  </si>
  <si>
    <t>2do Trim</t>
  </si>
  <si>
    <t>Evaluación de la gestión</t>
  </si>
  <si>
    <t>3er Trim</t>
  </si>
  <si>
    <t>4to Trim</t>
  </si>
  <si>
    <t>Día de Navidad</t>
  </si>
  <si>
    <t>Marzo</t>
  </si>
  <si>
    <t>Total Hora Directas Planta</t>
  </si>
  <si>
    <t>Total Hora PC Planta</t>
  </si>
  <si>
    <t>Inicio</t>
  </si>
  <si>
    <t>Fin</t>
  </si>
  <si>
    <t>Abril</t>
  </si>
  <si>
    <t>Maximo horas x trimestre</t>
  </si>
  <si>
    <t>Contratista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</si>
  <si>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</si>
  <si>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</si>
  <si>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</si>
  <si>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</si>
  <si>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</si>
  <si>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</si>
  <si>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</si>
  <si>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</si>
  <si>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RAFAEL OLACIREGUI</t>
  </si>
  <si>
    <t>MARLON AFRICANO</t>
  </si>
  <si>
    <t>CONFECCIÓN DE CAMISA CLÁSICA MASCULINA</t>
  </si>
  <si>
    <t>CURSOS ARGOS</t>
  </si>
  <si>
    <t>APOYO REMODALACION DEL CENTRO</t>
  </si>
  <si>
    <t>METROLOGIA</t>
  </si>
  <si>
    <t>NORMAS DE TRANSITO Y MOVILIDAD - VIRTUAL</t>
  </si>
  <si>
    <t>EDGAR BULA ESPINOZA</t>
  </si>
  <si>
    <t>CONTABILIDAD, COSTO, PRESUPUESTO</t>
  </si>
  <si>
    <t>SISTEMAS Y PROGRAMACION</t>
  </si>
  <si>
    <t>ENCUADERNACION DE DOCUMENTOS</t>
  </si>
  <si>
    <t>AUTOCONSTRUCCION</t>
  </si>
  <si>
    <t>Remitidos por el PAL</t>
  </si>
  <si>
    <t>ANGELICA LLINAS</t>
  </si>
  <si>
    <t>CURSO SALUD OCUPACIONAL</t>
  </si>
  <si>
    <t>AAAAADdF+Vg=</t>
  </si>
  <si>
    <t>AAAAADdF+Vk=</t>
  </si>
  <si>
    <t>AAAAADdF+Vo=</t>
  </si>
  <si>
    <t>NEILL PACHECO</t>
  </si>
  <si>
    <t>KATHERIN HERRERA</t>
  </si>
  <si>
    <t xml:space="preserve">ALCIDES OSORIO </t>
  </si>
  <si>
    <t>AAAAAH++z8M=</t>
  </si>
  <si>
    <t>AAAAAH++z8Q=</t>
  </si>
  <si>
    <t>AAAAAE/7+wE=</t>
  </si>
  <si>
    <t>AAAAAE/7+wI=</t>
  </si>
  <si>
    <t>AAAAAD/92QA=</t>
  </si>
  <si>
    <t>AAAAAD/92QE=</t>
  </si>
  <si>
    <t>AAAAAHce+ic=</t>
  </si>
  <si>
    <t>AAAAAHce+ig=</t>
  </si>
  <si>
    <t>AAAAAGVdsQA=</t>
  </si>
  <si>
    <t>AAAAAGVdsQE=</t>
  </si>
  <si>
    <t>JOHN ALEX ZAMORA</t>
  </si>
  <si>
    <t>Días Festivos</t>
  </si>
  <si>
    <t>l</t>
  </si>
  <si>
    <t>m</t>
  </si>
  <si>
    <t>j</t>
  </si>
  <si>
    <t>v</t>
  </si>
  <si>
    <t>s</t>
  </si>
  <si>
    <t>d</t>
  </si>
  <si>
    <t xml:space="preserve">Año Nuevo </t>
  </si>
  <si>
    <t xml:space="preserve">Sagrado Corazón </t>
  </si>
  <si>
    <t xml:space="preserve">Día de los Reyes Magos </t>
  </si>
  <si>
    <t xml:space="preserve">San Pedro y San Pablo </t>
  </si>
  <si>
    <t xml:space="preserve">Domingo de Ramos </t>
  </si>
  <si>
    <t xml:space="preserve">Día de la Independencia </t>
  </si>
  <si>
    <t xml:space="preserve">Día de San José </t>
  </si>
  <si>
    <t xml:space="preserve">Batalla de Boyacá </t>
  </si>
  <si>
    <t xml:space="preserve">Jueves Santo </t>
  </si>
  <si>
    <t xml:space="preserve">La asunción de la Virgen </t>
  </si>
  <si>
    <t xml:space="preserve">Viernes Santo </t>
  </si>
  <si>
    <t xml:space="preserve">Día de la Raza </t>
  </si>
  <si>
    <t xml:space="preserve">Domingo de Resurrección </t>
  </si>
  <si>
    <t xml:space="preserve">Todos los Santos </t>
  </si>
  <si>
    <t xml:space="preserve">Día del Trabajo </t>
  </si>
  <si>
    <t xml:space="preserve">Independencia de Cartagena </t>
  </si>
  <si>
    <t xml:space="preserve">Día de la Ascensión </t>
  </si>
  <si>
    <t xml:space="preserve">Día de la Inmaculada Concepción </t>
  </si>
  <si>
    <t xml:space="preserve">Corpus Christi </t>
  </si>
  <si>
    <t>ENERO A DICIEMBRE DE 2013</t>
  </si>
  <si>
    <t>ANIMACION 3D</t>
  </si>
  <si>
    <t>PRODUCCIÓN DE MULTIMEDIA</t>
  </si>
  <si>
    <t>DESARROLLO DE VIDEOJUEGOS</t>
  </si>
  <si>
    <t>DISEÑO PARA LA COMUNICACION GRAFICA</t>
  </si>
  <si>
    <t>IMPRESIÓN OFFSET</t>
  </si>
  <si>
    <t>PREPRENSA DIGITAL PARA MEDIOS IMPRESOS</t>
  </si>
  <si>
    <t>GRABACIÓN, EDICIÓN Y MEZCLA DE VOCES Y DOBLAJES PARA MEDIOS AUDIOVISUALES</t>
  </si>
  <si>
    <t>SIN CODIGO</t>
  </si>
  <si>
    <t>ARTES GRAFICAS</t>
  </si>
  <si>
    <t>CONTROL DE CALIDAD EN CONFECCIÓN</t>
  </si>
  <si>
    <t>TRAZO Y CORTE EN CONFECCIÓN INDUSTRIAL</t>
  </si>
  <si>
    <t>MANTENIMIENTO DE MOTORES DIESEL</t>
  </si>
  <si>
    <t>MANTENIMIENTO ELÉCTRICO Y ELECTRÓNICO EN AUTOMOTORES</t>
  </si>
  <si>
    <t>SISTEMAS</t>
  </si>
  <si>
    <t>MANTENIMIENTO MECATRONICO DE AUTOMOTORES</t>
  </si>
  <si>
    <t>MANTENIMIENTO DE MOTORES GASOLINA Y GAS</t>
  </si>
  <si>
    <t>MANTENIMIENTO DEL CONJUNTO TRANSMISOR DE POTENCIA CONTROL Y SEGURIDAD DE AUTOMOTORES</t>
  </si>
  <si>
    <t>MANTENIMIENTO LÍNEA DE AVIÓNES</t>
  </si>
  <si>
    <t>MANTENIMIENTO LINEA DE HELICOPTEROS</t>
  </si>
  <si>
    <t>MANTENIMIENTO DE SISTEMAS ELECTRICOS ELECTRONICOS E INSTRUMENTOS DE AERONAVES</t>
  </si>
  <si>
    <t>PRODUCCIÓN DE CALZADO</t>
  </si>
  <si>
    <t>PRODUCCION DE MARROQUINERIA</t>
  </si>
  <si>
    <t>CONFECCIÓN INDUSTRIAL</t>
  </si>
  <si>
    <t>DISEÑO PARA LA INDUSTRIA DE LA MODA</t>
  </si>
  <si>
    <t>MANEJO DE MAQUINAS DE CONFECCION INDUSTRIAL PARA ROPA EXTERIOR</t>
  </si>
  <si>
    <t>TOPOGRAFIA</t>
  </si>
  <si>
    <t>ALMACENISTA DE OBRAS DE CONSTRUCCIÓN</t>
  </si>
  <si>
    <t>INSTALACIONES HIDRÁULICAS SANITARIAS Y DE GAS</t>
  </si>
  <si>
    <t>TECNICAS DE DESARROLLO GRAFICO DE PROYECTOS DE ARQUITECTURA E INGENIERIA</t>
  </si>
  <si>
    <t>OPERACIÓN DE MAQUINARIA PESADA PARA EXCAVACIÓN</t>
  </si>
  <si>
    <t>LABORATORIO DE SUELOS</t>
  </si>
  <si>
    <t>OPERACIÓN DE SISTEMAS DE POTABILIZACIÓN DE AGUA</t>
  </si>
  <si>
    <t>GESTIÓN INTEGRADA DE  LA CALIDAD, MEDIO AMBIENTE, SEGURIDAD Y SALUD OCUPACIONAL</t>
  </si>
  <si>
    <t>ENTRENAMIENTO DEPORTIVO</t>
  </si>
  <si>
    <t>DISEÑO DE MOBILIARIO</t>
  </si>
  <si>
    <t>TAPIZADO DE MUEBLES</t>
  </si>
  <si>
    <t>ELABORACION DE MUEBLES CONTEMPORANEOS Y MODULARES</t>
  </si>
  <si>
    <t>ANÁLISIS Y DESARROLLO DE SISTEMAS DE INFORMACIÓN</t>
  </si>
  <si>
    <t>PRODUCCION AUDIO DIGITAL</t>
  </si>
  <si>
    <t>MANTENIMIENTO DE EQUIPOS DE COMPUTO, DISEÑO E INSTALACION DE CABLEADO ESTRUCTURADO</t>
  </si>
  <si>
    <t>GESTIÓN DE REDES DE DATOS</t>
  </si>
  <si>
    <t>AVIACION</t>
  </si>
  <si>
    <t>CALZADO Y MARROQUINERIA</t>
  </si>
  <si>
    <t>CONFECCIONES</t>
  </si>
  <si>
    <t>GESTIÓN</t>
  </si>
  <si>
    <t>MADERA Y MUEBLES</t>
  </si>
  <si>
    <t>DANIEL CABARCAS</t>
  </si>
  <si>
    <t>YONNI FONTALVO</t>
  </si>
  <si>
    <t>ANDERSON OLIVO</t>
  </si>
  <si>
    <t>NELSON COBA</t>
  </si>
  <si>
    <t>FABIAN BALLESTEROS</t>
  </si>
  <si>
    <t>FEDERICO OSPINO</t>
  </si>
  <si>
    <t>JORGE CAMPO</t>
  </si>
  <si>
    <t>MANUEL ALZAMORA</t>
  </si>
  <si>
    <t>ALEX BARRANCO</t>
  </si>
  <si>
    <t>RAMON JARAMILLO</t>
  </si>
  <si>
    <t>ALVARO ESTRADA</t>
  </si>
  <si>
    <t>WILLIAM PEREIRA</t>
  </si>
  <si>
    <t>EUGENIO REY</t>
  </si>
  <si>
    <t>JHON JIMENEZ</t>
  </si>
  <si>
    <t>RONALD GUTIERREZ</t>
  </si>
  <si>
    <t>JHONY DITTA LEMUS</t>
  </si>
  <si>
    <t>ARMANDO ACEVEDO</t>
  </si>
  <si>
    <t>CENIA CASTRO</t>
  </si>
  <si>
    <t>JUAN URIBE</t>
  </si>
  <si>
    <t>ELBERTO PERTUZ</t>
  </si>
  <si>
    <t>ALFREDO ALCOCER</t>
  </si>
  <si>
    <t>RUBIEL MUÑOZ</t>
  </si>
  <si>
    <t>ROBERTO RODRIGUEZ</t>
  </si>
  <si>
    <t>CARLOS FAJARDO</t>
  </si>
  <si>
    <t>YESID NEIRA</t>
  </si>
  <si>
    <t>LUCAS GUTIERREZ</t>
  </si>
  <si>
    <t>RAFAEL BARRAZA</t>
  </si>
  <si>
    <t>LEDYS PATIÑO</t>
  </si>
  <si>
    <t>JAIME VENDRIES</t>
  </si>
  <si>
    <t>LUIS ARIAS</t>
  </si>
  <si>
    <t>JESUS PEREZ</t>
  </si>
  <si>
    <t>BENJAMIN GARCIA</t>
  </si>
  <si>
    <t>JOSE NARVAEZ</t>
  </si>
  <si>
    <t>RICARDO CALIXTO</t>
  </si>
  <si>
    <t>JOSE COLONNA</t>
  </si>
  <si>
    <t>CATALINO SUAREZ</t>
  </si>
  <si>
    <t>ADAN BARRIOS</t>
  </si>
  <si>
    <t>OSVALDO CASTRO</t>
  </si>
  <si>
    <t>ALVARO SALAS</t>
  </si>
  <si>
    <t>MONICA BUCHARD</t>
  </si>
  <si>
    <t>RODOLFO NUÑEZ</t>
  </si>
  <si>
    <t>JOSE MARTINEZ/MONICA BUCHAR</t>
  </si>
  <si>
    <t>VERA DIAZ, JOSE MARTINEZ Y ERIKA VELAZQUE</t>
  </si>
  <si>
    <t>GUSTAVO CALDERON</t>
  </si>
  <si>
    <t>EUCLIDES DE LA CRUZ</t>
  </si>
  <si>
    <t>ELICEO RODRIGUEZ</t>
  </si>
  <si>
    <t>RAMIRO SANTIAGO, PAOLA PEDROZA</t>
  </si>
  <si>
    <t>PAOLA PEDROZA, SANTENDER OLIVERO</t>
  </si>
  <si>
    <t>NOHAMETH GONZALEZ</t>
  </si>
  <si>
    <t>DIURNA</t>
  </si>
  <si>
    <t>MADRUGADA</t>
  </si>
  <si>
    <t>MAÑANA</t>
  </si>
  <si>
    <t>TARDE</t>
  </si>
  <si>
    <t>NOCTURNA</t>
  </si>
  <si>
    <t>DIURNO</t>
  </si>
  <si>
    <t>NOCTURNO</t>
  </si>
  <si>
    <t>NOCHE</t>
  </si>
  <si>
    <t>FIN DE SEMANA</t>
  </si>
  <si>
    <t>EMPRESA</t>
  </si>
  <si>
    <t>INSTITUTO DISTRITAL DE FORMACION TECNICA DIVERSIFICADORA ALBERTO ASSA</t>
  </si>
  <si>
    <t>INEM INSTITUTO NACIONAL DE EDUCACION MEDIA</t>
  </si>
  <si>
    <t>INSTITUCION EDUCATIVA DISTRITAL INOCENCIO CHINCA</t>
  </si>
  <si>
    <t>INSTITUCION EDUCATIVA LA MILAGRIOSA FE Y ALEGRIA</t>
  </si>
  <si>
    <t>INSTITUCION EDUCATIVA DISTRITAL COMUNITARIA OCTAVIO PAZ</t>
  </si>
  <si>
    <t>INSTITUCION EDUCATIVA JESUS DE NAZARETH</t>
  </si>
  <si>
    <t>INSTITUTO EDUCATIVO POLITECNICO DE SOLEDAD</t>
  </si>
  <si>
    <t>FUNDACION SAN CARLOS BORROMEO</t>
  </si>
  <si>
    <t>INTITUCION EDUCATIVA MARIA AUXILIADORA</t>
  </si>
  <si>
    <t>JORNADA</t>
  </si>
  <si>
    <t>TIPO DE OFERTA</t>
  </si>
  <si>
    <t>NOMBRE TENTATIVO DEL INSTRUCTOR</t>
  </si>
  <si>
    <t>TALLER DE IMPRESIÓN</t>
  </si>
  <si>
    <t>CICOM</t>
  </si>
  <si>
    <t>M. ACABADOS</t>
  </si>
  <si>
    <t>M. ALMACEN</t>
  </si>
  <si>
    <t>M. ELECTRICIDAD</t>
  </si>
  <si>
    <t>M. FONTANERIA</t>
  </si>
  <si>
    <t>M. SEGURIDAD</t>
  </si>
  <si>
    <t>FABIAN STEVE BALLESTEROS DE LA CRUZ</t>
  </si>
  <si>
    <t>FEDERICO IVAN OSPINO ESTRADA</t>
  </si>
  <si>
    <t xml:space="preserve">JORGE  CAMPO SALCEDO  </t>
  </si>
  <si>
    <t>SERGIO ALFONSO MEJIA GIL</t>
  </si>
  <si>
    <t>ESTUDIO DE GRABACION</t>
  </si>
  <si>
    <t>AAAAAH9+98A=</t>
  </si>
  <si>
    <t>AAAAAH9+98E=</t>
  </si>
  <si>
    <t>AAAAAH9+98I=</t>
  </si>
  <si>
    <t>AAAAAH9+98M=</t>
  </si>
  <si>
    <t>AAAAAH9+98Q=</t>
  </si>
  <si>
    <t>AAAAAHb//QA=</t>
  </si>
  <si>
    <t>AAAAAHb//QE=</t>
  </si>
  <si>
    <t>GASOLINA Y GAS</t>
  </si>
  <si>
    <t>HIDRAULICA</t>
  </si>
  <si>
    <t>MECANICA DE PATIO</t>
  </si>
  <si>
    <t>TALLER DE MOTOS</t>
  </si>
  <si>
    <t>AAAAAGbrc3s=</t>
  </si>
  <si>
    <t>AAAAAGbrc3w=</t>
  </si>
  <si>
    <t>WILLIAN PEREIRA ACUÑA</t>
  </si>
  <si>
    <t>AAAAAFu2fok=</t>
  </si>
  <si>
    <t>AAAAAFu2foo=</t>
  </si>
  <si>
    <t>ALEXANDER MERCADO RAMIREZ</t>
  </si>
  <si>
    <t>ALCIDES DAVID  MONTALVO PATERNINA</t>
  </si>
  <si>
    <t>EUNICE YOHANA TRUJILLO FONTALVO</t>
  </si>
  <si>
    <t>JOIVER DAVID CARRILLO ARAUJO</t>
  </si>
  <si>
    <t>YAMIL ENRIQUE CASTRO FONTALVO</t>
  </si>
  <si>
    <t>LIONEL ESPITIA ARRIETA</t>
  </si>
  <si>
    <t>AAAAAH//7qM=</t>
  </si>
  <si>
    <t>AAAAAH//7qQ=</t>
  </si>
  <si>
    <t>AMBIENTE DE DISEÑO</t>
  </si>
  <si>
    <t>PATRONAJE 1</t>
  </si>
  <si>
    <t>AULA 302</t>
  </si>
  <si>
    <t>AULA 301</t>
  </si>
  <si>
    <t>AAAAAB+3/uE=</t>
  </si>
  <si>
    <t>AAAAAB+3/uI=</t>
  </si>
  <si>
    <t xml:space="preserve">YESID ALBERTO NEIRA GARCÍA </t>
  </si>
  <si>
    <t>LORENA DEL CARMEN LEON PUERTA</t>
  </si>
  <si>
    <t>VILLA ROSA</t>
  </si>
  <si>
    <t>AAAAAH16Xws=</t>
  </si>
  <si>
    <t>AAAAAH16Xww=</t>
  </si>
  <si>
    <t>AAAAAG+wXwA=</t>
  </si>
  <si>
    <t>AAAAAG+wXwE=</t>
  </si>
  <si>
    <t>PROGRAMACION DE SOFTWARE</t>
  </si>
  <si>
    <t>MARIA JOSE LEMUS MARTINEZ</t>
  </si>
  <si>
    <t>AMBIENTE SISTEMAS 1</t>
  </si>
  <si>
    <t>AMBIENTE SISTEMAS 2</t>
  </si>
  <si>
    <t>JEAN CARLOS PATIÑO RUIZ</t>
  </si>
  <si>
    <t>NOHAMETH ENRIQUE GONZALEZ RODRIGUEZ</t>
  </si>
  <si>
    <t>JORGE LUIS GUTIERREZ ARRIETA</t>
  </si>
  <si>
    <t>AAAAAH+57zQ=</t>
  </si>
  <si>
    <t>AAAAAH+57zU=</t>
  </si>
  <si>
    <t>JOSE NICOLAS  HERNANDEZ LOPEZ</t>
  </si>
  <si>
    <t>HENRRY JOSE CARDENAS MANOSALVA</t>
  </si>
  <si>
    <t>AAAAAB/rew8=</t>
  </si>
  <si>
    <t>AAAAAB/rexA=</t>
  </si>
  <si>
    <t>JOVENES RURALES</t>
  </si>
  <si>
    <t>NOHORA ESTEFANEL</t>
  </si>
  <si>
    <t>ALVARO LEONES</t>
  </si>
  <si>
    <t>ALEJANDRO JIMENEZ</t>
  </si>
  <si>
    <t>JOSE LUIS CAÑON</t>
  </si>
  <si>
    <t>LUIS CASTRO</t>
  </si>
  <si>
    <t>LUIS CALET VILLEGAS</t>
  </si>
  <si>
    <t>LEANDRO JIMENEZ</t>
  </si>
  <si>
    <t>STIVENSON GARCIA</t>
  </si>
  <si>
    <t>MARCOS MOLINA</t>
  </si>
  <si>
    <t>EMPRENDEDORES EN PRODUCCIÓN DE AUDIO DIGITAL</t>
  </si>
  <si>
    <t>EMPRENDEDORES EN DISEÑO Y CONFECCIÒN DE PRENDAS DE VESTIR</t>
  </si>
  <si>
    <t>EMPRENDEDORES EN CONSTRUCCIÓN Y FABRICACION DE BLOQUES Y ADOQUINES</t>
  </si>
  <si>
    <t>EMPRENDEDORES EN MANTENIMIENTO INTEGRAL DE EDIFICACIONES</t>
  </si>
  <si>
    <t>EMPRENDEDORES EN MANTENIMIENTO DE COMPUTADORES Y REDES</t>
  </si>
  <si>
    <t>EMPRENDEDORES RESULTADO DE APRENDIZAJE COMERCIALIZACION</t>
  </si>
  <si>
    <t>CARLOS JAVIER  MONSERRAT CERVERA</t>
  </si>
  <si>
    <t>LUIS JOSE FARAK VEGA</t>
  </si>
  <si>
    <t>ROBERTO MARQUEZ MARQUEZ</t>
  </si>
  <si>
    <t>WILMAN JOSE  RODRIGUEZ VILLAFAÑE</t>
  </si>
  <si>
    <t>MARIANO JOSE UCROS ROMERO</t>
  </si>
  <si>
    <t>Electricidad</t>
  </si>
  <si>
    <t>Transporte</t>
  </si>
  <si>
    <t>Maquinaria Pesada</t>
  </si>
  <si>
    <t>LUCIANA YOMAIRA PERTUZ ALTAMIRANDA</t>
  </si>
  <si>
    <t>MADERA</t>
  </si>
  <si>
    <t>MONICA MARIA BUCHARD DE LA HOZ</t>
  </si>
  <si>
    <t>EDGARDO FRANCISCO  VILLAZON GUTIERREZ</t>
  </si>
  <si>
    <t>COORDINACION GESTION</t>
  </si>
  <si>
    <t>LIDERAR PROCESO DE CERTIFICACION</t>
  </si>
  <si>
    <t>ELSA GOMEZ</t>
  </si>
  <si>
    <t>YOAO ENRIQUE  SALAZAR DE LA CRUZ</t>
  </si>
  <si>
    <t xml:space="preserve"> Sobrevivientes minas antipersonales</t>
  </si>
  <si>
    <t>AFROCOLOMBIANOS</t>
  </si>
  <si>
    <t>CURSO COMPLEMENTARIO</t>
  </si>
  <si>
    <t>COMPETENCIAS LABORALES</t>
  </si>
  <si>
    <t>PROYECTO VILLA ROSA</t>
  </si>
  <si>
    <t>APOYO AL CENTRO</t>
  </si>
  <si>
    <t>DISEÑO DE MODAS</t>
  </si>
  <si>
    <t>CELDAS DE PRODUCCION</t>
  </si>
  <si>
    <t>AAAAAD93+8s=</t>
  </si>
  <si>
    <t>AAAAAD93+8w=</t>
  </si>
  <si>
    <t>AAAAAD93+80=</t>
  </si>
  <si>
    <t>CONTRATISTA NUEVO BASICO, INTERMEDIO Y AVANZADO DE TRABAJO SEGURO EN ALTURAS</t>
  </si>
  <si>
    <t>BASICO TRABAJO SEGURO EN ALTURAS</t>
  </si>
  <si>
    <t>ANALISIS DE MUESTRAS QUIMICAS</t>
  </si>
  <si>
    <t>CONTRATISTA CONFECCION Y PATRONAJE</t>
  </si>
  <si>
    <t>CURSOS DE PRODUCCION</t>
  </si>
  <si>
    <t>CONVENIO IDEAM</t>
  </si>
  <si>
    <t>PROYECTOS</t>
  </si>
  <si>
    <t>INDIGENA</t>
  </si>
  <si>
    <t xml:space="preserve">CARLOS ALBERTO  FAJARDO MOVILLA </t>
  </si>
  <si>
    <t>CARLOS ALFREDO  ERAZO SOLANO</t>
  </si>
  <si>
    <t>FAIZY  HEMER AMAYA</t>
  </si>
  <si>
    <t>KAREN IVETH   GARAY DE LA HOZ</t>
  </si>
  <si>
    <t>KATERINE SHIRLEY  ROSEMBERG SERGE</t>
  </si>
  <si>
    <t>LUIS CARLOS  ARIAS BUTRON</t>
  </si>
  <si>
    <t>MILAGRO  FREND BARBOSA</t>
  </si>
  <si>
    <t>NOHORA ISABEL  PUENTES LOPEZ</t>
  </si>
  <si>
    <t>ORLANDO   ARRIETA BARRIOS</t>
  </si>
  <si>
    <t>RODOLFO  RODRIGUEZ RODRIGUEZ</t>
  </si>
  <si>
    <t>PROGRAMACION</t>
  </si>
  <si>
    <t>OBSERVACION</t>
  </si>
  <si>
    <t>PLAN INICIAL</t>
  </si>
  <si>
    <t>GLORIA ESPERANZA LEON ARISTIZABAL  METROLOGIA AERONAUTICA</t>
  </si>
  <si>
    <t>AAAAAF+q/Ws=</t>
  </si>
  <si>
    <t>AAAAAF+q/Ww=</t>
  </si>
  <si>
    <t>CALENDARIO ACADÉMICO 2014</t>
  </si>
  <si>
    <t>CAMAROGRAFÍA</t>
  </si>
  <si>
    <t>GESTIÓN DE LA PRODUCCIÓN GRÁFICA</t>
  </si>
  <si>
    <t>ENCUADERNACIÓN DE DOCUMENTOS IMPRESOS</t>
  </si>
  <si>
    <t>GESTIÓN BIBLIOTECARIA</t>
  </si>
  <si>
    <t>DISEÑO DE VIDEOJUEGOS</t>
  </si>
  <si>
    <t>OPERACIÓN DE EQUIPOS DE SERVICIO INTERMUNICIPAL DE PASAJEROS</t>
  </si>
  <si>
    <t>MANTENIMIENTO MECATRÓNICO DE AUTOMOTORES</t>
  </si>
  <si>
    <t>PRESTACIÓN DE SERVICIO AL CLIENTE EN EMPRESAS AEREAS COMERCIALES</t>
  </si>
  <si>
    <t>METEOROLOGIA AERONAUTICA BASICA - I</t>
  </si>
  <si>
    <t>DISEÑO DE CALZADO Y MARROQUINERIA</t>
  </si>
  <si>
    <t xml:space="preserve"> PATRONAJE INDUSTRIAL DE PRENDAS DE VESTIR</t>
  </si>
  <si>
    <t>MANTENIMIENTO DE MAQUINAS DE CONFECCION INDUSTRIAL</t>
  </si>
  <si>
    <t>CONSTRUCCIÓN</t>
  </si>
  <si>
    <t>INSTALACIÓN DE REDES DE ABASTO Y DE DESAGÜES EN EDIFICACIONES RESIDENCIALES Y COMERCIALES</t>
  </si>
  <si>
    <t>CONSTRUCCIÓN DE EDIFICACIONES</t>
  </si>
  <si>
    <t>OBRAS CIVILES</t>
  </si>
  <si>
    <t>DECORACIÓN DE ESPACIOS INTERIORES</t>
  </si>
  <si>
    <t>SEGURIDAD OCUPACIONAL</t>
  </si>
  <si>
    <t>APLICACIÓN DE METODOLOGÍAS EN LOS PROCESOS CATASTRALES</t>
  </si>
  <si>
    <t>GESTION EN SISTEMAS DE MANEJO AMBIENTAL</t>
  </si>
  <si>
    <t>EJECUCION MUSICAL CON INSTRUMENTOS FUNCIONALES</t>
  </si>
  <si>
    <t>APLICACIÓN DE RECUBRIMIENTOS CON PINTURA</t>
  </si>
  <si>
    <t>PROCESOS PRODUCTIVOS DE LA MADERA</t>
  </si>
  <si>
    <t>TRABAJADOR DE LA MADERA</t>
  </si>
  <si>
    <t>MANTENIMIENTO DE EQUIPOS DE COMPUTO</t>
  </si>
  <si>
    <t>CONTRATISTA NUEVO DISEÑO PARA LA COMUNICACION GRAFICA</t>
  </si>
  <si>
    <t>VICTOR DE LIMA</t>
  </si>
  <si>
    <t>ALCIDES OSORIO</t>
  </si>
  <si>
    <t>ANDERSSON OLIVO</t>
  </si>
  <si>
    <t>EDELBERTO MOLINA</t>
  </si>
  <si>
    <t>ORLANDO ARRIETA</t>
  </si>
  <si>
    <t>EDILBERTO MOLINA</t>
  </si>
  <si>
    <t>RAFAAEL OLACIREGUI</t>
  </si>
  <si>
    <t>HEBERT CASTRO BARRETO</t>
  </si>
  <si>
    <t>POR CONTRATAR</t>
  </si>
  <si>
    <t>ALEXANDER MERCADO-ALICIA NAVARRO-</t>
  </si>
  <si>
    <t>ALEXANDER MERCADO ARMANDO</t>
  </si>
  <si>
    <t>CATALINA LOPEZ, SOVEIDA SANTOS</t>
  </si>
  <si>
    <t>DANIS MONTAÑA</t>
  </si>
  <si>
    <t>CONTRATISTA PATRONISTA, YOVELIS ROMERO</t>
  </si>
  <si>
    <t>CENIA CASTRO, ENITH MENCO, VERA DIAZ</t>
  </si>
  <si>
    <t>CONTRATISTA DISEÑO 70 MIL</t>
  </si>
  <si>
    <t>IRINA ROQOUET</t>
  </si>
  <si>
    <t>YOVELIS</t>
  </si>
  <si>
    <t>CARLOS  MURCIA</t>
  </si>
  <si>
    <t>VIOLETH HANI</t>
  </si>
  <si>
    <t>LUCAS GUTIERREZ, HUMBERTO VARELA, DANIEL CARBONEL,CARLOS FAJARDO, RAFAEL BARRAZA, LORENA LEON, JUAN BERDUGO, RICARDO MEJIA</t>
  </si>
  <si>
    <t>CRISTIAN LLERENA</t>
  </si>
  <si>
    <t>JANSEL</t>
  </si>
  <si>
    <t>CONTRATISTA NUEVO CONSTRUCCION 70 MIL</t>
  </si>
  <si>
    <t>CONTRATISTA NUEVO 1 PROYECTOS DE ARQUITECTURA E INGENIERIA 70 MIL</t>
  </si>
  <si>
    <t>CONTRATISTA NUEVO 2 PROYECTOS DE ARQUITECTURA E INGENIERIA 70 MIL</t>
  </si>
  <si>
    <t>CONTRATISTA NUEVO 1 OBRAS CIVILES Y TOPOGRAFIA 70 MIL</t>
  </si>
  <si>
    <t>CONTRATISTA NUEVO 3 OBRAS CIVILES Y TOPOGRAFIA 70 MIL</t>
  </si>
  <si>
    <t>CONTRATISTA NUEVO 2 OBRAS CIVILES Y TOPOGRAFIA 70 MIL</t>
  </si>
  <si>
    <t>JANSEL RUEDA</t>
  </si>
  <si>
    <t>JAINNE AREVALO</t>
  </si>
  <si>
    <t>DANIEL CARBONEL</t>
  </si>
  <si>
    <t>HUMBERTO VARELA</t>
  </si>
  <si>
    <t>RICARDO MEJIA</t>
  </si>
  <si>
    <t>JUAN BERDUGO</t>
  </si>
  <si>
    <t>LORENA LEON</t>
  </si>
  <si>
    <t>JOSE MARTINEZ Y ERIKA VELAZQUE</t>
  </si>
  <si>
    <t>CONTRATISTA NUEVO 1 ENTRENAMIENTO DEPORTIVO 70 MIL</t>
  </si>
  <si>
    <t>ERIKA VELAZQUEZ</t>
  </si>
  <si>
    <t>VERA DIAZ, JOSE MARTINEZ, NANCY FABREGAS, CONTRATISTA NUEVO</t>
  </si>
  <si>
    <t>VERA DIAZ, ANGELICA RAMOS, CONTRATISTA NUEVO</t>
  </si>
  <si>
    <t>CONTRATISTA NUEVO 2 ENTRENAMIENTO DEPORTIVO 70 MIL</t>
  </si>
  <si>
    <t>CONTRATISTA NUEVO 1 SALUD OCUPACIONAL 70 MIL</t>
  </si>
  <si>
    <t>CONTRATISTA NUEVO 2 SALUD OCUPACIONAL 70 MIL</t>
  </si>
  <si>
    <t>ROSIRIS DE LA TORRE-ALBEIRO</t>
  </si>
  <si>
    <t>VERA DIAZ Y ROSIRIS DE LA TORRE</t>
  </si>
  <si>
    <t>CONTRATISTA NUEVO DISEÑO DE MOBILIARIO 1</t>
  </si>
  <si>
    <t>GEOVANI ORTIZ</t>
  </si>
  <si>
    <t>LUIS JARAMILLO</t>
  </si>
  <si>
    <t>RODOLFO PEREZ</t>
  </si>
  <si>
    <t>ROLANDO PEREZ</t>
  </si>
  <si>
    <t>JORGE GUTIERREZ</t>
  </si>
  <si>
    <t>BELEMIR</t>
  </si>
  <si>
    <t>AURA OJEDA</t>
  </si>
  <si>
    <t>HEINER CABARCAS</t>
  </si>
  <si>
    <t>BORIS VELILLA, PAOLA PEDROZA, FREDDY ACOSTA</t>
  </si>
  <si>
    <t xml:space="preserve"> KATHERIN BLANCO, DAVID OCHOA</t>
  </si>
  <si>
    <t>KATHERIN BLANCO, RAMIRO SANTIAGO</t>
  </si>
  <si>
    <t>JEAN CARLOS, RAMIRO SANTIAGO</t>
  </si>
  <si>
    <t>DAVID OCHOA , JHONNY DE LA ROSA</t>
  </si>
  <si>
    <t>KATHERIN BLANCO, CONTRATISTA NUEVO ADSI 1</t>
  </si>
  <si>
    <t>CONTRATISTA NUEVO ADSI 1</t>
  </si>
  <si>
    <t>CONTRATISTA NUEVO ADSI 2</t>
  </si>
  <si>
    <t>DAVID OCHOA , JHONNY DE LA ROSA NVO</t>
  </si>
  <si>
    <t xml:space="preserve"> KATHERIN BLANCO, DAVID OCHOA,NVO</t>
  </si>
  <si>
    <t>KATHERIN BLANCO, RAMIRO SANTIAGO NVO</t>
  </si>
  <si>
    <t>24 HORAS</t>
  </si>
  <si>
    <t>NOTURNO</t>
  </si>
  <si>
    <t>EMPRESA LIGA TAEKWONDO</t>
  </si>
  <si>
    <t>CERRADA JOVENES EN ACCION</t>
  </si>
  <si>
    <t>FITNESS COMPANY</t>
  </si>
  <si>
    <t>AFISA</t>
  </si>
  <si>
    <t>PTO COLOMBIA</t>
  </si>
  <si>
    <t>interempresarial</t>
  </si>
  <si>
    <t>municipio</t>
  </si>
  <si>
    <t>ESCUELA DE PADRES-COONORTIN</t>
  </si>
  <si>
    <t>MULTIMEDIA 2</t>
  </si>
  <si>
    <t>MULTIMEDIA</t>
  </si>
  <si>
    <t>TARDE 1 A 6 PM</t>
  </si>
  <si>
    <t>MAÑANA 7 A 12 M</t>
  </si>
  <si>
    <t>NOCTURNA 6 A 9 PM</t>
  </si>
  <si>
    <t>LAB. PRODUCCION DE AUDIO</t>
  </si>
  <si>
    <t>JULIETH MORENO</t>
  </si>
  <si>
    <t>TARDE 1 A 6 PM Y 1 HORA VIRTUAL</t>
  </si>
  <si>
    <t>MAÑANA 7 A 12 M Y 1 HORA VIRTUAL</t>
  </si>
  <si>
    <t>NOCTURNA 6 A 9 PM Y 1 HORA VIRTUAL</t>
  </si>
  <si>
    <t>24 HORAS 9PM A 5AM Y UN DIA VIRTUAL</t>
  </si>
  <si>
    <t>JORGE LUQUE</t>
  </si>
  <si>
    <t>NOCTURNA 6 A 9 PM, SABADOS DE 1 A 6PM  Y 1 HORA VIRTUAL</t>
  </si>
  <si>
    <t>MIGUEL PAREDES MAESTRE</t>
  </si>
  <si>
    <t>CARLOS GASCA MARQUEZ</t>
  </si>
  <si>
    <t>24 HORAS 9PM A 5AM Y MEDIO DIA VIRTUAL</t>
  </si>
  <si>
    <t xml:space="preserve">JOSE LUIS CARPIO </t>
  </si>
  <si>
    <t>AMBIENTE DE SISTEMAS MADERA</t>
  </si>
  <si>
    <t>TALLER DE ENCUADERNACION</t>
  </si>
  <si>
    <t>TECNICA</t>
  </si>
  <si>
    <t>COSTO Y PRESUPUSTO</t>
  </si>
  <si>
    <t>INORMATICA</t>
  </si>
  <si>
    <t>ELIO FONTANILLA</t>
  </si>
  <si>
    <t>POR DEFINIR</t>
  </si>
  <si>
    <t>ADALUS ROMERO</t>
  </si>
  <si>
    <t>AUTOTRONICA</t>
  </si>
  <si>
    <t>TALLER ELECTRICIDAD</t>
  </si>
  <si>
    <t>TALLER DE ELECTRICIDAD AUTOMOTRIZ</t>
  </si>
  <si>
    <t>3, 2 Y 2</t>
  </si>
  <si>
    <t>2 Y 3</t>
  </si>
  <si>
    <t>TALLER DE DIESEL</t>
  </si>
  <si>
    <t>AREA DE SOCIALIZACION DE AUTOMOTRIZ</t>
  </si>
  <si>
    <t>2 Y 1</t>
  </si>
  <si>
    <t>3 Y 3</t>
  </si>
  <si>
    <t>SEGURIDAD PASIVA</t>
  </si>
  <si>
    <t>CORREGIR FALLAS DEL SISTEMA ELÉCTRICO Y ELECTRÓNICO</t>
  </si>
  <si>
    <t xml:space="preserve">PREVENIR FALLAS DE VEHÍCULOS </t>
  </si>
  <si>
    <t>N.A.</t>
  </si>
  <si>
    <t>COSTURA</t>
  </si>
  <si>
    <t>CORTE</t>
  </si>
  <si>
    <t>3 y 2</t>
  </si>
  <si>
    <t>3, 3 y 2</t>
  </si>
  <si>
    <t>2, 2 y 3</t>
  </si>
  <si>
    <t>ENERO-DICIEMBRE DE 2014</t>
  </si>
  <si>
    <t>ENERO - DICIEMBRE DE 2014</t>
  </si>
  <si>
    <t>LINDA GARCIA</t>
  </si>
  <si>
    <t>MAÑANA 8 A 11 M Y 1 HORA VIRTUAL</t>
  </si>
  <si>
    <t>TARDE 3 A 5 M Y 1 HORA VIRTUAL</t>
  </si>
  <si>
    <t>TALLER DE EBANISTERIA</t>
  </si>
  <si>
    <t>TALLER DE PATRONAJE</t>
  </si>
  <si>
    <t>TALLER DE DISEÑO</t>
  </si>
  <si>
    <t>AREA DE SOCIALIZACION DE MADERA</t>
  </si>
  <si>
    <t>IGNACIO SOTO</t>
  </si>
  <si>
    <t>AREA DE SOCIALIZACION CONFECCIONES</t>
  </si>
  <si>
    <t>3, 3, 3 y 4</t>
  </si>
  <si>
    <t>3, 2 y 1</t>
  </si>
  <si>
    <t>TALLER DE CORTE CONFECCIONES</t>
  </si>
  <si>
    <t>MARTHA CECILIA GARCIA</t>
  </si>
  <si>
    <t>TALLER DE MANTENIMIENTO DE MAQUINAS</t>
  </si>
  <si>
    <t>TALLER DE CONFECCIONES 2</t>
  </si>
  <si>
    <t>JUAN CARLOS LEON</t>
  </si>
  <si>
    <t>ALFREDO SARMIENTO</t>
  </si>
  <si>
    <t xml:space="preserve">WENDY BARRIOS </t>
  </si>
  <si>
    <t>JOAQUIN CABEZA</t>
  </si>
  <si>
    <t xml:space="preserve">CENAIDA COOL </t>
  </si>
  <si>
    <t xml:space="preserve">CLAUDIA RIVERA </t>
  </si>
  <si>
    <t xml:space="preserve">LORENA GOMEZ </t>
  </si>
  <si>
    <t xml:space="preserve">CINDY VERGARA </t>
  </si>
  <si>
    <t>JUAN REYES</t>
  </si>
  <si>
    <t xml:space="preserve">JEARLENA PEÑA </t>
  </si>
  <si>
    <t xml:space="preserve">KATHERIN MESA </t>
  </si>
  <si>
    <t>YICCEEXX  ESTEIEELOOXX</t>
  </si>
  <si>
    <t>PROGRAMA ACADEMICO</t>
  </si>
  <si>
    <t>GESTION</t>
  </si>
  <si>
    <t>ARTICULACION</t>
  </si>
  <si>
    <t>EVALUADOR</t>
  </si>
  <si>
    <t>ROSIRIS DE LA TORRE</t>
  </si>
  <si>
    <t>SEGUIMIENTO</t>
  </si>
  <si>
    <t>DISEÑO CURICULAR</t>
  </si>
  <si>
    <t>TALLER TRAZO Y CORTE</t>
  </si>
  <si>
    <t>TALLRE MANTENIMIENTO DE MAQUINAS DE CONFECCION</t>
  </si>
  <si>
    <t>SANTA LUCIA</t>
  </si>
  <si>
    <t>MANATI</t>
  </si>
  <si>
    <t>GALAPA</t>
  </si>
  <si>
    <t>CAMPO DE LA CRUZ</t>
  </si>
  <si>
    <t>AREA DE SOCIALIZACION CONSTRUCCION</t>
  </si>
  <si>
    <t>M. MANPOSTERIA Y ESTRUCTURA</t>
  </si>
  <si>
    <t>LAB. SUELOS</t>
  </si>
  <si>
    <t>JAINNE AREVALO GARCIA</t>
  </si>
  <si>
    <t>CAMILO PEREZ MARTINEZ</t>
  </si>
  <si>
    <t xml:space="preserve">VICTOR NARAIREA M. </t>
  </si>
  <si>
    <t>VICTOR OROZCO CAICEDO</t>
  </si>
  <si>
    <t xml:space="preserve">ALCIDES GONZALEZ ARIAS </t>
  </si>
  <si>
    <t>ORLANDO JESUS PEREZ PATIÑO</t>
  </si>
  <si>
    <t xml:space="preserve">JUAN CARLOS HOYOS </t>
  </si>
  <si>
    <t>JANSEN RUEDA</t>
  </si>
  <si>
    <t xml:space="preserve">RAFAEL GOMEZ </t>
  </si>
  <si>
    <t xml:space="preserve">JESUS MANOTAS </t>
  </si>
  <si>
    <t>ENRIQUE CARRANZA</t>
  </si>
  <si>
    <t>LACIDES SILVERA</t>
  </si>
  <si>
    <t>LISETH CUELLO</t>
  </si>
  <si>
    <t>WILSON DAVID ESCALANTE</t>
  </si>
  <si>
    <t>GIOVANI PABON</t>
  </si>
  <si>
    <t>ADALBERTO CESAR CHARRIS CARO</t>
  </si>
  <si>
    <t>IDANIS NAVARRO</t>
  </si>
  <si>
    <t>SANDRA SIERRA</t>
  </si>
  <si>
    <t>SANTA LUCIA (ALCALDIA)</t>
  </si>
  <si>
    <t>MANATI (ALCALDIA)</t>
  </si>
  <si>
    <t>GALAPA (ALCALDIA)</t>
  </si>
  <si>
    <t>BARANOA (ALCALDIA)</t>
  </si>
  <si>
    <t>MALAMBO (ALCALDIA)</t>
  </si>
  <si>
    <t>SANTO TOMAS (ALCALDIA)</t>
  </si>
  <si>
    <t>PIOJO (ALCALDIA)</t>
  </si>
  <si>
    <t>SABANALARGA (ALCALDIA)</t>
  </si>
  <si>
    <t>REPELON (ALCALDIA)</t>
  </si>
  <si>
    <t>LURUACO (ALCALDIA)</t>
  </si>
  <si>
    <t>JUAN DE ACOSTA (ALCALDIA)</t>
  </si>
  <si>
    <t>CAMPO DE LA CRUZ (ALCALDIA)</t>
  </si>
  <si>
    <t>AREA DE SOCIALIZACION DE CONSTRUCCION</t>
  </si>
  <si>
    <t>4 Y 1</t>
  </si>
  <si>
    <t>1 Y 4</t>
  </si>
  <si>
    <t>AMBIENTE DE SISTEMAS 1</t>
  </si>
  <si>
    <t>AMBIENTE DE SISTEMAS 2</t>
  </si>
  <si>
    <t>CONORTIN</t>
  </si>
  <si>
    <t>PUERTO COLOMBIA</t>
  </si>
  <si>
    <t>KATHERIN BLANCO</t>
  </si>
  <si>
    <t>LIBARDO GOMEZ</t>
  </si>
  <si>
    <t>ALDO ROJAS</t>
  </si>
  <si>
    <t>JOSE FILOMENO</t>
  </si>
  <si>
    <t>3 Y 4</t>
  </si>
  <si>
    <t>CONTRATISTA NUEVO EJECUCION MUSICAL</t>
  </si>
  <si>
    <t>MIRIAN OSORIO GARIZABAL</t>
  </si>
  <si>
    <t>HECTOR PERTUZ</t>
  </si>
  <si>
    <t>DIOVANNY STUGGER</t>
  </si>
  <si>
    <t>COMBARRANQUILLA</t>
  </si>
  <si>
    <t>ALBEIRO ERAZO</t>
  </si>
  <si>
    <t>AMBIENTE SALUD OCUPACIONAL</t>
  </si>
  <si>
    <t>HORARIO 100 MIL SEGUIMIENTO DIANA ELISA TORREZ FERNANDEZ</t>
  </si>
  <si>
    <t>HORARIO 100 MIL SEGUIMIENTO BELKIS DEL ROSARIO QUIROZ NEIRA</t>
  </si>
  <si>
    <t>HORARIO 100 MIL SEGUIMIENTO GINNY ZAMORA</t>
  </si>
  <si>
    <t>HORARIO ENFERMERA 100 MIL ESO KATHERIN MENESES</t>
  </si>
  <si>
    <t>HORARIO ING 1-100 MIL ESOSANDRA ZAMIRA GERES</t>
  </si>
  <si>
    <t>HORARIO ING 2-100 MIL ESO KATHLEEN QUINTERO</t>
  </si>
  <si>
    <t>HORARIO MEDICO 100 MIL GABRIEL CARRILLO</t>
  </si>
  <si>
    <t>EMPRENDEDOR EN CONSTRUCCCION DE ACOMETIDAS E INSTALACION DE EQUIPOS DE MEDIDA DE ENERGIA ELECTRICA EN BAJA TENSION REQUERIDAS PARA EL USO DE INSTALACIONES RESIDENCIALES Y COMERCIALES</t>
  </si>
  <si>
    <t>EMPRENDEDOR EN MANTENIMIENTO Y/O REPARACIONES DE LOS SISTEMAS ELÉCTRICOS Y/O MECÁNICOS DE AUTOMÓVILES A GASOLINA</t>
  </si>
  <si>
    <t>EMPRENDEDOR EN CORTE Y CONFECCION DE LENCERIA HOGAREÑA</t>
  </si>
  <si>
    <t>EMPRENDEDOR EN DISEÑO DE ROPA INTERIOR</t>
  </si>
  <si>
    <t>EMPRENDEDOR EN SERVICIOS INSTALACIONES HIDROSANITARIAS EN VIVIENDAS RURALES</t>
  </si>
  <si>
    <t>EMPRENDEDORES EN DISEÑO, FABRICACION, RESTAURACION Y COMERCIALIZACION DE PRODUCTOS EN MADERA EN LINEA HOGAR, SEGÚN ESPECIFICAICON DEL CLIENTE.</t>
  </si>
  <si>
    <t>FUNDAMENTOS PARA LA POTABILIZACION DEL AGUA</t>
  </si>
  <si>
    <t>EMPRENDEDOR EN PROCESAMIENTO DE PRODUCTOS DE ASEO DE USO DOMESTICO E HIGIENE PERSONAL.</t>
  </si>
  <si>
    <t>EMPRENDEDOR EN PEQUEÑA Y MEDIANA MARROQUINERIA.</t>
  </si>
  <si>
    <t>EMPRENDEDORES EN REPARACION Y MANTENIMIENTO DE MOTOS</t>
  </si>
  <si>
    <t>MUNICIPIO</t>
  </si>
  <si>
    <t>CONTRATISTA EMPRENDEDOR EN PROCESAMIENTO DE PRODUCTOS DE ASEO DE USO DOMESTICO E HIGIENE PERSONAL.</t>
  </si>
  <si>
    <t>CONTRATISTA EMPRENDEDORES EN REPARACION Y MANTENIMIENTO DE MOTOS</t>
  </si>
  <si>
    <t>CONTRATISTA EMPRENDEDOR EN PEQUEÑA Y MEDIANA MARROQUINERIA.</t>
  </si>
  <si>
    <t>CONTRATISTA EMPRENDEDOR EN FUNDAMENTOS PARA LA POTABILIZACION DEL AGUA</t>
  </si>
  <si>
    <t>MAURICIO NICOLAS</t>
  </si>
  <si>
    <t>JACQUELINE ESTHER</t>
  </si>
  <si>
    <t>DIBIER ALBERTO</t>
  </si>
  <si>
    <t>GERARDO PALOMINO</t>
  </si>
  <si>
    <t xml:space="preserve">KATIUSCA VANEGAS </t>
  </si>
  <si>
    <t>LUCY ELENA GOMEZ</t>
  </si>
  <si>
    <t>MANUEL IGNACIO SOLORZANO</t>
  </si>
  <si>
    <t>RUBEN DARIO YANCE</t>
  </si>
  <si>
    <t>ALFONSO OLANO ETICA 5 - 100 MIL</t>
  </si>
  <si>
    <t>DORIS JULIAO</t>
  </si>
  <si>
    <t>GEOVANNA PAREJO  ETICA 2 - 100 MIL</t>
  </si>
  <si>
    <t>GLORIA MARTINEZ  ETICA 3 - 100 MIL</t>
  </si>
  <si>
    <t>LILIANA OBREDOR ETICA 4 - 100 MIL</t>
  </si>
  <si>
    <t>MARTHA ROSA GARCIA  ETICA 1 - 100 MIL</t>
  </si>
  <si>
    <t>Cesar Yepes Instructor</t>
  </si>
  <si>
    <t>META CUPOS 2013 Vs 2014</t>
  </si>
  <si>
    <t>META APRENDICES 2013 Vs 2014</t>
  </si>
  <si>
    <t>DETALLES</t>
  </si>
  <si>
    <t>CUPOS 2013</t>
  </si>
  <si>
    <t>CUPOS 2014</t>
  </si>
  <si>
    <t>DIFERENCIA 2013 Vs 2014</t>
  </si>
  <si>
    <t>APRENDICES 2013</t>
  </si>
  <si>
    <t>APRENDICES 2014</t>
  </si>
  <si>
    <t>EDUCACIÓN SUPERIOR</t>
  </si>
  <si>
    <t>ESPECIALIZACION TECNOLOGICA</t>
  </si>
  <si>
    <t>ESPECIALIZACIÓN TÉCNICA</t>
  </si>
  <si>
    <t>TECNÓLOGO JOVENES EN ACCION</t>
  </si>
  <si>
    <t>TECNÓLOGO</t>
  </si>
  <si>
    <t>TECNÓLOGO VIRTUAL</t>
  </si>
  <si>
    <t>TÉCNICO PROFESIONAL</t>
  </si>
  <si>
    <t>TOTAL EDUCACION SUPERIOR</t>
  </si>
  <si>
    <t>TECNICO LABORAL Y OTROS</t>
  </si>
  <si>
    <t>PROFUNDIZACION TECNICA</t>
  </si>
  <si>
    <t>JOVENES EN ACCION</t>
  </si>
  <si>
    <t>OTROS (*)</t>
  </si>
  <si>
    <t>TOTAL TECNICA LABORAL Y OTROS</t>
  </si>
  <si>
    <t>TOTAL FORMACION TITULADA</t>
  </si>
  <si>
    <t>COMPLEMENTARIA</t>
  </si>
  <si>
    <t>POBLACIONES VULNERABLES</t>
  </si>
  <si>
    <t>DESPLAZADOS POR LA VIOLENCIA</t>
  </si>
  <si>
    <t>VIRTUAL SIN BILINGUISMO</t>
  </si>
  <si>
    <t>RESTO DE COMPLEMENTARIA PRESENCIAL</t>
  </si>
  <si>
    <t>TOTAL FORMACIÓN COMPLEMENTARIA</t>
  </si>
  <si>
    <t>GRAN TOTAL: TITULADA + COMLEMENTARIA</t>
  </si>
  <si>
    <t>TÉCNICO LABORAL JOVENES EN ACCION AMPLIACION DE COBERTURA</t>
  </si>
  <si>
    <t>JAIME RAFAEL PEÑA</t>
  </si>
  <si>
    <t>MARIA ISABEL ROMERO</t>
  </si>
  <si>
    <t>BLANCA LEGRO YANCE</t>
  </si>
  <si>
    <t>MARIA ELENA YEPEZ DE ORO</t>
  </si>
  <si>
    <t>HARVEY ENRIQUE PEREZ GONZALEZ</t>
  </si>
  <si>
    <t>RINOCEROS, HIDRAULICA Y DISEÑO DE PARTES</t>
  </si>
  <si>
    <t>JOHN MANGONE</t>
  </si>
  <si>
    <t>ROBERTO BENAVIDES EMPRENDIMIENTO</t>
  </si>
  <si>
    <t>WALTER EDINSON GUETTE EMPRENDIMIENTO</t>
  </si>
  <si>
    <t>CECILIA SIERRA EMPRENDIMIENTO</t>
  </si>
  <si>
    <t>NILSA MEDINA</t>
  </si>
  <si>
    <t xml:space="preserve">KATERIN MARIA MEZA THORNE </t>
  </si>
  <si>
    <t>CESAR DE LA CRUZ</t>
  </si>
  <si>
    <t>DANILO JUNCO</t>
  </si>
  <si>
    <t>ARTURO LOPEZ</t>
  </si>
  <si>
    <t>OSCAR NEIRA</t>
  </si>
  <si>
    <t>COORDINACION</t>
  </si>
  <si>
    <t>MISIONAL</t>
  </si>
  <si>
    <t>BASICO INSTALACIONES HIDRAULICAS Y SANITARIAS</t>
  </si>
  <si>
    <t>APOYO PEDAGOGICO</t>
  </si>
  <si>
    <t>WALBER ACOSTA</t>
  </si>
  <si>
    <t>EJECUCION MUSICAL</t>
  </si>
  <si>
    <t>GESTION AMBIENTAL</t>
  </si>
  <si>
    <t>JAIRO PEREZ</t>
  </si>
  <si>
    <t xml:space="preserve">MIGUEL ANGEL PEÑALOZA ORTEGA </t>
  </si>
  <si>
    <t>VICTOR ALTAHONA</t>
  </si>
  <si>
    <t>ANGELICA VENDRIES</t>
  </si>
  <si>
    <t>GEOMATICA Y URBANISMO</t>
  </si>
  <si>
    <t>CESAR YEPES</t>
  </si>
  <si>
    <t>LUIS OTERO</t>
  </si>
  <si>
    <t>SEGURIDA Y SALUD OCUPACIONAL</t>
  </si>
  <si>
    <t>DELWIN LAUREN</t>
  </si>
  <si>
    <t>JENIFER SIERRA</t>
  </si>
  <si>
    <t>VANESSA OSUNA</t>
  </si>
  <si>
    <t>CONSTRATISTA SEGUIMIENTO</t>
  </si>
  <si>
    <t>MARA BEATRIZ DE ALBA MAESTRE</t>
  </si>
  <si>
    <t>CURSOS DE SISTEMAS</t>
  </si>
  <si>
    <t>CURSOS DE EMPRENDIMIENTO</t>
  </si>
  <si>
    <t>CURSOS I+D+I</t>
  </si>
  <si>
    <t>CONTRATISTA EMPRENDIMIENTO</t>
  </si>
  <si>
    <t>CONTRATISTA PRESTACIÓN DE SERVICIO AL CLIENTE EN EMPRESAS AEREAS COMERCIALES</t>
  </si>
  <si>
    <t>GERMAN PEREZ SEGUIMIENTO</t>
  </si>
  <si>
    <t>WENDY ANDRADE SEGUIMIENTO</t>
  </si>
  <si>
    <t>TODOS LOS GRUPOS</t>
  </si>
  <si>
    <t>LUNES A VIERNES DE 8 A 12 Y DE 2 A 6 PM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</si>
</sst>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44" formatCode="_-* #,##0.00\ &quot;€&quot;_-;\-* #,##0.00\ &quot;€&quot;_-;_-* &quot;-&quot;??\ &quot;€&quot;_-;_-@_-"/>
    <numFmt numFmtId="164" formatCode="_ &quot;$&quot;\ * #,##0.00_ ;_ &quot;$&quot;\ * \-#,##0.00_ ;_ &quot;$&quot;\ * &quot;-&quot;??_ ;_ @_ "/>
    <numFmt numFmtId="165" formatCode="_ * #,##0.00_ ;_ * \-#,##0.00_ ;_ * &quot;-&quot;??_ ;_ @_ "/>
    <numFmt numFmtId="166" formatCode="[$-240A]d&quot; de &quot;mmm&quot; de &quot;yy;@"/>
    <numFmt numFmtId="167" formatCode="[$-240A]d&quot;-&quot;mmm&quot;-&quot;yy;@"/>
    <numFmt numFmtId="168" formatCode="[$-240A]d&quot;-&quot;mmm&quot;-&quot;yyyy;@"/>
    <numFmt numFmtId="169" formatCode="_ * #,##0_ ;_ * \-#,##0_ ;_ * &quot;-&quot;??_ ;_ @_ "/>
  </numFmts>
  <fonts count="49" x14ac:knownFonts="1">
    <font>
      <sz val="10"/>
      <name val="Arial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sz val="7"/>
      <name val="Arial"/>
      <family val="2"/>
    </font>
    <font>
      <sz val="7"/>
      <name val="Arial"/>
      <family val="2"/>
    </font>
    <font>
      <sz val="8"/>
      <name val="Arial"/>
      <family val="2"/>
    </font>
    <font>
      <sz val="8"/>
      <name val="Arial"/>
      <family val="2"/>
    </font>
    <font>
      <b/>
      <sz val="9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sz val="8"/>
      <name val="Arial"/>
      <family val="2"/>
    </font>
    <font>
      <sz val="11"/>
      <name val="Arial"/>
      <family val="2"/>
    </font>
    <font>
      <b/>
      <i/>
      <u/>
      <sz val="10"/>
      <name val="Arial"/>
      <family val="2"/>
    </font>
    <font>
      <b/>
      <u/>
      <sz val="10"/>
      <name val="Arial"/>
      <family val="2"/>
    </font>
    <font>
      <sz val="8"/>
      <color theme="1"/>
      <name val="Calibri"/>
      <family val="2"/>
      <scheme val="minor"/>
    </font>
    <font>
      <sz val="7"/>
      <color rgb="FF909090"/>
      <name val="Arial"/>
      <family val="2"/>
    </font>
    <font>
      <sz val="8"/>
      <color rgb="FF0000FF"/>
      <name val="Arial"/>
      <family val="2"/>
    </font>
    <font>
      <sz val="8"/>
      <color rgb="FF000000"/>
      <name val="Arial"/>
      <family val="2"/>
    </font>
    <font>
      <b/>
      <sz val="8"/>
      <color rgb="FF000000"/>
      <name val="Arial"/>
      <family val="2"/>
    </font>
    <font>
      <sz val="11"/>
      <color rgb="FFFF0000"/>
      <name val="Arial"/>
      <family val="2"/>
    </font>
    <font>
      <sz val="8"/>
      <color rgb="FFFF0000"/>
      <name val="Arial"/>
      <family val="2"/>
    </font>
    <font>
      <b/>
      <sz val="8"/>
      <color rgb="FFFFFFFF"/>
      <name val="Arial"/>
      <family val="2"/>
    </font>
    <font>
      <b/>
      <sz val="8"/>
      <color rgb="FF0000FF"/>
      <name val="Arial"/>
      <family val="2"/>
    </font>
    <font>
      <sz val="8"/>
      <color rgb="FFFFFFFF"/>
      <name val="Arial"/>
      <family val="2"/>
    </font>
    <font>
      <b/>
      <sz val="8"/>
      <color rgb="FFFF000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7"/>
      <name val="Arial"/>
      <family val="2"/>
    </font>
    <font>
      <sz val="11"/>
      <color indexed="8"/>
      <name val="Calibri"/>
      <family val="2"/>
    </font>
    <font>
      <sz val="10"/>
      <color indexed="8"/>
      <name val="Calibri"/>
      <family val="2"/>
      <scheme val="minor"/>
    </font>
    <font>
      <b/>
      <sz val="9"/>
      <color theme="0"/>
      <name val="Arial"/>
      <family val="2"/>
    </font>
    <font>
      <b/>
      <sz val="10"/>
      <color rgb="FFFF0000"/>
      <name val="Arial"/>
      <family val="2"/>
    </font>
    <font>
      <b/>
      <sz val="11"/>
      <color rgb="FFFF0000"/>
      <name val="Arial"/>
      <family val="2"/>
    </font>
    <font>
      <sz val="10"/>
      <color rgb="FF00000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9"/>
      <color theme="1"/>
      <name val="Verdana"/>
      <family val="2"/>
    </font>
    <font>
      <sz val="9"/>
      <color indexed="8"/>
      <name val="Arial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10"/>
      <name val="Arial"/>
      <family val="2"/>
    </font>
    <font>
      <b/>
      <sz val="12"/>
      <name val="Arial"/>
      <family val="2"/>
    </font>
    <font>
      <b/>
      <sz val="11"/>
      <color theme="0"/>
      <name val="Arial"/>
      <family val="2"/>
    </font>
    <font>
      <b/>
      <sz val="10"/>
      <color indexed="12"/>
      <name val="Arial"/>
      <family val="2"/>
    </font>
    <font>
      <b/>
      <sz val="11"/>
      <name val="Arial"/>
      <family val="2"/>
    </font>
    <font>
      <sz val="10"/>
      <color rgb="FFFF0000"/>
      <name val="Arial"/>
      <family val="2"/>
    </font>
  </fonts>
  <fills count="26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0"/>
        <bgColor indexed="64"/>
      </patternFill>
    </fill>
  </fills>
  <borders count="6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theme="3" tint="0.39997558519241921"/>
      </left>
      <right style="thin">
        <color theme="3" tint="0.39997558519241921"/>
      </right>
      <top style="thin">
        <color theme="3" tint="0.39997558519241921"/>
      </top>
      <bottom style="thin">
        <color theme="3" tint="0.39997558519241921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27">
    <xf numFmtId="0" fontId="0" fillId="0" borderId="0"/>
    <xf numFmtId="165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44" fontId="11" fillId="0" borderId="0" applyFont="0" applyFill="0" applyBorder="0" applyAlignment="0" applyProtection="0"/>
    <xf numFmtId="0" fontId="11" fillId="0" borderId="0"/>
    <xf numFmtId="168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" fillId="0" borderId="0"/>
    <xf numFmtId="0" fontId="28" fillId="0" borderId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8" fillId="0" borderId="0"/>
    <xf numFmtId="44" fontId="2" fillId="0" borderId="0" applyFont="0" applyFill="0" applyBorder="0" applyAlignment="0" applyProtection="0"/>
    <xf numFmtId="0" fontId="2" fillId="0" borderId="0"/>
    <xf numFmtId="0" fontId="31" fillId="0" borderId="0" applyFill="0" applyProtection="0"/>
    <xf numFmtId="9" fontId="38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/>
    <xf numFmtId="0" fontId="43" fillId="0" borderId="0"/>
    <xf numFmtId="165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</cellStyleXfs>
  <cellXfs count="543">
    <xf numFmtId="0" fontId="0" fillId="0" borderId="0" xfId="0"/>
    <xf numFmtId="0" fontId="0" fillId="0" borderId="0" xfId="0" applyFill="1"/>
    <xf numFmtId="0" fontId="3" fillId="0" borderId="0" xfId="0" applyFont="1" applyFill="1" applyAlignment="1">
      <alignment horizontal="centerContinuous"/>
    </xf>
    <xf numFmtId="0" fontId="0" fillId="0" borderId="0" xfId="0" applyFill="1" applyAlignment="1">
      <alignment horizontal="centerContinuous"/>
    </xf>
    <xf numFmtId="1" fontId="0" fillId="0" borderId="0" xfId="0" applyNumberFormat="1" applyFill="1"/>
    <xf numFmtId="0" fontId="0" fillId="0" borderId="0" xfId="0" applyFill="1" applyBorder="1"/>
    <xf numFmtId="0" fontId="0" fillId="0" borderId="1" xfId="0" applyFill="1" applyBorder="1"/>
    <xf numFmtId="1" fontId="4" fillId="0" borderId="1" xfId="0" applyNumberFormat="1" applyFont="1" applyFill="1" applyBorder="1"/>
    <xf numFmtId="0" fontId="0" fillId="0" borderId="0" xfId="0" applyFill="1" applyBorder="1" applyAlignment="1">
      <alignment horizontal="center"/>
    </xf>
    <xf numFmtId="0" fontId="4" fillId="0" borderId="0" xfId="0" applyFont="1" applyBorder="1" applyAlignment="1">
      <alignment vertical="center" wrapText="1"/>
    </xf>
    <xf numFmtId="0" fontId="0" fillId="0" borderId="0" xfId="0" applyBorder="1"/>
    <xf numFmtId="0" fontId="0" fillId="0" borderId="0" xfId="0" applyFill="1" applyBorder="1" applyAlignment="1">
      <alignment wrapText="1"/>
    </xf>
    <xf numFmtId="0" fontId="4" fillId="0" borderId="1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  <xf numFmtId="0" fontId="4" fillId="0" borderId="1" xfId="0" applyFont="1" applyFill="1" applyBorder="1" applyAlignment="1">
      <alignment horizontal="left"/>
    </xf>
    <xf numFmtId="0" fontId="0" fillId="0" borderId="0" xfId="0" applyAlignment="1"/>
    <xf numFmtId="0" fontId="3" fillId="0" borderId="0" xfId="0" applyFont="1" applyFill="1" applyBorder="1" applyAlignment="1"/>
    <xf numFmtId="0" fontId="0" fillId="0" borderId="0" xfId="0" applyFill="1" applyBorder="1" applyAlignment="1"/>
    <xf numFmtId="0" fontId="3" fillId="0" borderId="1" xfId="0" applyFont="1" applyFill="1" applyBorder="1" applyAlignment="1"/>
    <xf numFmtId="1" fontId="0" fillId="0" borderId="1" xfId="0" applyNumberFormat="1" applyFill="1" applyBorder="1" applyAlignment="1">
      <alignment horizontal="center"/>
    </xf>
    <xf numFmtId="0" fontId="0" fillId="0" borderId="1" xfId="0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wrapText="1"/>
    </xf>
    <xf numFmtId="0" fontId="4" fillId="0" borderId="1" xfId="0" applyFont="1" applyBorder="1" applyAlignment="1">
      <alignment horizontal="left"/>
    </xf>
    <xf numFmtId="0" fontId="0" fillId="0" borderId="3" xfId="0" applyFill="1" applyBorder="1" applyAlignment="1">
      <alignment horizontal="left" vertical="center" wrapText="1"/>
    </xf>
    <xf numFmtId="0" fontId="4" fillId="0" borderId="3" xfId="0" applyFont="1" applyBorder="1" applyAlignment="1">
      <alignment horizontal="center" vertical="center" wrapText="1"/>
    </xf>
    <xf numFmtId="0" fontId="8" fillId="0" borderId="4" xfId="0" applyFont="1" applyBorder="1" applyAlignment="1">
      <alignment horizontal="center" wrapText="1"/>
    </xf>
    <xf numFmtId="0" fontId="5" fillId="0" borderId="1" xfId="0" applyFont="1" applyFill="1" applyBorder="1" applyAlignment="1"/>
    <xf numFmtId="0" fontId="7" fillId="0" borderId="0" xfId="0" applyFont="1" applyBorder="1" applyAlignment="1">
      <alignment vertical="center" wrapText="1"/>
    </xf>
    <xf numFmtId="0" fontId="8" fillId="0" borderId="1" xfId="0" applyFont="1" applyFill="1" applyBorder="1" applyAlignment="1">
      <alignment horizontal="center" vertical="center" wrapText="1"/>
    </xf>
    <xf numFmtId="0" fontId="11" fillId="0" borderId="1" xfId="0" applyFont="1" applyFill="1" applyBorder="1" applyAlignment="1">
      <alignment horizontal="center" wrapText="1"/>
    </xf>
    <xf numFmtId="0" fontId="3" fillId="0" borderId="1" xfId="0" applyFont="1" applyFill="1" applyBorder="1" applyAlignment="1">
      <alignment horizontal="center" vertical="center" wrapText="1"/>
    </xf>
    <xf numFmtId="0" fontId="8" fillId="0" borderId="4" xfId="0" applyFont="1" applyFill="1" applyBorder="1" applyAlignment="1">
      <alignment horizontal="center" wrapText="1"/>
    </xf>
    <xf numFmtId="0" fontId="0" fillId="0" borderId="1" xfId="0" applyFill="1" applyBorder="1" applyAlignment="1">
      <alignment vertical="center" wrapText="1"/>
    </xf>
    <xf numFmtId="166" fontId="4" fillId="0" borderId="1" xfId="0" applyNumberFormat="1" applyFont="1" applyFill="1" applyBorder="1" applyAlignment="1">
      <alignment horizontal="center" vertical="center" wrapText="1"/>
    </xf>
    <xf numFmtId="0" fontId="13" fillId="0" borderId="1" xfId="0" applyFont="1" applyFill="1" applyBorder="1" applyAlignment="1">
      <alignment horizontal="center" vertical="center" wrapText="1"/>
    </xf>
    <xf numFmtId="0" fontId="10" fillId="0" borderId="1" xfId="0" applyFont="1" applyFill="1" applyBorder="1" applyAlignment="1">
      <alignment horizontal="center" vertical="center" wrapText="1"/>
    </xf>
    <xf numFmtId="167" fontId="0" fillId="0" borderId="1" xfId="0" applyNumberForma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/>
    <xf numFmtId="0" fontId="3" fillId="0" borderId="3" xfId="0" applyFont="1" applyFill="1" applyBorder="1" applyAlignment="1"/>
    <xf numFmtId="0" fontId="3" fillId="0" borderId="7" xfId="0" applyFont="1" applyFill="1" applyBorder="1" applyAlignment="1"/>
    <xf numFmtId="164" fontId="0" fillId="0" borderId="0" xfId="2" applyFont="1" applyFill="1"/>
    <xf numFmtId="0" fontId="4" fillId="0" borderId="5" xfId="0" applyFont="1" applyFill="1" applyBorder="1" applyAlignment="1">
      <alignment vertical="center" wrapText="1"/>
    </xf>
    <xf numFmtId="0" fontId="4" fillId="0" borderId="5" xfId="0" applyFont="1" applyFill="1" applyBorder="1" applyAlignment="1">
      <alignment horizontal="center" vertical="center" wrapText="1"/>
    </xf>
    <xf numFmtId="0" fontId="0" fillId="0" borderId="1" xfId="0" applyFill="1" applyBorder="1" applyAlignment="1">
      <alignment horizontal="left" vertical="center" wrapText="1"/>
    </xf>
    <xf numFmtId="0" fontId="11" fillId="0" borderId="1" xfId="0" applyFont="1" applyFill="1" applyBorder="1" applyAlignment="1">
      <alignment horizontal="center" vertical="center" wrapText="1"/>
    </xf>
    <xf numFmtId="0" fontId="0" fillId="0" borderId="0" xfId="0" applyFill="1" applyAlignment="1">
      <alignment horizontal="left"/>
    </xf>
    <xf numFmtId="18" fontId="0" fillId="0" borderId="1" xfId="0" applyNumberFormat="1" applyFill="1" applyBorder="1" applyAlignment="1">
      <alignment horizontal="center" vertical="center" wrapText="1"/>
    </xf>
    <xf numFmtId="0" fontId="0" fillId="0" borderId="1" xfId="0" quotePrefix="1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/>
    </xf>
    <xf numFmtId="1" fontId="3" fillId="0" borderId="1" xfId="0" applyNumberFormat="1" applyFont="1" applyFill="1" applyBorder="1"/>
    <xf numFmtId="0" fontId="3" fillId="0" borderId="1" xfId="0" applyFont="1" applyFill="1" applyBorder="1"/>
    <xf numFmtId="0" fontId="0" fillId="7" borderId="1" xfId="0" applyFill="1" applyBorder="1" applyAlignment="1">
      <alignment horizontal="center"/>
    </xf>
    <xf numFmtId="0" fontId="0" fillId="0" borderId="1" xfId="0" quotePrefix="1" applyFill="1" applyBorder="1" applyAlignment="1">
      <alignment vertical="center" wrapText="1"/>
    </xf>
    <xf numFmtId="0" fontId="11" fillId="0" borderId="1" xfId="0" applyFont="1" applyFill="1" applyBorder="1" applyAlignment="1">
      <alignment vertical="center" wrapText="1"/>
    </xf>
    <xf numFmtId="0" fontId="8" fillId="0" borderId="1" xfId="0" applyFont="1" applyFill="1" applyBorder="1" applyAlignment="1">
      <alignment vertical="center" wrapText="1"/>
    </xf>
    <xf numFmtId="0" fontId="0" fillId="0" borderId="1" xfId="0" applyBorder="1"/>
    <xf numFmtId="0" fontId="11" fillId="0" borderId="0" xfId="0" applyFont="1" applyFill="1"/>
    <xf numFmtId="168" fontId="4" fillId="0" borderId="1" xfId="0" applyNumberFormat="1" applyFont="1" applyFill="1" applyBorder="1" applyAlignment="1">
      <alignment horizontal="center" vertical="center" wrapText="1"/>
    </xf>
    <xf numFmtId="168" fontId="0" fillId="0" borderId="1" xfId="0" applyNumberFormat="1" applyFill="1" applyBorder="1" applyAlignment="1">
      <alignment horizontal="center" vertical="center" wrapText="1"/>
    </xf>
    <xf numFmtId="168" fontId="0" fillId="0" borderId="1" xfId="0" applyNumberFormat="1" applyFill="1" applyBorder="1" applyAlignment="1">
      <alignment vertical="center" wrapText="1"/>
    </xf>
    <xf numFmtId="168" fontId="11" fillId="0" borderId="1" xfId="0" applyNumberFormat="1" applyFont="1" applyFill="1" applyBorder="1" applyAlignment="1">
      <alignment vertical="center" wrapText="1"/>
    </xf>
    <xf numFmtId="168" fontId="11" fillId="0" borderId="1" xfId="0" applyNumberFormat="1" applyFont="1" applyFill="1" applyBorder="1" applyAlignment="1">
      <alignment horizontal="center" vertical="center" wrapText="1"/>
    </xf>
    <xf numFmtId="168" fontId="0" fillId="0" borderId="1" xfId="0" quotePrefix="1" applyNumberFormat="1" applyFill="1" applyBorder="1" applyAlignment="1">
      <alignment vertical="center" wrapText="1"/>
    </xf>
    <xf numFmtId="0" fontId="17" fillId="0" borderId="1" xfId="0" applyFont="1" applyFill="1" applyBorder="1" applyAlignment="1">
      <alignment vertical="center" wrapText="1"/>
    </xf>
    <xf numFmtId="1" fontId="0" fillId="0" borderId="1" xfId="0" applyNumberFormat="1" applyFill="1" applyBorder="1" applyAlignment="1">
      <alignment horizontal="center" vertical="center" wrapText="1"/>
    </xf>
    <xf numFmtId="0" fontId="0" fillId="0" borderId="3" xfId="0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4" fillId="0" borderId="33" xfId="0" applyFont="1" applyFill="1" applyBorder="1" applyAlignment="1">
      <alignment vertical="center" wrapText="1"/>
    </xf>
    <xf numFmtId="0" fontId="14" fillId="0" borderId="1" xfId="0" applyFont="1" applyFill="1" applyBorder="1" applyAlignment="1">
      <alignment horizontal="center" vertical="center"/>
    </xf>
    <xf numFmtId="0" fontId="0" fillId="0" borderId="0" xfId="0" applyFill="1" applyAlignment="1">
      <alignment wrapText="1"/>
    </xf>
    <xf numFmtId="0" fontId="0" fillId="0" borderId="1" xfId="0" applyBorder="1" applyAlignment="1">
      <alignment horizontal="center" vertical="center" wrapText="1"/>
    </xf>
    <xf numFmtId="168" fontId="3" fillId="0" borderId="1" xfId="0" applyNumberFormat="1" applyFont="1" applyFill="1" applyBorder="1" applyAlignment="1">
      <alignment horizontal="center" vertical="center" wrapText="1"/>
    </xf>
    <xf numFmtId="0" fontId="3" fillId="0" borderId="0" xfId="0" applyFont="1" applyAlignment="1"/>
    <xf numFmtId="0" fontId="15" fillId="0" borderId="0" xfId="0" applyFont="1"/>
    <xf numFmtId="0" fontId="18" fillId="8" borderId="8" xfId="0" applyFont="1" applyFill="1" applyBorder="1" applyAlignment="1">
      <alignment horizontal="center" vertical="center" wrapText="1"/>
    </xf>
    <xf numFmtId="0" fontId="10" fillId="9" borderId="12" xfId="0" applyFont="1" applyFill="1" applyBorder="1" applyAlignment="1">
      <alignment horizontal="center" vertical="center"/>
    </xf>
    <xf numFmtId="0" fontId="10" fillId="9" borderId="13" xfId="0" applyFont="1" applyFill="1" applyBorder="1" applyAlignment="1">
      <alignment horizontal="center" vertical="center"/>
    </xf>
    <xf numFmtId="0" fontId="10" fillId="9" borderId="9" xfId="0" applyFont="1" applyFill="1" applyBorder="1" applyAlignment="1">
      <alignment vertical="center"/>
    </xf>
    <xf numFmtId="0" fontId="10" fillId="9" borderId="10" xfId="0" applyFont="1" applyFill="1" applyBorder="1" applyAlignment="1">
      <alignment vertical="center"/>
    </xf>
    <xf numFmtId="0" fontId="10" fillId="9" borderId="11" xfId="0" applyFont="1" applyFill="1" applyBorder="1" applyAlignment="1">
      <alignment vertical="center"/>
    </xf>
    <xf numFmtId="0" fontId="18" fillId="8" borderId="7" xfId="0" applyFont="1" applyFill="1" applyBorder="1" applyAlignment="1">
      <alignment horizontal="center" vertical="center" wrapText="1"/>
    </xf>
    <xf numFmtId="0" fontId="22" fillId="0" borderId="14" xfId="0" applyFont="1" applyBorder="1" applyAlignment="1">
      <alignment horizontal="center" vertical="center" wrapText="1"/>
    </xf>
    <xf numFmtId="0" fontId="0" fillId="2" borderId="15" xfId="0" applyFill="1" applyBorder="1"/>
    <xf numFmtId="0" fontId="0" fillId="0" borderId="16" xfId="0" applyBorder="1"/>
    <xf numFmtId="0" fontId="0" fillId="0" borderId="17" xfId="0" applyBorder="1" applyAlignment="1">
      <alignment horizontal="center"/>
    </xf>
    <xf numFmtId="0" fontId="0" fillId="0" borderId="18" xfId="0" applyBorder="1" applyAlignment="1">
      <alignment horizontal="center"/>
    </xf>
    <xf numFmtId="0" fontId="0" fillId="7" borderId="8" xfId="0" applyFill="1" applyBorder="1" applyAlignment="1">
      <alignment horizontal="center"/>
    </xf>
    <xf numFmtId="0" fontId="0" fillId="7" borderId="19" xfId="0" applyFill="1" applyBorder="1" applyAlignment="1">
      <alignment horizontal="center"/>
    </xf>
    <xf numFmtId="0" fontId="0" fillId="7" borderId="20" xfId="0" applyFill="1" applyBorder="1" applyAlignment="1">
      <alignment horizontal="center"/>
    </xf>
    <xf numFmtId="0" fontId="0" fillId="0" borderId="21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7" borderId="7" xfId="0" applyFill="1" applyBorder="1" applyAlignment="1">
      <alignment horizontal="center"/>
    </xf>
    <xf numFmtId="0" fontId="0" fillId="7" borderId="14" xfId="0" applyFill="1" applyBorder="1" applyAlignment="1">
      <alignment horizontal="center"/>
    </xf>
    <xf numFmtId="0" fontId="14" fillId="10" borderId="1" xfId="0" applyFont="1" applyFill="1" applyBorder="1" applyAlignment="1">
      <alignment horizontal="center" vertical="center" wrapText="1"/>
    </xf>
    <xf numFmtId="0" fontId="0" fillId="11" borderId="15" xfId="0" applyFill="1" applyBorder="1"/>
    <xf numFmtId="0" fontId="0" fillId="12" borderId="15" xfId="0" applyFill="1" applyBorder="1"/>
    <xf numFmtId="0" fontId="0" fillId="0" borderId="23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7" borderId="25" xfId="0" applyFill="1" applyBorder="1" applyAlignment="1">
      <alignment horizontal="center"/>
    </xf>
    <xf numFmtId="0" fontId="0" fillId="7" borderId="26" xfId="0" applyFill="1" applyBorder="1" applyAlignment="1">
      <alignment horizontal="center"/>
    </xf>
    <xf numFmtId="0" fontId="0" fillId="7" borderId="27" xfId="0" applyFill="1" applyBorder="1" applyAlignment="1">
      <alignment horizontal="center"/>
    </xf>
    <xf numFmtId="0" fontId="14" fillId="7" borderId="1" xfId="0" applyFont="1" applyFill="1" applyBorder="1" applyAlignment="1">
      <alignment horizontal="center" vertical="center" wrapText="1"/>
    </xf>
    <xf numFmtId="0" fontId="0" fillId="0" borderId="28" xfId="0" applyBorder="1"/>
    <xf numFmtId="0" fontId="18" fillId="8" borderId="29" xfId="0" applyFont="1" applyFill="1" applyBorder="1" applyAlignment="1">
      <alignment horizontal="center" vertical="center" wrapText="1"/>
    </xf>
    <xf numFmtId="0" fontId="14" fillId="0" borderId="30" xfId="0" applyFont="1" applyBorder="1" applyAlignment="1">
      <alignment horizontal="center" vertical="center" wrapText="1"/>
    </xf>
    <xf numFmtId="0" fontId="0" fillId="10" borderId="15" xfId="0" applyFill="1" applyBorder="1"/>
    <xf numFmtId="0" fontId="0" fillId="0" borderId="31" xfId="0" applyBorder="1"/>
    <xf numFmtId="0" fontId="0" fillId="13" borderId="0" xfId="0" applyFill="1" applyAlignment="1">
      <alignment horizontal="right"/>
    </xf>
    <xf numFmtId="0" fontId="5" fillId="13" borderId="32" xfId="0" applyFont="1" applyFill="1" applyBorder="1" applyAlignment="1">
      <alignment horizontal="center" vertical="top" wrapText="1"/>
    </xf>
    <xf numFmtId="0" fontId="10" fillId="5" borderId="19" xfId="0" applyFont="1" applyFill="1" applyBorder="1" applyAlignment="1">
      <alignment horizontal="center" vertical="center" wrapText="1"/>
    </xf>
    <xf numFmtId="0" fontId="10" fillId="5" borderId="20" xfId="0" applyFont="1" applyFill="1" applyBorder="1" applyAlignment="1">
      <alignment horizontal="center" vertical="center" wrapText="1"/>
    </xf>
    <xf numFmtId="0" fontId="0" fillId="14" borderId="15" xfId="0" applyFill="1" applyBorder="1"/>
    <xf numFmtId="0" fontId="0" fillId="0" borderId="0" xfId="0" applyAlignment="1">
      <alignment horizontal="right"/>
    </xf>
    <xf numFmtId="0" fontId="5" fillId="3" borderId="35" xfId="0" applyFont="1" applyFill="1" applyBorder="1" applyAlignment="1">
      <alignment horizontal="center" vertical="top" wrapText="1"/>
    </xf>
    <xf numFmtId="0" fontId="0" fillId="0" borderId="1" xfId="0" applyBorder="1" applyAlignment="1">
      <alignment horizontal="center"/>
    </xf>
    <xf numFmtId="0" fontId="14" fillId="0" borderId="1" xfId="0" applyFont="1" applyFill="1" applyBorder="1" applyAlignment="1">
      <alignment horizontal="center" wrapText="1"/>
    </xf>
    <xf numFmtId="0" fontId="14" fillId="7" borderId="1" xfId="0" applyFont="1" applyFill="1" applyBorder="1" applyAlignment="1">
      <alignment horizontal="center" wrapText="1"/>
    </xf>
    <xf numFmtId="0" fontId="0" fillId="4" borderId="15" xfId="0" applyFill="1" applyBorder="1"/>
    <xf numFmtId="0" fontId="5" fillId="13" borderId="35" xfId="0" applyFont="1" applyFill="1" applyBorder="1" applyAlignment="1">
      <alignment horizontal="center" vertical="top" wrapText="1"/>
    </xf>
    <xf numFmtId="0" fontId="0" fillId="9" borderId="36" xfId="0" applyFill="1" applyBorder="1" applyAlignment="1">
      <alignment horizontal="center"/>
    </xf>
    <xf numFmtId="0" fontId="0" fillId="9" borderId="26" xfId="0" applyFill="1" applyBorder="1" applyAlignment="1">
      <alignment horizontal="center"/>
    </xf>
    <xf numFmtId="0" fontId="0" fillId="9" borderId="37" xfId="0" applyFill="1" applyBorder="1" applyAlignment="1">
      <alignment horizontal="center"/>
    </xf>
    <xf numFmtId="0" fontId="16" fillId="9" borderId="31" xfId="0" applyFont="1" applyFill="1" applyBorder="1" applyAlignment="1">
      <alignment horizontal="center"/>
    </xf>
    <xf numFmtId="0" fontId="15" fillId="0" borderId="0" xfId="0" applyFont="1" applyFill="1" applyBorder="1"/>
    <xf numFmtId="0" fontId="14" fillId="0" borderId="1" xfId="0" applyFont="1" applyFill="1" applyBorder="1" applyAlignment="1">
      <alignment horizontal="center" vertical="center" wrapText="1"/>
    </xf>
    <xf numFmtId="0" fontId="3" fillId="7" borderId="38" xfId="0" applyFont="1" applyFill="1" applyBorder="1" applyAlignment="1">
      <alignment horizontal="left" vertical="center" wrapText="1"/>
    </xf>
    <xf numFmtId="0" fontId="3" fillId="15" borderId="39" xfId="0" applyFont="1" applyFill="1" applyBorder="1"/>
    <xf numFmtId="0" fontId="3" fillId="15" borderId="33" xfId="0" applyFont="1" applyFill="1" applyBorder="1"/>
    <xf numFmtId="0" fontId="3" fillId="15" borderId="0" xfId="0" applyFont="1" applyFill="1" applyBorder="1"/>
    <xf numFmtId="0" fontId="3" fillId="0" borderId="0" xfId="0" applyFont="1" applyFill="1" applyBorder="1"/>
    <xf numFmtId="0" fontId="3" fillId="7" borderId="40" xfId="0" applyFont="1" applyFill="1" applyBorder="1" applyAlignment="1">
      <alignment horizontal="left" vertical="center" wrapText="1"/>
    </xf>
    <xf numFmtId="0" fontId="3" fillId="15" borderId="39" xfId="0" applyFont="1" applyFill="1" applyBorder="1" applyAlignment="1">
      <alignment horizontal="center" vertical="center"/>
    </xf>
    <xf numFmtId="16" fontId="3" fillId="7" borderId="1" xfId="0" applyNumberFormat="1" applyFont="1" applyFill="1" applyBorder="1" applyAlignment="1">
      <alignment horizontal="center" vertical="center"/>
    </xf>
    <xf numFmtId="0" fontId="19" fillId="0" borderId="41" xfId="0" applyFont="1" applyFill="1" applyBorder="1" applyAlignment="1">
      <alignment horizontal="center" wrapText="1"/>
    </xf>
    <xf numFmtId="0" fontId="3" fillId="0" borderId="42" xfId="0" applyFont="1" applyFill="1" applyBorder="1" applyAlignment="1">
      <alignment vertical="center" wrapText="1"/>
    </xf>
    <xf numFmtId="0" fontId="3" fillId="7" borderId="43" xfId="0" applyFont="1" applyFill="1" applyBorder="1" applyAlignment="1">
      <alignment horizontal="left" vertical="center" wrapText="1"/>
    </xf>
    <xf numFmtId="0" fontId="3" fillId="15" borderId="0" xfId="0" applyFont="1" applyFill="1" applyBorder="1" applyAlignment="1">
      <alignment horizontal="center" vertical="center"/>
    </xf>
    <xf numFmtId="0" fontId="3" fillId="7" borderId="44" xfId="0" applyFont="1" applyFill="1" applyBorder="1" applyAlignment="1">
      <alignment horizontal="left" vertical="center" wrapText="1"/>
    </xf>
    <xf numFmtId="14" fontId="0" fillId="0" borderId="0" xfId="0" applyNumberFormat="1" applyFill="1" applyBorder="1" applyAlignment="1">
      <alignment horizontal="center"/>
    </xf>
    <xf numFmtId="0" fontId="10" fillId="0" borderId="0" xfId="0" applyFont="1" applyFill="1" applyBorder="1" applyAlignment="1">
      <alignment horizontal="center" vertical="center" wrapText="1"/>
    </xf>
    <xf numFmtId="0" fontId="10" fillId="0" borderId="45" xfId="0" applyFont="1" applyFill="1" applyBorder="1" applyAlignment="1">
      <alignment horizontal="center" vertical="center" wrapText="1"/>
    </xf>
    <xf numFmtId="0" fontId="0" fillId="16" borderId="45" xfId="0" applyFill="1" applyBorder="1" applyAlignment="1">
      <alignment horizontal="right"/>
    </xf>
    <xf numFmtId="0" fontId="0" fillId="16" borderId="45" xfId="0" applyFill="1" applyBorder="1" applyAlignment="1">
      <alignment horizontal="center"/>
    </xf>
    <xf numFmtId="0" fontId="0" fillId="0" borderId="45" xfId="0" applyFill="1" applyBorder="1" applyAlignment="1">
      <alignment horizontal="center"/>
    </xf>
    <xf numFmtId="0" fontId="0" fillId="16" borderId="38" xfId="0" applyFill="1" applyBorder="1" applyAlignment="1">
      <alignment horizontal="center"/>
    </xf>
    <xf numFmtId="0" fontId="22" fillId="0" borderId="1" xfId="0" applyFont="1" applyFill="1" applyBorder="1" applyAlignment="1">
      <alignment horizontal="center" vertical="center" wrapText="1"/>
    </xf>
    <xf numFmtId="0" fontId="0" fillId="0" borderId="46" xfId="0" applyFill="1" applyBorder="1"/>
    <xf numFmtId="0" fontId="0" fillId="0" borderId="0" xfId="0" applyBorder="1" applyAlignment="1">
      <alignment horizontal="right"/>
    </xf>
    <xf numFmtId="0" fontId="0" fillId="0" borderId="40" xfId="0" applyFill="1" applyBorder="1" applyAlignment="1">
      <alignment horizontal="center"/>
    </xf>
    <xf numFmtId="0" fontId="0" fillId="0" borderId="46" xfId="0" applyFill="1" applyBorder="1" applyAlignment="1">
      <alignment horizontal="center" vertical="center" wrapText="1"/>
    </xf>
    <xf numFmtId="0" fontId="0" fillId="16" borderId="0" xfId="0" applyFill="1" applyBorder="1" applyAlignment="1">
      <alignment horizontal="right"/>
    </xf>
    <xf numFmtId="0" fontId="0" fillId="16" borderId="0" xfId="0" applyFill="1" applyBorder="1" applyAlignment="1">
      <alignment horizontal="center"/>
    </xf>
    <xf numFmtId="0" fontId="0" fillId="16" borderId="40" xfId="0" applyFill="1" applyBorder="1" applyAlignment="1">
      <alignment horizontal="center"/>
    </xf>
    <xf numFmtId="0" fontId="0" fillId="0" borderId="41" xfId="0" applyFill="1" applyBorder="1"/>
    <xf numFmtId="0" fontId="0" fillId="0" borderId="42" xfId="0" applyFill="1" applyBorder="1"/>
    <xf numFmtId="0" fontId="0" fillId="0" borderId="42" xfId="0" applyBorder="1" applyAlignment="1">
      <alignment horizontal="right"/>
    </xf>
    <xf numFmtId="0" fontId="0" fillId="0" borderId="42" xfId="0" applyFill="1" applyBorder="1" applyAlignment="1">
      <alignment horizontal="center"/>
    </xf>
    <xf numFmtId="0" fontId="0" fillId="0" borderId="43" xfId="0" applyFill="1" applyBorder="1" applyAlignment="1">
      <alignment horizontal="center"/>
    </xf>
    <xf numFmtId="0" fontId="22" fillId="0" borderId="30" xfId="0" applyFont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top" wrapText="1"/>
    </xf>
    <xf numFmtId="0" fontId="14" fillId="0" borderId="5" xfId="0" applyFont="1" applyFill="1" applyBorder="1" applyAlignment="1">
      <alignment horizontal="center" vertical="center" wrapText="1"/>
    </xf>
    <xf numFmtId="0" fontId="16" fillId="0" borderId="0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3" fillId="0" borderId="0" xfId="0" applyFont="1" applyFill="1" applyBorder="1" applyAlignment="1">
      <alignment vertical="center" wrapText="1"/>
    </xf>
    <xf numFmtId="0" fontId="23" fillId="0" borderId="0" xfId="0" applyFont="1" applyFill="1" applyBorder="1" applyAlignment="1">
      <alignment horizontal="center" wrapText="1"/>
    </xf>
    <xf numFmtId="0" fontId="23" fillId="0" borderId="0" xfId="0" applyFont="1" applyFill="1" applyBorder="1" applyAlignment="1">
      <alignment wrapText="1"/>
    </xf>
    <xf numFmtId="0" fontId="24" fillId="0" borderId="0" xfId="0" applyFont="1" applyFill="1" applyBorder="1" applyAlignment="1">
      <alignment horizontal="center" wrapText="1"/>
    </xf>
    <xf numFmtId="0" fontId="3" fillId="0" borderId="0" xfId="0" applyFont="1" applyFill="1" applyBorder="1" applyAlignment="1">
      <alignment horizontal="left" vertical="center" wrapText="1"/>
    </xf>
    <xf numFmtId="0" fontId="20" fillId="0" borderId="0" xfId="0" applyFont="1" applyFill="1" applyBorder="1"/>
    <xf numFmtId="0" fontId="25" fillId="0" borderId="0" xfId="0" applyFont="1" applyFill="1" applyBorder="1" applyAlignment="1">
      <alignment horizontal="center" wrapText="1"/>
    </xf>
    <xf numFmtId="0" fontId="14" fillId="8" borderId="1" xfId="0" applyFont="1" applyFill="1" applyBorder="1" applyAlignment="1">
      <alignment horizontal="center" vertical="center" wrapText="1"/>
    </xf>
    <xf numFmtId="0" fontId="26" fillId="0" borderId="0" xfId="0" applyFont="1" applyFill="1" applyBorder="1" applyAlignment="1">
      <alignment horizontal="center" wrapText="1"/>
    </xf>
    <xf numFmtId="0" fontId="19" fillId="0" borderId="0" xfId="0" applyFont="1" applyFill="1" applyBorder="1" applyAlignment="1">
      <alignment wrapText="1"/>
    </xf>
    <xf numFmtId="0" fontId="18" fillId="8" borderId="25" xfId="0" applyFont="1" applyFill="1" applyBorder="1" applyAlignment="1">
      <alignment horizontal="center" vertical="center" wrapText="1"/>
    </xf>
    <xf numFmtId="0" fontId="14" fillId="0" borderId="27" xfId="0" applyFont="1" applyBorder="1" applyAlignment="1">
      <alignment horizontal="center" vertical="center" wrapText="1"/>
    </xf>
    <xf numFmtId="0" fontId="11" fillId="0" borderId="1" xfId="0" quotePrefix="1" applyFont="1" applyFill="1" applyBorder="1" applyAlignment="1">
      <alignment horizontal="center" wrapText="1"/>
    </xf>
    <xf numFmtId="0" fontId="0" fillId="0" borderId="1" xfId="0" applyFill="1" applyBorder="1" applyAlignment="1">
      <alignment wrapText="1"/>
    </xf>
    <xf numFmtId="0" fontId="3" fillId="0" borderId="3" xfId="0" applyFont="1" applyFill="1" applyBorder="1" applyAlignment="1">
      <alignment horizontal="center" vertical="center"/>
    </xf>
    <xf numFmtId="169" fontId="0" fillId="0" borderId="0" xfId="1" applyNumberFormat="1" applyFont="1" applyAlignment="1"/>
    <xf numFmtId="0" fontId="0" fillId="10" borderId="1" xfId="0" applyFill="1" applyBorder="1" applyAlignment="1">
      <alignment horizontal="center" vertical="center" wrapText="1"/>
    </xf>
    <xf numFmtId="0" fontId="0" fillId="8" borderId="1" xfId="0" applyFill="1" applyBorder="1" applyAlignment="1">
      <alignment wrapText="1"/>
    </xf>
    <xf numFmtId="0" fontId="0" fillId="0" borderId="0" xfId="0" applyFill="1" applyBorder="1" applyAlignment="1">
      <alignment horizontal="center" vertical="center" wrapText="1"/>
    </xf>
    <xf numFmtId="0" fontId="0" fillId="0" borderId="14" xfId="0" applyBorder="1" applyAlignment="1">
      <alignment horizontal="center"/>
    </xf>
    <xf numFmtId="0" fontId="20" fillId="0" borderId="0" xfId="0" applyFont="1" applyFill="1" applyBorder="1" applyAlignment="1">
      <alignment wrapText="1"/>
    </xf>
    <xf numFmtId="0" fontId="21" fillId="0" borderId="0" xfId="0" applyFont="1" applyFill="1" applyBorder="1" applyAlignment="1">
      <alignment wrapText="1"/>
    </xf>
    <xf numFmtId="0" fontId="27" fillId="0" borderId="0" xfId="0" applyFont="1" applyFill="1" applyBorder="1" applyAlignment="1">
      <alignment wrapText="1"/>
    </xf>
    <xf numFmtId="0" fontId="19" fillId="0" borderId="0" xfId="0" applyFont="1" applyFill="1" applyBorder="1" applyAlignment="1">
      <alignment horizontal="center" wrapText="1"/>
    </xf>
    <xf numFmtId="0" fontId="2" fillId="0" borderId="1" xfId="0" applyFont="1" applyFill="1" applyBorder="1" applyAlignment="1">
      <alignment horizontal="center" vertical="center" wrapText="1"/>
    </xf>
    <xf numFmtId="0" fontId="3" fillId="6" borderId="13" xfId="0" applyFont="1" applyFill="1" applyBorder="1" applyAlignment="1">
      <alignment vertical="center" wrapText="1"/>
    </xf>
    <xf numFmtId="0" fontId="0" fillId="0" borderId="1" xfId="0" applyBorder="1" applyAlignment="1">
      <alignment horizontal="left" vertical="center" wrapText="1"/>
    </xf>
    <xf numFmtId="0" fontId="3" fillId="6" borderId="49" xfId="0" applyFont="1" applyFill="1" applyBorder="1" applyAlignment="1">
      <alignment vertical="center" wrapText="1"/>
    </xf>
    <xf numFmtId="0" fontId="18" fillId="8" borderId="51" xfId="0" applyFont="1" applyFill="1" applyBorder="1" applyAlignment="1">
      <alignment horizontal="center" vertical="center" wrapText="1"/>
    </xf>
    <xf numFmtId="0" fontId="18" fillId="8" borderId="35" xfId="0" applyFont="1" applyFill="1" applyBorder="1" applyAlignment="1">
      <alignment horizontal="center" vertical="center" wrapText="1"/>
    </xf>
    <xf numFmtId="0" fontId="3" fillId="6" borderId="50" xfId="0" applyFont="1" applyFill="1" applyBorder="1" applyAlignment="1">
      <alignment vertical="center" wrapText="1"/>
    </xf>
    <xf numFmtId="0" fontId="18" fillId="8" borderId="36" xfId="0" applyFont="1" applyFill="1" applyBorder="1" applyAlignment="1">
      <alignment horizontal="center" vertical="center" wrapText="1"/>
    </xf>
    <xf numFmtId="0" fontId="14" fillId="7" borderId="26" xfId="0" applyFont="1" applyFill="1" applyBorder="1" applyAlignment="1">
      <alignment horizontal="center" wrapText="1"/>
    </xf>
    <xf numFmtId="164" fontId="0" fillId="0" borderId="0" xfId="5" applyNumberFormat="1" applyFont="1"/>
    <xf numFmtId="14" fontId="2" fillId="0" borderId="0" xfId="0" applyNumberFormat="1" applyFont="1" applyFill="1" applyBorder="1" applyAlignment="1">
      <alignment horizontal="center"/>
    </xf>
    <xf numFmtId="166" fontId="2" fillId="0" borderId="0" xfId="0" applyNumberFormat="1" applyFont="1" applyFill="1" applyBorder="1" applyAlignment="1">
      <alignment horizontal="center"/>
    </xf>
    <xf numFmtId="0" fontId="2" fillId="0" borderId="0" xfId="0" applyFont="1"/>
    <xf numFmtId="0" fontId="2" fillId="0" borderId="12" xfId="0" applyFont="1" applyFill="1" applyBorder="1"/>
    <xf numFmtId="0" fontId="2" fillId="0" borderId="45" xfId="0" applyFont="1" applyFill="1" applyBorder="1"/>
    <xf numFmtId="0" fontId="2" fillId="0" borderId="0" xfId="0" applyFont="1" applyFill="1" applyBorder="1"/>
    <xf numFmtId="0" fontId="14" fillId="0" borderId="26" xfId="0" applyFont="1" applyFill="1" applyBorder="1" applyAlignment="1">
      <alignment horizontal="center" vertical="center" wrapText="1"/>
    </xf>
    <xf numFmtId="0" fontId="22" fillId="0" borderId="27" xfId="0" applyFont="1" applyBorder="1" applyAlignment="1">
      <alignment horizontal="center" vertical="center" wrapText="1"/>
    </xf>
    <xf numFmtId="0" fontId="18" fillId="8" borderId="52" xfId="0" applyFont="1" applyFill="1" applyBorder="1" applyAlignment="1">
      <alignment horizontal="center" vertical="center" wrapText="1"/>
    </xf>
    <xf numFmtId="0" fontId="10" fillId="5" borderId="33" xfId="0" applyFont="1" applyFill="1" applyBorder="1" applyAlignment="1">
      <alignment horizontal="center" vertical="center" wrapText="1"/>
    </xf>
    <xf numFmtId="0" fontId="10" fillId="5" borderId="34" xfId="0" applyFont="1" applyFill="1" applyBorder="1" applyAlignment="1">
      <alignment horizontal="center" vertical="center" wrapText="1"/>
    </xf>
    <xf numFmtId="0" fontId="3" fillId="6" borderId="13" xfId="0" applyFont="1" applyFill="1" applyBorder="1" applyAlignment="1">
      <alignment vertical="center"/>
    </xf>
    <xf numFmtId="0" fontId="3" fillId="6" borderId="49" xfId="0" applyFont="1" applyFill="1" applyBorder="1" applyAlignment="1">
      <alignment vertical="center"/>
    </xf>
    <xf numFmtId="0" fontId="3" fillId="6" borderId="50" xfId="0" applyFont="1" applyFill="1" applyBorder="1" applyAlignment="1">
      <alignment vertical="center"/>
    </xf>
    <xf numFmtId="9" fontId="2" fillId="0" borderId="1" xfId="6" applyFont="1" applyFill="1" applyBorder="1" applyAlignment="1">
      <alignment horizontal="center" vertical="center" wrapText="1"/>
    </xf>
    <xf numFmtId="0" fontId="2" fillId="0" borderId="1" xfId="0" quotePrefix="1" applyFont="1" applyFill="1" applyBorder="1" applyAlignment="1">
      <alignment horizontal="center" vertical="center" wrapText="1"/>
    </xf>
    <xf numFmtId="168" fontId="2" fillId="0" borderId="1" xfId="0" applyNumberFormat="1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vertical="center" wrapText="1"/>
    </xf>
    <xf numFmtId="0" fontId="2" fillId="0" borderId="1" xfId="0" applyFont="1" applyFill="1" applyBorder="1" applyAlignment="1">
      <alignment horizontal="center" vertical="center"/>
    </xf>
    <xf numFmtId="0" fontId="3" fillId="0" borderId="4" xfId="0" applyFont="1" applyFill="1" applyBorder="1" applyAlignment="1">
      <alignment horizontal="center" vertical="center" wrapText="1"/>
    </xf>
    <xf numFmtId="0" fontId="3" fillId="0" borderId="2" xfId="0" applyFont="1" applyFill="1" applyBorder="1" applyAlignment="1">
      <alignment horizontal="center" vertical="center" wrapText="1"/>
    </xf>
    <xf numFmtId="0" fontId="2" fillId="0" borderId="1" xfId="0" applyFont="1" applyFill="1" applyBorder="1"/>
    <xf numFmtId="0" fontId="2" fillId="0" borderId="1" xfId="0" applyFont="1" applyBorder="1"/>
    <xf numFmtId="0" fontId="0" fillId="0" borderId="0" xfId="0" applyFill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1" xfId="0" applyFill="1" applyBorder="1" applyAlignment="1">
      <alignment vertical="center"/>
    </xf>
    <xf numFmtId="0" fontId="0" fillId="0" borderId="0" xfId="0" applyFill="1" applyBorder="1" applyAlignment="1">
      <alignment vertical="center"/>
    </xf>
    <xf numFmtId="168" fontId="0" fillId="0" borderId="0" xfId="5" applyFont="1"/>
    <xf numFmtId="0" fontId="2" fillId="0" borderId="0" xfId="7"/>
    <xf numFmtId="9" fontId="0" fillId="0" borderId="0" xfId="6" applyFont="1"/>
    <xf numFmtId="168" fontId="0" fillId="0" borderId="0" xfId="0" applyNumberFormat="1" applyFill="1" applyAlignment="1">
      <alignment vertical="center"/>
    </xf>
    <xf numFmtId="0" fontId="8" fillId="0" borderId="0" xfId="0" applyFont="1" applyFill="1" applyAlignment="1">
      <alignment vertical="center"/>
    </xf>
    <xf numFmtId="166" fontId="0" fillId="0" borderId="0" xfId="0" applyNumberFormat="1" applyFill="1" applyAlignment="1">
      <alignment vertical="center"/>
    </xf>
    <xf numFmtId="166" fontId="4" fillId="0" borderId="1" xfId="0" applyNumberFormat="1" applyFont="1" applyFill="1" applyBorder="1" applyAlignment="1">
      <alignment horizontal="left" vertical="center"/>
    </xf>
    <xf numFmtId="166" fontId="3" fillId="0" borderId="0" xfId="0" applyNumberFormat="1" applyFont="1" applyFill="1" applyBorder="1" applyAlignment="1">
      <alignment vertical="center"/>
    </xf>
    <xf numFmtId="1" fontId="0" fillId="0" borderId="1" xfId="0" applyNumberFormat="1" applyFill="1" applyBorder="1" applyAlignment="1">
      <alignment horizontal="center" vertical="center"/>
    </xf>
    <xf numFmtId="1" fontId="0" fillId="0" borderId="0" xfId="0" applyNumberFormat="1" applyFill="1" applyAlignment="1">
      <alignment vertical="center"/>
    </xf>
    <xf numFmtId="1" fontId="0" fillId="0" borderId="0" xfId="0" applyNumberFormat="1" applyFill="1" applyBorder="1" applyAlignment="1">
      <alignment horizontal="center" vertical="center"/>
    </xf>
    <xf numFmtId="0" fontId="11" fillId="0" borderId="1" xfId="0" applyFont="1" applyFill="1" applyBorder="1" applyAlignment="1">
      <alignment vertical="center"/>
    </xf>
    <xf numFmtId="0" fontId="5" fillId="0" borderId="1" xfId="0" applyFont="1" applyFill="1" applyBorder="1" applyAlignment="1">
      <alignment vertical="center"/>
    </xf>
    <xf numFmtId="168" fontId="0" fillId="0" borderId="1" xfId="0" applyNumberFormat="1" applyFill="1" applyBorder="1" applyAlignment="1">
      <alignment vertical="center"/>
    </xf>
    <xf numFmtId="0" fontId="8" fillId="0" borderId="1" xfId="0" applyFont="1" applyFill="1" applyBorder="1" applyAlignment="1">
      <alignment vertical="center"/>
    </xf>
    <xf numFmtId="166" fontId="0" fillId="0" borderId="1" xfId="0" applyNumberFormat="1" applyFill="1" applyBorder="1" applyAlignment="1">
      <alignment vertical="center"/>
    </xf>
    <xf numFmtId="0" fontId="0" fillId="0" borderId="2" xfId="0" applyFill="1" applyBorder="1" applyAlignment="1">
      <alignment vertical="center"/>
    </xf>
    <xf numFmtId="0" fontId="0" fillId="0" borderId="1" xfId="0" applyFont="1" applyFill="1" applyBorder="1" applyAlignment="1">
      <alignment vertical="center"/>
    </xf>
    <xf numFmtId="168" fontId="0" fillId="0" borderId="0" xfId="0" applyNumberFormat="1" applyFill="1" applyBorder="1" applyAlignment="1">
      <alignment vertical="center"/>
    </xf>
    <xf numFmtId="0" fontId="8" fillId="0" borderId="0" xfId="0" applyFont="1" applyFill="1" applyBorder="1" applyAlignment="1">
      <alignment vertical="center"/>
    </xf>
    <xf numFmtId="166" fontId="0" fillId="0" borderId="0" xfId="0" applyNumberFormat="1" applyFill="1" applyBorder="1" applyAlignment="1">
      <alignment vertical="center"/>
    </xf>
    <xf numFmtId="0" fontId="5" fillId="0" borderId="0" xfId="0" applyFont="1" applyFill="1" applyAlignment="1">
      <alignment horizontal="left"/>
    </xf>
    <xf numFmtId="0" fontId="8" fillId="0" borderId="0" xfId="0" applyFont="1" applyFill="1" applyAlignment="1">
      <alignment vertical="center" wrapText="1"/>
    </xf>
    <xf numFmtId="0" fontId="2" fillId="0" borderId="1" xfId="0" applyFont="1" applyFill="1" applyBorder="1" applyAlignment="1">
      <alignment horizontal="center" wrapText="1"/>
    </xf>
    <xf numFmtId="0" fontId="8" fillId="0" borderId="0" xfId="0" applyFont="1" applyFill="1" applyBorder="1" applyAlignment="1">
      <alignment horizontal="center" wrapText="1"/>
    </xf>
    <xf numFmtId="0" fontId="8" fillId="0" borderId="1" xfId="0" applyFont="1" applyBorder="1"/>
    <xf numFmtId="0" fontId="30" fillId="0" borderId="3" xfId="0" applyFont="1" applyFill="1" applyBorder="1" applyAlignment="1">
      <alignment wrapText="1"/>
    </xf>
    <xf numFmtId="0" fontId="30" fillId="0" borderId="0" xfId="0" applyFont="1" applyFill="1" applyBorder="1" applyAlignment="1">
      <alignment wrapText="1"/>
    </xf>
    <xf numFmtId="0" fontId="6" fillId="0" borderId="0" xfId="0" applyFont="1" applyFill="1"/>
    <xf numFmtId="0" fontId="2" fillId="0" borderId="0" xfId="0" applyFont="1" applyAlignment="1"/>
    <xf numFmtId="169" fontId="0" fillId="0" borderId="0" xfId="1" applyNumberFormat="1" applyFont="1" applyFill="1"/>
    <xf numFmtId="0" fontId="6" fillId="0" borderId="0" xfId="0" applyFont="1" applyFill="1" applyAlignment="1">
      <alignment wrapText="1"/>
    </xf>
    <xf numFmtId="0" fontId="0" fillId="0" borderId="1" xfId="7" applyFont="1" applyFill="1" applyBorder="1" applyAlignment="1">
      <alignment horizontal="left" vertical="center" wrapText="1"/>
    </xf>
    <xf numFmtId="0" fontId="5" fillId="7" borderId="1" xfId="0" applyFont="1" applyFill="1" applyBorder="1" applyAlignment="1"/>
    <xf numFmtId="0" fontId="5" fillId="0" borderId="1" xfId="0" applyFont="1" applyFill="1" applyBorder="1" applyAlignment="1">
      <alignment horizontal="center" vertical="center"/>
    </xf>
    <xf numFmtId="0" fontId="31" fillId="0" borderId="0" xfId="15"/>
    <xf numFmtId="0" fontId="0" fillId="17" borderId="1" xfId="0" applyFill="1" applyBorder="1"/>
    <xf numFmtId="0" fontId="0" fillId="0" borderId="1" xfId="0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/>
    </xf>
    <xf numFmtId="0" fontId="4" fillId="0" borderId="1" xfId="0" applyFont="1" applyFill="1" applyBorder="1" applyAlignment="1">
      <alignment horizontal="left"/>
    </xf>
    <xf numFmtId="0" fontId="0" fillId="0" borderId="0" xfId="0" applyAlignment="1">
      <alignment horizontal="center"/>
    </xf>
    <xf numFmtId="0" fontId="20" fillId="0" borderId="0" xfId="0" applyFont="1" applyFill="1" applyBorder="1" applyAlignment="1">
      <alignment wrapText="1"/>
    </xf>
    <xf numFmtId="0" fontId="3" fillId="0" borderId="0" xfId="0" applyFont="1" applyFill="1" applyBorder="1" applyAlignment="1">
      <alignment horizontal="right" vertical="center" wrapText="1"/>
    </xf>
    <xf numFmtId="0" fontId="19" fillId="0" borderId="0" xfId="0" applyFont="1" applyFill="1" applyBorder="1" applyAlignment="1">
      <alignment horizontal="center" wrapText="1"/>
    </xf>
    <xf numFmtId="1" fontId="0" fillId="0" borderId="1" xfId="0" applyNumberFormat="1" applyFill="1" applyBorder="1"/>
    <xf numFmtId="1" fontId="11" fillId="0" borderId="1" xfId="0" applyNumberFormat="1" applyFont="1" applyFill="1" applyBorder="1"/>
    <xf numFmtId="0" fontId="11" fillId="0" borderId="1" xfId="0" applyFont="1" applyFill="1" applyBorder="1"/>
    <xf numFmtId="0" fontId="6" fillId="0" borderId="0" xfId="0" applyFont="1" applyFill="1" applyBorder="1"/>
    <xf numFmtId="0" fontId="0" fillId="0" borderId="53" xfId="0" applyFill="1" applyBorder="1"/>
    <xf numFmtId="0" fontId="0" fillId="0" borderId="1" xfId="0" applyFill="1" applyBorder="1" applyAlignment="1">
      <alignment horizontal="left"/>
    </xf>
    <xf numFmtId="0" fontId="32" fillId="0" borderId="1" xfId="0" applyFont="1" applyFill="1" applyBorder="1" applyAlignment="1" applyProtection="1">
      <alignment horizontal="left" vertical="center" wrapText="1"/>
      <protection locked="0"/>
    </xf>
    <xf numFmtId="0" fontId="0" fillId="0" borderId="3" xfId="0" applyFill="1" applyBorder="1"/>
    <xf numFmtId="0" fontId="22" fillId="0" borderId="14" xfId="0" applyFont="1" applyFill="1" applyBorder="1" applyAlignment="1">
      <alignment horizontal="center" vertical="center" wrapText="1"/>
    </xf>
    <xf numFmtId="0" fontId="22" fillId="0" borderId="14" xfId="0" applyFont="1" applyFill="1" applyBorder="1" applyAlignment="1">
      <alignment horizontal="center" wrapText="1"/>
    </xf>
    <xf numFmtId="0" fontId="14" fillId="0" borderId="26" xfId="0" applyFont="1" applyFill="1" applyBorder="1" applyAlignment="1">
      <alignment horizontal="center" wrapText="1"/>
    </xf>
    <xf numFmtId="0" fontId="14" fillId="0" borderId="27" xfId="0" applyFont="1" applyFill="1" applyBorder="1" applyAlignment="1">
      <alignment horizontal="center" wrapText="1"/>
    </xf>
    <xf numFmtId="0" fontId="2" fillId="0" borderId="26" xfId="0" applyFont="1" applyFill="1" applyBorder="1"/>
    <xf numFmtId="0" fontId="18" fillId="8" borderId="39" xfId="0" applyFont="1" applyFill="1" applyBorder="1" applyAlignment="1">
      <alignment horizontal="center" vertical="center" wrapText="1"/>
    </xf>
    <xf numFmtId="0" fontId="3" fillId="7" borderId="0" xfId="0" applyFont="1" applyFill="1" applyBorder="1" applyAlignment="1">
      <alignment horizontal="left" vertical="center" wrapText="1"/>
    </xf>
    <xf numFmtId="0" fontId="18" fillId="8" borderId="54" xfId="0" applyFont="1" applyFill="1" applyBorder="1" applyAlignment="1">
      <alignment horizontal="center" vertical="center" wrapText="1"/>
    </xf>
    <xf numFmtId="0" fontId="10" fillId="0" borderId="55" xfId="0" applyFont="1" applyFill="1" applyBorder="1" applyAlignment="1">
      <alignment horizontal="center" vertical="center" wrapText="1"/>
    </xf>
    <xf numFmtId="0" fontId="10" fillId="0" borderId="56" xfId="0" applyFont="1" applyFill="1" applyBorder="1" applyAlignment="1">
      <alignment horizontal="center" vertical="center" wrapText="1"/>
    </xf>
    <xf numFmtId="0" fontId="3" fillId="6" borderId="12" xfId="0" applyFont="1" applyFill="1" applyBorder="1" applyAlignment="1">
      <alignment vertical="center" wrapText="1"/>
    </xf>
    <xf numFmtId="0" fontId="3" fillId="6" borderId="46" xfId="0" applyFont="1" applyFill="1" applyBorder="1" applyAlignment="1">
      <alignment vertical="center" wrapText="1"/>
    </xf>
    <xf numFmtId="0" fontId="3" fillId="6" borderId="41" xfId="0" applyFont="1" applyFill="1" applyBorder="1" applyAlignment="1">
      <alignment vertical="center" wrapText="1"/>
    </xf>
    <xf numFmtId="0" fontId="18" fillId="8" borderId="57" xfId="0" applyFont="1" applyFill="1" applyBorder="1" applyAlignment="1">
      <alignment horizontal="center" vertical="center" wrapText="1"/>
    </xf>
    <xf numFmtId="0" fontId="14" fillId="18" borderId="19" xfId="0" applyFont="1" applyFill="1" applyBorder="1" applyAlignment="1">
      <alignment horizontal="center" vertical="center" wrapText="1"/>
    </xf>
    <xf numFmtId="0" fontId="14" fillId="18" borderId="20" xfId="0" applyFont="1" applyFill="1" applyBorder="1" applyAlignment="1">
      <alignment horizontal="center" vertical="center" wrapText="1"/>
    </xf>
    <xf numFmtId="0" fontId="0" fillId="0" borderId="27" xfId="0" applyBorder="1"/>
    <xf numFmtId="0" fontId="14" fillId="7" borderId="55" xfId="0" applyFont="1" applyFill="1" applyBorder="1" applyAlignment="1">
      <alignment horizontal="center" vertical="center" wrapText="1"/>
    </xf>
    <xf numFmtId="0" fontId="33" fillId="19" borderId="9" xfId="0" applyFont="1" applyFill="1" applyBorder="1" applyAlignment="1">
      <alignment horizontal="center" vertical="center" wrapText="1"/>
    </xf>
    <xf numFmtId="0" fontId="33" fillId="19" borderId="10" xfId="0" applyFont="1" applyFill="1" applyBorder="1" applyAlignment="1">
      <alignment horizontal="center" vertical="center" wrapText="1"/>
    </xf>
    <xf numFmtId="0" fontId="33" fillId="19" borderId="11" xfId="0" applyFont="1" applyFill="1" applyBorder="1" applyAlignment="1">
      <alignment horizontal="center" vertical="center" wrapText="1"/>
    </xf>
    <xf numFmtId="0" fontId="14" fillId="20" borderId="1" xfId="0" applyFont="1" applyFill="1" applyBorder="1" applyAlignment="1">
      <alignment horizontal="center" vertical="center" wrapText="1"/>
    </xf>
    <xf numFmtId="0" fontId="0" fillId="21" borderId="15" xfId="0" applyFill="1" applyBorder="1"/>
    <xf numFmtId="0" fontId="14" fillId="21" borderId="1" xfId="0" applyFont="1" applyFill="1" applyBorder="1" applyAlignment="1">
      <alignment horizontal="center" vertical="center" wrapText="1"/>
    </xf>
    <xf numFmtId="0" fontId="14" fillId="21" borderId="5" xfId="0" applyFont="1" applyFill="1" applyBorder="1" applyAlignment="1">
      <alignment horizontal="center" vertical="center" wrapText="1"/>
    </xf>
    <xf numFmtId="0" fontId="14" fillId="21" borderId="26" xfId="0" applyFont="1" applyFill="1" applyBorder="1" applyAlignment="1">
      <alignment horizontal="center" vertical="center" wrapText="1"/>
    </xf>
    <xf numFmtId="0" fontId="14" fillId="20" borderId="5" xfId="0" applyFont="1" applyFill="1" applyBorder="1" applyAlignment="1">
      <alignment horizontal="center" vertical="center" wrapText="1"/>
    </xf>
    <xf numFmtId="0" fontId="18" fillId="8" borderId="58" xfId="0" applyFont="1" applyFill="1" applyBorder="1" applyAlignment="1">
      <alignment horizontal="center" vertical="center" wrapText="1"/>
    </xf>
    <xf numFmtId="0" fontId="0" fillId="14" borderId="1" xfId="0" applyFill="1" applyBorder="1" applyAlignment="1">
      <alignment horizontal="center" vertical="center"/>
    </xf>
    <xf numFmtId="0" fontId="14" fillId="20" borderId="55" xfId="0" applyFont="1" applyFill="1" applyBorder="1" applyAlignment="1">
      <alignment horizontal="center" vertical="center" wrapText="1"/>
    </xf>
    <xf numFmtId="0" fontId="14" fillId="20" borderId="26" xfId="0" applyFont="1" applyFill="1" applyBorder="1" applyAlignment="1">
      <alignment horizontal="center" vertical="center" wrapText="1"/>
    </xf>
    <xf numFmtId="0" fontId="0" fillId="12" borderId="1" xfId="0" applyFill="1" applyBorder="1" applyAlignment="1">
      <alignment horizontal="center" vertical="center"/>
    </xf>
    <xf numFmtId="0" fontId="0" fillId="12" borderId="26" xfId="0" applyFill="1" applyBorder="1" applyAlignment="1">
      <alignment horizontal="center" vertical="center"/>
    </xf>
    <xf numFmtId="0" fontId="34" fillId="12" borderId="1" xfId="0" applyFont="1" applyFill="1" applyBorder="1" applyAlignment="1">
      <alignment horizontal="center" vertical="center"/>
    </xf>
    <xf numFmtId="0" fontId="35" fillId="20" borderId="5" xfId="0" applyFont="1" applyFill="1" applyBorder="1" applyAlignment="1">
      <alignment horizontal="center" vertical="center" wrapText="1"/>
    </xf>
    <xf numFmtId="0" fontId="35" fillId="20" borderId="1" xfId="0" applyFont="1" applyFill="1" applyBorder="1" applyAlignment="1">
      <alignment horizontal="center" vertical="center" wrapText="1"/>
    </xf>
    <xf numFmtId="0" fontId="35" fillId="21" borderId="1" xfId="0" applyFont="1" applyFill="1" applyBorder="1" applyAlignment="1">
      <alignment horizontal="center" vertical="center" wrapText="1"/>
    </xf>
    <xf numFmtId="0" fontId="35" fillId="7" borderId="1" xfId="0" applyFont="1" applyFill="1" applyBorder="1" applyAlignment="1">
      <alignment horizontal="center" vertical="center" wrapText="1"/>
    </xf>
    <xf numFmtId="0" fontId="35" fillId="0" borderId="1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 wrapText="1"/>
    </xf>
    <xf numFmtId="0" fontId="2" fillId="0" borderId="1" xfId="7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wrapText="1"/>
    </xf>
    <xf numFmtId="0" fontId="36" fillId="0" borderId="1" xfId="0" applyFont="1" applyFill="1" applyBorder="1" applyAlignment="1">
      <alignment horizontal="center" vertical="center" wrapText="1"/>
    </xf>
    <xf numFmtId="168" fontId="2" fillId="0" borderId="1" xfId="7" applyNumberFormat="1" applyFont="1" applyFill="1" applyBorder="1" applyAlignment="1">
      <alignment horizontal="center" vertical="center" wrapText="1"/>
    </xf>
    <xf numFmtId="0" fontId="37" fillId="0" borderId="1" xfId="0" applyFont="1" applyFill="1" applyBorder="1" applyAlignment="1">
      <alignment horizontal="center" vertical="center" wrapText="1"/>
    </xf>
    <xf numFmtId="3" fontId="0" fillId="0" borderId="0" xfId="0" applyNumberFormat="1" applyFill="1" applyAlignment="1">
      <alignment vertical="center" wrapText="1"/>
    </xf>
    <xf numFmtId="0" fontId="0" fillId="0" borderId="3" xfId="0" applyFill="1" applyBorder="1" applyAlignment="1">
      <alignment horizontal="center"/>
    </xf>
    <xf numFmtId="9" fontId="13" fillId="0" borderId="1" xfId="16" applyFont="1" applyFill="1" applyBorder="1" applyAlignment="1">
      <alignment horizontal="center" vertical="center" wrapText="1"/>
    </xf>
    <xf numFmtId="1" fontId="4" fillId="0" borderId="1" xfId="0" applyNumberFormat="1" applyFont="1" applyFill="1" applyBorder="1" applyAlignment="1">
      <alignment horizontal="center" vertical="center" wrapText="1"/>
    </xf>
    <xf numFmtId="0" fontId="0" fillId="0" borderId="5" xfId="0" applyFill="1" applyBorder="1" applyAlignment="1">
      <alignment horizontal="center"/>
    </xf>
    <xf numFmtId="0" fontId="5" fillId="0" borderId="5" xfId="0" applyFont="1" applyFill="1" applyBorder="1" applyAlignment="1"/>
    <xf numFmtId="1" fontId="0" fillId="0" borderId="5" xfId="0" applyNumberFormat="1" applyFill="1" applyBorder="1"/>
    <xf numFmtId="0" fontId="4" fillId="0" borderId="1" xfId="0" applyFont="1" applyFill="1" applyBorder="1" applyAlignment="1">
      <alignment vertical="center" wrapText="1"/>
    </xf>
    <xf numFmtId="1" fontId="0" fillId="0" borderId="33" xfId="0" applyNumberFormat="1" applyFill="1" applyBorder="1"/>
    <xf numFmtId="1" fontId="4" fillId="0" borderId="5" xfId="0" applyNumberFormat="1" applyFont="1" applyFill="1" applyBorder="1"/>
    <xf numFmtId="0" fontId="4" fillId="0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0" fillId="0" borderId="0" xfId="0" applyFont="1" applyFill="1"/>
    <xf numFmtId="0" fontId="39" fillId="0" borderId="1" xfId="0" applyFont="1" applyFill="1" applyBorder="1" applyAlignment="1">
      <alignment horizontal="center" vertical="center" wrapText="1"/>
    </xf>
    <xf numFmtId="0" fontId="40" fillId="0" borderId="1" xfId="7" applyFont="1" applyFill="1" applyBorder="1" applyAlignment="1">
      <alignment horizontal="left" vertical="center" wrapText="1"/>
    </xf>
    <xf numFmtId="0" fontId="5" fillId="0" borderId="1" xfId="0" applyFont="1" applyFill="1" applyBorder="1" applyAlignment="1">
      <alignment horizontal="left" wrapText="1"/>
    </xf>
    <xf numFmtId="0" fontId="5" fillId="0" borderId="1" xfId="0" applyFont="1" applyFill="1" applyBorder="1" applyAlignment="1">
      <alignment horizontal="left"/>
    </xf>
    <xf numFmtId="0" fontId="32" fillId="7" borderId="1" xfId="0" applyFont="1" applyFill="1" applyBorder="1" applyAlignment="1" applyProtection="1">
      <alignment horizontal="left" vertical="center" wrapText="1"/>
      <protection locked="0"/>
    </xf>
    <xf numFmtId="0" fontId="8" fillId="0" borderId="1" xfId="0" applyFont="1" applyFill="1" applyBorder="1" applyAlignment="1">
      <alignment horizontal="center" wrapText="1"/>
    </xf>
    <xf numFmtId="0" fontId="8" fillId="0" borderId="1" xfId="0" applyFont="1" applyFill="1" applyBorder="1"/>
    <xf numFmtId="0" fontId="0" fillId="7" borderId="1" xfId="0" applyFill="1" applyBorder="1" applyAlignment="1">
      <alignment horizontal="center" vertical="center" wrapText="1"/>
    </xf>
    <xf numFmtId="0" fontId="0" fillId="7" borderId="53" xfId="0" applyFill="1" applyBorder="1" applyAlignment="1">
      <alignment horizontal="center" vertical="center" wrapText="1"/>
    </xf>
    <xf numFmtId="0" fontId="0" fillId="7" borderId="1" xfId="0" applyFill="1" applyBorder="1"/>
    <xf numFmtId="0" fontId="0" fillId="7" borderId="1" xfId="0" applyFill="1" applyBorder="1" applyAlignment="1">
      <alignment horizontal="center" vertical="center"/>
    </xf>
    <xf numFmtId="0" fontId="5" fillId="7" borderId="1" xfId="0" applyFont="1" applyFill="1" applyBorder="1" applyAlignment="1">
      <alignment horizontal="center" vertical="center" wrapText="1"/>
    </xf>
    <xf numFmtId="0" fontId="0" fillId="7" borderId="1" xfId="0" applyFill="1" applyBorder="1" applyAlignment="1">
      <alignment wrapText="1"/>
    </xf>
    <xf numFmtId="0" fontId="2" fillId="7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/>
    </xf>
    <xf numFmtId="0" fontId="0" fillId="0" borderId="2" xfId="0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/>
    </xf>
    <xf numFmtId="0" fontId="0" fillId="0" borderId="0" xfId="0" applyAlignment="1">
      <alignment wrapText="1"/>
    </xf>
    <xf numFmtId="0" fontId="3" fillId="0" borderId="59" xfId="0" applyFont="1" applyBorder="1" applyAlignment="1">
      <alignment horizontal="center"/>
    </xf>
    <xf numFmtId="0" fontId="45" fillId="22" borderId="20" xfId="0" applyFont="1" applyFill="1" applyBorder="1" applyAlignment="1">
      <alignment horizontal="center" vertical="center" wrapText="1"/>
    </xf>
    <xf numFmtId="0" fontId="45" fillId="23" borderId="20" xfId="0" applyFont="1" applyFill="1" applyBorder="1" applyAlignment="1">
      <alignment horizontal="center" vertical="center" wrapText="1"/>
    </xf>
    <xf numFmtId="0" fontId="45" fillId="22" borderId="51" xfId="0" applyFont="1" applyFill="1" applyBorder="1" applyAlignment="1">
      <alignment horizontal="center" vertical="center" wrapText="1"/>
    </xf>
    <xf numFmtId="0" fontId="45" fillId="23" borderId="51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12" fillId="0" borderId="14" xfId="0" applyFont="1" applyFill="1" applyBorder="1" applyAlignment="1">
      <alignment horizontal="center" vertical="center"/>
    </xf>
    <xf numFmtId="0" fontId="12" fillId="0" borderId="35" xfId="0" applyFont="1" applyFill="1" applyBorder="1" applyAlignment="1">
      <alignment horizontal="center" vertical="center"/>
    </xf>
    <xf numFmtId="0" fontId="12" fillId="0" borderId="22" xfId="0" applyFont="1" applyFill="1" applyBorder="1" applyAlignment="1">
      <alignment horizontal="center" vertical="center"/>
    </xf>
    <xf numFmtId="0" fontId="2" fillId="0" borderId="14" xfId="0" applyFont="1" applyFill="1" applyBorder="1" applyAlignment="1">
      <alignment horizontal="right" vertical="center" wrapText="1"/>
    </xf>
    <xf numFmtId="0" fontId="12" fillId="0" borderId="14" xfId="0" applyFont="1" applyFill="1" applyBorder="1" applyAlignment="1">
      <alignment horizontal="center" vertical="center" wrapText="1"/>
    </xf>
    <xf numFmtId="0" fontId="12" fillId="0" borderId="35" xfId="0" applyFont="1" applyFill="1" applyBorder="1" applyAlignment="1">
      <alignment horizontal="center" vertical="center" wrapText="1"/>
    </xf>
    <xf numFmtId="0" fontId="12" fillId="0" borderId="22" xfId="0" applyFont="1" applyFill="1" applyBorder="1" applyAlignment="1">
      <alignment horizontal="center" vertical="center" wrapText="1"/>
    </xf>
    <xf numFmtId="0" fontId="2" fillId="0" borderId="14" xfId="0" applyFont="1" applyFill="1" applyBorder="1" applyAlignment="1">
      <alignment horizontal="center" vertical="center" wrapText="1"/>
    </xf>
    <xf numFmtId="0" fontId="3" fillId="24" borderId="27" xfId="0" applyFont="1" applyFill="1" applyBorder="1" applyAlignment="1">
      <alignment horizontal="center" vertical="center" wrapText="1"/>
    </xf>
    <xf numFmtId="0" fontId="12" fillId="24" borderId="27" xfId="0" applyFont="1" applyFill="1" applyBorder="1" applyAlignment="1">
      <alignment horizontal="center" vertical="center" wrapText="1"/>
    </xf>
    <xf numFmtId="0" fontId="12" fillId="24" borderId="36" xfId="0" applyFont="1" applyFill="1" applyBorder="1" applyAlignment="1">
      <alignment horizontal="center" vertical="center" wrapText="1"/>
    </xf>
    <xf numFmtId="0" fontId="12" fillId="24" borderId="24" xfId="0" applyFont="1" applyFill="1" applyBorder="1" applyAlignment="1">
      <alignment horizontal="center" vertical="center" wrapText="1"/>
    </xf>
    <xf numFmtId="9" fontId="0" fillId="0" borderId="0" xfId="17" applyFont="1"/>
    <xf numFmtId="0" fontId="12" fillId="0" borderId="20" xfId="0" applyFont="1" applyFill="1" applyBorder="1" applyAlignment="1">
      <alignment horizontal="center" vertical="center"/>
    </xf>
    <xf numFmtId="0" fontId="12" fillId="0" borderId="51" xfId="0" applyFont="1" applyFill="1" applyBorder="1" applyAlignment="1">
      <alignment horizontal="center" vertical="center"/>
    </xf>
    <xf numFmtId="0" fontId="12" fillId="0" borderId="18" xfId="0" applyFont="1" applyFill="1" applyBorder="1" applyAlignment="1">
      <alignment horizontal="center" vertical="center"/>
    </xf>
    <xf numFmtId="0" fontId="12" fillId="24" borderId="56" xfId="0" applyFont="1" applyFill="1" applyBorder="1" applyAlignment="1">
      <alignment horizontal="center" vertical="center" wrapText="1"/>
    </xf>
    <xf numFmtId="0" fontId="12" fillId="24" borderId="57" xfId="0" applyFont="1" applyFill="1" applyBorder="1" applyAlignment="1">
      <alignment horizontal="center" vertical="center" wrapText="1"/>
    </xf>
    <xf numFmtId="0" fontId="12" fillId="24" borderId="50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65" xfId="0" applyFont="1" applyFill="1" applyBorder="1" applyAlignment="1">
      <alignment horizontal="center" vertical="center" wrapText="1"/>
    </xf>
    <xf numFmtId="0" fontId="12" fillId="7" borderId="19" xfId="0" applyFont="1" applyFill="1" applyBorder="1" applyAlignment="1">
      <alignment horizontal="center" vertical="center"/>
    </xf>
    <xf numFmtId="0" fontId="12" fillId="0" borderId="19" xfId="0" applyFont="1" applyFill="1" applyBorder="1" applyAlignment="1">
      <alignment horizontal="center" vertical="center"/>
    </xf>
    <xf numFmtId="0" fontId="2" fillId="0" borderId="3" xfId="0" applyFont="1" applyFill="1" applyBorder="1" applyAlignment="1">
      <alignment horizontal="center" vertical="center" wrapText="1"/>
    </xf>
    <xf numFmtId="0" fontId="12" fillId="0" borderId="1" xfId="0" applyFont="1" applyFill="1" applyBorder="1" applyAlignment="1">
      <alignment horizontal="center" vertical="center"/>
    </xf>
    <xf numFmtId="0" fontId="12" fillId="7" borderId="1" xfId="0" applyFont="1" applyFill="1" applyBorder="1" applyAlignment="1">
      <alignment horizontal="center" vertical="center"/>
    </xf>
    <xf numFmtId="1" fontId="12" fillId="0" borderId="1" xfId="0" applyNumberFormat="1" applyFont="1" applyFill="1" applyBorder="1" applyAlignment="1">
      <alignment horizontal="center" vertical="center"/>
    </xf>
    <xf numFmtId="1" fontId="12" fillId="0" borderId="14" xfId="0" applyNumberFormat="1" applyFont="1" applyFill="1" applyBorder="1" applyAlignment="1">
      <alignment horizontal="center" vertical="center"/>
    </xf>
    <xf numFmtId="0" fontId="2" fillId="0" borderId="66" xfId="0" applyFont="1" applyFill="1" applyBorder="1" applyAlignment="1">
      <alignment horizontal="center" vertical="center" wrapText="1"/>
    </xf>
    <xf numFmtId="0" fontId="12" fillId="24" borderId="26" xfId="0" applyFont="1" applyFill="1" applyBorder="1" applyAlignment="1">
      <alignment horizontal="center" vertical="center" wrapText="1"/>
    </xf>
    <xf numFmtId="0" fontId="12" fillId="24" borderId="59" xfId="0" applyFont="1" applyFill="1" applyBorder="1" applyAlignment="1">
      <alignment horizontal="center" vertical="center" wrapText="1"/>
    </xf>
    <xf numFmtId="0" fontId="12" fillId="24" borderId="31" xfId="0" applyFont="1" applyFill="1" applyBorder="1" applyAlignment="1">
      <alignment horizontal="center" vertical="center" wrapText="1"/>
    </xf>
    <xf numFmtId="0" fontId="12" fillId="24" borderId="15" xfId="0" applyFont="1" applyFill="1" applyBorder="1" applyAlignment="1">
      <alignment horizontal="center" vertical="center" wrapText="1"/>
    </xf>
    <xf numFmtId="0" fontId="46" fillId="0" borderId="15" xfId="0" applyFont="1" applyFill="1" applyBorder="1" applyAlignment="1">
      <alignment vertical="center" wrapText="1"/>
    </xf>
    <xf numFmtId="0" fontId="2" fillId="0" borderId="59" xfId="0" applyFont="1" applyFill="1" applyBorder="1" applyAlignment="1">
      <alignment horizontal="center" vertical="center" wrapText="1"/>
    </xf>
    <xf numFmtId="0" fontId="12" fillId="0" borderId="59" xfId="0" applyFont="1" applyFill="1" applyBorder="1" applyAlignment="1">
      <alignment horizontal="center" vertical="center"/>
    </xf>
    <xf numFmtId="0" fontId="12" fillId="0" borderId="31" xfId="0" applyFont="1" applyFill="1" applyBorder="1" applyAlignment="1">
      <alignment horizontal="center" vertical="center"/>
    </xf>
    <xf numFmtId="0" fontId="12" fillId="0" borderId="15" xfId="0" applyFont="1" applyFill="1" applyBorder="1" applyAlignment="1">
      <alignment horizontal="center" vertical="center"/>
    </xf>
    <xf numFmtId="9" fontId="0" fillId="0" borderId="0" xfId="17" applyNumberFormat="1" applyFont="1"/>
    <xf numFmtId="3" fontId="0" fillId="0" borderId="0" xfId="0" applyNumberFormat="1"/>
    <xf numFmtId="0" fontId="6" fillId="7" borderId="0" xfId="0" applyFont="1" applyFill="1"/>
    <xf numFmtId="0" fontId="0" fillId="7" borderId="0" xfId="0" applyFill="1"/>
    <xf numFmtId="0" fontId="3" fillId="7" borderId="6" xfId="0" applyFont="1" applyFill="1" applyBorder="1" applyAlignment="1"/>
    <xf numFmtId="0" fontId="3" fillId="7" borderId="7" xfId="0" applyFont="1" applyFill="1" applyBorder="1" applyAlignment="1"/>
    <xf numFmtId="0" fontId="0" fillId="25" borderId="1" xfId="0" applyFill="1" applyBorder="1"/>
    <xf numFmtId="0" fontId="0" fillId="0" borderId="0" xfId="0" applyFont="1" applyFill="1" applyBorder="1"/>
    <xf numFmtId="0" fontId="0" fillId="0" borderId="1" xfId="0" applyFont="1" applyFill="1" applyBorder="1"/>
    <xf numFmtId="0" fontId="0" fillId="10" borderId="0" xfId="0" applyFill="1"/>
    <xf numFmtId="0" fontId="0" fillId="7" borderId="0" xfId="0" applyFill="1" applyBorder="1"/>
    <xf numFmtId="0" fontId="1" fillId="0" borderId="1" xfId="19" applyBorder="1" applyAlignment="1">
      <alignment horizontal="left"/>
    </xf>
    <xf numFmtId="0" fontId="0" fillId="0" borderId="2" xfId="0" applyFill="1" applyBorder="1" applyAlignment="1">
      <alignment horizontal="center" vertical="center"/>
    </xf>
    <xf numFmtId="0" fontId="2" fillId="0" borderId="0" xfId="0" applyFont="1" applyFill="1"/>
    <xf numFmtId="0" fontId="0" fillId="25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6" fillId="7" borderId="0" xfId="0" applyFont="1" applyFill="1" applyBorder="1"/>
    <xf numFmtId="1" fontId="0" fillId="7" borderId="1" xfId="0" applyNumberFormat="1" applyFill="1" applyBorder="1" applyAlignment="1">
      <alignment horizontal="center"/>
    </xf>
    <xf numFmtId="1" fontId="0" fillId="7" borderId="1" xfId="0" applyNumberFormat="1" applyFill="1" applyBorder="1"/>
    <xf numFmtId="1" fontId="4" fillId="7" borderId="1" xfId="0" applyNumberFormat="1" applyFont="1" applyFill="1" applyBorder="1"/>
    <xf numFmtId="1" fontId="0" fillId="7" borderId="0" xfId="0" applyNumberFormat="1" applyFill="1"/>
    <xf numFmtId="0" fontId="2" fillId="7" borderId="1" xfId="0" applyFont="1" applyFill="1" applyBorder="1"/>
    <xf numFmtId="0" fontId="0" fillId="0" borderId="1" xfId="0" applyFill="1" applyBorder="1" applyAlignment="1">
      <alignment horizontal="center"/>
    </xf>
    <xf numFmtId="0" fontId="2" fillId="0" borderId="3" xfId="0" applyFont="1" applyFill="1" applyBorder="1"/>
    <xf numFmtId="0" fontId="2" fillId="0" borderId="0" xfId="0" applyFont="1" applyFill="1" applyBorder="1" applyAlignment="1"/>
    <xf numFmtId="0" fontId="0" fillId="10" borderId="1" xfId="0" applyFill="1" applyBorder="1"/>
    <xf numFmtId="0" fontId="2" fillId="10" borderId="1" xfId="0" applyFont="1" applyFill="1" applyBorder="1"/>
    <xf numFmtId="0" fontId="0" fillId="0" borderId="0" xfId="0" applyFill="1" applyBorder="1" applyAlignment="1">
      <alignment horizontal="left" vertical="center" wrapText="1"/>
    </xf>
    <xf numFmtId="0" fontId="0" fillId="0" borderId="0" xfId="0" applyBorder="1" applyAlignment="1"/>
    <xf numFmtId="0" fontId="0" fillId="0" borderId="1" xfId="0" applyFill="1" applyBorder="1" applyAlignment="1">
      <alignment horizontal="center"/>
    </xf>
    <xf numFmtId="0" fontId="0" fillId="0" borderId="33" xfId="0" applyFill="1" applyBorder="1" applyAlignment="1">
      <alignment horizontal="center"/>
    </xf>
    <xf numFmtId="0" fontId="0" fillId="0" borderId="34" xfId="0" applyFill="1" applyBorder="1" applyAlignment="1">
      <alignment horizontal="center"/>
    </xf>
    <xf numFmtId="0" fontId="0" fillId="0" borderId="14" xfId="0" applyFill="1" applyBorder="1" applyAlignment="1">
      <alignment horizontal="center"/>
    </xf>
    <xf numFmtId="0" fontId="48" fillId="14" borderId="1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 wrapText="1"/>
    </xf>
    <xf numFmtId="0" fontId="12" fillId="0" borderId="0" xfId="0" applyFont="1" applyFill="1" applyBorder="1" applyAlignment="1">
      <alignment horizontal="left" wrapText="1"/>
    </xf>
    <xf numFmtId="0" fontId="12" fillId="0" borderId="47" xfId="0" applyFont="1" applyFill="1" applyBorder="1" applyAlignment="1">
      <alignment horizontal="left" wrapText="1"/>
    </xf>
    <xf numFmtId="0" fontId="11" fillId="0" borderId="1" xfId="0" applyFont="1" applyFill="1" applyBorder="1" applyAlignment="1">
      <alignment horizontal="left"/>
    </xf>
    <xf numFmtId="0" fontId="4" fillId="0" borderId="1" xfId="0" applyFont="1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2" fillId="0" borderId="1" xfId="0" applyFont="1" applyFill="1" applyBorder="1" applyAlignment="1">
      <alignment horizontal="left"/>
    </xf>
    <xf numFmtId="0" fontId="0" fillId="0" borderId="3" xfId="0" applyFill="1" applyBorder="1" applyAlignment="1">
      <alignment horizontal="center"/>
    </xf>
    <xf numFmtId="0" fontId="0" fillId="0" borderId="6" xfId="0" applyFill="1" applyBorder="1" applyAlignment="1">
      <alignment horizontal="center"/>
    </xf>
    <xf numFmtId="0" fontId="0" fillId="0" borderId="7" xfId="0" applyFill="1" applyBorder="1" applyAlignment="1">
      <alignment horizontal="center"/>
    </xf>
    <xf numFmtId="0" fontId="2" fillId="0" borderId="5" xfId="7" applyFont="1" applyFill="1" applyBorder="1" applyAlignment="1">
      <alignment horizontal="center" vertical="center" wrapText="1"/>
    </xf>
    <xf numFmtId="0" fontId="2" fillId="0" borderId="33" xfId="7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33" xfId="0" applyFont="1" applyFill="1" applyBorder="1" applyAlignment="1">
      <alignment horizontal="center" vertical="center" wrapText="1"/>
    </xf>
    <xf numFmtId="168" fontId="0" fillId="0" borderId="5" xfId="0" applyNumberFormat="1" applyFill="1" applyBorder="1" applyAlignment="1">
      <alignment horizontal="center" vertical="center" wrapText="1"/>
    </xf>
    <xf numFmtId="168" fontId="0" fillId="0" borderId="33" xfId="0" applyNumberFormat="1" applyFill="1" applyBorder="1" applyAlignment="1">
      <alignment horizontal="center" vertical="center" wrapText="1"/>
    </xf>
    <xf numFmtId="168" fontId="2" fillId="0" borderId="5" xfId="7" applyNumberFormat="1" applyFont="1" applyFill="1" applyBorder="1" applyAlignment="1">
      <alignment horizontal="center" vertical="center" wrapText="1"/>
    </xf>
    <xf numFmtId="168" fontId="2" fillId="0" borderId="33" xfId="7" applyNumberFormat="1" applyFont="1" applyFill="1" applyBorder="1" applyAlignment="1">
      <alignment horizontal="center" vertical="center" wrapText="1"/>
    </xf>
    <xf numFmtId="0" fontId="0" fillId="0" borderId="5" xfId="0" applyFill="1" applyBorder="1" applyAlignment="1">
      <alignment horizontal="center" vertical="center" wrapText="1"/>
    </xf>
    <xf numFmtId="0" fontId="0" fillId="0" borderId="33" xfId="0" applyFill="1" applyBorder="1" applyAlignment="1">
      <alignment horizontal="center" vertical="center" wrapText="1"/>
    </xf>
    <xf numFmtId="0" fontId="0" fillId="0" borderId="5" xfId="0" quotePrefix="1" applyFill="1" applyBorder="1" applyAlignment="1">
      <alignment horizontal="center" vertical="center" wrapText="1"/>
    </xf>
    <xf numFmtId="0" fontId="0" fillId="0" borderId="33" xfId="0" quotePrefix="1" applyFill="1" applyBorder="1" applyAlignment="1">
      <alignment horizontal="center" vertical="center" wrapText="1"/>
    </xf>
    <xf numFmtId="0" fontId="0" fillId="0" borderId="5" xfId="0" applyFill="1" applyBorder="1" applyAlignment="1">
      <alignment horizontal="center" vertical="center"/>
    </xf>
    <xf numFmtId="0" fontId="0" fillId="0" borderId="33" xfId="0" applyFill="1" applyBorder="1" applyAlignment="1">
      <alignment horizontal="center" vertical="center"/>
    </xf>
    <xf numFmtId="0" fontId="0" fillId="0" borderId="2" xfId="0" quotePrefix="1" applyFill="1" applyBorder="1" applyAlignment="1">
      <alignment horizontal="center" vertical="center" wrapText="1"/>
    </xf>
    <xf numFmtId="0" fontId="2" fillId="0" borderId="2" xfId="7" applyFont="1" applyFill="1" applyBorder="1" applyAlignment="1">
      <alignment horizontal="center" vertical="center" wrapText="1"/>
    </xf>
    <xf numFmtId="168" fontId="0" fillId="0" borderId="2" xfId="0" applyNumberFormat="1" applyFill="1" applyBorder="1" applyAlignment="1">
      <alignment horizontal="center" vertical="center" wrapText="1"/>
    </xf>
    <xf numFmtId="0" fontId="2" fillId="0" borderId="2" xfId="0" applyFont="1" applyFill="1" applyBorder="1" applyAlignment="1">
      <alignment horizontal="center" vertical="center" wrapText="1"/>
    </xf>
    <xf numFmtId="0" fontId="0" fillId="0" borderId="2" xfId="0" applyFill="1" applyBorder="1" applyAlignment="1">
      <alignment horizontal="center" vertical="center" wrapText="1"/>
    </xf>
    <xf numFmtId="168" fontId="2" fillId="0" borderId="2" xfId="7" applyNumberFormat="1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/>
    </xf>
    <xf numFmtId="0" fontId="2" fillId="0" borderId="33" xfId="0" applyFont="1" applyFill="1" applyBorder="1" applyAlignment="1">
      <alignment horizontal="center" vertical="center"/>
    </xf>
    <xf numFmtId="0" fontId="12" fillId="0" borderId="0" xfId="0" applyFont="1" applyFill="1" applyBorder="1" applyAlignment="1">
      <alignment horizontal="left" vertical="center" wrapText="1"/>
    </xf>
    <xf numFmtId="0" fontId="11" fillId="0" borderId="0" xfId="0" applyFont="1" applyFill="1" applyBorder="1" applyAlignment="1">
      <alignment horizontal="left" vertical="center" wrapText="1"/>
    </xf>
    <xf numFmtId="0" fontId="4" fillId="0" borderId="1" xfId="0" applyFont="1" applyFill="1" applyBorder="1" applyAlignment="1">
      <alignment horizontal="left" vertical="center"/>
    </xf>
    <xf numFmtId="0" fontId="2" fillId="0" borderId="3" xfId="0" applyFont="1" applyFill="1" applyBorder="1" applyAlignment="1">
      <alignment horizontal="left" vertical="center"/>
    </xf>
    <xf numFmtId="0" fontId="0" fillId="0" borderId="6" xfId="0" applyFill="1" applyBorder="1" applyAlignment="1">
      <alignment horizontal="left" vertical="center"/>
    </xf>
    <xf numFmtId="0" fontId="0" fillId="0" borderId="7" xfId="0" applyFill="1" applyBorder="1" applyAlignment="1">
      <alignment horizontal="left" vertical="center"/>
    </xf>
    <xf numFmtId="0" fontId="11" fillId="0" borderId="3" xfId="0" applyFont="1" applyFill="1" applyBorder="1" applyAlignment="1">
      <alignment horizontal="left" vertical="center"/>
    </xf>
    <xf numFmtId="0" fontId="11" fillId="0" borderId="6" xfId="0" applyFont="1" applyFill="1" applyBorder="1" applyAlignment="1">
      <alignment horizontal="left" vertical="center"/>
    </xf>
    <xf numFmtId="0" fontId="11" fillId="0" borderId="7" xfId="0" applyFont="1" applyFill="1" applyBorder="1" applyAlignment="1">
      <alignment horizontal="left" vertical="center"/>
    </xf>
    <xf numFmtId="0" fontId="0" fillId="0" borderId="47" xfId="0" applyFill="1" applyBorder="1" applyAlignment="1">
      <alignment horizontal="center" vertical="center"/>
    </xf>
    <xf numFmtId="0" fontId="2" fillId="0" borderId="2" xfId="0" applyFont="1" applyFill="1" applyBorder="1" applyAlignment="1">
      <alignment horizontal="center" vertical="center"/>
    </xf>
    <xf numFmtId="0" fontId="5" fillId="0" borderId="5" xfId="0" applyFont="1" applyFill="1" applyBorder="1" applyAlignment="1">
      <alignment horizontal="center" vertical="center"/>
    </xf>
    <xf numFmtId="0" fontId="5" fillId="0" borderId="33" xfId="0" applyFont="1" applyFill="1" applyBorder="1" applyAlignment="1">
      <alignment horizontal="center" vertical="center"/>
    </xf>
    <xf numFmtId="0" fontId="20" fillId="0" borderId="0" xfId="0" applyFont="1" applyFill="1" applyBorder="1" applyAlignment="1">
      <alignment wrapText="1"/>
    </xf>
    <xf numFmtId="0" fontId="21" fillId="0" borderId="0" xfId="0" applyFont="1" applyFill="1" applyBorder="1" applyAlignment="1">
      <alignment wrapText="1"/>
    </xf>
    <xf numFmtId="0" fontId="3" fillId="0" borderId="0" xfId="0" applyFont="1" applyAlignment="1">
      <alignment horizontal="center"/>
    </xf>
    <xf numFmtId="0" fontId="3" fillId="0" borderId="48" xfId="0" applyFont="1" applyBorder="1" applyAlignment="1">
      <alignment horizontal="center"/>
    </xf>
    <xf numFmtId="0" fontId="3" fillId="0" borderId="45" xfId="0" applyFont="1" applyBorder="1" applyAlignment="1">
      <alignment horizontal="center"/>
    </xf>
    <xf numFmtId="0" fontId="3" fillId="0" borderId="38" xfId="0" applyFont="1" applyBorder="1" applyAlignment="1">
      <alignment horizontal="center"/>
    </xf>
    <xf numFmtId="0" fontId="29" fillId="0" borderId="3" xfId="0" applyFont="1" applyBorder="1" applyAlignment="1">
      <alignment horizontal="center" vertical="center" wrapText="1"/>
    </xf>
    <xf numFmtId="0" fontId="29" fillId="0" borderId="6" xfId="0" applyFont="1" applyBorder="1" applyAlignment="1">
      <alignment horizontal="center" vertical="center" wrapText="1"/>
    </xf>
    <xf numFmtId="0" fontId="29" fillId="0" borderId="7" xfId="0" applyFont="1" applyBorder="1" applyAlignment="1">
      <alignment horizontal="center" vertical="center" wrapText="1"/>
    </xf>
    <xf numFmtId="0" fontId="3" fillId="0" borderId="12" xfId="0" applyFont="1" applyFill="1" applyBorder="1" applyAlignment="1">
      <alignment horizontal="right" vertical="center" wrapText="1"/>
    </xf>
    <xf numFmtId="0" fontId="3" fillId="0" borderId="45" xfId="0" applyFont="1" applyFill="1" applyBorder="1" applyAlignment="1">
      <alignment horizontal="right" vertical="center" wrapText="1"/>
    </xf>
    <xf numFmtId="0" fontId="3" fillId="0" borderId="46" xfId="0" applyFont="1" applyFill="1" applyBorder="1" applyAlignment="1">
      <alignment horizontal="right" vertical="center" wrapText="1"/>
    </xf>
    <xf numFmtId="0" fontId="3" fillId="0" borderId="0" xfId="0" applyFont="1" applyFill="1" applyBorder="1" applyAlignment="1">
      <alignment horizontal="right" vertical="center" wrapText="1"/>
    </xf>
    <xf numFmtId="0" fontId="3" fillId="0" borderId="48" xfId="0" applyFont="1" applyFill="1" applyBorder="1" applyAlignment="1">
      <alignment horizontal="right" vertical="center" wrapText="1"/>
    </xf>
    <xf numFmtId="0" fontId="3" fillId="0" borderId="28" xfId="0" applyFont="1" applyFill="1" applyBorder="1" applyAlignment="1">
      <alignment horizontal="right" vertical="center" wrapText="1"/>
    </xf>
    <xf numFmtId="0" fontId="19" fillId="0" borderId="0" xfId="0" applyFont="1" applyFill="1" applyBorder="1" applyAlignment="1">
      <alignment horizontal="center" wrapText="1"/>
    </xf>
    <xf numFmtId="0" fontId="23" fillId="0" borderId="0" xfId="0" applyFont="1" applyFill="1" applyBorder="1" applyAlignment="1">
      <alignment horizontal="center" wrapText="1"/>
    </xf>
    <xf numFmtId="16" fontId="20" fillId="0" borderId="0" xfId="0" applyNumberFormat="1" applyFont="1" applyFill="1" applyBorder="1" applyAlignment="1">
      <alignment wrapText="1"/>
    </xf>
    <xf numFmtId="0" fontId="21" fillId="0" borderId="0" xfId="0" applyFont="1" applyFill="1" applyBorder="1" applyAlignment="1">
      <alignment vertical="top" wrapText="1"/>
    </xf>
    <xf numFmtId="0" fontId="20" fillId="0" borderId="0" xfId="0" applyFont="1" applyFill="1" applyBorder="1" applyAlignment="1">
      <alignment vertical="top" wrapText="1"/>
    </xf>
    <xf numFmtId="0" fontId="27" fillId="0" borderId="0" xfId="0" applyFont="1" applyFill="1" applyBorder="1" applyAlignment="1">
      <alignment wrapText="1"/>
    </xf>
    <xf numFmtId="0" fontId="46" fillId="0" borderId="60" xfId="0" applyFont="1" applyFill="1" applyBorder="1" applyAlignment="1">
      <alignment horizontal="center" vertical="center" wrapText="1"/>
    </xf>
    <xf numFmtId="0" fontId="46" fillId="0" borderId="63" xfId="0" applyFont="1" applyFill="1" applyBorder="1" applyAlignment="1">
      <alignment horizontal="center" vertical="center" wrapText="1"/>
    </xf>
    <xf numFmtId="0" fontId="47" fillId="24" borderId="48" xfId="0" applyFont="1" applyFill="1" applyBorder="1" applyAlignment="1">
      <alignment horizontal="center" vertical="center" wrapText="1"/>
    </xf>
    <xf numFmtId="0" fontId="47" fillId="24" borderId="28" xfId="0" applyFont="1" applyFill="1" applyBorder="1" applyAlignment="1">
      <alignment horizontal="center" vertical="center" wrapText="1"/>
    </xf>
    <xf numFmtId="0" fontId="44" fillId="24" borderId="15" xfId="0" applyFont="1" applyFill="1" applyBorder="1" applyAlignment="1">
      <alignment horizontal="center" vertical="center" wrapText="1"/>
    </xf>
    <xf numFmtId="0" fontId="44" fillId="24" borderId="59" xfId="0" applyFont="1" applyFill="1" applyBorder="1" applyAlignment="1">
      <alignment horizontal="center" vertical="center" wrapText="1"/>
    </xf>
    <xf numFmtId="0" fontId="46" fillId="0" borderId="57" xfId="0" applyFont="1" applyFill="1" applyBorder="1" applyAlignment="1">
      <alignment horizontal="center" vertical="center" wrapText="1"/>
    </xf>
    <xf numFmtId="0" fontId="12" fillId="0" borderId="30" xfId="0" applyFont="1" applyFill="1" applyBorder="1" applyAlignment="1">
      <alignment horizontal="center" vertical="center"/>
    </xf>
    <xf numFmtId="0" fontId="12" fillId="0" borderId="34" xfId="0" applyFont="1" applyFill="1" applyBorder="1" applyAlignment="1">
      <alignment horizontal="center" vertical="center"/>
    </xf>
    <xf numFmtId="0" fontId="12" fillId="0" borderId="61" xfId="0" applyFont="1" applyFill="1" applyBorder="1" applyAlignment="1">
      <alignment horizontal="center" vertical="center"/>
    </xf>
    <xf numFmtId="0" fontId="12" fillId="0" borderId="64" xfId="0" applyFont="1" applyFill="1" applyBorder="1" applyAlignment="1">
      <alignment horizontal="center" vertical="center"/>
    </xf>
    <xf numFmtId="0" fontId="12" fillId="0" borderId="52" xfId="0" applyFont="1" applyFill="1" applyBorder="1" applyAlignment="1">
      <alignment horizontal="center" vertical="center"/>
    </xf>
    <xf numFmtId="0" fontId="12" fillId="0" borderId="32" xfId="0" applyFont="1" applyFill="1" applyBorder="1" applyAlignment="1">
      <alignment horizontal="center" vertical="center"/>
    </xf>
    <xf numFmtId="0" fontId="47" fillId="24" borderId="57" xfId="0" applyFont="1" applyFill="1" applyBorder="1" applyAlignment="1">
      <alignment horizontal="center" vertical="center" wrapText="1"/>
    </xf>
    <xf numFmtId="0" fontId="47" fillId="24" borderId="56" xfId="0" applyFont="1" applyFill="1" applyBorder="1" applyAlignment="1">
      <alignment horizontal="center" vertical="center" wrapText="1"/>
    </xf>
    <xf numFmtId="0" fontId="44" fillId="0" borderId="48" xfId="0" applyFont="1" applyBorder="1" applyAlignment="1">
      <alignment horizontal="center"/>
    </xf>
    <xf numFmtId="0" fontId="44" fillId="0" borderId="28" xfId="0" applyFont="1" applyBorder="1" applyAlignment="1">
      <alignment horizontal="center"/>
    </xf>
    <xf numFmtId="0" fontId="44" fillId="0" borderId="44" xfId="0" applyFont="1" applyBorder="1" applyAlignment="1">
      <alignment horizontal="center"/>
    </xf>
    <xf numFmtId="0" fontId="3" fillId="0" borderId="60" xfId="0" applyFont="1" applyFill="1" applyBorder="1" applyAlignment="1">
      <alignment horizontal="center" vertical="center"/>
    </xf>
    <xf numFmtId="0" fontId="3" fillId="0" borderId="11" xfId="0" applyFont="1" applyFill="1" applyBorder="1" applyAlignment="1">
      <alignment horizontal="center" vertical="center"/>
    </xf>
    <xf numFmtId="0" fontId="46" fillId="0" borderId="51" xfId="0" applyFont="1" applyFill="1" applyBorder="1" applyAlignment="1">
      <alignment horizontal="center" vertical="center" wrapText="1"/>
    </xf>
    <xf numFmtId="0" fontId="46" fillId="0" borderId="35" xfId="0" applyFont="1" applyFill="1" applyBorder="1" applyAlignment="1">
      <alignment horizontal="center" vertical="center" wrapText="1"/>
    </xf>
    <xf numFmtId="0" fontId="46" fillId="0" borderId="36" xfId="0" applyFont="1" applyFill="1" applyBorder="1" applyAlignment="1">
      <alignment horizontal="center" vertical="center" wrapText="1"/>
    </xf>
    <xf numFmtId="0" fontId="12" fillId="0" borderId="62" xfId="0" applyFont="1" applyFill="1" applyBorder="1" applyAlignment="1">
      <alignment horizontal="center" vertical="center"/>
    </xf>
    <xf numFmtId="0" fontId="12" fillId="0" borderId="63" xfId="0" applyFont="1" applyFill="1" applyBorder="1" applyAlignment="1">
      <alignment horizontal="center" vertical="center"/>
    </xf>
    <xf numFmtId="0" fontId="12" fillId="0" borderId="49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left"/>
    </xf>
    <xf numFmtId="0" fontId="3" fillId="0" borderId="1" xfId="0" applyFont="1" applyFill="1" applyBorder="1" applyAlignment="1">
      <alignment horizontal="left"/>
    </xf>
    <xf numFmtId="0" fontId="2" fillId="0" borderId="3" xfId="0" applyFont="1" applyFill="1" applyBorder="1" applyAlignment="1">
      <alignment horizontal="left"/>
    </xf>
    <xf numFmtId="0" fontId="2" fillId="0" borderId="6" xfId="0" applyFont="1" applyFill="1" applyBorder="1" applyAlignment="1">
      <alignment horizontal="left"/>
    </xf>
    <xf numFmtId="0" fontId="2" fillId="0" borderId="7" xfId="0" applyFont="1" applyFill="1" applyBorder="1" applyAlignment="1">
      <alignment horizontal="left"/>
    </xf>
    <xf numFmtId="0" fontId="2" fillId="0" borderId="0" xfId="0" applyFont="1" applyFill="1" applyBorder="1" applyAlignment="1">
      <alignment horizontal="left" vertical="center" wrapText="1"/>
    </xf>
    <xf numFmtId="0" fontId="4" fillId="0" borderId="3" xfId="0" applyFont="1" applyFill="1" applyBorder="1" applyAlignment="1">
      <alignment horizontal="center" vertical="center" wrapText="1"/>
    </xf>
    <xf numFmtId="0" fontId="4" fillId="0" borderId="6" xfId="0" applyFont="1" applyFill="1" applyBorder="1" applyAlignment="1">
      <alignment horizontal="center" vertical="center" wrapText="1"/>
    </xf>
    <xf numFmtId="0" fontId="4" fillId="0" borderId="7" xfId="0" applyFont="1" applyFill="1" applyBorder="1" applyAlignment="1">
      <alignment horizontal="center" vertical="center" wrapText="1"/>
    </xf>
    <xf numFmtId="0" fontId="3" fillId="0" borderId="3" xfId="0" applyFont="1" applyFill="1" applyBorder="1" applyAlignment="1">
      <alignment horizontal="center" vertical="center" wrapText="1"/>
    </xf>
    <xf numFmtId="0" fontId="12" fillId="0" borderId="0" xfId="0" applyFont="1" applyBorder="1" applyAlignment="1">
      <alignment horizontal="left" vertical="center" wrapText="1"/>
    </xf>
    <xf numFmtId="0" fontId="12" fillId="0" borderId="47" xfId="0" applyFont="1" applyBorder="1" applyAlignment="1">
      <alignment horizontal="left" vertical="center" wrapText="1"/>
    </xf>
    <xf numFmtId="0" fontId="2" fillId="0" borderId="1" xfId="0" applyFont="1" applyFill="1" applyBorder="1" applyAlignment="1"/>
    <xf numFmtId="0" fontId="11" fillId="0" borderId="1" xfId="0" applyFont="1" applyFill="1" applyBorder="1" applyAlignment="1"/>
    <xf numFmtId="0" fontId="4" fillId="0" borderId="3" xfId="0" applyFont="1" applyBorder="1" applyAlignment="1">
      <alignment horizontal="center" vertical="center" wrapText="1"/>
    </xf>
    <xf numFmtId="0" fontId="4" fillId="0" borderId="6" xfId="0" applyFont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 wrapText="1"/>
    </xf>
  </cellXfs>
  <cellStyles count="27">
    <cellStyle name="Millares" xfId="1" builtinId="3"/>
    <cellStyle name="Millares 2" xfId="21"/>
    <cellStyle name="Moneda" xfId="2" builtinId="4"/>
    <cellStyle name="Moneda 2" xfId="3"/>
    <cellStyle name="Moneda 2 2" xfId="9"/>
    <cellStyle name="Moneda 2 3" xfId="13"/>
    <cellStyle name="Moneda 3" xfId="5"/>
    <cellStyle name="Moneda 3 2" xfId="23"/>
    <cellStyle name="Moneda 4" xfId="22"/>
    <cellStyle name="Normal" xfId="0" builtinId="0"/>
    <cellStyle name="Normal 2" xfId="7"/>
    <cellStyle name="Normal 2 2" xfId="8"/>
    <cellStyle name="Normal 2 2 2" xfId="11"/>
    <cellStyle name="Normal 2 3" xfId="14"/>
    <cellStyle name="Normal 3" xfId="15"/>
    <cellStyle name="Normal 3 2" xfId="12"/>
    <cellStyle name="Normal 3 2 2" xfId="25"/>
    <cellStyle name="Normal 4" xfId="18"/>
    <cellStyle name="Normal 5" xfId="20"/>
    <cellStyle name="Normal 6" xfId="4"/>
    <cellStyle name="Normal 6 2" xfId="10"/>
    <cellStyle name="Normal 7" xfId="19"/>
    <cellStyle name="Porcentaje" xfId="16" builtinId="5"/>
    <cellStyle name="Porcentaje 2" xfId="17"/>
    <cellStyle name="Porcentaje 3" xfId="26"/>
    <cellStyle name="Porcentual 2" xfId="6"/>
    <cellStyle name="Porcentual 2 2" xfId="24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0</xdr:row>
      <xdr:rowOff>152400</xdr:rowOff>
    </xdr:from>
    <xdr:to>
      <xdr:col>15</xdr:col>
      <xdr:colOff>0</xdr:colOff>
      <xdr:row>1</xdr:row>
      <xdr:rowOff>847725</xdr:rowOff>
    </xdr:to>
    <xdr:sp macro="" textlink="">
      <xdr:nvSpPr>
        <xdr:cNvPr id="71632" name="AutoShape 7"/>
        <xdr:cNvSpPr>
          <a:spLocks noChangeArrowheads="1"/>
        </xdr:cNvSpPr>
      </xdr:nvSpPr>
      <xdr:spPr bwMode="auto">
        <a:xfrm>
          <a:off x="771525" y="152400"/>
          <a:ext cx="14439900" cy="857250"/>
        </a:xfrm>
        <a:prstGeom prst="roundRect">
          <a:avLst>
            <a:gd name="adj" fmla="val 3227"/>
          </a:avLst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14</xdr:col>
      <xdr:colOff>200025</xdr:colOff>
      <xdr:row>1</xdr:row>
      <xdr:rowOff>19050</xdr:rowOff>
    </xdr:from>
    <xdr:to>
      <xdr:col>14</xdr:col>
      <xdr:colOff>771525</xdr:colOff>
      <xdr:row>1</xdr:row>
      <xdr:rowOff>590550</xdr:rowOff>
    </xdr:to>
    <xdr:pic>
      <xdr:nvPicPr>
        <xdr:cNvPr id="71633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19801" r="16832" b="29411"/>
        <a:stretch>
          <a:fillRect/>
        </a:stretch>
      </xdr:blipFill>
      <xdr:spPr bwMode="auto">
        <a:xfrm>
          <a:off x="14439900" y="180975"/>
          <a:ext cx="571500" cy="571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0</xdr:row>
      <xdr:rowOff>100852</xdr:rowOff>
    </xdr:from>
    <xdr:to>
      <xdr:col>17</xdr:col>
      <xdr:colOff>941294</xdr:colOff>
      <xdr:row>2</xdr:row>
      <xdr:rowOff>11204</xdr:rowOff>
    </xdr:to>
    <xdr:sp macro="" textlink="">
      <xdr:nvSpPr>
        <xdr:cNvPr id="27209" name="AutoShape 389"/>
        <xdr:cNvSpPr>
          <a:spLocks noChangeArrowheads="1"/>
        </xdr:cNvSpPr>
      </xdr:nvSpPr>
      <xdr:spPr bwMode="auto">
        <a:xfrm>
          <a:off x="145676" y="100852"/>
          <a:ext cx="20764500" cy="997323"/>
        </a:xfrm>
        <a:prstGeom prst="roundRect">
          <a:avLst>
            <a:gd name="adj" fmla="val 3227"/>
          </a:avLst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es-ES"/>
        </a:p>
        <a:p>
          <a:endParaRPr lang="es-ES"/>
        </a:p>
        <a:p>
          <a:endParaRPr lang="es-ES"/>
        </a:p>
      </xdr:txBody>
    </xdr:sp>
    <xdr:clientData/>
  </xdr:twoCellAnchor>
  <xdr:twoCellAnchor>
    <xdr:from>
      <xdr:col>17</xdr:col>
      <xdr:colOff>219075</xdr:colOff>
      <xdr:row>1</xdr:row>
      <xdr:rowOff>85725</xdr:rowOff>
    </xdr:from>
    <xdr:to>
      <xdr:col>17</xdr:col>
      <xdr:colOff>781050</xdr:colOff>
      <xdr:row>1</xdr:row>
      <xdr:rowOff>685800</xdr:rowOff>
    </xdr:to>
    <xdr:pic>
      <xdr:nvPicPr>
        <xdr:cNvPr id="76511" name="Picture 39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19801" r="16832" b="29411"/>
        <a:stretch>
          <a:fillRect/>
        </a:stretch>
      </xdr:blipFill>
      <xdr:spPr bwMode="auto">
        <a:xfrm>
          <a:off x="21278850" y="190500"/>
          <a:ext cx="561975" cy="600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59531</xdr:colOff>
      <xdr:row>1</xdr:row>
      <xdr:rowOff>21167</xdr:rowOff>
    </xdr:from>
    <xdr:to>
      <xdr:col>13</xdr:col>
      <xdr:colOff>881062</xdr:colOff>
      <xdr:row>2</xdr:row>
      <xdr:rowOff>0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8703469" y="128323"/>
          <a:ext cx="4298156" cy="95514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47</xdr:row>
      <xdr:rowOff>0</xdr:rowOff>
    </xdr:from>
    <xdr:to>
      <xdr:col>13</xdr:col>
      <xdr:colOff>9525</xdr:colOff>
      <xdr:row>47</xdr:row>
      <xdr:rowOff>9525</xdr:rowOff>
    </xdr:to>
    <xdr:pic>
      <xdr:nvPicPr>
        <xdr:cNvPr id="2" name="Picture 1" descr="http://www.colombia-sa.com/varios/images/blank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371850" y="8467725"/>
          <a:ext cx="9525" cy="9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17</xdr:col>
      <xdr:colOff>0</xdr:colOff>
      <xdr:row>45</xdr:row>
      <xdr:rowOff>0</xdr:rowOff>
    </xdr:from>
    <xdr:to>
      <xdr:col>17</xdr:col>
      <xdr:colOff>9525</xdr:colOff>
      <xdr:row>45</xdr:row>
      <xdr:rowOff>9525</xdr:rowOff>
    </xdr:to>
    <xdr:pic>
      <xdr:nvPicPr>
        <xdr:cNvPr id="3" name="Picture 2" descr="http://www.colombia-sa.com/varios/images/blank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486525" y="8115300"/>
          <a:ext cx="9525" cy="9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25</xdr:col>
      <xdr:colOff>0</xdr:colOff>
      <xdr:row>1</xdr:row>
      <xdr:rowOff>0</xdr:rowOff>
    </xdr:from>
    <xdr:to>
      <xdr:col>25</xdr:col>
      <xdr:colOff>9525</xdr:colOff>
      <xdr:row>1</xdr:row>
      <xdr:rowOff>9525</xdr:rowOff>
    </xdr:to>
    <xdr:pic>
      <xdr:nvPicPr>
        <xdr:cNvPr id="4" name="Picture 1" descr="http://www.colombia-sa.com/varios/images/blank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82275" y="171450"/>
          <a:ext cx="9525" cy="9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29</xdr:col>
      <xdr:colOff>0</xdr:colOff>
      <xdr:row>1</xdr:row>
      <xdr:rowOff>0</xdr:rowOff>
    </xdr:from>
    <xdr:to>
      <xdr:col>29</xdr:col>
      <xdr:colOff>9525</xdr:colOff>
      <xdr:row>1</xdr:row>
      <xdr:rowOff>9525</xdr:rowOff>
    </xdr:to>
    <xdr:pic>
      <xdr:nvPicPr>
        <xdr:cNvPr id="5" name="Picture 2" descr="http://www.colombia-sa.com/varios/images/blank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544300" y="171450"/>
          <a:ext cx="9525" cy="9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13</xdr:col>
      <xdr:colOff>0</xdr:colOff>
      <xdr:row>46</xdr:row>
      <xdr:rowOff>0</xdr:rowOff>
    </xdr:from>
    <xdr:to>
      <xdr:col>13</xdr:col>
      <xdr:colOff>9525</xdr:colOff>
      <xdr:row>46</xdr:row>
      <xdr:rowOff>9525</xdr:rowOff>
    </xdr:to>
    <xdr:pic>
      <xdr:nvPicPr>
        <xdr:cNvPr id="6" name="Picture 1" descr="http://www.colombia-sa.com/varios/images/blank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371850" y="8286750"/>
          <a:ext cx="9525" cy="9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25</xdr:col>
      <xdr:colOff>0</xdr:colOff>
      <xdr:row>1</xdr:row>
      <xdr:rowOff>0</xdr:rowOff>
    </xdr:from>
    <xdr:to>
      <xdr:col>25</xdr:col>
      <xdr:colOff>9525</xdr:colOff>
      <xdr:row>1</xdr:row>
      <xdr:rowOff>9525</xdr:rowOff>
    </xdr:to>
    <xdr:pic>
      <xdr:nvPicPr>
        <xdr:cNvPr id="7" name="Picture 1" descr="http://www.colombia-sa.com/varios/images/blank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582275" y="171450"/>
          <a:ext cx="9525" cy="9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29</xdr:col>
      <xdr:colOff>0</xdr:colOff>
      <xdr:row>1</xdr:row>
      <xdr:rowOff>0</xdr:rowOff>
    </xdr:from>
    <xdr:to>
      <xdr:col>29</xdr:col>
      <xdr:colOff>9525</xdr:colOff>
      <xdr:row>1</xdr:row>
      <xdr:rowOff>9525</xdr:rowOff>
    </xdr:to>
    <xdr:pic>
      <xdr:nvPicPr>
        <xdr:cNvPr id="8" name="Picture 2" descr="http://www.colombia-sa.com/varios/images/blank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544300" y="171450"/>
          <a:ext cx="9525" cy="9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161925</xdr:colOff>
      <xdr:row>1</xdr:row>
      <xdr:rowOff>28575</xdr:rowOff>
    </xdr:from>
    <xdr:to>
      <xdr:col>11</xdr:col>
      <xdr:colOff>733425</xdr:colOff>
      <xdr:row>1</xdr:row>
      <xdr:rowOff>638175</xdr:rowOff>
    </xdr:to>
    <xdr:pic>
      <xdr:nvPicPr>
        <xdr:cNvPr id="2" name="Picture 17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19801" r="16832" b="29411"/>
        <a:stretch>
          <a:fillRect/>
        </a:stretch>
      </xdr:blipFill>
      <xdr:spPr bwMode="auto">
        <a:xfrm>
          <a:off x="10372725" y="152400"/>
          <a:ext cx="571500" cy="609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11</xdr:col>
      <xdr:colOff>885825</xdr:colOff>
      <xdr:row>2</xdr:row>
      <xdr:rowOff>0</xdr:rowOff>
    </xdr:to>
    <xdr:sp macro="" textlink="">
      <xdr:nvSpPr>
        <xdr:cNvPr id="3" name="AutoShape 173"/>
        <xdr:cNvSpPr>
          <a:spLocks noChangeArrowheads="1"/>
        </xdr:cNvSpPr>
      </xdr:nvSpPr>
      <xdr:spPr bwMode="auto">
        <a:xfrm>
          <a:off x="171450" y="123825"/>
          <a:ext cx="10925175" cy="923925"/>
        </a:xfrm>
        <a:prstGeom prst="roundRect">
          <a:avLst>
            <a:gd name="adj" fmla="val 3227"/>
          </a:avLst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228600</xdr:colOff>
      <xdr:row>1</xdr:row>
      <xdr:rowOff>85725</xdr:rowOff>
    </xdr:from>
    <xdr:to>
      <xdr:col>3</xdr:col>
      <xdr:colOff>800100</xdr:colOff>
      <xdr:row>1</xdr:row>
      <xdr:rowOff>695325</xdr:rowOff>
    </xdr:to>
    <xdr:pic>
      <xdr:nvPicPr>
        <xdr:cNvPr id="77000" name="Picture 3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19801" r="16832" b="29411"/>
        <a:stretch>
          <a:fillRect/>
        </a:stretch>
      </xdr:blipFill>
      <xdr:spPr bwMode="auto">
        <a:xfrm>
          <a:off x="5276850" y="200025"/>
          <a:ext cx="571500" cy="609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9525</xdr:colOff>
      <xdr:row>1</xdr:row>
      <xdr:rowOff>0</xdr:rowOff>
    </xdr:from>
    <xdr:to>
      <xdr:col>4</xdr:col>
      <xdr:colOff>9525</xdr:colOff>
      <xdr:row>2</xdr:row>
      <xdr:rowOff>0</xdr:rowOff>
    </xdr:to>
    <xdr:sp macro="" textlink="">
      <xdr:nvSpPr>
        <xdr:cNvPr id="77001" name="AutoShape 38"/>
        <xdr:cNvSpPr>
          <a:spLocks noChangeArrowheads="1"/>
        </xdr:cNvSpPr>
      </xdr:nvSpPr>
      <xdr:spPr bwMode="auto">
        <a:xfrm>
          <a:off x="152400" y="114300"/>
          <a:ext cx="5972175" cy="971550"/>
        </a:xfrm>
        <a:prstGeom prst="roundRect">
          <a:avLst>
            <a:gd name="adj" fmla="val 3227"/>
          </a:avLst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ACION%20ANUAL%202012/PROGRAMACION%20ANUAL/Programaci&#243;n%20Anual%20201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TENCIAL HORAS"/>
      <sheetName val="PROG FORMACIÓN TITULADA"/>
      <sheetName val="PROG FORM COMPLEM"/>
      <sheetName val="OTRAS ACCIONES"/>
      <sheetName val="MONITOREO METAS PRESENCIAL"/>
      <sheetName val="MONITOREO METAS VIRTUAL"/>
      <sheetName val="Calendario Académico"/>
    </sheetNames>
    <sheetDataSet>
      <sheetData sheetId="0">
        <row r="10">
          <cell r="C10" t="str">
            <v>ADA LUZ ROMERO</v>
          </cell>
        </row>
        <row r="11">
          <cell r="C11" t="str">
            <v>ALCIBIADES DE LA ROSA</v>
          </cell>
        </row>
        <row r="12">
          <cell r="C12" t="str">
            <v>ALICIA NAVARRO CASANOVA</v>
          </cell>
        </row>
        <row r="13">
          <cell r="C13" t="str">
            <v>ALVARO ARRAZOLA</v>
          </cell>
        </row>
        <row r="14">
          <cell r="C14" t="str">
            <v>ÁLVARO ESTRADA</v>
          </cell>
        </row>
        <row r="15">
          <cell r="C15" t="str">
            <v>ARMANDO ACEVEDO TIRIA</v>
          </cell>
        </row>
        <row r="16">
          <cell r="C16" t="str">
            <v>ARMANDO PABON</v>
          </cell>
        </row>
        <row r="17">
          <cell r="C17" t="str">
            <v>BETTY RIPOLL</v>
          </cell>
        </row>
        <row r="18">
          <cell r="C18" t="str">
            <v>BORIS VELILLA</v>
          </cell>
        </row>
        <row r="19">
          <cell r="C19" t="str">
            <v>CARLOS MURCIA</v>
          </cell>
        </row>
        <row r="20">
          <cell r="C20" t="str">
            <v>CARLOS RIPOLL</v>
          </cell>
        </row>
        <row r="21">
          <cell r="C21" t="str">
            <v>CASILDA RODRIGUEZ</v>
          </cell>
        </row>
        <row r="22">
          <cell r="C22" t="str">
            <v>CATALINA LOPEZ</v>
          </cell>
        </row>
        <row r="23">
          <cell r="C23" t="str">
            <v>CÈSAR BOLAÑO ROYERO</v>
          </cell>
        </row>
        <row r="24">
          <cell r="C24" t="str">
            <v>DANILO JUNCO</v>
          </cell>
        </row>
        <row r="25">
          <cell r="C25" t="str">
            <v>EDELBERTO LOPEZ</v>
          </cell>
        </row>
        <row r="26">
          <cell r="C26" t="str">
            <v>EDWIN POLO</v>
          </cell>
        </row>
        <row r="27">
          <cell r="C27" t="str">
            <v>ELBERTO PERTUZ DE LA HOZ</v>
          </cell>
        </row>
        <row r="28">
          <cell r="C28" t="str">
            <v>ENGELBERTO COBA</v>
          </cell>
        </row>
        <row r="29">
          <cell r="C29" t="str">
            <v>ENITH MENCO</v>
          </cell>
        </row>
        <row r="30">
          <cell r="C30" t="str">
            <v>FELIX AMARIS JACOME</v>
          </cell>
        </row>
        <row r="31">
          <cell r="C31" t="str">
            <v>FERNANDO TORRES</v>
          </cell>
        </row>
        <row r="32">
          <cell r="C32" t="str">
            <v>FERNEY ORTIZ</v>
          </cell>
        </row>
        <row r="33">
          <cell r="C33" t="str">
            <v>HEBER CASTRO</v>
          </cell>
        </row>
        <row r="34">
          <cell r="C34" t="str">
            <v>HENRY IBARRA RANGEL</v>
          </cell>
        </row>
        <row r="35">
          <cell r="C35" t="str">
            <v>IBETH TEJERA</v>
          </cell>
        </row>
        <row r="36">
          <cell r="C36" t="str">
            <v>IVAN FERREIRA BALLESTAS</v>
          </cell>
        </row>
        <row r="37">
          <cell r="C37" t="str">
            <v>IVAN GARCIA</v>
          </cell>
        </row>
        <row r="38">
          <cell r="C38" t="str">
            <v>JAIME VENDRIES VARGAS</v>
          </cell>
        </row>
        <row r="39">
          <cell r="C39" t="str">
            <v>JAVIER CALDERIN</v>
          </cell>
        </row>
        <row r="40">
          <cell r="C40" t="str">
            <v>JOHNNY DE LA ROSA</v>
          </cell>
        </row>
        <row r="41">
          <cell r="C41" t="str">
            <v>JOHNNY DITTA</v>
          </cell>
        </row>
        <row r="42">
          <cell r="C42" t="str">
            <v>JORGE BENAVIDES</v>
          </cell>
        </row>
        <row r="43">
          <cell r="C43" t="str">
            <v>JOSE GOMEZ</v>
          </cell>
        </row>
        <row r="44">
          <cell r="C44" t="str">
            <v>JOSE GUALDRON</v>
          </cell>
        </row>
        <row r="45">
          <cell r="C45" t="str">
            <v>JUAN FARELO PEÑA</v>
          </cell>
        </row>
        <row r="46">
          <cell r="C46" t="str">
            <v>JUAN URIBE MONSALVE</v>
          </cell>
        </row>
        <row r="47">
          <cell r="C47" t="str">
            <v>JUSTINIANO ARDILA</v>
          </cell>
        </row>
        <row r="48">
          <cell r="C48" t="str">
            <v>KENDRY PRIETO</v>
          </cell>
        </row>
        <row r="49">
          <cell r="C49" t="str">
            <v>LEONARDO FLOREZ</v>
          </cell>
        </row>
        <row r="50">
          <cell r="C50" t="str">
            <v>LINDA GARCIA ANAYA</v>
          </cell>
        </row>
        <row r="51">
          <cell r="C51" t="str">
            <v>LUCAS GUTIERREZ PANZA</v>
          </cell>
        </row>
        <row r="52">
          <cell r="C52" t="str">
            <v>LUIS ARIAS BUTRON</v>
          </cell>
        </row>
        <row r="53">
          <cell r="C53" t="str">
            <v>LUISA VILLAREAL</v>
          </cell>
        </row>
        <row r="54">
          <cell r="C54" t="str">
            <v>LUZ MARINA RODRIGUEZ</v>
          </cell>
        </row>
        <row r="55">
          <cell r="C55" t="str">
            <v>MANUEL ALZAMORA NIEBLES</v>
          </cell>
        </row>
        <row r="56">
          <cell r="C56" t="str">
            <v>MARIO MONTOYA</v>
          </cell>
        </row>
        <row r="57">
          <cell r="C57" t="str">
            <v>MILDRED BELTRAN</v>
          </cell>
        </row>
        <row r="58">
          <cell r="C58" t="str">
            <v>MILDRED ROLONG</v>
          </cell>
        </row>
        <row r="59">
          <cell r="C59" t="str">
            <v>MILTON ALFARO</v>
          </cell>
        </row>
        <row r="60">
          <cell r="C60" t="str">
            <v>NANCY FABREGAS CARRILLO</v>
          </cell>
        </row>
        <row r="61">
          <cell r="C61" t="str">
            <v>NELSON COBA FERNANDEZ</v>
          </cell>
        </row>
        <row r="62">
          <cell r="C62" t="str">
            <v>ORLANDO MOLINARES</v>
          </cell>
        </row>
        <row r="63">
          <cell r="C63" t="str">
            <v>OSVALDO CASTRO MOLINA</v>
          </cell>
        </row>
        <row r="64">
          <cell r="C64" t="str">
            <v>PATRICIA DOVALE PEREZ</v>
          </cell>
        </row>
        <row r="66">
          <cell r="C66" t="str">
            <v>RAFAEL JULIAO</v>
          </cell>
        </row>
        <row r="67">
          <cell r="C67" t="str">
            <v>RAMIRO SANTIAGO</v>
          </cell>
        </row>
        <row r="68">
          <cell r="C68" t="str">
            <v>REBECA ZAPATA</v>
          </cell>
        </row>
        <row r="69">
          <cell r="C69" t="str">
            <v>RICARDO SANDOVAL</v>
          </cell>
        </row>
        <row r="70">
          <cell r="C70" t="str">
            <v>RUBEN SAENZ PINTO</v>
          </cell>
        </row>
        <row r="71">
          <cell r="C71" t="str">
            <v>SILVIA VILLEGAS</v>
          </cell>
        </row>
        <row r="72">
          <cell r="C72" t="str">
            <v>VERA DIAZ ARROYO</v>
          </cell>
        </row>
        <row r="76">
          <cell r="C76" t="str">
            <v>YULI BARCELO</v>
          </cell>
        </row>
        <row r="77">
          <cell r="C77">
            <v>0</v>
          </cell>
        </row>
        <row r="78">
          <cell r="C78">
            <v>0</v>
          </cell>
        </row>
        <row r="79">
          <cell r="C79" t="str">
            <v>ADAN BARRIOS BARON</v>
          </cell>
        </row>
        <row r="81">
          <cell r="C81" t="str">
            <v>ALBA ROSA MERCADO CABRERA</v>
          </cell>
        </row>
        <row r="83">
          <cell r="C83" t="str">
            <v>ALBERTO ELVIS ARENAS ESPITIA</v>
          </cell>
        </row>
        <row r="84">
          <cell r="C84" t="str">
            <v xml:space="preserve">ALBERTO LONDOÑO BERMUDEZ </v>
          </cell>
        </row>
        <row r="85">
          <cell r="C85" t="str">
            <v xml:space="preserve">ALEJANDRO RAFAEL GAMEZ SERNA </v>
          </cell>
        </row>
        <row r="86">
          <cell r="C86" t="str">
            <v xml:space="preserve">ALEX DAVID BARRANCO GÓMEZ </v>
          </cell>
        </row>
        <row r="87">
          <cell r="C87" t="str">
            <v>ALEXANDER RAFAEL ROJANO POLO</v>
          </cell>
        </row>
        <row r="88">
          <cell r="C88" t="str">
            <v>ALFREDO ALCOCER CORVACHO</v>
          </cell>
        </row>
        <row r="89">
          <cell r="C89" t="str">
            <v>ALFREDO MARIO DE LA ROSA PAREJO</v>
          </cell>
        </row>
        <row r="90">
          <cell r="C90" t="str">
            <v>RAFAEL OLACIREGUI</v>
          </cell>
        </row>
        <row r="91">
          <cell r="C91" t="str">
            <v xml:space="preserve">ALVARO CARBONELL CUENTAS </v>
          </cell>
        </row>
        <row r="92">
          <cell r="C92" t="str">
            <v xml:space="preserve">ALVARO HUGO ATENCIA PRINS </v>
          </cell>
        </row>
        <row r="93">
          <cell r="C93" t="str">
            <v>ALVARO SALAS INFANTE</v>
          </cell>
        </row>
        <row r="94">
          <cell r="C94" t="str">
            <v xml:space="preserve">ANA MARÍA GARCÍA SÁNCHEZ </v>
          </cell>
        </row>
        <row r="95">
          <cell r="C95" t="str">
            <v>ANA SOFIA ROCHA IGUARAN</v>
          </cell>
        </row>
        <row r="96">
          <cell r="C96" t="str">
            <v>ANDERSSON ANTONIO OLIVO CANTILLO</v>
          </cell>
        </row>
        <row r="98">
          <cell r="C98" t="str">
            <v>ANGELICA LLINAS</v>
          </cell>
        </row>
        <row r="99">
          <cell r="C99" t="str">
            <v>ARCENIO MANUEL   PUERTA RODRÍGUEZ</v>
          </cell>
        </row>
        <row r="100">
          <cell r="C100" t="str">
            <v xml:space="preserve">ARISTIDES ALBERTO POLO PERALTA </v>
          </cell>
        </row>
        <row r="101">
          <cell r="C101" t="str">
            <v>ASTRIID DEL CARMEN NADER ROMANOS</v>
          </cell>
        </row>
        <row r="102">
          <cell r="C102" t="str">
            <v>AURA PATRICIA OJEDA POLO</v>
          </cell>
        </row>
        <row r="103">
          <cell r="C103" t="str">
            <v xml:space="preserve">BELEMIR BLANCO BARBOSA </v>
          </cell>
        </row>
        <row r="104">
          <cell r="C104" t="str">
            <v>BENJAMIN FIDEL GARCIA VILLALBA</v>
          </cell>
        </row>
        <row r="105">
          <cell r="C105" t="str">
            <v>CAMILO MORENO PRENS</v>
          </cell>
        </row>
        <row r="106">
          <cell r="C106" t="str">
            <v>CARLOS ALBERTO SALAMANCA HIGUERA</v>
          </cell>
        </row>
        <row r="107">
          <cell r="C107" t="str">
            <v xml:space="preserve">CARLOS ANDRÉS URIBE DE LA CRUZ </v>
          </cell>
        </row>
        <row r="108">
          <cell r="C108" t="str">
            <v>CARLOS EDUARDO VENGOECHEA CARRILLO</v>
          </cell>
        </row>
        <row r="109">
          <cell r="C109" t="str">
            <v xml:space="preserve">CARLOS FAJARDO MOVILLA </v>
          </cell>
        </row>
        <row r="110">
          <cell r="C110" t="str">
            <v xml:space="preserve">CARMEN ALICIA ARENAS DE GARCÍA </v>
          </cell>
        </row>
        <row r="111">
          <cell r="C111" t="str">
            <v xml:space="preserve">CATALINO JESUS SUAREZ RUIZ </v>
          </cell>
        </row>
        <row r="112">
          <cell r="C112" t="str">
            <v>CENIA ELENA CASTRO CANTILLO</v>
          </cell>
        </row>
        <row r="113">
          <cell r="C113" t="str">
            <v>CESAR DAVID AVENDAÑO ARREGOCES</v>
          </cell>
        </row>
        <row r="118">
          <cell r="C118" t="str">
            <v>CONTRATISTA  PRODUCCIÓN DE MULTIMEDIA VIRTUAL 1</v>
          </cell>
        </row>
        <row r="119">
          <cell r="C119" t="str">
            <v>CONTRATISTA  PRODUCCIÓN DE MULTIMEDIA VIRTUAL 2</v>
          </cell>
        </row>
        <row r="136">
          <cell r="C136" t="str">
            <v>CONTRATISTA RECURRENTES</v>
          </cell>
        </row>
        <row r="141">
          <cell r="C141" t="str">
            <v>CONTRATISTA TSA EVALUADOR 1</v>
          </cell>
        </row>
        <row r="143">
          <cell r="C143" t="str">
            <v>CONTRATISTA TTUTOR EDO</v>
          </cell>
        </row>
        <row r="144">
          <cell r="C144" t="str">
            <v>DANIEL EDUARDO CARBONELL PEREZ</v>
          </cell>
        </row>
        <row r="145">
          <cell r="C145" t="str">
            <v xml:space="preserve">DANIEL ENRIQUE CABARCAS MARÍN </v>
          </cell>
        </row>
        <row r="146">
          <cell r="C146" t="str">
            <v>DANIS ALBERTO MONTAÑA BASTIDAS</v>
          </cell>
        </row>
        <row r="147">
          <cell r="C147" t="str">
            <v xml:space="preserve">DAVID ANDRÉS OCHOA MIRANDA </v>
          </cell>
        </row>
        <row r="148">
          <cell r="C148" t="str">
            <v>DAVID FERNANDO ARZUZA TORRADO</v>
          </cell>
        </row>
        <row r="150">
          <cell r="C150" t="str">
            <v>DIANA LUZ DE LEON OBREGON</v>
          </cell>
        </row>
        <row r="151">
          <cell r="C151" t="str">
            <v>EDGAR BULA ESPINOZA</v>
          </cell>
        </row>
        <row r="152">
          <cell r="C152" t="str">
            <v xml:space="preserve">EDINSON JESÚS ARIZA ROCHA </v>
          </cell>
        </row>
        <row r="153">
          <cell r="C153" t="str">
            <v>EDUARDO DEL REAL JARABA</v>
          </cell>
        </row>
        <row r="154">
          <cell r="C154" t="str">
            <v xml:space="preserve">ELIAS MOISES PATIÑO HURTADO </v>
          </cell>
        </row>
        <row r="155">
          <cell r="C155" t="str">
            <v xml:space="preserve">ELISEO ANGEL RODRIGUEZ SANABRIA </v>
          </cell>
        </row>
        <row r="156">
          <cell r="C156" t="str">
            <v>ELVIS XAVIER RODRIGUEZ BARRIOS</v>
          </cell>
        </row>
        <row r="157">
          <cell r="C157" t="str">
            <v xml:space="preserve">ERICK WILSON BUENAVENTURA MEDINA </v>
          </cell>
        </row>
        <row r="158">
          <cell r="C158" t="str">
            <v xml:space="preserve">ERIKA MARIA VELASQUEZ CARRILLO </v>
          </cell>
        </row>
        <row r="159">
          <cell r="C159" t="str">
            <v xml:space="preserve">EUCLIDES DE LA CRUZ PEREZ </v>
          </cell>
        </row>
        <row r="160">
          <cell r="C160" t="str">
            <v>EUGENIO NELSON REY CELI</v>
          </cell>
        </row>
        <row r="161">
          <cell r="C161" t="str">
            <v xml:space="preserve">EVERALDO DE LA HOZ MERCADO </v>
          </cell>
        </row>
        <row r="162">
          <cell r="C162" t="str">
            <v>FELIPE ANTONIO  GALVEZ NOVOA</v>
          </cell>
        </row>
        <row r="163">
          <cell r="C163" t="str">
            <v>FELIX ALBERTO BERRIO BERRIO</v>
          </cell>
        </row>
        <row r="164">
          <cell r="C164" t="str">
            <v xml:space="preserve">FRANCISCO JAVIER GARCÍA PADILLA </v>
          </cell>
        </row>
        <row r="165">
          <cell r="C165" t="str">
            <v>FREDDY ADOLFO ACOSTA AGUILAR</v>
          </cell>
        </row>
        <row r="166">
          <cell r="C166" t="str">
            <v>GRACIELA ANGARITA POLO</v>
          </cell>
        </row>
        <row r="167">
          <cell r="C167" t="str">
            <v>GUILLERMO MAESTRE ARAQUE.</v>
          </cell>
        </row>
        <row r="168">
          <cell r="C168" t="str">
            <v>GUSTAVO ADOLFO BLANCO CARBONELL</v>
          </cell>
        </row>
        <row r="169">
          <cell r="C169" t="str">
            <v>GUSTAVO JOSE CALDERON BERMEJO</v>
          </cell>
        </row>
        <row r="170">
          <cell r="C170" t="str">
            <v>HAROLD FLOREZ BUELVAS</v>
          </cell>
        </row>
        <row r="171">
          <cell r="C171" t="str">
            <v xml:space="preserve">HEINER ENRIQUE CABARCAS BONILLA </v>
          </cell>
        </row>
        <row r="172">
          <cell r="C172" t="str">
            <v xml:space="preserve">HERNANDO LUÍS ESTARITA TAPIAS </v>
          </cell>
        </row>
        <row r="173">
          <cell r="C173" t="str">
            <v xml:space="preserve">HUGO ARMANDO NAVARRO RIVERO </v>
          </cell>
        </row>
        <row r="174">
          <cell r="C174" t="str">
            <v>HUMBERTO VARELA VILLA</v>
          </cell>
        </row>
        <row r="175">
          <cell r="C175" t="str">
            <v>INGRID DEL CARMEN BERDUGO CERA</v>
          </cell>
        </row>
        <row r="176">
          <cell r="C176" t="str">
            <v>IRINA ISABEL ROGET VILORIA</v>
          </cell>
        </row>
        <row r="177">
          <cell r="C177" t="str">
            <v xml:space="preserve">IVAN ALONSO VARGAS ACOSTA </v>
          </cell>
        </row>
        <row r="178">
          <cell r="C178" t="str">
            <v>JACKELINE DEL ROSARIO VIZCAINO VILLAFAÑE</v>
          </cell>
        </row>
        <row r="179">
          <cell r="C179" t="str">
            <v>JAIRO ENRIQUE BARRIOS DONADO</v>
          </cell>
        </row>
        <row r="180">
          <cell r="C180" t="str">
            <v>JESUS MARIA PEREZ GONZALEZ</v>
          </cell>
        </row>
        <row r="181">
          <cell r="C181" t="str">
            <v xml:space="preserve">JHON JAIRO JIMENEZ SERPA </v>
          </cell>
        </row>
        <row r="182">
          <cell r="C182" t="str">
            <v>JONATHAN ADIE VILLAFAÑE</v>
          </cell>
        </row>
        <row r="183">
          <cell r="C183" t="str">
            <v xml:space="preserve">JORGE ALBERTO GONZALEZ MOSCARELLA </v>
          </cell>
        </row>
        <row r="185">
          <cell r="C185" t="str">
            <v xml:space="preserve">JOSÉ ALBERTO COLONNA PERTUZ </v>
          </cell>
        </row>
        <row r="186">
          <cell r="C186" t="str">
            <v>JOSE DEL CARMEN GONZALEZ GUTIERREZ</v>
          </cell>
        </row>
        <row r="187">
          <cell r="C187" t="str">
            <v>JOSE MIGUEL NARVAEZ PEREZ</v>
          </cell>
        </row>
        <row r="188">
          <cell r="C188" t="str">
            <v xml:space="preserve">JOSÉ NELSÓN DÍAZ FIGUEROA </v>
          </cell>
        </row>
        <row r="189">
          <cell r="C189" t="str">
            <v xml:space="preserve">JULIAN ALBERTO  RIVAS SANTIAGO </v>
          </cell>
        </row>
        <row r="190">
          <cell r="C190" t="str">
            <v>KATIA MILENA VILLARREAL ARTETA</v>
          </cell>
        </row>
        <row r="191">
          <cell r="C191" t="str">
            <v>KELLY PATRICIA SUAREZ CONSUEGRA</v>
          </cell>
        </row>
        <row r="192">
          <cell r="C192" t="str">
            <v>LEDYS ESTHER PATIÑO BARRIOS</v>
          </cell>
        </row>
        <row r="193">
          <cell r="C193" t="str">
            <v>LEINER JOSE ALVAREZ URECHE</v>
          </cell>
        </row>
        <row r="194">
          <cell r="C194" t="str">
            <v>LICETH MILENA DE LA TORRE CASTILLO</v>
          </cell>
        </row>
        <row r="195">
          <cell r="C195" t="str">
            <v xml:space="preserve">LILIANA PATRICIA MARTÍNEZ FERNÁNDEZ </v>
          </cell>
        </row>
        <row r="196">
          <cell r="C196" t="str">
            <v>LINA MARIA NADER VILLA</v>
          </cell>
        </row>
        <row r="197">
          <cell r="C197" t="str">
            <v>LINA MARIA PÉREZ MAESTRE</v>
          </cell>
        </row>
        <row r="198">
          <cell r="C198" t="str">
            <v xml:space="preserve">LIOJANIS LINETH ALVARADO CASTILLO </v>
          </cell>
        </row>
        <row r="199">
          <cell r="C199" t="str">
            <v>LUIS ALBERTO GRANADOS VEGA</v>
          </cell>
        </row>
        <row r="200">
          <cell r="C200" t="str">
            <v>LUIS FERNANDO VILORIA GOMEZ</v>
          </cell>
        </row>
        <row r="201">
          <cell r="C201" t="str">
            <v>LUZ ESTELLA LEON CORONADO</v>
          </cell>
        </row>
        <row r="202">
          <cell r="C202" t="str">
            <v>LUZ MARINA CUELLO CUELLO</v>
          </cell>
        </row>
        <row r="203">
          <cell r="C203" t="str">
            <v xml:space="preserve">LUZ MARINA OLIVEROS MATUTE </v>
          </cell>
        </row>
        <row r="204">
          <cell r="C204" t="str">
            <v xml:space="preserve">MAGALY ANDRADE RIVALDO </v>
          </cell>
        </row>
        <row r="205">
          <cell r="C205" t="str">
            <v>MARGARITA MARIA CERVANTES PATERNINA</v>
          </cell>
        </row>
        <row r="206">
          <cell r="C206" t="str">
            <v>MARIA ELENA YEPEZ DE ORO</v>
          </cell>
        </row>
        <row r="207">
          <cell r="C207" t="str">
            <v>MARLON AFRICANO</v>
          </cell>
        </row>
        <row r="208">
          <cell r="C208" t="str">
            <v>MARTHA BEATRIZ ESTARITA TAPIAS</v>
          </cell>
        </row>
        <row r="210">
          <cell r="C210" t="str">
            <v>MICHELLE DURAN MEDINA</v>
          </cell>
        </row>
        <row r="211">
          <cell r="C211" t="str">
            <v>MIGUEL ELIAS BENDECK FLOREZ</v>
          </cell>
        </row>
        <row r="212">
          <cell r="C212" t="str">
            <v xml:space="preserve">MILENA HERNANDEZ CORDERO </v>
          </cell>
        </row>
        <row r="213">
          <cell r="C213" t="str">
            <v>MONICA MARIA BUCHARD DE LA HOZ.</v>
          </cell>
        </row>
        <row r="214">
          <cell r="C214" t="str">
            <v xml:space="preserve">NINA PAOLA DE  LA CRUZ SANDOVAL </v>
          </cell>
        </row>
        <row r="215">
          <cell r="C215" t="str">
            <v xml:space="preserve">NOE ANTONIO PEÑA HERAZO </v>
          </cell>
        </row>
        <row r="216">
          <cell r="C216" t="str">
            <v>NOHORA ISABEL PUENTES LOPEZ</v>
          </cell>
        </row>
        <row r="217">
          <cell r="C217" t="str">
            <v>NORLY DE JESUS CALVO ARCHBOLD</v>
          </cell>
        </row>
        <row r="218">
          <cell r="C218" t="str">
            <v xml:space="preserve">NORYS MILENA ORTIZ SALAZAR </v>
          </cell>
        </row>
        <row r="219">
          <cell r="C219" t="str">
            <v>OSVALDO MANUEL TUIRAN MIRANDA</v>
          </cell>
        </row>
        <row r="220">
          <cell r="C220" t="str">
            <v>PAOLA MERCEDES PEDROZA CAMARGO</v>
          </cell>
        </row>
        <row r="221">
          <cell r="C221" t="str">
            <v xml:space="preserve">PAOLA PATRICIA MAESTRE BUJATO </v>
          </cell>
        </row>
        <row r="222">
          <cell r="C222" t="str">
            <v xml:space="preserve">PATRICIA ELENA MENDOZA SALAZAR  </v>
          </cell>
        </row>
        <row r="223">
          <cell r="C223" t="str">
            <v xml:space="preserve">PEDRO VERGEL ORTEGA </v>
          </cell>
        </row>
        <row r="224">
          <cell r="C224" t="str">
            <v>RAMON ELIAS JARAMILLO GOMEZ</v>
          </cell>
        </row>
        <row r="225">
          <cell r="C225" t="str">
            <v>RICARDO ANTONIO CALIXTO BARRIOS</v>
          </cell>
        </row>
        <row r="226">
          <cell r="C226" t="str">
            <v>RICARDO LEON MEJIA MIRANDA</v>
          </cell>
        </row>
        <row r="227">
          <cell r="C227" t="str">
            <v xml:space="preserve">ROBERTO DE JESÚS RODRÍGUEZ VANEGAS </v>
          </cell>
        </row>
        <row r="228">
          <cell r="C228" t="str">
            <v>RODOLFO DE JESUS NUÑEZ CAMPO</v>
          </cell>
        </row>
        <row r="230">
          <cell r="C230" t="str">
            <v>RONALD ANDRES GUTIERREZ ACOSTA</v>
          </cell>
        </row>
        <row r="231">
          <cell r="C231" t="str">
            <v>ROQUE AUGUSTO BUENO ARCHBOLD</v>
          </cell>
        </row>
        <row r="233">
          <cell r="C233" t="str">
            <v xml:space="preserve">RUBIEL JOSE  MUÑOZ ALMARIO </v>
          </cell>
        </row>
        <row r="234">
          <cell r="C234" t="str">
            <v xml:space="preserve">SANTANDER ALFONSO OLIVERO  MARQUEZ </v>
          </cell>
        </row>
        <row r="235">
          <cell r="C235" t="str">
            <v xml:space="preserve">SONIA ESTHER MANTILLA CASTELLAR </v>
          </cell>
        </row>
        <row r="236">
          <cell r="C236" t="str">
            <v xml:space="preserve">SOVEIDA SANTOS ALARCON </v>
          </cell>
        </row>
        <row r="237">
          <cell r="C237" t="str">
            <v>TERESA DE JESUS RODRIGUEZ ROMERO</v>
          </cell>
        </row>
        <row r="238">
          <cell r="C238" t="str">
            <v xml:space="preserve">TOMAS BRU VILLA </v>
          </cell>
        </row>
        <row r="239">
          <cell r="C239" t="str">
            <v>VICTOR ENRIQUE CEPEDA BERRIO</v>
          </cell>
        </row>
        <row r="240">
          <cell r="C240" t="str">
            <v>VICTOR GABRIEL ALTAHONA ACOSTA</v>
          </cell>
        </row>
        <row r="241">
          <cell r="C241" t="str">
            <v>VICTOR MANUEL DE LIMA VARGAS</v>
          </cell>
        </row>
        <row r="244">
          <cell r="C244" t="str">
            <v>YESENIA DE LOS ANGELES MARCHENA PEÑA</v>
          </cell>
        </row>
        <row r="245">
          <cell r="C245" t="str">
            <v xml:space="preserve">YONIS JAVIER FONTALVO GUETTE </v>
          </cell>
        </row>
        <row r="246">
          <cell r="C246" t="str">
            <v xml:space="preserve">YOVELIS YANETH ROMERO REDONDO </v>
          </cell>
        </row>
        <row r="247">
          <cell r="C247" t="str">
            <v>YURANIS ESTHER VIZCAINO CABARCAS</v>
          </cell>
        </row>
        <row r="249">
          <cell r="C249" t="str">
            <v>ZUHANNY MILENA CANO CHAMORRO</v>
          </cell>
        </row>
        <row r="250">
          <cell r="C250" t="str">
            <v>ZULLY DEL SOCORRO CABALLERO ARRIETA</v>
          </cell>
        </row>
        <row r="251">
          <cell r="C251" t="str">
            <v>Subtotal Contratistas</v>
          </cell>
        </row>
        <row r="252">
          <cell r="C252">
            <v>0</v>
          </cell>
        </row>
        <row r="254">
          <cell r="C254">
            <v>0</v>
          </cell>
        </row>
        <row r="258">
          <cell r="C258">
            <v>0</v>
          </cell>
        </row>
      </sheetData>
      <sheetData sheetId="1"/>
      <sheetData sheetId="2"/>
      <sheetData sheetId="3"/>
      <sheetData sheetId="4"/>
      <sheetData sheetId="5"/>
      <sheetData sheetId="6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customProperty" Target="../customProperty2.bin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customProperty" Target="../customProperty3.bin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customProperty" Target="../customProperty4.bin"/><Relationship Id="rId1" Type="http://schemas.openxmlformats.org/officeDocument/2006/relationships/printerSettings" Target="../printerSettings/printerSettings5.bin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customProperty" Target="../customProperty5.bin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2:R353"/>
  <sheetViews>
    <sheetView zoomScaleNormal="100" workbookViewId="0">
      <pane xSplit="3" ySplit="9" topLeftCell="D10" activePane="bottomRight" state="frozen"/>
      <selection activeCell="C218" sqref="C218"/>
      <selection pane="topRight" activeCell="C218" sqref="C218"/>
      <selection pane="bottomLeft" activeCell="C218" sqref="C218"/>
      <selection pane="bottomRight" activeCell="C350" sqref="C350"/>
    </sheetView>
  </sheetViews>
  <sheetFormatPr baseColWidth="10" defaultRowHeight="12.75" x14ac:dyDescent="0.2"/>
  <cols>
    <col min="1" max="1" width="8.42578125" style="254" bestFit="1" customWidth="1"/>
    <col min="2" max="2" width="11.85546875" style="1" bestFit="1" customWidth="1"/>
    <col min="3" max="3" width="61.42578125" style="1" bestFit="1" customWidth="1"/>
    <col min="4" max="4" width="10" style="1" customWidth="1"/>
    <col min="5" max="5" width="22.85546875" style="1" customWidth="1"/>
    <col min="6" max="6" width="13" style="1" customWidth="1"/>
    <col min="7" max="8" width="9.7109375" style="1" customWidth="1"/>
    <col min="9" max="9" width="7.28515625" style="1" customWidth="1"/>
    <col min="10" max="10" width="13.85546875" style="1" customWidth="1"/>
    <col min="11" max="11" width="10.5703125" style="1" customWidth="1"/>
    <col min="12" max="13" width="11.5703125" style="1" customWidth="1"/>
    <col min="14" max="14" width="13.5703125" style="1" bestFit="1" customWidth="1"/>
    <col min="15" max="15" width="14.5703125" style="1" customWidth="1"/>
    <col min="16" max="16" width="26.7109375" style="5" customWidth="1"/>
    <col min="17" max="17" width="12.7109375" style="1" bestFit="1" customWidth="1"/>
    <col min="18" max="16384" width="11.42578125" style="1"/>
  </cols>
  <sheetData>
    <row r="2" spans="1:18" ht="67.5" customHeight="1" x14ac:dyDescent="0.25">
      <c r="B2" s="435" t="s">
        <v>76</v>
      </c>
      <c r="C2" s="435"/>
      <c r="D2" s="435"/>
      <c r="E2" s="435"/>
      <c r="F2" s="435"/>
      <c r="G2" s="435"/>
      <c r="H2" s="435"/>
      <c r="I2" s="435"/>
      <c r="J2" s="435"/>
      <c r="K2" s="435"/>
      <c r="L2" s="435"/>
      <c r="M2" s="435"/>
      <c r="N2" s="436"/>
      <c r="O2" s="31" t="s">
        <v>77</v>
      </c>
      <c r="P2" s="250"/>
    </row>
    <row r="3" spans="1:18" x14ac:dyDescent="0.2">
      <c r="C3" s="2"/>
      <c r="D3" s="3"/>
      <c r="E3" s="3"/>
      <c r="F3" s="3"/>
      <c r="G3" s="3"/>
      <c r="H3" s="3"/>
      <c r="I3" s="3"/>
      <c r="J3" s="3"/>
      <c r="K3" s="3"/>
      <c r="L3" s="3"/>
      <c r="M3" s="3"/>
    </row>
    <row r="4" spans="1:18" x14ac:dyDescent="0.2">
      <c r="C4" s="2"/>
      <c r="D4" s="3"/>
      <c r="E4" s="3"/>
      <c r="F4" s="3"/>
      <c r="G4" s="3"/>
      <c r="H4" s="3"/>
      <c r="I4" s="3"/>
      <c r="J4" s="3"/>
      <c r="K4" s="3"/>
      <c r="L4" s="3"/>
      <c r="M4" s="3"/>
    </row>
    <row r="5" spans="1:18" x14ac:dyDescent="0.2">
      <c r="B5" s="266" t="s">
        <v>117</v>
      </c>
      <c r="C5" s="437" t="s">
        <v>184</v>
      </c>
      <c r="D5" s="437"/>
      <c r="E5" s="437"/>
      <c r="F5" s="437"/>
      <c r="G5" s="437"/>
      <c r="H5" s="266" t="s">
        <v>118</v>
      </c>
      <c r="I5" s="441">
        <v>2014</v>
      </c>
      <c r="J5" s="442"/>
      <c r="K5" s="443"/>
      <c r="L5" s="438" t="s">
        <v>119</v>
      </c>
      <c r="M5" s="438"/>
      <c r="N5" s="439">
        <v>212</v>
      </c>
      <c r="O5" s="439"/>
    </row>
    <row r="6" spans="1:18" x14ac:dyDescent="0.2">
      <c r="B6" s="266" t="s">
        <v>116</v>
      </c>
      <c r="C6" s="440" t="s">
        <v>338</v>
      </c>
      <c r="D6" s="437"/>
      <c r="E6" s="437"/>
      <c r="F6" s="437"/>
      <c r="G6" s="437"/>
      <c r="H6" s="437"/>
      <c r="I6" s="437"/>
      <c r="J6" s="437"/>
      <c r="K6" s="437"/>
      <c r="L6" s="437"/>
      <c r="M6" s="437"/>
      <c r="N6" s="437"/>
      <c r="O6" s="437"/>
    </row>
    <row r="7" spans="1:18" x14ac:dyDescent="0.2">
      <c r="E7" s="41"/>
      <c r="F7" s="4"/>
      <c r="P7" s="8"/>
    </row>
    <row r="8" spans="1:18" s="71" customFormat="1" ht="27.75" customHeight="1" x14ac:dyDescent="0.2">
      <c r="A8" s="257"/>
      <c r="B8" s="42"/>
      <c r="C8" s="42"/>
      <c r="D8" s="434" t="s">
        <v>83</v>
      </c>
      <c r="E8" s="434"/>
      <c r="F8" s="434"/>
      <c r="G8" s="434"/>
      <c r="H8" s="434"/>
      <c r="I8" s="434"/>
      <c r="J8" s="42"/>
      <c r="K8" s="42"/>
      <c r="L8" s="434" t="s">
        <v>84</v>
      </c>
      <c r="M8" s="434"/>
      <c r="N8" s="42" t="s">
        <v>110</v>
      </c>
      <c r="O8" s="42"/>
      <c r="P8" s="11"/>
    </row>
    <row r="9" spans="1:18" s="71" customFormat="1" ht="24.75" customHeight="1" x14ac:dyDescent="0.2">
      <c r="A9" s="252" t="s">
        <v>88</v>
      </c>
      <c r="B9" s="43" t="s">
        <v>86</v>
      </c>
      <c r="C9" s="37" t="s">
        <v>87</v>
      </c>
      <c r="D9" s="30" t="s">
        <v>234</v>
      </c>
      <c r="E9" s="264" t="s">
        <v>111</v>
      </c>
      <c r="F9" s="264" t="s">
        <v>92</v>
      </c>
      <c r="G9" s="30" t="s">
        <v>233</v>
      </c>
      <c r="H9" s="264" t="s">
        <v>115</v>
      </c>
      <c r="I9" s="264" t="s">
        <v>93</v>
      </c>
      <c r="J9" s="42" t="s">
        <v>109</v>
      </c>
      <c r="K9" s="42" t="s">
        <v>120</v>
      </c>
      <c r="L9" s="264" t="s">
        <v>78</v>
      </c>
      <c r="M9" s="264" t="s">
        <v>79</v>
      </c>
      <c r="N9" s="69"/>
      <c r="O9" s="43" t="s">
        <v>85</v>
      </c>
      <c r="P9" s="11" t="s">
        <v>864</v>
      </c>
    </row>
    <row r="10" spans="1:18" s="71" customFormat="1" x14ac:dyDescent="0.2">
      <c r="A10" s="254" t="s">
        <v>88</v>
      </c>
      <c r="B10" s="328">
        <v>1</v>
      </c>
      <c r="C10" s="329" t="s">
        <v>195</v>
      </c>
      <c r="D10" s="6">
        <f>SUMIF('PROG FORMACIÓN TITULADA'!$Q$8:$Q$1070,C10,'PROG FORMACIÓN TITULADA'!$R$8:$R$1070)</f>
        <v>475</v>
      </c>
      <c r="E10" s="6">
        <f>SUMIF('PROG FORM COMPLEM'!$G$9:$G$264,C10,'PROG FORM COMPLEM'!$K$9:$K$264)</f>
        <v>880</v>
      </c>
      <c r="F10" s="271">
        <f>SUMIF('OTRAS ACCIONES'!$B$12:$B$44,C10,'OTRAS ACCIONES'!$D$12:$D$44)</f>
        <v>0</v>
      </c>
      <c r="G10" s="6">
        <f>SUMIF('OTRAS ACCIONES'!$B$46:$B$68,C10,'OTRAS ACCIONES'!$D$46:$D$68)</f>
        <v>0</v>
      </c>
      <c r="H10" s="6">
        <f>SUMIF('OTRAS ACCIONES'!$B$70:$B$82,C10,'OTRAS ACCIONES'!$D$70:$D$82)</f>
        <v>0</v>
      </c>
      <c r="I10" s="6">
        <f>SUMIF('OTRAS ACCIONES'!$B$84:$B$89,C10,'OTRAS ACCIONES'!$D$84:$D$89)</f>
        <v>0</v>
      </c>
      <c r="J10" s="330">
        <f t="shared" ref="J10:J73" si="0">SUM(D10:I10)</f>
        <v>1355</v>
      </c>
      <c r="K10" s="330">
        <f t="shared" ref="K10:K43" si="1">(42.5*$N$5/5)-M10-L10-J10</f>
        <v>1.7999999999999545</v>
      </c>
      <c r="L10" s="271"/>
      <c r="M10" s="271">
        <f t="shared" ref="M10:M43" si="2">(10.5*$N$5/5)-L10</f>
        <v>445.2</v>
      </c>
      <c r="N10" s="332">
        <f t="shared" ref="N10:N43" si="3">SUM(L10:M10)</f>
        <v>445.2</v>
      </c>
      <c r="O10" s="333">
        <f t="shared" ref="O10:O43" si="4">J10+N10</f>
        <v>1800.2</v>
      </c>
      <c r="P10" s="1" t="s">
        <v>486</v>
      </c>
      <c r="Q10" s="1"/>
      <c r="R10" s="1"/>
    </row>
    <row r="11" spans="1:18" x14ac:dyDescent="0.2">
      <c r="A11" s="254" t="s">
        <v>88</v>
      </c>
      <c r="B11" s="354">
        <v>2</v>
      </c>
      <c r="C11" s="26" t="s">
        <v>183</v>
      </c>
      <c r="D11" s="6">
        <f>SUMIF('PROG FORMACIÓN TITULADA'!$Q$8:$Q$1070,C11,'PROG FORMACIÓN TITULADA'!$R$8:$R$1070)</f>
        <v>0</v>
      </c>
      <c r="E11" s="6">
        <f>SUMIF('PROG FORM COMPLEM'!$G$9:$G$264,C11,'PROG FORM COMPLEM'!$K$9:$K$264)</f>
        <v>1380</v>
      </c>
      <c r="F11" s="271">
        <f>SUMIF('OTRAS ACCIONES'!$B$12:$B$44,C11,'OTRAS ACCIONES'!$D$12:$D$44)</f>
        <v>0</v>
      </c>
      <c r="G11" s="6">
        <f>SUMIF('OTRAS ACCIONES'!$B$46:$B$68,C11,'OTRAS ACCIONES'!$D$46:$D$68)</f>
        <v>0</v>
      </c>
      <c r="H11" s="6">
        <f>SUMIF('OTRAS ACCIONES'!$B$70:$B$82,C11,'OTRAS ACCIONES'!$D$70:$D$82)</f>
        <v>0</v>
      </c>
      <c r="I11" s="6">
        <f>SUMIF('OTRAS ACCIONES'!$B$84:$B$89,C11,'OTRAS ACCIONES'!$D$84:$D$89)</f>
        <v>0</v>
      </c>
      <c r="J11" s="330">
        <f t="shared" si="0"/>
        <v>1380</v>
      </c>
      <c r="K11" s="271">
        <f t="shared" ref="K11" si="5">(42.5*$N$5/5)-M11-L11-J11</f>
        <v>-23.200000000000045</v>
      </c>
      <c r="L11" s="271"/>
      <c r="M11" s="271">
        <f t="shared" si="2"/>
        <v>445.2</v>
      </c>
      <c r="N11" s="271">
        <f t="shared" ref="N11" si="6">SUM(L11:M11)</f>
        <v>445.2</v>
      </c>
      <c r="O11" s="7">
        <f t="shared" ref="O11" si="7">J11+N11</f>
        <v>1825.2</v>
      </c>
      <c r="P11" s="1" t="s">
        <v>486</v>
      </c>
    </row>
    <row r="12" spans="1:18" x14ac:dyDescent="0.2">
      <c r="A12" s="254" t="s">
        <v>88</v>
      </c>
      <c r="B12" s="328">
        <v>3</v>
      </c>
      <c r="C12" s="26" t="s">
        <v>1010</v>
      </c>
      <c r="D12" s="6">
        <f>SUMIF('PROG FORMACIÓN TITULADA'!$Q$8:$Q$1070,C12,'PROG FORMACIÓN TITULADA'!$R$8:$R$1070)</f>
        <v>0</v>
      </c>
      <c r="E12" s="6">
        <f>SUMIF('PROG FORM COMPLEM'!$G$9:$G$264,C12,'PROG FORM COMPLEM'!$K$9:$K$264)</f>
        <v>0</v>
      </c>
      <c r="F12" s="271">
        <f>SUMIF('OTRAS ACCIONES'!$B$12:$B$44,C12,'OTRAS ACCIONES'!$D$12:$D$44)</f>
        <v>1357</v>
      </c>
      <c r="G12" s="6">
        <f>SUMIF('OTRAS ACCIONES'!$B$46:$B$68,C12,'OTRAS ACCIONES'!$D$46:$D$68)</f>
        <v>0</v>
      </c>
      <c r="H12" s="6">
        <f>SUMIF('OTRAS ACCIONES'!$B$70:$B$82,C12,'OTRAS ACCIONES'!$D$70:$D$82)</f>
        <v>0</v>
      </c>
      <c r="I12" s="6">
        <f>SUMIF('OTRAS ACCIONES'!$B$84:$B$89,C12,'OTRAS ACCIONES'!$D$84:$D$89)</f>
        <v>0</v>
      </c>
      <c r="J12" s="330">
        <f t="shared" si="0"/>
        <v>1357</v>
      </c>
      <c r="K12" s="271">
        <f t="shared" si="1"/>
        <v>-0.20000000000004547</v>
      </c>
      <c r="L12" s="271"/>
      <c r="M12" s="271">
        <f t="shared" si="2"/>
        <v>445.2</v>
      </c>
      <c r="N12" s="271">
        <f t="shared" si="3"/>
        <v>445.2</v>
      </c>
      <c r="O12" s="7">
        <f t="shared" si="4"/>
        <v>1802.2</v>
      </c>
      <c r="P12" s="1" t="s">
        <v>1013</v>
      </c>
    </row>
    <row r="13" spans="1:18" x14ac:dyDescent="0.2">
      <c r="A13" s="254" t="s">
        <v>88</v>
      </c>
      <c r="B13" s="415">
        <v>4</v>
      </c>
      <c r="C13" s="26" t="s">
        <v>404</v>
      </c>
      <c r="D13" s="6">
        <f>SUMIF('PROG FORMACIÓN TITULADA'!$Q$8:$Q$1070,C13,'PROG FORMACIÓN TITULADA'!$R$8:$R$1070)</f>
        <v>425</v>
      </c>
      <c r="E13" s="6">
        <f>SUMIF('PROG FORM COMPLEM'!$G$9:$G$264,C13,'PROG FORM COMPLEM'!$K$9:$K$264)</f>
        <v>920</v>
      </c>
      <c r="F13" s="271">
        <f>SUMIF('OTRAS ACCIONES'!$B$12:$B$44,C13,'OTRAS ACCIONES'!$D$12:$D$44)</f>
        <v>0</v>
      </c>
      <c r="G13" s="6">
        <f>SUMIF('OTRAS ACCIONES'!$B$46:$B$68,C13,'OTRAS ACCIONES'!$D$46:$D$68)</f>
        <v>0</v>
      </c>
      <c r="H13" s="6">
        <f>SUMIF('OTRAS ACCIONES'!$B$70:$B$82,C13,'OTRAS ACCIONES'!$D$70:$D$82)</f>
        <v>0</v>
      </c>
      <c r="I13" s="6">
        <f>SUMIF('OTRAS ACCIONES'!$B$84:$B$89,C13,'OTRAS ACCIONES'!$D$84:$D$89)</f>
        <v>0</v>
      </c>
      <c r="J13" s="330">
        <f t="shared" si="0"/>
        <v>1345</v>
      </c>
      <c r="K13" s="271">
        <f t="shared" si="1"/>
        <v>11.799999999999955</v>
      </c>
      <c r="L13" s="271"/>
      <c r="M13" s="271">
        <f t="shared" si="2"/>
        <v>445.2</v>
      </c>
      <c r="N13" s="271">
        <f t="shared" si="3"/>
        <v>445.2</v>
      </c>
      <c r="O13" s="7">
        <f t="shared" si="4"/>
        <v>1790.2</v>
      </c>
      <c r="P13" s="1" t="s">
        <v>208</v>
      </c>
    </row>
    <row r="14" spans="1:18" x14ac:dyDescent="0.2">
      <c r="A14" s="254" t="s">
        <v>88</v>
      </c>
      <c r="B14" s="328">
        <v>5</v>
      </c>
      <c r="C14" s="6" t="s">
        <v>244</v>
      </c>
      <c r="D14" s="6">
        <f>SUMIF('PROG FORMACIÓN TITULADA'!$Q$8:$Q$1070,C14,'PROG FORMACIÓN TITULADA'!$R$8:$R$1070)</f>
        <v>970</v>
      </c>
      <c r="E14" s="6">
        <f>SUMIF('PROG FORM COMPLEM'!$G$9:$G$264,C14,'PROG FORM COMPLEM'!$K$9:$K$264)</f>
        <v>200</v>
      </c>
      <c r="F14" s="271">
        <f>SUMIF('OTRAS ACCIONES'!$B$12:$B$44,C14,'OTRAS ACCIONES'!$D$12:$D$44)</f>
        <v>0</v>
      </c>
      <c r="G14" s="6">
        <f>SUMIF('OTRAS ACCIONES'!$B$46:$B$68,C14,'OTRAS ACCIONES'!$D$46:$D$68)</f>
        <v>295</v>
      </c>
      <c r="H14" s="6">
        <f>SUMIF('OTRAS ACCIONES'!$B$70:$B$82,C14,'OTRAS ACCIONES'!$D$70:$D$82)</f>
        <v>0</v>
      </c>
      <c r="I14" s="6">
        <f>SUMIF('OTRAS ACCIONES'!$B$84:$B$89,C14,'OTRAS ACCIONES'!$D$84:$D$89)</f>
        <v>0</v>
      </c>
      <c r="J14" s="330">
        <f t="shared" si="0"/>
        <v>1465</v>
      </c>
      <c r="K14" s="271">
        <f t="shared" si="1"/>
        <v>-108.20000000000005</v>
      </c>
      <c r="L14" s="271"/>
      <c r="M14" s="271">
        <f t="shared" si="2"/>
        <v>445.2</v>
      </c>
      <c r="N14" s="271">
        <f t="shared" si="3"/>
        <v>445.2</v>
      </c>
      <c r="O14" s="7">
        <f t="shared" si="4"/>
        <v>1910.2</v>
      </c>
      <c r="P14" s="1" t="s">
        <v>208</v>
      </c>
    </row>
    <row r="15" spans="1:18" x14ac:dyDescent="0.2">
      <c r="A15" s="254" t="s">
        <v>88</v>
      </c>
      <c r="B15" s="415">
        <v>6</v>
      </c>
      <c r="C15" s="26" t="s">
        <v>174</v>
      </c>
      <c r="D15" s="6">
        <f>SUMIF('PROG FORMACIÓN TITULADA'!$Q$8:$Q$1070,C15,'PROG FORMACIÓN TITULADA'!$R$8:$R$1070)</f>
        <v>417</v>
      </c>
      <c r="E15" s="6">
        <f>SUMIF('PROG FORM COMPLEM'!$G$9:$G$264,C15,'PROG FORM COMPLEM'!$K$9:$K$264)</f>
        <v>940</v>
      </c>
      <c r="F15" s="271">
        <f>SUMIF('OTRAS ACCIONES'!$B$12:$B$44,C15,'OTRAS ACCIONES'!$D$12:$D$44)</f>
        <v>0</v>
      </c>
      <c r="G15" s="6">
        <f>SUMIF('OTRAS ACCIONES'!$B$46:$B$68,C15,'OTRAS ACCIONES'!$D$46:$D$68)</f>
        <v>0</v>
      </c>
      <c r="H15" s="6">
        <f>SUMIF('OTRAS ACCIONES'!$B$70:$B$82,C15,'OTRAS ACCIONES'!$D$70:$D$82)</f>
        <v>0</v>
      </c>
      <c r="I15" s="6">
        <f>SUMIF('OTRAS ACCIONES'!$B$84:$B$89,C15,'OTRAS ACCIONES'!$D$84:$D$89)</f>
        <v>0</v>
      </c>
      <c r="J15" s="330">
        <f t="shared" si="0"/>
        <v>1357</v>
      </c>
      <c r="K15" s="271">
        <f t="shared" si="1"/>
        <v>-0.20000000000004547</v>
      </c>
      <c r="L15" s="271"/>
      <c r="M15" s="271">
        <f t="shared" si="2"/>
        <v>445.2</v>
      </c>
      <c r="N15" s="271">
        <f t="shared" si="3"/>
        <v>445.2</v>
      </c>
      <c r="O15" s="7">
        <f t="shared" si="4"/>
        <v>1802.2</v>
      </c>
      <c r="P15" s="1" t="s">
        <v>485</v>
      </c>
    </row>
    <row r="16" spans="1:18" x14ac:dyDescent="0.2">
      <c r="A16" s="254" t="s">
        <v>88</v>
      </c>
      <c r="B16" s="328">
        <v>7</v>
      </c>
      <c r="C16" s="26" t="s">
        <v>150</v>
      </c>
      <c r="D16" s="6">
        <f>SUMIF('PROG FORMACIÓN TITULADA'!$Q$8:$Q$1070,C16,'PROG FORMACIÓN TITULADA'!$R$8:$R$1070)</f>
        <v>790</v>
      </c>
      <c r="E16" s="6">
        <f>SUMIF('PROG FORM COMPLEM'!$G$9:$G$264,C16,'PROG FORM COMPLEM'!$K$9:$K$264)</f>
        <v>560</v>
      </c>
      <c r="F16" s="271">
        <f>SUMIF('OTRAS ACCIONES'!$B$12:$B$44,C16,'OTRAS ACCIONES'!$D$12:$D$44)</f>
        <v>0</v>
      </c>
      <c r="G16" s="6">
        <f>SUMIF('OTRAS ACCIONES'!$B$46:$B$68,C16,'OTRAS ACCIONES'!$D$46:$D$68)</f>
        <v>0</v>
      </c>
      <c r="H16" s="6">
        <f>SUMIF('OTRAS ACCIONES'!$B$70:$B$82,C16,'OTRAS ACCIONES'!$D$70:$D$82)</f>
        <v>0</v>
      </c>
      <c r="I16" s="6">
        <f>SUMIF('OTRAS ACCIONES'!$B$84:$B$89,C16,'OTRAS ACCIONES'!$D$84:$D$89)</f>
        <v>0</v>
      </c>
      <c r="J16" s="330">
        <f t="shared" si="0"/>
        <v>1350</v>
      </c>
      <c r="K16" s="271">
        <f t="shared" si="1"/>
        <v>6.7999999999999545</v>
      </c>
      <c r="L16" s="271"/>
      <c r="M16" s="271">
        <f t="shared" si="2"/>
        <v>445.2</v>
      </c>
      <c r="N16" s="271">
        <f t="shared" si="3"/>
        <v>445.2</v>
      </c>
      <c r="O16" s="7">
        <f t="shared" si="4"/>
        <v>1795.2</v>
      </c>
      <c r="P16" s="1" t="s">
        <v>488</v>
      </c>
    </row>
    <row r="17" spans="1:18" x14ac:dyDescent="0.2">
      <c r="A17" s="254" t="s">
        <v>88</v>
      </c>
      <c r="B17" s="415">
        <v>8</v>
      </c>
      <c r="C17" s="26" t="s">
        <v>146</v>
      </c>
      <c r="D17" s="6">
        <f>SUMIF('PROG FORMACIÓN TITULADA'!$Q$8:$Q$1070,C17,'PROG FORMACIÓN TITULADA'!$R$8:$R$1070)</f>
        <v>1060</v>
      </c>
      <c r="E17" s="6">
        <f>SUMIF('PROG FORM COMPLEM'!$G$9:$G$264,C17,'PROG FORM COMPLEM'!$K$9:$K$264)</f>
        <v>300</v>
      </c>
      <c r="F17" s="271">
        <f>SUMIF('OTRAS ACCIONES'!$B$12:$B$44,C17,'OTRAS ACCIONES'!$D$12:$D$44)</f>
        <v>0</v>
      </c>
      <c r="G17" s="6">
        <f>SUMIF('OTRAS ACCIONES'!$B$46:$B$68,C17,'OTRAS ACCIONES'!$D$46:$D$68)</f>
        <v>0</v>
      </c>
      <c r="H17" s="6">
        <f>SUMIF('OTRAS ACCIONES'!$B$70:$B$82,C17,'OTRAS ACCIONES'!$D$70:$D$82)</f>
        <v>0</v>
      </c>
      <c r="I17" s="6">
        <f>SUMIF('OTRAS ACCIONES'!$B$84:$B$89,C17,'OTRAS ACCIONES'!$D$84:$D$89)</f>
        <v>0</v>
      </c>
      <c r="J17" s="330">
        <f t="shared" si="0"/>
        <v>1360</v>
      </c>
      <c r="K17" s="271">
        <f t="shared" si="1"/>
        <v>-3.2000000000000455</v>
      </c>
      <c r="L17" s="271"/>
      <c r="M17" s="271">
        <f t="shared" si="2"/>
        <v>445.2</v>
      </c>
      <c r="N17" s="271">
        <f t="shared" si="3"/>
        <v>445.2</v>
      </c>
      <c r="O17" s="7">
        <f t="shared" si="4"/>
        <v>1805.2</v>
      </c>
      <c r="P17" s="1" t="s">
        <v>339</v>
      </c>
    </row>
    <row r="18" spans="1:18" x14ac:dyDescent="0.2">
      <c r="A18" s="254" t="s">
        <v>88</v>
      </c>
      <c r="B18" s="328">
        <v>9</v>
      </c>
      <c r="C18" s="26" t="s">
        <v>173</v>
      </c>
      <c r="D18" s="6">
        <f>SUMIF('PROG FORMACIÓN TITULADA'!$Q$8:$Q$1070,C18,'PROG FORMACIÓN TITULADA'!$R$8:$R$1070)</f>
        <v>1307</v>
      </c>
      <c r="E18" s="6">
        <f>SUMIF('PROG FORM COMPLEM'!$G$9:$G$264,C18,'PROG FORM COMPLEM'!$K$9:$K$264)</f>
        <v>50</v>
      </c>
      <c r="F18" s="271">
        <f>SUMIF('OTRAS ACCIONES'!$B$12:$B$44,C18,'OTRAS ACCIONES'!$D$12:$D$44)</f>
        <v>0</v>
      </c>
      <c r="G18" s="6">
        <f>SUMIF('OTRAS ACCIONES'!$B$46:$B$68,C18,'OTRAS ACCIONES'!$D$46:$D$68)</f>
        <v>0</v>
      </c>
      <c r="H18" s="6">
        <f>SUMIF('OTRAS ACCIONES'!$B$70:$B$82,C18,'OTRAS ACCIONES'!$D$70:$D$82)</f>
        <v>0</v>
      </c>
      <c r="I18" s="6">
        <f>SUMIF('OTRAS ACCIONES'!$B$84:$B$89,C18,'OTRAS ACCIONES'!$D$84:$D$89)</f>
        <v>0</v>
      </c>
      <c r="J18" s="330">
        <f t="shared" si="0"/>
        <v>1357</v>
      </c>
      <c r="K18" s="271">
        <f t="shared" si="1"/>
        <v>-0.20000000000004547</v>
      </c>
      <c r="L18" s="271"/>
      <c r="M18" s="271">
        <f t="shared" si="2"/>
        <v>445.2</v>
      </c>
      <c r="N18" s="271">
        <f t="shared" si="3"/>
        <v>445.2</v>
      </c>
      <c r="O18" s="7">
        <f t="shared" si="4"/>
        <v>1802.2</v>
      </c>
      <c r="P18" s="1" t="s">
        <v>485</v>
      </c>
    </row>
    <row r="19" spans="1:18" x14ac:dyDescent="0.2">
      <c r="A19" s="254" t="s">
        <v>88</v>
      </c>
      <c r="B19" s="415">
        <v>10</v>
      </c>
      <c r="C19" s="26" t="s">
        <v>147</v>
      </c>
      <c r="D19" s="6">
        <f>SUMIF('PROG FORMACIÓN TITULADA'!$Q$8:$Q$1070,C19,'PROG FORMACIÓN TITULADA'!$R$8:$R$1070)</f>
        <v>576</v>
      </c>
      <c r="E19" s="6">
        <f>SUMIF('PROG FORM COMPLEM'!$G$9:$G$264,C19,'PROG FORM COMPLEM'!$K$9:$K$264)</f>
        <v>760</v>
      </c>
      <c r="F19" s="271">
        <f>SUMIF('OTRAS ACCIONES'!$B$12:$B$44,C19,'OTRAS ACCIONES'!$D$12:$D$44)</f>
        <v>0</v>
      </c>
      <c r="G19" s="6">
        <f>SUMIF('OTRAS ACCIONES'!$B$46:$B$68,C19,'OTRAS ACCIONES'!$D$46:$D$68)</f>
        <v>0</v>
      </c>
      <c r="H19" s="6">
        <f>SUMIF('OTRAS ACCIONES'!$B$70:$B$82,C19,'OTRAS ACCIONES'!$D$70:$D$82)</f>
        <v>0</v>
      </c>
      <c r="I19" s="6">
        <f>SUMIF('OTRAS ACCIONES'!$B$84:$B$89,C19,'OTRAS ACCIONES'!$D$84:$D$89)</f>
        <v>0</v>
      </c>
      <c r="J19" s="330">
        <f t="shared" si="0"/>
        <v>1336</v>
      </c>
      <c r="K19" s="271">
        <f t="shared" si="1"/>
        <v>20.799999999999955</v>
      </c>
      <c r="L19" s="271"/>
      <c r="M19" s="271">
        <f t="shared" si="2"/>
        <v>445.2</v>
      </c>
      <c r="N19" s="271">
        <f t="shared" si="3"/>
        <v>445.2</v>
      </c>
      <c r="O19" s="7">
        <f t="shared" si="4"/>
        <v>1781.2</v>
      </c>
      <c r="P19" s="1" t="s">
        <v>339</v>
      </c>
    </row>
    <row r="20" spans="1:18" x14ac:dyDescent="0.2">
      <c r="A20" s="254" t="s">
        <v>88</v>
      </c>
      <c r="B20" s="328">
        <v>11</v>
      </c>
      <c r="C20" s="26" t="s">
        <v>157</v>
      </c>
      <c r="D20" s="6">
        <f>SUMIF('PROG FORMACIÓN TITULADA'!$Q$8:$Q$1070,C20,'PROG FORMACIÓN TITULADA'!$R$8:$R$1070)</f>
        <v>355</v>
      </c>
      <c r="E20" s="6">
        <f>SUMIF('PROG FORM COMPLEM'!$G$9:$G$264,C20,'PROG FORM COMPLEM'!$K$9:$K$264)</f>
        <v>1000</v>
      </c>
      <c r="F20" s="271">
        <f>SUMIF('OTRAS ACCIONES'!$B$12:$B$44,C20,'OTRAS ACCIONES'!$D$12:$D$44)</f>
        <v>0</v>
      </c>
      <c r="G20" s="6">
        <f>SUMIF('OTRAS ACCIONES'!$B$46:$B$68,C20,'OTRAS ACCIONES'!$D$46:$D$68)</f>
        <v>0</v>
      </c>
      <c r="H20" s="6">
        <f>SUMIF('OTRAS ACCIONES'!$B$70:$B$82,C20,'OTRAS ACCIONES'!$D$70:$D$82)</f>
        <v>0</v>
      </c>
      <c r="I20" s="6">
        <f>SUMIF('OTRAS ACCIONES'!$B$84:$B$89,C20,'OTRAS ACCIONES'!$D$84:$D$89)</f>
        <v>0</v>
      </c>
      <c r="J20" s="330">
        <f t="shared" si="0"/>
        <v>1355</v>
      </c>
      <c r="K20" s="271">
        <f t="shared" si="1"/>
        <v>1.7999999999999545</v>
      </c>
      <c r="L20" s="271"/>
      <c r="M20" s="271">
        <f t="shared" si="2"/>
        <v>445.2</v>
      </c>
      <c r="N20" s="271">
        <f t="shared" si="3"/>
        <v>445.2</v>
      </c>
      <c r="O20" s="7">
        <f t="shared" si="4"/>
        <v>1800.2</v>
      </c>
      <c r="P20" s="1" t="s">
        <v>456</v>
      </c>
    </row>
    <row r="21" spans="1:18" x14ac:dyDescent="0.2">
      <c r="A21" s="254" t="s">
        <v>88</v>
      </c>
      <c r="B21" s="415">
        <v>12</v>
      </c>
      <c r="C21" s="26" t="s">
        <v>179</v>
      </c>
      <c r="D21" s="6">
        <f>SUMIF('PROG FORMACIÓN TITULADA'!$Q$8:$Q$1070,C21,'PROG FORMACIÓN TITULADA'!$R$8:$R$1070)</f>
        <v>525</v>
      </c>
      <c r="E21" s="6">
        <f>SUMIF('PROG FORM COMPLEM'!$G$9:$G$264,C21,'PROG FORM COMPLEM'!$K$9:$K$264)</f>
        <v>0</v>
      </c>
      <c r="F21" s="271">
        <f>SUMIF('OTRAS ACCIONES'!$B$12:$B$44,C21,'OTRAS ACCIONES'!$D$12:$D$44)</f>
        <v>0</v>
      </c>
      <c r="G21" s="6">
        <f>SUMIF('OTRAS ACCIONES'!$B$46:$B$68,C21,'OTRAS ACCIONES'!$D$46:$D$68)</f>
        <v>831</v>
      </c>
      <c r="H21" s="6">
        <f>SUMIF('OTRAS ACCIONES'!$B$70:$B$82,C21,'OTRAS ACCIONES'!$D$70:$D$82)</f>
        <v>0</v>
      </c>
      <c r="I21" s="6">
        <f>SUMIF('OTRAS ACCIONES'!$B$84:$B$89,C21,'OTRAS ACCIONES'!$D$84:$D$89)</f>
        <v>0</v>
      </c>
      <c r="J21" s="330">
        <f t="shared" si="0"/>
        <v>1356</v>
      </c>
      <c r="K21" s="271">
        <f t="shared" si="1"/>
        <v>0.79999999999995453</v>
      </c>
      <c r="L21" s="271"/>
      <c r="M21" s="271">
        <f t="shared" si="2"/>
        <v>445.2</v>
      </c>
      <c r="N21" s="271">
        <f t="shared" si="3"/>
        <v>445.2</v>
      </c>
      <c r="O21" s="7">
        <f t="shared" si="4"/>
        <v>1801.2</v>
      </c>
      <c r="P21" s="1" t="s">
        <v>486</v>
      </c>
    </row>
    <row r="22" spans="1:18" x14ac:dyDescent="0.2">
      <c r="A22" s="254" t="s">
        <v>88</v>
      </c>
      <c r="B22" s="328">
        <v>13</v>
      </c>
      <c r="C22" s="26" t="s">
        <v>139</v>
      </c>
      <c r="D22" s="6">
        <f>SUMIF('PROG FORMACIÓN TITULADA'!$Q$8:$Q$1070,C22,'PROG FORMACIÓN TITULADA'!$R$8:$R$1070)</f>
        <v>988.8</v>
      </c>
      <c r="E22" s="6">
        <f>SUMIF('PROG FORM COMPLEM'!$G$9:$G$264,C22,'PROG FORM COMPLEM'!$K$9:$K$264)</f>
        <v>0</v>
      </c>
      <c r="F22" s="272">
        <f>SUMIF('OTRAS ACCIONES'!$B$12:$B$44,C22,'OTRAS ACCIONES'!$D$12:$D$44)</f>
        <v>0</v>
      </c>
      <c r="G22" s="273">
        <f>SUMIF('OTRAS ACCIONES'!$B$46:$B$68,C22,'OTRAS ACCIONES'!$D$46:$D$68)</f>
        <v>0</v>
      </c>
      <c r="H22" s="273">
        <f>SUMIF('OTRAS ACCIONES'!$B$70:$B$82,C22,'OTRAS ACCIONES'!$D$70:$D$82)</f>
        <v>368</v>
      </c>
      <c r="I22" s="273">
        <f>SUMIF('OTRAS ACCIONES'!$B$84:$B$89,C22,'OTRAS ACCIONES'!$D$84:$D$89)</f>
        <v>0</v>
      </c>
      <c r="J22" s="330">
        <f t="shared" si="0"/>
        <v>1356.8</v>
      </c>
      <c r="K22" s="272">
        <f t="shared" si="1"/>
        <v>0</v>
      </c>
      <c r="L22" s="272"/>
      <c r="M22" s="272">
        <f t="shared" si="2"/>
        <v>445.2</v>
      </c>
      <c r="N22" s="272">
        <f t="shared" si="3"/>
        <v>445.2</v>
      </c>
      <c r="O22" s="50">
        <f t="shared" si="4"/>
        <v>1802</v>
      </c>
      <c r="P22" s="336" t="s">
        <v>484</v>
      </c>
      <c r="Q22" s="57"/>
      <c r="R22" s="57"/>
    </row>
    <row r="23" spans="1:18" x14ac:dyDescent="0.2">
      <c r="A23" s="254" t="s">
        <v>88</v>
      </c>
      <c r="B23" s="415">
        <v>14</v>
      </c>
      <c r="C23" s="26" t="s">
        <v>212</v>
      </c>
      <c r="D23" s="6">
        <f>SUMIF('PROG FORMACIÓN TITULADA'!$Q$8:$Q$1070,C23,'PROG FORMACIÓN TITULADA'!$R$8:$R$1070)</f>
        <v>0</v>
      </c>
      <c r="E23" s="6">
        <f>SUMIF('PROG FORM COMPLEM'!$G$9:$G$264,C23,'PROG FORM COMPLEM'!$K$9:$K$264)</f>
        <v>1380</v>
      </c>
      <c r="F23" s="271">
        <f>SUMIF('OTRAS ACCIONES'!$B$12:$B$44,C23,'OTRAS ACCIONES'!$D$12:$D$44)</f>
        <v>0</v>
      </c>
      <c r="G23" s="6">
        <f>SUMIF('OTRAS ACCIONES'!$B$46:$B$68,C23,'OTRAS ACCIONES'!$D$46:$D$68)</f>
        <v>0</v>
      </c>
      <c r="H23" s="6">
        <f>SUMIF('OTRAS ACCIONES'!$B$70:$B$82,C23,'OTRAS ACCIONES'!$D$70:$D$82)</f>
        <v>0</v>
      </c>
      <c r="I23" s="6">
        <f>SUMIF('OTRAS ACCIONES'!$B$84:$B$89,C23,'OTRAS ACCIONES'!$D$84:$D$89)</f>
        <v>0</v>
      </c>
      <c r="J23" s="330">
        <f t="shared" si="0"/>
        <v>1380</v>
      </c>
      <c r="K23" s="271">
        <f t="shared" si="1"/>
        <v>-23.200000000000045</v>
      </c>
      <c r="L23" s="271"/>
      <c r="M23" s="271">
        <f t="shared" si="2"/>
        <v>445.2</v>
      </c>
      <c r="N23" s="271">
        <f t="shared" si="3"/>
        <v>445.2</v>
      </c>
      <c r="O23" s="7">
        <f t="shared" si="4"/>
        <v>1825.2</v>
      </c>
      <c r="P23" s="336" t="s">
        <v>486</v>
      </c>
    </row>
    <row r="24" spans="1:18" s="57" customFormat="1" x14ac:dyDescent="0.2">
      <c r="A24" s="254" t="s">
        <v>88</v>
      </c>
      <c r="B24" s="328">
        <v>15</v>
      </c>
      <c r="C24" s="26" t="s">
        <v>237</v>
      </c>
      <c r="D24" s="6">
        <f>SUMIF('PROG FORMACIÓN TITULADA'!$Q$8:$Q$1070,C24,'PROG FORMACIÓN TITULADA'!$R$8:$R$1070)</f>
        <v>760</v>
      </c>
      <c r="E24" s="6">
        <f>SUMIF('PROG FORM COMPLEM'!$G$9:$G$264,C24,'PROG FORM COMPLEM'!$K$9:$K$264)</f>
        <v>600</v>
      </c>
      <c r="F24" s="271">
        <f>SUMIF('OTRAS ACCIONES'!$B$12:$B$44,C24,'OTRAS ACCIONES'!$D$12:$D$44)</f>
        <v>0</v>
      </c>
      <c r="G24" s="6">
        <f>SUMIF('OTRAS ACCIONES'!$B$46:$B$68,C24,'OTRAS ACCIONES'!$D$46:$D$68)</f>
        <v>0</v>
      </c>
      <c r="H24" s="6">
        <f>SUMIF('OTRAS ACCIONES'!$B$70:$B$82,C24,'OTRAS ACCIONES'!$D$70:$D$82)</f>
        <v>0</v>
      </c>
      <c r="I24" s="6">
        <f>SUMIF('OTRAS ACCIONES'!$B$84:$B$89,C24,'OTRAS ACCIONES'!$D$84:$D$89)</f>
        <v>0</v>
      </c>
      <c r="J24" s="330">
        <f t="shared" si="0"/>
        <v>1360</v>
      </c>
      <c r="K24" s="271">
        <f t="shared" si="1"/>
        <v>-3.2000000000000455</v>
      </c>
      <c r="L24" s="271"/>
      <c r="M24" s="271">
        <f t="shared" si="2"/>
        <v>445.2</v>
      </c>
      <c r="N24" s="271">
        <f t="shared" si="3"/>
        <v>445.2</v>
      </c>
      <c r="O24" s="7">
        <f t="shared" si="4"/>
        <v>1805.2</v>
      </c>
      <c r="P24" s="336" t="s">
        <v>486</v>
      </c>
      <c r="Q24" s="1"/>
      <c r="R24" s="1"/>
    </row>
    <row r="25" spans="1:18" x14ac:dyDescent="0.2">
      <c r="A25" s="254" t="s">
        <v>88</v>
      </c>
      <c r="B25" s="415">
        <v>16</v>
      </c>
      <c r="C25" s="26" t="s">
        <v>177</v>
      </c>
      <c r="D25" s="6">
        <f>SUMIF('PROG FORMACIÓN TITULADA'!$Q$8:$Q$1070,C25,'PROG FORMACIÓN TITULADA'!$R$8:$R$1070)</f>
        <v>0</v>
      </c>
      <c r="E25" s="6">
        <f>SUMIF('PROG FORM COMPLEM'!$G$9:$G$264,C25,'PROG FORM COMPLEM'!$K$9:$K$264)</f>
        <v>1380</v>
      </c>
      <c r="F25" s="271">
        <f>SUMIF('OTRAS ACCIONES'!$B$12:$B$44,C25,'OTRAS ACCIONES'!$D$12:$D$44)</f>
        <v>0</v>
      </c>
      <c r="G25" s="6">
        <f>SUMIF('OTRAS ACCIONES'!$B$46:$B$68,C25,'OTRAS ACCIONES'!$D$46:$D$68)</f>
        <v>0</v>
      </c>
      <c r="H25" s="6">
        <f>SUMIF('OTRAS ACCIONES'!$B$70:$B$82,C25,'OTRAS ACCIONES'!$D$70:$D$82)</f>
        <v>0</v>
      </c>
      <c r="I25" s="6">
        <f>SUMIF('OTRAS ACCIONES'!$B$84:$B$89,C25,'OTRAS ACCIONES'!$D$84:$D$89)</f>
        <v>0</v>
      </c>
      <c r="J25" s="330">
        <f t="shared" si="0"/>
        <v>1380</v>
      </c>
      <c r="K25" s="271">
        <f t="shared" si="1"/>
        <v>-23.200000000000045</v>
      </c>
      <c r="L25" s="271"/>
      <c r="M25" s="271">
        <f t="shared" si="2"/>
        <v>445.2</v>
      </c>
      <c r="N25" s="271">
        <f t="shared" si="3"/>
        <v>445.2</v>
      </c>
      <c r="O25" s="7">
        <f t="shared" si="4"/>
        <v>1825.2</v>
      </c>
      <c r="P25" s="1" t="s">
        <v>485</v>
      </c>
    </row>
    <row r="26" spans="1:18" x14ac:dyDescent="0.2">
      <c r="A26" s="254" t="s">
        <v>88</v>
      </c>
      <c r="B26" s="328">
        <v>17</v>
      </c>
      <c r="C26" s="26" t="s">
        <v>1009</v>
      </c>
      <c r="D26" s="6">
        <f>SUMIF('PROG FORMACIÓN TITULADA'!$Q$8:$Q$1070,C26,'PROG FORMACIÓN TITULADA'!$R$8:$R$1070)</f>
        <v>0</v>
      </c>
      <c r="E26" s="6">
        <f>SUMIF('PROG FORM COMPLEM'!$G$9:$G$264,C26,'PROG FORM COMPLEM'!$K$9:$K$264)</f>
        <v>1360</v>
      </c>
      <c r="F26" s="271">
        <f>SUMIF('OTRAS ACCIONES'!$B$12:$B$44,C26,'OTRAS ACCIONES'!$D$12:$D$44)</f>
        <v>0</v>
      </c>
      <c r="G26" s="6">
        <f>SUMIF('OTRAS ACCIONES'!$B$46:$B$68,C26,'OTRAS ACCIONES'!$D$46:$D$68)</f>
        <v>0</v>
      </c>
      <c r="H26" s="6">
        <f>SUMIF('OTRAS ACCIONES'!$B$70:$B$82,C26,'OTRAS ACCIONES'!$D$70:$D$82)</f>
        <v>0</v>
      </c>
      <c r="I26" s="6">
        <f>SUMIF('OTRAS ACCIONES'!$B$84:$B$89,C26,'OTRAS ACCIONES'!$D$84:$D$89)</f>
        <v>0</v>
      </c>
      <c r="J26" s="330">
        <f t="shared" si="0"/>
        <v>1360</v>
      </c>
      <c r="K26" s="271">
        <f t="shared" ref="K26" si="8">(42.5*$N$5/5)-M26-L26-J26</f>
        <v>-3.2000000000000455</v>
      </c>
      <c r="L26" s="271"/>
      <c r="M26" s="271">
        <f t="shared" si="2"/>
        <v>445.2</v>
      </c>
      <c r="N26" s="271">
        <f t="shared" ref="N26" si="9">SUM(L26:M26)</f>
        <v>445.2</v>
      </c>
      <c r="O26" s="7">
        <f t="shared" ref="O26" si="10">J26+N26</f>
        <v>1805.2</v>
      </c>
      <c r="P26" s="336" t="s">
        <v>213</v>
      </c>
    </row>
    <row r="27" spans="1:18" x14ac:dyDescent="0.2">
      <c r="A27" s="254" t="s">
        <v>88</v>
      </c>
      <c r="B27" s="415">
        <v>18</v>
      </c>
      <c r="C27" s="26" t="s">
        <v>198</v>
      </c>
      <c r="D27" s="6">
        <f>SUMIF('PROG FORMACIÓN TITULADA'!$Q$8:$Q$1070,C27,'PROG FORMACIÓN TITULADA'!$R$8:$R$1070)</f>
        <v>928.8</v>
      </c>
      <c r="E27" s="6">
        <f>SUMIF('PROG FORM COMPLEM'!$G$9:$G$264,C27,'PROG FORM COMPLEM'!$K$9:$K$264)</f>
        <v>0</v>
      </c>
      <c r="F27" s="271">
        <f>SUMIF('OTRAS ACCIONES'!$B$12:$B$44,C27,'OTRAS ACCIONES'!$D$12:$D$44)</f>
        <v>0</v>
      </c>
      <c r="G27" s="6">
        <f>SUMIF('OTRAS ACCIONES'!$B$46:$B$68,C27,'OTRAS ACCIONES'!$D$46:$D$68)</f>
        <v>0</v>
      </c>
      <c r="H27" s="6">
        <f>SUMIF('OTRAS ACCIONES'!$B$70:$B$82,C27,'OTRAS ACCIONES'!$D$70:$D$82)</f>
        <v>428</v>
      </c>
      <c r="I27" s="6">
        <f>SUMIF('OTRAS ACCIONES'!$B$84:$B$89,C27,'OTRAS ACCIONES'!$D$84:$D$89)</f>
        <v>0</v>
      </c>
      <c r="J27" s="330">
        <f t="shared" si="0"/>
        <v>1356.8</v>
      </c>
      <c r="K27" s="271">
        <f t="shared" si="1"/>
        <v>0</v>
      </c>
      <c r="L27" s="271"/>
      <c r="M27" s="271">
        <f t="shared" si="2"/>
        <v>445.2</v>
      </c>
      <c r="N27" s="271">
        <f t="shared" si="3"/>
        <v>445.2</v>
      </c>
      <c r="O27" s="7">
        <f t="shared" si="4"/>
        <v>1802</v>
      </c>
      <c r="P27" s="336" t="s">
        <v>484</v>
      </c>
    </row>
    <row r="28" spans="1:18" x14ac:dyDescent="0.2">
      <c r="A28" s="254" t="s">
        <v>88</v>
      </c>
      <c r="B28" s="328">
        <v>19</v>
      </c>
      <c r="C28" s="26" t="s">
        <v>132</v>
      </c>
      <c r="D28" s="6">
        <f>SUMIF('PROG FORMACIÓN TITULADA'!$Q$8:$Q$1070,C28,'PROG FORMACIÓN TITULADA'!$R$8:$R$1070)</f>
        <v>0</v>
      </c>
      <c r="E28" s="6">
        <f>SUMIF('PROG FORM COMPLEM'!$G$9:$G$264,C28,'PROG FORM COMPLEM'!$K$9:$K$264)</f>
        <v>0</v>
      </c>
      <c r="F28" s="271">
        <f>SUMIF('OTRAS ACCIONES'!$B$12:$B$44,C28,'OTRAS ACCIONES'!$D$12:$D$44)</f>
        <v>0</v>
      </c>
      <c r="G28" s="6">
        <f>SUMIF('OTRAS ACCIONES'!$B$46:$B$68,C28,'OTRAS ACCIONES'!$D$46:$D$68)</f>
        <v>0</v>
      </c>
      <c r="H28" s="6">
        <f>SUMIF('OTRAS ACCIONES'!$B$70:$B$82,C28,'OTRAS ACCIONES'!$D$70:$D$82)</f>
        <v>1357</v>
      </c>
      <c r="I28" s="6">
        <f>SUMIF('OTRAS ACCIONES'!$B$84:$B$89,C28,'OTRAS ACCIONES'!$D$84:$D$89)</f>
        <v>0</v>
      </c>
      <c r="J28" s="330">
        <f t="shared" si="0"/>
        <v>1357</v>
      </c>
      <c r="K28" s="271">
        <f t="shared" si="1"/>
        <v>-0.20000000000004547</v>
      </c>
      <c r="L28" s="271"/>
      <c r="M28" s="271">
        <f t="shared" si="2"/>
        <v>445.2</v>
      </c>
      <c r="N28" s="271">
        <f t="shared" si="3"/>
        <v>445.2</v>
      </c>
      <c r="O28" s="7">
        <f t="shared" si="4"/>
        <v>1802.2</v>
      </c>
      <c r="P28" s="336" t="s">
        <v>339</v>
      </c>
    </row>
    <row r="29" spans="1:18" x14ac:dyDescent="0.2">
      <c r="A29" s="254" t="s">
        <v>88</v>
      </c>
      <c r="B29" s="415">
        <v>20</v>
      </c>
      <c r="C29" s="26" t="s">
        <v>159</v>
      </c>
      <c r="D29" s="6">
        <f>SUMIF('PROG FORMACIÓN TITULADA'!$Q$8:$Q$1070,C29,'PROG FORMACIÓN TITULADA'!$R$8:$R$1070)</f>
        <v>746</v>
      </c>
      <c r="E29" s="6">
        <f>SUMIF('PROG FORM COMPLEM'!$G$9:$G$264,C29,'PROG FORM COMPLEM'!$K$9:$K$264)</f>
        <v>600</v>
      </c>
      <c r="F29" s="271">
        <f>SUMIF('OTRAS ACCIONES'!$B$12:$B$44,C29,'OTRAS ACCIONES'!$D$12:$D$44)</f>
        <v>0</v>
      </c>
      <c r="G29" s="6">
        <f>SUMIF('OTRAS ACCIONES'!$B$46:$B$68,C29,'OTRAS ACCIONES'!$D$46:$D$68)</f>
        <v>0</v>
      </c>
      <c r="H29" s="6">
        <f>SUMIF('OTRAS ACCIONES'!$B$70:$B$82,C29,'OTRAS ACCIONES'!$D$70:$D$82)</f>
        <v>0</v>
      </c>
      <c r="I29" s="6">
        <f>SUMIF('OTRAS ACCIONES'!$B$84:$B$89,C29,'OTRAS ACCIONES'!$D$84:$D$89)</f>
        <v>0</v>
      </c>
      <c r="J29" s="330">
        <f t="shared" si="0"/>
        <v>1346</v>
      </c>
      <c r="K29" s="271">
        <f t="shared" si="1"/>
        <v>10.799999999999955</v>
      </c>
      <c r="L29" s="271"/>
      <c r="M29" s="271">
        <f t="shared" si="2"/>
        <v>445.2</v>
      </c>
      <c r="N29" s="271">
        <f t="shared" si="3"/>
        <v>445.2</v>
      </c>
      <c r="O29" s="7">
        <f t="shared" si="4"/>
        <v>1791.2</v>
      </c>
      <c r="P29" s="336" t="s">
        <v>208</v>
      </c>
    </row>
    <row r="30" spans="1:18" x14ac:dyDescent="0.2">
      <c r="A30" s="254" t="s">
        <v>88</v>
      </c>
      <c r="B30" s="328">
        <v>21</v>
      </c>
      <c r="C30" s="26" t="s">
        <v>133</v>
      </c>
      <c r="D30" s="6">
        <f>SUMIF('PROG FORMACIÓN TITULADA'!$Q$8:$Q$1070,C30,'PROG FORMACIÓN TITULADA'!$R$8:$R$1070)</f>
        <v>1041.8</v>
      </c>
      <c r="E30" s="6">
        <f>SUMIF('PROG FORM COMPLEM'!$G$9:$G$264,C30,'PROG FORM COMPLEM'!$K$9:$K$264)</f>
        <v>0</v>
      </c>
      <c r="F30" s="271">
        <f>SUMIF('OTRAS ACCIONES'!$B$12:$B$44,C30,'OTRAS ACCIONES'!$D$12:$D$44)</f>
        <v>0</v>
      </c>
      <c r="G30" s="6">
        <f>SUMIF('OTRAS ACCIONES'!$B$46:$B$68,C30,'OTRAS ACCIONES'!$D$46:$D$68)</f>
        <v>0</v>
      </c>
      <c r="H30" s="6">
        <f>SUMIF('OTRAS ACCIONES'!$B$70:$B$82,C30,'OTRAS ACCIONES'!$D$70:$D$82)</f>
        <v>315</v>
      </c>
      <c r="I30" s="6">
        <f>SUMIF('OTRAS ACCIONES'!$B$84:$B$89,C30,'OTRAS ACCIONES'!$D$84:$D$89)</f>
        <v>0</v>
      </c>
      <c r="J30" s="330">
        <f t="shared" si="0"/>
        <v>1356.8</v>
      </c>
      <c r="K30" s="271">
        <f t="shared" si="1"/>
        <v>0</v>
      </c>
      <c r="L30" s="271"/>
      <c r="M30" s="271">
        <f t="shared" si="2"/>
        <v>445.2</v>
      </c>
      <c r="N30" s="271">
        <f t="shared" si="3"/>
        <v>445.2</v>
      </c>
      <c r="O30" s="7">
        <f t="shared" si="4"/>
        <v>1802</v>
      </c>
      <c r="P30" s="336" t="s">
        <v>484</v>
      </c>
    </row>
    <row r="31" spans="1:18" x14ac:dyDescent="0.2">
      <c r="A31" s="254" t="s">
        <v>88</v>
      </c>
      <c r="B31" s="415">
        <v>22</v>
      </c>
      <c r="C31" s="26" t="s">
        <v>182</v>
      </c>
      <c r="D31" s="6">
        <f>SUMIF('PROG FORMACIÓN TITULADA'!$Q$8:$Q$1070,C31,'PROG FORMACIÓN TITULADA'!$R$8:$R$1070)</f>
        <v>33</v>
      </c>
      <c r="E31" s="6">
        <f>SUMIF('PROG FORM COMPLEM'!$G$9:$G$264,C31,'PROG FORM COMPLEM'!$K$9:$K$264)</f>
        <v>1320</v>
      </c>
      <c r="F31" s="271">
        <f>SUMIF('OTRAS ACCIONES'!$B$12:$B$44,C31,'OTRAS ACCIONES'!$D$12:$D$44)</f>
        <v>0</v>
      </c>
      <c r="G31" s="6">
        <f>SUMIF('OTRAS ACCIONES'!$B$46:$B$68,C31,'OTRAS ACCIONES'!$D$46:$D$68)</f>
        <v>0</v>
      </c>
      <c r="H31" s="6">
        <f>SUMIF('OTRAS ACCIONES'!$B$70:$B$82,C31,'OTRAS ACCIONES'!$D$70:$D$82)</f>
        <v>0</v>
      </c>
      <c r="I31" s="6">
        <f>SUMIF('OTRAS ACCIONES'!$B$84:$B$89,C31,'OTRAS ACCIONES'!$D$84:$D$89)</f>
        <v>0</v>
      </c>
      <c r="J31" s="330">
        <f t="shared" si="0"/>
        <v>1353</v>
      </c>
      <c r="K31" s="271">
        <f t="shared" si="1"/>
        <v>3.7999999999999545</v>
      </c>
      <c r="L31" s="271"/>
      <c r="M31" s="271">
        <f t="shared" si="2"/>
        <v>445.2</v>
      </c>
      <c r="N31" s="271">
        <f t="shared" si="3"/>
        <v>445.2</v>
      </c>
      <c r="O31" s="7">
        <f t="shared" si="4"/>
        <v>1798.2</v>
      </c>
      <c r="P31" s="336" t="s">
        <v>865</v>
      </c>
    </row>
    <row r="32" spans="1:18" x14ac:dyDescent="0.2">
      <c r="A32" s="254" t="s">
        <v>88</v>
      </c>
      <c r="B32" s="328">
        <v>23</v>
      </c>
      <c r="C32" s="26" t="s">
        <v>167</v>
      </c>
      <c r="D32" s="6">
        <f>SUMIF('PROG FORMACIÓN TITULADA'!$Q$8:$Q$1070,C32,'PROG FORMACIÓN TITULADA'!$R$8:$R$1070)</f>
        <v>0</v>
      </c>
      <c r="E32" s="6">
        <f>SUMIF('PROG FORM COMPLEM'!$G$9:$G$264,C32,'PROG FORM COMPLEM'!$K$9:$K$264)</f>
        <v>1360</v>
      </c>
      <c r="F32" s="271">
        <f>SUMIF('OTRAS ACCIONES'!$B$12:$B$44,C32,'OTRAS ACCIONES'!$D$12:$D$44)</f>
        <v>0</v>
      </c>
      <c r="G32" s="6">
        <f>SUMIF('OTRAS ACCIONES'!$B$46:$B$68,C32,'OTRAS ACCIONES'!$D$46:$D$68)</f>
        <v>0</v>
      </c>
      <c r="H32" s="6">
        <f>SUMIF('OTRAS ACCIONES'!$B$70:$B$82,C32,'OTRAS ACCIONES'!$D$70:$D$82)</f>
        <v>0</v>
      </c>
      <c r="I32" s="6">
        <f>SUMIF('OTRAS ACCIONES'!$B$84:$B$89,C32,'OTRAS ACCIONES'!$D$84:$D$89)</f>
        <v>0</v>
      </c>
      <c r="J32" s="330">
        <f t="shared" si="0"/>
        <v>1360</v>
      </c>
      <c r="K32" s="271">
        <f t="shared" si="1"/>
        <v>-3.2000000000000455</v>
      </c>
      <c r="L32" s="271"/>
      <c r="M32" s="271">
        <f t="shared" si="2"/>
        <v>445.2</v>
      </c>
      <c r="N32" s="271">
        <f t="shared" si="3"/>
        <v>445.2</v>
      </c>
      <c r="O32" s="7">
        <f t="shared" si="4"/>
        <v>1805.2</v>
      </c>
      <c r="P32" s="336" t="s">
        <v>208</v>
      </c>
    </row>
    <row r="33" spans="1:16" x14ac:dyDescent="0.2">
      <c r="A33" s="254" t="s">
        <v>88</v>
      </c>
      <c r="B33" s="415">
        <v>24</v>
      </c>
      <c r="C33" s="26" t="s">
        <v>155</v>
      </c>
      <c r="D33" s="6">
        <f>SUMIF('PROG FORMACIÓN TITULADA'!$Q$8:$Q$1070,C33,'PROG FORMACIÓN TITULADA'!$R$8:$R$1070)</f>
        <v>343</v>
      </c>
      <c r="E33" s="6">
        <f>SUMIF('PROG FORM COMPLEM'!$G$9:$G$264,C33,'PROG FORM COMPLEM'!$K$9:$K$264)</f>
        <v>1000</v>
      </c>
      <c r="F33" s="271">
        <f>SUMIF('OTRAS ACCIONES'!$B$12:$B$44,C33,'OTRAS ACCIONES'!$D$12:$D$44)</f>
        <v>0</v>
      </c>
      <c r="G33" s="6">
        <f>SUMIF('OTRAS ACCIONES'!$B$46:$B$68,C33,'OTRAS ACCIONES'!$D$46:$D$68)</f>
        <v>0</v>
      </c>
      <c r="H33" s="6">
        <f>SUMIF('OTRAS ACCIONES'!$B$70:$B$82,C33,'OTRAS ACCIONES'!$D$70:$D$82)</f>
        <v>0</v>
      </c>
      <c r="I33" s="6">
        <f>SUMIF('OTRAS ACCIONES'!$B$84:$B$89,C33,'OTRAS ACCIONES'!$D$84:$D$89)</f>
        <v>0</v>
      </c>
      <c r="J33" s="330">
        <f t="shared" si="0"/>
        <v>1343</v>
      </c>
      <c r="K33" s="271">
        <f t="shared" si="1"/>
        <v>13.799999999999955</v>
      </c>
      <c r="L33" s="271"/>
      <c r="M33" s="271">
        <f t="shared" si="2"/>
        <v>445.2</v>
      </c>
      <c r="N33" s="271">
        <f t="shared" si="3"/>
        <v>445.2</v>
      </c>
      <c r="O33" s="7">
        <f t="shared" si="4"/>
        <v>1788.2</v>
      </c>
      <c r="P33" s="336" t="s">
        <v>456</v>
      </c>
    </row>
    <row r="34" spans="1:16" x14ac:dyDescent="0.2">
      <c r="A34" s="254" t="s">
        <v>88</v>
      </c>
      <c r="B34" s="328">
        <v>25</v>
      </c>
      <c r="C34" s="26" t="s">
        <v>1000</v>
      </c>
      <c r="D34" s="6">
        <f>SUMIF('PROG FORMACIÓN TITULADA'!$Q$8:$Q$1070,C34,'PROG FORMACIÓN TITULADA'!$R$8:$R$1070)</f>
        <v>0</v>
      </c>
      <c r="E34" s="6">
        <f>SUMIF('PROG FORM COMPLEM'!$G$9:$G$264,C34,'PROG FORM COMPLEM'!$K$9:$K$264)</f>
        <v>1360</v>
      </c>
      <c r="F34" s="271">
        <f>SUMIF('OTRAS ACCIONES'!$B$12:$B$44,C34,'OTRAS ACCIONES'!$D$12:$D$44)</f>
        <v>0</v>
      </c>
      <c r="G34" s="6">
        <f>SUMIF('OTRAS ACCIONES'!$B$46:$B$68,C34,'OTRAS ACCIONES'!$D$46:$D$68)</f>
        <v>0</v>
      </c>
      <c r="H34" s="6">
        <f>SUMIF('OTRAS ACCIONES'!$B$70:$B$82,C34,'OTRAS ACCIONES'!$D$70:$D$82)</f>
        <v>0</v>
      </c>
      <c r="I34" s="6">
        <f>SUMIF('OTRAS ACCIONES'!$B$84:$B$89,C34,'OTRAS ACCIONES'!$D$84:$D$89)</f>
        <v>0</v>
      </c>
      <c r="J34" s="330">
        <f t="shared" si="0"/>
        <v>1360</v>
      </c>
      <c r="K34" s="271">
        <f t="shared" si="1"/>
        <v>-3.2000000000000455</v>
      </c>
      <c r="L34" s="271"/>
      <c r="M34" s="271">
        <f t="shared" si="2"/>
        <v>445.2</v>
      </c>
      <c r="N34" s="271">
        <f t="shared" si="3"/>
        <v>445.2</v>
      </c>
      <c r="O34" s="7">
        <f t="shared" si="4"/>
        <v>1805.2</v>
      </c>
      <c r="P34" s="336" t="s">
        <v>339</v>
      </c>
    </row>
    <row r="35" spans="1:16" x14ac:dyDescent="0.2">
      <c r="A35" s="254" t="s">
        <v>88</v>
      </c>
      <c r="B35" s="415">
        <v>26</v>
      </c>
      <c r="C35" s="26" t="s">
        <v>193</v>
      </c>
      <c r="D35" s="6">
        <f>SUMIF('PROG FORMACIÓN TITULADA'!$Q$8:$Q$1070,C35,'PROG FORMACIÓN TITULADA'!$R$8:$R$1070)</f>
        <v>992.8</v>
      </c>
      <c r="E35" s="6">
        <f>SUMIF('PROG FORM COMPLEM'!$G$9:$G$264,C35,'PROG FORM COMPLEM'!$K$9:$K$264)</f>
        <v>0</v>
      </c>
      <c r="F35" s="271">
        <f>SUMIF('OTRAS ACCIONES'!$B$12:$B$44,C35,'OTRAS ACCIONES'!$D$12:$D$44)</f>
        <v>0</v>
      </c>
      <c r="G35" s="6">
        <f>SUMIF('OTRAS ACCIONES'!$B$46:$B$68,C35,'OTRAS ACCIONES'!$D$46:$D$68)</f>
        <v>0</v>
      </c>
      <c r="H35" s="6">
        <f>SUMIF('OTRAS ACCIONES'!$B$70:$B$82,C35,'OTRAS ACCIONES'!$D$70:$D$82)</f>
        <v>364</v>
      </c>
      <c r="I35" s="6">
        <f>SUMIF('OTRAS ACCIONES'!$B$84:$B$89,C35,'OTRAS ACCIONES'!$D$84:$D$89)</f>
        <v>0</v>
      </c>
      <c r="J35" s="330">
        <f t="shared" si="0"/>
        <v>1356.8</v>
      </c>
      <c r="K35" s="271">
        <f t="shared" si="1"/>
        <v>0</v>
      </c>
      <c r="L35" s="271"/>
      <c r="M35" s="271">
        <f t="shared" si="2"/>
        <v>445.2</v>
      </c>
      <c r="N35" s="271">
        <f t="shared" si="3"/>
        <v>445.2</v>
      </c>
      <c r="O35" s="7">
        <f t="shared" si="4"/>
        <v>1802</v>
      </c>
      <c r="P35" s="336" t="s">
        <v>484</v>
      </c>
    </row>
    <row r="36" spans="1:16" x14ac:dyDescent="0.2">
      <c r="A36" s="254" t="s">
        <v>88</v>
      </c>
      <c r="B36" s="328">
        <v>27</v>
      </c>
      <c r="C36" s="26" t="s">
        <v>168</v>
      </c>
      <c r="D36" s="6">
        <f>SUMIF('PROG FORMACIÓN TITULADA'!$Q$8:$Q$1070,C36,'PROG FORMACIÓN TITULADA'!$R$8:$R$1070)</f>
        <v>0</v>
      </c>
      <c r="E36" s="6">
        <f>SUMIF('PROG FORM COMPLEM'!$G$9:$G$264,C36,'PROG FORM COMPLEM'!$K$9:$K$264)</f>
        <v>0</v>
      </c>
      <c r="F36" s="271">
        <f>SUMIF('OTRAS ACCIONES'!$B$12:$B$44,C36,'OTRAS ACCIONES'!$D$12:$D$44)</f>
        <v>1350</v>
      </c>
      <c r="G36" s="6">
        <f>SUMIF('OTRAS ACCIONES'!$B$46:$B$68,C36,'OTRAS ACCIONES'!$D$46:$D$68)</f>
        <v>0</v>
      </c>
      <c r="H36" s="6">
        <f>SUMIF('OTRAS ACCIONES'!$B$70:$B$82,C36,'OTRAS ACCIONES'!$D$70:$D$82)</f>
        <v>0</v>
      </c>
      <c r="I36" s="6">
        <f>SUMIF('OTRAS ACCIONES'!$B$84:$B$89,C36,'OTRAS ACCIONES'!$D$84:$D$89)</f>
        <v>0</v>
      </c>
      <c r="J36" s="330">
        <f t="shared" si="0"/>
        <v>1350</v>
      </c>
      <c r="K36" s="271">
        <f t="shared" si="1"/>
        <v>6.7999999999999545</v>
      </c>
      <c r="L36" s="271"/>
      <c r="M36" s="271">
        <f t="shared" si="2"/>
        <v>445.2</v>
      </c>
      <c r="N36" s="271">
        <f t="shared" si="3"/>
        <v>445.2</v>
      </c>
      <c r="O36" s="7">
        <f t="shared" si="4"/>
        <v>1795.2</v>
      </c>
      <c r="P36" s="336" t="s">
        <v>208</v>
      </c>
    </row>
    <row r="37" spans="1:16" x14ac:dyDescent="0.2">
      <c r="A37" s="254" t="s">
        <v>88</v>
      </c>
      <c r="B37" s="415">
        <v>28</v>
      </c>
      <c r="C37" s="26" t="s">
        <v>151</v>
      </c>
      <c r="D37" s="6">
        <f>SUMIF('PROG FORMACIÓN TITULADA'!$Q$8:$Q$1070,C37,'PROG FORMACIÓN TITULADA'!$R$8:$R$1070)</f>
        <v>0</v>
      </c>
      <c r="E37" s="6">
        <f>SUMIF('PROG FORM COMPLEM'!$G$9:$G$264,C37,'PROG FORM COMPLEM'!$K$9:$K$264)</f>
        <v>0</v>
      </c>
      <c r="F37" s="271">
        <f>SUMIF('OTRAS ACCIONES'!$B$12:$B$44,C37,'OTRAS ACCIONES'!$D$12:$D$44)</f>
        <v>1350</v>
      </c>
      <c r="G37" s="6">
        <f>SUMIF('OTRAS ACCIONES'!$B$46:$B$68,C37,'OTRAS ACCIONES'!$D$46:$D$68)</f>
        <v>0</v>
      </c>
      <c r="H37" s="6">
        <f>SUMIF('OTRAS ACCIONES'!$B$70:$B$82,C37,'OTRAS ACCIONES'!$D$70:$D$82)</f>
        <v>0</v>
      </c>
      <c r="I37" s="6">
        <f>SUMIF('OTRAS ACCIONES'!$B$84:$B$89,C37,'OTRAS ACCIONES'!$D$84:$D$89)</f>
        <v>0</v>
      </c>
      <c r="J37" s="330">
        <f t="shared" si="0"/>
        <v>1350</v>
      </c>
      <c r="K37" s="271">
        <f t="shared" si="1"/>
        <v>6.7999999999999545</v>
      </c>
      <c r="L37" s="271"/>
      <c r="M37" s="271">
        <f t="shared" si="2"/>
        <v>445.2</v>
      </c>
      <c r="N37" s="271">
        <f t="shared" si="3"/>
        <v>445.2</v>
      </c>
      <c r="O37" s="7">
        <f t="shared" si="4"/>
        <v>1795.2</v>
      </c>
      <c r="P37" s="336" t="s">
        <v>865</v>
      </c>
    </row>
    <row r="38" spans="1:16" x14ac:dyDescent="0.2">
      <c r="A38" s="254" t="s">
        <v>88</v>
      </c>
      <c r="B38" s="328">
        <v>29</v>
      </c>
      <c r="C38" s="6" t="s">
        <v>284</v>
      </c>
      <c r="D38" s="6">
        <f>SUMIF('PROG FORMACIÓN TITULADA'!$Q$8:$Q$1070,C38,'PROG FORMACIÓN TITULADA'!$R$8:$R$1070)</f>
        <v>1060</v>
      </c>
      <c r="E38" s="6">
        <f>SUMIF('PROG FORM COMPLEM'!$G$9:$G$264,C38,'PROG FORM COMPLEM'!$K$9:$K$264)</f>
        <v>280</v>
      </c>
      <c r="F38" s="271">
        <f>SUMIF('OTRAS ACCIONES'!$B$12:$B$44,C38,'OTRAS ACCIONES'!$D$12:$D$44)</f>
        <v>0</v>
      </c>
      <c r="G38" s="6">
        <f>SUMIF('OTRAS ACCIONES'!$B$46:$B$68,C38,'OTRAS ACCIONES'!$D$46:$D$68)</f>
        <v>0</v>
      </c>
      <c r="H38" s="6">
        <f>SUMIF('OTRAS ACCIONES'!$B$70:$B$82,C38,'OTRAS ACCIONES'!$D$70:$D$82)</f>
        <v>0</v>
      </c>
      <c r="I38" s="6">
        <f>SUMIF('OTRAS ACCIONES'!$B$84:$B$89,C38,'OTRAS ACCIONES'!$D$84:$D$89)</f>
        <v>0</v>
      </c>
      <c r="J38" s="330">
        <f t="shared" si="0"/>
        <v>1340</v>
      </c>
      <c r="K38" s="271">
        <f t="shared" si="1"/>
        <v>16.799999999999955</v>
      </c>
      <c r="L38" s="271"/>
      <c r="M38" s="271">
        <f t="shared" si="2"/>
        <v>445.2</v>
      </c>
      <c r="N38" s="271">
        <f t="shared" si="3"/>
        <v>445.2</v>
      </c>
      <c r="O38" s="7">
        <f t="shared" si="4"/>
        <v>1785.2</v>
      </c>
      <c r="P38" s="336" t="s">
        <v>486</v>
      </c>
    </row>
    <row r="39" spans="1:16" x14ac:dyDescent="0.2">
      <c r="A39" s="254" t="s">
        <v>88</v>
      </c>
      <c r="B39" s="415">
        <v>30</v>
      </c>
      <c r="C39" s="26" t="s">
        <v>154</v>
      </c>
      <c r="D39" s="6">
        <f>SUMIF('PROG FORMACIÓN TITULADA'!$Q$8:$Q$1070,C39,'PROG FORMACIÓN TITULADA'!$R$8:$R$1070)</f>
        <v>0</v>
      </c>
      <c r="E39" s="6">
        <f>SUMIF('PROG FORM COMPLEM'!$G$9:$G$264,C39,'PROG FORM COMPLEM'!$K$9:$K$264)</f>
        <v>240</v>
      </c>
      <c r="F39" s="271">
        <f>SUMIF('OTRAS ACCIONES'!$B$12:$B$44,C39,'OTRAS ACCIONES'!$D$12:$D$44)</f>
        <v>1110</v>
      </c>
      <c r="G39" s="6">
        <f>SUMIF('OTRAS ACCIONES'!$B$46:$B$68,C39,'OTRAS ACCIONES'!$D$46:$D$68)</f>
        <v>0</v>
      </c>
      <c r="H39" s="6">
        <f>SUMIF('OTRAS ACCIONES'!$B$70:$B$82,C39,'OTRAS ACCIONES'!$D$70:$D$82)</f>
        <v>0</v>
      </c>
      <c r="I39" s="6">
        <f>SUMIF('OTRAS ACCIONES'!$B$84:$B$89,C39,'OTRAS ACCIONES'!$D$84:$D$89)</f>
        <v>0</v>
      </c>
      <c r="J39" s="330">
        <f t="shared" si="0"/>
        <v>1350</v>
      </c>
      <c r="K39" s="271">
        <f t="shared" si="1"/>
        <v>6.7999999999999545</v>
      </c>
      <c r="L39" s="271"/>
      <c r="M39" s="271">
        <f t="shared" si="2"/>
        <v>445.2</v>
      </c>
      <c r="N39" s="271">
        <f t="shared" si="3"/>
        <v>445.2</v>
      </c>
      <c r="O39" s="7">
        <f t="shared" si="4"/>
        <v>1795.2</v>
      </c>
      <c r="P39" s="336" t="s">
        <v>865</v>
      </c>
    </row>
    <row r="40" spans="1:16" x14ac:dyDescent="0.2">
      <c r="A40" s="254" t="s">
        <v>88</v>
      </c>
      <c r="B40" s="328">
        <v>31</v>
      </c>
      <c r="C40" s="26" t="s">
        <v>166</v>
      </c>
      <c r="D40" s="6">
        <f>SUMIF('PROG FORMACIÓN TITULADA'!$Q$8:$Q$1070,C40,'PROG FORMACIÓN TITULADA'!$R$8:$R$1070)</f>
        <v>322</v>
      </c>
      <c r="E40" s="6">
        <f>SUMIF('PROG FORM COMPLEM'!$G$9:$G$264,C40,'PROG FORM COMPLEM'!$K$9:$K$264)</f>
        <v>1040</v>
      </c>
      <c r="F40" s="271">
        <f>SUMIF('OTRAS ACCIONES'!$B$12:$B$44,C40,'OTRAS ACCIONES'!$D$12:$D$44)</f>
        <v>0</v>
      </c>
      <c r="G40" s="6">
        <f>SUMIF('OTRAS ACCIONES'!$B$46:$B$68,C40,'OTRAS ACCIONES'!$D$46:$D$68)</f>
        <v>0</v>
      </c>
      <c r="H40" s="6">
        <f>SUMIF('OTRAS ACCIONES'!$B$70:$B$82,C40,'OTRAS ACCIONES'!$D$70:$D$82)</f>
        <v>0</v>
      </c>
      <c r="I40" s="6">
        <f>SUMIF('OTRAS ACCIONES'!$B$84:$B$89,C40,'OTRAS ACCIONES'!$D$84:$D$89)</f>
        <v>0</v>
      </c>
      <c r="J40" s="330">
        <f t="shared" si="0"/>
        <v>1362</v>
      </c>
      <c r="K40" s="234">
        <f t="shared" si="1"/>
        <v>-5.2000000000000455</v>
      </c>
      <c r="L40" s="271"/>
      <c r="M40" s="271">
        <f t="shared" si="2"/>
        <v>445.2</v>
      </c>
      <c r="N40" s="271">
        <f t="shared" si="3"/>
        <v>445.2</v>
      </c>
      <c r="O40" s="7">
        <f t="shared" si="4"/>
        <v>1807.2</v>
      </c>
      <c r="P40" s="336" t="s">
        <v>208</v>
      </c>
    </row>
    <row r="41" spans="1:16" x14ac:dyDescent="0.2">
      <c r="A41" s="254" t="s">
        <v>88</v>
      </c>
      <c r="B41" s="415">
        <v>32</v>
      </c>
      <c r="C41" s="26" t="s">
        <v>75</v>
      </c>
      <c r="D41" s="6">
        <f>SUMIF('PROG FORMACIÓN TITULADA'!$Q$8:$Q$1070,C41,'PROG FORMACIÓN TITULADA'!$R$8:$R$1070)</f>
        <v>1288.8</v>
      </c>
      <c r="E41" s="6">
        <f>SUMIF('PROG FORM COMPLEM'!$G$9:$G$264,C41,'PROG FORM COMPLEM'!$K$9:$K$264)</f>
        <v>0</v>
      </c>
      <c r="F41" s="271">
        <f>SUMIF('OTRAS ACCIONES'!$B$12:$B$44,C41,'OTRAS ACCIONES'!$D$12:$D$44)</f>
        <v>0</v>
      </c>
      <c r="G41" s="6">
        <f>SUMIF('OTRAS ACCIONES'!$B$46:$B$68,C41,'OTRAS ACCIONES'!$D$46:$D$68)</f>
        <v>0</v>
      </c>
      <c r="H41" s="6">
        <f>SUMIF('OTRAS ACCIONES'!$B$70:$B$82,C41,'OTRAS ACCIONES'!$D$70:$D$82)</f>
        <v>68</v>
      </c>
      <c r="I41" s="6">
        <f>SUMIF('OTRAS ACCIONES'!$B$84:$B$89,C41,'OTRAS ACCIONES'!$D$84:$D$89)</f>
        <v>0</v>
      </c>
      <c r="J41" s="330">
        <f t="shared" si="0"/>
        <v>1356.8</v>
      </c>
      <c r="K41" s="271">
        <f t="shared" si="1"/>
        <v>0</v>
      </c>
      <c r="L41" s="271"/>
      <c r="M41" s="271">
        <f t="shared" si="2"/>
        <v>445.2</v>
      </c>
      <c r="N41" s="271">
        <f t="shared" si="3"/>
        <v>445.2</v>
      </c>
      <c r="O41" s="7">
        <f t="shared" si="4"/>
        <v>1802</v>
      </c>
      <c r="P41" s="336" t="s">
        <v>484</v>
      </c>
    </row>
    <row r="42" spans="1:16" x14ac:dyDescent="0.2">
      <c r="A42" s="254" t="s">
        <v>88</v>
      </c>
      <c r="B42" s="328">
        <v>33</v>
      </c>
      <c r="C42" s="26" t="s">
        <v>158</v>
      </c>
      <c r="D42" s="6">
        <f>SUMIF('PROG FORMACIÓN TITULADA'!$Q$8:$Q$1070,C42,'PROG FORMACIÓN TITULADA'!$R$8:$R$1070)</f>
        <v>170</v>
      </c>
      <c r="E42" s="6">
        <f>SUMIF('PROG FORM COMPLEM'!$G$9:$G$264,C42,'PROG FORM COMPLEM'!$K$9:$K$264)</f>
        <v>1160</v>
      </c>
      <c r="F42" s="271">
        <f>SUMIF('OTRAS ACCIONES'!$B$12:$B$44,C42,'OTRAS ACCIONES'!$D$12:$D$44)</f>
        <v>0</v>
      </c>
      <c r="G42" s="6">
        <f>SUMIF('OTRAS ACCIONES'!$B$46:$B$68,C42,'OTRAS ACCIONES'!$D$46:$D$68)</f>
        <v>0</v>
      </c>
      <c r="H42" s="6">
        <f>SUMIF('OTRAS ACCIONES'!$B$70:$B$82,C42,'OTRAS ACCIONES'!$D$70:$D$82)</f>
        <v>0</v>
      </c>
      <c r="I42" s="6">
        <f>SUMIF('OTRAS ACCIONES'!$B$84:$B$89,C42,'OTRAS ACCIONES'!$D$84:$D$89)</f>
        <v>0</v>
      </c>
      <c r="J42" s="330">
        <f t="shared" si="0"/>
        <v>1330</v>
      </c>
      <c r="K42" s="271">
        <f t="shared" si="1"/>
        <v>26.799999999999955</v>
      </c>
      <c r="L42" s="271"/>
      <c r="M42" s="271">
        <f t="shared" si="2"/>
        <v>445.2</v>
      </c>
      <c r="N42" s="271">
        <f t="shared" si="3"/>
        <v>445.2</v>
      </c>
      <c r="O42" s="7">
        <f t="shared" si="4"/>
        <v>1775.2</v>
      </c>
      <c r="P42" s="336" t="s">
        <v>456</v>
      </c>
    </row>
    <row r="43" spans="1:16" x14ac:dyDescent="0.2">
      <c r="A43" s="254" t="s">
        <v>88</v>
      </c>
      <c r="B43" s="415">
        <v>34</v>
      </c>
      <c r="C43" s="26" t="s">
        <v>142</v>
      </c>
      <c r="D43" s="6">
        <f>SUMIF('PROG FORMACIÓN TITULADA'!$Q$8:$Q$1070,C43,'PROG FORMACIÓN TITULADA'!$R$8:$R$1070)</f>
        <v>1357</v>
      </c>
      <c r="E43" s="6">
        <f>SUMIF('PROG FORM COMPLEM'!$G$9:$G$264,C43,'PROG FORM COMPLEM'!$K$9:$K$264)</f>
        <v>0</v>
      </c>
      <c r="F43" s="271">
        <f>SUMIF('OTRAS ACCIONES'!$B$12:$B$44,C43,'OTRAS ACCIONES'!$D$12:$D$44)</f>
        <v>0</v>
      </c>
      <c r="G43" s="6">
        <f>SUMIF('OTRAS ACCIONES'!$B$46:$B$68,C43,'OTRAS ACCIONES'!$D$46:$D$68)</f>
        <v>0</v>
      </c>
      <c r="H43" s="6">
        <f>SUMIF('OTRAS ACCIONES'!$B$70:$B$82,C43,'OTRAS ACCIONES'!$D$70:$D$82)</f>
        <v>0</v>
      </c>
      <c r="I43" s="6">
        <f>SUMIF('OTRAS ACCIONES'!$B$84:$B$89,C43,'OTRAS ACCIONES'!$D$84:$D$89)</f>
        <v>0</v>
      </c>
      <c r="J43" s="330">
        <f t="shared" si="0"/>
        <v>1357</v>
      </c>
      <c r="K43" s="271">
        <f t="shared" si="1"/>
        <v>-0.20000000000004547</v>
      </c>
      <c r="L43" s="271"/>
      <c r="M43" s="271">
        <f t="shared" si="2"/>
        <v>445.2</v>
      </c>
      <c r="N43" s="271">
        <f t="shared" si="3"/>
        <v>445.2</v>
      </c>
      <c r="O43" s="7">
        <f t="shared" si="4"/>
        <v>1802.2</v>
      </c>
      <c r="P43" s="336" t="s">
        <v>339</v>
      </c>
    </row>
    <row r="44" spans="1:16" x14ac:dyDescent="0.2">
      <c r="A44" s="254" t="s">
        <v>88</v>
      </c>
      <c r="B44" s="328">
        <v>35</v>
      </c>
      <c r="C44" s="26" t="s">
        <v>143</v>
      </c>
      <c r="D44" s="6">
        <f>SUMIF('PROG FORMACIÓN TITULADA'!$Q$8:$Q$1070,C44,'PROG FORMACIÓN TITULADA'!$R$8:$R$1070)</f>
        <v>613</v>
      </c>
      <c r="E44" s="6">
        <f>SUMIF('PROG FORM COMPLEM'!$G$9:$G$264,C44,'PROG FORM COMPLEM'!$K$9:$K$264)</f>
        <v>80</v>
      </c>
      <c r="F44" s="271">
        <f>SUMIF('OTRAS ACCIONES'!$B$12:$B$44,C44,'OTRAS ACCIONES'!$D$12:$D$44)</f>
        <v>0</v>
      </c>
      <c r="G44" s="6">
        <f>SUMIF('OTRAS ACCIONES'!$B$46:$B$68,C44,'OTRAS ACCIONES'!$D$46:$D$68)</f>
        <v>664</v>
      </c>
      <c r="H44" s="6">
        <f>SUMIF('OTRAS ACCIONES'!$B$70:$B$82,C44,'OTRAS ACCIONES'!$D$70:$D$82)</f>
        <v>0</v>
      </c>
      <c r="I44" s="6">
        <f>SUMIF('OTRAS ACCIONES'!$B$84:$B$89,C44,'OTRAS ACCIONES'!$D$84:$D$89)</f>
        <v>0</v>
      </c>
      <c r="J44" s="330">
        <f t="shared" si="0"/>
        <v>1357</v>
      </c>
      <c r="K44" s="271">
        <f t="shared" ref="K44:K77" si="11">(42.5*$N$5/5)-M44-L44-J44</f>
        <v>-0.20000000000004547</v>
      </c>
      <c r="L44" s="271"/>
      <c r="M44" s="271">
        <f t="shared" ref="M44:M77" si="12">(10.5*$N$5/5)-L44</f>
        <v>445.2</v>
      </c>
      <c r="N44" s="271">
        <f t="shared" ref="N44:N77" si="13">SUM(L44:M44)</f>
        <v>445.2</v>
      </c>
      <c r="O44" s="7">
        <f t="shared" ref="O44:O77" si="14">J44+N44</f>
        <v>1802.2</v>
      </c>
      <c r="P44" s="336" t="s">
        <v>339</v>
      </c>
    </row>
    <row r="45" spans="1:16" x14ac:dyDescent="0.2">
      <c r="A45" s="254" t="s">
        <v>88</v>
      </c>
      <c r="B45" s="415">
        <v>36</v>
      </c>
      <c r="C45" s="26" t="s">
        <v>148</v>
      </c>
      <c r="D45" s="6">
        <f>SUMIF('PROG FORMACIÓN TITULADA'!$Q$8:$Q$1070,C45,'PROG FORMACIÓN TITULADA'!$R$8:$R$1070)</f>
        <v>793</v>
      </c>
      <c r="E45" s="6">
        <f>SUMIF('PROG FORM COMPLEM'!$G$9:$G$264,C45,'PROG FORM COMPLEM'!$K$9:$K$264)</f>
        <v>560</v>
      </c>
      <c r="F45" s="271">
        <f>SUMIF('OTRAS ACCIONES'!$B$12:$B$44,C45,'OTRAS ACCIONES'!$D$12:$D$44)</f>
        <v>0</v>
      </c>
      <c r="G45" s="6">
        <f>SUMIF('OTRAS ACCIONES'!$B$46:$B$68,C45,'OTRAS ACCIONES'!$D$46:$D$68)</f>
        <v>0</v>
      </c>
      <c r="H45" s="6">
        <f>SUMIF('OTRAS ACCIONES'!$B$70:$B$82,C45,'OTRAS ACCIONES'!$D$70:$D$82)</f>
        <v>0</v>
      </c>
      <c r="I45" s="6">
        <f>SUMIF('OTRAS ACCIONES'!$B$84:$B$89,C45,'OTRAS ACCIONES'!$D$84:$D$89)</f>
        <v>0</v>
      </c>
      <c r="J45" s="330">
        <f t="shared" si="0"/>
        <v>1353</v>
      </c>
      <c r="K45" s="271">
        <f t="shared" si="11"/>
        <v>3.7999999999999545</v>
      </c>
      <c r="L45" s="271"/>
      <c r="M45" s="271">
        <f t="shared" si="12"/>
        <v>445.2</v>
      </c>
      <c r="N45" s="271">
        <f t="shared" si="13"/>
        <v>445.2</v>
      </c>
      <c r="O45" s="7">
        <f t="shared" si="14"/>
        <v>1798.2</v>
      </c>
      <c r="P45" s="336" t="s">
        <v>339</v>
      </c>
    </row>
    <row r="46" spans="1:16" x14ac:dyDescent="0.2">
      <c r="A46" s="254" t="s">
        <v>88</v>
      </c>
      <c r="B46" s="328">
        <v>37</v>
      </c>
      <c r="C46" s="26" t="s">
        <v>175</v>
      </c>
      <c r="D46" s="6">
        <f>SUMIF('PROG FORMACIÓN TITULADA'!$Q$8:$Q$1070,C46,'PROG FORMACIÓN TITULADA'!$R$8:$R$1070)</f>
        <v>0</v>
      </c>
      <c r="E46" s="6">
        <f>SUMIF('PROG FORM COMPLEM'!$G$9:$G$264,C46,'PROG FORM COMPLEM'!$K$9:$K$264)</f>
        <v>1360</v>
      </c>
      <c r="F46" s="271">
        <f>SUMIF('OTRAS ACCIONES'!$B$12:$B$44,C46,'OTRAS ACCIONES'!$D$12:$D$44)</f>
        <v>0</v>
      </c>
      <c r="G46" s="6">
        <f>SUMIF('OTRAS ACCIONES'!$B$46:$B$68,C46,'OTRAS ACCIONES'!$D$46:$D$68)</f>
        <v>0</v>
      </c>
      <c r="H46" s="6">
        <f>SUMIF('OTRAS ACCIONES'!$B$70:$B$82,C46,'OTRAS ACCIONES'!$D$70:$D$82)</f>
        <v>0</v>
      </c>
      <c r="I46" s="6">
        <f>SUMIF('OTRAS ACCIONES'!$B$84:$B$89,C46,'OTRAS ACCIONES'!$D$84:$D$89)</f>
        <v>0</v>
      </c>
      <c r="J46" s="330">
        <f t="shared" si="0"/>
        <v>1360</v>
      </c>
      <c r="K46" s="271">
        <f t="shared" si="11"/>
        <v>-3.2000000000000455</v>
      </c>
      <c r="L46" s="271"/>
      <c r="M46" s="271">
        <f t="shared" si="12"/>
        <v>445.2</v>
      </c>
      <c r="N46" s="271">
        <f t="shared" si="13"/>
        <v>445.2</v>
      </c>
      <c r="O46" s="7">
        <f t="shared" si="14"/>
        <v>1805.2</v>
      </c>
      <c r="P46" s="1" t="s">
        <v>485</v>
      </c>
    </row>
    <row r="47" spans="1:16" x14ac:dyDescent="0.2">
      <c r="A47" s="254" t="s">
        <v>88</v>
      </c>
      <c r="B47" s="415">
        <v>38</v>
      </c>
      <c r="C47" s="26" t="s">
        <v>165</v>
      </c>
      <c r="D47" s="6">
        <f>SUMIF('PROG FORMACIÓN TITULADA'!$Q$8:$Q$1070,C47,'PROG FORMACIÓN TITULADA'!$R$8:$R$1070)</f>
        <v>1080</v>
      </c>
      <c r="E47" s="6">
        <f>SUMIF('PROG FORM COMPLEM'!$G$9:$G$264,C47,'PROG FORM COMPLEM'!$K$9:$K$264)</f>
        <v>0</v>
      </c>
      <c r="F47" s="271">
        <f>SUMIF('OTRAS ACCIONES'!$B$12:$B$44,C47,'OTRAS ACCIONES'!$D$12:$D$44)</f>
        <v>277</v>
      </c>
      <c r="G47" s="6">
        <f>SUMIF('OTRAS ACCIONES'!$B$46:$B$68,C47,'OTRAS ACCIONES'!$D$46:$D$68)</f>
        <v>0</v>
      </c>
      <c r="H47" s="6">
        <f>SUMIF('OTRAS ACCIONES'!$B$70:$B$82,C47,'OTRAS ACCIONES'!$D$70:$D$82)</f>
        <v>0</v>
      </c>
      <c r="I47" s="6">
        <f>SUMIF('OTRAS ACCIONES'!$B$84:$B$89,C47,'OTRAS ACCIONES'!$D$84:$D$89)</f>
        <v>0</v>
      </c>
      <c r="J47" s="330">
        <f t="shared" si="0"/>
        <v>1357</v>
      </c>
      <c r="K47" s="271">
        <f t="shared" si="11"/>
        <v>-0.20000000000004547</v>
      </c>
      <c r="L47" s="271"/>
      <c r="M47" s="271">
        <f t="shared" si="12"/>
        <v>445.2</v>
      </c>
      <c r="N47" s="271">
        <f t="shared" si="13"/>
        <v>445.2</v>
      </c>
      <c r="O47" s="7">
        <f t="shared" si="14"/>
        <v>1802.2</v>
      </c>
      <c r="P47" s="336" t="s">
        <v>208</v>
      </c>
    </row>
    <row r="48" spans="1:16" x14ac:dyDescent="0.2">
      <c r="A48" s="254" t="s">
        <v>88</v>
      </c>
      <c r="B48" s="328">
        <v>39</v>
      </c>
      <c r="C48" s="26" t="s">
        <v>145</v>
      </c>
      <c r="D48" s="6">
        <f>SUMIF('PROG FORMACIÓN TITULADA'!$Q$8:$Q$1070,C48,'PROG FORMACIÓN TITULADA'!$R$8:$R$1070)</f>
        <v>535</v>
      </c>
      <c r="E48" s="6">
        <f>SUMIF('PROG FORM COMPLEM'!$G$9:$G$264,C48,'PROG FORM COMPLEM'!$K$9:$K$264)</f>
        <v>0</v>
      </c>
      <c r="F48" s="271">
        <f>SUMIF('OTRAS ACCIONES'!$B$12:$B$44,C48,'OTRAS ACCIONES'!$D$12:$D$44)</f>
        <v>822</v>
      </c>
      <c r="G48" s="6">
        <f>SUMIF('OTRAS ACCIONES'!$B$46:$B$68,C48,'OTRAS ACCIONES'!$D$46:$D$68)</f>
        <v>0</v>
      </c>
      <c r="H48" s="6">
        <f>SUMIF('OTRAS ACCIONES'!$B$70:$B$82,C48,'OTRAS ACCIONES'!$D$70:$D$82)</f>
        <v>0</v>
      </c>
      <c r="I48" s="6">
        <f>SUMIF('OTRAS ACCIONES'!$B$84:$B$89,C48,'OTRAS ACCIONES'!$D$84:$D$89)</f>
        <v>0</v>
      </c>
      <c r="J48" s="330">
        <f t="shared" si="0"/>
        <v>1357</v>
      </c>
      <c r="K48" s="271">
        <f t="shared" si="11"/>
        <v>-0.20000000000004547</v>
      </c>
      <c r="L48" s="271"/>
      <c r="M48" s="271">
        <f t="shared" si="12"/>
        <v>445.2</v>
      </c>
      <c r="N48" s="271">
        <f t="shared" si="13"/>
        <v>445.2</v>
      </c>
      <c r="O48" s="7">
        <f t="shared" si="14"/>
        <v>1802.2</v>
      </c>
      <c r="P48" s="336" t="s">
        <v>339</v>
      </c>
    </row>
    <row r="49" spans="1:16" x14ac:dyDescent="0.2">
      <c r="A49" s="254" t="s">
        <v>88</v>
      </c>
      <c r="B49" s="415">
        <v>40</v>
      </c>
      <c r="C49" s="26" t="s">
        <v>917</v>
      </c>
      <c r="D49" s="6">
        <f>SUMIF('PROG FORMACIÓN TITULADA'!$Q$8:$Q$1070,C49,'PROG FORMACIÓN TITULADA'!$R$8:$R$1070)</f>
        <v>1357</v>
      </c>
      <c r="E49" s="6">
        <f>SUMIF('PROG FORM COMPLEM'!$G$9:$G$264,C49,'PROG FORM COMPLEM'!$K$9:$K$264)</f>
        <v>0</v>
      </c>
      <c r="F49" s="271">
        <f>SUMIF('OTRAS ACCIONES'!$B$12:$B$44,C49,'OTRAS ACCIONES'!$D$12:$D$44)</f>
        <v>0</v>
      </c>
      <c r="G49" s="6">
        <f>SUMIF('OTRAS ACCIONES'!$B$46:$B$68,C49,'OTRAS ACCIONES'!$D$46:$D$68)</f>
        <v>0</v>
      </c>
      <c r="H49" s="6">
        <f>SUMIF('OTRAS ACCIONES'!$B$70:$B$82,C49,'OTRAS ACCIONES'!$D$70:$D$82)</f>
        <v>0</v>
      </c>
      <c r="I49" s="6">
        <f>SUMIF('OTRAS ACCIONES'!$B$84:$B$89,C49,'OTRAS ACCIONES'!$D$84:$D$89)</f>
        <v>0</v>
      </c>
      <c r="J49" s="330">
        <f t="shared" si="0"/>
        <v>1357</v>
      </c>
      <c r="K49" s="271">
        <f t="shared" si="11"/>
        <v>-0.20000000000004547</v>
      </c>
      <c r="L49" s="271"/>
      <c r="M49" s="271">
        <f t="shared" si="12"/>
        <v>445.2</v>
      </c>
      <c r="N49" s="271">
        <f t="shared" si="13"/>
        <v>445.2</v>
      </c>
      <c r="O49" s="7">
        <f t="shared" si="14"/>
        <v>1802.2</v>
      </c>
      <c r="P49" s="336" t="s">
        <v>456</v>
      </c>
    </row>
    <row r="50" spans="1:16" x14ac:dyDescent="0.2">
      <c r="A50" s="254" t="s">
        <v>88</v>
      </c>
      <c r="B50" s="328">
        <v>41</v>
      </c>
      <c r="C50" s="26" t="s">
        <v>403</v>
      </c>
      <c r="D50" s="6">
        <f>SUMIF('PROG FORMACIÓN TITULADA'!$Q$8:$Q$1070,C50,'PROG FORMACIÓN TITULADA'!$R$8:$R$1070)</f>
        <v>1357</v>
      </c>
      <c r="E50" s="6">
        <f>SUMIF('PROG FORM COMPLEM'!$G$9:$G$264,C50,'PROG FORM COMPLEM'!$K$9:$K$264)</f>
        <v>0</v>
      </c>
      <c r="F50" s="271">
        <f>SUMIF('OTRAS ACCIONES'!$B$12:$B$44,C50,'OTRAS ACCIONES'!$D$12:$D$44)</f>
        <v>0</v>
      </c>
      <c r="G50" s="6">
        <f>SUMIF('OTRAS ACCIONES'!$B$46:$B$68,C50,'OTRAS ACCIONES'!$D$46:$D$68)</f>
        <v>0</v>
      </c>
      <c r="H50" s="6">
        <f>SUMIF('OTRAS ACCIONES'!$B$70:$B$82,C50,'OTRAS ACCIONES'!$D$70:$D$82)</f>
        <v>0</v>
      </c>
      <c r="I50" s="6">
        <f>SUMIF('OTRAS ACCIONES'!$B$84:$B$89,C50,'OTRAS ACCIONES'!$D$84:$D$89)</f>
        <v>0</v>
      </c>
      <c r="J50" s="330">
        <f t="shared" si="0"/>
        <v>1357</v>
      </c>
      <c r="K50" s="271">
        <f t="shared" si="11"/>
        <v>-0.20000000000004547</v>
      </c>
      <c r="L50" s="271"/>
      <c r="M50" s="271">
        <f t="shared" si="12"/>
        <v>445.2</v>
      </c>
      <c r="N50" s="271">
        <f t="shared" si="13"/>
        <v>445.2</v>
      </c>
      <c r="O50" s="7">
        <f t="shared" si="14"/>
        <v>1802.2</v>
      </c>
      <c r="P50" s="336" t="s">
        <v>865</v>
      </c>
    </row>
    <row r="51" spans="1:16" x14ac:dyDescent="0.2">
      <c r="A51" s="254" t="s">
        <v>88</v>
      </c>
      <c r="B51" s="415">
        <v>42</v>
      </c>
      <c r="C51" s="26" t="s">
        <v>140</v>
      </c>
      <c r="D51" s="6">
        <f>SUMIF('PROG FORMACIÓN TITULADA'!$Q$8:$Q$1070,C51,'PROG FORMACIÓN TITULADA'!$R$8:$R$1070)</f>
        <v>0</v>
      </c>
      <c r="E51" s="6">
        <f>SUMIF('PROG FORM COMPLEM'!$G$9:$G$264,C51,'PROG FORM COMPLEM'!$K$9:$K$264)</f>
        <v>720</v>
      </c>
      <c r="F51" s="271">
        <f>SUMIF('OTRAS ACCIONES'!$B$12:$B$44,C51,'OTRAS ACCIONES'!$D$12:$D$44)</f>
        <v>637</v>
      </c>
      <c r="G51" s="6">
        <f>SUMIF('OTRAS ACCIONES'!$B$46:$B$68,C51,'OTRAS ACCIONES'!$D$46:$D$68)</f>
        <v>0</v>
      </c>
      <c r="H51" s="6">
        <f>SUMIF('OTRAS ACCIONES'!$B$70:$B$82,C51,'OTRAS ACCIONES'!$D$70:$D$82)</f>
        <v>0</v>
      </c>
      <c r="I51" s="6">
        <f>SUMIF('OTRAS ACCIONES'!$B$84:$B$89,C51,'OTRAS ACCIONES'!$D$84:$D$89)</f>
        <v>0</v>
      </c>
      <c r="J51" s="330">
        <f t="shared" si="0"/>
        <v>1357</v>
      </c>
      <c r="K51" s="271">
        <f t="shared" si="11"/>
        <v>-0.20000000000004547</v>
      </c>
      <c r="L51" s="271"/>
      <c r="M51" s="271">
        <f t="shared" si="12"/>
        <v>445.2</v>
      </c>
      <c r="N51" s="271">
        <f t="shared" si="13"/>
        <v>445.2</v>
      </c>
      <c r="O51" s="7">
        <f t="shared" si="14"/>
        <v>1802.2</v>
      </c>
      <c r="P51" s="336" t="s">
        <v>339</v>
      </c>
    </row>
    <row r="52" spans="1:16" x14ac:dyDescent="0.2">
      <c r="A52" s="254" t="s">
        <v>88</v>
      </c>
      <c r="B52" s="328">
        <v>43</v>
      </c>
      <c r="C52" s="26" t="s">
        <v>134</v>
      </c>
      <c r="D52" s="6">
        <f>SUMIF('PROG FORMACIÓN TITULADA'!$Q$8:$Q$1070,C52,'PROG FORMACIÓN TITULADA'!$R$8:$R$1070)</f>
        <v>843.8</v>
      </c>
      <c r="E52" s="6">
        <f>SUMIF('PROG FORM COMPLEM'!$G$9:$G$264,C52,'PROG FORM COMPLEM'!$K$9:$K$264)</f>
        <v>0</v>
      </c>
      <c r="F52" s="271">
        <f>SUMIF('OTRAS ACCIONES'!$B$12:$B$44,C52,'OTRAS ACCIONES'!$D$12:$D$44)</f>
        <v>0</v>
      </c>
      <c r="G52" s="6">
        <f>SUMIF('OTRAS ACCIONES'!$B$46:$B$68,C52,'OTRAS ACCIONES'!$D$46:$D$68)</f>
        <v>0</v>
      </c>
      <c r="H52" s="6">
        <f>SUMIF('OTRAS ACCIONES'!$B$70:$B$82,C52,'OTRAS ACCIONES'!$D$70:$D$82)</f>
        <v>513</v>
      </c>
      <c r="I52" s="6">
        <f>SUMIF('OTRAS ACCIONES'!$B$84:$B$89,C52,'OTRAS ACCIONES'!$D$84:$D$89)</f>
        <v>0</v>
      </c>
      <c r="J52" s="330">
        <f t="shared" si="0"/>
        <v>1356.8</v>
      </c>
      <c r="K52" s="271">
        <f t="shared" si="11"/>
        <v>0</v>
      </c>
      <c r="L52" s="271"/>
      <c r="M52" s="271">
        <f t="shared" si="12"/>
        <v>445.2</v>
      </c>
      <c r="N52" s="271">
        <f t="shared" si="13"/>
        <v>445.2</v>
      </c>
      <c r="O52" s="7">
        <f t="shared" si="14"/>
        <v>1802</v>
      </c>
      <c r="P52" s="336" t="s">
        <v>484</v>
      </c>
    </row>
    <row r="53" spans="1:16" x14ac:dyDescent="0.2">
      <c r="A53" s="254" t="s">
        <v>88</v>
      </c>
      <c r="B53" s="415">
        <v>44</v>
      </c>
      <c r="C53" s="26" t="s">
        <v>837</v>
      </c>
      <c r="D53" s="6">
        <f>SUMIF('PROG FORMACIÓN TITULADA'!$Q$8:$Q$1070,C53,'PROG FORMACIÓN TITULADA'!$R$8:$R$1070)</f>
        <v>0</v>
      </c>
      <c r="E53" s="6">
        <f>SUMIF('PROG FORM COMPLEM'!$G$9:$G$264,C53,'PROG FORM COMPLEM'!$K$9:$K$264)</f>
        <v>0</v>
      </c>
      <c r="F53" s="271">
        <f>SUMIF('OTRAS ACCIONES'!$B$12:$B$44,C53,'OTRAS ACCIONES'!$D$12:$D$44)</f>
        <v>1357</v>
      </c>
      <c r="G53" s="6">
        <f>SUMIF('OTRAS ACCIONES'!$B$46:$B$68,C53,'OTRAS ACCIONES'!$D$46:$D$68)</f>
        <v>0</v>
      </c>
      <c r="H53" s="6">
        <f>SUMIF('OTRAS ACCIONES'!$B$70:$B$82,C53,'OTRAS ACCIONES'!$D$70:$D$82)</f>
        <v>0</v>
      </c>
      <c r="I53" s="6">
        <f>SUMIF('OTRAS ACCIONES'!$B$84:$B$89,C53,'OTRAS ACCIONES'!$D$84:$D$89)</f>
        <v>0</v>
      </c>
      <c r="J53" s="330">
        <f t="shared" si="0"/>
        <v>1357</v>
      </c>
      <c r="K53" s="271">
        <f t="shared" si="11"/>
        <v>-0.20000000000004547</v>
      </c>
      <c r="L53" s="271"/>
      <c r="M53" s="271">
        <f t="shared" si="12"/>
        <v>445.2</v>
      </c>
      <c r="N53" s="271">
        <f t="shared" si="13"/>
        <v>445.2</v>
      </c>
      <c r="O53" s="7">
        <f t="shared" si="14"/>
        <v>1802.2</v>
      </c>
      <c r="P53" s="336" t="s">
        <v>208</v>
      </c>
    </row>
    <row r="54" spans="1:16" x14ac:dyDescent="0.2">
      <c r="A54" s="254" t="s">
        <v>88</v>
      </c>
      <c r="B54" s="328">
        <v>45</v>
      </c>
      <c r="C54" s="26" t="s">
        <v>160</v>
      </c>
      <c r="D54" s="6">
        <f>SUMIF('PROG FORMACIÓN TITULADA'!$Q$8:$Q$1070,C54,'PROG FORMACIÓN TITULADA'!$R$8:$R$1070)</f>
        <v>790</v>
      </c>
      <c r="E54" s="6">
        <f>SUMIF('PROG FORM COMPLEM'!$G$9:$G$264,C54,'PROG FORM COMPLEM'!$K$9:$K$264)</f>
        <v>560</v>
      </c>
      <c r="F54" s="271">
        <f>SUMIF('OTRAS ACCIONES'!$B$12:$B$44,C54,'OTRAS ACCIONES'!$D$12:$D$44)</f>
        <v>0</v>
      </c>
      <c r="G54" s="6">
        <f>SUMIF('OTRAS ACCIONES'!$B$46:$B$68,C54,'OTRAS ACCIONES'!$D$46:$D$68)</f>
        <v>0</v>
      </c>
      <c r="H54" s="6">
        <f>SUMIF('OTRAS ACCIONES'!$B$70:$B$82,C54,'OTRAS ACCIONES'!$D$70:$D$82)</f>
        <v>0</v>
      </c>
      <c r="I54" s="6">
        <f>SUMIF('OTRAS ACCIONES'!$B$84:$B$89,C54,'OTRAS ACCIONES'!$D$84:$D$89)</f>
        <v>0</v>
      </c>
      <c r="J54" s="330">
        <f t="shared" si="0"/>
        <v>1350</v>
      </c>
      <c r="K54" s="271">
        <f t="shared" si="11"/>
        <v>6.7999999999999545</v>
      </c>
      <c r="L54" s="271"/>
      <c r="M54" s="271">
        <f t="shared" si="12"/>
        <v>445.2</v>
      </c>
      <c r="N54" s="271">
        <f t="shared" si="13"/>
        <v>445.2</v>
      </c>
      <c r="O54" s="7">
        <f t="shared" si="14"/>
        <v>1795.2</v>
      </c>
      <c r="P54" s="336" t="s">
        <v>208</v>
      </c>
    </row>
    <row r="55" spans="1:16" x14ac:dyDescent="0.2">
      <c r="A55" s="254" t="s">
        <v>88</v>
      </c>
      <c r="B55" s="415">
        <v>46</v>
      </c>
      <c r="C55" s="26" t="s">
        <v>678</v>
      </c>
      <c r="D55" s="6">
        <f>SUMIF('PROG FORMACIÓN TITULADA'!$Q$8:$Q$1070,C55,'PROG FORMACIÓN TITULADA'!$R$8:$R$1070)</f>
        <v>950</v>
      </c>
      <c r="E55" s="6">
        <f>SUMIF('PROG FORM COMPLEM'!$G$9:$G$264,C55,'PROG FORM COMPLEM'!$K$9:$K$264)</f>
        <v>0</v>
      </c>
      <c r="F55" s="271">
        <f>SUMIF('OTRAS ACCIONES'!$B$12:$B$44,C55,'OTRAS ACCIONES'!$D$12:$D$44)</f>
        <v>407</v>
      </c>
      <c r="G55" s="6">
        <f>SUMIF('OTRAS ACCIONES'!$B$46:$B$68,C55,'OTRAS ACCIONES'!$D$46:$D$68)</f>
        <v>0</v>
      </c>
      <c r="H55" s="6">
        <f>SUMIF('OTRAS ACCIONES'!$B$70:$B$82,C55,'OTRAS ACCIONES'!$D$70:$D$82)</f>
        <v>0</v>
      </c>
      <c r="I55" s="6">
        <f>SUMIF('OTRAS ACCIONES'!$B$84:$B$89,C55,'OTRAS ACCIONES'!$D$84:$D$89)</f>
        <v>0</v>
      </c>
      <c r="J55" s="330">
        <f t="shared" si="0"/>
        <v>1357</v>
      </c>
      <c r="K55" s="271">
        <f t="shared" si="11"/>
        <v>-0.20000000000004547</v>
      </c>
      <c r="L55" s="271"/>
      <c r="M55" s="271">
        <f t="shared" si="12"/>
        <v>445.2</v>
      </c>
      <c r="N55" s="271">
        <f t="shared" si="13"/>
        <v>445.2</v>
      </c>
      <c r="O55" s="7">
        <f t="shared" si="14"/>
        <v>1802.2</v>
      </c>
      <c r="P55" s="336" t="s">
        <v>208</v>
      </c>
    </row>
    <row r="56" spans="1:16" x14ac:dyDescent="0.2">
      <c r="A56" s="254" t="s">
        <v>88</v>
      </c>
      <c r="B56" s="328">
        <v>47</v>
      </c>
      <c r="C56" s="26" t="s">
        <v>180</v>
      </c>
      <c r="D56" s="6">
        <f>SUMIF('PROG FORMACIÓN TITULADA'!$Q$8:$Q$1070,C56,'PROG FORMACIÓN TITULADA'!$R$8:$R$1070)</f>
        <v>0</v>
      </c>
      <c r="E56" s="6">
        <f>SUMIF('PROG FORM COMPLEM'!$G$9:$G$264,C56,'PROG FORM COMPLEM'!$K$9:$K$264)</f>
        <v>780</v>
      </c>
      <c r="F56" s="271">
        <f>SUMIF('OTRAS ACCIONES'!$B$12:$B$44,C56,'OTRAS ACCIONES'!$D$12:$D$44)</f>
        <v>577</v>
      </c>
      <c r="G56" s="6">
        <f>SUMIF('OTRAS ACCIONES'!$B$46:$B$68,C56,'OTRAS ACCIONES'!$D$46:$D$68)</f>
        <v>0</v>
      </c>
      <c r="H56" s="6">
        <f>SUMIF('OTRAS ACCIONES'!$B$70:$B$82,C56,'OTRAS ACCIONES'!$D$70:$D$82)</f>
        <v>0</v>
      </c>
      <c r="I56" s="6">
        <f>SUMIF('OTRAS ACCIONES'!$B$84:$B$89,C56,'OTRAS ACCIONES'!$D$84:$D$89)</f>
        <v>0</v>
      </c>
      <c r="J56" s="330">
        <f t="shared" si="0"/>
        <v>1357</v>
      </c>
      <c r="K56" s="271">
        <f t="shared" si="11"/>
        <v>-0.20000000000004547</v>
      </c>
      <c r="L56" s="271"/>
      <c r="M56" s="271">
        <f t="shared" si="12"/>
        <v>445.2</v>
      </c>
      <c r="N56" s="271">
        <f t="shared" si="13"/>
        <v>445.2</v>
      </c>
      <c r="O56" s="7">
        <f t="shared" si="14"/>
        <v>1802.2</v>
      </c>
      <c r="P56" s="336" t="s">
        <v>486</v>
      </c>
    </row>
    <row r="57" spans="1:16" x14ac:dyDescent="0.2">
      <c r="A57" s="254" t="s">
        <v>88</v>
      </c>
      <c r="B57" s="415">
        <v>48</v>
      </c>
      <c r="C57" s="26" t="s">
        <v>135</v>
      </c>
      <c r="D57" s="6">
        <f>SUMIF('PROG FORMACIÓN TITULADA'!$Q$8:$Q$1070,C57,'PROG FORMACIÓN TITULADA'!$R$8:$R$1070)</f>
        <v>0</v>
      </c>
      <c r="E57" s="6">
        <f>SUMIF('PROG FORM COMPLEM'!$G$9:$G$264,C57,'PROG FORM COMPLEM'!$K$9:$K$264)</f>
        <v>0</v>
      </c>
      <c r="F57" s="271">
        <f>SUMIF('OTRAS ACCIONES'!$B$12:$B$44,C57,'OTRAS ACCIONES'!$D$12:$D$44)</f>
        <v>1350</v>
      </c>
      <c r="G57" s="6">
        <f>SUMIF('OTRAS ACCIONES'!$B$46:$B$68,C57,'OTRAS ACCIONES'!$D$46:$D$68)</f>
        <v>0</v>
      </c>
      <c r="H57" s="6">
        <f>SUMIF('OTRAS ACCIONES'!$B$70:$B$82,C57,'OTRAS ACCIONES'!$D$70:$D$82)</f>
        <v>0</v>
      </c>
      <c r="I57" s="6">
        <f>SUMIF('OTRAS ACCIONES'!$B$84:$B$89,C57,'OTRAS ACCIONES'!$D$84:$D$89)</f>
        <v>0</v>
      </c>
      <c r="J57" s="330">
        <f t="shared" si="0"/>
        <v>1350</v>
      </c>
      <c r="K57" s="271">
        <f t="shared" si="11"/>
        <v>6.7999999999999545</v>
      </c>
      <c r="L57" s="271"/>
      <c r="M57" s="271">
        <f t="shared" si="12"/>
        <v>445.2</v>
      </c>
      <c r="N57" s="271">
        <f t="shared" si="13"/>
        <v>445.2</v>
      </c>
      <c r="O57" s="7">
        <f t="shared" si="14"/>
        <v>1795.2</v>
      </c>
      <c r="P57" s="336" t="s">
        <v>484</v>
      </c>
    </row>
    <row r="58" spans="1:16" x14ac:dyDescent="0.2">
      <c r="A58" s="254" t="s">
        <v>88</v>
      </c>
      <c r="B58" s="328">
        <v>49</v>
      </c>
      <c r="C58" s="26" t="s">
        <v>163</v>
      </c>
      <c r="D58" s="6">
        <f>SUMIF('PROG FORMACIÓN TITULADA'!$Q$8:$Q$1070,C58,'PROG FORMACIÓN TITULADA'!$R$8:$R$1070)</f>
        <v>1060</v>
      </c>
      <c r="E58" s="6">
        <f>SUMIF('PROG FORM COMPLEM'!$G$9:$G$264,C58,'PROG FORM COMPLEM'!$K$9:$K$264)</f>
        <v>0</v>
      </c>
      <c r="F58" s="271">
        <f>SUMIF('OTRAS ACCIONES'!$B$12:$B$44,C58,'OTRAS ACCIONES'!$D$12:$D$44)</f>
        <v>297</v>
      </c>
      <c r="G58" s="6">
        <f>SUMIF('OTRAS ACCIONES'!$B$46:$B$68,C58,'OTRAS ACCIONES'!$D$46:$D$68)</f>
        <v>0</v>
      </c>
      <c r="H58" s="6">
        <f>SUMIF('OTRAS ACCIONES'!$B$70:$B$82,C58,'OTRAS ACCIONES'!$D$70:$D$82)</f>
        <v>0</v>
      </c>
      <c r="I58" s="6">
        <f>SUMIF('OTRAS ACCIONES'!$B$84:$B$89,C58,'OTRAS ACCIONES'!$D$84:$D$89)</f>
        <v>0</v>
      </c>
      <c r="J58" s="330">
        <f t="shared" si="0"/>
        <v>1357</v>
      </c>
      <c r="K58" s="271">
        <f t="shared" si="11"/>
        <v>-0.20000000000004547</v>
      </c>
      <c r="L58" s="271"/>
      <c r="M58" s="271">
        <f t="shared" si="12"/>
        <v>445.2</v>
      </c>
      <c r="N58" s="271">
        <f t="shared" si="13"/>
        <v>445.2</v>
      </c>
      <c r="O58" s="7">
        <f t="shared" si="14"/>
        <v>1802.2</v>
      </c>
      <c r="P58" s="336" t="s">
        <v>451</v>
      </c>
    </row>
    <row r="59" spans="1:16" x14ac:dyDescent="0.2">
      <c r="A59" s="254" t="s">
        <v>88</v>
      </c>
      <c r="B59" s="415">
        <v>50</v>
      </c>
      <c r="C59" s="26" t="s">
        <v>136</v>
      </c>
      <c r="D59" s="6">
        <f>SUMIF('PROG FORMACIÓN TITULADA'!$Q$8:$Q$1070,C59,'PROG FORMACIÓN TITULADA'!$R$8:$R$1070)</f>
        <v>988.8</v>
      </c>
      <c r="E59" s="6">
        <f>SUMIF('PROG FORM COMPLEM'!$G$9:$G$264,C59,'PROG FORM COMPLEM'!$K$9:$K$264)</f>
        <v>0</v>
      </c>
      <c r="F59" s="271">
        <f>SUMIF('OTRAS ACCIONES'!$B$12:$B$44,C59,'OTRAS ACCIONES'!$D$12:$D$44)</f>
        <v>0</v>
      </c>
      <c r="G59" s="6">
        <f>SUMIF('OTRAS ACCIONES'!$B$46:$B$68,C59,'OTRAS ACCIONES'!$D$46:$D$68)</f>
        <v>0</v>
      </c>
      <c r="H59" s="6">
        <f>SUMIF('OTRAS ACCIONES'!$B$70:$B$82,C59,'OTRAS ACCIONES'!$D$70:$D$82)</f>
        <v>368</v>
      </c>
      <c r="I59" s="6">
        <f>SUMIF('OTRAS ACCIONES'!$B$84:$B$89,C59,'OTRAS ACCIONES'!$D$84:$D$89)</f>
        <v>0</v>
      </c>
      <c r="J59" s="330">
        <f t="shared" si="0"/>
        <v>1356.8</v>
      </c>
      <c r="K59" s="271">
        <f t="shared" si="11"/>
        <v>0</v>
      </c>
      <c r="L59" s="271"/>
      <c r="M59" s="271">
        <f t="shared" si="12"/>
        <v>445.2</v>
      </c>
      <c r="N59" s="271">
        <f t="shared" si="13"/>
        <v>445.2</v>
      </c>
      <c r="O59" s="7">
        <f t="shared" si="14"/>
        <v>1802</v>
      </c>
      <c r="P59" s="336" t="s">
        <v>484</v>
      </c>
    </row>
    <row r="60" spans="1:16" x14ac:dyDescent="0.2">
      <c r="A60" s="254" t="s">
        <v>88</v>
      </c>
      <c r="B60" s="328">
        <v>51</v>
      </c>
      <c r="C60" s="26" t="s">
        <v>137</v>
      </c>
      <c r="D60" s="6">
        <f>SUMIF('PROG FORMACIÓN TITULADA'!$Q$8:$Q$1070,C60,'PROG FORMACIÓN TITULADA'!$R$8:$R$1070)</f>
        <v>0</v>
      </c>
      <c r="E60" s="6">
        <f>SUMIF('PROG FORM COMPLEM'!$G$9:$G$264,C60,'PROG FORM COMPLEM'!$K$9:$K$264)</f>
        <v>0</v>
      </c>
      <c r="F60" s="271">
        <f>SUMIF('OTRAS ACCIONES'!$B$12:$B$44,C60,'OTRAS ACCIONES'!$D$12:$D$44)</f>
        <v>1357</v>
      </c>
      <c r="G60" s="6">
        <f>SUMIF('OTRAS ACCIONES'!$B$46:$B$68,C60,'OTRAS ACCIONES'!$D$46:$D$68)</f>
        <v>0</v>
      </c>
      <c r="H60" s="6">
        <f>SUMIF('OTRAS ACCIONES'!$B$70:$B$82,C60,'OTRAS ACCIONES'!$D$70:$D$82)</f>
        <v>0</v>
      </c>
      <c r="I60" s="6">
        <f>SUMIF('OTRAS ACCIONES'!$B$84:$B$89,C60,'OTRAS ACCIONES'!$D$84:$D$89)</f>
        <v>0</v>
      </c>
      <c r="J60" s="330">
        <f t="shared" si="0"/>
        <v>1357</v>
      </c>
      <c r="K60" s="271">
        <f t="shared" si="11"/>
        <v>-0.20000000000004547</v>
      </c>
      <c r="L60" s="271"/>
      <c r="M60" s="271">
        <f t="shared" si="12"/>
        <v>445.2</v>
      </c>
      <c r="N60" s="271">
        <f t="shared" si="13"/>
        <v>445.2</v>
      </c>
      <c r="O60" s="7">
        <f t="shared" si="14"/>
        <v>1802.2</v>
      </c>
      <c r="P60" s="336" t="s">
        <v>865</v>
      </c>
    </row>
    <row r="61" spans="1:16" x14ac:dyDescent="0.2">
      <c r="A61" s="254" t="s">
        <v>88</v>
      </c>
      <c r="B61" s="415">
        <v>52</v>
      </c>
      <c r="C61" s="26" t="s">
        <v>153</v>
      </c>
      <c r="D61" s="6">
        <f>SUMIF('PROG FORMACIÓN TITULADA'!$Q$8:$Q$1070,C61,'PROG FORMACIÓN TITULADA'!$R$8:$R$1070)</f>
        <v>0</v>
      </c>
      <c r="E61" s="6">
        <f>SUMIF('PROG FORM COMPLEM'!$G$9:$G$264,C61,'PROG FORM COMPLEM'!$K$9:$K$264)</f>
        <v>800</v>
      </c>
      <c r="F61" s="271">
        <f>SUMIF('OTRAS ACCIONES'!$B$12:$B$44,C61,'OTRAS ACCIONES'!$D$12:$D$44)</f>
        <v>550</v>
      </c>
      <c r="G61" s="6">
        <f>SUMIF('OTRAS ACCIONES'!$B$46:$B$68,C61,'OTRAS ACCIONES'!$D$46:$D$68)</f>
        <v>0</v>
      </c>
      <c r="H61" s="6">
        <f>SUMIF('OTRAS ACCIONES'!$B$70:$B$82,C61,'OTRAS ACCIONES'!$D$70:$D$82)</f>
        <v>0</v>
      </c>
      <c r="I61" s="6">
        <f>SUMIF('OTRAS ACCIONES'!$B$84:$B$89,C61,'OTRAS ACCIONES'!$D$84:$D$89)</f>
        <v>0</v>
      </c>
      <c r="J61" s="330">
        <f t="shared" si="0"/>
        <v>1350</v>
      </c>
      <c r="K61" s="271">
        <f t="shared" si="11"/>
        <v>6.7999999999999545</v>
      </c>
      <c r="L61" s="271"/>
      <c r="M61" s="271">
        <f t="shared" si="12"/>
        <v>445.2</v>
      </c>
      <c r="N61" s="271">
        <f t="shared" si="13"/>
        <v>445.2</v>
      </c>
      <c r="O61" s="7">
        <f t="shared" si="14"/>
        <v>1795.2</v>
      </c>
      <c r="P61" s="336" t="s">
        <v>865</v>
      </c>
    </row>
    <row r="62" spans="1:16" x14ac:dyDescent="0.2">
      <c r="A62" s="254" t="s">
        <v>88</v>
      </c>
      <c r="B62" s="328">
        <v>53</v>
      </c>
      <c r="C62" s="26" t="s">
        <v>171</v>
      </c>
      <c r="D62" s="6">
        <f>SUMIF('PROG FORMACIÓN TITULADA'!$Q$8:$Q$1070,C62,'PROG FORMACIÓN TITULADA'!$R$8:$R$1070)</f>
        <v>0</v>
      </c>
      <c r="E62" s="6">
        <f>SUMIF('PROG FORM COMPLEM'!$G$9:$G$264,C62,'PROG FORM COMPLEM'!$K$9:$K$264)</f>
        <v>1350</v>
      </c>
      <c r="F62" s="271">
        <f>SUMIF('OTRAS ACCIONES'!$B$12:$B$44,C62,'OTRAS ACCIONES'!$D$12:$D$44)</f>
        <v>0</v>
      </c>
      <c r="G62" s="6">
        <f>SUMIF('OTRAS ACCIONES'!$B$46:$B$68,C62,'OTRAS ACCIONES'!$D$46:$D$68)</f>
        <v>0</v>
      </c>
      <c r="H62" s="6">
        <f>SUMIF('OTRAS ACCIONES'!$B$70:$B$82,C62,'OTRAS ACCIONES'!$D$70:$D$82)</f>
        <v>0</v>
      </c>
      <c r="I62" s="6">
        <f>SUMIF('OTRAS ACCIONES'!$B$84:$B$89,C62,'OTRAS ACCIONES'!$D$84:$D$89)</f>
        <v>0</v>
      </c>
      <c r="J62" s="330">
        <f t="shared" si="0"/>
        <v>1350</v>
      </c>
      <c r="K62" s="271">
        <f t="shared" si="11"/>
        <v>6.7999999999999545</v>
      </c>
      <c r="L62" s="271"/>
      <c r="M62" s="271">
        <f t="shared" si="12"/>
        <v>445.2</v>
      </c>
      <c r="N62" s="271">
        <f t="shared" si="13"/>
        <v>445.2</v>
      </c>
      <c r="O62" s="7">
        <f t="shared" si="14"/>
        <v>1795.2</v>
      </c>
      <c r="P62" s="336" t="s">
        <v>208</v>
      </c>
    </row>
    <row r="63" spans="1:16" x14ac:dyDescent="0.2">
      <c r="A63" s="254" t="s">
        <v>88</v>
      </c>
      <c r="B63" s="415">
        <v>54</v>
      </c>
      <c r="C63" s="26" t="s">
        <v>402</v>
      </c>
      <c r="D63" s="6">
        <f>SUMIF('PROG FORMACIÓN TITULADA'!$Q$8:$Q$1070,C63,'PROG FORMACIÓN TITULADA'!$R$8:$R$1070)</f>
        <v>1357</v>
      </c>
      <c r="E63" s="6">
        <f>SUMIF('PROG FORM COMPLEM'!$G$9:$G$264,C63,'PROG FORM COMPLEM'!$K$9:$K$264)</f>
        <v>0</v>
      </c>
      <c r="F63" s="271">
        <f>SUMIF('OTRAS ACCIONES'!$B$12:$B$44,C63,'OTRAS ACCIONES'!$D$12:$D$44)</f>
        <v>0</v>
      </c>
      <c r="G63" s="6">
        <f>SUMIF('OTRAS ACCIONES'!$B$46:$B$68,C63,'OTRAS ACCIONES'!$D$46:$D$68)</f>
        <v>0</v>
      </c>
      <c r="H63" s="6">
        <f>SUMIF('OTRAS ACCIONES'!$B$70:$B$82,C63,'OTRAS ACCIONES'!$D$70:$D$82)</f>
        <v>0</v>
      </c>
      <c r="I63" s="6">
        <f>SUMIF('OTRAS ACCIONES'!$B$84:$B$89,C63,'OTRAS ACCIONES'!$D$84:$D$89)</f>
        <v>0</v>
      </c>
      <c r="J63" s="330">
        <f t="shared" si="0"/>
        <v>1357</v>
      </c>
      <c r="K63" s="271">
        <f t="shared" si="11"/>
        <v>-0.20000000000004547</v>
      </c>
      <c r="L63" s="271"/>
      <c r="M63" s="271">
        <f t="shared" si="12"/>
        <v>445.2</v>
      </c>
      <c r="N63" s="271">
        <f t="shared" si="13"/>
        <v>445.2</v>
      </c>
      <c r="O63" s="7">
        <f t="shared" si="14"/>
        <v>1802.2</v>
      </c>
      <c r="P63" s="336" t="s">
        <v>865</v>
      </c>
    </row>
    <row r="64" spans="1:16" x14ac:dyDescent="0.2">
      <c r="A64" s="254" t="s">
        <v>88</v>
      </c>
      <c r="B64" s="328">
        <v>55</v>
      </c>
      <c r="C64" s="26" t="s">
        <v>144</v>
      </c>
      <c r="D64" s="6">
        <f>SUMIF('PROG FORMACIÓN TITULADA'!$Q$8:$Q$1070,C64,'PROG FORMACIÓN TITULADA'!$R$8:$R$1070)</f>
        <v>0</v>
      </c>
      <c r="E64" s="6">
        <f>SUMIF('PROG FORM COMPLEM'!$G$9:$G$264,C64,'PROG FORM COMPLEM'!$K$9:$K$264)</f>
        <v>1360</v>
      </c>
      <c r="F64" s="271">
        <f>SUMIF('OTRAS ACCIONES'!$B$12:$B$44,C64,'OTRAS ACCIONES'!$D$12:$D$44)</f>
        <v>0</v>
      </c>
      <c r="G64" s="6">
        <f>SUMIF('OTRAS ACCIONES'!$B$46:$B$68,C64,'OTRAS ACCIONES'!$D$46:$D$68)</f>
        <v>0</v>
      </c>
      <c r="H64" s="6">
        <f>SUMIF('OTRAS ACCIONES'!$B$70:$B$82,C64,'OTRAS ACCIONES'!$D$70:$D$82)</f>
        <v>0</v>
      </c>
      <c r="I64" s="6">
        <f>SUMIF('OTRAS ACCIONES'!$B$84:$B$89,C64,'OTRAS ACCIONES'!$D$84:$D$89)</f>
        <v>0</v>
      </c>
      <c r="J64" s="330">
        <f t="shared" si="0"/>
        <v>1360</v>
      </c>
      <c r="K64" s="271">
        <f t="shared" si="11"/>
        <v>-3.2000000000000455</v>
      </c>
      <c r="L64" s="271"/>
      <c r="M64" s="271">
        <f t="shared" si="12"/>
        <v>445.2</v>
      </c>
      <c r="N64" s="271">
        <f t="shared" si="13"/>
        <v>445.2</v>
      </c>
      <c r="O64" s="7">
        <f t="shared" si="14"/>
        <v>1805.2</v>
      </c>
      <c r="P64" s="336" t="s">
        <v>339</v>
      </c>
    </row>
    <row r="65" spans="1:18" x14ac:dyDescent="0.2">
      <c r="A65" s="254" t="s">
        <v>88</v>
      </c>
      <c r="B65" s="415">
        <v>56</v>
      </c>
      <c r="C65" s="26" t="s">
        <v>169</v>
      </c>
      <c r="D65" s="6">
        <f>SUMIF('PROG FORMACIÓN TITULADA'!$Q$8:$Q$1070,C65,'PROG FORMACIÓN TITULADA'!$R$8:$R$1070)</f>
        <v>162</v>
      </c>
      <c r="E65" s="6">
        <f>SUMIF('PROG FORM COMPLEM'!$G$9:$G$264,C65,'PROG FORM COMPLEM'!$K$9:$K$264)</f>
        <v>600</v>
      </c>
      <c r="F65" s="271">
        <f>SUMIF('OTRAS ACCIONES'!$B$12:$B$44,C65,'OTRAS ACCIONES'!$D$12:$D$44)</f>
        <v>580</v>
      </c>
      <c r="G65" s="6">
        <f>SUMIF('OTRAS ACCIONES'!$B$46:$B$68,C65,'OTRAS ACCIONES'!$D$46:$D$68)</f>
        <v>0</v>
      </c>
      <c r="H65" s="6">
        <f>SUMIF('OTRAS ACCIONES'!$B$70:$B$82,C65,'OTRAS ACCIONES'!$D$70:$D$82)</f>
        <v>0</v>
      </c>
      <c r="I65" s="6">
        <f>SUMIF('OTRAS ACCIONES'!$B$84:$B$89,C65,'OTRAS ACCIONES'!$D$84:$D$89)</f>
        <v>0</v>
      </c>
      <c r="J65" s="330">
        <f t="shared" si="0"/>
        <v>1342</v>
      </c>
      <c r="K65" s="271">
        <f t="shared" si="11"/>
        <v>14.799999999999955</v>
      </c>
      <c r="L65" s="271"/>
      <c r="M65" s="271">
        <f t="shared" si="12"/>
        <v>445.2</v>
      </c>
      <c r="N65" s="271">
        <f t="shared" si="13"/>
        <v>445.2</v>
      </c>
      <c r="O65" s="7">
        <f t="shared" si="14"/>
        <v>1787.2</v>
      </c>
      <c r="P65" s="336" t="s">
        <v>208</v>
      </c>
    </row>
    <row r="66" spans="1:18" x14ac:dyDescent="0.2">
      <c r="A66" s="254" t="s">
        <v>88</v>
      </c>
      <c r="B66" s="328">
        <v>57</v>
      </c>
      <c r="C66" s="26" t="s">
        <v>170</v>
      </c>
      <c r="D66" s="6">
        <f>SUMIF('PROG FORMACIÓN TITULADA'!$Q$8:$Q$1070,C66,'PROG FORMACIÓN TITULADA'!$R$8:$R$1070)</f>
        <v>0</v>
      </c>
      <c r="E66" s="6">
        <f>SUMIF('PROG FORM COMPLEM'!$G$9:$G$264,C66,'PROG FORM COMPLEM'!$K$9:$K$264)</f>
        <v>1380</v>
      </c>
      <c r="F66" s="271">
        <f>SUMIF('OTRAS ACCIONES'!$B$12:$B$44,C66,'OTRAS ACCIONES'!$D$12:$D$44)</f>
        <v>0</v>
      </c>
      <c r="G66" s="6">
        <f>SUMIF('OTRAS ACCIONES'!$B$46:$B$68,C66,'OTRAS ACCIONES'!$D$46:$D$68)</f>
        <v>0</v>
      </c>
      <c r="H66" s="6">
        <f>SUMIF('OTRAS ACCIONES'!$B$70:$B$82,C66,'OTRAS ACCIONES'!$D$70:$D$82)</f>
        <v>0</v>
      </c>
      <c r="I66" s="6">
        <f>SUMIF('OTRAS ACCIONES'!$B$84:$B$89,C66,'OTRAS ACCIONES'!$D$84:$D$89)</f>
        <v>0</v>
      </c>
      <c r="J66" s="330">
        <f t="shared" si="0"/>
        <v>1380</v>
      </c>
      <c r="K66" s="271">
        <f t="shared" si="11"/>
        <v>-23.200000000000045</v>
      </c>
      <c r="L66" s="271"/>
      <c r="M66" s="271">
        <f t="shared" si="12"/>
        <v>445.2</v>
      </c>
      <c r="N66" s="271">
        <f t="shared" si="13"/>
        <v>445.2</v>
      </c>
      <c r="O66" s="7">
        <f t="shared" si="14"/>
        <v>1825.2</v>
      </c>
      <c r="P66" s="336" t="s">
        <v>208</v>
      </c>
    </row>
    <row r="67" spans="1:18" x14ac:dyDescent="0.2">
      <c r="A67" s="254" t="s">
        <v>88</v>
      </c>
      <c r="B67" s="415">
        <v>58</v>
      </c>
      <c r="C67" s="26" t="s">
        <v>141</v>
      </c>
      <c r="D67" s="6">
        <f>SUMIF('PROG FORMACIÓN TITULADA'!$Q$8:$Q$1070,C67,'PROG FORMACIÓN TITULADA'!$R$8:$R$1070)</f>
        <v>0</v>
      </c>
      <c r="E67" s="6">
        <f>SUMIF('PROG FORM COMPLEM'!$G$9:$G$264,C67,'PROG FORM COMPLEM'!$K$9:$K$264)</f>
        <v>150</v>
      </c>
      <c r="F67" s="271">
        <f>SUMIF('OTRAS ACCIONES'!$B$12:$B$44,C67,'OTRAS ACCIONES'!$D$12:$D$44)</f>
        <v>1207</v>
      </c>
      <c r="G67" s="6">
        <f>SUMIF('OTRAS ACCIONES'!$B$46:$B$68,C67,'OTRAS ACCIONES'!$D$46:$D$68)</f>
        <v>0</v>
      </c>
      <c r="H67" s="6">
        <f>SUMIF('OTRAS ACCIONES'!$B$70:$B$82,C67,'OTRAS ACCIONES'!$D$70:$D$82)</f>
        <v>0</v>
      </c>
      <c r="I67" s="6">
        <f>SUMIF('OTRAS ACCIONES'!$B$84:$B$89,C67,'OTRAS ACCIONES'!$D$84:$D$89)</f>
        <v>0</v>
      </c>
      <c r="J67" s="330">
        <f t="shared" si="0"/>
        <v>1357</v>
      </c>
      <c r="K67" s="271">
        <f t="shared" si="11"/>
        <v>-0.20000000000004547</v>
      </c>
      <c r="L67" s="271"/>
      <c r="M67" s="271">
        <f t="shared" si="12"/>
        <v>445.2</v>
      </c>
      <c r="N67" s="271">
        <f t="shared" si="13"/>
        <v>445.2</v>
      </c>
      <c r="O67" s="7">
        <f t="shared" si="14"/>
        <v>1802.2</v>
      </c>
      <c r="P67" s="336" t="s">
        <v>339</v>
      </c>
    </row>
    <row r="68" spans="1:18" x14ac:dyDescent="0.2">
      <c r="A68" s="254" t="s">
        <v>88</v>
      </c>
      <c r="B68" s="328">
        <v>59</v>
      </c>
      <c r="C68" s="26" t="s">
        <v>181</v>
      </c>
      <c r="D68" s="6">
        <f>SUMIF('PROG FORMACIÓN TITULADA'!$Q$8:$Q$1070,C68,'PROG FORMACIÓN TITULADA'!$R$8:$R$1070)</f>
        <v>1057</v>
      </c>
      <c r="E68" s="6">
        <f>SUMIF('PROG FORM COMPLEM'!$G$9:$G$264,C68,'PROG FORM COMPLEM'!$K$9:$K$264)</f>
        <v>300</v>
      </c>
      <c r="F68" s="271">
        <f>SUMIF('OTRAS ACCIONES'!$B$12:$B$44,C68,'OTRAS ACCIONES'!$D$12:$D$44)</f>
        <v>0</v>
      </c>
      <c r="G68" s="6">
        <f>SUMIF('OTRAS ACCIONES'!$B$46:$B$68,C68,'OTRAS ACCIONES'!$D$46:$D$68)</f>
        <v>0</v>
      </c>
      <c r="H68" s="6">
        <f>SUMIF('OTRAS ACCIONES'!$B$70:$B$82,C68,'OTRAS ACCIONES'!$D$70:$D$82)</f>
        <v>0</v>
      </c>
      <c r="I68" s="6">
        <f>SUMIF('OTRAS ACCIONES'!$B$84:$B$89,C68,'OTRAS ACCIONES'!$D$84:$D$89)</f>
        <v>0</v>
      </c>
      <c r="J68" s="330">
        <f t="shared" si="0"/>
        <v>1357</v>
      </c>
      <c r="K68" s="271">
        <f t="shared" si="11"/>
        <v>-0.20000000000004547</v>
      </c>
      <c r="L68" s="271"/>
      <c r="M68" s="271">
        <f t="shared" si="12"/>
        <v>445.2</v>
      </c>
      <c r="N68" s="271">
        <f t="shared" si="13"/>
        <v>445.2</v>
      </c>
      <c r="O68" s="7">
        <f t="shared" si="14"/>
        <v>1802.2</v>
      </c>
      <c r="P68" s="336" t="s">
        <v>486</v>
      </c>
    </row>
    <row r="69" spans="1:18" x14ac:dyDescent="0.2">
      <c r="A69" s="254" t="s">
        <v>88</v>
      </c>
      <c r="B69" s="415">
        <v>60</v>
      </c>
      <c r="C69" s="26" t="s">
        <v>211</v>
      </c>
      <c r="D69" s="6">
        <f>SUMIF('PROG FORMACIÓN TITULADA'!$Q$8:$Q$1070,C69,'PROG FORMACIÓN TITULADA'!$R$8:$R$1070)</f>
        <v>0</v>
      </c>
      <c r="E69" s="6">
        <f>SUMIF('PROG FORM COMPLEM'!$G$9:$G$264,C69,'PROG FORM COMPLEM'!$K$9:$K$264)</f>
        <v>1380</v>
      </c>
      <c r="F69" s="271">
        <f>SUMIF('OTRAS ACCIONES'!$B$12:$B$44,C69,'OTRAS ACCIONES'!$D$12:$D$44)</f>
        <v>0</v>
      </c>
      <c r="G69" s="6">
        <f>SUMIF('OTRAS ACCIONES'!$B$46:$B$68,C69,'OTRAS ACCIONES'!$D$46:$D$68)</f>
        <v>0</v>
      </c>
      <c r="H69" s="6">
        <f>SUMIF('OTRAS ACCIONES'!$B$70:$B$82,C69,'OTRAS ACCIONES'!$D$70:$D$82)</f>
        <v>0</v>
      </c>
      <c r="I69" s="6">
        <f>SUMIF('OTRAS ACCIONES'!$B$84:$B$89,C69,'OTRAS ACCIONES'!$D$84:$D$89)</f>
        <v>0</v>
      </c>
      <c r="J69" s="330">
        <f t="shared" si="0"/>
        <v>1380</v>
      </c>
      <c r="K69" s="271">
        <f t="shared" si="11"/>
        <v>-23.200000000000045</v>
      </c>
      <c r="L69" s="271"/>
      <c r="M69" s="271">
        <f t="shared" si="12"/>
        <v>445.2</v>
      </c>
      <c r="N69" s="271">
        <f t="shared" si="13"/>
        <v>445.2</v>
      </c>
      <c r="O69" s="7">
        <f t="shared" si="14"/>
        <v>1825.2</v>
      </c>
      <c r="P69" s="336" t="s">
        <v>213</v>
      </c>
    </row>
    <row r="70" spans="1:18" x14ac:dyDescent="0.2">
      <c r="A70" s="254" t="s">
        <v>88</v>
      </c>
      <c r="B70" s="328">
        <v>61</v>
      </c>
      <c r="C70" s="26" t="s">
        <v>176</v>
      </c>
      <c r="D70" s="6">
        <f>SUMIF('PROG FORMACIÓN TITULADA'!$Q$8:$Q$1070,C70,'PROG FORMACIÓN TITULADA'!$R$8:$R$1070)</f>
        <v>0</v>
      </c>
      <c r="E70" s="6">
        <f>SUMIF('PROG FORM COMPLEM'!$G$9:$G$264,C70,'PROG FORM COMPLEM'!$K$9:$K$264)</f>
        <v>1360</v>
      </c>
      <c r="F70" s="271">
        <f>SUMIF('OTRAS ACCIONES'!$B$12:$B$44,C70,'OTRAS ACCIONES'!$D$12:$D$44)</f>
        <v>0</v>
      </c>
      <c r="G70" s="6">
        <f>SUMIF('OTRAS ACCIONES'!$B$46:$B$68,C70,'OTRAS ACCIONES'!$D$46:$D$68)</f>
        <v>0</v>
      </c>
      <c r="H70" s="6">
        <f>SUMIF('OTRAS ACCIONES'!$B$70:$B$82,C70,'OTRAS ACCIONES'!$D$70:$D$82)</f>
        <v>0</v>
      </c>
      <c r="I70" s="6">
        <f>SUMIF('OTRAS ACCIONES'!$B$84:$B$89,C70,'OTRAS ACCIONES'!$D$84:$D$89)</f>
        <v>0</v>
      </c>
      <c r="J70" s="330">
        <f t="shared" si="0"/>
        <v>1360</v>
      </c>
      <c r="K70" s="271">
        <f t="shared" si="11"/>
        <v>-3.2000000000000455</v>
      </c>
      <c r="L70" s="271"/>
      <c r="M70" s="271">
        <f t="shared" si="12"/>
        <v>445.2</v>
      </c>
      <c r="N70" s="271">
        <f t="shared" si="13"/>
        <v>445.2</v>
      </c>
      <c r="O70" s="7">
        <f t="shared" si="14"/>
        <v>1805.2</v>
      </c>
      <c r="P70" s="1" t="s">
        <v>485</v>
      </c>
    </row>
    <row r="71" spans="1:18" x14ac:dyDescent="0.2">
      <c r="A71" s="254" t="s">
        <v>88</v>
      </c>
      <c r="B71" s="415">
        <v>62</v>
      </c>
      <c r="C71" s="26" t="s">
        <v>152</v>
      </c>
      <c r="D71" s="6">
        <f>SUMIF('PROG FORMACIÓN TITULADA'!$Q$8:$Q$1070,C71,'PROG FORMACIÓN TITULADA'!$R$8:$R$1070)</f>
        <v>0</v>
      </c>
      <c r="E71" s="6">
        <f>SUMIF('PROG FORM COMPLEM'!$G$9:$G$264,C71,'PROG FORM COMPLEM'!$K$9:$K$264)</f>
        <v>1380</v>
      </c>
      <c r="F71" s="271">
        <f>SUMIF('OTRAS ACCIONES'!$B$12:$B$44,C71,'OTRAS ACCIONES'!$D$12:$D$44)</f>
        <v>0</v>
      </c>
      <c r="G71" s="6">
        <f>SUMIF('OTRAS ACCIONES'!$B$46:$B$68,C71,'OTRAS ACCIONES'!$D$46:$D$68)</f>
        <v>0</v>
      </c>
      <c r="H71" s="6">
        <f>SUMIF('OTRAS ACCIONES'!$B$70:$B$82,C71,'OTRAS ACCIONES'!$D$70:$D$82)</f>
        <v>0</v>
      </c>
      <c r="I71" s="6">
        <f>SUMIF('OTRAS ACCIONES'!$B$84:$B$89,C71,'OTRAS ACCIONES'!$D$84:$D$89)</f>
        <v>0</v>
      </c>
      <c r="J71" s="330">
        <f t="shared" si="0"/>
        <v>1380</v>
      </c>
      <c r="K71" s="271">
        <f t="shared" si="11"/>
        <v>-23.200000000000045</v>
      </c>
      <c r="L71" s="271"/>
      <c r="M71" s="271">
        <f t="shared" si="12"/>
        <v>445.2</v>
      </c>
      <c r="N71" s="271">
        <f t="shared" si="13"/>
        <v>445.2</v>
      </c>
      <c r="O71" s="7">
        <f t="shared" si="14"/>
        <v>1825.2</v>
      </c>
      <c r="P71" s="336" t="s">
        <v>865</v>
      </c>
    </row>
    <row r="72" spans="1:18" x14ac:dyDescent="0.2">
      <c r="A72" s="254" t="s">
        <v>88</v>
      </c>
      <c r="B72" s="328">
        <v>63</v>
      </c>
      <c r="C72" s="26" t="s">
        <v>149</v>
      </c>
      <c r="D72" s="6">
        <f>SUMIF('PROG FORMACIÓN TITULADA'!$Q$8:$Q$1070,C72,'PROG FORMACIÓN TITULADA'!$R$8:$R$1070)</f>
        <v>1060</v>
      </c>
      <c r="E72" s="6">
        <f>SUMIF('PROG FORM COMPLEM'!$G$9:$G$264,C72,'PROG FORM COMPLEM'!$K$9:$K$264)</f>
        <v>120</v>
      </c>
      <c r="F72" s="271">
        <f>SUMIF('OTRAS ACCIONES'!$B$12:$B$44,C72,'OTRAS ACCIONES'!$D$12:$D$44)</f>
        <v>163</v>
      </c>
      <c r="G72" s="6">
        <f>SUMIF('OTRAS ACCIONES'!$B$46:$B$68,C72,'OTRAS ACCIONES'!$D$46:$D$68)</f>
        <v>0</v>
      </c>
      <c r="H72" s="6">
        <f>SUMIF('OTRAS ACCIONES'!$B$70:$B$82,C72,'OTRAS ACCIONES'!$D$70:$D$82)</f>
        <v>0</v>
      </c>
      <c r="I72" s="6">
        <f>SUMIF('OTRAS ACCIONES'!$B$84:$B$89,C72,'OTRAS ACCIONES'!$D$84:$D$89)</f>
        <v>0</v>
      </c>
      <c r="J72" s="330">
        <f t="shared" si="0"/>
        <v>1343</v>
      </c>
      <c r="K72" s="271">
        <f t="shared" si="11"/>
        <v>13.799999999999955</v>
      </c>
      <c r="L72" s="271"/>
      <c r="M72" s="271">
        <f t="shared" si="12"/>
        <v>445.2</v>
      </c>
      <c r="N72" s="271">
        <f t="shared" si="13"/>
        <v>445.2</v>
      </c>
      <c r="O72" s="7">
        <f t="shared" si="14"/>
        <v>1788.2</v>
      </c>
      <c r="P72" s="336" t="s">
        <v>865</v>
      </c>
    </row>
    <row r="73" spans="1:18" x14ac:dyDescent="0.2">
      <c r="A73" s="254" t="s">
        <v>88</v>
      </c>
      <c r="B73" s="415">
        <v>64</v>
      </c>
      <c r="C73" s="26" t="s">
        <v>178</v>
      </c>
      <c r="D73" s="6">
        <f>SUMIF('PROG FORMACIÓN TITULADA'!$Q$8:$Q$1070,C73,'PROG FORMACIÓN TITULADA'!$R$8:$R$1070)</f>
        <v>905</v>
      </c>
      <c r="E73" s="6">
        <f>SUMIF('PROG FORM COMPLEM'!$G$9:$G$264,C73,'PROG FORM COMPLEM'!$K$9:$K$264)</f>
        <v>180</v>
      </c>
      <c r="F73" s="271">
        <f>SUMIF('OTRAS ACCIONES'!$B$12:$B$44,C73,'OTRAS ACCIONES'!$D$12:$D$44)</f>
        <v>245</v>
      </c>
      <c r="G73" s="6">
        <f>SUMIF('OTRAS ACCIONES'!$B$46:$B$68,C73,'OTRAS ACCIONES'!$D$46:$D$68)</f>
        <v>0</v>
      </c>
      <c r="H73" s="6">
        <f>SUMIF('OTRAS ACCIONES'!$B$70:$B$82,C73,'OTRAS ACCIONES'!$D$70:$D$82)</f>
        <v>0</v>
      </c>
      <c r="I73" s="6">
        <f>SUMIF('OTRAS ACCIONES'!$B$84:$B$89,C73,'OTRAS ACCIONES'!$D$84:$D$89)</f>
        <v>0</v>
      </c>
      <c r="J73" s="330">
        <f t="shared" si="0"/>
        <v>1330</v>
      </c>
      <c r="K73" s="271">
        <f t="shared" si="11"/>
        <v>26.799999999999955</v>
      </c>
      <c r="L73" s="271"/>
      <c r="M73" s="271">
        <f t="shared" si="12"/>
        <v>445.2</v>
      </c>
      <c r="N73" s="271">
        <f t="shared" si="13"/>
        <v>445.2</v>
      </c>
      <c r="O73" s="7">
        <f t="shared" si="14"/>
        <v>1775.2</v>
      </c>
      <c r="P73" s="336" t="s">
        <v>486</v>
      </c>
    </row>
    <row r="74" spans="1:18" x14ac:dyDescent="0.2">
      <c r="A74" s="254" t="s">
        <v>88</v>
      </c>
      <c r="B74" s="328">
        <v>65</v>
      </c>
      <c r="C74" s="26" t="s">
        <v>1011</v>
      </c>
      <c r="D74" s="6">
        <f>SUMIF('PROG FORMACIÓN TITULADA'!$Q$8:$Q$1070,C74,'PROG FORMACIÓN TITULADA'!$R$8:$R$1070)</f>
        <v>0</v>
      </c>
      <c r="E74" s="6">
        <f>SUMIF('PROG FORM COMPLEM'!$G$9:$G$264,C74,'PROG FORM COMPLEM'!$K$9:$K$264)</f>
        <v>0</v>
      </c>
      <c r="F74" s="271">
        <f>SUMIF('OTRAS ACCIONES'!$B$12:$B$44,C74,'OTRAS ACCIONES'!$D$12:$D$44)</f>
        <v>1357</v>
      </c>
      <c r="G74" s="6">
        <f>SUMIF('OTRAS ACCIONES'!$B$46:$B$68,C74,'OTRAS ACCIONES'!$D$46:$D$68)</f>
        <v>0</v>
      </c>
      <c r="H74" s="6">
        <f>SUMIF('OTRAS ACCIONES'!$B$70:$B$82,C74,'OTRAS ACCIONES'!$D$70:$D$82)</f>
        <v>0</v>
      </c>
      <c r="I74" s="6">
        <f>SUMIF('OTRAS ACCIONES'!$B$84:$B$89,C74,'OTRAS ACCIONES'!$D$84:$D$89)</f>
        <v>0</v>
      </c>
      <c r="J74" s="330">
        <f t="shared" ref="J74:J77" si="15">SUM(D74:I74)</f>
        <v>1357</v>
      </c>
      <c r="K74" s="271">
        <f t="shared" ref="K74" si="16">(42.5*$N$5/5)-M74-L74-J74</f>
        <v>-0.20000000000004547</v>
      </c>
      <c r="L74" s="271"/>
      <c r="M74" s="271">
        <f t="shared" ref="M74" si="17">(10.5*$N$5/5)-L74</f>
        <v>445.2</v>
      </c>
      <c r="N74" s="271">
        <f t="shared" ref="N74" si="18">SUM(L74:M74)</f>
        <v>445.2</v>
      </c>
      <c r="O74" s="7">
        <f t="shared" ref="O74" si="19">J74+N74</f>
        <v>1802.2</v>
      </c>
      <c r="P74" s="336" t="s">
        <v>339</v>
      </c>
    </row>
    <row r="75" spans="1:18" x14ac:dyDescent="0.2">
      <c r="A75" s="254" t="s">
        <v>88</v>
      </c>
      <c r="B75" s="415">
        <v>66</v>
      </c>
      <c r="C75" s="26" t="s">
        <v>1008</v>
      </c>
      <c r="D75" s="6">
        <f>SUMIF('PROG FORMACIÓN TITULADA'!$Q$8:$Q$1070,C75,'PROG FORMACIÓN TITULADA'!$R$8:$R$1070)</f>
        <v>0</v>
      </c>
      <c r="E75" s="6">
        <f>SUMIF('PROG FORM COMPLEM'!$G$9:$G$264,C75,'PROG FORM COMPLEM'!$K$9:$K$264)</f>
        <v>0</v>
      </c>
      <c r="F75" s="271">
        <f>SUMIF('OTRAS ACCIONES'!$B$12:$B$44,C75,'OTRAS ACCIONES'!$D$12:$D$44)</f>
        <v>1357</v>
      </c>
      <c r="G75" s="6">
        <f>SUMIF('OTRAS ACCIONES'!$B$46:$B$68,C75,'OTRAS ACCIONES'!$D$46:$D$68)</f>
        <v>0</v>
      </c>
      <c r="H75" s="6">
        <f>SUMIF('OTRAS ACCIONES'!$B$70:$B$82,C75,'OTRAS ACCIONES'!$D$70:$D$82)</f>
        <v>0</v>
      </c>
      <c r="I75" s="6">
        <f>SUMIF('OTRAS ACCIONES'!$B$84:$B$89,C75,'OTRAS ACCIONES'!$D$84:$D$89)</f>
        <v>0</v>
      </c>
      <c r="J75" s="330">
        <f t="shared" si="15"/>
        <v>1357</v>
      </c>
      <c r="K75" s="271">
        <f t="shared" si="11"/>
        <v>-0.20000000000004547</v>
      </c>
      <c r="L75" s="271"/>
      <c r="M75" s="271">
        <f t="shared" si="12"/>
        <v>445.2</v>
      </c>
      <c r="N75" s="271">
        <f t="shared" si="13"/>
        <v>445.2</v>
      </c>
      <c r="O75" s="7">
        <f t="shared" si="14"/>
        <v>1802.2</v>
      </c>
      <c r="P75" s="336" t="s">
        <v>208</v>
      </c>
    </row>
    <row r="76" spans="1:18" x14ac:dyDescent="0.2">
      <c r="A76" s="254" t="s">
        <v>88</v>
      </c>
      <c r="B76" s="328">
        <v>67</v>
      </c>
      <c r="C76" s="26" t="s">
        <v>138</v>
      </c>
      <c r="D76" s="6">
        <f>SUMIF('PROG FORMACIÓN TITULADA'!$Q$8:$Q$1070,C76,'PROG FORMACIÓN TITULADA'!$R$8:$R$1070)</f>
        <v>0</v>
      </c>
      <c r="E76" s="6">
        <f>SUMIF('PROG FORM COMPLEM'!$G$9:$G$264,C76,'PROG FORM COMPLEM'!$K$9:$K$264)</f>
        <v>0</v>
      </c>
      <c r="F76" s="271">
        <f>SUMIF('OTRAS ACCIONES'!$B$12:$B$44,C76,'OTRAS ACCIONES'!$D$12:$D$44)</f>
        <v>1357</v>
      </c>
      <c r="G76" s="6">
        <f>SUMIF('OTRAS ACCIONES'!$B$46:$B$68,C76,'OTRAS ACCIONES'!$D$46:$D$68)</f>
        <v>0</v>
      </c>
      <c r="H76" s="6">
        <f>SUMIF('OTRAS ACCIONES'!$B$70:$B$82,C76,'OTRAS ACCIONES'!$D$70:$D$82)</f>
        <v>0</v>
      </c>
      <c r="I76" s="6">
        <f>SUMIF('OTRAS ACCIONES'!$B$84:$B$89,C76,'OTRAS ACCIONES'!$D$84:$D$89)</f>
        <v>0</v>
      </c>
      <c r="J76" s="330">
        <f t="shared" si="15"/>
        <v>1357</v>
      </c>
      <c r="K76" s="271">
        <f t="shared" si="11"/>
        <v>-0.20000000000004547</v>
      </c>
      <c r="L76" s="271"/>
      <c r="M76" s="271">
        <f t="shared" si="12"/>
        <v>445.2</v>
      </c>
      <c r="N76" s="271">
        <f t="shared" si="13"/>
        <v>445.2</v>
      </c>
      <c r="O76" s="7">
        <f t="shared" si="14"/>
        <v>1802.2</v>
      </c>
      <c r="P76" s="336" t="s">
        <v>484</v>
      </c>
    </row>
    <row r="77" spans="1:18" x14ac:dyDescent="0.2">
      <c r="A77" s="254" t="s">
        <v>88</v>
      </c>
      <c r="B77" s="415">
        <v>68</v>
      </c>
      <c r="C77" s="26" t="s">
        <v>236</v>
      </c>
      <c r="D77" s="6">
        <f>SUMIF('PROG FORMACIÓN TITULADA'!$Q$8:$Q$1070,C77,'PROG FORMACIÓN TITULADA'!$R$8:$R$1070)</f>
        <v>0</v>
      </c>
      <c r="E77" s="6">
        <f>SUMIF('PROG FORM COMPLEM'!$G$9:$G$264,C77,'PROG FORM COMPLEM'!$K$9:$K$264)</f>
        <v>1360</v>
      </c>
      <c r="F77" s="271">
        <f>SUMIF('OTRAS ACCIONES'!$B$12:$B$44,C77,'OTRAS ACCIONES'!$D$12:$D$44)</f>
        <v>0</v>
      </c>
      <c r="G77" s="6">
        <f>SUMIF('OTRAS ACCIONES'!$B$46:$B$68,C77,'OTRAS ACCIONES'!$D$46:$D$68)</f>
        <v>0</v>
      </c>
      <c r="H77" s="6">
        <f>SUMIF('OTRAS ACCIONES'!$B$70:$B$82,C77,'OTRAS ACCIONES'!$D$70:$D$82)</f>
        <v>0</v>
      </c>
      <c r="I77" s="6">
        <f>SUMIF('OTRAS ACCIONES'!$B$84:$B$89,C77,'OTRAS ACCIONES'!$D$84:$D$89)</f>
        <v>0</v>
      </c>
      <c r="J77" s="330">
        <f t="shared" si="15"/>
        <v>1360</v>
      </c>
      <c r="K77" s="271">
        <f t="shared" si="11"/>
        <v>-3.2000000000000455</v>
      </c>
      <c r="L77" s="271"/>
      <c r="M77" s="271">
        <f t="shared" si="12"/>
        <v>445.2</v>
      </c>
      <c r="N77" s="271">
        <f t="shared" si="13"/>
        <v>445.2</v>
      </c>
      <c r="O77" s="7">
        <f t="shared" si="14"/>
        <v>1805.2</v>
      </c>
      <c r="P77" s="336" t="s">
        <v>213</v>
      </c>
    </row>
    <row r="78" spans="1:18" x14ac:dyDescent="0.2">
      <c r="A78" s="253"/>
      <c r="B78" s="351"/>
      <c r="C78" s="351"/>
      <c r="D78" s="30"/>
      <c r="E78" s="351"/>
      <c r="F78" s="351"/>
      <c r="G78" s="30"/>
      <c r="H78" s="351"/>
      <c r="I78" s="351"/>
      <c r="J78" s="331"/>
      <c r="K78" s="331"/>
      <c r="L78" s="351"/>
      <c r="M78" s="351"/>
      <c r="N78" s="331"/>
      <c r="O78" s="351"/>
      <c r="P78" s="11"/>
      <c r="Q78" s="71"/>
      <c r="R78" s="71"/>
    </row>
    <row r="79" spans="1:18" x14ac:dyDescent="0.2">
      <c r="B79" s="265"/>
      <c r="C79" s="40"/>
      <c r="D79" s="50">
        <f t="shared" ref="D79:M79" si="20">SUM(D10:D78)</f>
        <v>31840.599999999995</v>
      </c>
      <c r="E79" s="50">
        <f t="shared" si="20"/>
        <v>35850</v>
      </c>
      <c r="F79" s="50">
        <f t="shared" si="20"/>
        <v>19064</v>
      </c>
      <c r="G79" s="50">
        <f t="shared" si="20"/>
        <v>1790</v>
      </c>
      <c r="H79" s="50">
        <f t="shared" si="20"/>
        <v>3781</v>
      </c>
      <c r="I79" s="50">
        <f t="shared" si="20"/>
        <v>0</v>
      </c>
      <c r="J79" s="50">
        <f t="shared" si="20"/>
        <v>92325.6</v>
      </c>
      <c r="K79" s="50">
        <f t="shared" si="20"/>
        <v>-63.200000000002774</v>
      </c>
      <c r="L79" s="50">
        <f t="shared" si="20"/>
        <v>0</v>
      </c>
      <c r="M79" s="50">
        <f t="shared" si="20"/>
        <v>30273.600000000031</v>
      </c>
      <c r="N79" s="7">
        <f>SUM(N10:N35)</f>
        <v>11575.200000000003</v>
      </c>
      <c r="O79" s="7">
        <f>SUM(O10:O78)</f>
        <v>122599.19999999988</v>
      </c>
      <c r="P79" s="1"/>
    </row>
    <row r="80" spans="1:18" s="403" customFormat="1" x14ac:dyDescent="0.2">
      <c r="A80" s="402"/>
      <c r="B80" s="410"/>
      <c r="C80" s="259"/>
      <c r="D80" s="346"/>
      <c r="E80" s="404"/>
      <c r="F80" s="404"/>
      <c r="G80" s="404"/>
      <c r="H80" s="404"/>
      <c r="I80" s="404"/>
      <c r="J80" s="404"/>
      <c r="K80" s="404"/>
      <c r="L80" s="404"/>
      <c r="M80" s="404"/>
      <c r="N80" s="404"/>
      <c r="O80" s="405"/>
    </row>
    <row r="81" spans="1:18" x14ac:dyDescent="0.2">
      <c r="A81" s="274" t="s">
        <v>89</v>
      </c>
      <c r="B81" s="352">
        <v>1</v>
      </c>
      <c r="C81" s="6" t="s">
        <v>201</v>
      </c>
      <c r="D81" s="6">
        <f>SUMIF('PROG FORMACIÓN TITULADA'!$Q$8:$Q$1070,C81,'PROG FORMACIÓN TITULADA'!$R$8:$R$1070)</f>
        <v>1691</v>
      </c>
      <c r="E81" s="6">
        <f>SUMIF('PROG FORM COMPLEM'!$G$9:$G$264,C81,'PROG FORM COMPLEM'!$K$9:$K$264)</f>
        <v>0</v>
      </c>
      <c r="F81" s="6">
        <f>SUMIF('OTRAS ACCIONES'!$B$12:$B$44,C81,'OTRAS ACCIONES'!$D$12:$D$44)</f>
        <v>0</v>
      </c>
      <c r="G81" s="6">
        <f>SUMIF('OTRAS ACCIONES'!$B$46:$B$68,C81,'OTRAS ACCIONES'!$D$46:$D$68)</f>
        <v>0</v>
      </c>
      <c r="H81" s="6">
        <f>SUMIF('OTRAS ACCIONES'!$B$70:$B$82,C81,'OTRAS ACCIONES'!$D$70:$D$82)</f>
        <v>0</v>
      </c>
      <c r="I81" s="6">
        <f>SUMIF('OTRAS ACCIONES'!$B$84:$B$89,C81,'OTRAS ACCIONES'!$D$84:$D$89)</f>
        <v>0</v>
      </c>
      <c r="J81" s="6">
        <f t="shared" ref="J81" si="21">SUM(D81:I81)</f>
        <v>1691</v>
      </c>
      <c r="K81" s="19">
        <f t="shared" ref="K81" si="22">($N$5*40/5)-J81</f>
        <v>5</v>
      </c>
      <c r="L81" s="6"/>
      <c r="M81" s="271"/>
      <c r="N81" s="271">
        <f t="shared" ref="N81" si="23">SUM(L81:M81)</f>
        <v>0</v>
      </c>
      <c r="O81" s="7">
        <f t="shared" ref="O81" si="24">J81+N81</f>
        <v>1691</v>
      </c>
      <c r="P81" s="1" t="s">
        <v>208</v>
      </c>
      <c r="R81" s="4"/>
    </row>
    <row r="82" spans="1:18" x14ac:dyDescent="0.2">
      <c r="A82" s="274" t="s">
        <v>89</v>
      </c>
      <c r="B82" s="265">
        <v>2</v>
      </c>
      <c r="C82" s="273" t="s">
        <v>895</v>
      </c>
      <c r="D82" s="6">
        <f>SUMIF('PROG FORMACIÓN TITULADA'!$Q$8:$Q$1070,C82,'PROG FORMACIÓN TITULADA'!$R$8:$R$1070)</f>
        <v>876</v>
      </c>
      <c r="E82" s="6">
        <f>SUMIF('PROG FORM COMPLEM'!$G$9:$G$264,C82,'PROG FORM COMPLEM'!$K$9:$K$264)</f>
        <v>0</v>
      </c>
      <c r="F82" s="6">
        <f>SUMIF('OTRAS ACCIONES'!$B$12:$B$44,C82,'OTRAS ACCIONES'!$D$12:$D$44)</f>
        <v>0</v>
      </c>
      <c r="G82" s="6">
        <f>SUMIF('OTRAS ACCIONES'!$B$46:$B$68,C82,'OTRAS ACCIONES'!$D$46:$D$68)</f>
        <v>0</v>
      </c>
      <c r="H82" s="6">
        <f>SUMIF('OTRAS ACCIONES'!$B$70:$B$82,C82,'OTRAS ACCIONES'!$D$70:$D$82)</f>
        <v>0</v>
      </c>
      <c r="I82" s="6">
        <f>SUMIF('OTRAS ACCIONES'!$B$84:$B$89,C82,'OTRAS ACCIONES'!$D$84:$D$89)</f>
        <v>0</v>
      </c>
      <c r="J82" s="6">
        <f t="shared" ref="J82:J145" si="25">SUM(D82:I82)</f>
        <v>876</v>
      </c>
      <c r="K82" s="19">
        <f t="shared" ref="K82:K145" si="26">($N$5*40/5)-J82</f>
        <v>820</v>
      </c>
      <c r="L82" s="6"/>
      <c r="M82" s="271"/>
      <c r="N82" s="271">
        <f t="shared" ref="N82:N145" si="27">SUM(L82:M82)</f>
        <v>0</v>
      </c>
      <c r="O82" s="7">
        <f t="shared" ref="O82:O145" si="28">J82+N82</f>
        <v>876</v>
      </c>
      <c r="P82" s="1" t="s">
        <v>208</v>
      </c>
      <c r="R82" s="4"/>
    </row>
    <row r="83" spans="1:18" x14ac:dyDescent="0.2">
      <c r="A83" s="274" t="s">
        <v>89</v>
      </c>
      <c r="B83" s="422">
        <v>3</v>
      </c>
      <c r="C83" s="275" t="s">
        <v>238</v>
      </c>
      <c r="D83" s="6">
        <f>SUMIF('PROG FORMACIÓN TITULADA'!$Q$8:$Q$1070,C83,'PROG FORMACIÓN TITULADA'!$R$8:$R$1070)</f>
        <v>1076</v>
      </c>
      <c r="E83" s="6">
        <f>SUMIF('PROG FORM COMPLEM'!$G$9:$G$264,C83,'PROG FORM COMPLEM'!$K$9:$K$264)</f>
        <v>0</v>
      </c>
      <c r="F83" s="6">
        <f>SUMIF('OTRAS ACCIONES'!$B$12:$B$44,C83,'OTRAS ACCIONES'!$D$12:$D$44)</f>
        <v>0</v>
      </c>
      <c r="G83" s="6">
        <f>SUMIF('OTRAS ACCIONES'!$B$46:$B$68,C83,'OTRAS ACCIONES'!$D$46:$D$68)</f>
        <v>0</v>
      </c>
      <c r="H83" s="6">
        <f>SUMIF('OTRAS ACCIONES'!$B$70:$B$82,C83,'OTRAS ACCIONES'!$D$70:$D$82)</f>
        <v>0</v>
      </c>
      <c r="I83" s="6">
        <f>SUMIF('OTRAS ACCIONES'!$B$84:$B$89,C83,'OTRAS ACCIONES'!$D$84:$D$89)</f>
        <v>0</v>
      </c>
      <c r="J83" s="6">
        <f t="shared" si="25"/>
        <v>1076</v>
      </c>
      <c r="K83" s="19">
        <f t="shared" si="26"/>
        <v>620</v>
      </c>
      <c r="L83" s="6"/>
      <c r="M83" s="271"/>
      <c r="N83" s="271">
        <f t="shared" si="27"/>
        <v>0</v>
      </c>
      <c r="O83" s="7">
        <f t="shared" si="28"/>
        <v>1076</v>
      </c>
      <c r="P83" s="1" t="s">
        <v>484</v>
      </c>
      <c r="R83" s="4"/>
    </row>
    <row r="84" spans="1:18" x14ac:dyDescent="0.2">
      <c r="A84" s="274" t="s">
        <v>89</v>
      </c>
      <c r="B84" s="422">
        <v>4</v>
      </c>
      <c r="C84" s="220" t="s">
        <v>927</v>
      </c>
      <c r="D84" s="6">
        <f>SUMIF('PROG FORMACIÓN TITULADA'!$Q$8:$Q$1070,C84,'PROG FORMACIÓN TITULADA'!$R$8:$R$1070)</f>
        <v>696</v>
      </c>
      <c r="E84" s="6">
        <f>SUMIF('PROG FORM COMPLEM'!$G$9:$G$264,C84,'PROG FORM COMPLEM'!$K$9:$K$264)</f>
        <v>1000</v>
      </c>
      <c r="F84" s="6">
        <f>SUMIF('OTRAS ACCIONES'!$B$12:$B$44,C84,'OTRAS ACCIONES'!$D$12:$D$44)</f>
        <v>0</v>
      </c>
      <c r="G84" s="6">
        <f>SUMIF('OTRAS ACCIONES'!$B$46:$B$68,C84,'OTRAS ACCIONES'!$D$46:$D$68)</f>
        <v>0</v>
      </c>
      <c r="H84" s="6">
        <f>SUMIF('OTRAS ACCIONES'!$B$70:$B$82,C84,'OTRAS ACCIONES'!$D$70:$D$82)</f>
        <v>0</v>
      </c>
      <c r="I84" s="6">
        <f>SUMIF('OTRAS ACCIONES'!$B$84:$B$89,C84,'OTRAS ACCIONES'!$D$84:$D$89)</f>
        <v>0</v>
      </c>
      <c r="J84" s="6">
        <f t="shared" si="25"/>
        <v>1696</v>
      </c>
      <c r="K84" s="19">
        <f t="shared" si="26"/>
        <v>0</v>
      </c>
      <c r="L84" s="6"/>
      <c r="M84" s="271"/>
      <c r="N84" s="271">
        <f t="shared" si="27"/>
        <v>0</v>
      </c>
      <c r="O84" s="7">
        <f t="shared" si="28"/>
        <v>1696</v>
      </c>
      <c r="P84" s="1" t="s">
        <v>865</v>
      </c>
      <c r="R84" s="4"/>
    </row>
    <row r="85" spans="1:18" x14ac:dyDescent="0.2">
      <c r="A85" s="274" t="s">
        <v>89</v>
      </c>
      <c r="B85" s="422">
        <v>5</v>
      </c>
      <c r="C85" s="6" t="s">
        <v>239</v>
      </c>
      <c r="D85" s="6">
        <f>SUMIF('PROG FORMACIÓN TITULADA'!$Q$8:$Q$1070,C85,'PROG FORMACIÓN TITULADA'!$R$8:$R$1070)</f>
        <v>0</v>
      </c>
      <c r="E85" s="6">
        <f>SUMIF('PROG FORM COMPLEM'!$G$9:$G$264,C85,'PROG FORM COMPLEM'!$K$9:$K$264)</f>
        <v>1680</v>
      </c>
      <c r="F85" s="6">
        <f>SUMIF('OTRAS ACCIONES'!$B$12:$B$44,C85,'OTRAS ACCIONES'!$D$12:$D$44)</f>
        <v>0</v>
      </c>
      <c r="G85" s="6">
        <f>SUMIF('OTRAS ACCIONES'!$B$46:$B$68,C85,'OTRAS ACCIONES'!$D$46:$D$68)</f>
        <v>0</v>
      </c>
      <c r="H85" s="6">
        <f>SUMIF('OTRAS ACCIONES'!$B$70:$B$82,C85,'OTRAS ACCIONES'!$D$70:$D$82)</f>
        <v>0</v>
      </c>
      <c r="I85" s="6">
        <f>SUMIF('OTRAS ACCIONES'!$B$84:$B$89,C85,'OTRAS ACCIONES'!$D$84:$D$89)</f>
        <v>0</v>
      </c>
      <c r="J85" s="6">
        <f t="shared" si="25"/>
        <v>1680</v>
      </c>
      <c r="K85" s="19">
        <f t="shared" si="26"/>
        <v>16</v>
      </c>
      <c r="L85" s="6"/>
      <c r="M85" s="271"/>
      <c r="N85" s="271">
        <f t="shared" si="27"/>
        <v>0</v>
      </c>
      <c r="O85" s="7">
        <f t="shared" si="28"/>
        <v>1680</v>
      </c>
      <c r="P85" s="1" t="s">
        <v>456</v>
      </c>
      <c r="R85" s="4"/>
    </row>
    <row r="86" spans="1:18" x14ac:dyDescent="0.2">
      <c r="A86" s="274" t="s">
        <v>89</v>
      </c>
      <c r="B86" s="422">
        <v>6</v>
      </c>
      <c r="C86" s="6" t="s">
        <v>240</v>
      </c>
      <c r="D86" s="6">
        <f>SUMIF('PROG FORMACIÓN TITULADA'!$Q$8:$Q$1070,C86,'PROG FORMACIÓN TITULADA'!$R$8:$R$1070)</f>
        <v>0</v>
      </c>
      <c r="E86" s="6">
        <f>SUMIF('PROG FORM COMPLEM'!$G$9:$G$264,C86,'PROG FORM COMPLEM'!$K$9:$K$264)</f>
        <v>0</v>
      </c>
      <c r="F86" s="6">
        <f>SUMIF('OTRAS ACCIONES'!$B$12:$B$44,C86,'OTRAS ACCIONES'!$D$12:$D$44)</f>
        <v>0</v>
      </c>
      <c r="G86" s="6">
        <f>SUMIF('OTRAS ACCIONES'!$B$46:$B$68,C86,'OTRAS ACCIONES'!$D$46:$D$68)</f>
        <v>1696</v>
      </c>
      <c r="H86" s="6">
        <f>SUMIF('OTRAS ACCIONES'!$B$70:$B$82,C86,'OTRAS ACCIONES'!$D$70:$D$82)</f>
        <v>0</v>
      </c>
      <c r="I86" s="6">
        <f>SUMIF('OTRAS ACCIONES'!$B$84:$B$89,C86,'OTRAS ACCIONES'!$D$84:$D$89)</f>
        <v>0</v>
      </c>
      <c r="J86" s="6">
        <f t="shared" si="25"/>
        <v>1696</v>
      </c>
      <c r="K86" s="19">
        <f t="shared" si="26"/>
        <v>0</v>
      </c>
      <c r="L86" s="6"/>
      <c r="M86" s="271"/>
      <c r="N86" s="271">
        <f t="shared" si="27"/>
        <v>0</v>
      </c>
      <c r="O86" s="7">
        <f t="shared" si="28"/>
        <v>1696</v>
      </c>
      <c r="P86" s="1" t="s">
        <v>866</v>
      </c>
      <c r="R86" s="4"/>
    </row>
    <row r="87" spans="1:18" x14ac:dyDescent="0.2">
      <c r="A87" s="274" t="s">
        <v>89</v>
      </c>
      <c r="B87" s="422">
        <v>7</v>
      </c>
      <c r="C87" s="6" t="s">
        <v>589</v>
      </c>
      <c r="D87" s="6">
        <f>SUMIF('PROG FORMACIÓN TITULADA'!$Q$8:$Q$1070,C87,'PROG FORMACIÓN TITULADA'!$R$8:$R$1070)</f>
        <v>0</v>
      </c>
      <c r="E87" s="6">
        <f>SUMIF('PROG FORM COMPLEM'!$G$9:$G$264,C87,'PROG FORM COMPLEM'!$K$9:$K$264)</f>
        <v>0</v>
      </c>
      <c r="F87" s="6">
        <f>SUMIF('OTRAS ACCIONES'!$B$12:$B$44,C87,'OTRAS ACCIONES'!$D$12:$D$44)</f>
        <v>0</v>
      </c>
      <c r="G87" s="6">
        <f>SUMIF('OTRAS ACCIONES'!$B$46:$B$68,C87,'OTRAS ACCIONES'!$D$46:$D$68)</f>
        <v>1272</v>
      </c>
      <c r="H87" s="6">
        <f>SUMIF('OTRAS ACCIONES'!$B$70:$B$82,C87,'OTRAS ACCIONES'!$D$70:$D$82)</f>
        <v>0</v>
      </c>
      <c r="I87" s="6">
        <f>SUMIF('OTRAS ACCIONES'!$B$84:$B$89,C87,'OTRAS ACCIONES'!$D$84:$D$89)</f>
        <v>0</v>
      </c>
      <c r="J87" s="6">
        <f t="shared" si="25"/>
        <v>1272</v>
      </c>
      <c r="K87" s="19">
        <f t="shared" si="26"/>
        <v>424</v>
      </c>
      <c r="L87" s="6"/>
      <c r="M87" s="271"/>
      <c r="N87" s="271">
        <f t="shared" si="27"/>
        <v>0</v>
      </c>
      <c r="O87" s="7">
        <f t="shared" si="28"/>
        <v>1272</v>
      </c>
      <c r="P87" s="1" t="s">
        <v>866</v>
      </c>
      <c r="R87" s="4"/>
    </row>
    <row r="88" spans="1:18" x14ac:dyDescent="0.2">
      <c r="A88" s="274" t="s">
        <v>89</v>
      </c>
      <c r="B88" s="422">
        <v>8</v>
      </c>
      <c r="C88" s="220" t="s">
        <v>884</v>
      </c>
      <c r="D88" s="6">
        <f>SUMIF('PROG FORMACIÓN TITULADA'!$Q$8:$Q$1070,C88,'PROG FORMACIÓN TITULADA'!$R$8:$R$1070)</f>
        <v>1572</v>
      </c>
      <c r="E88" s="6">
        <f>SUMIF('PROG FORM COMPLEM'!$G$9:$G$264,C88,'PROG FORM COMPLEM'!$K$9:$K$264)</f>
        <v>0</v>
      </c>
      <c r="F88" s="6">
        <f>SUMIF('OTRAS ACCIONES'!$B$12:$B$44,C88,'OTRAS ACCIONES'!$D$12:$D$44)</f>
        <v>0</v>
      </c>
      <c r="G88" s="6">
        <f>SUMIF('OTRAS ACCIONES'!$B$46:$B$68,C88,'OTRAS ACCIONES'!$D$46:$D$68)</f>
        <v>0</v>
      </c>
      <c r="H88" s="6">
        <f>SUMIF('OTRAS ACCIONES'!$B$70:$B$82,C88,'OTRAS ACCIONES'!$D$70:$D$82)</f>
        <v>0</v>
      </c>
      <c r="I88" s="6">
        <f>SUMIF('OTRAS ACCIONES'!$B$84:$B$89,C88,'OTRAS ACCIONES'!$D$84:$D$89)</f>
        <v>0</v>
      </c>
      <c r="J88" s="6">
        <f t="shared" si="25"/>
        <v>1572</v>
      </c>
      <c r="K88" s="19">
        <f t="shared" si="26"/>
        <v>124</v>
      </c>
      <c r="L88" s="6"/>
      <c r="M88" s="271"/>
      <c r="N88" s="271">
        <f t="shared" si="27"/>
        <v>0</v>
      </c>
      <c r="O88" s="7">
        <f t="shared" si="28"/>
        <v>1572</v>
      </c>
      <c r="P88" s="1" t="s">
        <v>208</v>
      </c>
      <c r="R88" s="4"/>
    </row>
    <row r="89" spans="1:18" x14ac:dyDescent="0.2">
      <c r="A89" s="274" t="s">
        <v>89</v>
      </c>
      <c r="B89" s="422">
        <v>9</v>
      </c>
      <c r="C89" s="220" t="s">
        <v>919</v>
      </c>
      <c r="D89" s="6">
        <f>SUMIF('PROG FORMACIÓN TITULADA'!$Q$8:$Q$1070,C89,'PROG FORMACIÓN TITULADA'!$R$8:$R$1070)</f>
        <v>1020</v>
      </c>
      <c r="E89" s="6">
        <f>SUMIF('PROG FORM COMPLEM'!$G$9:$G$264,C89,'PROG FORM COMPLEM'!$K$9:$K$264)</f>
        <v>0</v>
      </c>
      <c r="F89" s="6">
        <f>SUMIF('OTRAS ACCIONES'!$B$12:$B$44,C89,'OTRAS ACCIONES'!$D$12:$D$44)</f>
        <v>0</v>
      </c>
      <c r="G89" s="6">
        <f>SUMIF('OTRAS ACCIONES'!$B$46:$B$68,C89,'OTRAS ACCIONES'!$D$46:$D$68)</f>
        <v>0</v>
      </c>
      <c r="H89" s="6">
        <f>SUMIF('OTRAS ACCIONES'!$B$70:$B$82,C89,'OTRAS ACCIONES'!$D$70:$D$82)</f>
        <v>0</v>
      </c>
      <c r="I89" s="6">
        <f>SUMIF('OTRAS ACCIONES'!$B$84:$B$89,C89,'OTRAS ACCIONES'!$D$84:$D$89)</f>
        <v>0</v>
      </c>
      <c r="J89" s="6">
        <f t="shared" si="25"/>
        <v>1020</v>
      </c>
      <c r="K89" s="19">
        <f t="shared" si="26"/>
        <v>676</v>
      </c>
      <c r="L89" s="6"/>
      <c r="M89" s="271"/>
      <c r="N89" s="271">
        <f t="shared" si="27"/>
        <v>0</v>
      </c>
      <c r="O89" s="7">
        <f t="shared" si="28"/>
        <v>1020</v>
      </c>
      <c r="P89" s="1" t="s">
        <v>456</v>
      </c>
      <c r="R89" s="4"/>
    </row>
    <row r="90" spans="1:18" x14ac:dyDescent="0.2">
      <c r="A90" s="274" t="s">
        <v>89</v>
      </c>
      <c r="B90" s="422">
        <v>10</v>
      </c>
      <c r="C90" s="220" t="s">
        <v>625</v>
      </c>
      <c r="D90" s="6">
        <f>SUMIF('PROG FORMACIÓN TITULADA'!$Q$8:$Q$1070,C90,'PROG FORMACIÓN TITULADA'!$R$8:$R$1070)</f>
        <v>0</v>
      </c>
      <c r="E90" s="6">
        <f>SUMIF('PROG FORM COMPLEM'!$G$9:$G$264,C90,'PROG FORM COMPLEM'!$K$9:$K$264)</f>
        <v>1688</v>
      </c>
      <c r="F90" s="6">
        <f>SUMIF('OTRAS ACCIONES'!$B$12:$B$44,C90,'OTRAS ACCIONES'!$D$12:$D$44)</f>
        <v>0</v>
      </c>
      <c r="G90" s="6">
        <f>SUMIF('OTRAS ACCIONES'!$B$46:$B$68,C90,'OTRAS ACCIONES'!$D$46:$D$68)</f>
        <v>0</v>
      </c>
      <c r="H90" s="6">
        <f>SUMIF('OTRAS ACCIONES'!$B$70:$B$82,C90,'OTRAS ACCIONES'!$D$70:$D$82)</f>
        <v>0</v>
      </c>
      <c r="I90" s="6">
        <f>SUMIF('OTRAS ACCIONES'!$B$84:$B$89,C90,'OTRAS ACCIONES'!$D$84:$D$89)</f>
        <v>0</v>
      </c>
      <c r="J90" s="6">
        <f t="shared" si="25"/>
        <v>1688</v>
      </c>
      <c r="K90" s="19">
        <f t="shared" si="26"/>
        <v>8</v>
      </c>
      <c r="L90" s="6"/>
      <c r="M90" s="271"/>
      <c r="N90" s="271">
        <f t="shared" si="27"/>
        <v>0</v>
      </c>
      <c r="O90" s="7">
        <f t="shared" si="28"/>
        <v>1688</v>
      </c>
      <c r="P90" s="1" t="s">
        <v>622</v>
      </c>
      <c r="R90" s="4"/>
    </row>
    <row r="91" spans="1:18" x14ac:dyDescent="0.2">
      <c r="A91" s="274" t="s">
        <v>89</v>
      </c>
      <c r="B91" s="422">
        <v>11</v>
      </c>
      <c r="C91" s="6" t="s">
        <v>241</v>
      </c>
      <c r="D91" s="6">
        <f>SUMIF('PROG FORMACIÓN TITULADA'!$Q$8:$Q$1070,C91,'PROG FORMACIÓN TITULADA'!$R$8:$R$1070)</f>
        <v>0</v>
      </c>
      <c r="E91" s="6">
        <f>SUMIF('PROG FORM COMPLEM'!$G$9:$G$264,C91,'PROG FORM COMPLEM'!$K$9:$K$264)</f>
        <v>1680</v>
      </c>
      <c r="F91" s="6">
        <f>SUMIF('OTRAS ACCIONES'!$B$12:$B$44,C91,'OTRAS ACCIONES'!$D$12:$D$44)</f>
        <v>0</v>
      </c>
      <c r="G91" s="6">
        <f>SUMIF('OTRAS ACCIONES'!$B$46:$B$68,C91,'OTRAS ACCIONES'!$D$46:$D$68)</f>
        <v>0</v>
      </c>
      <c r="H91" s="6">
        <f>SUMIF('OTRAS ACCIONES'!$B$70:$B$82,C91,'OTRAS ACCIONES'!$D$70:$D$82)</f>
        <v>0</v>
      </c>
      <c r="I91" s="6">
        <f>SUMIF('OTRAS ACCIONES'!$B$84:$B$89,C91,'OTRAS ACCIONES'!$D$84:$D$89)</f>
        <v>0</v>
      </c>
      <c r="J91" s="6">
        <f t="shared" si="25"/>
        <v>1680</v>
      </c>
      <c r="K91" s="19">
        <f t="shared" si="26"/>
        <v>16</v>
      </c>
      <c r="L91" s="6"/>
      <c r="M91" s="271"/>
      <c r="N91" s="271">
        <f t="shared" si="27"/>
        <v>0</v>
      </c>
      <c r="O91" s="7">
        <f t="shared" si="28"/>
        <v>1680</v>
      </c>
      <c r="P91" s="1" t="s">
        <v>456</v>
      </c>
      <c r="R91" s="4"/>
    </row>
    <row r="92" spans="1:18" x14ac:dyDescent="0.2">
      <c r="A92" s="274" t="s">
        <v>89</v>
      </c>
      <c r="B92" s="422">
        <v>12</v>
      </c>
      <c r="C92" s="6" t="s">
        <v>242</v>
      </c>
      <c r="D92" s="6">
        <f>SUMIF('PROG FORMACIÓN TITULADA'!$Q$8:$Q$1070,C92,'PROG FORMACIÓN TITULADA'!$R$8:$R$1070)</f>
        <v>1464</v>
      </c>
      <c r="E92" s="6">
        <f>SUMIF('PROG FORM COMPLEM'!$G$9:$G$264,C92,'PROG FORM COMPLEM'!$K$9:$K$264)</f>
        <v>240</v>
      </c>
      <c r="F92" s="6">
        <f>SUMIF('OTRAS ACCIONES'!$B$12:$B$44,C92,'OTRAS ACCIONES'!$D$12:$D$44)</f>
        <v>0</v>
      </c>
      <c r="G92" s="6">
        <f>SUMIF('OTRAS ACCIONES'!$B$46:$B$68,C92,'OTRAS ACCIONES'!$D$46:$D$68)</f>
        <v>0</v>
      </c>
      <c r="H92" s="6">
        <f>SUMIF('OTRAS ACCIONES'!$B$70:$B$82,C92,'OTRAS ACCIONES'!$D$70:$D$82)</f>
        <v>0</v>
      </c>
      <c r="I92" s="6">
        <f>SUMIF('OTRAS ACCIONES'!$B$84:$B$89,C92,'OTRAS ACCIONES'!$D$84:$D$89)</f>
        <v>0</v>
      </c>
      <c r="J92" s="6">
        <f t="shared" si="25"/>
        <v>1704</v>
      </c>
      <c r="K92" s="19">
        <f t="shared" si="26"/>
        <v>-8</v>
      </c>
      <c r="L92" s="6"/>
      <c r="M92" s="271"/>
      <c r="N92" s="271">
        <f t="shared" si="27"/>
        <v>0</v>
      </c>
      <c r="O92" s="7">
        <f t="shared" si="28"/>
        <v>1704</v>
      </c>
      <c r="P92" s="1" t="s">
        <v>208</v>
      </c>
      <c r="R92" s="4"/>
    </row>
    <row r="93" spans="1:18" x14ac:dyDescent="0.2">
      <c r="A93" s="274" t="s">
        <v>89</v>
      </c>
      <c r="B93" s="422">
        <v>13</v>
      </c>
      <c r="C93" s="220" t="s">
        <v>588</v>
      </c>
      <c r="D93" s="6">
        <f>SUMIF('PROG FORMACIÓN TITULADA'!$Q$8:$Q$1070,C93,'PROG FORMACIÓN TITULADA'!$R$8:$R$1070)</f>
        <v>984</v>
      </c>
      <c r="E93" s="6">
        <f>SUMIF('PROG FORM COMPLEM'!$G$9:$G$264,C93,'PROG FORM COMPLEM'!$K$9:$K$264)</f>
        <v>720</v>
      </c>
      <c r="F93" s="6">
        <f>SUMIF('OTRAS ACCIONES'!$B$12:$B$44,C93,'OTRAS ACCIONES'!$D$12:$D$44)</f>
        <v>0</v>
      </c>
      <c r="G93" s="6">
        <f>SUMIF('OTRAS ACCIONES'!$B$46:$B$68,C93,'OTRAS ACCIONES'!$D$46:$D$68)</f>
        <v>0</v>
      </c>
      <c r="H93" s="6">
        <f>SUMIF('OTRAS ACCIONES'!$B$70:$B$82,C93,'OTRAS ACCIONES'!$D$70:$D$82)</f>
        <v>0</v>
      </c>
      <c r="I93" s="6">
        <f>SUMIF('OTRAS ACCIONES'!$B$84:$B$89,C93,'OTRAS ACCIONES'!$D$84:$D$89)</f>
        <v>0</v>
      </c>
      <c r="J93" s="6">
        <f t="shared" si="25"/>
        <v>1704</v>
      </c>
      <c r="K93" s="19">
        <f t="shared" si="26"/>
        <v>-8</v>
      </c>
      <c r="L93" s="6"/>
      <c r="M93" s="271"/>
      <c r="N93" s="271">
        <f t="shared" si="27"/>
        <v>0</v>
      </c>
      <c r="O93" s="7">
        <f t="shared" si="28"/>
        <v>1704</v>
      </c>
      <c r="P93" s="1" t="s">
        <v>485</v>
      </c>
      <c r="R93" s="4"/>
    </row>
    <row r="94" spans="1:18" x14ac:dyDescent="0.2">
      <c r="A94" s="274" t="s">
        <v>89</v>
      </c>
      <c r="B94" s="422">
        <v>14</v>
      </c>
      <c r="C94" s="6" t="s">
        <v>243</v>
      </c>
      <c r="D94" s="6">
        <f>SUMIF('PROG FORMACIÓN TITULADA'!$Q$8:$Q$1070,C94,'PROG FORMACIÓN TITULADA'!$R$8:$R$1070)</f>
        <v>0</v>
      </c>
      <c r="E94" s="6">
        <f>SUMIF('PROG FORM COMPLEM'!$G$9:$G$264,C94,'PROG FORM COMPLEM'!$K$9:$K$264)</f>
        <v>1680</v>
      </c>
      <c r="F94" s="6">
        <f>SUMIF('OTRAS ACCIONES'!$B$12:$B$44,C94,'OTRAS ACCIONES'!$D$12:$D$44)</f>
        <v>0</v>
      </c>
      <c r="G94" s="6">
        <f>SUMIF('OTRAS ACCIONES'!$B$46:$B$68,C94,'OTRAS ACCIONES'!$D$46:$D$68)</f>
        <v>0</v>
      </c>
      <c r="H94" s="6">
        <f>SUMIF('OTRAS ACCIONES'!$B$70:$B$82,C94,'OTRAS ACCIONES'!$D$70:$D$82)</f>
        <v>0</v>
      </c>
      <c r="I94" s="6">
        <f>SUMIF('OTRAS ACCIONES'!$B$84:$B$89,C94,'OTRAS ACCIONES'!$D$84:$D$89)</f>
        <v>0</v>
      </c>
      <c r="J94" s="6">
        <f t="shared" si="25"/>
        <v>1680</v>
      </c>
      <c r="K94" s="19">
        <f t="shared" si="26"/>
        <v>16</v>
      </c>
      <c r="L94" s="6"/>
      <c r="M94" s="271"/>
      <c r="N94" s="271">
        <f t="shared" si="27"/>
        <v>0</v>
      </c>
      <c r="O94" s="7">
        <f t="shared" si="28"/>
        <v>1680</v>
      </c>
      <c r="P94" s="1" t="s">
        <v>208</v>
      </c>
      <c r="R94" s="4"/>
    </row>
    <row r="95" spans="1:18" x14ac:dyDescent="0.2">
      <c r="A95" s="274" t="s">
        <v>89</v>
      </c>
      <c r="B95" s="422">
        <v>15</v>
      </c>
      <c r="C95" s="220" t="s">
        <v>959</v>
      </c>
      <c r="D95" s="6">
        <f>SUMIF('PROG FORMACIÓN TITULADA'!$Q$8:$Q$1070,C95,'PROG FORMACIÓN TITULADA'!$R$8:$R$1070)</f>
        <v>848</v>
      </c>
      <c r="E95" s="6">
        <f>SUMIF('PROG FORM COMPLEM'!$G$9:$G$264,C95,'PROG FORM COMPLEM'!$K$9:$K$264)</f>
        <v>0</v>
      </c>
      <c r="F95" s="6">
        <f>SUMIF('OTRAS ACCIONES'!$B$12:$B$44,C95,'OTRAS ACCIONES'!$D$12:$D$44)</f>
        <v>0</v>
      </c>
      <c r="G95" s="6">
        <f>SUMIF('OTRAS ACCIONES'!$B$46:$B$68,C95,'OTRAS ACCIONES'!$D$46:$D$68)</f>
        <v>0</v>
      </c>
      <c r="H95" s="6">
        <f>SUMIF('OTRAS ACCIONES'!$B$70:$B$82,C95,'OTRAS ACCIONES'!$D$70:$D$82)</f>
        <v>0</v>
      </c>
      <c r="I95" s="6">
        <f>SUMIF('OTRAS ACCIONES'!$B$84:$B$89,C95,'OTRAS ACCIONES'!$D$84:$D$89)</f>
        <v>0</v>
      </c>
      <c r="J95" s="6">
        <f t="shared" si="25"/>
        <v>848</v>
      </c>
      <c r="K95" s="19">
        <f t="shared" si="26"/>
        <v>848</v>
      </c>
      <c r="L95" s="6"/>
      <c r="M95" s="271"/>
      <c r="N95" s="271">
        <f t="shared" si="27"/>
        <v>0</v>
      </c>
      <c r="O95" s="7">
        <f t="shared" si="28"/>
        <v>848</v>
      </c>
      <c r="P95" s="1" t="s">
        <v>865</v>
      </c>
      <c r="R95" s="4"/>
    </row>
    <row r="96" spans="1:18" x14ac:dyDescent="0.2">
      <c r="A96" s="274" t="s">
        <v>89</v>
      </c>
      <c r="B96" s="422">
        <v>16</v>
      </c>
      <c r="C96" s="6" t="s">
        <v>245</v>
      </c>
      <c r="D96" s="6">
        <f>SUMIF('PROG FORMACIÓN TITULADA'!$Q$8:$Q$1070,C96,'PROG FORMACIÓN TITULADA'!$R$8:$R$1070)</f>
        <v>0</v>
      </c>
      <c r="E96" s="6">
        <f>SUMIF('PROG FORM COMPLEM'!$G$9:$G$264,C96,'PROG FORM COMPLEM'!$K$9:$K$264)</f>
        <v>1680</v>
      </c>
      <c r="F96" s="6">
        <f>SUMIF('OTRAS ACCIONES'!$B$12:$B$44,C96,'OTRAS ACCIONES'!$D$12:$D$44)</f>
        <v>0</v>
      </c>
      <c r="G96" s="6">
        <f>SUMIF('OTRAS ACCIONES'!$B$46:$B$68,C96,'OTRAS ACCIONES'!$D$46:$D$68)</f>
        <v>0</v>
      </c>
      <c r="H96" s="6">
        <f>SUMIF('OTRAS ACCIONES'!$B$70:$B$82,C96,'OTRAS ACCIONES'!$D$70:$D$82)</f>
        <v>0</v>
      </c>
      <c r="I96" s="6">
        <f>SUMIF('OTRAS ACCIONES'!$B$84:$B$89,C96,'OTRAS ACCIONES'!$D$84:$D$89)</f>
        <v>0</v>
      </c>
      <c r="J96" s="6">
        <f t="shared" si="25"/>
        <v>1680</v>
      </c>
      <c r="K96" s="19">
        <f t="shared" si="26"/>
        <v>16</v>
      </c>
      <c r="L96" s="6"/>
      <c r="M96" s="271"/>
      <c r="N96" s="271">
        <f t="shared" si="27"/>
        <v>0</v>
      </c>
      <c r="O96" s="7">
        <f t="shared" si="28"/>
        <v>1680</v>
      </c>
      <c r="P96" s="1" t="s">
        <v>456</v>
      </c>
      <c r="R96" s="4"/>
    </row>
    <row r="97" spans="1:18" x14ac:dyDescent="0.2">
      <c r="A97" s="274" t="s">
        <v>89</v>
      </c>
      <c r="B97" s="422">
        <v>17</v>
      </c>
      <c r="C97" s="273" t="s">
        <v>853</v>
      </c>
      <c r="D97" s="6">
        <f>SUMIF('PROG FORMACIÓN TITULADA'!$Q$8:$Q$1070,C97,'PROG FORMACIÓN TITULADA'!$R$8:$R$1070)</f>
        <v>1696</v>
      </c>
      <c r="E97" s="6">
        <f>SUMIF('PROG FORM COMPLEM'!$G$9:$G$264,C97,'PROG FORM COMPLEM'!$K$9:$K$264)</f>
        <v>0</v>
      </c>
      <c r="F97" s="6">
        <f>SUMIF('OTRAS ACCIONES'!$B$12:$B$44,C97,'OTRAS ACCIONES'!$D$12:$D$44)</f>
        <v>0</v>
      </c>
      <c r="G97" s="6">
        <f>SUMIF('OTRAS ACCIONES'!$B$46:$B$68,C97,'OTRAS ACCIONES'!$D$46:$D$68)</f>
        <v>0</v>
      </c>
      <c r="H97" s="6">
        <f>SUMIF('OTRAS ACCIONES'!$B$70:$B$82,C97,'OTRAS ACCIONES'!$D$70:$D$82)</f>
        <v>0</v>
      </c>
      <c r="I97" s="6">
        <f>SUMIF('OTRAS ACCIONES'!$B$84:$B$89,C97,'OTRAS ACCIONES'!$D$84:$D$89)</f>
        <v>0</v>
      </c>
      <c r="J97" s="6">
        <f t="shared" si="25"/>
        <v>1696</v>
      </c>
      <c r="K97" s="19">
        <f t="shared" si="26"/>
        <v>0</v>
      </c>
      <c r="L97" s="6"/>
      <c r="M97" s="271"/>
      <c r="N97" s="271">
        <f t="shared" si="27"/>
        <v>0</v>
      </c>
      <c r="O97" s="7">
        <f t="shared" si="28"/>
        <v>1696</v>
      </c>
      <c r="P97" s="1" t="s">
        <v>486</v>
      </c>
      <c r="R97" s="4"/>
    </row>
    <row r="98" spans="1:18" x14ac:dyDescent="0.2">
      <c r="A98" s="274" t="s">
        <v>89</v>
      </c>
      <c r="B98" s="422">
        <v>18</v>
      </c>
      <c r="C98" s="6" t="s">
        <v>246</v>
      </c>
      <c r="D98" s="6">
        <f>SUMIF('PROG FORMACIÓN TITULADA'!$Q$8:$Q$1070,C98,'PROG FORMACIÓN TITULADA'!$R$8:$R$1070)</f>
        <v>1076</v>
      </c>
      <c r="E98" s="6">
        <f>SUMIF('PROG FORM COMPLEM'!$G$9:$G$264,C98,'PROG FORM COMPLEM'!$K$9:$K$264)</f>
        <v>0</v>
      </c>
      <c r="F98" s="6">
        <f>SUMIF('OTRAS ACCIONES'!$B$12:$B$44,C98,'OTRAS ACCIONES'!$D$12:$D$44)</f>
        <v>0</v>
      </c>
      <c r="G98" s="6">
        <f>SUMIF('OTRAS ACCIONES'!$B$46:$B$68,C98,'OTRAS ACCIONES'!$D$46:$D$68)</f>
        <v>0</v>
      </c>
      <c r="H98" s="6">
        <f>SUMIF('OTRAS ACCIONES'!$B$70:$B$82,C98,'OTRAS ACCIONES'!$D$70:$D$82)</f>
        <v>0</v>
      </c>
      <c r="I98" s="6">
        <f>SUMIF('OTRAS ACCIONES'!$B$84:$B$89,C98,'OTRAS ACCIONES'!$D$84:$D$89)</f>
        <v>0</v>
      </c>
      <c r="J98" s="6">
        <f t="shared" si="25"/>
        <v>1076</v>
      </c>
      <c r="K98" s="19">
        <f t="shared" si="26"/>
        <v>620</v>
      </c>
      <c r="L98" s="6"/>
      <c r="M98" s="271"/>
      <c r="N98" s="271">
        <f t="shared" si="27"/>
        <v>0</v>
      </c>
      <c r="O98" s="7">
        <f t="shared" si="28"/>
        <v>1076</v>
      </c>
      <c r="P98" s="1" t="s">
        <v>484</v>
      </c>
      <c r="R98" s="4"/>
    </row>
    <row r="99" spans="1:18" x14ac:dyDescent="0.2">
      <c r="A99" s="274" t="s">
        <v>89</v>
      </c>
      <c r="B99" s="422">
        <v>19</v>
      </c>
      <c r="C99" s="220" t="s">
        <v>624</v>
      </c>
      <c r="D99" s="6">
        <f>SUMIF('PROG FORMACIÓN TITULADA'!$Q$8:$Q$1070,C99,'PROG FORMACIÓN TITULADA'!$R$8:$R$1070)</f>
        <v>0</v>
      </c>
      <c r="E99" s="6">
        <f>SUMIF('PROG FORM COMPLEM'!$G$9:$G$264,C99,'PROG FORM COMPLEM'!$K$9:$K$264)</f>
        <v>1688</v>
      </c>
      <c r="F99" s="6">
        <f>SUMIF('OTRAS ACCIONES'!$B$12:$B$44,C99,'OTRAS ACCIONES'!$D$12:$D$44)</f>
        <v>0</v>
      </c>
      <c r="G99" s="6">
        <f>SUMIF('OTRAS ACCIONES'!$B$46:$B$68,C99,'OTRAS ACCIONES'!$D$46:$D$68)</f>
        <v>0</v>
      </c>
      <c r="H99" s="6">
        <f>SUMIF('OTRAS ACCIONES'!$B$70:$B$82,C99,'OTRAS ACCIONES'!$D$70:$D$82)</f>
        <v>0</v>
      </c>
      <c r="I99" s="6">
        <f>SUMIF('OTRAS ACCIONES'!$B$84:$B$89,C99,'OTRAS ACCIONES'!$D$84:$D$89)</f>
        <v>0</v>
      </c>
      <c r="J99" s="6">
        <f t="shared" si="25"/>
        <v>1688</v>
      </c>
      <c r="K99" s="19">
        <f t="shared" si="26"/>
        <v>8</v>
      </c>
      <c r="L99" s="6"/>
      <c r="M99" s="271"/>
      <c r="N99" s="271">
        <f t="shared" si="27"/>
        <v>0</v>
      </c>
      <c r="O99" s="7">
        <f t="shared" si="28"/>
        <v>1688</v>
      </c>
      <c r="P99" s="1" t="s">
        <v>622</v>
      </c>
      <c r="R99" s="4"/>
    </row>
    <row r="100" spans="1:18" x14ac:dyDescent="0.2">
      <c r="A100" s="274" t="s">
        <v>89</v>
      </c>
      <c r="B100" s="422">
        <v>20</v>
      </c>
      <c r="C100" s="6" t="s">
        <v>164</v>
      </c>
      <c r="D100" s="6">
        <f>SUMIF('PROG FORMACIÓN TITULADA'!$Q$8:$Q$1070,C100,'PROG FORMACIÓN TITULADA'!$R$8:$R$1070)</f>
        <v>1272</v>
      </c>
      <c r="E100" s="6">
        <f>SUMIF('PROG FORM COMPLEM'!$G$9:$G$264,C100,'PROG FORM COMPLEM'!$K$9:$K$264)</f>
        <v>400</v>
      </c>
      <c r="F100" s="6">
        <f>SUMIF('OTRAS ACCIONES'!$B$12:$B$44,C100,'OTRAS ACCIONES'!$D$12:$D$44)</f>
        <v>0</v>
      </c>
      <c r="G100" s="6">
        <f>SUMIF('OTRAS ACCIONES'!$B$46:$B$68,C100,'OTRAS ACCIONES'!$D$46:$D$68)</f>
        <v>0</v>
      </c>
      <c r="H100" s="6">
        <f>SUMIF('OTRAS ACCIONES'!$B$70:$B$82,C100,'OTRAS ACCIONES'!$D$70:$D$82)</f>
        <v>0</v>
      </c>
      <c r="I100" s="6">
        <f>SUMIF('OTRAS ACCIONES'!$B$84:$B$89,C100,'OTRAS ACCIONES'!$D$84:$D$89)</f>
        <v>0</v>
      </c>
      <c r="J100" s="6">
        <f t="shared" si="25"/>
        <v>1672</v>
      </c>
      <c r="K100" s="19">
        <f t="shared" si="26"/>
        <v>24</v>
      </c>
      <c r="L100" s="6"/>
      <c r="M100" s="271"/>
      <c r="N100" s="271">
        <f t="shared" si="27"/>
        <v>0</v>
      </c>
      <c r="O100" s="7">
        <f t="shared" si="28"/>
        <v>1672</v>
      </c>
      <c r="P100" s="1" t="s">
        <v>208</v>
      </c>
      <c r="R100" s="4"/>
    </row>
    <row r="101" spans="1:18" x14ac:dyDescent="0.2">
      <c r="A101" s="274" t="s">
        <v>89</v>
      </c>
      <c r="B101" s="422">
        <v>21</v>
      </c>
      <c r="C101" s="6" t="s">
        <v>247</v>
      </c>
      <c r="D101" s="6">
        <f>SUMIF('PROG FORMACIÓN TITULADA'!$Q$8:$Q$1070,C101,'PROG FORMACIÓN TITULADA'!$R$8:$R$1070)</f>
        <v>0</v>
      </c>
      <c r="E101" s="6">
        <f>SUMIF('PROG FORM COMPLEM'!$G$9:$G$264,C101,'PROG FORM COMPLEM'!$K$9:$K$264)</f>
        <v>1680</v>
      </c>
      <c r="F101" s="6">
        <f>SUMIF('OTRAS ACCIONES'!$B$12:$B$44,C101,'OTRAS ACCIONES'!$D$12:$D$44)</f>
        <v>0</v>
      </c>
      <c r="G101" s="6">
        <f>SUMIF('OTRAS ACCIONES'!$B$46:$B$68,C101,'OTRAS ACCIONES'!$D$46:$D$68)</f>
        <v>0</v>
      </c>
      <c r="H101" s="6">
        <f>SUMIF('OTRAS ACCIONES'!$B$70:$B$82,C101,'OTRAS ACCIONES'!$D$70:$D$82)</f>
        <v>0</v>
      </c>
      <c r="I101" s="6">
        <f>SUMIF('OTRAS ACCIONES'!$B$84:$B$89,C101,'OTRAS ACCIONES'!$D$84:$D$89)</f>
        <v>0</v>
      </c>
      <c r="J101" s="6">
        <f t="shared" si="25"/>
        <v>1680</v>
      </c>
      <c r="K101" s="19">
        <f t="shared" si="26"/>
        <v>16</v>
      </c>
      <c r="L101" s="6"/>
      <c r="M101" s="271"/>
      <c r="N101" s="271">
        <f t="shared" si="27"/>
        <v>0</v>
      </c>
      <c r="O101" s="7">
        <f t="shared" si="28"/>
        <v>1680</v>
      </c>
      <c r="P101" s="1" t="s">
        <v>865</v>
      </c>
      <c r="R101" s="4"/>
    </row>
    <row r="102" spans="1:18" x14ac:dyDescent="0.2">
      <c r="A102" s="274" t="s">
        <v>89</v>
      </c>
      <c r="B102" s="422">
        <v>22</v>
      </c>
      <c r="C102" s="6" t="s">
        <v>248</v>
      </c>
      <c r="D102" s="6">
        <f>SUMIF('PROG FORMACIÓN TITULADA'!$Q$8:$Q$1070,C102,'PROG FORMACIÓN TITULADA'!$R$8:$R$1070)</f>
        <v>0</v>
      </c>
      <c r="E102" s="6">
        <f>SUMIF('PROG FORM COMPLEM'!$G$9:$G$264,C102,'PROG FORM COMPLEM'!$K$9:$K$264)</f>
        <v>0</v>
      </c>
      <c r="F102" s="6">
        <f>SUMIF('OTRAS ACCIONES'!$B$12:$B$44,C102,'OTRAS ACCIONES'!$D$12:$D$44)</f>
        <v>0</v>
      </c>
      <c r="G102" s="6">
        <f>SUMIF('OTRAS ACCIONES'!$B$46:$B$68,C102,'OTRAS ACCIONES'!$D$46:$D$68)</f>
        <v>1696</v>
      </c>
      <c r="H102" s="6">
        <f>SUMIF('OTRAS ACCIONES'!$B$70:$B$82,C102,'OTRAS ACCIONES'!$D$70:$D$82)</f>
        <v>0</v>
      </c>
      <c r="I102" s="6">
        <f>SUMIF('OTRAS ACCIONES'!$B$84:$B$89,C102,'OTRAS ACCIONES'!$D$84:$D$89)</f>
        <v>0</v>
      </c>
      <c r="J102" s="6">
        <f t="shared" si="25"/>
        <v>1696</v>
      </c>
      <c r="K102" s="19">
        <f t="shared" si="26"/>
        <v>0</v>
      </c>
      <c r="L102" s="6"/>
      <c r="M102" s="271"/>
      <c r="N102" s="271">
        <f t="shared" si="27"/>
        <v>0</v>
      </c>
      <c r="O102" s="7">
        <f t="shared" si="28"/>
        <v>1696</v>
      </c>
      <c r="P102" s="1" t="s">
        <v>866</v>
      </c>
      <c r="R102" s="4"/>
    </row>
    <row r="103" spans="1:18" x14ac:dyDescent="0.2">
      <c r="A103" s="274" t="s">
        <v>89</v>
      </c>
      <c r="B103" s="422">
        <v>23</v>
      </c>
      <c r="C103" s="6" t="s">
        <v>249</v>
      </c>
      <c r="D103" s="6">
        <f>SUMIF('PROG FORMACIÓN TITULADA'!$Q$8:$Q$1070,C103,'PROG FORMACIÓN TITULADA'!$R$8:$R$1070)</f>
        <v>1696</v>
      </c>
      <c r="E103" s="6">
        <f>SUMIF('PROG FORM COMPLEM'!$G$9:$G$264,C103,'PROG FORM COMPLEM'!$K$9:$K$264)</f>
        <v>0</v>
      </c>
      <c r="F103" s="6">
        <f>SUMIF('OTRAS ACCIONES'!$B$12:$B$44,C103,'OTRAS ACCIONES'!$D$12:$D$44)</f>
        <v>0</v>
      </c>
      <c r="G103" s="6">
        <f>SUMIF('OTRAS ACCIONES'!$B$46:$B$68,C103,'OTRAS ACCIONES'!$D$46:$D$68)</f>
        <v>0</v>
      </c>
      <c r="H103" s="6">
        <f>SUMIF('OTRAS ACCIONES'!$B$70:$B$82,C103,'OTRAS ACCIONES'!$D$70:$D$82)</f>
        <v>0</v>
      </c>
      <c r="I103" s="6">
        <f>SUMIF('OTRAS ACCIONES'!$B$84:$B$89,C103,'OTRAS ACCIONES'!$D$84:$D$89)</f>
        <v>0</v>
      </c>
      <c r="J103" s="6">
        <f t="shared" si="25"/>
        <v>1696</v>
      </c>
      <c r="K103" s="19">
        <f t="shared" si="26"/>
        <v>0</v>
      </c>
      <c r="L103" s="6"/>
      <c r="M103" s="271"/>
      <c r="N103" s="271">
        <f t="shared" si="27"/>
        <v>0</v>
      </c>
      <c r="O103" s="7">
        <f t="shared" si="28"/>
        <v>1696</v>
      </c>
      <c r="P103" s="1" t="s">
        <v>451</v>
      </c>
      <c r="R103" s="4"/>
    </row>
    <row r="104" spans="1:18" x14ac:dyDescent="0.2">
      <c r="A104" s="274" t="s">
        <v>89</v>
      </c>
      <c r="B104" s="422">
        <v>24</v>
      </c>
      <c r="C104" s="6" t="s">
        <v>250</v>
      </c>
      <c r="D104" s="6">
        <f>SUMIF('PROG FORMACIÓN TITULADA'!$Q$8:$Q$1070,C104,'PROG FORMACIÓN TITULADA'!$R$8:$R$1070)</f>
        <v>1696</v>
      </c>
      <c r="E104" s="6">
        <f>SUMIF('PROG FORM COMPLEM'!$G$9:$G$264,C104,'PROG FORM COMPLEM'!$K$9:$K$264)</f>
        <v>0</v>
      </c>
      <c r="F104" s="6">
        <f>SUMIF('OTRAS ACCIONES'!$B$12:$B$44,C104,'OTRAS ACCIONES'!$D$12:$D$44)</f>
        <v>0</v>
      </c>
      <c r="G104" s="6">
        <f>SUMIF('OTRAS ACCIONES'!$B$46:$B$68,C104,'OTRAS ACCIONES'!$D$46:$D$68)</f>
        <v>0</v>
      </c>
      <c r="H104" s="6">
        <f>SUMIF('OTRAS ACCIONES'!$B$70:$B$82,C104,'OTRAS ACCIONES'!$D$70:$D$82)</f>
        <v>0</v>
      </c>
      <c r="I104" s="6">
        <f>SUMIF('OTRAS ACCIONES'!$B$84:$B$89,C104,'OTRAS ACCIONES'!$D$84:$D$89)</f>
        <v>0</v>
      </c>
      <c r="J104" s="6">
        <f t="shared" si="25"/>
        <v>1696</v>
      </c>
      <c r="K104" s="19">
        <f t="shared" si="26"/>
        <v>0</v>
      </c>
      <c r="L104" s="6"/>
      <c r="M104" s="271"/>
      <c r="N104" s="271">
        <f t="shared" si="27"/>
        <v>0</v>
      </c>
      <c r="O104" s="7">
        <f t="shared" si="28"/>
        <v>1696</v>
      </c>
      <c r="P104" s="1" t="s">
        <v>865</v>
      </c>
      <c r="R104" s="4"/>
    </row>
    <row r="105" spans="1:18" s="403" customFormat="1" x14ac:dyDescent="0.2">
      <c r="A105" s="274" t="s">
        <v>89</v>
      </c>
      <c r="B105" s="422">
        <v>25</v>
      </c>
      <c r="C105" s="6" t="s">
        <v>397</v>
      </c>
      <c r="D105" s="6">
        <f>SUMIF('PROG FORMACIÓN TITULADA'!$Q$8:$Q$1070,C105,'PROG FORMACIÓN TITULADA'!$R$8:$R$1070)</f>
        <v>0</v>
      </c>
      <c r="E105" s="6">
        <f>SUMIF('PROG FORM COMPLEM'!$G$9:$G$264,C105,'PROG FORM COMPLEM'!$K$9:$K$264)</f>
        <v>720</v>
      </c>
      <c r="F105" s="6">
        <f>SUMIF('OTRAS ACCIONES'!$B$12:$B$44,C105,'OTRAS ACCIONES'!$D$12:$D$44)</f>
        <v>968</v>
      </c>
      <c r="G105" s="6">
        <f>SUMIF('OTRAS ACCIONES'!$B$46:$B$68,C105,'OTRAS ACCIONES'!$D$46:$D$68)</f>
        <v>0</v>
      </c>
      <c r="H105" s="6">
        <f>SUMIF('OTRAS ACCIONES'!$B$70:$B$82,C105,'OTRAS ACCIONES'!$D$70:$D$82)</f>
        <v>0</v>
      </c>
      <c r="I105" s="6">
        <f>SUMIF('OTRAS ACCIONES'!$B$84:$B$89,C105,'OTRAS ACCIONES'!$D$84:$D$89)</f>
        <v>0</v>
      </c>
      <c r="J105" s="6">
        <f t="shared" si="25"/>
        <v>1688</v>
      </c>
      <c r="K105" s="19">
        <f t="shared" si="26"/>
        <v>8</v>
      </c>
      <c r="L105" s="6"/>
      <c r="M105" s="271"/>
      <c r="N105" s="271">
        <f t="shared" si="27"/>
        <v>0</v>
      </c>
      <c r="O105" s="7">
        <f t="shared" si="28"/>
        <v>1688</v>
      </c>
      <c r="P105" s="1" t="s">
        <v>865</v>
      </c>
      <c r="Q105" s="1"/>
      <c r="R105" s="4"/>
    </row>
    <row r="106" spans="1:18" x14ac:dyDescent="0.2">
      <c r="A106" s="416" t="s">
        <v>89</v>
      </c>
      <c r="B106" s="422">
        <v>26</v>
      </c>
      <c r="C106" s="346" t="s">
        <v>1022</v>
      </c>
      <c r="D106" s="346">
        <f>SUMIF('PROG FORMACIÓN TITULADA'!$Q$8:$Q$1070,C106,'PROG FORMACIÓN TITULADA'!$R$8:$R$1070)</f>
        <v>0</v>
      </c>
      <c r="E106" s="346">
        <f>SUMIF('PROG FORM COMPLEM'!$G$9:$G$264,C106,'PROG FORM COMPLEM'!$K$9:$K$264)</f>
        <v>1680</v>
      </c>
      <c r="F106" s="346">
        <f>SUMIF('OTRAS ACCIONES'!$B$12:$B$44,C106,'OTRAS ACCIONES'!$D$12:$D$44)</f>
        <v>0</v>
      </c>
      <c r="G106" s="346">
        <f>SUMIF('OTRAS ACCIONES'!$B$46:$B$68,C106,'OTRAS ACCIONES'!$D$46:$D$68)</f>
        <v>0</v>
      </c>
      <c r="H106" s="346">
        <f>SUMIF('OTRAS ACCIONES'!$B$70:$B$82,C106,'OTRAS ACCIONES'!$D$70:$D$82)</f>
        <v>0</v>
      </c>
      <c r="I106" s="346">
        <f>SUMIF('OTRAS ACCIONES'!$B$84:$B$89,C106,'OTRAS ACCIONES'!$D$84:$D$89)</f>
        <v>0</v>
      </c>
      <c r="J106" s="346">
        <f t="shared" si="25"/>
        <v>1680</v>
      </c>
      <c r="K106" s="417">
        <f t="shared" si="26"/>
        <v>16</v>
      </c>
      <c r="L106" s="346"/>
      <c r="M106" s="418"/>
      <c r="N106" s="418">
        <f t="shared" si="27"/>
        <v>0</v>
      </c>
      <c r="O106" s="419">
        <f t="shared" si="28"/>
        <v>1680</v>
      </c>
      <c r="P106" s="403" t="s">
        <v>865</v>
      </c>
      <c r="Q106" s="403"/>
      <c r="R106" s="420"/>
    </row>
    <row r="107" spans="1:18" x14ac:dyDescent="0.2">
      <c r="A107" s="274" t="s">
        <v>89</v>
      </c>
      <c r="B107" s="422">
        <v>27</v>
      </c>
      <c r="C107" s="273" t="s">
        <v>251</v>
      </c>
      <c r="D107" s="6">
        <f>SUMIF('PROG FORMACIÓN TITULADA'!$Q$8:$Q$1070,C107,'PROG FORMACIÓN TITULADA'!$R$8:$R$1070)</f>
        <v>0</v>
      </c>
      <c r="E107" s="6">
        <f>SUMIF('PROG FORM COMPLEM'!$G$9:$G$264,C107,'PROG FORM COMPLEM'!$K$9:$K$264)</f>
        <v>0</v>
      </c>
      <c r="F107" s="6">
        <f>SUMIF('OTRAS ACCIONES'!$B$12:$B$44,C107,'OTRAS ACCIONES'!$D$12:$D$44)</f>
        <v>0</v>
      </c>
      <c r="G107" s="6">
        <f>SUMIF('OTRAS ACCIONES'!$B$46:$B$68,C107,'OTRAS ACCIONES'!$D$46:$D$68)</f>
        <v>1696</v>
      </c>
      <c r="H107" s="6">
        <f>SUMIF('OTRAS ACCIONES'!$B$70:$B$82,C107,'OTRAS ACCIONES'!$D$70:$D$82)</f>
        <v>0</v>
      </c>
      <c r="I107" s="6">
        <f>SUMIF('OTRAS ACCIONES'!$B$84:$B$89,C107,'OTRAS ACCIONES'!$D$84:$D$89)</f>
        <v>0</v>
      </c>
      <c r="J107" s="6">
        <f t="shared" si="25"/>
        <v>1696</v>
      </c>
      <c r="K107" s="19">
        <f t="shared" si="26"/>
        <v>0</v>
      </c>
      <c r="L107" s="6"/>
      <c r="M107" s="271"/>
      <c r="N107" s="271">
        <f t="shared" si="27"/>
        <v>0</v>
      </c>
      <c r="O107" s="7">
        <f t="shared" si="28"/>
        <v>1696</v>
      </c>
      <c r="P107" s="1" t="s">
        <v>866</v>
      </c>
      <c r="R107" s="4"/>
    </row>
    <row r="108" spans="1:18" x14ac:dyDescent="0.2">
      <c r="A108" s="274" t="s">
        <v>89</v>
      </c>
      <c r="B108" s="422">
        <v>28</v>
      </c>
      <c r="C108" s="273" t="s">
        <v>337</v>
      </c>
      <c r="D108" s="6">
        <f>SUMIF('PROG FORMACIÓN TITULADA'!$Q$8:$Q$1070,C108,'PROG FORMACIÓN TITULADA'!$R$8:$R$1070)</f>
        <v>0</v>
      </c>
      <c r="E108" s="6">
        <f>SUMIF('PROG FORM COMPLEM'!$G$9:$G$264,C108,'PROG FORM COMPLEM'!$K$9:$K$264)</f>
        <v>0</v>
      </c>
      <c r="F108" s="6">
        <f>SUMIF('OTRAS ACCIONES'!$B$12:$B$44,C108,'OTRAS ACCIONES'!$D$12:$D$44)</f>
        <v>0</v>
      </c>
      <c r="G108" s="6">
        <f>SUMIF('OTRAS ACCIONES'!$B$46:$B$68,C108,'OTRAS ACCIONES'!$D$46:$D$68)</f>
        <v>1696</v>
      </c>
      <c r="H108" s="6">
        <f>SUMIF('OTRAS ACCIONES'!$B$70:$B$82,C108,'OTRAS ACCIONES'!$D$70:$D$82)</f>
        <v>0</v>
      </c>
      <c r="I108" s="6">
        <f>SUMIF('OTRAS ACCIONES'!$B$84:$B$89,C108,'OTRAS ACCIONES'!$D$84:$D$89)</f>
        <v>0</v>
      </c>
      <c r="J108" s="6">
        <f t="shared" si="25"/>
        <v>1696</v>
      </c>
      <c r="K108" s="19">
        <f t="shared" si="26"/>
        <v>0</v>
      </c>
      <c r="L108" s="6"/>
      <c r="M108" s="271"/>
      <c r="N108" s="271">
        <f t="shared" si="27"/>
        <v>0</v>
      </c>
      <c r="O108" s="7">
        <f t="shared" si="28"/>
        <v>1696</v>
      </c>
      <c r="P108" s="1" t="s">
        <v>866</v>
      </c>
      <c r="R108" s="4"/>
    </row>
    <row r="109" spans="1:18" x14ac:dyDescent="0.2">
      <c r="A109" s="274" t="s">
        <v>89</v>
      </c>
      <c r="B109" s="422">
        <v>29</v>
      </c>
      <c r="C109" s="6" t="s">
        <v>252</v>
      </c>
      <c r="D109" s="6">
        <f>SUMIF('PROG FORMACIÓN TITULADA'!$Q$8:$Q$1070,C109,'PROG FORMACIÓN TITULADA'!$R$8:$R$1070)</f>
        <v>1696</v>
      </c>
      <c r="E109" s="6">
        <f>SUMIF('PROG FORM COMPLEM'!$G$9:$G$264,C109,'PROG FORM COMPLEM'!$K$9:$K$264)</f>
        <v>0</v>
      </c>
      <c r="F109" s="6">
        <f>SUMIF('OTRAS ACCIONES'!$B$12:$B$44,C109,'OTRAS ACCIONES'!$D$12:$D$44)</f>
        <v>0</v>
      </c>
      <c r="G109" s="6">
        <f>SUMIF('OTRAS ACCIONES'!$B$46:$B$68,C109,'OTRAS ACCIONES'!$D$46:$D$68)</f>
        <v>0</v>
      </c>
      <c r="H109" s="6">
        <f>SUMIF('OTRAS ACCIONES'!$B$70:$B$82,C109,'OTRAS ACCIONES'!$D$70:$D$82)</f>
        <v>0</v>
      </c>
      <c r="I109" s="6">
        <f>SUMIF('OTRAS ACCIONES'!$B$84:$B$89,C109,'OTRAS ACCIONES'!$D$84:$D$89)</f>
        <v>0</v>
      </c>
      <c r="J109" s="6">
        <f t="shared" si="25"/>
        <v>1696</v>
      </c>
      <c r="K109" s="19">
        <f t="shared" si="26"/>
        <v>0</v>
      </c>
      <c r="L109" s="6"/>
      <c r="M109" s="271"/>
      <c r="N109" s="271">
        <f t="shared" si="27"/>
        <v>0</v>
      </c>
      <c r="O109" s="7">
        <f t="shared" si="28"/>
        <v>1696</v>
      </c>
      <c r="P109" s="1" t="s">
        <v>456</v>
      </c>
      <c r="R109" s="4"/>
    </row>
    <row r="110" spans="1:18" x14ac:dyDescent="0.2">
      <c r="A110" s="274" t="s">
        <v>89</v>
      </c>
      <c r="B110" s="422">
        <v>30</v>
      </c>
      <c r="C110" s="6" t="s">
        <v>253</v>
      </c>
      <c r="D110" s="6">
        <f>SUMIF('PROG FORMACIÓN TITULADA'!$Q$8:$Q$1070,C110,'PROG FORMACIÓN TITULADA'!$R$8:$R$1070)</f>
        <v>1696</v>
      </c>
      <c r="E110" s="6">
        <f>SUMIF('PROG FORM COMPLEM'!$G$9:$G$264,C110,'PROG FORM COMPLEM'!$K$9:$K$264)</f>
        <v>0</v>
      </c>
      <c r="F110" s="6">
        <f>SUMIF('OTRAS ACCIONES'!$B$12:$B$44,C110,'OTRAS ACCIONES'!$D$12:$D$44)</f>
        <v>0</v>
      </c>
      <c r="G110" s="6">
        <f>SUMIF('OTRAS ACCIONES'!$B$46:$B$68,C110,'OTRAS ACCIONES'!$D$46:$D$68)</f>
        <v>0</v>
      </c>
      <c r="H110" s="6">
        <f>SUMIF('OTRAS ACCIONES'!$B$70:$B$82,C110,'OTRAS ACCIONES'!$D$70:$D$82)</f>
        <v>0</v>
      </c>
      <c r="I110" s="6">
        <f>SUMIF('OTRAS ACCIONES'!$B$84:$B$89,C110,'OTRAS ACCIONES'!$D$84:$D$89)</f>
        <v>0</v>
      </c>
      <c r="J110" s="6">
        <f t="shared" si="25"/>
        <v>1696</v>
      </c>
      <c r="K110" s="19">
        <f t="shared" si="26"/>
        <v>0</v>
      </c>
      <c r="L110" s="6"/>
      <c r="M110" s="271"/>
      <c r="N110" s="271">
        <f t="shared" si="27"/>
        <v>0</v>
      </c>
      <c r="O110" s="7">
        <f t="shared" si="28"/>
        <v>1696</v>
      </c>
      <c r="P110" s="1" t="s">
        <v>456</v>
      </c>
      <c r="R110" s="4"/>
    </row>
    <row r="111" spans="1:18" x14ac:dyDescent="0.2">
      <c r="A111" s="274" t="s">
        <v>89</v>
      </c>
      <c r="B111" s="422">
        <v>31</v>
      </c>
      <c r="C111" s="5" t="s">
        <v>254</v>
      </c>
      <c r="D111" s="6">
        <f>SUMIF('PROG FORMACIÓN TITULADA'!$Q$8:$Q$1070,C111,'PROG FORMACIÓN TITULADA'!$R$8:$R$1070)</f>
        <v>1140</v>
      </c>
      <c r="E111" s="6">
        <f>SUMIF('PROG FORM COMPLEM'!$G$9:$G$264,C111,'PROG FORM COMPLEM'!$K$9:$K$264)</f>
        <v>560</v>
      </c>
      <c r="F111" s="6">
        <f>SUMIF('OTRAS ACCIONES'!$B$12:$B$44,C111,'OTRAS ACCIONES'!$D$12:$D$44)</f>
        <v>0</v>
      </c>
      <c r="G111" s="6">
        <f>SUMIF('OTRAS ACCIONES'!$B$46:$B$68,C111,'OTRAS ACCIONES'!$D$46:$D$68)</f>
        <v>0</v>
      </c>
      <c r="H111" s="6">
        <f>SUMIF('OTRAS ACCIONES'!$B$70:$B$82,C111,'OTRAS ACCIONES'!$D$70:$D$82)</f>
        <v>0</v>
      </c>
      <c r="I111" s="6">
        <f>SUMIF('OTRAS ACCIONES'!$B$84:$B$89,C111,'OTRAS ACCIONES'!$D$84:$D$89)</f>
        <v>0</v>
      </c>
      <c r="J111" s="6">
        <f t="shared" si="25"/>
        <v>1700</v>
      </c>
      <c r="K111" s="19">
        <f t="shared" si="26"/>
        <v>-4</v>
      </c>
      <c r="L111" s="6"/>
      <c r="M111" s="271"/>
      <c r="N111" s="271">
        <f t="shared" si="27"/>
        <v>0</v>
      </c>
      <c r="O111" s="7">
        <f t="shared" si="28"/>
        <v>1700</v>
      </c>
      <c r="P111" s="1" t="s">
        <v>208</v>
      </c>
      <c r="R111" s="4"/>
    </row>
    <row r="112" spans="1:18" x14ac:dyDescent="0.2">
      <c r="A112" s="274" t="s">
        <v>89</v>
      </c>
      <c r="B112" s="422">
        <v>32</v>
      </c>
      <c r="C112" s="406" t="s">
        <v>998</v>
      </c>
      <c r="D112" s="6">
        <f>SUMIF('PROG FORMACIÓN TITULADA'!$Q$8:$Q$1070,C112,'PROG FORMACIÓN TITULADA'!$R$8:$R$1070)</f>
        <v>0</v>
      </c>
      <c r="E112" s="6">
        <f>SUMIF('PROG FORM COMPLEM'!$G$9:$G$264,C112,'PROG FORM COMPLEM'!$K$9:$K$264)</f>
        <v>0</v>
      </c>
      <c r="F112" s="6">
        <f>SUMIF('OTRAS ACCIONES'!$B$12:$B$44,C112,'OTRAS ACCIONES'!$D$12:$D$44)</f>
        <v>0</v>
      </c>
      <c r="G112" s="6">
        <f>SUMIF('OTRAS ACCIONES'!$B$46:$B$68,C112,'OTRAS ACCIONES'!$D$46:$D$68)</f>
        <v>1696</v>
      </c>
      <c r="H112" s="6">
        <f>SUMIF('OTRAS ACCIONES'!$B$70:$B$82,C112,'OTRAS ACCIONES'!$D$70:$D$82)</f>
        <v>0</v>
      </c>
      <c r="I112" s="6">
        <f>SUMIF('OTRAS ACCIONES'!$B$84:$B$89,C112,'OTRAS ACCIONES'!$D$84:$D$89)</f>
        <v>0</v>
      </c>
      <c r="J112" s="6">
        <f t="shared" si="25"/>
        <v>1696</v>
      </c>
      <c r="K112" s="19">
        <f t="shared" si="26"/>
        <v>0</v>
      </c>
      <c r="L112" s="6"/>
      <c r="M112" s="271"/>
      <c r="N112" s="271">
        <f t="shared" si="27"/>
        <v>0</v>
      </c>
      <c r="O112" s="7">
        <f t="shared" si="28"/>
        <v>1696</v>
      </c>
      <c r="P112" s="1" t="s">
        <v>866</v>
      </c>
      <c r="R112" s="4"/>
    </row>
    <row r="113" spans="1:18" x14ac:dyDescent="0.2">
      <c r="A113" s="274" t="s">
        <v>89</v>
      </c>
      <c r="B113" s="422">
        <v>33</v>
      </c>
      <c r="C113" s="220" t="s">
        <v>881</v>
      </c>
      <c r="D113" s="6">
        <f>SUMIF('PROG FORMACIÓN TITULADA'!$Q$8:$Q$1070,C113,'PROG FORMACIÓN TITULADA'!$R$8:$R$1070)</f>
        <v>1532</v>
      </c>
      <c r="E113" s="6">
        <f>SUMIF('PROG FORM COMPLEM'!$G$9:$G$264,C113,'PROG FORM COMPLEM'!$K$9:$K$264)</f>
        <v>0</v>
      </c>
      <c r="F113" s="6">
        <f>SUMIF('OTRAS ACCIONES'!$B$12:$B$44,C113,'OTRAS ACCIONES'!$D$12:$D$44)</f>
        <v>0</v>
      </c>
      <c r="G113" s="6">
        <f>SUMIF('OTRAS ACCIONES'!$B$46:$B$68,C113,'OTRAS ACCIONES'!$D$46:$D$68)</f>
        <v>0</v>
      </c>
      <c r="H113" s="6">
        <f>SUMIF('OTRAS ACCIONES'!$B$70:$B$82,C113,'OTRAS ACCIONES'!$D$70:$D$82)</f>
        <v>0</v>
      </c>
      <c r="I113" s="6">
        <f>SUMIF('OTRAS ACCIONES'!$B$84:$B$89,C113,'OTRAS ACCIONES'!$D$84:$D$89)</f>
        <v>0</v>
      </c>
      <c r="J113" s="6">
        <f t="shared" si="25"/>
        <v>1532</v>
      </c>
      <c r="K113" s="19">
        <f t="shared" si="26"/>
        <v>164</v>
      </c>
      <c r="L113" s="6"/>
      <c r="M113" s="271"/>
      <c r="N113" s="271">
        <f t="shared" si="27"/>
        <v>0</v>
      </c>
      <c r="O113" s="7">
        <f t="shared" si="28"/>
        <v>1532</v>
      </c>
      <c r="P113" s="1" t="s">
        <v>622</v>
      </c>
      <c r="R113" s="4"/>
    </row>
    <row r="114" spans="1:18" x14ac:dyDescent="0.2">
      <c r="A114" s="274" t="s">
        <v>89</v>
      </c>
      <c r="B114" s="422">
        <v>34</v>
      </c>
      <c r="C114" s="6" t="s">
        <v>673</v>
      </c>
      <c r="D114" s="6">
        <f>SUMIF('PROG FORMACIÓN TITULADA'!$Q$8:$Q$1070,C114,'PROG FORMACIÓN TITULADA'!$R$8:$R$1070)</f>
        <v>624</v>
      </c>
      <c r="E114" s="6">
        <f>SUMIF('PROG FORM COMPLEM'!$G$9:$G$264,C114,'PROG FORM COMPLEM'!$K$9:$K$264)</f>
        <v>520</v>
      </c>
      <c r="F114" s="6">
        <f>SUMIF('OTRAS ACCIONES'!$B$12:$B$44,C114,'OTRAS ACCIONES'!$D$12:$D$44)</f>
        <v>573</v>
      </c>
      <c r="G114" s="6">
        <f>SUMIF('OTRAS ACCIONES'!$B$46:$B$68,C114,'OTRAS ACCIONES'!$D$46:$D$68)</f>
        <v>0</v>
      </c>
      <c r="H114" s="6">
        <f>SUMIF('OTRAS ACCIONES'!$B$70:$B$82,C114,'OTRAS ACCIONES'!$D$70:$D$82)</f>
        <v>0</v>
      </c>
      <c r="I114" s="6">
        <f>SUMIF('OTRAS ACCIONES'!$B$84:$B$89,C114,'OTRAS ACCIONES'!$D$84:$D$89)</f>
        <v>0</v>
      </c>
      <c r="J114" s="6">
        <f t="shared" si="25"/>
        <v>1717</v>
      </c>
      <c r="K114" s="19">
        <f t="shared" si="26"/>
        <v>-21</v>
      </c>
      <c r="L114" s="6"/>
      <c r="M114" s="271"/>
      <c r="N114" s="271">
        <f t="shared" si="27"/>
        <v>0</v>
      </c>
      <c r="O114" s="7">
        <f t="shared" si="28"/>
        <v>1717</v>
      </c>
      <c r="P114" s="1" t="s">
        <v>208</v>
      </c>
      <c r="R114" s="4"/>
    </row>
    <row r="115" spans="1:18" x14ac:dyDescent="0.2">
      <c r="A115" s="274" t="s">
        <v>89</v>
      </c>
      <c r="B115" s="422">
        <v>35</v>
      </c>
      <c r="C115" s="220" t="s">
        <v>674</v>
      </c>
      <c r="D115" s="6">
        <f>SUMIF('PROG FORMACIÓN TITULADA'!$Q$8:$Q$1070,C115,'PROG FORMACIÓN TITULADA'!$R$8:$R$1070)</f>
        <v>0</v>
      </c>
      <c r="E115" s="6">
        <f>SUMIF('PROG FORM COMPLEM'!$G$9:$G$264,C115,'PROG FORM COMPLEM'!$K$9:$K$264)</f>
        <v>0</v>
      </c>
      <c r="F115" s="6">
        <f>SUMIF('OTRAS ACCIONES'!$B$12:$B$44,C115,'OTRAS ACCIONES'!$D$12:$D$44)</f>
        <v>1688</v>
      </c>
      <c r="G115" s="6">
        <f>SUMIF('OTRAS ACCIONES'!$B$46:$B$68,C115,'OTRAS ACCIONES'!$D$46:$D$68)</f>
        <v>0</v>
      </c>
      <c r="H115" s="6">
        <f>SUMIF('OTRAS ACCIONES'!$B$70:$B$82,C115,'OTRAS ACCIONES'!$D$70:$D$82)</f>
        <v>0</v>
      </c>
      <c r="I115" s="6">
        <f>SUMIF('OTRAS ACCIONES'!$B$84:$B$89,C115,'OTRAS ACCIONES'!$D$84:$D$89)</f>
        <v>0</v>
      </c>
      <c r="J115" s="6">
        <f t="shared" si="25"/>
        <v>1688</v>
      </c>
      <c r="K115" s="19">
        <f t="shared" si="26"/>
        <v>8</v>
      </c>
      <c r="L115" s="6"/>
      <c r="M115" s="271"/>
      <c r="N115" s="271">
        <f t="shared" si="27"/>
        <v>0</v>
      </c>
      <c r="O115" s="7">
        <f t="shared" si="28"/>
        <v>1688</v>
      </c>
      <c r="P115" s="1" t="s">
        <v>622</v>
      </c>
      <c r="R115" s="4"/>
    </row>
    <row r="116" spans="1:18" x14ac:dyDescent="0.2">
      <c r="A116" s="274" t="s">
        <v>89</v>
      </c>
      <c r="B116" s="422">
        <v>36</v>
      </c>
      <c r="C116" s="6" t="s">
        <v>255</v>
      </c>
      <c r="D116" s="6">
        <f>SUMIF('PROG FORMACIÓN TITULADA'!$Q$8:$Q$1070,C116,'PROG FORMACIÓN TITULADA'!$R$8:$R$1070)</f>
        <v>0</v>
      </c>
      <c r="E116" s="6">
        <f>SUMIF('PROG FORM COMPLEM'!$G$9:$G$264,C116,'PROG FORM COMPLEM'!$K$9:$K$264)</f>
        <v>1680</v>
      </c>
      <c r="F116" s="6">
        <f>SUMIF('OTRAS ACCIONES'!$B$12:$B$44,C116,'OTRAS ACCIONES'!$D$12:$D$44)</f>
        <v>0</v>
      </c>
      <c r="G116" s="6">
        <f>SUMIF('OTRAS ACCIONES'!$B$46:$B$68,C116,'OTRAS ACCIONES'!$D$46:$D$68)</f>
        <v>0</v>
      </c>
      <c r="H116" s="6">
        <f>SUMIF('OTRAS ACCIONES'!$B$70:$B$82,C116,'OTRAS ACCIONES'!$D$70:$D$82)</f>
        <v>0</v>
      </c>
      <c r="I116" s="6">
        <f>SUMIF('OTRAS ACCIONES'!$B$84:$B$89,C116,'OTRAS ACCIONES'!$D$84:$D$89)</f>
        <v>0</v>
      </c>
      <c r="J116" s="6">
        <f t="shared" si="25"/>
        <v>1680</v>
      </c>
      <c r="K116" s="19">
        <f t="shared" si="26"/>
        <v>16</v>
      </c>
      <c r="L116" s="6"/>
      <c r="M116" s="271"/>
      <c r="N116" s="271">
        <f t="shared" si="27"/>
        <v>0</v>
      </c>
      <c r="O116" s="7">
        <f t="shared" si="28"/>
        <v>1680</v>
      </c>
      <c r="P116" s="1" t="s">
        <v>456</v>
      </c>
      <c r="R116" s="4"/>
    </row>
    <row r="117" spans="1:18" x14ac:dyDescent="0.2">
      <c r="A117" s="274" t="s">
        <v>89</v>
      </c>
      <c r="B117" s="422">
        <v>37</v>
      </c>
      <c r="C117" s="6" t="s">
        <v>256</v>
      </c>
      <c r="D117" s="6">
        <f>SUMIF('PROG FORMACIÓN TITULADA'!$Q$8:$Q$1070,C117,'PROG FORMACIÓN TITULADA'!$R$8:$R$1070)</f>
        <v>0</v>
      </c>
      <c r="E117" s="6">
        <f>SUMIF('PROG FORM COMPLEM'!$G$9:$G$264,C117,'PROG FORM COMPLEM'!$K$9:$K$264)</f>
        <v>1680</v>
      </c>
      <c r="F117" s="6">
        <f>SUMIF('OTRAS ACCIONES'!$B$12:$B$44,C117,'OTRAS ACCIONES'!$D$12:$D$44)</f>
        <v>0</v>
      </c>
      <c r="G117" s="6">
        <f>SUMIF('OTRAS ACCIONES'!$B$46:$B$68,C117,'OTRAS ACCIONES'!$D$46:$D$68)</f>
        <v>0</v>
      </c>
      <c r="H117" s="6">
        <f>SUMIF('OTRAS ACCIONES'!$B$70:$B$82,C117,'OTRAS ACCIONES'!$D$70:$D$82)</f>
        <v>0</v>
      </c>
      <c r="I117" s="6">
        <f>SUMIF('OTRAS ACCIONES'!$B$84:$B$89,C117,'OTRAS ACCIONES'!$D$84:$D$89)</f>
        <v>0</v>
      </c>
      <c r="J117" s="6">
        <f t="shared" si="25"/>
        <v>1680</v>
      </c>
      <c r="K117" s="19">
        <f t="shared" si="26"/>
        <v>16</v>
      </c>
      <c r="L117" s="6"/>
      <c r="M117" s="271"/>
      <c r="N117" s="271">
        <f t="shared" si="27"/>
        <v>0</v>
      </c>
      <c r="O117" s="7">
        <f t="shared" si="28"/>
        <v>1680</v>
      </c>
      <c r="P117" s="1" t="s">
        <v>456</v>
      </c>
      <c r="R117" s="4"/>
    </row>
    <row r="118" spans="1:18" x14ac:dyDescent="0.2">
      <c r="A118" s="274" t="s">
        <v>89</v>
      </c>
      <c r="B118" s="422">
        <v>38</v>
      </c>
      <c r="C118" s="220" t="s">
        <v>806</v>
      </c>
      <c r="D118" s="6">
        <f>SUMIF('PROG FORMACIÓN TITULADA'!$Q$8:$Q$1070,C118,'PROG FORMACIÓN TITULADA'!$R$8:$R$1070)</f>
        <v>1336</v>
      </c>
      <c r="E118" s="6">
        <f>SUMIF('PROG FORM COMPLEM'!$G$9:$G$264,C118,'PROG FORM COMPLEM'!$K$9:$K$264)</f>
        <v>0</v>
      </c>
      <c r="F118" s="6">
        <f>SUMIF('OTRAS ACCIONES'!$B$12:$B$44,C118,'OTRAS ACCIONES'!$D$12:$D$44)</f>
        <v>0</v>
      </c>
      <c r="G118" s="6">
        <f>SUMIF('OTRAS ACCIONES'!$B$46:$B$68,C118,'OTRAS ACCIONES'!$D$46:$D$68)</f>
        <v>0</v>
      </c>
      <c r="H118" s="6">
        <f>SUMIF('OTRAS ACCIONES'!$B$70:$B$82,C118,'OTRAS ACCIONES'!$D$70:$D$82)</f>
        <v>0</v>
      </c>
      <c r="I118" s="6">
        <f>SUMIF('OTRAS ACCIONES'!$B$84:$B$89,C118,'OTRAS ACCIONES'!$D$84:$D$89)</f>
        <v>0</v>
      </c>
      <c r="J118" s="6">
        <f t="shared" si="25"/>
        <v>1336</v>
      </c>
      <c r="K118" s="19">
        <f t="shared" si="26"/>
        <v>360</v>
      </c>
      <c r="L118" s="6"/>
      <c r="M118" s="271"/>
      <c r="N118" s="271">
        <f t="shared" si="27"/>
        <v>0</v>
      </c>
      <c r="O118" s="7">
        <f t="shared" si="28"/>
        <v>1336</v>
      </c>
      <c r="P118" s="1" t="s">
        <v>451</v>
      </c>
      <c r="R118" s="4"/>
    </row>
    <row r="119" spans="1:18" x14ac:dyDescent="0.2">
      <c r="A119" s="274" t="s">
        <v>89</v>
      </c>
      <c r="B119" s="422">
        <v>39</v>
      </c>
      <c r="C119" s="6" t="s">
        <v>638</v>
      </c>
      <c r="D119" s="6">
        <f>SUMIF('PROG FORMACIÓN TITULADA'!$Q$8:$Q$1070,C119,'PROG FORMACIÓN TITULADA'!$R$8:$R$1070)</f>
        <v>0</v>
      </c>
      <c r="E119" s="6">
        <f>SUMIF('PROG FORM COMPLEM'!$G$9:$G$264,C119,'PROG FORM COMPLEM'!$K$9:$K$264)</f>
        <v>0</v>
      </c>
      <c r="F119" s="6">
        <f>SUMIF('OTRAS ACCIONES'!$B$12:$B$44,C119,'OTRAS ACCIONES'!$D$12:$D$44)</f>
        <v>0</v>
      </c>
      <c r="G119" s="6">
        <f>SUMIF('OTRAS ACCIONES'!$B$46:$B$68,C119,'OTRAS ACCIONES'!$D$46:$D$68)</f>
        <v>0</v>
      </c>
      <c r="H119" s="6">
        <f>SUMIF('OTRAS ACCIONES'!$B$70:$B$82,C119,'OTRAS ACCIONES'!$D$70:$D$82)</f>
        <v>0</v>
      </c>
      <c r="I119" s="6">
        <f>SUMIF('OTRAS ACCIONES'!$B$84:$B$89,C119,'OTRAS ACCIONES'!$D$84:$D$89)</f>
        <v>1688</v>
      </c>
      <c r="J119" s="6">
        <f t="shared" si="25"/>
        <v>1688</v>
      </c>
      <c r="K119" s="19">
        <f t="shared" si="26"/>
        <v>8</v>
      </c>
      <c r="L119" s="6"/>
      <c r="M119" s="271"/>
      <c r="N119" s="271">
        <f t="shared" si="27"/>
        <v>0</v>
      </c>
      <c r="O119" s="7">
        <f t="shared" si="28"/>
        <v>1688</v>
      </c>
      <c r="P119" s="1" t="s">
        <v>867</v>
      </c>
      <c r="R119" s="4"/>
    </row>
    <row r="120" spans="1:18" x14ac:dyDescent="0.2">
      <c r="A120" s="274" t="s">
        <v>89</v>
      </c>
      <c r="B120" s="422">
        <v>40</v>
      </c>
      <c r="C120" s="6" t="s">
        <v>257</v>
      </c>
      <c r="D120" s="6">
        <f>SUMIF('PROG FORMACIÓN TITULADA'!$Q$8:$Q$1070,C120,'PROG FORMACIÓN TITULADA'!$R$8:$R$1070)</f>
        <v>1026</v>
      </c>
      <c r="E120" s="6">
        <f>SUMIF('PROG FORM COMPLEM'!$G$9:$G$264,C120,'PROG FORM COMPLEM'!$K$9:$K$264)</f>
        <v>680</v>
      </c>
      <c r="F120" s="6">
        <f>SUMIF('OTRAS ACCIONES'!$B$12:$B$44,C120,'OTRAS ACCIONES'!$D$12:$D$44)</f>
        <v>0</v>
      </c>
      <c r="G120" s="6">
        <f>SUMIF('OTRAS ACCIONES'!$B$46:$B$68,C120,'OTRAS ACCIONES'!$D$46:$D$68)</f>
        <v>0</v>
      </c>
      <c r="H120" s="6">
        <f>SUMIF('OTRAS ACCIONES'!$B$70:$B$82,C120,'OTRAS ACCIONES'!$D$70:$D$82)</f>
        <v>0</v>
      </c>
      <c r="I120" s="6">
        <f>SUMIF('OTRAS ACCIONES'!$B$84:$B$89,C120,'OTRAS ACCIONES'!$D$84:$D$89)</f>
        <v>0</v>
      </c>
      <c r="J120" s="6">
        <f t="shared" si="25"/>
        <v>1706</v>
      </c>
      <c r="K120" s="19">
        <f t="shared" si="26"/>
        <v>-10</v>
      </c>
      <c r="L120" s="6"/>
      <c r="M120" s="271"/>
      <c r="N120" s="271">
        <f t="shared" si="27"/>
        <v>0</v>
      </c>
      <c r="O120" s="7">
        <f t="shared" si="28"/>
        <v>1706</v>
      </c>
      <c r="P120" s="1" t="s">
        <v>208</v>
      </c>
      <c r="R120" s="4"/>
    </row>
    <row r="121" spans="1:18" x14ac:dyDescent="0.2">
      <c r="A121" s="274" t="s">
        <v>89</v>
      </c>
      <c r="B121" s="422">
        <v>41</v>
      </c>
      <c r="C121" s="6" t="s">
        <v>1005</v>
      </c>
      <c r="D121" s="6">
        <f>SUMIF('PROG FORMACIÓN TITULADA'!$Q$8:$Q$1070,C121,'PROG FORMACIÓN TITULADA'!$R$8:$R$1070)</f>
        <v>848</v>
      </c>
      <c r="E121" s="6">
        <f>SUMIF('PROG FORM COMPLEM'!$G$9:$G$264,C121,'PROG FORM COMPLEM'!$K$9:$K$264)</f>
        <v>0</v>
      </c>
      <c r="F121" s="6">
        <f>SUMIF('OTRAS ACCIONES'!$B$12:$B$44,C121,'OTRAS ACCIONES'!$D$12:$D$44)</f>
        <v>0</v>
      </c>
      <c r="G121" s="6">
        <f>SUMIF('OTRAS ACCIONES'!$B$46:$B$68,C121,'OTRAS ACCIONES'!$D$46:$D$68)</f>
        <v>0</v>
      </c>
      <c r="H121" s="6">
        <f>SUMIF('OTRAS ACCIONES'!$B$70:$B$82,C121,'OTRAS ACCIONES'!$D$70:$D$82)</f>
        <v>0</v>
      </c>
      <c r="I121" s="6">
        <f>SUMIF('OTRAS ACCIONES'!$B$84:$B$89,C121,'OTRAS ACCIONES'!$D$84:$D$89)</f>
        <v>0</v>
      </c>
      <c r="J121" s="6">
        <f t="shared" si="25"/>
        <v>848</v>
      </c>
      <c r="K121" s="19">
        <f t="shared" si="26"/>
        <v>848</v>
      </c>
      <c r="L121" s="6"/>
      <c r="M121" s="271"/>
      <c r="N121" s="271">
        <f t="shared" si="27"/>
        <v>0</v>
      </c>
      <c r="O121" s="7">
        <f t="shared" si="28"/>
        <v>848</v>
      </c>
      <c r="P121" s="413" t="s">
        <v>865</v>
      </c>
      <c r="R121" s="4"/>
    </row>
    <row r="122" spans="1:18" x14ac:dyDescent="0.2">
      <c r="A122" s="274" t="s">
        <v>89</v>
      </c>
      <c r="B122" s="422">
        <v>42</v>
      </c>
      <c r="C122" s="220" t="s">
        <v>856</v>
      </c>
      <c r="D122" s="6">
        <f>SUMIF('PROG FORMACIÓN TITULADA'!$Q$8:$Q$1070,C122,'PROG FORMACIÓN TITULADA'!$R$8:$R$1070)</f>
        <v>848</v>
      </c>
      <c r="E122" s="6">
        <f>SUMIF('PROG FORM COMPLEM'!$G$9:$G$264,C122,'PROG FORM COMPLEM'!$K$9:$K$264)</f>
        <v>0</v>
      </c>
      <c r="F122" s="6">
        <f>SUMIF('OTRAS ACCIONES'!$B$12:$B$44,C122,'OTRAS ACCIONES'!$D$12:$D$44)</f>
        <v>0</v>
      </c>
      <c r="G122" s="6">
        <f>SUMIF('OTRAS ACCIONES'!$B$46:$B$68,C122,'OTRAS ACCIONES'!$D$46:$D$68)</f>
        <v>0</v>
      </c>
      <c r="H122" s="6">
        <f>SUMIF('OTRAS ACCIONES'!$B$70:$B$82,C122,'OTRAS ACCIONES'!$D$70:$D$82)</f>
        <v>0</v>
      </c>
      <c r="I122" s="6">
        <f>SUMIF('OTRAS ACCIONES'!$B$84:$B$89,C122,'OTRAS ACCIONES'!$D$84:$D$89)</f>
        <v>0</v>
      </c>
      <c r="J122" s="6">
        <f t="shared" si="25"/>
        <v>848</v>
      </c>
      <c r="K122" s="19">
        <f t="shared" si="26"/>
        <v>848</v>
      </c>
      <c r="L122" s="6"/>
      <c r="M122" s="271"/>
      <c r="N122" s="271">
        <f t="shared" si="27"/>
        <v>0</v>
      </c>
      <c r="O122" s="7">
        <f t="shared" si="28"/>
        <v>848</v>
      </c>
      <c r="P122" s="1" t="s">
        <v>486</v>
      </c>
      <c r="R122" s="4"/>
    </row>
    <row r="123" spans="1:18" x14ac:dyDescent="0.2">
      <c r="A123" s="274" t="s">
        <v>89</v>
      </c>
      <c r="B123" s="422">
        <v>43</v>
      </c>
      <c r="C123" s="6" t="s">
        <v>258</v>
      </c>
      <c r="D123" s="6">
        <f>SUMIF('PROG FORMACIÓN TITULADA'!$Q$8:$Q$1070,C123,'PROG FORMACIÓN TITULADA'!$R$8:$R$1070)</f>
        <v>1388</v>
      </c>
      <c r="E123" s="6">
        <f>SUMIF('PROG FORM COMPLEM'!$G$9:$G$264,C123,'PROG FORM COMPLEM'!$K$9:$K$264)</f>
        <v>280</v>
      </c>
      <c r="F123" s="6">
        <f>SUMIF('OTRAS ACCIONES'!$B$12:$B$44,C123,'OTRAS ACCIONES'!$D$12:$D$44)</f>
        <v>0</v>
      </c>
      <c r="G123" s="6">
        <f>SUMIF('OTRAS ACCIONES'!$B$46:$B$68,C123,'OTRAS ACCIONES'!$D$46:$D$68)</f>
        <v>0</v>
      </c>
      <c r="H123" s="6">
        <f>SUMIF('OTRAS ACCIONES'!$B$70:$B$82,C123,'OTRAS ACCIONES'!$D$70:$D$82)</f>
        <v>0</v>
      </c>
      <c r="I123" s="6">
        <f>SUMIF('OTRAS ACCIONES'!$B$84:$B$89,C123,'OTRAS ACCIONES'!$D$84:$D$89)</f>
        <v>0</v>
      </c>
      <c r="J123" s="6">
        <f t="shared" si="25"/>
        <v>1668</v>
      </c>
      <c r="K123" s="19">
        <f t="shared" si="26"/>
        <v>28</v>
      </c>
      <c r="L123" s="6"/>
      <c r="M123" s="271"/>
      <c r="N123" s="271">
        <f t="shared" si="27"/>
        <v>0</v>
      </c>
      <c r="O123" s="7">
        <f t="shared" si="28"/>
        <v>1668</v>
      </c>
      <c r="P123" s="1" t="s">
        <v>486</v>
      </c>
      <c r="R123" s="4"/>
    </row>
    <row r="124" spans="1:18" s="403" customFormat="1" x14ac:dyDescent="0.2">
      <c r="A124" s="416" t="s">
        <v>89</v>
      </c>
      <c r="B124" s="422">
        <v>44</v>
      </c>
      <c r="C124" s="346" t="s">
        <v>1024</v>
      </c>
      <c r="D124" s="346">
        <f>SUMIF('PROG FORMACIÓN TITULADA'!$Q$8:$Q$1070,C124,'PROG FORMACIÓN TITULADA'!$R$8:$R$1070)</f>
        <v>0</v>
      </c>
      <c r="E124" s="346">
        <f>SUMIF('PROG FORM COMPLEM'!$G$9:$G$264,C124,'PROG FORM COMPLEM'!$K$9:$K$264)</f>
        <v>1680</v>
      </c>
      <c r="F124" s="346">
        <f>SUMIF('OTRAS ACCIONES'!$B$12:$B$44,C124,'OTRAS ACCIONES'!$D$12:$D$44)</f>
        <v>0</v>
      </c>
      <c r="G124" s="346">
        <f>SUMIF('OTRAS ACCIONES'!$B$46:$B$68,C124,'OTRAS ACCIONES'!$D$46:$D$68)</f>
        <v>0</v>
      </c>
      <c r="H124" s="346">
        <f>SUMIF('OTRAS ACCIONES'!$B$70:$B$82,C124,'OTRAS ACCIONES'!$D$70:$D$82)</f>
        <v>0</v>
      </c>
      <c r="I124" s="346">
        <f>SUMIF('OTRAS ACCIONES'!$B$84:$B$89,C124,'OTRAS ACCIONES'!$D$84:$D$89)</f>
        <v>0</v>
      </c>
      <c r="J124" s="346">
        <f t="shared" si="25"/>
        <v>1680</v>
      </c>
      <c r="K124" s="417">
        <f t="shared" si="26"/>
        <v>16</v>
      </c>
      <c r="L124" s="346"/>
      <c r="M124" s="418"/>
      <c r="N124" s="418">
        <f t="shared" si="27"/>
        <v>0</v>
      </c>
      <c r="O124" s="419">
        <f t="shared" si="28"/>
        <v>1680</v>
      </c>
      <c r="P124" s="403" t="s">
        <v>456</v>
      </c>
      <c r="R124" s="420"/>
    </row>
    <row r="125" spans="1:18" x14ac:dyDescent="0.2">
      <c r="A125" s="274" t="s">
        <v>89</v>
      </c>
      <c r="B125" s="422">
        <v>45</v>
      </c>
      <c r="C125" s="220" t="s">
        <v>859</v>
      </c>
      <c r="D125" s="6">
        <f>SUMIF('PROG FORMACIÓN TITULADA'!$Q$8:$Q$1070,C125,'PROG FORMACIÓN TITULADA'!$R$8:$R$1070)</f>
        <v>556</v>
      </c>
      <c r="E125" s="6">
        <f>SUMIF('PROG FORM COMPLEM'!$G$9:$G$264,C125,'PROG FORM COMPLEM'!$K$9:$K$264)</f>
        <v>300</v>
      </c>
      <c r="F125" s="6">
        <f>SUMIF('OTRAS ACCIONES'!$B$12:$B$44,C125,'OTRAS ACCIONES'!$D$12:$D$44)</f>
        <v>0</v>
      </c>
      <c r="G125" s="6">
        <f>SUMIF('OTRAS ACCIONES'!$B$46:$B$68,C125,'OTRAS ACCIONES'!$D$46:$D$68)</f>
        <v>0</v>
      </c>
      <c r="H125" s="6">
        <f>SUMIF('OTRAS ACCIONES'!$B$70:$B$82,C125,'OTRAS ACCIONES'!$D$70:$D$82)</f>
        <v>0</v>
      </c>
      <c r="I125" s="6">
        <f>SUMIF('OTRAS ACCIONES'!$B$84:$B$89,C125,'OTRAS ACCIONES'!$D$84:$D$89)</f>
        <v>0</v>
      </c>
      <c r="J125" s="6">
        <f t="shared" si="25"/>
        <v>856</v>
      </c>
      <c r="K125" s="19">
        <f t="shared" si="26"/>
        <v>840</v>
      </c>
      <c r="L125" s="6"/>
      <c r="M125" s="271"/>
      <c r="N125" s="271">
        <f t="shared" si="27"/>
        <v>0</v>
      </c>
      <c r="O125" s="7">
        <f t="shared" si="28"/>
        <v>856</v>
      </c>
      <c r="P125" s="1" t="s">
        <v>486</v>
      </c>
      <c r="R125" s="4"/>
    </row>
    <row r="126" spans="1:18" x14ac:dyDescent="0.2">
      <c r="A126" s="274" t="s">
        <v>89</v>
      </c>
      <c r="B126" s="422">
        <v>46</v>
      </c>
      <c r="C126" s="220" t="s">
        <v>857</v>
      </c>
      <c r="D126" s="6">
        <f>SUMIF('PROG FORMACIÓN TITULADA'!$Q$8:$Q$1070,C126,'PROG FORMACIÓN TITULADA'!$R$8:$R$1070)</f>
        <v>522</v>
      </c>
      <c r="E126" s="6">
        <f>SUMIF('PROG FORM COMPLEM'!$G$9:$G$264,C126,'PROG FORM COMPLEM'!$K$9:$K$264)</f>
        <v>480</v>
      </c>
      <c r="F126" s="6">
        <f>SUMIF('OTRAS ACCIONES'!$B$12:$B$44,C126,'OTRAS ACCIONES'!$D$12:$D$44)</f>
        <v>0</v>
      </c>
      <c r="G126" s="6">
        <f>SUMIF('OTRAS ACCIONES'!$B$46:$B$68,C126,'OTRAS ACCIONES'!$D$46:$D$68)</f>
        <v>0</v>
      </c>
      <c r="H126" s="6">
        <f>SUMIF('OTRAS ACCIONES'!$B$70:$B$82,C126,'OTRAS ACCIONES'!$D$70:$D$82)</f>
        <v>0</v>
      </c>
      <c r="I126" s="6">
        <f>SUMIF('OTRAS ACCIONES'!$B$84:$B$89,C126,'OTRAS ACCIONES'!$D$84:$D$89)</f>
        <v>0</v>
      </c>
      <c r="J126" s="6">
        <f t="shared" si="25"/>
        <v>1002</v>
      </c>
      <c r="K126" s="19">
        <f t="shared" si="26"/>
        <v>694</v>
      </c>
      <c r="L126" s="6"/>
      <c r="M126" s="271"/>
      <c r="N126" s="271">
        <f t="shared" si="27"/>
        <v>0</v>
      </c>
      <c r="O126" s="7">
        <f t="shared" si="28"/>
        <v>1002</v>
      </c>
      <c r="P126" s="1" t="s">
        <v>486</v>
      </c>
      <c r="R126" s="4"/>
    </row>
    <row r="127" spans="1:18" ht="12.75" customHeight="1" x14ac:dyDescent="0.2">
      <c r="A127" s="416" t="s">
        <v>89</v>
      </c>
      <c r="B127" s="422">
        <v>47</v>
      </c>
      <c r="C127" s="346" t="s">
        <v>1030</v>
      </c>
      <c r="D127" s="346">
        <f>SUMIF('PROG FORMACIÓN TITULADA'!$Q$8:$Q$1070,C127,'PROG FORMACIÓN TITULADA'!$R$8:$R$1070)</f>
        <v>0</v>
      </c>
      <c r="E127" s="346">
        <f>SUMIF('PROG FORM COMPLEM'!$G$9:$G$264,C127,'PROG FORM COMPLEM'!$K$9:$K$264)</f>
        <v>0</v>
      </c>
      <c r="F127" s="346">
        <f>SUMIF('OTRAS ACCIONES'!$B$12:$B$44,C127,'OTRAS ACCIONES'!$D$12:$D$44)</f>
        <v>1696</v>
      </c>
      <c r="G127" s="346">
        <f>SUMIF('OTRAS ACCIONES'!$B$46:$B$68,C127,'OTRAS ACCIONES'!$D$46:$D$68)</f>
        <v>0</v>
      </c>
      <c r="H127" s="346">
        <f>SUMIF('OTRAS ACCIONES'!$B$70:$B$82,C127,'OTRAS ACCIONES'!$D$70:$D$82)</f>
        <v>0</v>
      </c>
      <c r="I127" s="346">
        <f>SUMIF('OTRAS ACCIONES'!$B$84:$B$89,C127,'OTRAS ACCIONES'!$D$84:$D$89)</f>
        <v>0</v>
      </c>
      <c r="J127" s="346">
        <f t="shared" si="25"/>
        <v>1696</v>
      </c>
      <c r="K127" s="417">
        <f t="shared" si="26"/>
        <v>0</v>
      </c>
      <c r="L127" s="346"/>
      <c r="M127" s="418"/>
      <c r="N127" s="418">
        <f t="shared" si="27"/>
        <v>0</v>
      </c>
      <c r="O127" s="419">
        <f t="shared" si="28"/>
        <v>1696</v>
      </c>
      <c r="P127" s="403" t="s">
        <v>869</v>
      </c>
      <c r="Q127" s="403"/>
      <c r="R127" s="420"/>
    </row>
    <row r="128" spans="1:18" ht="12.75" customHeight="1" x14ac:dyDescent="0.25">
      <c r="A128" s="274" t="s">
        <v>89</v>
      </c>
      <c r="B128" s="422">
        <v>48</v>
      </c>
      <c r="C128" s="411" t="s">
        <v>668</v>
      </c>
      <c r="D128" s="6">
        <f>SUMIF('PROG FORMACIÓN TITULADA'!$Q$8:$Q$1070,C128,'PROG FORMACIÓN TITULADA'!$R$8:$R$1070)</f>
        <v>0</v>
      </c>
      <c r="E128" s="6">
        <f>SUMIF('PROG FORM COMPLEM'!$G$9:$G$264,C128,'PROG FORM COMPLEM'!$K$9:$K$264)</f>
        <v>1500</v>
      </c>
      <c r="F128" s="6">
        <f>SUMIF('OTRAS ACCIONES'!$B$12:$B$44,C128,'OTRAS ACCIONES'!$D$12:$D$44)</f>
        <v>0</v>
      </c>
      <c r="G128" s="6">
        <f>SUMIF('OTRAS ACCIONES'!$B$46:$B$68,C128,'OTRAS ACCIONES'!$D$46:$D$68)</f>
        <v>0</v>
      </c>
      <c r="H128" s="6">
        <f>SUMIF('OTRAS ACCIONES'!$B$70:$B$82,C128,'OTRAS ACCIONES'!$D$70:$D$82)</f>
        <v>0</v>
      </c>
      <c r="I128" s="6">
        <f>SUMIF('OTRAS ACCIONES'!$B$84:$B$89,C128,'OTRAS ACCIONES'!$D$84:$D$89)</f>
        <v>0</v>
      </c>
      <c r="J128" s="6">
        <f t="shared" si="25"/>
        <v>1500</v>
      </c>
      <c r="K128" s="19">
        <f t="shared" si="26"/>
        <v>196</v>
      </c>
      <c r="L128" s="6"/>
      <c r="M128" s="271"/>
      <c r="N128" s="271">
        <f t="shared" si="27"/>
        <v>0</v>
      </c>
      <c r="O128" s="7">
        <f t="shared" si="28"/>
        <v>1500</v>
      </c>
      <c r="P128" s="1" t="s">
        <v>865</v>
      </c>
      <c r="R128" s="4"/>
    </row>
    <row r="129" spans="1:18" ht="12.75" customHeight="1" x14ac:dyDescent="0.2">
      <c r="A129" s="274" t="s">
        <v>89</v>
      </c>
      <c r="B129" s="422">
        <v>49</v>
      </c>
      <c r="C129" s="220" t="s">
        <v>950</v>
      </c>
      <c r="D129" s="6">
        <f>SUMIF('PROG FORMACIÓN TITULADA'!$Q$8:$Q$1070,C129,'PROG FORMACIÓN TITULADA'!$R$8:$R$1070)</f>
        <v>0</v>
      </c>
      <c r="E129" s="6">
        <f>SUMIF('PROG FORM COMPLEM'!$G$9:$G$264,C129,'PROG FORM COMPLEM'!$K$9:$K$264)</f>
        <v>844</v>
      </c>
      <c r="F129" s="6">
        <f>SUMIF('OTRAS ACCIONES'!$B$12:$B$44,C129,'OTRAS ACCIONES'!$D$12:$D$44)</f>
        <v>0</v>
      </c>
      <c r="G129" s="6">
        <f>SUMIF('OTRAS ACCIONES'!$B$46:$B$68,C129,'OTRAS ACCIONES'!$D$46:$D$68)</f>
        <v>0</v>
      </c>
      <c r="H129" s="6">
        <f>SUMIF('OTRAS ACCIONES'!$B$70:$B$82,C129,'OTRAS ACCIONES'!$D$70:$D$82)</f>
        <v>0</v>
      </c>
      <c r="I129" s="6">
        <f>SUMIF('OTRAS ACCIONES'!$B$84:$B$89,C129,'OTRAS ACCIONES'!$D$84:$D$89)</f>
        <v>0</v>
      </c>
      <c r="J129" s="6">
        <f t="shared" si="25"/>
        <v>844</v>
      </c>
      <c r="K129" s="19">
        <f t="shared" si="26"/>
        <v>852</v>
      </c>
      <c r="L129" s="6"/>
      <c r="M129" s="271"/>
      <c r="N129" s="271">
        <f t="shared" si="27"/>
        <v>0</v>
      </c>
      <c r="O129" s="7">
        <f t="shared" si="28"/>
        <v>844</v>
      </c>
      <c r="P129" s="1" t="s">
        <v>622</v>
      </c>
      <c r="R129" s="4"/>
    </row>
    <row r="130" spans="1:18" x14ac:dyDescent="0.2">
      <c r="A130" s="274" t="s">
        <v>89</v>
      </c>
      <c r="B130" s="422">
        <v>50</v>
      </c>
      <c r="C130" s="343" t="s">
        <v>949</v>
      </c>
      <c r="D130" s="6">
        <f>SUMIF('PROG FORMACIÓN TITULADA'!$Q$8:$Q$1070,C130,'PROG FORMACIÓN TITULADA'!$R$8:$R$1070)</f>
        <v>0</v>
      </c>
      <c r="E130" s="6">
        <f>SUMIF('PROG FORM COMPLEM'!$G$9:$G$264,C130,'PROG FORM COMPLEM'!$K$9:$K$264)</f>
        <v>1688</v>
      </c>
      <c r="F130" s="6">
        <f>SUMIF('OTRAS ACCIONES'!$B$12:$B$44,C130,'OTRAS ACCIONES'!$D$12:$D$44)</f>
        <v>0</v>
      </c>
      <c r="G130" s="6">
        <f>SUMIF('OTRAS ACCIONES'!$B$46:$B$68,C130,'OTRAS ACCIONES'!$D$46:$D$68)</f>
        <v>0</v>
      </c>
      <c r="H130" s="6">
        <f>SUMIF('OTRAS ACCIONES'!$B$70:$B$82,C130,'OTRAS ACCIONES'!$D$70:$D$82)</f>
        <v>0</v>
      </c>
      <c r="I130" s="6">
        <f>SUMIF('OTRAS ACCIONES'!$B$84:$B$89,C130,'OTRAS ACCIONES'!$D$84:$D$89)</f>
        <v>0</v>
      </c>
      <c r="J130" s="6">
        <f t="shared" si="25"/>
        <v>1688</v>
      </c>
      <c r="K130" s="19">
        <f t="shared" si="26"/>
        <v>8</v>
      </c>
      <c r="L130" s="6"/>
      <c r="M130" s="271"/>
      <c r="N130" s="271">
        <f t="shared" si="27"/>
        <v>0</v>
      </c>
      <c r="O130" s="7">
        <f t="shared" si="28"/>
        <v>1688</v>
      </c>
      <c r="P130" s="1" t="s">
        <v>622</v>
      </c>
      <c r="R130" s="4"/>
    </row>
    <row r="131" spans="1:18" x14ac:dyDescent="0.2">
      <c r="A131" s="274" t="s">
        <v>89</v>
      </c>
      <c r="B131" s="422">
        <v>51</v>
      </c>
      <c r="C131" s="343" t="s">
        <v>947</v>
      </c>
      <c r="D131" s="6">
        <f>SUMIF('PROG FORMACIÓN TITULADA'!$Q$8:$Q$1070,C131,'PROG FORMACIÓN TITULADA'!$R$8:$R$1070)</f>
        <v>0</v>
      </c>
      <c r="E131" s="6">
        <f>SUMIF('PROG FORM COMPLEM'!$G$9:$G$264,C131,'PROG FORM COMPLEM'!$K$9:$K$264)</f>
        <v>1688</v>
      </c>
      <c r="F131" s="6">
        <f>SUMIF('OTRAS ACCIONES'!$B$12:$B$44,C131,'OTRAS ACCIONES'!$D$12:$D$44)</f>
        <v>0</v>
      </c>
      <c r="G131" s="6">
        <f>SUMIF('OTRAS ACCIONES'!$B$46:$B$68,C131,'OTRAS ACCIONES'!$D$46:$D$68)</f>
        <v>0</v>
      </c>
      <c r="H131" s="6">
        <f>SUMIF('OTRAS ACCIONES'!$B$70:$B$82,C131,'OTRAS ACCIONES'!$D$70:$D$82)</f>
        <v>0</v>
      </c>
      <c r="I131" s="6">
        <f>SUMIF('OTRAS ACCIONES'!$B$84:$B$89,C131,'OTRAS ACCIONES'!$D$84:$D$89)</f>
        <v>0</v>
      </c>
      <c r="J131" s="6">
        <f t="shared" si="25"/>
        <v>1688</v>
      </c>
      <c r="K131" s="19">
        <f t="shared" si="26"/>
        <v>8</v>
      </c>
      <c r="L131" s="6"/>
      <c r="M131" s="271"/>
      <c r="N131" s="271">
        <f t="shared" si="27"/>
        <v>0</v>
      </c>
      <c r="O131" s="7">
        <f t="shared" si="28"/>
        <v>1688</v>
      </c>
      <c r="P131" s="1" t="s">
        <v>622</v>
      </c>
      <c r="R131" s="4"/>
    </row>
    <row r="132" spans="1:18" x14ac:dyDescent="0.2">
      <c r="A132" s="274" t="s">
        <v>89</v>
      </c>
      <c r="B132" s="422">
        <v>52</v>
      </c>
      <c r="C132" s="220" t="s">
        <v>948</v>
      </c>
      <c r="D132" s="6">
        <f>SUMIF('PROG FORMACIÓN TITULADA'!$Q$8:$Q$1070,C132,'PROG FORMACIÓN TITULADA'!$R$8:$R$1070)</f>
        <v>0</v>
      </c>
      <c r="E132" s="6">
        <f>SUMIF('PROG FORM COMPLEM'!$G$9:$G$264,C132,'PROG FORM COMPLEM'!$K$9:$K$264)</f>
        <v>844</v>
      </c>
      <c r="F132" s="6">
        <f>SUMIF('OTRAS ACCIONES'!$B$12:$B$44,C132,'OTRAS ACCIONES'!$D$12:$D$44)</f>
        <v>0</v>
      </c>
      <c r="G132" s="6">
        <f>SUMIF('OTRAS ACCIONES'!$B$46:$B$68,C132,'OTRAS ACCIONES'!$D$46:$D$68)</f>
        <v>0</v>
      </c>
      <c r="H132" s="6">
        <f>SUMIF('OTRAS ACCIONES'!$B$70:$B$82,C132,'OTRAS ACCIONES'!$D$70:$D$82)</f>
        <v>0</v>
      </c>
      <c r="I132" s="6">
        <f>SUMIF('OTRAS ACCIONES'!$B$84:$B$89,C132,'OTRAS ACCIONES'!$D$84:$D$89)</f>
        <v>0</v>
      </c>
      <c r="J132" s="6">
        <f t="shared" si="25"/>
        <v>844</v>
      </c>
      <c r="K132" s="19">
        <f t="shared" si="26"/>
        <v>852</v>
      </c>
      <c r="L132" s="6"/>
      <c r="M132" s="271"/>
      <c r="N132" s="271">
        <f t="shared" si="27"/>
        <v>0</v>
      </c>
      <c r="O132" s="7">
        <f t="shared" si="28"/>
        <v>844</v>
      </c>
      <c r="P132" s="1" t="s">
        <v>622</v>
      </c>
      <c r="R132" s="4"/>
    </row>
    <row r="133" spans="1:18" x14ac:dyDescent="0.2">
      <c r="A133" s="416" t="s">
        <v>89</v>
      </c>
      <c r="B133" s="422">
        <v>53</v>
      </c>
      <c r="C133" s="425" t="s">
        <v>1035</v>
      </c>
      <c r="D133" s="346">
        <f>SUMIF('PROG FORMACIÓN TITULADA'!$Q$8:$Q$1070,C133,'PROG FORMACIÓN TITULADA'!$R$8:$R$1070)</f>
        <v>0</v>
      </c>
      <c r="E133" s="346">
        <f>SUMIF('PROG FORM COMPLEM'!$G$9:$G$264,C133,'PROG FORM COMPLEM'!$K$9:$K$264)</f>
        <v>1680</v>
      </c>
      <c r="F133" s="346">
        <f>SUMIF('OTRAS ACCIONES'!$B$12:$B$44,C133,'OTRAS ACCIONES'!$D$12:$D$44)</f>
        <v>0</v>
      </c>
      <c r="G133" s="346">
        <f>SUMIF('OTRAS ACCIONES'!$B$46:$B$68,C133,'OTRAS ACCIONES'!$D$46:$D$68)</f>
        <v>0</v>
      </c>
      <c r="H133" s="346">
        <f>SUMIF('OTRAS ACCIONES'!$B$70:$B$82,C133,'OTRAS ACCIONES'!$D$70:$D$82)</f>
        <v>0</v>
      </c>
      <c r="I133" s="346">
        <f>SUMIF('OTRAS ACCIONES'!$B$84:$B$89,C133,'OTRAS ACCIONES'!$D$84:$D$89)</f>
        <v>0</v>
      </c>
      <c r="J133" s="346">
        <f t="shared" si="25"/>
        <v>1680</v>
      </c>
      <c r="K133" s="417">
        <f t="shared" si="26"/>
        <v>16</v>
      </c>
      <c r="L133" s="346"/>
      <c r="M133" s="418"/>
      <c r="N133" s="418">
        <f t="shared" si="27"/>
        <v>0</v>
      </c>
      <c r="O133" s="419">
        <f t="shared" si="28"/>
        <v>1680</v>
      </c>
      <c r="P133" s="403" t="s">
        <v>865</v>
      </c>
      <c r="Q133" s="403"/>
      <c r="R133" s="420"/>
    </row>
    <row r="134" spans="1:18" ht="25.5" x14ac:dyDescent="0.2">
      <c r="A134" s="274" t="s">
        <v>89</v>
      </c>
      <c r="B134" s="422">
        <v>54</v>
      </c>
      <c r="C134" s="277" t="s">
        <v>665</v>
      </c>
      <c r="D134" s="6">
        <f>SUMIF('PROG FORMACIÓN TITULADA'!$Q$8:$Q$1070,C134,'PROG FORMACIÓN TITULADA'!$R$8:$R$1070)</f>
        <v>0</v>
      </c>
      <c r="E134" s="6">
        <f>SUMIF('PROG FORM COMPLEM'!$G$9:$G$264,C134,'PROG FORM COMPLEM'!$K$9:$K$264)</f>
        <v>1688</v>
      </c>
      <c r="F134" s="6">
        <f>SUMIF('OTRAS ACCIONES'!$B$12:$B$44,C134,'OTRAS ACCIONES'!$D$12:$D$44)</f>
        <v>0</v>
      </c>
      <c r="G134" s="6">
        <f>SUMIF('OTRAS ACCIONES'!$B$46:$B$68,C134,'OTRAS ACCIONES'!$D$46:$D$68)</f>
        <v>0</v>
      </c>
      <c r="H134" s="6">
        <f>SUMIF('OTRAS ACCIONES'!$B$70:$B$82,C134,'OTRAS ACCIONES'!$D$70:$D$82)</f>
        <v>0</v>
      </c>
      <c r="I134" s="6">
        <f>SUMIF('OTRAS ACCIONES'!$B$84:$B$89,C134,'OTRAS ACCIONES'!$D$84:$D$89)</f>
        <v>0</v>
      </c>
      <c r="J134" s="6">
        <f t="shared" si="25"/>
        <v>1688</v>
      </c>
      <c r="K134" s="19">
        <f t="shared" si="26"/>
        <v>8</v>
      </c>
      <c r="L134" s="6"/>
      <c r="M134" s="271"/>
      <c r="N134" s="271">
        <f t="shared" si="27"/>
        <v>0</v>
      </c>
      <c r="O134" s="7">
        <f t="shared" si="28"/>
        <v>1688</v>
      </c>
      <c r="P134" s="1" t="s">
        <v>208</v>
      </c>
      <c r="R134" s="4"/>
    </row>
    <row r="135" spans="1:18" s="403" customFormat="1" x14ac:dyDescent="0.2">
      <c r="A135" s="274" t="s">
        <v>89</v>
      </c>
      <c r="B135" s="422">
        <v>55</v>
      </c>
      <c r="C135" s="220" t="s">
        <v>922</v>
      </c>
      <c r="D135" s="6">
        <f>SUMIF('PROG FORMACIÓN TITULADA'!$Q$8:$Q$1070,C135,'PROG FORMACIÓN TITULADA'!$R$8:$R$1070)</f>
        <v>420</v>
      </c>
      <c r="E135" s="6">
        <f>SUMIF('PROG FORM COMPLEM'!$G$9:$G$264,C135,'PROG FORM COMPLEM'!$K$9:$K$264)</f>
        <v>400</v>
      </c>
      <c r="F135" s="6">
        <f>SUMIF('OTRAS ACCIONES'!$B$12:$B$44,C135,'OTRAS ACCIONES'!$D$12:$D$44)</f>
        <v>0</v>
      </c>
      <c r="G135" s="6">
        <f>SUMIF('OTRAS ACCIONES'!$B$46:$B$68,C135,'OTRAS ACCIONES'!$D$46:$D$68)</f>
        <v>0</v>
      </c>
      <c r="H135" s="6">
        <f>SUMIF('OTRAS ACCIONES'!$B$70:$B$82,C135,'OTRAS ACCIONES'!$D$70:$D$82)</f>
        <v>0</v>
      </c>
      <c r="I135" s="6">
        <f>SUMIF('OTRAS ACCIONES'!$B$84:$B$89,C135,'OTRAS ACCIONES'!$D$84:$D$89)</f>
        <v>0</v>
      </c>
      <c r="J135" s="6">
        <f t="shared" si="25"/>
        <v>820</v>
      </c>
      <c r="K135" s="19">
        <f t="shared" si="26"/>
        <v>876</v>
      </c>
      <c r="L135" s="6"/>
      <c r="M135" s="271"/>
      <c r="N135" s="271">
        <f t="shared" si="27"/>
        <v>0</v>
      </c>
      <c r="O135" s="7">
        <f t="shared" si="28"/>
        <v>820</v>
      </c>
      <c r="P135" s="1" t="s">
        <v>865</v>
      </c>
      <c r="Q135" s="1"/>
      <c r="R135" s="4"/>
    </row>
    <row r="136" spans="1:18" s="403" customFormat="1" x14ac:dyDescent="0.2">
      <c r="A136" s="416" t="s">
        <v>89</v>
      </c>
      <c r="B136" s="422">
        <v>56</v>
      </c>
      <c r="C136" s="425" t="s">
        <v>1036</v>
      </c>
      <c r="D136" s="346">
        <f>SUMIF('PROG FORMACIÓN TITULADA'!$Q$8:$Q$1070,C136,'PROG FORMACIÓN TITULADA'!$R$8:$R$1070)</f>
        <v>1692</v>
      </c>
      <c r="E136" s="346">
        <f>SUMIF('PROG FORM COMPLEM'!$G$9:$G$264,C136,'PROG FORM COMPLEM'!$K$9:$K$264)</f>
        <v>0</v>
      </c>
      <c r="F136" s="346">
        <f>SUMIF('OTRAS ACCIONES'!$B$12:$B$44,C136,'OTRAS ACCIONES'!$D$12:$D$44)</f>
        <v>0</v>
      </c>
      <c r="G136" s="346">
        <f>SUMIF('OTRAS ACCIONES'!$B$46:$B$68,C136,'OTRAS ACCIONES'!$D$46:$D$68)</f>
        <v>0</v>
      </c>
      <c r="H136" s="346">
        <f>SUMIF('OTRAS ACCIONES'!$B$70:$B$82,C136,'OTRAS ACCIONES'!$D$70:$D$82)</f>
        <v>0</v>
      </c>
      <c r="I136" s="346">
        <f>SUMIF('OTRAS ACCIONES'!$B$84:$B$89,C136,'OTRAS ACCIONES'!$D$84:$D$89)</f>
        <v>0</v>
      </c>
      <c r="J136" s="346">
        <f t="shared" si="25"/>
        <v>1692</v>
      </c>
      <c r="K136" s="417">
        <f t="shared" si="26"/>
        <v>4</v>
      </c>
      <c r="L136" s="346"/>
      <c r="M136" s="418"/>
      <c r="N136" s="418">
        <f t="shared" si="27"/>
        <v>0</v>
      </c>
      <c r="O136" s="419">
        <f t="shared" si="28"/>
        <v>1692</v>
      </c>
      <c r="P136" s="403" t="s">
        <v>865</v>
      </c>
      <c r="R136" s="420"/>
    </row>
    <row r="137" spans="1:18" x14ac:dyDescent="0.2">
      <c r="A137" s="274" t="s">
        <v>89</v>
      </c>
      <c r="B137" s="422">
        <v>57</v>
      </c>
      <c r="C137" s="220" t="s">
        <v>737</v>
      </c>
      <c r="D137" s="6">
        <f>SUMIF('PROG FORMACIÓN TITULADA'!$Q$8:$Q$1070,C137,'PROG FORMACIÓN TITULADA'!$R$8:$R$1070)</f>
        <v>848</v>
      </c>
      <c r="E137" s="6">
        <f>SUMIF('PROG FORM COMPLEM'!$G$9:$G$264,C137,'PROG FORM COMPLEM'!$K$9:$K$264)</f>
        <v>850</v>
      </c>
      <c r="F137" s="6">
        <f>SUMIF('OTRAS ACCIONES'!$B$12:$B$44,C137,'OTRAS ACCIONES'!$D$12:$D$44)</f>
        <v>0</v>
      </c>
      <c r="G137" s="6">
        <f>SUMIF('OTRAS ACCIONES'!$B$46:$B$68,C137,'OTRAS ACCIONES'!$D$46:$D$68)</f>
        <v>0</v>
      </c>
      <c r="H137" s="6">
        <f>SUMIF('OTRAS ACCIONES'!$B$70:$B$82,C137,'OTRAS ACCIONES'!$D$70:$D$82)</f>
        <v>0</v>
      </c>
      <c r="I137" s="6">
        <f>SUMIF('OTRAS ACCIONES'!$B$84:$B$89,C137,'OTRAS ACCIONES'!$D$84:$D$89)</f>
        <v>0</v>
      </c>
      <c r="J137" s="6">
        <f t="shared" si="25"/>
        <v>1698</v>
      </c>
      <c r="K137" s="19">
        <f t="shared" si="26"/>
        <v>-2</v>
      </c>
      <c r="L137" s="6"/>
      <c r="M137" s="271"/>
      <c r="N137" s="271">
        <f t="shared" si="27"/>
        <v>0</v>
      </c>
      <c r="O137" s="7">
        <f t="shared" si="28"/>
        <v>1698</v>
      </c>
      <c r="P137" s="1" t="s">
        <v>208</v>
      </c>
      <c r="R137" s="4"/>
    </row>
    <row r="138" spans="1:18" x14ac:dyDescent="0.2">
      <c r="A138" s="274" t="s">
        <v>89</v>
      </c>
      <c r="B138" s="422">
        <v>58</v>
      </c>
      <c r="C138" s="6" t="s">
        <v>259</v>
      </c>
      <c r="D138" s="6">
        <f>SUMIF('PROG FORMACIÓN TITULADA'!$Q$8:$Q$1070,C138,'PROG FORMACIÓN TITULADA'!$R$8:$R$1070)</f>
        <v>624</v>
      </c>
      <c r="E138" s="6">
        <f>SUMIF('PROG FORM COMPLEM'!$G$9:$G$264,C138,'PROG FORM COMPLEM'!$K$9:$K$264)</f>
        <v>1080</v>
      </c>
      <c r="F138" s="6">
        <f>SUMIF('OTRAS ACCIONES'!$B$12:$B$44,C138,'OTRAS ACCIONES'!$D$12:$D$44)</f>
        <v>0</v>
      </c>
      <c r="G138" s="6">
        <f>SUMIF('OTRAS ACCIONES'!$B$46:$B$68,C138,'OTRAS ACCIONES'!$D$46:$D$68)</f>
        <v>0</v>
      </c>
      <c r="H138" s="6">
        <f>SUMIF('OTRAS ACCIONES'!$B$70:$B$82,C138,'OTRAS ACCIONES'!$D$70:$D$82)</f>
        <v>0</v>
      </c>
      <c r="I138" s="6">
        <f>SUMIF('OTRAS ACCIONES'!$B$84:$B$89,C138,'OTRAS ACCIONES'!$D$84:$D$89)</f>
        <v>0</v>
      </c>
      <c r="J138" s="6">
        <f t="shared" si="25"/>
        <v>1704</v>
      </c>
      <c r="K138" s="19">
        <f t="shared" si="26"/>
        <v>-8</v>
      </c>
      <c r="L138" s="6"/>
      <c r="M138" s="271"/>
      <c r="N138" s="271">
        <f t="shared" si="27"/>
        <v>0</v>
      </c>
      <c r="O138" s="7">
        <f t="shared" si="28"/>
        <v>1704</v>
      </c>
      <c r="P138" s="1" t="s">
        <v>208</v>
      </c>
      <c r="R138" s="4"/>
    </row>
    <row r="139" spans="1:18" x14ac:dyDescent="0.2">
      <c r="A139" s="274" t="s">
        <v>89</v>
      </c>
      <c r="B139" s="422">
        <v>59</v>
      </c>
      <c r="C139" s="6" t="s">
        <v>260</v>
      </c>
      <c r="D139" s="6">
        <f>SUMIF('PROG FORMACIÓN TITULADA'!$Q$8:$Q$1070,C139,'PROG FORMACIÓN TITULADA'!$R$8:$R$1070)</f>
        <v>1272</v>
      </c>
      <c r="E139" s="6">
        <f>SUMIF('PROG FORM COMPLEM'!$G$9:$G$264,C139,'PROG FORM COMPLEM'!$K$9:$K$264)</f>
        <v>440</v>
      </c>
      <c r="F139" s="6">
        <f>SUMIF('OTRAS ACCIONES'!$B$12:$B$44,C139,'OTRAS ACCIONES'!$D$12:$D$44)</f>
        <v>0</v>
      </c>
      <c r="G139" s="6">
        <f>SUMIF('OTRAS ACCIONES'!$B$46:$B$68,C139,'OTRAS ACCIONES'!$D$46:$D$68)</f>
        <v>0</v>
      </c>
      <c r="H139" s="6">
        <f>SUMIF('OTRAS ACCIONES'!$B$70:$B$82,C139,'OTRAS ACCIONES'!$D$70:$D$82)</f>
        <v>0</v>
      </c>
      <c r="I139" s="6">
        <f>SUMIF('OTRAS ACCIONES'!$B$84:$B$89,C139,'OTRAS ACCIONES'!$D$84:$D$89)</f>
        <v>0</v>
      </c>
      <c r="J139" s="6">
        <f t="shared" si="25"/>
        <v>1712</v>
      </c>
      <c r="K139" s="19">
        <f t="shared" si="26"/>
        <v>-16</v>
      </c>
      <c r="L139" s="6"/>
      <c r="M139" s="271"/>
      <c r="N139" s="271">
        <f t="shared" si="27"/>
        <v>0</v>
      </c>
      <c r="O139" s="7">
        <f t="shared" si="28"/>
        <v>1712</v>
      </c>
      <c r="P139" s="1" t="s">
        <v>451</v>
      </c>
      <c r="R139" s="4"/>
    </row>
    <row r="140" spans="1:18" x14ac:dyDescent="0.2">
      <c r="A140" s="274" t="s">
        <v>89</v>
      </c>
      <c r="B140" s="422">
        <v>60</v>
      </c>
      <c r="C140" s="6" t="s">
        <v>261</v>
      </c>
      <c r="D140" s="6">
        <f>SUMIF('PROG FORMACIÓN TITULADA'!$Q$8:$Q$1070,C140,'PROG FORMACIÓN TITULADA'!$R$8:$R$1070)</f>
        <v>1482</v>
      </c>
      <c r="E140" s="6">
        <f>SUMIF('PROG FORM COMPLEM'!$G$9:$G$264,C140,'PROG FORM COMPLEM'!$K$9:$K$264)</f>
        <v>240</v>
      </c>
      <c r="F140" s="6">
        <f>SUMIF('OTRAS ACCIONES'!$B$12:$B$44,C140,'OTRAS ACCIONES'!$D$12:$D$44)</f>
        <v>0</v>
      </c>
      <c r="G140" s="6">
        <f>SUMIF('OTRAS ACCIONES'!$B$46:$B$68,C140,'OTRAS ACCIONES'!$D$46:$D$68)</f>
        <v>0</v>
      </c>
      <c r="H140" s="6">
        <f>SUMIF('OTRAS ACCIONES'!$B$70:$B$82,C140,'OTRAS ACCIONES'!$D$70:$D$82)</f>
        <v>0</v>
      </c>
      <c r="I140" s="6">
        <f>SUMIF('OTRAS ACCIONES'!$B$84:$B$89,C140,'OTRAS ACCIONES'!$D$84:$D$89)</f>
        <v>0</v>
      </c>
      <c r="J140" s="6">
        <f t="shared" si="25"/>
        <v>1722</v>
      </c>
      <c r="K140" s="19">
        <f t="shared" si="26"/>
        <v>-26</v>
      </c>
      <c r="L140" s="6"/>
      <c r="M140" s="271"/>
      <c r="N140" s="271">
        <f t="shared" si="27"/>
        <v>0</v>
      </c>
      <c r="O140" s="7">
        <f t="shared" si="28"/>
        <v>1722</v>
      </c>
      <c r="P140" s="1" t="s">
        <v>486</v>
      </c>
      <c r="R140" s="4"/>
    </row>
    <row r="141" spans="1:18" x14ac:dyDescent="0.2">
      <c r="A141" s="274" t="s">
        <v>89</v>
      </c>
      <c r="B141" s="422">
        <v>61</v>
      </c>
      <c r="C141" s="6" t="s">
        <v>262</v>
      </c>
      <c r="D141" s="6">
        <f>SUMIF('PROG FORMACIÓN TITULADA'!$Q$8:$Q$1070,C141,'PROG FORMACIÓN TITULADA'!$R$8:$R$1070)</f>
        <v>1034</v>
      </c>
      <c r="E141" s="6">
        <f>SUMIF('PROG FORM COMPLEM'!$G$9:$G$264,C141,'PROG FORM COMPLEM'!$K$9:$K$264)</f>
        <v>650</v>
      </c>
      <c r="F141" s="6">
        <f>SUMIF('OTRAS ACCIONES'!$B$12:$B$44,C141,'OTRAS ACCIONES'!$D$12:$D$44)</f>
        <v>0</v>
      </c>
      <c r="G141" s="6">
        <f>SUMIF('OTRAS ACCIONES'!$B$46:$B$68,C141,'OTRAS ACCIONES'!$D$46:$D$68)</f>
        <v>0</v>
      </c>
      <c r="H141" s="6">
        <f>SUMIF('OTRAS ACCIONES'!$B$70:$B$82,C141,'OTRAS ACCIONES'!$D$70:$D$82)</f>
        <v>0</v>
      </c>
      <c r="I141" s="6">
        <f>SUMIF('OTRAS ACCIONES'!$B$84:$B$89,C141,'OTRAS ACCIONES'!$D$84:$D$89)</f>
        <v>0</v>
      </c>
      <c r="J141" s="6">
        <f t="shared" si="25"/>
        <v>1684</v>
      </c>
      <c r="K141" s="19">
        <f t="shared" si="26"/>
        <v>12</v>
      </c>
      <c r="L141" s="6"/>
      <c r="M141" s="271"/>
      <c r="N141" s="271">
        <f t="shared" si="27"/>
        <v>0</v>
      </c>
      <c r="O141" s="7">
        <f t="shared" si="28"/>
        <v>1684</v>
      </c>
      <c r="P141" s="1" t="s">
        <v>456</v>
      </c>
      <c r="R141" s="4"/>
    </row>
    <row r="142" spans="1:18" x14ac:dyDescent="0.2">
      <c r="A142" s="274" t="s">
        <v>89</v>
      </c>
      <c r="B142" s="422">
        <v>62</v>
      </c>
      <c r="C142" s="6" t="s">
        <v>263</v>
      </c>
      <c r="D142" s="6">
        <f>SUMIF('PROG FORMACIÓN TITULADA'!$Q$8:$Q$1070,C142,'PROG FORMACIÓN TITULADA'!$R$8:$R$1070)</f>
        <v>0</v>
      </c>
      <c r="E142" s="6">
        <f>SUMIF('PROG FORM COMPLEM'!$G$9:$G$264,C142,'PROG FORM COMPLEM'!$K$9:$K$264)</f>
        <v>1680</v>
      </c>
      <c r="F142" s="6">
        <f>SUMIF('OTRAS ACCIONES'!$B$12:$B$44,C142,'OTRAS ACCIONES'!$D$12:$D$44)</f>
        <v>0</v>
      </c>
      <c r="G142" s="6">
        <f>SUMIF('OTRAS ACCIONES'!$B$46:$B$68,C142,'OTRAS ACCIONES'!$D$46:$D$68)</f>
        <v>0</v>
      </c>
      <c r="H142" s="6">
        <f>SUMIF('OTRAS ACCIONES'!$B$70:$B$82,C142,'OTRAS ACCIONES'!$D$70:$D$82)</f>
        <v>0</v>
      </c>
      <c r="I142" s="6">
        <f>SUMIF('OTRAS ACCIONES'!$B$84:$B$89,C142,'OTRAS ACCIONES'!$D$84:$D$89)</f>
        <v>0</v>
      </c>
      <c r="J142" s="6">
        <f t="shared" si="25"/>
        <v>1680</v>
      </c>
      <c r="K142" s="19">
        <f t="shared" si="26"/>
        <v>16</v>
      </c>
      <c r="L142" s="6"/>
      <c r="M142" s="271"/>
      <c r="N142" s="271">
        <f t="shared" si="27"/>
        <v>0</v>
      </c>
      <c r="O142" s="7">
        <f t="shared" si="28"/>
        <v>1680</v>
      </c>
      <c r="P142" s="1" t="s">
        <v>865</v>
      </c>
      <c r="R142" s="4"/>
    </row>
    <row r="143" spans="1:18" x14ac:dyDescent="0.2">
      <c r="A143" s="416" t="s">
        <v>89</v>
      </c>
      <c r="B143" s="422">
        <v>63</v>
      </c>
      <c r="C143" s="346" t="s">
        <v>1027</v>
      </c>
      <c r="D143" s="346">
        <f>SUMIF('PROG FORMACIÓN TITULADA'!$Q$8:$Q$1070,C143,'PROG FORMACIÓN TITULADA'!$R$8:$R$1070)</f>
        <v>0</v>
      </c>
      <c r="E143" s="346">
        <f>SUMIF('PROG FORM COMPLEM'!$G$9:$G$264,C143,'PROG FORM COMPLEM'!$K$9:$K$264)</f>
        <v>1680</v>
      </c>
      <c r="F143" s="346">
        <f>SUMIF('OTRAS ACCIONES'!$B$12:$B$44,C143,'OTRAS ACCIONES'!$D$12:$D$44)</f>
        <v>0</v>
      </c>
      <c r="G143" s="346">
        <f>SUMIF('OTRAS ACCIONES'!$B$46:$B$68,C143,'OTRAS ACCIONES'!$D$46:$D$68)</f>
        <v>0</v>
      </c>
      <c r="H143" s="346">
        <f>SUMIF('OTRAS ACCIONES'!$B$70:$B$82,C143,'OTRAS ACCIONES'!$D$70:$D$82)</f>
        <v>0</v>
      </c>
      <c r="I143" s="346">
        <f>SUMIF('OTRAS ACCIONES'!$B$84:$B$89,C143,'OTRAS ACCIONES'!$D$84:$D$89)</f>
        <v>0</v>
      </c>
      <c r="J143" s="346">
        <f t="shared" si="25"/>
        <v>1680</v>
      </c>
      <c r="K143" s="417">
        <f t="shared" si="26"/>
        <v>16</v>
      </c>
      <c r="L143" s="346"/>
      <c r="M143" s="418"/>
      <c r="N143" s="418">
        <f t="shared" si="27"/>
        <v>0</v>
      </c>
      <c r="O143" s="419">
        <f t="shared" si="28"/>
        <v>1680</v>
      </c>
      <c r="P143" s="403" t="s">
        <v>208</v>
      </c>
      <c r="Q143" s="403"/>
      <c r="R143" s="420"/>
    </row>
    <row r="144" spans="1:18" x14ac:dyDescent="0.2">
      <c r="A144" s="274" t="s">
        <v>89</v>
      </c>
      <c r="B144" s="422">
        <v>64</v>
      </c>
      <c r="C144" s="6" t="s">
        <v>264</v>
      </c>
      <c r="D144" s="6">
        <f>SUMIF('PROG FORMACIÓN TITULADA'!$Q$8:$Q$1070,C144,'PROG FORMACIÓN TITULADA'!$R$8:$R$1070)</f>
        <v>0</v>
      </c>
      <c r="E144" s="6">
        <f>SUMIF('PROG FORM COMPLEM'!$G$9:$G$264,C144,'PROG FORM COMPLEM'!$K$9:$K$264)</f>
        <v>1450</v>
      </c>
      <c r="F144" s="6">
        <f>SUMIF('OTRAS ACCIONES'!$B$12:$B$44,C144,'OTRAS ACCIONES'!$D$12:$D$44)</f>
        <v>0</v>
      </c>
      <c r="G144" s="6">
        <f>SUMIF('OTRAS ACCIONES'!$B$46:$B$68,C144,'OTRAS ACCIONES'!$D$46:$D$68)</f>
        <v>0</v>
      </c>
      <c r="H144" s="6">
        <f>SUMIF('OTRAS ACCIONES'!$B$70:$B$82,C144,'OTRAS ACCIONES'!$D$70:$D$82)</f>
        <v>0</v>
      </c>
      <c r="I144" s="6">
        <f>SUMIF('OTRAS ACCIONES'!$B$84:$B$89,C144,'OTRAS ACCIONES'!$D$84:$D$89)</f>
        <v>0</v>
      </c>
      <c r="J144" s="6">
        <f t="shared" si="25"/>
        <v>1450</v>
      </c>
      <c r="K144" s="19">
        <f t="shared" si="26"/>
        <v>246</v>
      </c>
      <c r="L144" s="6"/>
      <c r="M144" s="271"/>
      <c r="N144" s="271">
        <f t="shared" si="27"/>
        <v>0</v>
      </c>
      <c r="O144" s="7">
        <f t="shared" si="28"/>
        <v>1450</v>
      </c>
      <c r="P144" s="1" t="s">
        <v>208</v>
      </c>
      <c r="R144" s="4"/>
    </row>
    <row r="145" spans="1:18" x14ac:dyDescent="0.2">
      <c r="A145" s="274" t="s">
        <v>89</v>
      </c>
      <c r="B145" s="422">
        <v>65</v>
      </c>
      <c r="C145" s="220" t="s">
        <v>953</v>
      </c>
      <c r="D145" s="6">
        <f>SUMIF('PROG FORMACIÓN TITULADA'!$Q$8:$Q$1070,C145,'PROG FORMACIÓN TITULADA'!$R$8:$R$1070)</f>
        <v>0</v>
      </c>
      <c r="E145" s="6">
        <f>SUMIF('PROG FORM COMPLEM'!$G$9:$G$264,C145,'PROG FORM COMPLEM'!$K$9:$K$264)</f>
        <v>1680</v>
      </c>
      <c r="F145" s="6">
        <f>SUMIF('OTRAS ACCIONES'!$B$12:$B$44,C145,'OTRAS ACCIONES'!$D$12:$D$44)</f>
        <v>0</v>
      </c>
      <c r="G145" s="6">
        <f>SUMIF('OTRAS ACCIONES'!$B$46:$B$68,C145,'OTRAS ACCIONES'!$D$46:$D$68)</f>
        <v>0</v>
      </c>
      <c r="H145" s="6">
        <f>SUMIF('OTRAS ACCIONES'!$B$70:$B$82,C145,'OTRAS ACCIONES'!$D$70:$D$82)</f>
        <v>0</v>
      </c>
      <c r="I145" s="6">
        <f>SUMIF('OTRAS ACCIONES'!$B$84:$B$89,C145,'OTRAS ACCIONES'!$D$84:$D$89)</f>
        <v>0</v>
      </c>
      <c r="J145" s="6">
        <f t="shared" si="25"/>
        <v>1680</v>
      </c>
      <c r="K145" s="19">
        <f t="shared" si="26"/>
        <v>16</v>
      </c>
      <c r="L145" s="6"/>
      <c r="M145" s="271"/>
      <c r="N145" s="271">
        <f t="shared" si="27"/>
        <v>0</v>
      </c>
      <c r="O145" s="7">
        <f t="shared" si="28"/>
        <v>1680</v>
      </c>
      <c r="P145" s="1" t="s">
        <v>456</v>
      </c>
      <c r="R145" s="4"/>
    </row>
    <row r="146" spans="1:18" x14ac:dyDescent="0.2">
      <c r="A146" s="274" t="s">
        <v>89</v>
      </c>
      <c r="B146" s="422">
        <v>66</v>
      </c>
      <c r="C146" s="220" t="s">
        <v>925</v>
      </c>
      <c r="D146" s="6">
        <f>SUMIF('PROG FORMACIÓN TITULADA'!$Q$8:$Q$1070,C146,'PROG FORMACIÓN TITULADA'!$R$8:$R$1070)</f>
        <v>704</v>
      </c>
      <c r="E146" s="6">
        <f>SUMIF('PROG FORM COMPLEM'!$G$9:$G$264,C146,'PROG FORM COMPLEM'!$K$9:$K$264)</f>
        <v>480</v>
      </c>
      <c r="F146" s="6">
        <f>SUMIF('OTRAS ACCIONES'!$B$12:$B$44,C146,'OTRAS ACCIONES'!$D$12:$D$44)</f>
        <v>0</v>
      </c>
      <c r="G146" s="6">
        <f>SUMIF('OTRAS ACCIONES'!$B$46:$B$68,C146,'OTRAS ACCIONES'!$D$46:$D$68)</f>
        <v>0</v>
      </c>
      <c r="H146" s="6">
        <f>SUMIF('OTRAS ACCIONES'!$B$70:$B$82,C146,'OTRAS ACCIONES'!$D$70:$D$82)</f>
        <v>0</v>
      </c>
      <c r="I146" s="6">
        <f>SUMIF('OTRAS ACCIONES'!$B$84:$B$89,C146,'OTRAS ACCIONES'!$D$84:$D$89)</f>
        <v>0</v>
      </c>
      <c r="J146" s="6">
        <f t="shared" ref="J146:J209" si="29">SUM(D146:I146)</f>
        <v>1184</v>
      </c>
      <c r="K146" s="19">
        <f t="shared" ref="K146:K209" si="30">($N$5*40/5)-J146</f>
        <v>512</v>
      </c>
      <c r="L146" s="6"/>
      <c r="M146" s="271"/>
      <c r="N146" s="271">
        <f t="shared" ref="N146:N209" si="31">SUM(L146:M146)</f>
        <v>0</v>
      </c>
      <c r="O146" s="7">
        <f t="shared" ref="O146:O209" si="32">J146+N146</f>
        <v>1184</v>
      </c>
      <c r="P146" s="1" t="s">
        <v>865</v>
      </c>
      <c r="R146" s="4"/>
    </row>
    <row r="147" spans="1:18" x14ac:dyDescent="0.2">
      <c r="A147" s="274" t="s">
        <v>89</v>
      </c>
      <c r="B147" s="422">
        <v>67</v>
      </c>
      <c r="C147" s="220" t="s">
        <v>960</v>
      </c>
      <c r="D147" s="6">
        <f>SUMIF('PROG FORMACIÓN TITULADA'!$Q$8:$Q$1070,C147,'PROG FORMACIÓN TITULADA'!$R$8:$R$1070)</f>
        <v>848</v>
      </c>
      <c r="E147" s="6">
        <f>SUMIF('PROG FORM COMPLEM'!$G$9:$G$264,C147,'PROG FORM COMPLEM'!$K$9:$K$264)</f>
        <v>0</v>
      </c>
      <c r="F147" s="6">
        <f>SUMIF('OTRAS ACCIONES'!$B$12:$B$44,C147,'OTRAS ACCIONES'!$D$12:$D$44)</f>
        <v>0</v>
      </c>
      <c r="G147" s="6">
        <f>SUMIF('OTRAS ACCIONES'!$B$46:$B$68,C147,'OTRAS ACCIONES'!$D$46:$D$68)</f>
        <v>0</v>
      </c>
      <c r="H147" s="6">
        <f>SUMIF('OTRAS ACCIONES'!$B$70:$B$82,C147,'OTRAS ACCIONES'!$D$70:$D$82)</f>
        <v>0</v>
      </c>
      <c r="I147" s="6">
        <f>SUMIF('OTRAS ACCIONES'!$B$84:$B$89,C147,'OTRAS ACCIONES'!$D$84:$D$89)</f>
        <v>0</v>
      </c>
      <c r="J147" s="6">
        <f t="shared" si="29"/>
        <v>848</v>
      </c>
      <c r="K147" s="19">
        <f t="shared" si="30"/>
        <v>848</v>
      </c>
      <c r="L147" s="6"/>
      <c r="M147" s="271"/>
      <c r="N147" s="271">
        <f t="shared" si="31"/>
        <v>0</v>
      </c>
      <c r="O147" s="7">
        <f t="shared" si="32"/>
        <v>848</v>
      </c>
      <c r="P147" s="1" t="s">
        <v>865</v>
      </c>
      <c r="R147" s="4"/>
    </row>
    <row r="148" spans="1:18" x14ac:dyDescent="0.2">
      <c r="A148" s="274" t="s">
        <v>89</v>
      </c>
      <c r="B148" s="422">
        <v>68</v>
      </c>
      <c r="C148" s="220" t="s">
        <v>719</v>
      </c>
      <c r="D148" s="6">
        <f>SUMIF('PROG FORMACIÓN TITULADA'!$Q$8:$Q$1070,C148,'PROG FORMACIÓN TITULADA'!$R$8:$R$1070)</f>
        <v>1550</v>
      </c>
      <c r="E148" s="6">
        <f>SUMIF('PROG FORM COMPLEM'!$G$9:$G$264,C148,'PROG FORM COMPLEM'!$K$9:$K$264)</f>
        <v>120</v>
      </c>
      <c r="F148" s="6">
        <f>SUMIF('OTRAS ACCIONES'!$B$12:$B$44,C148,'OTRAS ACCIONES'!$D$12:$D$44)</f>
        <v>0</v>
      </c>
      <c r="G148" s="6">
        <f>SUMIF('OTRAS ACCIONES'!$B$46:$B$68,C148,'OTRAS ACCIONES'!$D$46:$D$68)</f>
        <v>0</v>
      </c>
      <c r="H148" s="6">
        <f>SUMIF('OTRAS ACCIONES'!$B$70:$B$82,C148,'OTRAS ACCIONES'!$D$70:$D$82)</f>
        <v>0</v>
      </c>
      <c r="I148" s="6">
        <f>SUMIF('OTRAS ACCIONES'!$B$84:$B$89,C148,'OTRAS ACCIONES'!$D$84:$D$89)</f>
        <v>0</v>
      </c>
      <c r="J148" s="6">
        <f t="shared" si="29"/>
        <v>1670</v>
      </c>
      <c r="K148" s="19">
        <f t="shared" si="30"/>
        <v>26</v>
      </c>
      <c r="L148" s="6"/>
      <c r="M148" s="271"/>
      <c r="N148" s="271">
        <f t="shared" si="31"/>
        <v>0</v>
      </c>
      <c r="O148" s="7">
        <f t="shared" si="32"/>
        <v>1670</v>
      </c>
      <c r="P148" s="1" t="s">
        <v>339</v>
      </c>
      <c r="R148" s="4"/>
    </row>
    <row r="149" spans="1:18" x14ac:dyDescent="0.2">
      <c r="A149" s="274" t="s">
        <v>89</v>
      </c>
      <c r="B149" s="422">
        <v>69</v>
      </c>
      <c r="C149" s="6" t="s">
        <v>391</v>
      </c>
      <c r="D149" s="6">
        <f>SUMIF('PROG FORMACIÓN TITULADA'!$Q$8:$Q$1070,C149,'PROG FORMACIÓN TITULADA'!$R$8:$R$1070)</f>
        <v>0</v>
      </c>
      <c r="E149" s="6">
        <f>SUMIF('PROG FORM COMPLEM'!$G$9:$G$264,C149,'PROG FORM COMPLEM'!$K$9:$K$264)</f>
        <v>1680</v>
      </c>
      <c r="F149" s="6">
        <f>SUMIF('OTRAS ACCIONES'!$B$12:$B$44,C149,'OTRAS ACCIONES'!$D$12:$D$44)</f>
        <v>0</v>
      </c>
      <c r="G149" s="6">
        <f>SUMIF('OTRAS ACCIONES'!$B$46:$B$68,C149,'OTRAS ACCIONES'!$D$46:$D$68)</f>
        <v>0</v>
      </c>
      <c r="H149" s="6">
        <f>SUMIF('OTRAS ACCIONES'!$B$70:$B$82,C149,'OTRAS ACCIONES'!$D$70:$D$82)</f>
        <v>0</v>
      </c>
      <c r="I149" s="6">
        <f>SUMIF('OTRAS ACCIONES'!$B$84:$B$89,C149,'OTRAS ACCIONES'!$D$84:$D$89)</f>
        <v>0</v>
      </c>
      <c r="J149" s="6">
        <f t="shared" si="29"/>
        <v>1680</v>
      </c>
      <c r="K149" s="19">
        <f t="shared" si="30"/>
        <v>16</v>
      </c>
      <c r="L149" s="6"/>
      <c r="M149" s="271"/>
      <c r="N149" s="271">
        <f t="shared" si="31"/>
        <v>0</v>
      </c>
      <c r="O149" s="7">
        <f t="shared" si="32"/>
        <v>1680</v>
      </c>
      <c r="P149" s="1" t="s">
        <v>456</v>
      </c>
      <c r="R149" s="4"/>
    </row>
    <row r="150" spans="1:18" x14ac:dyDescent="0.2">
      <c r="A150" s="274" t="s">
        <v>89</v>
      </c>
      <c r="B150" s="422">
        <v>70</v>
      </c>
      <c r="C150" s="6" t="s">
        <v>649</v>
      </c>
      <c r="D150" s="6">
        <f>SUMIF('PROG FORMACIÓN TITULADA'!$Q$8:$Q$1070,C150,'PROG FORMACIÓN TITULADA'!$R$8:$R$1070)</f>
        <v>848</v>
      </c>
      <c r="E150" s="6">
        <f>SUMIF('PROG FORM COMPLEM'!$G$9:$G$264,C150,'PROG FORM COMPLEM'!$K$9:$K$264)</f>
        <v>0</v>
      </c>
      <c r="F150" s="6">
        <f>SUMIF('OTRAS ACCIONES'!$B$12:$B$44,C150,'OTRAS ACCIONES'!$D$12:$D$44)</f>
        <v>0</v>
      </c>
      <c r="G150" s="6">
        <f>SUMIF('OTRAS ACCIONES'!$B$46:$B$68,C150,'OTRAS ACCIONES'!$D$46:$D$68)</f>
        <v>0</v>
      </c>
      <c r="H150" s="6">
        <f>SUMIF('OTRAS ACCIONES'!$B$70:$B$82,C150,'OTRAS ACCIONES'!$D$70:$D$82)</f>
        <v>0</v>
      </c>
      <c r="I150" s="6">
        <f>SUMIF('OTRAS ACCIONES'!$B$84:$B$89,C150,'OTRAS ACCIONES'!$D$84:$D$89)</f>
        <v>0</v>
      </c>
      <c r="J150" s="6">
        <f t="shared" si="29"/>
        <v>848</v>
      </c>
      <c r="K150" s="19">
        <f t="shared" si="30"/>
        <v>848</v>
      </c>
      <c r="L150" s="6"/>
      <c r="M150" s="271"/>
      <c r="N150" s="271">
        <f t="shared" si="31"/>
        <v>0</v>
      </c>
      <c r="O150" s="7">
        <f t="shared" si="32"/>
        <v>848</v>
      </c>
      <c r="P150" s="1" t="s">
        <v>865</v>
      </c>
      <c r="R150" s="4"/>
    </row>
    <row r="151" spans="1:18" x14ac:dyDescent="0.2">
      <c r="A151" s="274" t="s">
        <v>89</v>
      </c>
      <c r="B151" s="422">
        <v>71</v>
      </c>
      <c r="C151" s="6" t="s">
        <v>265</v>
      </c>
      <c r="D151" s="6">
        <f>SUMIF('PROG FORMACIÓN TITULADA'!$Q$8:$Q$1070,C151,'PROG FORMACIÓN TITULADA'!$R$8:$R$1070)</f>
        <v>0</v>
      </c>
      <c r="E151" s="6">
        <f>SUMIF('PROG FORM COMPLEM'!$G$9:$G$264,C151,'PROG FORM COMPLEM'!$K$9:$K$264)</f>
        <v>0</v>
      </c>
      <c r="F151" s="6">
        <f>SUMIF('OTRAS ACCIONES'!$B$12:$B$44,C151,'OTRAS ACCIONES'!$D$12:$D$44)</f>
        <v>0</v>
      </c>
      <c r="G151" s="6">
        <f>SUMIF('OTRAS ACCIONES'!$B$46:$B$68,C151,'OTRAS ACCIONES'!$D$46:$D$68)</f>
        <v>1696</v>
      </c>
      <c r="H151" s="6">
        <f>SUMIF('OTRAS ACCIONES'!$B$70:$B$82,C151,'OTRAS ACCIONES'!$D$70:$D$82)</f>
        <v>0</v>
      </c>
      <c r="I151" s="6">
        <f>SUMIF('OTRAS ACCIONES'!$B$84:$B$89,C151,'OTRAS ACCIONES'!$D$84:$D$89)</f>
        <v>0</v>
      </c>
      <c r="J151" s="6">
        <f t="shared" si="29"/>
        <v>1696</v>
      </c>
      <c r="K151" s="19">
        <f t="shared" si="30"/>
        <v>0</v>
      </c>
      <c r="L151" s="6"/>
      <c r="M151" s="271"/>
      <c r="N151" s="271">
        <f t="shared" si="31"/>
        <v>0</v>
      </c>
      <c r="O151" s="7">
        <f t="shared" si="32"/>
        <v>1696</v>
      </c>
      <c r="P151" s="1" t="s">
        <v>866</v>
      </c>
      <c r="R151" s="4"/>
    </row>
    <row r="152" spans="1:18" x14ac:dyDescent="0.2">
      <c r="A152" s="274" t="s">
        <v>89</v>
      </c>
      <c r="B152" s="422">
        <v>72</v>
      </c>
      <c r="C152" s="6" t="s">
        <v>210</v>
      </c>
      <c r="D152" s="6">
        <f>SUMIF('PROG FORMACIÓN TITULADA'!$Q$8:$Q$1070,C152,'PROG FORMACIÓN TITULADA'!$R$8:$R$1070)</f>
        <v>1696</v>
      </c>
      <c r="E152" s="6">
        <f>SUMIF('PROG FORM COMPLEM'!$G$9:$G$264,C152,'PROG FORM COMPLEM'!$K$9:$K$264)</f>
        <v>0</v>
      </c>
      <c r="F152" s="6">
        <f>SUMIF('OTRAS ACCIONES'!$B$12:$B$44,C152,'OTRAS ACCIONES'!$D$12:$D$44)</f>
        <v>0</v>
      </c>
      <c r="G152" s="6">
        <f>SUMIF('OTRAS ACCIONES'!$B$46:$B$68,C152,'OTRAS ACCIONES'!$D$46:$D$68)</f>
        <v>0</v>
      </c>
      <c r="H152" s="6">
        <f>SUMIF('OTRAS ACCIONES'!$B$70:$B$82,C152,'OTRAS ACCIONES'!$D$70:$D$82)</f>
        <v>0</v>
      </c>
      <c r="I152" s="6">
        <f>SUMIF('OTRAS ACCIONES'!$B$84:$B$89,C152,'OTRAS ACCIONES'!$D$84:$D$89)</f>
        <v>0</v>
      </c>
      <c r="J152" s="6">
        <f t="shared" si="29"/>
        <v>1696</v>
      </c>
      <c r="K152" s="19">
        <f t="shared" si="30"/>
        <v>0</v>
      </c>
      <c r="L152" s="6"/>
      <c r="M152" s="271"/>
      <c r="N152" s="271">
        <f t="shared" si="31"/>
        <v>0</v>
      </c>
      <c r="O152" s="7">
        <f t="shared" si="32"/>
        <v>1696</v>
      </c>
      <c r="P152" s="1" t="s">
        <v>865</v>
      </c>
      <c r="R152" s="4"/>
    </row>
    <row r="153" spans="1:18" x14ac:dyDescent="0.2">
      <c r="A153" s="274" t="s">
        <v>89</v>
      </c>
      <c r="B153" s="422">
        <v>73</v>
      </c>
      <c r="C153" s="6" t="s">
        <v>266</v>
      </c>
      <c r="D153" s="6">
        <f>SUMIF('PROG FORMACIÓN TITULADA'!$Q$8:$Q$1070,C153,'PROG FORMACIÓN TITULADA'!$R$8:$R$1070)</f>
        <v>0</v>
      </c>
      <c r="E153" s="6">
        <f>SUMIF('PROG FORM COMPLEM'!$G$9:$G$264,C153,'PROG FORM COMPLEM'!$K$9:$K$264)</f>
        <v>1680</v>
      </c>
      <c r="F153" s="6">
        <f>SUMIF('OTRAS ACCIONES'!$B$12:$B$44,C153,'OTRAS ACCIONES'!$D$12:$D$44)</f>
        <v>0</v>
      </c>
      <c r="G153" s="6">
        <f>SUMIF('OTRAS ACCIONES'!$B$46:$B$68,C153,'OTRAS ACCIONES'!$D$46:$D$68)</f>
        <v>0</v>
      </c>
      <c r="H153" s="6">
        <f>SUMIF('OTRAS ACCIONES'!$B$70:$B$82,C153,'OTRAS ACCIONES'!$D$70:$D$82)</f>
        <v>0</v>
      </c>
      <c r="I153" s="6">
        <f>SUMIF('OTRAS ACCIONES'!$B$84:$B$89,C153,'OTRAS ACCIONES'!$D$84:$D$89)</f>
        <v>0</v>
      </c>
      <c r="J153" s="6">
        <f t="shared" si="29"/>
        <v>1680</v>
      </c>
      <c r="K153" s="19">
        <f t="shared" si="30"/>
        <v>16</v>
      </c>
      <c r="L153" s="6"/>
      <c r="M153" s="271"/>
      <c r="N153" s="271">
        <f t="shared" si="31"/>
        <v>0</v>
      </c>
      <c r="O153" s="7">
        <f t="shared" si="32"/>
        <v>1680</v>
      </c>
      <c r="P153" s="1" t="s">
        <v>485</v>
      </c>
      <c r="R153" s="4"/>
    </row>
    <row r="154" spans="1:18" x14ac:dyDescent="0.2">
      <c r="A154" s="274" t="s">
        <v>89</v>
      </c>
      <c r="B154" s="422">
        <v>74</v>
      </c>
      <c r="C154" s="258" t="s">
        <v>814</v>
      </c>
      <c r="D154" s="6">
        <f>SUMIF('PROG FORMACIÓN TITULADA'!$Q$8:$Q$1070,C154,'PROG FORMACIÓN TITULADA'!$R$8:$R$1070)</f>
        <v>99</v>
      </c>
      <c r="E154" s="6">
        <f>SUMIF('PROG FORM COMPLEM'!$G$9:$G$264,C154,'PROG FORM COMPLEM'!$K$9:$K$264)</f>
        <v>1600</v>
      </c>
      <c r="F154" s="6">
        <f>SUMIF('OTRAS ACCIONES'!$B$12:$B$44,C154,'OTRAS ACCIONES'!$D$12:$D$44)</f>
        <v>0</v>
      </c>
      <c r="G154" s="6">
        <f>SUMIF('OTRAS ACCIONES'!$B$46:$B$68,C154,'OTRAS ACCIONES'!$D$46:$D$68)</f>
        <v>0</v>
      </c>
      <c r="H154" s="6">
        <f>SUMIF('OTRAS ACCIONES'!$B$70:$B$82,C154,'OTRAS ACCIONES'!$D$70:$D$82)</f>
        <v>0</v>
      </c>
      <c r="I154" s="6">
        <f>SUMIF('OTRAS ACCIONES'!$B$84:$B$89,C154,'OTRAS ACCIONES'!$D$84:$D$89)</f>
        <v>0</v>
      </c>
      <c r="J154" s="6">
        <f t="shared" si="29"/>
        <v>1699</v>
      </c>
      <c r="K154" s="19">
        <f t="shared" si="30"/>
        <v>-3</v>
      </c>
      <c r="L154" s="6"/>
      <c r="M154" s="271"/>
      <c r="N154" s="271">
        <f t="shared" si="31"/>
        <v>0</v>
      </c>
      <c r="O154" s="7">
        <f t="shared" si="32"/>
        <v>1699</v>
      </c>
      <c r="P154" s="1" t="s">
        <v>865</v>
      </c>
      <c r="R154" s="4"/>
    </row>
    <row r="155" spans="1:18" x14ac:dyDescent="0.2">
      <c r="A155" s="274" t="s">
        <v>89</v>
      </c>
      <c r="B155" s="422">
        <v>75</v>
      </c>
      <c r="C155" s="6" t="s">
        <v>267</v>
      </c>
      <c r="D155" s="6">
        <f>SUMIF('PROG FORMACIÓN TITULADA'!$Q$8:$Q$1070,C155,'PROG FORMACIÓN TITULADA'!$R$8:$R$1070)</f>
        <v>1590</v>
      </c>
      <c r="E155" s="6">
        <f>SUMIF('PROG FORM COMPLEM'!$G$9:$G$264,C155,'PROG FORM COMPLEM'!$K$9:$K$264)</f>
        <v>120</v>
      </c>
      <c r="F155" s="6">
        <f>SUMIF('OTRAS ACCIONES'!$B$12:$B$44,C155,'OTRAS ACCIONES'!$D$12:$D$44)</f>
        <v>0</v>
      </c>
      <c r="G155" s="6">
        <f>SUMIF('OTRAS ACCIONES'!$B$46:$B$68,C155,'OTRAS ACCIONES'!$D$46:$D$68)</f>
        <v>0</v>
      </c>
      <c r="H155" s="6">
        <f>SUMIF('OTRAS ACCIONES'!$B$70:$B$82,C155,'OTRAS ACCIONES'!$D$70:$D$82)</f>
        <v>0</v>
      </c>
      <c r="I155" s="6">
        <f>SUMIF('OTRAS ACCIONES'!$B$84:$B$89,C155,'OTRAS ACCIONES'!$D$84:$D$89)</f>
        <v>0</v>
      </c>
      <c r="J155" s="6">
        <f t="shared" si="29"/>
        <v>1710</v>
      </c>
      <c r="K155" s="19">
        <f t="shared" si="30"/>
        <v>-14</v>
      </c>
      <c r="L155" s="6"/>
      <c r="M155" s="271"/>
      <c r="N155" s="271">
        <f t="shared" si="31"/>
        <v>0</v>
      </c>
      <c r="O155" s="7">
        <f t="shared" si="32"/>
        <v>1710</v>
      </c>
      <c r="P155" s="1" t="s">
        <v>456</v>
      </c>
      <c r="R155" s="4"/>
    </row>
    <row r="156" spans="1:18" x14ac:dyDescent="0.2">
      <c r="A156" s="274" t="s">
        <v>89</v>
      </c>
      <c r="B156" s="422">
        <v>76</v>
      </c>
      <c r="C156" s="6" t="s">
        <v>652</v>
      </c>
      <c r="D156" s="6">
        <f>SUMIF('PROG FORMACIÓN TITULADA'!$Q$8:$Q$1070,C156,'PROG FORMACIÓN TITULADA'!$R$8:$R$1070)</f>
        <v>1696</v>
      </c>
      <c r="E156" s="6">
        <f>SUMIF('PROG FORM COMPLEM'!$G$9:$G$264,C156,'PROG FORM COMPLEM'!$K$9:$K$264)</f>
        <v>0</v>
      </c>
      <c r="F156" s="6">
        <f>SUMIF('OTRAS ACCIONES'!$B$12:$B$44,C156,'OTRAS ACCIONES'!$D$12:$D$44)</f>
        <v>0</v>
      </c>
      <c r="G156" s="6">
        <f>SUMIF('OTRAS ACCIONES'!$B$46:$B$68,C156,'OTRAS ACCIONES'!$D$46:$D$68)</f>
        <v>0</v>
      </c>
      <c r="H156" s="6">
        <f>SUMIF('OTRAS ACCIONES'!$B$70:$B$82,C156,'OTRAS ACCIONES'!$D$70:$D$82)</f>
        <v>0</v>
      </c>
      <c r="I156" s="6">
        <f>SUMIF('OTRAS ACCIONES'!$B$84:$B$89,C156,'OTRAS ACCIONES'!$D$84:$D$89)</f>
        <v>0</v>
      </c>
      <c r="J156" s="6">
        <f t="shared" si="29"/>
        <v>1696</v>
      </c>
      <c r="K156" s="19">
        <f t="shared" si="30"/>
        <v>0</v>
      </c>
      <c r="L156" s="6"/>
      <c r="M156" s="271"/>
      <c r="N156" s="271">
        <f t="shared" si="31"/>
        <v>0</v>
      </c>
      <c r="O156" s="7">
        <f t="shared" si="32"/>
        <v>1696</v>
      </c>
      <c r="P156" s="1" t="s">
        <v>865</v>
      </c>
      <c r="R156" s="4"/>
    </row>
    <row r="157" spans="1:18" x14ac:dyDescent="0.2">
      <c r="A157" s="274" t="s">
        <v>89</v>
      </c>
      <c r="B157" s="422">
        <v>77</v>
      </c>
      <c r="C157" s="6" t="s">
        <v>268</v>
      </c>
      <c r="D157" s="6">
        <f>SUMIF('PROG FORMACIÓN TITULADA'!$Q$8:$Q$1070,C157,'PROG FORMACIÓN TITULADA'!$R$8:$R$1070)</f>
        <v>0</v>
      </c>
      <c r="E157" s="6">
        <f>SUMIF('PROG FORM COMPLEM'!$G$9:$G$264,C157,'PROG FORM COMPLEM'!$K$9:$K$264)</f>
        <v>0</v>
      </c>
      <c r="F157" s="6">
        <f>SUMIF('OTRAS ACCIONES'!$B$12:$B$44,C157,'OTRAS ACCIONES'!$D$12:$D$44)</f>
        <v>0</v>
      </c>
      <c r="G157" s="6">
        <f>SUMIF('OTRAS ACCIONES'!$B$46:$B$68,C157,'OTRAS ACCIONES'!$D$46:$D$68)</f>
        <v>1696</v>
      </c>
      <c r="H157" s="6">
        <f>SUMIF('OTRAS ACCIONES'!$B$70:$B$82,C157,'OTRAS ACCIONES'!$D$70:$D$82)</f>
        <v>0</v>
      </c>
      <c r="I157" s="6">
        <f>SUMIF('OTRAS ACCIONES'!$B$84:$B$89,C157,'OTRAS ACCIONES'!$D$84:$D$89)</f>
        <v>0</v>
      </c>
      <c r="J157" s="6">
        <f t="shared" si="29"/>
        <v>1696</v>
      </c>
      <c r="K157" s="19">
        <f t="shared" si="30"/>
        <v>0</v>
      </c>
      <c r="L157" s="6"/>
      <c r="M157" s="271"/>
      <c r="N157" s="271">
        <f t="shared" si="31"/>
        <v>0</v>
      </c>
      <c r="O157" s="7">
        <f t="shared" si="32"/>
        <v>1696</v>
      </c>
      <c r="P157" s="1" t="s">
        <v>866</v>
      </c>
      <c r="R157" s="4"/>
    </row>
    <row r="158" spans="1:18" x14ac:dyDescent="0.2">
      <c r="A158" s="274" t="s">
        <v>89</v>
      </c>
      <c r="B158" s="422">
        <v>78</v>
      </c>
      <c r="C158" s="273" t="s">
        <v>890</v>
      </c>
      <c r="D158" s="6">
        <f>SUMIF('PROG FORMACIÓN TITULADA'!$Q$8:$Q$1070,C158,'PROG FORMACIÓN TITULADA'!$R$8:$R$1070)</f>
        <v>1182</v>
      </c>
      <c r="E158" s="6">
        <f>SUMIF('PROG FORM COMPLEM'!$G$9:$G$264,C158,'PROG FORM COMPLEM'!$K$9:$K$264)</f>
        <v>0</v>
      </c>
      <c r="F158" s="6">
        <f>SUMIF('OTRAS ACCIONES'!$B$12:$B$44,C158,'OTRAS ACCIONES'!$D$12:$D$44)</f>
        <v>0</v>
      </c>
      <c r="G158" s="6">
        <f>SUMIF('OTRAS ACCIONES'!$B$46:$B$68,C158,'OTRAS ACCIONES'!$D$46:$D$68)</f>
        <v>0</v>
      </c>
      <c r="H158" s="6">
        <f>SUMIF('OTRAS ACCIONES'!$B$70:$B$82,C158,'OTRAS ACCIONES'!$D$70:$D$82)</f>
        <v>0</v>
      </c>
      <c r="I158" s="6">
        <f>SUMIF('OTRAS ACCIONES'!$B$84:$B$89,C158,'OTRAS ACCIONES'!$D$84:$D$89)</f>
        <v>0</v>
      </c>
      <c r="J158" s="6">
        <f t="shared" si="29"/>
        <v>1182</v>
      </c>
      <c r="K158" s="19">
        <f t="shared" si="30"/>
        <v>514</v>
      </c>
      <c r="L158" s="6"/>
      <c r="M158" s="271"/>
      <c r="N158" s="271">
        <f t="shared" si="31"/>
        <v>0</v>
      </c>
      <c r="O158" s="7">
        <f t="shared" si="32"/>
        <v>1182</v>
      </c>
      <c r="P158" s="1" t="s">
        <v>208</v>
      </c>
      <c r="R158" s="4"/>
    </row>
    <row r="159" spans="1:18" x14ac:dyDescent="0.2">
      <c r="A159" s="274" t="s">
        <v>89</v>
      </c>
      <c r="B159" s="422">
        <v>79</v>
      </c>
      <c r="C159" s="6" t="s">
        <v>269</v>
      </c>
      <c r="D159" s="6">
        <f>SUMIF('PROG FORMACIÓN TITULADA'!$Q$8:$Q$1070,C159,'PROG FORMACIÓN TITULADA'!$R$8:$R$1070)</f>
        <v>0</v>
      </c>
      <c r="E159" s="6">
        <f>SUMIF('PROG FORM COMPLEM'!$G$9:$G$264,C159,'PROG FORM COMPLEM'!$K$9:$K$264)</f>
        <v>0</v>
      </c>
      <c r="F159" s="6">
        <f>SUMIF('OTRAS ACCIONES'!$B$12:$B$44,C159,'OTRAS ACCIONES'!$D$12:$D$44)</f>
        <v>0</v>
      </c>
      <c r="G159" s="6">
        <f>SUMIF('OTRAS ACCIONES'!$B$46:$B$68,C159,'OTRAS ACCIONES'!$D$46:$D$68)</f>
        <v>1696</v>
      </c>
      <c r="H159" s="6">
        <f>SUMIF('OTRAS ACCIONES'!$B$70:$B$82,C159,'OTRAS ACCIONES'!$D$70:$D$82)</f>
        <v>0</v>
      </c>
      <c r="I159" s="6">
        <f>SUMIF('OTRAS ACCIONES'!$B$84:$B$89,C159,'OTRAS ACCIONES'!$D$84:$D$89)</f>
        <v>0</v>
      </c>
      <c r="J159" s="6">
        <f t="shared" si="29"/>
        <v>1696</v>
      </c>
      <c r="K159" s="19">
        <f t="shared" si="30"/>
        <v>0</v>
      </c>
      <c r="L159" s="6"/>
      <c r="M159" s="271"/>
      <c r="N159" s="271">
        <f t="shared" si="31"/>
        <v>0</v>
      </c>
      <c r="O159" s="7">
        <f t="shared" si="32"/>
        <v>1696</v>
      </c>
      <c r="P159" s="1" t="s">
        <v>866</v>
      </c>
      <c r="R159" s="4"/>
    </row>
    <row r="160" spans="1:18" x14ac:dyDescent="0.2">
      <c r="A160" s="274" t="s">
        <v>89</v>
      </c>
      <c r="B160" s="422">
        <v>80</v>
      </c>
      <c r="C160" s="6" t="s">
        <v>270</v>
      </c>
      <c r="D160" s="6">
        <f>SUMIF('PROG FORMACIÓN TITULADA'!$Q$8:$Q$1070,C160,'PROG FORMACIÓN TITULADA'!$R$8:$R$1070)</f>
        <v>1696</v>
      </c>
      <c r="E160" s="6">
        <f>SUMIF('PROG FORM COMPLEM'!$G$9:$G$264,C160,'PROG FORM COMPLEM'!$K$9:$K$264)</f>
        <v>0</v>
      </c>
      <c r="F160" s="6">
        <f>SUMIF('OTRAS ACCIONES'!$B$12:$B$44,C160,'OTRAS ACCIONES'!$D$12:$D$44)</f>
        <v>0</v>
      </c>
      <c r="G160" s="6">
        <f>SUMIF('OTRAS ACCIONES'!$B$46:$B$68,C160,'OTRAS ACCIONES'!$D$46:$D$68)</f>
        <v>0</v>
      </c>
      <c r="H160" s="6">
        <f>SUMIF('OTRAS ACCIONES'!$B$70:$B$82,C160,'OTRAS ACCIONES'!$D$70:$D$82)</f>
        <v>0</v>
      </c>
      <c r="I160" s="6">
        <f>SUMIF('OTRAS ACCIONES'!$B$84:$B$89,C160,'OTRAS ACCIONES'!$D$84:$D$89)</f>
        <v>0</v>
      </c>
      <c r="J160" s="6">
        <f t="shared" si="29"/>
        <v>1696</v>
      </c>
      <c r="K160" s="19">
        <f t="shared" si="30"/>
        <v>0</v>
      </c>
      <c r="L160" s="6"/>
      <c r="M160" s="271"/>
      <c r="N160" s="271">
        <f t="shared" si="31"/>
        <v>0</v>
      </c>
      <c r="O160" s="7">
        <f t="shared" si="32"/>
        <v>1696</v>
      </c>
      <c r="P160" s="1" t="s">
        <v>865</v>
      </c>
      <c r="R160" s="4"/>
    </row>
    <row r="161" spans="1:18" x14ac:dyDescent="0.2">
      <c r="A161" s="274" t="s">
        <v>89</v>
      </c>
      <c r="B161" s="422">
        <v>81</v>
      </c>
      <c r="C161" s="6" t="s">
        <v>271</v>
      </c>
      <c r="D161" s="6">
        <f>SUMIF('PROG FORMACIÓN TITULADA'!$Q$8:$Q$1070,C161,'PROG FORMACIÓN TITULADA'!$R$8:$R$1070)</f>
        <v>742</v>
      </c>
      <c r="E161" s="6">
        <f>SUMIF('PROG FORM COMPLEM'!$G$9:$G$264,C161,'PROG FORM COMPLEM'!$K$9:$K$264)</f>
        <v>960</v>
      </c>
      <c r="F161" s="6">
        <f>SUMIF('OTRAS ACCIONES'!$B$12:$B$44,C161,'OTRAS ACCIONES'!$D$12:$D$44)</f>
        <v>0</v>
      </c>
      <c r="G161" s="6">
        <f>SUMIF('OTRAS ACCIONES'!$B$46:$B$68,C161,'OTRAS ACCIONES'!$D$46:$D$68)</f>
        <v>0</v>
      </c>
      <c r="H161" s="6">
        <f>SUMIF('OTRAS ACCIONES'!$B$70:$B$82,C161,'OTRAS ACCIONES'!$D$70:$D$82)</f>
        <v>0</v>
      </c>
      <c r="I161" s="6">
        <f>SUMIF('OTRAS ACCIONES'!$B$84:$B$89,C161,'OTRAS ACCIONES'!$D$84:$D$89)</f>
        <v>0</v>
      </c>
      <c r="J161" s="6">
        <f t="shared" si="29"/>
        <v>1702</v>
      </c>
      <c r="K161" s="19">
        <f t="shared" si="30"/>
        <v>-6</v>
      </c>
      <c r="L161" s="6"/>
      <c r="M161" s="271"/>
      <c r="N161" s="271">
        <f t="shared" si="31"/>
        <v>0</v>
      </c>
      <c r="O161" s="7">
        <f t="shared" si="32"/>
        <v>1702</v>
      </c>
      <c r="P161" s="1" t="s">
        <v>488</v>
      </c>
      <c r="R161" s="4"/>
    </row>
    <row r="162" spans="1:18" x14ac:dyDescent="0.2">
      <c r="A162" s="274" t="s">
        <v>89</v>
      </c>
      <c r="B162" s="422">
        <v>82</v>
      </c>
      <c r="C162" s="6" t="s">
        <v>272</v>
      </c>
      <c r="D162" s="6">
        <f>SUMIF('PROG FORMACIÓN TITULADA'!$Q$8:$Q$1070,C162,'PROG FORMACIÓN TITULADA'!$R$8:$R$1070)</f>
        <v>1165</v>
      </c>
      <c r="E162" s="6">
        <f>SUMIF('PROG FORM COMPLEM'!$G$9:$G$264,C162,'PROG FORM COMPLEM'!$K$9:$K$264)</f>
        <v>540</v>
      </c>
      <c r="F162" s="6">
        <f>SUMIF('OTRAS ACCIONES'!$B$12:$B$44,C162,'OTRAS ACCIONES'!$D$12:$D$44)</f>
        <v>0</v>
      </c>
      <c r="G162" s="6">
        <f>SUMIF('OTRAS ACCIONES'!$B$46:$B$68,C162,'OTRAS ACCIONES'!$D$46:$D$68)</f>
        <v>0</v>
      </c>
      <c r="H162" s="6">
        <f>SUMIF('OTRAS ACCIONES'!$B$70:$B$82,C162,'OTRAS ACCIONES'!$D$70:$D$82)</f>
        <v>0</v>
      </c>
      <c r="I162" s="6">
        <f>SUMIF('OTRAS ACCIONES'!$B$84:$B$89,C162,'OTRAS ACCIONES'!$D$84:$D$89)</f>
        <v>0</v>
      </c>
      <c r="J162" s="6">
        <f t="shared" si="29"/>
        <v>1705</v>
      </c>
      <c r="K162" s="19">
        <f t="shared" si="30"/>
        <v>-9</v>
      </c>
      <c r="L162" s="6"/>
      <c r="M162" s="271"/>
      <c r="N162" s="271">
        <f t="shared" si="31"/>
        <v>0</v>
      </c>
      <c r="O162" s="7">
        <f t="shared" si="32"/>
        <v>1705</v>
      </c>
      <c r="P162" s="1" t="s">
        <v>339</v>
      </c>
      <c r="R162" s="4"/>
    </row>
    <row r="163" spans="1:18" x14ac:dyDescent="0.2">
      <c r="A163" s="274" t="s">
        <v>89</v>
      </c>
      <c r="B163" s="422">
        <v>83</v>
      </c>
      <c r="C163" s="6" t="s">
        <v>590</v>
      </c>
      <c r="D163" s="6">
        <f>SUMIF('PROG FORMACIÓN TITULADA'!$Q$8:$Q$1070,C163,'PROG FORMACIÓN TITULADA'!$R$8:$R$1070)</f>
        <v>0</v>
      </c>
      <c r="E163" s="6">
        <f>SUMIF('PROG FORM COMPLEM'!$G$9:$G$264,C163,'PROG FORM COMPLEM'!$K$9:$K$264)</f>
        <v>0</v>
      </c>
      <c r="F163" s="6">
        <f>SUMIF('OTRAS ACCIONES'!$B$12:$B$44,C163,'OTRAS ACCIONES'!$D$12:$D$44)</f>
        <v>0</v>
      </c>
      <c r="G163" s="6">
        <f>SUMIF('OTRAS ACCIONES'!$B$46:$B$68,C163,'OTRAS ACCIONES'!$D$46:$D$68)</f>
        <v>1696</v>
      </c>
      <c r="H163" s="6">
        <f>SUMIF('OTRAS ACCIONES'!$B$70:$B$82,C163,'OTRAS ACCIONES'!$D$70:$D$82)</f>
        <v>0</v>
      </c>
      <c r="I163" s="6">
        <f>SUMIF('OTRAS ACCIONES'!$B$84:$B$89,C163,'OTRAS ACCIONES'!$D$84:$D$89)</f>
        <v>0</v>
      </c>
      <c r="J163" s="6">
        <f t="shared" si="29"/>
        <v>1696</v>
      </c>
      <c r="K163" s="19">
        <f t="shared" si="30"/>
        <v>0</v>
      </c>
      <c r="L163" s="6"/>
      <c r="M163" s="271"/>
      <c r="N163" s="271">
        <f t="shared" si="31"/>
        <v>0</v>
      </c>
      <c r="O163" s="7">
        <f t="shared" si="32"/>
        <v>1696</v>
      </c>
      <c r="P163" s="1" t="s">
        <v>866</v>
      </c>
      <c r="R163" s="4"/>
    </row>
    <row r="164" spans="1:18" x14ac:dyDescent="0.2">
      <c r="A164" s="274" t="s">
        <v>89</v>
      </c>
      <c r="B164" s="422">
        <v>84</v>
      </c>
      <c r="C164" s="6" t="s">
        <v>273</v>
      </c>
      <c r="D164" s="6">
        <f>SUMIF('PROG FORMACIÓN TITULADA'!$Q$8:$Q$1070,C164,'PROG FORMACIÓN TITULADA'!$R$8:$R$1070)</f>
        <v>0</v>
      </c>
      <c r="E164" s="6">
        <f>SUMIF('PROG FORM COMPLEM'!$G$9:$G$264,C164,'PROG FORM COMPLEM'!$K$9:$K$264)</f>
        <v>0</v>
      </c>
      <c r="F164" s="6">
        <f>SUMIF('OTRAS ACCIONES'!$B$12:$B$44,C164,'OTRAS ACCIONES'!$D$12:$D$44)</f>
        <v>0</v>
      </c>
      <c r="G164" s="6">
        <f>SUMIF('OTRAS ACCIONES'!$B$46:$B$68,C164,'OTRAS ACCIONES'!$D$46:$D$68)</f>
        <v>1696</v>
      </c>
      <c r="H164" s="6">
        <f>SUMIF('OTRAS ACCIONES'!$B$70:$B$82,C164,'OTRAS ACCIONES'!$D$70:$D$82)</f>
        <v>0</v>
      </c>
      <c r="I164" s="6">
        <f>SUMIF('OTRAS ACCIONES'!$B$84:$B$89,C164,'OTRAS ACCIONES'!$D$84:$D$89)</f>
        <v>0</v>
      </c>
      <c r="J164" s="6">
        <f t="shared" si="29"/>
        <v>1696</v>
      </c>
      <c r="K164" s="19">
        <f t="shared" si="30"/>
        <v>0</v>
      </c>
      <c r="L164" s="6"/>
      <c r="M164" s="271"/>
      <c r="N164" s="271">
        <f t="shared" si="31"/>
        <v>0</v>
      </c>
      <c r="O164" s="7">
        <f t="shared" si="32"/>
        <v>1696</v>
      </c>
      <c r="P164" s="1" t="s">
        <v>866</v>
      </c>
      <c r="R164" s="4"/>
    </row>
    <row r="165" spans="1:18" x14ac:dyDescent="0.2">
      <c r="A165" s="274" t="s">
        <v>89</v>
      </c>
      <c r="B165" s="422">
        <v>85</v>
      </c>
      <c r="C165" s="220" t="s">
        <v>567</v>
      </c>
      <c r="D165" s="6">
        <f>SUMIF('PROG FORMACIÓN TITULADA'!$Q$8:$Q$1070,C165,'PROG FORMACIÓN TITULADA'!$R$8:$R$1070)</f>
        <v>1272</v>
      </c>
      <c r="E165" s="6">
        <f>SUMIF('PROG FORM COMPLEM'!$G$9:$G$264,C165,'PROG FORM COMPLEM'!$K$9:$K$264)</f>
        <v>0</v>
      </c>
      <c r="F165" s="6">
        <f>SUMIF('OTRAS ACCIONES'!$B$12:$B$44,C165,'OTRAS ACCIONES'!$D$12:$D$44)</f>
        <v>0</v>
      </c>
      <c r="G165" s="6">
        <f>SUMIF('OTRAS ACCIONES'!$B$46:$B$68,C165,'OTRAS ACCIONES'!$D$46:$D$68)</f>
        <v>0</v>
      </c>
      <c r="H165" s="6">
        <f>SUMIF('OTRAS ACCIONES'!$B$70:$B$82,C165,'OTRAS ACCIONES'!$D$70:$D$82)</f>
        <v>0</v>
      </c>
      <c r="I165" s="6">
        <f>SUMIF('OTRAS ACCIONES'!$B$84:$B$89,C165,'OTRAS ACCIONES'!$D$84:$D$89)</f>
        <v>0</v>
      </c>
      <c r="J165" s="6">
        <f t="shared" si="29"/>
        <v>1272</v>
      </c>
      <c r="K165" s="19">
        <f t="shared" si="30"/>
        <v>424</v>
      </c>
      <c r="L165" s="6"/>
      <c r="M165" s="271"/>
      <c r="N165" s="271">
        <f t="shared" si="31"/>
        <v>0</v>
      </c>
      <c r="O165" s="7">
        <f t="shared" si="32"/>
        <v>1272</v>
      </c>
      <c r="P165" s="1" t="s">
        <v>451</v>
      </c>
      <c r="R165" s="4"/>
    </row>
    <row r="166" spans="1:18" x14ac:dyDescent="0.2">
      <c r="A166" s="274" t="s">
        <v>89</v>
      </c>
      <c r="B166" s="422">
        <v>86</v>
      </c>
      <c r="C166" s="220" t="s">
        <v>675</v>
      </c>
      <c r="D166" s="6">
        <f>SUMIF('PROG FORMACIÓN TITULADA'!$Q$8:$Q$1070,C166,'PROG FORMACIÓN TITULADA'!$R$8:$R$1070)</f>
        <v>0</v>
      </c>
      <c r="E166" s="6">
        <f>SUMIF('PROG FORM COMPLEM'!$G$9:$G$264,C166,'PROG FORM COMPLEM'!$K$9:$K$264)</f>
        <v>1680</v>
      </c>
      <c r="F166" s="6">
        <f>SUMIF('OTRAS ACCIONES'!$B$12:$B$44,C166,'OTRAS ACCIONES'!$D$12:$D$44)</f>
        <v>0</v>
      </c>
      <c r="G166" s="6">
        <f>SUMIF('OTRAS ACCIONES'!$B$46:$B$68,C166,'OTRAS ACCIONES'!$D$46:$D$68)</f>
        <v>0</v>
      </c>
      <c r="H166" s="6">
        <f>SUMIF('OTRAS ACCIONES'!$B$70:$B$82,C166,'OTRAS ACCIONES'!$D$70:$D$82)</f>
        <v>0</v>
      </c>
      <c r="I166" s="6">
        <f>SUMIF('OTRAS ACCIONES'!$B$84:$B$89,C166,'OTRAS ACCIONES'!$D$84:$D$89)</f>
        <v>0</v>
      </c>
      <c r="J166" s="6">
        <f t="shared" si="29"/>
        <v>1680</v>
      </c>
      <c r="K166" s="19">
        <f t="shared" si="30"/>
        <v>16</v>
      </c>
      <c r="L166" s="6"/>
      <c r="M166" s="271"/>
      <c r="N166" s="271">
        <f t="shared" si="31"/>
        <v>0</v>
      </c>
      <c r="O166" s="7">
        <f t="shared" si="32"/>
        <v>1680</v>
      </c>
      <c r="P166" s="1" t="s">
        <v>865</v>
      </c>
      <c r="R166" s="4"/>
    </row>
    <row r="167" spans="1:18" x14ac:dyDescent="0.2">
      <c r="A167" s="274" t="s">
        <v>89</v>
      </c>
      <c r="B167" s="422">
        <v>87</v>
      </c>
      <c r="C167" s="220" t="s">
        <v>568</v>
      </c>
      <c r="D167" s="6">
        <f>SUMIF('PROG FORMACIÓN TITULADA'!$Q$8:$Q$1070,C167,'PROG FORMACIÓN TITULADA'!$R$8:$R$1070)</f>
        <v>1272</v>
      </c>
      <c r="E167" s="6">
        <f>SUMIF('PROG FORM COMPLEM'!$G$9:$G$264,C167,'PROG FORM COMPLEM'!$K$9:$K$264)</f>
        <v>0</v>
      </c>
      <c r="F167" s="6">
        <f>SUMIF('OTRAS ACCIONES'!$B$12:$B$44,C167,'OTRAS ACCIONES'!$D$12:$D$44)</f>
        <v>0</v>
      </c>
      <c r="G167" s="6">
        <f>SUMIF('OTRAS ACCIONES'!$B$46:$B$68,C167,'OTRAS ACCIONES'!$D$46:$D$68)</f>
        <v>0</v>
      </c>
      <c r="H167" s="6">
        <f>SUMIF('OTRAS ACCIONES'!$B$70:$B$82,C167,'OTRAS ACCIONES'!$D$70:$D$82)</f>
        <v>0</v>
      </c>
      <c r="I167" s="6">
        <f>SUMIF('OTRAS ACCIONES'!$B$84:$B$89,C167,'OTRAS ACCIONES'!$D$84:$D$89)</f>
        <v>0</v>
      </c>
      <c r="J167" s="6">
        <f t="shared" si="29"/>
        <v>1272</v>
      </c>
      <c r="K167" s="19">
        <f t="shared" si="30"/>
        <v>424</v>
      </c>
      <c r="L167" s="6"/>
      <c r="M167" s="271"/>
      <c r="N167" s="271">
        <f t="shared" si="31"/>
        <v>0</v>
      </c>
      <c r="O167" s="7">
        <f t="shared" si="32"/>
        <v>1272</v>
      </c>
      <c r="P167" s="1" t="s">
        <v>451</v>
      </c>
      <c r="R167" s="4"/>
    </row>
    <row r="168" spans="1:18" x14ac:dyDescent="0.2">
      <c r="A168" s="274" t="s">
        <v>89</v>
      </c>
      <c r="B168" s="422">
        <v>88</v>
      </c>
      <c r="C168" s="26" t="s">
        <v>186</v>
      </c>
      <c r="D168" s="6">
        <f>SUMIF('PROG FORMACIÓN TITULADA'!$Q$8:$Q$1070,C168,'PROG FORMACIÓN TITULADA'!$R$8:$R$1070)</f>
        <v>1364</v>
      </c>
      <c r="E168" s="6">
        <f>SUMIF('PROG FORM COMPLEM'!$G$9:$G$264,C168,'PROG FORM COMPLEM'!$K$9:$K$264)</f>
        <v>0</v>
      </c>
      <c r="F168" s="6">
        <f>SUMIF('OTRAS ACCIONES'!$B$12:$B$44,C168,'OTRAS ACCIONES'!$D$12:$D$44)</f>
        <v>0</v>
      </c>
      <c r="G168" s="6">
        <f>SUMIF('OTRAS ACCIONES'!$B$46:$B$68,C168,'OTRAS ACCIONES'!$D$46:$D$68)</f>
        <v>0</v>
      </c>
      <c r="H168" s="6">
        <f>SUMIF('OTRAS ACCIONES'!$B$70:$B$82,C168,'OTRAS ACCIONES'!$D$70:$D$82)</f>
        <v>332</v>
      </c>
      <c r="I168" s="6">
        <f>SUMIF('OTRAS ACCIONES'!$B$84:$B$89,C168,'OTRAS ACCIONES'!$D$84:$D$89)</f>
        <v>0</v>
      </c>
      <c r="J168" s="6">
        <f t="shared" si="29"/>
        <v>1696</v>
      </c>
      <c r="K168" s="19">
        <f t="shared" si="30"/>
        <v>0</v>
      </c>
      <c r="L168" s="6"/>
      <c r="M168" s="271"/>
      <c r="N168" s="271">
        <f t="shared" si="31"/>
        <v>0</v>
      </c>
      <c r="O168" s="7">
        <f t="shared" si="32"/>
        <v>1696</v>
      </c>
      <c r="P168" s="1" t="s">
        <v>484</v>
      </c>
      <c r="R168" s="4"/>
    </row>
    <row r="169" spans="1:18" x14ac:dyDescent="0.2">
      <c r="A169" s="274" t="s">
        <v>89</v>
      </c>
      <c r="B169" s="422">
        <v>89</v>
      </c>
      <c r="C169" s="6" t="s">
        <v>274</v>
      </c>
      <c r="D169" s="6">
        <f>SUMIF('PROG FORMACIÓN TITULADA'!$Q$8:$Q$1070,C169,'PROG FORMACIÓN TITULADA'!$R$8:$R$1070)</f>
        <v>1696</v>
      </c>
      <c r="E169" s="6">
        <f>SUMIF('PROG FORM COMPLEM'!$G$9:$G$264,C169,'PROG FORM COMPLEM'!$K$9:$K$264)</f>
        <v>0</v>
      </c>
      <c r="F169" s="6">
        <f>SUMIF('OTRAS ACCIONES'!$B$12:$B$44,C169,'OTRAS ACCIONES'!$D$12:$D$44)</f>
        <v>0</v>
      </c>
      <c r="G169" s="6">
        <f>SUMIF('OTRAS ACCIONES'!$B$46:$B$68,C169,'OTRAS ACCIONES'!$D$46:$D$68)</f>
        <v>0</v>
      </c>
      <c r="H169" s="6">
        <f>SUMIF('OTRAS ACCIONES'!$B$70:$B$82,C169,'OTRAS ACCIONES'!$D$70:$D$82)</f>
        <v>0</v>
      </c>
      <c r="I169" s="6">
        <f>SUMIF('OTRAS ACCIONES'!$B$84:$B$89,C169,'OTRAS ACCIONES'!$D$84:$D$89)</f>
        <v>0</v>
      </c>
      <c r="J169" s="6">
        <f t="shared" si="29"/>
        <v>1696</v>
      </c>
      <c r="K169" s="19">
        <f t="shared" si="30"/>
        <v>0</v>
      </c>
      <c r="L169" s="6"/>
      <c r="M169" s="271"/>
      <c r="N169" s="271">
        <f t="shared" si="31"/>
        <v>0</v>
      </c>
      <c r="O169" s="7">
        <f t="shared" si="32"/>
        <v>1696</v>
      </c>
      <c r="P169" s="1" t="s">
        <v>865</v>
      </c>
      <c r="R169" s="4"/>
    </row>
    <row r="170" spans="1:18" x14ac:dyDescent="0.2">
      <c r="A170" s="274" t="s">
        <v>89</v>
      </c>
      <c r="B170" s="422">
        <v>90</v>
      </c>
      <c r="C170" s="6" t="s">
        <v>275</v>
      </c>
      <c r="D170" s="6">
        <f>SUMIF('PROG FORMACIÓN TITULADA'!$Q$8:$Q$1070,C170,'PROG FORMACIÓN TITULADA'!$R$8:$R$1070)</f>
        <v>846</v>
      </c>
      <c r="E170" s="6">
        <f>SUMIF('PROG FORM COMPLEM'!$G$9:$G$264,C170,'PROG FORM COMPLEM'!$K$9:$K$264)</f>
        <v>840</v>
      </c>
      <c r="F170" s="6">
        <f>SUMIF('OTRAS ACCIONES'!$B$12:$B$44,C170,'OTRAS ACCIONES'!$D$12:$D$44)</f>
        <v>0</v>
      </c>
      <c r="G170" s="6">
        <f>SUMIF('OTRAS ACCIONES'!$B$46:$B$68,C170,'OTRAS ACCIONES'!$D$46:$D$68)</f>
        <v>0</v>
      </c>
      <c r="H170" s="6">
        <f>SUMIF('OTRAS ACCIONES'!$B$70:$B$82,C170,'OTRAS ACCIONES'!$D$70:$D$82)</f>
        <v>0</v>
      </c>
      <c r="I170" s="6">
        <f>SUMIF('OTRAS ACCIONES'!$B$84:$B$89,C170,'OTRAS ACCIONES'!$D$84:$D$89)</f>
        <v>0</v>
      </c>
      <c r="J170" s="6">
        <f t="shared" si="29"/>
        <v>1686</v>
      </c>
      <c r="K170" s="19">
        <f t="shared" si="30"/>
        <v>10</v>
      </c>
      <c r="L170" s="6"/>
      <c r="M170" s="271"/>
      <c r="N170" s="271">
        <f t="shared" si="31"/>
        <v>0</v>
      </c>
      <c r="O170" s="7">
        <f t="shared" si="32"/>
        <v>1686</v>
      </c>
      <c r="P170" s="1" t="s">
        <v>456</v>
      </c>
      <c r="R170" s="4"/>
    </row>
    <row r="171" spans="1:18" x14ac:dyDescent="0.2">
      <c r="A171" s="274" t="s">
        <v>89</v>
      </c>
      <c r="B171" s="422">
        <v>91</v>
      </c>
      <c r="C171" s="276" t="s">
        <v>763</v>
      </c>
      <c r="D171" s="6">
        <f>SUMIF('PROG FORMACIÓN TITULADA'!$Q$8:$Q$1070,C171,'PROG FORMACIÓN TITULADA'!$R$8:$R$1070)</f>
        <v>1488</v>
      </c>
      <c r="E171" s="6">
        <f>SUMIF('PROG FORM COMPLEM'!$G$9:$G$264,C171,'PROG FORM COMPLEM'!$K$9:$K$264)</f>
        <v>200</v>
      </c>
      <c r="F171" s="6">
        <f>SUMIF('OTRAS ACCIONES'!$B$12:$B$44,C171,'OTRAS ACCIONES'!$D$12:$D$44)</f>
        <v>0</v>
      </c>
      <c r="G171" s="6">
        <f>SUMIF('OTRAS ACCIONES'!$B$46:$B$68,C171,'OTRAS ACCIONES'!$D$46:$D$68)</f>
        <v>0</v>
      </c>
      <c r="H171" s="6">
        <f>SUMIF('OTRAS ACCIONES'!$B$70:$B$82,C171,'OTRAS ACCIONES'!$D$70:$D$82)</f>
        <v>0</v>
      </c>
      <c r="I171" s="6">
        <f>SUMIF('OTRAS ACCIONES'!$B$84:$B$89,C171,'OTRAS ACCIONES'!$D$84:$D$89)</f>
        <v>0</v>
      </c>
      <c r="J171" s="6">
        <f t="shared" si="29"/>
        <v>1688</v>
      </c>
      <c r="K171" s="19">
        <f t="shared" si="30"/>
        <v>8</v>
      </c>
      <c r="L171" s="6"/>
      <c r="M171" s="271"/>
      <c r="N171" s="271">
        <f t="shared" si="31"/>
        <v>0</v>
      </c>
      <c r="O171" s="7">
        <f t="shared" si="32"/>
        <v>1688</v>
      </c>
      <c r="P171" s="1" t="s">
        <v>488</v>
      </c>
      <c r="R171" s="4"/>
    </row>
    <row r="172" spans="1:18" x14ac:dyDescent="0.2">
      <c r="A172" s="274" t="s">
        <v>89</v>
      </c>
      <c r="B172" s="422">
        <v>92</v>
      </c>
      <c r="C172" s="220" t="s">
        <v>961</v>
      </c>
      <c r="D172" s="6">
        <f>SUMIF('PROG FORMACIÓN TITULADA'!$Q$8:$Q$1070,C172,'PROG FORMACIÓN TITULADA'!$R$8:$R$1070)</f>
        <v>1272</v>
      </c>
      <c r="E172" s="6">
        <f>SUMIF('PROG FORM COMPLEM'!$G$9:$G$264,C172,'PROG FORM COMPLEM'!$K$9:$K$264)</f>
        <v>0</v>
      </c>
      <c r="F172" s="6">
        <f>SUMIF('OTRAS ACCIONES'!$B$12:$B$44,C172,'OTRAS ACCIONES'!$D$12:$D$44)</f>
        <v>0</v>
      </c>
      <c r="G172" s="6">
        <f>SUMIF('OTRAS ACCIONES'!$B$46:$B$68,C172,'OTRAS ACCIONES'!$D$46:$D$68)</f>
        <v>0</v>
      </c>
      <c r="H172" s="6">
        <f>SUMIF('OTRAS ACCIONES'!$B$70:$B$82,C172,'OTRAS ACCIONES'!$D$70:$D$82)</f>
        <v>0</v>
      </c>
      <c r="I172" s="6">
        <f>SUMIF('OTRAS ACCIONES'!$B$84:$B$89,C172,'OTRAS ACCIONES'!$D$84:$D$89)</f>
        <v>0</v>
      </c>
      <c r="J172" s="6">
        <f t="shared" si="29"/>
        <v>1272</v>
      </c>
      <c r="K172" s="19">
        <f t="shared" si="30"/>
        <v>424</v>
      </c>
      <c r="L172" s="6"/>
      <c r="M172" s="271"/>
      <c r="N172" s="271">
        <f t="shared" si="31"/>
        <v>0</v>
      </c>
      <c r="O172" s="7">
        <f t="shared" si="32"/>
        <v>1272</v>
      </c>
      <c r="P172" s="1" t="s">
        <v>865</v>
      </c>
      <c r="R172" s="4"/>
    </row>
    <row r="173" spans="1:18" x14ac:dyDescent="0.2">
      <c r="A173" s="274" t="s">
        <v>89</v>
      </c>
      <c r="B173" s="422">
        <v>93</v>
      </c>
      <c r="C173" s="220" t="s">
        <v>954</v>
      </c>
      <c r="D173" s="6">
        <f>SUMIF('PROG FORMACIÓN TITULADA'!$Q$8:$Q$1070,C173,'PROG FORMACIÓN TITULADA'!$R$8:$R$1070)</f>
        <v>0</v>
      </c>
      <c r="E173" s="6">
        <f>SUMIF('PROG FORM COMPLEM'!$G$9:$G$264,C173,'PROG FORM COMPLEM'!$K$9:$K$264)</f>
        <v>1680</v>
      </c>
      <c r="F173" s="6">
        <f>SUMIF('OTRAS ACCIONES'!$B$12:$B$44,C173,'OTRAS ACCIONES'!$D$12:$D$44)</f>
        <v>0</v>
      </c>
      <c r="G173" s="6">
        <f>SUMIF('OTRAS ACCIONES'!$B$46:$B$68,C173,'OTRAS ACCIONES'!$D$46:$D$68)</f>
        <v>0</v>
      </c>
      <c r="H173" s="6">
        <f>SUMIF('OTRAS ACCIONES'!$B$70:$B$82,C173,'OTRAS ACCIONES'!$D$70:$D$82)</f>
        <v>0</v>
      </c>
      <c r="I173" s="6">
        <f>SUMIF('OTRAS ACCIONES'!$B$84:$B$89,C173,'OTRAS ACCIONES'!$D$84:$D$89)</f>
        <v>0</v>
      </c>
      <c r="J173" s="6">
        <f t="shared" si="29"/>
        <v>1680</v>
      </c>
      <c r="K173" s="19">
        <f t="shared" si="30"/>
        <v>16</v>
      </c>
      <c r="L173" s="6"/>
      <c r="M173" s="271"/>
      <c r="N173" s="271">
        <f t="shared" si="31"/>
        <v>0</v>
      </c>
      <c r="O173" s="7">
        <f t="shared" si="32"/>
        <v>1680</v>
      </c>
      <c r="P173" s="1" t="s">
        <v>456</v>
      </c>
      <c r="R173" s="4"/>
    </row>
    <row r="174" spans="1:18" x14ac:dyDescent="0.2">
      <c r="A174" s="416" t="s">
        <v>89</v>
      </c>
      <c r="B174" s="422">
        <v>94</v>
      </c>
      <c r="C174" s="425" t="s">
        <v>1037</v>
      </c>
      <c r="D174" s="346">
        <f>SUMIF('PROG FORMACIÓN TITULADA'!$Q$8:$Q$1070,C174,'PROG FORMACIÓN TITULADA'!$R$8:$R$1070)</f>
        <v>848</v>
      </c>
      <c r="E174" s="346">
        <f>SUMIF('PROG FORM COMPLEM'!$G$9:$G$264,C174,'PROG FORM COMPLEM'!$K$9:$K$264)</f>
        <v>0</v>
      </c>
      <c r="F174" s="346">
        <f>SUMIF('OTRAS ACCIONES'!$B$12:$B$44,C174,'OTRAS ACCIONES'!$D$12:$D$44)</f>
        <v>0</v>
      </c>
      <c r="G174" s="346">
        <f>SUMIF('OTRAS ACCIONES'!$B$46:$B$68,C174,'OTRAS ACCIONES'!$D$46:$D$68)</f>
        <v>0</v>
      </c>
      <c r="H174" s="346">
        <f>SUMIF('OTRAS ACCIONES'!$B$70:$B$82,C174,'OTRAS ACCIONES'!$D$70:$D$82)</f>
        <v>0</v>
      </c>
      <c r="I174" s="346">
        <f>SUMIF('OTRAS ACCIONES'!$B$84:$B$89,C174,'OTRAS ACCIONES'!$D$84:$D$89)</f>
        <v>0</v>
      </c>
      <c r="J174" s="346">
        <f t="shared" si="29"/>
        <v>848</v>
      </c>
      <c r="K174" s="417">
        <f t="shared" si="30"/>
        <v>848</v>
      </c>
      <c r="L174" s="346"/>
      <c r="M174" s="418"/>
      <c r="N174" s="418">
        <f t="shared" si="31"/>
        <v>0</v>
      </c>
      <c r="O174" s="419">
        <f t="shared" si="32"/>
        <v>848</v>
      </c>
      <c r="P174" s="403" t="s">
        <v>865</v>
      </c>
      <c r="Q174" s="403"/>
      <c r="R174" s="420"/>
    </row>
    <row r="175" spans="1:18" x14ac:dyDescent="0.2">
      <c r="A175" s="274" t="s">
        <v>89</v>
      </c>
      <c r="B175" s="422">
        <v>95</v>
      </c>
      <c r="C175" s="273" t="s">
        <v>894</v>
      </c>
      <c r="D175" s="6">
        <f>SUMIF('PROG FORMACIÓN TITULADA'!$Q$8:$Q$1070,C175,'PROG FORMACIÓN TITULADA'!$R$8:$R$1070)</f>
        <v>856</v>
      </c>
      <c r="E175" s="6">
        <f>SUMIF('PROG FORM COMPLEM'!$G$9:$G$264,C175,'PROG FORM COMPLEM'!$K$9:$K$264)</f>
        <v>0</v>
      </c>
      <c r="F175" s="6">
        <f>SUMIF('OTRAS ACCIONES'!$B$12:$B$44,C175,'OTRAS ACCIONES'!$D$12:$D$44)</f>
        <v>0</v>
      </c>
      <c r="G175" s="6">
        <f>SUMIF('OTRAS ACCIONES'!$B$46:$B$68,C175,'OTRAS ACCIONES'!$D$46:$D$68)</f>
        <v>0</v>
      </c>
      <c r="H175" s="6">
        <f>SUMIF('OTRAS ACCIONES'!$B$70:$B$82,C175,'OTRAS ACCIONES'!$D$70:$D$82)</f>
        <v>0</v>
      </c>
      <c r="I175" s="6">
        <f>SUMIF('OTRAS ACCIONES'!$B$84:$B$89,C175,'OTRAS ACCIONES'!$D$84:$D$89)</f>
        <v>0</v>
      </c>
      <c r="J175" s="6">
        <f t="shared" si="29"/>
        <v>856</v>
      </c>
      <c r="K175" s="19">
        <f t="shared" si="30"/>
        <v>840</v>
      </c>
      <c r="L175" s="6"/>
      <c r="M175" s="271"/>
      <c r="N175" s="271">
        <f t="shared" si="31"/>
        <v>0</v>
      </c>
      <c r="O175" s="7">
        <f t="shared" si="32"/>
        <v>856</v>
      </c>
      <c r="P175" s="1" t="s">
        <v>208</v>
      </c>
      <c r="R175" s="4"/>
    </row>
    <row r="176" spans="1:18" x14ac:dyDescent="0.2">
      <c r="A176" s="274" t="s">
        <v>89</v>
      </c>
      <c r="B176" s="422">
        <v>96</v>
      </c>
      <c r="C176" s="6" t="s">
        <v>686</v>
      </c>
      <c r="D176" s="6">
        <f>SUMIF('PROG FORMACIÓN TITULADA'!$Q$8:$Q$1070,C176,'PROG FORMACIÓN TITULADA'!$R$8:$R$1070)</f>
        <v>0</v>
      </c>
      <c r="E176" s="6">
        <f>SUMIF('PROG FORM COMPLEM'!$G$9:$G$264,C176,'PROG FORM COMPLEM'!$K$9:$K$264)</f>
        <v>0</v>
      </c>
      <c r="F176" s="6">
        <f>SUMIF('OTRAS ACCIONES'!$B$12:$B$44,C176,'OTRAS ACCIONES'!$D$12:$D$44)</f>
        <v>1696</v>
      </c>
      <c r="G176" s="6">
        <f>SUMIF('OTRAS ACCIONES'!$B$46:$B$68,C176,'OTRAS ACCIONES'!$D$46:$D$68)</f>
        <v>0</v>
      </c>
      <c r="H176" s="6">
        <f>SUMIF('OTRAS ACCIONES'!$B$70:$B$82,C176,'OTRAS ACCIONES'!$D$70:$D$82)</f>
        <v>0</v>
      </c>
      <c r="I176" s="6">
        <f>SUMIF('OTRAS ACCIONES'!$B$84:$B$89,C176,'OTRAS ACCIONES'!$D$84:$D$89)</f>
        <v>0</v>
      </c>
      <c r="J176" s="6">
        <f t="shared" si="29"/>
        <v>1696</v>
      </c>
      <c r="K176" s="19">
        <f t="shared" si="30"/>
        <v>0</v>
      </c>
      <c r="L176" s="6"/>
      <c r="M176" s="271"/>
      <c r="N176" s="271">
        <f t="shared" si="31"/>
        <v>0</v>
      </c>
      <c r="O176" s="7">
        <f t="shared" si="32"/>
        <v>1696</v>
      </c>
      <c r="P176" s="1" t="s">
        <v>484</v>
      </c>
      <c r="R176" s="4"/>
    </row>
    <row r="177" spans="1:18" x14ac:dyDescent="0.2">
      <c r="A177" s="274" t="s">
        <v>89</v>
      </c>
      <c r="B177" s="422">
        <v>97</v>
      </c>
      <c r="C177" s="220" t="s">
        <v>962</v>
      </c>
      <c r="D177" s="6">
        <f>SUMIF('PROG FORMACIÓN TITULADA'!$Q$8:$Q$1070,C177,'PROG FORMACIÓN TITULADA'!$R$8:$R$1070)</f>
        <v>848</v>
      </c>
      <c r="E177" s="6">
        <f>SUMIF('PROG FORM COMPLEM'!$G$9:$G$264,C177,'PROG FORM COMPLEM'!$K$9:$K$264)</f>
        <v>0</v>
      </c>
      <c r="F177" s="6">
        <f>SUMIF('OTRAS ACCIONES'!$B$12:$B$44,C177,'OTRAS ACCIONES'!$D$12:$D$44)</f>
        <v>0</v>
      </c>
      <c r="G177" s="6">
        <f>SUMIF('OTRAS ACCIONES'!$B$46:$B$68,C177,'OTRAS ACCIONES'!$D$46:$D$68)</f>
        <v>0</v>
      </c>
      <c r="H177" s="6">
        <f>SUMIF('OTRAS ACCIONES'!$B$70:$B$82,C177,'OTRAS ACCIONES'!$D$70:$D$82)</f>
        <v>0</v>
      </c>
      <c r="I177" s="6">
        <f>SUMIF('OTRAS ACCIONES'!$B$84:$B$89,C177,'OTRAS ACCIONES'!$D$84:$D$89)</f>
        <v>0</v>
      </c>
      <c r="J177" s="6">
        <f t="shared" si="29"/>
        <v>848</v>
      </c>
      <c r="K177" s="19">
        <f t="shared" si="30"/>
        <v>848</v>
      </c>
      <c r="L177" s="6"/>
      <c r="M177" s="271"/>
      <c r="N177" s="271">
        <f t="shared" si="31"/>
        <v>0</v>
      </c>
      <c r="O177" s="7">
        <f t="shared" si="32"/>
        <v>848</v>
      </c>
      <c r="P177" s="1" t="s">
        <v>865</v>
      </c>
      <c r="R177" s="4"/>
    </row>
    <row r="178" spans="1:18" x14ac:dyDescent="0.2">
      <c r="A178" s="274" t="s">
        <v>89</v>
      </c>
      <c r="B178" s="422">
        <v>98</v>
      </c>
      <c r="C178" s="6" t="s">
        <v>161</v>
      </c>
      <c r="D178" s="6">
        <f>SUMIF('PROG FORMACIÓN TITULADA'!$Q$8:$Q$1070,C178,'PROG FORMACIÓN TITULADA'!$R$8:$R$1070)</f>
        <v>474</v>
      </c>
      <c r="E178" s="6">
        <f>SUMIF('PROG FORM COMPLEM'!$G$9:$G$264,C178,'PROG FORM COMPLEM'!$K$9:$K$264)</f>
        <v>1200</v>
      </c>
      <c r="F178" s="6">
        <f>SUMIF('OTRAS ACCIONES'!$B$12:$B$44,C178,'OTRAS ACCIONES'!$D$12:$D$44)</f>
        <v>0</v>
      </c>
      <c r="G178" s="6">
        <f>SUMIF('OTRAS ACCIONES'!$B$46:$B$68,C178,'OTRAS ACCIONES'!$D$46:$D$68)</f>
        <v>0</v>
      </c>
      <c r="H178" s="6">
        <f>SUMIF('OTRAS ACCIONES'!$B$70:$B$82,C178,'OTRAS ACCIONES'!$D$70:$D$82)</f>
        <v>0</v>
      </c>
      <c r="I178" s="6">
        <f>SUMIF('OTRAS ACCIONES'!$B$84:$B$89,C178,'OTRAS ACCIONES'!$D$84:$D$89)</f>
        <v>0</v>
      </c>
      <c r="J178" s="6">
        <f t="shared" si="29"/>
        <v>1674</v>
      </c>
      <c r="K178" s="19">
        <f t="shared" si="30"/>
        <v>22</v>
      </c>
      <c r="L178" s="6"/>
      <c r="M178" s="271"/>
      <c r="N178" s="271">
        <f t="shared" si="31"/>
        <v>0</v>
      </c>
      <c r="O178" s="7">
        <f t="shared" si="32"/>
        <v>1674</v>
      </c>
      <c r="P178" s="1" t="s">
        <v>208</v>
      </c>
      <c r="R178" s="4"/>
    </row>
    <row r="179" spans="1:18" x14ac:dyDescent="0.2">
      <c r="A179" s="274" t="s">
        <v>89</v>
      </c>
      <c r="B179" s="422">
        <v>99</v>
      </c>
      <c r="C179" s="6" t="s">
        <v>276</v>
      </c>
      <c r="D179" s="6">
        <f>SUMIF('PROG FORMACIÓN TITULADA'!$Q$8:$Q$1070,C179,'PROG FORMACIÓN TITULADA'!$R$8:$R$1070)</f>
        <v>0</v>
      </c>
      <c r="E179" s="6">
        <f>SUMIF('PROG FORM COMPLEM'!$G$9:$G$264,C179,'PROG FORM COMPLEM'!$K$9:$K$264)</f>
        <v>1200</v>
      </c>
      <c r="F179" s="6">
        <f>SUMIF('OTRAS ACCIONES'!$B$12:$B$44,C179,'OTRAS ACCIONES'!$D$12:$D$44)</f>
        <v>0</v>
      </c>
      <c r="G179" s="6">
        <f>SUMIF('OTRAS ACCIONES'!$B$46:$B$68,C179,'OTRAS ACCIONES'!$D$46:$D$68)</f>
        <v>0</v>
      </c>
      <c r="H179" s="6">
        <f>SUMIF('OTRAS ACCIONES'!$B$70:$B$82,C179,'OTRAS ACCIONES'!$D$70:$D$82)</f>
        <v>0</v>
      </c>
      <c r="I179" s="6">
        <f>SUMIF('OTRAS ACCIONES'!$B$84:$B$89,C179,'OTRAS ACCIONES'!$D$84:$D$89)</f>
        <v>0</v>
      </c>
      <c r="J179" s="6">
        <f t="shared" si="29"/>
        <v>1200</v>
      </c>
      <c r="K179" s="19">
        <f t="shared" si="30"/>
        <v>496</v>
      </c>
      <c r="L179" s="6"/>
      <c r="M179" s="271"/>
      <c r="N179" s="271">
        <f t="shared" si="31"/>
        <v>0</v>
      </c>
      <c r="O179" s="7">
        <f t="shared" si="32"/>
        <v>1200</v>
      </c>
      <c r="P179" s="1" t="s">
        <v>867</v>
      </c>
      <c r="R179" s="4"/>
    </row>
    <row r="180" spans="1:18" x14ac:dyDescent="0.2">
      <c r="A180" s="274" t="s">
        <v>89</v>
      </c>
      <c r="B180" s="422">
        <v>100</v>
      </c>
      <c r="C180" s="6" t="s">
        <v>277</v>
      </c>
      <c r="D180" s="6">
        <f>SUMIF('PROG FORMACIÓN TITULADA'!$Q$8:$Q$1070,C180,'PROG FORMACIÓN TITULADA'!$R$8:$R$1070)</f>
        <v>0</v>
      </c>
      <c r="E180" s="6">
        <f>SUMIF('PROG FORM COMPLEM'!$G$9:$G$264,C180,'PROG FORM COMPLEM'!$K$9:$K$264)</f>
        <v>1680</v>
      </c>
      <c r="F180" s="6">
        <f>SUMIF('OTRAS ACCIONES'!$B$12:$B$44,C180,'OTRAS ACCIONES'!$D$12:$D$44)</f>
        <v>0</v>
      </c>
      <c r="G180" s="6">
        <f>SUMIF('OTRAS ACCIONES'!$B$46:$B$68,C180,'OTRAS ACCIONES'!$D$46:$D$68)</f>
        <v>0</v>
      </c>
      <c r="H180" s="6">
        <f>SUMIF('OTRAS ACCIONES'!$B$70:$B$82,C180,'OTRAS ACCIONES'!$D$70:$D$82)</f>
        <v>0</v>
      </c>
      <c r="I180" s="6">
        <f>SUMIF('OTRAS ACCIONES'!$B$84:$B$89,C180,'OTRAS ACCIONES'!$D$84:$D$89)</f>
        <v>0</v>
      </c>
      <c r="J180" s="6">
        <f t="shared" si="29"/>
        <v>1680</v>
      </c>
      <c r="K180" s="19">
        <f t="shared" si="30"/>
        <v>16</v>
      </c>
      <c r="L180" s="6"/>
      <c r="M180" s="271"/>
      <c r="N180" s="271">
        <f t="shared" si="31"/>
        <v>0</v>
      </c>
      <c r="O180" s="7">
        <f t="shared" si="32"/>
        <v>1680</v>
      </c>
      <c r="P180" s="1" t="s">
        <v>488</v>
      </c>
      <c r="R180" s="4"/>
    </row>
    <row r="181" spans="1:18" x14ac:dyDescent="0.2">
      <c r="A181" s="274" t="s">
        <v>89</v>
      </c>
      <c r="B181" s="422">
        <v>101</v>
      </c>
      <c r="C181" s="6" t="s">
        <v>278</v>
      </c>
      <c r="D181" s="6">
        <f>SUMIF('PROG FORMACIÓN TITULADA'!$Q$8:$Q$1070,C181,'PROG FORMACIÓN TITULADA'!$R$8:$R$1070)</f>
        <v>1272</v>
      </c>
      <c r="E181" s="6">
        <f>SUMIF('PROG FORM COMPLEM'!$G$9:$G$264,C181,'PROG FORM COMPLEM'!$K$9:$K$264)</f>
        <v>400</v>
      </c>
      <c r="F181" s="6">
        <f>SUMIF('OTRAS ACCIONES'!$B$12:$B$44,C181,'OTRAS ACCIONES'!$D$12:$D$44)</f>
        <v>0</v>
      </c>
      <c r="G181" s="6">
        <f>SUMIF('OTRAS ACCIONES'!$B$46:$B$68,C181,'OTRAS ACCIONES'!$D$46:$D$68)</f>
        <v>0</v>
      </c>
      <c r="H181" s="6">
        <f>SUMIF('OTRAS ACCIONES'!$B$70:$B$82,C181,'OTRAS ACCIONES'!$D$70:$D$82)</f>
        <v>0</v>
      </c>
      <c r="I181" s="6">
        <f>SUMIF('OTRAS ACCIONES'!$B$84:$B$89,C181,'OTRAS ACCIONES'!$D$84:$D$89)</f>
        <v>0</v>
      </c>
      <c r="J181" s="6">
        <f t="shared" si="29"/>
        <v>1672</v>
      </c>
      <c r="K181" s="19">
        <f t="shared" si="30"/>
        <v>24</v>
      </c>
      <c r="L181" s="6"/>
      <c r="M181" s="271"/>
      <c r="N181" s="271">
        <f t="shared" si="31"/>
        <v>0</v>
      </c>
      <c r="O181" s="7">
        <f t="shared" si="32"/>
        <v>1672</v>
      </c>
      <c r="P181" s="1" t="s">
        <v>865</v>
      </c>
      <c r="R181" s="4"/>
    </row>
    <row r="182" spans="1:18" x14ac:dyDescent="0.2">
      <c r="A182" s="274" t="s">
        <v>89</v>
      </c>
      <c r="B182" s="422">
        <v>102</v>
      </c>
      <c r="C182" s="6" t="s">
        <v>279</v>
      </c>
      <c r="D182" s="6">
        <f>SUMIF('PROG FORMACIÓN TITULADA'!$Q$8:$Q$1070,C182,'PROG FORMACIÓN TITULADA'!$R$8:$R$1070)</f>
        <v>0</v>
      </c>
      <c r="E182" s="6">
        <f>SUMIF('PROG FORM COMPLEM'!$G$9:$G$264,C182,'PROG FORM COMPLEM'!$K$9:$K$264)</f>
        <v>1200</v>
      </c>
      <c r="F182" s="6">
        <f>SUMIF('OTRAS ACCIONES'!$B$12:$B$44,C182,'OTRAS ACCIONES'!$D$12:$D$44)</f>
        <v>0</v>
      </c>
      <c r="G182" s="6">
        <f>SUMIF('OTRAS ACCIONES'!$B$46:$B$68,C182,'OTRAS ACCIONES'!$D$46:$D$68)</f>
        <v>0</v>
      </c>
      <c r="H182" s="6">
        <f>SUMIF('OTRAS ACCIONES'!$B$70:$B$82,C182,'OTRAS ACCIONES'!$D$70:$D$82)</f>
        <v>0</v>
      </c>
      <c r="I182" s="6">
        <f>SUMIF('OTRAS ACCIONES'!$B$84:$B$89,C182,'OTRAS ACCIONES'!$D$84:$D$89)</f>
        <v>0</v>
      </c>
      <c r="J182" s="6">
        <f t="shared" si="29"/>
        <v>1200</v>
      </c>
      <c r="K182" s="19">
        <f t="shared" si="30"/>
        <v>496</v>
      </c>
      <c r="L182" s="6"/>
      <c r="M182" s="271"/>
      <c r="N182" s="271">
        <f t="shared" si="31"/>
        <v>0</v>
      </c>
      <c r="O182" s="7">
        <f t="shared" si="32"/>
        <v>1200</v>
      </c>
      <c r="P182" s="1" t="s">
        <v>485</v>
      </c>
      <c r="R182" s="4"/>
    </row>
    <row r="183" spans="1:18" x14ac:dyDescent="0.2">
      <c r="A183" s="274" t="s">
        <v>89</v>
      </c>
      <c r="B183" s="422">
        <v>103</v>
      </c>
      <c r="C183" s="220" t="s">
        <v>924</v>
      </c>
      <c r="D183" s="6">
        <f>SUMIF('PROG FORMACIÓN TITULADA'!$Q$8:$Q$1070,C183,'PROG FORMACIÓN TITULADA'!$R$8:$R$1070)</f>
        <v>704</v>
      </c>
      <c r="E183" s="6">
        <f>SUMIF('PROG FORM COMPLEM'!$G$9:$G$264,C183,'PROG FORM COMPLEM'!$K$9:$K$264)</f>
        <v>480</v>
      </c>
      <c r="F183" s="6">
        <f>SUMIF('OTRAS ACCIONES'!$B$12:$B$44,C183,'OTRAS ACCIONES'!$D$12:$D$44)</f>
        <v>0</v>
      </c>
      <c r="G183" s="6">
        <f>SUMIF('OTRAS ACCIONES'!$B$46:$B$68,C183,'OTRAS ACCIONES'!$D$46:$D$68)</f>
        <v>0</v>
      </c>
      <c r="H183" s="6">
        <f>SUMIF('OTRAS ACCIONES'!$B$70:$B$82,C183,'OTRAS ACCIONES'!$D$70:$D$82)</f>
        <v>0</v>
      </c>
      <c r="I183" s="6">
        <f>SUMIF('OTRAS ACCIONES'!$B$84:$B$89,C183,'OTRAS ACCIONES'!$D$84:$D$89)</f>
        <v>0</v>
      </c>
      <c r="J183" s="6">
        <f t="shared" si="29"/>
        <v>1184</v>
      </c>
      <c r="K183" s="19">
        <f t="shared" si="30"/>
        <v>512</v>
      </c>
      <c r="L183" s="6"/>
      <c r="M183" s="271"/>
      <c r="N183" s="271">
        <f t="shared" si="31"/>
        <v>0</v>
      </c>
      <c r="O183" s="7">
        <f t="shared" si="32"/>
        <v>1184</v>
      </c>
      <c r="P183" s="1" t="s">
        <v>865</v>
      </c>
      <c r="R183" s="4"/>
    </row>
    <row r="184" spans="1:18" x14ac:dyDescent="0.2">
      <c r="A184" s="274" t="s">
        <v>89</v>
      </c>
      <c r="B184" s="422">
        <v>104</v>
      </c>
      <c r="C184" s="6" t="s">
        <v>280</v>
      </c>
      <c r="D184" s="6">
        <f>SUMIF('PROG FORMACIÓN TITULADA'!$Q$8:$Q$1070,C184,'PROG FORMACIÓN TITULADA'!$R$8:$R$1070)</f>
        <v>1696</v>
      </c>
      <c r="E184" s="6">
        <f>SUMIF('PROG FORM COMPLEM'!$G$9:$G$264,C184,'PROG FORM COMPLEM'!$K$9:$K$264)</f>
        <v>0</v>
      </c>
      <c r="F184" s="6">
        <f>SUMIF('OTRAS ACCIONES'!$B$12:$B$44,C184,'OTRAS ACCIONES'!$D$12:$D$44)</f>
        <v>0</v>
      </c>
      <c r="G184" s="6">
        <f>SUMIF('OTRAS ACCIONES'!$B$46:$B$68,C184,'OTRAS ACCIONES'!$D$46:$D$68)</f>
        <v>0</v>
      </c>
      <c r="H184" s="6">
        <f>SUMIF('OTRAS ACCIONES'!$B$70:$B$82,C184,'OTRAS ACCIONES'!$D$70:$D$82)</f>
        <v>0</v>
      </c>
      <c r="I184" s="6">
        <f>SUMIF('OTRAS ACCIONES'!$B$84:$B$89,C184,'OTRAS ACCIONES'!$D$84:$D$89)</f>
        <v>0</v>
      </c>
      <c r="J184" s="6">
        <f t="shared" si="29"/>
        <v>1696</v>
      </c>
      <c r="K184" s="19">
        <f t="shared" si="30"/>
        <v>0</v>
      </c>
      <c r="L184" s="6"/>
      <c r="M184" s="271"/>
      <c r="N184" s="271">
        <f t="shared" si="31"/>
        <v>0</v>
      </c>
      <c r="O184" s="7">
        <f t="shared" si="32"/>
        <v>1696</v>
      </c>
      <c r="P184" s="1" t="s">
        <v>456</v>
      </c>
      <c r="R184" s="4"/>
    </row>
    <row r="185" spans="1:18" x14ac:dyDescent="0.2">
      <c r="A185" s="274" t="s">
        <v>89</v>
      </c>
      <c r="B185" s="422">
        <v>105</v>
      </c>
      <c r="C185" s="6" t="s">
        <v>619</v>
      </c>
      <c r="D185" s="6">
        <f>SUMIF('PROG FORMACIÓN TITULADA'!$Q$8:$Q$1070,C185,'PROG FORMACIÓN TITULADA'!$R$8:$R$1070)</f>
        <v>1515</v>
      </c>
      <c r="E185" s="6">
        <f>SUMIF('PROG FORM COMPLEM'!$G$9:$G$264,C185,'PROG FORM COMPLEM'!$K$9:$K$264)</f>
        <v>0</v>
      </c>
      <c r="F185" s="6">
        <f>SUMIF('OTRAS ACCIONES'!$B$12:$B$44,C185,'OTRAS ACCIONES'!$D$12:$D$44)</f>
        <v>0</v>
      </c>
      <c r="G185" s="6">
        <f>SUMIF('OTRAS ACCIONES'!$B$46:$B$68,C185,'OTRAS ACCIONES'!$D$46:$D$68)</f>
        <v>0</v>
      </c>
      <c r="H185" s="6">
        <f>SUMIF('OTRAS ACCIONES'!$B$70:$B$82,C185,'OTRAS ACCIONES'!$D$70:$D$82)</f>
        <v>181</v>
      </c>
      <c r="I185" s="6">
        <f>SUMIF('OTRAS ACCIONES'!$B$84:$B$89,C185,'OTRAS ACCIONES'!$D$84:$D$89)</f>
        <v>0</v>
      </c>
      <c r="J185" s="6">
        <f t="shared" si="29"/>
        <v>1696</v>
      </c>
      <c r="K185" s="19">
        <f t="shared" si="30"/>
        <v>0</v>
      </c>
      <c r="L185" s="6"/>
      <c r="M185" s="271"/>
      <c r="N185" s="271">
        <f t="shared" si="31"/>
        <v>0</v>
      </c>
      <c r="O185" s="7">
        <f t="shared" si="32"/>
        <v>1696</v>
      </c>
      <c r="P185" s="1" t="s">
        <v>484</v>
      </c>
      <c r="R185" s="4"/>
    </row>
    <row r="186" spans="1:18" x14ac:dyDescent="0.2">
      <c r="A186" s="274" t="s">
        <v>89</v>
      </c>
      <c r="B186" s="422">
        <v>106</v>
      </c>
      <c r="C186" s="6" t="s">
        <v>281</v>
      </c>
      <c r="D186" s="6">
        <f>SUMIF('PROG FORMACIÓN TITULADA'!$Q$8:$Q$1070,C186,'PROG FORMACIÓN TITULADA'!$R$8:$R$1070)</f>
        <v>0</v>
      </c>
      <c r="E186" s="6">
        <f>SUMIF('PROG FORM COMPLEM'!$G$9:$G$264,C186,'PROG FORM COMPLEM'!$K$9:$K$264)</f>
        <v>1720</v>
      </c>
      <c r="F186" s="6">
        <f>SUMIF('OTRAS ACCIONES'!$B$12:$B$44,C186,'OTRAS ACCIONES'!$D$12:$D$44)</f>
        <v>0</v>
      </c>
      <c r="G186" s="6">
        <f>SUMIF('OTRAS ACCIONES'!$B$46:$B$68,C186,'OTRAS ACCIONES'!$D$46:$D$68)</f>
        <v>0</v>
      </c>
      <c r="H186" s="6">
        <f>SUMIF('OTRAS ACCIONES'!$B$70:$B$82,C186,'OTRAS ACCIONES'!$D$70:$D$82)</f>
        <v>0</v>
      </c>
      <c r="I186" s="6">
        <f>SUMIF('OTRAS ACCIONES'!$B$84:$B$89,C186,'OTRAS ACCIONES'!$D$84:$D$89)</f>
        <v>0</v>
      </c>
      <c r="J186" s="6">
        <f t="shared" si="29"/>
        <v>1720</v>
      </c>
      <c r="K186" s="19">
        <f t="shared" si="30"/>
        <v>-24</v>
      </c>
      <c r="L186" s="6"/>
      <c r="M186" s="271"/>
      <c r="N186" s="271">
        <f t="shared" si="31"/>
        <v>0</v>
      </c>
      <c r="O186" s="7">
        <f t="shared" si="32"/>
        <v>1720</v>
      </c>
      <c r="P186" s="1" t="s">
        <v>865</v>
      </c>
      <c r="R186" s="4"/>
    </row>
    <row r="187" spans="1:18" x14ac:dyDescent="0.2">
      <c r="A187" s="274" t="s">
        <v>89</v>
      </c>
      <c r="B187" s="422">
        <v>107</v>
      </c>
      <c r="C187" s="220" t="s">
        <v>930</v>
      </c>
      <c r="D187" s="6">
        <f>SUMIF('PROG FORMACIÓN TITULADA'!$Q$8:$Q$1070,C187,'PROG FORMACIÓN TITULADA'!$R$8:$R$1070)</f>
        <v>848</v>
      </c>
      <c r="E187" s="6">
        <f>SUMIF('PROG FORM COMPLEM'!$G$9:$G$264,C187,'PROG FORM COMPLEM'!$K$9:$K$264)</f>
        <v>0</v>
      </c>
      <c r="F187" s="6">
        <f>SUMIF('OTRAS ACCIONES'!$B$12:$B$44,C187,'OTRAS ACCIONES'!$D$12:$D$44)</f>
        <v>0</v>
      </c>
      <c r="G187" s="6">
        <f>SUMIF('OTRAS ACCIONES'!$B$46:$B$68,C187,'OTRAS ACCIONES'!$D$46:$D$68)</f>
        <v>0</v>
      </c>
      <c r="H187" s="6">
        <f>SUMIF('OTRAS ACCIONES'!$B$70:$B$82,C187,'OTRAS ACCIONES'!$D$70:$D$82)</f>
        <v>0</v>
      </c>
      <c r="I187" s="6">
        <f>SUMIF('OTRAS ACCIONES'!$B$84:$B$89,C187,'OTRAS ACCIONES'!$D$84:$D$89)</f>
        <v>0</v>
      </c>
      <c r="J187" s="6">
        <f t="shared" si="29"/>
        <v>848</v>
      </c>
      <c r="K187" s="19">
        <f t="shared" si="30"/>
        <v>848</v>
      </c>
      <c r="L187" s="6"/>
      <c r="M187" s="271"/>
      <c r="N187" s="271">
        <f t="shared" si="31"/>
        <v>0</v>
      </c>
      <c r="O187" s="7">
        <f t="shared" si="32"/>
        <v>848</v>
      </c>
      <c r="P187" s="1" t="s">
        <v>865</v>
      </c>
      <c r="R187" s="4"/>
    </row>
    <row r="188" spans="1:18" x14ac:dyDescent="0.2">
      <c r="A188" s="274" t="s">
        <v>89</v>
      </c>
      <c r="B188" s="422">
        <v>108</v>
      </c>
      <c r="C188" s="220" t="s">
        <v>929</v>
      </c>
      <c r="D188" s="6">
        <f>SUMIF('PROG FORMACIÓN TITULADA'!$Q$8:$Q$1070,C188,'PROG FORMACIÓN TITULADA'!$R$8:$R$1070)</f>
        <v>848</v>
      </c>
      <c r="E188" s="6">
        <f>SUMIF('PROG FORM COMPLEM'!$G$9:$G$264,C188,'PROG FORM COMPLEM'!$K$9:$K$264)</f>
        <v>0</v>
      </c>
      <c r="F188" s="6">
        <f>SUMIF('OTRAS ACCIONES'!$B$12:$B$44,C188,'OTRAS ACCIONES'!$D$12:$D$44)</f>
        <v>0</v>
      </c>
      <c r="G188" s="6">
        <f>SUMIF('OTRAS ACCIONES'!$B$46:$B$68,C188,'OTRAS ACCIONES'!$D$46:$D$68)</f>
        <v>0</v>
      </c>
      <c r="H188" s="6">
        <f>SUMIF('OTRAS ACCIONES'!$B$70:$B$82,C188,'OTRAS ACCIONES'!$D$70:$D$82)</f>
        <v>0</v>
      </c>
      <c r="I188" s="6">
        <f>SUMIF('OTRAS ACCIONES'!$B$84:$B$89,C188,'OTRAS ACCIONES'!$D$84:$D$89)</f>
        <v>0</v>
      </c>
      <c r="J188" s="6">
        <f t="shared" si="29"/>
        <v>848</v>
      </c>
      <c r="K188" s="19">
        <f t="shared" si="30"/>
        <v>848</v>
      </c>
      <c r="L188" s="6"/>
      <c r="M188" s="271"/>
      <c r="N188" s="271">
        <f t="shared" si="31"/>
        <v>0</v>
      </c>
      <c r="O188" s="7">
        <f t="shared" si="32"/>
        <v>848</v>
      </c>
      <c r="P188" s="1" t="s">
        <v>865</v>
      </c>
      <c r="R188" s="4"/>
    </row>
    <row r="189" spans="1:18" x14ac:dyDescent="0.2">
      <c r="A189" s="274" t="s">
        <v>89</v>
      </c>
      <c r="B189" s="422">
        <v>109</v>
      </c>
      <c r="C189" s="220" t="s">
        <v>931</v>
      </c>
      <c r="D189" s="6">
        <f>SUMIF('PROG FORMACIÓN TITULADA'!$Q$8:$Q$1070,C189,'PROG FORMACIÓN TITULADA'!$R$8:$R$1070)</f>
        <v>848</v>
      </c>
      <c r="E189" s="6">
        <f>SUMIF('PROG FORM COMPLEM'!$G$9:$G$264,C189,'PROG FORM COMPLEM'!$K$9:$K$264)</f>
        <v>0</v>
      </c>
      <c r="F189" s="6">
        <f>SUMIF('OTRAS ACCIONES'!$B$12:$B$44,C189,'OTRAS ACCIONES'!$D$12:$D$44)</f>
        <v>0</v>
      </c>
      <c r="G189" s="6">
        <f>SUMIF('OTRAS ACCIONES'!$B$46:$B$68,C189,'OTRAS ACCIONES'!$D$46:$D$68)</f>
        <v>0</v>
      </c>
      <c r="H189" s="6">
        <f>SUMIF('OTRAS ACCIONES'!$B$70:$B$82,C189,'OTRAS ACCIONES'!$D$70:$D$82)</f>
        <v>0</v>
      </c>
      <c r="I189" s="6">
        <f>SUMIF('OTRAS ACCIONES'!$B$84:$B$89,C189,'OTRAS ACCIONES'!$D$84:$D$89)</f>
        <v>0</v>
      </c>
      <c r="J189" s="6">
        <f t="shared" si="29"/>
        <v>848</v>
      </c>
      <c r="K189" s="19">
        <f t="shared" si="30"/>
        <v>848</v>
      </c>
      <c r="L189" s="6"/>
      <c r="M189" s="271"/>
      <c r="N189" s="271">
        <f t="shared" si="31"/>
        <v>0</v>
      </c>
      <c r="O189" s="7">
        <f t="shared" si="32"/>
        <v>848</v>
      </c>
      <c r="P189" s="1" t="s">
        <v>865</v>
      </c>
      <c r="R189" s="4"/>
    </row>
    <row r="190" spans="1:18" x14ac:dyDescent="0.2">
      <c r="A190" s="274" t="s">
        <v>89</v>
      </c>
      <c r="B190" s="422">
        <v>110</v>
      </c>
      <c r="C190" s="220" t="s">
        <v>932</v>
      </c>
      <c r="D190" s="6">
        <f>SUMIF('PROG FORMACIÓN TITULADA'!$Q$8:$Q$1070,C190,'PROG FORMACIÓN TITULADA'!$R$8:$R$1070)</f>
        <v>1696</v>
      </c>
      <c r="E190" s="6">
        <f>SUMIF('PROG FORM COMPLEM'!$G$9:$G$264,C190,'PROG FORM COMPLEM'!$K$9:$K$264)</f>
        <v>0</v>
      </c>
      <c r="F190" s="6">
        <f>SUMIF('OTRAS ACCIONES'!$B$12:$B$44,C190,'OTRAS ACCIONES'!$D$12:$D$44)</f>
        <v>0</v>
      </c>
      <c r="G190" s="6">
        <f>SUMIF('OTRAS ACCIONES'!$B$46:$B$68,C190,'OTRAS ACCIONES'!$D$46:$D$68)</f>
        <v>0</v>
      </c>
      <c r="H190" s="6">
        <f>SUMIF('OTRAS ACCIONES'!$B$70:$B$82,C190,'OTRAS ACCIONES'!$D$70:$D$82)</f>
        <v>0</v>
      </c>
      <c r="I190" s="6">
        <f>SUMIF('OTRAS ACCIONES'!$B$84:$B$89,C190,'OTRAS ACCIONES'!$D$84:$D$89)</f>
        <v>0</v>
      </c>
      <c r="J190" s="6">
        <f t="shared" si="29"/>
        <v>1696</v>
      </c>
      <c r="K190" s="19">
        <f t="shared" si="30"/>
        <v>0</v>
      </c>
      <c r="L190" s="6"/>
      <c r="M190" s="271"/>
      <c r="N190" s="271">
        <f t="shared" si="31"/>
        <v>0</v>
      </c>
      <c r="O190" s="7">
        <f t="shared" si="32"/>
        <v>1696</v>
      </c>
      <c r="P190" s="1" t="s">
        <v>865</v>
      </c>
      <c r="R190" s="4"/>
    </row>
    <row r="191" spans="1:18" x14ac:dyDescent="0.2">
      <c r="A191" s="274" t="s">
        <v>89</v>
      </c>
      <c r="B191" s="422">
        <v>111</v>
      </c>
      <c r="C191" s="220" t="s">
        <v>933</v>
      </c>
      <c r="D191" s="6">
        <f>SUMIF('PROG FORMACIÓN TITULADA'!$Q$8:$Q$1070,C191,'PROG FORMACIÓN TITULADA'!$R$8:$R$1070)</f>
        <v>1696</v>
      </c>
      <c r="E191" s="6">
        <f>SUMIF('PROG FORM COMPLEM'!$G$9:$G$264,C191,'PROG FORM COMPLEM'!$K$9:$K$264)</f>
        <v>0</v>
      </c>
      <c r="F191" s="6">
        <f>SUMIF('OTRAS ACCIONES'!$B$12:$B$44,C191,'OTRAS ACCIONES'!$D$12:$D$44)</f>
        <v>0</v>
      </c>
      <c r="G191" s="6">
        <f>SUMIF('OTRAS ACCIONES'!$B$46:$B$68,C191,'OTRAS ACCIONES'!$D$46:$D$68)</f>
        <v>0</v>
      </c>
      <c r="H191" s="6">
        <f>SUMIF('OTRAS ACCIONES'!$B$70:$B$82,C191,'OTRAS ACCIONES'!$D$70:$D$82)</f>
        <v>0</v>
      </c>
      <c r="I191" s="6">
        <f>SUMIF('OTRAS ACCIONES'!$B$84:$B$89,C191,'OTRAS ACCIONES'!$D$84:$D$89)</f>
        <v>0</v>
      </c>
      <c r="J191" s="6">
        <f t="shared" si="29"/>
        <v>1696</v>
      </c>
      <c r="K191" s="19">
        <f t="shared" si="30"/>
        <v>0</v>
      </c>
      <c r="L191" s="6"/>
      <c r="M191" s="271"/>
      <c r="N191" s="271">
        <f t="shared" si="31"/>
        <v>0</v>
      </c>
      <c r="O191" s="7">
        <f t="shared" si="32"/>
        <v>1696</v>
      </c>
      <c r="P191" s="1" t="s">
        <v>486</v>
      </c>
      <c r="R191" s="4"/>
    </row>
    <row r="192" spans="1:18" x14ac:dyDescent="0.2">
      <c r="A192" s="274" t="s">
        <v>89</v>
      </c>
      <c r="B192" s="422">
        <v>112</v>
      </c>
      <c r="C192" s="220" t="s">
        <v>934</v>
      </c>
      <c r="D192" s="6">
        <f>SUMIF('PROG FORMACIÓN TITULADA'!$Q$8:$Q$1070,C192,'PROG FORMACIÓN TITULADA'!$R$8:$R$1070)</f>
        <v>1696</v>
      </c>
      <c r="E192" s="6">
        <f>SUMIF('PROG FORM COMPLEM'!$G$9:$G$264,C192,'PROG FORM COMPLEM'!$K$9:$K$264)</f>
        <v>0</v>
      </c>
      <c r="F192" s="6">
        <f>SUMIF('OTRAS ACCIONES'!$B$12:$B$44,C192,'OTRAS ACCIONES'!$D$12:$D$44)</f>
        <v>0</v>
      </c>
      <c r="G192" s="6">
        <f>SUMIF('OTRAS ACCIONES'!$B$46:$B$68,C192,'OTRAS ACCIONES'!$D$46:$D$68)</f>
        <v>0</v>
      </c>
      <c r="H192" s="6">
        <f>SUMIF('OTRAS ACCIONES'!$B$70:$B$82,C192,'OTRAS ACCIONES'!$D$70:$D$82)</f>
        <v>0</v>
      </c>
      <c r="I192" s="6">
        <f>SUMIF('OTRAS ACCIONES'!$B$84:$B$89,C192,'OTRAS ACCIONES'!$D$84:$D$89)</f>
        <v>0</v>
      </c>
      <c r="J192" s="6">
        <f t="shared" si="29"/>
        <v>1696</v>
      </c>
      <c r="K192" s="19">
        <f t="shared" si="30"/>
        <v>0</v>
      </c>
      <c r="L192" s="6"/>
      <c r="M192" s="271"/>
      <c r="N192" s="271">
        <f t="shared" si="31"/>
        <v>0</v>
      </c>
      <c r="O192" s="7">
        <f t="shared" si="32"/>
        <v>1696</v>
      </c>
      <c r="P192" s="1" t="s">
        <v>486</v>
      </c>
      <c r="R192" s="4"/>
    </row>
    <row r="193" spans="1:18" x14ac:dyDescent="0.2">
      <c r="A193" s="274" t="s">
        <v>89</v>
      </c>
      <c r="B193" s="422">
        <v>113</v>
      </c>
      <c r="C193" s="220" t="s">
        <v>935</v>
      </c>
      <c r="D193" s="6">
        <f>SUMIF('PROG FORMACIÓN TITULADA'!$Q$8:$Q$1070,C193,'PROG FORMACIÓN TITULADA'!$R$8:$R$1070)</f>
        <v>1696</v>
      </c>
      <c r="E193" s="6">
        <f>SUMIF('PROG FORM COMPLEM'!$G$9:$G$264,C193,'PROG FORM COMPLEM'!$K$9:$K$264)</f>
        <v>0</v>
      </c>
      <c r="F193" s="6">
        <f>SUMIF('OTRAS ACCIONES'!$B$12:$B$44,C193,'OTRAS ACCIONES'!$D$12:$D$44)</f>
        <v>0</v>
      </c>
      <c r="G193" s="6">
        <f>SUMIF('OTRAS ACCIONES'!$B$46:$B$68,C193,'OTRAS ACCIONES'!$D$46:$D$68)</f>
        <v>0</v>
      </c>
      <c r="H193" s="6">
        <f>SUMIF('OTRAS ACCIONES'!$B$70:$B$82,C193,'OTRAS ACCIONES'!$D$70:$D$82)</f>
        <v>0</v>
      </c>
      <c r="I193" s="6">
        <f>SUMIF('OTRAS ACCIONES'!$B$84:$B$89,C193,'OTRAS ACCIONES'!$D$84:$D$89)</f>
        <v>0</v>
      </c>
      <c r="J193" s="6">
        <f t="shared" si="29"/>
        <v>1696</v>
      </c>
      <c r="K193" s="19">
        <f t="shared" si="30"/>
        <v>0</v>
      </c>
      <c r="L193" s="6"/>
      <c r="M193" s="271"/>
      <c r="N193" s="271">
        <f t="shared" si="31"/>
        <v>0</v>
      </c>
      <c r="O193" s="7">
        <f t="shared" si="32"/>
        <v>1696</v>
      </c>
      <c r="P193" s="1" t="s">
        <v>865</v>
      </c>
      <c r="R193" s="4"/>
    </row>
    <row r="194" spans="1:18" s="403" customFormat="1" x14ac:dyDescent="0.2">
      <c r="A194" s="274" t="s">
        <v>89</v>
      </c>
      <c r="B194" s="422">
        <v>114</v>
      </c>
      <c r="C194" s="6" t="s">
        <v>282</v>
      </c>
      <c r="D194" s="6">
        <f>SUMIF('PROG FORMACIÓN TITULADA'!$Q$8:$Q$1070,C194,'PROG FORMACIÓN TITULADA'!$R$8:$R$1070)</f>
        <v>876</v>
      </c>
      <c r="E194" s="6">
        <f>SUMIF('PROG FORM COMPLEM'!$G$9:$G$264,C194,'PROG FORM COMPLEM'!$K$9:$K$264)</f>
        <v>800</v>
      </c>
      <c r="F194" s="6">
        <f>SUMIF('OTRAS ACCIONES'!$B$12:$B$44,C194,'OTRAS ACCIONES'!$D$12:$D$44)</f>
        <v>0</v>
      </c>
      <c r="G194" s="6">
        <f>SUMIF('OTRAS ACCIONES'!$B$46:$B$68,C194,'OTRAS ACCIONES'!$D$46:$D$68)</f>
        <v>0</v>
      </c>
      <c r="H194" s="6">
        <f>SUMIF('OTRAS ACCIONES'!$B$70:$B$82,C194,'OTRAS ACCIONES'!$D$70:$D$82)</f>
        <v>0</v>
      </c>
      <c r="I194" s="6">
        <f>SUMIF('OTRAS ACCIONES'!$B$84:$B$89,C194,'OTRAS ACCIONES'!$D$84:$D$89)</f>
        <v>0</v>
      </c>
      <c r="J194" s="6">
        <f t="shared" si="29"/>
        <v>1676</v>
      </c>
      <c r="K194" s="19">
        <f t="shared" si="30"/>
        <v>20</v>
      </c>
      <c r="L194" s="6"/>
      <c r="M194" s="271"/>
      <c r="N194" s="271">
        <f t="shared" si="31"/>
        <v>0</v>
      </c>
      <c r="O194" s="7">
        <f t="shared" si="32"/>
        <v>1676</v>
      </c>
      <c r="P194" s="1" t="s">
        <v>208</v>
      </c>
      <c r="Q194" s="1"/>
      <c r="R194" s="4"/>
    </row>
    <row r="195" spans="1:18" s="403" customFormat="1" x14ac:dyDescent="0.2">
      <c r="A195" s="274" t="s">
        <v>89</v>
      </c>
      <c r="B195" s="422">
        <v>115</v>
      </c>
      <c r="C195" s="273" t="s">
        <v>896</v>
      </c>
      <c r="D195" s="6">
        <f>SUMIF('PROG FORMACIÓN TITULADA'!$Q$8:$Q$1070,C195,'PROG FORMACIÓN TITULADA'!$R$8:$R$1070)</f>
        <v>840</v>
      </c>
      <c r="E195" s="6">
        <f>SUMIF('PROG FORM COMPLEM'!$G$9:$G$264,C195,'PROG FORM COMPLEM'!$K$9:$K$264)</f>
        <v>0</v>
      </c>
      <c r="F195" s="6">
        <f>SUMIF('OTRAS ACCIONES'!$B$12:$B$44,C195,'OTRAS ACCIONES'!$D$12:$D$44)</f>
        <v>0</v>
      </c>
      <c r="G195" s="6">
        <f>SUMIF('OTRAS ACCIONES'!$B$46:$B$68,C195,'OTRAS ACCIONES'!$D$46:$D$68)</f>
        <v>0</v>
      </c>
      <c r="H195" s="6">
        <f>SUMIF('OTRAS ACCIONES'!$B$70:$B$82,C195,'OTRAS ACCIONES'!$D$70:$D$82)</f>
        <v>0</v>
      </c>
      <c r="I195" s="6">
        <f>SUMIF('OTRAS ACCIONES'!$B$84:$B$89,C195,'OTRAS ACCIONES'!$D$84:$D$89)</f>
        <v>0</v>
      </c>
      <c r="J195" s="6">
        <f t="shared" si="29"/>
        <v>840</v>
      </c>
      <c r="K195" s="19">
        <f t="shared" si="30"/>
        <v>856</v>
      </c>
      <c r="L195" s="6"/>
      <c r="M195" s="271"/>
      <c r="N195" s="271">
        <f t="shared" si="31"/>
        <v>0</v>
      </c>
      <c r="O195" s="7">
        <f t="shared" si="32"/>
        <v>840</v>
      </c>
      <c r="P195" s="1" t="s">
        <v>208</v>
      </c>
      <c r="Q195" s="1"/>
      <c r="R195" s="4"/>
    </row>
    <row r="196" spans="1:18" s="403" customFormat="1" x14ac:dyDescent="0.2">
      <c r="A196" s="274" t="s">
        <v>89</v>
      </c>
      <c r="B196" s="422">
        <v>116</v>
      </c>
      <c r="C196" s="276" t="s">
        <v>844</v>
      </c>
      <c r="D196" s="6">
        <f>SUMIF('PROG FORMACIÓN TITULADA'!$Q$8:$Q$1070,C196,'PROG FORMACIÓN TITULADA'!$R$8:$R$1070)</f>
        <v>1272</v>
      </c>
      <c r="E196" s="6">
        <f>SUMIF('PROG FORM COMPLEM'!$G$9:$G$264,C196,'PROG FORM COMPLEM'!$K$9:$K$264)</f>
        <v>400</v>
      </c>
      <c r="F196" s="6">
        <f>SUMIF('OTRAS ACCIONES'!$B$12:$B$44,C196,'OTRAS ACCIONES'!$D$12:$D$44)</f>
        <v>0</v>
      </c>
      <c r="G196" s="6">
        <f>SUMIF('OTRAS ACCIONES'!$B$46:$B$68,C196,'OTRAS ACCIONES'!$D$46:$D$68)</f>
        <v>0</v>
      </c>
      <c r="H196" s="6">
        <f>SUMIF('OTRAS ACCIONES'!$B$70:$B$82,C196,'OTRAS ACCIONES'!$D$70:$D$82)</f>
        <v>0</v>
      </c>
      <c r="I196" s="6">
        <f>SUMIF('OTRAS ACCIONES'!$B$84:$B$89,C196,'OTRAS ACCIONES'!$D$84:$D$89)</f>
        <v>0</v>
      </c>
      <c r="J196" s="6">
        <f t="shared" si="29"/>
        <v>1672</v>
      </c>
      <c r="K196" s="19">
        <f t="shared" si="30"/>
        <v>24</v>
      </c>
      <c r="L196" s="6"/>
      <c r="M196" s="271"/>
      <c r="N196" s="271">
        <f t="shared" si="31"/>
        <v>0</v>
      </c>
      <c r="O196" s="7">
        <f t="shared" si="32"/>
        <v>1672</v>
      </c>
      <c r="P196" s="1" t="s">
        <v>488</v>
      </c>
      <c r="Q196" s="1"/>
      <c r="R196" s="4"/>
    </row>
    <row r="197" spans="1:18" x14ac:dyDescent="0.2">
      <c r="A197" s="274" t="s">
        <v>89</v>
      </c>
      <c r="B197" s="422">
        <v>117</v>
      </c>
      <c r="C197" s="6" t="s">
        <v>283</v>
      </c>
      <c r="D197" s="6">
        <f>SUMIF('PROG FORMACIÓN TITULADA'!$Q$8:$Q$1070,C197,'PROG FORMACIÓN TITULADA'!$R$8:$R$1070)</f>
        <v>0</v>
      </c>
      <c r="E197" s="6">
        <f>SUMIF('PROG FORM COMPLEM'!$G$9:$G$264,C197,'PROG FORM COMPLEM'!$K$9:$K$264)</f>
        <v>0</v>
      </c>
      <c r="F197" s="6">
        <f>SUMIF('OTRAS ACCIONES'!$B$12:$B$44,C197,'OTRAS ACCIONES'!$D$12:$D$44)</f>
        <v>1696</v>
      </c>
      <c r="G197" s="6">
        <f>SUMIF('OTRAS ACCIONES'!$B$46:$B$68,C197,'OTRAS ACCIONES'!$D$46:$D$68)</f>
        <v>0</v>
      </c>
      <c r="H197" s="6">
        <f>SUMIF('OTRAS ACCIONES'!$B$70:$B$82,C197,'OTRAS ACCIONES'!$D$70:$D$82)</f>
        <v>0</v>
      </c>
      <c r="I197" s="6">
        <f>SUMIF('OTRAS ACCIONES'!$B$84:$B$89,C197,'OTRAS ACCIONES'!$D$84:$D$89)</f>
        <v>0</v>
      </c>
      <c r="J197" s="6">
        <f t="shared" si="29"/>
        <v>1696</v>
      </c>
      <c r="K197" s="19">
        <f t="shared" si="30"/>
        <v>0</v>
      </c>
      <c r="L197" s="6"/>
      <c r="M197" s="271"/>
      <c r="N197" s="271">
        <f t="shared" si="31"/>
        <v>0</v>
      </c>
      <c r="O197" s="7">
        <f t="shared" si="32"/>
        <v>1696</v>
      </c>
      <c r="P197" s="1" t="s">
        <v>869</v>
      </c>
      <c r="R197" s="4"/>
    </row>
    <row r="198" spans="1:18" ht="12.75" customHeight="1" x14ac:dyDescent="0.2">
      <c r="A198" s="274" t="s">
        <v>89</v>
      </c>
      <c r="B198" s="422">
        <v>118</v>
      </c>
      <c r="C198" s="6" t="s">
        <v>285</v>
      </c>
      <c r="D198" s="6">
        <f>SUMIF('PROG FORMACIÓN TITULADA'!$Q$8:$Q$1070,C198,'PROG FORMACIÓN TITULADA'!$R$8:$R$1070)</f>
        <v>0</v>
      </c>
      <c r="E198" s="6">
        <f>SUMIF('PROG FORM COMPLEM'!$G$9:$G$264,C198,'PROG FORM COMPLEM'!$K$9:$K$264)</f>
        <v>0</v>
      </c>
      <c r="F198" s="6">
        <f>SUMIF('OTRAS ACCIONES'!$B$12:$B$44,C198,'OTRAS ACCIONES'!$D$12:$D$44)</f>
        <v>0</v>
      </c>
      <c r="G198" s="6">
        <f>SUMIF('OTRAS ACCIONES'!$B$46:$B$68,C198,'OTRAS ACCIONES'!$D$46:$D$68)</f>
        <v>1696</v>
      </c>
      <c r="H198" s="6">
        <f>SUMIF('OTRAS ACCIONES'!$B$70:$B$82,C198,'OTRAS ACCIONES'!$D$70:$D$82)</f>
        <v>0</v>
      </c>
      <c r="I198" s="6">
        <f>SUMIF('OTRAS ACCIONES'!$B$84:$B$89,C198,'OTRAS ACCIONES'!$D$84:$D$89)</f>
        <v>0</v>
      </c>
      <c r="J198" s="6">
        <f t="shared" si="29"/>
        <v>1696</v>
      </c>
      <c r="K198" s="19">
        <f t="shared" si="30"/>
        <v>0</v>
      </c>
      <c r="L198" s="6"/>
      <c r="M198" s="271"/>
      <c r="N198" s="271">
        <f t="shared" si="31"/>
        <v>0</v>
      </c>
      <c r="O198" s="7">
        <f t="shared" si="32"/>
        <v>1696</v>
      </c>
      <c r="P198" s="1" t="s">
        <v>866</v>
      </c>
      <c r="R198" s="4"/>
    </row>
    <row r="199" spans="1:18" ht="12.75" customHeight="1" x14ac:dyDescent="0.2">
      <c r="A199" s="274" t="s">
        <v>89</v>
      </c>
      <c r="B199" s="422">
        <v>119</v>
      </c>
      <c r="C199" s="6" t="s">
        <v>286</v>
      </c>
      <c r="D199" s="6">
        <f>SUMIF('PROG FORMACIÓN TITULADA'!$Q$8:$Q$1070,C199,'PROG FORMACIÓN TITULADA'!$R$8:$R$1070)</f>
        <v>0</v>
      </c>
      <c r="E199" s="6">
        <f>SUMIF('PROG FORM COMPLEM'!$G$9:$G$264,C199,'PROG FORM COMPLEM'!$K$9:$K$264)</f>
        <v>1680</v>
      </c>
      <c r="F199" s="6">
        <f>SUMIF('OTRAS ACCIONES'!$B$12:$B$44,C199,'OTRAS ACCIONES'!$D$12:$D$44)</f>
        <v>0</v>
      </c>
      <c r="G199" s="6">
        <f>SUMIF('OTRAS ACCIONES'!$B$46:$B$68,C199,'OTRAS ACCIONES'!$D$46:$D$68)</f>
        <v>0</v>
      </c>
      <c r="H199" s="6">
        <f>SUMIF('OTRAS ACCIONES'!$B$70:$B$82,C199,'OTRAS ACCIONES'!$D$70:$D$82)</f>
        <v>0</v>
      </c>
      <c r="I199" s="6">
        <f>SUMIF('OTRAS ACCIONES'!$B$84:$B$89,C199,'OTRAS ACCIONES'!$D$84:$D$89)</f>
        <v>0</v>
      </c>
      <c r="J199" s="6">
        <f t="shared" si="29"/>
        <v>1680</v>
      </c>
      <c r="K199" s="19">
        <f t="shared" si="30"/>
        <v>16</v>
      </c>
      <c r="L199" s="6"/>
      <c r="M199" s="271"/>
      <c r="N199" s="271">
        <f t="shared" si="31"/>
        <v>0</v>
      </c>
      <c r="O199" s="7">
        <f t="shared" si="32"/>
        <v>1680</v>
      </c>
      <c r="P199" s="1" t="s">
        <v>865</v>
      </c>
      <c r="R199" s="4"/>
    </row>
    <row r="200" spans="1:18" ht="12.75" customHeight="1" x14ac:dyDescent="0.25">
      <c r="A200" s="274" t="s">
        <v>89</v>
      </c>
      <c r="B200" s="422">
        <v>120</v>
      </c>
      <c r="C200" s="411" t="s">
        <v>952</v>
      </c>
      <c r="D200" s="6">
        <f>SUMIF('PROG FORMACIÓN TITULADA'!$Q$8:$Q$1070,C200,'PROG FORMACIÓN TITULADA'!$R$8:$R$1070)</f>
        <v>0</v>
      </c>
      <c r="E200" s="6">
        <f>SUMIF('PROG FORM COMPLEM'!$G$9:$G$264,C200,'PROG FORM COMPLEM'!$K$9:$K$264)</f>
        <v>1680</v>
      </c>
      <c r="F200" s="6">
        <f>SUMIF('OTRAS ACCIONES'!$B$12:$B$44,C200,'OTRAS ACCIONES'!$D$12:$D$44)</f>
        <v>0</v>
      </c>
      <c r="G200" s="6">
        <f>SUMIF('OTRAS ACCIONES'!$B$46:$B$68,C200,'OTRAS ACCIONES'!$D$46:$D$68)</f>
        <v>0</v>
      </c>
      <c r="H200" s="6">
        <f>SUMIF('OTRAS ACCIONES'!$B$70:$B$82,C200,'OTRAS ACCIONES'!$D$70:$D$82)</f>
        <v>0</v>
      </c>
      <c r="I200" s="6">
        <f>SUMIF('OTRAS ACCIONES'!$B$84:$B$89,C200,'OTRAS ACCIONES'!$D$84:$D$89)</f>
        <v>0</v>
      </c>
      <c r="J200" s="6">
        <f t="shared" si="29"/>
        <v>1680</v>
      </c>
      <c r="K200" s="19">
        <f t="shared" si="30"/>
        <v>16</v>
      </c>
      <c r="L200" s="6"/>
      <c r="M200" s="271"/>
      <c r="N200" s="271">
        <f t="shared" si="31"/>
        <v>0</v>
      </c>
      <c r="O200" s="7">
        <f t="shared" si="32"/>
        <v>1680</v>
      </c>
      <c r="P200" s="1" t="s">
        <v>865</v>
      </c>
      <c r="R200" s="4"/>
    </row>
    <row r="201" spans="1:18" ht="12.75" customHeight="1" x14ac:dyDescent="0.2">
      <c r="A201" s="274" t="s">
        <v>89</v>
      </c>
      <c r="B201" s="422">
        <v>121</v>
      </c>
      <c r="C201" s="220" t="s">
        <v>996</v>
      </c>
      <c r="D201" s="6">
        <f>SUMIF('PROG FORMACIÓN TITULADA'!$Q$8:$Q$1070,C201,'PROG FORMACIÓN TITULADA'!$R$8:$R$1070)</f>
        <v>1182</v>
      </c>
      <c r="E201" s="6">
        <f>SUMIF('PROG FORM COMPLEM'!$G$9:$G$264,C201,'PROG FORM COMPLEM'!$K$9:$K$264)</f>
        <v>0</v>
      </c>
      <c r="F201" s="6">
        <f>SUMIF('OTRAS ACCIONES'!$B$12:$B$44,C201,'OTRAS ACCIONES'!$D$12:$D$44)</f>
        <v>0</v>
      </c>
      <c r="G201" s="6">
        <f>SUMIF('OTRAS ACCIONES'!$B$46:$B$68,C201,'OTRAS ACCIONES'!$D$46:$D$68)</f>
        <v>0</v>
      </c>
      <c r="H201" s="6">
        <f>SUMIF('OTRAS ACCIONES'!$B$70:$B$82,C201,'OTRAS ACCIONES'!$D$70:$D$82)</f>
        <v>0</v>
      </c>
      <c r="I201" s="6">
        <f>SUMIF('OTRAS ACCIONES'!$B$84:$B$89,C201,'OTRAS ACCIONES'!$D$84:$D$89)</f>
        <v>0</v>
      </c>
      <c r="J201" s="6">
        <f t="shared" si="29"/>
        <v>1182</v>
      </c>
      <c r="K201" s="19">
        <f t="shared" si="30"/>
        <v>514</v>
      </c>
      <c r="L201" s="6"/>
      <c r="M201" s="271"/>
      <c r="N201" s="271">
        <f t="shared" si="31"/>
        <v>0</v>
      </c>
      <c r="O201" s="7">
        <f t="shared" si="32"/>
        <v>1182</v>
      </c>
      <c r="P201" s="1" t="s">
        <v>208</v>
      </c>
      <c r="R201" s="4"/>
    </row>
    <row r="202" spans="1:18" s="403" customFormat="1" ht="12.75" customHeight="1" x14ac:dyDescent="0.2">
      <c r="A202" s="416" t="s">
        <v>89</v>
      </c>
      <c r="B202" s="422">
        <v>122</v>
      </c>
      <c r="C202" s="421" t="s">
        <v>880</v>
      </c>
      <c r="D202" s="346">
        <f>SUMIF('PROG FORMACIÓN TITULADA'!$Q$8:$Q$1070,C202,'PROG FORMACIÓN TITULADA'!$R$8:$R$1070)</f>
        <v>903</v>
      </c>
      <c r="E202" s="346">
        <f>SUMIF('PROG FORM COMPLEM'!$G$9:$G$264,C202,'PROG FORM COMPLEM'!$K$9:$K$264)</f>
        <v>800</v>
      </c>
      <c r="F202" s="346">
        <f>SUMIF('OTRAS ACCIONES'!$B$12:$B$44,C202,'OTRAS ACCIONES'!$D$12:$D$44)</f>
        <v>0</v>
      </c>
      <c r="G202" s="346">
        <f>SUMIF('OTRAS ACCIONES'!$B$46:$B$68,C202,'OTRAS ACCIONES'!$D$46:$D$68)</f>
        <v>0</v>
      </c>
      <c r="H202" s="346">
        <f>SUMIF('OTRAS ACCIONES'!$B$70:$B$82,C202,'OTRAS ACCIONES'!$D$70:$D$82)</f>
        <v>0</v>
      </c>
      <c r="I202" s="346">
        <f>SUMIF('OTRAS ACCIONES'!$B$84:$B$89,C202,'OTRAS ACCIONES'!$D$84:$D$89)</f>
        <v>0</v>
      </c>
      <c r="J202" s="346">
        <f t="shared" si="29"/>
        <v>1703</v>
      </c>
      <c r="K202" s="417">
        <f t="shared" si="30"/>
        <v>-7</v>
      </c>
      <c r="L202" s="346"/>
      <c r="M202" s="418"/>
      <c r="N202" s="418">
        <f t="shared" si="31"/>
        <v>0</v>
      </c>
      <c r="O202" s="419">
        <f t="shared" si="32"/>
        <v>1703</v>
      </c>
      <c r="P202" s="403" t="s">
        <v>208</v>
      </c>
      <c r="R202" s="420"/>
    </row>
    <row r="203" spans="1:18" x14ac:dyDescent="0.2">
      <c r="A203" s="274" t="s">
        <v>89</v>
      </c>
      <c r="B203" s="422">
        <v>123</v>
      </c>
      <c r="C203" s="6" t="s">
        <v>287</v>
      </c>
      <c r="D203" s="6">
        <f>SUMIF('PROG FORMACIÓN TITULADA'!$Q$8:$Q$1070,C203,'PROG FORMACIÓN TITULADA'!$R$8:$R$1070)</f>
        <v>1696</v>
      </c>
      <c r="E203" s="6">
        <f>SUMIF('PROG FORM COMPLEM'!$G$9:$G$264,C203,'PROG FORM COMPLEM'!$K$9:$K$264)</f>
        <v>0</v>
      </c>
      <c r="F203" s="6">
        <f>SUMIF('OTRAS ACCIONES'!$B$12:$B$44,C203,'OTRAS ACCIONES'!$D$12:$D$44)</f>
        <v>0</v>
      </c>
      <c r="G203" s="6">
        <f>SUMIF('OTRAS ACCIONES'!$B$46:$B$68,C203,'OTRAS ACCIONES'!$D$46:$D$68)</f>
        <v>0</v>
      </c>
      <c r="H203" s="6">
        <f>SUMIF('OTRAS ACCIONES'!$B$70:$B$82,C203,'OTRAS ACCIONES'!$D$70:$D$82)</f>
        <v>0</v>
      </c>
      <c r="I203" s="6">
        <f>SUMIF('OTRAS ACCIONES'!$B$84:$B$89,C203,'OTRAS ACCIONES'!$D$84:$D$89)</f>
        <v>0</v>
      </c>
      <c r="J203" s="6">
        <f t="shared" si="29"/>
        <v>1696</v>
      </c>
      <c r="K203" s="19">
        <f t="shared" si="30"/>
        <v>0</v>
      </c>
      <c r="L203" s="6"/>
      <c r="M203" s="271"/>
      <c r="N203" s="271">
        <f t="shared" si="31"/>
        <v>0</v>
      </c>
      <c r="O203" s="7">
        <f t="shared" si="32"/>
        <v>1696</v>
      </c>
      <c r="P203" s="1" t="s">
        <v>484</v>
      </c>
      <c r="R203" s="4"/>
    </row>
    <row r="204" spans="1:18" x14ac:dyDescent="0.2">
      <c r="A204" s="274" t="s">
        <v>89</v>
      </c>
      <c r="B204" s="422">
        <v>124</v>
      </c>
      <c r="C204" s="406" t="s">
        <v>1019</v>
      </c>
      <c r="D204" s="6">
        <f>SUMIF('PROG FORMACIÓN TITULADA'!$Q$8:$Q$1070,C204,'PROG FORMACIÓN TITULADA'!$R$8:$R$1070)</f>
        <v>0</v>
      </c>
      <c r="E204" s="6">
        <f>SUMIF('PROG FORM COMPLEM'!$G$9:$G$264,C204,'PROG FORM COMPLEM'!$K$9:$K$264)</f>
        <v>0</v>
      </c>
      <c r="F204" s="6">
        <f>SUMIF('OTRAS ACCIONES'!$B$12:$B$44,C204,'OTRAS ACCIONES'!$D$12:$D$44)</f>
        <v>0</v>
      </c>
      <c r="G204" s="6">
        <f>SUMIF('OTRAS ACCIONES'!$B$46:$B$68,C204,'OTRAS ACCIONES'!$D$46:$D$68)</f>
        <v>1696</v>
      </c>
      <c r="H204" s="6">
        <f>SUMIF('OTRAS ACCIONES'!$B$70:$B$82,C204,'OTRAS ACCIONES'!$D$70:$D$82)</f>
        <v>0</v>
      </c>
      <c r="I204" s="6">
        <f>SUMIF('OTRAS ACCIONES'!$B$84:$B$89,C204,'OTRAS ACCIONES'!$D$84:$D$89)</f>
        <v>0</v>
      </c>
      <c r="J204" s="6">
        <f t="shared" si="29"/>
        <v>1696</v>
      </c>
      <c r="K204" s="19">
        <f t="shared" si="30"/>
        <v>0</v>
      </c>
      <c r="L204" s="6"/>
      <c r="M204" s="271"/>
      <c r="N204" s="271">
        <f t="shared" si="31"/>
        <v>0</v>
      </c>
      <c r="O204" s="7">
        <f t="shared" si="32"/>
        <v>1696</v>
      </c>
      <c r="P204" s="1" t="s">
        <v>866</v>
      </c>
      <c r="R204" s="4"/>
    </row>
    <row r="205" spans="1:18" x14ac:dyDescent="0.2">
      <c r="A205" s="274" t="s">
        <v>89</v>
      </c>
      <c r="B205" s="422">
        <v>125</v>
      </c>
      <c r="C205" s="220" t="s">
        <v>887</v>
      </c>
      <c r="D205" s="6">
        <f>SUMIF('PROG FORMACIÓN TITULADA'!$Q$8:$Q$1070,C205,'PROG FORMACIÓN TITULADA'!$R$8:$R$1070)</f>
        <v>848</v>
      </c>
      <c r="E205" s="6">
        <f>SUMIF('PROG FORM COMPLEM'!$G$9:$G$264,C205,'PROG FORM COMPLEM'!$K$9:$K$264)</f>
        <v>840</v>
      </c>
      <c r="F205" s="6">
        <f>SUMIF('OTRAS ACCIONES'!$B$12:$B$44,C205,'OTRAS ACCIONES'!$D$12:$D$44)</f>
        <v>0</v>
      </c>
      <c r="G205" s="6">
        <f>SUMIF('OTRAS ACCIONES'!$B$46:$B$68,C205,'OTRAS ACCIONES'!$D$46:$D$68)</f>
        <v>0</v>
      </c>
      <c r="H205" s="6">
        <f>SUMIF('OTRAS ACCIONES'!$B$70:$B$82,C205,'OTRAS ACCIONES'!$D$70:$D$82)</f>
        <v>0</v>
      </c>
      <c r="I205" s="6">
        <f>SUMIF('OTRAS ACCIONES'!$B$84:$B$89,C205,'OTRAS ACCIONES'!$D$84:$D$89)</f>
        <v>0</v>
      </c>
      <c r="J205" s="6">
        <f t="shared" si="29"/>
        <v>1688</v>
      </c>
      <c r="K205" s="19">
        <f t="shared" si="30"/>
        <v>8</v>
      </c>
      <c r="L205" s="6"/>
      <c r="M205" s="271"/>
      <c r="N205" s="271">
        <f t="shared" si="31"/>
        <v>0</v>
      </c>
      <c r="O205" s="7">
        <f t="shared" si="32"/>
        <v>1688</v>
      </c>
      <c r="P205" s="1" t="s">
        <v>208</v>
      </c>
      <c r="R205" s="4"/>
    </row>
    <row r="206" spans="1:18" x14ac:dyDescent="0.2">
      <c r="A206" s="274" t="s">
        <v>89</v>
      </c>
      <c r="B206" s="422">
        <v>126</v>
      </c>
      <c r="C206" s="276" t="s">
        <v>613</v>
      </c>
      <c r="D206" s="6">
        <f>SUMIF('PROG FORMACIÓN TITULADA'!$Q$8:$Q$1070,C206,'PROG FORMACIÓN TITULADA'!$R$8:$R$1070)</f>
        <v>1033</v>
      </c>
      <c r="E206" s="6">
        <f>SUMIF('PROG FORM COMPLEM'!$G$9:$G$264,C206,'PROG FORM COMPLEM'!$K$9:$K$264)</f>
        <v>650</v>
      </c>
      <c r="F206" s="6">
        <f>SUMIF('OTRAS ACCIONES'!$B$12:$B$44,C206,'OTRAS ACCIONES'!$D$12:$D$44)</f>
        <v>0</v>
      </c>
      <c r="G206" s="6">
        <f>SUMIF('OTRAS ACCIONES'!$B$46:$B$68,C206,'OTRAS ACCIONES'!$D$46:$D$68)</f>
        <v>0</v>
      </c>
      <c r="H206" s="6">
        <f>SUMIF('OTRAS ACCIONES'!$B$70:$B$82,C206,'OTRAS ACCIONES'!$D$70:$D$82)</f>
        <v>0</v>
      </c>
      <c r="I206" s="6">
        <f>SUMIF('OTRAS ACCIONES'!$B$84:$B$89,C206,'OTRAS ACCIONES'!$D$84:$D$89)</f>
        <v>0</v>
      </c>
      <c r="J206" s="6">
        <f t="shared" si="29"/>
        <v>1683</v>
      </c>
      <c r="K206" s="19">
        <f t="shared" si="30"/>
        <v>13</v>
      </c>
      <c r="L206" s="6"/>
      <c r="M206" s="271"/>
      <c r="N206" s="271">
        <f t="shared" si="31"/>
        <v>0</v>
      </c>
      <c r="O206" s="7">
        <f t="shared" si="32"/>
        <v>1683</v>
      </c>
      <c r="P206" s="1" t="s">
        <v>456</v>
      </c>
      <c r="R206" s="4"/>
    </row>
    <row r="207" spans="1:18" x14ac:dyDescent="0.2">
      <c r="A207" s="274" t="s">
        <v>89</v>
      </c>
      <c r="B207" s="422">
        <v>127</v>
      </c>
      <c r="C207" s="220" t="s">
        <v>861</v>
      </c>
      <c r="D207" s="6">
        <f>SUMIF('PROG FORMACIÓN TITULADA'!$Q$8:$Q$1070,C207,'PROG FORMACIÓN TITULADA'!$R$8:$R$1070)</f>
        <v>768</v>
      </c>
      <c r="E207" s="6">
        <f>SUMIF('PROG FORM COMPLEM'!$G$9:$G$264,C207,'PROG FORM COMPLEM'!$K$9:$K$264)</f>
        <v>480</v>
      </c>
      <c r="F207" s="6">
        <f>SUMIF('OTRAS ACCIONES'!$B$12:$B$44,C207,'OTRAS ACCIONES'!$D$12:$D$44)</f>
        <v>0</v>
      </c>
      <c r="G207" s="6">
        <f>SUMIF('OTRAS ACCIONES'!$B$46:$B$68,C207,'OTRAS ACCIONES'!$D$46:$D$68)</f>
        <v>0</v>
      </c>
      <c r="H207" s="6">
        <f>SUMIF('OTRAS ACCIONES'!$B$70:$B$82,C207,'OTRAS ACCIONES'!$D$70:$D$82)</f>
        <v>0</v>
      </c>
      <c r="I207" s="6">
        <f>SUMIF('OTRAS ACCIONES'!$B$84:$B$89,C207,'OTRAS ACCIONES'!$D$84:$D$89)</f>
        <v>0</v>
      </c>
      <c r="J207" s="6">
        <f t="shared" si="29"/>
        <v>1248</v>
      </c>
      <c r="K207" s="19">
        <f t="shared" si="30"/>
        <v>448</v>
      </c>
      <c r="L207" s="6"/>
      <c r="M207" s="271"/>
      <c r="N207" s="271">
        <f t="shared" si="31"/>
        <v>0</v>
      </c>
      <c r="O207" s="7">
        <f t="shared" si="32"/>
        <v>1248</v>
      </c>
      <c r="P207" s="1" t="s">
        <v>486</v>
      </c>
      <c r="R207" s="4"/>
    </row>
    <row r="208" spans="1:18" x14ac:dyDescent="0.2">
      <c r="A208" s="416" t="s">
        <v>89</v>
      </c>
      <c r="B208" s="422">
        <v>128</v>
      </c>
      <c r="C208" s="346" t="s">
        <v>1028</v>
      </c>
      <c r="D208" s="346">
        <f>SUMIF('PROG FORMACIÓN TITULADA'!$Q$8:$Q$1070,C208,'PROG FORMACIÓN TITULADA'!$R$8:$R$1070)</f>
        <v>0</v>
      </c>
      <c r="E208" s="346">
        <f>SUMIF('PROG FORM COMPLEM'!$G$9:$G$264,C208,'PROG FORM COMPLEM'!$K$9:$K$264)</f>
        <v>0</v>
      </c>
      <c r="F208" s="346">
        <f>SUMIF('OTRAS ACCIONES'!$B$12:$B$44,C208,'OTRAS ACCIONES'!$D$12:$D$44)</f>
        <v>1696</v>
      </c>
      <c r="G208" s="346">
        <f>SUMIF('OTRAS ACCIONES'!$B$46:$B$68,C208,'OTRAS ACCIONES'!$D$46:$D$68)</f>
        <v>0</v>
      </c>
      <c r="H208" s="346">
        <f>SUMIF('OTRAS ACCIONES'!$B$70:$B$82,C208,'OTRAS ACCIONES'!$D$70:$D$82)</f>
        <v>0</v>
      </c>
      <c r="I208" s="346">
        <f>SUMIF('OTRAS ACCIONES'!$B$84:$B$89,C208,'OTRAS ACCIONES'!$D$84:$D$89)</f>
        <v>0</v>
      </c>
      <c r="J208" s="346">
        <f t="shared" si="29"/>
        <v>1696</v>
      </c>
      <c r="K208" s="417">
        <f t="shared" si="30"/>
        <v>0</v>
      </c>
      <c r="L208" s="346"/>
      <c r="M208" s="418"/>
      <c r="N208" s="418">
        <f t="shared" si="31"/>
        <v>0</v>
      </c>
      <c r="O208" s="419">
        <f t="shared" si="32"/>
        <v>1696</v>
      </c>
      <c r="P208" s="403" t="s">
        <v>869</v>
      </c>
      <c r="Q208" s="403"/>
      <c r="R208" s="420"/>
    </row>
    <row r="209" spans="1:18" x14ac:dyDescent="0.2">
      <c r="A209" s="274" t="s">
        <v>89</v>
      </c>
      <c r="B209" s="422">
        <v>129</v>
      </c>
      <c r="C209" s="220" t="s">
        <v>889</v>
      </c>
      <c r="D209" s="6">
        <f>SUMIF('PROG FORMACIÓN TITULADA'!$Q$8:$Q$1070,C209,'PROG FORMACIÓN TITULADA'!$R$8:$R$1070)</f>
        <v>1032</v>
      </c>
      <c r="E209" s="6">
        <f>SUMIF('PROG FORM COMPLEM'!$G$9:$G$264,C209,'PROG FORM COMPLEM'!$K$9:$K$264)</f>
        <v>0</v>
      </c>
      <c r="F209" s="6">
        <f>SUMIF('OTRAS ACCIONES'!$B$12:$B$44,C209,'OTRAS ACCIONES'!$D$12:$D$44)</f>
        <v>0</v>
      </c>
      <c r="G209" s="6">
        <f>SUMIF('OTRAS ACCIONES'!$B$46:$B$68,C209,'OTRAS ACCIONES'!$D$46:$D$68)</f>
        <v>0</v>
      </c>
      <c r="H209" s="6">
        <f>SUMIF('OTRAS ACCIONES'!$B$70:$B$82,C209,'OTRAS ACCIONES'!$D$70:$D$82)</f>
        <v>0</v>
      </c>
      <c r="I209" s="6">
        <f>SUMIF('OTRAS ACCIONES'!$B$84:$B$89,C209,'OTRAS ACCIONES'!$D$84:$D$89)</f>
        <v>0</v>
      </c>
      <c r="J209" s="6">
        <f t="shared" si="29"/>
        <v>1032</v>
      </c>
      <c r="K209" s="19">
        <f t="shared" si="30"/>
        <v>664</v>
      </c>
      <c r="L209" s="6"/>
      <c r="M209" s="271"/>
      <c r="N209" s="271">
        <f t="shared" si="31"/>
        <v>0</v>
      </c>
      <c r="O209" s="7">
        <f t="shared" si="32"/>
        <v>1032</v>
      </c>
      <c r="P209" s="1" t="s">
        <v>208</v>
      </c>
      <c r="R209" s="4"/>
    </row>
    <row r="210" spans="1:18" x14ac:dyDescent="0.2">
      <c r="A210" s="274" t="s">
        <v>89</v>
      </c>
      <c r="B210" s="422">
        <v>130</v>
      </c>
      <c r="C210" s="6" t="s">
        <v>288</v>
      </c>
      <c r="D210" s="6">
        <f>SUMIF('PROG FORMACIÓN TITULADA'!$Q$8:$Q$1070,C210,'PROG FORMACIÓN TITULADA'!$R$8:$R$1070)</f>
        <v>848</v>
      </c>
      <c r="E210" s="6">
        <f>SUMIF('PROG FORM COMPLEM'!$G$9:$G$264,C210,'PROG FORM COMPLEM'!$K$9:$K$264)</f>
        <v>840</v>
      </c>
      <c r="F210" s="6">
        <f>SUMIF('OTRAS ACCIONES'!$B$12:$B$44,C210,'OTRAS ACCIONES'!$D$12:$D$44)</f>
        <v>0</v>
      </c>
      <c r="G210" s="6">
        <f>SUMIF('OTRAS ACCIONES'!$B$46:$B$68,C210,'OTRAS ACCIONES'!$D$46:$D$68)</f>
        <v>0</v>
      </c>
      <c r="H210" s="6">
        <f>SUMIF('OTRAS ACCIONES'!$B$70:$B$82,C210,'OTRAS ACCIONES'!$D$70:$D$82)</f>
        <v>0</v>
      </c>
      <c r="I210" s="6">
        <f>SUMIF('OTRAS ACCIONES'!$B$84:$B$89,C210,'OTRAS ACCIONES'!$D$84:$D$89)</f>
        <v>0</v>
      </c>
      <c r="J210" s="6">
        <f t="shared" ref="J210:J273" si="33">SUM(D210:I210)</f>
        <v>1688</v>
      </c>
      <c r="K210" s="19">
        <f t="shared" ref="K210:K273" si="34">($N$5*40/5)-J210</f>
        <v>8</v>
      </c>
      <c r="L210" s="6"/>
      <c r="M210" s="271"/>
      <c r="N210" s="271">
        <f t="shared" ref="N210:N273" si="35">SUM(L210:M210)</f>
        <v>0</v>
      </c>
      <c r="O210" s="7">
        <f t="shared" ref="O210:O273" si="36">J210+N210</f>
        <v>1688</v>
      </c>
      <c r="P210" s="1" t="s">
        <v>208</v>
      </c>
      <c r="R210" s="4"/>
    </row>
    <row r="211" spans="1:18" x14ac:dyDescent="0.2">
      <c r="A211" s="274" t="s">
        <v>89</v>
      </c>
      <c r="B211" s="422">
        <v>131</v>
      </c>
      <c r="C211" s="6" t="s">
        <v>289</v>
      </c>
      <c r="D211" s="6">
        <f>SUMIF('PROG FORMACIÓN TITULADA'!$Q$8:$Q$1070,C211,'PROG FORMACIÓN TITULADA'!$R$8:$R$1070)</f>
        <v>1272</v>
      </c>
      <c r="E211" s="6">
        <f>SUMIF('PROG FORM COMPLEM'!$G$9:$G$264,C211,'PROG FORM COMPLEM'!$K$9:$K$264)</f>
        <v>400</v>
      </c>
      <c r="F211" s="6">
        <f>SUMIF('OTRAS ACCIONES'!$B$12:$B$44,C211,'OTRAS ACCIONES'!$D$12:$D$44)</f>
        <v>0</v>
      </c>
      <c r="G211" s="6">
        <f>SUMIF('OTRAS ACCIONES'!$B$46:$B$68,C211,'OTRAS ACCIONES'!$D$46:$D$68)</f>
        <v>0</v>
      </c>
      <c r="H211" s="6">
        <f>SUMIF('OTRAS ACCIONES'!$B$70:$B$82,C211,'OTRAS ACCIONES'!$D$70:$D$82)</f>
        <v>0</v>
      </c>
      <c r="I211" s="6">
        <f>SUMIF('OTRAS ACCIONES'!$B$84:$B$89,C211,'OTRAS ACCIONES'!$D$84:$D$89)</f>
        <v>0</v>
      </c>
      <c r="J211" s="6">
        <f t="shared" si="33"/>
        <v>1672</v>
      </c>
      <c r="K211" s="19">
        <f t="shared" si="34"/>
        <v>24</v>
      </c>
      <c r="L211" s="6"/>
      <c r="M211" s="271"/>
      <c r="N211" s="271">
        <f t="shared" si="35"/>
        <v>0</v>
      </c>
      <c r="O211" s="7">
        <f t="shared" si="36"/>
        <v>1672</v>
      </c>
      <c r="P211" s="1" t="s">
        <v>339</v>
      </c>
      <c r="R211" s="4"/>
    </row>
    <row r="212" spans="1:18" x14ac:dyDescent="0.2">
      <c r="A212" s="274" t="s">
        <v>89</v>
      </c>
      <c r="B212" s="422">
        <v>132</v>
      </c>
      <c r="C212" s="220" t="s">
        <v>855</v>
      </c>
      <c r="D212" s="6">
        <f>SUMIF('PROG FORMACIÓN TITULADA'!$Q$8:$Q$1070,C212,'PROG FORMACIÓN TITULADA'!$R$8:$R$1070)</f>
        <v>1234</v>
      </c>
      <c r="E212" s="6">
        <f>SUMIF('PROG FORM COMPLEM'!$G$9:$G$264,C212,'PROG FORM COMPLEM'!$K$9:$K$264)</f>
        <v>0</v>
      </c>
      <c r="F212" s="6">
        <f>SUMIF('OTRAS ACCIONES'!$B$12:$B$44,C212,'OTRAS ACCIONES'!$D$12:$D$44)</f>
        <v>0</v>
      </c>
      <c r="G212" s="6">
        <f>SUMIF('OTRAS ACCIONES'!$B$46:$B$68,C212,'OTRAS ACCIONES'!$D$46:$D$68)</f>
        <v>0</v>
      </c>
      <c r="H212" s="6">
        <f>SUMIF('OTRAS ACCIONES'!$B$70:$B$82,C212,'OTRAS ACCIONES'!$D$70:$D$82)</f>
        <v>0</v>
      </c>
      <c r="I212" s="6">
        <f>SUMIF('OTRAS ACCIONES'!$B$84:$B$89,C212,'OTRAS ACCIONES'!$D$84:$D$89)</f>
        <v>0</v>
      </c>
      <c r="J212" s="6">
        <f t="shared" si="33"/>
        <v>1234</v>
      </c>
      <c r="K212" s="19">
        <f t="shared" si="34"/>
        <v>462</v>
      </c>
      <c r="L212" s="6"/>
      <c r="M212" s="271"/>
      <c r="N212" s="271">
        <f t="shared" si="35"/>
        <v>0</v>
      </c>
      <c r="O212" s="7">
        <f t="shared" si="36"/>
        <v>1234</v>
      </c>
      <c r="P212" s="1" t="s">
        <v>486</v>
      </c>
      <c r="R212" s="4"/>
    </row>
    <row r="213" spans="1:18" x14ac:dyDescent="0.2">
      <c r="A213" s="274" t="s">
        <v>89</v>
      </c>
      <c r="B213" s="422">
        <v>133</v>
      </c>
      <c r="C213" s="6" t="s">
        <v>1002</v>
      </c>
      <c r="D213" s="6">
        <f>SUMIF('PROG FORMACIÓN TITULADA'!$Q$8:$Q$1070,C213,'PROG FORMACIÓN TITULADA'!$R$8:$R$1070)</f>
        <v>688</v>
      </c>
      <c r="E213" s="6">
        <f>SUMIF('PROG FORM COMPLEM'!$G$9:$G$264,C213,'PROG FORM COMPLEM'!$K$9:$K$264)</f>
        <v>400</v>
      </c>
      <c r="F213" s="6">
        <f>SUMIF('OTRAS ACCIONES'!$B$12:$B$44,C213,'OTRAS ACCIONES'!$D$12:$D$44)</f>
        <v>0</v>
      </c>
      <c r="G213" s="6">
        <f>SUMIF('OTRAS ACCIONES'!$B$46:$B$68,C213,'OTRAS ACCIONES'!$D$46:$D$68)</f>
        <v>0</v>
      </c>
      <c r="H213" s="6">
        <f>SUMIF('OTRAS ACCIONES'!$B$70:$B$82,C213,'OTRAS ACCIONES'!$D$70:$D$82)</f>
        <v>0</v>
      </c>
      <c r="I213" s="6">
        <f>SUMIF('OTRAS ACCIONES'!$B$84:$B$89,C213,'OTRAS ACCIONES'!$D$84:$D$89)</f>
        <v>0</v>
      </c>
      <c r="J213" s="6">
        <f t="shared" si="33"/>
        <v>1088</v>
      </c>
      <c r="K213" s="19">
        <f t="shared" si="34"/>
        <v>608</v>
      </c>
      <c r="L213" s="6"/>
      <c r="M213" s="271"/>
      <c r="N213" s="271">
        <f t="shared" si="35"/>
        <v>0</v>
      </c>
      <c r="O213" s="7">
        <f t="shared" si="36"/>
        <v>1088</v>
      </c>
      <c r="P213" s="1" t="s">
        <v>865</v>
      </c>
      <c r="R213" s="4"/>
    </row>
    <row r="214" spans="1:18" x14ac:dyDescent="0.2">
      <c r="A214" s="274" t="s">
        <v>89</v>
      </c>
      <c r="B214" s="422">
        <v>134</v>
      </c>
      <c r="C214" s="6" t="s">
        <v>591</v>
      </c>
      <c r="D214" s="6">
        <f>SUMIF('PROG FORMACIÓN TITULADA'!$Q$8:$Q$1070,C214,'PROG FORMACIÓN TITULADA'!$R$8:$R$1070)</f>
        <v>0</v>
      </c>
      <c r="E214" s="6">
        <f>SUMIF('PROG FORM COMPLEM'!$G$9:$G$264,C214,'PROG FORM COMPLEM'!$K$9:$K$264)</f>
        <v>0</v>
      </c>
      <c r="F214" s="6">
        <f>SUMIF('OTRAS ACCIONES'!$B$12:$B$44,C214,'OTRAS ACCIONES'!$D$12:$D$44)</f>
        <v>0</v>
      </c>
      <c r="G214" s="6">
        <f>SUMIF('OTRAS ACCIONES'!$B$46:$B$68,C214,'OTRAS ACCIONES'!$D$46:$D$68)</f>
        <v>1696</v>
      </c>
      <c r="H214" s="6">
        <f>SUMIF('OTRAS ACCIONES'!$B$70:$B$82,C214,'OTRAS ACCIONES'!$D$70:$D$82)</f>
        <v>0</v>
      </c>
      <c r="I214" s="6">
        <f>SUMIF('OTRAS ACCIONES'!$B$84:$B$89,C214,'OTRAS ACCIONES'!$D$84:$D$89)</f>
        <v>0</v>
      </c>
      <c r="J214" s="6">
        <f t="shared" si="33"/>
        <v>1696</v>
      </c>
      <c r="K214" s="19">
        <f t="shared" si="34"/>
        <v>0</v>
      </c>
      <c r="L214" s="6"/>
      <c r="M214" s="271"/>
      <c r="N214" s="271">
        <f t="shared" si="35"/>
        <v>0</v>
      </c>
      <c r="O214" s="7">
        <f t="shared" si="36"/>
        <v>1696</v>
      </c>
      <c r="P214" s="1" t="s">
        <v>866</v>
      </c>
      <c r="R214" s="4"/>
    </row>
    <row r="215" spans="1:18" x14ac:dyDescent="0.2">
      <c r="A215" s="274" t="s">
        <v>89</v>
      </c>
      <c r="B215" s="422">
        <v>135</v>
      </c>
      <c r="C215" s="220" t="s">
        <v>569</v>
      </c>
      <c r="D215" s="6">
        <f>SUMIF('PROG FORMACIÓN TITULADA'!$Q$8:$Q$1070,C215,'PROG FORMACIÓN TITULADA'!$R$8:$R$1070)</f>
        <v>1272</v>
      </c>
      <c r="E215" s="6">
        <f>SUMIF('PROG FORM COMPLEM'!$G$9:$G$264,C215,'PROG FORM COMPLEM'!$K$9:$K$264)</f>
        <v>0</v>
      </c>
      <c r="F215" s="6">
        <f>SUMIF('OTRAS ACCIONES'!$B$12:$B$44,C215,'OTRAS ACCIONES'!$D$12:$D$44)</f>
        <v>0</v>
      </c>
      <c r="G215" s="6">
        <f>SUMIF('OTRAS ACCIONES'!$B$46:$B$68,C215,'OTRAS ACCIONES'!$D$46:$D$68)</f>
        <v>0</v>
      </c>
      <c r="H215" s="6">
        <f>SUMIF('OTRAS ACCIONES'!$B$70:$B$82,C215,'OTRAS ACCIONES'!$D$70:$D$82)</f>
        <v>0</v>
      </c>
      <c r="I215" s="6">
        <f>SUMIF('OTRAS ACCIONES'!$B$84:$B$89,C215,'OTRAS ACCIONES'!$D$84:$D$89)</f>
        <v>0</v>
      </c>
      <c r="J215" s="6">
        <f t="shared" si="33"/>
        <v>1272</v>
      </c>
      <c r="K215" s="19">
        <f t="shared" si="34"/>
        <v>424</v>
      </c>
      <c r="L215" s="6"/>
      <c r="M215" s="271"/>
      <c r="N215" s="271">
        <f t="shared" si="35"/>
        <v>0</v>
      </c>
      <c r="O215" s="7">
        <f t="shared" si="36"/>
        <v>1272</v>
      </c>
      <c r="P215" s="1" t="s">
        <v>451</v>
      </c>
      <c r="R215" s="4"/>
    </row>
    <row r="216" spans="1:18" x14ac:dyDescent="0.2">
      <c r="A216" s="274" t="s">
        <v>89</v>
      </c>
      <c r="B216" s="422">
        <v>136</v>
      </c>
      <c r="C216" s="6" t="s">
        <v>290</v>
      </c>
      <c r="D216" s="6">
        <f>SUMIF('PROG FORMACIÓN TITULADA'!$Q$8:$Q$1070,C216,'PROG FORMACIÓN TITULADA'!$R$8:$R$1070)</f>
        <v>0</v>
      </c>
      <c r="E216" s="6">
        <f>SUMIF('PROG FORM COMPLEM'!$G$9:$G$264,C216,'PROG FORM COMPLEM'!$K$9:$K$264)</f>
        <v>1680</v>
      </c>
      <c r="F216" s="6">
        <f>SUMIF('OTRAS ACCIONES'!$B$12:$B$44,C216,'OTRAS ACCIONES'!$D$12:$D$44)</f>
        <v>0</v>
      </c>
      <c r="G216" s="6">
        <f>SUMIF('OTRAS ACCIONES'!$B$46:$B$68,C216,'OTRAS ACCIONES'!$D$46:$D$68)</f>
        <v>0</v>
      </c>
      <c r="H216" s="6">
        <f>SUMIF('OTRAS ACCIONES'!$B$70:$B$82,C216,'OTRAS ACCIONES'!$D$70:$D$82)</f>
        <v>0</v>
      </c>
      <c r="I216" s="6">
        <f>SUMIF('OTRAS ACCIONES'!$B$84:$B$89,C216,'OTRAS ACCIONES'!$D$84:$D$89)</f>
        <v>0</v>
      </c>
      <c r="J216" s="6">
        <f t="shared" si="33"/>
        <v>1680</v>
      </c>
      <c r="K216" s="19">
        <f t="shared" si="34"/>
        <v>16</v>
      </c>
      <c r="L216" s="6"/>
      <c r="M216" s="271"/>
      <c r="N216" s="271">
        <f t="shared" si="35"/>
        <v>0</v>
      </c>
      <c r="O216" s="7">
        <f t="shared" si="36"/>
        <v>1680</v>
      </c>
      <c r="P216" s="1" t="s">
        <v>339</v>
      </c>
      <c r="R216" s="4"/>
    </row>
    <row r="217" spans="1:18" x14ac:dyDescent="0.2">
      <c r="A217" s="274" t="s">
        <v>89</v>
      </c>
      <c r="B217" s="422">
        <v>137</v>
      </c>
      <c r="C217" s="220" t="s">
        <v>615</v>
      </c>
      <c r="D217" s="6">
        <f>SUMIF('PROG FORMACIÓN TITULADA'!$Q$8:$Q$1070,C217,'PROG FORMACIÓN TITULADA'!$R$8:$R$1070)</f>
        <v>1696</v>
      </c>
      <c r="E217" s="6">
        <f>SUMIF('PROG FORM COMPLEM'!$G$9:$G$264,C217,'PROG FORM COMPLEM'!$K$9:$K$264)</f>
        <v>0</v>
      </c>
      <c r="F217" s="6">
        <f>SUMIF('OTRAS ACCIONES'!$B$12:$B$44,C217,'OTRAS ACCIONES'!$D$12:$D$44)</f>
        <v>0</v>
      </c>
      <c r="G217" s="6">
        <f>SUMIF('OTRAS ACCIONES'!$B$46:$B$68,C217,'OTRAS ACCIONES'!$D$46:$D$68)</f>
        <v>0</v>
      </c>
      <c r="H217" s="6">
        <f>SUMIF('OTRAS ACCIONES'!$B$70:$B$82,C217,'OTRAS ACCIONES'!$D$70:$D$82)</f>
        <v>0</v>
      </c>
      <c r="I217" s="6">
        <f>SUMIF('OTRAS ACCIONES'!$B$84:$B$89,C217,'OTRAS ACCIONES'!$D$84:$D$89)</f>
        <v>0</v>
      </c>
      <c r="J217" s="6">
        <f t="shared" si="33"/>
        <v>1696</v>
      </c>
      <c r="K217" s="19">
        <f t="shared" si="34"/>
        <v>0</v>
      </c>
      <c r="L217" s="6"/>
      <c r="M217" s="271"/>
      <c r="N217" s="271">
        <f t="shared" si="35"/>
        <v>0</v>
      </c>
      <c r="O217" s="7">
        <f t="shared" si="36"/>
        <v>1696</v>
      </c>
      <c r="P217" s="1" t="s">
        <v>456</v>
      </c>
      <c r="R217" s="4"/>
    </row>
    <row r="218" spans="1:18" x14ac:dyDescent="0.2">
      <c r="A218" s="274" t="s">
        <v>89</v>
      </c>
      <c r="B218" s="422">
        <v>138</v>
      </c>
      <c r="C218" s="220" t="s">
        <v>803</v>
      </c>
      <c r="D218" s="6">
        <f>SUMIF('PROG FORMACIÓN TITULADA'!$Q$8:$Q$1070,C218,'PROG FORMACIÓN TITULADA'!$R$8:$R$1070)</f>
        <v>1068</v>
      </c>
      <c r="E218" s="6">
        <f>SUMIF('PROG FORM COMPLEM'!$G$9:$G$264,C218,'PROG FORM COMPLEM'!$K$9:$K$264)</f>
        <v>0</v>
      </c>
      <c r="F218" s="6">
        <f>SUMIF('OTRAS ACCIONES'!$B$12:$B$44,C218,'OTRAS ACCIONES'!$D$12:$D$44)</f>
        <v>0</v>
      </c>
      <c r="G218" s="6">
        <f>SUMIF('OTRAS ACCIONES'!$B$46:$B$68,C218,'OTRAS ACCIONES'!$D$46:$D$68)</f>
        <v>0</v>
      </c>
      <c r="H218" s="6">
        <f>SUMIF('OTRAS ACCIONES'!$B$70:$B$82,C218,'OTRAS ACCIONES'!$D$70:$D$82)</f>
        <v>0</v>
      </c>
      <c r="I218" s="6">
        <f>SUMIF('OTRAS ACCIONES'!$B$84:$B$89,C218,'OTRAS ACCIONES'!$D$84:$D$89)</f>
        <v>0</v>
      </c>
      <c r="J218" s="6">
        <f t="shared" si="33"/>
        <v>1068</v>
      </c>
      <c r="K218" s="19">
        <f t="shared" si="34"/>
        <v>628</v>
      </c>
      <c r="L218" s="6"/>
      <c r="M218" s="271"/>
      <c r="N218" s="271">
        <f t="shared" si="35"/>
        <v>0</v>
      </c>
      <c r="O218" s="7">
        <f t="shared" si="36"/>
        <v>1068</v>
      </c>
      <c r="P218" s="1" t="s">
        <v>451</v>
      </c>
      <c r="R218" s="4"/>
    </row>
    <row r="219" spans="1:18" x14ac:dyDescent="0.2">
      <c r="A219" s="274" t="s">
        <v>89</v>
      </c>
      <c r="B219" s="422">
        <v>139</v>
      </c>
      <c r="C219" s="6" t="s">
        <v>291</v>
      </c>
      <c r="D219" s="6">
        <f>SUMIF('PROG FORMACIÓN TITULADA'!$Q$8:$Q$1070,C219,'PROG FORMACIÓN TITULADA'!$R$8:$R$1070)</f>
        <v>1696</v>
      </c>
      <c r="E219" s="6">
        <f>SUMIF('PROG FORM COMPLEM'!$G$9:$G$264,C219,'PROG FORM COMPLEM'!$K$9:$K$264)</f>
        <v>0</v>
      </c>
      <c r="F219" s="6">
        <f>SUMIF('OTRAS ACCIONES'!$B$12:$B$44,C219,'OTRAS ACCIONES'!$D$12:$D$44)</f>
        <v>0</v>
      </c>
      <c r="G219" s="6">
        <f>SUMIF('OTRAS ACCIONES'!$B$46:$B$68,C219,'OTRAS ACCIONES'!$D$46:$D$68)</f>
        <v>0</v>
      </c>
      <c r="H219" s="6">
        <f>SUMIF('OTRAS ACCIONES'!$B$70:$B$82,C219,'OTRAS ACCIONES'!$D$70:$D$82)</f>
        <v>0</v>
      </c>
      <c r="I219" s="6">
        <f>SUMIF('OTRAS ACCIONES'!$B$84:$B$89,C219,'OTRAS ACCIONES'!$D$84:$D$89)</f>
        <v>0</v>
      </c>
      <c r="J219" s="6">
        <f t="shared" si="33"/>
        <v>1696</v>
      </c>
      <c r="K219" s="19">
        <f t="shared" si="34"/>
        <v>0</v>
      </c>
      <c r="L219" s="6"/>
      <c r="M219" s="271"/>
      <c r="N219" s="271">
        <f t="shared" si="35"/>
        <v>0</v>
      </c>
      <c r="O219" s="7">
        <f t="shared" si="36"/>
        <v>1696</v>
      </c>
      <c r="P219" s="1" t="s">
        <v>865</v>
      </c>
      <c r="R219" s="4"/>
    </row>
    <row r="220" spans="1:18" x14ac:dyDescent="0.2">
      <c r="A220" s="274" t="s">
        <v>89</v>
      </c>
      <c r="B220" s="422">
        <v>140</v>
      </c>
      <c r="C220" s="6" t="s">
        <v>292</v>
      </c>
      <c r="D220" s="6">
        <f>SUMIF('PROG FORMACIÓN TITULADA'!$Q$8:$Q$1070,C220,'PROG FORMACIÓN TITULADA'!$R$8:$R$1070)</f>
        <v>1684</v>
      </c>
      <c r="E220" s="6">
        <f>SUMIF('PROG FORM COMPLEM'!$G$9:$G$264,C220,'PROG FORM COMPLEM'!$K$9:$K$264)</f>
        <v>0</v>
      </c>
      <c r="F220" s="6">
        <f>SUMIF('OTRAS ACCIONES'!$B$12:$B$44,C220,'OTRAS ACCIONES'!$D$12:$D$44)</f>
        <v>0</v>
      </c>
      <c r="G220" s="6">
        <f>SUMIF('OTRAS ACCIONES'!$B$46:$B$68,C220,'OTRAS ACCIONES'!$D$46:$D$68)</f>
        <v>0</v>
      </c>
      <c r="H220" s="6">
        <f>SUMIF('OTRAS ACCIONES'!$B$70:$B$82,C220,'OTRAS ACCIONES'!$D$70:$D$82)</f>
        <v>0</v>
      </c>
      <c r="I220" s="6">
        <f>SUMIF('OTRAS ACCIONES'!$B$84:$B$89,C220,'OTRAS ACCIONES'!$D$84:$D$89)</f>
        <v>0</v>
      </c>
      <c r="J220" s="6">
        <f t="shared" si="33"/>
        <v>1684</v>
      </c>
      <c r="K220" s="19">
        <f t="shared" si="34"/>
        <v>12</v>
      </c>
      <c r="L220" s="6"/>
      <c r="M220" s="271"/>
      <c r="N220" s="271">
        <f t="shared" si="35"/>
        <v>0</v>
      </c>
      <c r="O220" s="7">
        <f t="shared" si="36"/>
        <v>1684</v>
      </c>
      <c r="P220" s="1" t="s">
        <v>208</v>
      </c>
      <c r="R220" s="4"/>
    </row>
    <row r="221" spans="1:18" x14ac:dyDescent="0.2">
      <c r="A221" s="274" t="s">
        <v>89</v>
      </c>
      <c r="B221" s="422">
        <v>141</v>
      </c>
      <c r="C221" s="6" t="s">
        <v>293</v>
      </c>
      <c r="D221" s="6">
        <f>SUMIF('PROG FORMACIÓN TITULADA'!$Q$8:$Q$1070,C221,'PROG FORMACIÓN TITULADA'!$R$8:$R$1070)</f>
        <v>0</v>
      </c>
      <c r="E221" s="6">
        <f>SUMIF('PROG FORM COMPLEM'!$G$9:$G$264,C221,'PROG FORM COMPLEM'!$K$9:$K$264)</f>
        <v>0</v>
      </c>
      <c r="F221" s="6">
        <f>SUMIF('OTRAS ACCIONES'!$B$12:$B$44,C221,'OTRAS ACCIONES'!$D$12:$D$44)</f>
        <v>1688</v>
      </c>
      <c r="G221" s="6">
        <f>SUMIF('OTRAS ACCIONES'!$B$46:$B$68,C221,'OTRAS ACCIONES'!$D$46:$D$68)</f>
        <v>0</v>
      </c>
      <c r="H221" s="6">
        <f>SUMIF('OTRAS ACCIONES'!$B$70:$B$82,C221,'OTRAS ACCIONES'!$D$70:$D$82)</f>
        <v>0</v>
      </c>
      <c r="I221" s="6">
        <f>SUMIF('OTRAS ACCIONES'!$B$84:$B$89,C221,'OTRAS ACCIONES'!$D$84:$D$89)</f>
        <v>0</v>
      </c>
      <c r="J221" s="6">
        <f t="shared" si="33"/>
        <v>1688</v>
      </c>
      <c r="K221" s="19">
        <f t="shared" si="34"/>
        <v>8</v>
      </c>
      <c r="L221" s="6"/>
      <c r="M221" s="271"/>
      <c r="N221" s="271">
        <f t="shared" si="35"/>
        <v>0</v>
      </c>
      <c r="O221" s="7">
        <f t="shared" si="36"/>
        <v>1688</v>
      </c>
      <c r="P221" s="1" t="s">
        <v>869</v>
      </c>
      <c r="R221" s="4"/>
    </row>
    <row r="222" spans="1:18" x14ac:dyDescent="0.2">
      <c r="A222" s="274" t="s">
        <v>89</v>
      </c>
      <c r="B222" s="422">
        <v>142</v>
      </c>
      <c r="C222" s="220" t="s">
        <v>920</v>
      </c>
      <c r="D222" s="6">
        <f>SUMIF('PROG FORMACIÓN TITULADA'!$Q$8:$Q$1070,C222,'PROG FORMACIÓN TITULADA'!$R$8:$R$1070)</f>
        <v>1236</v>
      </c>
      <c r="E222" s="6">
        <f>SUMIF('PROG FORM COMPLEM'!$G$9:$G$264,C222,'PROG FORM COMPLEM'!$K$9:$K$264)</f>
        <v>0</v>
      </c>
      <c r="F222" s="6">
        <f>SUMIF('OTRAS ACCIONES'!$B$12:$B$44,C222,'OTRAS ACCIONES'!$D$12:$D$44)</f>
        <v>0</v>
      </c>
      <c r="G222" s="6">
        <f>SUMIF('OTRAS ACCIONES'!$B$46:$B$68,C222,'OTRAS ACCIONES'!$D$46:$D$68)</f>
        <v>0</v>
      </c>
      <c r="H222" s="6">
        <f>SUMIF('OTRAS ACCIONES'!$B$70:$B$82,C222,'OTRAS ACCIONES'!$D$70:$D$82)</f>
        <v>0</v>
      </c>
      <c r="I222" s="6">
        <f>SUMIF('OTRAS ACCIONES'!$B$84:$B$89,C222,'OTRAS ACCIONES'!$D$84:$D$89)</f>
        <v>0</v>
      </c>
      <c r="J222" s="6">
        <f t="shared" si="33"/>
        <v>1236</v>
      </c>
      <c r="K222" s="19">
        <f t="shared" si="34"/>
        <v>460</v>
      </c>
      <c r="L222" s="6"/>
      <c r="M222" s="271"/>
      <c r="N222" s="271">
        <f t="shared" si="35"/>
        <v>0</v>
      </c>
      <c r="O222" s="7">
        <f t="shared" si="36"/>
        <v>1236</v>
      </c>
      <c r="P222" s="1" t="s">
        <v>456</v>
      </c>
      <c r="R222" s="4"/>
    </row>
    <row r="223" spans="1:18" x14ac:dyDescent="0.2">
      <c r="A223" s="274" t="s">
        <v>89</v>
      </c>
      <c r="B223" s="422">
        <v>143</v>
      </c>
      <c r="C223" s="220" t="s">
        <v>626</v>
      </c>
      <c r="D223" s="6">
        <f>SUMIF('PROG FORMACIÓN TITULADA'!$Q$8:$Q$1070,C223,'PROG FORMACIÓN TITULADA'!$R$8:$R$1070)</f>
        <v>0</v>
      </c>
      <c r="E223" s="6">
        <f>SUMIF('PROG FORM COMPLEM'!$G$9:$G$264,C223,'PROG FORM COMPLEM'!$K$9:$K$264)</f>
        <v>844</v>
      </c>
      <c r="F223" s="6">
        <f>SUMIF('OTRAS ACCIONES'!$B$12:$B$44,C223,'OTRAS ACCIONES'!$D$12:$D$44)</f>
        <v>0</v>
      </c>
      <c r="G223" s="6">
        <f>SUMIF('OTRAS ACCIONES'!$B$46:$B$68,C223,'OTRAS ACCIONES'!$D$46:$D$68)</f>
        <v>0</v>
      </c>
      <c r="H223" s="6">
        <f>SUMIF('OTRAS ACCIONES'!$B$70:$B$82,C223,'OTRAS ACCIONES'!$D$70:$D$82)</f>
        <v>0</v>
      </c>
      <c r="I223" s="6">
        <f>SUMIF('OTRAS ACCIONES'!$B$84:$B$89,C223,'OTRAS ACCIONES'!$D$84:$D$89)</f>
        <v>0</v>
      </c>
      <c r="J223" s="6">
        <f t="shared" si="33"/>
        <v>844</v>
      </c>
      <c r="K223" s="19">
        <f t="shared" si="34"/>
        <v>852</v>
      </c>
      <c r="L223" s="6"/>
      <c r="M223" s="271"/>
      <c r="N223" s="271">
        <f t="shared" si="35"/>
        <v>0</v>
      </c>
      <c r="O223" s="7">
        <f t="shared" si="36"/>
        <v>844</v>
      </c>
      <c r="P223" s="1" t="s">
        <v>622</v>
      </c>
      <c r="R223" s="4"/>
    </row>
    <row r="224" spans="1:18" x14ac:dyDescent="0.2">
      <c r="A224" s="274" t="s">
        <v>89</v>
      </c>
      <c r="B224" s="422">
        <v>144</v>
      </c>
      <c r="C224" s="220" t="s">
        <v>808</v>
      </c>
      <c r="D224" s="6">
        <f>SUMIF('PROG FORMACIÓN TITULADA'!$Q$8:$Q$1070,C224,'PROG FORMACIÓN TITULADA'!$R$8:$R$1070)</f>
        <v>1068</v>
      </c>
      <c r="E224" s="6">
        <f>SUMIF('PROG FORM COMPLEM'!$G$9:$G$264,C224,'PROG FORM COMPLEM'!$K$9:$K$264)</f>
        <v>0</v>
      </c>
      <c r="F224" s="6">
        <f>SUMIF('OTRAS ACCIONES'!$B$12:$B$44,C224,'OTRAS ACCIONES'!$D$12:$D$44)</f>
        <v>0</v>
      </c>
      <c r="G224" s="6">
        <f>SUMIF('OTRAS ACCIONES'!$B$46:$B$68,C224,'OTRAS ACCIONES'!$D$46:$D$68)</f>
        <v>0</v>
      </c>
      <c r="H224" s="6">
        <f>SUMIF('OTRAS ACCIONES'!$B$70:$B$82,C224,'OTRAS ACCIONES'!$D$70:$D$82)</f>
        <v>0</v>
      </c>
      <c r="I224" s="6">
        <f>SUMIF('OTRAS ACCIONES'!$B$84:$B$89,C224,'OTRAS ACCIONES'!$D$84:$D$89)</f>
        <v>0</v>
      </c>
      <c r="J224" s="6">
        <f t="shared" si="33"/>
        <v>1068</v>
      </c>
      <c r="K224" s="19">
        <f t="shared" si="34"/>
        <v>628</v>
      </c>
      <c r="L224" s="6"/>
      <c r="M224" s="271"/>
      <c r="N224" s="271">
        <f t="shared" si="35"/>
        <v>0</v>
      </c>
      <c r="O224" s="7">
        <f t="shared" si="36"/>
        <v>1068</v>
      </c>
      <c r="P224" s="1" t="s">
        <v>451</v>
      </c>
      <c r="R224" s="4"/>
    </row>
    <row r="225" spans="1:18" x14ac:dyDescent="0.2">
      <c r="A225" s="274" t="s">
        <v>89</v>
      </c>
      <c r="B225" s="422">
        <v>145</v>
      </c>
      <c r="C225" s="6" t="s">
        <v>294</v>
      </c>
      <c r="D225" s="6">
        <f>SUMIF('PROG FORMACIÓN TITULADA'!$Q$8:$Q$1070,C225,'PROG FORMACIÓN TITULADA'!$R$8:$R$1070)</f>
        <v>1140</v>
      </c>
      <c r="E225" s="6">
        <f>SUMIF('PROG FORM COMPLEM'!$G$9:$G$264,C225,'PROG FORM COMPLEM'!$K$9:$K$264)</f>
        <v>520</v>
      </c>
      <c r="F225" s="6">
        <f>SUMIF('OTRAS ACCIONES'!$B$12:$B$44,C225,'OTRAS ACCIONES'!$D$12:$D$44)</f>
        <v>0</v>
      </c>
      <c r="G225" s="6">
        <f>SUMIF('OTRAS ACCIONES'!$B$46:$B$68,C225,'OTRAS ACCIONES'!$D$46:$D$68)</f>
        <v>0</v>
      </c>
      <c r="H225" s="6">
        <f>SUMIF('OTRAS ACCIONES'!$B$70:$B$82,C225,'OTRAS ACCIONES'!$D$70:$D$82)</f>
        <v>0</v>
      </c>
      <c r="I225" s="6">
        <f>SUMIF('OTRAS ACCIONES'!$B$84:$B$89,C225,'OTRAS ACCIONES'!$D$84:$D$89)</f>
        <v>0</v>
      </c>
      <c r="J225" s="6">
        <f t="shared" si="33"/>
        <v>1660</v>
      </c>
      <c r="K225" s="19">
        <f t="shared" si="34"/>
        <v>36</v>
      </c>
      <c r="L225" s="6"/>
      <c r="M225" s="271"/>
      <c r="N225" s="271">
        <f t="shared" si="35"/>
        <v>0</v>
      </c>
      <c r="O225" s="7">
        <f t="shared" si="36"/>
        <v>1660</v>
      </c>
      <c r="P225" s="1" t="s">
        <v>208</v>
      </c>
      <c r="R225" s="4"/>
    </row>
    <row r="226" spans="1:18" x14ac:dyDescent="0.2">
      <c r="A226" s="274" t="s">
        <v>89</v>
      </c>
      <c r="B226" s="422">
        <v>146</v>
      </c>
      <c r="C226" s="6" t="s">
        <v>295</v>
      </c>
      <c r="D226" s="6">
        <f>SUMIF('PROG FORMACIÓN TITULADA'!$Q$8:$Q$1070,C226,'PROG FORMACIÓN TITULADA'!$R$8:$R$1070)</f>
        <v>0</v>
      </c>
      <c r="E226" s="6">
        <f>SUMIF('PROG FORM COMPLEM'!$G$9:$G$264,C226,'PROG FORM COMPLEM'!$K$9:$K$264)</f>
        <v>1680</v>
      </c>
      <c r="F226" s="6">
        <f>SUMIF('OTRAS ACCIONES'!$B$12:$B$44,C226,'OTRAS ACCIONES'!$D$12:$D$44)</f>
        <v>0</v>
      </c>
      <c r="G226" s="6">
        <f>SUMIF('OTRAS ACCIONES'!$B$46:$B$68,C226,'OTRAS ACCIONES'!$D$46:$D$68)</f>
        <v>0</v>
      </c>
      <c r="H226" s="6">
        <f>SUMIF('OTRAS ACCIONES'!$B$70:$B$82,C226,'OTRAS ACCIONES'!$D$70:$D$82)</f>
        <v>0</v>
      </c>
      <c r="I226" s="6">
        <f>SUMIF('OTRAS ACCIONES'!$B$84:$B$89,C226,'OTRAS ACCIONES'!$D$84:$D$89)</f>
        <v>0</v>
      </c>
      <c r="J226" s="6">
        <f t="shared" si="33"/>
        <v>1680</v>
      </c>
      <c r="K226" s="19">
        <f t="shared" si="34"/>
        <v>16</v>
      </c>
      <c r="L226" s="6"/>
      <c r="M226" s="271"/>
      <c r="N226" s="271">
        <f t="shared" si="35"/>
        <v>0</v>
      </c>
      <c r="O226" s="7">
        <f t="shared" si="36"/>
        <v>1680</v>
      </c>
      <c r="P226" s="1" t="s">
        <v>865</v>
      </c>
      <c r="R226" s="4"/>
    </row>
    <row r="227" spans="1:18" x14ac:dyDescent="0.2">
      <c r="A227" s="274" t="s">
        <v>89</v>
      </c>
      <c r="B227" s="422">
        <v>147</v>
      </c>
      <c r="C227" s="6" t="s">
        <v>618</v>
      </c>
      <c r="D227" s="6">
        <f>SUMIF('PROG FORMACIÓN TITULADA'!$Q$8:$Q$1070,C227,'PROG FORMACIÓN TITULADA'!$R$8:$R$1070)</f>
        <v>1471</v>
      </c>
      <c r="E227" s="6">
        <f>SUMIF('PROG FORM COMPLEM'!$G$9:$G$264,C227,'PROG FORM COMPLEM'!$K$9:$K$264)</f>
        <v>0</v>
      </c>
      <c r="F227" s="6">
        <f>SUMIF('OTRAS ACCIONES'!$B$12:$B$44,C227,'OTRAS ACCIONES'!$D$12:$D$44)</f>
        <v>0</v>
      </c>
      <c r="G227" s="6">
        <f>SUMIF('OTRAS ACCIONES'!$B$46:$B$68,C227,'OTRAS ACCIONES'!$D$46:$D$68)</f>
        <v>0</v>
      </c>
      <c r="H227" s="6">
        <f>SUMIF('OTRAS ACCIONES'!$B$70:$B$82,C227,'OTRAS ACCIONES'!$D$70:$D$82)</f>
        <v>225</v>
      </c>
      <c r="I227" s="6">
        <f>SUMIF('OTRAS ACCIONES'!$B$84:$B$89,C227,'OTRAS ACCIONES'!$D$84:$D$89)</f>
        <v>0</v>
      </c>
      <c r="J227" s="6">
        <f t="shared" si="33"/>
        <v>1696</v>
      </c>
      <c r="K227" s="19">
        <f t="shared" si="34"/>
        <v>0</v>
      </c>
      <c r="L227" s="6"/>
      <c r="M227" s="271"/>
      <c r="N227" s="271">
        <f t="shared" si="35"/>
        <v>0</v>
      </c>
      <c r="O227" s="7">
        <f t="shared" si="36"/>
        <v>1696</v>
      </c>
      <c r="P227" s="1" t="s">
        <v>484</v>
      </c>
      <c r="R227" s="4"/>
    </row>
    <row r="228" spans="1:18" x14ac:dyDescent="0.2">
      <c r="A228" s="274" t="s">
        <v>89</v>
      </c>
      <c r="B228" s="422">
        <v>148</v>
      </c>
      <c r="C228" s="220" t="s">
        <v>750</v>
      </c>
      <c r="D228" s="6">
        <f>SUMIF('PROG FORMACIÓN TITULADA'!$Q$8:$Q$1070,C228,'PROG FORMACIÓN TITULADA'!$R$8:$R$1070)</f>
        <v>624</v>
      </c>
      <c r="E228" s="6">
        <f>SUMIF('PROG FORM COMPLEM'!$G$9:$G$264,C228,'PROG FORM COMPLEM'!$K$9:$K$264)</f>
        <v>1080</v>
      </c>
      <c r="F228" s="6">
        <f>SUMIF('OTRAS ACCIONES'!$B$12:$B$44,C228,'OTRAS ACCIONES'!$D$12:$D$44)</f>
        <v>0</v>
      </c>
      <c r="G228" s="6">
        <f>SUMIF('OTRAS ACCIONES'!$B$46:$B$68,C228,'OTRAS ACCIONES'!$D$46:$D$68)</f>
        <v>0</v>
      </c>
      <c r="H228" s="6">
        <f>SUMIF('OTRAS ACCIONES'!$B$70:$B$82,C228,'OTRAS ACCIONES'!$D$70:$D$82)</f>
        <v>0</v>
      </c>
      <c r="I228" s="6">
        <f>SUMIF('OTRAS ACCIONES'!$B$84:$B$89,C228,'OTRAS ACCIONES'!$D$84:$D$89)</f>
        <v>0</v>
      </c>
      <c r="J228" s="6">
        <f t="shared" si="33"/>
        <v>1704</v>
      </c>
      <c r="K228" s="19">
        <f t="shared" si="34"/>
        <v>-8</v>
      </c>
      <c r="L228" s="6"/>
      <c r="M228" s="271"/>
      <c r="N228" s="271">
        <f t="shared" si="35"/>
        <v>0</v>
      </c>
      <c r="O228" s="7">
        <f t="shared" si="36"/>
        <v>1704</v>
      </c>
      <c r="P228" s="1" t="s">
        <v>208</v>
      </c>
      <c r="R228" s="4"/>
    </row>
    <row r="229" spans="1:18" x14ac:dyDescent="0.2">
      <c r="A229" s="274" t="s">
        <v>89</v>
      </c>
      <c r="B229" s="422">
        <v>149</v>
      </c>
      <c r="C229" s="220" t="s">
        <v>886</v>
      </c>
      <c r="D229" s="6">
        <f>SUMIF('PROG FORMACIÓN TITULADA'!$Q$8:$Q$1070,C229,'PROG FORMACIÓN TITULADA'!$R$8:$R$1070)</f>
        <v>1032</v>
      </c>
      <c r="E229" s="6">
        <f>SUMIF('PROG FORM COMPLEM'!$G$9:$G$264,C229,'PROG FORM COMPLEM'!$K$9:$K$264)</f>
        <v>0</v>
      </c>
      <c r="F229" s="6">
        <f>SUMIF('OTRAS ACCIONES'!$B$12:$B$44,C229,'OTRAS ACCIONES'!$D$12:$D$44)</f>
        <v>0</v>
      </c>
      <c r="G229" s="6">
        <f>SUMIF('OTRAS ACCIONES'!$B$46:$B$68,C229,'OTRAS ACCIONES'!$D$46:$D$68)</f>
        <v>0</v>
      </c>
      <c r="H229" s="6">
        <f>SUMIF('OTRAS ACCIONES'!$B$70:$B$82,C229,'OTRAS ACCIONES'!$D$70:$D$82)</f>
        <v>0</v>
      </c>
      <c r="I229" s="6">
        <f>SUMIF('OTRAS ACCIONES'!$B$84:$B$89,C229,'OTRAS ACCIONES'!$D$84:$D$89)</f>
        <v>0</v>
      </c>
      <c r="J229" s="6">
        <f t="shared" si="33"/>
        <v>1032</v>
      </c>
      <c r="K229" s="19">
        <f t="shared" si="34"/>
        <v>664</v>
      </c>
      <c r="L229" s="6"/>
      <c r="M229" s="271"/>
      <c r="N229" s="271">
        <f t="shared" si="35"/>
        <v>0</v>
      </c>
      <c r="O229" s="7">
        <f t="shared" si="36"/>
        <v>1032</v>
      </c>
      <c r="P229" s="1" t="s">
        <v>208</v>
      </c>
      <c r="R229" s="4"/>
    </row>
    <row r="230" spans="1:18" x14ac:dyDescent="0.2">
      <c r="A230" s="274" t="s">
        <v>89</v>
      </c>
      <c r="B230" s="422">
        <v>150</v>
      </c>
      <c r="C230" s="6" t="s">
        <v>852</v>
      </c>
      <c r="D230" s="6">
        <f>SUMIF('PROG FORMACIÓN TITULADA'!$Q$8:$Q$1070,C230,'PROG FORMACIÓN TITULADA'!$R$8:$R$1070)</f>
        <v>504</v>
      </c>
      <c r="E230" s="6">
        <f>SUMIF('PROG FORM COMPLEM'!$G$9:$G$264,C230,'PROG FORM COMPLEM'!$K$9:$K$264)</f>
        <v>1200</v>
      </c>
      <c r="F230" s="6">
        <f>SUMIF('OTRAS ACCIONES'!$B$12:$B$44,C230,'OTRAS ACCIONES'!$D$12:$D$44)</f>
        <v>0</v>
      </c>
      <c r="G230" s="6">
        <f>SUMIF('OTRAS ACCIONES'!$B$46:$B$68,C230,'OTRAS ACCIONES'!$D$46:$D$68)</f>
        <v>0</v>
      </c>
      <c r="H230" s="6">
        <f>SUMIF('OTRAS ACCIONES'!$B$70:$B$82,C230,'OTRAS ACCIONES'!$D$70:$D$82)</f>
        <v>0</v>
      </c>
      <c r="I230" s="6">
        <f>SUMIF('OTRAS ACCIONES'!$B$84:$B$89,C230,'OTRAS ACCIONES'!$D$84:$D$89)</f>
        <v>0</v>
      </c>
      <c r="J230" s="6">
        <f t="shared" si="33"/>
        <v>1704</v>
      </c>
      <c r="K230" s="19">
        <f t="shared" si="34"/>
        <v>-8</v>
      </c>
      <c r="L230" s="6"/>
      <c r="M230" s="271"/>
      <c r="N230" s="271">
        <f t="shared" si="35"/>
        <v>0</v>
      </c>
      <c r="O230" s="7">
        <f t="shared" si="36"/>
        <v>1704</v>
      </c>
      <c r="P230" s="1" t="s">
        <v>486</v>
      </c>
      <c r="R230" s="4"/>
    </row>
    <row r="231" spans="1:18" x14ac:dyDescent="0.2">
      <c r="A231" s="274" t="s">
        <v>89</v>
      </c>
      <c r="B231" s="422">
        <v>151</v>
      </c>
      <c r="C231" s="220" t="s">
        <v>860</v>
      </c>
      <c r="D231" s="6">
        <f>SUMIF('PROG FORMACIÓN TITULADA'!$Q$8:$Q$1070,C231,'PROG FORMACIÓN TITULADA'!$R$8:$R$1070)</f>
        <v>768</v>
      </c>
      <c r="E231" s="6">
        <f>SUMIF('PROG FORM COMPLEM'!$G$9:$G$264,C231,'PROG FORM COMPLEM'!$K$9:$K$264)</f>
        <v>480</v>
      </c>
      <c r="F231" s="6">
        <f>SUMIF('OTRAS ACCIONES'!$B$12:$B$44,C231,'OTRAS ACCIONES'!$D$12:$D$44)</f>
        <v>0</v>
      </c>
      <c r="G231" s="6">
        <f>SUMIF('OTRAS ACCIONES'!$B$46:$B$68,C231,'OTRAS ACCIONES'!$D$46:$D$68)</f>
        <v>0</v>
      </c>
      <c r="H231" s="6">
        <f>SUMIF('OTRAS ACCIONES'!$B$70:$B$82,C231,'OTRAS ACCIONES'!$D$70:$D$82)</f>
        <v>0</v>
      </c>
      <c r="I231" s="6">
        <f>SUMIF('OTRAS ACCIONES'!$B$84:$B$89,C231,'OTRAS ACCIONES'!$D$84:$D$89)</f>
        <v>0</v>
      </c>
      <c r="J231" s="6">
        <f t="shared" si="33"/>
        <v>1248</v>
      </c>
      <c r="K231" s="19">
        <f t="shared" si="34"/>
        <v>448</v>
      </c>
      <c r="L231" s="6"/>
      <c r="M231" s="271"/>
      <c r="N231" s="271">
        <f t="shared" si="35"/>
        <v>0</v>
      </c>
      <c r="O231" s="7">
        <f t="shared" si="36"/>
        <v>1248</v>
      </c>
      <c r="P231" s="1" t="s">
        <v>486</v>
      </c>
      <c r="R231" s="4"/>
    </row>
    <row r="232" spans="1:18" x14ac:dyDescent="0.2">
      <c r="A232" s="274" t="s">
        <v>89</v>
      </c>
      <c r="B232" s="422">
        <v>152</v>
      </c>
      <c r="C232" s="6" t="s">
        <v>296</v>
      </c>
      <c r="D232" s="6">
        <f>SUMIF('PROG FORMACIÓN TITULADA'!$Q$8:$Q$1070,C232,'PROG FORMACIÓN TITULADA'!$R$8:$R$1070)</f>
        <v>0</v>
      </c>
      <c r="E232" s="6">
        <f>SUMIF('PROG FORM COMPLEM'!$G$9:$G$264,C232,'PROG FORM COMPLEM'!$K$9:$K$264)</f>
        <v>0</v>
      </c>
      <c r="F232" s="6">
        <f>SUMIF('OTRAS ACCIONES'!$B$12:$B$44,C232,'OTRAS ACCIONES'!$D$12:$D$44)</f>
        <v>0</v>
      </c>
      <c r="G232" s="6">
        <f>SUMIF('OTRAS ACCIONES'!$B$46:$B$68,C232,'OTRAS ACCIONES'!$D$46:$D$68)</f>
        <v>1696</v>
      </c>
      <c r="H232" s="6">
        <f>SUMIF('OTRAS ACCIONES'!$B$70:$B$82,C232,'OTRAS ACCIONES'!$D$70:$D$82)</f>
        <v>0</v>
      </c>
      <c r="I232" s="6">
        <f>SUMIF('OTRAS ACCIONES'!$B$84:$B$89,C232,'OTRAS ACCIONES'!$D$84:$D$89)</f>
        <v>0</v>
      </c>
      <c r="J232" s="6">
        <f t="shared" si="33"/>
        <v>1696</v>
      </c>
      <c r="K232" s="19">
        <f t="shared" si="34"/>
        <v>0</v>
      </c>
      <c r="L232" s="6"/>
      <c r="M232" s="271"/>
      <c r="N232" s="271">
        <f t="shared" si="35"/>
        <v>0</v>
      </c>
      <c r="O232" s="7">
        <f t="shared" si="36"/>
        <v>1696</v>
      </c>
      <c r="P232" s="1" t="s">
        <v>866</v>
      </c>
      <c r="R232" s="4"/>
    </row>
    <row r="233" spans="1:18" x14ac:dyDescent="0.2">
      <c r="A233" s="274" t="s">
        <v>89</v>
      </c>
      <c r="B233" s="422">
        <v>153</v>
      </c>
      <c r="C233" s="220" t="s">
        <v>798</v>
      </c>
      <c r="D233" s="6">
        <f>SUMIF('PROG FORMACIÓN TITULADA'!$Q$8:$Q$1070,C233,'PROG FORMACIÓN TITULADA'!$R$8:$R$1070)</f>
        <v>1352</v>
      </c>
      <c r="E233" s="6">
        <f>SUMIF('PROG FORM COMPLEM'!$G$9:$G$264,C233,'PROG FORM COMPLEM'!$K$9:$K$264)</f>
        <v>0</v>
      </c>
      <c r="F233" s="6">
        <f>SUMIF('OTRAS ACCIONES'!$B$12:$B$44,C233,'OTRAS ACCIONES'!$D$12:$D$44)</f>
        <v>0</v>
      </c>
      <c r="G233" s="6">
        <f>SUMIF('OTRAS ACCIONES'!$B$46:$B$68,C233,'OTRAS ACCIONES'!$D$46:$D$68)</f>
        <v>0</v>
      </c>
      <c r="H233" s="6">
        <f>SUMIF('OTRAS ACCIONES'!$B$70:$B$82,C233,'OTRAS ACCIONES'!$D$70:$D$82)</f>
        <v>0</v>
      </c>
      <c r="I233" s="6">
        <f>SUMIF('OTRAS ACCIONES'!$B$84:$B$89,C233,'OTRAS ACCIONES'!$D$84:$D$89)</f>
        <v>0</v>
      </c>
      <c r="J233" s="6">
        <f t="shared" si="33"/>
        <v>1352</v>
      </c>
      <c r="K233" s="19">
        <f t="shared" si="34"/>
        <v>344</v>
      </c>
      <c r="L233" s="6"/>
      <c r="M233" s="271"/>
      <c r="N233" s="271">
        <f t="shared" si="35"/>
        <v>0</v>
      </c>
      <c r="O233" s="7">
        <f t="shared" si="36"/>
        <v>1352</v>
      </c>
      <c r="P233" s="1" t="s">
        <v>451</v>
      </c>
      <c r="R233" s="4"/>
    </row>
    <row r="234" spans="1:18" x14ac:dyDescent="0.2">
      <c r="A234" s="274" t="s">
        <v>89</v>
      </c>
      <c r="B234" s="422">
        <v>154</v>
      </c>
      <c r="C234" s="6" t="s">
        <v>676</v>
      </c>
      <c r="D234" s="6">
        <f>SUMIF('PROG FORMACIÓN TITULADA'!$Q$8:$Q$1070,C234,'PROG FORMACIÓN TITULADA'!$R$8:$R$1070)</f>
        <v>0</v>
      </c>
      <c r="E234" s="6">
        <f>SUMIF('PROG FORM COMPLEM'!$G$9:$G$264,C234,'PROG FORM COMPLEM'!$K$9:$K$264)</f>
        <v>1680</v>
      </c>
      <c r="F234" s="6">
        <f>SUMIF('OTRAS ACCIONES'!$B$12:$B$44,C234,'OTRAS ACCIONES'!$D$12:$D$44)</f>
        <v>0</v>
      </c>
      <c r="G234" s="6">
        <f>SUMIF('OTRAS ACCIONES'!$B$46:$B$68,C234,'OTRAS ACCIONES'!$D$46:$D$68)</f>
        <v>0</v>
      </c>
      <c r="H234" s="6">
        <f>SUMIF('OTRAS ACCIONES'!$B$70:$B$82,C234,'OTRAS ACCIONES'!$D$70:$D$82)</f>
        <v>0</v>
      </c>
      <c r="I234" s="6">
        <f>SUMIF('OTRAS ACCIONES'!$B$84:$B$89,C234,'OTRAS ACCIONES'!$D$84:$D$89)</f>
        <v>0</v>
      </c>
      <c r="J234" s="6">
        <f t="shared" si="33"/>
        <v>1680</v>
      </c>
      <c r="K234" s="19">
        <f t="shared" si="34"/>
        <v>16</v>
      </c>
      <c r="L234" s="6"/>
      <c r="M234" s="271"/>
      <c r="N234" s="271">
        <f t="shared" si="35"/>
        <v>0</v>
      </c>
      <c r="O234" s="7">
        <f t="shared" si="36"/>
        <v>1680</v>
      </c>
      <c r="P234" s="1" t="s">
        <v>456</v>
      </c>
      <c r="R234" s="4"/>
    </row>
    <row r="235" spans="1:18" x14ac:dyDescent="0.2">
      <c r="A235" s="274" t="s">
        <v>89</v>
      </c>
      <c r="B235" s="422">
        <v>155</v>
      </c>
      <c r="C235" s="6" t="s">
        <v>1007</v>
      </c>
      <c r="D235" s="6">
        <f>SUMIF('PROG FORMACIÓN TITULADA'!$Q$8:$Q$1070,C235,'PROG FORMACIÓN TITULADA'!$R$8:$R$1070)</f>
        <v>1112</v>
      </c>
      <c r="E235" s="6">
        <f>SUMIF('PROG FORM COMPLEM'!$G$9:$G$264,C235,'PROG FORM COMPLEM'!$K$9:$K$264)</f>
        <v>560</v>
      </c>
      <c r="F235" s="6">
        <f>SUMIF('OTRAS ACCIONES'!$B$12:$B$44,C235,'OTRAS ACCIONES'!$D$12:$D$44)</f>
        <v>0</v>
      </c>
      <c r="G235" s="6">
        <f>SUMIF('OTRAS ACCIONES'!$B$46:$B$68,C235,'OTRAS ACCIONES'!$D$46:$D$68)</f>
        <v>0</v>
      </c>
      <c r="H235" s="6">
        <f>SUMIF('OTRAS ACCIONES'!$B$70:$B$82,C235,'OTRAS ACCIONES'!$D$70:$D$82)</f>
        <v>0</v>
      </c>
      <c r="I235" s="6">
        <f>SUMIF('OTRAS ACCIONES'!$B$84:$B$89,C235,'OTRAS ACCIONES'!$D$84:$D$89)</f>
        <v>0</v>
      </c>
      <c r="J235" s="6">
        <f t="shared" si="33"/>
        <v>1672</v>
      </c>
      <c r="K235" s="19">
        <f t="shared" si="34"/>
        <v>24</v>
      </c>
      <c r="L235" s="6"/>
      <c r="M235" s="271"/>
      <c r="N235" s="271">
        <f t="shared" si="35"/>
        <v>0</v>
      </c>
      <c r="O235" s="7">
        <f t="shared" si="36"/>
        <v>1672</v>
      </c>
      <c r="P235" s="1" t="s">
        <v>486</v>
      </c>
      <c r="R235" s="4"/>
    </row>
    <row r="236" spans="1:18" x14ac:dyDescent="0.2">
      <c r="A236" s="274" t="s">
        <v>89</v>
      </c>
      <c r="B236" s="422">
        <v>156</v>
      </c>
      <c r="C236" s="6" t="s">
        <v>677</v>
      </c>
      <c r="D236" s="6">
        <f>SUMIF('PROG FORMACIÓN TITULADA'!$Q$8:$Q$1070,C236,'PROG FORMACIÓN TITULADA'!$R$8:$R$1070)</f>
        <v>0</v>
      </c>
      <c r="E236" s="6">
        <f>SUMIF('PROG FORM COMPLEM'!$G$9:$G$264,C236,'PROG FORM COMPLEM'!$K$9:$K$264)</f>
        <v>0</v>
      </c>
      <c r="F236" s="6">
        <f>SUMIF('OTRAS ACCIONES'!$B$12:$B$44,C236,'OTRAS ACCIONES'!$D$12:$D$44)</f>
        <v>1696</v>
      </c>
      <c r="G236" s="6">
        <f>SUMIF('OTRAS ACCIONES'!$B$46:$B$68,C236,'OTRAS ACCIONES'!$D$46:$D$68)</f>
        <v>0</v>
      </c>
      <c r="H236" s="6">
        <f>SUMIF('OTRAS ACCIONES'!$B$70:$B$82,C236,'OTRAS ACCIONES'!$D$70:$D$82)</f>
        <v>0</v>
      </c>
      <c r="I236" s="6">
        <f>SUMIF('OTRAS ACCIONES'!$B$84:$B$89,C236,'OTRAS ACCIONES'!$D$84:$D$89)</f>
        <v>0</v>
      </c>
      <c r="J236" s="6">
        <f t="shared" si="33"/>
        <v>1696</v>
      </c>
      <c r="K236" s="19">
        <f t="shared" si="34"/>
        <v>0</v>
      </c>
      <c r="L236" s="6"/>
      <c r="M236" s="271"/>
      <c r="N236" s="271">
        <f t="shared" si="35"/>
        <v>0</v>
      </c>
      <c r="O236" s="7">
        <f t="shared" si="36"/>
        <v>1696</v>
      </c>
      <c r="P236" s="1" t="s">
        <v>869</v>
      </c>
      <c r="R236" s="4"/>
    </row>
    <row r="237" spans="1:18" x14ac:dyDescent="0.2">
      <c r="A237" s="274" t="s">
        <v>89</v>
      </c>
      <c r="B237" s="422">
        <v>157</v>
      </c>
      <c r="C237" s="220" t="s">
        <v>862</v>
      </c>
      <c r="D237" s="6">
        <f>SUMIF('PROG FORMACIÓN TITULADA'!$Q$8:$Q$1070,C237,'PROG FORMACIÓN TITULADA'!$R$8:$R$1070)</f>
        <v>0</v>
      </c>
      <c r="E237" s="6">
        <f>SUMIF('PROG FORM COMPLEM'!$G$9:$G$264,C237,'PROG FORM COMPLEM'!$K$9:$K$264)</f>
        <v>0</v>
      </c>
      <c r="F237" s="6">
        <f>SUMIF('OTRAS ACCIONES'!$B$12:$B$44,C237,'OTRAS ACCIONES'!$D$12:$D$44)</f>
        <v>0</v>
      </c>
      <c r="G237" s="6">
        <f>SUMIF('OTRAS ACCIONES'!$B$46:$B$68,C237,'OTRAS ACCIONES'!$D$46:$D$68)</f>
        <v>0</v>
      </c>
      <c r="H237" s="6">
        <f>SUMIF('OTRAS ACCIONES'!$B$70:$B$82,C237,'OTRAS ACCIONES'!$D$70:$D$82)</f>
        <v>0</v>
      </c>
      <c r="I237" s="6">
        <f>SUMIF('OTRAS ACCIONES'!$B$84:$B$89,C237,'OTRAS ACCIONES'!$D$84:$D$89)</f>
        <v>0</v>
      </c>
      <c r="J237" s="6">
        <f t="shared" si="33"/>
        <v>0</v>
      </c>
      <c r="K237" s="19">
        <f t="shared" si="34"/>
        <v>1696</v>
      </c>
      <c r="L237" s="6"/>
      <c r="M237" s="271"/>
      <c r="N237" s="271">
        <f t="shared" si="35"/>
        <v>0</v>
      </c>
      <c r="O237" s="7">
        <f t="shared" si="36"/>
        <v>0</v>
      </c>
      <c r="P237" s="1" t="s">
        <v>486</v>
      </c>
      <c r="R237" s="4"/>
    </row>
    <row r="238" spans="1:18" x14ac:dyDescent="0.2">
      <c r="A238" s="274" t="s">
        <v>89</v>
      </c>
      <c r="B238" s="422">
        <v>158</v>
      </c>
      <c r="C238" s="6" t="s">
        <v>297</v>
      </c>
      <c r="D238" s="6">
        <f>SUMIF('PROG FORMACIÓN TITULADA'!$Q$8:$Q$1070,C238,'PROG FORMACIÓN TITULADA'!$R$8:$R$1070)</f>
        <v>0</v>
      </c>
      <c r="E238" s="6">
        <f>SUMIF('PROG FORM COMPLEM'!$G$9:$G$264,C238,'PROG FORM COMPLEM'!$K$9:$K$264)</f>
        <v>1680</v>
      </c>
      <c r="F238" s="6">
        <f>SUMIF('OTRAS ACCIONES'!$B$12:$B$44,C238,'OTRAS ACCIONES'!$D$12:$D$44)</f>
        <v>0</v>
      </c>
      <c r="G238" s="6">
        <f>SUMIF('OTRAS ACCIONES'!$B$46:$B$68,C238,'OTRAS ACCIONES'!$D$46:$D$68)</f>
        <v>0</v>
      </c>
      <c r="H238" s="6">
        <f>SUMIF('OTRAS ACCIONES'!$B$70:$B$82,C238,'OTRAS ACCIONES'!$D$70:$D$82)</f>
        <v>0</v>
      </c>
      <c r="I238" s="6">
        <f>SUMIF('OTRAS ACCIONES'!$B$84:$B$89,C238,'OTRAS ACCIONES'!$D$84:$D$89)</f>
        <v>0</v>
      </c>
      <c r="J238" s="6">
        <f t="shared" si="33"/>
        <v>1680</v>
      </c>
      <c r="K238" s="19">
        <f t="shared" si="34"/>
        <v>16</v>
      </c>
      <c r="L238" s="6"/>
      <c r="M238" s="271"/>
      <c r="N238" s="271">
        <f t="shared" si="35"/>
        <v>0</v>
      </c>
      <c r="O238" s="7">
        <f t="shared" si="36"/>
        <v>1680</v>
      </c>
      <c r="P238" s="1" t="s">
        <v>865</v>
      </c>
      <c r="R238" s="4"/>
    </row>
    <row r="239" spans="1:18" x14ac:dyDescent="0.2">
      <c r="A239" s="274" t="s">
        <v>89</v>
      </c>
      <c r="B239" s="422">
        <v>159</v>
      </c>
      <c r="C239" s="220" t="s">
        <v>955</v>
      </c>
      <c r="D239" s="6">
        <f>SUMIF('PROG FORMACIÓN TITULADA'!$Q$8:$Q$1070,C239,'PROG FORMACIÓN TITULADA'!$R$8:$R$1070)</f>
        <v>0</v>
      </c>
      <c r="E239" s="6">
        <f>SUMIF('PROG FORM COMPLEM'!$G$9:$G$264,C239,'PROG FORM COMPLEM'!$K$9:$K$264)</f>
        <v>1680</v>
      </c>
      <c r="F239" s="6">
        <f>SUMIF('OTRAS ACCIONES'!$B$12:$B$44,C239,'OTRAS ACCIONES'!$D$12:$D$44)</f>
        <v>0</v>
      </c>
      <c r="G239" s="6">
        <f>SUMIF('OTRAS ACCIONES'!$B$46:$B$68,C239,'OTRAS ACCIONES'!$D$46:$D$68)</f>
        <v>0</v>
      </c>
      <c r="H239" s="6">
        <f>SUMIF('OTRAS ACCIONES'!$B$70:$B$82,C239,'OTRAS ACCIONES'!$D$70:$D$82)</f>
        <v>0</v>
      </c>
      <c r="I239" s="6">
        <f>SUMIF('OTRAS ACCIONES'!$B$84:$B$89,C239,'OTRAS ACCIONES'!$D$84:$D$89)</f>
        <v>0</v>
      </c>
      <c r="J239" s="6">
        <f t="shared" si="33"/>
        <v>1680</v>
      </c>
      <c r="K239" s="19">
        <f t="shared" si="34"/>
        <v>16</v>
      </c>
      <c r="L239" s="6"/>
      <c r="M239" s="271"/>
      <c r="N239" s="271">
        <f t="shared" si="35"/>
        <v>0</v>
      </c>
      <c r="O239" s="7">
        <f t="shared" si="36"/>
        <v>1680</v>
      </c>
      <c r="P239" s="1" t="s">
        <v>456</v>
      </c>
      <c r="R239" s="4"/>
    </row>
    <row r="240" spans="1:18" x14ac:dyDescent="0.2">
      <c r="A240" s="274" t="s">
        <v>89</v>
      </c>
      <c r="B240" s="422">
        <v>160</v>
      </c>
      <c r="C240" s="273" t="s">
        <v>891</v>
      </c>
      <c r="D240" s="6">
        <f>SUMIF('PROG FORMACIÓN TITULADA'!$Q$8:$Q$1070,C240,'PROG FORMACIÓN TITULADA'!$R$8:$R$1070)</f>
        <v>1190</v>
      </c>
      <c r="E240" s="6">
        <f>SUMIF('PROG FORM COMPLEM'!$G$9:$G$264,C240,'PROG FORM COMPLEM'!$K$9:$K$264)</f>
        <v>0</v>
      </c>
      <c r="F240" s="6">
        <f>SUMIF('OTRAS ACCIONES'!$B$12:$B$44,C240,'OTRAS ACCIONES'!$D$12:$D$44)</f>
        <v>0</v>
      </c>
      <c r="G240" s="6">
        <f>SUMIF('OTRAS ACCIONES'!$B$46:$B$68,C240,'OTRAS ACCIONES'!$D$46:$D$68)</f>
        <v>0</v>
      </c>
      <c r="H240" s="6">
        <f>SUMIF('OTRAS ACCIONES'!$B$70:$B$82,C240,'OTRAS ACCIONES'!$D$70:$D$82)</f>
        <v>0</v>
      </c>
      <c r="I240" s="6">
        <f>SUMIF('OTRAS ACCIONES'!$B$84:$B$89,C240,'OTRAS ACCIONES'!$D$84:$D$89)</f>
        <v>0</v>
      </c>
      <c r="J240" s="6">
        <f t="shared" si="33"/>
        <v>1190</v>
      </c>
      <c r="K240" s="19">
        <f t="shared" si="34"/>
        <v>506</v>
      </c>
      <c r="L240" s="6"/>
      <c r="M240" s="271"/>
      <c r="N240" s="271">
        <f t="shared" si="35"/>
        <v>0</v>
      </c>
      <c r="O240" s="7">
        <f t="shared" si="36"/>
        <v>1190</v>
      </c>
      <c r="P240" s="1" t="s">
        <v>208</v>
      </c>
      <c r="R240" s="4"/>
    </row>
    <row r="241" spans="1:18" x14ac:dyDescent="0.2">
      <c r="A241" s="274" t="s">
        <v>89</v>
      </c>
      <c r="B241" s="422">
        <v>161</v>
      </c>
      <c r="C241" s="220" t="s">
        <v>629</v>
      </c>
      <c r="D241" s="6">
        <f>SUMIF('PROG FORMACIÓN TITULADA'!$Q$8:$Q$1070,C241,'PROG FORMACIÓN TITULADA'!$R$8:$R$1070)</f>
        <v>0</v>
      </c>
      <c r="E241" s="6">
        <f>SUMIF('PROG FORM COMPLEM'!$G$9:$G$264,C241,'PROG FORM COMPLEM'!$K$9:$K$264)</f>
        <v>844</v>
      </c>
      <c r="F241" s="6">
        <f>SUMIF('OTRAS ACCIONES'!$B$12:$B$44,C241,'OTRAS ACCIONES'!$D$12:$D$44)</f>
        <v>0</v>
      </c>
      <c r="G241" s="6">
        <f>SUMIF('OTRAS ACCIONES'!$B$46:$B$68,C241,'OTRAS ACCIONES'!$D$46:$D$68)</f>
        <v>0</v>
      </c>
      <c r="H241" s="6">
        <f>SUMIF('OTRAS ACCIONES'!$B$70:$B$82,C241,'OTRAS ACCIONES'!$D$70:$D$82)</f>
        <v>0</v>
      </c>
      <c r="I241" s="6">
        <f>SUMIF('OTRAS ACCIONES'!$B$84:$B$89,C241,'OTRAS ACCIONES'!$D$84:$D$89)</f>
        <v>0</v>
      </c>
      <c r="J241" s="6">
        <f t="shared" si="33"/>
        <v>844</v>
      </c>
      <c r="K241" s="19">
        <f t="shared" si="34"/>
        <v>852</v>
      </c>
      <c r="L241" s="6"/>
      <c r="M241" s="271"/>
      <c r="N241" s="271">
        <f t="shared" si="35"/>
        <v>0</v>
      </c>
      <c r="O241" s="7">
        <f t="shared" si="36"/>
        <v>844</v>
      </c>
      <c r="P241" s="1" t="s">
        <v>622</v>
      </c>
      <c r="R241" s="4"/>
    </row>
    <row r="242" spans="1:18" x14ac:dyDescent="0.2">
      <c r="A242" s="274" t="s">
        <v>89</v>
      </c>
      <c r="B242" s="422">
        <v>162</v>
      </c>
      <c r="C242" s="6" t="s">
        <v>298</v>
      </c>
      <c r="D242" s="6">
        <f>SUMIF('PROG FORMACIÓN TITULADA'!$Q$8:$Q$1070,C242,'PROG FORMACIÓN TITULADA'!$R$8:$R$1070)</f>
        <v>1696</v>
      </c>
      <c r="E242" s="6">
        <f>SUMIF('PROG FORM COMPLEM'!$G$9:$G$264,C242,'PROG FORM COMPLEM'!$K$9:$K$264)</f>
        <v>0</v>
      </c>
      <c r="F242" s="6">
        <f>SUMIF('OTRAS ACCIONES'!$B$12:$B$44,C242,'OTRAS ACCIONES'!$D$12:$D$44)</f>
        <v>0</v>
      </c>
      <c r="G242" s="6">
        <f>SUMIF('OTRAS ACCIONES'!$B$46:$B$68,C242,'OTRAS ACCIONES'!$D$46:$D$68)</f>
        <v>0</v>
      </c>
      <c r="H242" s="6">
        <f>SUMIF('OTRAS ACCIONES'!$B$70:$B$82,C242,'OTRAS ACCIONES'!$D$70:$D$82)</f>
        <v>0</v>
      </c>
      <c r="I242" s="6">
        <f>SUMIF('OTRAS ACCIONES'!$B$84:$B$89,C242,'OTRAS ACCIONES'!$D$84:$D$89)</f>
        <v>0</v>
      </c>
      <c r="J242" s="6">
        <f t="shared" si="33"/>
        <v>1696</v>
      </c>
      <c r="K242" s="19">
        <f t="shared" si="34"/>
        <v>0</v>
      </c>
      <c r="L242" s="6"/>
      <c r="M242" s="271"/>
      <c r="N242" s="271">
        <f t="shared" si="35"/>
        <v>0</v>
      </c>
      <c r="O242" s="7">
        <f t="shared" si="36"/>
        <v>1696</v>
      </c>
      <c r="P242" s="1" t="s">
        <v>208</v>
      </c>
      <c r="R242" s="4"/>
    </row>
    <row r="243" spans="1:18" x14ac:dyDescent="0.2">
      <c r="A243" s="274" t="s">
        <v>89</v>
      </c>
      <c r="B243" s="422">
        <v>163</v>
      </c>
      <c r="C243" s="6" t="s">
        <v>299</v>
      </c>
      <c r="D243" s="6">
        <f>SUMIF('PROG FORMACIÓN TITULADA'!$Q$8:$Q$1070,C243,'PROG FORMACIÓN TITULADA'!$R$8:$R$1070)</f>
        <v>1018</v>
      </c>
      <c r="E243" s="6">
        <f>SUMIF('PROG FORM COMPLEM'!$G$9:$G$264,C243,'PROG FORM COMPLEM'!$K$9:$K$264)</f>
        <v>670</v>
      </c>
      <c r="F243" s="6">
        <f>SUMIF('OTRAS ACCIONES'!$B$12:$B$44,C243,'OTRAS ACCIONES'!$D$12:$D$44)</f>
        <v>0</v>
      </c>
      <c r="G243" s="6">
        <f>SUMIF('OTRAS ACCIONES'!$B$46:$B$68,C243,'OTRAS ACCIONES'!$D$46:$D$68)</f>
        <v>0</v>
      </c>
      <c r="H243" s="6">
        <f>SUMIF('OTRAS ACCIONES'!$B$70:$B$82,C243,'OTRAS ACCIONES'!$D$70:$D$82)</f>
        <v>0</v>
      </c>
      <c r="I243" s="6">
        <f>SUMIF('OTRAS ACCIONES'!$B$84:$B$89,C243,'OTRAS ACCIONES'!$D$84:$D$89)</f>
        <v>0</v>
      </c>
      <c r="J243" s="6">
        <f t="shared" si="33"/>
        <v>1688</v>
      </c>
      <c r="K243" s="19">
        <f t="shared" si="34"/>
        <v>8</v>
      </c>
      <c r="L243" s="6"/>
      <c r="M243" s="271"/>
      <c r="N243" s="271">
        <f t="shared" si="35"/>
        <v>0</v>
      </c>
      <c r="O243" s="7">
        <f t="shared" si="36"/>
        <v>1688</v>
      </c>
      <c r="P243" s="1" t="s">
        <v>451</v>
      </c>
      <c r="R243" s="4"/>
    </row>
    <row r="244" spans="1:18" x14ac:dyDescent="0.2">
      <c r="A244" s="274" t="s">
        <v>89</v>
      </c>
      <c r="B244" s="422">
        <v>164</v>
      </c>
      <c r="C244" s="220" t="s">
        <v>918</v>
      </c>
      <c r="D244" s="6">
        <f>SUMIF('PROG FORMACIÓN TITULADA'!$Q$8:$Q$1070,C244,'PROG FORMACIÓN TITULADA'!$R$8:$R$1070)</f>
        <v>768</v>
      </c>
      <c r="E244" s="6">
        <f>SUMIF('PROG FORM COMPLEM'!$G$9:$G$264,C244,'PROG FORM COMPLEM'!$K$9:$K$264)</f>
        <v>480</v>
      </c>
      <c r="F244" s="6">
        <f>SUMIF('OTRAS ACCIONES'!$B$12:$B$44,C244,'OTRAS ACCIONES'!$D$12:$D$44)</f>
        <v>0</v>
      </c>
      <c r="G244" s="6">
        <f>SUMIF('OTRAS ACCIONES'!$B$46:$B$68,C244,'OTRAS ACCIONES'!$D$46:$D$68)</f>
        <v>0</v>
      </c>
      <c r="H244" s="6">
        <f>SUMIF('OTRAS ACCIONES'!$B$70:$B$82,C244,'OTRAS ACCIONES'!$D$70:$D$82)</f>
        <v>0</v>
      </c>
      <c r="I244" s="6">
        <f>SUMIF('OTRAS ACCIONES'!$B$84:$B$89,C244,'OTRAS ACCIONES'!$D$84:$D$89)</f>
        <v>0</v>
      </c>
      <c r="J244" s="6">
        <f t="shared" si="33"/>
        <v>1248</v>
      </c>
      <c r="K244" s="19">
        <f t="shared" si="34"/>
        <v>448</v>
      </c>
      <c r="L244" s="6"/>
      <c r="M244" s="271"/>
      <c r="N244" s="271">
        <f t="shared" si="35"/>
        <v>0</v>
      </c>
      <c r="O244" s="7">
        <f t="shared" si="36"/>
        <v>1248</v>
      </c>
      <c r="P244" s="1" t="s">
        <v>456</v>
      </c>
      <c r="R244" s="4"/>
    </row>
    <row r="245" spans="1:18" x14ac:dyDescent="0.2">
      <c r="A245" s="274" t="s">
        <v>89</v>
      </c>
      <c r="B245" s="422">
        <v>165</v>
      </c>
      <c r="C245" s="44" t="s">
        <v>300</v>
      </c>
      <c r="D245" s="6">
        <f>SUMIF('PROG FORMACIÓN TITULADA'!$Q$8:$Q$1070,C245,'PROG FORMACIÓN TITULADA'!$R$8:$R$1070)</f>
        <v>0</v>
      </c>
      <c r="E245" s="6">
        <f>SUMIF('PROG FORM COMPLEM'!$G$9:$G$264,C245,'PROG FORM COMPLEM'!$K$9:$K$264)</f>
        <v>0</v>
      </c>
      <c r="F245" s="6">
        <f>SUMIF('OTRAS ACCIONES'!$B$12:$B$44,C245,'OTRAS ACCIONES'!$D$12:$D$44)</f>
        <v>0</v>
      </c>
      <c r="G245" s="6">
        <f>SUMIF('OTRAS ACCIONES'!$B$46:$B$68,C245,'OTRAS ACCIONES'!$D$46:$D$68)</f>
        <v>0</v>
      </c>
      <c r="H245" s="6">
        <f>SUMIF('OTRAS ACCIONES'!$B$70:$B$82,C245,'OTRAS ACCIONES'!$D$70:$D$82)</f>
        <v>0</v>
      </c>
      <c r="I245" s="6">
        <f>SUMIF('OTRAS ACCIONES'!$B$84:$B$89,C245,'OTRAS ACCIONES'!$D$84:$D$89)</f>
        <v>1266</v>
      </c>
      <c r="J245" s="6">
        <f t="shared" si="33"/>
        <v>1266</v>
      </c>
      <c r="K245" s="19">
        <f t="shared" si="34"/>
        <v>430</v>
      </c>
      <c r="L245" s="6"/>
      <c r="M245" s="271"/>
      <c r="N245" s="271">
        <f t="shared" si="35"/>
        <v>0</v>
      </c>
      <c r="O245" s="7">
        <f t="shared" si="36"/>
        <v>1266</v>
      </c>
      <c r="P245" s="1" t="s">
        <v>867</v>
      </c>
      <c r="R245" s="4"/>
    </row>
    <row r="246" spans="1:18" x14ac:dyDescent="0.2">
      <c r="A246" s="274" t="s">
        <v>89</v>
      </c>
      <c r="B246" s="422">
        <v>166</v>
      </c>
      <c r="C246" s="220" t="s">
        <v>963</v>
      </c>
      <c r="D246" s="6">
        <f>SUMIF('PROG FORMACIÓN TITULADA'!$Q$8:$Q$1070,C246,'PROG FORMACIÓN TITULADA'!$R$8:$R$1070)</f>
        <v>848</v>
      </c>
      <c r="E246" s="6">
        <f>SUMIF('PROG FORM COMPLEM'!$G$9:$G$264,C246,'PROG FORM COMPLEM'!$K$9:$K$264)</f>
        <v>0</v>
      </c>
      <c r="F246" s="6">
        <f>SUMIF('OTRAS ACCIONES'!$B$12:$B$44,C246,'OTRAS ACCIONES'!$D$12:$D$44)</f>
        <v>0</v>
      </c>
      <c r="G246" s="6">
        <f>SUMIF('OTRAS ACCIONES'!$B$46:$B$68,C246,'OTRAS ACCIONES'!$D$46:$D$68)</f>
        <v>0</v>
      </c>
      <c r="H246" s="6">
        <f>SUMIF('OTRAS ACCIONES'!$B$70:$B$82,C246,'OTRAS ACCIONES'!$D$70:$D$82)</f>
        <v>0</v>
      </c>
      <c r="I246" s="6">
        <f>SUMIF('OTRAS ACCIONES'!$B$84:$B$89,C246,'OTRAS ACCIONES'!$D$84:$D$89)</f>
        <v>0</v>
      </c>
      <c r="J246" s="6">
        <f t="shared" si="33"/>
        <v>848</v>
      </c>
      <c r="K246" s="19">
        <f t="shared" si="34"/>
        <v>848</v>
      </c>
      <c r="L246" s="6"/>
      <c r="M246" s="271"/>
      <c r="N246" s="271">
        <f t="shared" si="35"/>
        <v>0</v>
      </c>
      <c r="O246" s="7">
        <f t="shared" si="36"/>
        <v>848</v>
      </c>
      <c r="P246" s="1" t="s">
        <v>865</v>
      </c>
      <c r="R246" s="4"/>
    </row>
    <row r="247" spans="1:18" x14ac:dyDescent="0.2">
      <c r="A247" s="274" t="s">
        <v>89</v>
      </c>
      <c r="B247" s="422">
        <v>167</v>
      </c>
      <c r="C247" s="6" t="s">
        <v>301</v>
      </c>
      <c r="D247" s="6">
        <f>SUMIF('PROG FORMACIÓN TITULADA'!$Q$8:$Q$1070,C247,'PROG FORMACIÓN TITULADA'!$R$8:$R$1070)</f>
        <v>0</v>
      </c>
      <c r="E247" s="6">
        <f>SUMIF('PROG FORM COMPLEM'!$G$9:$G$264,C247,'PROG FORM COMPLEM'!$K$9:$K$264)</f>
        <v>1680</v>
      </c>
      <c r="F247" s="6">
        <f>SUMIF('OTRAS ACCIONES'!$B$12:$B$44,C247,'OTRAS ACCIONES'!$D$12:$D$44)</f>
        <v>0</v>
      </c>
      <c r="G247" s="6">
        <f>SUMIF('OTRAS ACCIONES'!$B$46:$B$68,C247,'OTRAS ACCIONES'!$D$46:$D$68)</f>
        <v>0</v>
      </c>
      <c r="H247" s="6">
        <f>SUMIF('OTRAS ACCIONES'!$B$70:$B$82,C247,'OTRAS ACCIONES'!$D$70:$D$82)</f>
        <v>0</v>
      </c>
      <c r="I247" s="6">
        <f>SUMIF('OTRAS ACCIONES'!$B$84:$B$89,C247,'OTRAS ACCIONES'!$D$84:$D$89)</f>
        <v>0</v>
      </c>
      <c r="J247" s="6">
        <f t="shared" si="33"/>
        <v>1680</v>
      </c>
      <c r="K247" s="19">
        <f t="shared" si="34"/>
        <v>16</v>
      </c>
      <c r="L247" s="6"/>
      <c r="M247" s="271"/>
      <c r="N247" s="271">
        <f t="shared" si="35"/>
        <v>0</v>
      </c>
      <c r="O247" s="7">
        <f t="shared" si="36"/>
        <v>1680</v>
      </c>
      <c r="P247" s="1" t="s">
        <v>865</v>
      </c>
      <c r="R247" s="4"/>
    </row>
    <row r="248" spans="1:18" x14ac:dyDescent="0.2">
      <c r="A248" s="274" t="s">
        <v>89</v>
      </c>
      <c r="B248" s="422">
        <v>168</v>
      </c>
      <c r="C248" s="6" t="s">
        <v>185</v>
      </c>
      <c r="D248" s="6">
        <f>SUMIF('PROG FORMACIÓN TITULADA'!$Q$8:$Q$1070,C248,'PROG FORMACIÓN TITULADA'!$R$8:$R$1070)</f>
        <v>0</v>
      </c>
      <c r="E248" s="6">
        <f>SUMIF('PROG FORM COMPLEM'!$G$9:$G$264,C248,'PROG FORM COMPLEM'!$K$9:$K$264)</f>
        <v>1680</v>
      </c>
      <c r="F248" s="6">
        <f>SUMIF('OTRAS ACCIONES'!$B$12:$B$44,C248,'OTRAS ACCIONES'!$D$12:$D$44)</f>
        <v>0</v>
      </c>
      <c r="G248" s="6">
        <f>SUMIF('OTRAS ACCIONES'!$B$46:$B$68,C248,'OTRAS ACCIONES'!$D$46:$D$68)</f>
        <v>0</v>
      </c>
      <c r="H248" s="6">
        <f>SUMIF('OTRAS ACCIONES'!$B$70:$B$82,C248,'OTRAS ACCIONES'!$D$70:$D$82)</f>
        <v>0</v>
      </c>
      <c r="I248" s="6">
        <f>SUMIF('OTRAS ACCIONES'!$B$84:$B$89,C248,'OTRAS ACCIONES'!$D$84:$D$89)</f>
        <v>0</v>
      </c>
      <c r="J248" s="6">
        <f t="shared" si="33"/>
        <v>1680</v>
      </c>
      <c r="K248" s="19">
        <f t="shared" si="34"/>
        <v>16</v>
      </c>
      <c r="L248" s="6"/>
      <c r="M248" s="271"/>
      <c r="N248" s="271">
        <f t="shared" si="35"/>
        <v>0</v>
      </c>
      <c r="O248" s="7">
        <f t="shared" si="36"/>
        <v>1680</v>
      </c>
      <c r="P248" s="1" t="s">
        <v>865</v>
      </c>
      <c r="R248" s="4"/>
    </row>
    <row r="249" spans="1:18" x14ac:dyDescent="0.2">
      <c r="A249" s="274" t="s">
        <v>89</v>
      </c>
      <c r="B249" s="422">
        <v>169</v>
      </c>
      <c r="C249" s="6" t="s">
        <v>302</v>
      </c>
      <c r="D249" s="6">
        <f>SUMIF('PROG FORMACIÓN TITULADA'!$Q$8:$Q$1070,C249,'PROG FORMACIÓN TITULADA'!$R$8:$R$1070)</f>
        <v>0</v>
      </c>
      <c r="E249" s="6">
        <f>SUMIF('PROG FORM COMPLEM'!$G$9:$G$264,C249,'PROG FORM COMPLEM'!$K$9:$K$264)</f>
        <v>1680</v>
      </c>
      <c r="F249" s="6">
        <f>SUMIF('OTRAS ACCIONES'!$B$12:$B$44,C249,'OTRAS ACCIONES'!$D$12:$D$44)</f>
        <v>0</v>
      </c>
      <c r="G249" s="6">
        <f>SUMIF('OTRAS ACCIONES'!$B$46:$B$68,C249,'OTRAS ACCIONES'!$D$46:$D$68)</f>
        <v>0</v>
      </c>
      <c r="H249" s="6">
        <f>SUMIF('OTRAS ACCIONES'!$B$70:$B$82,C249,'OTRAS ACCIONES'!$D$70:$D$82)</f>
        <v>0</v>
      </c>
      <c r="I249" s="6">
        <f>SUMIF('OTRAS ACCIONES'!$B$84:$B$89,C249,'OTRAS ACCIONES'!$D$84:$D$89)</f>
        <v>0</v>
      </c>
      <c r="J249" s="6">
        <f t="shared" si="33"/>
        <v>1680</v>
      </c>
      <c r="K249" s="19">
        <f t="shared" si="34"/>
        <v>16</v>
      </c>
      <c r="L249" s="6"/>
      <c r="M249" s="271"/>
      <c r="N249" s="271">
        <f t="shared" si="35"/>
        <v>0</v>
      </c>
      <c r="O249" s="7">
        <f t="shared" si="36"/>
        <v>1680</v>
      </c>
      <c r="P249" s="1" t="s">
        <v>208</v>
      </c>
      <c r="R249" s="4"/>
    </row>
    <row r="250" spans="1:18" x14ac:dyDescent="0.2">
      <c r="A250" s="274" t="s">
        <v>89</v>
      </c>
      <c r="B250" s="422">
        <v>170</v>
      </c>
      <c r="C250" s="6" t="s">
        <v>303</v>
      </c>
      <c r="D250" s="6">
        <f>SUMIF('PROG FORMACIÓN TITULADA'!$Q$8:$Q$1070,C250,'PROG FORMACIÓN TITULADA'!$R$8:$R$1070)</f>
        <v>0</v>
      </c>
      <c r="E250" s="6">
        <f>SUMIF('PROG FORM COMPLEM'!$G$9:$G$264,C250,'PROG FORM COMPLEM'!$K$9:$K$264)</f>
        <v>0</v>
      </c>
      <c r="F250" s="6">
        <f>SUMIF('OTRAS ACCIONES'!$B$12:$B$44,C250,'OTRAS ACCIONES'!$D$12:$D$44)</f>
        <v>0</v>
      </c>
      <c r="G250" s="6">
        <f>SUMIF('OTRAS ACCIONES'!$B$46:$B$68,C250,'OTRAS ACCIONES'!$D$46:$D$68)</f>
        <v>1696</v>
      </c>
      <c r="H250" s="6">
        <f>SUMIF('OTRAS ACCIONES'!$B$70:$B$82,C250,'OTRAS ACCIONES'!$D$70:$D$82)</f>
        <v>0</v>
      </c>
      <c r="I250" s="6">
        <f>SUMIF('OTRAS ACCIONES'!$B$84:$B$89,C250,'OTRAS ACCIONES'!$D$84:$D$89)</f>
        <v>0</v>
      </c>
      <c r="J250" s="6">
        <f t="shared" si="33"/>
        <v>1696</v>
      </c>
      <c r="K250" s="19">
        <f t="shared" si="34"/>
        <v>0</v>
      </c>
      <c r="L250" s="6"/>
      <c r="M250" s="271"/>
      <c r="N250" s="271">
        <f t="shared" si="35"/>
        <v>0</v>
      </c>
      <c r="O250" s="7">
        <f t="shared" si="36"/>
        <v>1696</v>
      </c>
      <c r="P250" s="1" t="s">
        <v>866</v>
      </c>
      <c r="R250" s="4"/>
    </row>
    <row r="251" spans="1:18" x14ac:dyDescent="0.2">
      <c r="A251" s="274" t="s">
        <v>89</v>
      </c>
      <c r="B251" s="422">
        <v>171</v>
      </c>
      <c r="C251" s="273" t="s">
        <v>892</v>
      </c>
      <c r="D251" s="6">
        <f>SUMIF('PROG FORMACIÓN TITULADA'!$Q$8:$Q$1070,C251,'PROG FORMACIÓN TITULADA'!$R$8:$R$1070)</f>
        <v>1186</v>
      </c>
      <c r="E251" s="6">
        <f>SUMIF('PROG FORM COMPLEM'!$G$9:$G$264,C251,'PROG FORM COMPLEM'!$K$9:$K$264)</f>
        <v>0</v>
      </c>
      <c r="F251" s="6">
        <f>SUMIF('OTRAS ACCIONES'!$B$12:$B$44,C251,'OTRAS ACCIONES'!$D$12:$D$44)</f>
        <v>0</v>
      </c>
      <c r="G251" s="6">
        <f>SUMIF('OTRAS ACCIONES'!$B$46:$B$68,C251,'OTRAS ACCIONES'!$D$46:$D$68)</f>
        <v>0</v>
      </c>
      <c r="H251" s="6">
        <f>SUMIF('OTRAS ACCIONES'!$B$70:$B$82,C251,'OTRAS ACCIONES'!$D$70:$D$82)</f>
        <v>0</v>
      </c>
      <c r="I251" s="6">
        <f>SUMIF('OTRAS ACCIONES'!$B$84:$B$89,C251,'OTRAS ACCIONES'!$D$84:$D$89)</f>
        <v>0</v>
      </c>
      <c r="J251" s="6">
        <f t="shared" si="33"/>
        <v>1186</v>
      </c>
      <c r="K251" s="19">
        <f t="shared" si="34"/>
        <v>510</v>
      </c>
      <c r="L251" s="6"/>
      <c r="M251" s="271"/>
      <c r="N251" s="271">
        <f t="shared" si="35"/>
        <v>0</v>
      </c>
      <c r="O251" s="7">
        <f t="shared" si="36"/>
        <v>1186</v>
      </c>
      <c r="P251" s="1" t="s">
        <v>456</v>
      </c>
      <c r="R251" s="4"/>
    </row>
    <row r="252" spans="1:18" x14ac:dyDescent="0.2">
      <c r="A252" s="274" t="s">
        <v>89</v>
      </c>
      <c r="B252" s="422">
        <v>172</v>
      </c>
      <c r="C252" s="6" t="s">
        <v>603</v>
      </c>
      <c r="D252" s="6">
        <f>SUMIF('PROG FORMACIÓN TITULADA'!$Q$8:$Q$1070,C252,'PROG FORMACIÓN TITULADA'!$R$8:$R$1070)</f>
        <v>624</v>
      </c>
      <c r="E252" s="6">
        <f>SUMIF('PROG FORM COMPLEM'!$G$9:$G$264,C252,'PROG FORM COMPLEM'!$K$9:$K$264)</f>
        <v>1040</v>
      </c>
      <c r="F252" s="6">
        <f>SUMIF('OTRAS ACCIONES'!$B$12:$B$44,C252,'OTRAS ACCIONES'!$D$12:$D$44)</f>
        <v>0</v>
      </c>
      <c r="G252" s="6">
        <f>SUMIF('OTRAS ACCIONES'!$B$46:$B$68,C252,'OTRAS ACCIONES'!$D$46:$D$68)</f>
        <v>0</v>
      </c>
      <c r="H252" s="6">
        <f>SUMIF('OTRAS ACCIONES'!$B$70:$B$82,C252,'OTRAS ACCIONES'!$D$70:$D$82)</f>
        <v>0</v>
      </c>
      <c r="I252" s="6">
        <f>SUMIF('OTRAS ACCIONES'!$B$84:$B$89,C252,'OTRAS ACCIONES'!$D$84:$D$89)</f>
        <v>0</v>
      </c>
      <c r="J252" s="6">
        <f t="shared" si="33"/>
        <v>1664</v>
      </c>
      <c r="K252" s="19">
        <f t="shared" si="34"/>
        <v>32</v>
      </c>
      <c r="L252" s="6"/>
      <c r="M252" s="271"/>
      <c r="N252" s="271">
        <f t="shared" si="35"/>
        <v>0</v>
      </c>
      <c r="O252" s="7">
        <f t="shared" si="36"/>
        <v>1664</v>
      </c>
      <c r="P252" s="1" t="s">
        <v>208</v>
      </c>
      <c r="R252" s="4"/>
    </row>
    <row r="253" spans="1:18" x14ac:dyDescent="0.2">
      <c r="A253" s="274" t="s">
        <v>89</v>
      </c>
      <c r="B253" s="422">
        <v>173</v>
      </c>
      <c r="C253" s="220" t="s">
        <v>858</v>
      </c>
      <c r="D253" s="6">
        <f>SUMIF('PROG FORMACIÓN TITULADA'!$Q$8:$Q$1070,C253,'PROG FORMACIÓN TITULADA'!$R$8:$R$1070)</f>
        <v>512</v>
      </c>
      <c r="E253" s="6">
        <f>SUMIF('PROG FORM COMPLEM'!$G$9:$G$264,C253,'PROG FORM COMPLEM'!$K$9:$K$264)</f>
        <v>1160</v>
      </c>
      <c r="F253" s="6">
        <f>SUMIF('OTRAS ACCIONES'!$B$12:$B$44,C253,'OTRAS ACCIONES'!$D$12:$D$44)</f>
        <v>0</v>
      </c>
      <c r="G253" s="6">
        <f>SUMIF('OTRAS ACCIONES'!$B$46:$B$68,C253,'OTRAS ACCIONES'!$D$46:$D$68)</f>
        <v>0</v>
      </c>
      <c r="H253" s="6">
        <f>SUMIF('OTRAS ACCIONES'!$B$70:$B$82,C253,'OTRAS ACCIONES'!$D$70:$D$82)</f>
        <v>0</v>
      </c>
      <c r="I253" s="6">
        <f>SUMIF('OTRAS ACCIONES'!$B$84:$B$89,C253,'OTRAS ACCIONES'!$D$84:$D$89)</f>
        <v>0</v>
      </c>
      <c r="J253" s="6">
        <f t="shared" si="33"/>
        <v>1672</v>
      </c>
      <c r="K253" s="19">
        <f t="shared" si="34"/>
        <v>24</v>
      </c>
      <c r="L253" s="6"/>
      <c r="M253" s="271"/>
      <c r="N253" s="271">
        <f t="shared" si="35"/>
        <v>0</v>
      </c>
      <c r="O253" s="7">
        <f t="shared" si="36"/>
        <v>1672</v>
      </c>
      <c r="P253" s="1" t="s">
        <v>486</v>
      </c>
      <c r="R253" s="4"/>
    </row>
    <row r="254" spans="1:18" x14ac:dyDescent="0.2">
      <c r="A254" s="274" t="s">
        <v>89</v>
      </c>
      <c r="B254" s="422">
        <v>174</v>
      </c>
      <c r="C254" s="424" t="s">
        <v>646</v>
      </c>
      <c r="D254" s="6">
        <f>SUMIF('PROG FORMACIÓN TITULADA'!$Q$8:$Q$1070,C254,'PROG FORMACIÓN TITULADA'!$R$8:$R$1070)</f>
        <v>0</v>
      </c>
      <c r="E254" s="6">
        <f>SUMIF('PROG FORM COMPLEM'!$G$9:$G$264,C254,'PROG FORM COMPLEM'!$K$9:$K$264)</f>
        <v>1680</v>
      </c>
      <c r="F254" s="6">
        <f>SUMIF('OTRAS ACCIONES'!$B$12:$B$44,C254,'OTRAS ACCIONES'!$D$12:$D$44)</f>
        <v>0</v>
      </c>
      <c r="G254" s="6">
        <f>SUMIF('OTRAS ACCIONES'!$B$46:$B$68,C254,'OTRAS ACCIONES'!$D$46:$D$68)</f>
        <v>0</v>
      </c>
      <c r="H254" s="6">
        <f>SUMIF('OTRAS ACCIONES'!$B$70:$B$82,C254,'OTRAS ACCIONES'!$D$70:$D$82)</f>
        <v>0</v>
      </c>
      <c r="I254" s="6">
        <f>SUMIF('OTRAS ACCIONES'!$B$84:$B$89,C254,'OTRAS ACCIONES'!$D$84:$D$89)</f>
        <v>0</v>
      </c>
      <c r="J254" s="6">
        <f t="shared" si="33"/>
        <v>1680</v>
      </c>
      <c r="K254" s="19">
        <f t="shared" si="34"/>
        <v>16</v>
      </c>
      <c r="L254" s="6"/>
      <c r="M254" s="271"/>
      <c r="N254" s="271">
        <f t="shared" si="35"/>
        <v>0</v>
      </c>
      <c r="O254" s="7">
        <f t="shared" si="36"/>
        <v>1680</v>
      </c>
      <c r="P254" s="1" t="s">
        <v>865</v>
      </c>
      <c r="R254" s="4"/>
    </row>
    <row r="255" spans="1:18" s="403" customFormat="1" x14ac:dyDescent="0.2">
      <c r="A255" s="274" t="s">
        <v>89</v>
      </c>
      <c r="B255" s="422">
        <v>175</v>
      </c>
      <c r="C255" s="220" t="s">
        <v>956</v>
      </c>
      <c r="D255" s="6">
        <f>SUMIF('PROG FORMACIÓN TITULADA'!$Q$8:$Q$1070,C255,'PROG FORMACIÓN TITULADA'!$R$8:$R$1070)</f>
        <v>0</v>
      </c>
      <c r="E255" s="6">
        <f>SUMIF('PROG FORM COMPLEM'!$G$9:$G$264,C255,'PROG FORM COMPLEM'!$K$9:$K$264)</f>
        <v>1680</v>
      </c>
      <c r="F255" s="6">
        <f>SUMIF('OTRAS ACCIONES'!$B$12:$B$44,C255,'OTRAS ACCIONES'!$D$12:$D$44)</f>
        <v>0</v>
      </c>
      <c r="G255" s="6">
        <f>SUMIF('OTRAS ACCIONES'!$B$46:$B$68,C255,'OTRAS ACCIONES'!$D$46:$D$68)</f>
        <v>0</v>
      </c>
      <c r="H255" s="6">
        <f>SUMIF('OTRAS ACCIONES'!$B$70:$B$82,C255,'OTRAS ACCIONES'!$D$70:$D$82)</f>
        <v>0</v>
      </c>
      <c r="I255" s="6">
        <f>SUMIF('OTRAS ACCIONES'!$B$84:$B$89,C255,'OTRAS ACCIONES'!$D$84:$D$89)</f>
        <v>0</v>
      </c>
      <c r="J255" s="6">
        <f t="shared" si="33"/>
        <v>1680</v>
      </c>
      <c r="K255" s="19">
        <f t="shared" si="34"/>
        <v>16</v>
      </c>
      <c r="L255" s="6"/>
      <c r="M255" s="271"/>
      <c r="N255" s="271">
        <f t="shared" si="35"/>
        <v>0</v>
      </c>
      <c r="O255" s="7">
        <f t="shared" si="36"/>
        <v>1680</v>
      </c>
      <c r="P255" s="1" t="s">
        <v>865</v>
      </c>
      <c r="Q255" s="1"/>
      <c r="R255" s="4"/>
    </row>
    <row r="256" spans="1:18" x14ac:dyDescent="0.2">
      <c r="A256" s="274" t="s">
        <v>89</v>
      </c>
      <c r="B256" s="422">
        <v>176</v>
      </c>
      <c r="C256" s="220" t="s">
        <v>628</v>
      </c>
      <c r="D256" s="6">
        <f>SUMIF('PROG FORMACIÓN TITULADA'!$Q$8:$Q$1070,C256,'PROG FORMACIÓN TITULADA'!$R$8:$R$1070)</f>
        <v>0</v>
      </c>
      <c r="E256" s="6">
        <f>SUMIF('PROG FORM COMPLEM'!$G$9:$G$264,C256,'PROG FORM COMPLEM'!$K$9:$K$264)</f>
        <v>1688</v>
      </c>
      <c r="F256" s="6">
        <f>SUMIF('OTRAS ACCIONES'!$B$12:$B$44,C256,'OTRAS ACCIONES'!$D$12:$D$44)</f>
        <v>0</v>
      </c>
      <c r="G256" s="6">
        <f>SUMIF('OTRAS ACCIONES'!$B$46:$B$68,C256,'OTRAS ACCIONES'!$D$46:$D$68)</f>
        <v>0</v>
      </c>
      <c r="H256" s="6">
        <f>SUMIF('OTRAS ACCIONES'!$B$70:$B$82,C256,'OTRAS ACCIONES'!$D$70:$D$82)</f>
        <v>0</v>
      </c>
      <c r="I256" s="6">
        <f>SUMIF('OTRAS ACCIONES'!$B$84:$B$89,C256,'OTRAS ACCIONES'!$D$84:$D$89)</f>
        <v>0</v>
      </c>
      <c r="J256" s="6">
        <f t="shared" si="33"/>
        <v>1688</v>
      </c>
      <c r="K256" s="19">
        <f t="shared" si="34"/>
        <v>8</v>
      </c>
      <c r="L256" s="6"/>
      <c r="M256" s="271"/>
      <c r="N256" s="271">
        <f t="shared" si="35"/>
        <v>0</v>
      </c>
      <c r="O256" s="7">
        <f t="shared" si="36"/>
        <v>1688</v>
      </c>
      <c r="P256" s="1" t="s">
        <v>622</v>
      </c>
      <c r="R256" s="4"/>
    </row>
    <row r="257" spans="1:18" x14ac:dyDescent="0.2">
      <c r="A257" s="274" t="s">
        <v>89</v>
      </c>
      <c r="B257" s="422">
        <v>177</v>
      </c>
      <c r="C257" s="423" t="s">
        <v>627</v>
      </c>
      <c r="D257" s="6">
        <f>SUMIF('PROG FORMACIÓN TITULADA'!$Q$8:$Q$1070,C257,'PROG FORMACIÓN TITULADA'!$R$8:$R$1070)</f>
        <v>0</v>
      </c>
      <c r="E257" s="6">
        <f>SUMIF('PROG FORM COMPLEM'!$G$9:$G$264,C257,'PROG FORM COMPLEM'!$K$9:$K$264)</f>
        <v>844</v>
      </c>
      <c r="F257" s="6">
        <f>SUMIF('OTRAS ACCIONES'!$B$12:$B$44,C257,'OTRAS ACCIONES'!$D$12:$D$44)</f>
        <v>0</v>
      </c>
      <c r="G257" s="6">
        <f>SUMIF('OTRAS ACCIONES'!$B$46:$B$68,C257,'OTRAS ACCIONES'!$D$46:$D$68)</f>
        <v>0</v>
      </c>
      <c r="H257" s="6">
        <f>SUMIF('OTRAS ACCIONES'!$B$70:$B$82,C257,'OTRAS ACCIONES'!$D$70:$D$82)</f>
        <v>0</v>
      </c>
      <c r="I257" s="6">
        <f>SUMIF('OTRAS ACCIONES'!$B$84:$B$89,C257,'OTRAS ACCIONES'!$D$84:$D$89)</f>
        <v>0</v>
      </c>
      <c r="J257" s="6">
        <f t="shared" si="33"/>
        <v>844</v>
      </c>
      <c r="K257" s="19">
        <f t="shared" si="34"/>
        <v>852</v>
      </c>
      <c r="L257" s="6"/>
      <c r="M257" s="271"/>
      <c r="N257" s="271">
        <f t="shared" si="35"/>
        <v>0</v>
      </c>
      <c r="O257" s="7">
        <f t="shared" si="36"/>
        <v>844</v>
      </c>
      <c r="P257" s="1" t="s">
        <v>622</v>
      </c>
      <c r="R257" s="4"/>
    </row>
    <row r="258" spans="1:18" x14ac:dyDescent="0.2">
      <c r="A258" s="274" t="s">
        <v>89</v>
      </c>
      <c r="B258" s="422">
        <v>178</v>
      </c>
      <c r="C258" s="56" t="s">
        <v>764</v>
      </c>
      <c r="D258" s="6">
        <f>SUMIF('PROG FORMACIÓN TITULADA'!$Q$8:$Q$1070,C258,'PROG FORMACIÓN TITULADA'!$R$8:$R$1070)</f>
        <v>768</v>
      </c>
      <c r="E258" s="6">
        <f>SUMIF('PROG FORM COMPLEM'!$G$9:$G$264,C258,'PROG FORM COMPLEM'!$K$9:$K$264)</f>
        <v>920</v>
      </c>
      <c r="F258" s="6">
        <f>SUMIF('OTRAS ACCIONES'!$B$12:$B$44,C258,'OTRAS ACCIONES'!$D$12:$D$44)</f>
        <v>0</v>
      </c>
      <c r="G258" s="6">
        <f>SUMIF('OTRAS ACCIONES'!$B$46:$B$68,C258,'OTRAS ACCIONES'!$D$46:$D$68)</f>
        <v>0</v>
      </c>
      <c r="H258" s="6">
        <f>SUMIF('OTRAS ACCIONES'!$B$70:$B$82,C258,'OTRAS ACCIONES'!$D$70:$D$82)</f>
        <v>0</v>
      </c>
      <c r="I258" s="6">
        <f>SUMIF('OTRAS ACCIONES'!$B$84:$B$89,C258,'OTRAS ACCIONES'!$D$84:$D$89)</f>
        <v>0</v>
      </c>
      <c r="J258" s="6">
        <f t="shared" si="33"/>
        <v>1688</v>
      </c>
      <c r="K258" s="19">
        <f t="shared" si="34"/>
        <v>8</v>
      </c>
      <c r="L258" s="6"/>
      <c r="M258" s="271"/>
      <c r="N258" s="271">
        <f t="shared" si="35"/>
        <v>0</v>
      </c>
      <c r="O258" s="7">
        <f t="shared" si="36"/>
        <v>1688</v>
      </c>
      <c r="P258" s="1" t="s">
        <v>488</v>
      </c>
      <c r="R258" s="4"/>
    </row>
    <row r="259" spans="1:18" x14ac:dyDescent="0.2">
      <c r="A259" s="274" t="s">
        <v>89</v>
      </c>
      <c r="B259" s="422">
        <v>179</v>
      </c>
      <c r="C259" s="6" t="s">
        <v>639</v>
      </c>
      <c r="D259" s="6">
        <f>SUMIF('PROG FORMACIÓN TITULADA'!$Q$8:$Q$1070,C259,'PROG FORMACIÓN TITULADA'!$R$8:$R$1070)</f>
        <v>0</v>
      </c>
      <c r="E259" s="6">
        <f>SUMIF('PROG FORM COMPLEM'!$G$9:$G$264,C259,'PROG FORM COMPLEM'!$K$9:$K$264)</f>
        <v>0</v>
      </c>
      <c r="F259" s="6">
        <f>SUMIF('OTRAS ACCIONES'!$B$12:$B$44,C259,'OTRAS ACCIONES'!$D$12:$D$44)</f>
        <v>0</v>
      </c>
      <c r="G259" s="6">
        <f>SUMIF('OTRAS ACCIONES'!$B$46:$B$68,C259,'OTRAS ACCIONES'!$D$46:$D$68)</f>
        <v>0</v>
      </c>
      <c r="H259" s="6">
        <f>SUMIF('OTRAS ACCIONES'!$B$70:$B$82,C259,'OTRAS ACCIONES'!$D$70:$D$82)</f>
        <v>0</v>
      </c>
      <c r="I259" s="6">
        <f>SUMIF('OTRAS ACCIONES'!$B$84:$B$89,C259,'OTRAS ACCIONES'!$D$84:$D$89)</f>
        <v>1688</v>
      </c>
      <c r="J259" s="6">
        <f t="shared" si="33"/>
        <v>1688</v>
      </c>
      <c r="K259" s="19">
        <f t="shared" si="34"/>
        <v>8</v>
      </c>
      <c r="L259" s="6"/>
      <c r="M259" s="271"/>
      <c r="N259" s="271">
        <f t="shared" si="35"/>
        <v>0</v>
      </c>
      <c r="O259" s="7">
        <f t="shared" si="36"/>
        <v>1688</v>
      </c>
      <c r="P259" s="1" t="s">
        <v>867</v>
      </c>
      <c r="R259" s="4"/>
    </row>
    <row r="260" spans="1:18" x14ac:dyDescent="0.2">
      <c r="A260" s="416" t="s">
        <v>89</v>
      </c>
      <c r="B260" s="422">
        <v>180</v>
      </c>
      <c r="C260" s="421" t="s">
        <v>1025</v>
      </c>
      <c r="D260" s="346">
        <f>SUMIF('PROG FORMACIÓN TITULADA'!$Q$8:$Q$1070,C260,'PROG FORMACIÓN TITULADA'!$R$8:$R$1070)</f>
        <v>0</v>
      </c>
      <c r="E260" s="346">
        <f>SUMIF('PROG FORM COMPLEM'!$G$9:$G$264,C260,'PROG FORM COMPLEM'!$K$9:$K$264)</f>
        <v>840</v>
      </c>
      <c r="F260" s="346">
        <f>SUMIF('OTRAS ACCIONES'!$B$12:$B$44,C260,'OTRAS ACCIONES'!$D$12:$D$44)</f>
        <v>0</v>
      </c>
      <c r="G260" s="346">
        <f>SUMIF('OTRAS ACCIONES'!$B$46:$B$68,C260,'OTRAS ACCIONES'!$D$46:$D$68)</f>
        <v>0</v>
      </c>
      <c r="H260" s="346">
        <f>SUMIF('OTRAS ACCIONES'!$B$70:$B$82,C260,'OTRAS ACCIONES'!$D$70:$D$82)</f>
        <v>0</v>
      </c>
      <c r="I260" s="346">
        <f>SUMIF('OTRAS ACCIONES'!$B$84:$B$89,C260,'OTRAS ACCIONES'!$D$84:$D$89)</f>
        <v>0</v>
      </c>
      <c r="J260" s="346">
        <f t="shared" si="33"/>
        <v>840</v>
      </c>
      <c r="K260" s="417">
        <f t="shared" si="34"/>
        <v>856</v>
      </c>
      <c r="L260" s="346"/>
      <c r="M260" s="418"/>
      <c r="N260" s="418">
        <f t="shared" si="35"/>
        <v>0</v>
      </c>
      <c r="O260" s="419">
        <f t="shared" si="36"/>
        <v>840</v>
      </c>
      <c r="P260" s="403" t="s">
        <v>622</v>
      </c>
      <c r="Q260" s="403"/>
      <c r="R260" s="420"/>
    </row>
    <row r="261" spans="1:18" x14ac:dyDescent="0.2">
      <c r="A261" s="274" t="s">
        <v>89</v>
      </c>
      <c r="B261" s="422">
        <v>181</v>
      </c>
      <c r="C261" s="6" t="s">
        <v>304</v>
      </c>
      <c r="D261" s="6">
        <f>SUMIF('PROG FORMACIÓN TITULADA'!$Q$8:$Q$1070,C261,'PROG FORMACIÓN TITULADA'!$R$8:$R$1070)</f>
        <v>1696</v>
      </c>
      <c r="E261" s="6">
        <f>SUMIF('PROG FORM COMPLEM'!$G$9:$G$264,C261,'PROG FORM COMPLEM'!$K$9:$K$264)</f>
        <v>0</v>
      </c>
      <c r="F261" s="6">
        <f>SUMIF('OTRAS ACCIONES'!$B$12:$B$44,C261,'OTRAS ACCIONES'!$D$12:$D$44)</f>
        <v>0</v>
      </c>
      <c r="G261" s="6">
        <f>SUMIF('OTRAS ACCIONES'!$B$46:$B$68,C261,'OTRAS ACCIONES'!$D$46:$D$68)</f>
        <v>0</v>
      </c>
      <c r="H261" s="6">
        <f>SUMIF('OTRAS ACCIONES'!$B$70:$B$82,C261,'OTRAS ACCIONES'!$D$70:$D$82)</f>
        <v>0</v>
      </c>
      <c r="I261" s="6">
        <f>SUMIF('OTRAS ACCIONES'!$B$84:$B$89,C261,'OTRAS ACCIONES'!$D$84:$D$89)</f>
        <v>0</v>
      </c>
      <c r="J261" s="6">
        <f t="shared" si="33"/>
        <v>1696</v>
      </c>
      <c r="K261" s="19">
        <f t="shared" si="34"/>
        <v>0</v>
      </c>
      <c r="L261" s="6"/>
      <c r="M261" s="271"/>
      <c r="N261" s="271">
        <f t="shared" si="35"/>
        <v>0</v>
      </c>
      <c r="O261" s="7">
        <f t="shared" si="36"/>
        <v>1696</v>
      </c>
      <c r="P261" s="1" t="s">
        <v>865</v>
      </c>
      <c r="R261" s="4"/>
    </row>
    <row r="262" spans="1:18" x14ac:dyDescent="0.2">
      <c r="A262" s="274" t="s">
        <v>89</v>
      </c>
      <c r="B262" s="422">
        <v>182</v>
      </c>
      <c r="C262" s="220" t="s">
        <v>957</v>
      </c>
      <c r="D262" s="6">
        <f>SUMIF('PROG FORMACIÓN TITULADA'!$Q$8:$Q$1070,C262,'PROG FORMACIÓN TITULADA'!$R$8:$R$1070)</f>
        <v>0</v>
      </c>
      <c r="E262" s="6">
        <f>SUMIF('PROG FORM COMPLEM'!$G$9:$G$264,C262,'PROG FORM COMPLEM'!$K$9:$K$264)</f>
        <v>1680</v>
      </c>
      <c r="F262" s="6">
        <f>SUMIF('OTRAS ACCIONES'!$B$12:$B$44,C262,'OTRAS ACCIONES'!$D$12:$D$44)</f>
        <v>0</v>
      </c>
      <c r="G262" s="6">
        <f>SUMIF('OTRAS ACCIONES'!$B$46:$B$68,C262,'OTRAS ACCIONES'!$D$46:$D$68)</f>
        <v>0</v>
      </c>
      <c r="H262" s="6">
        <f>SUMIF('OTRAS ACCIONES'!$B$70:$B$82,C262,'OTRAS ACCIONES'!$D$70:$D$82)</f>
        <v>0</v>
      </c>
      <c r="I262" s="6">
        <f>SUMIF('OTRAS ACCIONES'!$B$84:$B$89,C262,'OTRAS ACCIONES'!$D$84:$D$89)</f>
        <v>0</v>
      </c>
      <c r="J262" s="6">
        <f t="shared" si="33"/>
        <v>1680</v>
      </c>
      <c r="K262" s="19">
        <f t="shared" si="34"/>
        <v>16</v>
      </c>
      <c r="L262" s="6"/>
      <c r="M262" s="271"/>
      <c r="N262" s="271">
        <f t="shared" si="35"/>
        <v>0</v>
      </c>
      <c r="O262" s="7">
        <f t="shared" si="36"/>
        <v>1680</v>
      </c>
      <c r="P262" s="1" t="s">
        <v>865</v>
      </c>
      <c r="R262" s="4"/>
    </row>
    <row r="263" spans="1:18" x14ac:dyDescent="0.2">
      <c r="A263" s="416" t="s">
        <v>89</v>
      </c>
      <c r="B263" s="422">
        <v>183</v>
      </c>
      <c r="C263" s="426" t="s">
        <v>1031</v>
      </c>
      <c r="D263" s="346">
        <f>SUMIF('PROG FORMACIÓN TITULADA'!$Q$8:$Q$1070,C263,'PROG FORMACIÓN TITULADA'!$R$8:$R$1070)</f>
        <v>0</v>
      </c>
      <c r="E263" s="346">
        <f>SUMIF('PROG FORM COMPLEM'!$G$9:$G$264,C263,'PROG FORM COMPLEM'!$K$9:$K$264)</f>
        <v>1680</v>
      </c>
      <c r="F263" s="346">
        <f>SUMIF('OTRAS ACCIONES'!$B$12:$B$44,C263,'OTRAS ACCIONES'!$D$12:$D$44)</f>
        <v>0</v>
      </c>
      <c r="G263" s="346">
        <f>SUMIF('OTRAS ACCIONES'!$B$46:$B$68,C263,'OTRAS ACCIONES'!$D$46:$D$68)</f>
        <v>0</v>
      </c>
      <c r="H263" s="346">
        <f>SUMIF('OTRAS ACCIONES'!$B$70:$B$82,C263,'OTRAS ACCIONES'!$D$70:$D$82)</f>
        <v>0</v>
      </c>
      <c r="I263" s="346">
        <f>SUMIF('OTRAS ACCIONES'!$B$84:$B$89,C263,'OTRAS ACCIONES'!$D$84:$D$89)</f>
        <v>0</v>
      </c>
      <c r="J263" s="346">
        <f t="shared" si="33"/>
        <v>1680</v>
      </c>
      <c r="K263" s="417">
        <f t="shared" si="34"/>
        <v>16</v>
      </c>
      <c r="L263" s="346"/>
      <c r="M263" s="418"/>
      <c r="N263" s="418">
        <f t="shared" si="35"/>
        <v>0</v>
      </c>
      <c r="O263" s="419">
        <f t="shared" si="36"/>
        <v>1680</v>
      </c>
      <c r="P263" s="403" t="s">
        <v>865</v>
      </c>
      <c r="Q263" s="403"/>
      <c r="R263" s="420"/>
    </row>
    <row r="264" spans="1:18" s="403" customFormat="1" x14ac:dyDescent="0.2">
      <c r="A264" s="274" t="s">
        <v>89</v>
      </c>
      <c r="B264" s="422">
        <v>184</v>
      </c>
      <c r="C264" s="220" t="s">
        <v>631</v>
      </c>
      <c r="D264" s="6">
        <f>SUMIF('PROG FORMACIÓN TITULADA'!$Q$8:$Q$1070,C264,'PROG FORMACIÓN TITULADA'!$R$8:$R$1070)</f>
        <v>0</v>
      </c>
      <c r="E264" s="6">
        <f>SUMIF('PROG FORM COMPLEM'!$G$9:$G$264,C264,'PROG FORM COMPLEM'!$K$9:$K$264)</f>
        <v>0</v>
      </c>
      <c r="F264" s="6">
        <f>SUMIF('OTRAS ACCIONES'!$B$12:$B$44,C264,'OTRAS ACCIONES'!$D$12:$D$44)</f>
        <v>1688</v>
      </c>
      <c r="G264" s="6">
        <f>SUMIF('OTRAS ACCIONES'!$B$46:$B$68,C264,'OTRAS ACCIONES'!$D$46:$D$68)</f>
        <v>0</v>
      </c>
      <c r="H264" s="6">
        <f>SUMIF('OTRAS ACCIONES'!$B$70:$B$82,C264,'OTRAS ACCIONES'!$D$70:$D$82)</f>
        <v>0</v>
      </c>
      <c r="I264" s="6">
        <f>SUMIF('OTRAS ACCIONES'!$B$84:$B$89,C264,'OTRAS ACCIONES'!$D$84:$D$89)</f>
        <v>0</v>
      </c>
      <c r="J264" s="6">
        <f t="shared" si="33"/>
        <v>1688</v>
      </c>
      <c r="K264" s="19">
        <f t="shared" si="34"/>
        <v>8</v>
      </c>
      <c r="L264" s="6"/>
      <c r="M264" s="271"/>
      <c r="N264" s="271">
        <f t="shared" si="35"/>
        <v>0</v>
      </c>
      <c r="O264" s="7">
        <f t="shared" si="36"/>
        <v>1688</v>
      </c>
      <c r="P264" s="1" t="s">
        <v>622</v>
      </c>
      <c r="Q264" s="1"/>
      <c r="R264" s="4"/>
    </row>
    <row r="265" spans="1:18" x14ac:dyDescent="0.2">
      <c r="A265" s="274" t="s">
        <v>89</v>
      </c>
      <c r="B265" s="422">
        <v>185</v>
      </c>
      <c r="C265" s="6" t="s">
        <v>305</v>
      </c>
      <c r="D265" s="6">
        <f>SUMIF('PROG FORMACIÓN TITULADA'!$Q$8:$Q$1070,C265,'PROG FORMACIÓN TITULADA'!$R$8:$R$1070)</f>
        <v>0</v>
      </c>
      <c r="E265" s="6">
        <f>SUMIF('PROG FORM COMPLEM'!$G$9:$G$264,C265,'PROG FORM COMPLEM'!$K$9:$K$264)</f>
        <v>1680</v>
      </c>
      <c r="F265" s="6">
        <f>SUMIF('OTRAS ACCIONES'!$B$12:$B$44,C265,'OTRAS ACCIONES'!$D$12:$D$44)</f>
        <v>0</v>
      </c>
      <c r="G265" s="6">
        <f>SUMIF('OTRAS ACCIONES'!$B$46:$B$68,C265,'OTRAS ACCIONES'!$D$46:$D$68)</f>
        <v>0</v>
      </c>
      <c r="H265" s="6">
        <f>SUMIF('OTRAS ACCIONES'!$B$70:$B$82,C265,'OTRAS ACCIONES'!$D$70:$D$82)</f>
        <v>0</v>
      </c>
      <c r="I265" s="6">
        <f>SUMIF('OTRAS ACCIONES'!$B$84:$B$89,C265,'OTRAS ACCIONES'!$D$84:$D$89)</f>
        <v>0</v>
      </c>
      <c r="J265" s="6">
        <f t="shared" si="33"/>
        <v>1680</v>
      </c>
      <c r="K265" s="19">
        <f t="shared" si="34"/>
        <v>16</v>
      </c>
      <c r="L265" s="6"/>
      <c r="M265" s="271"/>
      <c r="N265" s="271">
        <f t="shared" si="35"/>
        <v>0</v>
      </c>
      <c r="O265" s="7">
        <f t="shared" si="36"/>
        <v>1680</v>
      </c>
      <c r="P265" s="1" t="s">
        <v>865</v>
      </c>
      <c r="R265" s="4"/>
    </row>
    <row r="266" spans="1:18" x14ac:dyDescent="0.2">
      <c r="A266" s="274" t="s">
        <v>89</v>
      </c>
      <c r="B266" s="422">
        <v>186</v>
      </c>
      <c r="C266" s="406" t="s">
        <v>999</v>
      </c>
      <c r="D266" s="6">
        <f>SUMIF('PROG FORMACIÓN TITULADA'!$Q$8:$Q$1070,C266,'PROG FORMACIÓN TITULADA'!$R$8:$R$1070)</f>
        <v>0</v>
      </c>
      <c r="E266" s="6">
        <f>SUMIF('PROG FORM COMPLEM'!$G$9:$G$264,C266,'PROG FORM COMPLEM'!$K$9:$K$264)</f>
        <v>0</v>
      </c>
      <c r="F266" s="6">
        <f>SUMIF('OTRAS ACCIONES'!$B$12:$B$44,C266,'OTRAS ACCIONES'!$D$12:$D$44)</f>
        <v>0</v>
      </c>
      <c r="G266" s="6">
        <f>SUMIF('OTRAS ACCIONES'!$B$46:$B$68,C266,'OTRAS ACCIONES'!$D$46:$D$68)</f>
        <v>1696</v>
      </c>
      <c r="H266" s="6">
        <f>SUMIF('OTRAS ACCIONES'!$B$70:$B$82,C266,'OTRAS ACCIONES'!$D$70:$D$82)</f>
        <v>0</v>
      </c>
      <c r="I266" s="6">
        <f>SUMIF('OTRAS ACCIONES'!$B$84:$B$89,C266,'OTRAS ACCIONES'!$D$84:$D$89)</f>
        <v>0</v>
      </c>
      <c r="J266" s="6">
        <f t="shared" si="33"/>
        <v>1696</v>
      </c>
      <c r="K266" s="19">
        <f t="shared" si="34"/>
        <v>0</v>
      </c>
      <c r="L266" s="6"/>
      <c r="M266" s="271"/>
      <c r="N266" s="271">
        <f t="shared" si="35"/>
        <v>0</v>
      </c>
      <c r="O266" s="7">
        <f t="shared" si="36"/>
        <v>1696</v>
      </c>
      <c r="P266" s="1" t="s">
        <v>866</v>
      </c>
      <c r="R266" s="4"/>
    </row>
    <row r="267" spans="1:18" x14ac:dyDescent="0.2">
      <c r="A267" s="274" t="s">
        <v>89</v>
      </c>
      <c r="B267" s="422">
        <v>187</v>
      </c>
      <c r="C267" s="220" t="s">
        <v>997</v>
      </c>
      <c r="D267" s="6">
        <f>SUMIF('PROG FORMACIÓN TITULADA'!$Q$8:$Q$1070,C267,'PROG FORMACIÓN TITULADA'!$R$8:$R$1070)</f>
        <v>840</v>
      </c>
      <c r="E267" s="6">
        <f>SUMIF('PROG FORM COMPLEM'!$G$9:$G$264,C267,'PROG FORM COMPLEM'!$K$9:$K$264)</f>
        <v>0</v>
      </c>
      <c r="F267" s="6">
        <f>SUMIF('OTRAS ACCIONES'!$B$12:$B$44,C267,'OTRAS ACCIONES'!$D$12:$D$44)</f>
        <v>0</v>
      </c>
      <c r="G267" s="6">
        <f>SUMIF('OTRAS ACCIONES'!$B$46:$B$68,C267,'OTRAS ACCIONES'!$D$46:$D$68)</f>
        <v>0</v>
      </c>
      <c r="H267" s="6">
        <f>SUMIF('OTRAS ACCIONES'!$B$70:$B$82,C267,'OTRAS ACCIONES'!$D$70:$D$82)</f>
        <v>0</v>
      </c>
      <c r="I267" s="6">
        <f>SUMIF('OTRAS ACCIONES'!$B$84:$B$89,C267,'OTRAS ACCIONES'!$D$84:$D$89)</f>
        <v>0</v>
      </c>
      <c r="J267" s="6">
        <f t="shared" si="33"/>
        <v>840</v>
      </c>
      <c r="K267" s="19">
        <f t="shared" si="34"/>
        <v>856</v>
      </c>
      <c r="L267" s="6"/>
      <c r="M267" s="271"/>
      <c r="N267" s="271">
        <f t="shared" si="35"/>
        <v>0</v>
      </c>
      <c r="O267" s="7">
        <f t="shared" si="36"/>
        <v>840</v>
      </c>
      <c r="P267" s="1" t="s">
        <v>208</v>
      </c>
      <c r="R267" s="4"/>
    </row>
    <row r="268" spans="1:18" x14ac:dyDescent="0.2">
      <c r="A268" s="274" t="s">
        <v>89</v>
      </c>
      <c r="B268" s="422">
        <v>188</v>
      </c>
      <c r="C268" s="6" t="s">
        <v>610</v>
      </c>
      <c r="D268" s="6">
        <f>SUMIF('PROG FORMACIÓN TITULADA'!$Q$8:$Q$1070,C268,'PROG FORMACIÓN TITULADA'!$R$8:$R$1070)</f>
        <v>0</v>
      </c>
      <c r="E268" s="6">
        <f>SUMIF('PROG FORM COMPLEM'!$G$9:$G$264,C268,'PROG FORM COMPLEM'!$K$9:$K$264)</f>
        <v>1688</v>
      </c>
      <c r="F268" s="6">
        <f>SUMIF('OTRAS ACCIONES'!$B$12:$B$44,C268,'OTRAS ACCIONES'!$D$12:$D$44)</f>
        <v>0</v>
      </c>
      <c r="G268" s="6">
        <f>SUMIF('OTRAS ACCIONES'!$B$46:$B$68,C268,'OTRAS ACCIONES'!$D$46:$D$68)</f>
        <v>0</v>
      </c>
      <c r="H268" s="6">
        <f>SUMIF('OTRAS ACCIONES'!$B$70:$B$82,C268,'OTRAS ACCIONES'!$D$70:$D$82)</f>
        <v>0</v>
      </c>
      <c r="I268" s="6">
        <f>SUMIF('OTRAS ACCIONES'!$B$84:$B$89,C268,'OTRAS ACCIONES'!$D$84:$D$89)</f>
        <v>0</v>
      </c>
      <c r="J268" s="6">
        <f t="shared" si="33"/>
        <v>1688</v>
      </c>
      <c r="K268" s="19">
        <f t="shared" si="34"/>
        <v>8</v>
      </c>
      <c r="L268" s="6"/>
      <c r="M268" s="271"/>
      <c r="N268" s="271">
        <f t="shared" si="35"/>
        <v>0</v>
      </c>
      <c r="O268" s="7">
        <f t="shared" si="36"/>
        <v>1688</v>
      </c>
      <c r="P268" s="1" t="s">
        <v>622</v>
      </c>
      <c r="R268" s="4"/>
    </row>
    <row r="269" spans="1:18" x14ac:dyDescent="0.2">
      <c r="A269" s="274" t="s">
        <v>89</v>
      </c>
      <c r="B269" s="422">
        <v>189</v>
      </c>
      <c r="C269" s="6" t="s">
        <v>642</v>
      </c>
      <c r="D269" s="6">
        <f>SUMIF('PROG FORMACIÓN TITULADA'!$Q$8:$Q$1070,C269,'PROG FORMACIÓN TITULADA'!$R$8:$R$1070)</f>
        <v>0</v>
      </c>
      <c r="E269" s="6">
        <f>SUMIF('PROG FORM COMPLEM'!$G$9:$G$264,C269,'PROG FORM COMPLEM'!$K$9:$K$264)</f>
        <v>0</v>
      </c>
      <c r="F269" s="6">
        <f>SUMIF('OTRAS ACCIONES'!$B$12:$B$44,C269,'OTRAS ACCIONES'!$D$12:$D$44)</f>
        <v>0</v>
      </c>
      <c r="G269" s="6">
        <f>SUMIF('OTRAS ACCIONES'!$B$46:$B$68,C269,'OTRAS ACCIONES'!$D$46:$D$68)</f>
        <v>0</v>
      </c>
      <c r="H269" s="6">
        <f>SUMIF('OTRAS ACCIONES'!$B$70:$B$82,C269,'OTRAS ACCIONES'!$D$70:$D$82)</f>
        <v>0</v>
      </c>
      <c r="I269" s="6">
        <f>SUMIF('OTRAS ACCIONES'!$B$84:$B$89,C269,'OTRAS ACCIONES'!$D$84:$D$89)</f>
        <v>1688</v>
      </c>
      <c r="J269" s="6">
        <f t="shared" si="33"/>
        <v>1688</v>
      </c>
      <c r="K269" s="19">
        <f t="shared" si="34"/>
        <v>8</v>
      </c>
      <c r="L269" s="6"/>
      <c r="M269" s="271"/>
      <c r="N269" s="271">
        <f t="shared" si="35"/>
        <v>0</v>
      </c>
      <c r="O269" s="7">
        <f t="shared" si="36"/>
        <v>1688</v>
      </c>
      <c r="P269" s="1" t="s">
        <v>867</v>
      </c>
      <c r="R269" s="4"/>
    </row>
    <row r="270" spans="1:18" x14ac:dyDescent="0.2">
      <c r="A270" s="274" t="s">
        <v>89</v>
      </c>
      <c r="B270" s="422">
        <v>190</v>
      </c>
      <c r="C270" s="273" t="s">
        <v>385</v>
      </c>
      <c r="D270" s="6">
        <f>SUMIF('PROG FORMACIÓN TITULADA'!$Q$8:$Q$1070,C270,'PROG FORMACIÓN TITULADA'!$R$8:$R$1070)</f>
        <v>1696</v>
      </c>
      <c r="E270" s="6">
        <f>SUMIF('PROG FORM COMPLEM'!$G$9:$G$264,C270,'PROG FORM COMPLEM'!$K$9:$K$264)</f>
        <v>0</v>
      </c>
      <c r="F270" s="6">
        <f>SUMIF('OTRAS ACCIONES'!$B$12:$B$44,C270,'OTRAS ACCIONES'!$D$12:$D$44)</f>
        <v>0</v>
      </c>
      <c r="G270" s="6">
        <f>SUMIF('OTRAS ACCIONES'!$B$46:$B$68,C270,'OTRAS ACCIONES'!$D$46:$D$68)</f>
        <v>0</v>
      </c>
      <c r="H270" s="6">
        <f>SUMIF('OTRAS ACCIONES'!$B$70:$B$82,C270,'OTRAS ACCIONES'!$D$70:$D$82)</f>
        <v>0</v>
      </c>
      <c r="I270" s="6">
        <f>SUMIF('OTRAS ACCIONES'!$B$84:$B$89,C270,'OTRAS ACCIONES'!$D$84:$D$89)</f>
        <v>0</v>
      </c>
      <c r="J270" s="6">
        <f t="shared" si="33"/>
        <v>1696</v>
      </c>
      <c r="K270" s="19">
        <f t="shared" si="34"/>
        <v>0</v>
      </c>
      <c r="L270" s="6"/>
      <c r="M270" s="271"/>
      <c r="N270" s="271">
        <f t="shared" si="35"/>
        <v>0</v>
      </c>
      <c r="O270" s="7">
        <f t="shared" si="36"/>
        <v>1696</v>
      </c>
      <c r="P270" s="1" t="s">
        <v>484</v>
      </c>
      <c r="R270" s="4"/>
    </row>
    <row r="271" spans="1:18" x14ac:dyDescent="0.2">
      <c r="A271" s="274" t="s">
        <v>89</v>
      </c>
      <c r="B271" s="422">
        <v>191</v>
      </c>
      <c r="C271" s="6" t="s">
        <v>306</v>
      </c>
      <c r="D271" s="6">
        <f>SUMIF('PROG FORMACIÓN TITULADA'!$Q$8:$Q$1070,C271,'PROG FORMACIÓN TITULADA'!$R$8:$R$1070)</f>
        <v>0</v>
      </c>
      <c r="E271" s="6">
        <f>SUMIF('PROG FORM COMPLEM'!$G$9:$G$264,C271,'PROG FORM COMPLEM'!$K$9:$K$264)</f>
        <v>1680</v>
      </c>
      <c r="F271" s="6">
        <f>SUMIF('OTRAS ACCIONES'!$B$12:$B$44,C271,'OTRAS ACCIONES'!$D$12:$D$44)</f>
        <v>0</v>
      </c>
      <c r="G271" s="6">
        <f>SUMIF('OTRAS ACCIONES'!$B$46:$B$68,C271,'OTRAS ACCIONES'!$D$46:$D$68)</f>
        <v>0</v>
      </c>
      <c r="H271" s="6">
        <f>SUMIF('OTRAS ACCIONES'!$B$70:$B$82,C271,'OTRAS ACCIONES'!$D$70:$D$82)</f>
        <v>0</v>
      </c>
      <c r="I271" s="6">
        <f>SUMIF('OTRAS ACCIONES'!$B$84:$B$89,C271,'OTRAS ACCIONES'!$D$84:$D$89)</f>
        <v>0</v>
      </c>
      <c r="J271" s="6">
        <f t="shared" si="33"/>
        <v>1680</v>
      </c>
      <c r="K271" s="19">
        <f t="shared" si="34"/>
        <v>16</v>
      </c>
      <c r="L271" s="6"/>
      <c r="M271" s="271"/>
      <c r="N271" s="271">
        <f t="shared" si="35"/>
        <v>0</v>
      </c>
      <c r="O271" s="7">
        <f t="shared" si="36"/>
        <v>1680</v>
      </c>
      <c r="P271" s="1" t="s">
        <v>865</v>
      </c>
      <c r="R271" s="4"/>
    </row>
    <row r="272" spans="1:18" x14ac:dyDescent="0.2">
      <c r="A272" s="274" t="s">
        <v>89</v>
      </c>
      <c r="B272" s="422">
        <v>192</v>
      </c>
      <c r="C272" s="258" t="s">
        <v>849</v>
      </c>
      <c r="D272" s="6">
        <f>SUMIF('PROG FORMACIÓN TITULADA'!$Q$8:$Q$1070,C272,'PROG FORMACIÓN TITULADA'!$R$8:$R$1070)</f>
        <v>1200</v>
      </c>
      <c r="E272" s="6">
        <f>SUMIF('PROG FORM COMPLEM'!$G$9:$G$264,C272,'PROG FORM COMPLEM'!$K$9:$K$264)</f>
        <v>480</v>
      </c>
      <c r="F272" s="6">
        <f>SUMIF('OTRAS ACCIONES'!$B$12:$B$44,C272,'OTRAS ACCIONES'!$D$12:$D$44)</f>
        <v>0</v>
      </c>
      <c r="G272" s="6">
        <f>SUMIF('OTRAS ACCIONES'!$B$46:$B$68,C272,'OTRAS ACCIONES'!$D$46:$D$68)</f>
        <v>0</v>
      </c>
      <c r="H272" s="6">
        <f>SUMIF('OTRAS ACCIONES'!$B$70:$B$82,C272,'OTRAS ACCIONES'!$D$70:$D$82)</f>
        <v>0</v>
      </c>
      <c r="I272" s="6">
        <f>SUMIF('OTRAS ACCIONES'!$B$84:$B$89,C272,'OTRAS ACCIONES'!$D$84:$D$89)</f>
        <v>0</v>
      </c>
      <c r="J272" s="6">
        <f t="shared" si="33"/>
        <v>1680</v>
      </c>
      <c r="K272" s="19">
        <f t="shared" si="34"/>
        <v>16</v>
      </c>
      <c r="L272" s="6"/>
      <c r="M272" s="271"/>
      <c r="N272" s="271">
        <f t="shared" si="35"/>
        <v>0</v>
      </c>
      <c r="O272" s="7">
        <f t="shared" si="36"/>
        <v>1680</v>
      </c>
      <c r="P272" s="1" t="s">
        <v>486</v>
      </c>
      <c r="R272" s="4"/>
    </row>
    <row r="273" spans="1:18" x14ac:dyDescent="0.2">
      <c r="A273" s="274" t="s">
        <v>89</v>
      </c>
      <c r="B273" s="422">
        <v>193</v>
      </c>
      <c r="C273" s="6" t="s">
        <v>307</v>
      </c>
      <c r="D273" s="6">
        <f>SUMIF('PROG FORMACIÓN TITULADA'!$Q$8:$Q$1070,C273,'PROG FORMACIÓN TITULADA'!$R$8:$R$1070)</f>
        <v>0</v>
      </c>
      <c r="E273" s="6">
        <f>SUMIF('PROG FORM COMPLEM'!$G$9:$G$264,C273,'PROG FORM COMPLEM'!$K$9:$K$264)</f>
        <v>0</v>
      </c>
      <c r="F273" s="6">
        <f>SUMIF('OTRAS ACCIONES'!$B$12:$B$44,C273,'OTRAS ACCIONES'!$D$12:$D$44)</f>
        <v>0</v>
      </c>
      <c r="G273" s="6">
        <f>SUMIF('OTRAS ACCIONES'!$B$46:$B$68,C273,'OTRAS ACCIONES'!$D$46:$D$68)</f>
        <v>0</v>
      </c>
      <c r="H273" s="6">
        <f>SUMIF('OTRAS ACCIONES'!$B$70:$B$82,C273,'OTRAS ACCIONES'!$D$70:$D$82)</f>
        <v>1688</v>
      </c>
      <c r="I273" s="6">
        <f>SUMIF('OTRAS ACCIONES'!$B$84:$B$89,C273,'OTRAS ACCIONES'!$D$84:$D$89)</f>
        <v>0</v>
      </c>
      <c r="J273" s="6">
        <f t="shared" si="33"/>
        <v>1688</v>
      </c>
      <c r="K273" s="19">
        <f t="shared" si="34"/>
        <v>8</v>
      </c>
      <c r="L273" s="6"/>
      <c r="M273" s="271"/>
      <c r="N273" s="271">
        <f t="shared" si="35"/>
        <v>0</v>
      </c>
      <c r="O273" s="7">
        <f t="shared" si="36"/>
        <v>1688</v>
      </c>
      <c r="P273" s="1" t="s">
        <v>870</v>
      </c>
      <c r="R273" s="4"/>
    </row>
    <row r="274" spans="1:18" x14ac:dyDescent="0.2">
      <c r="A274" s="274" t="s">
        <v>89</v>
      </c>
      <c r="B274" s="422">
        <v>194</v>
      </c>
      <c r="C274" s="220" t="s">
        <v>964</v>
      </c>
      <c r="D274" s="6">
        <f>SUMIF('PROG FORMACIÓN TITULADA'!$Q$8:$Q$1070,C274,'PROG FORMACIÓN TITULADA'!$R$8:$R$1070)</f>
        <v>848</v>
      </c>
      <c r="E274" s="6">
        <f>SUMIF('PROG FORM COMPLEM'!$G$9:$G$264,C274,'PROG FORM COMPLEM'!$K$9:$K$264)</f>
        <v>0</v>
      </c>
      <c r="F274" s="6">
        <f>SUMIF('OTRAS ACCIONES'!$B$12:$B$44,C274,'OTRAS ACCIONES'!$D$12:$D$44)</f>
        <v>0</v>
      </c>
      <c r="G274" s="6">
        <f>SUMIF('OTRAS ACCIONES'!$B$46:$B$68,C274,'OTRAS ACCIONES'!$D$46:$D$68)</f>
        <v>0</v>
      </c>
      <c r="H274" s="6">
        <f>SUMIF('OTRAS ACCIONES'!$B$70:$B$82,C274,'OTRAS ACCIONES'!$D$70:$D$82)</f>
        <v>0</v>
      </c>
      <c r="I274" s="6">
        <f>SUMIF('OTRAS ACCIONES'!$B$84:$B$89,C274,'OTRAS ACCIONES'!$D$84:$D$89)</f>
        <v>0</v>
      </c>
      <c r="J274" s="6">
        <f t="shared" ref="J274:J337" si="37">SUM(D274:I274)</f>
        <v>848</v>
      </c>
      <c r="K274" s="19">
        <f t="shared" ref="K274:K337" si="38">($N$5*40/5)-J274</f>
        <v>848</v>
      </c>
      <c r="L274" s="6"/>
      <c r="M274" s="271"/>
      <c r="N274" s="271">
        <f t="shared" ref="N274:N337" si="39">SUM(L274:M274)</f>
        <v>0</v>
      </c>
      <c r="O274" s="7">
        <f t="shared" ref="O274:O337" si="40">J274+N274</f>
        <v>848</v>
      </c>
      <c r="P274" s="1" t="s">
        <v>865</v>
      </c>
      <c r="R274" s="4"/>
    </row>
    <row r="275" spans="1:18" x14ac:dyDescent="0.2">
      <c r="A275" s="274" t="s">
        <v>89</v>
      </c>
      <c r="B275" s="422">
        <v>195</v>
      </c>
      <c r="C275" s="273" t="s">
        <v>951</v>
      </c>
      <c r="D275" s="6">
        <f>SUMIF('PROG FORMACIÓN TITULADA'!$Q$8:$Q$1070,C275,'PROG FORMACIÓN TITULADA'!$R$8:$R$1070)</f>
        <v>0</v>
      </c>
      <c r="E275" s="6">
        <f>SUMIF('PROG FORM COMPLEM'!$G$9:$G$264,C275,'PROG FORM COMPLEM'!$K$9:$K$264)</f>
        <v>840</v>
      </c>
      <c r="F275" s="6">
        <f>SUMIF('OTRAS ACCIONES'!$B$12:$B$44,C275,'OTRAS ACCIONES'!$D$12:$D$44)</f>
        <v>0</v>
      </c>
      <c r="G275" s="6">
        <f>SUMIF('OTRAS ACCIONES'!$B$46:$B$68,C275,'OTRAS ACCIONES'!$D$46:$D$68)</f>
        <v>0</v>
      </c>
      <c r="H275" s="6">
        <f>SUMIF('OTRAS ACCIONES'!$B$70:$B$82,C275,'OTRAS ACCIONES'!$D$70:$D$82)</f>
        <v>0</v>
      </c>
      <c r="I275" s="6">
        <f>SUMIF('OTRAS ACCIONES'!$B$84:$B$89,C275,'OTRAS ACCIONES'!$D$84:$D$89)</f>
        <v>0</v>
      </c>
      <c r="J275" s="6">
        <f t="shared" si="37"/>
        <v>840</v>
      </c>
      <c r="K275" s="19">
        <f t="shared" si="38"/>
        <v>856</v>
      </c>
      <c r="L275" s="6"/>
      <c r="M275" s="271"/>
      <c r="N275" s="271">
        <f t="shared" si="39"/>
        <v>0</v>
      </c>
      <c r="O275" s="7">
        <f t="shared" si="40"/>
        <v>840</v>
      </c>
      <c r="P275" s="1" t="s">
        <v>865</v>
      </c>
      <c r="R275" s="4"/>
    </row>
    <row r="276" spans="1:18" x14ac:dyDescent="0.2">
      <c r="A276" s="274" t="s">
        <v>89</v>
      </c>
      <c r="B276" s="422">
        <v>196</v>
      </c>
      <c r="C276" s="414" t="s">
        <v>1020</v>
      </c>
      <c r="D276" s="6">
        <f>SUMIF('PROG FORMACIÓN TITULADA'!$Q$8:$Q$1070,C276,'PROG FORMACIÓN TITULADA'!$R$8:$R$1070)</f>
        <v>0</v>
      </c>
      <c r="E276" s="6">
        <f>SUMIF('PROG FORM COMPLEM'!$G$9:$G$264,C276,'PROG FORM COMPLEM'!$K$9:$K$264)</f>
        <v>0</v>
      </c>
      <c r="F276" s="6">
        <f>SUMIF('OTRAS ACCIONES'!$B$12:$B$44,C276,'OTRAS ACCIONES'!$D$12:$D$44)</f>
        <v>0</v>
      </c>
      <c r="G276" s="6">
        <f>SUMIF('OTRAS ACCIONES'!$B$46:$B$68,C276,'OTRAS ACCIONES'!$D$46:$D$68)</f>
        <v>1696</v>
      </c>
      <c r="H276" s="6">
        <f>SUMIF('OTRAS ACCIONES'!$B$70:$B$82,C276,'OTRAS ACCIONES'!$D$70:$D$82)</f>
        <v>0</v>
      </c>
      <c r="I276" s="6">
        <f>SUMIF('OTRAS ACCIONES'!$B$84:$B$89,C276,'OTRAS ACCIONES'!$D$84:$D$89)</f>
        <v>0</v>
      </c>
      <c r="J276" s="6">
        <f t="shared" si="37"/>
        <v>1696</v>
      </c>
      <c r="K276" s="19">
        <f t="shared" si="38"/>
        <v>0</v>
      </c>
      <c r="L276" s="6"/>
      <c r="M276" s="271"/>
      <c r="N276" s="271">
        <f t="shared" si="39"/>
        <v>0</v>
      </c>
      <c r="O276" s="7">
        <f t="shared" si="40"/>
        <v>1696</v>
      </c>
      <c r="P276" s="1" t="s">
        <v>866</v>
      </c>
      <c r="R276" s="4"/>
    </row>
    <row r="277" spans="1:18" x14ac:dyDescent="0.2">
      <c r="A277" s="274" t="s">
        <v>89</v>
      </c>
      <c r="B277" s="422">
        <v>197</v>
      </c>
      <c r="C277" s="273" t="s">
        <v>308</v>
      </c>
      <c r="D277" s="6">
        <f>SUMIF('PROG FORMACIÓN TITULADA'!$Q$8:$Q$1070,C277,'PROG FORMACIÓN TITULADA'!$R$8:$R$1070)</f>
        <v>0</v>
      </c>
      <c r="E277" s="6">
        <f>SUMIF('PROG FORM COMPLEM'!$G$9:$G$264,C277,'PROG FORM COMPLEM'!$K$9:$K$264)</f>
        <v>1680</v>
      </c>
      <c r="F277" s="6">
        <f>SUMIF('OTRAS ACCIONES'!$B$12:$B$44,C277,'OTRAS ACCIONES'!$D$12:$D$44)</f>
        <v>0</v>
      </c>
      <c r="G277" s="6">
        <f>SUMIF('OTRAS ACCIONES'!$B$46:$B$68,C277,'OTRAS ACCIONES'!$D$46:$D$68)</f>
        <v>0</v>
      </c>
      <c r="H277" s="6">
        <f>SUMIF('OTRAS ACCIONES'!$B$70:$B$82,C277,'OTRAS ACCIONES'!$D$70:$D$82)</f>
        <v>0</v>
      </c>
      <c r="I277" s="6">
        <f>SUMIF('OTRAS ACCIONES'!$B$84:$B$89,C277,'OTRAS ACCIONES'!$D$84:$D$89)</f>
        <v>0</v>
      </c>
      <c r="J277" s="6">
        <f t="shared" si="37"/>
        <v>1680</v>
      </c>
      <c r="K277" s="19">
        <f t="shared" si="38"/>
        <v>16</v>
      </c>
      <c r="L277" s="6"/>
      <c r="M277" s="271"/>
      <c r="N277" s="271">
        <f t="shared" si="39"/>
        <v>0</v>
      </c>
      <c r="O277" s="7">
        <f t="shared" si="40"/>
        <v>1680</v>
      </c>
      <c r="P277" s="1" t="s">
        <v>456</v>
      </c>
      <c r="R277" s="4"/>
    </row>
    <row r="278" spans="1:18" x14ac:dyDescent="0.2">
      <c r="A278" s="274" t="s">
        <v>89</v>
      </c>
      <c r="B278" s="422">
        <v>198</v>
      </c>
      <c r="C278" s="220" t="s">
        <v>805</v>
      </c>
      <c r="D278" s="6">
        <f>SUMIF('PROG FORMACIÓN TITULADA'!$Q$8:$Q$1070,C278,'PROG FORMACIÓN TITULADA'!$R$8:$R$1070)</f>
        <v>1084</v>
      </c>
      <c r="E278" s="6">
        <f>SUMIF('PROG FORM COMPLEM'!$G$9:$G$264,C278,'PROG FORM COMPLEM'!$K$9:$K$264)</f>
        <v>0</v>
      </c>
      <c r="F278" s="6">
        <f>SUMIF('OTRAS ACCIONES'!$B$12:$B$44,C278,'OTRAS ACCIONES'!$D$12:$D$44)</f>
        <v>0</v>
      </c>
      <c r="G278" s="6">
        <f>SUMIF('OTRAS ACCIONES'!$B$46:$B$68,C278,'OTRAS ACCIONES'!$D$46:$D$68)</f>
        <v>0</v>
      </c>
      <c r="H278" s="6">
        <f>SUMIF('OTRAS ACCIONES'!$B$70:$B$82,C278,'OTRAS ACCIONES'!$D$70:$D$82)</f>
        <v>0</v>
      </c>
      <c r="I278" s="6">
        <f>SUMIF('OTRAS ACCIONES'!$B$84:$B$89,C278,'OTRAS ACCIONES'!$D$84:$D$89)</f>
        <v>0</v>
      </c>
      <c r="J278" s="6">
        <f t="shared" si="37"/>
        <v>1084</v>
      </c>
      <c r="K278" s="19">
        <f t="shared" si="38"/>
        <v>612</v>
      </c>
      <c r="L278" s="6"/>
      <c r="M278" s="271"/>
      <c r="N278" s="271">
        <f t="shared" si="39"/>
        <v>0</v>
      </c>
      <c r="O278" s="7">
        <f t="shared" si="40"/>
        <v>1084</v>
      </c>
      <c r="P278" s="1" t="s">
        <v>451</v>
      </c>
      <c r="R278" s="4"/>
    </row>
    <row r="279" spans="1:18" x14ac:dyDescent="0.2">
      <c r="A279" s="274" t="s">
        <v>89</v>
      </c>
      <c r="B279" s="422">
        <v>199</v>
      </c>
      <c r="C279" s="6" t="s">
        <v>679</v>
      </c>
      <c r="D279" s="6">
        <f>SUMIF('PROG FORMACIÓN TITULADA'!$Q$8:$Q$1070,C279,'PROG FORMACIÓN TITULADA'!$R$8:$R$1070)</f>
        <v>0</v>
      </c>
      <c r="E279" s="6">
        <f>SUMIF('PROG FORM COMPLEM'!$G$9:$G$264,C279,'PROG FORM COMPLEM'!$K$9:$K$264)</f>
        <v>1680</v>
      </c>
      <c r="F279" s="6">
        <f>SUMIF('OTRAS ACCIONES'!$B$12:$B$44,C279,'OTRAS ACCIONES'!$D$12:$D$44)</f>
        <v>0</v>
      </c>
      <c r="G279" s="6">
        <f>SUMIF('OTRAS ACCIONES'!$B$46:$B$68,C279,'OTRAS ACCIONES'!$D$46:$D$68)</f>
        <v>0</v>
      </c>
      <c r="H279" s="6">
        <f>SUMIF('OTRAS ACCIONES'!$B$70:$B$82,C279,'OTRAS ACCIONES'!$D$70:$D$82)</f>
        <v>0</v>
      </c>
      <c r="I279" s="6">
        <f>SUMIF('OTRAS ACCIONES'!$B$84:$B$89,C279,'OTRAS ACCIONES'!$D$84:$D$89)</f>
        <v>0</v>
      </c>
      <c r="J279" s="6">
        <f t="shared" si="37"/>
        <v>1680</v>
      </c>
      <c r="K279" s="19">
        <f t="shared" si="38"/>
        <v>16</v>
      </c>
      <c r="L279" s="6"/>
      <c r="M279" s="271"/>
      <c r="N279" s="271">
        <f t="shared" si="39"/>
        <v>0</v>
      </c>
      <c r="O279" s="7">
        <f t="shared" si="40"/>
        <v>1680</v>
      </c>
      <c r="P279" s="1" t="s">
        <v>865</v>
      </c>
      <c r="R279" s="4"/>
    </row>
    <row r="280" spans="1:18" x14ac:dyDescent="0.2">
      <c r="A280" s="274" t="s">
        <v>89</v>
      </c>
      <c r="B280" s="422">
        <v>200</v>
      </c>
      <c r="C280" s="220" t="s">
        <v>923</v>
      </c>
      <c r="D280" s="6">
        <f>SUMIF('PROG FORMACIÓN TITULADA'!$Q$8:$Q$1070,C280,'PROG FORMACIÓN TITULADA'!$R$8:$R$1070)</f>
        <v>720</v>
      </c>
      <c r="E280" s="6">
        <f>SUMIF('PROG FORM COMPLEM'!$G$9:$G$264,C280,'PROG FORM COMPLEM'!$K$9:$K$264)</f>
        <v>480</v>
      </c>
      <c r="F280" s="6">
        <f>SUMIF('OTRAS ACCIONES'!$B$12:$B$44,C280,'OTRAS ACCIONES'!$D$12:$D$44)</f>
        <v>0</v>
      </c>
      <c r="G280" s="6">
        <f>SUMIF('OTRAS ACCIONES'!$B$46:$B$68,C280,'OTRAS ACCIONES'!$D$46:$D$68)</f>
        <v>0</v>
      </c>
      <c r="H280" s="6">
        <f>SUMIF('OTRAS ACCIONES'!$B$70:$B$82,C280,'OTRAS ACCIONES'!$D$70:$D$82)</f>
        <v>0</v>
      </c>
      <c r="I280" s="6">
        <f>SUMIF('OTRAS ACCIONES'!$B$84:$B$89,C280,'OTRAS ACCIONES'!$D$84:$D$89)</f>
        <v>0</v>
      </c>
      <c r="J280" s="6">
        <f t="shared" si="37"/>
        <v>1200</v>
      </c>
      <c r="K280" s="19">
        <f t="shared" si="38"/>
        <v>496</v>
      </c>
      <c r="L280" s="6"/>
      <c r="M280" s="271"/>
      <c r="N280" s="271">
        <f t="shared" si="39"/>
        <v>0</v>
      </c>
      <c r="O280" s="7">
        <f t="shared" si="40"/>
        <v>1200</v>
      </c>
      <c r="P280" s="1" t="s">
        <v>865</v>
      </c>
      <c r="R280" s="4"/>
    </row>
    <row r="281" spans="1:18" x14ac:dyDescent="0.2">
      <c r="A281" s="274" t="s">
        <v>89</v>
      </c>
      <c r="B281" s="422">
        <v>201</v>
      </c>
      <c r="C281" s="6" t="s">
        <v>648</v>
      </c>
      <c r="D281" s="6">
        <f>SUMIF('PROG FORMACIÓN TITULADA'!$Q$8:$Q$1070,C281,'PROG FORMACIÓN TITULADA'!$R$8:$R$1070)</f>
        <v>1696</v>
      </c>
      <c r="E281" s="6">
        <f>SUMIF('PROG FORM COMPLEM'!$G$9:$G$264,C281,'PROG FORM COMPLEM'!$K$9:$K$264)</f>
        <v>0</v>
      </c>
      <c r="F281" s="6">
        <f>SUMIF('OTRAS ACCIONES'!$B$12:$B$44,C281,'OTRAS ACCIONES'!$D$12:$D$44)</f>
        <v>0</v>
      </c>
      <c r="G281" s="6">
        <f>SUMIF('OTRAS ACCIONES'!$B$46:$B$68,C281,'OTRAS ACCIONES'!$D$46:$D$68)</f>
        <v>0</v>
      </c>
      <c r="H281" s="6">
        <f>SUMIF('OTRAS ACCIONES'!$B$70:$B$82,C281,'OTRAS ACCIONES'!$D$70:$D$82)</f>
        <v>0</v>
      </c>
      <c r="I281" s="6">
        <f>SUMIF('OTRAS ACCIONES'!$B$84:$B$89,C281,'OTRAS ACCIONES'!$D$84:$D$89)</f>
        <v>0</v>
      </c>
      <c r="J281" s="6">
        <f t="shared" si="37"/>
        <v>1696</v>
      </c>
      <c r="K281" s="19">
        <f t="shared" si="38"/>
        <v>0</v>
      </c>
      <c r="L281" s="6"/>
      <c r="M281" s="271"/>
      <c r="N281" s="271">
        <f t="shared" si="39"/>
        <v>0</v>
      </c>
      <c r="O281" s="7">
        <f t="shared" si="40"/>
        <v>1696</v>
      </c>
      <c r="P281" s="1" t="s">
        <v>865</v>
      </c>
      <c r="R281" s="4"/>
    </row>
    <row r="282" spans="1:18" x14ac:dyDescent="0.2">
      <c r="A282" s="274" t="s">
        <v>89</v>
      </c>
      <c r="B282" s="422">
        <v>202</v>
      </c>
      <c r="C282" s="26" t="s">
        <v>162</v>
      </c>
      <c r="D282" s="6">
        <f>SUMIF('PROG FORMACIÓN TITULADA'!$Q$8:$Q$1070,C282,'PROG FORMACIÓN TITULADA'!$R$8:$R$1070)</f>
        <v>1696</v>
      </c>
      <c r="E282" s="6">
        <f>SUMIF('PROG FORM COMPLEM'!$G$9:$G$264,C282,'PROG FORM COMPLEM'!$K$9:$K$264)</f>
        <v>0</v>
      </c>
      <c r="F282" s="6">
        <f>SUMIF('OTRAS ACCIONES'!$B$12:$B$44,C282,'OTRAS ACCIONES'!$D$12:$D$44)</f>
        <v>0</v>
      </c>
      <c r="G282" s="6">
        <f>SUMIF('OTRAS ACCIONES'!$B$46:$B$68,C282,'OTRAS ACCIONES'!$D$46:$D$68)</f>
        <v>0</v>
      </c>
      <c r="H282" s="6">
        <f>SUMIF('OTRAS ACCIONES'!$B$70:$B$82,C282,'OTRAS ACCIONES'!$D$70:$D$82)</f>
        <v>0</v>
      </c>
      <c r="I282" s="6">
        <f>SUMIF('OTRAS ACCIONES'!$B$84:$B$89,C282,'OTRAS ACCIONES'!$D$84:$D$89)</f>
        <v>0</v>
      </c>
      <c r="J282" s="6">
        <f t="shared" si="37"/>
        <v>1696</v>
      </c>
      <c r="K282" s="19">
        <f t="shared" si="38"/>
        <v>0</v>
      </c>
      <c r="L282" s="6"/>
      <c r="M282" s="271"/>
      <c r="N282" s="271">
        <f t="shared" si="39"/>
        <v>0</v>
      </c>
      <c r="O282" s="7">
        <f t="shared" si="40"/>
        <v>1696</v>
      </c>
      <c r="P282" s="1" t="s">
        <v>451</v>
      </c>
      <c r="R282" s="4"/>
    </row>
    <row r="283" spans="1:18" x14ac:dyDescent="0.2">
      <c r="A283" s="274" t="s">
        <v>89</v>
      </c>
      <c r="B283" s="422">
        <v>203</v>
      </c>
      <c r="C283" s="6" t="s">
        <v>1006</v>
      </c>
      <c r="D283" s="6">
        <f>SUMIF('PROG FORMACIÓN TITULADA'!$Q$8:$Q$1070,C283,'PROG FORMACIÓN TITULADA'!$R$8:$R$1070)</f>
        <v>0</v>
      </c>
      <c r="E283" s="6">
        <f>SUMIF('PROG FORM COMPLEM'!$G$9:$G$264,C283,'PROG FORM COMPLEM'!$K$9:$K$264)</f>
        <v>840</v>
      </c>
      <c r="F283" s="6">
        <f>SUMIF('OTRAS ACCIONES'!$B$12:$B$44,C283,'OTRAS ACCIONES'!$D$12:$D$44)</f>
        <v>0</v>
      </c>
      <c r="G283" s="6">
        <f>SUMIF('OTRAS ACCIONES'!$B$46:$B$68,C283,'OTRAS ACCIONES'!$D$46:$D$68)</f>
        <v>0</v>
      </c>
      <c r="H283" s="6">
        <f>SUMIF('OTRAS ACCIONES'!$B$70:$B$82,C283,'OTRAS ACCIONES'!$D$70:$D$82)</f>
        <v>0</v>
      </c>
      <c r="I283" s="6">
        <f>SUMIF('OTRAS ACCIONES'!$B$84:$B$89,C283,'OTRAS ACCIONES'!$D$84:$D$89)</f>
        <v>0</v>
      </c>
      <c r="J283" s="6">
        <f t="shared" si="37"/>
        <v>840</v>
      </c>
      <c r="K283" s="19">
        <f t="shared" si="38"/>
        <v>856</v>
      </c>
      <c r="L283" s="6"/>
      <c r="M283" s="271"/>
      <c r="N283" s="271">
        <f t="shared" si="39"/>
        <v>0</v>
      </c>
      <c r="O283" s="7">
        <f t="shared" si="40"/>
        <v>840</v>
      </c>
      <c r="P283" s="1" t="s">
        <v>486</v>
      </c>
      <c r="R283" s="4"/>
    </row>
    <row r="284" spans="1:18" x14ac:dyDescent="0.2">
      <c r="A284" s="274" t="s">
        <v>89</v>
      </c>
      <c r="B284" s="422">
        <v>204</v>
      </c>
      <c r="C284" s="6" t="s">
        <v>309</v>
      </c>
      <c r="D284" s="6">
        <f>SUMIF('PROG FORMACIÓN TITULADA'!$Q$8:$Q$1070,C284,'PROG FORMACIÓN TITULADA'!$R$8:$R$1070)</f>
        <v>0</v>
      </c>
      <c r="E284" s="6">
        <f>SUMIF('PROG FORM COMPLEM'!$G$9:$G$264,C284,'PROG FORM COMPLEM'!$K$9:$K$264)</f>
        <v>1680</v>
      </c>
      <c r="F284" s="6">
        <f>SUMIF('OTRAS ACCIONES'!$B$12:$B$44,C284,'OTRAS ACCIONES'!$D$12:$D$44)</f>
        <v>0</v>
      </c>
      <c r="G284" s="6">
        <f>SUMIF('OTRAS ACCIONES'!$B$46:$B$68,C284,'OTRAS ACCIONES'!$D$46:$D$68)</f>
        <v>0</v>
      </c>
      <c r="H284" s="6">
        <f>SUMIF('OTRAS ACCIONES'!$B$70:$B$82,C284,'OTRAS ACCIONES'!$D$70:$D$82)</f>
        <v>0</v>
      </c>
      <c r="I284" s="6">
        <f>SUMIF('OTRAS ACCIONES'!$B$84:$B$89,C284,'OTRAS ACCIONES'!$D$84:$D$89)</f>
        <v>0</v>
      </c>
      <c r="J284" s="6">
        <f t="shared" si="37"/>
        <v>1680</v>
      </c>
      <c r="K284" s="19">
        <f t="shared" si="38"/>
        <v>16</v>
      </c>
      <c r="L284" s="6"/>
      <c r="M284" s="271"/>
      <c r="N284" s="271">
        <f t="shared" si="39"/>
        <v>0</v>
      </c>
      <c r="O284" s="7">
        <f t="shared" si="40"/>
        <v>1680</v>
      </c>
      <c r="P284" s="1" t="s">
        <v>865</v>
      </c>
      <c r="R284" s="4"/>
    </row>
    <row r="285" spans="1:18" x14ac:dyDescent="0.2">
      <c r="A285" s="274" t="s">
        <v>89</v>
      </c>
      <c r="B285" s="422">
        <v>205</v>
      </c>
      <c r="C285" s="6" t="s">
        <v>614</v>
      </c>
      <c r="D285" s="6">
        <f>SUMIF('PROG FORMACIÓN TITULADA'!$Q$8:$Q$1070,C285,'PROG FORMACIÓN TITULADA'!$R$8:$R$1070)</f>
        <v>630</v>
      </c>
      <c r="E285" s="6">
        <f>SUMIF('PROG FORM COMPLEM'!$G$9:$G$264,C285,'PROG FORM COMPLEM'!$K$9:$K$264)</f>
        <v>1084</v>
      </c>
      <c r="F285" s="6">
        <f>SUMIF('OTRAS ACCIONES'!$B$12:$B$44,C285,'OTRAS ACCIONES'!$D$12:$D$44)</f>
        <v>0</v>
      </c>
      <c r="G285" s="6">
        <f>SUMIF('OTRAS ACCIONES'!$B$46:$B$68,C285,'OTRAS ACCIONES'!$D$46:$D$68)</f>
        <v>0</v>
      </c>
      <c r="H285" s="6">
        <f>SUMIF('OTRAS ACCIONES'!$B$70:$B$82,C285,'OTRAS ACCIONES'!$D$70:$D$82)</f>
        <v>0</v>
      </c>
      <c r="I285" s="6">
        <f>SUMIF('OTRAS ACCIONES'!$B$84:$B$89,C285,'OTRAS ACCIONES'!$D$84:$D$89)</f>
        <v>0</v>
      </c>
      <c r="J285" s="6">
        <f t="shared" si="37"/>
        <v>1714</v>
      </c>
      <c r="K285" s="19">
        <f t="shared" si="38"/>
        <v>-18</v>
      </c>
      <c r="L285" s="6"/>
      <c r="M285" s="271"/>
      <c r="N285" s="271">
        <f t="shared" si="39"/>
        <v>0</v>
      </c>
      <c r="O285" s="7">
        <f t="shared" si="40"/>
        <v>1714</v>
      </c>
      <c r="P285" s="1" t="s">
        <v>456</v>
      </c>
      <c r="R285" s="4"/>
    </row>
    <row r="286" spans="1:18" x14ac:dyDescent="0.2">
      <c r="A286" s="274" t="s">
        <v>89</v>
      </c>
      <c r="B286" s="422">
        <v>206</v>
      </c>
      <c r="C286" s="220" t="s">
        <v>623</v>
      </c>
      <c r="D286" s="6">
        <f>SUMIF('PROG FORMACIÓN TITULADA'!$Q$8:$Q$1070,C286,'PROG FORMACIÓN TITULADA'!$R$8:$R$1070)</f>
        <v>0</v>
      </c>
      <c r="E286" s="6">
        <f>SUMIF('PROG FORM COMPLEM'!$G$9:$G$264,C286,'PROG FORM COMPLEM'!$K$9:$K$264)</f>
        <v>1688</v>
      </c>
      <c r="F286" s="6">
        <f>SUMIF('OTRAS ACCIONES'!$B$12:$B$44,C286,'OTRAS ACCIONES'!$D$12:$D$44)</f>
        <v>0</v>
      </c>
      <c r="G286" s="6">
        <f>SUMIF('OTRAS ACCIONES'!$B$46:$B$68,C286,'OTRAS ACCIONES'!$D$46:$D$68)</f>
        <v>0</v>
      </c>
      <c r="H286" s="6">
        <f>SUMIF('OTRAS ACCIONES'!$B$70:$B$82,C286,'OTRAS ACCIONES'!$D$70:$D$82)</f>
        <v>0</v>
      </c>
      <c r="I286" s="6">
        <f>SUMIF('OTRAS ACCIONES'!$B$84:$B$89,C286,'OTRAS ACCIONES'!$D$84:$D$89)</f>
        <v>0</v>
      </c>
      <c r="J286" s="6">
        <f t="shared" si="37"/>
        <v>1688</v>
      </c>
      <c r="K286" s="19">
        <f t="shared" si="38"/>
        <v>8</v>
      </c>
      <c r="L286" s="6"/>
      <c r="M286" s="271"/>
      <c r="N286" s="271">
        <f t="shared" si="39"/>
        <v>0</v>
      </c>
      <c r="O286" s="7">
        <f t="shared" si="40"/>
        <v>1688</v>
      </c>
      <c r="P286" s="1" t="s">
        <v>622</v>
      </c>
      <c r="R286" s="4"/>
    </row>
    <row r="287" spans="1:18" x14ac:dyDescent="0.2">
      <c r="A287" s="274" t="s">
        <v>89</v>
      </c>
      <c r="B287" s="422">
        <v>207</v>
      </c>
      <c r="C287" s="220" t="s">
        <v>680</v>
      </c>
      <c r="D287" s="6">
        <f>SUMIF('PROG FORMACIÓN TITULADA'!$Q$8:$Q$1070,C287,'PROG FORMACIÓN TITULADA'!$R$8:$R$1070)</f>
        <v>0</v>
      </c>
      <c r="E287" s="6">
        <f>SUMIF('PROG FORM COMPLEM'!$G$9:$G$264,C287,'PROG FORM COMPLEM'!$K$9:$K$264)</f>
        <v>1680</v>
      </c>
      <c r="F287" s="6">
        <f>SUMIF('OTRAS ACCIONES'!$B$12:$B$44,C287,'OTRAS ACCIONES'!$D$12:$D$44)</f>
        <v>0</v>
      </c>
      <c r="G287" s="6">
        <f>SUMIF('OTRAS ACCIONES'!$B$46:$B$68,C287,'OTRAS ACCIONES'!$D$46:$D$68)</f>
        <v>0</v>
      </c>
      <c r="H287" s="6">
        <f>SUMIF('OTRAS ACCIONES'!$B$70:$B$82,C287,'OTRAS ACCIONES'!$D$70:$D$82)</f>
        <v>0</v>
      </c>
      <c r="I287" s="6">
        <f>SUMIF('OTRAS ACCIONES'!$B$84:$B$89,C287,'OTRAS ACCIONES'!$D$84:$D$89)</f>
        <v>0</v>
      </c>
      <c r="J287" s="6">
        <f t="shared" si="37"/>
        <v>1680</v>
      </c>
      <c r="K287" s="19">
        <f t="shared" si="38"/>
        <v>16</v>
      </c>
      <c r="L287" s="6"/>
      <c r="M287" s="271"/>
      <c r="N287" s="271">
        <f t="shared" si="39"/>
        <v>0</v>
      </c>
      <c r="O287" s="7">
        <f t="shared" si="40"/>
        <v>1680</v>
      </c>
      <c r="P287" s="1" t="s">
        <v>622</v>
      </c>
      <c r="R287" s="4"/>
    </row>
    <row r="288" spans="1:18" x14ac:dyDescent="0.2">
      <c r="A288" s="274" t="s">
        <v>89</v>
      </c>
      <c r="B288" s="422">
        <v>208</v>
      </c>
      <c r="C288" s="6" t="s">
        <v>310</v>
      </c>
      <c r="D288" s="6">
        <f>SUMIF('PROG FORMACIÓN TITULADA'!$Q$8:$Q$1070,C288,'PROG FORMACIÓN TITULADA'!$R$8:$R$1070)</f>
        <v>0</v>
      </c>
      <c r="E288" s="6">
        <f>SUMIF('PROG FORM COMPLEM'!$G$9:$G$264,C288,'PROG FORM COMPLEM'!$K$9:$K$264)</f>
        <v>1680</v>
      </c>
      <c r="F288" s="6">
        <f>SUMIF('OTRAS ACCIONES'!$B$12:$B$44,C288,'OTRAS ACCIONES'!$D$12:$D$44)</f>
        <v>0</v>
      </c>
      <c r="G288" s="6">
        <f>SUMIF('OTRAS ACCIONES'!$B$46:$B$68,C288,'OTRAS ACCIONES'!$D$46:$D$68)</f>
        <v>0</v>
      </c>
      <c r="H288" s="6">
        <f>SUMIF('OTRAS ACCIONES'!$B$70:$B$82,C288,'OTRAS ACCIONES'!$D$70:$D$82)</f>
        <v>0</v>
      </c>
      <c r="I288" s="6">
        <f>SUMIF('OTRAS ACCIONES'!$B$84:$B$89,C288,'OTRAS ACCIONES'!$D$84:$D$89)</f>
        <v>0</v>
      </c>
      <c r="J288" s="6">
        <f t="shared" si="37"/>
        <v>1680</v>
      </c>
      <c r="K288" s="19">
        <f t="shared" si="38"/>
        <v>16</v>
      </c>
      <c r="L288" s="6"/>
      <c r="M288" s="271"/>
      <c r="N288" s="271">
        <f t="shared" si="39"/>
        <v>0</v>
      </c>
      <c r="O288" s="7">
        <f t="shared" si="40"/>
        <v>1680</v>
      </c>
      <c r="P288" s="1" t="s">
        <v>865</v>
      </c>
      <c r="R288" s="4"/>
    </row>
    <row r="289" spans="1:18" x14ac:dyDescent="0.2">
      <c r="A289" s="274" t="s">
        <v>89</v>
      </c>
      <c r="B289" s="422">
        <v>209</v>
      </c>
      <c r="C289" s="6" t="s">
        <v>311</v>
      </c>
      <c r="D289" s="6">
        <f>SUMIF('PROG FORMACIÓN TITULADA'!$Q$8:$Q$1070,C289,'PROG FORMACIÓN TITULADA'!$R$8:$R$1070)</f>
        <v>0</v>
      </c>
      <c r="E289" s="6">
        <f>SUMIF('PROG FORM COMPLEM'!$G$9:$G$264,C289,'PROG FORM COMPLEM'!$K$9:$K$264)</f>
        <v>1440</v>
      </c>
      <c r="F289" s="6">
        <f>SUMIF('OTRAS ACCIONES'!$B$12:$B$44,C289,'OTRAS ACCIONES'!$D$12:$D$44)</f>
        <v>0</v>
      </c>
      <c r="G289" s="6">
        <f>SUMIF('OTRAS ACCIONES'!$B$46:$B$68,C289,'OTRAS ACCIONES'!$D$46:$D$68)</f>
        <v>0</v>
      </c>
      <c r="H289" s="6">
        <f>SUMIF('OTRAS ACCIONES'!$B$70:$B$82,C289,'OTRAS ACCIONES'!$D$70:$D$82)</f>
        <v>0</v>
      </c>
      <c r="I289" s="6">
        <f>SUMIF('OTRAS ACCIONES'!$B$84:$B$89,C289,'OTRAS ACCIONES'!$D$84:$D$89)</f>
        <v>0</v>
      </c>
      <c r="J289" s="6">
        <f t="shared" si="37"/>
        <v>1440</v>
      </c>
      <c r="K289" s="19">
        <f t="shared" si="38"/>
        <v>256</v>
      </c>
      <c r="L289" s="6"/>
      <c r="M289" s="271"/>
      <c r="N289" s="271">
        <f t="shared" si="39"/>
        <v>0</v>
      </c>
      <c r="O289" s="7">
        <f t="shared" si="40"/>
        <v>1440</v>
      </c>
      <c r="P289" s="1" t="s">
        <v>865</v>
      </c>
      <c r="R289" s="4"/>
    </row>
    <row r="290" spans="1:18" x14ac:dyDescent="0.2">
      <c r="A290" s="274" t="s">
        <v>89</v>
      </c>
      <c r="B290" s="422">
        <v>210</v>
      </c>
      <c r="C290" s="6" t="s">
        <v>681</v>
      </c>
      <c r="D290" s="6">
        <f>SUMIF('PROG FORMACIÓN TITULADA'!$Q$8:$Q$1070,C290,'PROG FORMACIÓN TITULADA'!$R$8:$R$1070)</f>
        <v>1272</v>
      </c>
      <c r="E290" s="6">
        <f>SUMIF('PROG FORM COMPLEM'!$G$9:$G$264,C290,'PROG FORM COMPLEM'!$K$9:$K$264)</f>
        <v>420</v>
      </c>
      <c r="F290" s="6">
        <f>SUMIF('OTRAS ACCIONES'!$B$12:$B$44,C290,'OTRAS ACCIONES'!$D$12:$D$44)</f>
        <v>0</v>
      </c>
      <c r="G290" s="6">
        <f>SUMIF('OTRAS ACCIONES'!$B$46:$B$68,C290,'OTRAS ACCIONES'!$D$46:$D$68)</f>
        <v>0</v>
      </c>
      <c r="H290" s="6">
        <f>SUMIF('OTRAS ACCIONES'!$B$70:$B$82,C290,'OTRAS ACCIONES'!$D$70:$D$82)</f>
        <v>0</v>
      </c>
      <c r="I290" s="6">
        <f>SUMIF('OTRAS ACCIONES'!$B$84:$B$89,C290,'OTRAS ACCIONES'!$D$84:$D$89)</f>
        <v>0</v>
      </c>
      <c r="J290" s="6">
        <f t="shared" si="37"/>
        <v>1692</v>
      </c>
      <c r="K290" s="19">
        <f t="shared" si="38"/>
        <v>4</v>
      </c>
      <c r="L290" s="6"/>
      <c r="M290" s="271"/>
      <c r="N290" s="271">
        <f t="shared" si="39"/>
        <v>0</v>
      </c>
      <c r="O290" s="7">
        <f t="shared" si="40"/>
        <v>1692</v>
      </c>
      <c r="P290" s="1" t="s">
        <v>339</v>
      </c>
      <c r="R290" s="4"/>
    </row>
    <row r="291" spans="1:18" x14ac:dyDescent="0.2">
      <c r="A291" s="274" t="s">
        <v>89</v>
      </c>
      <c r="B291" s="422">
        <v>211</v>
      </c>
      <c r="C291" s="220" t="s">
        <v>885</v>
      </c>
      <c r="D291" s="6">
        <f>SUMIF('PROG FORMACIÓN TITULADA'!$Q$8:$Q$1070,C291,'PROG FORMACIÓN TITULADA'!$R$8:$R$1070)</f>
        <v>1696</v>
      </c>
      <c r="E291" s="6">
        <f>SUMIF('PROG FORM COMPLEM'!$G$9:$G$264,C291,'PROG FORM COMPLEM'!$K$9:$K$264)</f>
        <v>0</v>
      </c>
      <c r="F291" s="6">
        <f>SUMIF('OTRAS ACCIONES'!$B$12:$B$44,C291,'OTRAS ACCIONES'!$D$12:$D$44)</f>
        <v>0</v>
      </c>
      <c r="G291" s="6">
        <f>SUMIF('OTRAS ACCIONES'!$B$46:$B$68,C291,'OTRAS ACCIONES'!$D$46:$D$68)</f>
        <v>0</v>
      </c>
      <c r="H291" s="6">
        <f>SUMIF('OTRAS ACCIONES'!$B$70:$B$82,C291,'OTRAS ACCIONES'!$D$70:$D$82)</f>
        <v>0</v>
      </c>
      <c r="I291" s="6">
        <f>SUMIF('OTRAS ACCIONES'!$B$84:$B$89,C291,'OTRAS ACCIONES'!$D$84:$D$89)</f>
        <v>0</v>
      </c>
      <c r="J291" s="6">
        <f t="shared" si="37"/>
        <v>1696</v>
      </c>
      <c r="K291" s="19">
        <f t="shared" si="38"/>
        <v>0</v>
      </c>
      <c r="L291" s="6"/>
      <c r="M291" s="271"/>
      <c r="N291" s="271">
        <f t="shared" si="39"/>
        <v>0</v>
      </c>
      <c r="O291" s="7">
        <f t="shared" si="40"/>
        <v>1696</v>
      </c>
      <c r="P291" s="1" t="s">
        <v>208</v>
      </c>
      <c r="R291" s="4"/>
    </row>
    <row r="292" spans="1:18" x14ac:dyDescent="0.2">
      <c r="A292" s="274" t="s">
        <v>89</v>
      </c>
      <c r="B292" s="422">
        <v>212</v>
      </c>
      <c r="C292" s="6" t="s">
        <v>312</v>
      </c>
      <c r="D292" s="6">
        <f>SUMIF('PROG FORMACIÓN TITULADA'!$Q$8:$Q$1070,C292,'PROG FORMACIÓN TITULADA'!$R$8:$R$1070)</f>
        <v>1696</v>
      </c>
      <c r="E292" s="6">
        <f>SUMIF('PROG FORM COMPLEM'!$G$9:$G$264,C292,'PROG FORM COMPLEM'!$K$9:$K$264)</f>
        <v>0</v>
      </c>
      <c r="F292" s="6">
        <f>SUMIF('OTRAS ACCIONES'!$B$12:$B$44,C292,'OTRAS ACCIONES'!$D$12:$D$44)</f>
        <v>0</v>
      </c>
      <c r="G292" s="6">
        <f>SUMIF('OTRAS ACCIONES'!$B$46:$B$68,C292,'OTRAS ACCIONES'!$D$46:$D$68)</f>
        <v>0</v>
      </c>
      <c r="H292" s="6">
        <f>SUMIF('OTRAS ACCIONES'!$B$70:$B$82,C292,'OTRAS ACCIONES'!$D$70:$D$82)</f>
        <v>0</v>
      </c>
      <c r="I292" s="6">
        <f>SUMIF('OTRAS ACCIONES'!$B$84:$B$89,C292,'OTRAS ACCIONES'!$D$84:$D$89)</f>
        <v>0</v>
      </c>
      <c r="J292" s="6">
        <f t="shared" si="37"/>
        <v>1696</v>
      </c>
      <c r="K292" s="19">
        <f t="shared" si="38"/>
        <v>0</v>
      </c>
      <c r="L292" s="6"/>
      <c r="M292" s="271"/>
      <c r="N292" s="271">
        <f t="shared" si="39"/>
        <v>0</v>
      </c>
      <c r="O292" s="7">
        <f t="shared" si="40"/>
        <v>1696</v>
      </c>
      <c r="P292" s="1" t="s">
        <v>484</v>
      </c>
      <c r="R292" s="4"/>
    </row>
    <row r="293" spans="1:18" x14ac:dyDescent="0.2">
      <c r="A293" s="274" t="s">
        <v>89</v>
      </c>
      <c r="B293" s="422">
        <v>213</v>
      </c>
      <c r="C293" s="6" t="s">
        <v>313</v>
      </c>
      <c r="D293" s="6">
        <f>SUMIF('PROG FORMACIÓN TITULADA'!$Q$8:$Q$1070,C293,'PROG FORMACIÓN TITULADA'!$R$8:$R$1070)</f>
        <v>1118</v>
      </c>
      <c r="E293" s="6">
        <f>SUMIF('PROG FORM COMPLEM'!$G$9:$G$264,C293,'PROG FORM COMPLEM'!$K$9:$K$264)</f>
        <v>580</v>
      </c>
      <c r="F293" s="6">
        <f>SUMIF('OTRAS ACCIONES'!$B$12:$B$44,C293,'OTRAS ACCIONES'!$D$12:$D$44)</f>
        <v>0</v>
      </c>
      <c r="G293" s="6">
        <f>SUMIF('OTRAS ACCIONES'!$B$46:$B$68,C293,'OTRAS ACCIONES'!$D$46:$D$68)</f>
        <v>0</v>
      </c>
      <c r="H293" s="6">
        <f>SUMIF('OTRAS ACCIONES'!$B$70:$B$82,C293,'OTRAS ACCIONES'!$D$70:$D$82)</f>
        <v>0</v>
      </c>
      <c r="I293" s="6">
        <f>SUMIF('OTRAS ACCIONES'!$B$84:$B$89,C293,'OTRAS ACCIONES'!$D$84:$D$89)</f>
        <v>0</v>
      </c>
      <c r="J293" s="6">
        <f t="shared" si="37"/>
        <v>1698</v>
      </c>
      <c r="K293" s="19">
        <f t="shared" si="38"/>
        <v>-2</v>
      </c>
      <c r="L293" s="6"/>
      <c r="M293" s="271"/>
      <c r="N293" s="271">
        <f t="shared" si="39"/>
        <v>0</v>
      </c>
      <c r="O293" s="7">
        <f t="shared" si="40"/>
        <v>1698</v>
      </c>
      <c r="P293" s="1" t="s">
        <v>456</v>
      </c>
      <c r="R293" s="4"/>
    </row>
    <row r="294" spans="1:18" x14ac:dyDescent="0.2">
      <c r="A294" s="274" t="s">
        <v>89</v>
      </c>
      <c r="B294" s="422">
        <v>214</v>
      </c>
      <c r="C294" s="6" t="s">
        <v>314</v>
      </c>
      <c r="D294" s="6">
        <f>SUMIF('PROG FORMACIÓN TITULADA'!$Q$8:$Q$1070,C294,'PROG FORMACIÓN TITULADA'!$R$8:$R$1070)</f>
        <v>428</v>
      </c>
      <c r="E294" s="6">
        <f>SUMIF('PROG FORM COMPLEM'!$G$9:$G$264,C294,'PROG FORM COMPLEM'!$K$9:$K$264)</f>
        <v>1250</v>
      </c>
      <c r="F294" s="6">
        <f>SUMIF('OTRAS ACCIONES'!$B$12:$B$44,C294,'OTRAS ACCIONES'!$D$12:$D$44)</f>
        <v>0</v>
      </c>
      <c r="G294" s="6">
        <f>SUMIF('OTRAS ACCIONES'!$B$46:$B$68,C294,'OTRAS ACCIONES'!$D$46:$D$68)</f>
        <v>0</v>
      </c>
      <c r="H294" s="6">
        <f>SUMIF('OTRAS ACCIONES'!$B$70:$B$82,C294,'OTRAS ACCIONES'!$D$70:$D$82)</f>
        <v>0</v>
      </c>
      <c r="I294" s="6">
        <f>SUMIF('OTRAS ACCIONES'!$B$84:$B$89,C294,'OTRAS ACCIONES'!$D$84:$D$89)</f>
        <v>0</v>
      </c>
      <c r="J294" s="6">
        <f t="shared" si="37"/>
        <v>1678</v>
      </c>
      <c r="K294" s="19">
        <f t="shared" si="38"/>
        <v>18</v>
      </c>
      <c r="L294" s="6"/>
      <c r="M294" s="271"/>
      <c r="N294" s="271">
        <f t="shared" si="39"/>
        <v>0</v>
      </c>
      <c r="O294" s="7">
        <f t="shared" si="40"/>
        <v>1678</v>
      </c>
      <c r="P294" s="1" t="s">
        <v>486</v>
      </c>
      <c r="R294" s="4"/>
    </row>
    <row r="295" spans="1:18" x14ac:dyDescent="0.2">
      <c r="A295" s="274" t="s">
        <v>89</v>
      </c>
      <c r="B295" s="422">
        <v>215</v>
      </c>
      <c r="C295" s="6" t="s">
        <v>315</v>
      </c>
      <c r="D295" s="6">
        <f>SUMIF('PROG FORMACIÓN TITULADA'!$Q$8:$Q$1070,C295,'PROG FORMACIÓN TITULADA'!$R$8:$R$1070)</f>
        <v>0</v>
      </c>
      <c r="E295" s="6">
        <f>SUMIF('PROG FORM COMPLEM'!$G$9:$G$264,C295,'PROG FORM COMPLEM'!$K$9:$K$264)</f>
        <v>1680</v>
      </c>
      <c r="F295" s="6">
        <f>SUMIF('OTRAS ACCIONES'!$B$12:$B$44,C295,'OTRAS ACCIONES'!$D$12:$D$44)</f>
        <v>0</v>
      </c>
      <c r="G295" s="6">
        <f>SUMIF('OTRAS ACCIONES'!$B$46:$B$68,C295,'OTRAS ACCIONES'!$D$46:$D$68)</f>
        <v>0</v>
      </c>
      <c r="H295" s="6">
        <f>SUMIF('OTRAS ACCIONES'!$B$70:$B$82,C295,'OTRAS ACCIONES'!$D$70:$D$82)</f>
        <v>0</v>
      </c>
      <c r="I295" s="6">
        <f>SUMIF('OTRAS ACCIONES'!$B$84:$B$89,C295,'OTRAS ACCIONES'!$D$84:$D$89)</f>
        <v>0</v>
      </c>
      <c r="J295" s="6">
        <f t="shared" si="37"/>
        <v>1680</v>
      </c>
      <c r="K295" s="19">
        <f t="shared" si="38"/>
        <v>16</v>
      </c>
      <c r="L295" s="6"/>
      <c r="M295" s="271"/>
      <c r="N295" s="271">
        <f t="shared" si="39"/>
        <v>0</v>
      </c>
      <c r="O295" s="7">
        <f t="shared" si="40"/>
        <v>1680</v>
      </c>
      <c r="P295" s="1" t="s">
        <v>865</v>
      </c>
      <c r="R295" s="4"/>
    </row>
    <row r="296" spans="1:18" x14ac:dyDescent="0.2">
      <c r="A296" s="274" t="s">
        <v>89</v>
      </c>
      <c r="B296" s="422">
        <v>216</v>
      </c>
      <c r="C296" s="273" t="s">
        <v>316</v>
      </c>
      <c r="D296" s="6">
        <f>SUMIF('PROG FORMACIÓN TITULADA'!$Q$8:$Q$1070,C296,'PROG FORMACIÓN TITULADA'!$R$8:$R$1070)</f>
        <v>0</v>
      </c>
      <c r="E296" s="6">
        <f>SUMIF('PROG FORM COMPLEM'!$G$9:$G$264,C296,'PROG FORM COMPLEM'!$K$9:$K$264)</f>
        <v>1700</v>
      </c>
      <c r="F296" s="6">
        <f>SUMIF('OTRAS ACCIONES'!$B$12:$B$44,C296,'OTRAS ACCIONES'!$D$12:$D$44)</f>
        <v>0</v>
      </c>
      <c r="G296" s="6">
        <f>SUMIF('OTRAS ACCIONES'!$B$46:$B$68,C296,'OTRAS ACCIONES'!$D$46:$D$68)</f>
        <v>0</v>
      </c>
      <c r="H296" s="6">
        <f>SUMIF('OTRAS ACCIONES'!$B$70:$B$82,C296,'OTRAS ACCIONES'!$D$70:$D$82)</f>
        <v>0</v>
      </c>
      <c r="I296" s="6">
        <f>SUMIF('OTRAS ACCIONES'!$B$84:$B$89,C296,'OTRAS ACCIONES'!$D$84:$D$89)</f>
        <v>0</v>
      </c>
      <c r="J296" s="6">
        <f t="shared" si="37"/>
        <v>1700</v>
      </c>
      <c r="K296" s="19">
        <f t="shared" si="38"/>
        <v>-4</v>
      </c>
      <c r="L296" s="6"/>
      <c r="M296" s="271"/>
      <c r="N296" s="271">
        <f t="shared" si="39"/>
        <v>0</v>
      </c>
      <c r="O296" s="7">
        <f t="shared" si="40"/>
        <v>1700</v>
      </c>
      <c r="P296" s="1" t="s">
        <v>456</v>
      </c>
      <c r="R296" s="4"/>
    </row>
    <row r="297" spans="1:18" x14ac:dyDescent="0.2">
      <c r="A297" s="274" t="s">
        <v>89</v>
      </c>
      <c r="B297" s="422">
        <v>217</v>
      </c>
      <c r="C297" s="26" t="s">
        <v>172</v>
      </c>
      <c r="D297" s="6">
        <f>SUMIF('PROG FORMACIÓN TITULADA'!$Q$8:$Q$1070,C297,'PROG FORMACIÓN TITULADA'!$R$8:$R$1070)</f>
        <v>600</v>
      </c>
      <c r="E297" s="6">
        <f>SUMIF('PROG FORM COMPLEM'!$G$9:$G$264,C297,'PROG FORM COMPLEM'!$K$9:$K$264)</f>
        <v>1096</v>
      </c>
      <c r="F297" s="6">
        <f>SUMIF('OTRAS ACCIONES'!$B$12:$B$44,C297,'OTRAS ACCIONES'!$D$12:$D$44)</f>
        <v>0</v>
      </c>
      <c r="G297" s="6">
        <f>SUMIF('OTRAS ACCIONES'!$B$46:$B$68,C297,'OTRAS ACCIONES'!$D$46:$D$68)</f>
        <v>0</v>
      </c>
      <c r="H297" s="6">
        <f>SUMIF('OTRAS ACCIONES'!$B$70:$B$82,C297,'OTRAS ACCIONES'!$D$70:$D$82)</f>
        <v>0</v>
      </c>
      <c r="I297" s="6">
        <f>SUMIF('OTRAS ACCIONES'!$B$84:$B$89,C297,'OTRAS ACCIONES'!$D$84:$D$89)</f>
        <v>0</v>
      </c>
      <c r="J297" s="6">
        <f t="shared" si="37"/>
        <v>1696</v>
      </c>
      <c r="K297" s="19">
        <f t="shared" si="38"/>
        <v>0</v>
      </c>
      <c r="L297" s="6"/>
      <c r="M297" s="271"/>
      <c r="N297" s="271">
        <f t="shared" si="39"/>
        <v>0</v>
      </c>
      <c r="O297" s="7">
        <f t="shared" si="40"/>
        <v>1696</v>
      </c>
      <c r="P297" s="1" t="s">
        <v>208</v>
      </c>
      <c r="R297" s="4"/>
    </row>
    <row r="298" spans="1:18" x14ac:dyDescent="0.2">
      <c r="A298" s="274" t="s">
        <v>89</v>
      </c>
      <c r="B298" s="422">
        <v>218</v>
      </c>
      <c r="C298" s="220" t="s">
        <v>888</v>
      </c>
      <c r="D298" s="6">
        <f>SUMIF('PROG FORMACIÓN TITULADA'!$Q$8:$Q$1070,C298,'PROG FORMACIÓN TITULADA'!$R$8:$R$1070)</f>
        <v>1032</v>
      </c>
      <c r="E298" s="6">
        <f>SUMIF('PROG FORM COMPLEM'!$G$9:$G$264,C298,'PROG FORM COMPLEM'!$K$9:$K$264)</f>
        <v>0</v>
      </c>
      <c r="F298" s="6">
        <f>SUMIF('OTRAS ACCIONES'!$B$12:$B$44,C298,'OTRAS ACCIONES'!$D$12:$D$44)</f>
        <v>0</v>
      </c>
      <c r="G298" s="6">
        <f>SUMIF('OTRAS ACCIONES'!$B$46:$B$68,C298,'OTRAS ACCIONES'!$D$46:$D$68)</f>
        <v>0</v>
      </c>
      <c r="H298" s="6">
        <f>SUMIF('OTRAS ACCIONES'!$B$70:$B$82,C298,'OTRAS ACCIONES'!$D$70:$D$82)</f>
        <v>0</v>
      </c>
      <c r="I298" s="6">
        <f>SUMIF('OTRAS ACCIONES'!$B$84:$B$89,C298,'OTRAS ACCIONES'!$D$84:$D$89)</f>
        <v>0</v>
      </c>
      <c r="J298" s="6">
        <f t="shared" si="37"/>
        <v>1032</v>
      </c>
      <c r="K298" s="19">
        <f t="shared" si="38"/>
        <v>664</v>
      </c>
      <c r="L298" s="6"/>
      <c r="M298" s="271"/>
      <c r="N298" s="271">
        <f t="shared" si="39"/>
        <v>0</v>
      </c>
      <c r="O298" s="7">
        <f t="shared" si="40"/>
        <v>1032</v>
      </c>
      <c r="P298" s="1" t="s">
        <v>208</v>
      </c>
      <c r="R298" s="4"/>
    </row>
    <row r="299" spans="1:18" x14ac:dyDescent="0.2">
      <c r="A299" s="274" t="s">
        <v>89</v>
      </c>
      <c r="B299" s="422">
        <v>219</v>
      </c>
      <c r="C299" s="26" t="s">
        <v>384</v>
      </c>
      <c r="D299" s="6">
        <f>SUMIF('PROG FORMACIÓN TITULADA'!$Q$8:$Q$1070,C299,'PROG FORMACIÓN TITULADA'!$R$8:$R$1070)</f>
        <v>1315</v>
      </c>
      <c r="E299" s="6">
        <f>SUMIF('PROG FORM COMPLEM'!$G$9:$G$264,C299,'PROG FORM COMPLEM'!$K$9:$K$264)</f>
        <v>0</v>
      </c>
      <c r="F299" s="6">
        <f>SUMIF('OTRAS ACCIONES'!$B$12:$B$44,C299,'OTRAS ACCIONES'!$D$12:$D$44)</f>
        <v>0</v>
      </c>
      <c r="G299" s="6">
        <f>SUMIF('OTRAS ACCIONES'!$B$46:$B$68,C299,'OTRAS ACCIONES'!$D$46:$D$68)</f>
        <v>0</v>
      </c>
      <c r="H299" s="6">
        <f>SUMIF('OTRAS ACCIONES'!$B$70:$B$82,C299,'OTRAS ACCIONES'!$D$70:$D$82)</f>
        <v>381</v>
      </c>
      <c r="I299" s="6">
        <f>SUMIF('OTRAS ACCIONES'!$B$84:$B$89,C299,'OTRAS ACCIONES'!$D$84:$D$89)</f>
        <v>0</v>
      </c>
      <c r="J299" s="6">
        <f t="shared" si="37"/>
        <v>1696</v>
      </c>
      <c r="K299" s="19">
        <f t="shared" si="38"/>
        <v>0</v>
      </c>
      <c r="L299" s="6"/>
      <c r="M299" s="271"/>
      <c r="N299" s="271">
        <f t="shared" si="39"/>
        <v>0</v>
      </c>
      <c r="O299" s="7">
        <f t="shared" si="40"/>
        <v>1696</v>
      </c>
      <c r="P299" s="1" t="s">
        <v>484</v>
      </c>
      <c r="R299" s="4"/>
    </row>
    <row r="300" spans="1:18" x14ac:dyDescent="0.2">
      <c r="A300" s="274" t="s">
        <v>89</v>
      </c>
      <c r="B300" s="422">
        <v>220</v>
      </c>
      <c r="C300" s="26" t="s">
        <v>156</v>
      </c>
      <c r="D300" s="6">
        <f>SUMIF('PROG FORMACIÓN TITULADA'!$Q$8:$Q$1070,C300,'PROG FORMACIÓN TITULADA'!$R$8:$R$1070)</f>
        <v>968</v>
      </c>
      <c r="E300" s="6">
        <f>SUMIF('PROG FORM COMPLEM'!$G$9:$G$264,C300,'PROG FORM COMPLEM'!$K$9:$K$264)</f>
        <v>740</v>
      </c>
      <c r="F300" s="6">
        <f>SUMIF('OTRAS ACCIONES'!$B$12:$B$44,C300,'OTRAS ACCIONES'!$D$12:$D$44)</f>
        <v>0</v>
      </c>
      <c r="G300" s="6">
        <f>SUMIF('OTRAS ACCIONES'!$B$46:$B$68,C300,'OTRAS ACCIONES'!$D$46:$D$68)</f>
        <v>0</v>
      </c>
      <c r="H300" s="6">
        <f>SUMIF('OTRAS ACCIONES'!$B$70:$B$82,C300,'OTRAS ACCIONES'!$D$70:$D$82)</f>
        <v>0</v>
      </c>
      <c r="I300" s="6">
        <f>SUMIF('OTRAS ACCIONES'!$B$84:$B$89,C300,'OTRAS ACCIONES'!$D$84:$D$89)</f>
        <v>0</v>
      </c>
      <c r="J300" s="6">
        <f t="shared" si="37"/>
        <v>1708</v>
      </c>
      <c r="K300" s="19">
        <f t="shared" si="38"/>
        <v>-12</v>
      </c>
      <c r="L300" s="6"/>
      <c r="M300" s="271"/>
      <c r="N300" s="271">
        <f t="shared" si="39"/>
        <v>0</v>
      </c>
      <c r="O300" s="7">
        <f t="shared" si="40"/>
        <v>1708</v>
      </c>
      <c r="P300" s="1" t="s">
        <v>456</v>
      </c>
      <c r="R300" s="4"/>
    </row>
    <row r="301" spans="1:18" x14ac:dyDescent="0.2">
      <c r="A301" s="274" t="s">
        <v>89</v>
      </c>
      <c r="B301" s="422">
        <v>221</v>
      </c>
      <c r="C301" s="6" t="s">
        <v>317</v>
      </c>
      <c r="D301" s="6">
        <f>SUMIF('PROG FORMACIÓN TITULADA'!$Q$8:$Q$1070,C301,'PROG FORMACIÓN TITULADA'!$R$8:$R$1070)</f>
        <v>1696</v>
      </c>
      <c r="E301" s="6">
        <f>SUMIF('PROG FORM COMPLEM'!$G$9:$G$264,C301,'PROG FORM COMPLEM'!$K$9:$K$264)</f>
        <v>0</v>
      </c>
      <c r="F301" s="6">
        <f>SUMIF('OTRAS ACCIONES'!$B$12:$B$44,C301,'OTRAS ACCIONES'!$D$12:$D$44)</f>
        <v>0</v>
      </c>
      <c r="G301" s="6">
        <f>SUMIF('OTRAS ACCIONES'!$B$46:$B$68,C301,'OTRAS ACCIONES'!$D$46:$D$68)</f>
        <v>0</v>
      </c>
      <c r="H301" s="6">
        <f>SUMIF('OTRAS ACCIONES'!$B$70:$B$82,C301,'OTRAS ACCIONES'!$D$70:$D$82)</f>
        <v>0</v>
      </c>
      <c r="I301" s="6">
        <f>SUMIF('OTRAS ACCIONES'!$B$84:$B$89,C301,'OTRAS ACCIONES'!$D$84:$D$89)</f>
        <v>0</v>
      </c>
      <c r="J301" s="6">
        <f t="shared" si="37"/>
        <v>1696</v>
      </c>
      <c r="K301" s="19">
        <f t="shared" si="38"/>
        <v>0</v>
      </c>
      <c r="L301" s="6"/>
      <c r="M301" s="271"/>
      <c r="N301" s="271">
        <f t="shared" si="39"/>
        <v>0</v>
      </c>
      <c r="O301" s="7">
        <f t="shared" si="40"/>
        <v>1696</v>
      </c>
      <c r="P301" s="1" t="s">
        <v>339</v>
      </c>
      <c r="R301" s="4"/>
    </row>
    <row r="302" spans="1:18" x14ac:dyDescent="0.2">
      <c r="A302" s="416" t="s">
        <v>89</v>
      </c>
      <c r="B302" s="422">
        <v>222</v>
      </c>
      <c r="C302" s="346" t="s">
        <v>318</v>
      </c>
      <c r="D302" s="346">
        <f>SUMIF('PROG FORMACIÓN TITULADA'!$Q$8:$Q$1070,C302,'PROG FORMACIÓN TITULADA'!$R$8:$R$1070)</f>
        <v>790</v>
      </c>
      <c r="E302" s="346">
        <f>SUMIF('PROG FORM COMPLEM'!$G$9:$G$264,C302,'PROG FORM COMPLEM'!$K$9:$K$264)</f>
        <v>920</v>
      </c>
      <c r="F302" s="346">
        <f>SUMIF('OTRAS ACCIONES'!$B$12:$B$44,C302,'OTRAS ACCIONES'!$D$12:$D$44)</f>
        <v>0</v>
      </c>
      <c r="G302" s="346">
        <f>SUMIF('OTRAS ACCIONES'!$B$46:$B$68,C302,'OTRAS ACCIONES'!$D$46:$D$68)</f>
        <v>0</v>
      </c>
      <c r="H302" s="346">
        <f>SUMIF('OTRAS ACCIONES'!$B$70:$B$82,C302,'OTRAS ACCIONES'!$D$70:$D$82)</f>
        <v>0</v>
      </c>
      <c r="I302" s="346">
        <f>SUMIF('OTRAS ACCIONES'!$B$84:$B$89,C302,'OTRAS ACCIONES'!$D$84:$D$89)</f>
        <v>0</v>
      </c>
      <c r="J302" s="346">
        <f t="shared" si="37"/>
        <v>1710</v>
      </c>
      <c r="K302" s="417">
        <f t="shared" si="38"/>
        <v>-14</v>
      </c>
      <c r="L302" s="346"/>
      <c r="M302" s="418"/>
      <c r="N302" s="418">
        <f t="shared" si="39"/>
        <v>0</v>
      </c>
      <c r="O302" s="419">
        <f t="shared" si="40"/>
        <v>1710</v>
      </c>
      <c r="P302" s="403" t="s">
        <v>208</v>
      </c>
      <c r="Q302" s="403"/>
      <c r="R302" s="420"/>
    </row>
    <row r="303" spans="1:18" x14ac:dyDescent="0.2">
      <c r="A303" s="274" t="s">
        <v>89</v>
      </c>
      <c r="B303" s="422">
        <v>223</v>
      </c>
      <c r="C303" s="6" t="s">
        <v>319</v>
      </c>
      <c r="D303" s="6">
        <f>SUMIF('PROG FORMACIÓN TITULADA'!$Q$8:$Q$1070,C303,'PROG FORMACIÓN TITULADA'!$R$8:$R$1070)</f>
        <v>624</v>
      </c>
      <c r="E303" s="6">
        <f>SUMIF('PROG FORM COMPLEM'!$G$9:$G$264,C303,'PROG FORM COMPLEM'!$K$9:$K$264)</f>
        <v>480</v>
      </c>
      <c r="F303" s="6">
        <f>SUMIF('OTRAS ACCIONES'!$B$12:$B$44,C303,'OTRAS ACCIONES'!$D$12:$D$44)</f>
        <v>573</v>
      </c>
      <c r="G303" s="6">
        <f>SUMIF('OTRAS ACCIONES'!$B$46:$B$68,C303,'OTRAS ACCIONES'!$D$46:$D$68)</f>
        <v>0</v>
      </c>
      <c r="H303" s="6">
        <f>SUMIF('OTRAS ACCIONES'!$B$70:$B$82,C303,'OTRAS ACCIONES'!$D$70:$D$82)</f>
        <v>0</v>
      </c>
      <c r="I303" s="6">
        <f>SUMIF('OTRAS ACCIONES'!$B$84:$B$89,C303,'OTRAS ACCIONES'!$D$84:$D$89)</f>
        <v>0</v>
      </c>
      <c r="J303" s="6">
        <f t="shared" si="37"/>
        <v>1677</v>
      </c>
      <c r="K303" s="19">
        <f t="shared" si="38"/>
        <v>19</v>
      </c>
      <c r="L303" s="6"/>
      <c r="M303" s="271"/>
      <c r="N303" s="271">
        <f t="shared" si="39"/>
        <v>0</v>
      </c>
      <c r="O303" s="7">
        <f t="shared" si="40"/>
        <v>1677</v>
      </c>
      <c r="P303" s="1" t="s">
        <v>208</v>
      </c>
      <c r="R303" s="4"/>
    </row>
    <row r="304" spans="1:18" s="403" customFormat="1" x14ac:dyDescent="0.2">
      <c r="A304" s="274" t="s">
        <v>89</v>
      </c>
      <c r="B304" s="422">
        <v>224</v>
      </c>
      <c r="C304" s="408" t="s">
        <v>1003</v>
      </c>
      <c r="D304" s="6">
        <f>SUMIF('PROG FORMACIÓN TITULADA'!$Q$8:$Q$1070,C304,'PROG FORMACIÓN TITULADA'!$R$8:$R$1070)</f>
        <v>1696</v>
      </c>
      <c r="E304" s="6">
        <f>SUMIF('PROG FORM COMPLEM'!$G$9:$G$264,C304,'PROG FORM COMPLEM'!$K$9:$K$264)</f>
        <v>0</v>
      </c>
      <c r="F304" s="6">
        <f>SUMIF('OTRAS ACCIONES'!$B$12:$B$44,C304,'OTRAS ACCIONES'!$D$12:$D$44)</f>
        <v>0</v>
      </c>
      <c r="G304" s="6">
        <f>SUMIF('OTRAS ACCIONES'!$B$46:$B$68,C304,'OTRAS ACCIONES'!$D$46:$D$68)</f>
        <v>0</v>
      </c>
      <c r="H304" s="6">
        <f>SUMIF('OTRAS ACCIONES'!$B$70:$B$82,C304,'OTRAS ACCIONES'!$D$70:$D$82)</f>
        <v>0</v>
      </c>
      <c r="I304" s="6">
        <f>SUMIF('OTRAS ACCIONES'!$B$84:$B$89,C304,'OTRAS ACCIONES'!$D$84:$D$89)</f>
        <v>0</v>
      </c>
      <c r="J304" s="6">
        <f t="shared" si="37"/>
        <v>1696</v>
      </c>
      <c r="K304" s="19">
        <f t="shared" si="38"/>
        <v>0</v>
      </c>
      <c r="L304" s="6"/>
      <c r="M304" s="271"/>
      <c r="N304" s="271">
        <f t="shared" si="39"/>
        <v>0</v>
      </c>
      <c r="O304" s="7">
        <f t="shared" si="40"/>
        <v>1696</v>
      </c>
      <c r="P304" s="413" t="s">
        <v>865</v>
      </c>
      <c r="Q304" s="1"/>
      <c r="R304" s="4"/>
    </row>
    <row r="305" spans="1:18" x14ac:dyDescent="0.2">
      <c r="A305" s="274" t="s">
        <v>89</v>
      </c>
      <c r="B305" s="422">
        <v>225</v>
      </c>
      <c r="C305" s="6" t="s">
        <v>320</v>
      </c>
      <c r="D305" s="6">
        <f>SUMIF('PROG FORMACIÓN TITULADA'!$Q$8:$Q$1070,C305,'PROG FORMACIÓN TITULADA'!$R$8:$R$1070)</f>
        <v>1272</v>
      </c>
      <c r="E305" s="6">
        <f>SUMIF('PROG FORM COMPLEM'!$G$9:$G$264,C305,'PROG FORM COMPLEM'!$K$9:$K$264)</f>
        <v>400</v>
      </c>
      <c r="F305" s="6">
        <f>SUMIF('OTRAS ACCIONES'!$B$12:$B$44,C305,'OTRAS ACCIONES'!$D$12:$D$44)</f>
        <v>0</v>
      </c>
      <c r="G305" s="6">
        <f>SUMIF('OTRAS ACCIONES'!$B$46:$B$68,C305,'OTRAS ACCIONES'!$D$46:$D$68)</f>
        <v>0</v>
      </c>
      <c r="H305" s="6">
        <f>SUMIF('OTRAS ACCIONES'!$B$70:$B$82,C305,'OTRAS ACCIONES'!$D$70:$D$82)</f>
        <v>0</v>
      </c>
      <c r="I305" s="6">
        <f>SUMIF('OTRAS ACCIONES'!$B$84:$B$89,C305,'OTRAS ACCIONES'!$D$84:$D$89)</f>
        <v>0</v>
      </c>
      <c r="J305" s="6">
        <f t="shared" si="37"/>
        <v>1672</v>
      </c>
      <c r="K305" s="19">
        <f t="shared" si="38"/>
        <v>24</v>
      </c>
      <c r="L305" s="6"/>
      <c r="M305" s="271"/>
      <c r="N305" s="271">
        <f t="shared" si="39"/>
        <v>0</v>
      </c>
      <c r="O305" s="7">
        <f t="shared" si="40"/>
        <v>1672</v>
      </c>
      <c r="P305" s="1" t="s">
        <v>208</v>
      </c>
      <c r="R305" s="4"/>
    </row>
    <row r="306" spans="1:18" x14ac:dyDescent="0.2">
      <c r="A306" s="274" t="s">
        <v>89</v>
      </c>
      <c r="B306" s="422">
        <v>226</v>
      </c>
      <c r="C306" s="44" t="s">
        <v>640</v>
      </c>
      <c r="D306" s="6">
        <f>SUMIF('PROG FORMACIÓN TITULADA'!$Q$8:$Q$1070,C306,'PROG FORMACIÓN TITULADA'!$R$8:$R$1070)</f>
        <v>0</v>
      </c>
      <c r="E306" s="6">
        <f>SUMIF('PROG FORM COMPLEM'!$G$9:$G$264,C306,'PROG FORM COMPLEM'!$K$9:$K$264)</f>
        <v>0</v>
      </c>
      <c r="F306" s="6">
        <f>SUMIF('OTRAS ACCIONES'!$B$12:$B$44,C306,'OTRAS ACCIONES'!$D$12:$D$44)</f>
        <v>0</v>
      </c>
      <c r="G306" s="6">
        <f>SUMIF('OTRAS ACCIONES'!$B$46:$B$68,C306,'OTRAS ACCIONES'!$D$46:$D$68)</f>
        <v>0</v>
      </c>
      <c r="H306" s="6">
        <f>SUMIF('OTRAS ACCIONES'!$B$70:$B$82,C306,'OTRAS ACCIONES'!$D$70:$D$82)</f>
        <v>0</v>
      </c>
      <c r="I306" s="6">
        <f>SUMIF('OTRAS ACCIONES'!$B$84:$B$89,C306,'OTRAS ACCIONES'!$D$84:$D$89)</f>
        <v>1688</v>
      </c>
      <c r="J306" s="6">
        <f t="shared" si="37"/>
        <v>1688</v>
      </c>
      <c r="K306" s="19">
        <f t="shared" si="38"/>
        <v>8</v>
      </c>
      <c r="L306" s="6"/>
      <c r="M306" s="271"/>
      <c r="N306" s="271">
        <f t="shared" si="39"/>
        <v>0</v>
      </c>
      <c r="O306" s="7">
        <f t="shared" si="40"/>
        <v>1688</v>
      </c>
      <c r="P306" s="1" t="s">
        <v>867</v>
      </c>
      <c r="R306" s="4"/>
    </row>
    <row r="307" spans="1:18" x14ac:dyDescent="0.2">
      <c r="A307" s="274" t="s">
        <v>89</v>
      </c>
      <c r="B307" s="422">
        <v>227</v>
      </c>
      <c r="C307" s="6" t="s">
        <v>682</v>
      </c>
      <c r="D307" s="6">
        <f>SUMIF('PROG FORMACIÓN TITULADA'!$Q$8:$Q$1070,C307,'PROG FORMACIÓN TITULADA'!$R$8:$R$1070)</f>
        <v>0</v>
      </c>
      <c r="E307" s="6">
        <f>SUMIF('PROG FORM COMPLEM'!$G$9:$G$264,C307,'PROG FORM COMPLEM'!$K$9:$K$264)</f>
        <v>960</v>
      </c>
      <c r="F307" s="6">
        <f>SUMIF('OTRAS ACCIONES'!$B$12:$B$44,C307,'OTRAS ACCIONES'!$D$12:$D$44)</f>
        <v>0</v>
      </c>
      <c r="G307" s="6">
        <f>SUMIF('OTRAS ACCIONES'!$B$46:$B$68,C307,'OTRAS ACCIONES'!$D$46:$D$68)</f>
        <v>0</v>
      </c>
      <c r="H307" s="6">
        <f>SUMIF('OTRAS ACCIONES'!$B$70:$B$82,C307,'OTRAS ACCIONES'!$D$70:$D$82)</f>
        <v>0</v>
      </c>
      <c r="I307" s="6">
        <f>SUMIF('OTRAS ACCIONES'!$B$84:$B$89,C307,'OTRAS ACCIONES'!$D$84:$D$89)</f>
        <v>0</v>
      </c>
      <c r="J307" s="6">
        <f t="shared" si="37"/>
        <v>960</v>
      </c>
      <c r="K307" s="19">
        <f t="shared" si="38"/>
        <v>736</v>
      </c>
      <c r="L307" s="6"/>
      <c r="M307" s="271"/>
      <c r="N307" s="271">
        <f t="shared" si="39"/>
        <v>0</v>
      </c>
      <c r="O307" s="7">
        <f t="shared" si="40"/>
        <v>960</v>
      </c>
      <c r="P307" s="1" t="s">
        <v>865</v>
      </c>
      <c r="R307" s="4"/>
    </row>
    <row r="308" spans="1:18" x14ac:dyDescent="0.2">
      <c r="A308" s="274" t="s">
        <v>89</v>
      </c>
      <c r="B308" s="422">
        <v>228</v>
      </c>
      <c r="C308" s="6" t="s">
        <v>321</v>
      </c>
      <c r="D308" s="6">
        <f>SUMIF('PROG FORMACIÓN TITULADA'!$Q$8:$Q$1070,C308,'PROG FORMACIÓN TITULADA'!$R$8:$R$1070)</f>
        <v>1696</v>
      </c>
      <c r="E308" s="6">
        <f>SUMIF('PROG FORM COMPLEM'!$G$9:$G$264,C308,'PROG FORM COMPLEM'!$K$9:$K$264)</f>
        <v>0</v>
      </c>
      <c r="F308" s="6">
        <f>SUMIF('OTRAS ACCIONES'!$B$12:$B$44,C308,'OTRAS ACCIONES'!$D$12:$D$44)</f>
        <v>0</v>
      </c>
      <c r="G308" s="6">
        <f>SUMIF('OTRAS ACCIONES'!$B$46:$B$68,C308,'OTRAS ACCIONES'!$D$46:$D$68)</f>
        <v>0</v>
      </c>
      <c r="H308" s="6">
        <f>SUMIF('OTRAS ACCIONES'!$B$70:$B$82,C308,'OTRAS ACCIONES'!$D$70:$D$82)</f>
        <v>0</v>
      </c>
      <c r="I308" s="6">
        <f>SUMIF('OTRAS ACCIONES'!$B$84:$B$89,C308,'OTRAS ACCIONES'!$D$84:$D$89)</f>
        <v>0</v>
      </c>
      <c r="J308" s="6">
        <f t="shared" si="37"/>
        <v>1696</v>
      </c>
      <c r="K308" s="19">
        <f t="shared" si="38"/>
        <v>0</v>
      </c>
      <c r="L308" s="6"/>
      <c r="M308" s="271"/>
      <c r="N308" s="271">
        <f t="shared" si="39"/>
        <v>0</v>
      </c>
      <c r="O308" s="7">
        <f t="shared" si="40"/>
        <v>1696</v>
      </c>
      <c r="P308" s="1" t="s">
        <v>865</v>
      </c>
      <c r="R308" s="4"/>
    </row>
    <row r="309" spans="1:18" x14ac:dyDescent="0.2">
      <c r="A309" s="274" t="s">
        <v>89</v>
      </c>
      <c r="B309" s="422">
        <v>229</v>
      </c>
      <c r="C309" s="44" t="s">
        <v>766</v>
      </c>
      <c r="D309" s="6">
        <f>SUMIF('PROG FORMACIÓN TITULADA'!$Q$8:$Q$1070,C309,'PROG FORMACIÓN TITULADA'!$R$8:$R$1070)</f>
        <v>1696</v>
      </c>
      <c r="E309" s="6">
        <f>SUMIF('PROG FORM COMPLEM'!$G$9:$G$264,C309,'PROG FORM COMPLEM'!$K$9:$K$264)</f>
        <v>0</v>
      </c>
      <c r="F309" s="6">
        <f>SUMIF('OTRAS ACCIONES'!$B$12:$B$44,C309,'OTRAS ACCIONES'!$D$12:$D$44)</f>
        <v>0</v>
      </c>
      <c r="G309" s="6">
        <f>SUMIF('OTRAS ACCIONES'!$B$46:$B$68,C309,'OTRAS ACCIONES'!$D$46:$D$68)</f>
        <v>0</v>
      </c>
      <c r="H309" s="6">
        <f>SUMIF('OTRAS ACCIONES'!$B$70:$B$82,C309,'OTRAS ACCIONES'!$D$70:$D$82)</f>
        <v>0</v>
      </c>
      <c r="I309" s="6">
        <f>SUMIF('OTRAS ACCIONES'!$B$84:$B$89,C309,'OTRAS ACCIONES'!$D$84:$D$89)</f>
        <v>0</v>
      </c>
      <c r="J309" s="6">
        <f t="shared" si="37"/>
        <v>1696</v>
      </c>
      <c r="K309" s="19">
        <f t="shared" si="38"/>
        <v>0</v>
      </c>
      <c r="L309" s="6"/>
      <c r="M309" s="271"/>
      <c r="N309" s="271">
        <f t="shared" si="39"/>
        <v>0</v>
      </c>
      <c r="O309" s="7">
        <f t="shared" si="40"/>
        <v>1696</v>
      </c>
      <c r="P309" s="1" t="s">
        <v>488</v>
      </c>
      <c r="R309" s="4"/>
    </row>
    <row r="310" spans="1:18" x14ac:dyDescent="0.2">
      <c r="A310" s="274" t="s">
        <v>89</v>
      </c>
      <c r="B310" s="422">
        <v>230</v>
      </c>
      <c r="C310" s="6" t="s">
        <v>322</v>
      </c>
      <c r="D310" s="6">
        <f>SUMIF('PROG FORMACIÓN TITULADA'!$Q$8:$Q$1070,C310,'PROG FORMACIÓN TITULADA'!$R$8:$R$1070)</f>
        <v>1418</v>
      </c>
      <c r="E310" s="6">
        <f>SUMIF('PROG FORM COMPLEM'!$G$9:$G$264,C310,'PROG FORM COMPLEM'!$K$9:$K$264)</f>
        <v>250</v>
      </c>
      <c r="F310" s="6">
        <f>SUMIF('OTRAS ACCIONES'!$B$12:$B$44,C310,'OTRAS ACCIONES'!$D$12:$D$44)</f>
        <v>0</v>
      </c>
      <c r="G310" s="6">
        <f>SUMIF('OTRAS ACCIONES'!$B$46:$B$68,C310,'OTRAS ACCIONES'!$D$46:$D$68)</f>
        <v>0</v>
      </c>
      <c r="H310" s="6">
        <f>SUMIF('OTRAS ACCIONES'!$B$70:$B$82,C310,'OTRAS ACCIONES'!$D$70:$D$82)</f>
        <v>0</v>
      </c>
      <c r="I310" s="6">
        <f>SUMIF('OTRAS ACCIONES'!$B$84:$B$89,C310,'OTRAS ACCIONES'!$D$84:$D$89)</f>
        <v>0</v>
      </c>
      <c r="J310" s="6">
        <f t="shared" si="37"/>
        <v>1668</v>
      </c>
      <c r="K310" s="19">
        <f t="shared" si="38"/>
        <v>28</v>
      </c>
      <c r="L310" s="6"/>
      <c r="M310" s="271"/>
      <c r="N310" s="271">
        <f t="shared" si="39"/>
        <v>0</v>
      </c>
      <c r="O310" s="7">
        <f t="shared" si="40"/>
        <v>1668</v>
      </c>
      <c r="P310" s="1" t="s">
        <v>339</v>
      </c>
      <c r="R310" s="4"/>
    </row>
    <row r="311" spans="1:18" x14ac:dyDescent="0.2">
      <c r="A311" s="274" t="s">
        <v>89</v>
      </c>
      <c r="B311" s="422">
        <v>231</v>
      </c>
      <c r="C311" s="6" t="s">
        <v>323</v>
      </c>
      <c r="D311" s="6">
        <f>SUMIF('PROG FORMACIÓN TITULADA'!$Q$8:$Q$1070,C311,'PROG FORMACIÓN TITULADA'!$R$8:$R$1070)</f>
        <v>0</v>
      </c>
      <c r="E311" s="6">
        <f>SUMIF('PROG FORM COMPLEM'!$G$9:$G$264,C311,'PROG FORM COMPLEM'!$K$9:$K$264)</f>
        <v>840</v>
      </c>
      <c r="F311" s="6">
        <f>SUMIF('OTRAS ACCIONES'!$B$12:$B$44,C311,'OTRAS ACCIONES'!$D$12:$D$44)</f>
        <v>0</v>
      </c>
      <c r="G311" s="6">
        <f>SUMIF('OTRAS ACCIONES'!$B$46:$B$68,C311,'OTRAS ACCIONES'!$D$46:$D$68)</f>
        <v>0</v>
      </c>
      <c r="H311" s="6">
        <f>SUMIF('OTRAS ACCIONES'!$B$70:$B$82,C311,'OTRAS ACCIONES'!$D$70:$D$82)</f>
        <v>0</v>
      </c>
      <c r="I311" s="6">
        <f>SUMIF('OTRAS ACCIONES'!$B$84:$B$89,C311,'OTRAS ACCIONES'!$D$84:$D$89)</f>
        <v>0</v>
      </c>
      <c r="J311" s="6">
        <f t="shared" si="37"/>
        <v>840</v>
      </c>
      <c r="K311" s="19">
        <f t="shared" si="38"/>
        <v>856</v>
      </c>
      <c r="L311" s="6"/>
      <c r="M311" s="271"/>
      <c r="N311" s="271">
        <f t="shared" si="39"/>
        <v>0</v>
      </c>
      <c r="O311" s="7">
        <f t="shared" si="40"/>
        <v>840</v>
      </c>
      <c r="P311" s="1" t="s">
        <v>865</v>
      </c>
      <c r="R311" s="4"/>
    </row>
    <row r="312" spans="1:18" x14ac:dyDescent="0.2">
      <c r="A312" s="274" t="s">
        <v>89</v>
      </c>
      <c r="B312" s="422">
        <v>232</v>
      </c>
      <c r="C312" s="258" t="s">
        <v>868</v>
      </c>
      <c r="D312" s="6">
        <f>SUMIF('PROG FORMACIÓN TITULADA'!$Q$8:$Q$1070,C312,'PROG FORMACIÓN TITULADA'!$R$8:$R$1070)</f>
        <v>1032</v>
      </c>
      <c r="E312" s="6">
        <f>SUMIF('PROG FORM COMPLEM'!$G$9:$G$264,C312,'PROG FORM COMPLEM'!$K$9:$K$264)</f>
        <v>650</v>
      </c>
      <c r="F312" s="6">
        <f>SUMIF('OTRAS ACCIONES'!$B$12:$B$44,C312,'OTRAS ACCIONES'!$D$12:$D$44)</f>
        <v>0</v>
      </c>
      <c r="G312" s="6">
        <f>SUMIF('OTRAS ACCIONES'!$B$46:$B$68,C312,'OTRAS ACCIONES'!$D$46:$D$68)</f>
        <v>0</v>
      </c>
      <c r="H312" s="6">
        <f>SUMIF('OTRAS ACCIONES'!$B$70:$B$82,C312,'OTRAS ACCIONES'!$D$70:$D$82)</f>
        <v>0</v>
      </c>
      <c r="I312" s="6">
        <f>SUMIF('OTRAS ACCIONES'!$B$84:$B$89,C312,'OTRAS ACCIONES'!$D$84:$D$89)</f>
        <v>0</v>
      </c>
      <c r="J312" s="6">
        <f t="shared" si="37"/>
        <v>1682</v>
      </c>
      <c r="K312" s="19">
        <f t="shared" si="38"/>
        <v>14</v>
      </c>
      <c r="L312" s="6"/>
      <c r="M312" s="271"/>
      <c r="N312" s="271">
        <f t="shared" si="39"/>
        <v>0</v>
      </c>
      <c r="O312" s="7">
        <f t="shared" si="40"/>
        <v>1682</v>
      </c>
      <c r="P312" s="1" t="s">
        <v>865</v>
      </c>
      <c r="R312" s="4"/>
    </row>
    <row r="313" spans="1:18" x14ac:dyDescent="0.2">
      <c r="A313" s="274" t="s">
        <v>89</v>
      </c>
      <c r="B313" s="422">
        <v>233</v>
      </c>
      <c r="C313" s="6" t="s">
        <v>324</v>
      </c>
      <c r="D313" s="6">
        <f>SUMIF('PROG FORMACIÓN TITULADA'!$Q$8:$Q$1070,C313,'PROG FORMACIÓN TITULADA'!$R$8:$R$1070)</f>
        <v>760</v>
      </c>
      <c r="E313" s="6">
        <f>SUMIF('PROG FORM COMPLEM'!$G$9:$G$264,C313,'PROG FORM COMPLEM'!$K$9:$K$264)</f>
        <v>920</v>
      </c>
      <c r="F313" s="6">
        <f>SUMIF('OTRAS ACCIONES'!$B$12:$B$44,C313,'OTRAS ACCIONES'!$D$12:$D$44)</f>
        <v>0</v>
      </c>
      <c r="G313" s="6">
        <f>SUMIF('OTRAS ACCIONES'!$B$46:$B$68,C313,'OTRAS ACCIONES'!$D$46:$D$68)</f>
        <v>0</v>
      </c>
      <c r="H313" s="6">
        <f>SUMIF('OTRAS ACCIONES'!$B$70:$B$82,C313,'OTRAS ACCIONES'!$D$70:$D$82)</f>
        <v>0</v>
      </c>
      <c r="I313" s="6">
        <f>SUMIF('OTRAS ACCIONES'!$B$84:$B$89,C313,'OTRAS ACCIONES'!$D$84:$D$89)</f>
        <v>0</v>
      </c>
      <c r="J313" s="6">
        <f t="shared" si="37"/>
        <v>1680</v>
      </c>
      <c r="K313" s="19">
        <f t="shared" si="38"/>
        <v>16</v>
      </c>
      <c r="L313" s="6"/>
      <c r="M313" s="271"/>
      <c r="N313" s="271">
        <f t="shared" si="39"/>
        <v>0</v>
      </c>
      <c r="O313" s="7">
        <f t="shared" si="40"/>
        <v>1680</v>
      </c>
      <c r="P313" s="1" t="s">
        <v>208</v>
      </c>
      <c r="R313" s="4"/>
    </row>
    <row r="314" spans="1:18" x14ac:dyDescent="0.2">
      <c r="A314" s="274" t="s">
        <v>89</v>
      </c>
      <c r="B314" s="422">
        <v>234</v>
      </c>
      <c r="C314" s="220" t="s">
        <v>958</v>
      </c>
      <c r="D314" s="6">
        <f>SUMIF('PROG FORMACIÓN TITULADA'!$Q$8:$Q$1070,C314,'PROG FORMACIÓN TITULADA'!$R$8:$R$1070)</f>
        <v>0</v>
      </c>
      <c r="E314" s="6">
        <f>SUMIF('PROG FORM COMPLEM'!$G$9:$G$264,C314,'PROG FORM COMPLEM'!$K$9:$K$264)</f>
        <v>1680</v>
      </c>
      <c r="F314" s="6">
        <f>SUMIF('OTRAS ACCIONES'!$B$12:$B$44,C314,'OTRAS ACCIONES'!$D$12:$D$44)</f>
        <v>0</v>
      </c>
      <c r="G314" s="6">
        <f>SUMIF('OTRAS ACCIONES'!$B$46:$B$68,C314,'OTRAS ACCIONES'!$D$46:$D$68)</f>
        <v>0</v>
      </c>
      <c r="H314" s="6">
        <f>SUMIF('OTRAS ACCIONES'!$B$70:$B$82,C314,'OTRAS ACCIONES'!$D$70:$D$82)</f>
        <v>0</v>
      </c>
      <c r="I314" s="6">
        <f>SUMIF('OTRAS ACCIONES'!$B$84:$B$89,C314,'OTRAS ACCIONES'!$D$84:$D$89)</f>
        <v>0</v>
      </c>
      <c r="J314" s="6">
        <f t="shared" si="37"/>
        <v>1680</v>
      </c>
      <c r="K314" s="19">
        <f t="shared" si="38"/>
        <v>16</v>
      </c>
      <c r="L314" s="6"/>
      <c r="M314" s="271"/>
      <c r="N314" s="271">
        <f t="shared" si="39"/>
        <v>0</v>
      </c>
      <c r="O314" s="7">
        <f t="shared" si="40"/>
        <v>1680</v>
      </c>
      <c r="P314" s="1" t="s">
        <v>865</v>
      </c>
      <c r="R314" s="4"/>
    </row>
    <row r="315" spans="1:18" x14ac:dyDescent="0.2">
      <c r="A315" s="274" t="s">
        <v>89</v>
      </c>
      <c r="B315" s="422">
        <v>235</v>
      </c>
      <c r="C315" s="6" t="s">
        <v>325</v>
      </c>
      <c r="D315" s="6">
        <f>SUMIF('PROG FORMACIÓN TITULADA'!$Q$8:$Q$1070,C315,'PROG FORMACIÓN TITULADA'!$R$8:$R$1070)</f>
        <v>848</v>
      </c>
      <c r="E315" s="6">
        <f>SUMIF('PROG FORM COMPLEM'!$G$9:$G$264,C315,'PROG FORM COMPLEM'!$K$9:$K$264)</f>
        <v>840</v>
      </c>
      <c r="F315" s="6">
        <f>SUMIF('OTRAS ACCIONES'!$B$12:$B$44,C315,'OTRAS ACCIONES'!$D$12:$D$44)</f>
        <v>0</v>
      </c>
      <c r="G315" s="6">
        <f>SUMIF('OTRAS ACCIONES'!$B$46:$B$68,C315,'OTRAS ACCIONES'!$D$46:$D$68)</f>
        <v>0</v>
      </c>
      <c r="H315" s="6">
        <f>SUMIF('OTRAS ACCIONES'!$B$70:$B$82,C315,'OTRAS ACCIONES'!$D$70:$D$82)</f>
        <v>0</v>
      </c>
      <c r="I315" s="6">
        <f>SUMIF('OTRAS ACCIONES'!$B$84:$B$89,C315,'OTRAS ACCIONES'!$D$84:$D$89)</f>
        <v>0</v>
      </c>
      <c r="J315" s="6">
        <f t="shared" si="37"/>
        <v>1688</v>
      </c>
      <c r="K315" s="19">
        <f t="shared" si="38"/>
        <v>8</v>
      </c>
      <c r="L315" s="6"/>
      <c r="M315" s="271"/>
      <c r="N315" s="271">
        <f t="shared" si="39"/>
        <v>0</v>
      </c>
      <c r="O315" s="7">
        <f t="shared" si="40"/>
        <v>1688</v>
      </c>
      <c r="P315" s="1" t="s">
        <v>208</v>
      </c>
      <c r="R315" s="4"/>
    </row>
    <row r="316" spans="1:18" x14ac:dyDescent="0.2">
      <c r="A316" s="274" t="s">
        <v>89</v>
      </c>
      <c r="B316" s="422">
        <v>236</v>
      </c>
      <c r="C316" s="273" t="s">
        <v>897</v>
      </c>
      <c r="D316" s="6">
        <f>SUMIF('PROG FORMACIÓN TITULADA'!$Q$8:$Q$1070,C316,'PROG FORMACIÓN TITULADA'!$R$8:$R$1070)</f>
        <v>836</v>
      </c>
      <c r="E316" s="6">
        <f>SUMIF('PROG FORM COMPLEM'!$G$9:$G$264,C316,'PROG FORM COMPLEM'!$K$9:$K$264)</f>
        <v>0</v>
      </c>
      <c r="F316" s="6">
        <f>SUMIF('OTRAS ACCIONES'!$B$12:$B$44,C316,'OTRAS ACCIONES'!$D$12:$D$44)</f>
        <v>0</v>
      </c>
      <c r="G316" s="6">
        <f>SUMIF('OTRAS ACCIONES'!$B$46:$B$68,C316,'OTRAS ACCIONES'!$D$46:$D$68)</f>
        <v>0</v>
      </c>
      <c r="H316" s="6">
        <f>SUMIF('OTRAS ACCIONES'!$B$70:$B$82,C316,'OTRAS ACCIONES'!$D$70:$D$82)</f>
        <v>0</v>
      </c>
      <c r="I316" s="6">
        <f>SUMIF('OTRAS ACCIONES'!$B$84:$B$89,C316,'OTRAS ACCIONES'!$D$84:$D$89)</f>
        <v>0</v>
      </c>
      <c r="J316" s="6">
        <f t="shared" si="37"/>
        <v>836</v>
      </c>
      <c r="K316" s="19">
        <f t="shared" si="38"/>
        <v>860</v>
      </c>
      <c r="L316" s="6"/>
      <c r="M316" s="271"/>
      <c r="N316" s="271">
        <f t="shared" si="39"/>
        <v>0</v>
      </c>
      <c r="O316" s="7">
        <f t="shared" si="40"/>
        <v>836</v>
      </c>
      <c r="P316" s="1" t="s">
        <v>208</v>
      </c>
      <c r="R316" s="4"/>
    </row>
    <row r="317" spans="1:18" x14ac:dyDescent="0.2">
      <c r="A317" s="274" t="s">
        <v>89</v>
      </c>
      <c r="B317" s="422">
        <v>237</v>
      </c>
      <c r="C317" s="6" t="s">
        <v>326</v>
      </c>
      <c r="D317" s="6">
        <f>SUMIF('PROG FORMACIÓN TITULADA'!$Q$8:$Q$1070,C317,'PROG FORMACIÓN TITULADA'!$R$8:$R$1070)</f>
        <v>1696</v>
      </c>
      <c r="E317" s="6">
        <f>SUMIF('PROG FORM COMPLEM'!$G$9:$G$264,C317,'PROG FORM COMPLEM'!$K$9:$K$264)</f>
        <v>0</v>
      </c>
      <c r="F317" s="6">
        <f>SUMIF('OTRAS ACCIONES'!$B$12:$B$44,C317,'OTRAS ACCIONES'!$D$12:$D$44)</f>
        <v>0</v>
      </c>
      <c r="G317" s="6">
        <f>SUMIF('OTRAS ACCIONES'!$B$46:$B$68,C317,'OTRAS ACCIONES'!$D$46:$D$68)</f>
        <v>0</v>
      </c>
      <c r="H317" s="6">
        <f>SUMIF('OTRAS ACCIONES'!$B$70:$B$82,C317,'OTRAS ACCIONES'!$D$70:$D$82)</f>
        <v>0</v>
      </c>
      <c r="I317" s="6">
        <f>SUMIF('OTRAS ACCIONES'!$B$84:$B$89,C317,'OTRAS ACCIONES'!$D$84:$D$89)</f>
        <v>0</v>
      </c>
      <c r="J317" s="6">
        <f t="shared" si="37"/>
        <v>1696</v>
      </c>
      <c r="K317" s="19">
        <f t="shared" si="38"/>
        <v>0</v>
      </c>
      <c r="L317" s="6"/>
      <c r="M317" s="271"/>
      <c r="N317" s="271">
        <f t="shared" si="39"/>
        <v>0</v>
      </c>
      <c r="O317" s="7">
        <f t="shared" si="40"/>
        <v>1696</v>
      </c>
      <c r="P317" s="1" t="s">
        <v>456</v>
      </c>
      <c r="R317" s="4"/>
    </row>
    <row r="318" spans="1:18" s="403" customFormat="1" x14ac:dyDescent="0.2">
      <c r="A318" s="274" t="s">
        <v>89</v>
      </c>
      <c r="B318" s="422">
        <v>238</v>
      </c>
      <c r="C318" s="220" t="s">
        <v>570</v>
      </c>
      <c r="D318" s="6">
        <f>SUMIF('PROG FORMACIÓN TITULADA'!$Q$8:$Q$1070,C318,'PROG FORMACIÓN TITULADA'!$R$8:$R$1070)</f>
        <v>0</v>
      </c>
      <c r="E318" s="6">
        <f>SUMIF('PROG FORM COMPLEM'!$G$9:$G$264,C318,'PROG FORM COMPLEM'!$K$9:$K$264)</f>
        <v>1680</v>
      </c>
      <c r="F318" s="6">
        <f>SUMIF('OTRAS ACCIONES'!$B$12:$B$44,C318,'OTRAS ACCIONES'!$D$12:$D$44)</f>
        <v>0</v>
      </c>
      <c r="G318" s="6">
        <f>SUMIF('OTRAS ACCIONES'!$B$46:$B$68,C318,'OTRAS ACCIONES'!$D$46:$D$68)</f>
        <v>0</v>
      </c>
      <c r="H318" s="6">
        <f>SUMIF('OTRAS ACCIONES'!$B$70:$B$82,C318,'OTRAS ACCIONES'!$D$70:$D$82)</f>
        <v>0</v>
      </c>
      <c r="I318" s="6">
        <f>SUMIF('OTRAS ACCIONES'!$B$84:$B$89,C318,'OTRAS ACCIONES'!$D$84:$D$89)</f>
        <v>0</v>
      </c>
      <c r="J318" s="6">
        <f t="shared" si="37"/>
        <v>1680</v>
      </c>
      <c r="K318" s="19">
        <f t="shared" si="38"/>
        <v>16</v>
      </c>
      <c r="L318" s="6"/>
      <c r="M318" s="271"/>
      <c r="N318" s="271">
        <f t="shared" si="39"/>
        <v>0</v>
      </c>
      <c r="O318" s="7">
        <f t="shared" si="40"/>
        <v>1680</v>
      </c>
      <c r="P318" s="1" t="s">
        <v>451</v>
      </c>
      <c r="Q318" s="1"/>
      <c r="R318" s="4"/>
    </row>
    <row r="319" spans="1:18" x14ac:dyDescent="0.2">
      <c r="A319" s="274" t="s">
        <v>89</v>
      </c>
      <c r="B319" s="422">
        <v>239</v>
      </c>
      <c r="C319" s="6" t="s">
        <v>327</v>
      </c>
      <c r="D319" s="6">
        <f>SUMIF('PROG FORMACIÓN TITULADA'!$Q$8:$Q$1070,C319,'PROG FORMACIÓN TITULADA'!$R$8:$R$1070)</f>
        <v>1696</v>
      </c>
      <c r="E319" s="6">
        <f>SUMIF('PROG FORM COMPLEM'!$G$9:$G$264,C319,'PROG FORM COMPLEM'!$K$9:$K$264)</f>
        <v>0</v>
      </c>
      <c r="F319" s="6">
        <f>SUMIF('OTRAS ACCIONES'!$B$12:$B$44,C319,'OTRAS ACCIONES'!$D$12:$D$44)</f>
        <v>0</v>
      </c>
      <c r="G319" s="6">
        <f>SUMIF('OTRAS ACCIONES'!$B$46:$B$68,C319,'OTRAS ACCIONES'!$D$46:$D$68)</f>
        <v>0</v>
      </c>
      <c r="H319" s="6">
        <f>SUMIF('OTRAS ACCIONES'!$B$70:$B$82,C319,'OTRAS ACCIONES'!$D$70:$D$82)</f>
        <v>0</v>
      </c>
      <c r="I319" s="6">
        <f>SUMIF('OTRAS ACCIONES'!$B$84:$B$89,C319,'OTRAS ACCIONES'!$D$84:$D$89)</f>
        <v>0</v>
      </c>
      <c r="J319" s="6">
        <f t="shared" si="37"/>
        <v>1696</v>
      </c>
      <c r="K319" s="19">
        <f t="shared" si="38"/>
        <v>0</v>
      </c>
      <c r="L319" s="6"/>
      <c r="M319" s="271"/>
      <c r="N319" s="271">
        <f t="shared" si="39"/>
        <v>0</v>
      </c>
      <c r="O319" s="7">
        <f t="shared" si="40"/>
        <v>1696</v>
      </c>
      <c r="P319" s="1" t="s">
        <v>486</v>
      </c>
      <c r="R319" s="4"/>
    </row>
    <row r="320" spans="1:18" x14ac:dyDescent="0.2">
      <c r="A320" s="274" t="s">
        <v>89</v>
      </c>
      <c r="B320" s="422">
        <v>240</v>
      </c>
      <c r="C320" s="220" t="s">
        <v>630</v>
      </c>
      <c r="D320" s="6">
        <f>SUMIF('PROG FORMACIÓN TITULADA'!$Q$8:$Q$1070,C320,'PROG FORMACIÓN TITULADA'!$R$8:$R$1070)</f>
        <v>0</v>
      </c>
      <c r="E320" s="6">
        <f>SUMIF('PROG FORM COMPLEM'!$G$9:$G$264,C320,'PROG FORM COMPLEM'!$K$9:$K$264)</f>
        <v>844</v>
      </c>
      <c r="F320" s="6">
        <f>SUMIF('OTRAS ACCIONES'!$B$12:$B$44,C320,'OTRAS ACCIONES'!$D$12:$D$44)</f>
        <v>0</v>
      </c>
      <c r="G320" s="6">
        <f>SUMIF('OTRAS ACCIONES'!$B$46:$B$68,C320,'OTRAS ACCIONES'!$D$46:$D$68)</f>
        <v>0</v>
      </c>
      <c r="H320" s="6">
        <f>SUMIF('OTRAS ACCIONES'!$B$70:$B$82,C320,'OTRAS ACCIONES'!$D$70:$D$82)</f>
        <v>0</v>
      </c>
      <c r="I320" s="6">
        <f>SUMIF('OTRAS ACCIONES'!$B$84:$B$89,C320,'OTRAS ACCIONES'!$D$84:$D$89)</f>
        <v>0</v>
      </c>
      <c r="J320" s="6">
        <f t="shared" si="37"/>
        <v>844</v>
      </c>
      <c r="K320" s="19">
        <f t="shared" si="38"/>
        <v>852</v>
      </c>
      <c r="L320" s="6"/>
      <c r="M320" s="271"/>
      <c r="N320" s="271">
        <f t="shared" si="39"/>
        <v>0</v>
      </c>
      <c r="O320" s="7">
        <f t="shared" si="40"/>
        <v>844</v>
      </c>
      <c r="P320" s="1" t="s">
        <v>622</v>
      </c>
      <c r="R320" s="4"/>
    </row>
    <row r="321" spans="1:18" x14ac:dyDescent="0.2">
      <c r="A321" s="274" t="s">
        <v>89</v>
      </c>
      <c r="B321" s="422">
        <v>241</v>
      </c>
      <c r="C321" s="6" t="s">
        <v>328</v>
      </c>
      <c r="D321" s="6">
        <f>SUMIF('PROG FORMACIÓN TITULADA'!$Q$8:$Q$1070,C321,'PROG FORMACIÓN TITULADA'!$R$8:$R$1070)</f>
        <v>1696</v>
      </c>
      <c r="E321" s="6">
        <f>SUMIF('PROG FORM COMPLEM'!$G$9:$G$264,C321,'PROG FORM COMPLEM'!$K$9:$K$264)</f>
        <v>0</v>
      </c>
      <c r="F321" s="6">
        <f>SUMIF('OTRAS ACCIONES'!$B$12:$B$44,C321,'OTRAS ACCIONES'!$D$12:$D$44)</f>
        <v>0</v>
      </c>
      <c r="G321" s="6">
        <f>SUMIF('OTRAS ACCIONES'!$B$46:$B$68,C321,'OTRAS ACCIONES'!$D$46:$D$68)</f>
        <v>0</v>
      </c>
      <c r="H321" s="6">
        <f>SUMIF('OTRAS ACCIONES'!$B$70:$B$82,C321,'OTRAS ACCIONES'!$D$70:$D$82)</f>
        <v>0</v>
      </c>
      <c r="I321" s="6">
        <f>SUMIF('OTRAS ACCIONES'!$B$84:$B$89,C321,'OTRAS ACCIONES'!$D$84:$D$89)</f>
        <v>0</v>
      </c>
      <c r="J321" s="6">
        <f t="shared" si="37"/>
        <v>1696</v>
      </c>
      <c r="K321" s="19">
        <f t="shared" si="38"/>
        <v>0</v>
      </c>
      <c r="L321" s="6"/>
      <c r="M321" s="271"/>
      <c r="N321" s="271">
        <f t="shared" si="39"/>
        <v>0</v>
      </c>
      <c r="O321" s="7">
        <f t="shared" si="40"/>
        <v>1696</v>
      </c>
      <c r="P321" s="1" t="s">
        <v>865</v>
      </c>
      <c r="R321" s="4"/>
    </row>
    <row r="322" spans="1:18" x14ac:dyDescent="0.2">
      <c r="A322" s="274" t="s">
        <v>89</v>
      </c>
      <c r="B322" s="422">
        <v>242</v>
      </c>
      <c r="C322" s="6" t="s">
        <v>329</v>
      </c>
      <c r="D322" s="6">
        <f>SUMIF('PROG FORMACIÓN TITULADA'!$Q$8:$Q$1070,C322,'PROG FORMACIÓN TITULADA'!$R$8:$R$1070)</f>
        <v>0</v>
      </c>
      <c r="E322" s="6">
        <f>SUMIF('PROG FORM COMPLEM'!$G$9:$G$264,C322,'PROG FORM COMPLEM'!$K$9:$K$264)</f>
        <v>1680</v>
      </c>
      <c r="F322" s="6">
        <f>SUMIF('OTRAS ACCIONES'!$B$12:$B$44,C322,'OTRAS ACCIONES'!$D$12:$D$44)</f>
        <v>0</v>
      </c>
      <c r="G322" s="6">
        <f>SUMIF('OTRAS ACCIONES'!$B$46:$B$68,C322,'OTRAS ACCIONES'!$D$46:$D$68)</f>
        <v>0</v>
      </c>
      <c r="H322" s="6">
        <f>SUMIF('OTRAS ACCIONES'!$B$70:$B$82,C322,'OTRAS ACCIONES'!$D$70:$D$82)</f>
        <v>0</v>
      </c>
      <c r="I322" s="6">
        <f>SUMIF('OTRAS ACCIONES'!$B$84:$B$89,C322,'OTRAS ACCIONES'!$D$84:$D$89)</f>
        <v>0</v>
      </c>
      <c r="J322" s="6">
        <f t="shared" si="37"/>
        <v>1680</v>
      </c>
      <c r="K322" s="19">
        <f t="shared" si="38"/>
        <v>16</v>
      </c>
      <c r="L322" s="6"/>
      <c r="M322" s="271"/>
      <c r="N322" s="271">
        <f t="shared" si="39"/>
        <v>0</v>
      </c>
      <c r="O322" s="7">
        <f t="shared" si="40"/>
        <v>1680</v>
      </c>
      <c r="P322" s="1" t="s">
        <v>865</v>
      </c>
      <c r="R322" s="4"/>
    </row>
    <row r="323" spans="1:18" x14ac:dyDescent="0.2">
      <c r="A323" s="416" t="s">
        <v>89</v>
      </c>
      <c r="B323" s="422">
        <v>243</v>
      </c>
      <c r="C323" s="346" t="s">
        <v>1029</v>
      </c>
      <c r="D323" s="346">
        <f>SUMIF('PROG FORMACIÓN TITULADA'!$Q$8:$Q$1070,C323,'PROG FORMACIÓN TITULADA'!$R$8:$R$1070)</f>
        <v>0</v>
      </c>
      <c r="E323" s="346">
        <f>SUMIF('PROG FORM COMPLEM'!$G$9:$G$264,C323,'PROG FORM COMPLEM'!$K$9:$K$264)</f>
        <v>0</v>
      </c>
      <c r="F323" s="346">
        <f>SUMIF('OTRAS ACCIONES'!$B$12:$B$44,C323,'OTRAS ACCIONES'!$D$12:$D$44)</f>
        <v>1696</v>
      </c>
      <c r="G323" s="346">
        <f>SUMIF('OTRAS ACCIONES'!$B$46:$B$68,C323,'OTRAS ACCIONES'!$D$46:$D$68)</f>
        <v>0</v>
      </c>
      <c r="H323" s="346">
        <f>SUMIF('OTRAS ACCIONES'!$B$70:$B$82,C323,'OTRAS ACCIONES'!$D$70:$D$82)</f>
        <v>0</v>
      </c>
      <c r="I323" s="346">
        <f>SUMIF('OTRAS ACCIONES'!$B$84:$B$89,C323,'OTRAS ACCIONES'!$D$84:$D$89)</f>
        <v>0</v>
      </c>
      <c r="J323" s="346">
        <f t="shared" si="37"/>
        <v>1696</v>
      </c>
      <c r="K323" s="417">
        <f t="shared" si="38"/>
        <v>0</v>
      </c>
      <c r="L323" s="346"/>
      <c r="M323" s="418"/>
      <c r="N323" s="418">
        <f t="shared" si="39"/>
        <v>0</v>
      </c>
      <c r="O323" s="419">
        <f t="shared" si="40"/>
        <v>1696</v>
      </c>
      <c r="P323" s="403" t="s">
        <v>869</v>
      </c>
      <c r="Q323" s="403"/>
      <c r="R323" s="420"/>
    </row>
    <row r="324" spans="1:18" x14ac:dyDescent="0.2">
      <c r="A324" s="274" t="s">
        <v>89</v>
      </c>
      <c r="B324" s="422">
        <v>244</v>
      </c>
      <c r="C324" s="6" t="s">
        <v>1021</v>
      </c>
      <c r="D324" s="6">
        <f>SUMIF('PROG FORMACIÓN TITULADA'!$Q$8:$Q$1070,C324,'PROG FORMACIÓN TITULADA'!$R$8:$R$1070)</f>
        <v>0</v>
      </c>
      <c r="E324" s="6">
        <f>SUMIF('PROG FORM COMPLEM'!$G$9:$G$264,C324,'PROG FORM COMPLEM'!$K$9:$K$264)</f>
        <v>1680</v>
      </c>
      <c r="F324" s="6">
        <f>SUMIF('OTRAS ACCIONES'!$B$12:$B$44,C324,'OTRAS ACCIONES'!$D$12:$D$44)</f>
        <v>0</v>
      </c>
      <c r="G324" s="6">
        <f>SUMIF('OTRAS ACCIONES'!$B$46:$B$68,C324,'OTRAS ACCIONES'!$D$46:$D$68)</f>
        <v>0</v>
      </c>
      <c r="H324" s="6">
        <f>SUMIF('OTRAS ACCIONES'!$B$70:$B$82,C324,'OTRAS ACCIONES'!$D$70:$D$82)</f>
        <v>0</v>
      </c>
      <c r="I324" s="6">
        <f>SUMIF('OTRAS ACCIONES'!$B$84:$B$89,C324,'OTRAS ACCIONES'!$D$84:$D$89)</f>
        <v>0</v>
      </c>
      <c r="J324" s="6">
        <f t="shared" si="37"/>
        <v>1680</v>
      </c>
      <c r="K324" s="19">
        <f t="shared" si="38"/>
        <v>16</v>
      </c>
      <c r="L324" s="6"/>
      <c r="M324" s="271"/>
      <c r="N324" s="271">
        <f t="shared" si="39"/>
        <v>0</v>
      </c>
      <c r="O324" s="7">
        <f t="shared" si="40"/>
        <v>1680</v>
      </c>
      <c r="P324" s="1" t="s">
        <v>208</v>
      </c>
      <c r="R324" s="4"/>
    </row>
    <row r="325" spans="1:18" x14ac:dyDescent="0.2">
      <c r="A325" s="274" t="s">
        <v>89</v>
      </c>
      <c r="B325" s="422">
        <v>245</v>
      </c>
      <c r="C325" s="6" t="s">
        <v>330</v>
      </c>
      <c r="D325" s="6">
        <f>SUMIF('PROG FORMACIÓN TITULADA'!$Q$8:$Q$1070,C325,'PROG FORMACIÓN TITULADA'!$R$8:$R$1070)</f>
        <v>420</v>
      </c>
      <c r="E325" s="6">
        <f>SUMIF('PROG FORM COMPLEM'!$G$9:$G$264,C325,'PROG FORM COMPLEM'!$K$9:$K$264)</f>
        <v>1200</v>
      </c>
      <c r="F325" s="6">
        <f>SUMIF('OTRAS ACCIONES'!$B$12:$B$44,C325,'OTRAS ACCIONES'!$D$12:$D$44)</f>
        <v>0</v>
      </c>
      <c r="G325" s="6">
        <f>SUMIF('OTRAS ACCIONES'!$B$46:$B$68,C325,'OTRAS ACCIONES'!$D$46:$D$68)</f>
        <v>0</v>
      </c>
      <c r="H325" s="6">
        <f>SUMIF('OTRAS ACCIONES'!$B$70:$B$82,C325,'OTRAS ACCIONES'!$D$70:$D$82)</f>
        <v>0</v>
      </c>
      <c r="I325" s="6">
        <f>SUMIF('OTRAS ACCIONES'!$B$84:$B$89,C325,'OTRAS ACCIONES'!$D$84:$D$89)</f>
        <v>0</v>
      </c>
      <c r="J325" s="6">
        <f t="shared" si="37"/>
        <v>1620</v>
      </c>
      <c r="K325" s="19">
        <f t="shared" si="38"/>
        <v>76</v>
      </c>
      <c r="L325" s="6"/>
      <c r="M325" s="271"/>
      <c r="N325" s="271">
        <f t="shared" si="39"/>
        <v>0</v>
      </c>
      <c r="O325" s="7">
        <f t="shared" si="40"/>
        <v>1620</v>
      </c>
      <c r="P325" s="1" t="s">
        <v>451</v>
      </c>
      <c r="R325" s="4"/>
    </row>
    <row r="326" spans="1:18" x14ac:dyDescent="0.2">
      <c r="A326" s="274" t="s">
        <v>89</v>
      </c>
      <c r="B326" s="422">
        <v>246</v>
      </c>
      <c r="C326" s="220" t="s">
        <v>882</v>
      </c>
      <c r="D326" s="6">
        <f>SUMIF('PROG FORMACIÓN TITULADA'!$Q$8:$Q$1070,C326,'PROG FORMACIÓN TITULADA'!$R$8:$R$1070)</f>
        <v>668</v>
      </c>
      <c r="E326" s="6">
        <f>SUMIF('PROG FORM COMPLEM'!$G$9:$G$264,C326,'PROG FORM COMPLEM'!$K$9:$K$264)</f>
        <v>200</v>
      </c>
      <c r="F326" s="6">
        <f>SUMIF('OTRAS ACCIONES'!$B$12:$B$44,C326,'OTRAS ACCIONES'!$D$12:$D$44)</f>
        <v>0</v>
      </c>
      <c r="G326" s="6">
        <f>SUMIF('OTRAS ACCIONES'!$B$46:$B$68,C326,'OTRAS ACCIONES'!$D$46:$D$68)</f>
        <v>0</v>
      </c>
      <c r="H326" s="6">
        <f>SUMIF('OTRAS ACCIONES'!$B$70:$B$82,C326,'OTRAS ACCIONES'!$D$70:$D$82)</f>
        <v>0</v>
      </c>
      <c r="I326" s="6">
        <f>SUMIF('OTRAS ACCIONES'!$B$84:$B$89,C326,'OTRAS ACCIONES'!$D$84:$D$89)</f>
        <v>0</v>
      </c>
      <c r="J326" s="6">
        <f t="shared" si="37"/>
        <v>868</v>
      </c>
      <c r="K326" s="19">
        <f t="shared" si="38"/>
        <v>828</v>
      </c>
      <c r="L326" s="6"/>
      <c r="M326" s="271"/>
      <c r="N326" s="271">
        <f t="shared" si="39"/>
        <v>0</v>
      </c>
      <c r="O326" s="7">
        <f t="shared" si="40"/>
        <v>868</v>
      </c>
      <c r="P326" s="1" t="s">
        <v>208</v>
      </c>
      <c r="R326" s="4"/>
    </row>
    <row r="327" spans="1:18" x14ac:dyDescent="0.2">
      <c r="A327" s="274" t="s">
        <v>89</v>
      </c>
      <c r="B327" s="422">
        <v>247</v>
      </c>
      <c r="C327" s="220" t="s">
        <v>883</v>
      </c>
      <c r="D327" s="6">
        <f>SUMIF('PROG FORMACIÓN TITULADA'!$Q$8:$Q$1070,C327,'PROG FORMACIÓN TITULADA'!$R$8:$R$1070)</f>
        <v>1420</v>
      </c>
      <c r="E327" s="6">
        <f>SUMIF('PROG FORM COMPLEM'!$G$9:$G$264,C327,'PROG FORM COMPLEM'!$K$9:$K$264)</f>
        <v>0</v>
      </c>
      <c r="F327" s="6">
        <f>SUMIF('OTRAS ACCIONES'!$B$12:$B$44,C327,'OTRAS ACCIONES'!$D$12:$D$44)</f>
        <v>0</v>
      </c>
      <c r="G327" s="6">
        <f>SUMIF('OTRAS ACCIONES'!$B$46:$B$68,C327,'OTRAS ACCIONES'!$D$46:$D$68)</f>
        <v>0</v>
      </c>
      <c r="H327" s="6">
        <f>SUMIF('OTRAS ACCIONES'!$B$70:$B$82,C327,'OTRAS ACCIONES'!$D$70:$D$82)</f>
        <v>0</v>
      </c>
      <c r="I327" s="6">
        <f>SUMIF('OTRAS ACCIONES'!$B$84:$B$89,C327,'OTRAS ACCIONES'!$D$84:$D$89)</f>
        <v>0</v>
      </c>
      <c r="J327" s="6">
        <f t="shared" si="37"/>
        <v>1420</v>
      </c>
      <c r="K327" s="19">
        <f t="shared" si="38"/>
        <v>276</v>
      </c>
      <c r="L327" s="6"/>
      <c r="M327" s="271"/>
      <c r="N327" s="271">
        <f t="shared" si="39"/>
        <v>0</v>
      </c>
      <c r="O327" s="7">
        <f t="shared" si="40"/>
        <v>1420</v>
      </c>
      <c r="P327" s="1" t="s">
        <v>208</v>
      </c>
      <c r="R327" s="4"/>
    </row>
    <row r="328" spans="1:18" x14ac:dyDescent="0.2">
      <c r="A328" s="274" t="s">
        <v>89</v>
      </c>
      <c r="B328" s="422">
        <v>248</v>
      </c>
      <c r="C328" s="6" t="s">
        <v>1016</v>
      </c>
      <c r="D328" s="6">
        <f>SUMIF('PROG FORMACIÓN TITULADA'!$Q$8:$Q$1070,C328,'PROG FORMACIÓN TITULADA'!$R$8:$R$1070)</f>
        <v>0</v>
      </c>
      <c r="E328" s="6">
        <f>SUMIF('PROG FORM COMPLEM'!$G$9:$G$264,C328,'PROG FORM COMPLEM'!$K$9:$K$264)</f>
        <v>1700</v>
      </c>
      <c r="F328" s="6">
        <f>SUMIF('OTRAS ACCIONES'!$B$12:$B$44,C328,'OTRAS ACCIONES'!$D$12:$D$44)</f>
        <v>0</v>
      </c>
      <c r="G328" s="6">
        <f>SUMIF('OTRAS ACCIONES'!$B$46:$B$68,C328,'OTRAS ACCIONES'!$D$46:$D$68)</f>
        <v>0</v>
      </c>
      <c r="H328" s="6">
        <f>SUMIF('OTRAS ACCIONES'!$B$70:$B$82,C328,'OTRAS ACCIONES'!$D$70:$D$82)</f>
        <v>0</v>
      </c>
      <c r="I328" s="6">
        <f>SUMIF('OTRAS ACCIONES'!$B$84:$B$89,C328,'OTRAS ACCIONES'!$D$84:$D$89)</f>
        <v>0</v>
      </c>
      <c r="J328" s="6">
        <f t="shared" si="37"/>
        <v>1700</v>
      </c>
      <c r="K328" s="19">
        <f t="shared" si="38"/>
        <v>-4</v>
      </c>
      <c r="L328" s="6"/>
      <c r="M328" s="271"/>
      <c r="N328" s="271">
        <f t="shared" si="39"/>
        <v>0</v>
      </c>
      <c r="O328" s="7">
        <f t="shared" si="40"/>
        <v>1700</v>
      </c>
      <c r="P328" s="1" t="s">
        <v>867</v>
      </c>
      <c r="R328" s="4"/>
    </row>
    <row r="329" spans="1:18" x14ac:dyDescent="0.2">
      <c r="A329" s="274" t="s">
        <v>89</v>
      </c>
      <c r="B329" s="422">
        <v>249</v>
      </c>
      <c r="C329" s="220" t="s">
        <v>1004</v>
      </c>
      <c r="D329" s="6">
        <f>SUMIF('PROG FORMACIÓN TITULADA'!$Q$8:$Q$1070,C329,'PROG FORMACIÓN TITULADA'!$R$8:$R$1070)</f>
        <v>848</v>
      </c>
      <c r="E329" s="6">
        <f>SUMIF('PROG FORM COMPLEM'!$G$9:$G$264,C329,'PROG FORM COMPLEM'!$K$9:$K$264)</f>
        <v>0</v>
      </c>
      <c r="F329" s="6">
        <f>SUMIF('OTRAS ACCIONES'!$B$12:$B$44,C329,'OTRAS ACCIONES'!$D$12:$D$44)</f>
        <v>0</v>
      </c>
      <c r="G329" s="6">
        <f>SUMIF('OTRAS ACCIONES'!$B$46:$B$68,C329,'OTRAS ACCIONES'!$D$46:$D$68)</f>
        <v>0</v>
      </c>
      <c r="H329" s="6">
        <f>SUMIF('OTRAS ACCIONES'!$B$70:$B$82,C329,'OTRAS ACCIONES'!$D$70:$D$82)</f>
        <v>0</v>
      </c>
      <c r="I329" s="6">
        <f>SUMIF('OTRAS ACCIONES'!$B$84:$B$89,C329,'OTRAS ACCIONES'!$D$84:$D$89)</f>
        <v>0</v>
      </c>
      <c r="J329" s="6">
        <f t="shared" si="37"/>
        <v>848</v>
      </c>
      <c r="K329" s="19">
        <f t="shared" si="38"/>
        <v>848</v>
      </c>
      <c r="L329" s="6"/>
      <c r="M329" s="271"/>
      <c r="N329" s="271">
        <f t="shared" si="39"/>
        <v>0</v>
      </c>
      <c r="O329" s="7">
        <f t="shared" si="40"/>
        <v>848</v>
      </c>
      <c r="P329" s="413" t="s">
        <v>865</v>
      </c>
      <c r="R329" s="4"/>
    </row>
    <row r="330" spans="1:18" x14ac:dyDescent="0.2">
      <c r="A330" s="416" t="s">
        <v>89</v>
      </c>
      <c r="B330" s="422">
        <v>250</v>
      </c>
      <c r="C330" s="425" t="s">
        <v>1038</v>
      </c>
      <c r="D330" s="346">
        <f>SUMIF('PROG FORMACIÓN TITULADA'!$Q$8:$Q$1070,C330,'PROG FORMACIÓN TITULADA'!$R$8:$R$1070)</f>
        <v>848</v>
      </c>
      <c r="E330" s="346">
        <f>SUMIF('PROG FORM COMPLEM'!$G$9:$G$264,C330,'PROG FORM COMPLEM'!$K$9:$K$264)</f>
        <v>0</v>
      </c>
      <c r="F330" s="346">
        <f>SUMIF('OTRAS ACCIONES'!$B$12:$B$44,C330,'OTRAS ACCIONES'!$D$12:$D$44)</f>
        <v>0</v>
      </c>
      <c r="G330" s="346">
        <f>SUMIF('OTRAS ACCIONES'!$B$46:$B$68,C330,'OTRAS ACCIONES'!$D$46:$D$68)</f>
        <v>0</v>
      </c>
      <c r="H330" s="346">
        <f>SUMIF('OTRAS ACCIONES'!$B$70:$B$82,C330,'OTRAS ACCIONES'!$D$70:$D$82)</f>
        <v>0</v>
      </c>
      <c r="I330" s="346">
        <f>SUMIF('OTRAS ACCIONES'!$B$84:$B$89,C330,'OTRAS ACCIONES'!$D$84:$D$89)</f>
        <v>0</v>
      </c>
      <c r="J330" s="346">
        <f t="shared" si="37"/>
        <v>848</v>
      </c>
      <c r="K330" s="417">
        <f t="shared" si="38"/>
        <v>848</v>
      </c>
      <c r="L330" s="346"/>
      <c r="M330" s="418"/>
      <c r="N330" s="418">
        <f t="shared" si="39"/>
        <v>0</v>
      </c>
      <c r="O330" s="419">
        <f t="shared" si="40"/>
        <v>848</v>
      </c>
      <c r="P330" s="403" t="s">
        <v>865</v>
      </c>
      <c r="Q330" s="403"/>
      <c r="R330" s="420"/>
    </row>
    <row r="331" spans="1:18" x14ac:dyDescent="0.2">
      <c r="A331" s="274" t="s">
        <v>89</v>
      </c>
      <c r="B331" s="422">
        <v>251</v>
      </c>
      <c r="C331" s="273" t="s">
        <v>854</v>
      </c>
      <c r="D331" s="6">
        <f>SUMIF('PROG FORMACIÓN TITULADA'!$Q$8:$Q$1070,C331,'PROG FORMACIÓN TITULADA'!$R$8:$R$1070)</f>
        <v>864</v>
      </c>
      <c r="E331" s="6">
        <f>SUMIF('PROG FORM COMPLEM'!$G$9:$G$264,C331,'PROG FORM COMPLEM'!$K$9:$K$264)</f>
        <v>0</v>
      </c>
      <c r="F331" s="6">
        <f>SUMIF('OTRAS ACCIONES'!$B$12:$B$44,C331,'OTRAS ACCIONES'!$D$12:$D$44)</f>
        <v>0</v>
      </c>
      <c r="G331" s="6">
        <f>SUMIF('OTRAS ACCIONES'!$B$46:$B$68,C331,'OTRAS ACCIONES'!$D$46:$D$68)</f>
        <v>0</v>
      </c>
      <c r="H331" s="6">
        <f>SUMIF('OTRAS ACCIONES'!$B$70:$B$82,C331,'OTRAS ACCIONES'!$D$70:$D$82)</f>
        <v>0</v>
      </c>
      <c r="I331" s="6">
        <f>SUMIF('OTRAS ACCIONES'!$B$84:$B$89,C331,'OTRAS ACCIONES'!$D$84:$D$89)</f>
        <v>0</v>
      </c>
      <c r="J331" s="6">
        <f t="shared" si="37"/>
        <v>864</v>
      </c>
      <c r="K331" s="19">
        <f t="shared" si="38"/>
        <v>832</v>
      </c>
      <c r="L331" s="6"/>
      <c r="M331" s="271"/>
      <c r="N331" s="271">
        <f t="shared" si="39"/>
        <v>0</v>
      </c>
      <c r="O331" s="7">
        <f t="shared" si="40"/>
        <v>864</v>
      </c>
      <c r="P331" s="1" t="s">
        <v>486</v>
      </c>
      <c r="R331" s="4"/>
    </row>
    <row r="332" spans="1:18" x14ac:dyDescent="0.2">
      <c r="A332" s="274" t="s">
        <v>89</v>
      </c>
      <c r="B332" s="422">
        <v>252</v>
      </c>
      <c r="C332" s="6" t="s">
        <v>331</v>
      </c>
      <c r="D332" s="6">
        <f>SUMIF('PROG FORMACIÓN TITULADA'!$Q$8:$Q$1070,C332,'PROG FORMACIÓN TITULADA'!$R$8:$R$1070)</f>
        <v>0</v>
      </c>
      <c r="E332" s="6">
        <f>SUMIF('PROG FORM COMPLEM'!$G$9:$G$264,C332,'PROG FORM COMPLEM'!$K$9:$K$264)</f>
        <v>1680</v>
      </c>
      <c r="F332" s="6">
        <f>SUMIF('OTRAS ACCIONES'!$B$12:$B$44,C332,'OTRAS ACCIONES'!$D$12:$D$44)</f>
        <v>0</v>
      </c>
      <c r="G332" s="6">
        <f>SUMIF('OTRAS ACCIONES'!$B$46:$B$68,C332,'OTRAS ACCIONES'!$D$46:$D$68)</f>
        <v>0</v>
      </c>
      <c r="H332" s="6">
        <f>SUMIF('OTRAS ACCIONES'!$B$70:$B$82,C332,'OTRAS ACCIONES'!$D$70:$D$82)</f>
        <v>0</v>
      </c>
      <c r="I332" s="6">
        <f>SUMIF('OTRAS ACCIONES'!$B$84:$B$89,C332,'OTRAS ACCIONES'!$D$84:$D$89)</f>
        <v>0</v>
      </c>
      <c r="J332" s="6">
        <f t="shared" si="37"/>
        <v>1680</v>
      </c>
      <c r="K332" s="19">
        <f t="shared" si="38"/>
        <v>16</v>
      </c>
      <c r="L332" s="6"/>
      <c r="M332" s="271"/>
      <c r="N332" s="271">
        <f t="shared" si="39"/>
        <v>0</v>
      </c>
      <c r="O332" s="7">
        <f t="shared" si="40"/>
        <v>1680</v>
      </c>
      <c r="P332" s="1" t="s">
        <v>865</v>
      </c>
      <c r="R332" s="4"/>
    </row>
    <row r="333" spans="1:18" x14ac:dyDescent="0.2">
      <c r="A333" s="274" t="s">
        <v>89</v>
      </c>
      <c r="B333" s="422">
        <v>253</v>
      </c>
      <c r="C333" s="220" t="s">
        <v>585</v>
      </c>
      <c r="D333" s="6">
        <f>SUMIF('PROG FORMACIÓN TITULADA'!$Q$8:$Q$1070,C333,'PROG FORMACIÓN TITULADA'!$R$8:$R$1070)</f>
        <v>848</v>
      </c>
      <c r="E333" s="6">
        <f>SUMIF('PROG FORM COMPLEM'!$G$9:$G$264,C333,'PROG FORM COMPLEM'!$K$9:$K$264)</f>
        <v>0</v>
      </c>
      <c r="F333" s="6">
        <f>SUMIF('OTRAS ACCIONES'!$B$12:$B$44,C333,'OTRAS ACCIONES'!$D$12:$D$44)</f>
        <v>0</v>
      </c>
      <c r="G333" s="6">
        <f>SUMIF('OTRAS ACCIONES'!$B$46:$B$68,C333,'OTRAS ACCIONES'!$D$46:$D$68)</f>
        <v>0</v>
      </c>
      <c r="H333" s="6">
        <f>SUMIF('OTRAS ACCIONES'!$B$70:$B$82,C333,'OTRAS ACCIONES'!$D$70:$D$82)</f>
        <v>0</v>
      </c>
      <c r="I333" s="6">
        <f>SUMIF('OTRAS ACCIONES'!$B$84:$B$89,C333,'OTRAS ACCIONES'!$D$84:$D$89)</f>
        <v>0</v>
      </c>
      <c r="J333" s="6">
        <f t="shared" si="37"/>
        <v>848</v>
      </c>
      <c r="K333" s="19">
        <f t="shared" si="38"/>
        <v>848</v>
      </c>
      <c r="L333" s="6"/>
      <c r="M333" s="271"/>
      <c r="N333" s="271">
        <f t="shared" si="39"/>
        <v>0</v>
      </c>
      <c r="O333" s="7">
        <f t="shared" si="40"/>
        <v>848</v>
      </c>
      <c r="P333" s="1" t="s">
        <v>339</v>
      </c>
      <c r="R333" s="4"/>
    </row>
    <row r="334" spans="1:18" x14ac:dyDescent="0.2">
      <c r="A334" s="274" t="s">
        <v>89</v>
      </c>
      <c r="B334" s="422">
        <v>254</v>
      </c>
      <c r="C334" s="6" t="s">
        <v>641</v>
      </c>
      <c r="D334" s="6">
        <f>SUMIF('PROG FORMACIÓN TITULADA'!$Q$8:$Q$1070,C334,'PROG FORMACIÓN TITULADA'!$R$8:$R$1070)</f>
        <v>0</v>
      </c>
      <c r="E334" s="6">
        <f>SUMIF('PROG FORM COMPLEM'!$G$9:$G$264,C334,'PROG FORM COMPLEM'!$K$9:$K$264)</f>
        <v>0</v>
      </c>
      <c r="F334" s="6">
        <f>SUMIF('OTRAS ACCIONES'!$B$12:$B$44,C334,'OTRAS ACCIONES'!$D$12:$D$44)</f>
        <v>0</v>
      </c>
      <c r="G334" s="6">
        <f>SUMIF('OTRAS ACCIONES'!$B$46:$B$68,C334,'OTRAS ACCIONES'!$D$46:$D$68)</f>
        <v>0</v>
      </c>
      <c r="H334" s="6">
        <f>SUMIF('OTRAS ACCIONES'!$B$70:$B$82,C334,'OTRAS ACCIONES'!$D$70:$D$82)</f>
        <v>0</v>
      </c>
      <c r="I334" s="6">
        <f>SUMIF('OTRAS ACCIONES'!$B$84:$B$89,C334,'OTRAS ACCIONES'!$D$84:$D$89)</f>
        <v>1688</v>
      </c>
      <c r="J334" s="6">
        <f t="shared" si="37"/>
        <v>1688</v>
      </c>
      <c r="K334" s="19">
        <f t="shared" si="38"/>
        <v>8</v>
      </c>
      <c r="L334" s="6"/>
      <c r="M334" s="271"/>
      <c r="N334" s="271">
        <f t="shared" si="39"/>
        <v>0</v>
      </c>
      <c r="O334" s="7">
        <f t="shared" si="40"/>
        <v>1688</v>
      </c>
      <c r="P334" s="1" t="s">
        <v>867</v>
      </c>
      <c r="R334" s="4"/>
    </row>
    <row r="335" spans="1:18" x14ac:dyDescent="0.2">
      <c r="A335" s="274" t="s">
        <v>89</v>
      </c>
      <c r="B335" s="422">
        <v>255</v>
      </c>
      <c r="C335" s="273" t="s">
        <v>893</v>
      </c>
      <c r="D335" s="6">
        <f>SUMIF('PROG FORMACIÓN TITULADA'!$Q$8:$Q$1070,C335,'PROG FORMACIÓN TITULADA'!$R$8:$R$1070)</f>
        <v>1196</v>
      </c>
      <c r="E335" s="6">
        <f>SUMIF('PROG FORM COMPLEM'!$G$9:$G$264,C335,'PROG FORM COMPLEM'!$K$9:$K$264)</f>
        <v>0</v>
      </c>
      <c r="F335" s="6">
        <f>SUMIF('OTRAS ACCIONES'!$B$12:$B$44,C335,'OTRAS ACCIONES'!$D$12:$D$44)</f>
        <v>0</v>
      </c>
      <c r="G335" s="6">
        <f>SUMIF('OTRAS ACCIONES'!$B$46:$B$68,C335,'OTRAS ACCIONES'!$D$46:$D$68)</f>
        <v>0</v>
      </c>
      <c r="H335" s="6">
        <f>SUMIF('OTRAS ACCIONES'!$B$70:$B$82,C335,'OTRAS ACCIONES'!$D$70:$D$82)</f>
        <v>0</v>
      </c>
      <c r="I335" s="6">
        <f>SUMIF('OTRAS ACCIONES'!$B$84:$B$89,C335,'OTRAS ACCIONES'!$D$84:$D$89)</f>
        <v>0</v>
      </c>
      <c r="J335" s="6">
        <f t="shared" si="37"/>
        <v>1196</v>
      </c>
      <c r="K335" s="19">
        <f t="shared" si="38"/>
        <v>500</v>
      </c>
      <c r="L335" s="6"/>
      <c r="M335" s="271"/>
      <c r="N335" s="271">
        <f t="shared" si="39"/>
        <v>0</v>
      </c>
      <c r="O335" s="7">
        <f t="shared" si="40"/>
        <v>1196</v>
      </c>
      <c r="P335" s="1" t="s">
        <v>208</v>
      </c>
      <c r="R335" s="4"/>
    </row>
    <row r="336" spans="1:18" x14ac:dyDescent="0.2">
      <c r="A336" s="274" t="s">
        <v>89</v>
      </c>
      <c r="B336" s="422">
        <v>256</v>
      </c>
      <c r="C336" s="5" t="s">
        <v>592</v>
      </c>
      <c r="D336" s="6">
        <f>SUMIF('PROG FORMACIÓN TITULADA'!$Q$8:$Q$1070,C336,'PROG FORMACIÓN TITULADA'!$R$8:$R$1070)</f>
        <v>0</v>
      </c>
      <c r="E336" s="6">
        <f>SUMIF('PROG FORM COMPLEM'!$G$9:$G$264,C336,'PROG FORM COMPLEM'!$K$9:$K$264)</f>
        <v>0</v>
      </c>
      <c r="F336" s="6">
        <f>SUMIF('OTRAS ACCIONES'!$B$12:$B$44,C336,'OTRAS ACCIONES'!$D$12:$D$44)</f>
        <v>0</v>
      </c>
      <c r="G336" s="6">
        <f>SUMIF('OTRAS ACCIONES'!$B$46:$B$68,C336,'OTRAS ACCIONES'!$D$46:$D$68)</f>
        <v>1696</v>
      </c>
      <c r="H336" s="6">
        <f>SUMIF('OTRAS ACCIONES'!$B$70:$B$82,C336,'OTRAS ACCIONES'!$D$70:$D$82)</f>
        <v>0</v>
      </c>
      <c r="I336" s="6">
        <f>SUMIF('OTRAS ACCIONES'!$B$84:$B$89,C336,'OTRAS ACCIONES'!$D$84:$D$89)</f>
        <v>0</v>
      </c>
      <c r="J336" s="6">
        <f t="shared" si="37"/>
        <v>1696</v>
      </c>
      <c r="K336" s="19">
        <f t="shared" si="38"/>
        <v>0</v>
      </c>
      <c r="L336" s="6"/>
      <c r="M336" s="271"/>
      <c r="N336" s="271">
        <f t="shared" si="39"/>
        <v>0</v>
      </c>
      <c r="O336" s="7">
        <f t="shared" si="40"/>
        <v>1696</v>
      </c>
      <c r="P336" s="1" t="s">
        <v>866</v>
      </c>
      <c r="R336" s="4"/>
    </row>
    <row r="337" spans="1:18" x14ac:dyDescent="0.2">
      <c r="A337" s="274" t="s">
        <v>89</v>
      </c>
      <c r="B337" s="422">
        <v>257</v>
      </c>
      <c r="C337" s="6" t="s">
        <v>332</v>
      </c>
      <c r="D337" s="6">
        <f>SUMIF('PROG FORMACIÓN TITULADA'!$Q$8:$Q$1070,C337,'PROG FORMACIÓN TITULADA'!$R$8:$R$1070)</f>
        <v>0</v>
      </c>
      <c r="E337" s="6">
        <f>SUMIF('PROG FORM COMPLEM'!$G$9:$G$264,C337,'PROG FORM COMPLEM'!$K$9:$K$264)</f>
        <v>1680</v>
      </c>
      <c r="F337" s="6">
        <f>SUMIF('OTRAS ACCIONES'!$B$12:$B$44,C337,'OTRAS ACCIONES'!$D$12:$D$44)</f>
        <v>0</v>
      </c>
      <c r="G337" s="6">
        <f>SUMIF('OTRAS ACCIONES'!$B$46:$B$68,C337,'OTRAS ACCIONES'!$D$46:$D$68)</f>
        <v>0</v>
      </c>
      <c r="H337" s="6">
        <f>SUMIF('OTRAS ACCIONES'!$B$70:$B$82,C337,'OTRAS ACCIONES'!$D$70:$D$82)</f>
        <v>0</v>
      </c>
      <c r="I337" s="6">
        <f>SUMIF('OTRAS ACCIONES'!$B$84:$B$89,C337,'OTRAS ACCIONES'!$D$84:$D$89)</f>
        <v>0</v>
      </c>
      <c r="J337" s="6">
        <f t="shared" si="37"/>
        <v>1680</v>
      </c>
      <c r="K337" s="19">
        <f t="shared" si="38"/>
        <v>16</v>
      </c>
      <c r="L337" s="6"/>
      <c r="M337" s="271"/>
      <c r="N337" s="271">
        <f t="shared" si="39"/>
        <v>0</v>
      </c>
      <c r="O337" s="7">
        <f t="shared" si="40"/>
        <v>1680</v>
      </c>
      <c r="P337" s="1" t="s">
        <v>865</v>
      </c>
      <c r="R337" s="4"/>
    </row>
    <row r="338" spans="1:18" s="409" customFormat="1" x14ac:dyDescent="0.2">
      <c r="A338" s="274" t="s">
        <v>89</v>
      </c>
      <c r="B338" s="422">
        <v>258</v>
      </c>
      <c r="C338" s="6" t="s">
        <v>602</v>
      </c>
      <c r="D338" s="6">
        <f>SUMIF('PROG FORMACIÓN TITULADA'!$Q$8:$Q$1070,C338,'PROG FORMACIÓN TITULADA'!$R$8:$R$1070)</f>
        <v>936</v>
      </c>
      <c r="E338" s="6">
        <f>SUMIF('PROG FORM COMPLEM'!$G$9:$G$264,C338,'PROG FORM COMPLEM'!$K$9:$K$264)</f>
        <v>760</v>
      </c>
      <c r="F338" s="6">
        <f>SUMIF('OTRAS ACCIONES'!$B$12:$B$44,C338,'OTRAS ACCIONES'!$D$12:$D$44)</f>
        <v>0</v>
      </c>
      <c r="G338" s="6">
        <f>SUMIF('OTRAS ACCIONES'!$B$46:$B$68,C338,'OTRAS ACCIONES'!$D$46:$D$68)</f>
        <v>0</v>
      </c>
      <c r="H338" s="6">
        <f>SUMIF('OTRAS ACCIONES'!$B$70:$B$82,C338,'OTRAS ACCIONES'!$D$70:$D$82)</f>
        <v>0</v>
      </c>
      <c r="I338" s="6">
        <f>SUMIF('OTRAS ACCIONES'!$B$84:$B$89,C338,'OTRAS ACCIONES'!$D$84:$D$89)</f>
        <v>0</v>
      </c>
      <c r="J338" s="6">
        <f t="shared" ref="J338:J344" si="41">SUM(D338:I338)</f>
        <v>1696</v>
      </c>
      <c r="K338" s="19">
        <f t="shared" ref="K338:K344" si="42">($N$5*40/5)-J338</f>
        <v>0</v>
      </c>
      <c r="L338" s="6"/>
      <c r="M338" s="271"/>
      <c r="N338" s="271">
        <f t="shared" ref="N338:N344" si="43">SUM(L338:M338)</f>
        <v>0</v>
      </c>
      <c r="O338" s="7">
        <f t="shared" ref="O338:O344" si="44">J338+N338</f>
        <v>1696</v>
      </c>
      <c r="P338" s="1" t="s">
        <v>208</v>
      </c>
      <c r="Q338" s="1"/>
      <c r="R338" s="4"/>
    </row>
    <row r="339" spans="1:18" s="409" customFormat="1" x14ac:dyDescent="0.2">
      <c r="A339" s="274" t="s">
        <v>89</v>
      </c>
      <c r="B339" s="422">
        <v>259</v>
      </c>
      <c r="C339" s="220" t="s">
        <v>863</v>
      </c>
      <c r="D339" s="6">
        <f>SUMIF('PROG FORMACIÓN TITULADA'!$Q$8:$Q$1070,C339,'PROG FORMACIÓN TITULADA'!$R$8:$R$1070)</f>
        <v>1112</v>
      </c>
      <c r="E339" s="6">
        <f>SUMIF('PROG FORM COMPLEM'!$G$9:$G$264,C339,'PROG FORM COMPLEM'!$K$9:$K$264)</f>
        <v>0</v>
      </c>
      <c r="F339" s="6">
        <f>SUMIF('OTRAS ACCIONES'!$B$12:$B$44,C339,'OTRAS ACCIONES'!$D$12:$D$44)</f>
        <v>0</v>
      </c>
      <c r="G339" s="6">
        <f>SUMIF('OTRAS ACCIONES'!$B$46:$B$68,C339,'OTRAS ACCIONES'!$D$46:$D$68)</f>
        <v>0</v>
      </c>
      <c r="H339" s="6">
        <f>SUMIF('OTRAS ACCIONES'!$B$70:$B$82,C339,'OTRAS ACCIONES'!$D$70:$D$82)</f>
        <v>0</v>
      </c>
      <c r="I339" s="6">
        <f>SUMIF('OTRAS ACCIONES'!$B$84:$B$89,C339,'OTRAS ACCIONES'!$D$84:$D$89)</f>
        <v>0</v>
      </c>
      <c r="J339" s="6">
        <f t="shared" si="41"/>
        <v>1112</v>
      </c>
      <c r="K339" s="19">
        <f t="shared" si="42"/>
        <v>584</v>
      </c>
      <c r="L339" s="6"/>
      <c r="M339" s="271"/>
      <c r="N339" s="271">
        <f t="shared" si="43"/>
        <v>0</v>
      </c>
      <c r="O339" s="7">
        <f t="shared" si="44"/>
        <v>1112</v>
      </c>
      <c r="P339" s="1" t="s">
        <v>486</v>
      </c>
      <c r="Q339" s="1"/>
      <c r="R339" s="4"/>
    </row>
    <row r="340" spans="1:18" s="409" customFormat="1" x14ac:dyDescent="0.2">
      <c r="A340" s="274" t="s">
        <v>89</v>
      </c>
      <c r="B340" s="422">
        <v>260</v>
      </c>
      <c r="C340" s="6" t="s">
        <v>653</v>
      </c>
      <c r="D340" s="6">
        <f>SUMIF('PROG FORMACIÓN TITULADA'!$Q$8:$Q$1070,C340,'PROG FORMACIÓN TITULADA'!$R$8:$R$1070)</f>
        <v>1696</v>
      </c>
      <c r="E340" s="6">
        <f>SUMIF('PROG FORM COMPLEM'!$G$9:$G$264,C340,'PROG FORM COMPLEM'!$K$9:$K$264)</f>
        <v>0</v>
      </c>
      <c r="F340" s="6">
        <f>SUMIF('OTRAS ACCIONES'!$B$12:$B$44,C340,'OTRAS ACCIONES'!$D$12:$D$44)</f>
        <v>0</v>
      </c>
      <c r="G340" s="6">
        <f>SUMIF('OTRAS ACCIONES'!$B$46:$B$68,C340,'OTRAS ACCIONES'!$D$46:$D$68)</f>
        <v>0</v>
      </c>
      <c r="H340" s="6">
        <f>SUMIF('OTRAS ACCIONES'!$B$70:$B$82,C340,'OTRAS ACCIONES'!$D$70:$D$82)</f>
        <v>0</v>
      </c>
      <c r="I340" s="6">
        <f>SUMIF('OTRAS ACCIONES'!$B$84:$B$89,C340,'OTRAS ACCIONES'!$D$84:$D$89)</f>
        <v>0</v>
      </c>
      <c r="J340" s="6">
        <f t="shared" si="41"/>
        <v>1696</v>
      </c>
      <c r="K340" s="19">
        <f t="shared" si="42"/>
        <v>0</v>
      </c>
      <c r="L340" s="6"/>
      <c r="M340" s="271"/>
      <c r="N340" s="271">
        <f t="shared" si="43"/>
        <v>0</v>
      </c>
      <c r="O340" s="7">
        <f t="shared" si="44"/>
        <v>1696</v>
      </c>
      <c r="P340" s="1" t="s">
        <v>865</v>
      </c>
      <c r="Q340" s="1"/>
      <c r="R340" s="4"/>
    </row>
    <row r="341" spans="1:18" x14ac:dyDescent="0.2">
      <c r="A341" s="274" t="s">
        <v>89</v>
      </c>
      <c r="B341" s="422">
        <v>261</v>
      </c>
      <c r="C341" s="6" t="s">
        <v>333</v>
      </c>
      <c r="D341" s="6">
        <f>SUMIF('PROG FORMACIÓN TITULADA'!$Q$8:$Q$1070,C341,'PROG FORMACIÓN TITULADA'!$R$8:$R$1070)</f>
        <v>848</v>
      </c>
      <c r="E341" s="6">
        <f>SUMIF('PROG FORM COMPLEM'!$G$9:$G$264,C341,'PROG FORM COMPLEM'!$K$9:$K$264)</f>
        <v>850</v>
      </c>
      <c r="F341" s="6">
        <f>SUMIF('OTRAS ACCIONES'!$B$12:$B$44,C341,'OTRAS ACCIONES'!$D$12:$D$44)</f>
        <v>0</v>
      </c>
      <c r="G341" s="6">
        <f>SUMIF('OTRAS ACCIONES'!$B$46:$B$68,C341,'OTRAS ACCIONES'!$D$46:$D$68)</f>
        <v>0</v>
      </c>
      <c r="H341" s="6">
        <f>SUMIF('OTRAS ACCIONES'!$B$70:$B$82,C341,'OTRAS ACCIONES'!$D$70:$D$82)</f>
        <v>0</v>
      </c>
      <c r="I341" s="6">
        <f>SUMIF('OTRAS ACCIONES'!$B$84:$B$89,C341,'OTRAS ACCIONES'!$D$84:$D$89)</f>
        <v>0</v>
      </c>
      <c r="J341" s="6">
        <f t="shared" si="41"/>
        <v>1698</v>
      </c>
      <c r="K341" s="19">
        <f t="shared" si="42"/>
        <v>-2</v>
      </c>
      <c r="L341" s="6"/>
      <c r="M341" s="271"/>
      <c r="N341" s="271">
        <f t="shared" si="43"/>
        <v>0</v>
      </c>
      <c r="O341" s="7">
        <f t="shared" si="44"/>
        <v>1698</v>
      </c>
      <c r="P341" s="1" t="s">
        <v>451</v>
      </c>
      <c r="R341" s="4"/>
    </row>
    <row r="342" spans="1:18" ht="15" customHeight="1" x14ac:dyDescent="0.2">
      <c r="A342" s="274" t="s">
        <v>89</v>
      </c>
      <c r="B342" s="422">
        <v>262</v>
      </c>
      <c r="C342" s="6" t="s">
        <v>334</v>
      </c>
      <c r="D342" s="6">
        <f>SUMIF('PROG FORMACIÓN TITULADA'!$Q$8:$Q$1070,C342,'PROG FORMACIÓN TITULADA'!$R$8:$R$1070)</f>
        <v>948</v>
      </c>
      <c r="E342" s="6">
        <f>SUMIF('PROG FORM COMPLEM'!$G$9:$G$264,C342,'PROG FORM COMPLEM'!$K$9:$K$264)</f>
        <v>720</v>
      </c>
      <c r="F342" s="6">
        <f>SUMIF('OTRAS ACCIONES'!$B$12:$B$44,C342,'OTRAS ACCIONES'!$D$12:$D$44)</f>
        <v>0</v>
      </c>
      <c r="G342" s="6">
        <f>SUMIF('OTRAS ACCIONES'!$B$46:$B$68,C342,'OTRAS ACCIONES'!$D$46:$D$68)</f>
        <v>0</v>
      </c>
      <c r="H342" s="6">
        <f>SUMIF('OTRAS ACCIONES'!$B$70:$B$82,C342,'OTRAS ACCIONES'!$D$70:$D$82)</f>
        <v>0</v>
      </c>
      <c r="I342" s="6">
        <f>SUMIF('OTRAS ACCIONES'!$B$84:$B$89,C342,'OTRAS ACCIONES'!$D$84:$D$89)</f>
        <v>0</v>
      </c>
      <c r="J342" s="6">
        <f t="shared" si="41"/>
        <v>1668</v>
      </c>
      <c r="K342" s="19">
        <f t="shared" si="42"/>
        <v>28</v>
      </c>
      <c r="L342" s="6"/>
      <c r="M342" s="271"/>
      <c r="N342" s="271">
        <f t="shared" si="43"/>
        <v>0</v>
      </c>
      <c r="O342" s="7">
        <f t="shared" si="44"/>
        <v>1668</v>
      </c>
      <c r="P342" s="1" t="s">
        <v>486</v>
      </c>
      <c r="R342" s="4"/>
    </row>
    <row r="343" spans="1:18" ht="15" customHeight="1" x14ac:dyDescent="0.2">
      <c r="A343" s="274" t="s">
        <v>89</v>
      </c>
      <c r="B343" s="422">
        <v>263</v>
      </c>
      <c r="C343" s="6" t="s">
        <v>335</v>
      </c>
      <c r="D343" s="6">
        <f>SUMIF('PROG FORMACIÓN TITULADA'!$Q$8:$Q$1070,C343,'PROG FORMACIÓN TITULADA'!$R$8:$R$1070)</f>
        <v>0</v>
      </c>
      <c r="E343" s="6">
        <f>SUMIF('PROG FORM COMPLEM'!$G$9:$G$264,C343,'PROG FORM COMPLEM'!$K$9:$K$264)</f>
        <v>1680</v>
      </c>
      <c r="F343" s="6">
        <f>SUMIF('OTRAS ACCIONES'!$B$12:$B$44,C343,'OTRAS ACCIONES'!$D$12:$D$44)</f>
        <v>0</v>
      </c>
      <c r="G343" s="6">
        <f>SUMIF('OTRAS ACCIONES'!$B$46:$B$68,C343,'OTRAS ACCIONES'!$D$46:$D$68)</f>
        <v>0</v>
      </c>
      <c r="H343" s="6">
        <f>SUMIF('OTRAS ACCIONES'!$B$70:$B$82,C343,'OTRAS ACCIONES'!$D$70:$D$82)</f>
        <v>0</v>
      </c>
      <c r="I343" s="6">
        <f>SUMIF('OTRAS ACCIONES'!$B$84:$B$89,C343,'OTRAS ACCIONES'!$D$84:$D$89)</f>
        <v>0</v>
      </c>
      <c r="J343" s="6">
        <f t="shared" si="41"/>
        <v>1680</v>
      </c>
      <c r="K343" s="19">
        <f t="shared" si="42"/>
        <v>16</v>
      </c>
      <c r="L343" s="6"/>
      <c r="M343" s="271"/>
      <c r="N343" s="271">
        <f t="shared" si="43"/>
        <v>0</v>
      </c>
      <c r="O343" s="7">
        <f t="shared" si="44"/>
        <v>1680</v>
      </c>
      <c r="P343" s="1" t="s">
        <v>456</v>
      </c>
      <c r="R343" s="4"/>
    </row>
    <row r="344" spans="1:18" ht="15" customHeight="1" x14ac:dyDescent="0.2">
      <c r="A344" s="274" t="s">
        <v>89</v>
      </c>
      <c r="B344" s="422">
        <v>264</v>
      </c>
      <c r="C344" s="6" t="s">
        <v>336</v>
      </c>
      <c r="D344" s="6">
        <f>SUMIF('PROG FORMACIÓN TITULADA'!$Q$8:$Q$1070,C344,'PROG FORMACIÓN TITULADA'!$R$8:$R$1070)</f>
        <v>0</v>
      </c>
      <c r="E344" s="6">
        <f>SUMIF('PROG FORM COMPLEM'!$G$9:$G$264,C344,'PROG FORM COMPLEM'!$K$9:$K$264)</f>
        <v>0</v>
      </c>
      <c r="F344" s="6">
        <f>SUMIF('OTRAS ACCIONES'!$B$12:$B$44,C344,'OTRAS ACCIONES'!$D$12:$D$44)</f>
        <v>0</v>
      </c>
      <c r="G344" s="6">
        <f>SUMIF('OTRAS ACCIONES'!$B$46:$B$68,C344,'OTRAS ACCIONES'!$D$46:$D$68)</f>
        <v>1696</v>
      </c>
      <c r="H344" s="6">
        <f>SUMIF('OTRAS ACCIONES'!$B$70:$B$82,C344,'OTRAS ACCIONES'!$D$70:$D$82)</f>
        <v>0</v>
      </c>
      <c r="I344" s="6">
        <f>SUMIF('OTRAS ACCIONES'!$B$84:$B$89,C344,'OTRAS ACCIONES'!$D$84:$D$89)</f>
        <v>0</v>
      </c>
      <c r="J344" s="6">
        <f t="shared" si="41"/>
        <v>1696</v>
      </c>
      <c r="K344" s="19">
        <f t="shared" si="42"/>
        <v>0</v>
      </c>
      <c r="L344" s="6"/>
      <c r="M344" s="271"/>
      <c r="N344" s="271">
        <f t="shared" si="43"/>
        <v>0</v>
      </c>
      <c r="O344" s="7">
        <f t="shared" si="44"/>
        <v>1696</v>
      </c>
      <c r="P344" s="1" t="s">
        <v>866</v>
      </c>
      <c r="R344" s="4"/>
    </row>
    <row r="345" spans="1:18" x14ac:dyDescent="0.2">
      <c r="A345" s="274"/>
      <c r="B345" s="325"/>
      <c r="C345" s="278"/>
      <c r="D345" s="6"/>
      <c r="E345" s="6"/>
      <c r="F345" s="6"/>
      <c r="G345" s="6"/>
      <c r="H345" s="6"/>
      <c r="I345" s="6"/>
      <c r="J345" s="6"/>
      <c r="K345" s="19"/>
      <c r="L345" s="6"/>
      <c r="M345" s="271"/>
      <c r="N345" s="271"/>
      <c r="O345" s="7"/>
      <c r="P345" s="1"/>
      <c r="R345" s="4"/>
    </row>
    <row r="346" spans="1:18" x14ac:dyDescent="0.2">
      <c r="B346" s="39"/>
      <c r="C346" s="179" t="s">
        <v>90</v>
      </c>
      <c r="D346" s="51">
        <f>SUM(D81:D344)</f>
        <v>173974</v>
      </c>
      <c r="E346" s="51">
        <f t="shared" ref="E346:J346" si="45">SUM(E81:E344)</f>
        <v>158298</v>
      </c>
      <c r="F346" s="51">
        <f t="shared" si="45"/>
        <v>17354</v>
      </c>
      <c r="G346" s="51">
        <f t="shared" si="45"/>
        <v>33496</v>
      </c>
      <c r="H346" s="51">
        <f t="shared" si="45"/>
        <v>2807</v>
      </c>
      <c r="I346" s="51">
        <f t="shared" si="45"/>
        <v>9706</v>
      </c>
      <c r="J346" s="51">
        <f t="shared" si="45"/>
        <v>395635</v>
      </c>
      <c r="K346" s="51"/>
      <c r="L346" s="51">
        <f>SUM(L81:L344)</f>
        <v>0</v>
      </c>
      <c r="M346" s="51">
        <f t="shared" ref="M346:O346" si="46">SUM(M81:M344)</f>
        <v>0</v>
      </c>
      <c r="N346" s="51">
        <f t="shared" si="46"/>
        <v>0</v>
      </c>
      <c r="O346" s="51">
        <f t="shared" si="46"/>
        <v>395635</v>
      </c>
      <c r="P346" s="1"/>
    </row>
    <row r="347" spans="1:18" x14ac:dyDescent="0.2">
      <c r="A347" s="1"/>
      <c r="B347" s="5"/>
      <c r="C347" s="179" t="s">
        <v>91</v>
      </c>
      <c r="D347" s="50">
        <f t="shared" ref="D347:J347" si="47">+D346+D79</f>
        <v>205814.6</v>
      </c>
      <c r="E347" s="50">
        <f t="shared" si="47"/>
        <v>194148</v>
      </c>
      <c r="F347" s="50">
        <f>+F346+F79</f>
        <v>36418</v>
      </c>
      <c r="G347" s="50">
        <f t="shared" si="47"/>
        <v>35286</v>
      </c>
      <c r="H347" s="51">
        <f t="shared" si="47"/>
        <v>6588</v>
      </c>
      <c r="I347" s="51">
        <f t="shared" si="47"/>
        <v>9706</v>
      </c>
      <c r="J347" s="50">
        <f t="shared" si="47"/>
        <v>487960.6</v>
      </c>
      <c r="K347" s="51"/>
      <c r="L347" s="51">
        <f>+L346+L79</f>
        <v>0</v>
      </c>
      <c r="M347" s="50">
        <f>+M346+M79</f>
        <v>30273.600000000031</v>
      </c>
      <c r="N347" s="50">
        <f>+N346+N79</f>
        <v>11575.200000000003</v>
      </c>
      <c r="O347" s="50">
        <f>+O346+O79</f>
        <v>518234.1999999999</v>
      </c>
      <c r="P347" s="1"/>
    </row>
    <row r="349" spans="1:18" x14ac:dyDescent="0.2">
      <c r="A349" s="1"/>
      <c r="C349" s="407"/>
      <c r="D349" s="4"/>
    </row>
    <row r="350" spans="1:18" x14ac:dyDescent="0.2">
      <c r="A350" s="1"/>
      <c r="C350" s="407"/>
      <c r="D350" s="4">
        <f>D347-'PROG FORMACIÓN TITULADA'!R471</f>
        <v>0</v>
      </c>
      <c r="E350" s="4">
        <f>E347-'PROG FORM COMPLEM'!K265</f>
        <v>0</v>
      </c>
      <c r="G350" s="4">
        <f>35286-G347</f>
        <v>0</v>
      </c>
      <c r="K350" s="41"/>
    </row>
    <row r="351" spans="1:18" x14ac:dyDescent="0.2">
      <c r="A351" s="1"/>
      <c r="J351" s="41"/>
    </row>
    <row r="353" spans="1:5" x14ac:dyDescent="0.2">
      <c r="A353" s="1"/>
      <c r="C353" s="41"/>
      <c r="D353" s="256"/>
      <c r="E353" s="256"/>
    </row>
  </sheetData>
  <protectedRanges>
    <protectedRange sqref="L18:L35 L11:L16 L81:L345" name="Rango3"/>
    <protectedRange sqref="C84:C85 C11:C16 C81:C82 C88:C99 C18:C35" name="Rango2"/>
    <protectedRange sqref="B5:O6" name="Rango1"/>
    <protectedRange sqref="L36:L47" name="Rango3_1"/>
    <protectedRange sqref="C36:C39 C41:C47" name="Rango2_1"/>
    <protectedRange sqref="C80 C316:C327 C40 C252 C329 C102:C107 C280:C284 C274:C278 C55 C112:C113 C74:C78 C332:C334 C255:C256 C286:C297 C337:C344 C301:C314 C109:C110" name="Rango2_2"/>
    <protectedRange sqref="L48:L59" name="Rango3_3"/>
    <protectedRange sqref="C48:C54 C56:C59" name="Rango2_3"/>
    <protectedRange sqref="L60:L67" name="Rango3_5"/>
    <protectedRange sqref="C60:C67" name="Rango2_5"/>
    <protectedRange sqref="L17 L68:L78" name="Rango3_7"/>
    <protectedRange sqref="C68:C73 C17" name="Rango2_1_1"/>
    <protectedRange sqref="C345" name="Rango2_2_1"/>
    <protectedRange sqref="C257" name="Rango2_6_3"/>
    <protectedRange sqref="C108" name="Rango2_2_1_1"/>
  </protectedRanges>
  <autoFilter ref="A9:R344"/>
  <sortState ref="C76:C270">
    <sortCondition ref="C76"/>
  </sortState>
  <mergeCells count="8">
    <mergeCell ref="D8:I8"/>
    <mergeCell ref="L8:M8"/>
    <mergeCell ref="B2:N2"/>
    <mergeCell ref="C5:G5"/>
    <mergeCell ref="L5:M5"/>
    <mergeCell ref="N5:O5"/>
    <mergeCell ref="C6:O6"/>
    <mergeCell ref="I5:K5"/>
  </mergeCells>
  <phoneticPr fontId="9" type="noConversion"/>
  <printOptions horizontalCentered="1"/>
  <pageMargins left="0.31496062992125984" right="0.43307086614173229" top="0.26" bottom="0.24" header="0" footer="0"/>
  <pageSetup scale="80" orientation="landscape" r:id="rId1"/>
  <headerFooter alignWithMargins="0"/>
  <colBreaks count="1" manualBreakCount="1">
    <brk id="15" max="1048575" man="1"/>
  </colBreaks>
  <customProperties>
    <customPr name="DVSECTIONID" r:id="rId2"/>
  </customProperties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Z1070"/>
  <sheetViews>
    <sheetView zoomScale="80" zoomScaleNormal="80" zoomScaleSheetLayoutView="80" workbookViewId="0">
      <pane ySplit="7" topLeftCell="A8" activePane="bottomLeft" state="frozen"/>
      <selection pane="bottomLeft"/>
    </sheetView>
  </sheetViews>
  <sheetFormatPr baseColWidth="10" defaultRowHeight="12.75" x14ac:dyDescent="0.2"/>
  <cols>
    <col min="1" max="1" width="1.5703125" style="225" customWidth="1"/>
    <col min="2" max="2" width="11.7109375" style="225" customWidth="1"/>
    <col min="3" max="3" width="46.5703125" style="225" bestFit="1" customWidth="1"/>
    <col min="4" max="4" width="20.7109375" style="225" customWidth="1"/>
    <col min="5" max="5" width="16.28515625" style="244" customWidth="1"/>
    <col min="6" max="6" width="15" style="244" customWidth="1"/>
    <col min="7" max="7" width="12.42578125" style="225" customWidth="1"/>
    <col min="8" max="8" width="19.28515625" style="68" hidden="1" customWidth="1"/>
    <col min="9" max="9" width="16.5703125" style="245" hidden="1" customWidth="1"/>
    <col min="10" max="10" width="15.140625" style="225" hidden="1" customWidth="1"/>
    <col min="11" max="11" width="19.5703125" style="246" customWidth="1"/>
    <col min="12" max="12" width="19.28515625" style="246" bestFit="1" customWidth="1"/>
    <col min="13" max="13" width="12.28515625" style="225" customWidth="1"/>
    <col min="14" max="14" width="33" style="225" customWidth="1"/>
    <col min="15" max="15" width="30.140625" style="225" customWidth="1"/>
    <col min="16" max="16" width="11.42578125" style="225" customWidth="1"/>
    <col min="17" max="17" width="25.85546875" style="225" customWidth="1"/>
    <col min="18" max="18" width="14.28515625" style="225" customWidth="1"/>
    <col min="19" max="19" width="18" style="225" customWidth="1"/>
    <col min="20" max="23" width="11.42578125" style="225"/>
    <col min="24" max="24" width="14" style="225" bestFit="1" customWidth="1"/>
    <col min="25" max="25" width="12.7109375" style="225" bestFit="1" customWidth="1"/>
    <col min="26" max="26" width="27.7109375" style="225" customWidth="1"/>
    <col min="27" max="16384" width="11.42578125" style="225"/>
  </cols>
  <sheetData>
    <row r="1" spans="1:26" s="222" customFormat="1" ht="8.25" customHeight="1" x14ac:dyDescent="0.2">
      <c r="E1" s="229"/>
      <c r="F1" s="229"/>
      <c r="H1" s="248"/>
      <c r="I1" s="230"/>
      <c r="K1" s="231"/>
      <c r="L1" s="231"/>
    </row>
    <row r="2" spans="1:26" s="222" customFormat="1" ht="77.25" customHeight="1" x14ac:dyDescent="0.2">
      <c r="A2" s="324"/>
      <c r="B2" s="466" t="s">
        <v>80</v>
      </c>
      <c r="C2" s="467"/>
      <c r="D2" s="467"/>
      <c r="E2" s="467"/>
      <c r="F2" s="467"/>
      <c r="G2" s="467"/>
      <c r="H2" s="467"/>
      <c r="I2" s="467"/>
      <c r="J2" s="467"/>
      <c r="K2" s="467"/>
      <c r="L2" s="467"/>
      <c r="M2" s="467"/>
      <c r="N2" s="467"/>
      <c r="O2" s="467"/>
      <c r="P2" s="467"/>
      <c r="Q2" s="467"/>
      <c r="R2" s="31" t="s">
        <v>77</v>
      </c>
      <c r="S2" s="225"/>
      <c r="T2" s="222" t="s">
        <v>214</v>
      </c>
      <c r="U2" s="222" t="s">
        <v>215</v>
      </c>
      <c r="V2" s="222" t="s">
        <v>216</v>
      </c>
      <c r="W2" s="222" t="s">
        <v>217</v>
      </c>
    </row>
    <row r="3" spans="1:26" s="222" customFormat="1" x14ac:dyDescent="0.2">
      <c r="E3" s="229"/>
      <c r="F3" s="229"/>
      <c r="H3" s="248"/>
      <c r="I3" s="230"/>
      <c r="K3" s="231"/>
      <c r="L3" s="231"/>
      <c r="T3" s="36">
        <v>41659</v>
      </c>
      <c r="U3" s="36">
        <v>41736</v>
      </c>
      <c r="V3" s="36">
        <v>41827</v>
      </c>
      <c r="W3" s="36">
        <v>41904</v>
      </c>
      <c r="Y3" s="222" t="s">
        <v>200</v>
      </c>
    </row>
    <row r="4" spans="1:26" s="222" customFormat="1" x14ac:dyDescent="0.2">
      <c r="B4" s="468" t="s">
        <v>117</v>
      </c>
      <c r="C4" s="468"/>
      <c r="D4" s="472" t="s">
        <v>184</v>
      </c>
      <c r="E4" s="473"/>
      <c r="F4" s="473"/>
      <c r="G4" s="473"/>
      <c r="H4" s="473"/>
      <c r="I4" s="473"/>
      <c r="J4" s="473"/>
      <c r="K4" s="474"/>
      <c r="L4" s="232" t="s">
        <v>118</v>
      </c>
      <c r="M4" s="469" t="s">
        <v>836</v>
      </c>
      <c r="N4" s="470"/>
      <c r="O4" s="470"/>
      <c r="P4" s="470"/>
      <c r="Q4" s="470"/>
      <c r="R4" s="471"/>
      <c r="T4" s="36">
        <v>41734</v>
      </c>
      <c r="U4" s="36">
        <v>41811</v>
      </c>
      <c r="V4" s="36">
        <v>41902</v>
      </c>
      <c r="W4" s="36">
        <v>41983</v>
      </c>
      <c r="Y4" s="222" t="s">
        <v>191</v>
      </c>
    </row>
    <row r="5" spans="1:26" s="222" customFormat="1" x14ac:dyDescent="0.2">
      <c r="B5" s="468" t="s">
        <v>116</v>
      </c>
      <c r="C5" s="468"/>
      <c r="D5" s="472" t="s">
        <v>338</v>
      </c>
      <c r="E5" s="473"/>
      <c r="F5" s="473"/>
      <c r="G5" s="473"/>
      <c r="H5" s="473"/>
      <c r="I5" s="473"/>
      <c r="J5" s="473"/>
      <c r="K5" s="474"/>
      <c r="L5" s="233"/>
      <c r="M5" s="223"/>
      <c r="N5" s="223"/>
      <c r="O5" s="223"/>
      <c r="P5" s="223"/>
      <c r="Q5" s="223"/>
      <c r="R5" s="223"/>
      <c r="T5" s="224">
        <f>DAYS360(T3,T4)</f>
        <v>75</v>
      </c>
      <c r="U5" s="224">
        <f>DAYS360(U3,U4)</f>
        <v>74</v>
      </c>
      <c r="V5" s="224">
        <f>DAYS360(V3,V4)</f>
        <v>73</v>
      </c>
      <c r="W5" s="224">
        <f>DAYS360(W3,W4)</f>
        <v>78</v>
      </c>
    </row>
    <row r="6" spans="1:26" s="222" customFormat="1" x14ac:dyDescent="0.2">
      <c r="E6" s="229"/>
      <c r="F6" s="229"/>
      <c r="H6" s="248"/>
      <c r="I6" s="230"/>
      <c r="K6" s="231"/>
      <c r="L6" s="231"/>
    </row>
    <row r="7" spans="1:26" s="222" customFormat="1" ht="42.75" customHeight="1" x14ac:dyDescent="0.2">
      <c r="B7" s="37" t="s">
        <v>199</v>
      </c>
      <c r="C7" s="334" t="s">
        <v>94</v>
      </c>
      <c r="D7" s="30" t="s">
        <v>117</v>
      </c>
      <c r="E7" s="73" t="s">
        <v>95</v>
      </c>
      <c r="F7" s="58" t="s">
        <v>99</v>
      </c>
      <c r="G7" s="30" t="s">
        <v>202</v>
      </c>
      <c r="H7" s="34" t="s">
        <v>188</v>
      </c>
      <c r="I7" s="34" t="s">
        <v>187</v>
      </c>
      <c r="J7" s="30" t="s">
        <v>123</v>
      </c>
      <c r="K7" s="33" t="s">
        <v>100</v>
      </c>
      <c r="L7" s="33" t="s">
        <v>101</v>
      </c>
      <c r="M7" s="334" t="s">
        <v>105</v>
      </c>
      <c r="N7" s="30" t="s">
        <v>102</v>
      </c>
      <c r="O7" s="30" t="s">
        <v>126</v>
      </c>
      <c r="P7" s="334" t="s">
        <v>104</v>
      </c>
      <c r="Q7" s="30" t="s">
        <v>97</v>
      </c>
      <c r="R7" s="35" t="s">
        <v>98</v>
      </c>
      <c r="S7" s="219" t="s">
        <v>559</v>
      </c>
      <c r="T7" s="334" t="s">
        <v>127</v>
      </c>
      <c r="U7" s="334" t="s">
        <v>128</v>
      </c>
      <c r="V7" s="334" t="s">
        <v>129</v>
      </c>
      <c r="W7" s="334" t="s">
        <v>130</v>
      </c>
      <c r="Y7" s="218" t="s">
        <v>557</v>
      </c>
      <c r="Z7" s="218" t="s">
        <v>558</v>
      </c>
    </row>
    <row r="8" spans="1:26" s="222" customFormat="1" ht="25.5" x14ac:dyDescent="0.2">
      <c r="A8" s="222">
        <v>1</v>
      </c>
      <c r="B8" s="20">
        <v>519190</v>
      </c>
      <c r="C8" s="189" t="s">
        <v>446</v>
      </c>
      <c r="D8" s="189" t="s">
        <v>451</v>
      </c>
      <c r="E8" s="59">
        <v>41463</v>
      </c>
      <c r="F8" s="59">
        <v>41983</v>
      </c>
      <c r="G8" s="20">
        <v>25</v>
      </c>
      <c r="H8" s="34" t="s">
        <v>811</v>
      </c>
      <c r="I8" s="34" t="s">
        <v>829</v>
      </c>
      <c r="J8" s="30" t="s">
        <v>124</v>
      </c>
      <c r="K8" s="33">
        <v>41659</v>
      </c>
      <c r="L8" s="33">
        <v>41983</v>
      </c>
      <c r="M8" s="334">
        <v>5</v>
      </c>
      <c r="N8" s="20" t="s">
        <v>799</v>
      </c>
      <c r="O8" s="30" t="s">
        <v>792</v>
      </c>
      <c r="P8" s="30" t="s">
        <v>190</v>
      </c>
      <c r="Q8" s="30" t="s">
        <v>568</v>
      </c>
      <c r="R8" s="35">
        <v>1272</v>
      </c>
      <c r="S8" s="20" t="s">
        <v>494</v>
      </c>
      <c r="T8" s="327">
        <f>IF(K8=$T$3,$T$5*R8/DAYS360(K8,L8),0)</f>
        <v>298.125</v>
      </c>
      <c r="U8" s="327">
        <f>IF(K8=$U$3,$U$5*R8/DAYS360(K8,L8),0)+IF(K8=$T$3,IF(L8=$U$4,R8-T8,0),0)+IF(K8=$T$3,IF(L8=$V$4,(R8-T8)/2,0),0)+IF(K8=$T$3,IF(L8=$W$4,(R8-T8)/3,0),0)</f>
        <v>324.625</v>
      </c>
      <c r="V8" s="327">
        <f>IF(K8=$V$3,$V$5*R8/DAYS360(K8,L8),0)+IF(K8=$T$3,IF(L8=$V$4,R8-T8-U8,0),0)+IF(K8=$T$3,IF(L8=$W$4,(R8-T8-U8)/2,0),0)+IF(K8=$U$3,IF(L8=$V$4,R8-U8,0),0)+IF(K8=$U$3,IF(L8=$W$4,(R8-U8)/2,0),0)</f>
        <v>324.625</v>
      </c>
      <c r="W8" s="327">
        <f>IF(K8=$W$3,$W$5*R8/DAYS360(K8,L8),0)+IF(K8=$T$3,IF(L8=$W$4,R8-T8-U8-V8,0),0)+IF(K8=$U$3,IF(L8=$W$4,R8-U8-V8,0),0)+IF(K8=$V$3,IF(L8=$W$4,R8-V8,0),0)</f>
        <v>324.625</v>
      </c>
      <c r="Y8" s="318"/>
      <c r="Z8" s="318"/>
    </row>
    <row r="9" spans="1:26" s="222" customFormat="1" ht="25.5" x14ac:dyDescent="0.2">
      <c r="A9" s="222">
        <v>2</v>
      </c>
      <c r="B9" s="20">
        <v>531364</v>
      </c>
      <c r="C9" s="189" t="s">
        <v>446</v>
      </c>
      <c r="D9" s="213" t="s">
        <v>451</v>
      </c>
      <c r="E9" s="59">
        <v>41463</v>
      </c>
      <c r="F9" s="59">
        <v>41983</v>
      </c>
      <c r="G9" s="20">
        <v>30</v>
      </c>
      <c r="H9" s="34" t="s">
        <v>811</v>
      </c>
      <c r="I9" s="34" t="s">
        <v>829</v>
      </c>
      <c r="J9" s="30" t="s">
        <v>124</v>
      </c>
      <c r="K9" s="33">
        <v>41659</v>
      </c>
      <c r="L9" s="33">
        <v>41983</v>
      </c>
      <c r="M9" s="334">
        <v>5</v>
      </c>
      <c r="N9" s="20" t="s">
        <v>800</v>
      </c>
      <c r="O9" s="30" t="s">
        <v>792</v>
      </c>
      <c r="P9" s="30" t="s">
        <v>190</v>
      </c>
      <c r="Q9" s="30" t="s">
        <v>569</v>
      </c>
      <c r="R9" s="35">
        <v>1272</v>
      </c>
      <c r="S9" s="20" t="s">
        <v>495</v>
      </c>
      <c r="T9" s="327">
        <f t="shared" ref="T9:T84" si="0">IF(K9=$T$3,$T$5*R9/DAYS360(K9,L9),0)</f>
        <v>298.125</v>
      </c>
      <c r="U9" s="327">
        <f t="shared" ref="U9:U84" si="1">IF(K9=$U$3,$U$5*R9/DAYS360(K9,L9),0)+IF(K9=$T$3,IF(L9=$U$4,R9-T9,0),0)+IF(K9=$T$3,IF(L9=$V$4,(R9-T9)/2,0),0)+IF(K9=$T$3,IF(L9=$W$4,(R9-T9)/3,0),0)</f>
        <v>324.625</v>
      </c>
      <c r="V9" s="327">
        <f t="shared" ref="V9:V84" si="2">IF(K9=$V$3,$V$5*R9/DAYS360(K9,L9),0)+IF(K9=$T$3,IF(L9=$V$4,R9-T9-U9,0),0)+IF(K9=$T$3,IF(L9=$W$4,(R9-T9-U9)/2,0),0)+IF(K9=$U$3,IF(L9=$V$4,R9-U9,0),0)+IF(K9=$U$3,IF(L9=$W$4,(R9-U9)/2,0),0)</f>
        <v>324.625</v>
      </c>
      <c r="W9" s="327">
        <f t="shared" ref="W9:W84" si="3">IF(K9=$W$3,$W$5*R9/DAYS360(K9,L9),0)+IF(K9=$T$3,IF(L9=$W$4,R9-T9-U9-V9,0),0)+IF(K9=$U$3,IF(L9=$W$4,R9-U9-V9,0),0)+IF(K9=$V$3,IF(L9=$W$4,R9-V9,0),0)</f>
        <v>324.625</v>
      </c>
      <c r="Y9" s="318"/>
      <c r="Z9" s="318"/>
    </row>
    <row r="10" spans="1:26" s="222" customFormat="1" ht="25.5" x14ac:dyDescent="0.2">
      <c r="A10" s="222">
        <v>3</v>
      </c>
      <c r="B10" s="20">
        <v>519215</v>
      </c>
      <c r="C10" s="189" t="s">
        <v>444</v>
      </c>
      <c r="D10" s="189" t="s">
        <v>451</v>
      </c>
      <c r="E10" s="59">
        <v>41463</v>
      </c>
      <c r="F10" s="59">
        <v>41983</v>
      </c>
      <c r="G10" s="20">
        <v>23</v>
      </c>
      <c r="H10" s="34" t="s">
        <v>811</v>
      </c>
      <c r="I10" s="34" t="s">
        <v>829</v>
      </c>
      <c r="J10" s="30" t="s">
        <v>124</v>
      </c>
      <c r="K10" s="33">
        <v>41659</v>
      </c>
      <c r="L10" s="33">
        <v>41983</v>
      </c>
      <c r="M10" s="334">
        <v>5</v>
      </c>
      <c r="N10" s="20" t="s">
        <v>800</v>
      </c>
      <c r="O10" s="30" t="s">
        <v>793</v>
      </c>
      <c r="P10" s="30" t="s">
        <v>190</v>
      </c>
      <c r="Q10" s="30" t="s">
        <v>260</v>
      </c>
      <c r="R10" s="35">
        <v>1272</v>
      </c>
      <c r="S10" s="20" t="s">
        <v>489</v>
      </c>
      <c r="T10" s="327">
        <f t="shared" si="0"/>
        <v>298.125</v>
      </c>
      <c r="U10" s="327">
        <f t="shared" si="1"/>
        <v>324.625</v>
      </c>
      <c r="V10" s="327">
        <f t="shared" si="2"/>
        <v>324.625</v>
      </c>
      <c r="W10" s="327">
        <f t="shared" si="3"/>
        <v>324.625</v>
      </c>
      <c r="Y10" s="318"/>
      <c r="Z10" s="318"/>
    </row>
    <row r="11" spans="1:26" s="222" customFormat="1" ht="25.5" x14ac:dyDescent="0.2">
      <c r="A11" s="222">
        <v>4</v>
      </c>
      <c r="B11" s="20">
        <v>519217</v>
      </c>
      <c r="C11" s="189" t="s">
        <v>443</v>
      </c>
      <c r="D11" s="189" t="s">
        <v>451</v>
      </c>
      <c r="E11" s="59">
        <v>41463</v>
      </c>
      <c r="F11" s="59">
        <v>41983</v>
      </c>
      <c r="G11" s="20">
        <v>25</v>
      </c>
      <c r="H11" s="34" t="s">
        <v>811</v>
      </c>
      <c r="I11" s="34" t="s">
        <v>829</v>
      </c>
      <c r="J11" s="30" t="s">
        <v>124</v>
      </c>
      <c r="K11" s="33">
        <v>41659</v>
      </c>
      <c r="L11" s="33">
        <v>41983</v>
      </c>
      <c r="M11" s="334">
        <v>5</v>
      </c>
      <c r="N11" s="189" t="s">
        <v>801</v>
      </c>
      <c r="O11" s="30" t="s">
        <v>792</v>
      </c>
      <c r="P11" s="30" t="s">
        <v>190</v>
      </c>
      <c r="Q11" s="30" t="s">
        <v>333</v>
      </c>
      <c r="R11" s="35">
        <v>848</v>
      </c>
      <c r="S11" s="20" t="s">
        <v>490</v>
      </c>
      <c r="T11" s="327">
        <f t="shared" si="0"/>
        <v>198.75</v>
      </c>
      <c r="U11" s="327">
        <f t="shared" si="1"/>
        <v>216.41666666666666</v>
      </c>
      <c r="V11" s="327">
        <f t="shared" si="2"/>
        <v>216.41666666666669</v>
      </c>
      <c r="W11" s="327">
        <f t="shared" si="3"/>
        <v>216.41666666666669</v>
      </c>
      <c r="Y11" s="318"/>
      <c r="Z11" s="318"/>
    </row>
    <row r="12" spans="1:26" s="222" customFormat="1" ht="38.25" x14ac:dyDescent="0.2">
      <c r="A12" s="222">
        <v>5</v>
      </c>
      <c r="B12" s="319">
        <v>577975</v>
      </c>
      <c r="C12" s="319" t="s">
        <v>448</v>
      </c>
      <c r="D12" s="319" t="s">
        <v>451</v>
      </c>
      <c r="E12" s="59">
        <v>41540</v>
      </c>
      <c r="F12" s="322">
        <v>41734</v>
      </c>
      <c r="G12" s="319">
        <v>12</v>
      </c>
      <c r="H12" s="34" t="s">
        <v>811</v>
      </c>
      <c r="I12" s="34" t="s">
        <v>829</v>
      </c>
      <c r="J12" s="30" t="s">
        <v>124</v>
      </c>
      <c r="K12" s="33">
        <v>41659</v>
      </c>
      <c r="L12" s="33">
        <v>41734</v>
      </c>
      <c r="M12" s="334">
        <v>5</v>
      </c>
      <c r="N12" s="20" t="s">
        <v>799</v>
      </c>
      <c r="O12" s="30" t="s">
        <v>560</v>
      </c>
      <c r="P12" s="30" t="s">
        <v>190</v>
      </c>
      <c r="Q12" s="30" t="s">
        <v>567</v>
      </c>
      <c r="R12" s="35">
        <v>324</v>
      </c>
      <c r="S12" s="319" t="s">
        <v>493</v>
      </c>
      <c r="T12" s="327">
        <f t="shared" si="0"/>
        <v>324</v>
      </c>
      <c r="U12" s="327">
        <f t="shared" si="1"/>
        <v>0</v>
      </c>
      <c r="V12" s="327">
        <f t="shared" si="2"/>
        <v>0</v>
      </c>
      <c r="W12" s="327">
        <f t="shared" si="3"/>
        <v>0</v>
      </c>
      <c r="Y12" s="318"/>
      <c r="Z12" s="318"/>
    </row>
    <row r="13" spans="1:26" s="222" customFormat="1" ht="25.5" x14ac:dyDescent="0.2">
      <c r="A13" s="475">
        <v>6</v>
      </c>
      <c r="B13" s="444">
        <v>617935</v>
      </c>
      <c r="C13" s="444" t="s">
        <v>690</v>
      </c>
      <c r="D13" s="319" t="s">
        <v>451</v>
      </c>
      <c r="E13" s="448">
        <v>41540</v>
      </c>
      <c r="F13" s="450">
        <v>41734</v>
      </c>
      <c r="G13" s="444">
        <v>14</v>
      </c>
      <c r="H13" s="34" t="s">
        <v>811</v>
      </c>
      <c r="I13" s="34" t="s">
        <v>829</v>
      </c>
      <c r="J13" s="30" t="s">
        <v>124</v>
      </c>
      <c r="K13" s="33">
        <v>41659</v>
      </c>
      <c r="L13" s="33">
        <v>41734</v>
      </c>
      <c r="M13" s="334">
        <v>3</v>
      </c>
      <c r="N13" s="189" t="s">
        <v>801</v>
      </c>
      <c r="O13" s="30" t="s">
        <v>797</v>
      </c>
      <c r="P13" s="30" t="s">
        <v>190</v>
      </c>
      <c r="Q13" s="30" t="s">
        <v>299</v>
      </c>
      <c r="R13" s="35">
        <v>128</v>
      </c>
      <c r="S13" s="319" t="s">
        <v>492</v>
      </c>
      <c r="T13" s="327">
        <f t="shared" si="0"/>
        <v>128</v>
      </c>
      <c r="U13" s="327">
        <f t="shared" si="1"/>
        <v>0</v>
      </c>
      <c r="V13" s="327">
        <f t="shared" si="2"/>
        <v>0</v>
      </c>
      <c r="W13" s="327">
        <f t="shared" si="3"/>
        <v>0</v>
      </c>
      <c r="Y13" s="318"/>
      <c r="Z13" s="318"/>
    </row>
    <row r="14" spans="1:26" s="222" customFormat="1" ht="25.5" x14ac:dyDescent="0.2">
      <c r="A14" s="475"/>
      <c r="B14" s="445"/>
      <c r="C14" s="445"/>
      <c r="D14" s="319" t="s">
        <v>451</v>
      </c>
      <c r="E14" s="449"/>
      <c r="F14" s="451"/>
      <c r="G14" s="445"/>
      <c r="H14" s="34" t="s">
        <v>811</v>
      </c>
      <c r="I14" s="34" t="s">
        <v>829</v>
      </c>
      <c r="J14" s="30" t="s">
        <v>124</v>
      </c>
      <c r="K14" s="33">
        <v>41659</v>
      </c>
      <c r="L14" s="33">
        <v>41734</v>
      </c>
      <c r="M14" s="334">
        <v>2</v>
      </c>
      <c r="N14" s="189" t="s">
        <v>801</v>
      </c>
      <c r="O14" s="30" t="s">
        <v>797</v>
      </c>
      <c r="P14" s="30" t="s">
        <v>190</v>
      </c>
      <c r="Q14" s="30" t="s">
        <v>162</v>
      </c>
      <c r="R14" s="35">
        <v>88</v>
      </c>
      <c r="S14" s="319"/>
      <c r="T14" s="327">
        <f t="shared" si="0"/>
        <v>88</v>
      </c>
      <c r="U14" s="327">
        <f t="shared" si="1"/>
        <v>0</v>
      </c>
      <c r="V14" s="327">
        <f t="shared" si="2"/>
        <v>0</v>
      </c>
      <c r="W14" s="327">
        <f t="shared" si="3"/>
        <v>0</v>
      </c>
      <c r="Y14" s="318"/>
      <c r="Z14" s="318"/>
    </row>
    <row r="15" spans="1:26" s="222" customFormat="1" ht="63.75" x14ac:dyDescent="0.2">
      <c r="A15" s="222">
        <v>7</v>
      </c>
      <c r="B15" s="319">
        <v>580311</v>
      </c>
      <c r="C15" s="189" t="s">
        <v>446</v>
      </c>
      <c r="D15" s="319" t="s">
        <v>451</v>
      </c>
      <c r="E15" s="59">
        <v>41548</v>
      </c>
      <c r="F15" s="322">
        <v>42108</v>
      </c>
      <c r="G15" s="319">
        <v>30</v>
      </c>
      <c r="H15" s="34" t="s">
        <v>811</v>
      </c>
      <c r="I15" s="34" t="s">
        <v>829</v>
      </c>
      <c r="J15" s="30" t="s">
        <v>124</v>
      </c>
      <c r="K15" s="33">
        <v>41659</v>
      </c>
      <c r="L15" s="33">
        <v>41983</v>
      </c>
      <c r="M15" s="334">
        <v>4</v>
      </c>
      <c r="N15" s="319" t="s">
        <v>802</v>
      </c>
      <c r="O15" s="30" t="s">
        <v>793</v>
      </c>
      <c r="P15" s="30" t="s">
        <v>190</v>
      </c>
      <c r="Q15" s="30" t="s">
        <v>798</v>
      </c>
      <c r="R15" s="35">
        <v>1352</v>
      </c>
      <c r="S15" s="319" t="s">
        <v>715</v>
      </c>
      <c r="T15" s="327">
        <f t="shared" si="0"/>
        <v>316.875</v>
      </c>
      <c r="U15" s="327">
        <f t="shared" si="1"/>
        <v>345.04166666666669</v>
      </c>
      <c r="V15" s="327">
        <f t="shared" si="2"/>
        <v>345.04166666666663</v>
      </c>
      <c r="W15" s="327">
        <f t="shared" si="3"/>
        <v>345.04166666666663</v>
      </c>
      <c r="Y15" s="318"/>
      <c r="Z15" s="318"/>
    </row>
    <row r="16" spans="1:26" s="222" customFormat="1" ht="63.75" x14ac:dyDescent="0.2">
      <c r="A16" s="222">
        <v>8</v>
      </c>
      <c r="B16" s="319">
        <v>610538</v>
      </c>
      <c r="C16" s="189" t="s">
        <v>446</v>
      </c>
      <c r="D16" s="319" t="s">
        <v>451</v>
      </c>
      <c r="E16" s="59">
        <v>41548</v>
      </c>
      <c r="F16" s="322">
        <v>42108</v>
      </c>
      <c r="G16" s="319">
        <v>26</v>
      </c>
      <c r="H16" s="34" t="s">
        <v>811</v>
      </c>
      <c r="I16" s="34" t="s">
        <v>829</v>
      </c>
      <c r="J16" s="30" t="s">
        <v>124</v>
      </c>
      <c r="K16" s="33">
        <v>41659</v>
      </c>
      <c r="L16" s="33">
        <v>41983</v>
      </c>
      <c r="M16" s="334">
        <v>6</v>
      </c>
      <c r="N16" s="189" t="s">
        <v>804</v>
      </c>
      <c r="O16" s="30" t="s">
        <v>793</v>
      </c>
      <c r="P16" s="30" t="s">
        <v>190</v>
      </c>
      <c r="Q16" s="30" t="s">
        <v>803</v>
      </c>
      <c r="R16" s="35">
        <v>1068</v>
      </c>
      <c r="S16" s="319" t="s">
        <v>715</v>
      </c>
      <c r="T16" s="327">
        <f t="shared" si="0"/>
        <v>250.3125</v>
      </c>
      <c r="U16" s="327">
        <f t="shared" si="1"/>
        <v>272.5625</v>
      </c>
      <c r="V16" s="327">
        <f t="shared" si="2"/>
        <v>272.5625</v>
      </c>
      <c r="W16" s="327">
        <f t="shared" si="3"/>
        <v>272.5625</v>
      </c>
      <c r="Y16" s="318"/>
      <c r="Z16" s="318"/>
    </row>
    <row r="17" spans="1:26" s="222" customFormat="1" ht="63.75" x14ac:dyDescent="0.2">
      <c r="A17" s="222">
        <v>9</v>
      </c>
      <c r="B17" s="444">
        <v>580324</v>
      </c>
      <c r="C17" s="446" t="s">
        <v>449</v>
      </c>
      <c r="D17" s="319" t="s">
        <v>451</v>
      </c>
      <c r="E17" s="448">
        <v>41548</v>
      </c>
      <c r="F17" s="450">
        <v>42108</v>
      </c>
      <c r="G17" s="444">
        <v>30</v>
      </c>
      <c r="H17" s="34" t="s">
        <v>811</v>
      </c>
      <c r="I17" s="34" t="s">
        <v>829</v>
      </c>
      <c r="J17" s="30" t="s">
        <v>124</v>
      </c>
      <c r="K17" s="33">
        <v>41659</v>
      </c>
      <c r="L17" s="33">
        <v>41983</v>
      </c>
      <c r="M17" s="334">
        <v>2</v>
      </c>
      <c r="N17" s="319" t="s">
        <v>807</v>
      </c>
      <c r="O17" s="30" t="s">
        <v>571</v>
      </c>
      <c r="P17" s="30" t="s">
        <v>190</v>
      </c>
      <c r="Q17" s="30" t="s">
        <v>806</v>
      </c>
      <c r="R17" s="35">
        <v>840</v>
      </c>
      <c r="S17" s="319" t="s">
        <v>715</v>
      </c>
      <c r="T17" s="327">
        <f t="shared" si="0"/>
        <v>196.875</v>
      </c>
      <c r="U17" s="327">
        <f t="shared" si="1"/>
        <v>214.375</v>
      </c>
      <c r="V17" s="327">
        <f t="shared" si="2"/>
        <v>214.375</v>
      </c>
      <c r="W17" s="327">
        <f t="shared" si="3"/>
        <v>214.375</v>
      </c>
      <c r="Y17" s="318"/>
      <c r="Z17" s="318"/>
    </row>
    <row r="18" spans="1:26" s="222" customFormat="1" ht="63.75" x14ac:dyDescent="0.2">
      <c r="A18" s="222">
        <v>9</v>
      </c>
      <c r="B18" s="445"/>
      <c r="C18" s="447"/>
      <c r="D18" s="319" t="s">
        <v>451</v>
      </c>
      <c r="E18" s="449"/>
      <c r="F18" s="451"/>
      <c r="G18" s="445"/>
      <c r="H18" s="34" t="s">
        <v>811</v>
      </c>
      <c r="I18" s="34" t="s">
        <v>829</v>
      </c>
      <c r="J18" s="30" t="s">
        <v>124</v>
      </c>
      <c r="K18" s="33">
        <v>41659</v>
      </c>
      <c r="L18" s="33">
        <v>41983</v>
      </c>
      <c r="M18" s="334">
        <v>1</v>
      </c>
      <c r="N18" s="319" t="s">
        <v>807</v>
      </c>
      <c r="O18" s="30" t="s">
        <v>571</v>
      </c>
      <c r="P18" s="30" t="s">
        <v>190</v>
      </c>
      <c r="Q18" s="30" t="s">
        <v>805</v>
      </c>
      <c r="R18" s="35">
        <v>512</v>
      </c>
      <c r="S18" s="319" t="s">
        <v>715</v>
      </c>
      <c r="T18" s="327">
        <f t="shared" si="0"/>
        <v>120</v>
      </c>
      <c r="U18" s="327">
        <f t="shared" si="1"/>
        <v>130.66666666666666</v>
      </c>
      <c r="V18" s="327">
        <f t="shared" si="2"/>
        <v>130.66666666666669</v>
      </c>
      <c r="W18" s="327">
        <f t="shared" si="3"/>
        <v>130.66666666666669</v>
      </c>
      <c r="Y18" s="318"/>
      <c r="Z18" s="318"/>
    </row>
    <row r="19" spans="1:26" s="222" customFormat="1" ht="63.75" x14ac:dyDescent="0.2">
      <c r="A19" s="222">
        <v>10</v>
      </c>
      <c r="B19" s="444"/>
      <c r="C19" s="446" t="s">
        <v>449</v>
      </c>
      <c r="D19" s="319" t="s">
        <v>451</v>
      </c>
      <c r="E19" s="448">
        <v>41548</v>
      </c>
      <c r="F19" s="450">
        <v>42108</v>
      </c>
      <c r="G19" s="444">
        <v>30</v>
      </c>
      <c r="H19" s="34" t="s">
        <v>811</v>
      </c>
      <c r="I19" s="34" t="s">
        <v>829</v>
      </c>
      <c r="J19" s="30"/>
      <c r="K19" s="33">
        <v>41659</v>
      </c>
      <c r="L19" s="33">
        <v>41983</v>
      </c>
      <c r="M19" s="334">
        <v>3</v>
      </c>
      <c r="N19" s="189" t="s">
        <v>801</v>
      </c>
      <c r="O19" s="30" t="s">
        <v>571</v>
      </c>
      <c r="P19" s="30" t="s">
        <v>190</v>
      </c>
      <c r="Q19" s="30" t="s">
        <v>806</v>
      </c>
      <c r="R19" s="35">
        <v>496</v>
      </c>
      <c r="S19" s="319" t="s">
        <v>715</v>
      </c>
      <c r="T19" s="327">
        <f t="shared" si="0"/>
        <v>116.25</v>
      </c>
      <c r="U19" s="327">
        <f t="shared" si="1"/>
        <v>126.58333333333333</v>
      </c>
      <c r="V19" s="327">
        <f t="shared" si="2"/>
        <v>126.58333333333334</v>
      </c>
      <c r="W19" s="327">
        <f t="shared" si="3"/>
        <v>126.58333333333334</v>
      </c>
      <c r="Y19" s="318"/>
      <c r="Z19" s="318"/>
    </row>
    <row r="20" spans="1:26" s="222" customFormat="1" ht="63.75" x14ac:dyDescent="0.2">
      <c r="A20" s="222">
        <v>10</v>
      </c>
      <c r="B20" s="445"/>
      <c r="C20" s="447"/>
      <c r="D20" s="319" t="s">
        <v>451</v>
      </c>
      <c r="E20" s="449"/>
      <c r="F20" s="451"/>
      <c r="G20" s="445"/>
      <c r="H20" s="34" t="s">
        <v>811</v>
      </c>
      <c r="I20" s="34" t="s">
        <v>829</v>
      </c>
      <c r="J20" s="30"/>
      <c r="K20" s="33">
        <v>41659</v>
      </c>
      <c r="L20" s="33">
        <v>41983</v>
      </c>
      <c r="M20" s="334">
        <v>3</v>
      </c>
      <c r="N20" s="189" t="s">
        <v>804</v>
      </c>
      <c r="O20" s="30" t="s">
        <v>571</v>
      </c>
      <c r="P20" s="30" t="s">
        <v>190</v>
      </c>
      <c r="Q20" s="30" t="s">
        <v>805</v>
      </c>
      <c r="R20" s="35">
        <v>572</v>
      </c>
      <c r="S20" s="319" t="s">
        <v>715</v>
      </c>
      <c r="T20" s="327">
        <f t="shared" si="0"/>
        <v>134.0625</v>
      </c>
      <c r="U20" s="327">
        <f t="shared" si="1"/>
        <v>145.97916666666666</v>
      </c>
      <c r="V20" s="327">
        <f t="shared" si="2"/>
        <v>145.97916666666669</v>
      </c>
      <c r="W20" s="327">
        <f t="shared" si="3"/>
        <v>145.97916666666669</v>
      </c>
      <c r="Y20" s="318"/>
      <c r="Z20" s="318"/>
    </row>
    <row r="21" spans="1:26" s="222" customFormat="1" ht="25.5" x14ac:dyDescent="0.2">
      <c r="A21" s="222">
        <v>11</v>
      </c>
      <c r="B21" s="20">
        <v>622874</v>
      </c>
      <c r="C21" s="189" t="s">
        <v>446</v>
      </c>
      <c r="D21" s="20" t="s">
        <v>451</v>
      </c>
      <c r="E21" s="59">
        <v>41569</v>
      </c>
      <c r="F21" s="59">
        <v>42299</v>
      </c>
      <c r="G21" s="20">
        <v>30</v>
      </c>
      <c r="H21" s="34" t="s">
        <v>811</v>
      </c>
      <c r="I21" s="34" t="s">
        <v>829</v>
      </c>
      <c r="J21" s="30"/>
      <c r="K21" s="33">
        <v>41659</v>
      </c>
      <c r="L21" s="33">
        <v>41983</v>
      </c>
      <c r="M21" s="334">
        <v>6</v>
      </c>
      <c r="N21" s="189" t="s">
        <v>804</v>
      </c>
      <c r="O21" s="30" t="s">
        <v>809</v>
      </c>
      <c r="P21" s="30" t="s">
        <v>190</v>
      </c>
      <c r="Q21" s="30" t="s">
        <v>808</v>
      </c>
      <c r="R21" s="35">
        <v>1068</v>
      </c>
      <c r="S21" s="20"/>
      <c r="T21" s="327">
        <f t="shared" si="0"/>
        <v>250.3125</v>
      </c>
      <c r="U21" s="327">
        <f t="shared" si="1"/>
        <v>272.5625</v>
      </c>
      <c r="V21" s="327">
        <f t="shared" si="2"/>
        <v>272.5625</v>
      </c>
      <c r="W21" s="327">
        <f t="shared" si="3"/>
        <v>272.5625</v>
      </c>
      <c r="Y21" s="318"/>
      <c r="Z21" s="318"/>
    </row>
    <row r="22" spans="1:26" s="222" customFormat="1" ht="25.5" x14ac:dyDescent="0.2">
      <c r="A22" s="222">
        <v>12</v>
      </c>
      <c r="B22" s="48" t="s">
        <v>450</v>
      </c>
      <c r="C22" s="189" t="s">
        <v>445</v>
      </c>
      <c r="D22" s="20" t="s">
        <v>451</v>
      </c>
      <c r="E22" s="59">
        <v>41659</v>
      </c>
      <c r="F22" s="59">
        <v>42548</v>
      </c>
      <c r="G22" s="20">
        <v>30</v>
      </c>
      <c r="H22" s="34" t="s">
        <v>811</v>
      </c>
      <c r="I22" s="34" t="s">
        <v>829</v>
      </c>
      <c r="J22" s="30"/>
      <c r="K22" s="33">
        <v>41659</v>
      </c>
      <c r="L22" s="33">
        <v>41983</v>
      </c>
      <c r="M22" s="334">
        <v>5</v>
      </c>
      <c r="N22" s="20" t="s">
        <v>799</v>
      </c>
      <c r="O22" s="30" t="s">
        <v>561</v>
      </c>
      <c r="P22" s="30" t="s">
        <v>190</v>
      </c>
      <c r="Q22" s="30" t="s">
        <v>249</v>
      </c>
      <c r="R22" s="35">
        <v>1272</v>
      </c>
      <c r="S22" s="20" t="s">
        <v>491</v>
      </c>
      <c r="T22" s="327">
        <f t="shared" si="0"/>
        <v>298.125</v>
      </c>
      <c r="U22" s="327">
        <f t="shared" si="1"/>
        <v>324.625</v>
      </c>
      <c r="V22" s="327">
        <f t="shared" si="2"/>
        <v>324.625</v>
      </c>
      <c r="W22" s="327">
        <f t="shared" si="3"/>
        <v>324.625</v>
      </c>
      <c r="Y22" s="318"/>
      <c r="Z22" s="318"/>
    </row>
    <row r="23" spans="1:26" s="222" customFormat="1" ht="25.5" x14ac:dyDescent="0.2">
      <c r="A23" s="222">
        <v>13</v>
      </c>
      <c r="B23" s="48" t="s">
        <v>450</v>
      </c>
      <c r="C23" s="189" t="s">
        <v>691</v>
      </c>
      <c r="D23" s="20" t="s">
        <v>451</v>
      </c>
      <c r="E23" s="59">
        <v>41659</v>
      </c>
      <c r="F23" s="59">
        <v>42548</v>
      </c>
      <c r="G23" s="20">
        <v>30</v>
      </c>
      <c r="H23" s="34" t="s">
        <v>811</v>
      </c>
      <c r="I23" s="34" t="s">
        <v>829</v>
      </c>
      <c r="J23" s="30"/>
      <c r="K23" s="33">
        <v>41659</v>
      </c>
      <c r="L23" s="33">
        <v>41983</v>
      </c>
      <c r="M23" s="334">
        <v>5</v>
      </c>
      <c r="N23" s="20" t="s">
        <v>799</v>
      </c>
      <c r="O23" s="30" t="s">
        <v>793</v>
      </c>
      <c r="P23" s="30" t="s">
        <v>190</v>
      </c>
      <c r="Q23" s="30" t="s">
        <v>162</v>
      </c>
      <c r="R23" s="35">
        <v>1224</v>
      </c>
      <c r="S23" s="20" t="s">
        <v>492</v>
      </c>
      <c r="T23" s="327">
        <f t="shared" si="0"/>
        <v>286.875</v>
      </c>
      <c r="U23" s="327">
        <f t="shared" si="1"/>
        <v>312.375</v>
      </c>
      <c r="V23" s="327">
        <f t="shared" si="2"/>
        <v>312.375</v>
      </c>
      <c r="W23" s="327">
        <f t="shared" si="3"/>
        <v>312.375</v>
      </c>
      <c r="Y23" s="318"/>
      <c r="Z23" s="318"/>
    </row>
    <row r="24" spans="1:26" s="222" customFormat="1" ht="25.5" x14ac:dyDescent="0.2">
      <c r="A24" s="222">
        <v>14</v>
      </c>
      <c r="B24" s="48" t="s">
        <v>450</v>
      </c>
      <c r="C24" s="189" t="s">
        <v>447</v>
      </c>
      <c r="D24" s="189" t="s">
        <v>451</v>
      </c>
      <c r="E24" s="59">
        <v>41659</v>
      </c>
      <c r="F24" s="59">
        <v>41811</v>
      </c>
      <c r="G24" s="20">
        <v>25</v>
      </c>
      <c r="H24" s="34" t="s">
        <v>811</v>
      </c>
      <c r="I24" s="34" t="s">
        <v>829</v>
      </c>
      <c r="J24" s="30"/>
      <c r="K24" s="33">
        <v>41659</v>
      </c>
      <c r="L24" s="33">
        <v>41811</v>
      </c>
      <c r="M24" s="334">
        <v>5</v>
      </c>
      <c r="N24" s="20" t="s">
        <v>794</v>
      </c>
      <c r="O24" s="30" t="s">
        <v>547</v>
      </c>
      <c r="P24" s="30" t="s">
        <v>197</v>
      </c>
      <c r="Q24" s="30" t="s">
        <v>163</v>
      </c>
      <c r="R24" s="35">
        <v>525</v>
      </c>
      <c r="S24" s="20" t="s">
        <v>496</v>
      </c>
      <c r="T24" s="327">
        <f t="shared" si="0"/>
        <v>260.76158940397352</v>
      </c>
      <c r="U24" s="327">
        <f t="shared" si="1"/>
        <v>264.23841059602648</v>
      </c>
      <c r="V24" s="327">
        <f t="shared" si="2"/>
        <v>0</v>
      </c>
      <c r="W24" s="327">
        <f t="shared" si="3"/>
        <v>0</v>
      </c>
      <c r="Y24" s="318"/>
      <c r="Z24" s="318"/>
    </row>
    <row r="25" spans="1:26" s="222" customFormat="1" ht="25.5" x14ac:dyDescent="0.2">
      <c r="A25" s="222">
        <v>15</v>
      </c>
      <c r="B25" s="48" t="s">
        <v>450</v>
      </c>
      <c r="C25" s="20" t="s">
        <v>692</v>
      </c>
      <c r="D25" s="189" t="s">
        <v>451</v>
      </c>
      <c r="E25" s="59">
        <v>41659</v>
      </c>
      <c r="F25" s="59">
        <v>41811</v>
      </c>
      <c r="G25" s="20">
        <v>25</v>
      </c>
      <c r="H25" s="34" t="s">
        <v>811</v>
      </c>
      <c r="I25" s="34" t="s">
        <v>829</v>
      </c>
      <c r="J25" s="30"/>
      <c r="K25" s="33">
        <v>41659</v>
      </c>
      <c r="L25" s="33">
        <v>41811</v>
      </c>
      <c r="M25" s="334">
        <v>5</v>
      </c>
      <c r="N25" s="189" t="s">
        <v>796</v>
      </c>
      <c r="O25" s="30" t="s">
        <v>810</v>
      </c>
      <c r="P25" s="30" t="s">
        <v>190</v>
      </c>
      <c r="Q25" s="30" t="s">
        <v>330</v>
      </c>
      <c r="R25" s="35">
        <v>420</v>
      </c>
      <c r="S25" s="20" t="s">
        <v>716</v>
      </c>
      <c r="T25" s="327">
        <f t="shared" si="0"/>
        <v>208.60927152317882</v>
      </c>
      <c r="U25" s="327">
        <f t="shared" si="1"/>
        <v>211.39072847682118</v>
      </c>
      <c r="V25" s="327">
        <f t="shared" si="2"/>
        <v>0</v>
      </c>
      <c r="W25" s="327">
        <f t="shared" si="3"/>
        <v>0</v>
      </c>
      <c r="Y25" s="318"/>
      <c r="Z25" s="318"/>
    </row>
    <row r="26" spans="1:26" s="222" customFormat="1" ht="38.25" x14ac:dyDescent="0.2">
      <c r="A26" s="222">
        <v>16</v>
      </c>
      <c r="B26" s="48" t="s">
        <v>450</v>
      </c>
      <c r="C26" s="319" t="s">
        <v>447</v>
      </c>
      <c r="D26" s="319" t="s">
        <v>451</v>
      </c>
      <c r="E26" s="59">
        <v>41736</v>
      </c>
      <c r="F26" s="59">
        <v>41902</v>
      </c>
      <c r="G26" s="319">
        <v>25</v>
      </c>
      <c r="H26" s="34" t="s">
        <v>811</v>
      </c>
      <c r="I26" s="34" t="s">
        <v>829</v>
      </c>
      <c r="J26" s="30"/>
      <c r="K26" s="33">
        <v>41736</v>
      </c>
      <c r="L26" s="33">
        <v>41902</v>
      </c>
      <c r="M26" s="334">
        <v>5</v>
      </c>
      <c r="N26" s="20" t="s">
        <v>800</v>
      </c>
      <c r="O26" s="30" t="s">
        <v>560</v>
      </c>
      <c r="P26" s="30" t="s">
        <v>190</v>
      </c>
      <c r="Q26" s="30" t="s">
        <v>567</v>
      </c>
      <c r="R26" s="35">
        <v>624</v>
      </c>
      <c r="S26" s="319" t="s">
        <v>493</v>
      </c>
      <c r="T26" s="327">
        <f t="shared" si="0"/>
        <v>0</v>
      </c>
      <c r="U26" s="327">
        <f t="shared" si="1"/>
        <v>283.28834355828224</v>
      </c>
      <c r="V26" s="327">
        <f t="shared" si="2"/>
        <v>340.71165644171776</v>
      </c>
      <c r="W26" s="327">
        <f t="shared" si="3"/>
        <v>0</v>
      </c>
      <c r="Y26" s="318"/>
      <c r="Z26" s="318"/>
    </row>
    <row r="27" spans="1:26" s="222" customFormat="1" ht="25.5" customHeight="1" x14ac:dyDescent="0.2">
      <c r="A27" s="222">
        <v>17</v>
      </c>
      <c r="B27" s="454" t="s">
        <v>450</v>
      </c>
      <c r="C27" s="444" t="s">
        <v>690</v>
      </c>
      <c r="D27" s="319" t="s">
        <v>451</v>
      </c>
      <c r="E27" s="448">
        <v>41736</v>
      </c>
      <c r="F27" s="448">
        <v>41902</v>
      </c>
      <c r="G27" s="444">
        <v>18</v>
      </c>
      <c r="H27" s="34" t="s">
        <v>811</v>
      </c>
      <c r="I27" s="34" t="s">
        <v>829</v>
      </c>
      <c r="J27" s="30"/>
      <c r="K27" s="33">
        <v>41736</v>
      </c>
      <c r="L27" s="33">
        <v>41902</v>
      </c>
      <c r="M27" s="334">
        <v>3</v>
      </c>
      <c r="N27" s="189" t="s">
        <v>804</v>
      </c>
      <c r="O27" s="30" t="s">
        <v>797</v>
      </c>
      <c r="P27" s="30" t="s">
        <v>190</v>
      </c>
      <c r="Q27" s="30" t="s">
        <v>162</v>
      </c>
      <c r="R27" s="35">
        <v>256</v>
      </c>
      <c r="S27" s="319" t="s">
        <v>492</v>
      </c>
      <c r="T27" s="327">
        <f t="shared" si="0"/>
        <v>0</v>
      </c>
      <c r="U27" s="327">
        <f t="shared" si="1"/>
        <v>116.22085889570552</v>
      </c>
      <c r="V27" s="327">
        <f t="shared" si="2"/>
        <v>139.77914110429447</v>
      </c>
      <c r="W27" s="327">
        <f t="shared" si="3"/>
        <v>0</v>
      </c>
      <c r="Y27" s="318"/>
      <c r="Z27" s="318"/>
    </row>
    <row r="28" spans="1:26" s="222" customFormat="1" ht="25.5" x14ac:dyDescent="0.2">
      <c r="B28" s="455"/>
      <c r="C28" s="445"/>
      <c r="D28" s="319" t="s">
        <v>451</v>
      </c>
      <c r="E28" s="449"/>
      <c r="F28" s="449"/>
      <c r="G28" s="445"/>
      <c r="H28" s="34" t="s">
        <v>811</v>
      </c>
      <c r="I28" s="34" t="s">
        <v>829</v>
      </c>
      <c r="J28" s="30"/>
      <c r="K28" s="33">
        <v>41736</v>
      </c>
      <c r="L28" s="33">
        <v>41902</v>
      </c>
      <c r="M28" s="334">
        <v>2</v>
      </c>
      <c r="N28" s="189" t="s">
        <v>804</v>
      </c>
      <c r="O28" s="30" t="s">
        <v>797</v>
      </c>
      <c r="P28" s="30" t="s">
        <v>190</v>
      </c>
      <c r="Q28" s="30" t="s">
        <v>299</v>
      </c>
      <c r="R28" s="35">
        <v>160</v>
      </c>
      <c r="S28" s="319"/>
      <c r="T28" s="327">
        <f t="shared" si="0"/>
        <v>0</v>
      </c>
      <c r="U28" s="327">
        <f t="shared" si="1"/>
        <v>72.638036809815958</v>
      </c>
      <c r="V28" s="327">
        <f t="shared" si="2"/>
        <v>87.361963190184042</v>
      </c>
      <c r="W28" s="327">
        <f t="shared" si="3"/>
        <v>0</v>
      </c>
      <c r="Y28" s="318"/>
      <c r="Z28" s="318"/>
    </row>
    <row r="29" spans="1:26" s="222" customFormat="1" ht="25.5" x14ac:dyDescent="0.2">
      <c r="A29" s="222">
        <v>18</v>
      </c>
      <c r="B29" s="48" t="s">
        <v>450</v>
      </c>
      <c r="C29" s="189" t="s">
        <v>447</v>
      </c>
      <c r="D29" s="189" t="s">
        <v>451</v>
      </c>
      <c r="E29" s="59">
        <v>41827</v>
      </c>
      <c r="F29" s="59">
        <v>41983</v>
      </c>
      <c r="G29" s="20">
        <v>25</v>
      </c>
      <c r="H29" s="34" t="s">
        <v>811</v>
      </c>
      <c r="I29" s="34" t="s">
        <v>829</v>
      </c>
      <c r="J29" s="30"/>
      <c r="K29" s="33">
        <v>41827</v>
      </c>
      <c r="L29" s="33">
        <v>41983</v>
      </c>
      <c r="M29" s="334">
        <v>5</v>
      </c>
      <c r="N29" s="20" t="s">
        <v>794</v>
      </c>
      <c r="O29" s="30" t="s">
        <v>547</v>
      </c>
      <c r="P29" s="30" t="s">
        <v>190</v>
      </c>
      <c r="Q29" s="30" t="s">
        <v>163</v>
      </c>
      <c r="R29" s="35">
        <v>535</v>
      </c>
      <c r="S29" s="20" t="s">
        <v>496</v>
      </c>
      <c r="T29" s="327">
        <f t="shared" si="0"/>
        <v>0</v>
      </c>
      <c r="U29" s="327">
        <f t="shared" si="1"/>
        <v>0</v>
      </c>
      <c r="V29" s="327">
        <f t="shared" si="2"/>
        <v>255.26143790849673</v>
      </c>
      <c r="W29" s="327">
        <f t="shared" si="3"/>
        <v>279.73856209150324</v>
      </c>
      <c r="Y29" s="318"/>
      <c r="Z29" s="318"/>
    </row>
    <row r="30" spans="1:26" s="222" customFormat="1" ht="25.5" customHeight="1" x14ac:dyDescent="0.2">
      <c r="A30" s="222">
        <v>19</v>
      </c>
      <c r="B30" s="454" t="s">
        <v>450</v>
      </c>
      <c r="C30" s="446" t="s">
        <v>693</v>
      </c>
      <c r="D30" s="249" t="s">
        <v>451</v>
      </c>
      <c r="E30" s="448">
        <v>41827</v>
      </c>
      <c r="F30" s="448">
        <v>42348</v>
      </c>
      <c r="G30" s="452">
        <v>30</v>
      </c>
      <c r="H30" s="34" t="s">
        <v>811</v>
      </c>
      <c r="I30" s="34" t="s">
        <v>829</v>
      </c>
      <c r="J30" s="30"/>
      <c r="K30" s="33">
        <v>41827</v>
      </c>
      <c r="L30" s="33">
        <v>41983</v>
      </c>
      <c r="M30" s="334">
        <v>4</v>
      </c>
      <c r="N30" s="20" t="s">
        <v>800</v>
      </c>
      <c r="O30" s="30" t="s">
        <v>815</v>
      </c>
      <c r="P30" s="30" t="s">
        <v>815</v>
      </c>
      <c r="Q30" s="30" t="s">
        <v>404</v>
      </c>
      <c r="R30" s="35">
        <v>425</v>
      </c>
      <c r="S30" s="189" t="s">
        <v>717</v>
      </c>
      <c r="T30" s="327">
        <f t="shared" si="0"/>
        <v>0</v>
      </c>
      <c r="U30" s="327">
        <f t="shared" si="1"/>
        <v>0</v>
      </c>
      <c r="V30" s="327">
        <f t="shared" si="2"/>
        <v>202.77777777777777</v>
      </c>
      <c r="W30" s="327">
        <f t="shared" si="3"/>
        <v>222.22222222222223</v>
      </c>
      <c r="Y30" s="318"/>
      <c r="Z30" s="318"/>
    </row>
    <row r="31" spans="1:26" s="222" customFormat="1" ht="25.5" x14ac:dyDescent="0.2">
      <c r="A31" s="222">
        <v>19</v>
      </c>
      <c r="B31" s="458"/>
      <c r="C31" s="461"/>
      <c r="D31" s="249" t="s">
        <v>451</v>
      </c>
      <c r="E31" s="460"/>
      <c r="F31" s="460"/>
      <c r="G31" s="462"/>
      <c r="H31" s="34"/>
      <c r="I31" s="34" t="s">
        <v>812</v>
      </c>
      <c r="J31" s="30"/>
      <c r="K31" s="33">
        <v>41827</v>
      </c>
      <c r="L31" s="33">
        <v>41902</v>
      </c>
      <c r="M31" s="334">
        <v>1</v>
      </c>
      <c r="N31" s="20" t="s">
        <v>800</v>
      </c>
      <c r="O31" s="30" t="s">
        <v>815</v>
      </c>
      <c r="P31" s="30" t="s">
        <v>815</v>
      </c>
      <c r="Q31" s="30" t="s">
        <v>814</v>
      </c>
      <c r="R31" s="35">
        <v>55</v>
      </c>
      <c r="S31" s="189" t="s">
        <v>717</v>
      </c>
      <c r="T31" s="327">
        <f t="shared" si="0"/>
        <v>0</v>
      </c>
      <c r="U31" s="327">
        <f t="shared" si="1"/>
        <v>0</v>
      </c>
      <c r="V31" s="327">
        <f t="shared" si="2"/>
        <v>55</v>
      </c>
      <c r="W31" s="327">
        <f t="shared" si="3"/>
        <v>0</v>
      </c>
      <c r="Y31" s="318"/>
      <c r="Z31" s="318"/>
    </row>
    <row r="32" spans="1:26" s="222" customFormat="1" ht="25.5" x14ac:dyDescent="0.2">
      <c r="A32" s="222">
        <v>19</v>
      </c>
      <c r="B32" s="455"/>
      <c r="C32" s="447"/>
      <c r="D32" s="249" t="s">
        <v>451</v>
      </c>
      <c r="E32" s="449"/>
      <c r="F32" s="449"/>
      <c r="G32" s="453"/>
      <c r="H32" s="34"/>
      <c r="I32" s="34" t="s">
        <v>813</v>
      </c>
      <c r="J32" s="30"/>
      <c r="K32" s="33">
        <v>41904</v>
      </c>
      <c r="L32" s="33">
        <v>41983</v>
      </c>
      <c r="M32" s="334">
        <v>1</v>
      </c>
      <c r="N32" s="20" t="s">
        <v>800</v>
      </c>
      <c r="O32" s="30" t="s">
        <v>815</v>
      </c>
      <c r="P32" s="30" t="s">
        <v>815</v>
      </c>
      <c r="Q32" s="30" t="s">
        <v>155</v>
      </c>
      <c r="R32" s="35">
        <v>55</v>
      </c>
      <c r="S32" s="189" t="s">
        <v>717</v>
      </c>
      <c r="T32" s="327">
        <f t="shared" si="0"/>
        <v>0</v>
      </c>
      <c r="U32" s="327">
        <f t="shared" si="1"/>
        <v>0</v>
      </c>
      <c r="V32" s="327">
        <f t="shared" si="2"/>
        <v>0</v>
      </c>
      <c r="W32" s="327">
        <f t="shared" si="3"/>
        <v>55</v>
      </c>
      <c r="Y32" s="318"/>
      <c r="Z32" s="318"/>
    </row>
    <row r="33" spans="1:26" s="222" customFormat="1" ht="25.5" x14ac:dyDescent="0.2">
      <c r="A33" s="222">
        <v>20</v>
      </c>
      <c r="B33" s="48" t="s">
        <v>450</v>
      </c>
      <c r="C33" s="20" t="s">
        <v>694</v>
      </c>
      <c r="D33" s="20" t="s">
        <v>451</v>
      </c>
      <c r="E33" s="59">
        <v>41827</v>
      </c>
      <c r="F33" s="59">
        <v>42348</v>
      </c>
      <c r="G33" s="20">
        <v>25</v>
      </c>
      <c r="H33" s="34" t="s">
        <v>811</v>
      </c>
      <c r="I33" s="34" t="s">
        <v>829</v>
      </c>
      <c r="J33" s="30"/>
      <c r="K33" s="33">
        <v>41827</v>
      </c>
      <c r="L33" s="33">
        <v>41983</v>
      </c>
      <c r="M33" s="334">
        <v>5</v>
      </c>
      <c r="N33" s="189" t="s">
        <v>801</v>
      </c>
      <c r="O33" s="30" t="s">
        <v>561</v>
      </c>
      <c r="P33" s="30" t="s">
        <v>190</v>
      </c>
      <c r="Q33" s="30" t="s">
        <v>249</v>
      </c>
      <c r="R33" s="35">
        <v>424</v>
      </c>
      <c r="S33" s="20" t="s">
        <v>718</v>
      </c>
      <c r="T33" s="327">
        <f t="shared" si="0"/>
        <v>0</v>
      </c>
      <c r="U33" s="327">
        <f t="shared" si="1"/>
        <v>0</v>
      </c>
      <c r="V33" s="327">
        <f t="shared" si="2"/>
        <v>202.30065359477123</v>
      </c>
      <c r="W33" s="327">
        <f t="shared" si="3"/>
        <v>221.69934640522877</v>
      </c>
      <c r="Y33" s="318"/>
      <c r="Z33" s="318"/>
    </row>
    <row r="34" spans="1:26" s="222" customFormat="1" ht="38.25" x14ac:dyDescent="0.2">
      <c r="A34" s="222">
        <v>21</v>
      </c>
      <c r="B34" s="48" t="s">
        <v>450</v>
      </c>
      <c r="C34" s="319" t="s">
        <v>447</v>
      </c>
      <c r="D34" s="319" t="s">
        <v>451</v>
      </c>
      <c r="E34" s="59">
        <v>41904</v>
      </c>
      <c r="F34" s="59">
        <v>42099</v>
      </c>
      <c r="G34" s="319">
        <v>25</v>
      </c>
      <c r="H34" s="34" t="s">
        <v>811</v>
      </c>
      <c r="I34" s="34" t="s">
        <v>829</v>
      </c>
      <c r="J34" s="30"/>
      <c r="K34" s="33">
        <v>41904</v>
      </c>
      <c r="L34" s="33">
        <v>41983</v>
      </c>
      <c r="M34" s="334">
        <v>5</v>
      </c>
      <c r="N34" s="20" t="s">
        <v>800</v>
      </c>
      <c r="O34" s="30" t="s">
        <v>560</v>
      </c>
      <c r="P34" s="30" t="s">
        <v>190</v>
      </c>
      <c r="Q34" s="30" t="s">
        <v>567</v>
      </c>
      <c r="R34" s="35">
        <v>324</v>
      </c>
      <c r="S34" s="319" t="s">
        <v>493</v>
      </c>
      <c r="T34" s="327">
        <f t="shared" si="0"/>
        <v>0</v>
      </c>
      <c r="U34" s="327">
        <f t="shared" si="1"/>
        <v>0</v>
      </c>
      <c r="V34" s="327">
        <f t="shared" si="2"/>
        <v>0</v>
      </c>
      <c r="W34" s="327">
        <f t="shared" si="3"/>
        <v>324</v>
      </c>
      <c r="Y34" s="318"/>
      <c r="Z34" s="318"/>
    </row>
    <row r="35" spans="1:26" s="222" customFormat="1" ht="25.5" customHeight="1" x14ac:dyDescent="0.2">
      <c r="A35" s="222">
        <v>22</v>
      </c>
      <c r="B35" s="454" t="s">
        <v>450</v>
      </c>
      <c r="C35" s="444" t="s">
        <v>690</v>
      </c>
      <c r="D35" s="319" t="s">
        <v>451</v>
      </c>
      <c r="E35" s="448">
        <v>41904</v>
      </c>
      <c r="F35" s="448">
        <v>42099</v>
      </c>
      <c r="G35" s="444">
        <v>18</v>
      </c>
      <c r="H35" s="34" t="s">
        <v>811</v>
      </c>
      <c r="I35" s="34" t="s">
        <v>829</v>
      </c>
      <c r="J35" s="30"/>
      <c r="K35" s="33">
        <v>41904</v>
      </c>
      <c r="L35" s="33">
        <v>41983</v>
      </c>
      <c r="M35" s="334">
        <v>3</v>
      </c>
      <c r="N35" s="189" t="s">
        <v>801</v>
      </c>
      <c r="O35" s="30" t="s">
        <v>797</v>
      </c>
      <c r="P35" s="30" t="s">
        <v>190</v>
      </c>
      <c r="Q35" s="30" t="s">
        <v>162</v>
      </c>
      <c r="R35" s="35">
        <v>128</v>
      </c>
      <c r="S35" s="319" t="s">
        <v>492</v>
      </c>
      <c r="T35" s="327">
        <f t="shared" si="0"/>
        <v>0</v>
      </c>
      <c r="U35" s="327">
        <f t="shared" si="1"/>
        <v>0</v>
      </c>
      <c r="V35" s="327">
        <f t="shared" si="2"/>
        <v>0</v>
      </c>
      <c r="W35" s="327">
        <f t="shared" si="3"/>
        <v>128</v>
      </c>
      <c r="Y35" s="318"/>
      <c r="Z35" s="318"/>
    </row>
    <row r="36" spans="1:26" s="222" customFormat="1" ht="25.5" x14ac:dyDescent="0.2">
      <c r="A36" s="222">
        <v>22</v>
      </c>
      <c r="B36" s="455"/>
      <c r="C36" s="445"/>
      <c r="D36" s="319" t="s">
        <v>451</v>
      </c>
      <c r="E36" s="449"/>
      <c r="F36" s="449"/>
      <c r="G36" s="445"/>
      <c r="H36" s="34" t="s">
        <v>811</v>
      </c>
      <c r="I36" s="34" t="s">
        <v>829</v>
      </c>
      <c r="J36" s="30"/>
      <c r="K36" s="33">
        <v>41904</v>
      </c>
      <c r="L36" s="33">
        <v>41983</v>
      </c>
      <c r="M36" s="334">
        <v>2</v>
      </c>
      <c r="N36" s="189" t="s">
        <v>801</v>
      </c>
      <c r="O36" s="30" t="s">
        <v>797</v>
      </c>
      <c r="P36" s="30" t="s">
        <v>190</v>
      </c>
      <c r="Q36" s="30" t="s">
        <v>299</v>
      </c>
      <c r="R36" s="35">
        <v>88</v>
      </c>
      <c r="S36" s="319" t="s">
        <v>492</v>
      </c>
      <c r="T36" s="327">
        <f t="shared" si="0"/>
        <v>0</v>
      </c>
      <c r="U36" s="327">
        <f t="shared" si="1"/>
        <v>0</v>
      </c>
      <c r="V36" s="327">
        <f t="shared" si="2"/>
        <v>0</v>
      </c>
      <c r="W36" s="327">
        <f t="shared" si="3"/>
        <v>88</v>
      </c>
      <c r="Y36" s="318"/>
      <c r="Z36" s="318"/>
    </row>
    <row r="37" spans="1:26" s="222" customFormat="1" ht="25.5" x14ac:dyDescent="0.2">
      <c r="A37" s="222">
        <v>23</v>
      </c>
      <c r="B37" s="454">
        <v>397173</v>
      </c>
      <c r="C37" s="446" t="s">
        <v>457</v>
      </c>
      <c r="D37" s="20" t="s">
        <v>339</v>
      </c>
      <c r="E37" s="448">
        <v>41176</v>
      </c>
      <c r="F37" s="450">
        <v>41734</v>
      </c>
      <c r="G37" s="452">
        <v>37</v>
      </c>
      <c r="H37" s="34" t="s">
        <v>811</v>
      </c>
      <c r="I37" s="34" t="s">
        <v>829</v>
      </c>
      <c r="J37" s="30"/>
      <c r="K37" s="33">
        <v>41659</v>
      </c>
      <c r="L37" s="33">
        <v>41734</v>
      </c>
      <c r="M37" s="334">
        <v>2</v>
      </c>
      <c r="N37" s="20" t="s">
        <v>800</v>
      </c>
      <c r="O37" s="30" t="s">
        <v>817</v>
      </c>
      <c r="P37" s="30" t="s">
        <v>190</v>
      </c>
      <c r="Q37" s="30" t="s">
        <v>142</v>
      </c>
      <c r="R37" s="35">
        <v>100</v>
      </c>
      <c r="S37" s="20" t="s">
        <v>142</v>
      </c>
      <c r="T37" s="327">
        <f t="shared" si="0"/>
        <v>100</v>
      </c>
      <c r="U37" s="327">
        <f t="shared" si="1"/>
        <v>0</v>
      </c>
      <c r="V37" s="327">
        <f t="shared" si="2"/>
        <v>0</v>
      </c>
      <c r="W37" s="327">
        <f t="shared" si="3"/>
        <v>0</v>
      </c>
      <c r="Y37" s="318"/>
      <c r="Z37" s="318"/>
    </row>
    <row r="38" spans="1:26" s="222" customFormat="1" ht="25.5" x14ac:dyDescent="0.2">
      <c r="A38" s="222">
        <v>23</v>
      </c>
      <c r="B38" s="458"/>
      <c r="C38" s="461"/>
      <c r="D38" s="20" t="s">
        <v>339</v>
      </c>
      <c r="E38" s="460"/>
      <c r="F38" s="463"/>
      <c r="G38" s="462"/>
      <c r="H38" s="34" t="s">
        <v>811</v>
      </c>
      <c r="I38" s="34" t="s">
        <v>829</v>
      </c>
      <c r="J38" s="30"/>
      <c r="K38" s="33">
        <v>41659</v>
      </c>
      <c r="L38" s="33">
        <v>41734</v>
      </c>
      <c r="M38" s="334">
        <v>3</v>
      </c>
      <c r="N38" s="20" t="s">
        <v>800</v>
      </c>
      <c r="O38" s="30" t="s">
        <v>818</v>
      </c>
      <c r="P38" s="30" t="s">
        <v>190</v>
      </c>
      <c r="Q38" s="30" t="s">
        <v>148</v>
      </c>
      <c r="R38" s="35">
        <v>165</v>
      </c>
      <c r="S38" s="20" t="s">
        <v>142</v>
      </c>
      <c r="T38" s="327">
        <f t="shared" si="0"/>
        <v>165</v>
      </c>
      <c r="U38" s="327">
        <f t="shared" si="1"/>
        <v>0</v>
      </c>
      <c r="V38" s="327">
        <f t="shared" si="2"/>
        <v>0</v>
      </c>
      <c r="W38" s="327">
        <f t="shared" si="3"/>
        <v>0</v>
      </c>
      <c r="Y38" s="318"/>
      <c r="Z38" s="318"/>
    </row>
    <row r="39" spans="1:26" s="222" customFormat="1" ht="25.5" x14ac:dyDescent="0.2">
      <c r="A39" s="222">
        <v>23</v>
      </c>
      <c r="B39" s="455"/>
      <c r="C39" s="447"/>
      <c r="D39" s="20" t="s">
        <v>339</v>
      </c>
      <c r="E39" s="449"/>
      <c r="F39" s="451"/>
      <c r="G39" s="453"/>
      <c r="H39" s="34" t="s">
        <v>811</v>
      </c>
      <c r="I39" s="34" t="s">
        <v>829</v>
      </c>
      <c r="J39" s="30"/>
      <c r="K39" s="33">
        <v>41659</v>
      </c>
      <c r="L39" s="33">
        <v>41734</v>
      </c>
      <c r="M39" s="334">
        <v>1</v>
      </c>
      <c r="N39" s="20" t="s">
        <v>800</v>
      </c>
      <c r="O39" s="30" t="s">
        <v>817</v>
      </c>
      <c r="P39" s="30" t="s">
        <v>190</v>
      </c>
      <c r="Q39" s="30" t="s">
        <v>317</v>
      </c>
      <c r="R39" s="35">
        <v>55</v>
      </c>
      <c r="S39" s="20" t="s">
        <v>142</v>
      </c>
      <c r="T39" s="327">
        <f t="shared" si="0"/>
        <v>55</v>
      </c>
      <c r="U39" s="327">
        <f t="shared" si="1"/>
        <v>0</v>
      </c>
      <c r="V39" s="327">
        <f t="shared" si="2"/>
        <v>0</v>
      </c>
      <c r="W39" s="327">
        <f t="shared" si="3"/>
        <v>0</v>
      </c>
      <c r="Y39" s="318"/>
      <c r="Z39" s="318"/>
    </row>
    <row r="40" spans="1:26" s="222" customFormat="1" ht="25.5" x14ac:dyDescent="0.2">
      <c r="A40" s="222">
        <v>24</v>
      </c>
      <c r="B40" s="454">
        <v>422892</v>
      </c>
      <c r="C40" s="446" t="s">
        <v>457</v>
      </c>
      <c r="D40" s="20" t="s">
        <v>339</v>
      </c>
      <c r="E40" s="448">
        <v>41176</v>
      </c>
      <c r="F40" s="450">
        <v>41734</v>
      </c>
      <c r="G40" s="452">
        <v>37</v>
      </c>
      <c r="H40" s="34" t="s">
        <v>811</v>
      </c>
      <c r="I40" s="34" t="s">
        <v>829</v>
      </c>
      <c r="J40" s="30"/>
      <c r="K40" s="33">
        <v>41659</v>
      </c>
      <c r="L40" s="33">
        <v>41734</v>
      </c>
      <c r="M40" s="334">
        <v>3</v>
      </c>
      <c r="N40" s="189" t="s">
        <v>801</v>
      </c>
      <c r="O40" s="30" t="s">
        <v>817</v>
      </c>
      <c r="P40" s="30" t="s">
        <v>190</v>
      </c>
      <c r="Q40" s="30" t="s">
        <v>142</v>
      </c>
      <c r="R40" s="35">
        <v>75</v>
      </c>
      <c r="S40" s="20" t="s">
        <v>498</v>
      </c>
      <c r="T40" s="327">
        <f t="shared" si="0"/>
        <v>75</v>
      </c>
      <c r="U40" s="327">
        <f t="shared" si="1"/>
        <v>0</v>
      </c>
      <c r="V40" s="327">
        <f t="shared" si="2"/>
        <v>0</v>
      </c>
      <c r="W40" s="327">
        <f t="shared" si="3"/>
        <v>0</v>
      </c>
      <c r="Y40" s="318"/>
      <c r="Z40" s="318"/>
    </row>
    <row r="41" spans="1:26" s="222" customFormat="1" ht="25.5" x14ac:dyDescent="0.2">
      <c r="A41" s="222">
        <v>24</v>
      </c>
      <c r="B41" s="455"/>
      <c r="C41" s="447"/>
      <c r="D41" s="20" t="s">
        <v>339</v>
      </c>
      <c r="E41" s="449"/>
      <c r="F41" s="451"/>
      <c r="G41" s="453"/>
      <c r="H41" s="34" t="s">
        <v>811</v>
      </c>
      <c r="I41" s="34" t="s">
        <v>829</v>
      </c>
      <c r="J41" s="30"/>
      <c r="K41" s="33">
        <v>41659</v>
      </c>
      <c r="L41" s="33">
        <v>41734</v>
      </c>
      <c r="M41" s="334">
        <v>2</v>
      </c>
      <c r="N41" s="189" t="s">
        <v>801</v>
      </c>
      <c r="O41" s="30" t="s">
        <v>580</v>
      </c>
      <c r="P41" s="30" t="s">
        <v>190</v>
      </c>
      <c r="Q41" s="30" t="s">
        <v>148</v>
      </c>
      <c r="R41" s="35">
        <v>63</v>
      </c>
      <c r="S41" s="20" t="s">
        <v>498</v>
      </c>
      <c r="T41" s="327">
        <f t="shared" si="0"/>
        <v>63</v>
      </c>
      <c r="U41" s="327">
        <f t="shared" si="1"/>
        <v>0</v>
      </c>
      <c r="V41" s="327">
        <f t="shared" si="2"/>
        <v>0</v>
      </c>
      <c r="W41" s="327">
        <f t="shared" si="3"/>
        <v>0</v>
      </c>
      <c r="Y41" s="318"/>
      <c r="Z41" s="318"/>
    </row>
    <row r="42" spans="1:26" s="222" customFormat="1" ht="25.5" x14ac:dyDescent="0.2">
      <c r="A42" s="222">
        <v>25</v>
      </c>
      <c r="B42" s="452">
        <v>604622</v>
      </c>
      <c r="C42" s="446" t="s">
        <v>457</v>
      </c>
      <c r="D42" s="20" t="s">
        <v>339</v>
      </c>
      <c r="E42" s="448">
        <v>41540</v>
      </c>
      <c r="F42" s="448">
        <v>42108</v>
      </c>
      <c r="G42" s="444">
        <v>36</v>
      </c>
      <c r="H42" s="34" t="s">
        <v>811</v>
      </c>
      <c r="I42" s="34" t="s">
        <v>829</v>
      </c>
      <c r="J42" s="30"/>
      <c r="K42" s="33">
        <v>41659</v>
      </c>
      <c r="L42" s="33">
        <v>41734</v>
      </c>
      <c r="M42" s="334">
        <v>2</v>
      </c>
      <c r="N42" s="189" t="s">
        <v>796</v>
      </c>
      <c r="O42" s="30" t="s">
        <v>580</v>
      </c>
      <c r="P42" s="30" t="s">
        <v>190</v>
      </c>
      <c r="Q42" s="30" t="s">
        <v>148</v>
      </c>
      <c r="R42" s="35">
        <v>63</v>
      </c>
      <c r="S42" s="20" t="s">
        <v>498</v>
      </c>
      <c r="T42" s="327">
        <f t="shared" si="0"/>
        <v>63</v>
      </c>
      <c r="U42" s="327">
        <f t="shared" si="1"/>
        <v>0</v>
      </c>
      <c r="V42" s="327">
        <f t="shared" si="2"/>
        <v>0</v>
      </c>
      <c r="W42" s="327">
        <f t="shared" si="3"/>
        <v>0</v>
      </c>
      <c r="Y42" s="318"/>
      <c r="Z42" s="318"/>
    </row>
    <row r="43" spans="1:26" s="222" customFormat="1" ht="25.5" x14ac:dyDescent="0.2">
      <c r="A43" s="222">
        <v>25</v>
      </c>
      <c r="B43" s="462"/>
      <c r="C43" s="461"/>
      <c r="D43" s="20" t="s">
        <v>339</v>
      </c>
      <c r="E43" s="460"/>
      <c r="F43" s="460"/>
      <c r="G43" s="459"/>
      <c r="H43" s="34" t="s">
        <v>811</v>
      </c>
      <c r="I43" s="34" t="s">
        <v>829</v>
      </c>
      <c r="J43" s="30"/>
      <c r="K43" s="33">
        <v>41659</v>
      </c>
      <c r="L43" s="33">
        <v>41734</v>
      </c>
      <c r="M43" s="334">
        <v>3</v>
      </c>
      <c r="N43" s="189" t="s">
        <v>796</v>
      </c>
      <c r="O43" s="30" t="s">
        <v>579</v>
      </c>
      <c r="P43" s="30" t="s">
        <v>190</v>
      </c>
      <c r="Q43" s="30" t="s">
        <v>142</v>
      </c>
      <c r="R43" s="35">
        <v>75</v>
      </c>
      <c r="S43" s="20" t="s">
        <v>498</v>
      </c>
      <c r="T43" s="327">
        <f t="shared" si="0"/>
        <v>75</v>
      </c>
      <c r="U43" s="327">
        <f t="shared" si="1"/>
        <v>0</v>
      </c>
      <c r="V43" s="327">
        <f t="shared" si="2"/>
        <v>0</v>
      </c>
      <c r="W43" s="327">
        <f t="shared" si="3"/>
        <v>0</v>
      </c>
      <c r="Y43" s="318"/>
      <c r="Z43" s="318"/>
    </row>
    <row r="44" spans="1:26" s="222" customFormat="1" ht="25.5" x14ac:dyDescent="0.2">
      <c r="A44" s="222">
        <v>25</v>
      </c>
      <c r="B44" s="462"/>
      <c r="C44" s="461"/>
      <c r="D44" s="20" t="s">
        <v>339</v>
      </c>
      <c r="E44" s="460"/>
      <c r="F44" s="460"/>
      <c r="G44" s="459"/>
      <c r="H44" s="34" t="s">
        <v>811</v>
      </c>
      <c r="I44" s="34" t="s">
        <v>829</v>
      </c>
      <c r="J44" s="30"/>
      <c r="K44" s="33">
        <v>41736</v>
      </c>
      <c r="L44" s="33">
        <v>41902</v>
      </c>
      <c r="M44" s="334">
        <v>5</v>
      </c>
      <c r="N44" s="189" t="s">
        <v>796</v>
      </c>
      <c r="O44" s="30" t="s">
        <v>817</v>
      </c>
      <c r="P44" s="30" t="s">
        <v>190</v>
      </c>
      <c r="Q44" s="30" t="s">
        <v>142</v>
      </c>
      <c r="R44" s="35">
        <v>300</v>
      </c>
      <c r="S44" s="20" t="s">
        <v>498</v>
      </c>
      <c r="T44" s="327">
        <f t="shared" si="0"/>
        <v>0</v>
      </c>
      <c r="U44" s="327">
        <f t="shared" si="1"/>
        <v>136.19631901840492</v>
      </c>
      <c r="V44" s="327">
        <f t="shared" si="2"/>
        <v>163.80368098159508</v>
      </c>
      <c r="W44" s="327">
        <f t="shared" si="3"/>
        <v>0</v>
      </c>
      <c r="Y44" s="318"/>
      <c r="Z44" s="318"/>
    </row>
    <row r="45" spans="1:26" s="222" customFormat="1" ht="25.5" x14ac:dyDescent="0.2">
      <c r="A45" s="222">
        <v>25</v>
      </c>
      <c r="B45" s="462"/>
      <c r="C45" s="461"/>
      <c r="D45" s="20" t="s">
        <v>339</v>
      </c>
      <c r="E45" s="460"/>
      <c r="F45" s="460"/>
      <c r="G45" s="459"/>
      <c r="H45" s="34" t="s">
        <v>811</v>
      </c>
      <c r="I45" s="34" t="s">
        <v>829</v>
      </c>
      <c r="J45" s="30"/>
      <c r="K45" s="33">
        <v>41904</v>
      </c>
      <c r="L45" s="33">
        <v>41983</v>
      </c>
      <c r="M45" s="334">
        <v>5</v>
      </c>
      <c r="N45" s="189" t="s">
        <v>801</v>
      </c>
      <c r="O45" s="30" t="s">
        <v>817</v>
      </c>
      <c r="P45" s="30" t="s">
        <v>190</v>
      </c>
      <c r="Q45" s="30" t="s">
        <v>317</v>
      </c>
      <c r="R45" s="35">
        <v>216</v>
      </c>
      <c r="S45" s="20" t="s">
        <v>498</v>
      </c>
      <c r="T45" s="327">
        <f t="shared" si="0"/>
        <v>0</v>
      </c>
      <c r="U45" s="327">
        <f t="shared" si="1"/>
        <v>0</v>
      </c>
      <c r="V45" s="327">
        <f t="shared" si="2"/>
        <v>0</v>
      </c>
      <c r="W45" s="327">
        <f t="shared" si="3"/>
        <v>216</v>
      </c>
      <c r="Y45" s="318"/>
      <c r="Z45" s="318"/>
    </row>
    <row r="46" spans="1:26" s="222" customFormat="1" ht="25.5" x14ac:dyDescent="0.2">
      <c r="A46" s="222">
        <v>26</v>
      </c>
      <c r="B46" s="20">
        <v>577933</v>
      </c>
      <c r="C46" s="189" t="s">
        <v>204</v>
      </c>
      <c r="D46" s="20" t="s">
        <v>339</v>
      </c>
      <c r="E46" s="59">
        <v>41540</v>
      </c>
      <c r="F46" s="322">
        <v>41734</v>
      </c>
      <c r="G46" s="20">
        <v>20</v>
      </c>
      <c r="H46" s="34" t="s">
        <v>811</v>
      </c>
      <c r="I46" s="34" t="s">
        <v>829</v>
      </c>
      <c r="J46" s="30"/>
      <c r="K46" s="33">
        <v>41659</v>
      </c>
      <c r="L46" s="33">
        <v>41734</v>
      </c>
      <c r="M46" s="334">
        <v>5</v>
      </c>
      <c r="N46" s="20" t="s">
        <v>799</v>
      </c>
      <c r="O46" s="30" t="s">
        <v>582</v>
      </c>
      <c r="P46" s="30" t="s">
        <v>190</v>
      </c>
      <c r="Q46" s="30" t="s">
        <v>322</v>
      </c>
      <c r="R46" s="35">
        <v>324</v>
      </c>
      <c r="S46" s="20" t="s">
        <v>503</v>
      </c>
      <c r="T46" s="327">
        <f t="shared" si="0"/>
        <v>324</v>
      </c>
      <c r="U46" s="327">
        <f t="shared" si="1"/>
        <v>0</v>
      </c>
      <c r="V46" s="327">
        <f t="shared" si="2"/>
        <v>0</v>
      </c>
      <c r="W46" s="327">
        <f t="shared" si="3"/>
        <v>0</v>
      </c>
      <c r="Y46" s="318"/>
      <c r="Z46" s="318"/>
    </row>
    <row r="47" spans="1:26" s="222" customFormat="1" ht="25.5" x14ac:dyDescent="0.2">
      <c r="A47" s="222">
        <v>27</v>
      </c>
      <c r="B47" s="20">
        <v>577948</v>
      </c>
      <c r="C47" s="189" t="s">
        <v>204</v>
      </c>
      <c r="D47" s="20" t="s">
        <v>339</v>
      </c>
      <c r="E47" s="59">
        <v>41540</v>
      </c>
      <c r="F47" s="322">
        <v>41734</v>
      </c>
      <c r="G47" s="20">
        <v>23</v>
      </c>
      <c r="H47" s="34" t="s">
        <v>811</v>
      </c>
      <c r="I47" s="34" t="s">
        <v>829</v>
      </c>
      <c r="J47" s="30"/>
      <c r="K47" s="33">
        <v>41659</v>
      </c>
      <c r="L47" s="33">
        <v>41734</v>
      </c>
      <c r="M47" s="334">
        <v>5</v>
      </c>
      <c r="N47" s="20" t="s">
        <v>800</v>
      </c>
      <c r="O47" s="30" t="s">
        <v>582</v>
      </c>
      <c r="P47" s="30" t="s">
        <v>190</v>
      </c>
      <c r="Q47" s="30" t="s">
        <v>322</v>
      </c>
      <c r="R47" s="35">
        <v>324</v>
      </c>
      <c r="S47" s="189" t="s">
        <v>143</v>
      </c>
      <c r="T47" s="327">
        <f t="shared" si="0"/>
        <v>324</v>
      </c>
      <c r="U47" s="327">
        <f t="shared" si="1"/>
        <v>0</v>
      </c>
      <c r="V47" s="327">
        <f t="shared" si="2"/>
        <v>0</v>
      </c>
      <c r="W47" s="327">
        <f t="shared" si="3"/>
        <v>0</v>
      </c>
      <c r="Y47" s="318"/>
      <c r="Z47" s="318"/>
    </row>
    <row r="48" spans="1:26" s="222" customFormat="1" ht="25.5" x14ac:dyDescent="0.2">
      <c r="A48" s="222">
        <v>28</v>
      </c>
      <c r="B48" s="452">
        <v>636198</v>
      </c>
      <c r="C48" s="446" t="s">
        <v>204</v>
      </c>
      <c r="D48" s="20" t="s">
        <v>339</v>
      </c>
      <c r="E48" s="448">
        <v>41540</v>
      </c>
      <c r="F48" s="450">
        <v>41734</v>
      </c>
      <c r="G48" s="452">
        <v>35</v>
      </c>
      <c r="H48" s="34" t="s">
        <v>811</v>
      </c>
      <c r="I48" s="34" t="s">
        <v>829</v>
      </c>
      <c r="J48" s="30"/>
      <c r="K48" s="33">
        <v>41659</v>
      </c>
      <c r="L48" s="33">
        <v>41734</v>
      </c>
      <c r="M48" s="334">
        <v>3</v>
      </c>
      <c r="N48" s="189" t="s">
        <v>801</v>
      </c>
      <c r="O48" s="30" t="s">
        <v>582</v>
      </c>
      <c r="P48" s="30" t="s">
        <v>190</v>
      </c>
      <c r="Q48" s="30" t="s">
        <v>322</v>
      </c>
      <c r="R48" s="35">
        <v>128</v>
      </c>
      <c r="S48" s="20" t="s">
        <v>503</v>
      </c>
      <c r="T48" s="327">
        <f t="shared" si="0"/>
        <v>128</v>
      </c>
      <c r="U48" s="327">
        <f t="shared" si="1"/>
        <v>0</v>
      </c>
      <c r="V48" s="327">
        <f t="shared" si="2"/>
        <v>0</v>
      </c>
      <c r="W48" s="327">
        <f t="shared" si="3"/>
        <v>0</v>
      </c>
      <c r="Y48" s="318"/>
      <c r="Z48" s="318"/>
    </row>
    <row r="49" spans="1:26" s="222" customFormat="1" x14ac:dyDescent="0.2">
      <c r="A49" s="222">
        <v>28</v>
      </c>
      <c r="B49" s="453"/>
      <c r="C49" s="447"/>
      <c r="D49" s="20" t="s">
        <v>339</v>
      </c>
      <c r="E49" s="449"/>
      <c r="F49" s="451"/>
      <c r="G49" s="453"/>
      <c r="H49" s="34" t="s">
        <v>811</v>
      </c>
      <c r="I49" s="34" t="s">
        <v>829</v>
      </c>
      <c r="J49" s="30"/>
      <c r="K49" s="33">
        <v>41659</v>
      </c>
      <c r="L49" s="33">
        <v>41734</v>
      </c>
      <c r="M49" s="334">
        <v>2</v>
      </c>
      <c r="N49" s="189" t="s">
        <v>796</v>
      </c>
      <c r="O49" s="30" t="s">
        <v>582</v>
      </c>
      <c r="P49" s="30" t="s">
        <v>190</v>
      </c>
      <c r="Q49" s="30" t="s">
        <v>143</v>
      </c>
      <c r="R49" s="35">
        <v>88</v>
      </c>
      <c r="S49" s="189" t="s">
        <v>143</v>
      </c>
      <c r="T49" s="327">
        <f t="shared" si="0"/>
        <v>88</v>
      </c>
      <c r="U49" s="327">
        <f t="shared" si="1"/>
        <v>0</v>
      </c>
      <c r="V49" s="327">
        <f t="shared" si="2"/>
        <v>0</v>
      </c>
      <c r="W49" s="327">
        <f t="shared" si="3"/>
        <v>0</v>
      </c>
      <c r="Y49" s="318"/>
      <c r="Z49" s="318"/>
    </row>
    <row r="50" spans="1:26" s="222" customFormat="1" ht="25.5" x14ac:dyDescent="0.2">
      <c r="A50" s="222">
        <v>29</v>
      </c>
      <c r="B50" s="452">
        <v>577917</v>
      </c>
      <c r="C50" s="452" t="s">
        <v>455</v>
      </c>
      <c r="D50" s="20" t="s">
        <v>339</v>
      </c>
      <c r="E50" s="448">
        <v>41540</v>
      </c>
      <c r="F50" s="450">
        <v>41734</v>
      </c>
      <c r="G50" s="444">
        <v>22</v>
      </c>
      <c r="H50" s="34" t="s">
        <v>811</v>
      </c>
      <c r="I50" s="34" t="s">
        <v>829</v>
      </c>
      <c r="J50" s="30"/>
      <c r="K50" s="33">
        <v>41659</v>
      </c>
      <c r="L50" s="33">
        <v>41734</v>
      </c>
      <c r="M50" s="334">
        <v>2</v>
      </c>
      <c r="N50" s="20" t="s">
        <v>800</v>
      </c>
      <c r="O50" s="30" t="s">
        <v>819</v>
      </c>
      <c r="P50" s="30" t="s">
        <v>190</v>
      </c>
      <c r="Q50" s="30" t="s">
        <v>148</v>
      </c>
      <c r="R50" s="35">
        <v>105</v>
      </c>
      <c r="S50" s="20" t="s">
        <v>148</v>
      </c>
      <c r="T50" s="327">
        <f t="shared" si="0"/>
        <v>105</v>
      </c>
      <c r="U50" s="327">
        <f t="shared" si="1"/>
        <v>0</v>
      </c>
      <c r="V50" s="327">
        <f t="shared" si="2"/>
        <v>0</v>
      </c>
      <c r="W50" s="327">
        <f t="shared" si="3"/>
        <v>0</v>
      </c>
      <c r="Y50" s="318"/>
      <c r="Z50" s="318"/>
    </row>
    <row r="51" spans="1:26" s="222" customFormat="1" ht="25.5" x14ac:dyDescent="0.2">
      <c r="A51" s="222">
        <v>29</v>
      </c>
      <c r="B51" s="453"/>
      <c r="C51" s="453"/>
      <c r="D51" s="20" t="s">
        <v>339</v>
      </c>
      <c r="E51" s="449"/>
      <c r="F51" s="451"/>
      <c r="G51" s="445"/>
      <c r="H51" s="34" t="s">
        <v>811</v>
      </c>
      <c r="I51" s="34" t="s">
        <v>829</v>
      </c>
      <c r="J51" s="30"/>
      <c r="K51" s="33">
        <v>41659</v>
      </c>
      <c r="L51" s="33">
        <v>41734</v>
      </c>
      <c r="M51" s="334">
        <v>3</v>
      </c>
      <c r="N51" s="20" t="s">
        <v>800</v>
      </c>
      <c r="O51" s="30" t="s">
        <v>819</v>
      </c>
      <c r="P51" s="30" t="s">
        <v>190</v>
      </c>
      <c r="Q51" s="30" t="s">
        <v>147</v>
      </c>
      <c r="R51" s="35">
        <v>165</v>
      </c>
      <c r="S51" s="20" t="s">
        <v>148</v>
      </c>
      <c r="T51" s="327">
        <f t="shared" si="0"/>
        <v>165</v>
      </c>
      <c r="U51" s="327">
        <f t="shared" si="1"/>
        <v>0</v>
      </c>
      <c r="V51" s="327">
        <f t="shared" si="2"/>
        <v>0</v>
      </c>
      <c r="W51" s="327">
        <f t="shared" si="3"/>
        <v>0</v>
      </c>
      <c r="Y51" s="318"/>
      <c r="Z51" s="318"/>
    </row>
    <row r="52" spans="1:26" s="222" customFormat="1" ht="38.25" x14ac:dyDescent="0.2">
      <c r="A52" s="222">
        <v>30</v>
      </c>
      <c r="B52" s="189">
        <v>577923</v>
      </c>
      <c r="C52" s="20" t="s">
        <v>459</v>
      </c>
      <c r="D52" s="189" t="s">
        <v>339</v>
      </c>
      <c r="E52" s="59">
        <v>41540</v>
      </c>
      <c r="F52" s="322">
        <v>41734</v>
      </c>
      <c r="G52" s="319">
        <v>21</v>
      </c>
      <c r="H52" s="34" t="s">
        <v>811</v>
      </c>
      <c r="I52" s="34" t="s">
        <v>829</v>
      </c>
      <c r="J52" s="30"/>
      <c r="K52" s="33">
        <v>41659</v>
      </c>
      <c r="L52" s="33">
        <v>41734</v>
      </c>
      <c r="M52" s="334">
        <v>5</v>
      </c>
      <c r="N52" s="20" t="s">
        <v>800</v>
      </c>
      <c r="O52" s="30" t="s">
        <v>581</v>
      </c>
      <c r="P52" s="30" t="s">
        <v>190</v>
      </c>
      <c r="Q52" s="30" t="s">
        <v>719</v>
      </c>
      <c r="R52" s="35">
        <v>324</v>
      </c>
      <c r="S52" s="20" t="s">
        <v>719</v>
      </c>
      <c r="T52" s="327">
        <f t="shared" si="0"/>
        <v>324</v>
      </c>
      <c r="U52" s="327">
        <f t="shared" si="1"/>
        <v>0</v>
      </c>
      <c r="V52" s="327">
        <f t="shared" si="2"/>
        <v>0</v>
      </c>
      <c r="W52" s="327">
        <f t="shared" si="3"/>
        <v>0</v>
      </c>
      <c r="Y52" s="318"/>
      <c r="Z52" s="318"/>
    </row>
    <row r="53" spans="1:26" s="222" customFormat="1" ht="25.5" customHeight="1" x14ac:dyDescent="0.2">
      <c r="A53" s="222">
        <v>31</v>
      </c>
      <c r="B53" s="444">
        <v>577920</v>
      </c>
      <c r="C53" s="444" t="s">
        <v>455</v>
      </c>
      <c r="D53" s="319" t="s">
        <v>339</v>
      </c>
      <c r="E53" s="450">
        <v>41540</v>
      </c>
      <c r="F53" s="450">
        <v>41734</v>
      </c>
      <c r="G53" s="452">
        <v>23</v>
      </c>
      <c r="H53" s="34" t="s">
        <v>811</v>
      </c>
      <c r="I53" s="34" t="s">
        <v>829</v>
      </c>
      <c r="J53" s="30"/>
      <c r="K53" s="33">
        <v>41659</v>
      </c>
      <c r="L53" s="33">
        <v>41734</v>
      </c>
      <c r="M53" s="334">
        <v>3</v>
      </c>
      <c r="N53" s="189" t="s">
        <v>796</v>
      </c>
      <c r="O53" s="30" t="s">
        <v>819</v>
      </c>
      <c r="P53" s="30" t="s">
        <v>190</v>
      </c>
      <c r="Q53" s="30" t="s">
        <v>147</v>
      </c>
      <c r="R53" s="35">
        <v>96</v>
      </c>
      <c r="S53" s="20" t="s">
        <v>148</v>
      </c>
      <c r="T53" s="327">
        <f t="shared" si="0"/>
        <v>96</v>
      </c>
      <c r="U53" s="327">
        <f t="shared" si="1"/>
        <v>0</v>
      </c>
      <c r="V53" s="327">
        <f t="shared" si="2"/>
        <v>0</v>
      </c>
      <c r="W53" s="327">
        <f t="shared" si="3"/>
        <v>0</v>
      </c>
      <c r="Y53" s="318"/>
      <c r="Z53" s="318"/>
    </row>
    <row r="54" spans="1:26" s="222" customFormat="1" ht="25.5" x14ac:dyDescent="0.2">
      <c r="A54" s="222">
        <v>31</v>
      </c>
      <c r="B54" s="445"/>
      <c r="C54" s="445"/>
      <c r="D54" s="319" t="s">
        <v>339</v>
      </c>
      <c r="E54" s="451"/>
      <c r="F54" s="451"/>
      <c r="G54" s="453"/>
      <c r="H54" s="34" t="s">
        <v>811</v>
      </c>
      <c r="I54" s="34" t="s">
        <v>829</v>
      </c>
      <c r="J54" s="30"/>
      <c r="K54" s="33">
        <v>41659</v>
      </c>
      <c r="L54" s="33">
        <v>41734</v>
      </c>
      <c r="M54" s="334">
        <v>2</v>
      </c>
      <c r="N54" s="189" t="s">
        <v>796</v>
      </c>
      <c r="O54" s="30" t="s">
        <v>819</v>
      </c>
      <c r="P54" s="30" t="s">
        <v>190</v>
      </c>
      <c r="Q54" s="30" t="s">
        <v>148</v>
      </c>
      <c r="R54" s="35">
        <v>66</v>
      </c>
      <c r="S54" s="20" t="s">
        <v>148</v>
      </c>
      <c r="T54" s="327">
        <f t="shared" si="0"/>
        <v>66</v>
      </c>
      <c r="U54" s="327">
        <f t="shared" si="1"/>
        <v>0</v>
      </c>
      <c r="V54" s="327">
        <f t="shared" si="2"/>
        <v>0</v>
      </c>
      <c r="W54" s="327">
        <f t="shared" si="3"/>
        <v>0</v>
      </c>
      <c r="Y54" s="318"/>
      <c r="Z54" s="318"/>
    </row>
    <row r="55" spans="1:26" s="222" customFormat="1" ht="25.5" x14ac:dyDescent="0.2">
      <c r="A55" s="222">
        <v>32</v>
      </c>
      <c r="B55" s="454" t="s">
        <v>450</v>
      </c>
      <c r="C55" s="446" t="s">
        <v>457</v>
      </c>
      <c r="D55" s="189" t="s">
        <v>339</v>
      </c>
      <c r="E55" s="448">
        <v>41659</v>
      </c>
      <c r="F55" s="448">
        <v>42548</v>
      </c>
      <c r="G55" s="452">
        <v>30</v>
      </c>
      <c r="H55" s="326" t="s">
        <v>811</v>
      </c>
      <c r="I55" s="34" t="s">
        <v>829</v>
      </c>
      <c r="J55" s="30"/>
      <c r="K55" s="33">
        <v>41659</v>
      </c>
      <c r="L55" s="33">
        <v>41902</v>
      </c>
      <c r="M55" s="30" t="s">
        <v>820</v>
      </c>
      <c r="N55" s="20" t="s">
        <v>800</v>
      </c>
      <c r="O55" s="30" t="s">
        <v>817</v>
      </c>
      <c r="P55" s="30" t="s">
        <v>190</v>
      </c>
      <c r="Q55" s="30" t="s">
        <v>317</v>
      </c>
      <c r="R55" s="35">
        <v>417</v>
      </c>
      <c r="S55" s="320" t="s">
        <v>498</v>
      </c>
      <c r="T55" s="327">
        <f t="shared" ref="T55:T58" si="4">IF(K55=$T$3,$T$5*R55/DAYS360(K55,L55),0)</f>
        <v>130.3125</v>
      </c>
      <c r="U55" s="327">
        <f t="shared" ref="U55:U58" si="5">IF(K55=$U$3,$U$5*R55/DAYS360(K55,L55),0)+IF(K55=$T$3,IF(L55=$U$4,R55-T55,0),0)+IF(K55=$T$3,IF(L55=$V$4,(R55-T55)/2,0),0)+IF(K55=$T$3,IF(L55=$W$4,(R55-T55)/3,0),0)</f>
        <v>143.34375</v>
      </c>
      <c r="V55" s="327">
        <f t="shared" ref="V55:V58" si="6">IF(K55=$V$3,$V$5*R55/DAYS360(K55,L55),0)+IF(K55=$T$3,IF(L55=$V$4,R55-T55-U55,0),0)+IF(K55=$T$3,IF(L55=$W$4,(R55-T55-U55)/2,0),0)+IF(K55=$U$3,IF(L55=$V$4,R55-U55,0),0)+IF(K55=$U$3,IF(L55=$W$4,(R55-U55)/2,0),0)</f>
        <v>143.34375</v>
      </c>
      <c r="W55" s="327">
        <f t="shared" ref="W55:W58" si="7">IF(K55=$W$3,$W$5*R55/DAYS360(K55,L55),0)+IF(K55=$T$3,IF(L55=$W$4,R55-T55-U55-V55,0),0)+IF(K55=$U$3,IF(L55=$W$4,R55-U55-V55,0),0)+IF(K55=$V$3,IF(L55=$W$4,R55-V55,0),0)</f>
        <v>0</v>
      </c>
      <c r="Y55" s="318"/>
      <c r="Z55" s="318"/>
    </row>
    <row r="56" spans="1:26" s="222" customFormat="1" ht="25.5" x14ac:dyDescent="0.2">
      <c r="A56" s="222">
        <v>32</v>
      </c>
      <c r="B56" s="458"/>
      <c r="C56" s="461"/>
      <c r="D56" s="189" t="s">
        <v>339</v>
      </c>
      <c r="E56" s="460"/>
      <c r="F56" s="460"/>
      <c r="G56" s="462"/>
      <c r="H56" s="326" t="s">
        <v>811</v>
      </c>
      <c r="I56" s="34" t="s">
        <v>829</v>
      </c>
      <c r="J56" s="30"/>
      <c r="K56" s="33">
        <v>41659</v>
      </c>
      <c r="L56" s="33">
        <v>41811</v>
      </c>
      <c r="M56" s="30" t="s">
        <v>821</v>
      </c>
      <c r="N56" s="20" t="s">
        <v>795</v>
      </c>
      <c r="O56" s="30" t="s">
        <v>817</v>
      </c>
      <c r="P56" s="30" t="s">
        <v>190</v>
      </c>
      <c r="Q56" s="30" t="s">
        <v>142</v>
      </c>
      <c r="R56" s="35">
        <v>260</v>
      </c>
      <c r="S56" s="320" t="s">
        <v>498</v>
      </c>
      <c r="T56" s="327">
        <f t="shared" si="4"/>
        <v>129.13907284768212</v>
      </c>
      <c r="U56" s="327">
        <f t="shared" si="5"/>
        <v>130.86092715231788</v>
      </c>
      <c r="V56" s="327">
        <f t="shared" si="6"/>
        <v>0</v>
      </c>
      <c r="W56" s="327">
        <f t="shared" si="7"/>
        <v>0</v>
      </c>
      <c r="Y56" s="318"/>
      <c r="Z56" s="318"/>
    </row>
    <row r="57" spans="1:26" s="222" customFormat="1" ht="25.5" x14ac:dyDescent="0.2">
      <c r="A57" s="222">
        <v>32</v>
      </c>
      <c r="B57" s="458"/>
      <c r="C57" s="461"/>
      <c r="D57" s="189" t="s">
        <v>339</v>
      </c>
      <c r="E57" s="460"/>
      <c r="F57" s="460"/>
      <c r="G57" s="462"/>
      <c r="H57" s="326" t="s">
        <v>811</v>
      </c>
      <c r="I57" s="34" t="s">
        <v>829</v>
      </c>
      <c r="J57" s="30"/>
      <c r="K57" s="33">
        <v>41827</v>
      </c>
      <c r="L57" s="33">
        <v>41902</v>
      </c>
      <c r="M57" s="30">
        <v>3</v>
      </c>
      <c r="N57" s="20" t="s">
        <v>800</v>
      </c>
      <c r="O57" s="30" t="s">
        <v>817</v>
      </c>
      <c r="P57" s="30" t="s">
        <v>190</v>
      </c>
      <c r="Q57" s="30" t="s">
        <v>317</v>
      </c>
      <c r="R57" s="35">
        <v>192</v>
      </c>
      <c r="S57" s="320" t="s">
        <v>498</v>
      </c>
      <c r="T57" s="327">
        <f t="shared" si="4"/>
        <v>0</v>
      </c>
      <c r="U57" s="327">
        <f t="shared" si="5"/>
        <v>0</v>
      </c>
      <c r="V57" s="327">
        <f t="shared" si="6"/>
        <v>192</v>
      </c>
      <c r="W57" s="327">
        <f t="shared" si="7"/>
        <v>0</v>
      </c>
      <c r="Y57" s="318"/>
      <c r="Z57" s="318"/>
    </row>
    <row r="58" spans="1:26" s="222" customFormat="1" ht="25.5" x14ac:dyDescent="0.2">
      <c r="A58" s="222">
        <v>32</v>
      </c>
      <c r="B58" s="458"/>
      <c r="C58" s="461"/>
      <c r="D58" s="189" t="s">
        <v>339</v>
      </c>
      <c r="E58" s="460"/>
      <c r="F58" s="460"/>
      <c r="G58" s="462"/>
      <c r="H58" s="326" t="s">
        <v>811</v>
      </c>
      <c r="I58" s="34" t="s">
        <v>829</v>
      </c>
      <c r="J58" s="30"/>
      <c r="K58" s="33">
        <v>41904</v>
      </c>
      <c r="L58" s="33">
        <v>41983</v>
      </c>
      <c r="M58" s="30">
        <v>2</v>
      </c>
      <c r="N58" s="20" t="s">
        <v>800</v>
      </c>
      <c r="O58" s="30" t="s">
        <v>817</v>
      </c>
      <c r="P58" s="30" t="s">
        <v>190</v>
      </c>
      <c r="Q58" s="30" t="s">
        <v>317</v>
      </c>
      <c r="R58" s="35">
        <v>120</v>
      </c>
      <c r="S58" s="320" t="s">
        <v>498</v>
      </c>
      <c r="T58" s="327">
        <f t="shared" si="4"/>
        <v>0</v>
      </c>
      <c r="U58" s="327">
        <f t="shared" si="5"/>
        <v>0</v>
      </c>
      <c r="V58" s="327">
        <f t="shared" si="6"/>
        <v>0</v>
      </c>
      <c r="W58" s="327">
        <f t="shared" si="7"/>
        <v>120</v>
      </c>
      <c r="Y58" s="318"/>
      <c r="Z58" s="318"/>
    </row>
    <row r="59" spans="1:26" s="222" customFormat="1" ht="25.5" x14ac:dyDescent="0.2">
      <c r="A59" s="222">
        <v>32</v>
      </c>
      <c r="B59" s="455"/>
      <c r="C59" s="447"/>
      <c r="D59" s="189" t="s">
        <v>339</v>
      </c>
      <c r="E59" s="449"/>
      <c r="F59" s="449"/>
      <c r="G59" s="453"/>
      <c r="H59" s="326" t="s">
        <v>811</v>
      </c>
      <c r="I59" s="34" t="s">
        <v>829</v>
      </c>
      <c r="J59" s="30"/>
      <c r="K59" s="33">
        <v>41904</v>
      </c>
      <c r="L59" s="33">
        <v>41983</v>
      </c>
      <c r="M59" s="30">
        <v>3</v>
      </c>
      <c r="N59" s="20" t="s">
        <v>795</v>
      </c>
      <c r="O59" s="30" t="s">
        <v>817</v>
      </c>
      <c r="P59" s="30" t="s">
        <v>190</v>
      </c>
      <c r="Q59" s="30" t="s">
        <v>142</v>
      </c>
      <c r="R59" s="35">
        <v>150</v>
      </c>
      <c r="S59" s="320" t="s">
        <v>498</v>
      </c>
      <c r="T59" s="327">
        <f t="shared" si="0"/>
        <v>0</v>
      </c>
      <c r="U59" s="327">
        <f t="shared" si="1"/>
        <v>0</v>
      </c>
      <c r="V59" s="327">
        <f t="shared" si="2"/>
        <v>0</v>
      </c>
      <c r="W59" s="327">
        <f t="shared" si="3"/>
        <v>150</v>
      </c>
      <c r="Y59" s="318"/>
      <c r="Z59" s="318"/>
    </row>
    <row r="60" spans="1:26" s="222" customFormat="1" ht="25.5" x14ac:dyDescent="0.2">
      <c r="A60" s="222">
        <v>33</v>
      </c>
      <c r="B60" s="48" t="s">
        <v>450</v>
      </c>
      <c r="C60" s="20" t="s">
        <v>454</v>
      </c>
      <c r="D60" s="20" t="s">
        <v>339</v>
      </c>
      <c r="E60" s="59">
        <v>41659</v>
      </c>
      <c r="F60" s="59">
        <v>41811</v>
      </c>
      <c r="G60" s="20">
        <v>30</v>
      </c>
      <c r="H60" s="34" t="s">
        <v>811</v>
      </c>
      <c r="I60" s="34" t="s">
        <v>829</v>
      </c>
      <c r="J60" s="30"/>
      <c r="K60" s="33">
        <v>41659</v>
      </c>
      <c r="L60" s="33">
        <v>41811</v>
      </c>
      <c r="M60" s="334">
        <v>5</v>
      </c>
      <c r="N60" s="20" t="s">
        <v>800</v>
      </c>
      <c r="O60" s="30" t="s">
        <v>822</v>
      </c>
      <c r="P60" s="30" t="s">
        <v>190</v>
      </c>
      <c r="Q60" s="30" t="s">
        <v>146</v>
      </c>
      <c r="R60" s="35">
        <v>525</v>
      </c>
      <c r="S60" s="320" t="s">
        <v>499</v>
      </c>
      <c r="T60" s="327">
        <f t="shared" si="0"/>
        <v>260.76158940397352</v>
      </c>
      <c r="U60" s="327">
        <f t="shared" si="1"/>
        <v>264.23841059602648</v>
      </c>
      <c r="V60" s="327">
        <f t="shared" si="2"/>
        <v>0</v>
      </c>
      <c r="W60" s="327">
        <f t="shared" si="3"/>
        <v>0</v>
      </c>
      <c r="Y60" s="318"/>
      <c r="Z60" s="318"/>
    </row>
    <row r="61" spans="1:26" s="222" customFormat="1" ht="25.5" x14ac:dyDescent="0.2">
      <c r="A61" s="222">
        <v>34</v>
      </c>
      <c r="B61" s="48" t="s">
        <v>450</v>
      </c>
      <c r="C61" s="189" t="s">
        <v>454</v>
      </c>
      <c r="D61" s="20" t="s">
        <v>339</v>
      </c>
      <c r="E61" s="59">
        <v>41659</v>
      </c>
      <c r="F61" s="59">
        <v>41811</v>
      </c>
      <c r="G61" s="20">
        <v>30</v>
      </c>
      <c r="H61" s="34" t="s">
        <v>811</v>
      </c>
      <c r="I61" s="34" t="s">
        <v>829</v>
      </c>
      <c r="J61" s="30"/>
      <c r="K61" s="33">
        <v>41659</v>
      </c>
      <c r="L61" s="33">
        <v>41811</v>
      </c>
      <c r="M61" s="334">
        <v>5</v>
      </c>
      <c r="N61" s="20" t="s">
        <v>799</v>
      </c>
      <c r="O61" s="30" t="s">
        <v>822</v>
      </c>
      <c r="P61" s="30" t="s">
        <v>190</v>
      </c>
      <c r="Q61" s="30" t="s">
        <v>289</v>
      </c>
      <c r="R61" s="35">
        <v>630</v>
      </c>
      <c r="S61" s="320" t="s">
        <v>502</v>
      </c>
      <c r="T61" s="327">
        <f t="shared" si="0"/>
        <v>312.91390728476819</v>
      </c>
      <c r="U61" s="327">
        <f t="shared" si="1"/>
        <v>317.08609271523181</v>
      </c>
      <c r="V61" s="327">
        <f t="shared" si="2"/>
        <v>0</v>
      </c>
      <c r="W61" s="327">
        <f t="shared" si="3"/>
        <v>0</v>
      </c>
      <c r="Y61" s="318"/>
      <c r="Z61" s="318"/>
    </row>
    <row r="62" spans="1:26" s="222" customFormat="1" ht="25.5" x14ac:dyDescent="0.2">
      <c r="A62" s="222">
        <v>35</v>
      </c>
      <c r="B62" s="48" t="s">
        <v>450</v>
      </c>
      <c r="C62" s="189" t="s">
        <v>454</v>
      </c>
      <c r="D62" s="20" t="s">
        <v>339</v>
      </c>
      <c r="E62" s="59">
        <v>41659</v>
      </c>
      <c r="F62" s="59">
        <v>41811</v>
      </c>
      <c r="G62" s="20">
        <v>30</v>
      </c>
      <c r="H62" s="34" t="s">
        <v>811</v>
      </c>
      <c r="I62" s="34" t="s">
        <v>829</v>
      </c>
      <c r="J62" s="30"/>
      <c r="K62" s="33">
        <v>41659</v>
      </c>
      <c r="L62" s="33">
        <v>41811</v>
      </c>
      <c r="M62" s="334">
        <v>5</v>
      </c>
      <c r="N62" s="189" t="s">
        <v>801</v>
      </c>
      <c r="O62" s="30" t="s">
        <v>822</v>
      </c>
      <c r="P62" s="30" t="s">
        <v>190</v>
      </c>
      <c r="Q62" s="30" t="s">
        <v>585</v>
      </c>
      <c r="R62" s="35">
        <v>420</v>
      </c>
      <c r="S62" s="320" t="s">
        <v>500</v>
      </c>
      <c r="T62" s="327">
        <f t="shared" si="0"/>
        <v>208.60927152317882</v>
      </c>
      <c r="U62" s="327">
        <f t="shared" si="1"/>
        <v>211.39072847682118</v>
      </c>
      <c r="V62" s="327">
        <f t="shared" si="2"/>
        <v>0</v>
      </c>
      <c r="W62" s="327">
        <f t="shared" si="3"/>
        <v>0</v>
      </c>
      <c r="Y62" s="318"/>
      <c r="Z62" s="318"/>
    </row>
    <row r="63" spans="1:26" s="222" customFormat="1" ht="25.5" x14ac:dyDescent="0.2">
      <c r="A63" s="222">
        <v>36</v>
      </c>
      <c r="B63" s="48" t="s">
        <v>450</v>
      </c>
      <c r="C63" s="189" t="s">
        <v>458</v>
      </c>
      <c r="D63" s="20" t="s">
        <v>339</v>
      </c>
      <c r="E63" s="59">
        <v>41659</v>
      </c>
      <c r="F63" s="59">
        <v>41811</v>
      </c>
      <c r="G63" s="20">
        <v>30</v>
      </c>
      <c r="H63" s="34" t="s">
        <v>811</v>
      </c>
      <c r="I63" s="34" t="s">
        <v>829</v>
      </c>
      <c r="J63" s="30"/>
      <c r="K63" s="33">
        <v>41659</v>
      </c>
      <c r="L63" s="33">
        <v>41811</v>
      </c>
      <c r="M63" s="334">
        <v>5</v>
      </c>
      <c r="N63" s="20" t="s">
        <v>800</v>
      </c>
      <c r="O63" s="30" t="s">
        <v>579</v>
      </c>
      <c r="P63" s="30" t="s">
        <v>190</v>
      </c>
      <c r="Q63" s="30" t="s">
        <v>272</v>
      </c>
      <c r="R63" s="35">
        <v>630</v>
      </c>
      <c r="S63" s="320" t="s">
        <v>501</v>
      </c>
      <c r="T63" s="327">
        <f t="shared" si="0"/>
        <v>312.91390728476819</v>
      </c>
      <c r="U63" s="327">
        <f t="shared" si="1"/>
        <v>317.08609271523181</v>
      </c>
      <c r="V63" s="327">
        <f t="shared" si="2"/>
        <v>0</v>
      </c>
      <c r="W63" s="327">
        <f t="shared" si="3"/>
        <v>0</v>
      </c>
      <c r="Y63" s="318"/>
      <c r="Z63" s="318"/>
    </row>
    <row r="64" spans="1:26" s="222" customFormat="1" ht="25.5" x14ac:dyDescent="0.2">
      <c r="A64" s="222">
        <v>37</v>
      </c>
      <c r="B64" s="48" t="s">
        <v>450</v>
      </c>
      <c r="C64" s="189" t="s">
        <v>458</v>
      </c>
      <c r="D64" s="20" t="s">
        <v>339</v>
      </c>
      <c r="E64" s="59">
        <v>41659</v>
      </c>
      <c r="F64" s="59">
        <v>41811</v>
      </c>
      <c r="G64" s="20">
        <v>30</v>
      </c>
      <c r="H64" s="34" t="s">
        <v>811</v>
      </c>
      <c r="I64" s="34" t="s">
        <v>829</v>
      </c>
      <c r="J64" s="30"/>
      <c r="K64" s="33">
        <v>41659</v>
      </c>
      <c r="L64" s="33">
        <v>41811</v>
      </c>
      <c r="M64" s="334">
        <v>5</v>
      </c>
      <c r="N64" s="20" t="s">
        <v>799</v>
      </c>
      <c r="O64" s="30" t="s">
        <v>579</v>
      </c>
      <c r="P64" s="30" t="s">
        <v>190</v>
      </c>
      <c r="Q64" s="30" t="s">
        <v>681</v>
      </c>
      <c r="R64" s="35">
        <v>630</v>
      </c>
      <c r="S64" s="320" t="s">
        <v>720</v>
      </c>
      <c r="T64" s="327">
        <f t="shared" si="0"/>
        <v>312.91390728476819</v>
      </c>
      <c r="U64" s="327">
        <f t="shared" si="1"/>
        <v>317.08609271523181</v>
      </c>
      <c r="V64" s="327">
        <f t="shared" si="2"/>
        <v>0</v>
      </c>
      <c r="W64" s="327">
        <f t="shared" si="3"/>
        <v>0</v>
      </c>
      <c r="Y64" s="318"/>
      <c r="Z64" s="318"/>
    </row>
    <row r="65" spans="1:26" s="222" customFormat="1" ht="25.5" x14ac:dyDescent="0.2">
      <c r="A65" s="222">
        <v>38</v>
      </c>
      <c r="B65" s="48" t="s">
        <v>450</v>
      </c>
      <c r="C65" s="189" t="s">
        <v>695</v>
      </c>
      <c r="D65" s="189" t="s">
        <v>339</v>
      </c>
      <c r="E65" s="59">
        <v>41659</v>
      </c>
      <c r="F65" s="59">
        <v>41734</v>
      </c>
      <c r="G65" s="20">
        <v>15</v>
      </c>
      <c r="H65" s="34" t="s">
        <v>811</v>
      </c>
      <c r="I65" s="34" t="s">
        <v>829</v>
      </c>
      <c r="J65" s="30"/>
      <c r="K65" s="33">
        <v>41659</v>
      </c>
      <c r="L65" s="33">
        <v>41734</v>
      </c>
      <c r="M65" s="334">
        <v>5</v>
      </c>
      <c r="N65" s="20" t="s">
        <v>795</v>
      </c>
      <c r="O65" s="30" t="s">
        <v>823</v>
      </c>
      <c r="P65" s="30" t="s">
        <v>190</v>
      </c>
      <c r="Q65" s="30" t="s">
        <v>145</v>
      </c>
      <c r="R65" s="35">
        <v>270</v>
      </c>
      <c r="S65" s="320" t="s">
        <v>145</v>
      </c>
      <c r="T65" s="327">
        <f t="shared" si="0"/>
        <v>270</v>
      </c>
      <c r="U65" s="327">
        <f t="shared" si="1"/>
        <v>0</v>
      </c>
      <c r="V65" s="327">
        <f t="shared" si="2"/>
        <v>0</v>
      </c>
      <c r="W65" s="327">
        <f t="shared" si="3"/>
        <v>0</v>
      </c>
      <c r="Y65" s="318"/>
      <c r="Z65" s="318"/>
    </row>
    <row r="66" spans="1:26" s="222" customFormat="1" ht="25.5" x14ac:dyDescent="0.2">
      <c r="A66" s="222">
        <v>39</v>
      </c>
      <c r="B66" s="454" t="s">
        <v>450</v>
      </c>
      <c r="C66" s="452" t="s">
        <v>696</v>
      </c>
      <c r="D66" s="20" t="s">
        <v>339</v>
      </c>
      <c r="E66" s="448">
        <v>41736</v>
      </c>
      <c r="F66" s="448">
        <v>42269</v>
      </c>
      <c r="G66" s="452">
        <v>30</v>
      </c>
      <c r="H66" s="326"/>
      <c r="I66" s="34"/>
      <c r="J66" s="30"/>
      <c r="K66" s="33">
        <v>41736</v>
      </c>
      <c r="L66" s="33">
        <v>41983</v>
      </c>
      <c r="M66" s="30" t="s">
        <v>833</v>
      </c>
      <c r="N66" s="20" t="s">
        <v>795</v>
      </c>
      <c r="O66" s="30" t="s">
        <v>817</v>
      </c>
      <c r="P66" s="30" t="s">
        <v>190</v>
      </c>
      <c r="Q66" s="30" t="s">
        <v>142</v>
      </c>
      <c r="R66" s="35">
        <v>100</v>
      </c>
      <c r="S66" s="320" t="s">
        <v>142</v>
      </c>
      <c r="T66" s="327">
        <f t="shared" ref="T66" si="8">IF(K66=$T$3,$T$5*R66/DAYS360(K66,L66),0)</f>
        <v>0</v>
      </c>
      <c r="U66" s="327">
        <f t="shared" ref="U66" si="9">IF(K66=$U$3,$U$5*R66/DAYS360(K66,L66),0)+IF(K66=$T$3,IF(L66=$U$4,R66-T66,0),0)+IF(K66=$T$3,IF(L66=$V$4,(R66-T66)/2,0),0)+IF(K66=$T$3,IF(L66=$W$4,(R66-T66)/3,0),0)</f>
        <v>30.452674897119341</v>
      </c>
      <c r="V66" s="327">
        <f t="shared" ref="V66" si="10">IF(K66=$V$3,$V$5*R66/DAYS360(K66,L66),0)+IF(K66=$T$3,IF(L66=$V$4,R66-T66-U66,0),0)+IF(K66=$T$3,IF(L66=$W$4,(R66-T66-U66)/2,0),0)+IF(K66=$U$3,IF(L66=$V$4,R66-U66,0),0)+IF(K66=$U$3,IF(L66=$W$4,(R66-U66)/2,0),0)</f>
        <v>34.773662551440331</v>
      </c>
      <c r="W66" s="327">
        <f t="shared" ref="W66" si="11">IF(K66=$W$3,$W$5*R66/DAYS360(K66,L66),0)+IF(K66=$T$3,IF(L66=$W$4,R66-T66-U66-V66,0),0)+IF(K66=$U$3,IF(L66=$W$4,R66-U66-V66,0),0)+IF(K66=$V$3,IF(L66=$W$4,R66-V66,0),0)</f>
        <v>34.773662551440331</v>
      </c>
      <c r="Y66" s="318"/>
      <c r="Z66" s="318"/>
    </row>
    <row r="67" spans="1:26" s="222" customFormat="1" ht="25.5" x14ac:dyDescent="0.2">
      <c r="A67" s="222">
        <v>39</v>
      </c>
      <c r="B67" s="458"/>
      <c r="C67" s="462"/>
      <c r="D67" s="20" t="s">
        <v>339</v>
      </c>
      <c r="E67" s="460"/>
      <c r="F67" s="460"/>
      <c r="G67" s="462"/>
      <c r="H67" s="326"/>
      <c r="I67" s="34"/>
      <c r="J67" s="30"/>
      <c r="K67" s="33">
        <v>41736</v>
      </c>
      <c r="L67" s="33">
        <v>41983</v>
      </c>
      <c r="M67" s="30" t="s">
        <v>833</v>
      </c>
      <c r="N67" s="20" t="s">
        <v>800</v>
      </c>
      <c r="O67" s="30" t="s">
        <v>817</v>
      </c>
      <c r="P67" s="30" t="s">
        <v>190</v>
      </c>
      <c r="Q67" s="30" t="s">
        <v>719</v>
      </c>
      <c r="R67" s="35">
        <v>320</v>
      </c>
      <c r="S67" s="320" t="s">
        <v>142</v>
      </c>
      <c r="T67" s="327">
        <f t="shared" si="0"/>
        <v>0</v>
      </c>
      <c r="U67" s="327">
        <f t="shared" si="1"/>
        <v>97.44855967078189</v>
      </c>
      <c r="V67" s="327">
        <f t="shared" si="2"/>
        <v>111.27572016460906</v>
      </c>
      <c r="W67" s="327">
        <f t="shared" si="3"/>
        <v>111.27572016460906</v>
      </c>
      <c r="Y67" s="318"/>
      <c r="Z67" s="318"/>
    </row>
    <row r="68" spans="1:26" s="222" customFormat="1" ht="25.5" x14ac:dyDescent="0.2">
      <c r="A68" s="222">
        <v>39</v>
      </c>
      <c r="B68" s="458"/>
      <c r="C68" s="462"/>
      <c r="D68" s="20" t="s">
        <v>339</v>
      </c>
      <c r="E68" s="460"/>
      <c r="F68" s="460"/>
      <c r="G68" s="462"/>
      <c r="H68" s="326"/>
      <c r="I68" s="34"/>
      <c r="J68" s="30"/>
      <c r="K68" s="33">
        <v>41736</v>
      </c>
      <c r="L68" s="33">
        <v>41983</v>
      </c>
      <c r="M68" s="30" t="s">
        <v>834</v>
      </c>
      <c r="N68" s="20" t="s">
        <v>800</v>
      </c>
      <c r="O68" s="30" t="s">
        <v>817</v>
      </c>
      <c r="P68" s="30" t="s">
        <v>190</v>
      </c>
      <c r="Q68" s="30" t="s">
        <v>317</v>
      </c>
      <c r="R68" s="35">
        <v>400</v>
      </c>
      <c r="S68" s="320" t="s">
        <v>498</v>
      </c>
      <c r="T68" s="327">
        <f t="shared" ref="T68" si="12">IF(K68=$T$3,$T$5*R68/DAYS360(K68,L68),0)</f>
        <v>0</v>
      </c>
      <c r="U68" s="327">
        <f t="shared" ref="U68" si="13">IF(K68=$U$3,$U$5*R68/DAYS360(K68,L68),0)+IF(K68=$T$3,IF(L68=$U$4,R68-T68,0),0)+IF(K68=$T$3,IF(L68=$V$4,(R68-T68)/2,0),0)+IF(K68=$T$3,IF(L68=$W$4,(R68-T68)/3,0),0)</f>
        <v>121.81069958847736</v>
      </c>
      <c r="V68" s="327">
        <f t="shared" ref="V68" si="14">IF(K68=$V$3,$V$5*R68/DAYS360(K68,L68),0)+IF(K68=$T$3,IF(L68=$V$4,R68-T68-U68,0),0)+IF(K68=$T$3,IF(L68=$W$4,(R68-T68-U68)/2,0),0)+IF(K68=$U$3,IF(L68=$V$4,R68-U68,0),0)+IF(K68=$U$3,IF(L68=$W$4,(R68-U68)/2,0),0)</f>
        <v>139.09465020576133</v>
      </c>
      <c r="W68" s="327">
        <f t="shared" ref="W68" si="15">IF(K68=$W$3,$W$5*R68/DAYS360(K68,L68),0)+IF(K68=$T$3,IF(L68=$W$4,R68-T68-U68-V68,0),0)+IF(K68=$U$3,IF(L68=$W$4,R68-U68-V68,0),0)+IF(K68=$V$3,IF(L68=$W$4,R68-V68,0),0)</f>
        <v>139.09465020576133</v>
      </c>
      <c r="Y68" s="318"/>
      <c r="Z68" s="318"/>
    </row>
    <row r="69" spans="1:26" s="222" customFormat="1" ht="25.5" x14ac:dyDescent="0.2">
      <c r="A69" s="222">
        <v>39</v>
      </c>
      <c r="B69" s="455"/>
      <c r="C69" s="453"/>
      <c r="D69" s="20" t="s">
        <v>339</v>
      </c>
      <c r="E69" s="449"/>
      <c r="F69" s="449"/>
      <c r="G69" s="453"/>
      <c r="H69" s="326"/>
      <c r="I69" s="34"/>
      <c r="J69" s="30"/>
      <c r="K69" s="33">
        <v>41904</v>
      </c>
      <c r="L69" s="33">
        <v>41983</v>
      </c>
      <c r="M69" s="30" t="s">
        <v>832</v>
      </c>
      <c r="N69" s="20" t="s">
        <v>795</v>
      </c>
      <c r="O69" s="30" t="s">
        <v>817</v>
      </c>
      <c r="P69" s="30" t="s">
        <v>190</v>
      </c>
      <c r="Q69" s="30" t="s">
        <v>148</v>
      </c>
      <c r="R69" s="35">
        <v>110</v>
      </c>
      <c r="S69" s="320" t="s">
        <v>142</v>
      </c>
      <c r="T69" s="327">
        <f t="shared" si="0"/>
        <v>0</v>
      </c>
      <c r="U69" s="327">
        <f t="shared" si="1"/>
        <v>0</v>
      </c>
      <c r="V69" s="327">
        <f t="shared" si="2"/>
        <v>0</v>
      </c>
      <c r="W69" s="327">
        <f t="shared" si="3"/>
        <v>110</v>
      </c>
      <c r="Y69" s="318"/>
      <c r="Z69" s="318"/>
    </row>
    <row r="70" spans="1:26" s="222" customFormat="1" ht="25.5" x14ac:dyDescent="0.2">
      <c r="A70" s="222">
        <v>39</v>
      </c>
      <c r="B70" s="454" t="s">
        <v>450</v>
      </c>
      <c r="C70" s="452" t="s">
        <v>696</v>
      </c>
      <c r="D70" s="20" t="s">
        <v>339</v>
      </c>
      <c r="E70" s="448">
        <v>41736</v>
      </c>
      <c r="F70" s="448">
        <v>42269</v>
      </c>
      <c r="G70" s="462">
        <v>30</v>
      </c>
      <c r="H70" s="326"/>
      <c r="I70" s="34"/>
      <c r="J70" s="30"/>
      <c r="K70" s="33">
        <v>41736</v>
      </c>
      <c r="L70" s="33">
        <v>41983</v>
      </c>
      <c r="M70" s="30" t="s">
        <v>833</v>
      </c>
      <c r="N70" s="20" t="s">
        <v>795</v>
      </c>
      <c r="O70" s="30" t="s">
        <v>817</v>
      </c>
      <c r="P70" s="30" t="s">
        <v>190</v>
      </c>
      <c r="Q70" s="30" t="s">
        <v>142</v>
      </c>
      <c r="R70" s="35">
        <v>140</v>
      </c>
      <c r="S70" s="320" t="s">
        <v>142</v>
      </c>
      <c r="T70" s="327">
        <f t="shared" ref="T70:T73" si="16">IF(K70=$T$3,$T$5*R70/DAYS360(K70,L70),0)</f>
        <v>0</v>
      </c>
      <c r="U70" s="327">
        <f t="shared" ref="U70:U73" si="17">IF(K70=$U$3,$U$5*R70/DAYS360(K70,L70),0)+IF(K70=$T$3,IF(L70=$U$4,R70-T70,0),0)+IF(K70=$T$3,IF(L70=$V$4,(R70-T70)/2,0),0)+IF(K70=$T$3,IF(L70=$W$4,(R70-T70)/3,0),0)</f>
        <v>42.63374485596708</v>
      </c>
      <c r="V70" s="327">
        <f t="shared" ref="V70:V73" si="18">IF(K70=$V$3,$V$5*R70/DAYS360(K70,L70),0)+IF(K70=$T$3,IF(L70=$V$4,R70-T70-U70,0),0)+IF(K70=$T$3,IF(L70=$W$4,(R70-T70-U70)/2,0),0)+IF(K70=$U$3,IF(L70=$V$4,R70-U70,0),0)+IF(K70=$U$3,IF(L70=$W$4,(R70-U70)/2,0),0)</f>
        <v>48.68312757201646</v>
      </c>
      <c r="W70" s="327">
        <f t="shared" ref="W70:W73" si="19">IF(K70=$W$3,$W$5*R70/DAYS360(K70,L70),0)+IF(K70=$T$3,IF(L70=$W$4,R70-T70-U70-V70,0),0)+IF(K70=$U$3,IF(L70=$W$4,R70-U70-V70,0),0)+IF(K70=$V$3,IF(L70=$W$4,R70-V70,0),0)</f>
        <v>48.68312757201646</v>
      </c>
      <c r="Y70" s="318"/>
      <c r="Z70" s="318"/>
    </row>
    <row r="71" spans="1:26" s="222" customFormat="1" ht="25.5" x14ac:dyDescent="0.2">
      <c r="A71" s="222">
        <v>39</v>
      </c>
      <c r="B71" s="458"/>
      <c r="C71" s="462"/>
      <c r="D71" s="20" t="s">
        <v>339</v>
      </c>
      <c r="E71" s="460"/>
      <c r="F71" s="460"/>
      <c r="G71" s="462"/>
      <c r="H71" s="326"/>
      <c r="I71" s="34"/>
      <c r="J71" s="30"/>
      <c r="K71" s="33">
        <v>41736</v>
      </c>
      <c r="L71" s="33">
        <v>41983</v>
      </c>
      <c r="M71" s="30" t="s">
        <v>833</v>
      </c>
      <c r="N71" s="20" t="s">
        <v>800</v>
      </c>
      <c r="O71" s="30" t="s">
        <v>817</v>
      </c>
      <c r="P71" s="30" t="s">
        <v>190</v>
      </c>
      <c r="Q71" s="30" t="s">
        <v>719</v>
      </c>
      <c r="R71" s="35">
        <v>100</v>
      </c>
      <c r="S71" s="320" t="s">
        <v>142</v>
      </c>
      <c r="T71" s="327">
        <f t="shared" si="16"/>
        <v>0</v>
      </c>
      <c r="U71" s="327">
        <f t="shared" si="17"/>
        <v>30.452674897119341</v>
      </c>
      <c r="V71" s="327">
        <f t="shared" si="18"/>
        <v>34.773662551440331</v>
      </c>
      <c r="W71" s="327">
        <f t="shared" si="19"/>
        <v>34.773662551440331</v>
      </c>
      <c r="Y71" s="318"/>
      <c r="Z71" s="318"/>
    </row>
    <row r="72" spans="1:26" s="222" customFormat="1" ht="25.5" x14ac:dyDescent="0.2">
      <c r="A72" s="222">
        <v>39</v>
      </c>
      <c r="B72" s="458"/>
      <c r="C72" s="462"/>
      <c r="D72" s="20" t="s">
        <v>339</v>
      </c>
      <c r="E72" s="460"/>
      <c r="F72" s="460"/>
      <c r="G72" s="462"/>
      <c r="H72" s="326"/>
      <c r="I72" s="34"/>
      <c r="J72" s="30"/>
      <c r="K72" s="33">
        <v>41736</v>
      </c>
      <c r="L72" s="33">
        <v>41983</v>
      </c>
      <c r="M72" s="30" t="s">
        <v>834</v>
      </c>
      <c r="N72" s="189" t="s">
        <v>801</v>
      </c>
      <c r="O72" s="30" t="s">
        <v>817</v>
      </c>
      <c r="P72" s="30" t="s">
        <v>190</v>
      </c>
      <c r="Q72" s="30" t="s">
        <v>317</v>
      </c>
      <c r="R72" s="35">
        <v>296</v>
      </c>
      <c r="S72" s="320" t="s">
        <v>498</v>
      </c>
      <c r="T72" s="327">
        <f t="shared" si="16"/>
        <v>0</v>
      </c>
      <c r="U72" s="327">
        <f t="shared" si="17"/>
        <v>90.139917695473244</v>
      </c>
      <c r="V72" s="327">
        <f t="shared" si="18"/>
        <v>102.93004115226339</v>
      </c>
      <c r="W72" s="327">
        <f t="shared" si="19"/>
        <v>102.93004115226339</v>
      </c>
      <c r="Y72" s="318"/>
      <c r="Z72" s="318"/>
    </row>
    <row r="73" spans="1:26" s="222" customFormat="1" ht="25.5" x14ac:dyDescent="0.2">
      <c r="A73" s="222">
        <v>39</v>
      </c>
      <c r="B73" s="455"/>
      <c r="C73" s="453"/>
      <c r="D73" s="20" t="s">
        <v>339</v>
      </c>
      <c r="E73" s="449"/>
      <c r="F73" s="449"/>
      <c r="G73" s="453"/>
      <c r="H73" s="326"/>
      <c r="I73" s="34"/>
      <c r="J73" s="30"/>
      <c r="K73" s="33">
        <v>41904</v>
      </c>
      <c r="L73" s="33">
        <v>41983</v>
      </c>
      <c r="M73" s="30" t="s">
        <v>832</v>
      </c>
      <c r="N73" s="189" t="s">
        <v>796</v>
      </c>
      <c r="O73" s="30" t="s">
        <v>817</v>
      </c>
      <c r="P73" s="30" t="s">
        <v>190</v>
      </c>
      <c r="Q73" s="30" t="s">
        <v>148</v>
      </c>
      <c r="R73" s="35">
        <v>66</v>
      </c>
      <c r="S73" s="320" t="s">
        <v>142</v>
      </c>
      <c r="T73" s="327">
        <f t="shared" si="16"/>
        <v>0</v>
      </c>
      <c r="U73" s="327">
        <f t="shared" si="17"/>
        <v>0</v>
      </c>
      <c r="V73" s="327">
        <f t="shared" si="18"/>
        <v>0</v>
      </c>
      <c r="W73" s="327">
        <f t="shared" si="19"/>
        <v>66</v>
      </c>
      <c r="Y73" s="318"/>
      <c r="Z73" s="318"/>
    </row>
    <row r="74" spans="1:26" s="222" customFormat="1" ht="27.75" customHeight="1" x14ac:dyDescent="0.2">
      <c r="A74" s="222">
        <v>41</v>
      </c>
      <c r="B74" s="454" t="s">
        <v>450</v>
      </c>
      <c r="C74" s="452" t="s">
        <v>455</v>
      </c>
      <c r="D74" s="20" t="s">
        <v>339</v>
      </c>
      <c r="E74" s="448">
        <v>41736</v>
      </c>
      <c r="F74" s="448">
        <v>41902</v>
      </c>
      <c r="G74" s="452">
        <v>30</v>
      </c>
      <c r="H74" s="34" t="s">
        <v>811</v>
      </c>
      <c r="I74" s="34" t="s">
        <v>826</v>
      </c>
      <c r="J74" s="30"/>
      <c r="K74" s="33">
        <v>41736</v>
      </c>
      <c r="L74" s="33">
        <v>41902</v>
      </c>
      <c r="M74" s="30" t="s">
        <v>824</v>
      </c>
      <c r="N74" s="20" t="s">
        <v>795</v>
      </c>
      <c r="O74" s="30" t="s">
        <v>818</v>
      </c>
      <c r="P74" s="30" t="s">
        <v>190</v>
      </c>
      <c r="Q74" s="30" t="s">
        <v>148</v>
      </c>
      <c r="R74" s="35">
        <v>155</v>
      </c>
      <c r="S74" s="320" t="s">
        <v>147</v>
      </c>
      <c r="T74" s="327">
        <f t="shared" ref="T74:T75" si="20">IF(K74=$T$3,$T$5*R74/DAYS360(K74,L74),0)</f>
        <v>0</v>
      </c>
      <c r="U74" s="327">
        <f t="shared" ref="U74:U75" si="21">IF(K74=$U$3,$U$5*R74/DAYS360(K74,L74),0)+IF(K74=$T$3,IF(L74=$U$4,R74-T74,0),0)+IF(K74=$T$3,IF(L74=$V$4,(R74-T74)/2,0),0)+IF(K74=$T$3,IF(L74=$W$4,(R74-T74)/3,0),0)</f>
        <v>70.368098159509202</v>
      </c>
      <c r="V74" s="327">
        <f t="shared" ref="V74:V75" si="22">IF(K74=$V$3,$V$5*R74/DAYS360(K74,L74),0)+IF(K74=$T$3,IF(L74=$V$4,R74-T74-U74,0),0)+IF(K74=$T$3,IF(L74=$W$4,(R74-T74-U74)/2,0),0)+IF(K74=$U$3,IF(L74=$V$4,R74-U74,0),0)+IF(K74=$U$3,IF(L74=$W$4,(R74-U74)/2,0),0)</f>
        <v>84.631901840490798</v>
      </c>
      <c r="W74" s="327">
        <f t="shared" ref="W74:W75" si="23">IF(K74=$W$3,$W$5*R74/DAYS360(K74,L74),0)+IF(K74=$T$3,IF(L74=$W$4,R74-T74-U74-V74,0),0)+IF(K74=$U$3,IF(L74=$W$4,R74-U74-V74,0),0)+IF(K74=$V$3,IF(L74=$W$4,R74-V74,0),0)</f>
        <v>0</v>
      </c>
      <c r="Y74" s="318"/>
      <c r="Z74" s="318"/>
    </row>
    <row r="75" spans="1:26" s="222" customFormat="1" ht="45" x14ac:dyDescent="0.2">
      <c r="A75" s="222">
        <v>41</v>
      </c>
      <c r="B75" s="458"/>
      <c r="C75" s="462"/>
      <c r="D75" s="20" t="s">
        <v>339</v>
      </c>
      <c r="E75" s="460"/>
      <c r="F75" s="460"/>
      <c r="G75" s="462"/>
      <c r="H75" s="34" t="s">
        <v>811</v>
      </c>
      <c r="I75" s="34" t="s">
        <v>827</v>
      </c>
      <c r="J75" s="30"/>
      <c r="K75" s="33">
        <v>41736</v>
      </c>
      <c r="L75" s="33">
        <v>41902</v>
      </c>
      <c r="M75" s="30" t="s">
        <v>825</v>
      </c>
      <c r="N75" s="20" t="s">
        <v>795</v>
      </c>
      <c r="O75" s="30" t="s">
        <v>818</v>
      </c>
      <c r="P75" s="30" t="s">
        <v>190</v>
      </c>
      <c r="Q75" s="30" t="s">
        <v>147</v>
      </c>
      <c r="R75" s="35">
        <v>315</v>
      </c>
      <c r="S75" s="320" t="s">
        <v>147</v>
      </c>
      <c r="T75" s="327">
        <f t="shared" si="20"/>
        <v>0</v>
      </c>
      <c r="U75" s="327">
        <f t="shared" si="21"/>
        <v>143.00613496932516</v>
      </c>
      <c r="V75" s="327">
        <f t="shared" si="22"/>
        <v>171.99386503067484</v>
      </c>
      <c r="W75" s="327">
        <f t="shared" si="23"/>
        <v>0</v>
      </c>
      <c r="Y75" s="318"/>
      <c r="Z75" s="318"/>
    </row>
    <row r="76" spans="1:26" s="222" customFormat="1" ht="36.75" customHeight="1" x14ac:dyDescent="0.2">
      <c r="A76" s="222">
        <v>41</v>
      </c>
      <c r="B76" s="455"/>
      <c r="C76" s="453"/>
      <c r="D76" s="20" t="s">
        <v>339</v>
      </c>
      <c r="E76" s="449"/>
      <c r="F76" s="449"/>
      <c r="G76" s="453"/>
      <c r="H76" s="34" t="s">
        <v>811</v>
      </c>
      <c r="I76" s="34" t="s">
        <v>828</v>
      </c>
      <c r="J76" s="30"/>
      <c r="K76" s="33">
        <v>41827</v>
      </c>
      <c r="L76" s="33">
        <v>41902</v>
      </c>
      <c r="M76" s="334">
        <v>1</v>
      </c>
      <c r="N76" s="20" t="s">
        <v>800</v>
      </c>
      <c r="O76" s="30" t="s">
        <v>818</v>
      </c>
      <c r="P76" s="30" t="s">
        <v>190</v>
      </c>
      <c r="Q76" s="30" t="s">
        <v>719</v>
      </c>
      <c r="R76" s="35">
        <v>66</v>
      </c>
      <c r="S76" s="320" t="s">
        <v>147</v>
      </c>
      <c r="T76" s="327">
        <f t="shared" si="0"/>
        <v>0</v>
      </c>
      <c r="U76" s="327">
        <f t="shared" si="1"/>
        <v>0</v>
      </c>
      <c r="V76" s="327">
        <f t="shared" si="2"/>
        <v>66</v>
      </c>
      <c r="W76" s="327">
        <f t="shared" si="3"/>
        <v>0</v>
      </c>
      <c r="Y76" s="318"/>
      <c r="Z76" s="318"/>
    </row>
    <row r="77" spans="1:26" s="222" customFormat="1" ht="25.5" x14ac:dyDescent="0.2">
      <c r="A77" s="222">
        <v>42</v>
      </c>
      <c r="B77" s="48" t="s">
        <v>450</v>
      </c>
      <c r="C77" s="189" t="s">
        <v>204</v>
      </c>
      <c r="D77" s="20" t="s">
        <v>339</v>
      </c>
      <c r="E77" s="59">
        <v>41736</v>
      </c>
      <c r="F77" s="59">
        <v>41902</v>
      </c>
      <c r="G77" s="20">
        <v>30</v>
      </c>
      <c r="H77" s="34" t="s">
        <v>811</v>
      </c>
      <c r="I77" s="34" t="s">
        <v>829</v>
      </c>
      <c r="J77" s="30"/>
      <c r="K77" s="33">
        <v>41736</v>
      </c>
      <c r="L77" s="33">
        <v>41902</v>
      </c>
      <c r="M77" s="334">
        <v>5</v>
      </c>
      <c r="N77" s="20" t="s">
        <v>795</v>
      </c>
      <c r="O77" s="30" t="s">
        <v>582</v>
      </c>
      <c r="P77" s="30" t="s">
        <v>190</v>
      </c>
      <c r="Q77" s="30" t="s">
        <v>143</v>
      </c>
      <c r="R77" s="35">
        <v>525</v>
      </c>
      <c r="S77" s="189" t="s">
        <v>143</v>
      </c>
      <c r="T77" s="327">
        <f t="shared" si="0"/>
        <v>0</v>
      </c>
      <c r="U77" s="327">
        <f t="shared" si="1"/>
        <v>238.34355828220859</v>
      </c>
      <c r="V77" s="327">
        <f t="shared" si="2"/>
        <v>286.65644171779138</v>
      </c>
      <c r="W77" s="327">
        <f t="shared" si="3"/>
        <v>0</v>
      </c>
      <c r="Y77" s="318"/>
      <c r="Z77" s="318"/>
    </row>
    <row r="78" spans="1:26" s="222" customFormat="1" ht="38.25" x14ac:dyDescent="0.2">
      <c r="A78" s="222">
        <v>43</v>
      </c>
      <c r="B78" s="48" t="s">
        <v>450</v>
      </c>
      <c r="C78" s="20" t="s">
        <v>459</v>
      </c>
      <c r="D78" s="189" t="s">
        <v>339</v>
      </c>
      <c r="E78" s="59">
        <v>41736</v>
      </c>
      <c r="F78" s="59">
        <v>41902</v>
      </c>
      <c r="G78" s="319">
        <v>30</v>
      </c>
      <c r="H78" s="34" t="s">
        <v>811</v>
      </c>
      <c r="I78" s="34" t="s">
        <v>829</v>
      </c>
      <c r="J78" s="30"/>
      <c r="K78" s="33">
        <v>41736</v>
      </c>
      <c r="L78" s="33">
        <v>41902</v>
      </c>
      <c r="M78" s="334">
        <v>5</v>
      </c>
      <c r="N78" s="20" t="s">
        <v>800</v>
      </c>
      <c r="O78" s="30" t="s">
        <v>581</v>
      </c>
      <c r="P78" s="30" t="s">
        <v>190</v>
      </c>
      <c r="Q78" s="30" t="s">
        <v>719</v>
      </c>
      <c r="R78" s="35">
        <v>630</v>
      </c>
      <c r="S78" s="189" t="s">
        <v>721</v>
      </c>
      <c r="T78" s="327">
        <f t="shared" si="0"/>
        <v>0</v>
      </c>
      <c r="U78" s="327">
        <f t="shared" si="1"/>
        <v>286.01226993865032</v>
      </c>
      <c r="V78" s="327">
        <f t="shared" si="2"/>
        <v>343.98773006134968</v>
      </c>
      <c r="W78" s="327">
        <f t="shared" si="3"/>
        <v>0</v>
      </c>
      <c r="Y78" s="318"/>
      <c r="Z78" s="318"/>
    </row>
    <row r="79" spans="1:26" s="222" customFormat="1" ht="25.5" x14ac:dyDescent="0.2">
      <c r="A79" s="222">
        <v>44</v>
      </c>
      <c r="B79" s="48" t="s">
        <v>450</v>
      </c>
      <c r="C79" s="189" t="s">
        <v>454</v>
      </c>
      <c r="D79" s="20" t="s">
        <v>339</v>
      </c>
      <c r="E79" s="59">
        <v>41827</v>
      </c>
      <c r="F79" s="59">
        <v>41983</v>
      </c>
      <c r="G79" s="20">
        <v>30</v>
      </c>
      <c r="H79" s="34" t="s">
        <v>811</v>
      </c>
      <c r="I79" s="34" t="s">
        <v>829</v>
      </c>
      <c r="J79" s="30"/>
      <c r="K79" s="33">
        <v>41827</v>
      </c>
      <c r="L79" s="33">
        <v>41983</v>
      </c>
      <c r="M79" s="334">
        <v>5</v>
      </c>
      <c r="N79" s="20" t="s">
        <v>795</v>
      </c>
      <c r="O79" s="30" t="s">
        <v>822</v>
      </c>
      <c r="P79" s="30" t="s">
        <v>190</v>
      </c>
      <c r="Q79" s="30" t="s">
        <v>146</v>
      </c>
      <c r="R79" s="35">
        <v>535</v>
      </c>
      <c r="S79" s="320" t="s">
        <v>499</v>
      </c>
      <c r="T79" s="327">
        <f t="shared" si="0"/>
        <v>0</v>
      </c>
      <c r="U79" s="327">
        <f t="shared" si="1"/>
        <v>0</v>
      </c>
      <c r="V79" s="327">
        <f t="shared" si="2"/>
        <v>255.26143790849673</v>
      </c>
      <c r="W79" s="327">
        <f t="shared" si="3"/>
        <v>279.73856209150324</v>
      </c>
      <c r="Y79" s="318"/>
      <c r="Z79" s="318"/>
    </row>
    <row r="80" spans="1:26" s="222" customFormat="1" ht="25.5" x14ac:dyDescent="0.2">
      <c r="A80" s="222">
        <v>45</v>
      </c>
      <c r="B80" s="48" t="s">
        <v>450</v>
      </c>
      <c r="C80" s="189" t="s">
        <v>454</v>
      </c>
      <c r="D80" s="20" t="s">
        <v>339</v>
      </c>
      <c r="E80" s="59">
        <v>41827</v>
      </c>
      <c r="F80" s="59">
        <v>41983</v>
      </c>
      <c r="G80" s="20">
        <v>30</v>
      </c>
      <c r="H80" s="34" t="s">
        <v>811</v>
      </c>
      <c r="I80" s="34" t="s">
        <v>829</v>
      </c>
      <c r="J80" s="30"/>
      <c r="K80" s="33">
        <v>41827</v>
      </c>
      <c r="L80" s="33">
        <v>41983</v>
      </c>
      <c r="M80" s="334">
        <v>5</v>
      </c>
      <c r="N80" s="20" t="s">
        <v>799</v>
      </c>
      <c r="O80" s="30" t="s">
        <v>822</v>
      </c>
      <c r="P80" s="30" t="s">
        <v>190</v>
      </c>
      <c r="Q80" s="30" t="s">
        <v>289</v>
      </c>
      <c r="R80" s="35">
        <v>642</v>
      </c>
      <c r="S80" s="320" t="s">
        <v>502</v>
      </c>
      <c r="T80" s="327">
        <f t="shared" si="0"/>
        <v>0</v>
      </c>
      <c r="U80" s="327">
        <f t="shared" si="1"/>
        <v>0</v>
      </c>
      <c r="V80" s="327">
        <f t="shared" si="2"/>
        <v>306.31372549019608</v>
      </c>
      <c r="W80" s="327">
        <f t="shared" si="3"/>
        <v>335.68627450980392</v>
      </c>
      <c r="Y80" s="318"/>
      <c r="Z80" s="318"/>
    </row>
    <row r="81" spans="1:26" s="222" customFormat="1" ht="25.5" x14ac:dyDescent="0.2">
      <c r="A81" s="222">
        <v>46</v>
      </c>
      <c r="B81" s="48" t="s">
        <v>450</v>
      </c>
      <c r="C81" s="189" t="s">
        <v>454</v>
      </c>
      <c r="D81" s="20" t="s">
        <v>339</v>
      </c>
      <c r="E81" s="59">
        <v>41827</v>
      </c>
      <c r="F81" s="59">
        <v>41983</v>
      </c>
      <c r="G81" s="20">
        <v>30</v>
      </c>
      <c r="H81" s="34" t="s">
        <v>811</v>
      </c>
      <c r="I81" s="34" t="s">
        <v>829</v>
      </c>
      <c r="J81" s="30"/>
      <c r="K81" s="33">
        <v>41827</v>
      </c>
      <c r="L81" s="33">
        <v>41983</v>
      </c>
      <c r="M81" s="334">
        <v>5</v>
      </c>
      <c r="N81" s="189" t="s">
        <v>801</v>
      </c>
      <c r="O81" s="30" t="s">
        <v>822</v>
      </c>
      <c r="P81" s="30" t="s">
        <v>190</v>
      </c>
      <c r="Q81" s="30" t="s">
        <v>585</v>
      </c>
      <c r="R81" s="35">
        <v>428</v>
      </c>
      <c r="S81" s="320" t="s">
        <v>500</v>
      </c>
      <c r="T81" s="327">
        <f t="shared" si="0"/>
        <v>0</v>
      </c>
      <c r="U81" s="327">
        <f t="shared" si="1"/>
        <v>0</v>
      </c>
      <c r="V81" s="327">
        <f t="shared" si="2"/>
        <v>204.20915032679738</v>
      </c>
      <c r="W81" s="327">
        <f t="shared" si="3"/>
        <v>223.79084967320262</v>
      </c>
      <c r="Y81" s="318"/>
      <c r="Z81" s="318"/>
    </row>
    <row r="82" spans="1:26" s="222" customFormat="1" ht="25.5" x14ac:dyDescent="0.2">
      <c r="A82" s="222">
        <v>47</v>
      </c>
      <c r="B82" s="48" t="s">
        <v>450</v>
      </c>
      <c r="C82" s="189" t="s">
        <v>458</v>
      </c>
      <c r="D82" s="20" t="s">
        <v>339</v>
      </c>
      <c r="E82" s="59">
        <v>41827</v>
      </c>
      <c r="F82" s="59">
        <v>41983</v>
      </c>
      <c r="G82" s="20">
        <v>30</v>
      </c>
      <c r="H82" s="34" t="s">
        <v>811</v>
      </c>
      <c r="I82" s="34" t="s">
        <v>829</v>
      </c>
      <c r="J82" s="30"/>
      <c r="K82" s="33">
        <v>41827</v>
      </c>
      <c r="L82" s="33">
        <v>41983</v>
      </c>
      <c r="M82" s="334">
        <v>5</v>
      </c>
      <c r="N82" s="20" t="s">
        <v>795</v>
      </c>
      <c r="O82" s="30" t="s">
        <v>822</v>
      </c>
      <c r="P82" s="30" t="s">
        <v>190</v>
      </c>
      <c r="Q82" s="30" t="s">
        <v>272</v>
      </c>
      <c r="R82" s="35">
        <v>535</v>
      </c>
      <c r="S82" s="320" t="s">
        <v>501</v>
      </c>
      <c r="T82" s="327">
        <f t="shared" si="0"/>
        <v>0</v>
      </c>
      <c r="U82" s="327">
        <f t="shared" si="1"/>
        <v>0</v>
      </c>
      <c r="V82" s="327">
        <f t="shared" si="2"/>
        <v>255.26143790849673</v>
      </c>
      <c r="W82" s="327">
        <f t="shared" si="3"/>
        <v>279.73856209150324</v>
      </c>
      <c r="Y82" s="318"/>
      <c r="Z82" s="318"/>
    </row>
    <row r="83" spans="1:26" s="222" customFormat="1" ht="25.5" x14ac:dyDescent="0.2">
      <c r="A83" s="222">
        <v>48</v>
      </c>
      <c r="B83" s="48" t="s">
        <v>450</v>
      </c>
      <c r="C83" s="189" t="s">
        <v>458</v>
      </c>
      <c r="D83" s="20" t="s">
        <v>339</v>
      </c>
      <c r="E83" s="59">
        <v>41827</v>
      </c>
      <c r="F83" s="59">
        <v>41983</v>
      </c>
      <c r="G83" s="20">
        <v>30</v>
      </c>
      <c r="H83" s="34" t="s">
        <v>811</v>
      </c>
      <c r="I83" s="34" t="s">
        <v>829</v>
      </c>
      <c r="J83" s="30"/>
      <c r="K83" s="33">
        <v>41827</v>
      </c>
      <c r="L83" s="33">
        <v>41983</v>
      </c>
      <c r="M83" s="334">
        <v>5</v>
      </c>
      <c r="N83" s="20" t="s">
        <v>799</v>
      </c>
      <c r="O83" s="30" t="s">
        <v>822</v>
      </c>
      <c r="P83" s="30" t="s">
        <v>190</v>
      </c>
      <c r="Q83" s="30" t="s">
        <v>681</v>
      </c>
      <c r="R83" s="35">
        <v>642</v>
      </c>
      <c r="S83" s="320" t="s">
        <v>720</v>
      </c>
      <c r="T83" s="327">
        <f t="shared" si="0"/>
        <v>0</v>
      </c>
      <c r="U83" s="327">
        <f t="shared" si="1"/>
        <v>0</v>
      </c>
      <c r="V83" s="327">
        <f t="shared" si="2"/>
        <v>306.31372549019608</v>
      </c>
      <c r="W83" s="327">
        <f t="shared" si="3"/>
        <v>335.68627450980392</v>
      </c>
      <c r="Y83" s="318"/>
      <c r="Z83" s="318"/>
    </row>
    <row r="84" spans="1:26" s="222" customFormat="1" ht="25.5" x14ac:dyDescent="0.2">
      <c r="A84" s="222">
        <v>49</v>
      </c>
      <c r="B84" s="48" t="s">
        <v>450</v>
      </c>
      <c r="C84" s="189" t="s">
        <v>695</v>
      </c>
      <c r="D84" s="189" t="s">
        <v>339</v>
      </c>
      <c r="E84" s="59">
        <v>41827</v>
      </c>
      <c r="F84" s="59">
        <v>41902</v>
      </c>
      <c r="G84" s="20">
        <v>15</v>
      </c>
      <c r="H84" s="34" t="s">
        <v>811</v>
      </c>
      <c r="I84" s="34" t="s">
        <v>829</v>
      </c>
      <c r="J84" s="30"/>
      <c r="K84" s="33">
        <v>41827</v>
      </c>
      <c r="L84" s="33">
        <v>41902</v>
      </c>
      <c r="M84" s="334">
        <v>5</v>
      </c>
      <c r="N84" s="20" t="s">
        <v>795</v>
      </c>
      <c r="O84" s="30" t="s">
        <v>823</v>
      </c>
      <c r="P84" s="30" t="s">
        <v>190</v>
      </c>
      <c r="Q84" s="30" t="s">
        <v>145</v>
      </c>
      <c r="R84" s="35">
        <v>265</v>
      </c>
      <c r="S84" s="320" t="s">
        <v>145</v>
      </c>
      <c r="T84" s="327">
        <f t="shared" si="0"/>
        <v>0</v>
      </c>
      <c r="U84" s="327">
        <f t="shared" si="1"/>
        <v>0</v>
      </c>
      <c r="V84" s="327">
        <f t="shared" si="2"/>
        <v>265</v>
      </c>
      <c r="W84" s="327">
        <f t="shared" si="3"/>
        <v>0</v>
      </c>
      <c r="Y84" s="318"/>
      <c r="Z84" s="318"/>
    </row>
    <row r="85" spans="1:26" s="222" customFormat="1" ht="25.5" x14ac:dyDescent="0.2">
      <c r="A85" s="222">
        <v>50</v>
      </c>
      <c r="B85" s="454" t="s">
        <v>450</v>
      </c>
      <c r="C85" s="446" t="s">
        <v>457</v>
      </c>
      <c r="D85" s="189" t="s">
        <v>339</v>
      </c>
      <c r="E85" s="59">
        <v>41904</v>
      </c>
      <c r="F85" s="59">
        <v>42472</v>
      </c>
      <c r="G85" s="20">
        <v>30</v>
      </c>
      <c r="H85" s="34"/>
      <c r="I85" s="34"/>
      <c r="J85" s="30"/>
      <c r="K85" s="33">
        <v>41904</v>
      </c>
      <c r="L85" s="33">
        <v>41983</v>
      </c>
      <c r="M85" s="30">
        <v>3</v>
      </c>
      <c r="N85" s="20" t="s">
        <v>795</v>
      </c>
      <c r="O85" s="30" t="s">
        <v>580</v>
      </c>
      <c r="P85" s="30" t="s">
        <v>190</v>
      </c>
      <c r="Q85" s="30" t="s">
        <v>142</v>
      </c>
      <c r="R85" s="35">
        <v>157</v>
      </c>
      <c r="S85" s="320" t="s">
        <v>142</v>
      </c>
      <c r="T85" s="327">
        <f t="shared" ref="T85" si="24">IF(K85=$T$3,$T$5*R85/DAYS360(K85,L85),0)</f>
        <v>0</v>
      </c>
      <c r="U85" s="327">
        <f t="shared" ref="U85" si="25">IF(K85=$U$3,$U$5*R85/DAYS360(K85,L85),0)+IF(K85=$T$3,IF(L85=$U$4,R85-T85,0),0)+IF(K85=$T$3,IF(L85=$V$4,(R85-T85)/2,0),0)+IF(K85=$T$3,IF(L85=$W$4,(R85-T85)/3,0),0)</f>
        <v>0</v>
      </c>
      <c r="V85" s="327">
        <f t="shared" ref="V85" si="26">IF(K85=$V$3,$V$5*R85/DAYS360(K85,L85),0)+IF(K85=$T$3,IF(L85=$V$4,R85-T85-U85,0),0)+IF(K85=$T$3,IF(L85=$W$4,(R85-T85-U85)/2,0),0)+IF(K85=$U$3,IF(L85=$V$4,R85-U85,0),0)+IF(K85=$U$3,IF(L85=$W$4,(R85-U85)/2,0),0)</f>
        <v>0</v>
      </c>
      <c r="W85" s="327">
        <f t="shared" ref="W85" si="27">IF(K85=$W$3,$W$5*R85/DAYS360(K85,L85),0)+IF(K85=$T$3,IF(L85=$W$4,R85-T85-U85-V85,0),0)+IF(K85=$U$3,IF(L85=$W$4,R85-U85-V85,0),0)+IF(K85=$V$3,IF(L85=$W$4,R85-V85,0),0)</f>
        <v>157</v>
      </c>
      <c r="Y85" s="318"/>
      <c r="Z85" s="318"/>
    </row>
    <row r="86" spans="1:26" s="222" customFormat="1" ht="25.5" x14ac:dyDescent="0.2">
      <c r="A86" s="222">
        <v>50</v>
      </c>
      <c r="B86" s="458"/>
      <c r="C86" s="461"/>
      <c r="D86" s="189" t="s">
        <v>339</v>
      </c>
      <c r="E86" s="59">
        <v>41904</v>
      </c>
      <c r="F86" s="59">
        <v>42472</v>
      </c>
      <c r="G86" s="20">
        <v>30</v>
      </c>
      <c r="H86" s="34"/>
      <c r="I86" s="34"/>
      <c r="J86" s="30"/>
      <c r="K86" s="33">
        <v>41904</v>
      </c>
      <c r="L86" s="33">
        <v>41983</v>
      </c>
      <c r="M86" s="30">
        <v>2</v>
      </c>
      <c r="N86" s="20" t="s">
        <v>800</v>
      </c>
      <c r="O86" s="30" t="s">
        <v>580</v>
      </c>
      <c r="P86" s="30" t="s">
        <v>190</v>
      </c>
      <c r="Q86" s="30" t="s">
        <v>719</v>
      </c>
      <c r="R86" s="35">
        <v>110</v>
      </c>
      <c r="S86" s="320" t="s">
        <v>142</v>
      </c>
      <c r="T86" s="327">
        <f t="shared" ref="T86" si="28">IF(K86=$T$3,$T$5*R86/DAYS360(K86,L86),0)</f>
        <v>0</v>
      </c>
      <c r="U86" s="327">
        <f t="shared" ref="U86" si="29">IF(K86=$U$3,$U$5*R86/DAYS360(K86,L86),0)+IF(K86=$T$3,IF(L86=$U$4,R86-T86,0),0)+IF(K86=$T$3,IF(L86=$V$4,(R86-T86)/2,0),0)+IF(K86=$T$3,IF(L86=$W$4,(R86-T86)/3,0),0)</f>
        <v>0</v>
      </c>
      <c r="V86" s="327">
        <f t="shared" ref="V86" si="30">IF(K86=$V$3,$V$5*R86/DAYS360(K86,L86),0)+IF(K86=$T$3,IF(L86=$V$4,R86-T86-U86,0),0)+IF(K86=$T$3,IF(L86=$W$4,(R86-T86-U86)/2,0),0)+IF(K86=$U$3,IF(L86=$V$4,R86-U86,0),0)+IF(K86=$U$3,IF(L86=$W$4,(R86-U86)/2,0),0)</f>
        <v>0</v>
      </c>
      <c r="W86" s="327">
        <f t="shared" ref="W86" si="31">IF(K86=$W$3,$W$5*R86/DAYS360(K86,L86),0)+IF(K86=$T$3,IF(L86=$W$4,R86-T86-U86-V86,0),0)+IF(K86=$U$3,IF(L86=$W$4,R86-U86-V86,0),0)+IF(K86=$V$3,IF(L86=$W$4,R86-V86,0),0)</f>
        <v>110</v>
      </c>
      <c r="Y86" s="318"/>
      <c r="Z86" s="318"/>
    </row>
    <row r="87" spans="1:26" s="222" customFormat="1" ht="25.5" x14ac:dyDescent="0.2">
      <c r="A87" s="222">
        <v>51</v>
      </c>
      <c r="B87" s="48" t="s">
        <v>450</v>
      </c>
      <c r="C87" s="189" t="s">
        <v>204</v>
      </c>
      <c r="D87" s="20" t="s">
        <v>339</v>
      </c>
      <c r="E87" s="59">
        <v>41904</v>
      </c>
      <c r="F87" s="59">
        <v>42099</v>
      </c>
      <c r="G87" s="20">
        <v>30</v>
      </c>
      <c r="H87" s="34" t="s">
        <v>811</v>
      </c>
      <c r="I87" s="34" t="s">
        <v>829</v>
      </c>
      <c r="J87" s="30"/>
      <c r="K87" s="33">
        <v>41904</v>
      </c>
      <c r="L87" s="33">
        <v>41983</v>
      </c>
      <c r="M87" s="334">
        <v>5</v>
      </c>
      <c r="N87" s="20" t="s">
        <v>799</v>
      </c>
      <c r="O87" s="30" t="s">
        <v>582</v>
      </c>
      <c r="P87" s="30" t="s">
        <v>190</v>
      </c>
      <c r="Q87" s="30" t="s">
        <v>322</v>
      </c>
      <c r="R87" s="35">
        <v>642</v>
      </c>
      <c r="S87" s="20" t="s">
        <v>503</v>
      </c>
      <c r="T87" s="327">
        <f t="shared" ref="T87:T171" si="32">IF(K87=$T$3,$T$5*R87/DAYS360(K87,L87),0)</f>
        <v>0</v>
      </c>
      <c r="U87" s="327">
        <f t="shared" ref="U87:U171" si="33">IF(K87=$U$3,$U$5*R87/DAYS360(K87,L87),0)+IF(K87=$T$3,IF(L87=$U$4,R87-T87,0),0)+IF(K87=$T$3,IF(L87=$V$4,(R87-T87)/2,0),0)+IF(K87=$T$3,IF(L87=$W$4,(R87-T87)/3,0),0)</f>
        <v>0</v>
      </c>
      <c r="V87" s="327">
        <f t="shared" ref="V87:V171" si="34">IF(K87=$V$3,$V$5*R87/DAYS360(K87,L87),0)+IF(K87=$T$3,IF(L87=$V$4,R87-T87-U87,0),0)+IF(K87=$T$3,IF(L87=$W$4,(R87-T87-U87)/2,0),0)+IF(K87=$U$3,IF(L87=$V$4,R87-U87,0),0)+IF(K87=$U$3,IF(L87=$W$4,(R87-U87)/2,0),0)</f>
        <v>0</v>
      </c>
      <c r="W87" s="327">
        <f t="shared" ref="W87:W171" si="35">IF(K87=$W$3,$W$5*R87/DAYS360(K87,L87),0)+IF(K87=$T$3,IF(L87=$W$4,R87-T87-U87-V87,0),0)+IF(K87=$U$3,IF(L87=$W$4,R87-U87-V87,0),0)+IF(K87=$V$3,IF(L87=$W$4,R87-V87,0),0)</f>
        <v>642</v>
      </c>
      <c r="Y87" s="318"/>
      <c r="Z87" s="318"/>
    </row>
    <row r="88" spans="1:26" s="222" customFormat="1" ht="25.5" x14ac:dyDescent="0.2">
      <c r="A88" s="222">
        <v>52</v>
      </c>
      <c r="B88" s="48">
        <v>397187</v>
      </c>
      <c r="C88" s="20" t="s">
        <v>460</v>
      </c>
      <c r="D88" s="20" t="s">
        <v>484</v>
      </c>
      <c r="E88" s="59">
        <v>41176</v>
      </c>
      <c r="F88" s="322">
        <v>41734</v>
      </c>
      <c r="G88" s="20">
        <v>25</v>
      </c>
      <c r="H88" s="34"/>
      <c r="I88" s="34"/>
      <c r="J88" s="30"/>
      <c r="K88" s="33"/>
      <c r="L88" s="33"/>
      <c r="M88" s="334"/>
      <c r="N88" s="20" t="s">
        <v>543</v>
      </c>
      <c r="O88" s="30"/>
      <c r="P88" s="334"/>
      <c r="Q88" s="30"/>
      <c r="R88" s="35"/>
      <c r="S88" s="20" t="s">
        <v>722</v>
      </c>
      <c r="T88" s="327">
        <f t="shared" si="32"/>
        <v>0</v>
      </c>
      <c r="U88" s="327">
        <f t="shared" si="33"/>
        <v>0</v>
      </c>
      <c r="V88" s="327">
        <f t="shared" si="34"/>
        <v>0</v>
      </c>
      <c r="W88" s="327">
        <f t="shared" si="35"/>
        <v>0</v>
      </c>
      <c r="Y88" s="318"/>
      <c r="Z88" s="318"/>
    </row>
    <row r="89" spans="1:26" s="222" customFormat="1" x14ac:dyDescent="0.2">
      <c r="A89" s="222">
        <v>53</v>
      </c>
      <c r="B89" s="48">
        <v>418503</v>
      </c>
      <c r="C89" s="189" t="s">
        <v>461</v>
      </c>
      <c r="D89" s="20" t="s">
        <v>484</v>
      </c>
      <c r="E89" s="59">
        <v>41176</v>
      </c>
      <c r="F89" s="322">
        <v>41734</v>
      </c>
      <c r="G89" s="20">
        <v>24</v>
      </c>
      <c r="H89" s="34"/>
      <c r="I89" s="34"/>
      <c r="J89" s="30"/>
      <c r="K89" s="33"/>
      <c r="L89" s="33"/>
      <c r="M89" s="334"/>
      <c r="N89" s="20" t="s">
        <v>543</v>
      </c>
      <c r="O89" s="30"/>
      <c r="P89" s="334"/>
      <c r="Q89" s="30"/>
      <c r="R89" s="35"/>
      <c r="S89" s="20" t="s">
        <v>136</v>
      </c>
      <c r="T89" s="327">
        <f t="shared" si="32"/>
        <v>0</v>
      </c>
      <c r="U89" s="327">
        <f t="shared" si="33"/>
        <v>0</v>
      </c>
      <c r="V89" s="327">
        <f t="shared" si="34"/>
        <v>0</v>
      </c>
      <c r="W89" s="327">
        <f t="shared" si="35"/>
        <v>0</v>
      </c>
      <c r="Y89" s="318"/>
      <c r="Z89" s="318"/>
    </row>
    <row r="90" spans="1:26" s="222" customFormat="1" x14ac:dyDescent="0.2">
      <c r="A90" s="222">
        <v>54</v>
      </c>
      <c r="B90" s="20">
        <v>430002</v>
      </c>
      <c r="C90" s="20" t="s">
        <v>460</v>
      </c>
      <c r="D90" s="189" t="s">
        <v>484</v>
      </c>
      <c r="E90" s="59">
        <v>41295</v>
      </c>
      <c r="F90" s="59">
        <v>41811</v>
      </c>
      <c r="G90" s="20">
        <v>25</v>
      </c>
      <c r="H90" s="34"/>
      <c r="I90" s="34"/>
      <c r="J90" s="30"/>
      <c r="K90" s="33"/>
      <c r="L90" s="33"/>
      <c r="M90" s="334"/>
      <c r="N90" s="20" t="s">
        <v>543</v>
      </c>
      <c r="O90" s="30"/>
      <c r="P90" s="334"/>
      <c r="Q90" s="30"/>
      <c r="R90" s="35"/>
      <c r="S90" s="20" t="s">
        <v>139</v>
      </c>
      <c r="T90" s="327">
        <f t="shared" si="32"/>
        <v>0</v>
      </c>
      <c r="U90" s="327">
        <f t="shared" si="33"/>
        <v>0</v>
      </c>
      <c r="V90" s="327">
        <f t="shared" si="34"/>
        <v>0</v>
      </c>
      <c r="W90" s="327">
        <f t="shared" si="35"/>
        <v>0</v>
      </c>
      <c r="Y90" s="318"/>
      <c r="Z90" s="318"/>
    </row>
    <row r="91" spans="1:26" s="222" customFormat="1" ht="25.5" x14ac:dyDescent="0.2">
      <c r="A91" s="222">
        <v>55</v>
      </c>
      <c r="B91" s="20">
        <v>462609</v>
      </c>
      <c r="C91" s="20" t="s">
        <v>460</v>
      </c>
      <c r="D91" s="189" t="s">
        <v>484</v>
      </c>
      <c r="E91" s="59">
        <v>41379</v>
      </c>
      <c r="F91" s="59">
        <v>41902</v>
      </c>
      <c r="G91" s="20">
        <v>25</v>
      </c>
      <c r="H91" s="34"/>
      <c r="I91" s="34"/>
      <c r="J91" s="30"/>
      <c r="K91" s="33"/>
      <c r="L91" s="33"/>
      <c r="M91" s="334"/>
      <c r="N91" s="189" t="s">
        <v>543</v>
      </c>
      <c r="O91" s="30"/>
      <c r="P91" s="334"/>
      <c r="Q91" s="30"/>
      <c r="R91" s="35"/>
      <c r="S91" s="189" t="s">
        <v>504</v>
      </c>
      <c r="T91" s="327">
        <f t="shared" si="32"/>
        <v>0</v>
      </c>
      <c r="U91" s="327">
        <f t="shared" si="33"/>
        <v>0</v>
      </c>
      <c r="V91" s="327">
        <f t="shared" si="34"/>
        <v>0</v>
      </c>
      <c r="W91" s="327">
        <f t="shared" si="35"/>
        <v>0</v>
      </c>
      <c r="Y91" s="318"/>
      <c r="Z91" s="318"/>
    </row>
    <row r="92" spans="1:26" s="222" customFormat="1" ht="25.5" x14ac:dyDescent="0.2">
      <c r="A92" s="222">
        <v>56</v>
      </c>
      <c r="B92" s="20">
        <v>462611</v>
      </c>
      <c r="C92" s="20" t="s">
        <v>460</v>
      </c>
      <c r="D92" s="189" t="s">
        <v>484</v>
      </c>
      <c r="E92" s="59">
        <v>41379</v>
      </c>
      <c r="F92" s="59">
        <v>41902</v>
      </c>
      <c r="G92" s="20">
        <v>24</v>
      </c>
      <c r="H92" s="34"/>
      <c r="I92" s="34"/>
      <c r="J92" s="30"/>
      <c r="K92" s="33"/>
      <c r="L92" s="33"/>
      <c r="M92" s="334"/>
      <c r="N92" s="189" t="s">
        <v>543</v>
      </c>
      <c r="O92" s="30"/>
      <c r="P92" s="334"/>
      <c r="Q92" s="30"/>
      <c r="R92" s="35"/>
      <c r="S92" s="189" t="s">
        <v>198</v>
      </c>
      <c r="T92" s="327">
        <f t="shared" si="32"/>
        <v>0</v>
      </c>
      <c r="U92" s="327">
        <f t="shared" si="33"/>
        <v>0</v>
      </c>
      <c r="V92" s="327">
        <f t="shared" si="34"/>
        <v>0</v>
      </c>
      <c r="W92" s="327">
        <f t="shared" si="35"/>
        <v>0</v>
      </c>
      <c r="Y92" s="318"/>
      <c r="Z92" s="318"/>
    </row>
    <row r="93" spans="1:26" s="222" customFormat="1" x14ac:dyDescent="0.2">
      <c r="A93" s="222">
        <v>57</v>
      </c>
      <c r="B93" s="20">
        <v>462614</v>
      </c>
      <c r="C93" s="20" t="s">
        <v>460</v>
      </c>
      <c r="D93" s="189" t="s">
        <v>484</v>
      </c>
      <c r="E93" s="59">
        <v>41379</v>
      </c>
      <c r="F93" s="59">
        <v>41902</v>
      </c>
      <c r="G93" s="20">
        <v>25</v>
      </c>
      <c r="H93" s="34"/>
      <c r="I93" s="34"/>
      <c r="J93" s="30"/>
      <c r="K93" s="33"/>
      <c r="L93" s="33"/>
      <c r="M93" s="334"/>
      <c r="N93" s="189" t="s">
        <v>543</v>
      </c>
      <c r="O93" s="30"/>
      <c r="P93" s="334"/>
      <c r="Q93" s="30"/>
      <c r="R93" s="35"/>
      <c r="S93" s="189" t="s">
        <v>139</v>
      </c>
      <c r="T93" s="327">
        <f t="shared" si="32"/>
        <v>0</v>
      </c>
      <c r="U93" s="327">
        <f t="shared" si="33"/>
        <v>0</v>
      </c>
      <c r="V93" s="327">
        <f t="shared" si="34"/>
        <v>0</v>
      </c>
      <c r="W93" s="327">
        <f t="shared" si="35"/>
        <v>0</v>
      </c>
      <c r="Y93" s="318"/>
      <c r="Z93" s="318"/>
    </row>
    <row r="94" spans="1:26" s="222" customFormat="1" x14ac:dyDescent="0.2">
      <c r="A94" s="222">
        <v>58</v>
      </c>
      <c r="B94" s="20">
        <v>462580</v>
      </c>
      <c r="C94" s="189" t="s">
        <v>461</v>
      </c>
      <c r="D94" s="189" t="s">
        <v>484</v>
      </c>
      <c r="E94" s="59">
        <v>41379</v>
      </c>
      <c r="F94" s="59">
        <v>41902</v>
      </c>
      <c r="G94" s="20">
        <v>25</v>
      </c>
      <c r="H94" s="34"/>
      <c r="I94" s="34"/>
      <c r="J94" s="30"/>
      <c r="K94" s="33"/>
      <c r="L94" s="33"/>
      <c r="M94" s="334"/>
      <c r="N94" s="189" t="s">
        <v>543</v>
      </c>
      <c r="O94" s="30"/>
      <c r="P94" s="334"/>
      <c r="Q94" s="30"/>
      <c r="R94" s="35"/>
      <c r="S94" s="189" t="s">
        <v>136</v>
      </c>
      <c r="T94" s="327">
        <f t="shared" si="32"/>
        <v>0</v>
      </c>
      <c r="U94" s="327">
        <f t="shared" si="33"/>
        <v>0</v>
      </c>
      <c r="V94" s="327">
        <f t="shared" si="34"/>
        <v>0</v>
      </c>
      <c r="W94" s="327">
        <f t="shared" si="35"/>
        <v>0</v>
      </c>
      <c r="Y94" s="318"/>
      <c r="Z94" s="318"/>
    </row>
    <row r="95" spans="1:26" s="222" customFormat="1" ht="25.5" x14ac:dyDescent="0.2">
      <c r="A95" s="222">
        <v>59</v>
      </c>
      <c r="B95" s="20">
        <v>519147</v>
      </c>
      <c r="C95" s="20" t="s">
        <v>460</v>
      </c>
      <c r="D95" s="189" t="s">
        <v>484</v>
      </c>
      <c r="E95" s="59">
        <v>41463</v>
      </c>
      <c r="F95" s="59">
        <v>41983</v>
      </c>
      <c r="G95" s="20">
        <v>23</v>
      </c>
      <c r="H95" s="34"/>
      <c r="I95" s="34"/>
      <c r="J95" s="30"/>
      <c r="K95" s="33"/>
      <c r="L95" s="33"/>
      <c r="M95" s="334"/>
      <c r="N95" s="189" t="s">
        <v>543</v>
      </c>
      <c r="O95" s="30"/>
      <c r="P95" s="334"/>
      <c r="Q95" s="30"/>
      <c r="R95" s="35"/>
      <c r="S95" s="189" t="s">
        <v>723</v>
      </c>
      <c r="T95" s="327">
        <f t="shared" si="32"/>
        <v>0</v>
      </c>
      <c r="U95" s="327">
        <f t="shared" si="33"/>
        <v>0</v>
      </c>
      <c r="V95" s="327">
        <f t="shared" si="34"/>
        <v>0</v>
      </c>
      <c r="W95" s="327">
        <f t="shared" si="35"/>
        <v>0</v>
      </c>
      <c r="Y95" s="318"/>
      <c r="Z95" s="318"/>
    </row>
    <row r="96" spans="1:26" s="222" customFormat="1" x14ac:dyDescent="0.2">
      <c r="A96" s="222">
        <v>60</v>
      </c>
      <c r="B96" s="20">
        <v>519106</v>
      </c>
      <c r="C96" s="20" t="s">
        <v>460</v>
      </c>
      <c r="D96" s="189" t="s">
        <v>484</v>
      </c>
      <c r="E96" s="59">
        <v>41463</v>
      </c>
      <c r="F96" s="59">
        <v>41983</v>
      </c>
      <c r="G96" s="20">
        <v>24</v>
      </c>
      <c r="H96" s="34"/>
      <c r="I96" s="34"/>
      <c r="J96" s="30"/>
      <c r="K96" s="33"/>
      <c r="L96" s="33"/>
      <c r="M96" s="334"/>
      <c r="N96" s="189" t="s">
        <v>543</v>
      </c>
      <c r="O96" s="30"/>
      <c r="P96" s="334"/>
      <c r="Q96" s="30"/>
      <c r="R96" s="35"/>
      <c r="S96" s="189" t="s">
        <v>138</v>
      </c>
      <c r="T96" s="327">
        <f t="shared" si="32"/>
        <v>0</v>
      </c>
      <c r="U96" s="327">
        <f t="shared" si="33"/>
        <v>0</v>
      </c>
      <c r="V96" s="327">
        <f t="shared" si="34"/>
        <v>0</v>
      </c>
      <c r="W96" s="327">
        <f t="shared" si="35"/>
        <v>0</v>
      </c>
      <c r="Y96" s="318"/>
      <c r="Z96" s="318"/>
    </row>
    <row r="97" spans="1:26" s="222" customFormat="1" x14ac:dyDescent="0.2">
      <c r="A97" s="222">
        <v>61</v>
      </c>
      <c r="B97" s="189">
        <v>578576</v>
      </c>
      <c r="C97" s="20" t="s">
        <v>460</v>
      </c>
      <c r="D97" s="189" t="s">
        <v>484</v>
      </c>
      <c r="E97" s="59">
        <v>41540</v>
      </c>
      <c r="F97" s="59">
        <v>42108</v>
      </c>
      <c r="G97" s="20">
        <v>24</v>
      </c>
      <c r="H97" s="34"/>
      <c r="I97" s="34"/>
      <c r="J97" s="30"/>
      <c r="K97" s="33"/>
      <c r="L97" s="33"/>
      <c r="M97" s="334"/>
      <c r="N97" s="189" t="s">
        <v>543</v>
      </c>
      <c r="O97" s="30"/>
      <c r="P97" s="334"/>
      <c r="Q97" s="30"/>
      <c r="R97" s="35"/>
      <c r="S97" s="189" t="s">
        <v>186</v>
      </c>
      <c r="T97" s="327">
        <f t="shared" si="32"/>
        <v>0</v>
      </c>
      <c r="U97" s="327">
        <f t="shared" si="33"/>
        <v>0</v>
      </c>
      <c r="V97" s="327">
        <f t="shared" si="34"/>
        <v>0</v>
      </c>
      <c r="W97" s="327">
        <f t="shared" si="35"/>
        <v>0</v>
      </c>
      <c r="Y97" s="318"/>
      <c r="Z97" s="318"/>
    </row>
    <row r="98" spans="1:26" s="222" customFormat="1" ht="38.25" x14ac:dyDescent="0.2">
      <c r="A98" s="222">
        <v>62</v>
      </c>
      <c r="B98" s="189">
        <v>577885</v>
      </c>
      <c r="C98" s="20" t="s">
        <v>462</v>
      </c>
      <c r="D98" s="189" t="s">
        <v>484</v>
      </c>
      <c r="E98" s="59">
        <v>41540</v>
      </c>
      <c r="F98" s="59">
        <v>42108</v>
      </c>
      <c r="G98" s="20">
        <v>20</v>
      </c>
      <c r="H98" s="34"/>
      <c r="I98" s="34"/>
      <c r="J98" s="30"/>
      <c r="K98" s="33"/>
      <c r="L98" s="33"/>
      <c r="M98" s="334"/>
      <c r="N98" s="189" t="s">
        <v>543</v>
      </c>
      <c r="O98" s="30"/>
      <c r="P98" s="334"/>
      <c r="Q98" s="30"/>
      <c r="R98" s="35"/>
      <c r="S98" s="189" t="s">
        <v>198</v>
      </c>
      <c r="T98" s="327">
        <f t="shared" si="32"/>
        <v>0</v>
      </c>
      <c r="U98" s="327">
        <f t="shared" si="33"/>
        <v>0</v>
      </c>
      <c r="V98" s="327">
        <f t="shared" si="34"/>
        <v>0</v>
      </c>
      <c r="W98" s="327">
        <f t="shared" si="35"/>
        <v>0</v>
      </c>
      <c r="Y98" s="318"/>
      <c r="Z98" s="318"/>
    </row>
    <row r="99" spans="1:26" s="222" customFormat="1" ht="25.5" x14ac:dyDescent="0.2">
      <c r="A99" s="222">
        <v>63</v>
      </c>
      <c r="B99" s="189">
        <v>577867</v>
      </c>
      <c r="C99" s="189" t="s">
        <v>461</v>
      </c>
      <c r="D99" s="189" t="s">
        <v>484</v>
      </c>
      <c r="E99" s="59">
        <v>41540</v>
      </c>
      <c r="F99" s="59">
        <v>42108</v>
      </c>
      <c r="G99" s="20">
        <v>23</v>
      </c>
      <c r="H99" s="34"/>
      <c r="I99" s="34"/>
      <c r="J99" s="30"/>
      <c r="K99" s="33"/>
      <c r="L99" s="33"/>
      <c r="M99" s="334"/>
      <c r="N99" s="189" t="s">
        <v>543</v>
      </c>
      <c r="O99" s="30"/>
      <c r="P99" s="334"/>
      <c r="Q99" s="30"/>
      <c r="R99" s="35"/>
      <c r="S99" s="20" t="s">
        <v>134</v>
      </c>
      <c r="T99" s="327">
        <f t="shared" si="32"/>
        <v>0</v>
      </c>
      <c r="U99" s="327">
        <f t="shared" si="33"/>
        <v>0</v>
      </c>
      <c r="V99" s="327">
        <f t="shared" si="34"/>
        <v>0</v>
      </c>
      <c r="W99" s="327">
        <f t="shared" si="35"/>
        <v>0</v>
      </c>
      <c r="Y99" s="318"/>
      <c r="Z99" s="318"/>
    </row>
    <row r="100" spans="1:26" s="222" customFormat="1" ht="25.5" x14ac:dyDescent="0.2">
      <c r="A100" s="222">
        <v>64</v>
      </c>
      <c r="B100" s="48" t="s">
        <v>450</v>
      </c>
      <c r="C100" s="20" t="s">
        <v>460</v>
      </c>
      <c r="D100" s="21" t="s">
        <v>484</v>
      </c>
      <c r="E100" s="59">
        <v>41659</v>
      </c>
      <c r="F100" s="59">
        <v>42548</v>
      </c>
      <c r="G100" s="21">
        <v>25</v>
      </c>
      <c r="H100" s="34"/>
      <c r="I100" s="34"/>
      <c r="J100" s="30"/>
      <c r="K100" s="33"/>
      <c r="L100" s="33"/>
      <c r="M100" s="334"/>
      <c r="N100" s="20" t="s">
        <v>543</v>
      </c>
      <c r="O100" s="30"/>
      <c r="P100" s="334"/>
      <c r="Q100" s="30"/>
      <c r="R100" s="35"/>
      <c r="S100" s="21" t="s">
        <v>139</v>
      </c>
      <c r="T100" s="327">
        <f t="shared" si="32"/>
        <v>0</v>
      </c>
      <c r="U100" s="327">
        <f t="shared" si="33"/>
        <v>0</v>
      </c>
      <c r="V100" s="327">
        <f t="shared" si="34"/>
        <v>0</v>
      </c>
      <c r="W100" s="327">
        <f t="shared" si="35"/>
        <v>0</v>
      </c>
      <c r="Y100" s="318"/>
      <c r="Z100" s="318"/>
    </row>
    <row r="101" spans="1:26" s="222" customFormat="1" ht="51" x14ac:dyDescent="0.2">
      <c r="A101" s="222">
        <v>65</v>
      </c>
      <c r="B101" s="48" t="s">
        <v>450</v>
      </c>
      <c r="C101" s="189" t="s">
        <v>697</v>
      </c>
      <c r="D101" s="21" t="s">
        <v>484</v>
      </c>
      <c r="E101" s="59">
        <v>41659</v>
      </c>
      <c r="F101" s="59">
        <v>41902</v>
      </c>
      <c r="G101" s="20">
        <v>25</v>
      </c>
      <c r="H101" s="34"/>
      <c r="I101" s="34"/>
      <c r="J101" s="30"/>
      <c r="K101" s="33"/>
      <c r="L101" s="33"/>
      <c r="M101" s="334"/>
      <c r="N101" s="20"/>
      <c r="O101" s="30"/>
      <c r="P101" s="334"/>
      <c r="Q101" s="30" t="s">
        <v>1036</v>
      </c>
      <c r="R101" s="35">
        <v>790</v>
      </c>
      <c r="S101" s="320" t="s">
        <v>724</v>
      </c>
      <c r="T101" s="327">
        <f t="shared" si="32"/>
        <v>0</v>
      </c>
      <c r="U101" s="327">
        <f t="shared" si="33"/>
        <v>0</v>
      </c>
      <c r="V101" s="327">
        <f t="shared" si="34"/>
        <v>0</v>
      </c>
      <c r="W101" s="327">
        <f t="shared" si="35"/>
        <v>0</v>
      </c>
      <c r="Y101" s="318"/>
      <c r="Z101" s="318"/>
    </row>
    <row r="102" spans="1:26" s="222" customFormat="1" ht="25.5" x14ac:dyDescent="0.2">
      <c r="A102" s="222">
        <v>66</v>
      </c>
      <c r="B102" s="48" t="s">
        <v>450</v>
      </c>
      <c r="C102" s="20" t="s">
        <v>460</v>
      </c>
      <c r="D102" s="21" t="s">
        <v>484</v>
      </c>
      <c r="E102" s="59">
        <v>41736</v>
      </c>
      <c r="F102" s="59">
        <v>42269</v>
      </c>
      <c r="G102" s="21">
        <v>25</v>
      </c>
      <c r="H102" s="34"/>
      <c r="I102" s="34"/>
      <c r="J102" s="30"/>
      <c r="K102" s="33"/>
      <c r="L102" s="33"/>
      <c r="M102" s="334"/>
      <c r="N102" s="20" t="s">
        <v>543</v>
      </c>
      <c r="O102" s="30"/>
      <c r="P102" s="334"/>
      <c r="Q102" s="30"/>
      <c r="R102" s="35"/>
      <c r="S102" s="21" t="s">
        <v>198</v>
      </c>
      <c r="T102" s="327">
        <f t="shared" si="32"/>
        <v>0</v>
      </c>
      <c r="U102" s="327">
        <f t="shared" si="33"/>
        <v>0</v>
      </c>
      <c r="V102" s="327">
        <f t="shared" si="34"/>
        <v>0</v>
      </c>
      <c r="W102" s="327">
        <f t="shared" si="35"/>
        <v>0</v>
      </c>
      <c r="Y102" s="318"/>
      <c r="Z102" s="318"/>
    </row>
    <row r="103" spans="1:26" s="222" customFormat="1" ht="25.5" x14ac:dyDescent="0.2">
      <c r="A103" s="222">
        <v>67</v>
      </c>
      <c r="B103" s="48" t="s">
        <v>450</v>
      </c>
      <c r="C103" s="20" t="s">
        <v>460</v>
      </c>
      <c r="D103" s="21" t="s">
        <v>484</v>
      </c>
      <c r="E103" s="59">
        <v>41736</v>
      </c>
      <c r="F103" s="59">
        <v>42269</v>
      </c>
      <c r="G103" s="21">
        <v>25</v>
      </c>
      <c r="H103" s="34"/>
      <c r="I103" s="34"/>
      <c r="J103" s="30"/>
      <c r="K103" s="33"/>
      <c r="L103" s="33"/>
      <c r="M103" s="334"/>
      <c r="N103" s="20" t="s">
        <v>543</v>
      </c>
      <c r="O103" s="30"/>
      <c r="P103" s="334"/>
      <c r="Q103" s="30"/>
      <c r="R103" s="35"/>
      <c r="S103" s="21" t="s">
        <v>136</v>
      </c>
      <c r="T103" s="327">
        <f t="shared" si="32"/>
        <v>0</v>
      </c>
      <c r="U103" s="327">
        <f t="shared" si="33"/>
        <v>0</v>
      </c>
      <c r="V103" s="327">
        <f t="shared" si="34"/>
        <v>0</v>
      </c>
      <c r="W103" s="327">
        <f t="shared" si="35"/>
        <v>0</v>
      </c>
      <c r="Y103" s="318"/>
      <c r="Z103" s="318"/>
    </row>
    <row r="104" spans="1:26" s="222" customFormat="1" ht="51" x14ac:dyDescent="0.2">
      <c r="A104" s="222">
        <v>68</v>
      </c>
      <c r="B104" s="48" t="s">
        <v>450</v>
      </c>
      <c r="C104" s="189" t="s">
        <v>697</v>
      </c>
      <c r="D104" s="21" t="s">
        <v>484</v>
      </c>
      <c r="E104" s="59">
        <v>41736</v>
      </c>
      <c r="F104" s="59">
        <v>41983</v>
      </c>
      <c r="G104" s="21">
        <v>25</v>
      </c>
      <c r="H104" s="34"/>
      <c r="I104" s="34"/>
      <c r="J104" s="30"/>
      <c r="K104" s="33"/>
      <c r="L104" s="33"/>
      <c r="M104" s="334"/>
      <c r="N104" s="20"/>
      <c r="O104" s="30"/>
      <c r="P104" s="334"/>
      <c r="Q104" s="30" t="s">
        <v>1036</v>
      </c>
      <c r="R104" s="35">
        <v>632</v>
      </c>
      <c r="S104" s="320" t="s">
        <v>724</v>
      </c>
      <c r="T104" s="327">
        <f t="shared" si="32"/>
        <v>0</v>
      </c>
      <c r="U104" s="327">
        <f t="shared" si="33"/>
        <v>0</v>
      </c>
      <c r="V104" s="327">
        <f t="shared" si="34"/>
        <v>0</v>
      </c>
      <c r="W104" s="327">
        <f t="shared" si="35"/>
        <v>0</v>
      </c>
      <c r="Y104" s="318"/>
      <c r="Z104" s="318"/>
    </row>
    <row r="105" spans="1:26" s="222" customFormat="1" ht="25.5" x14ac:dyDescent="0.2">
      <c r="A105" s="222">
        <v>69</v>
      </c>
      <c r="B105" s="48" t="s">
        <v>450</v>
      </c>
      <c r="C105" s="20" t="s">
        <v>460</v>
      </c>
      <c r="D105" s="21" t="s">
        <v>484</v>
      </c>
      <c r="E105" s="59">
        <v>41827</v>
      </c>
      <c r="F105" s="59">
        <v>42348</v>
      </c>
      <c r="G105" s="21">
        <v>25</v>
      </c>
      <c r="H105" s="34"/>
      <c r="I105" s="34"/>
      <c r="J105" s="30"/>
      <c r="K105" s="33"/>
      <c r="L105" s="33"/>
      <c r="M105" s="334"/>
      <c r="N105" s="20"/>
      <c r="O105" s="30"/>
      <c r="P105" s="334"/>
      <c r="Q105" s="30"/>
      <c r="R105" s="35"/>
      <c r="S105" s="21"/>
      <c r="T105" s="327">
        <f t="shared" si="32"/>
        <v>0</v>
      </c>
      <c r="U105" s="327">
        <f t="shared" si="33"/>
        <v>0</v>
      </c>
      <c r="V105" s="327">
        <f t="shared" si="34"/>
        <v>0</v>
      </c>
      <c r="W105" s="327">
        <f t="shared" si="35"/>
        <v>0</v>
      </c>
      <c r="Y105" s="318"/>
      <c r="Z105" s="318"/>
    </row>
    <row r="106" spans="1:26" s="222" customFormat="1" ht="25.5" x14ac:dyDescent="0.2">
      <c r="A106" s="222">
        <v>70</v>
      </c>
      <c r="B106" s="48" t="s">
        <v>450</v>
      </c>
      <c r="C106" s="20" t="s">
        <v>460</v>
      </c>
      <c r="D106" s="21" t="s">
        <v>484</v>
      </c>
      <c r="E106" s="59">
        <v>41827</v>
      </c>
      <c r="F106" s="59">
        <v>42348</v>
      </c>
      <c r="G106" s="21">
        <v>25</v>
      </c>
      <c r="H106" s="34"/>
      <c r="I106" s="34"/>
      <c r="J106" s="30"/>
      <c r="K106" s="33"/>
      <c r="L106" s="33"/>
      <c r="M106" s="334"/>
      <c r="N106" s="20"/>
      <c r="O106" s="30"/>
      <c r="P106" s="334"/>
      <c r="Q106" s="30"/>
      <c r="R106" s="35"/>
      <c r="S106" s="21"/>
      <c r="T106" s="327">
        <f t="shared" si="32"/>
        <v>0</v>
      </c>
      <c r="U106" s="327">
        <f t="shared" si="33"/>
        <v>0</v>
      </c>
      <c r="V106" s="327">
        <f t="shared" si="34"/>
        <v>0</v>
      </c>
      <c r="W106" s="327">
        <f t="shared" si="35"/>
        <v>0</v>
      </c>
      <c r="Y106" s="318"/>
      <c r="Z106" s="318"/>
    </row>
    <row r="107" spans="1:26" s="222" customFormat="1" ht="25.5" x14ac:dyDescent="0.2">
      <c r="A107" s="222">
        <v>71</v>
      </c>
      <c r="B107" s="48" t="s">
        <v>450</v>
      </c>
      <c r="C107" s="20" t="s">
        <v>460</v>
      </c>
      <c r="D107" s="21" t="s">
        <v>484</v>
      </c>
      <c r="E107" s="59">
        <v>41827</v>
      </c>
      <c r="F107" s="59">
        <v>42348</v>
      </c>
      <c r="G107" s="20">
        <v>25</v>
      </c>
      <c r="H107" s="34"/>
      <c r="I107" s="34"/>
      <c r="J107" s="30"/>
      <c r="K107" s="33"/>
      <c r="L107" s="33"/>
      <c r="M107" s="334"/>
      <c r="N107" s="20"/>
      <c r="O107" s="30"/>
      <c r="P107" s="334"/>
      <c r="Q107" s="30"/>
      <c r="R107" s="35"/>
      <c r="S107" s="178"/>
      <c r="T107" s="327">
        <f t="shared" si="32"/>
        <v>0</v>
      </c>
      <c r="U107" s="327">
        <f t="shared" si="33"/>
        <v>0</v>
      </c>
      <c r="V107" s="327">
        <f t="shared" si="34"/>
        <v>0</v>
      </c>
      <c r="W107" s="327">
        <f t="shared" si="35"/>
        <v>0</v>
      </c>
      <c r="Y107" s="318"/>
      <c r="Z107" s="318"/>
    </row>
    <row r="108" spans="1:26" s="222" customFormat="1" ht="25.5" x14ac:dyDescent="0.2">
      <c r="A108" s="222">
        <v>72</v>
      </c>
      <c r="B108" s="48" t="s">
        <v>450</v>
      </c>
      <c r="C108" s="189" t="s">
        <v>697</v>
      </c>
      <c r="D108" s="21" t="s">
        <v>484</v>
      </c>
      <c r="E108" s="59">
        <v>41827</v>
      </c>
      <c r="F108" s="59">
        <v>42099</v>
      </c>
      <c r="G108" s="21">
        <v>25</v>
      </c>
      <c r="H108" s="34"/>
      <c r="I108" s="34"/>
      <c r="J108" s="30"/>
      <c r="K108" s="33"/>
      <c r="L108" s="33"/>
      <c r="M108" s="334"/>
      <c r="N108" s="20"/>
      <c r="O108" s="30"/>
      <c r="P108" s="334"/>
      <c r="Q108" s="30"/>
      <c r="R108" s="35"/>
      <c r="S108" s="320" t="s">
        <v>724</v>
      </c>
      <c r="T108" s="327">
        <f t="shared" si="32"/>
        <v>0</v>
      </c>
      <c r="U108" s="327">
        <f t="shared" si="33"/>
        <v>0</v>
      </c>
      <c r="V108" s="327">
        <f t="shared" si="34"/>
        <v>0</v>
      </c>
      <c r="W108" s="327">
        <f t="shared" si="35"/>
        <v>0</v>
      </c>
      <c r="Y108" s="318"/>
      <c r="Z108" s="318"/>
    </row>
    <row r="109" spans="1:26" s="222" customFormat="1" ht="25.5" x14ac:dyDescent="0.2">
      <c r="A109" s="222">
        <v>73</v>
      </c>
      <c r="B109" s="48" t="s">
        <v>450</v>
      </c>
      <c r="C109" s="321" t="s">
        <v>698</v>
      </c>
      <c r="D109" s="21" t="s">
        <v>484</v>
      </c>
      <c r="E109" s="59">
        <v>41827</v>
      </c>
      <c r="F109" s="59">
        <v>42099</v>
      </c>
      <c r="G109" s="21">
        <v>25</v>
      </c>
      <c r="H109" s="34"/>
      <c r="I109" s="34"/>
      <c r="J109" s="30"/>
      <c r="K109" s="33"/>
      <c r="L109" s="33"/>
      <c r="M109" s="334"/>
      <c r="N109" s="20"/>
      <c r="O109" s="30"/>
      <c r="P109" s="334"/>
      <c r="Q109" s="30"/>
      <c r="R109" s="35"/>
      <c r="S109" s="320" t="s">
        <v>724</v>
      </c>
      <c r="T109" s="327">
        <f t="shared" si="32"/>
        <v>0</v>
      </c>
      <c r="U109" s="327">
        <f t="shared" si="33"/>
        <v>0</v>
      </c>
      <c r="V109" s="327">
        <f t="shared" si="34"/>
        <v>0</v>
      </c>
      <c r="W109" s="327">
        <f t="shared" si="35"/>
        <v>0</v>
      </c>
      <c r="Y109" s="318"/>
      <c r="Z109" s="318"/>
    </row>
    <row r="110" spans="1:26" s="222" customFormat="1" ht="25.5" x14ac:dyDescent="0.2">
      <c r="A110" s="222">
        <v>74</v>
      </c>
      <c r="B110" s="48" t="s">
        <v>450</v>
      </c>
      <c r="C110" s="189" t="s">
        <v>461</v>
      </c>
      <c r="D110" s="21" t="s">
        <v>484</v>
      </c>
      <c r="E110" s="59">
        <v>41904</v>
      </c>
      <c r="F110" s="59">
        <v>42472</v>
      </c>
      <c r="G110" s="21">
        <v>25</v>
      </c>
      <c r="H110" s="34"/>
      <c r="I110" s="34"/>
      <c r="J110" s="30"/>
      <c r="K110" s="33"/>
      <c r="L110" s="33"/>
      <c r="M110" s="334"/>
      <c r="N110" s="20"/>
      <c r="O110" s="30"/>
      <c r="P110" s="334"/>
      <c r="Q110" s="30"/>
      <c r="R110" s="35"/>
      <c r="S110" s="21"/>
      <c r="T110" s="327">
        <f t="shared" si="32"/>
        <v>0</v>
      </c>
      <c r="U110" s="327">
        <f t="shared" si="33"/>
        <v>0</v>
      </c>
      <c r="V110" s="327">
        <f t="shared" si="34"/>
        <v>0</v>
      </c>
      <c r="W110" s="327">
        <f t="shared" si="35"/>
        <v>0</v>
      </c>
      <c r="Y110" s="318"/>
      <c r="Z110" s="318"/>
    </row>
    <row r="111" spans="1:26" s="222" customFormat="1" ht="25.5" x14ac:dyDescent="0.2">
      <c r="A111" s="222">
        <v>75</v>
      </c>
      <c r="B111" s="48" t="s">
        <v>450</v>
      </c>
      <c r="C111" s="20" t="s">
        <v>460</v>
      </c>
      <c r="D111" s="21" t="s">
        <v>484</v>
      </c>
      <c r="E111" s="59">
        <v>41904</v>
      </c>
      <c r="F111" s="59">
        <v>42472</v>
      </c>
      <c r="G111" s="20">
        <v>25</v>
      </c>
      <c r="H111" s="34"/>
      <c r="I111" s="34"/>
      <c r="J111" s="30"/>
      <c r="K111" s="33"/>
      <c r="L111" s="33"/>
      <c r="M111" s="334"/>
      <c r="N111" s="20"/>
      <c r="O111" s="30"/>
      <c r="P111" s="334"/>
      <c r="Q111" s="30"/>
      <c r="R111" s="35"/>
      <c r="S111" s="178"/>
      <c r="T111" s="327">
        <f t="shared" si="32"/>
        <v>0</v>
      </c>
      <c r="U111" s="327">
        <f t="shared" si="33"/>
        <v>0</v>
      </c>
      <c r="V111" s="327">
        <f t="shared" si="34"/>
        <v>0</v>
      </c>
      <c r="W111" s="327">
        <f t="shared" si="35"/>
        <v>0</v>
      </c>
      <c r="Y111" s="318"/>
      <c r="Z111" s="318"/>
    </row>
    <row r="112" spans="1:26" s="222" customFormat="1" ht="25.5" x14ac:dyDescent="0.2">
      <c r="A112" s="222">
        <v>76</v>
      </c>
      <c r="B112" s="48" t="s">
        <v>450</v>
      </c>
      <c r="C112" s="20" t="s">
        <v>460</v>
      </c>
      <c r="D112" s="21" t="s">
        <v>484</v>
      </c>
      <c r="E112" s="59">
        <v>41904</v>
      </c>
      <c r="F112" s="59">
        <v>42472</v>
      </c>
      <c r="G112" s="20">
        <v>25</v>
      </c>
      <c r="H112" s="34"/>
      <c r="I112" s="34"/>
      <c r="J112" s="30"/>
      <c r="K112" s="33"/>
      <c r="L112" s="33"/>
      <c r="M112" s="334"/>
      <c r="N112" s="20"/>
      <c r="O112" s="30"/>
      <c r="P112" s="334"/>
      <c r="Q112" s="30"/>
      <c r="R112" s="35"/>
      <c r="S112" s="178"/>
      <c r="T112" s="327">
        <f t="shared" si="32"/>
        <v>0</v>
      </c>
      <c r="U112" s="327">
        <f t="shared" si="33"/>
        <v>0</v>
      </c>
      <c r="V112" s="327">
        <f t="shared" si="34"/>
        <v>0</v>
      </c>
      <c r="W112" s="327">
        <f t="shared" si="35"/>
        <v>0</v>
      </c>
      <c r="Y112" s="318"/>
      <c r="Z112" s="318"/>
    </row>
    <row r="113" spans="1:26" s="222" customFormat="1" ht="25.5" x14ac:dyDescent="0.2">
      <c r="A113" s="222">
        <v>77</v>
      </c>
      <c r="B113" s="48" t="s">
        <v>450</v>
      </c>
      <c r="C113" s="20" t="s">
        <v>460</v>
      </c>
      <c r="D113" s="21" t="s">
        <v>484</v>
      </c>
      <c r="E113" s="59">
        <v>41904</v>
      </c>
      <c r="F113" s="59">
        <v>42472</v>
      </c>
      <c r="G113" s="20">
        <v>25</v>
      </c>
      <c r="H113" s="34"/>
      <c r="I113" s="34"/>
      <c r="J113" s="30"/>
      <c r="K113" s="33"/>
      <c r="L113" s="33"/>
      <c r="M113" s="334"/>
      <c r="N113" s="20"/>
      <c r="O113" s="30"/>
      <c r="P113" s="334"/>
      <c r="Q113" s="30"/>
      <c r="R113" s="35"/>
      <c r="S113" s="178"/>
      <c r="T113" s="327">
        <f t="shared" si="32"/>
        <v>0</v>
      </c>
      <c r="U113" s="327">
        <f t="shared" si="33"/>
        <v>0</v>
      </c>
      <c r="V113" s="327">
        <f t="shared" si="34"/>
        <v>0</v>
      </c>
      <c r="W113" s="327">
        <f t="shared" si="35"/>
        <v>0</v>
      </c>
      <c r="Y113" s="318"/>
      <c r="Z113" s="318"/>
    </row>
    <row r="114" spans="1:26" s="222" customFormat="1" ht="51" x14ac:dyDescent="0.2">
      <c r="A114" s="222">
        <v>78</v>
      </c>
      <c r="B114" s="48" t="s">
        <v>450</v>
      </c>
      <c r="C114" s="189" t="s">
        <v>697</v>
      </c>
      <c r="D114" s="21" t="s">
        <v>484</v>
      </c>
      <c r="E114" s="59">
        <v>41904</v>
      </c>
      <c r="F114" s="59">
        <v>42176</v>
      </c>
      <c r="G114" s="21">
        <v>25</v>
      </c>
      <c r="H114" s="34"/>
      <c r="I114" s="34"/>
      <c r="J114" s="30"/>
      <c r="K114" s="33"/>
      <c r="L114" s="33"/>
      <c r="M114" s="334"/>
      <c r="N114" s="20"/>
      <c r="O114" s="30"/>
      <c r="P114" s="334"/>
      <c r="Q114" s="30" t="s">
        <v>1036</v>
      </c>
      <c r="R114" s="35">
        <v>270</v>
      </c>
      <c r="S114" s="320" t="s">
        <v>724</v>
      </c>
      <c r="T114" s="327">
        <f t="shared" si="32"/>
        <v>0</v>
      </c>
      <c r="U114" s="327">
        <f t="shared" si="33"/>
        <v>0</v>
      </c>
      <c r="V114" s="327">
        <f t="shared" si="34"/>
        <v>0</v>
      </c>
      <c r="W114" s="327">
        <f t="shared" si="35"/>
        <v>0</v>
      </c>
      <c r="Y114" s="318"/>
      <c r="Z114" s="318"/>
    </row>
    <row r="115" spans="1:26" s="222" customFormat="1" ht="25.5" x14ac:dyDescent="0.2">
      <c r="A115" s="222">
        <v>79</v>
      </c>
      <c r="B115" s="48" t="s">
        <v>450</v>
      </c>
      <c r="C115" s="321" t="s">
        <v>698</v>
      </c>
      <c r="D115" s="21" t="s">
        <v>484</v>
      </c>
      <c r="E115" s="59">
        <v>41904</v>
      </c>
      <c r="F115" s="59">
        <v>42176</v>
      </c>
      <c r="G115" s="21">
        <v>25</v>
      </c>
      <c r="H115" s="34"/>
      <c r="I115" s="34"/>
      <c r="J115" s="30"/>
      <c r="K115" s="33"/>
      <c r="L115" s="33"/>
      <c r="M115" s="334"/>
      <c r="N115" s="20"/>
      <c r="O115" s="30"/>
      <c r="P115" s="334"/>
      <c r="Q115" s="30"/>
      <c r="R115" s="35"/>
      <c r="S115" s="320" t="s">
        <v>724</v>
      </c>
      <c r="T115" s="327">
        <f t="shared" si="32"/>
        <v>0</v>
      </c>
      <c r="U115" s="327">
        <f t="shared" si="33"/>
        <v>0</v>
      </c>
      <c r="V115" s="327">
        <f t="shared" si="34"/>
        <v>0</v>
      </c>
      <c r="W115" s="327">
        <f t="shared" si="35"/>
        <v>0</v>
      </c>
      <c r="Y115" s="318"/>
      <c r="Z115" s="318"/>
    </row>
    <row r="116" spans="1:26" s="222" customFormat="1" ht="25.5" x14ac:dyDescent="0.2">
      <c r="A116" s="222">
        <v>80</v>
      </c>
      <c r="B116" s="20">
        <v>524979</v>
      </c>
      <c r="C116" s="189" t="s">
        <v>463</v>
      </c>
      <c r="D116" s="189" t="s">
        <v>485</v>
      </c>
      <c r="E116" s="59">
        <v>41463</v>
      </c>
      <c r="F116" s="322">
        <v>41734</v>
      </c>
      <c r="G116" s="319">
        <v>26</v>
      </c>
      <c r="H116" s="34"/>
      <c r="I116" s="34"/>
      <c r="J116" s="30"/>
      <c r="K116" s="33">
        <v>41659</v>
      </c>
      <c r="L116" s="33">
        <v>41734</v>
      </c>
      <c r="M116" s="334">
        <v>5</v>
      </c>
      <c r="N116" s="20" t="s">
        <v>795</v>
      </c>
      <c r="O116" s="30" t="s">
        <v>830</v>
      </c>
      <c r="P116" s="30" t="s">
        <v>190</v>
      </c>
      <c r="Q116" s="30" t="s">
        <v>173</v>
      </c>
      <c r="R116" s="35">
        <v>525</v>
      </c>
      <c r="S116" s="20" t="s">
        <v>505</v>
      </c>
      <c r="T116" s="327">
        <f t="shared" si="32"/>
        <v>525</v>
      </c>
      <c r="U116" s="327">
        <f t="shared" si="33"/>
        <v>0</v>
      </c>
      <c r="V116" s="327">
        <f t="shared" si="34"/>
        <v>0</v>
      </c>
      <c r="W116" s="327">
        <f t="shared" si="35"/>
        <v>0</v>
      </c>
      <c r="Y116" s="318"/>
      <c r="Z116" s="318"/>
    </row>
    <row r="117" spans="1:26" s="222" customFormat="1" ht="38.25" x14ac:dyDescent="0.2">
      <c r="A117" s="222">
        <v>81</v>
      </c>
      <c r="B117" s="454" t="s">
        <v>450</v>
      </c>
      <c r="C117" s="446" t="s">
        <v>464</v>
      </c>
      <c r="D117" s="189" t="s">
        <v>485</v>
      </c>
      <c r="E117" s="448">
        <v>41659</v>
      </c>
      <c r="F117" s="448">
        <v>41902</v>
      </c>
      <c r="G117" s="452">
        <v>25</v>
      </c>
      <c r="H117" s="34"/>
      <c r="I117" s="34"/>
      <c r="J117" s="30"/>
      <c r="K117" s="33">
        <v>41659</v>
      </c>
      <c r="L117" s="33">
        <v>41902</v>
      </c>
      <c r="M117" s="334">
        <v>3</v>
      </c>
      <c r="N117" s="20" t="s">
        <v>799</v>
      </c>
      <c r="O117" s="30" t="s">
        <v>831</v>
      </c>
      <c r="P117" s="30" t="s">
        <v>190</v>
      </c>
      <c r="Q117" s="30" t="s">
        <v>588</v>
      </c>
      <c r="R117" s="35">
        <v>576</v>
      </c>
      <c r="S117" s="249" t="s">
        <v>725</v>
      </c>
      <c r="T117" s="327">
        <f t="shared" ref="T117" si="36">IF(K117=$T$3,$T$5*R117/DAYS360(K117,L117),0)</f>
        <v>180</v>
      </c>
      <c r="U117" s="327">
        <f t="shared" ref="U117" si="37">IF(K117=$U$3,$U$5*R117/DAYS360(K117,L117),0)+IF(K117=$T$3,IF(L117=$U$4,R117-T117,0),0)+IF(K117=$T$3,IF(L117=$V$4,(R117-T117)/2,0),0)+IF(K117=$T$3,IF(L117=$W$4,(R117-T117)/3,0),0)</f>
        <v>198</v>
      </c>
      <c r="V117" s="327">
        <f t="shared" ref="V117" si="38">IF(K117=$V$3,$V$5*R117/DAYS360(K117,L117),0)+IF(K117=$T$3,IF(L117=$V$4,R117-T117-U117,0),0)+IF(K117=$T$3,IF(L117=$W$4,(R117-T117-U117)/2,0),0)+IF(K117=$U$3,IF(L117=$V$4,R117-U117,0),0)+IF(K117=$U$3,IF(L117=$W$4,(R117-U117)/2,0),0)</f>
        <v>198</v>
      </c>
      <c r="W117" s="327">
        <f t="shared" ref="W117" si="39">IF(K117=$W$3,$W$5*R117/DAYS360(K117,L117),0)+IF(K117=$T$3,IF(L117=$W$4,R117-T117-U117-V117,0),0)+IF(K117=$U$3,IF(L117=$W$4,R117-U117-V117,0),0)+IF(K117=$V$3,IF(L117=$W$4,R117-V117,0),0)</f>
        <v>0</v>
      </c>
      <c r="Y117" s="318"/>
      <c r="Z117" s="318"/>
    </row>
    <row r="118" spans="1:26" s="222" customFormat="1" ht="38.25" x14ac:dyDescent="0.2">
      <c r="A118" s="222">
        <v>81</v>
      </c>
      <c r="B118" s="455"/>
      <c r="C118" s="447"/>
      <c r="D118" s="189" t="s">
        <v>485</v>
      </c>
      <c r="E118" s="449"/>
      <c r="F118" s="449"/>
      <c r="G118" s="453"/>
      <c r="H118" s="34"/>
      <c r="I118" s="34"/>
      <c r="J118" s="30"/>
      <c r="K118" s="33">
        <v>41659</v>
      </c>
      <c r="L118" s="33">
        <v>41902</v>
      </c>
      <c r="M118" s="334">
        <v>2</v>
      </c>
      <c r="N118" s="20" t="s">
        <v>794</v>
      </c>
      <c r="O118" s="30" t="s">
        <v>831</v>
      </c>
      <c r="P118" s="30" t="s">
        <v>190</v>
      </c>
      <c r="Q118" s="30" t="s">
        <v>174</v>
      </c>
      <c r="R118" s="35">
        <v>310</v>
      </c>
      <c r="S118" s="249" t="s">
        <v>725</v>
      </c>
      <c r="T118" s="327">
        <f t="shared" si="32"/>
        <v>96.875</v>
      </c>
      <c r="U118" s="327">
        <f t="shared" si="33"/>
        <v>106.5625</v>
      </c>
      <c r="V118" s="327">
        <f t="shared" si="34"/>
        <v>106.5625</v>
      </c>
      <c r="W118" s="327">
        <f t="shared" si="35"/>
        <v>0</v>
      </c>
      <c r="Y118" s="318"/>
      <c r="Z118" s="318"/>
    </row>
    <row r="119" spans="1:26" s="222" customFormat="1" ht="25.5" x14ac:dyDescent="0.2">
      <c r="A119" s="222">
        <v>82</v>
      </c>
      <c r="B119" s="48" t="s">
        <v>450</v>
      </c>
      <c r="C119" s="189" t="s">
        <v>463</v>
      </c>
      <c r="D119" s="189" t="s">
        <v>485</v>
      </c>
      <c r="E119" s="59">
        <v>41736</v>
      </c>
      <c r="F119" s="59">
        <v>41983</v>
      </c>
      <c r="G119" s="189">
        <v>25</v>
      </c>
      <c r="H119" s="34"/>
      <c r="I119" s="34"/>
      <c r="J119" s="30"/>
      <c r="K119" s="33">
        <v>41736</v>
      </c>
      <c r="L119" s="33">
        <v>41983</v>
      </c>
      <c r="M119" s="334">
        <v>5</v>
      </c>
      <c r="N119" s="20" t="s">
        <v>795</v>
      </c>
      <c r="O119" s="30" t="s">
        <v>830</v>
      </c>
      <c r="P119" s="30" t="s">
        <v>190</v>
      </c>
      <c r="Q119" s="30" t="s">
        <v>173</v>
      </c>
      <c r="R119" s="35">
        <v>782</v>
      </c>
      <c r="S119" s="21" t="s">
        <v>505</v>
      </c>
      <c r="T119" s="327">
        <f t="shared" si="32"/>
        <v>0</v>
      </c>
      <c r="U119" s="327">
        <f t="shared" si="33"/>
        <v>238.13991769547326</v>
      </c>
      <c r="V119" s="327">
        <f t="shared" si="34"/>
        <v>271.93004115226336</v>
      </c>
      <c r="W119" s="327">
        <f t="shared" si="35"/>
        <v>271.93004115226336</v>
      </c>
      <c r="Y119" s="318"/>
      <c r="Z119" s="318"/>
    </row>
    <row r="120" spans="1:26" s="222" customFormat="1" ht="38.25" x14ac:dyDescent="0.2">
      <c r="A120" s="222">
        <v>83</v>
      </c>
      <c r="B120" s="454" t="s">
        <v>450</v>
      </c>
      <c r="C120" s="446" t="s">
        <v>464</v>
      </c>
      <c r="D120" s="189" t="s">
        <v>485</v>
      </c>
      <c r="E120" s="448">
        <v>41904</v>
      </c>
      <c r="F120" s="448">
        <v>42176</v>
      </c>
      <c r="G120" s="452">
        <v>25</v>
      </c>
      <c r="H120" s="34"/>
      <c r="I120" s="34"/>
      <c r="J120" s="30"/>
      <c r="K120" s="33">
        <v>41904</v>
      </c>
      <c r="L120" s="33">
        <v>41983</v>
      </c>
      <c r="M120" s="334">
        <v>3</v>
      </c>
      <c r="N120" s="20" t="s">
        <v>799</v>
      </c>
      <c r="O120" s="30" t="s">
        <v>830</v>
      </c>
      <c r="P120" s="30" t="s">
        <v>190</v>
      </c>
      <c r="Q120" s="30" t="s">
        <v>588</v>
      </c>
      <c r="R120" s="35">
        <v>192</v>
      </c>
      <c r="S120" s="249" t="s">
        <v>725</v>
      </c>
      <c r="T120" s="327">
        <f t="shared" ref="T120" si="40">IF(K120=$T$3,$T$5*R120/DAYS360(K120,L120),0)</f>
        <v>0</v>
      </c>
      <c r="U120" s="327">
        <f t="shared" ref="U120" si="41">IF(K120=$U$3,$U$5*R120/DAYS360(K120,L120),0)+IF(K120=$T$3,IF(L120=$U$4,R120-T120,0),0)+IF(K120=$T$3,IF(L120=$V$4,(R120-T120)/2,0),0)+IF(K120=$T$3,IF(L120=$W$4,(R120-T120)/3,0),0)</f>
        <v>0</v>
      </c>
      <c r="V120" s="327">
        <f t="shared" ref="V120" si="42">IF(K120=$V$3,$V$5*R120/DAYS360(K120,L120),0)+IF(K120=$T$3,IF(L120=$V$4,R120-T120-U120,0),0)+IF(K120=$T$3,IF(L120=$W$4,(R120-T120-U120)/2,0),0)+IF(K120=$U$3,IF(L120=$V$4,R120-U120,0),0)+IF(K120=$U$3,IF(L120=$W$4,(R120-U120)/2,0),0)</f>
        <v>0</v>
      </c>
      <c r="W120" s="327">
        <f t="shared" ref="W120" si="43">IF(K120=$W$3,$W$5*R120/DAYS360(K120,L120),0)+IF(K120=$T$3,IF(L120=$W$4,R120-T120-U120-V120,0),0)+IF(K120=$U$3,IF(L120=$W$4,R120-U120-V120,0),0)+IF(K120=$V$3,IF(L120=$W$4,R120-V120,0),0)</f>
        <v>192</v>
      </c>
      <c r="Y120" s="318"/>
      <c r="Z120" s="318"/>
    </row>
    <row r="121" spans="1:26" s="222" customFormat="1" ht="38.25" x14ac:dyDescent="0.2">
      <c r="A121" s="222">
        <v>83</v>
      </c>
      <c r="B121" s="455"/>
      <c r="C121" s="447"/>
      <c r="D121" s="189" t="s">
        <v>485</v>
      </c>
      <c r="E121" s="449"/>
      <c r="F121" s="449"/>
      <c r="G121" s="453"/>
      <c r="H121" s="34"/>
      <c r="I121" s="34"/>
      <c r="J121" s="30"/>
      <c r="K121" s="33">
        <v>41904</v>
      </c>
      <c r="L121" s="33">
        <v>41983</v>
      </c>
      <c r="M121" s="334">
        <v>2</v>
      </c>
      <c r="N121" s="20" t="s">
        <v>794</v>
      </c>
      <c r="O121" s="30" t="s">
        <v>830</v>
      </c>
      <c r="P121" s="30" t="s">
        <v>190</v>
      </c>
      <c r="Q121" s="30" t="s">
        <v>174</v>
      </c>
      <c r="R121" s="35">
        <v>107</v>
      </c>
      <c r="S121" s="249" t="s">
        <v>725</v>
      </c>
      <c r="T121" s="327">
        <f t="shared" si="32"/>
        <v>0</v>
      </c>
      <c r="U121" s="327">
        <f t="shared" si="33"/>
        <v>0</v>
      </c>
      <c r="V121" s="327">
        <f t="shared" si="34"/>
        <v>0</v>
      </c>
      <c r="W121" s="327">
        <f t="shared" si="35"/>
        <v>107</v>
      </c>
      <c r="Y121" s="318"/>
      <c r="Z121" s="318"/>
    </row>
    <row r="122" spans="1:26" s="222" customFormat="1" ht="38.25" x14ac:dyDescent="0.2">
      <c r="A122" s="222">
        <v>84</v>
      </c>
      <c r="B122" s="48" t="s">
        <v>450</v>
      </c>
      <c r="C122" s="189" t="s">
        <v>699</v>
      </c>
      <c r="D122" s="189" t="s">
        <v>485</v>
      </c>
      <c r="E122" s="59">
        <v>41904</v>
      </c>
      <c r="F122" s="59">
        <v>42472</v>
      </c>
      <c r="G122" s="20">
        <v>25</v>
      </c>
      <c r="H122" s="34"/>
      <c r="I122" s="34"/>
      <c r="J122" s="30"/>
      <c r="K122" s="33">
        <v>41904</v>
      </c>
      <c r="L122" s="33">
        <v>41983</v>
      </c>
      <c r="M122" s="334">
        <v>5</v>
      </c>
      <c r="N122" s="189" t="s">
        <v>801</v>
      </c>
      <c r="O122" s="30" t="s">
        <v>830</v>
      </c>
      <c r="P122" s="30" t="s">
        <v>190</v>
      </c>
      <c r="Q122" s="30" t="s">
        <v>588</v>
      </c>
      <c r="R122" s="35">
        <v>216</v>
      </c>
      <c r="S122" s="189" t="s">
        <v>726</v>
      </c>
      <c r="T122" s="327">
        <f t="shared" si="32"/>
        <v>0</v>
      </c>
      <c r="U122" s="327">
        <f t="shared" si="33"/>
        <v>0</v>
      </c>
      <c r="V122" s="327">
        <f t="shared" si="34"/>
        <v>0</v>
      </c>
      <c r="W122" s="327">
        <f t="shared" si="35"/>
        <v>216</v>
      </c>
      <c r="Y122" s="318"/>
      <c r="Z122" s="318"/>
    </row>
    <row r="123" spans="1:26" s="222" customFormat="1" x14ac:dyDescent="0.2">
      <c r="A123" s="222">
        <v>86</v>
      </c>
      <c r="B123" s="454">
        <v>397166</v>
      </c>
      <c r="C123" s="452" t="s">
        <v>466</v>
      </c>
      <c r="D123" s="189" t="s">
        <v>486</v>
      </c>
      <c r="E123" s="448">
        <v>41176</v>
      </c>
      <c r="F123" s="450">
        <v>41734</v>
      </c>
      <c r="G123" s="452">
        <v>36</v>
      </c>
      <c r="H123" s="34"/>
      <c r="I123" s="34"/>
      <c r="J123" s="30"/>
      <c r="K123" s="33">
        <v>41659</v>
      </c>
      <c r="L123" s="33">
        <v>41734</v>
      </c>
      <c r="M123" s="334">
        <v>4</v>
      </c>
      <c r="N123" s="20" t="s">
        <v>795</v>
      </c>
      <c r="O123" s="30" t="s">
        <v>596</v>
      </c>
      <c r="P123" s="30" t="s">
        <v>190</v>
      </c>
      <c r="Q123" s="30" t="s">
        <v>181</v>
      </c>
      <c r="R123" s="35">
        <v>202</v>
      </c>
      <c r="S123" s="20" t="s">
        <v>181</v>
      </c>
      <c r="T123" s="327">
        <f t="shared" ref="T123" si="44">IF(K123=$T$3,$T$5*R123/DAYS360(K123,L123),0)</f>
        <v>202</v>
      </c>
      <c r="U123" s="327">
        <f t="shared" ref="U123" si="45">IF(K123=$U$3,$U$5*R123/DAYS360(K123,L123),0)+IF(K123=$T$3,IF(L123=$U$4,R123-T123,0),0)+IF(K123=$T$3,IF(L123=$V$4,(R123-T123)/2,0),0)+IF(K123=$T$3,IF(L123=$W$4,(R123-T123)/3,0),0)</f>
        <v>0</v>
      </c>
      <c r="V123" s="327">
        <f t="shared" ref="V123" si="46">IF(K123=$V$3,$V$5*R123/DAYS360(K123,L123),0)+IF(K123=$T$3,IF(L123=$V$4,R123-T123-U123,0),0)+IF(K123=$T$3,IF(L123=$W$4,(R123-T123-U123)/2,0),0)+IF(K123=$U$3,IF(L123=$V$4,R123-U123,0),0)+IF(K123=$U$3,IF(L123=$W$4,(R123-U123)/2,0),0)</f>
        <v>0</v>
      </c>
      <c r="W123" s="327">
        <f t="shared" ref="W123" si="47">IF(K123=$W$3,$W$5*R123/DAYS360(K123,L123),0)+IF(K123=$T$3,IF(L123=$W$4,R123-T123-U123-V123,0),0)+IF(K123=$U$3,IF(L123=$W$4,R123-U123-V123,0),0)+IF(K123=$V$3,IF(L123=$W$4,R123-V123,0),0)</f>
        <v>0</v>
      </c>
      <c r="Y123" s="318"/>
      <c r="Z123" s="318"/>
    </row>
    <row r="124" spans="1:26" s="222" customFormat="1" x14ac:dyDescent="0.2">
      <c r="A124" s="222">
        <v>86</v>
      </c>
      <c r="B124" s="455"/>
      <c r="C124" s="453"/>
      <c r="D124" s="189" t="s">
        <v>486</v>
      </c>
      <c r="E124" s="449"/>
      <c r="F124" s="451"/>
      <c r="G124" s="453"/>
      <c r="H124" s="34"/>
      <c r="I124" s="34"/>
      <c r="J124" s="30"/>
      <c r="K124" s="33">
        <v>41659</v>
      </c>
      <c r="L124" s="33">
        <v>41734</v>
      </c>
      <c r="M124" s="334">
        <v>1</v>
      </c>
      <c r="N124" s="20" t="s">
        <v>795</v>
      </c>
      <c r="O124" s="30" t="s">
        <v>596</v>
      </c>
      <c r="P124" s="30" t="s">
        <v>190</v>
      </c>
      <c r="Q124" s="30" t="s">
        <v>178</v>
      </c>
      <c r="R124" s="35">
        <v>55</v>
      </c>
      <c r="S124" s="20" t="s">
        <v>181</v>
      </c>
      <c r="T124" s="327">
        <f t="shared" si="32"/>
        <v>55</v>
      </c>
      <c r="U124" s="327">
        <f t="shared" si="33"/>
        <v>0</v>
      </c>
      <c r="V124" s="327">
        <f t="shared" si="34"/>
        <v>0</v>
      </c>
      <c r="W124" s="327">
        <f t="shared" si="35"/>
        <v>0</v>
      </c>
      <c r="Y124" s="318"/>
      <c r="Z124" s="318"/>
    </row>
    <row r="125" spans="1:26" s="222" customFormat="1" ht="25.5" x14ac:dyDescent="0.2">
      <c r="A125" s="222">
        <v>87</v>
      </c>
      <c r="B125" s="454">
        <v>397164</v>
      </c>
      <c r="C125" s="446" t="s">
        <v>465</v>
      </c>
      <c r="D125" s="189" t="s">
        <v>486</v>
      </c>
      <c r="E125" s="448">
        <v>41176</v>
      </c>
      <c r="F125" s="450">
        <v>41734</v>
      </c>
      <c r="G125" s="452">
        <v>35</v>
      </c>
      <c r="H125" s="34"/>
      <c r="I125" s="34"/>
      <c r="J125" s="30"/>
      <c r="K125" s="33">
        <v>41659</v>
      </c>
      <c r="L125" s="33">
        <v>41734</v>
      </c>
      <c r="M125" s="334">
        <v>3</v>
      </c>
      <c r="N125" s="20" t="s">
        <v>538</v>
      </c>
      <c r="O125" s="30" t="s">
        <v>845</v>
      </c>
      <c r="P125" s="30" t="s">
        <v>190</v>
      </c>
      <c r="Q125" s="30" t="s">
        <v>258</v>
      </c>
      <c r="R125" s="35">
        <v>192</v>
      </c>
      <c r="S125" s="20" t="s">
        <v>506</v>
      </c>
      <c r="T125" s="327">
        <f t="shared" si="32"/>
        <v>192</v>
      </c>
      <c r="U125" s="327">
        <f t="shared" si="33"/>
        <v>0</v>
      </c>
      <c r="V125" s="327">
        <f t="shared" si="34"/>
        <v>0</v>
      </c>
      <c r="W125" s="327">
        <f t="shared" si="35"/>
        <v>0</v>
      </c>
      <c r="Y125" s="318"/>
      <c r="Z125" s="318"/>
    </row>
    <row r="126" spans="1:26" s="222" customFormat="1" ht="25.5" x14ac:dyDescent="0.2">
      <c r="A126" s="222">
        <v>87</v>
      </c>
      <c r="B126" s="458"/>
      <c r="C126" s="461"/>
      <c r="D126" s="189" t="s">
        <v>486</v>
      </c>
      <c r="E126" s="460"/>
      <c r="F126" s="463"/>
      <c r="G126" s="462"/>
      <c r="H126" s="34"/>
      <c r="I126" s="34"/>
      <c r="J126" s="30"/>
      <c r="K126" s="33">
        <v>41659</v>
      </c>
      <c r="L126" s="33">
        <v>41734</v>
      </c>
      <c r="M126" s="334">
        <v>3</v>
      </c>
      <c r="N126" s="20" t="s">
        <v>538</v>
      </c>
      <c r="O126" s="30" t="s">
        <v>845</v>
      </c>
      <c r="P126" s="30" t="s">
        <v>190</v>
      </c>
      <c r="Q126" s="30" t="s">
        <v>178</v>
      </c>
      <c r="R126" s="35">
        <v>165</v>
      </c>
      <c r="S126" s="20" t="s">
        <v>506</v>
      </c>
      <c r="T126" s="327">
        <f t="shared" ref="T126" si="48">IF(K126=$T$3,$T$5*R126/DAYS360(K126,L126),0)</f>
        <v>165</v>
      </c>
      <c r="U126" s="327">
        <f t="shared" ref="U126" si="49">IF(K126=$U$3,$U$5*R126/DAYS360(K126,L126),0)+IF(K126=$T$3,IF(L126=$U$4,R126-T126,0),0)+IF(K126=$T$3,IF(L126=$V$4,(R126-T126)/2,0),0)+IF(K126=$T$3,IF(L126=$W$4,(R126-T126)/3,0),0)</f>
        <v>0</v>
      </c>
      <c r="V126" s="327">
        <f t="shared" ref="V126" si="50">IF(K126=$V$3,$V$5*R126/DAYS360(K126,L126),0)+IF(K126=$T$3,IF(L126=$V$4,R126-T126-U126,0),0)+IF(K126=$T$3,IF(L126=$W$4,(R126-T126-U126)/2,0),0)+IF(K126=$U$3,IF(L126=$V$4,R126-U126,0),0)+IF(K126=$U$3,IF(L126=$W$4,(R126-U126)/2,0),0)</f>
        <v>0</v>
      </c>
      <c r="W126" s="327">
        <f t="shared" ref="W126" si="51">IF(K126=$W$3,$W$5*R126/DAYS360(K126,L126),0)+IF(K126=$T$3,IF(L126=$W$4,R126-T126-U126-V126,0),0)+IF(K126=$U$3,IF(L126=$W$4,R126-U126-V126,0),0)+IF(K126=$V$3,IF(L126=$W$4,R126-V126,0),0)</f>
        <v>0</v>
      </c>
      <c r="Y126" s="318"/>
      <c r="Z126" s="318"/>
    </row>
    <row r="127" spans="1:26" s="222" customFormat="1" ht="25.5" x14ac:dyDescent="0.2">
      <c r="A127" s="222">
        <v>87</v>
      </c>
      <c r="B127" s="455"/>
      <c r="C127" s="447"/>
      <c r="D127" s="189" t="s">
        <v>486</v>
      </c>
      <c r="E127" s="449"/>
      <c r="F127" s="451"/>
      <c r="G127" s="453"/>
      <c r="H127" s="34"/>
      <c r="I127" s="34"/>
      <c r="J127" s="30"/>
      <c r="K127" s="33">
        <v>41659</v>
      </c>
      <c r="L127" s="33">
        <v>41734</v>
      </c>
      <c r="M127" s="334">
        <v>1</v>
      </c>
      <c r="N127" s="20" t="s">
        <v>538</v>
      </c>
      <c r="O127" s="30" t="s">
        <v>845</v>
      </c>
      <c r="P127" s="30" t="s">
        <v>190</v>
      </c>
      <c r="Q127" s="30" t="s">
        <v>327</v>
      </c>
      <c r="R127" s="35">
        <v>50</v>
      </c>
      <c r="S127" s="20" t="s">
        <v>506</v>
      </c>
      <c r="T127" s="327">
        <f t="shared" si="32"/>
        <v>50</v>
      </c>
      <c r="U127" s="327">
        <f t="shared" si="33"/>
        <v>0</v>
      </c>
      <c r="V127" s="327">
        <f t="shared" si="34"/>
        <v>0</v>
      </c>
      <c r="W127" s="327">
        <f t="shared" si="35"/>
        <v>0</v>
      </c>
      <c r="Y127" s="318"/>
      <c r="Z127" s="318"/>
    </row>
    <row r="128" spans="1:26" s="222" customFormat="1" x14ac:dyDescent="0.2">
      <c r="A128" s="222">
        <v>88</v>
      </c>
      <c r="B128" s="452">
        <v>531287</v>
      </c>
      <c r="C128" s="452" t="s">
        <v>466</v>
      </c>
      <c r="D128" s="20" t="s">
        <v>486</v>
      </c>
      <c r="E128" s="448">
        <v>41463</v>
      </c>
      <c r="F128" s="448">
        <v>41983</v>
      </c>
      <c r="G128" s="444">
        <v>24</v>
      </c>
      <c r="H128" s="34"/>
      <c r="I128" s="34"/>
      <c r="J128" s="30"/>
      <c r="K128" s="33">
        <v>41659</v>
      </c>
      <c r="L128" s="33">
        <v>41983</v>
      </c>
      <c r="M128" s="30" t="s">
        <v>846</v>
      </c>
      <c r="N128" s="20" t="s">
        <v>538</v>
      </c>
      <c r="O128" s="30" t="s">
        <v>596</v>
      </c>
      <c r="P128" s="30" t="s">
        <v>190</v>
      </c>
      <c r="Q128" s="30" t="s">
        <v>181</v>
      </c>
      <c r="R128" s="35">
        <v>695</v>
      </c>
      <c r="S128" s="20" t="s">
        <v>181</v>
      </c>
      <c r="T128" s="327">
        <f t="shared" ref="T128:T129" si="52">IF(K128=$T$3,$T$5*R128/DAYS360(K128,L128),0)</f>
        <v>162.890625</v>
      </c>
      <c r="U128" s="327">
        <f t="shared" ref="U128:U129" si="53">IF(K128=$U$3,$U$5*R128/DAYS360(K128,L128),0)+IF(K128=$T$3,IF(L128=$U$4,R128-T128,0),0)+IF(K128=$T$3,IF(L128=$V$4,(R128-T128)/2,0),0)+IF(K128=$T$3,IF(L128=$W$4,(R128-T128)/3,0),0)</f>
        <v>177.36979166666666</v>
      </c>
      <c r="V128" s="327">
        <f t="shared" ref="V128:V129" si="54">IF(K128=$V$3,$V$5*R128/DAYS360(K128,L128),0)+IF(K128=$T$3,IF(L128=$V$4,R128-T128-U128,0),0)+IF(K128=$T$3,IF(L128=$W$4,(R128-T128-U128)/2,0),0)+IF(K128=$U$3,IF(L128=$V$4,R128-U128,0),0)+IF(K128=$U$3,IF(L128=$W$4,(R128-U128)/2,0),0)</f>
        <v>177.36979166666669</v>
      </c>
      <c r="W128" s="327">
        <f t="shared" ref="W128:W129" si="55">IF(K128=$W$3,$W$5*R128/DAYS360(K128,L128),0)+IF(K128=$T$3,IF(L128=$W$4,R128-T128-U128-V128,0),0)+IF(K128=$U$3,IF(L128=$W$4,R128-U128-V128,0),0)+IF(K128=$V$3,IF(L128=$W$4,R128-V128,0),0)</f>
        <v>177.36979166666669</v>
      </c>
      <c r="Y128" s="318"/>
      <c r="Z128" s="318"/>
    </row>
    <row r="129" spans="1:26" s="222" customFormat="1" x14ac:dyDescent="0.2">
      <c r="A129" s="222">
        <v>88</v>
      </c>
      <c r="B129" s="462"/>
      <c r="C129" s="462"/>
      <c r="D129" s="20" t="s">
        <v>486</v>
      </c>
      <c r="E129" s="460"/>
      <c r="F129" s="460"/>
      <c r="G129" s="459"/>
      <c r="H129" s="34"/>
      <c r="I129" s="34"/>
      <c r="J129" s="30"/>
      <c r="K129" s="33">
        <v>41659</v>
      </c>
      <c r="L129" s="33">
        <v>41902</v>
      </c>
      <c r="M129" s="30" t="s">
        <v>847</v>
      </c>
      <c r="N129" s="20" t="s">
        <v>538</v>
      </c>
      <c r="O129" s="30" t="s">
        <v>596</v>
      </c>
      <c r="P129" s="30" t="s">
        <v>190</v>
      </c>
      <c r="Q129" s="30" t="s">
        <v>237</v>
      </c>
      <c r="R129" s="35">
        <v>320</v>
      </c>
      <c r="S129" s="20" t="s">
        <v>181</v>
      </c>
      <c r="T129" s="327">
        <f t="shared" si="52"/>
        <v>100</v>
      </c>
      <c r="U129" s="327">
        <f t="shared" si="53"/>
        <v>110</v>
      </c>
      <c r="V129" s="327">
        <f t="shared" si="54"/>
        <v>110</v>
      </c>
      <c r="W129" s="327">
        <f t="shared" si="55"/>
        <v>0</v>
      </c>
      <c r="Y129" s="318"/>
      <c r="Z129" s="318"/>
    </row>
    <row r="130" spans="1:26" s="222" customFormat="1" x14ac:dyDescent="0.2">
      <c r="A130" s="222">
        <v>88</v>
      </c>
      <c r="B130" s="453"/>
      <c r="C130" s="453"/>
      <c r="D130" s="20" t="s">
        <v>486</v>
      </c>
      <c r="E130" s="449"/>
      <c r="F130" s="449"/>
      <c r="G130" s="445"/>
      <c r="H130" s="34"/>
      <c r="I130" s="34"/>
      <c r="J130" s="30"/>
      <c r="K130" s="33">
        <v>41659</v>
      </c>
      <c r="L130" s="33">
        <v>41983</v>
      </c>
      <c r="M130" s="334">
        <v>1</v>
      </c>
      <c r="N130" s="20" t="s">
        <v>538</v>
      </c>
      <c r="O130" s="30" t="s">
        <v>596</v>
      </c>
      <c r="P130" s="30" t="s">
        <v>190</v>
      </c>
      <c r="Q130" s="30" t="s">
        <v>178</v>
      </c>
      <c r="R130" s="35">
        <v>215</v>
      </c>
      <c r="S130" s="20" t="s">
        <v>181</v>
      </c>
      <c r="T130" s="327">
        <f t="shared" si="32"/>
        <v>50.390625</v>
      </c>
      <c r="U130" s="327">
        <f t="shared" si="33"/>
        <v>54.869791666666664</v>
      </c>
      <c r="V130" s="327">
        <f t="shared" si="34"/>
        <v>54.869791666666671</v>
      </c>
      <c r="W130" s="327">
        <f t="shared" si="35"/>
        <v>54.869791666666671</v>
      </c>
      <c r="Y130" s="318"/>
      <c r="Z130" s="318"/>
    </row>
    <row r="131" spans="1:26" s="222" customFormat="1" ht="25.5" x14ac:dyDescent="0.2">
      <c r="A131" s="222">
        <v>89</v>
      </c>
      <c r="B131" s="446">
        <v>579756</v>
      </c>
      <c r="C131" s="446" t="s">
        <v>700</v>
      </c>
      <c r="D131" s="189" t="s">
        <v>486</v>
      </c>
      <c r="E131" s="448">
        <v>41540</v>
      </c>
      <c r="F131" s="448">
        <v>41811</v>
      </c>
      <c r="G131" s="444">
        <v>30</v>
      </c>
      <c r="H131" s="34"/>
      <c r="I131" s="34"/>
      <c r="J131" s="30"/>
      <c r="K131" s="33">
        <v>41659</v>
      </c>
      <c r="L131" s="33">
        <v>41811</v>
      </c>
      <c r="M131" s="334">
        <v>4</v>
      </c>
      <c r="N131" s="20" t="s">
        <v>538</v>
      </c>
      <c r="O131" s="30" t="s">
        <v>848</v>
      </c>
      <c r="P131" s="30" t="s">
        <v>190</v>
      </c>
      <c r="Q131" s="30" t="s">
        <v>327</v>
      </c>
      <c r="R131" s="35">
        <v>420</v>
      </c>
      <c r="S131" s="20" t="s">
        <v>727</v>
      </c>
      <c r="T131" s="327">
        <f t="shared" si="32"/>
        <v>208.60927152317882</v>
      </c>
      <c r="U131" s="327">
        <f t="shared" si="33"/>
        <v>211.39072847682118</v>
      </c>
      <c r="V131" s="327">
        <f t="shared" si="34"/>
        <v>0</v>
      </c>
      <c r="W131" s="327">
        <f t="shared" si="35"/>
        <v>0</v>
      </c>
      <c r="Y131" s="318"/>
      <c r="Z131" s="318"/>
    </row>
    <row r="132" spans="1:26" s="222" customFormat="1" ht="25.5" x14ac:dyDescent="0.2">
      <c r="A132" s="222">
        <v>89</v>
      </c>
      <c r="B132" s="447"/>
      <c r="C132" s="447"/>
      <c r="D132" s="189" t="s">
        <v>486</v>
      </c>
      <c r="E132" s="449"/>
      <c r="F132" s="449"/>
      <c r="G132" s="445"/>
      <c r="H132" s="34"/>
      <c r="I132" s="34"/>
      <c r="J132" s="30"/>
      <c r="K132" s="33">
        <v>41659</v>
      </c>
      <c r="L132" s="33">
        <v>41811</v>
      </c>
      <c r="M132" s="334">
        <v>2</v>
      </c>
      <c r="N132" s="20" t="s">
        <v>538</v>
      </c>
      <c r="O132" s="30" t="s">
        <v>848</v>
      </c>
      <c r="P132" s="30" t="s">
        <v>190</v>
      </c>
      <c r="Q132" s="30" t="s">
        <v>195</v>
      </c>
      <c r="R132" s="35">
        <v>205</v>
      </c>
      <c r="S132" s="20" t="s">
        <v>727</v>
      </c>
      <c r="T132" s="327">
        <f t="shared" ref="T132" si="56">IF(K132=$T$3,$T$5*R132/DAYS360(K132,L132),0)</f>
        <v>101.82119205298014</v>
      </c>
      <c r="U132" s="327">
        <f t="shared" ref="U132" si="57">IF(K132=$U$3,$U$5*R132/DAYS360(K132,L132),0)+IF(K132=$T$3,IF(L132=$U$4,R132-T132,0),0)+IF(K132=$T$3,IF(L132=$V$4,(R132-T132)/2,0),0)+IF(K132=$T$3,IF(L132=$W$4,(R132-T132)/3,0),0)</f>
        <v>103.17880794701986</v>
      </c>
      <c r="V132" s="327">
        <f t="shared" ref="V132" si="58">IF(K132=$V$3,$V$5*R132/DAYS360(K132,L132),0)+IF(K132=$T$3,IF(L132=$V$4,R132-T132-U132,0),0)+IF(K132=$T$3,IF(L132=$W$4,(R132-T132-U132)/2,0),0)+IF(K132=$U$3,IF(L132=$V$4,R132-U132,0),0)+IF(K132=$U$3,IF(L132=$W$4,(R132-U132)/2,0),0)</f>
        <v>0</v>
      </c>
      <c r="W132" s="327">
        <f t="shared" ref="W132" si="59">IF(K132=$W$3,$W$5*R132/DAYS360(K132,L132),0)+IF(K132=$T$3,IF(L132=$W$4,R132-T132-U132-V132,0),0)+IF(K132=$U$3,IF(L132=$W$4,R132-U132-V132,0),0)+IF(K132=$V$3,IF(L132=$W$4,R132-V132,0),0)</f>
        <v>0</v>
      </c>
      <c r="Y132" s="318"/>
      <c r="Z132" s="318"/>
    </row>
    <row r="133" spans="1:26" s="222" customFormat="1" ht="25.5" x14ac:dyDescent="0.2">
      <c r="A133" s="222">
        <v>90</v>
      </c>
      <c r="B133" s="319">
        <v>649085</v>
      </c>
      <c r="C133" s="319" t="s">
        <v>701</v>
      </c>
      <c r="D133" s="319" t="s">
        <v>486</v>
      </c>
      <c r="E133" s="59">
        <v>41540</v>
      </c>
      <c r="F133" s="59">
        <v>41811</v>
      </c>
      <c r="G133" s="20">
        <v>9</v>
      </c>
      <c r="H133" s="34"/>
      <c r="I133" s="34"/>
      <c r="J133" s="30"/>
      <c r="K133" s="33">
        <v>41659</v>
      </c>
      <c r="L133" s="33">
        <v>41811</v>
      </c>
      <c r="M133" s="334">
        <v>5</v>
      </c>
      <c r="N133" s="319" t="s">
        <v>540</v>
      </c>
      <c r="O133" s="30" t="s">
        <v>850</v>
      </c>
      <c r="P133" s="30" t="s">
        <v>190</v>
      </c>
      <c r="Q133" s="30" t="s">
        <v>261</v>
      </c>
      <c r="R133" s="35">
        <v>420</v>
      </c>
      <c r="S133" s="319" t="s">
        <v>728</v>
      </c>
      <c r="T133" s="327">
        <f t="shared" si="32"/>
        <v>208.60927152317882</v>
      </c>
      <c r="U133" s="327">
        <f t="shared" si="33"/>
        <v>211.39072847682118</v>
      </c>
      <c r="V133" s="327">
        <f t="shared" si="34"/>
        <v>0</v>
      </c>
      <c r="W133" s="327">
        <f t="shared" si="35"/>
        <v>0</v>
      </c>
      <c r="Y133" s="318"/>
      <c r="Z133" s="318"/>
    </row>
    <row r="134" spans="1:26" s="222" customFormat="1" ht="25.5" x14ac:dyDescent="0.2">
      <c r="A134" s="222">
        <v>91</v>
      </c>
      <c r="B134" s="319">
        <v>577965</v>
      </c>
      <c r="C134" s="319" t="s">
        <v>701</v>
      </c>
      <c r="D134" s="319" t="s">
        <v>486</v>
      </c>
      <c r="E134" s="59">
        <v>41540</v>
      </c>
      <c r="F134" s="59">
        <v>41811</v>
      </c>
      <c r="G134" s="319">
        <v>20</v>
      </c>
      <c r="H134" s="34"/>
      <c r="I134" s="34"/>
      <c r="J134" s="30"/>
      <c r="K134" s="33">
        <v>41659</v>
      </c>
      <c r="L134" s="33">
        <v>41811</v>
      </c>
      <c r="M134" s="334">
        <v>5</v>
      </c>
      <c r="N134" s="319" t="s">
        <v>541</v>
      </c>
      <c r="O134" s="30" t="s">
        <v>850</v>
      </c>
      <c r="P134" s="30" t="s">
        <v>190</v>
      </c>
      <c r="Q134" s="30" t="s">
        <v>261</v>
      </c>
      <c r="R134" s="35">
        <v>420</v>
      </c>
      <c r="S134" s="319" t="s">
        <v>728</v>
      </c>
      <c r="T134" s="327">
        <f t="shared" si="32"/>
        <v>208.60927152317882</v>
      </c>
      <c r="U134" s="327">
        <f t="shared" si="33"/>
        <v>211.39072847682118</v>
      </c>
      <c r="V134" s="327">
        <f t="shared" si="34"/>
        <v>0</v>
      </c>
      <c r="W134" s="327">
        <f t="shared" si="35"/>
        <v>0</v>
      </c>
      <c r="Y134" s="318"/>
      <c r="Z134" s="318"/>
    </row>
    <row r="135" spans="1:26" s="222" customFormat="1" ht="38.25" x14ac:dyDescent="0.2">
      <c r="A135" s="222">
        <v>92</v>
      </c>
      <c r="B135" s="319">
        <v>579757</v>
      </c>
      <c r="C135" s="189" t="s">
        <v>700</v>
      </c>
      <c r="D135" s="319" t="s">
        <v>486</v>
      </c>
      <c r="E135" s="322">
        <v>41540</v>
      </c>
      <c r="F135" s="59">
        <v>41811</v>
      </c>
      <c r="G135" s="319">
        <v>27</v>
      </c>
      <c r="H135" s="34"/>
      <c r="I135" s="34"/>
      <c r="J135" s="30"/>
      <c r="K135" s="33">
        <v>41659</v>
      </c>
      <c r="L135" s="33">
        <v>41811</v>
      </c>
      <c r="M135" s="334">
        <v>6</v>
      </c>
      <c r="N135" s="20" t="s">
        <v>538</v>
      </c>
      <c r="O135" s="30" t="s">
        <v>848</v>
      </c>
      <c r="P135" s="30" t="s">
        <v>190</v>
      </c>
      <c r="Q135" s="30" t="s">
        <v>849</v>
      </c>
      <c r="R135" s="35">
        <v>1200</v>
      </c>
      <c r="S135" s="319" t="s">
        <v>729</v>
      </c>
      <c r="T135" s="327">
        <f t="shared" si="32"/>
        <v>596.02649006622516</v>
      </c>
      <c r="U135" s="327">
        <f t="shared" si="33"/>
        <v>603.97350993377484</v>
      </c>
      <c r="V135" s="327">
        <f t="shared" si="34"/>
        <v>0</v>
      </c>
      <c r="W135" s="327">
        <f t="shared" si="35"/>
        <v>0</v>
      </c>
      <c r="Y135" s="318"/>
      <c r="Z135" s="318"/>
    </row>
    <row r="136" spans="1:26" s="222" customFormat="1" ht="38.25" x14ac:dyDescent="0.2">
      <c r="A136" s="222">
        <v>93</v>
      </c>
      <c r="B136" s="444">
        <v>605450</v>
      </c>
      <c r="C136" s="444" t="s">
        <v>452</v>
      </c>
      <c r="D136" s="319" t="s">
        <v>486</v>
      </c>
      <c r="E136" s="450">
        <v>41540</v>
      </c>
      <c r="F136" s="450">
        <v>41734</v>
      </c>
      <c r="G136" s="452">
        <v>16</v>
      </c>
      <c r="H136" s="34"/>
      <c r="I136" s="34"/>
      <c r="J136" s="30"/>
      <c r="K136" s="33">
        <v>41659</v>
      </c>
      <c r="L136" s="33">
        <v>41734</v>
      </c>
      <c r="M136" s="334">
        <v>2</v>
      </c>
      <c r="N136" s="319" t="s">
        <v>544</v>
      </c>
      <c r="O136" s="30" t="s">
        <v>851</v>
      </c>
      <c r="P136" s="30" t="s">
        <v>190</v>
      </c>
      <c r="Q136" s="30" t="s">
        <v>327</v>
      </c>
      <c r="R136" s="35">
        <v>84</v>
      </c>
      <c r="S136" s="20" t="s">
        <v>730</v>
      </c>
      <c r="T136" s="327">
        <f t="shared" ref="T136" si="60">IF(K136=$T$3,$T$5*R136/DAYS360(K136,L136),0)</f>
        <v>84</v>
      </c>
      <c r="U136" s="327">
        <f t="shared" ref="U136" si="61">IF(K136=$U$3,$U$5*R136/DAYS360(K136,L136),0)+IF(K136=$T$3,IF(L136=$U$4,R136-T136,0),0)+IF(K136=$T$3,IF(L136=$V$4,(R136-T136)/2,0),0)+IF(K136=$T$3,IF(L136=$W$4,(R136-T136)/3,0),0)</f>
        <v>0</v>
      </c>
      <c r="V136" s="327">
        <f t="shared" ref="V136" si="62">IF(K136=$V$3,$V$5*R136/DAYS360(K136,L136),0)+IF(K136=$T$3,IF(L136=$V$4,R136-T136-U136,0),0)+IF(K136=$T$3,IF(L136=$W$4,(R136-T136-U136)/2,0),0)+IF(K136=$U$3,IF(L136=$V$4,R136-U136,0),0)+IF(K136=$U$3,IF(L136=$W$4,(R136-U136)/2,0),0)</f>
        <v>0</v>
      </c>
      <c r="W136" s="327">
        <f t="shared" ref="W136" si="63">IF(K136=$W$3,$W$5*R136/DAYS360(K136,L136),0)+IF(K136=$T$3,IF(L136=$W$4,R136-T136-U136-V136,0),0)+IF(K136=$U$3,IF(L136=$W$4,R136-U136-V136,0),0)+IF(K136=$V$3,IF(L136=$W$4,R136-V136,0),0)</f>
        <v>0</v>
      </c>
      <c r="Y136" s="318"/>
      <c r="Z136" s="318"/>
    </row>
    <row r="137" spans="1:26" s="222" customFormat="1" ht="38.25" x14ac:dyDescent="0.2">
      <c r="A137" s="222">
        <v>93</v>
      </c>
      <c r="B137" s="445"/>
      <c r="C137" s="445"/>
      <c r="D137" s="319" t="s">
        <v>486</v>
      </c>
      <c r="E137" s="451"/>
      <c r="F137" s="451"/>
      <c r="G137" s="453"/>
      <c r="H137" s="34"/>
      <c r="I137" s="34"/>
      <c r="J137" s="30"/>
      <c r="K137" s="33">
        <v>41659</v>
      </c>
      <c r="L137" s="33">
        <v>41734</v>
      </c>
      <c r="M137" s="334">
        <v>4</v>
      </c>
      <c r="N137" s="319" t="s">
        <v>544</v>
      </c>
      <c r="O137" s="30" t="s">
        <v>845</v>
      </c>
      <c r="P137" s="30" t="s">
        <v>190</v>
      </c>
      <c r="Q137" s="30" t="s">
        <v>258</v>
      </c>
      <c r="R137" s="35">
        <v>176</v>
      </c>
      <c r="S137" s="20" t="s">
        <v>730</v>
      </c>
      <c r="T137" s="327">
        <f t="shared" si="32"/>
        <v>176</v>
      </c>
      <c r="U137" s="327">
        <f t="shared" si="33"/>
        <v>0</v>
      </c>
      <c r="V137" s="327">
        <f t="shared" si="34"/>
        <v>0</v>
      </c>
      <c r="W137" s="327">
        <f t="shared" si="35"/>
        <v>0</v>
      </c>
      <c r="Y137" s="318"/>
      <c r="Z137" s="318"/>
    </row>
    <row r="138" spans="1:26" s="222" customFormat="1" ht="25.5" x14ac:dyDescent="0.2">
      <c r="A138" s="222">
        <v>94</v>
      </c>
      <c r="B138" s="444">
        <v>610554</v>
      </c>
      <c r="C138" s="452" t="s">
        <v>466</v>
      </c>
      <c r="D138" s="319" t="s">
        <v>486</v>
      </c>
      <c r="E138" s="448">
        <v>41548</v>
      </c>
      <c r="F138" s="450">
        <v>42108</v>
      </c>
      <c r="G138" s="452">
        <v>22</v>
      </c>
      <c r="H138" s="34"/>
      <c r="I138" s="34"/>
      <c r="J138" s="30"/>
      <c r="K138" s="33">
        <v>41659</v>
      </c>
      <c r="L138" s="33">
        <v>41983</v>
      </c>
      <c r="M138" s="334">
        <v>3</v>
      </c>
      <c r="N138" s="319" t="s">
        <v>544</v>
      </c>
      <c r="O138" s="30" t="s">
        <v>596</v>
      </c>
      <c r="P138" s="30" t="s">
        <v>190</v>
      </c>
      <c r="Q138" s="30" t="s">
        <v>852</v>
      </c>
      <c r="R138" s="35">
        <v>504</v>
      </c>
      <c r="S138" s="20" t="s">
        <v>731</v>
      </c>
      <c r="T138" s="327">
        <f t="shared" ref="T138:T139" si="64">IF(K138=$T$3,$T$5*R138/DAYS360(K138,L138),0)</f>
        <v>118.125</v>
      </c>
      <c r="U138" s="327">
        <f t="shared" ref="U138:U139" si="65">IF(K138=$U$3,$U$5*R138/DAYS360(K138,L138),0)+IF(K138=$T$3,IF(L138=$U$4,R138-T138,0),0)+IF(K138=$T$3,IF(L138=$V$4,(R138-T138)/2,0),0)+IF(K138=$T$3,IF(L138=$W$4,(R138-T138)/3,0),0)</f>
        <v>128.625</v>
      </c>
      <c r="V138" s="327">
        <f t="shared" ref="V138:V139" si="66">IF(K138=$V$3,$V$5*R138/DAYS360(K138,L138),0)+IF(K138=$T$3,IF(L138=$V$4,R138-T138-U138,0),0)+IF(K138=$T$3,IF(L138=$W$4,(R138-T138-U138)/2,0),0)+IF(K138=$U$3,IF(L138=$V$4,R138-U138,0),0)+IF(K138=$U$3,IF(L138=$W$4,(R138-U138)/2,0),0)</f>
        <v>128.625</v>
      </c>
      <c r="W138" s="327">
        <f t="shared" ref="W138:W139" si="67">IF(K138=$W$3,$W$5*R138/DAYS360(K138,L138),0)+IF(K138=$T$3,IF(L138=$W$4,R138-T138-U138-V138,0),0)+IF(K138=$U$3,IF(L138=$W$4,R138-U138-V138,0),0)+IF(K138=$V$3,IF(L138=$W$4,R138-V138,0),0)</f>
        <v>128.625</v>
      </c>
      <c r="Y138" s="318"/>
      <c r="Z138" s="318"/>
    </row>
    <row r="139" spans="1:26" s="222" customFormat="1" ht="25.5" x14ac:dyDescent="0.2">
      <c r="A139" s="222">
        <v>94</v>
      </c>
      <c r="B139" s="459"/>
      <c r="C139" s="462"/>
      <c r="D139" s="319" t="s">
        <v>486</v>
      </c>
      <c r="E139" s="460"/>
      <c r="F139" s="463"/>
      <c r="G139" s="462"/>
      <c r="H139" s="34"/>
      <c r="I139" s="34"/>
      <c r="J139" s="30"/>
      <c r="K139" s="33">
        <v>41659</v>
      </c>
      <c r="L139" s="33">
        <v>41983</v>
      </c>
      <c r="M139" s="334">
        <v>2</v>
      </c>
      <c r="N139" s="319" t="s">
        <v>544</v>
      </c>
      <c r="O139" s="30" t="s">
        <v>596</v>
      </c>
      <c r="P139" s="30" t="s">
        <v>190</v>
      </c>
      <c r="Q139" s="30" t="s">
        <v>314</v>
      </c>
      <c r="R139" s="35">
        <v>428</v>
      </c>
      <c r="S139" s="20" t="s">
        <v>731</v>
      </c>
      <c r="T139" s="327">
        <f t="shared" si="64"/>
        <v>100.3125</v>
      </c>
      <c r="U139" s="327">
        <f t="shared" si="65"/>
        <v>109.22916666666667</v>
      </c>
      <c r="V139" s="327">
        <f t="shared" si="66"/>
        <v>109.22916666666666</v>
      </c>
      <c r="W139" s="327">
        <f t="shared" si="67"/>
        <v>109.22916666666666</v>
      </c>
      <c r="Y139" s="318"/>
      <c r="Z139" s="318"/>
    </row>
    <row r="140" spans="1:26" s="222" customFormat="1" ht="25.5" x14ac:dyDescent="0.2">
      <c r="A140" s="222">
        <v>94</v>
      </c>
      <c r="B140" s="445"/>
      <c r="C140" s="453"/>
      <c r="D140" s="319" t="s">
        <v>486</v>
      </c>
      <c r="E140" s="449"/>
      <c r="F140" s="451"/>
      <c r="G140" s="453"/>
      <c r="H140" s="34"/>
      <c r="I140" s="34"/>
      <c r="J140" s="30"/>
      <c r="K140" s="33">
        <v>41659</v>
      </c>
      <c r="L140" s="33">
        <v>41983</v>
      </c>
      <c r="M140" s="334">
        <v>1</v>
      </c>
      <c r="N140" s="319" t="s">
        <v>544</v>
      </c>
      <c r="O140" s="30" t="s">
        <v>596</v>
      </c>
      <c r="P140" s="30" t="s">
        <v>190</v>
      </c>
      <c r="Q140" s="30" t="s">
        <v>258</v>
      </c>
      <c r="R140" s="35">
        <v>180</v>
      </c>
      <c r="S140" s="20" t="s">
        <v>731</v>
      </c>
      <c r="T140" s="327">
        <f t="shared" si="32"/>
        <v>42.1875</v>
      </c>
      <c r="U140" s="327">
        <f t="shared" si="33"/>
        <v>45.9375</v>
      </c>
      <c r="V140" s="327">
        <f t="shared" si="34"/>
        <v>45.9375</v>
      </c>
      <c r="W140" s="327">
        <f t="shared" si="35"/>
        <v>45.9375</v>
      </c>
      <c r="Y140" s="318"/>
      <c r="Z140" s="318"/>
    </row>
    <row r="141" spans="1:26" s="222" customFormat="1" ht="25.5" x14ac:dyDescent="0.2">
      <c r="A141" s="222">
        <v>95</v>
      </c>
      <c r="B141" s="464">
        <v>648955</v>
      </c>
      <c r="C141" s="452" t="s">
        <v>465</v>
      </c>
      <c r="D141" s="189" t="s">
        <v>486</v>
      </c>
      <c r="E141" s="448">
        <v>41569</v>
      </c>
      <c r="F141" s="448">
        <v>42299</v>
      </c>
      <c r="G141" s="452">
        <v>35</v>
      </c>
      <c r="H141" s="34"/>
      <c r="I141" s="34"/>
      <c r="J141" s="30"/>
      <c r="K141" s="33">
        <v>41659</v>
      </c>
      <c r="L141" s="33">
        <v>41983</v>
      </c>
      <c r="M141" s="334">
        <v>4</v>
      </c>
      <c r="N141" s="20" t="s">
        <v>545</v>
      </c>
      <c r="O141" s="30" t="s">
        <v>555</v>
      </c>
      <c r="P141" s="30" t="s">
        <v>197</v>
      </c>
      <c r="Q141" s="30" t="s">
        <v>853</v>
      </c>
      <c r="R141" s="35">
        <v>676</v>
      </c>
      <c r="S141" s="20" t="s">
        <v>853</v>
      </c>
      <c r="T141" s="327">
        <f t="shared" ref="T141" si="68">IF(K141=$T$3,$T$5*R141/DAYS360(K141,L141),0)</f>
        <v>158.4375</v>
      </c>
      <c r="U141" s="327">
        <f t="shared" ref="U141" si="69">IF(K141=$U$3,$U$5*R141/DAYS360(K141,L141),0)+IF(K141=$T$3,IF(L141=$U$4,R141-T141,0),0)+IF(K141=$T$3,IF(L141=$V$4,(R141-T141)/2,0),0)+IF(K141=$T$3,IF(L141=$W$4,(R141-T141)/3,0),0)</f>
        <v>172.52083333333334</v>
      </c>
      <c r="V141" s="327">
        <f t="shared" ref="V141" si="70">IF(K141=$V$3,$V$5*R141/DAYS360(K141,L141),0)+IF(K141=$T$3,IF(L141=$V$4,R141-T141-U141,0),0)+IF(K141=$T$3,IF(L141=$W$4,(R141-T141-U141)/2,0),0)+IF(K141=$U$3,IF(L141=$V$4,R141-U141,0),0)+IF(K141=$U$3,IF(L141=$W$4,(R141-U141)/2,0),0)</f>
        <v>172.52083333333331</v>
      </c>
      <c r="W141" s="327">
        <f t="shared" ref="W141" si="71">IF(K141=$W$3,$W$5*R141/DAYS360(K141,L141),0)+IF(K141=$T$3,IF(L141=$W$4,R141-T141-U141-V141,0),0)+IF(K141=$U$3,IF(L141=$W$4,R141-U141-V141,0),0)+IF(K141=$V$3,IF(L141=$W$4,R141-V141,0),0)</f>
        <v>172.52083333333331</v>
      </c>
      <c r="Y141" s="318"/>
      <c r="Z141" s="318"/>
    </row>
    <row r="142" spans="1:26" s="222" customFormat="1" ht="25.5" x14ac:dyDescent="0.2">
      <c r="A142" s="222">
        <v>95</v>
      </c>
      <c r="B142" s="465"/>
      <c r="C142" s="453"/>
      <c r="D142" s="189" t="s">
        <v>486</v>
      </c>
      <c r="E142" s="449"/>
      <c r="F142" s="449"/>
      <c r="G142" s="453"/>
      <c r="H142" s="34"/>
      <c r="I142" s="34"/>
      <c r="J142" s="30"/>
      <c r="K142" s="33">
        <v>41659</v>
      </c>
      <c r="L142" s="33">
        <v>41983</v>
      </c>
      <c r="M142" s="334">
        <v>2</v>
      </c>
      <c r="N142" s="20" t="s">
        <v>545</v>
      </c>
      <c r="O142" s="30" t="s">
        <v>555</v>
      </c>
      <c r="P142" s="30" t="s">
        <v>197</v>
      </c>
      <c r="Q142" s="30" t="s">
        <v>854</v>
      </c>
      <c r="R142" s="35">
        <v>348</v>
      </c>
      <c r="S142" s="20" t="s">
        <v>854</v>
      </c>
      <c r="T142" s="327">
        <f t="shared" si="32"/>
        <v>81.5625</v>
      </c>
      <c r="U142" s="327">
        <f t="shared" si="33"/>
        <v>88.8125</v>
      </c>
      <c r="V142" s="327">
        <f t="shared" si="34"/>
        <v>88.8125</v>
      </c>
      <c r="W142" s="327">
        <f t="shared" si="35"/>
        <v>88.8125</v>
      </c>
      <c r="Y142" s="318"/>
      <c r="Z142" s="318"/>
    </row>
    <row r="143" spans="1:26" s="222" customFormat="1" ht="38.25" x14ac:dyDescent="0.2">
      <c r="A143" s="222">
        <v>96</v>
      </c>
      <c r="B143" s="464">
        <v>648974</v>
      </c>
      <c r="C143" s="452" t="s">
        <v>465</v>
      </c>
      <c r="D143" s="189" t="s">
        <v>486</v>
      </c>
      <c r="E143" s="448">
        <v>41569</v>
      </c>
      <c r="F143" s="448">
        <v>42299</v>
      </c>
      <c r="G143" s="452">
        <v>35</v>
      </c>
      <c r="H143" s="34"/>
      <c r="I143" s="34"/>
      <c r="J143" s="30"/>
      <c r="K143" s="33">
        <v>41659</v>
      </c>
      <c r="L143" s="33">
        <v>41983</v>
      </c>
      <c r="M143" s="334">
        <v>2</v>
      </c>
      <c r="N143" s="20" t="s">
        <v>541</v>
      </c>
      <c r="O143" s="30" t="s">
        <v>552</v>
      </c>
      <c r="P143" s="30" t="s">
        <v>197</v>
      </c>
      <c r="Q143" s="30" t="s">
        <v>853</v>
      </c>
      <c r="R143" s="35">
        <v>522</v>
      </c>
      <c r="S143" s="20"/>
      <c r="T143" s="327">
        <f t="shared" ref="T143:T144" si="72">IF(K143=$T$3,$T$5*R143/DAYS360(K143,L143),0)</f>
        <v>122.34375</v>
      </c>
      <c r="U143" s="327">
        <f t="shared" ref="U143:U144" si="73">IF(K143=$U$3,$U$5*R143/DAYS360(K143,L143),0)+IF(K143=$T$3,IF(L143=$U$4,R143-T143,0),0)+IF(K143=$T$3,IF(L143=$V$4,(R143-T143)/2,0),0)+IF(K143=$T$3,IF(L143=$W$4,(R143-T143)/3,0),0)</f>
        <v>133.21875</v>
      </c>
      <c r="V143" s="327">
        <f t="shared" ref="V143:V144" si="74">IF(K143=$V$3,$V$5*R143/DAYS360(K143,L143),0)+IF(K143=$T$3,IF(L143=$V$4,R143-T143-U143,0),0)+IF(K143=$T$3,IF(L143=$W$4,(R143-T143-U143)/2,0),0)+IF(K143=$U$3,IF(L143=$V$4,R143-U143,0),0)+IF(K143=$U$3,IF(L143=$W$4,(R143-U143)/2,0),0)</f>
        <v>133.21875</v>
      </c>
      <c r="W143" s="327">
        <f t="shared" ref="W143:W144" si="75">IF(K143=$W$3,$W$5*R143/DAYS360(K143,L143),0)+IF(K143=$T$3,IF(L143=$W$4,R143-T143-U143-V143,0),0)+IF(K143=$U$3,IF(L143=$W$4,R143-U143-V143,0),0)+IF(K143=$V$3,IF(L143=$W$4,R143-V143,0),0)</f>
        <v>133.21875</v>
      </c>
      <c r="Y143" s="318"/>
      <c r="Z143" s="318"/>
    </row>
    <row r="144" spans="1:26" s="222" customFormat="1" ht="38.25" x14ac:dyDescent="0.2">
      <c r="A144" s="222">
        <v>96</v>
      </c>
      <c r="B144" s="476"/>
      <c r="C144" s="462"/>
      <c r="D144" s="189" t="s">
        <v>486</v>
      </c>
      <c r="E144" s="460"/>
      <c r="F144" s="460"/>
      <c r="G144" s="462"/>
      <c r="H144" s="34"/>
      <c r="I144" s="34"/>
      <c r="J144" s="30"/>
      <c r="K144" s="33">
        <v>41659</v>
      </c>
      <c r="L144" s="33">
        <v>41983</v>
      </c>
      <c r="M144" s="334">
        <v>2</v>
      </c>
      <c r="N144" s="20" t="s">
        <v>541</v>
      </c>
      <c r="O144" s="30" t="s">
        <v>552</v>
      </c>
      <c r="P144" s="30" t="s">
        <v>197</v>
      </c>
      <c r="Q144" s="30" t="s">
        <v>854</v>
      </c>
      <c r="R144" s="35">
        <v>516</v>
      </c>
      <c r="S144" s="20"/>
      <c r="T144" s="327">
        <f t="shared" si="72"/>
        <v>120.9375</v>
      </c>
      <c r="U144" s="327">
        <f t="shared" si="73"/>
        <v>131.6875</v>
      </c>
      <c r="V144" s="327">
        <f t="shared" si="74"/>
        <v>131.6875</v>
      </c>
      <c r="W144" s="327">
        <f t="shared" si="75"/>
        <v>131.6875</v>
      </c>
      <c r="Y144" s="318"/>
      <c r="Z144" s="318"/>
    </row>
    <row r="145" spans="1:26" s="222" customFormat="1" ht="38.25" x14ac:dyDescent="0.2">
      <c r="A145" s="222">
        <v>96</v>
      </c>
      <c r="B145" s="465"/>
      <c r="C145" s="453"/>
      <c r="D145" s="189" t="s">
        <v>486</v>
      </c>
      <c r="E145" s="449"/>
      <c r="F145" s="449"/>
      <c r="G145" s="453"/>
      <c r="H145" s="34"/>
      <c r="I145" s="34"/>
      <c r="J145" s="30"/>
      <c r="K145" s="33">
        <v>41659</v>
      </c>
      <c r="L145" s="33">
        <v>41983</v>
      </c>
      <c r="M145" s="334">
        <v>2</v>
      </c>
      <c r="N145" s="20" t="s">
        <v>541</v>
      </c>
      <c r="O145" s="30" t="s">
        <v>552</v>
      </c>
      <c r="P145" s="30" t="s">
        <v>197</v>
      </c>
      <c r="Q145" s="30" t="s">
        <v>855</v>
      </c>
      <c r="R145" s="35">
        <v>498</v>
      </c>
      <c r="S145" s="20"/>
      <c r="T145" s="327">
        <f t="shared" si="32"/>
        <v>116.71875</v>
      </c>
      <c r="U145" s="327">
        <f t="shared" si="33"/>
        <v>127.09375</v>
      </c>
      <c r="V145" s="327">
        <f t="shared" si="34"/>
        <v>127.09375</v>
      </c>
      <c r="W145" s="327">
        <f t="shared" si="35"/>
        <v>127.09375</v>
      </c>
      <c r="Y145" s="318"/>
      <c r="Z145" s="318"/>
    </row>
    <row r="146" spans="1:26" s="222" customFormat="1" ht="25.5" x14ac:dyDescent="0.2">
      <c r="A146" s="222">
        <v>97</v>
      </c>
      <c r="B146" s="464">
        <v>649110</v>
      </c>
      <c r="C146" s="452" t="s">
        <v>465</v>
      </c>
      <c r="D146" s="189" t="s">
        <v>486</v>
      </c>
      <c r="E146" s="448">
        <v>41569</v>
      </c>
      <c r="F146" s="448">
        <v>42299</v>
      </c>
      <c r="G146" s="452">
        <v>35</v>
      </c>
      <c r="H146" s="34"/>
      <c r="I146" s="34"/>
      <c r="J146" s="30"/>
      <c r="K146" s="33">
        <v>41659</v>
      </c>
      <c r="L146" s="33">
        <v>41983</v>
      </c>
      <c r="M146" s="334">
        <v>2</v>
      </c>
      <c r="N146" s="20" t="s">
        <v>541</v>
      </c>
      <c r="O146" s="30" t="s">
        <v>551</v>
      </c>
      <c r="P146" s="30" t="s">
        <v>197</v>
      </c>
      <c r="Q146" s="30" t="s">
        <v>853</v>
      </c>
      <c r="R146" s="35">
        <v>498</v>
      </c>
      <c r="S146" s="20"/>
      <c r="T146" s="327">
        <f t="shared" si="32"/>
        <v>116.71875</v>
      </c>
      <c r="U146" s="327">
        <f t="shared" si="33"/>
        <v>127.09375</v>
      </c>
      <c r="V146" s="327">
        <f t="shared" si="34"/>
        <v>127.09375</v>
      </c>
      <c r="W146" s="327">
        <f t="shared" si="35"/>
        <v>127.09375</v>
      </c>
      <c r="Y146" s="318"/>
      <c r="Z146" s="318"/>
    </row>
    <row r="147" spans="1:26" s="222" customFormat="1" ht="25.5" x14ac:dyDescent="0.2">
      <c r="A147" s="222">
        <v>97</v>
      </c>
      <c r="B147" s="476"/>
      <c r="C147" s="462"/>
      <c r="D147" s="189" t="s">
        <v>486</v>
      </c>
      <c r="E147" s="460"/>
      <c r="F147" s="460"/>
      <c r="G147" s="462"/>
      <c r="H147" s="34"/>
      <c r="I147" s="34"/>
      <c r="J147" s="30"/>
      <c r="K147" s="33">
        <v>41659</v>
      </c>
      <c r="L147" s="33">
        <v>41983</v>
      </c>
      <c r="M147" s="334">
        <v>2</v>
      </c>
      <c r="N147" s="20" t="s">
        <v>541</v>
      </c>
      <c r="O147" s="30" t="s">
        <v>551</v>
      </c>
      <c r="P147" s="30" t="s">
        <v>197</v>
      </c>
      <c r="Q147" s="30" t="s">
        <v>856</v>
      </c>
      <c r="R147" s="35">
        <v>516</v>
      </c>
      <c r="S147" s="20"/>
      <c r="T147" s="327">
        <f t="shared" ref="T147" si="76">IF(K147=$T$3,$T$5*R147/DAYS360(K147,L147),0)</f>
        <v>120.9375</v>
      </c>
      <c r="U147" s="327">
        <f t="shared" ref="U147" si="77">IF(K147=$U$3,$U$5*R147/DAYS360(K147,L147),0)+IF(K147=$T$3,IF(L147=$U$4,R147-T147,0),0)+IF(K147=$T$3,IF(L147=$V$4,(R147-T147)/2,0),0)+IF(K147=$T$3,IF(L147=$W$4,(R147-T147)/3,0),0)</f>
        <v>131.6875</v>
      </c>
      <c r="V147" s="327">
        <f t="shared" ref="V147" si="78">IF(K147=$V$3,$V$5*R147/DAYS360(K147,L147),0)+IF(K147=$T$3,IF(L147=$V$4,R147-T147-U147,0),0)+IF(K147=$T$3,IF(L147=$W$4,(R147-T147-U147)/2,0),0)+IF(K147=$U$3,IF(L147=$V$4,R147-U147,0),0)+IF(K147=$U$3,IF(L147=$W$4,(R147-U147)/2,0),0)</f>
        <v>131.6875</v>
      </c>
      <c r="W147" s="327">
        <f t="shared" ref="W147" si="79">IF(K147=$W$3,$W$5*R147/DAYS360(K147,L147),0)+IF(K147=$T$3,IF(L147=$W$4,R147-T147-U147-V147,0),0)+IF(K147=$U$3,IF(L147=$W$4,R147-U147-V147,0),0)+IF(K147=$V$3,IF(L147=$W$4,R147-V147,0),0)</f>
        <v>131.6875</v>
      </c>
      <c r="Y147" s="318"/>
      <c r="Z147" s="318"/>
    </row>
    <row r="148" spans="1:26" s="222" customFormat="1" ht="25.5" x14ac:dyDescent="0.2">
      <c r="A148" s="222">
        <v>97</v>
      </c>
      <c r="B148" s="465"/>
      <c r="C148" s="453"/>
      <c r="D148" s="189" t="s">
        <v>486</v>
      </c>
      <c r="E148" s="449"/>
      <c r="F148" s="449"/>
      <c r="G148" s="453"/>
      <c r="H148" s="34"/>
      <c r="I148" s="34"/>
      <c r="J148" s="30"/>
      <c r="K148" s="33">
        <v>41659</v>
      </c>
      <c r="L148" s="33">
        <v>41983</v>
      </c>
      <c r="M148" s="334">
        <v>2</v>
      </c>
      <c r="N148" s="20" t="s">
        <v>541</v>
      </c>
      <c r="O148" s="30" t="s">
        <v>551</v>
      </c>
      <c r="P148" s="30" t="s">
        <v>197</v>
      </c>
      <c r="Q148" s="30" t="s">
        <v>857</v>
      </c>
      <c r="R148" s="35">
        <v>522</v>
      </c>
      <c r="S148" s="20"/>
      <c r="T148" s="327">
        <f t="shared" si="32"/>
        <v>122.34375</v>
      </c>
      <c r="U148" s="327">
        <f t="shared" si="33"/>
        <v>133.21875</v>
      </c>
      <c r="V148" s="327">
        <f t="shared" si="34"/>
        <v>133.21875</v>
      </c>
      <c r="W148" s="327">
        <f t="shared" si="35"/>
        <v>133.21875</v>
      </c>
      <c r="Y148" s="318"/>
      <c r="Z148" s="318"/>
    </row>
    <row r="149" spans="1:26" s="222" customFormat="1" ht="51" x14ac:dyDescent="0.2">
      <c r="A149" s="222">
        <v>98</v>
      </c>
      <c r="B149" s="464">
        <v>649272</v>
      </c>
      <c r="C149" s="452" t="s">
        <v>466</v>
      </c>
      <c r="D149" s="319" t="s">
        <v>486</v>
      </c>
      <c r="E149" s="448">
        <v>41569</v>
      </c>
      <c r="F149" s="448">
        <v>42299</v>
      </c>
      <c r="G149" s="452">
        <v>35</v>
      </c>
      <c r="H149" s="34"/>
      <c r="I149" s="34"/>
      <c r="J149" s="30"/>
      <c r="K149" s="33">
        <v>41659</v>
      </c>
      <c r="L149" s="33">
        <v>41983</v>
      </c>
      <c r="M149" s="334">
        <v>3</v>
      </c>
      <c r="N149" s="20" t="s">
        <v>545</v>
      </c>
      <c r="O149" s="30" t="s">
        <v>548</v>
      </c>
      <c r="P149" s="30" t="s">
        <v>197</v>
      </c>
      <c r="Q149" s="30" t="s">
        <v>858</v>
      </c>
      <c r="R149" s="35">
        <v>512</v>
      </c>
      <c r="S149" s="20"/>
      <c r="T149" s="327">
        <f t="shared" ref="T149" si="80">IF(K149=$T$3,$T$5*R149/DAYS360(K149,L149),0)</f>
        <v>120</v>
      </c>
      <c r="U149" s="327">
        <f t="shared" ref="U149" si="81">IF(K149=$U$3,$U$5*R149/DAYS360(K149,L149),0)+IF(K149=$T$3,IF(L149=$U$4,R149-T149,0),0)+IF(K149=$T$3,IF(L149=$V$4,(R149-T149)/2,0),0)+IF(K149=$T$3,IF(L149=$W$4,(R149-T149)/3,0),0)</f>
        <v>130.66666666666666</v>
      </c>
      <c r="V149" s="327">
        <f t="shared" ref="V149" si="82">IF(K149=$V$3,$V$5*R149/DAYS360(K149,L149),0)+IF(K149=$T$3,IF(L149=$V$4,R149-T149-U149,0),0)+IF(K149=$T$3,IF(L149=$W$4,(R149-T149-U149)/2,0),0)+IF(K149=$U$3,IF(L149=$V$4,R149-U149,0),0)+IF(K149=$U$3,IF(L149=$W$4,(R149-U149)/2,0),0)</f>
        <v>130.66666666666669</v>
      </c>
      <c r="W149" s="327">
        <f t="shared" ref="W149" si="83">IF(K149=$W$3,$W$5*R149/DAYS360(K149,L149),0)+IF(K149=$T$3,IF(L149=$W$4,R149-T149-U149-V149,0),0)+IF(K149=$U$3,IF(L149=$W$4,R149-U149-V149,0),0)+IF(K149=$V$3,IF(L149=$W$4,R149-V149,0),0)</f>
        <v>130.66666666666669</v>
      </c>
      <c r="Y149" s="318"/>
      <c r="Z149" s="318"/>
    </row>
    <row r="150" spans="1:26" s="222" customFormat="1" ht="51" x14ac:dyDescent="0.2">
      <c r="A150" s="222">
        <v>98</v>
      </c>
      <c r="B150" s="465"/>
      <c r="C150" s="453"/>
      <c r="D150" s="319" t="s">
        <v>486</v>
      </c>
      <c r="E150" s="449"/>
      <c r="F150" s="449"/>
      <c r="G150" s="453"/>
      <c r="H150" s="34"/>
      <c r="I150" s="34"/>
      <c r="J150" s="30"/>
      <c r="K150" s="33">
        <v>41659</v>
      </c>
      <c r="L150" s="33">
        <v>41983</v>
      </c>
      <c r="M150" s="334">
        <v>3</v>
      </c>
      <c r="N150" s="20" t="s">
        <v>545</v>
      </c>
      <c r="O150" s="30" t="s">
        <v>548</v>
      </c>
      <c r="P150" s="30" t="s">
        <v>197</v>
      </c>
      <c r="Q150" s="30" t="s">
        <v>859</v>
      </c>
      <c r="R150" s="35">
        <v>556</v>
      </c>
      <c r="S150" s="20"/>
      <c r="T150" s="327">
        <f t="shared" si="32"/>
        <v>130.3125</v>
      </c>
      <c r="U150" s="327">
        <f t="shared" si="33"/>
        <v>141.89583333333334</v>
      </c>
      <c r="V150" s="327">
        <f t="shared" si="34"/>
        <v>141.89583333333331</v>
      </c>
      <c r="W150" s="327">
        <f t="shared" si="35"/>
        <v>141.89583333333331</v>
      </c>
      <c r="Y150" s="318"/>
      <c r="Z150" s="318"/>
    </row>
    <row r="151" spans="1:26" s="222" customFormat="1" ht="25.5" x14ac:dyDescent="0.2">
      <c r="A151" s="222">
        <v>99</v>
      </c>
      <c r="B151" s="477">
        <v>649276</v>
      </c>
      <c r="C151" s="452" t="s">
        <v>465</v>
      </c>
      <c r="D151" s="189" t="s">
        <v>486</v>
      </c>
      <c r="E151" s="448">
        <v>41569</v>
      </c>
      <c r="F151" s="448">
        <v>42299</v>
      </c>
      <c r="G151" s="452">
        <v>35</v>
      </c>
      <c r="H151" s="34"/>
      <c r="I151" s="34"/>
      <c r="J151" s="30"/>
      <c r="K151" s="33">
        <v>41659</v>
      </c>
      <c r="L151" s="33">
        <v>41983</v>
      </c>
      <c r="M151" s="334">
        <v>2</v>
      </c>
      <c r="N151" s="20" t="s">
        <v>545</v>
      </c>
      <c r="O151" s="30" t="s">
        <v>554</v>
      </c>
      <c r="P151" s="30" t="s">
        <v>197</v>
      </c>
      <c r="Q151" s="30" t="s">
        <v>856</v>
      </c>
      <c r="R151" s="35">
        <v>332</v>
      </c>
      <c r="S151" s="20"/>
      <c r="T151" s="327">
        <f t="shared" ref="T151" si="84">IF(K151=$T$3,$T$5*R151/DAYS360(K151,L151),0)</f>
        <v>77.8125</v>
      </c>
      <c r="U151" s="327">
        <f t="shared" ref="U151" si="85">IF(K151=$U$3,$U$5*R151/DAYS360(K151,L151),0)+IF(K151=$T$3,IF(L151=$U$4,R151-T151,0),0)+IF(K151=$T$3,IF(L151=$V$4,(R151-T151)/2,0),0)+IF(K151=$T$3,IF(L151=$W$4,(R151-T151)/3,0),0)</f>
        <v>84.729166666666671</v>
      </c>
      <c r="V151" s="327">
        <f t="shared" ref="V151" si="86">IF(K151=$V$3,$V$5*R151/DAYS360(K151,L151),0)+IF(K151=$T$3,IF(L151=$V$4,R151-T151-U151,0),0)+IF(K151=$T$3,IF(L151=$W$4,(R151-T151-U151)/2,0),0)+IF(K151=$U$3,IF(L151=$V$4,R151-U151,0),0)+IF(K151=$U$3,IF(L151=$W$4,(R151-U151)/2,0),0)</f>
        <v>84.729166666666657</v>
      </c>
      <c r="W151" s="327">
        <f t="shared" ref="W151" si="87">IF(K151=$W$3,$W$5*R151/DAYS360(K151,L151),0)+IF(K151=$T$3,IF(L151=$W$4,R151-T151-U151-V151,0),0)+IF(K151=$U$3,IF(L151=$W$4,R151-U151-V151,0),0)+IF(K151=$V$3,IF(L151=$W$4,R151-V151,0),0)</f>
        <v>84.729166666666657</v>
      </c>
      <c r="Y151" s="318"/>
      <c r="Z151" s="318"/>
    </row>
    <row r="152" spans="1:26" s="222" customFormat="1" ht="25.5" x14ac:dyDescent="0.2">
      <c r="A152" s="222">
        <v>99</v>
      </c>
      <c r="B152" s="478"/>
      <c r="C152" s="453"/>
      <c r="D152" s="189" t="s">
        <v>486</v>
      </c>
      <c r="E152" s="449"/>
      <c r="F152" s="449"/>
      <c r="G152" s="453"/>
      <c r="H152" s="34"/>
      <c r="I152" s="34"/>
      <c r="J152" s="30"/>
      <c r="K152" s="33">
        <v>41659</v>
      </c>
      <c r="L152" s="33">
        <v>41983</v>
      </c>
      <c r="M152" s="334">
        <v>4</v>
      </c>
      <c r="N152" s="20" t="s">
        <v>545</v>
      </c>
      <c r="O152" s="30" t="s">
        <v>554</v>
      </c>
      <c r="P152" s="30" t="s">
        <v>197</v>
      </c>
      <c r="Q152" s="30" t="s">
        <v>855</v>
      </c>
      <c r="R152" s="35">
        <v>736</v>
      </c>
      <c r="S152" s="20"/>
      <c r="T152" s="327">
        <f t="shared" si="32"/>
        <v>172.5</v>
      </c>
      <c r="U152" s="327">
        <f t="shared" si="33"/>
        <v>187.83333333333334</v>
      </c>
      <c r="V152" s="327">
        <f t="shared" si="34"/>
        <v>187.83333333333331</v>
      </c>
      <c r="W152" s="327">
        <f t="shared" si="35"/>
        <v>187.83333333333331</v>
      </c>
      <c r="Y152" s="318"/>
      <c r="Z152" s="318"/>
    </row>
    <row r="153" spans="1:26" s="222" customFormat="1" ht="25.5" x14ac:dyDescent="0.2">
      <c r="A153" s="222">
        <v>100</v>
      </c>
      <c r="B153" s="464">
        <v>649301</v>
      </c>
      <c r="C153" s="452" t="s">
        <v>466</v>
      </c>
      <c r="D153" s="319" t="s">
        <v>486</v>
      </c>
      <c r="E153" s="448">
        <v>41569</v>
      </c>
      <c r="F153" s="448">
        <v>42299</v>
      </c>
      <c r="G153" s="452">
        <v>35</v>
      </c>
      <c r="H153" s="34"/>
      <c r="I153" s="34"/>
      <c r="J153" s="30"/>
      <c r="K153" s="33">
        <v>41659</v>
      </c>
      <c r="L153" s="33">
        <v>41983</v>
      </c>
      <c r="M153" s="334">
        <v>3</v>
      </c>
      <c r="N153" s="20" t="s">
        <v>545</v>
      </c>
      <c r="O153" s="30" t="s">
        <v>554</v>
      </c>
      <c r="P153" s="30" t="s">
        <v>197</v>
      </c>
      <c r="Q153" s="30" t="s">
        <v>863</v>
      </c>
      <c r="R153" s="35">
        <v>512</v>
      </c>
      <c r="S153" s="20"/>
      <c r="T153" s="327">
        <f t="shared" ref="T153" si="88">IF(K153=$T$3,$T$5*R153/DAYS360(K153,L153),0)</f>
        <v>120</v>
      </c>
      <c r="U153" s="327">
        <f t="shared" ref="U153" si="89">IF(K153=$U$3,$U$5*R153/DAYS360(K153,L153),0)+IF(K153=$T$3,IF(L153=$U$4,R153-T153,0),0)+IF(K153=$T$3,IF(L153=$V$4,(R153-T153)/2,0),0)+IF(K153=$T$3,IF(L153=$W$4,(R153-T153)/3,0),0)</f>
        <v>130.66666666666666</v>
      </c>
      <c r="V153" s="327">
        <f t="shared" ref="V153" si="90">IF(K153=$V$3,$V$5*R153/DAYS360(K153,L153),0)+IF(K153=$T$3,IF(L153=$V$4,R153-T153-U153,0),0)+IF(K153=$T$3,IF(L153=$W$4,(R153-T153-U153)/2,0),0)+IF(K153=$U$3,IF(L153=$V$4,R153-U153,0),0)+IF(K153=$U$3,IF(L153=$W$4,(R153-U153)/2,0),0)</f>
        <v>130.66666666666669</v>
      </c>
      <c r="W153" s="327">
        <f t="shared" ref="W153" si="91">IF(K153=$W$3,$W$5*R153/DAYS360(K153,L153),0)+IF(K153=$T$3,IF(L153=$W$4,R153-T153-U153-V153,0),0)+IF(K153=$U$3,IF(L153=$W$4,R153-U153-V153,0),0)+IF(K153=$V$3,IF(L153=$W$4,R153-V153,0),0)</f>
        <v>130.66666666666669</v>
      </c>
      <c r="Y153" s="318"/>
      <c r="Z153" s="318"/>
    </row>
    <row r="154" spans="1:26" s="222" customFormat="1" ht="25.5" x14ac:dyDescent="0.2">
      <c r="A154" s="222">
        <v>100</v>
      </c>
      <c r="B154" s="465"/>
      <c r="C154" s="453"/>
      <c r="D154" s="319" t="s">
        <v>486</v>
      </c>
      <c r="E154" s="449"/>
      <c r="F154" s="449"/>
      <c r="G154" s="453"/>
      <c r="H154" s="34"/>
      <c r="I154" s="34"/>
      <c r="J154" s="30"/>
      <c r="K154" s="33">
        <v>41659</v>
      </c>
      <c r="L154" s="33">
        <v>41983</v>
      </c>
      <c r="M154" s="334">
        <v>3</v>
      </c>
      <c r="N154" s="20" t="s">
        <v>545</v>
      </c>
      <c r="O154" s="30" t="s">
        <v>554</v>
      </c>
      <c r="P154" s="30" t="s">
        <v>197</v>
      </c>
      <c r="Q154" s="30" t="s">
        <v>1007</v>
      </c>
      <c r="R154" s="35">
        <v>600</v>
      </c>
      <c r="S154" s="20"/>
      <c r="T154" s="327">
        <f t="shared" si="32"/>
        <v>140.625</v>
      </c>
      <c r="U154" s="327">
        <f t="shared" si="33"/>
        <v>153.125</v>
      </c>
      <c r="V154" s="327">
        <f t="shared" si="34"/>
        <v>153.125</v>
      </c>
      <c r="W154" s="327">
        <f t="shared" si="35"/>
        <v>153.125</v>
      </c>
      <c r="Y154" s="318"/>
      <c r="Z154" s="318"/>
    </row>
    <row r="155" spans="1:26" s="222" customFormat="1" ht="25.5" x14ac:dyDescent="0.2">
      <c r="A155" s="222">
        <v>101</v>
      </c>
      <c r="B155" s="464">
        <v>649328</v>
      </c>
      <c r="C155" s="452" t="s">
        <v>466</v>
      </c>
      <c r="D155" s="319" t="s">
        <v>486</v>
      </c>
      <c r="E155" s="448">
        <v>41569</v>
      </c>
      <c r="F155" s="448">
        <v>42299</v>
      </c>
      <c r="G155" s="452">
        <v>35</v>
      </c>
      <c r="H155" s="34"/>
      <c r="I155" s="34"/>
      <c r="J155" s="30"/>
      <c r="K155" s="33">
        <v>41659</v>
      </c>
      <c r="L155" s="33">
        <v>41983</v>
      </c>
      <c r="M155" s="334">
        <v>3</v>
      </c>
      <c r="N155" s="20" t="s">
        <v>545</v>
      </c>
      <c r="O155" s="30" t="s">
        <v>554</v>
      </c>
      <c r="P155" s="30" t="s">
        <v>197</v>
      </c>
      <c r="Q155" s="30" t="s">
        <v>1007</v>
      </c>
      <c r="R155" s="35">
        <v>512</v>
      </c>
      <c r="S155" s="20"/>
      <c r="T155" s="327">
        <f t="shared" ref="T155" si="92">IF(K155=$T$3,$T$5*R155/DAYS360(K155,L155),0)</f>
        <v>120</v>
      </c>
      <c r="U155" s="327">
        <f t="shared" ref="U155" si="93">IF(K155=$U$3,$U$5*R155/DAYS360(K155,L155),0)+IF(K155=$T$3,IF(L155=$U$4,R155-T155,0),0)+IF(K155=$T$3,IF(L155=$V$4,(R155-T155)/2,0),0)+IF(K155=$T$3,IF(L155=$W$4,(R155-T155)/3,0),0)</f>
        <v>130.66666666666666</v>
      </c>
      <c r="V155" s="327">
        <f t="shared" ref="V155" si="94">IF(K155=$V$3,$V$5*R155/DAYS360(K155,L155),0)+IF(K155=$T$3,IF(L155=$V$4,R155-T155-U155,0),0)+IF(K155=$T$3,IF(L155=$W$4,(R155-T155-U155)/2,0),0)+IF(K155=$U$3,IF(L155=$V$4,R155-U155,0),0)+IF(K155=$U$3,IF(L155=$W$4,(R155-U155)/2,0),0)</f>
        <v>130.66666666666669</v>
      </c>
      <c r="W155" s="327">
        <f t="shared" ref="W155" si="95">IF(K155=$W$3,$W$5*R155/DAYS360(K155,L155),0)+IF(K155=$T$3,IF(L155=$W$4,R155-T155-U155-V155,0),0)+IF(K155=$U$3,IF(L155=$W$4,R155-U155-V155,0),0)+IF(K155=$V$3,IF(L155=$W$4,R155-V155,0),0)</f>
        <v>130.66666666666669</v>
      </c>
      <c r="Y155" s="318"/>
      <c r="Z155" s="318"/>
    </row>
    <row r="156" spans="1:26" s="222" customFormat="1" ht="25.5" x14ac:dyDescent="0.2">
      <c r="A156" s="222">
        <v>101</v>
      </c>
      <c r="B156" s="465"/>
      <c r="C156" s="453"/>
      <c r="D156" s="319" t="s">
        <v>486</v>
      </c>
      <c r="E156" s="449"/>
      <c r="F156" s="449"/>
      <c r="G156" s="453"/>
      <c r="H156" s="34"/>
      <c r="I156" s="34"/>
      <c r="J156" s="30"/>
      <c r="K156" s="33">
        <v>41659</v>
      </c>
      <c r="L156" s="33">
        <v>41983</v>
      </c>
      <c r="M156" s="334">
        <v>3</v>
      </c>
      <c r="N156" s="20" t="s">
        <v>545</v>
      </c>
      <c r="O156" s="30" t="s">
        <v>554</v>
      </c>
      <c r="P156" s="30" t="s">
        <v>197</v>
      </c>
      <c r="Q156" s="30" t="s">
        <v>863</v>
      </c>
      <c r="R156" s="35">
        <v>600</v>
      </c>
      <c r="S156" s="20"/>
      <c r="T156" s="327">
        <f t="shared" si="32"/>
        <v>140.625</v>
      </c>
      <c r="U156" s="327">
        <f t="shared" si="33"/>
        <v>153.125</v>
      </c>
      <c r="V156" s="327">
        <f t="shared" si="34"/>
        <v>153.125</v>
      </c>
      <c r="W156" s="327">
        <f t="shared" si="35"/>
        <v>153.125</v>
      </c>
      <c r="Y156" s="318"/>
      <c r="Z156" s="318"/>
    </row>
    <row r="157" spans="1:26" s="222" customFormat="1" ht="25.5" x14ac:dyDescent="0.2">
      <c r="A157" s="222">
        <v>102</v>
      </c>
      <c r="B157" s="464">
        <v>649343</v>
      </c>
      <c r="C157" s="452" t="s">
        <v>466</v>
      </c>
      <c r="D157" s="319" t="s">
        <v>486</v>
      </c>
      <c r="E157" s="448">
        <v>41569</v>
      </c>
      <c r="F157" s="448">
        <v>42299</v>
      </c>
      <c r="G157" s="452">
        <v>35</v>
      </c>
      <c r="H157" s="34"/>
      <c r="I157" s="34"/>
      <c r="J157" s="30"/>
      <c r="K157" s="33">
        <v>41659</v>
      </c>
      <c r="L157" s="33">
        <v>41983</v>
      </c>
      <c r="M157" s="334">
        <v>3</v>
      </c>
      <c r="N157" s="20" t="s">
        <v>541</v>
      </c>
      <c r="O157" s="30" t="s">
        <v>556</v>
      </c>
      <c r="P157" s="30" t="s">
        <v>197</v>
      </c>
      <c r="Q157" s="30" t="s">
        <v>860</v>
      </c>
      <c r="R157" s="35">
        <v>768</v>
      </c>
      <c r="S157" s="20"/>
      <c r="T157" s="327">
        <f t="shared" ref="T157" si="96">IF(K157=$T$3,$T$5*R157/DAYS360(K157,L157),0)</f>
        <v>180</v>
      </c>
      <c r="U157" s="327">
        <f t="shared" ref="U157" si="97">IF(K157=$U$3,$U$5*R157/DAYS360(K157,L157),0)+IF(K157=$T$3,IF(L157=$U$4,R157-T157,0),0)+IF(K157=$T$3,IF(L157=$V$4,(R157-T157)/2,0),0)+IF(K157=$T$3,IF(L157=$W$4,(R157-T157)/3,0),0)</f>
        <v>196</v>
      </c>
      <c r="V157" s="327">
        <f t="shared" ref="V157" si="98">IF(K157=$V$3,$V$5*R157/DAYS360(K157,L157),0)+IF(K157=$T$3,IF(L157=$V$4,R157-T157-U157,0),0)+IF(K157=$T$3,IF(L157=$W$4,(R157-T157-U157)/2,0),0)+IF(K157=$U$3,IF(L157=$V$4,R157-U157,0),0)+IF(K157=$U$3,IF(L157=$W$4,(R157-U157)/2,0),0)</f>
        <v>196</v>
      </c>
      <c r="W157" s="327">
        <f t="shared" ref="W157" si="99">IF(K157=$W$3,$W$5*R157/DAYS360(K157,L157),0)+IF(K157=$T$3,IF(L157=$W$4,R157-T157-U157-V157,0),0)+IF(K157=$U$3,IF(L157=$W$4,R157-U157-V157,0),0)+IF(K157=$V$3,IF(L157=$W$4,R157-V157,0),0)</f>
        <v>196</v>
      </c>
      <c r="Y157" s="318"/>
      <c r="Z157" s="318"/>
    </row>
    <row r="158" spans="1:26" s="222" customFormat="1" ht="25.5" x14ac:dyDescent="0.2">
      <c r="A158" s="222">
        <v>102</v>
      </c>
      <c r="B158" s="465"/>
      <c r="C158" s="453"/>
      <c r="D158" s="319" t="s">
        <v>486</v>
      </c>
      <c r="E158" s="449"/>
      <c r="F158" s="449"/>
      <c r="G158" s="453"/>
      <c r="H158" s="34"/>
      <c r="I158" s="34"/>
      <c r="J158" s="30"/>
      <c r="K158" s="33">
        <v>41659</v>
      </c>
      <c r="L158" s="33">
        <v>41983</v>
      </c>
      <c r="M158" s="334">
        <v>3</v>
      </c>
      <c r="N158" s="20" t="s">
        <v>541</v>
      </c>
      <c r="O158" s="30" t="s">
        <v>556</v>
      </c>
      <c r="P158" s="30" t="s">
        <v>197</v>
      </c>
      <c r="Q158" s="30" t="s">
        <v>861</v>
      </c>
      <c r="R158" s="35">
        <v>768</v>
      </c>
      <c r="S158" s="20"/>
      <c r="T158" s="327">
        <f t="shared" si="32"/>
        <v>180</v>
      </c>
      <c r="U158" s="327">
        <f t="shared" si="33"/>
        <v>196</v>
      </c>
      <c r="V158" s="327">
        <f t="shared" si="34"/>
        <v>196</v>
      </c>
      <c r="W158" s="327">
        <f t="shared" si="35"/>
        <v>196</v>
      </c>
      <c r="Y158" s="318"/>
      <c r="Z158" s="318"/>
    </row>
    <row r="159" spans="1:26" s="222" customFormat="1" ht="25.5" customHeight="1" x14ac:dyDescent="0.2">
      <c r="A159" s="222">
        <v>103</v>
      </c>
      <c r="B159" s="454" t="s">
        <v>450</v>
      </c>
      <c r="C159" s="452" t="s">
        <v>465</v>
      </c>
      <c r="D159" s="319" t="s">
        <v>486</v>
      </c>
      <c r="E159" s="448">
        <v>41659</v>
      </c>
      <c r="F159" s="448">
        <v>42548</v>
      </c>
      <c r="G159" s="452">
        <v>30</v>
      </c>
      <c r="H159" s="34"/>
      <c r="I159" s="34"/>
      <c r="J159" s="30"/>
      <c r="K159" s="33">
        <v>41659</v>
      </c>
      <c r="L159" s="33">
        <v>41983</v>
      </c>
      <c r="M159" s="334">
        <v>2</v>
      </c>
      <c r="N159" s="189" t="s">
        <v>543</v>
      </c>
      <c r="O159" s="30" t="s">
        <v>845</v>
      </c>
      <c r="P159" s="30" t="s">
        <v>190</v>
      </c>
      <c r="Q159" s="30" t="s">
        <v>178</v>
      </c>
      <c r="R159" s="35">
        <v>355</v>
      </c>
      <c r="S159" s="189" t="s">
        <v>506</v>
      </c>
      <c r="T159" s="327">
        <f t="shared" si="32"/>
        <v>83.203125</v>
      </c>
      <c r="U159" s="327">
        <f t="shared" si="33"/>
        <v>90.598958333333329</v>
      </c>
      <c r="V159" s="327">
        <f t="shared" si="34"/>
        <v>90.598958333333343</v>
      </c>
      <c r="W159" s="327">
        <f t="shared" si="35"/>
        <v>90.598958333333343</v>
      </c>
      <c r="Y159" s="318"/>
      <c r="Z159" s="318"/>
    </row>
    <row r="160" spans="1:26" s="222" customFormat="1" ht="25.5" x14ac:dyDescent="0.2">
      <c r="A160" s="222">
        <v>103</v>
      </c>
      <c r="B160" s="458"/>
      <c r="C160" s="462"/>
      <c r="D160" s="319" t="s">
        <v>486</v>
      </c>
      <c r="E160" s="460"/>
      <c r="F160" s="460"/>
      <c r="G160" s="462"/>
      <c r="H160" s="34"/>
      <c r="I160" s="34"/>
      <c r="J160" s="30"/>
      <c r="K160" s="33">
        <v>41659</v>
      </c>
      <c r="L160" s="33">
        <v>41983</v>
      </c>
      <c r="M160" s="334">
        <v>2</v>
      </c>
      <c r="N160" s="189" t="s">
        <v>543</v>
      </c>
      <c r="O160" s="30" t="s">
        <v>845</v>
      </c>
      <c r="P160" s="30" t="s">
        <v>190</v>
      </c>
      <c r="Q160" s="30" t="s">
        <v>258</v>
      </c>
      <c r="R160" s="35">
        <v>516</v>
      </c>
      <c r="S160" s="189" t="s">
        <v>506</v>
      </c>
      <c r="T160" s="327">
        <f t="shared" ref="T160" si="100">IF(K160=$T$3,$T$5*R160/DAYS360(K160,L160),0)</f>
        <v>120.9375</v>
      </c>
      <c r="U160" s="327">
        <f t="shared" ref="U160" si="101">IF(K160=$U$3,$U$5*R160/DAYS360(K160,L160),0)+IF(K160=$T$3,IF(L160=$U$4,R160-T160,0),0)+IF(K160=$T$3,IF(L160=$V$4,(R160-T160)/2,0),0)+IF(K160=$T$3,IF(L160=$W$4,(R160-T160)/3,0),0)</f>
        <v>131.6875</v>
      </c>
      <c r="V160" s="327">
        <f t="shared" ref="V160" si="102">IF(K160=$V$3,$V$5*R160/DAYS360(K160,L160),0)+IF(K160=$T$3,IF(L160=$V$4,R160-T160-U160,0),0)+IF(K160=$T$3,IF(L160=$W$4,(R160-T160-U160)/2,0),0)+IF(K160=$U$3,IF(L160=$V$4,R160-U160,0),0)+IF(K160=$U$3,IF(L160=$W$4,(R160-U160)/2,0),0)</f>
        <v>131.6875</v>
      </c>
      <c r="W160" s="327">
        <f t="shared" ref="W160" si="103">IF(K160=$W$3,$W$5*R160/DAYS360(K160,L160),0)+IF(K160=$T$3,IF(L160=$W$4,R160-T160-U160-V160,0),0)+IF(K160=$U$3,IF(L160=$W$4,R160-U160-V160,0),0)+IF(K160=$V$3,IF(L160=$W$4,R160-V160,0),0)</f>
        <v>131.6875</v>
      </c>
      <c r="Y160" s="318"/>
      <c r="Z160" s="318"/>
    </row>
    <row r="161" spans="1:26" s="222" customFormat="1" ht="25.5" x14ac:dyDescent="0.2">
      <c r="A161" s="222">
        <v>103</v>
      </c>
      <c r="B161" s="455"/>
      <c r="C161" s="453"/>
      <c r="D161" s="319" t="s">
        <v>486</v>
      </c>
      <c r="E161" s="449"/>
      <c r="F161" s="449"/>
      <c r="G161" s="453"/>
      <c r="H161" s="34"/>
      <c r="I161" s="34"/>
      <c r="J161" s="30"/>
      <c r="K161" s="33">
        <v>41659</v>
      </c>
      <c r="L161" s="33">
        <v>41983</v>
      </c>
      <c r="M161" s="334">
        <v>2</v>
      </c>
      <c r="N161" s="189" t="s">
        <v>543</v>
      </c>
      <c r="O161" s="30" t="s">
        <v>845</v>
      </c>
      <c r="P161" s="30" t="s">
        <v>190</v>
      </c>
      <c r="Q161" s="30" t="s">
        <v>327</v>
      </c>
      <c r="R161" s="35">
        <v>420</v>
      </c>
      <c r="S161" s="189" t="s">
        <v>506</v>
      </c>
      <c r="T161" s="327">
        <f t="shared" si="32"/>
        <v>98.4375</v>
      </c>
      <c r="U161" s="327">
        <f t="shared" si="33"/>
        <v>107.1875</v>
      </c>
      <c r="V161" s="327">
        <f t="shared" si="34"/>
        <v>107.1875</v>
      </c>
      <c r="W161" s="327">
        <f t="shared" si="35"/>
        <v>107.1875</v>
      </c>
      <c r="Y161" s="318"/>
      <c r="Z161" s="318"/>
    </row>
    <row r="162" spans="1:26" s="222" customFormat="1" ht="25.5" x14ac:dyDescent="0.2">
      <c r="A162" s="222">
        <v>104</v>
      </c>
      <c r="B162" s="48" t="s">
        <v>450</v>
      </c>
      <c r="C162" s="189" t="s">
        <v>467</v>
      </c>
      <c r="D162" s="189" t="s">
        <v>486</v>
      </c>
      <c r="E162" s="59">
        <v>41659</v>
      </c>
      <c r="F162" s="59">
        <v>41734</v>
      </c>
      <c r="G162" s="20">
        <v>25</v>
      </c>
      <c r="H162" s="34"/>
      <c r="I162" s="34"/>
      <c r="J162" s="30"/>
      <c r="K162" s="33">
        <v>41659</v>
      </c>
      <c r="L162" s="33">
        <v>41734</v>
      </c>
      <c r="M162" s="334">
        <v>5</v>
      </c>
      <c r="N162" s="189" t="s">
        <v>540</v>
      </c>
      <c r="O162" s="30" t="s">
        <v>851</v>
      </c>
      <c r="P162" s="30" t="s">
        <v>190</v>
      </c>
      <c r="Q162" s="30" t="s">
        <v>284</v>
      </c>
      <c r="R162" s="35">
        <v>270</v>
      </c>
      <c r="S162" s="249" t="s">
        <v>732</v>
      </c>
      <c r="T162" s="327">
        <f t="shared" si="32"/>
        <v>270</v>
      </c>
      <c r="U162" s="327">
        <f t="shared" si="33"/>
        <v>0</v>
      </c>
      <c r="V162" s="327">
        <f t="shared" si="34"/>
        <v>0</v>
      </c>
      <c r="W162" s="327">
        <f t="shared" si="35"/>
        <v>0</v>
      </c>
      <c r="Y162" s="318"/>
      <c r="Z162" s="318"/>
    </row>
    <row r="163" spans="1:26" s="222" customFormat="1" ht="25.5" x14ac:dyDescent="0.2">
      <c r="A163" s="222">
        <v>105</v>
      </c>
      <c r="B163" s="48" t="s">
        <v>450</v>
      </c>
      <c r="C163" s="189" t="s">
        <v>467</v>
      </c>
      <c r="D163" s="189" t="s">
        <v>486</v>
      </c>
      <c r="E163" s="59">
        <v>41659</v>
      </c>
      <c r="F163" s="59">
        <v>41734</v>
      </c>
      <c r="G163" s="20">
        <v>25</v>
      </c>
      <c r="H163" s="34"/>
      <c r="I163" s="34"/>
      <c r="J163" s="30"/>
      <c r="K163" s="33">
        <v>41659</v>
      </c>
      <c r="L163" s="33">
        <v>41734</v>
      </c>
      <c r="M163" s="334">
        <v>5</v>
      </c>
      <c r="N163" s="189" t="s">
        <v>541</v>
      </c>
      <c r="O163" s="30" t="s">
        <v>851</v>
      </c>
      <c r="P163" s="30" t="s">
        <v>190</v>
      </c>
      <c r="Q163" s="30" t="s">
        <v>195</v>
      </c>
      <c r="R163" s="35">
        <v>270</v>
      </c>
      <c r="S163" s="249" t="s">
        <v>816</v>
      </c>
      <c r="T163" s="327">
        <f t="shared" si="32"/>
        <v>270</v>
      </c>
      <c r="U163" s="327">
        <f t="shared" si="33"/>
        <v>0</v>
      </c>
      <c r="V163" s="327">
        <f t="shared" si="34"/>
        <v>0</v>
      </c>
      <c r="W163" s="327">
        <f t="shared" si="35"/>
        <v>0</v>
      </c>
      <c r="Y163" s="318"/>
      <c r="Z163" s="318"/>
    </row>
    <row r="164" spans="1:26" s="222" customFormat="1" ht="25.5" x14ac:dyDescent="0.2">
      <c r="A164" s="222">
        <v>106</v>
      </c>
      <c r="B164" s="48" t="s">
        <v>450</v>
      </c>
      <c r="C164" s="319" t="s">
        <v>453</v>
      </c>
      <c r="D164" s="319" t="s">
        <v>486</v>
      </c>
      <c r="E164" s="59">
        <v>41736</v>
      </c>
      <c r="F164" s="59">
        <v>41904</v>
      </c>
      <c r="G164" s="20">
        <v>30</v>
      </c>
      <c r="H164" s="34"/>
      <c r="I164" s="34"/>
      <c r="J164" s="30"/>
      <c r="K164" s="33">
        <v>41659</v>
      </c>
      <c r="L164" s="33">
        <v>41902</v>
      </c>
      <c r="M164" s="334">
        <v>5</v>
      </c>
      <c r="N164" s="189" t="s">
        <v>543</v>
      </c>
      <c r="O164" s="30" t="s">
        <v>871</v>
      </c>
      <c r="P164" s="30" t="s">
        <v>190</v>
      </c>
      <c r="Q164" s="30" t="s">
        <v>179</v>
      </c>
      <c r="R164" s="35">
        <v>525</v>
      </c>
      <c r="S164" s="249" t="s">
        <v>734</v>
      </c>
      <c r="T164" s="327">
        <f t="shared" si="32"/>
        <v>164.0625</v>
      </c>
      <c r="U164" s="327">
        <f t="shared" si="33"/>
        <v>180.46875</v>
      </c>
      <c r="V164" s="327">
        <f t="shared" si="34"/>
        <v>180.46875</v>
      </c>
      <c r="W164" s="327">
        <f t="shared" si="35"/>
        <v>0</v>
      </c>
      <c r="Y164" s="318"/>
      <c r="Z164" s="318"/>
    </row>
    <row r="165" spans="1:26" s="222" customFormat="1" ht="25.5" x14ac:dyDescent="0.2">
      <c r="A165" s="222">
        <v>107</v>
      </c>
      <c r="B165" s="48" t="s">
        <v>450</v>
      </c>
      <c r="C165" s="189" t="s">
        <v>467</v>
      </c>
      <c r="D165" s="189" t="s">
        <v>486</v>
      </c>
      <c r="E165" s="59">
        <v>41736</v>
      </c>
      <c r="F165" s="59">
        <v>41811</v>
      </c>
      <c r="G165" s="20">
        <v>25</v>
      </c>
      <c r="H165" s="34"/>
      <c r="I165" s="34"/>
      <c r="J165" s="30"/>
      <c r="K165" s="33">
        <v>41736</v>
      </c>
      <c r="L165" s="33">
        <v>41811</v>
      </c>
      <c r="M165" s="334">
        <v>5</v>
      </c>
      <c r="N165" s="189" t="s">
        <v>540</v>
      </c>
      <c r="O165" s="30" t="s">
        <v>851</v>
      </c>
      <c r="P165" s="30" t="s">
        <v>190</v>
      </c>
      <c r="Q165" s="30" t="s">
        <v>284</v>
      </c>
      <c r="R165" s="35">
        <v>255</v>
      </c>
      <c r="S165" s="249" t="s">
        <v>732</v>
      </c>
      <c r="T165" s="327">
        <f t="shared" si="32"/>
        <v>0</v>
      </c>
      <c r="U165" s="327">
        <f t="shared" si="33"/>
        <v>255</v>
      </c>
      <c r="V165" s="327">
        <f t="shared" si="34"/>
        <v>0</v>
      </c>
      <c r="W165" s="327">
        <f t="shared" si="35"/>
        <v>0</v>
      </c>
      <c r="Y165" s="318"/>
      <c r="Z165" s="318"/>
    </row>
    <row r="166" spans="1:26" s="222" customFormat="1" ht="25.5" x14ac:dyDescent="0.2">
      <c r="A166" s="222">
        <v>108</v>
      </c>
      <c r="B166" s="48" t="s">
        <v>450</v>
      </c>
      <c r="C166" s="189" t="s">
        <v>467</v>
      </c>
      <c r="D166" s="189" t="s">
        <v>486</v>
      </c>
      <c r="E166" s="59">
        <v>41736</v>
      </c>
      <c r="F166" s="59">
        <v>41811</v>
      </c>
      <c r="G166" s="20">
        <v>25</v>
      </c>
      <c r="H166" s="34"/>
      <c r="I166" s="34"/>
      <c r="J166" s="30"/>
      <c r="K166" s="33">
        <v>41736</v>
      </c>
      <c r="L166" s="33">
        <v>41811</v>
      </c>
      <c r="M166" s="334">
        <v>5</v>
      </c>
      <c r="N166" s="189" t="s">
        <v>541</v>
      </c>
      <c r="O166" s="30" t="s">
        <v>851</v>
      </c>
      <c r="P166" s="30" t="s">
        <v>190</v>
      </c>
      <c r="Q166" s="30" t="s">
        <v>334</v>
      </c>
      <c r="R166" s="35">
        <v>306</v>
      </c>
      <c r="S166" s="249" t="s">
        <v>733</v>
      </c>
      <c r="T166" s="327">
        <f t="shared" si="32"/>
        <v>0</v>
      </c>
      <c r="U166" s="327">
        <f t="shared" si="33"/>
        <v>306</v>
      </c>
      <c r="V166" s="327">
        <f t="shared" si="34"/>
        <v>0</v>
      </c>
      <c r="W166" s="327">
        <f t="shared" si="35"/>
        <v>0</v>
      </c>
      <c r="Y166" s="318"/>
      <c r="Z166" s="318"/>
    </row>
    <row r="167" spans="1:26" s="222" customFormat="1" ht="25.5" x14ac:dyDescent="0.2">
      <c r="A167" s="222">
        <v>109</v>
      </c>
      <c r="B167" s="48" t="s">
        <v>450</v>
      </c>
      <c r="C167" s="319" t="s">
        <v>701</v>
      </c>
      <c r="D167" s="319" t="s">
        <v>486</v>
      </c>
      <c r="E167" s="59">
        <v>41827</v>
      </c>
      <c r="F167" s="59">
        <v>42099</v>
      </c>
      <c r="G167" s="20">
        <v>25</v>
      </c>
      <c r="H167" s="34"/>
      <c r="I167" s="34"/>
      <c r="J167" s="30"/>
      <c r="K167" s="33">
        <v>41827</v>
      </c>
      <c r="L167" s="33">
        <v>41983</v>
      </c>
      <c r="M167" s="334">
        <v>5</v>
      </c>
      <c r="N167" s="189" t="s">
        <v>543</v>
      </c>
      <c r="O167" s="30" t="s">
        <v>872</v>
      </c>
      <c r="P167" s="30" t="s">
        <v>190</v>
      </c>
      <c r="Q167" s="30" t="s">
        <v>261</v>
      </c>
      <c r="R167" s="35">
        <v>642</v>
      </c>
      <c r="S167" s="319" t="s">
        <v>728</v>
      </c>
      <c r="T167" s="327">
        <f t="shared" si="32"/>
        <v>0</v>
      </c>
      <c r="U167" s="327">
        <f t="shared" si="33"/>
        <v>0</v>
      </c>
      <c r="V167" s="327">
        <f t="shared" si="34"/>
        <v>306.31372549019608</v>
      </c>
      <c r="W167" s="327">
        <f t="shared" si="35"/>
        <v>335.68627450980392</v>
      </c>
      <c r="Y167" s="318"/>
      <c r="Z167" s="318"/>
    </row>
    <row r="168" spans="1:26" s="222" customFormat="1" ht="25.5" x14ac:dyDescent="0.2">
      <c r="A168" s="222">
        <v>110</v>
      </c>
      <c r="B168" s="48" t="s">
        <v>450</v>
      </c>
      <c r="C168" s="189" t="s">
        <v>467</v>
      </c>
      <c r="D168" s="189" t="s">
        <v>486</v>
      </c>
      <c r="E168" s="59">
        <v>41827</v>
      </c>
      <c r="F168" s="59">
        <v>41902</v>
      </c>
      <c r="G168" s="20">
        <v>25</v>
      </c>
      <c r="H168" s="34"/>
      <c r="I168" s="34"/>
      <c r="J168" s="30"/>
      <c r="K168" s="33">
        <v>41827</v>
      </c>
      <c r="L168" s="33">
        <v>41902</v>
      </c>
      <c r="M168" s="334">
        <v>5</v>
      </c>
      <c r="N168" s="189" t="s">
        <v>540</v>
      </c>
      <c r="O168" s="30" t="s">
        <v>851</v>
      </c>
      <c r="P168" s="30" t="s">
        <v>190</v>
      </c>
      <c r="Q168" s="30" t="s">
        <v>284</v>
      </c>
      <c r="R168" s="35">
        <v>265</v>
      </c>
      <c r="S168" s="249" t="s">
        <v>732</v>
      </c>
      <c r="T168" s="327">
        <f t="shared" si="32"/>
        <v>0</v>
      </c>
      <c r="U168" s="327">
        <f t="shared" si="33"/>
        <v>0</v>
      </c>
      <c r="V168" s="327">
        <f t="shared" si="34"/>
        <v>265</v>
      </c>
      <c r="W168" s="327">
        <f t="shared" si="35"/>
        <v>0</v>
      </c>
      <c r="Y168" s="318"/>
      <c r="Z168" s="318"/>
    </row>
    <row r="169" spans="1:26" s="222" customFormat="1" ht="25.5" x14ac:dyDescent="0.2">
      <c r="A169" s="222">
        <v>111</v>
      </c>
      <c r="B169" s="48" t="s">
        <v>450</v>
      </c>
      <c r="C169" s="189" t="s">
        <v>467</v>
      </c>
      <c r="D169" s="189" t="s">
        <v>486</v>
      </c>
      <c r="E169" s="59">
        <v>41827</v>
      </c>
      <c r="F169" s="59">
        <v>41902</v>
      </c>
      <c r="G169" s="20">
        <v>25</v>
      </c>
      <c r="H169" s="34"/>
      <c r="I169" s="34"/>
      <c r="J169" s="30"/>
      <c r="K169" s="33">
        <v>41827</v>
      </c>
      <c r="L169" s="33">
        <v>41902</v>
      </c>
      <c r="M169" s="334">
        <v>5</v>
      </c>
      <c r="N169" s="189" t="s">
        <v>541</v>
      </c>
      <c r="O169" s="30" t="s">
        <v>851</v>
      </c>
      <c r="P169" s="30" t="s">
        <v>190</v>
      </c>
      <c r="Q169" s="30" t="s">
        <v>334</v>
      </c>
      <c r="R169" s="35">
        <v>318</v>
      </c>
      <c r="S169" s="249" t="s">
        <v>733</v>
      </c>
      <c r="T169" s="327">
        <f t="shared" si="32"/>
        <v>0</v>
      </c>
      <c r="U169" s="327">
        <f t="shared" si="33"/>
        <v>0</v>
      </c>
      <c r="V169" s="327">
        <f t="shared" si="34"/>
        <v>318</v>
      </c>
      <c r="W169" s="327">
        <f t="shared" si="35"/>
        <v>0</v>
      </c>
      <c r="Y169" s="318"/>
      <c r="Z169" s="318"/>
    </row>
    <row r="170" spans="1:26" s="222" customFormat="1" ht="25.5" customHeight="1" x14ac:dyDescent="0.2">
      <c r="A170" s="222">
        <v>113</v>
      </c>
      <c r="B170" s="454" t="s">
        <v>450</v>
      </c>
      <c r="C170" s="452" t="s">
        <v>466</v>
      </c>
      <c r="D170" s="319" t="s">
        <v>486</v>
      </c>
      <c r="E170" s="448">
        <v>41904</v>
      </c>
      <c r="F170" s="448">
        <v>42472</v>
      </c>
      <c r="G170" s="452">
        <v>30</v>
      </c>
      <c r="H170" s="34"/>
      <c r="I170" s="34"/>
      <c r="J170" s="30"/>
      <c r="K170" s="33">
        <v>41904</v>
      </c>
      <c r="L170" s="33">
        <v>41983</v>
      </c>
      <c r="M170" s="334">
        <v>3</v>
      </c>
      <c r="N170" s="189" t="s">
        <v>543</v>
      </c>
      <c r="O170" s="30" t="s">
        <v>596</v>
      </c>
      <c r="P170" s="30" t="s">
        <v>190</v>
      </c>
      <c r="Q170" s="30" t="s">
        <v>181</v>
      </c>
      <c r="R170" s="35">
        <v>160</v>
      </c>
      <c r="S170" s="189" t="s">
        <v>181</v>
      </c>
      <c r="T170" s="327">
        <f t="shared" ref="T170" si="104">IF(K170=$T$3,$T$5*R170/DAYS360(K170,L170),0)</f>
        <v>0</v>
      </c>
      <c r="U170" s="327">
        <f t="shared" ref="U170" si="105">IF(K170=$U$3,$U$5*R170/DAYS360(K170,L170),0)+IF(K170=$T$3,IF(L170=$U$4,R170-T170,0),0)+IF(K170=$T$3,IF(L170=$V$4,(R170-T170)/2,0),0)+IF(K170=$T$3,IF(L170=$W$4,(R170-T170)/3,0),0)</f>
        <v>0</v>
      </c>
      <c r="V170" s="327">
        <f t="shared" ref="V170" si="106">IF(K170=$V$3,$V$5*R170/DAYS360(K170,L170),0)+IF(K170=$T$3,IF(L170=$V$4,R170-T170-U170,0),0)+IF(K170=$T$3,IF(L170=$W$4,(R170-T170-U170)/2,0),0)+IF(K170=$U$3,IF(L170=$V$4,R170-U170,0),0)+IF(K170=$U$3,IF(L170=$W$4,(R170-U170)/2,0),0)</f>
        <v>0</v>
      </c>
      <c r="W170" s="327">
        <f t="shared" ref="W170" si="107">IF(K170=$W$3,$W$5*R170/DAYS360(K170,L170),0)+IF(K170=$T$3,IF(L170=$W$4,R170-T170-U170-V170,0),0)+IF(K170=$U$3,IF(L170=$W$4,R170-U170-V170,0),0)+IF(K170=$V$3,IF(L170=$W$4,R170-V170,0),0)</f>
        <v>160</v>
      </c>
      <c r="Y170" s="318"/>
      <c r="Z170" s="318"/>
    </row>
    <row r="171" spans="1:26" s="222" customFormat="1" x14ac:dyDescent="0.2">
      <c r="A171" s="222">
        <v>113</v>
      </c>
      <c r="B171" s="455"/>
      <c r="C171" s="453"/>
      <c r="D171" s="319" t="s">
        <v>486</v>
      </c>
      <c r="E171" s="449"/>
      <c r="F171" s="449"/>
      <c r="G171" s="453"/>
      <c r="H171" s="34"/>
      <c r="I171" s="34"/>
      <c r="J171" s="30"/>
      <c r="K171" s="33">
        <v>41904</v>
      </c>
      <c r="L171" s="33">
        <v>41983</v>
      </c>
      <c r="M171" s="334">
        <v>3</v>
      </c>
      <c r="N171" s="189" t="s">
        <v>543</v>
      </c>
      <c r="O171" s="30" t="s">
        <v>596</v>
      </c>
      <c r="P171" s="30" t="s">
        <v>190</v>
      </c>
      <c r="Q171" s="30" t="s">
        <v>237</v>
      </c>
      <c r="R171" s="35">
        <v>170</v>
      </c>
      <c r="S171" s="189" t="s">
        <v>181</v>
      </c>
      <c r="T171" s="327">
        <f t="shared" si="32"/>
        <v>0</v>
      </c>
      <c r="U171" s="327">
        <f t="shared" si="33"/>
        <v>0</v>
      </c>
      <c r="V171" s="327">
        <f t="shared" si="34"/>
        <v>0</v>
      </c>
      <c r="W171" s="327">
        <f t="shared" si="35"/>
        <v>170</v>
      </c>
      <c r="Y171" s="318"/>
      <c r="Z171" s="318"/>
    </row>
    <row r="172" spans="1:26" s="222" customFormat="1" ht="25.5" customHeight="1" x14ac:dyDescent="0.2">
      <c r="A172" s="222">
        <v>114</v>
      </c>
      <c r="B172" s="454" t="s">
        <v>450</v>
      </c>
      <c r="C172" s="452" t="s">
        <v>465</v>
      </c>
      <c r="D172" s="319" t="s">
        <v>486</v>
      </c>
      <c r="E172" s="448">
        <v>41904</v>
      </c>
      <c r="F172" s="448">
        <v>42472</v>
      </c>
      <c r="G172" s="452">
        <v>30</v>
      </c>
      <c r="H172" s="34"/>
      <c r="I172" s="34"/>
      <c r="J172" s="30"/>
      <c r="K172" s="33">
        <v>41904</v>
      </c>
      <c r="L172" s="33">
        <v>41983</v>
      </c>
      <c r="M172" s="334">
        <v>2</v>
      </c>
      <c r="N172" s="189" t="s">
        <v>543</v>
      </c>
      <c r="O172" s="30" t="s">
        <v>845</v>
      </c>
      <c r="P172" s="30" t="s">
        <v>190</v>
      </c>
      <c r="Q172" s="30" t="s">
        <v>258</v>
      </c>
      <c r="R172" s="35">
        <v>120</v>
      </c>
      <c r="S172" s="189" t="s">
        <v>735</v>
      </c>
      <c r="T172" s="327">
        <f t="shared" ref="T172" si="108">IF(K172=$T$3,$T$5*R172/DAYS360(K172,L172),0)</f>
        <v>0</v>
      </c>
      <c r="U172" s="327">
        <f t="shared" ref="U172" si="109">IF(K172=$U$3,$U$5*R172/DAYS360(K172,L172),0)+IF(K172=$T$3,IF(L172=$U$4,R172-T172,0),0)+IF(K172=$T$3,IF(L172=$V$4,(R172-T172)/2,0),0)+IF(K172=$T$3,IF(L172=$W$4,(R172-T172)/3,0),0)</f>
        <v>0</v>
      </c>
      <c r="V172" s="327">
        <f t="shared" ref="V172" si="110">IF(K172=$V$3,$V$5*R172/DAYS360(K172,L172),0)+IF(K172=$T$3,IF(L172=$V$4,R172-T172-U172,0),0)+IF(K172=$T$3,IF(L172=$W$4,(R172-T172-U172)/2,0),0)+IF(K172=$U$3,IF(L172=$V$4,R172-U172,0),0)+IF(K172=$U$3,IF(L172=$W$4,(R172-U172)/2,0),0)</f>
        <v>0</v>
      </c>
      <c r="W172" s="327">
        <f t="shared" ref="W172" si="111">IF(K172=$W$3,$W$5*R172/DAYS360(K172,L172),0)+IF(K172=$T$3,IF(L172=$W$4,R172-T172-U172-V172,0),0)+IF(K172=$U$3,IF(L172=$W$4,R172-U172-V172,0),0)+IF(K172=$V$3,IF(L172=$W$4,R172-V172,0),0)</f>
        <v>120</v>
      </c>
      <c r="Y172" s="318"/>
      <c r="Z172" s="318"/>
    </row>
    <row r="173" spans="1:26" s="222" customFormat="1" ht="25.5" x14ac:dyDescent="0.2">
      <c r="A173" s="222">
        <v>114</v>
      </c>
      <c r="B173" s="458"/>
      <c r="C173" s="462"/>
      <c r="D173" s="319" t="s">
        <v>486</v>
      </c>
      <c r="E173" s="460"/>
      <c r="F173" s="460"/>
      <c r="G173" s="462"/>
      <c r="H173" s="34"/>
      <c r="I173" s="34"/>
      <c r="J173" s="30"/>
      <c r="K173" s="33">
        <v>41904</v>
      </c>
      <c r="L173" s="33">
        <v>41983</v>
      </c>
      <c r="M173" s="334">
        <v>2</v>
      </c>
      <c r="N173" s="189" t="s">
        <v>543</v>
      </c>
      <c r="O173" s="30" t="s">
        <v>845</v>
      </c>
      <c r="P173" s="30" t="s">
        <v>190</v>
      </c>
      <c r="Q173" s="30" t="s">
        <v>178</v>
      </c>
      <c r="R173" s="35">
        <v>115</v>
      </c>
      <c r="S173" s="189" t="s">
        <v>735</v>
      </c>
      <c r="T173" s="327">
        <f t="shared" ref="T173" si="112">IF(K173=$T$3,$T$5*R173/DAYS360(K173,L173),0)</f>
        <v>0</v>
      </c>
      <c r="U173" s="327">
        <f t="shared" ref="U173" si="113">IF(K173=$U$3,$U$5*R173/DAYS360(K173,L173),0)+IF(K173=$T$3,IF(L173=$U$4,R173-T173,0),0)+IF(K173=$T$3,IF(L173=$V$4,(R173-T173)/2,0),0)+IF(K173=$T$3,IF(L173=$W$4,(R173-T173)/3,0),0)</f>
        <v>0</v>
      </c>
      <c r="V173" s="327">
        <f t="shared" ref="V173" si="114">IF(K173=$V$3,$V$5*R173/DAYS360(K173,L173),0)+IF(K173=$T$3,IF(L173=$V$4,R173-T173-U173,0),0)+IF(K173=$T$3,IF(L173=$W$4,(R173-T173-U173)/2,0),0)+IF(K173=$U$3,IF(L173=$V$4,R173-U173,0),0)+IF(K173=$U$3,IF(L173=$W$4,(R173-U173)/2,0),0)</f>
        <v>0</v>
      </c>
      <c r="W173" s="327">
        <f t="shared" ref="W173" si="115">IF(K173=$W$3,$W$5*R173/DAYS360(K173,L173),0)+IF(K173=$T$3,IF(L173=$W$4,R173-T173-U173-V173,0),0)+IF(K173=$U$3,IF(L173=$W$4,R173-U173-V173,0),0)+IF(K173=$V$3,IF(L173=$W$4,R173-V173,0),0)</f>
        <v>115</v>
      </c>
      <c r="Y173" s="318"/>
      <c r="Z173" s="318"/>
    </row>
    <row r="174" spans="1:26" s="222" customFormat="1" ht="25.5" x14ac:dyDescent="0.2">
      <c r="A174" s="222">
        <v>114</v>
      </c>
      <c r="B174" s="455"/>
      <c r="C174" s="453"/>
      <c r="D174" s="319" t="s">
        <v>486</v>
      </c>
      <c r="E174" s="449"/>
      <c r="F174" s="449"/>
      <c r="G174" s="453"/>
      <c r="H174" s="34"/>
      <c r="I174" s="34"/>
      <c r="J174" s="30"/>
      <c r="K174" s="33">
        <v>41904</v>
      </c>
      <c r="L174" s="33">
        <v>41983</v>
      </c>
      <c r="M174" s="334">
        <v>2</v>
      </c>
      <c r="N174" s="189" t="s">
        <v>543</v>
      </c>
      <c r="O174" s="30" t="s">
        <v>845</v>
      </c>
      <c r="P174" s="30" t="s">
        <v>190</v>
      </c>
      <c r="Q174" s="30" t="s">
        <v>327</v>
      </c>
      <c r="R174" s="35">
        <v>110</v>
      </c>
      <c r="S174" s="189" t="s">
        <v>735</v>
      </c>
      <c r="T174" s="327">
        <f t="shared" ref="T174:T289" si="116">IF(K174=$T$3,$T$5*R174/DAYS360(K174,L174),0)</f>
        <v>0</v>
      </c>
      <c r="U174" s="327">
        <f t="shared" ref="U174:U289" si="117">IF(K174=$U$3,$U$5*R174/DAYS360(K174,L174),0)+IF(K174=$T$3,IF(L174=$U$4,R174-T174,0),0)+IF(K174=$T$3,IF(L174=$V$4,(R174-T174)/2,0),0)+IF(K174=$T$3,IF(L174=$W$4,(R174-T174)/3,0),0)</f>
        <v>0</v>
      </c>
      <c r="V174" s="327">
        <f t="shared" ref="V174:V289" si="118">IF(K174=$V$3,$V$5*R174/DAYS360(K174,L174),0)+IF(K174=$T$3,IF(L174=$V$4,R174-T174-U174,0),0)+IF(K174=$T$3,IF(L174=$W$4,(R174-T174-U174)/2,0),0)+IF(K174=$U$3,IF(L174=$V$4,R174-U174,0),0)+IF(K174=$U$3,IF(L174=$W$4,(R174-U174)/2,0),0)</f>
        <v>0</v>
      </c>
      <c r="W174" s="327">
        <f t="shared" ref="W174:W289" si="119">IF(K174=$W$3,$W$5*R174/DAYS360(K174,L174),0)+IF(K174=$T$3,IF(L174=$W$4,R174-T174-U174-V174,0),0)+IF(K174=$U$3,IF(L174=$W$4,R174-U174-V174,0),0)+IF(K174=$V$3,IF(L174=$W$4,R174-V174,0),0)</f>
        <v>110</v>
      </c>
      <c r="Y174" s="318"/>
      <c r="Z174" s="318"/>
    </row>
    <row r="175" spans="1:26" s="222" customFormat="1" ht="25.5" x14ac:dyDescent="0.2">
      <c r="A175" s="222">
        <v>115</v>
      </c>
      <c r="B175" s="48" t="s">
        <v>450</v>
      </c>
      <c r="C175" s="189" t="s">
        <v>700</v>
      </c>
      <c r="D175" s="189" t="s">
        <v>486</v>
      </c>
      <c r="E175" s="59">
        <v>41904</v>
      </c>
      <c r="F175" s="59">
        <v>42176</v>
      </c>
      <c r="G175" s="20">
        <v>30</v>
      </c>
      <c r="H175" s="34"/>
      <c r="I175" s="34"/>
      <c r="J175" s="30"/>
      <c r="K175" s="33">
        <v>41904</v>
      </c>
      <c r="L175" s="33">
        <v>41983</v>
      </c>
      <c r="M175" s="334">
        <v>5</v>
      </c>
      <c r="N175" s="189" t="s">
        <v>543</v>
      </c>
      <c r="O175" s="30" t="s">
        <v>597</v>
      </c>
      <c r="P175" s="30" t="s">
        <v>190</v>
      </c>
      <c r="Q175" s="30" t="s">
        <v>237</v>
      </c>
      <c r="R175" s="35">
        <v>270</v>
      </c>
      <c r="S175" s="249" t="s">
        <v>237</v>
      </c>
      <c r="T175" s="327">
        <f t="shared" si="116"/>
        <v>0</v>
      </c>
      <c r="U175" s="327">
        <f t="shared" si="117"/>
        <v>0</v>
      </c>
      <c r="V175" s="327">
        <f t="shared" si="118"/>
        <v>0</v>
      </c>
      <c r="W175" s="327">
        <f t="shared" si="119"/>
        <v>270</v>
      </c>
      <c r="Y175" s="318"/>
      <c r="Z175" s="318"/>
    </row>
    <row r="176" spans="1:26" s="222" customFormat="1" ht="25.5" x14ac:dyDescent="0.2">
      <c r="A176" s="222">
        <v>116</v>
      </c>
      <c r="B176" s="48" t="s">
        <v>450</v>
      </c>
      <c r="C176" s="189" t="s">
        <v>467</v>
      </c>
      <c r="D176" s="189" t="s">
        <v>486</v>
      </c>
      <c r="E176" s="59">
        <v>41904</v>
      </c>
      <c r="F176" s="59">
        <v>41983</v>
      </c>
      <c r="G176" s="20">
        <v>25</v>
      </c>
      <c r="H176" s="34"/>
      <c r="I176" s="34"/>
      <c r="J176" s="30"/>
      <c r="K176" s="33">
        <v>41904</v>
      </c>
      <c r="L176" s="33">
        <v>41983</v>
      </c>
      <c r="M176" s="334">
        <v>5</v>
      </c>
      <c r="N176" s="189" t="s">
        <v>540</v>
      </c>
      <c r="O176" s="30" t="s">
        <v>851</v>
      </c>
      <c r="P176" s="30" t="s">
        <v>190</v>
      </c>
      <c r="Q176" s="30" t="s">
        <v>334</v>
      </c>
      <c r="R176" s="35">
        <v>324</v>
      </c>
      <c r="S176" s="249" t="s">
        <v>733</v>
      </c>
      <c r="T176" s="327">
        <f t="shared" si="116"/>
        <v>0</v>
      </c>
      <c r="U176" s="327">
        <f t="shared" si="117"/>
        <v>0</v>
      </c>
      <c r="V176" s="327">
        <f t="shared" si="118"/>
        <v>0</v>
      </c>
      <c r="W176" s="327">
        <f t="shared" si="119"/>
        <v>324</v>
      </c>
      <c r="Y176" s="318"/>
      <c r="Z176" s="318"/>
    </row>
    <row r="177" spans="1:26" s="222" customFormat="1" ht="25.5" x14ac:dyDescent="0.2">
      <c r="A177" s="222">
        <v>117</v>
      </c>
      <c r="B177" s="48" t="s">
        <v>450</v>
      </c>
      <c r="C177" s="189" t="s">
        <v>467</v>
      </c>
      <c r="D177" s="189" t="s">
        <v>486</v>
      </c>
      <c r="E177" s="59">
        <v>41904</v>
      </c>
      <c r="F177" s="59">
        <v>41983</v>
      </c>
      <c r="G177" s="20">
        <v>25</v>
      </c>
      <c r="H177" s="34"/>
      <c r="I177" s="34"/>
      <c r="J177" s="30"/>
      <c r="K177" s="33">
        <v>41904</v>
      </c>
      <c r="L177" s="33">
        <v>41983</v>
      </c>
      <c r="M177" s="334">
        <v>5</v>
      </c>
      <c r="N177" s="189" t="s">
        <v>541</v>
      </c>
      <c r="O177" s="30" t="s">
        <v>851</v>
      </c>
      <c r="P177" s="30" t="s">
        <v>190</v>
      </c>
      <c r="Q177" s="30" t="s">
        <v>284</v>
      </c>
      <c r="R177" s="35">
        <v>270</v>
      </c>
      <c r="S177" s="249" t="s">
        <v>732</v>
      </c>
      <c r="T177" s="327">
        <f t="shared" si="116"/>
        <v>0</v>
      </c>
      <c r="U177" s="327">
        <f t="shared" si="117"/>
        <v>0</v>
      </c>
      <c r="V177" s="327">
        <f t="shared" si="118"/>
        <v>0</v>
      </c>
      <c r="W177" s="327">
        <f t="shared" si="119"/>
        <v>270</v>
      </c>
      <c r="Y177" s="318"/>
      <c r="Z177" s="318"/>
    </row>
    <row r="178" spans="1:26" s="222" customFormat="1" ht="38.25" x14ac:dyDescent="0.2">
      <c r="A178" s="222">
        <v>118</v>
      </c>
      <c r="B178" s="454" t="s">
        <v>450</v>
      </c>
      <c r="C178" s="444" t="s">
        <v>452</v>
      </c>
      <c r="D178" s="319" t="s">
        <v>486</v>
      </c>
      <c r="E178" s="448">
        <v>41904</v>
      </c>
      <c r="F178" s="448">
        <v>42099</v>
      </c>
      <c r="G178" s="452">
        <v>30</v>
      </c>
      <c r="H178" s="34"/>
      <c r="I178" s="34"/>
      <c r="J178" s="30"/>
      <c r="K178" s="33">
        <v>41904</v>
      </c>
      <c r="L178" s="33">
        <v>41983</v>
      </c>
      <c r="M178" s="334">
        <v>2</v>
      </c>
      <c r="N178" s="319" t="s">
        <v>544</v>
      </c>
      <c r="O178" s="30" t="s">
        <v>845</v>
      </c>
      <c r="P178" s="30" t="s">
        <v>190</v>
      </c>
      <c r="Q178" s="30" t="s">
        <v>327</v>
      </c>
      <c r="R178" s="35">
        <v>120</v>
      </c>
      <c r="S178" s="21" t="s">
        <v>730</v>
      </c>
      <c r="T178" s="327">
        <f t="shared" ref="T178" si="120">IF(K178=$T$3,$T$5*R178/DAYS360(K178,L178),0)</f>
        <v>0</v>
      </c>
      <c r="U178" s="327">
        <f t="shared" ref="U178" si="121">IF(K178=$U$3,$U$5*R178/DAYS360(K178,L178),0)+IF(K178=$T$3,IF(L178=$U$4,R178-T178,0),0)+IF(K178=$T$3,IF(L178=$V$4,(R178-T178)/2,0),0)+IF(K178=$T$3,IF(L178=$W$4,(R178-T178)/3,0),0)</f>
        <v>0</v>
      </c>
      <c r="V178" s="327">
        <f t="shared" ref="V178" si="122">IF(K178=$V$3,$V$5*R178/DAYS360(K178,L178),0)+IF(K178=$T$3,IF(L178=$V$4,R178-T178-U178,0),0)+IF(K178=$T$3,IF(L178=$W$4,(R178-T178-U178)/2,0),0)+IF(K178=$U$3,IF(L178=$V$4,R178-U178,0),0)+IF(K178=$U$3,IF(L178=$W$4,(R178-U178)/2,0),0)</f>
        <v>0</v>
      </c>
      <c r="W178" s="327">
        <f t="shared" ref="W178" si="123">IF(K178=$W$3,$W$5*R178/DAYS360(K178,L178),0)+IF(K178=$T$3,IF(L178=$W$4,R178-T178-U178-V178,0),0)+IF(K178=$U$3,IF(L178=$W$4,R178-U178-V178,0),0)+IF(K178=$V$3,IF(L178=$W$4,R178-V178,0),0)</f>
        <v>120</v>
      </c>
      <c r="Y178" s="318"/>
      <c r="Z178" s="318"/>
    </row>
    <row r="179" spans="1:26" s="222" customFormat="1" ht="38.25" x14ac:dyDescent="0.2">
      <c r="A179" s="222">
        <v>118</v>
      </c>
      <c r="B179" s="455"/>
      <c r="C179" s="445"/>
      <c r="D179" s="319" t="s">
        <v>486</v>
      </c>
      <c r="E179" s="449"/>
      <c r="F179" s="449"/>
      <c r="G179" s="453"/>
      <c r="H179" s="34"/>
      <c r="I179" s="34"/>
      <c r="J179" s="30"/>
      <c r="K179" s="33">
        <v>41904</v>
      </c>
      <c r="L179" s="33">
        <v>41983</v>
      </c>
      <c r="M179" s="334">
        <v>3</v>
      </c>
      <c r="N179" s="319" t="s">
        <v>544</v>
      </c>
      <c r="O179" s="30" t="s">
        <v>845</v>
      </c>
      <c r="P179" s="30" t="s">
        <v>190</v>
      </c>
      <c r="Q179" s="30" t="s">
        <v>258</v>
      </c>
      <c r="R179" s="35">
        <v>204</v>
      </c>
      <c r="S179" s="21" t="s">
        <v>730</v>
      </c>
      <c r="T179" s="327">
        <f t="shared" si="116"/>
        <v>0</v>
      </c>
      <c r="U179" s="327">
        <f t="shared" si="117"/>
        <v>0</v>
      </c>
      <c r="V179" s="327">
        <f t="shared" si="118"/>
        <v>0</v>
      </c>
      <c r="W179" s="327">
        <f t="shared" si="119"/>
        <v>204</v>
      </c>
      <c r="Y179" s="318"/>
      <c r="Z179" s="318"/>
    </row>
    <row r="180" spans="1:26" s="222" customFormat="1" ht="25.5" x14ac:dyDescent="0.2">
      <c r="A180" s="222">
        <v>119</v>
      </c>
      <c r="B180" s="20">
        <v>481497</v>
      </c>
      <c r="C180" s="20" t="s">
        <v>702</v>
      </c>
      <c r="D180" s="20" t="s">
        <v>208</v>
      </c>
      <c r="E180" s="59">
        <v>40973</v>
      </c>
      <c r="F180" s="322">
        <v>41734</v>
      </c>
      <c r="G180" s="20">
        <v>38</v>
      </c>
      <c r="H180" s="34"/>
      <c r="I180" s="34"/>
      <c r="J180" s="30"/>
      <c r="K180" s="33">
        <v>41659</v>
      </c>
      <c r="L180" s="33">
        <v>41734</v>
      </c>
      <c r="M180" s="334">
        <v>5</v>
      </c>
      <c r="N180" s="189" t="s">
        <v>543</v>
      </c>
      <c r="O180" s="30" t="s">
        <v>873</v>
      </c>
      <c r="P180" s="30" t="s">
        <v>190</v>
      </c>
      <c r="Q180" s="30" t="s">
        <v>294</v>
      </c>
      <c r="R180" s="35">
        <v>192</v>
      </c>
      <c r="S180" s="20" t="s">
        <v>521</v>
      </c>
      <c r="T180" s="327">
        <f t="shared" si="116"/>
        <v>192</v>
      </c>
      <c r="U180" s="327">
        <f t="shared" si="117"/>
        <v>0</v>
      </c>
      <c r="V180" s="327">
        <f t="shared" si="118"/>
        <v>0</v>
      </c>
      <c r="W180" s="327">
        <f t="shared" si="119"/>
        <v>0</v>
      </c>
      <c r="Y180" s="318"/>
      <c r="Z180" s="318"/>
    </row>
    <row r="181" spans="1:26" s="222" customFormat="1" ht="25.5" x14ac:dyDescent="0.2">
      <c r="A181" s="222">
        <v>120</v>
      </c>
      <c r="B181" s="48">
        <v>397176</v>
      </c>
      <c r="C181" s="20" t="s">
        <v>702</v>
      </c>
      <c r="D181" s="20" t="s">
        <v>208</v>
      </c>
      <c r="E181" s="59">
        <v>41176</v>
      </c>
      <c r="F181" s="322">
        <v>41734</v>
      </c>
      <c r="G181" s="20">
        <v>30</v>
      </c>
      <c r="H181" s="34"/>
      <c r="I181" s="34"/>
      <c r="J181" s="30"/>
      <c r="K181" s="33">
        <v>41659</v>
      </c>
      <c r="L181" s="33">
        <v>41734</v>
      </c>
      <c r="M181" s="334">
        <v>5</v>
      </c>
      <c r="N181" s="20" t="s">
        <v>538</v>
      </c>
      <c r="O181" s="30" t="s">
        <v>562</v>
      </c>
      <c r="P181" s="30" t="s">
        <v>190</v>
      </c>
      <c r="Q181" s="30" t="s">
        <v>298</v>
      </c>
      <c r="R181" s="35">
        <v>192</v>
      </c>
      <c r="S181" s="20" t="s">
        <v>516</v>
      </c>
      <c r="T181" s="327">
        <f t="shared" si="116"/>
        <v>192</v>
      </c>
      <c r="U181" s="327">
        <f t="shared" si="117"/>
        <v>0</v>
      </c>
      <c r="V181" s="327">
        <f t="shared" si="118"/>
        <v>0</v>
      </c>
      <c r="W181" s="327">
        <f t="shared" si="119"/>
        <v>0</v>
      </c>
      <c r="Y181" s="318"/>
      <c r="Z181" s="318"/>
    </row>
    <row r="182" spans="1:26" s="222" customFormat="1" ht="25.5" x14ac:dyDescent="0.2">
      <c r="A182" s="222">
        <v>121</v>
      </c>
      <c r="B182" s="49">
        <v>452282</v>
      </c>
      <c r="C182" s="20" t="s">
        <v>702</v>
      </c>
      <c r="D182" s="20" t="s">
        <v>208</v>
      </c>
      <c r="E182" s="59">
        <v>41176</v>
      </c>
      <c r="F182" s="322">
        <v>41734</v>
      </c>
      <c r="G182" s="20">
        <v>14</v>
      </c>
      <c r="H182" s="34"/>
      <c r="I182" s="34"/>
      <c r="J182" s="30"/>
      <c r="K182" s="33">
        <v>41659</v>
      </c>
      <c r="L182" s="33">
        <v>41734</v>
      </c>
      <c r="M182" s="334">
        <v>5</v>
      </c>
      <c r="N182" s="20" t="s">
        <v>542</v>
      </c>
      <c r="O182" s="30" t="s">
        <v>197</v>
      </c>
      <c r="P182" s="30" t="s">
        <v>190</v>
      </c>
      <c r="Q182" s="30" t="s">
        <v>324</v>
      </c>
      <c r="R182" s="35">
        <v>128</v>
      </c>
      <c r="S182" s="20" t="s">
        <v>324</v>
      </c>
      <c r="T182" s="327">
        <f t="shared" si="116"/>
        <v>128</v>
      </c>
      <c r="U182" s="327">
        <f t="shared" si="117"/>
        <v>0</v>
      </c>
      <c r="V182" s="327">
        <f t="shared" si="118"/>
        <v>0</v>
      </c>
      <c r="W182" s="327">
        <f t="shared" si="119"/>
        <v>0</v>
      </c>
      <c r="Y182" s="318"/>
      <c r="Z182" s="318"/>
    </row>
    <row r="183" spans="1:26" s="222" customFormat="1" ht="25.5" x14ac:dyDescent="0.2">
      <c r="A183" s="222">
        <v>122</v>
      </c>
      <c r="B183" s="214">
        <v>397182</v>
      </c>
      <c r="C183" s="189" t="s">
        <v>470</v>
      </c>
      <c r="D183" s="189" t="s">
        <v>208</v>
      </c>
      <c r="E183" s="215">
        <v>41176</v>
      </c>
      <c r="F183" s="322">
        <v>41734</v>
      </c>
      <c r="G183" s="189">
        <v>29</v>
      </c>
      <c r="H183" s="34"/>
      <c r="I183" s="34"/>
      <c r="J183" s="30"/>
      <c r="K183" s="33">
        <v>41659</v>
      </c>
      <c r="L183" s="33">
        <v>41734</v>
      </c>
      <c r="M183" s="334">
        <v>5</v>
      </c>
      <c r="N183" s="189" t="s">
        <v>538</v>
      </c>
      <c r="O183" s="30" t="s">
        <v>565</v>
      </c>
      <c r="P183" s="30" t="s">
        <v>190</v>
      </c>
      <c r="Q183" s="30" t="s">
        <v>166</v>
      </c>
      <c r="R183" s="35">
        <v>160</v>
      </c>
      <c r="S183" s="189" t="s">
        <v>517</v>
      </c>
      <c r="T183" s="327">
        <f t="shared" si="116"/>
        <v>160</v>
      </c>
      <c r="U183" s="327">
        <f t="shared" si="117"/>
        <v>0</v>
      </c>
      <c r="V183" s="327">
        <f t="shared" si="118"/>
        <v>0</v>
      </c>
      <c r="W183" s="327">
        <f t="shared" si="119"/>
        <v>0</v>
      </c>
      <c r="Y183" s="318"/>
      <c r="Z183" s="318"/>
    </row>
    <row r="184" spans="1:26" s="222" customFormat="1" ht="25.5" x14ac:dyDescent="0.2">
      <c r="A184" s="222">
        <v>123</v>
      </c>
      <c r="B184" s="48">
        <v>397175</v>
      </c>
      <c r="C184" s="189" t="s">
        <v>471</v>
      </c>
      <c r="D184" s="20" t="s">
        <v>208</v>
      </c>
      <c r="E184" s="59">
        <v>41176</v>
      </c>
      <c r="F184" s="322">
        <v>41734</v>
      </c>
      <c r="G184" s="20">
        <v>36</v>
      </c>
      <c r="H184" s="34"/>
      <c r="I184" s="34"/>
      <c r="J184" s="30"/>
      <c r="K184" s="33">
        <v>41659</v>
      </c>
      <c r="L184" s="33">
        <v>41734</v>
      </c>
      <c r="M184" s="334">
        <v>5</v>
      </c>
      <c r="N184" s="189" t="s">
        <v>538</v>
      </c>
      <c r="O184" s="30" t="s">
        <v>561</v>
      </c>
      <c r="P184" s="30" t="s">
        <v>190</v>
      </c>
      <c r="Q184" s="30" t="s">
        <v>678</v>
      </c>
      <c r="R184" s="35">
        <v>160</v>
      </c>
      <c r="S184" s="20" t="s">
        <v>518</v>
      </c>
      <c r="T184" s="327">
        <f t="shared" si="116"/>
        <v>160</v>
      </c>
      <c r="U184" s="327">
        <f t="shared" si="117"/>
        <v>0</v>
      </c>
      <c r="V184" s="327">
        <f t="shared" si="118"/>
        <v>0</v>
      </c>
      <c r="W184" s="327">
        <f t="shared" si="119"/>
        <v>0</v>
      </c>
      <c r="Y184" s="318"/>
      <c r="Z184" s="318"/>
    </row>
    <row r="185" spans="1:26" s="222" customFormat="1" ht="25.5" x14ac:dyDescent="0.2">
      <c r="A185" s="222">
        <v>124</v>
      </c>
      <c r="B185" s="48">
        <v>422865</v>
      </c>
      <c r="C185" s="20" t="s">
        <v>702</v>
      </c>
      <c r="D185" s="20" t="s">
        <v>208</v>
      </c>
      <c r="E185" s="59">
        <v>41176</v>
      </c>
      <c r="F185" s="322">
        <v>41734</v>
      </c>
      <c r="G185" s="20">
        <v>37</v>
      </c>
      <c r="H185" s="34"/>
      <c r="I185" s="34"/>
      <c r="J185" s="30"/>
      <c r="K185" s="33">
        <v>41659</v>
      </c>
      <c r="L185" s="33">
        <v>41734</v>
      </c>
      <c r="M185" s="334">
        <v>5</v>
      </c>
      <c r="N185" s="189" t="s">
        <v>543</v>
      </c>
      <c r="O185" s="30" t="s">
        <v>874</v>
      </c>
      <c r="P185" s="30" t="s">
        <v>190</v>
      </c>
      <c r="Q185" s="30" t="s">
        <v>254</v>
      </c>
      <c r="R185" s="35">
        <v>192</v>
      </c>
      <c r="S185" s="20" t="s">
        <v>520</v>
      </c>
      <c r="T185" s="327">
        <f t="shared" si="116"/>
        <v>192</v>
      </c>
      <c r="U185" s="327">
        <f t="shared" si="117"/>
        <v>0</v>
      </c>
      <c r="V185" s="327">
        <f t="shared" si="118"/>
        <v>0</v>
      </c>
      <c r="W185" s="327">
        <f t="shared" si="119"/>
        <v>0</v>
      </c>
      <c r="Y185" s="318"/>
      <c r="Z185" s="318"/>
    </row>
    <row r="186" spans="1:26" s="222" customFormat="1" ht="25.5" x14ac:dyDescent="0.2">
      <c r="A186" s="222">
        <v>125</v>
      </c>
      <c r="B186" s="48">
        <v>433861</v>
      </c>
      <c r="C186" s="20" t="s">
        <v>702</v>
      </c>
      <c r="D186" s="20" t="s">
        <v>208</v>
      </c>
      <c r="E186" s="59">
        <v>41211</v>
      </c>
      <c r="F186" s="322">
        <v>41734</v>
      </c>
      <c r="G186" s="20">
        <v>41</v>
      </c>
      <c r="H186" s="34"/>
      <c r="I186" s="34"/>
      <c r="J186" s="30"/>
      <c r="K186" s="33">
        <v>41659</v>
      </c>
      <c r="L186" s="33">
        <v>41734</v>
      </c>
      <c r="M186" s="334">
        <v>5</v>
      </c>
      <c r="N186" s="20" t="s">
        <v>538</v>
      </c>
      <c r="O186" s="30" t="s">
        <v>875</v>
      </c>
      <c r="P186" s="30" t="s">
        <v>190</v>
      </c>
      <c r="Q186" s="30" t="s">
        <v>298</v>
      </c>
      <c r="R186" s="35">
        <v>192</v>
      </c>
      <c r="S186" s="20" t="s">
        <v>516</v>
      </c>
      <c r="T186" s="327">
        <f t="shared" si="116"/>
        <v>192</v>
      </c>
      <c r="U186" s="327">
        <f t="shared" si="117"/>
        <v>0</v>
      </c>
      <c r="V186" s="327">
        <f t="shared" si="118"/>
        <v>0</v>
      </c>
      <c r="W186" s="327">
        <f t="shared" si="119"/>
        <v>0</v>
      </c>
      <c r="Y186" s="318"/>
      <c r="Z186" s="318"/>
    </row>
    <row r="187" spans="1:26" s="222" customFormat="1" ht="25.5" x14ac:dyDescent="0.2">
      <c r="A187" s="222">
        <v>126</v>
      </c>
      <c r="B187" s="20">
        <v>481488</v>
      </c>
      <c r="C187" s="20" t="s">
        <v>702</v>
      </c>
      <c r="D187" s="189" t="s">
        <v>208</v>
      </c>
      <c r="E187" s="59">
        <v>41295</v>
      </c>
      <c r="F187" s="59">
        <v>41811</v>
      </c>
      <c r="G187" s="20">
        <v>28</v>
      </c>
      <c r="H187" s="34"/>
      <c r="I187" s="34"/>
      <c r="J187" s="30"/>
      <c r="K187" s="33">
        <v>41659</v>
      </c>
      <c r="L187" s="33">
        <v>41811</v>
      </c>
      <c r="M187" s="334">
        <v>5</v>
      </c>
      <c r="N187" s="20" t="s">
        <v>540</v>
      </c>
      <c r="O187" s="30" t="s">
        <v>876</v>
      </c>
      <c r="P187" s="30" t="s">
        <v>190</v>
      </c>
      <c r="Q187" s="30" t="s">
        <v>257</v>
      </c>
      <c r="R187" s="35">
        <v>384</v>
      </c>
      <c r="S187" s="20" t="s">
        <v>524</v>
      </c>
      <c r="T187" s="327">
        <f t="shared" si="116"/>
        <v>190.72847682119206</v>
      </c>
      <c r="U187" s="327">
        <f t="shared" si="117"/>
        <v>193.27152317880794</v>
      </c>
      <c r="V187" s="327">
        <f t="shared" si="118"/>
        <v>0</v>
      </c>
      <c r="W187" s="327">
        <f t="shared" si="119"/>
        <v>0</v>
      </c>
      <c r="Y187" s="318"/>
      <c r="Z187" s="318"/>
    </row>
    <row r="188" spans="1:26" s="222" customFormat="1" ht="25.5" x14ac:dyDescent="0.2">
      <c r="A188" s="222">
        <v>127</v>
      </c>
      <c r="B188" s="20">
        <v>511115</v>
      </c>
      <c r="C188" s="20" t="s">
        <v>702</v>
      </c>
      <c r="D188" s="20" t="s">
        <v>208</v>
      </c>
      <c r="E188" s="59">
        <v>41379</v>
      </c>
      <c r="F188" s="59">
        <v>41902</v>
      </c>
      <c r="G188" s="20">
        <v>17</v>
      </c>
      <c r="H188" s="34"/>
      <c r="I188" s="34"/>
      <c r="J188" s="30"/>
      <c r="K188" s="33">
        <v>41659</v>
      </c>
      <c r="L188" s="33">
        <v>41902</v>
      </c>
      <c r="M188" s="334">
        <v>5</v>
      </c>
      <c r="N188" s="20" t="s">
        <v>542</v>
      </c>
      <c r="O188" s="30" t="s">
        <v>877</v>
      </c>
      <c r="P188" s="30" t="s">
        <v>190</v>
      </c>
      <c r="Q188" s="30" t="s">
        <v>165</v>
      </c>
      <c r="R188" s="35">
        <v>288</v>
      </c>
      <c r="S188" s="20" t="s">
        <v>507</v>
      </c>
      <c r="T188" s="327">
        <f t="shared" si="116"/>
        <v>90</v>
      </c>
      <c r="U188" s="327">
        <f t="shared" si="117"/>
        <v>99</v>
      </c>
      <c r="V188" s="327">
        <f t="shared" si="118"/>
        <v>99</v>
      </c>
      <c r="W188" s="327">
        <f t="shared" si="119"/>
        <v>0</v>
      </c>
      <c r="Y188" s="318"/>
      <c r="Z188" s="318"/>
    </row>
    <row r="189" spans="1:26" s="222" customFormat="1" ht="25.5" x14ac:dyDescent="0.2">
      <c r="A189" s="222">
        <v>128</v>
      </c>
      <c r="B189" s="452">
        <v>472173</v>
      </c>
      <c r="C189" s="452" t="s">
        <v>702</v>
      </c>
      <c r="D189" s="189" t="s">
        <v>208</v>
      </c>
      <c r="E189" s="448">
        <v>41379</v>
      </c>
      <c r="F189" s="448">
        <v>41902</v>
      </c>
      <c r="G189" s="452">
        <v>25</v>
      </c>
      <c r="H189" s="34"/>
      <c r="I189" s="34"/>
      <c r="J189" s="30"/>
      <c r="K189" s="33">
        <v>41659</v>
      </c>
      <c r="L189" s="33">
        <v>41902</v>
      </c>
      <c r="M189" s="334">
        <v>2</v>
      </c>
      <c r="N189" s="20" t="s">
        <v>540</v>
      </c>
      <c r="O189" s="30" t="s">
        <v>878</v>
      </c>
      <c r="P189" s="30" t="s">
        <v>190</v>
      </c>
      <c r="Q189" s="30" t="s">
        <v>165</v>
      </c>
      <c r="R189" s="35">
        <v>315</v>
      </c>
      <c r="S189" s="20" t="s">
        <v>507</v>
      </c>
      <c r="T189" s="327">
        <f t="shared" ref="T189:T190" si="124">IF(K189=$T$3,$T$5*R189/DAYS360(K189,L189),0)</f>
        <v>98.4375</v>
      </c>
      <c r="U189" s="327">
        <f t="shared" ref="U189:U190" si="125">IF(K189=$U$3,$U$5*R189/DAYS360(K189,L189),0)+IF(K189=$T$3,IF(L189=$U$4,R189-T189,0),0)+IF(K189=$T$3,IF(L189=$V$4,(R189-T189)/2,0),0)+IF(K189=$T$3,IF(L189=$W$4,(R189-T189)/3,0),0)</f>
        <v>108.28125</v>
      </c>
      <c r="V189" s="327">
        <f t="shared" ref="V189:V190" si="126">IF(K189=$V$3,$V$5*R189/DAYS360(K189,L189),0)+IF(K189=$T$3,IF(L189=$V$4,R189-T189-U189,0),0)+IF(K189=$T$3,IF(L189=$W$4,(R189-T189-U189)/2,0),0)+IF(K189=$U$3,IF(L189=$V$4,R189-U189,0),0)+IF(K189=$U$3,IF(L189=$W$4,(R189-U189)/2,0),0)</f>
        <v>108.28125</v>
      </c>
      <c r="W189" s="327">
        <f t="shared" ref="W189:W190" si="127">IF(K189=$W$3,$W$5*R189/DAYS360(K189,L189),0)+IF(K189=$T$3,IF(L189=$W$4,R189-T189-U189-V189,0),0)+IF(K189=$U$3,IF(L189=$W$4,R189-U189-V189,0),0)+IF(K189=$V$3,IF(L189=$W$4,R189-V189,0),0)</f>
        <v>0</v>
      </c>
      <c r="Y189" s="318"/>
      <c r="Z189" s="318"/>
    </row>
    <row r="190" spans="1:26" s="222" customFormat="1" ht="25.5" x14ac:dyDescent="0.2">
      <c r="A190" s="222">
        <v>128</v>
      </c>
      <c r="B190" s="462"/>
      <c r="C190" s="462"/>
      <c r="D190" s="189" t="s">
        <v>208</v>
      </c>
      <c r="E190" s="460"/>
      <c r="F190" s="460"/>
      <c r="G190" s="462"/>
      <c r="H190" s="34"/>
      <c r="I190" s="34"/>
      <c r="J190" s="30"/>
      <c r="K190" s="33">
        <v>41659</v>
      </c>
      <c r="L190" s="33">
        <v>41902</v>
      </c>
      <c r="M190" s="334">
        <v>1</v>
      </c>
      <c r="N190" s="20" t="s">
        <v>540</v>
      </c>
      <c r="O190" s="30" t="s">
        <v>878</v>
      </c>
      <c r="P190" s="30" t="s">
        <v>190</v>
      </c>
      <c r="Q190" s="30" t="s">
        <v>244</v>
      </c>
      <c r="R190" s="35">
        <v>165</v>
      </c>
      <c r="S190" s="20" t="s">
        <v>507</v>
      </c>
      <c r="T190" s="327">
        <f t="shared" si="124"/>
        <v>51.5625</v>
      </c>
      <c r="U190" s="327">
        <f t="shared" si="125"/>
        <v>56.71875</v>
      </c>
      <c r="V190" s="327">
        <f t="shared" si="126"/>
        <v>56.71875</v>
      </c>
      <c r="W190" s="327">
        <f t="shared" si="127"/>
        <v>0</v>
      </c>
      <c r="Y190" s="318"/>
      <c r="Z190" s="318"/>
    </row>
    <row r="191" spans="1:26" s="222" customFormat="1" ht="25.5" x14ac:dyDescent="0.2">
      <c r="A191" s="222">
        <v>128</v>
      </c>
      <c r="B191" s="453"/>
      <c r="C191" s="453"/>
      <c r="D191" s="189" t="s">
        <v>208</v>
      </c>
      <c r="E191" s="449"/>
      <c r="F191" s="449"/>
      <c r="G191" s="453"/>
      <c r="H191" s="34"/>
      <c r="I191" s="34"/>
      <c r="J191" s="30"/>
      <c r="K191" s="33">
        <v>41659</v>
      </c>
      <c r="L191" s="33">
        <v>41902</v>
      </c>
      <c r="M191" s="334">
        <v>2</v>
      </c>
      <c r="N191" s="20" t="s">
        <v>540</v>
      </c>
      <c r="O191" s="30" t="s">
        <v>878</v>
      </c>
      <c r="P191" s="30" t="s">
        <v>190</v>
      </c>
      <c r="Q191" s="30" t="s">
        <v>242</v>
      </c>
      <c r="R191" s="35">
        <v>372</v>
      </c>
      <c r="S191" s="20" t="s">
        <v>507</v>
      </c>
      <c r="T191" s="327">
        <f t="shared" si="116"/>
        <v>116.25</v>
      </c>
      <c r="U191" s="327">
        <f t="shared" si="117"/>
        <v>127.875</v>
      </c>
      <c r="V191" s="327">
        <f t="shared" si="118"/>
        <v>127.875</v>
      </c>
      <c r="W191" s="327">
        <f t="shared" si="119"/>
        <v>0</v>
      </c>
      <c r="Y191" s="318"/>
      <c r="Z191" s="318"/>
    </row>
    <row r="192" spans="1:26" s="222" customFormat="1" ht="25.5" x14ac:dyDescent="0.2">
      <c r="A192" s="222">
        <v>128</v>
      </c>
      <c r="B192" s="452">
        <v>472174</v>
      </c>
      <c r="C192" s="452" t="s">
        <v>702</v>
      </c>
      <c r="D192" s="189" t="s">
        <v>208</v>
      </c>
      <c r="E192" s="448">
        <v>41379</v>
      </c>
      <c r="F192" s="448">
        <v>41902</v>
      </c>
      <c r="G192" s="452">
        <v>25</v>
      </c>
      <c r="H192" s="34"/>
      <c r="I192" s="34"/>
      <c r="J192" s="30"/>
      <c r="K192" s="33">
        <v>41659</v>
      </c>
      <c r="L192" s="33">
        <v>41902</v>
      </c>
      <c r="M192" s="334">
        <v>2</v>
      </c>
      <c r="N192" s="20" t="s">
        <v>540</v>
      </c>
      <c r="O192" s="30" t="s">
        <v>878</v>
      </c>
      <c r="P192" s="30" t="s">
        <v>190</v>
      </c>
      <c r="Q192" s="30" t="s">
        <v>165</v>
      </c>
      <c r="R192" s="35">
        <v>315</v>
      </c>
      <c r="S192" s="20" t="s">
        <v>507</v>
      </c>
      <c r="T192" s="327">
        <f t="shared" si="116"/>
        <v>98.4375</v>
      </c>
      <c r="U192" s="327">
        <f t="shared" si="117"/>
        <v>108.28125</v>
      </c>
      <c r="V192" s="327">
        <f t="shared" si="118"/>
        <v>108.28125</v>
      </c>
      <c r="W192" s="327">
        <f t="shared" si="119"/>
        <v>0</v>
      </c>
      <c r="Y192" s="318"/>
      <c r="Z192" s="318"/>
    </row>
    <row r="193" spans="1:26" s="222" customFormat="1" ht="25.5" x14ac:dyDescent="0.2">
      <c r="A193" s="222">
        <v>128</v>
      </c>
      <c r="B193" s="462"/>
      <c r="C193" s="462"/>
      <c r="D193" s="189" t="s">
        <v>208</v>
      </c>
      <c r="E193" s="460"/>
      <c r="F193" s="460"/>
      <c r="G193" s="462"/>
      <c r="H193" s="34"/>
      <c r="I193" s="34"/>
      <c r="J193" s="30"/>
      <c r="K193" s="33">
        <v>41659</v>
      </c>
      <c r="L193" s="33">
        <v>41902</v>
      </c>
      <c r="M193" s="334">
        <v>1</v>
      </c>
      <c r="N193" s="20" t="s">
        <v>540</v>
      </c>
      <c r="O193" s="30" t="s">
        <v>878</v>
      </c>
      <c r="P193" s="30" t="s">
        <v>190</v>
      </c>
      <c r="Q193" s="30" t="s">
        <v>244</v>
      </c>
      <c r="R193" s="35">
        <v>165</v>
      </c>
      <c r="S193" s="20" t="s">
        <v>507</v>
      </c>
      <c r="T193" s="327">
        <f t="shared" si="116"/>
        <v>51.5625</v>
      </c>
      <c r="U193" s="327">
        <f t="shared" si="117"/>
        <v>56.71875</v>
      </c>
      <c r="V193" s="327">
        <f t="shared" si="118"/>
        <v>56.71875</v>
      </c>
      <c r="W193" s="327">
        <f t="shared" si="119"/>
        <v>0</v>
      </c>
      <c r="Y193" s="318"/>
      <c r="Z193" s="318"/>
    </row>
    <row r="194" spans="1:26" s="222" customFormat="1" ht="25.5" x14ac:dyDescent="0.2">
      <c r="A194" s="222">
        <v>128</v>
      </c>
      <c r="B194" s="453"/>
      <c r="C194" s="453"/>
      <c r="D194" s="189" t="s">
        <v>208</v>
      </c>
      <c r="E194" s="449"/>
      <c r="F194" s="449"/>
      <c r="G194" s="453"/>
      <c r="H194" s="34"/>
      <c r="I194" s="34"/>
      <c r="J194" s="30"/>
      <c r="K194" s="33">
        <v>41659</v>
      </c>
      <c r="L194" s="33">
        <v>41902</v>
      </c>
      <c r="M194" s="334">
        <v>2</v>
      </c>
      <c r="N194" s="20" t="s">
        <v>540</v>
      </c>
      <c r="O194" s="30" t="s">
        <v>878</v>
      </c>
      <c r="P194" s="30" t="s">
        <v>190</v>
      </c>
      <c r="Q194" s="30" t="s">
        <v>242</v>
      </c>
      <c r="R194" s="35">
        <v>372</v>
      </c>
      <c r="S194" s="20" t="s">
        <v>507</v>
      </c>
      <c r="T194" s="327">
        <f t="shared" ref="T194" si="128">IF(K194=$T$3,$T$5*R194/DAYS360(K194,L194),0)</f>
        <v>116.25</v>
      </c>
      <c r="U194" s="327">
        <f t="shared" ref="U194" si="129">IF(K194=$U$3,$U$5*R194/DAYS360(K194,L194),0)+IF(K194=$T$3,IF(L194=$U$4,R194-T194,0),0)+IF(K194=$T$3,IF(L194=$V$4,(R194-T194)/2,0),0)+IF(K194=$T$3,IF(L194=$W$4,(R194-T194)/3,0),0)</f>
        <v>127.875</v>
      </c>
      <c r="V194" s="327">
        <f t="shared" ref="V194" si="130">IF(K194=$V$3,$V$5*R194/DAYS360(K194,L194),0)+IF(K194=$T$3,IF(L194=$V$4,R194-T194-U194,0),0)+IF(K194=$T$3,IF(L194=$W$4,(R194-T194-U194)/2,0),0)+IF(K194=$U$3,IF(L194=$V$4,R194-U194,0),0)+IF(K194=$U$3,IF(L194=$W$4,(R194-U194)/2,0),0)</f>
        <v>127.875</v>
      </c>
      <c r="W194" s="327">
        <f t="shared" ref="W194" si="131">IF(K194=$W$3,$W$5*R194/DAYS360(K194,L194),0)+IF(K194=$T$3,IF(L194=$W$4,R194-T194-U194-V194,0),0)+IF(K194=$U$3,IF(L194=$W$4,R194-U194-V194,0),0)+IF(K194=$V$3,IF(L194=$W$4,R194-V194,0),0)</f>
        <v>0</v>
      </c>
      <c r="Y194" s="318"/>
      <c r="Z194" s="318"/>
    </row>
    <row r="195" spans="1:26" s="222" customFormat="1" ht="25.5" x14ac:dyDescent="0.2">
      <c r="A195" s="222">
        <v>131</v>
      </c>
      <c r="B195" s="319">
        <v>541451</v>
      </c>
      <c r="C195" s="189" t="s">
        <v>468</v>
      </c>
      <c r="D195" s="319" t="s">
        <v>208</v>
      </c>
      <c r="E195" s="322">
        <v>41421</v>
      </c>
      <c r="F195" s="59">
        <v>41983</v>
      </c>
      <c r="G195" s="20">
        <v>31</v>
      </c>
      <c r="H195" s="34"/>
      <c r="I195" s="34"/>
      <c r="J195" s="30"/>
      <c r="K195" s="33">
        <v>41659</v>
      </c>
      <c r="L195" s="33">
        <v>41983</v>
      </c>
      <c r="M195" s="334">
        <v>5</v>
      </c>
      <c r="N195" s="319" t="s">
        <v>544</v>
      </c>
      <c r="O195" s="30" t="s">
        <v>879</v>
      </c>
      <c r="P195" s="30" t="s">
        <v>190</v>
      </c>
      <c r="Q195" s="30" t="s">
        <v>159</v>
      </c>
      <c r="R195" s="35">
        <v>636</v>
      </c>
      <c r="S195" s="49" t="s">
        <v>508</v>
      </c>
      <c r="T195" s="327">
        <f t="shared" si="116"/>
        <v>149.0625</v>
      </c>
      <c r="U195" s="327">
        <f t="shared" si="117"/>
        <v>162.3125</v>
      </c>
      <c r="V195" s="327">
        <f t="shared" si="118"/>
        <v>162.3125</v>
      </c>
      <c r="W195" s="327">
        <f t="shared" si="119"/>
        <v>162.3125</v>
      </c>
      <c r="Y195" s="318"/>
      <c r="Z195" s="318"/>
    </row>
    <row r="196" spans="1:26" s="222" customFormat="1" ht="25.5" x14ac:dyDescent="0.2">
      <c r="A196" s="222">
        <v>132</v>
      </c>
      <c r="B196" s="48" t="s">
        <v>450</v>
      </c>
      <c r="C196" s="319" t="s">
        <v>473</v>
      </c>
      <c r="D196" s="319" t="s">
        <v>208</v>
      </c>
      <c r="E196" s="322">
        <v>41421</v>
      </c>
      <c r="F196" s="322">
        <v>41698</v>
      </c>
      <c r="G196" s="20">
        <v>24</v>
      </c>
      <c r="H196" s="34"/>
      <c r="I196" s="34"/>
      <c r="J196" s="30"/>
      <c r="K196" s="33">
        <v>41659</v>
      </c>
      <c r="L196" s="33">
        <v>41734</v>
      </c>
      <c r="M196" s="334">
        <v>2</v>
      </c>
      <c r="N196" s="319" t="s">
        <v>546</v>
      </c>
      <c r="O196" s="30" t="s">
        <v>879</v>
      </c>
      <c r="P196" s="30" t="s">
        <v>190</v>
      </c>
      <c r="Q196" s="30" t="s">
        <v>159</v>
      </c>
      <c r="R196" s="35">
        <v>110</v>
      </c>
      <c r="S196" s="49" t="s">
        <v>508</v>
      </c>
      <c r="T196" s="327">
        <f t="shared" si="116"/>
        <v>110</v>
      </c>
      <c r="U196" s="327">
        <f t="shared" si="117"/>
        <v>0</v>
      </c>
      <c r="V196" s="327">
        <f t="shared" si="118"/>
        <v>0</v>
      </c>
      <c r="W196" s="327">
        <f t="shared" si="119"/>
        <v>0</v>
      </c>
      <c r="Y196" s="318"/>
      <c r="Z196" s="318"/>
    </row>
    <row r="197" spans="1:26" s="222" customFormat="1" ht="38.25" x14ac:dyDescent="0.2">
      <c r="A197" s="222">
        <v>133</v>
      </c>
      <c r="B197" s="20">
        <v>569436</v>
      </c>
      <c r="C197" s="189" t="s">
        <v>703</v>
      </c>
      <c r="D197" s="20" t="s">
        <v>208</v>
      </c>
      <c r="E197" s="59">
        <v>41463</v>
      </c>
      <c r="F197" s="322">
        <v>41734</v>
      </c>
      <c r="G197" s="20">
        <v>41</v>
      </c>
      <c r="H197" s="34"/>
      <c r="I197" s="34"/>
      <c r="J197" s="30"/>
      <c r="K197" s="33">
        <v>41659</v>
      </c>
      <c r="L197" s="33">
        <v>41734</v>
      </c>
      <c r="M197" s="334">
        <v>5</v>
      </c>
      <c r="N197" s="189" t="s">
        <v>542</v>
      </c>
      <c r="O197" s="30" t="s">
        <v>565</v>
      </c>
      <c r="P197" s="30" t="s">
        <v>190</v>
      </c>
      <c r="Q197" s="30" t="s">
        <v>166</v>
      </c>
      <c r="R197" s="35">
        <v>162</v>
      </c>
      <c r="S197" s="189" t="s">
        <v>517</v>
      </c>
      <c r="T197" s="327">
        <f t="shared" si="116"/>
        <v>162</v>
      </c>
      <c r="U197" s="327">
        <f t="shared" si="117"/>
        <v>0</v>
      </c>
      <c r="V197" s="327">
        <f t="shared" si="118"/>
        <v>0</v>
      </c>
      <c r="W197" s="327">
        <f t="shared" si="119"/>
        <v>0</v>
      </c>
      <c r="Y197" s="318"/>
      <c r="Z197" s="318"/>
    </row>
    <row r="198" spans="1:26" s="222" customFormat="1" ht="140.25" x14ac:dyDescent="0.2">
      <c r="A198" s="222">
        <v>134</v>
      </c>
      <c r="B198" s="319">
        <v>619265</v>
      </c>
      <c r="C198" s="319" t="s">
        <v>704</v>
      </c>
      <c r="D198" s="319" t="s">
        <v>208</v>
      </c>
      <c r="E198" s="322">
        <v>41540</v>
      </c>
      <c r="F198" s="322">
        <v>41734</v>
      </c>
      <c r="G198" s="20">
        <v>33</v>
      </c>
      <c r="H198" s="34"/>
      <c r="I198" s="34"/>
      <c r="J198" s="30"/>
      <c r="K198" s="33">
        <v>41659</v>
      </c>
      <c r="L198" s="33">
        <v>41734</v>
      </c>
      <c r="M198" s="334">
        <v>5</v>
      </c>
      <c r="N198" s="319" t="s">
        <v>540</v>
      </c>
      <c r="O198" s="30" t="s">
        <v>604</v>
      </c>
      <c r="P198" s="30" t="s">
        <v>197</v>
      </c>
      <c r="Q198" s="30" t="s">
        <v>160</v>
      </c>
      <c r="R198" s="35">
        <v>270</v>
      </c>
      <c r="S198" s="20" t="s">
        <v>736</v>
      </c>
      <c r="T198" s="327">
        <f t="shared" si="116"/>
        <v>270</v>
      </c>
      <c r="U198" s="327">
        <f t="shared" si="117"/>
        <v>0</v>
      </c>
      <c r="V198" s="327">
        <f t="shared" si="118"/>
        <v>0</v>
      </c>
      <c r="W198" s="327">
        <f t="shared" si="119"/>
        <v>0</v>
      </c>
      <c r="Y198" s="318"/>
      <c r="Z198" s="318"/>
    </row>
    <row r="199" spans="1:26" s="222" customFormat="1" ht="140.25" x14ac:dyDescent="0.2">
      <c r="A199" s="222">
        <v>135</v>
      </c>
      <c r="B199" s="319">
        <v>619266</v>
      </c>
      <c r="C199" s="319" t="s">
        <v>704</v>
      </c>
      <c r="D199" s="319" t="s">
        <v>208</v>
      </c>
      <c r="E199" s="322">
        <v>41540</v>
      </c>
      <c r="F199" s="322">
        <v>41734</v>
      </c>
      <c r="G199" s="20">
        <v>33</v>
      </c>
      <c r="H199" s="34"/>
      <c r="I199" s="34"/>
      <c r="J199" s="30"/>
      <c r="K199" s="33">
        <v>41659</v>
      </c>
      <c r="L199" s="33">
        <v>41734</v>
      </c>
      <c r="M199" s="334">
        <v>5</v>
      </c>
      <c r="N199" s="319" t="s">
        <v>540</v>
      </c>
      <c r="O199" s="30" t="s">
        <v>604</v>
      </c>
      <c r="P199" s="30" t="s">
        <v>197</v>
      </c>
      <c r="Q199" s="30" t="s">
        <v>282</v>
      </c>
      <c r="R199" s="35">
        <v>270</v>
      </c>
      <c r="S199" s="20" t="s">
        <v>736</v>
      </c>
      <c r="T199" s="327">
        <f t="shared" si="116"/>
        <v>270</v>
      </c>
      <c r="U199" s="327">
        <f t="shared" si="117"/>
        <v>0</v>
      </c>
      <c r="V199" s="327">
        <f t="shared" si="118"/>
        <v>0</v>
      </c>
      <c r="W199" s="327">
        <f t="shared" si="119"/>
        <v>0</v>
      </c>
      <c r="Y199" s="318"/>
      <c r="Z199" s="318"/>
    </row>
    <row r="200" spans="1:26" s="222" customFormat="1" ht="25.5" x14ac:dyDescent="0.2">
      <c r="A200" s="222">
        <v>136</v>
      </c>
      <c r="B200" s="452">
        <v>609931</v>
      </c>
      <c r="C200" s="452" t="s">
        <v>702</v>
      </c>
      <c r="D200" s="20" t="s">
        <v>208</v>
      </c>
      <c r="E200" s="448">
        <v>41540</v>
      </c>
      <c r="F200" s="448">
        <v>42108</v>
      </c>
      <c r="G200" s="452">
        <v>24</v>
      </c>
      <c r="H200" s="34"/>
      <c r="I200" s="34"/>
      <c r="J200" s="30"/>
      <c r="K200" s="33">
        <v>41659</v>
      </c>
      <c r="L200" s="33">
        <v>41983</v>
      </c>
      <c r="M200" s="334">
        <v>3</v>
      </c>
      <c r="N200" s="189" t="s">
        <v>541</v>
      </c>
      <c r="O200" s="30" t="s">
        <v>563</v>
      </c>
      <c r="P200" s="30" t="s">
        <v>190</v>
      </c>
      <c r="Q200" s="30" t="s">
        <v>244</v>
      </c>
      <c r="R200" s="35">
        <v>640</v>
      </c>
      <c r="S200" s="20" t="s">
        <v>509</v>
      </c>
      <c r="T200" s="327">
        <f t="shared" ref="T200:T201" si="132">IF(K200=$T$3,$T$5*R200/DAYS360(K200,L200),0)</f>
        <v>150</v>
      </c>
      <c r="U200" s="327">
        <f t="shared" ref="U200:U201" si="133">IF(K200=$U$3,$U$5*R200/DAYS360(K200,L200),0)+IF(K200=$T$3,IF(L200=$U$4,R200-T200,0),0)+IF(K200=$T$3,IF(L200=$V$4,(R200-T200)/2,0),0)+IF(K200=$T$3,IF(L200=$W$4,(R200-T200)/3,0),0)</f>
        <v>163.33333333333334</v>
      </c>
      <c r="V200" s="327">
        <f t="shared" ref="V200:V201" si="134">IF(K200=$V$3,$V$5*R200/DAYS360(K200,L200),0)+IF(K200=$T$3,IF(L200=$V$4,R200-T200-U200,0),0)+IF(K200=$T$3,IF(L200=$W$4,(R200-T200-U200)/2,0),0)+IF(K200=$U$3,IF(L200=$V$4,R200-U200,0),0)+IF(K200=$U$3,IF(L200=$W$4,(R200-U200)/2,0),0)</f>
        <v>163.33333333333331</v>
      </c>
      <c r="W200" s="327">
        <f t="shared" ref="W200:W201" si="135">IF(K200=$W$3,$W$5*R200/DAYS360(K200,L200),0)+IF(K200=$T$3,IF(L200=$W$4,R200-T200-U200-V200,0),0)+IF(K200=$U$3,IF(L200=$W$4,R200-U200-V200,0),0)+IF(K200=$V$3,IF(L200=$W$4,R200-V200,0),0)</f>
        <v>163.33333333333331</v>
      </c>
      <c r="Y200" s="318"/>
      <c r="Z200" s="318"/>
    </row>
    <row r="201" spans="1:26" s="222" customFormat="1" ht="25.5" x14ac:dyDescent="0.2">
      <c r="A201" s="222">
        <v>136</v>
      </c>
      <c r="B201" s="462"/>
      <c r="C201" s="462"/>
      <c r="D201" s="20" t="s">
        <v>208</v>
      </c>
      <c r="E201" s="460"/>
      <c r="F201" s="460"/>
      <c r="G201" s="462"/>
      <c r="H201" s="34"/>
      <c r="I201" s="34"/>
      <c r="J201" s="30"/>
      <c r="K201" s="33">
        <v>41659</v>
      </c>
      <c r="L201" s="33">
        <v>41983</v>
      </c>
      <c r="M201" s="334">
        <v>2</v>
      </c>
      <c r="N201" s="189" t="s">
        <v>541</v>
      </c>
      <c r="O201" s="30" t="s">
        <v>563</v>
      </c>
      <c r="P201" s="30" t="s">
        <v>190</v>
      </c>
      <c r="Q201" s="30" t="s">
        <v>242</v>
      </c>
      <c r="R201" s="35">
        <v>504</v>
      </c>
      <c r="S201" s="20" t="s">
        <v>509</v>
      </c>
      <c r="T201" s="327">
        <f t="shared" si="132"/>
        <v>118.125</v>
      </c>
      <c r="U201" s="327">
        <f t="shared" si="133"/>
        <v>128.625</v>
      </c>
      <c r="V201" s="327">
        <f t="shared" si="134"/>
        <v>128.625</v>
      </c>
      <c r="W201" s="327">
        <f t="shared" si="135"/>
        <v>128.625</v>
      </c>
      <c r="Y201" s="318"/>
      <c r="Z201" s="318"/>
    </row>
    <row r="202" spans="1:26" s="222" customFormat="1" ht="25.5" x14ac:dyDescent="0.2">
      <c r="A202" s="222">
        <v>136</v>
      </c>
      <c r="B202" s="453"/>
      <c r="C202" s="453"/>
      <c r="D202" s="20" t="s">
        <v>208</v>
      </c>
      <c r="E202" s="449"/>
      <c r="F202" s="449"/>
      <c r="G202" s="453"/>
      <c r="H202" s="34"/>
      <c r="I202" s="34"/>
      <c r="J202" s="30"/>
      <c r="K202" s="33">
        <v>41659</v>
      </c>
      <c r="L202" s="33">
        <v>41734</v>
      </c>
      <c r="M202" s="334">
        <v>1</v>
      </c>
      <c r="N202" s="189" t="s">
        <v>541</v>
      </c>
      <c r="O202" s="30" t="s">
        <v>563</v>
      </c>
      <c r="P202" s="30" t="s">
        <v>190</v>
      </c>
      <c r="Q202" s="30" t="s">
        <v>880</v>
      </c>
      <c r="R202" s="35">
        <v>55</v>
      </c>
      <c r="S202" s="20" t="s">
        <v>509</v>
      </c>
      <c r="T202" s="327">
        <f t="shared" si="116"/>
        <v>55</v>
      </c>
      <c r="U202" s="327">
        <f t="shared" si="117"/>
        <v>0</v>
      </c>
      <c r="V202" s="327">
        <f t="shared" si="118"/>
        <v>0</v>
      </c>
      <c r="W202" s="327">
        <f t="shared" si="119"/>
        <v>0</v>
      </c>
      <c r="Y202" s="318"/>
      <c r="Z202" s="318"/>
    </row>
    <row r="203" spans="1:26" s="222" customFormat="1" ht="25.5" x14ac:dyDescent="0.2">
      <c r="A203" s="222">
        <v>137</v>
      </c>
      <c r="B203" s="20">
        <v>603636</v>
      </c>
      <c r="C203" s="189" t="s">
        <v>472</v>
      </c>
      <c r="D203" s="20" t="s">
        <v>208</v>
      </c>
      <c r="E203" s="59">
        <v>41540</v>
      </c>
      <c r="F203" s="322">
        <v>41734</v>
      </c>
      <c r="G203" s="20">
        <v>25</v>
      </c>
      <c r="H203" s="34"/>
      <c r="I203" s="34"/>
      <c r="J203" s="30"/>
      <c r="K203" s="33">
        <v>41659</v>
      </c>
      <c r="L203" s="33">
        <v>41734</v>
      </c>
      <c r="M203" s="334">
        <v>5</v>
      </c>
      <c r="N203" s="189" t="s">
        <v>542</v>
      </c>
      <c r="O203" s="30" t="s">
        <v>547</v>
      </c>
      <c r="P203" s="30" t="s">
        <v>197</v>
      </c>
      <c r="Q203" s="30" t="s">
        <v>737</v>
      </c>
      <c r="R203" s="35">
        <v>216</v>
      </c>
      <c r="S203" s="20" t="s">
        <v>737</v>
      </c>
      <c r="T203" s="327">
        <f t="shared" si="116"/>
        <v>216</v>
      </c>
      <c r="U203" s="327">
        <f t="shared" si="117"/>
        <v>0</v>
      </c>
      <c r="V203" s="327">
        <f t="shared" si="118"/>
        <v>0</v>
      </c>
      <c r="W203" s="327">
        <f t="shared" si="119"/>
        <v>0</v>
      </c>
      <c r="Y203" s="318"/>
      <c r="Z203" s="318"/>
    </row>
    <row r="204" spans="1:26" s="222" customFormat="1" ht="25.5" x14ac:dyDescent="0.2">
      <c r="A204" s="222">
        <v>138</v>
      </c>
      <c r="B204" s="48">
        <v>607524</v>
      </c>
      <c r="C204" s="189" t="s">
        <v>472</v>
      </c>
      <c r="D204" s="20" t="s">
        <v>208</v>
      </c>
      <c r="E204" s="59">
        <v>41540</v>
      </c>
      <c r="F204" s="322">
        <v>41734</v>
      </c>
      <c r="G204" s="20">
        <v>27</v>
      </c>
      <c r="H204" s="34"/>
      <c r="I204" s="34"/>
      <c r="J204" s="30"/>
      <c r="K204" s="33">
        <v>41659</v>
      </c>
      <c r="L204" s="33">
        <v>41734</v>
      </c>
      <c r="M204" s="334">
        <v>5</v>
      </c>
      <c r="N204" s="189" t="s">
        <v>542</v>
      </c>
      <c r="O204" s="30" t="s">
        <v>547</v>
      </c>
      <c r="P204" s="30" t="s">
        <v>197</v>
      </c>
      <c r="Q204" s="30" t="s">
        <v>288</v>
      </c>
      <c r="R204" s="35">
        <v>216</v>
      </c>
      <c r="S204" s="20" t="s">
        <v>519</v>
      </c>
      <c r="T204" s="327">
        <f t="shared" si="116"/>
        <v>216</v>
      </c>
      <c r="U204" s="327">
        <f t="shared" si="117"/>
        <v>0</v>
      </c>
      <c r="V204" s="327">
        <f t="shared" si="118"/>
        <v>0</v>
      </c>
      <c r="W204" s="327">
        <f t="shared" si="119"/>
        <v>0</v>
      </c>
      <c r="Y204" s="318"/>
      <c r="Z204" s="318"/>
    </row>
    <row r="205" spans="1:26" s="222" customFormat="1" ht="25.5" x14ac:dyDescent="0.2">
      <c r="A205" s="222">
        <v>139</v>
      </c>
      <c r="B205" s="20">
        <v>607519</v>
      </c>
      <c r="C205" s="189" t="s">
        <v>472</v>
      </c>
      <c r="D205" s="20" t="s">
        <v>208</v>
      </c>
      <c r="E205" s="59">
        <v>41540</v>
      </c>
      <c r="F205" s="322">
        <v>41734</v>
      </c>
      <c r="G205" s="20">
        <v>30</v>
      </c>
      <c r="H205" s="34"/>
      <c r="I205" s="34"/>
      <c r="J205" s="30"/>
      <c r="K205" s="33">
        <v>41659</v>
      </c>
      <c r="L205" s="33">
        <v>41734</v>
      </c>
      <c r="M205" s="334">
        <v>5</v>
      </c>
      <c r="N205" s="189" t="s">
        <v>542</v>
      </c>
      <c r="O205" s="30" t="s">
        <v>547</v>
      </c>
      <c r="P205" s="30" t="s">
        <v>197</v>
      </c>
      <c r="Q205" s="30" t="s">
        <v>887</v>
      </c>
      <c r="R205" s="35">
        <v>216</v>
      </c>
      <c r="S205" s="20" t="s">
        <v>738</v>
      </c>
      <c r="T205" s="327">
        <f t="shared" si="116"/>
        <v>216</v>
      </c>
      <c r="U205" s="327">
        <f t="shared" si="117"/>
        <v>0</v>
      </c>
      <c r="V205" s="327">
        <f t="shared" si="118"/>
        <v>0</v>
      </c>
      <c r="W205" s="327">
        <f t="shared" si="119"/>
        <v>0</v>
      </c>
      <c r="Y205" s="318"/>
      <c r="Z205" s="318"/>
    </row>
    <row r="206" spans="1:26" s="222" customFormat="1" ht="25.5" x14ac:dyDescent="0.2">
      <c r="A206" s="222">
        <v>140</v>
      </c>
      <c r="B206" s="20">
        <v>577913</v>
      </c>
      <c r="C206" s="189" t="s">
        <v>340</v>
      </c>
      <c r="D206" s="20" t="s">
        <v>208</v>
      </c>
      <c r="E206" s="59">
        <v>41540</v>
      </c>
      <c r="F206" s="59">
        <v>41811</v>
      </c>
      <c r="G206" s="20">
        <v>31</v>
      </c>
      <c r="H206" s="34"/>
      <c r="I206" s="34"/>
      <c r="J206" s="30"/>
      <c r="K206" s="33">
        <v>41659</v>
      </c>
      <c r="L206" s="33">
        <v>41811</v>
      </c>
      <c r="M206" s="334">
        <v>5</v>
      </c>
      <c r="N206" s="189" t="s">
        <v>541</v>
      </c>
      <c r="O206" s="30" t="s">
        <v>564</v>
      </c>
      <c r="P206" s="30" t="s">
        <v>190</v>
      </c>
      <c r="Q206" s="30" t="s">
        <v>292</v>
      </c>
      <c r="R206" s="35">
        <v>630</v>
      </c>
      <c r="S206" s="189" t="s">
        <v>523</v>
      </c>
      <c r="T206" s="327">
        <f t="shared" si="116"/>
        <v>312.91390728476819</v>
      </c>
      <c r="U206" s="327">
        <f t="shared" si="117"/>
        <v>317.08609271523181</v>
      </c>
      <c r="V206" s="327">
        <f t="shared" si="118"/>
        <v>0</v>
      </c>
      <c r="W206" s="327">
        <f t="shared" si="119"/>
        <v>0</v>
      </c>
      <c r="Y206" s="318"/>
      <c r="Z206" s="318"/>
    </row>
    <row r="207" spans="1:26" s="222" customFormat="1" x14ac:dyDescent="0.2">
      <c r="A207" s="222">
        <v>141</v>
      </c>
      <c r="B207" s="20">
        <v>577909</v>
      </c>
      <c r="C207" s="189" t="s">
        <v>340</v>
      </c>
      <c r="D207" s="20" t="s">
        <v>208</v>
      </c>
      <c r="E207" s="59">
        <v>41540</v>
      </c>
      <c r="F207" s="59">
        <v>41811</v>
      </c>
      <c r="G207" s="20">
        <v>8</v>
      </c>
      <c r="H207" s="34"/>
      <c r="I207" s="34"/>
      <c r="J207" s="30"/>
      <c r="K207" s="33">
        <v>41659</v>
      </c>
      <c r="L207" s="33">
        <v>41811</v>
      </c>
      <c r="M207" s="334">
        <v>5</v>
      </c>
      <c r="N207" s="189" t="s">
        <v>542</v>
      </c>
      <c r="O207" s="30" t="s">
        <v>564</v>
      </c>
      <c r="P207" s="30" t="s">
        <v>190</v>
      </c>
      <c r="Q207" s="30" t="s">
        <v>201</v>
      </c>
      <c r="R207" s="35">
        <v>315</v>
      </c>
      <c r="S207" s="189" t="s">
        <v>525</v>
      </c>
      <c r="T207" s="327">
        <f t="shared" si="116"/>
        <v>156.45695364238409</v>
      </c>
      <c r="U207" s="327">
        <f t="shared" si="117"/>
        <v>158.54304635761591</v>
      </c>
      <c r="V207" s="327">
        <f t="shared" si="118"/>
        <v>0</v>
      </c>
      <c r="W207" s="327">
        <f t="shared" si="119"/>
        <v>0</v>
      </c>
      <c r="Y207" s="318"/>
      <c r="Z207" s="318"/>
    </row>
    <row r="208" spans="1:26" s="222" customFormat="1" ht="25.5" x14ac:dyDescent="0.2">
      <c r="A208" s="222">
        <v>142</v>
      </c>
      <c r="B208" s="189">
        <v>577969</v>
      </c>
      <c r="C208" s="189" t="s">
        <v>474</v>
      </c>
      <c r="D208" s="189" t="s">
        <v>208</v>
      </c>
      <c r="E208" s="59">
        <v>41540</v>
      </c>
      <c r="F208" s="322">
        <v>41734</v>
      </c>
      <c r="G208" s="20">
        <v>14</v>
      </c>
      <c r="H208" s="34"/>
      <c r="I208" s="34"/>
      <c r="J208" s="30"/>
      <c r="K208" s="33">
        <v>41659</v>
      </c>
      <c r="L208" s="33">
        <v>41734</v>
      </c>
      <c r="M208" s="334">
        <v>5</v>
      </c>
      <c r="N208" s="20" t="s">
        <v>541</v>
      </c>
      <c r="O208" s="30" t="s">
        <v>565</v>
      </c>
      <c r="P208" s="30" t="s">
        <v>190</v>
      </c>
      <c r="Q208" s="30" t="s">
        <v>164</v>
      </c>
      <c r="R208" s="35">
        <v>324</v>
      </c>
      <c r="S208" s="20" t="s">
        <v>527</v>
      </c>
      <c r="T208" s="327">
        <f t="shared" si="116"/>
        <v>324</v>
      </c>
      <c r="U208" s="327">
        <f t="shared" si="117"/>
        <v>0</v>
      </c>
      <c r="V208" s="327">
        <f t="shared" si="118"/>
        <v>0</v>
      </c>
      <c r="W208" s="327">
        <f t="shared" si="119"/>
        <v>0</v>
      </c>
      <c r="Y208" s="318"/>
      <c r="Z208" s="318"/>
    </row>
    <row r="209" spans="1:26" s="222" customFormat="1" ht="51" x14ac:dyDescent="0.2">
      <c r="A209" s="222">
        <v>143</v>
      </c>
      <c r="B209" s="189">
        <v>580328</v>
      </c>
      <c r="C209" s="20" t="s">
        <v>702</v>
      </c>
      <c r="D209" s="189" t="s">
        <v>208</v>
      </c>
      <c r="E209" s="59">
        <v>41548</v>
      </c>
      <c r="F209" s="322">
        <v>42108</v>
      </c>
      <c r="G209" s="20">
        <v>30</v>
      </c>
      <c r="H209" s="34"/>
      <c r="I209" s="34"/>
      <c r="J209" s="30"/>
      <c r="K209" s="33">
        <v>41659</v>
      </c>
      <c r="L209" s="33">
        <v>41983</v>
      </c>
      <c r="M209" s="334">
        <v>5</v>
      </c>
      <c r="N209" s="20" t="s">
        <v>782</v>
      </c>
      <c r="O209" s="30" t="s">
        <v>878</v>
      </c>
      <c r="P209" s="30" t="s">
        <v>190</v>
      </c>
      <c r="Q209" s="30" t="s">
        <v>881</v>
      </c>
      <c r="R209" s="35">
        <v>1352</v>
      </c>
      <c r="S209" s="20" t="s">
        <v>739</v>
      </c>
      <c r="T209" s="327">
        <f t="shared" si="116"/>
        <v>316.875</v>
      </c>
      <c r="U209" s="327">
        <f t="shared" si="117"/>
        <v>345.04166666666669</v>
      </c>
      <c r="V209" s="327">
        <f t="shared" si="118"/>
        <v>345.04166666666663</v>
      </c>
      <c r="W209" s="327">
        <f t="shared" si="119"/>
        <v>345.04166666666663</v>
      </c>
      <c r="Y209" s="318"/>
      <c r="Z209" s="318"/>
    </row>
    <row r="210" spans="1:26" s="222" customFormat="1" ht="51" x14ac:dyDescent="0.2">
      <c r="A210" s="222">
        <v>144</v>
      </c>
      <c r="B210" s="454" t="s">
        <v>450</v>
      </c>
      <c r="C210" s="452" t="s">
        <v>702</v>
      </c>
      <c r="D210" s="189" t="s">
        <v>208</v>
      </c>
      <c r="E210" s="448">
        <v>41548</v>
      </c>
      <c r="F210" s="450">
        <v>42108</v>
      </c>
      <c r="G210" s="452">
        <v>30</v>
      </c>
      <c r="H210" s="34"/>
      <c r="I210" s="34"/>
      <c r="J210" s="30"/>
      <c r="K210" s="33">
        <v>41659</v>
      </c>
      <c r="L210" s="33">
        <v>41983</v>
      </c>
      <c r="M210" s="334">
        <v>4</v>
      </c>
      <c r="N210" s="189" t="s">
        <v>542</v>
      </c>
      <c r="O210" s="30" t="s">
        <v>563</v>
      </c>
      <c r="P210" s="30" t="s">
        <v>190</v>
      </c>
      <c r="Q210" s="30" t="s">
        <v>882</v>
      </c>
      <c r="R210" s="35">
        <v>668</v>
      </c>
      <c r="S210" s="20" t="s">
        <v>739</v>
      </c>
      <c r="T210" s="327">
        <f t="shared" ref="T210" si="136">IF(K210=$T$3,$T$5*R210/DAYS360(K210,L210),0)</f>
        <v>156.5625</v>
      </c>
      <c r="U210" s="327">
        <f t="shared" ref="U210" si="137">IF(K210=$U$3,$U$5*R210/DAYS360(K210,L210),0)+IF(K210=$T$3,IF(L210=$U$4,R210-T210,0),0)+IF(K210=$T$3,IF(L210=$V$4,(R210-T210)/2,0),0)+IF(K210=$T$3,IF(L210=$W$4,(R210-T210)/3,0),0)</f>
        <v>170.47916666666666</v>
      </c>
      <c r="V210" s="327">
        <f t="shared" ref="V210" si="138">IF(K210=$V$3,$V$5*R210/DAYS360(K210,L210),0)+IF(K210=$T$3,IF(L210=$V$4,R210-T210-U210,0),0)+IF(K210=$T$3,IF(L210=$W$4,(R210-T210-U210)/2,0),0)+IF(K210=$U$3,IF(L210=$V$4,R210-U210,0),0)+IF(K210=$U$3,IF(L210=$W$4,(R210-U210)/2,0),0)</f>
        <v>170.47916666666669</v>
      </c>
      <c r="W210" s="327">
        <f t="shared" ref="W210" si="139">IF(K210=$W$3,$W$5*R210/DAYS360(K210,L210),0)+IF(K210=$T$3,IF(L210=$W$4,R210-T210-U210-V210,0),0)+IF(K210=$U$3,IF(L210=$W$4,R210-U210-V210,0),0)+IF(K210=$V$3,IF(L210=$W$4,R210-V210,0),0)</f>
        <v>170.47916666666669</v>
      </c>
      <c r="Y210" s="318"/>
      <c r="Z210" s="318"/>
    </row>
    <row r="211" spans="1:26" s="222" customFormat="1" ht="51" x14ac:dyDescent="0.2">
      <c r="A211" s="222">
        <v>144</v>
      </c>
      <c r="B211" s="455"/>
      <c r="C211" s="453"/>
      <c r="D211" s="189" t="s">
        <v>208</v>
      </c>
      <c r="E211" s="449"/>
      <c r="F211" s="451"/>
      <c r="G211" s="453"/>
      <c r="H211" s="34"/>
      <c r="I211" s="34"/>
      <c r="J211" s="30"/>
      <c r="K211" s="33">
        <v>41659</v>
      </c>
      <c r="L211" s="33">
        <v>41983</v>
      </c>
      <c r="M211" s="334">
        <v>1</v>
      </c>
      <c r="N211" s="189" t="s">
        <v>542</v>
      </c>
      <c r="O211" s="30" t="s">
        <v>563</v>
      </c>
      <c r="P211" s="30" t="s">
        <v>190</v>
      </c>
      <c r="Q211" s="30" t="s">
        <v>881</v>
      </c>
      <c r="R211" s="35">
        <v>180</v>
      </c>
      <c r="S211" s="20" t="s">
        <v>739</v>
      </c>
      <c r="T211" s="327">
        <f t="shared" si="116"/>
        <v>42.1875</v>
      </c>
      <c r="U211" s="327">
        <f t="shared" si="117"/>
        <v>45.9375</v>
      </c>
      <c r="V211" s="327">
        <f t="shared" si="118"/>
        <v>45.9375</v>
      </c>
      <c r="W211" s="327">
        <f t="shared" si="119"/>
        <v>45.9375</v>
      </c>
      <c r="Y211" s="318"/>
      <c r="Z211" s="318"/>
    </row>
    <row r="212" spans="1:26" s="222" customFormat="1" ht="63.75" x14ac:dyDescent="0.2">
      <c r="A212" s="222">
        <v>145</v>
      </c>
      <c r="B212" s="446">
        <v>580333</v>
      </c>
      <c r="C212" s="446" t="s">
        <v>471</v>
      </c>
      <c r="D212" s="189" t="s">
        <v>208</v>
      </c>
      <c r="E212" s="448">
        <v>41548</v>
      </c>
      <c r="F212" s="450">
        <v>42108</v>
      </c>
      <c r="G212" s="452">
        <v>30</v>
      </c>
      <c r="H212" s="34"/>
      <c r="I212" s="34"/>
      <c r="J212" s="30"/>
      <c r="K212" s="33">
        <v>41659</v>
      </c>
      <c r="L212" s="33">
        <v>41983</v>
      </c>
      <c r="M212" s="334">
        <v>3</v>
      </c>
      <c r="N212" s="20" t="s">
        <v>541</v>
      </c>
      <c r="O212" s="30" t="s">
        <v>815</v>
      </c>
      <c r="P212" s="30" t="s">
        <v>190</v>
      </c>
      <c r="Q212" s="30" t="s">
        <v>883</v>
      </c>
      <c r="R212" s="35">
        <v>732</v>
      </c>
      <c r="S212" s="20" t="s">
        <v>740</v>
      </c>
      <c r="T212" s="327">
        <f t="shared" ref="T212" si="140">IF(K212=$T$3,$T$5*R212/DAYS360(K212,L212),0)</f>
        <v>171.5625</v>
      </c>
      <c r="U212" s="327">
        <f t="shared" ref="U212" si="141">IF(K212=$U$3,$U$5*R212/DAYS360(K212,L212),0)+IF(K212=$T$3,IF(L212=$U$4,R212-T212,0),0)+IF(K212=$T$3,IF(L212=$V$4,(R212-T212)/2,0),0)+IF(K212=$T$3,IF(L212=$W$4,(R212-T212)/3,0),0)</f>
        <v>186.8125</v>
      </c>
      <c r="V212" s="327">
        <f t="shared" ref="V212" si="142">IF(K212=$V$3,$V$5*R212/DAYS360(K212,L212),0)+IF(K212=$T$3,IF(L212=$V$4,R212-T212-U212,0),0)+IF(K212=$T$3,IF(L212=$W$4,(R212-T212-U212)/2,0),0)+IF(K212=$U$3,IF(L212=$V$4,R212-U212,0),0)+IF(K212=$U$3,IF(L212=$W$4,(R212-U212)/2,0),0)</f>
        <v>186.8125</v>
      </c>
      <c r="W212" s="327">
        <f t="shared" ref="W212" si="143">IF(K212=$W$3,$W$5*R212/DAYS360(K212,L212),0)+IF(K212=$T$3,IF(L212=$W$4,R212-T212-U212-V212,0),0)+IF(K212=$U$3,IF(L212=$W$4,R212-U212-V212,0),0)+IF(K212=$V$3,IF(L212=$W$4,R212-V212,0),0)</f>
        <v>186.8125</v>
      </c>
      <c r="Y212" s="318"/>
      <c r="Z212" s="318"/>
    </row>
    <row r="213" spans="1:26" s="222" customFormat="1" ht="63.75" x14ac:dyDescent="0.2">
      <c r="A213" s="222">
        <v>145</v>
      </c>
      <c r="B213" s="447"/>
      <c r="C213" s="447"/>
      <c r="D213" s="189" t="s">
        <v>208</v>
      </c>
      <c r="E213" s="449"/>
      <c r="F213" s="451"/>
      <c r="G213" s="453"/>
      <c r="H213" s="34"/>
      <c r="I213" s="34"/>
      <c r="J213" s="30"/>
      <c r="K213" s="33">
        <v>41659</v>
      </c>
      <c r="L213" s="33">
        <v>41983</v>
      </c>
      <c r="M213" s="334">
        <v>2</v>
      </c>
      <c r="N213" s="20" t="s">
        <v>541</v>
      </c>
      <c r="O213" s="30" t="s">
        <v>815</v>
      </c>
      <c r="P213" s="30" t="s">
        <v>190</v>
      </c>
      <c r="Q213" s="30" t="s">
        <v>884</v>
      </c>
      <c r="R213" s="35">
        <v>540</v>
      </c>
      <c r="S213" s="20" t="s">
        <v>740</v>
      </c>
      <c r="T213" s="327">
        <f t="shared" si="116"/>
        <v>126.5625</v>
      </c>
      <c r="U213" s="327">
        <f t="shared" si="117"/>
        <v>137.8125</v>
      </c>
      <c r="V213" s="327">
        <f t="shared" si="118"/>
        <v>137.8125</v>
      </c>
      <c r="W213" s="327">
        <f t="shared" si="119"/>
        <v>137.8125</v>
      </c>
      <c r="Y213" s="318"/>
      <c r="Z213" s="318"/>
    </row>
    <row r="214" spans="1:26" s="222" customFormat="1" ht="63.75" x14ac:dyDescent="0.2">
      <c r="A214" s="222">
        <v>146</v>
      </c>
      <c r="B214" s="454">
        <v>627429</v>
      </c>
      <c r="C214" s="446" t="s">
        <v>471</v>
      </c>
      <c r="D214" s="189" t="s">
        <v>208</v>
      </c>
      <c r="E214" s="448">
        <v>41548</v>
      </c>
      <c r="F214" s="450">
        <v>42108</v>
      </c>
      <c r="G214" s="452">
        <v>30</v>
      </c>
      <c r="H214" s="34"/>
      <c r="I214" s="34"/>
      <c r="J214" s="30"/>
      <c r="K214" s="33">
        <v>41659</v>
      </c>
      <c r="L214" s="33">
        <v>41983</v>
      </c>
      <c r="M214" s="334">
        <v>4</v>
      </c>
      <c r="N214" s="20" t="s">
        <v>544</v>
      </c>
      <c r="O214" s="30" t="s">
        <v>815</v>
      </c>
      <c r="P214" s="30" t="s">
        <v>190</v>
      </c>
      <c r="Q214" s="30" t="s">
        <v>885</v>
      </c>
      <c r="R214" s="35">
        <v>752</v>
      </c>
      <c r="S214" s="20" t="s">
        <v>740</v>
      </c>
      <c r="T214" s="327">
        <f t="shared" ref="T214" si="144">IF(K214=$T$3,$T$5*R214/DAYS360(K214,L214),0)</f>
        <v>176.25</v>
      </c>
      <c r="U214" s="327">
        <f t="shared" ref="U214" si="145">IF(K214=$U$3,$U$5*R214/DAYS360(K214,L214),0)+IF(K214=$T$3,IF(L214=$U$4,R214-T214,0),0)+IF(K214=$T$3,IF(L214=$V$4,(R214-T214)/2,0),0)+IF(K214=$T$3,IF(L214=$W$4,(R214-T214)/3,0),0)</f>
        <v>191.91666666666666</v>
      </c>
      <c r="V214" s="327">
        <f t="shared" ref="V214" si="146">IF(K214=$V$3,$V$5*R214/DAYS360(K214,L214),0)+IF(K214=$T$3,IF(L214=$V$4,R214-T214-U214,0),0)+IF(K214=$T$3,IF(L214=$W$4,(R214-T214-U214)/2,0),0)+IF(K214=$U$3,IF(L214=$V$4,R214-U214,0),0)+IF(K214=$U$3,IF(L214=$W$4,(R214-U214)/2,0),0)</f>
        <v>191.91666666666669</v>
      </c>
      <c r="W214" s="327">
        <f t="shared" ref="W214" si="147">IF(K214=$W$3,$W$5*R214/DAYS360(K214,L214),0)+IF(K214=$T$3,IF(L214=$W$4,R214-T214-U214-V214,0),0)+IF(K214=$U$3,IF(L214=$W$4,R214-U214-V214,0),0)+IF(K214=$V$3,IF(L214=$W$4,R214-V214,0),0)</f>
        <v>191.91666666666669</v>
      </c>
      <c r="Y214" s="318"/>
      <c r="Z214" s="318"/>
    </row>
    <row r="215" spans="1:26" s="222" customFormat="1" ht="63.75" x14ac:dyDescent="0.2">
      <c r="A215" s="222">
        <v>146</v>
      </c>
      <c r="B215" s="455"/>
      <c r="C215" s="447"/>
      <c r="D215" s="189" t="s">
        <v>208</v>
      </c>
      <c r="E215" s="449"/>
      <c r="F215" s="451"/>
      <c r="G215" s="453"/>
      <c r="H215" s="34"/>
      <c r="I215" s="34"/>
      <c r="J215" s="30"/>
      <c r="K215" s="33">
        <v>41659</v>
      </c>
      <c r="L215" s="33">
        <v>41983</v>
      </c>
      <c r="M215" s="334">
        <v>2</v>
      </c>
      <c r="N215" s="20" t="s">
        <v>544</v>
      </c>
      <c r="O215" s="30" t="s">
        <v>815</v>
      </c>
      <c r="P215" s="30" t="s">
        <v>190</v>
      </c>
      <c r="Q215" s="30" t="s">
        <v>884</v>
      </c>
      <c r="R215" s="35">
        <v>360</v>
      </c>
      <c r="S215" s="20" t="s">
        <v>740</v>
      </c>
      <c r="T215" s="327">
        <f t="shared" si="116"/>
        <v>84.375</v>
      </c>
      <c r="U215" s="327">
        <f t="shared" si="117"/>
        <v>91.875</v>
      </c>
      <c r="V215" s="327">
        <f t="shared" si="118"/>
        <v>91.875</v>
      </c>
      <c r="W215" s="327">
        <f t="shared" si="119"/>
        <v>91.875</v>
      </c>
      <c r="Y215" s="318"/>
      <c r="Z215" s="318"/>
    </row>
    <row r="216" spans="1:26" s="222" customFormat="1" ht="63.75" x14ac:dyDescent="0.2">
      <c r="A216" s="222">
        <v>147</v>
      </c>
      <c r="B216" s="446">
        <v>580350</v>
      </c>
      <c r="C216" s="446" t="s">
        <v>471</v>
      </c>
      <c r="D216" s="189" t="s">
        <v>208</v>
      </c>
      <c r="E216" s="448">
        <v>41548</v>
      </c>
      <c r="F216" s="450">
        <v>42108</v>
      </c>
      <c r="G216" s="452">
        <v>30</v>
      </c>
      <c r="H216" s="34"/>
      <c r="I216" s="34"/>
      <c r="J216" s="30"/>
      <c r="K216" s="33">
        <v>41659</v>
      </c>
      <c r="L216" s="33">
        <v>41983</v>
      </c>
      <c r="M216" s="334">
        <v>1</v>
      </c>
      <c r="N216" s="20" t="s">
        <v>782</v>
      </c>
      <c r="O216" s="30" t="s">
        <v>793</v>
      </c>
      <c r="P216" s="30" t="s">
        <v>190</v>
      </c>
      <c r="Q216" s="30" t="s">
        <v>883</v>
      </c>
      <c r="R216" s="35">
        <v>360</v>
      </c>
      <c r="S216" s="20" t="s">
        <v>741</v>
      </c>
      <c r="T216" s="327">
        <f t="shared" ref="T216" si="148">IF(K216=$T$3,$T$5*R216/DAYS360(K216,L216),0)</f>
        <v>84.375</v>
      </c>
      <c r="U216" s="327">
        <f t="shared" ref="U216" si="149">IF(K216=$U$3,$U$5*R216/DAYS360(K216,L216),0)+IF(K216=$T$3,IF(L216=$U$4,R216-T216,0),0)+IF(K216=$T$3,IF(L216=$V$4,(R216-T216)/2,0),0)+IF(K216=$T$3,IF(L216=$W$4,(R216-T216)/3,0),0)</f>
        <v>91.875</v>
      </c>
      <c r="V216" s="327">
        <f t="shared" ref="V216" si="150">IF(K216=$V$3,$V$5*R216/DAYS360(K216,L216),0)+IF(K216=$T$3,IF(L216=$V$4,R216-T216-U216,0),0)+IF(K216=$T$3,IF(L216=$W$4,(R216-T216-U216)/2,0),0)+IF(K216=$U$3,IF(L216=$V$4,R216-U216,0),0)+IF(K216=$U$3,IF(L216=$W$4,(R216-U216)/2,0),0)</f>
        <v>91.875</v>
      </c>
      <c r="W216" s="327">
        <f t="shared" ref="W216" si="151">IF(K216=$W$3,$W$5*R216/DAYS360(K216,L216),0)+IF(K216=$T$3,IF(L216=$W$4,R216-T216-U216-V216,0),0)+IF(K216=$U$3,IF(L216=$W$4,R216-U216-V216,0),0)+IF(K216=$V$3,IF(L216=$W$4,R216-V216,0),0)</f>
        <v>91.875</v>
      </c>
      <c r="Y216" s="318"/>
      <c r="Z216" s="318"/>
    </row>
    <row r="217" spans="1:26" s="222" customFormat="1" ht="63.75" x14ac:dyDescent="0.2">
      <c r="A217" s="222">
        <v>147</v>
      </c>
      <c r="B217" s="447"/>
      <c r="C217" s="447"/>
      <c r="D217" s="189" t="s">
        <v>208</v>
      </c>
      <c r="E217" s="449"/>
      <c r="F217" s="451"/>
      <c r="G217" s="453"/>
      <c r="H217" s="34"/>
      <c r="I217" s="34"/>
      <c r="J217" s="30"/>
      <c r="K217" s="33">
        <v>41659</v>
      </c>
      <c r="L217" s="33">
        <v>41983</v>
      </c>
      <c r="M217" s="334">
        <v>2</v>
      </c>
      <c r="N217" s="20" t="s">
        <v>782</v>
      </c>
      <c r="O217" s="30" t="s">
        <v>793</v>
      </c>
      <c r="P217" s="30" t="s">
        <v>190</v>
      </c>
      <c r="Q217" s="30" t="s">
        <v>884</v>
      </c>
      <c r="R217" s="35">
        <v>672</v>
      </c>
      <c r="S217" s="20" t="s">
        <v>741</v>
      </c>
      <c r="T217" s="327">
        <f t="shared" si="116"/>
        <v>157.5</v>
      </c>
      <c r="U217" s="327">
        <f t="shared" si="117"/>
        <v>171.5</v>
      </c>
      <c r="V217" s="327">
        <f t="shared" si="118"/>
        <v>171.5</v>
      </c>
      <c r="W217" s="327">
        <f t="shared" si="119"/>
        <v>171.5</v>
      </c>
      <c r="Y217" s="318"/>
      <c r="Z217" s="318"/>
    </row>
    <row r="218" spans="1:26" s="222" customFormat="1" ht="63.75" x14ac:dyDescent="0.2">
      <c r="A218" s="222">
        <v>148</v>
      </c>
      <c r="B218" s="446">
        <v>580332</v>
      </c>
      <c r="C218" s="446" t="s">
        <v>471</v>
      </c>
      <c r="D218" s="189" t="s">
        <v>208</v>
      </c>
      <c r="E218" s="448">
        <v>41548</v>
      </c>
      <c r="F218" s="450">
        <v>42108</v>
      </c>
      <c r="G218" s="452">
        <v>30</v>
      </c>
      <c r="H218" s="34"/>
      <c r="I218" s="34"/>
      <c r="J218" s="30"/>
      <c r="K218" s="33">
        <v>41659</v>
      </c>
      <c r="L218" s="33">
        <v>41983</v>
      </c>
      <c r="M218" s="334">
        <v>2</v>
      </c>
      <c r="N218" s="20" t="s">
        <v>782</v>
      </c>
      <c r="O218" s="30" t="s">
        <v>561</v>
      </c>
      <c r="P218" s="30" t="s">
        <v>190</v>
      </c>
      <c r="Q218" s="30" t="s">
        <v>885</v>
      </c>
      <c r="R218" s="35">
        <v>944</v>
      </c>
      <c r="S218" s="20" t="s">
        <v>741</v>
      </c>
      <c r="T218" s="327">
        <f t="shared" ref="T218" si="152">IF(K218=$T$3,$T$5*R218/DAYS360(K218,L218),0)</f>
        <v>221.25</v>
      </c>
      <c r="U218" s="327">
        <f t="shared" ref="U218" si="153">IF(K218=$U$3,$U$5*R218/DAYS360(K218,L218),0)+IF(K218=$T$3,IF(L218=$U$4,R218-T218,0),0)+IF(K218=$T$3,IF(L218=$V$4,(R218-T218)/2,0),0)+IF(K218=$T$3,IF(L218=$W$4,(R218-T218)/3,0),0)</f>
        <v>240.91666666666666</v>
      </c>
      <c r="V218" s="327">
        <f t="shared" ref="V218" si="154">IF(K218=$V$3,$V$5*R218/DAYS360(K218,L218),0)+IF(K218=$T$3,IF(L218=$V$4,R218-T218-U218,0),0)+IF(K218=$T$3,IF(L218=$W$4,(R218-T218-U218)/2,0),0)+IF(K218=$U$3,IF(L218=$V$4,R218-U218,0),0)+IF(K218=$U$3,IF(L218=$W$4,(R218-U218)/2,0),0)</f>
        <v>240.91666666666669</v>
      </c>
      <c r="W218" s="327">
        <f t="shared" ref="W218" si="155">IF(K218=$W$3,$W$5*R218/DAYS360(K218,L218),0)+IF(K218=$T$3,IF(L218=$W$4,R218-T218-U218-V218,0),0)+IF(K218=$U$3,IF(L218=$W$4,R218-U218-V218,0),0)+IF(K218=$V$3,IF(L218=$W$4,R218-V218,0),0)</f>
        <v>240.91666666666669</v>
      </c>
      <c r="Y218" s="318"/>
      <c r="Z218" s="318"/>
    </row>
    <row r="219" spans="1:26" s="222" customFormat="1" ht="63.75" x14ac:dyDescent="0.2">
      <c r="A219" s="222">
        <v>148</v>
      </c>
      <c r="B219" s="447"/>
      <c r="C219" s="447"/>
      <c r="D219" s="189" t="s">
        <v>208</v>
      </c>
      <c r="E219" s="449"/>
      <c r="F219" s="451"/>
      <c r="G219" s="453"/>
      <c r="H219" s="34"/>
      <c r="I219" s="34"/>
      <c r="J219" s="30"/>
      <c r="K219" s="33">
        <v>41659</v>
      </c>
      <c r="L219" s="33">
        <v>41983</v>
      </c>
      <c r="M219" s="334">
        <v>1</v>
      </c>
      <c r="N219" s="20" t="s">
        <v>782</v>
      </c>
      <c r="O219" s="30" t="s">
        <v>561</v>
      </c>
      <c r="P219" s="30" t="s">
        <v>190</v>
      </c>
      <c r="Q219" s="30" t="s">
        <v>883</v>
      </c>
      <c r="R219" s="35">
        <v>328</v>
      </c>
      <c r="S219" s="20" t="s">
        <v>741</v>
      </c>
      <c r="T219" s="327">
        <f t="shared" si="116"/>
        <v>76.875</v>
      </c>
      <c r="U219" s="327">
        <f t="shared" si="117"/>
        <v>83.708333333333329</v>
      </c>
      <c r="V219" s="327">
        <f t="shared" si="118"/>
        <v>83.708333333333343</v>
      </c>
      <c r="W219" s="327">
        <f t="shared" si="119"/>
        <v>83.708333333333343</v>
      </c>
      <c r="Y219" s="318"/>
      <c r="Z219" s="318"/>
    </row>
    <row r="220" spans="1:26" s="222" customFormat="1" ht="63.75" x14ac:dyDescent="0.2">
      <c r="A220" s="222">
        <v>149</v>
      </c>
      <c r="B220" s="189">
        <v>580348</v>
      </c>
      <c r="C220" s="189" t="s">
        <v>705</v>
      </c>
      <c r="D220" s="189" t="s">
        <v>208</v>
      </c>
      <c r="E220" s="59">
        <v>41548</v>
      </c>
      <c r="F220" s="322">
        <v>42108</v>
      </c>
      <c r="G220" s="20">
        <v>30</v>
      </c>
      <c r="H220" s="34"/>
      <c r="I220" s="34"/>
      <c r="J220" s="30"/>
      <c r="K220" s="33">
        <v>41659</v>
      </c>
      <c r="L220" s="33">
        <v>41983</v>
      </c>
      <c r="M220" s="334">
        <v>3</v>
      </c>
      <c r="N220" s="20" t="s">
        <v>782</v>
      </c>
      <c r="O220" s="30" t="s">
        <v>563</v>
      </c>
      <c r="P220" s="30" t="s">
        <v>190</v>
      </c>
      <c r="Q220" s="30" t="s">
        <v>886</v>
      </c>
      <c r="R220" s="35">
        <v>1032</v>
      </c>
      <c r="S220" s="20" t="s">
        <v>742</v>
      </c>
      <c r="T220" s="327">
        <f t="shared" si="116"/>
        <v>241.875</v>
      </c>
      <c r="U220" s="327">
        <f t="shared" si="117"/>
        <v>263.375</v>
      </c>
      <c r="V220" s="327">
        <f t="shared" si="118"/>
        <v>263.375</v>
      </c>
      <c r="W220" s="327">
        <f t="shared" si="119"/>
        <v>263.375</v>
      </c>
      <c r="Y220" s="318"/>
      <c r="Z220" s="318"/>
    </row>
    <row r="221" spans="1:26" s="222" customFormat="1" ht="63.75" x14ac:dyDescent="0.2">
      <c r="A221" s="222">
        <v>150</v>
      </c>
      <c r="B221" s="189">
        <v>580346</v>
      </c>
      <c r="C221" s="189" t="s">
        <v>468</v>
      </c>
      <c r="D221" s="189" t="s">
        <v>208</v>
      </c>
      <c r="E221" s="59">
        <v>41548</v>
      </c>
      <c r="F221" s="322">
        <v>42108</v>
      </c>
      <c r="G221" s="20">
        <v>30</v>
      </c>
      <c r="H221" s="34"/>
      <c r="I221" s="34"/>
      <c r="J221" s="30"/>
      <c r="K221" s="33">
        <v>41659</v>
      </c>
      <c r="L221" s="33">
        <v>41983</v>
      </c>
      <c r="M221" s="334">
        <v>3</v>
      </c>
      <c r="N221" s="20" t="s">
        <v>782</v>
      </c>
      <c r="O221" s="30" t="s">
        <v>566</v>
      </c>
      <c r="P221" s="30" t="s">
        <v>190</v>
      </c>
      <c r="Q221" s="30" t="s">
        <v>888</v>
      </c>
      <c r="R221" s="35">
        <v>1032</v>
      </c>
      <c r="S221" s="20" t="s">
        <v>743</v>
      </c>
      <c r="T221" s="327">
        <f t="shared" si="116"/>
        <v>241.875</v>
      </c>
      <c r="U221" s="327">
        <f t="shared" si="117"/>
        <v>263.375</v>
      </c>
      <c r="V221" s="327">
        <f t="shared" si="118"/>
        <v>263.375</v>
      </c>
      <c r="W221" s="327">
        <f t="shared" si="119"/>
        <v>263.375</v>
      </c>
      <c r="Y221" s="318"/>
      <c r="Z221" s="318"/>
    </row>
    <row r="222" spans="1:26" s="222" customFormat="1" ht="63.75" x14ac:dyDescent="0.2">
      <c r="A222" s="222">
        <v>151</v>
      </c>
      <c r="B222" s="189">
        <v>580347</v>
      </c>
      <c r="C222" s="189" t="s">
        <v>468</v>
      </c>
      <c r="D222" s="189" t="s">
        <v>208</v>
      </c>
      <c r="E222" s="59">
        <v>41548</v>
      </c>
      <c r="F222" s="322">
        <v>42108</v>
      </c>
      <c r="G222" s="20">
        <v>30</v>
      </c>
      <c r="H222" s="34"/>
      <c r="I222" s="34"/>
      <c r="J222" s="30"/>
      <c r="K222" s="33">
        <v>41659</v>
      </c>
      <c r="L222" s="33">
        <v>41983</v>
      </c>
      <c r="M222" s="334">
        <v>3</v>
      </c>
      <c r="N222" s="20" t="s">
        <v>782</v>
      </c>
      <c r="O222" s="30" t="s">
        <v>562</v>
      </c>
      <c r="P222" s="30" t="s">
        <v>190</v>
      </c>
      <c r="Q222" s="30" t="s">
        <v>889</v>
      </c>
      <c r="R222" s="35">
        <v>1032</v>
      </c>
      <c r="S222" s="20" t="s">
        <v>744</v>
      </c>
      <c r="T222" s="327">
        <f t="shared" si="116"/>
        <v>241.875</v>
      </c>
      <c r="U222" s="327">
        <f t="shared" si="117"/>
        <v>263.375</v>
      </c>
      <c r="V222" s="327">
        <f t="shared" si="118"/>
        <v>263.375</v>
      </c>
      <c r="W222" s="327">
        <f t="shared" si="119"/>
        <v>263.375</v>
      </c>
      <c r="Y222" s="318"/>
      <c r="Z222" s="318"/>
    </row>
    <row r="223" spans="1:26" s="222" customFormat="1" ht="51" x14ac:dyDescent="0.2">
      <c r="A223" s="222">
        <v>152</v>
      </c>
      <c r="B223" s="452">
        <v>622860</v>
      </c>
      <c r="C223" s="452" t="s">
        <v>702</v>
      </c>
      <c r="D223" s="189" t="s">
        <v>208</v>
      </c>
      <c r="E223" s="448">
        <v>41569</v>
      </c>
      <c r="F223" s="448">
        <v>42299</v>
      </c>
      <c r="G223" s="452">
        <v>30</v>
      </c>
      <c r="H223" s="34"/>
      <c r="I223" s="34"/>
      <c r="J223" s="30"/>
      <c r="K223" s="33">
        <v>41659</v>
      </c>
      <c r="L223" s="33">
        <v>41983</v>
      </c>
      <c r="M223" s="334">
        <v>1</v>
      </c>
      <c r="N223" s="20" t="s">
        <v>541</v>
      </c>
      <c r="O223" s="20" t="s">
        <v>549</v>
      </c>
      <c r="P223" s="30" t="s">
        <v>197</v>
      </c>
      <c r="Q223" s="30" t="s">
        <v>996</v>
      </c>
      <c r="R223" s="35">
        <v>228</v>
      </c>
      <c r="S223" s="20" t="s">
        <v>549</v>
      </c>
      <c r="T223" s="327">
        <f t="shared" si="116"/>
        <v>53.4375</v>
      </c>
      <c r="U223" s="327">
        <f t="shared" si="117"/>
        <v>58.1875</v>
      </c>
      <c r="V223" s="327">
        <f t="shared" si="118"/>
        <v>58.1875</v>
      </c>
      <c r="W223" s="327">
        <f t="shared" si="119"/>
        <v>58.1875</v>
      </c>
      <c r="Y223" s="318"/>
      <c r="Z223" s="318"/>
    </row>
    <row r="224" spans="1:26" s="222" customFormat="1" ht="51" x14ac:dyDescent="0.2">
      <c r="A224" s="222">
        <v>152</v>
      </c>
      <c r="B224" s="462"/>
      <c r="C224" s="462"/>
      <c r="D224" s="189" t="s">
        <v>208</v>
      </c>
      <c r="E224" s="460"/>
      <c r="F224" s="460"/>
      <c r="G224" s="462"/>
      <c r="H224" s="34"/>
      <c r="I224" s="34"/>
      <c r="J224" s="30"/>
      <c r="K224" s="33">
        <v>41659</v>
      </c>
      <c r="L224" s="33">
        <v>41983</v>
      </c>
      <c r="M224" s="334">
        <v>1</v>
      </c>
      <c r="N224" s="20" t="s">
        <v>541</v>
      </c>
      <c r="O224" s="20" t="s">
        <v>549</v>
      </c>
      <c r="P224" s="30" t="s">
        <v>197</v>
      </c>
      <c r="Q224" s="30" t="s">
        <v>890</v>
      </c>
      <c r="R224" s="35">
        <v>270</v>
      </c>
      <c r="S224" s="20" t="s">
        <v>549</v>
      </c>
      <c r="T224" s="327">
        <f t="shared" ref="T224" si="156">IF(K224=$T$3,$T$5*R224/DAYS360(K224,L224),0)</f>
        <v>63.28125</v>
      </c>
      <c r="U224" s="327">
        <f t="shared" ref="U224" si="157">IF(K224=$U$3,$U$5*R224/DAYS360(K224,L224),0)+IF(K224=$T$3,IF(L224=$U$4,R224-T224,0),0)+IF(K224=$T$3,IF(L224=$V$4,(R224-T224)/2,0),0)+IF(K224=$T$3,IF(L224=$W$4,(R224-T224)/3,0),0)</f>
        <v>68.90625</v>
      </c>
      <c r="V224" s="327">
        <f t="shared" ref="V224" si="158">IF(K224=$V$3,$V$5*R224/DAYS360(K224,L224),0)+IF(K224=$T$3,IF(L224=$V$4,R224-T224-U224,0),0)+IF(K224=$T$3,IF(L224=$W$4,(R224-T224-U224)/2,0),0)+IF(K224=$U$3,IF(L224=$V$4,R224-U224,0),0)+IF(K224=$U$3,IF(L224=$W$4,(R224-U224)/2,0),0)</f>
        <v>68.90625</v>
      </c>
      <c r="W224" s="327">
        <f t="shared" ref="W224" si="159">IF(K224=$W$3,$W$5*R224/DAYS360(K224,L224),0)+IF(K224=$T$3,IF(L224=$W$4,R224-T224-U224-V224,0),0)+IF(K224=$U$3,IF(L224=$W$4,R224-U224-V224,0),0)+IF(K224=$V$3,IF(L224=$W$4,R224-V224,0),0)</f>
        <v>68.90625</v>
      </c>
      <c r="Y224" s="318"/>
      <c r="Z224" s="318"/>
    </row>
    <row r="225" spans="1:26" s="222" customFormat="1" ht="51" x14ac:dyDescent="0.2">
      <c r="A225" s="222">
        <v>152</v>
      </c>
      <c r="B225" s="462"/>
      <c r="C225" s="462"/>
      <c r="D225" s="189" t="s">
        <v>208</v>
      </c>
      <c r="E225" s="460"/>
      <c r="F225" s="460"/>
      <c r="G225" s="462"/>
      <c r="H225" s="34"/>
      <c r="I225" s="34"/>
      <c r="J225" s="30"/>
      <c r="K225" s="33">
        <v>41659</v>
      </c>
      <c r="L225" s="33">
        <v>41983</v>
      </c>
      <c r="M225" s="334">
        <v>1</v>
      </c>
      <c r="N225" s="20" t="s">
        <v>541</v>
      </c>
      <c r="O225" s="20" t="s">
        <v>549</v>
      </c>
      <c r="P225" s="30" t="s">
        <v>197</v>
      </c>
      <c r="Q225" s="30" t="s">
        <v>891</v>
      </c>
      <c r="R225" s="35">
        <v>270</v>
      </c>
      <c r="S225" s="20" t="s">
        <v>549</v>
      </c>
      <c r="T225" s="327">
        <f t="shared" si="116"/>
        <v>63.28125</v>
      </c>
      <c r="U225" s="327">
        <f t="shared" si="117"/>
        <v>68.90625</v>
      </c>
      <c r="V225" s="327">
        <f t="shared" si="118"/>
        <v>68.90625</v>
      </c>
      <c r="W225" s="327">
        <f t="shared" si="119"/>
        <v>68.90625</v>
      </c>
      <c r="Y225" s="318"/>
      <c r="Z225" s="318"/>
    </row>
    <row r="226" spans="1:26" s="222" customFormat="1" ht="51" x14ac:dyDescent="0.2">
      <c r="A226" s="222">
        <v>152</v>
      </c>
      <c r="B226" s="462"/>
      <c r="C226" s="462"/>
      <c r="D226" s="189" t="s">
        <v>208</v>
      </c>
      <c r="E226" s="460"/>
      <c r="F226" s="460"/>
      <c r="G226" s="462"/>
      <c r="H226" s="34"/>
      <c r="I226" s="34"/>
      <c r="J226" s="30"/>
      <c r="K226" s="33">
        <v>41659</v>
      </c>
      <c r="L226" s="33">
        <v>41983</v>
      </c>
      <c r="M226" s="334">
        <v>1</v>
      </c>
      <c r="N226" s="20" t="s">
        <v>541</v>
      </c>
      <c r="O226" s="20" t="s">
        <v>549</v>
      </c>
      <c r="P226" s="30" t="s">
        <v>197</v>
      </c>
      <c r="Q226" s="30" t="s">
        <v>892</v>
      </c>
      <c r="R226" s="35">
        <v>246</v>
      </c>
      <c r="S226" s="20" t="s">
        <v>549</v>
      </c>
      <c r="T226" s="327">
        <f t="shared" ref="T226" si="160">IF(K226=$T$3,$T$5*R226/DAYS360(K226,L226),0)</f>
        <v>57.65625</v>
      </c>
      <c r="U226" s="327">
        <f t="shared" ref="U226" si="161">IF(K226=$U$3,$U$5*R226/DAYS360(K226,L226),0)+IF(K226=$T$3,IF(L226=$U$4,R226-T226,0),0)+IF(K226=$T$3,IF(L226=$V$4,(R226-T226)/2,0),0)+IF(K226=$T$3,IF(L226=$W$4,(R226-T226)/3,0),0)</f>
        <v>62.78125</v>
      </c>
      <c r="V226" s="327">
        <f t="shared" ref="V226" si="162">IF(K226=$V$3,$V$5*R226/DAYS360(K226,L226),0)+IF(K226=$T$3,IF(L226=$V$4,R226-T226-U226,0),0)+IF(K226=$T$3,IF(L226=$W$4,(R226-T226-U226)/2,0),0)+IF(K226=$U$3,IF(L226=$V$4,R226-U226,0),0)+IF(K226=$U$3,IF(L226=$W$4,(R226-U226)/2,0),0)</f>
        <v>62.78125</v>
      </c>
      <c r="W226" s="327">
        <f t="shared" ref="W226" si="163">IF(K226=$W$3,$W$5*R226/DAYS360(K226,L226),0)+IF(K226=$T$3,IF(L226=$W$4,R226-T226-U226-V226,0),0)+IF(K226=$U$3,IF(L226=$W$4,R226-U226-V226,0),0)+IF(K226=$V$3,IF(L226=$W$4,R226-V226,0),0)</f>
        <v>62.78125</v>
      </c>
      <c r="Y226" s="318"/>
      <c r="Z226" s="318"/>
    </row>
    <row r="227" spans="1:26" s="222" customFormat="1" ht="51" x14ac:dyDescent="0.2">
      <c r="A227" s="222">
        <v>152</v>
      </c>
      <c r="B227" s="453"/>
      <c r="C227" s="453"/>
      <c r="D227" s="189" t="s">
        <v>208</v>
      </c>
      <c r="E227" s="449"/>
      <c r="F227" s="449"/>
      <c r="G227" s="453"/>
      <c r="H227" s="34"/>
      <c r="I227" s="34"/>
      <c r="J227" s="30"/>
      <c r="K227" s="33">
        <v>41659</v>
      </c>
      <c r="L227" s="33">
        <v>41983</v>
      </c>
      <c r="M227" s="334">
        <v>1</v>
      </c>
      <c r="N227" s="20" t="s">
        <v>541</v>
      </c>
      <c r="O227" s="20" t="s">
        <v>549</v>
      </c>
      <c r="P227" s="30" t="s">
        <v>197</v>
      </c>
      <c r="Q227" s="30" t="s">
        <v>893</v>
      </c>
      <c r="R227" s="35">
        <v>258</v>
      </c>
      <c r="S227" s="20" t="s">
        <v>549</v>
      </c>
      <c r="T227" s="327">
        <f t="shared" si="116"/>
        <v>60.46875</v>
      </c>
      <c r="U227" s="327">
        <f t="shared" si="117"/>
        <v>65.84375</v>
      </c>
      <c r="V227" s="327">
        <f t="shared" si="118"/>
        <v>65.84375</v>
      </c>
      <c r="W227" s="327">
        <f t="shared" si="119"/>
        <v>65.84375</v>
      </c>
      <c r="Y227" s="318"/>
      <c r="Z227" s="318"/>
    </row>
    <row r="228" spans="1:26" s="222" customFormat="1" ht="51" x14ac:dyDescent="0.2">
      <c r="A228" s="222">
        <v>153</v>
      </c>
      <c r="B228" s="452">
        <v>622861</v>
      </c>
      <c r="C228" s="452" t="s">
        <v>702</v>
      </c>
      <c r="D228" s="189" t="s">
        <v>208</v>
      </c>
      <c r="E228" s="59">
        <v>41569</v>
      </c>
      <c r="F228" s="59">
        <v>42299</v>
      </c>
      <c r="G228" s="452">
        <v>30</v>
      </c>
      <c r="H228" s="34"/>
      <c r="I228" s="34"/>
      <c r="J228" s="30"/>
      <c r="K228" s="33">
        <v>41659</v>
      </c>
      <c r="L228" s="33">
        <v>41983</v>
      </c>
      <c r="M228" s="334">
        <v>1</v>
      </c>
      <c r="N228" s="189" t="s">
        <v>541</v>
      </c>
      <c r="O228" s="20" t="s">
        <v>549</v>
      </c>
      <c r="P228" s="30" t="s">
        <v>197</v>
      </c>
      <c r="Q228" s="30" t="s">
        <v>890</v>
      </c>
      <c r="R228" s="35">
        <v>228</v>
      </c>
      <c r="S228" s="20" t="s">
        <v>549</v>
      </c>
      <c r="T228" s="327">
        <f t="shared" si="116"/>
        <v>53.4375</v>
      </c>
      <c r="U228" s="327">
        <f t="shared" si="117"/>
        <v>58.1875</v>
      </c>
      <c r="V228" s="327">
        <f t="shared" si="118"/>
        <v>58.1875</v>
      </c>
      <c r="W228" s="327">
        <f t="shared" si="119"/>
        <v>58.1875</v>
      </c>
      <c r="Y228" s="318"/>
      <c r="Z228" s="318"/>
    </row>
    <row r="229" spans="1:26" s="222" customFormat="1" ht="51" x14ac:dyDescent="0.2">
      <c r="A229" s="222">
        <v>152</v>
      </c>
      <c r="B229" s="462"/>
      <c r="C229" s="462"/>
      <c r="D229" s="189" t="s">
        <v>208</v>
      </c>
      <c r="E229" s="59">
        <v>41569</v>
      </c>
      <c r="F229" s="59">
        <v>42299</v>
      </c>
      <c r="G229" s="462"/>
      <c r="H229" s="34"/>
      <c r="I229" s="34"/>
      <c r="J229" s="30"/>
      <c r="K229" s="33">
        <v>41659</v>
      </c>
      <c r="L229" s="33">
        <v>41983</v>
      </c>
      <c r="M229" s="334">
        <v>1</v>
      </c>
      <c r="N229" s="189" t="s">
        <v>541</v>
      </c>
      <c r="O229" s="20" t="s">
        <v>549</v>
      </c>
      <c r="P229" s="30" t="s">
        <v>197</v>
      </c>
      <c r="Q229" s="30" t="s">
        <v>891</v>
      </c>
      <c r="R229" s="35">
        <v>270</v>
      </c>
      <c r="S229" s="20" t="s">
        <v>549</v>
      </c>
      <c r="T229" s="327">
        <f t="shared" si="116"/>
        <v>63.28125</v>
      </c>
      <c r="U229" s="327">
        <f t="shared" si="117"/>
        <v>68.90625</v>
      </c>
      <c r="V229" s="327">
        <f t="shared" si="118"/>
        <v>68.90625</v>
      </c>
      <c r="W229" s="327">
        <f t="shared" si="119"/>
        <v>68.90625</v>
      </c>
      <c r="Y229" s="318"/>
      <c r="Z229" s="318"/>
    </row>
    <row r="230" spans="1:26" s="222" customFormat="1" ht="51" x14ac:dyDescent="0.2">
      <c r="A230" s="222">
        <v>152</v>
      </c>
      <c r="B230" s="462"/>
      <c r="C230" s="462"/>
      <c r="D230" s="189" t="s">
        <v>208</v>
      </c>
      <c r="E230" s="59">
        <v>41569</v>
      </c>
      <c r="F230" s="59">
        <v>42299</v>
      </c>
      <c r="G230" s="462"/>
      <c r="H230" s="34"/>
      <c r="I230" s="34"/>
      <c r="J230" s="30"/>
      <c r="K230" s="33">
        <v>41659</v>
      </c>
      <c r="L230" s="33">
        <v>41983</v>
      </c>
      <c r="M230" s="334">
        <v>1</v>
      </c>
      <c r="N230" s="189" t="s">
        <v>541</v>
      </c>
      <c r="O230" s="20" t="s">
        <v>549</v>
      </c>
      <c r="P230" s="30" t="s">
        <v>197</v>
      </c>
      <c r="Q230" s="30" t="s">
        <v>892</v>
      </c>
      <c r="R230" s="35">
        <v>270</v>
      </c>
      <c r="S230" s="20" t="s">
        <v>549</v>
      </c>
      <c r="T230" s="327">
        <f t="shared" ref="T230:T232" si="164">IF(K230=$T$3,$T$5*R230/DAYS360(K230,L230),0)</f>
        <v>63.28125</v>
      </c>
      <c r="U230" s="327">
        <f t="shared" ref="U230:U232" si="165">IF(K230=$U$3,$U$5*R230/DAYS360(K230,L230),0)+IF(K230=$T$3,IF(L230=$U$4,R230-T230,0),0)+IF(K230=$T$3,IF(L230=$V$4,(R230-T230)/2,0),0)+IF(K230=$T$3,IF(L230=$W$4,(R230-T230)/3,0),0)</f>
        <v>68.90625</v>
      </c>
      <c r="V230" s="327">
        <f t="shared" ref="V230:V232" si="166">IF(K230=$V$3,$V$5*R230/DAYS360(K230,L230),0)+IF(K230=$T$3,IF(L230=$V$4,R230-T230-U230,0),0)+IF(K230=$T$3,IF(L230=$W$4,(R230-T230-U230)/2,0),0)+IF(K230=$U$3,IF(L230=$V$4,R230-U230,0),0)+IF(K230=$U$3,IF(L230=$W$4,(R230-U230)/2,0),0)</f>
        <v>68.90625</v>
      </c>
      <c r="W230" s="327">
        <f t="shared" ref="W230:W232" si="167">IF(K230=$W$3,$W$5*R230/DAYS360(K230,L230),0)+IF(K230=$T$3,IF(L230=$W$4,R230-T230-U230-V230,0),0)+IF(K230=$U$3,IF(L230=$W$4,R230-U230-V230,0),0)+IF(K230=$V$3,IF(L230=$W$4,R230-V230,0),0)</f>
        <v>68.90625</v>
      </c>
      <c r="Y230" s="318"/>
      <c r="Z230" s="318"/>
    </row>
    <row r="231" spans="1:26" s="222" customFormat="1" ht="51" x14ac:dyDescent="0.2">
      <c r="A231" s="222">
        <v>152</v>
      </c>
      <c r="B231" s="462"/>
      <c r="C231" s="462"/>
      <c r="D231" s="189" t="s">
        <v>208</v>
      </c>
      <c r="E231" s="59">
        <v>41569</v>
      </c>
      <c r="F231" s="59">
        <v>42299</v>
      </c>
      <c r="G231" s="462"/>
      <c r="H231" s="34"/>
      <c r="I231" s="34"/>
      <c r="J231" s="30"/>
      <c r="K231" s="33">
        <v>41659</v>
      </c>
      <c r="L231" s="33">
        <v>41983</v>
      </c>
      <c r="M231" s="334">
        <v>1</v>
      </c>
      <c r="N231" s="189" t="s">
        <v>541</v>
      </c>
      <c r="O231" s="20" t="s">
        <v>549</v>
      </c>
      <c r="P231" s="30" t="s">
        <v>197</v>
      </c>
      <c r="Q231" s="30" t="s">
        <v>893</v>
      </c>
      <c r="R231" s="35">
        <v>246</v>
      </c>
      <c r="S231" s="20" t="s">
        <v>549</v>
      </c>
      <c r="T231" s="327">
        <f t="shared" si="164"/>
        <v>57.65625</v>
      </c>
      <c r="U231" s="327">
        <f t="shared" si="165"/>
        <v>62.78125</v>
      </c>
      <c r="V231" s="327">
        <f t="shared" si="166"/>
        <v>62.78125</v>
      </c>
      <c r="W231" s="327">
        <f t="shared" si="167"/>
        <v>62.78125</v>
      </c>
      <c r="Y231" s="318"/>
      <c r="Z231" s="318"/>
    </row>
    <row r="232" spans="1:26" s="222" customFormat="1" ht="51" x14ac:dyDescent="0.2">
      <c r="A232" s="222">
        <v>152</v>
      </c>
      <c r="B232" s="453"/>
      <c r="C232" s="453"/>
      <c r="D232" s="189" t="s">
        <v>208</v>
      </c>
      <c r="E232" s="59">
        <v>41569</v>
      </c>
      <c r="F232" s="59">
        <v>42299</v>
      </c>
      <c r="G232" s="453"/>
      <c r="H232" s="34"/>
      <c r="I232" s="34"/>
      <c r="J232" s="30"/>
      <c r="K232" s="33">
        <v>41659</v>
      </c>
      <c r="L232" s="33">
        <v>41983</v>
      </c>
      <c r="M232" s="334">
        <v>1</v>
      </c>
      <c r="N232" s="189" t="s">
        <v>541</v>
      </c>
      <c r="O232" s="20" t="s">
        <v>549</v>
      </c>
      <c r="P232" s="30" t="s">
        <v>197</v>
      </c>
      <c r="Q232" s="30" t="s">
        <v>996</v>
      </c>
      <c r="R232" s="35">
        <v>258</v>
      </c>
      <c r="S232" s="20" t="s">
        <v>549</v>
      </c>
      <c r="T232" s="327">
        <f t="shared" si="164"/>
        <v>60.46875</v>
      </c>
      <c r="U232" s="327">
        <f t="shared" si="165"/>
        <v>65.84375</v>
      </c>
      <c r="V232" s="327">
        <f t="shared" si="166"/>
        <v>65.84375</v>
      </c>
      <c r="W232" s="327">
        <f t="shared" si="167"/>
        <v>65.84375</v>
      </c>
      <c r="Y232" s="318"/>
      <c r="Z232" s="318"/>
    </row>
    <row r="233" spans="1:26" s="222" customFormat="1" ht="51" x14ac:dyDescent="0.2">
      <c r="A233" s="222">
        <v>154</v>
      </c>
      <c r="B233" s="452">
        <v>622862</v>
      </c>
      <c r="C233" s="452" t="s">
        <v>702</v>
      </c>
      <c r="D233" s="189" t="s">
        <v>208</v>
      </c>
      <c r="E233" s="59">
        <v>41569</v>
      </c>
      <c r="F233" s="59">
        <v>42299</v>
      </c>
      <c r="G233" s="452">
        <v>30</v>
      </c>
      <c r="H233" s="34"/>
      <c r="I233" s="34"/>
      <c r="J233" s="30"/>
      <c r="K233" s="33">
        <v>41659</v>
      </c>
      <c r="L233" s="33">
        <v>41983</v>
      </c>
      <c r="M233" s="334">
        <v>1</v>
      </c>
      <c r="N233" s="20" t="s">
        <v>545</v>
      </c>
      <c r="O233" s="20" t="s">
        <v>549</v>
      </c>
      <c r="P233" s="30" t="s">
        <v>197</v>
      </c>
      <c r="Q233" s="30" t="s">
        <v>894</v>
      </c>
      <c r="R233" s="35">
        <v>152</v>
      </c>
      <c r="S233" s="20" t="s">
        <v>549</v>
      </c>
      <c r="T233" s="327">
        <f t="shared" si="116"/>
        <v>35.625</v>
      </c>
      <c r="U233" s="327">
        <f t="shared" si="117"/>
        <v>38.791666666666664</v>
      </c>
      <c r="V233" s="327">
        <f t="shared" si="118"/>
        <v>38.791666666666671</v>
      </c>
      <c r="W233" s="327">
        <f t="shared" si="119"/>
        <v>38.791666666666671</v>
      </c>
      <c r="Y233" s="318"/>
      <c r="Z233" s="318"/>
    </row>
    <row r="234" spans="1:26" s="222" customFormat="1" ht="51" x14ac:dyDescent="0.2">
      <c r="A234" s="222">
        <v>152</v>
      </c>
      <c r="B234" s="462"/>
      <c r="C234" s="462"/>
      <c r="D234" s="189" t="s">
        <v>208</v>
      </c>
      <c r="E234" s="59">
        <v>41569</v>
      </c>
      <c r="F234" s="59">
        <v>42299</v>
      </c>
      <c r="G234" s="462"/>
      <c r="H234" s="34"/>
      <c r="I234" s="34"/>
      <c r="J234" s="30"/>
      <c r="K234" s="33">
        <v>41659</v>
      </c>
      <c r="L234" s="33">
        <v>41983</v>
      </c>
      <c r="M234" s="334">
        <v>1</v>
      </c>
      <c r="N234" s="20" t="s">
        <v>545</v>
      </c>
      <c r="O234" s="20" t="s">
        <v>549</v>
      </c>
      <c r="P234" s="30" t="s">
        <v>197</v>
      </c>
      <c r="Q234" s="30" t="s">
        <v>895</v>
      </c>
      <c r="R234" s="35">
        <v>180</v>
      </c>
      <c r="S234" s="20" t="s">
        <v>549</v>
      </c>
      <c r="T234" s="327">
        <f t="shared" ref="T234:T238" si="168">IF(K234=$T$3,$T$5*R234/DAYS360(K234,L234),0)</f>
        <v>42.1875</v>
      </c>
      <c r="U234" s="327">
        <f t="shared" ref="U234:U238" si="169">IF(K234=$U$3,$U$5*R234/DAYS360(K234,L234),0)+IF(K234=$T$3,IF(L234=$U$4,R234-T234,0),0)+IF(K234=$T$3,IF(L234=$V$4,(R234-T234)/2,0),0)+IF(K234=$T$3,IF(L234=$W$4,(R234-T234)/3,0),0)</f>
        <v>45.9375</v>
      </c>
      <c r="V234" s="327">
        <f t="shared" ref="V234:V238" si="170">IF(K234=$V$3,$V$5*R234/DAYS360(K234,L234),0)+IF(K234=$T$3,IF(L234=$V$4,R234-T234-U234,0),0)+IF(K234=$T$3,IF(L234=$W$4,(R234-T234-U234)/2,0),0)+IF(K234=$U$3,IF(L234=$V$4,R234-U234,0),0)+IF(K234=$U$3,IF(L234=$W$4,(R234-U234)/2,0),0)</f>
        <v>45.9375</v>
      </c>
      <c r="W234" s="327">
        <f t="shared" ref="W234:W238" si="171">IF(K234=$W$3,$W$5*R234/DAYS360(K234,L234),0)+IF(K234=$T$3,IF(L234=$W$4,R234-T234-U234-V234,0),0)+IF(K234=$U$3,IF(L234=$W$4,R234-U234-V234,0),0)+IF(K234=$V$3,IF(L234=$W$4,R234-V234,0),0)</f>
        <v>45.9375</v>
      </c>
      <c r="Y234" s="318"/>
      <c r="Z234" s="318"/>
    </row>
    <row r="235" spans="1:26" s="222" customFormat="1" ht="51" x14ac:dyDescent="0.2">
      <c r="A235" s="222">
        <v>152</v>
      </c>
      <c r="B235" s="462"/>
      <c r="C235" s="462"/>
      <c r="D235" s="189" t="s">
        <v>208</v>
      </c>
      <c r="E235" s="59">
        <v>41569</v>
      </c>
      <c r="F235" s="59">
        <v>42299</v>
      </c>
      <c r="G235" s="462"/>
      <c r="H235" s="34"/>
      <c r="I235" s="34"/>
      <c r="J235" s="30"/>
      <c r="K235" s="33">
        <v>41659</v>
      </c>
      <c r="L235" s="33">
        <v>41983</v>
      </c>
      <c r="M235" s="334">
        <v>1</v>
      </c>
      <c r="N235" s="20" t="s">
        <v>545</v>
      </c>
      <c r="O235" s="20" t="s">
        <v>549</v>
      </c>
      <c r="P235" s="30" t="s">
        <v>197</v>
      </c>
      <c r="Q235" s="30" t="s">
        <v>997</v>
      </c>
      <c r="R235" s="35">
        <v>180</v>
      </c>
      <c r="S235" s="20" t="s">
        <v>549</v>
      </c>
      <c r="T235" s="327">
        <f t="shared" si="168"/>
        <v>42.1875</v>
      </c>
      <c r="U235" s="327">
        <f t="shared" si="169"/>
        <v>45.9375</v>
      </c>
      <c r="V235" s="327">
        <f t="shared" si="170"/>
        <v>45.9375</v>
      </c>
      <c r="W235" s="327">
        <f t="shared" si="171"/>
        <v>45.9375</v>
      </c>
      <c r="Y235" s="318"/>
      <c r="Z235" s="318"/>
    </row>
    <row r="236" spans="1:26" s="222" customFormat="1" ht="51" x14ac:dyDescent="0.2">
      <c r="A236" s="222">
        <v>152</v>
      </c>
      <c r="B236" s="462"/>
      <c r="C236" s="462"/>
      <c r="D236" s="189" t="s">
        <v>208</v>
      </c>
      <c r="E236" s="59">
        <v>41569</v>
      </c>
      <c r="F236" s="59">
        <v>42299</v>
      </c>
      <c r="G236" s="462"/>
      <c r="H236" s="34"/>
      <c r="I236" s="34"/>
      <c r="J236" s="30"/>
      <c r="K236" s="33">
        <v>41659</v>
      </c>
      <c r="L236" s="33">
        <v>41983</v>
      </c>
      <c r="M236" s="334">
        <v>1</v>
      </c>
      <c r="N236" s="20" t="s">
        <v>545</v>
      </c>
      <c r="O236" s="20" t="s">
        <v>549</v>
      </c>
      <c r="P236" s="30" t="s">
        <v>197</v>
      </c>
      <c r="Q236" s="30" t="s">
        <v>896</v>
      </c>
      <c r="R236" s="35">
        <v>164</v>
      </c>
      <c r="S236" s="20" t="s">
        <v>549</v>
      </c>
      <c r="T236" s="327">
        <f t="shared" si="168"/>
        <v>38.4375</v>
      </c>
      <c r="U236" s="327">
        <f t="shared" si="169"/>
        <v>41.854166666666664</v>
      </c>
      <c r="V236" s="327">
        <f t="shared" si="170"/>
        <v>41.854166666666671</v>
      </c>
      <c r="W236" s="327">
        <f t="shared" si="171"/>
        <v>41.854166666666671</v>
      </c>
      <c r="Y236" s="318"/>
      <c r="Z236" s="318"/>
    </row>
    <row r="237" spans="1:26" s="222" customFormat="1" ht="51" x14ac:dyDescent="0.2">
      <c r="A237" s="222">
        <v>152</v>
      </c>
      <c r="B237" s="453"/>
      <c r="C237" s="453"/>
      <c r="D237" s="189" t="s">
        <v>208</v>
      </c>
      <c r="E237" s="59">
        <v>41569</v>
      </c>
      <c r="F237" s="59">
        <v>42299</v>
      </c>
      <c r="G237" s="453"/>
      <c r="H237" s="34"/>
      <c r="I237" s="34"/>
      <c r="J237" s="30"/>
      <c r="K237" s="33">
        <v>41659</v>
      </c>
      <c r="L237" s="33">
        <v>41983</v>
      </c>
      <c r="M237" s="334">
        <v>1</v>
      </c>
      <c r="N237" s="20" t="s">
        <v>545</v>
      </c>
      <c r="O237" s="20" t="s">
        <v>549</v>
      </c>
      <c r="P237" s="30" t="s">
        <v>197</v>
      </c>
      <c r="Q237" s="30" t="s">
        <v>897</v>
      </c>
      <c r="R237" s="35">
        <v>172</v>
      </c>
      <c r="S237" s="20" t="s">
        <v>549</v>
      </c>
      <c r="T237" s="327">
        <f t="shared" si="168"/>
        <v>40.3125</v>
      </c>
      <c r="U237" s="327">
        <f t="shared" si="169"/>
        <v>43.895833333333336</v>
      </c>
      <c r="V237" s="327">
        <f t="shared" si="170"/>
        <v>43.895833333333329</v>
      </c>
      <c r="W237" s="327">
        <f t="shared" si="171"/>
        <v>43.895833333333329</v>
      </c>
      <c r="Y237" s="318"/>
      <c r="Z237" s="318"/>
    </row>
    <row r="238" spans="1:26" s="222" customFormat="1" ht="51" x14ac:dyDescent="0.2">
      <c r="A238" s="222">
        <v>154</v>
      </c>
      <c r="B238" s="452">
        <v>622882</v>
      </c>
      <c r="C238" s="452" t="s">
        <v>702</v>
      </c>
      <c r="D238" s="189" t="s">
        <v>208</v>
      </c>
      <c r="E238" s="59">
        <v>41569</v>
      </c>
      <c r="F238" s="59">
        <v>42299</v>
      </c>
      <c r="G238" s="452">
        <v>30</v>
      </c>
      <c r="H238" s="34"/>
      <c r="I238" s="34"/>
      <c r="J238" s="30"/>
      <c r="K238" s="33">
        <v>41659</v>
      </c>
      <c r="L238" s="33">
        <v>41983</v>
      </c>
      <c r="M238" s="334">
        <v>1</v>
      </c>
      <c r="N238" s="20" t="s">
        <v>545</v>
      </c>
      <c r="O238" s="20" t="s">
        <v>549</v>
      </c>
      <c r="P238" s="30" t="s">
        <v>197</v>
      </c>
      <c r="Q238" s="30" t="s">
        <v>897</v>
      </c>
      <c r="R238" s="35">
        <v>152</v>
      </c>
      <c r="S238" s="20" t="s">
        <v>549</v>
      </c>
      <c r="T238" s="327">
        <f t="shared" si="168"/>
        <v>35.625</v>
      </c>
      <c r="U238" s="327">
        <f t="shared" si="169"/>
        <v>38.791666666666664</v>
      </c>
      <c r="V238" s="327">
        <f t="shared" si="170"/>
        <v>38.791666666666671</v>
      </c>
      <c r="W238" s="327">
        <f t="shared" si="171"/>
        <v>38.791666666666671</v>
      </c>
      <c r="Y238" s="318"/>
      <c r="Z238" s="318"/>
    </row>
    <row r="239" spans="1:26" s="222" customFormat="1" ht="51" x14ac:dyDescent="0.2">
      <c r="A239" s="222">
        <v>152</v>
      </c>
      <c r="B239" s="462"/>
      <c r="C239" s="462"/>
      <c r="D239" s="189" t="s">
        <v>208</v>
      </c>
      <c r="E239" s="59">
        <v>41569</v>
      </c>
      <c r="F239" s="59">
        <v>42299</v>
      </c>
      <c r="G239" s="462"/>
      <c r="H239" s="34"/>
      <c r="I239" s="34"/>
      <c r="J239" s="30"/>
      <c r="K239" s="33">
        <v>41659</v>
      </c>
      <c r="L239" s="33">
        <v>41983</v>
      </c>
      <c r="M239" s="334">
        <v>1</v>
      </c>
      <c r="N239" s="20" t="s">
        <v>545</v>
      </c>
      <c r="O239" s="20" t="s">
        <v>549</v>
      </c>
      <c r="P239" s="30" t="s">
        <v>197</v>
      </c>
      <c r="Q239" s="30" t="s">
        <v>894</v>
      </c>
      <c r="R239" s="35">
        <v>180</v>
      </c>
      <c r="S239" s="20" t="s">
        <v>549</v>
      </c>
      <c r="T239" s="327">
        <f t="shared" ref="T239:T242" si="172">IF(K239=$T$3,$T$5*R239/DAYS360(K239,L239),0)</f>
        <v>42.1875</v>
      </c>
      <c r="U239" s="327">
        <f t="shared" ref="U239:U242" si="173">IF(K239=$U$3,$U$5*R239/DAYS360(K239,L239),0)+IF(K239=$T$3,IF(L239=$U$4,R239-T239,0),0)+IF(K239=$T$3,IF(L239=$V$4,(R239-T239)/2,0),0)+IF(K239=$T$3,IF(L239=$W$4,(R239-T239)/3,0),0)</f>
        <v>45.9375</v>
      </c>
      <c r="V239" s="327">
        <f t="shared" ref="V239:V242" si="174">IF(K239=$V$3,$V$5*R239/DAYS360(K239,L239),0)+IF(K239=$T$3,IF(L239=$V$4,R239-T239-U239,0),0)+IF(K239=$T$3,IF(L239=$W$4,(R239-T239-U239)/2,0),0)+IF(K239=$U$3,IF(L239=$V$4,R239-U239,0),0)+IF(K239=$U$3,IF(L239=$W$4,(R239-U239)/2,0),0)</f>
        <v>45.9375</v>
      </c>
      <c r="W239" s="327">
        <f t="shared" ref="W239:W242" si="175">IF(K239=$W$3,$W$5*R239/DAYS360(K239,L239),0)+IF(K239=$T$3,IF(L239=$W$4,R239-T239-U239-V239,0),0)+IF(K239=$U$3,IF(L239=$W$4,R239-U239-V239,0),0)+IF(K239=$V$3,IF(L239=$W$4,R239-V239,0),0)</f>
        <v>45.9375</v>
      </c>
      <c r="Y239" s="318"/>
      <c r="Z239" s="318"/>
    </row>
    <row r="240" spans="1:26" s="222" customFormat="1" ht="51" x14ac:dyDescent="0.2">
      <c r="A240" s="222">
        <v>152</v>
      </c>
      <c r="B240" s="462"/>
      <c r="C240" s="462"/>
      <c r="D240" s="189" t="s">
        <v>208</v>
      </c>
      <c r="E240" s="59">
        <v>41569</v>
      </c>
      <c r="F240" s="59">
        <v>42299</v>
      </c>
      <c r="G240" s="462"/>
      <c r="H240" s="34"/>
      <c r="I240" s="34"/>
      <c r="J240" s="30"/>
      <c r="K240" s="33">
        <v>41659</v>
      </c>
      <c r="L240" s="33">
        <v>41983</v>
      </c>
      <c r="M240" s="334">
        <v>1</v>
      </c>
      <c r="N240" s="20" t="s">
        <v>545</v>
      </c>
      <c r="O240" s="20" t="s">
        <v>549</v>
      </c>
      <c r="P240" s="30" t="s">
        <v>197</v>
      </c>
      <c r="Q240" s="30" t="s">
        <v>895</v>
      </c>
      <c r="R240" s="35">
        <v>180</v>
      </c>
      <c r="S240" s="20" t="s">
        <v>549</v>
      </c>
      <c r="T240" s="327">
        <f t="shared" si="172"/>
        <v>42.1875</v>
      </c>
      <c r="U240" s="327">
        <f t="shared" si="173"/>
        <v>45.9375</v>
      </c>
      <c r="V240" s="327">
        <f t="shared" si="174"/>
        <v>45.9375</v>
      </c>
      <c r="W240" s="327">
        <f t="shared" si="175"/>
        <v>45.9375</v>
      </c>
      <c r="Y240" s="318"/>
      <c r="Z240" s="318"/>
    </row>
    <row r="241" spans="1:26" s="222" customFormat="1" ht="51" x14ac:dyDescent="0.2">
      <c r="A241" s="222">
        <v>152</v>
      </c>
      <c r="B241" s="462"/>
      <c r="C241" s="462"/>
      <c r="D241" s="189" t="s">
        <v>208</v>
      </c>
      <c r="E241" s="59">
        <v>41569</v>
      </c>
      <c r="F241" s="59">
        <v>42299</v>
      </c>
      <c r="G241" s="462"/>
      <c r="H241" s="34"/>
      <c r="I241" s="34"/>
      <c r="J241" s="30"/>
      <c r="K241" s="33">
        <v>41659</v>
      </c>
      <c r="L241" s="33">
        <v>41983</v>
      </c>
      <c r="M241" s="334">
        <v>1</v>
      </c>
      <c r="N241" s="20" t="s">
        <v>545</v>
      </c>
      <c r="O241" s="20" t="s">
        <v>549</v>
      </c>
      <c r="P241" s="30" t="s">
        <v>197</v>
      </c>
      <c r="Q241" s="30" t="s">
        <v>997</v>
      </c>
      <c r="R241" s="35">
        <v>164</v>
      </c>
      <c r="S241" s="20" t="s">
        <v>549</v>
      </c>
      <c r="T241" s="327">
        <f t="shared" si="172"/>
        <v>38.4375</v>
      </c>
      <c r="U241" s="327">
        <f t="shared" si="173"/>
        <v>41.854166666666664</v>
      </c>
      <c r="V241" s="327">
        <f t="shared" si="174"/>
        <v>41.854166666666671</v>
      </c>
      <c r="W241" s="327">
        <f t="shared" si="175"/>
        <v>41.854166666666671</v>
      </c>
      <c r="Y241" s="318"/>
      <c r="Z241" s="318"/>
    </row>
    <row r="242" spans="1:26" s="222" customFormat="1" ht="51" x14ac:dyDescent="0.2">
      <c r="A242" s="222">
        <v>152</v>
      </c>
      <c r="B242" s="453"/>
      <c r="C242" s="453"/>
      <c r="D242" s="189" t="s">
        <v>208</v>
      </c>
      <c r="E242" s="59">
        <v>41569</v>
      </c>
      <c r="F242" s="59">
        <v>42299</v>
      </c>
      <c r="G242" s="453"/>
      <c r="H242" s="34"/>
      <c r="I242" s="34"/>
      <c r="J242" s="30"/>
      <c r="K242" s="33">
        <v>41659</v>
      </c>
      <c r="L242" s="33">
        <v>41983</v>
      </c>
      <c r="M242" s="334">
        <v>1</v>
      </c>
      <c r="N242" s="20" t="s">
        <v>545</v>
      </c>
      <c r="O242" s="20" t="s">
        <v>549</v>
      </c>
      <c r="P242" s="30" t="s">
        <v>197</v>
      </c>
      <c r="Q242" s="30" t="s">
        <v>896</v>
      </c>
      <c r="R242" s="35">
        <v>172</v>
      </c>
      <c r="S242" s="20" t="s">
        <v>549</v>
      </c>
      <c r="T242" s="327">
        <f t="shared" si="172"/>
        <v>40.3125</v>
      </c>
      <c r="U242" s="327">
        <f t="shared" si="173"/>
        <v>43.895833333333336</v>
      </c>
      <c r="V242" s="327">
        <f t="shared" si="174"/>
        <v>43.895833333333329</v>
      </c>
      <c r="W242" s="327">
        <f t="shared" si="175"/>
        <v>43.895833333333329</v>
      </c>
      <c r="Y242" s="318"/>
      <c r="Z242" s="318"/>
    </row>
    <row r="243" spans="1:26" s="222" customFormat="1" ht="51" x14ac:dyDescent="0.2">
      <c r="A243" s="222">
        <v>156</v>
      </c>
      <c r="B243" s="452">
        <v>649104</v>
      </c>
      <c r="C243" s="452" t="s">
        <v>702</v>
      </c>
      <c r="D243" s="189" t="s">
        <v>208</v>
      </c>
      <c r="E243" s="448">
        <v>41569</v>
      </c>
      <c r="F243" s="448">
        <v>42299</v>
      </c>
      <c r="G243" s="452">
        <v>30</v>
      </c>
      <c r="H243" s="34"/>
      <c r="I243" s="34"/>
      <c r="J243" s="30"/>
      <c r="K243" s="33">
        <v>41659</v>
      </c>
      <c r="L243" s="33">
        <v>41983</v>
      </c>
      <c r="M243" s="334">
        <v>1</v>
      </c>
      <c r="N243" s="20" t="s">
        <v>545</v>
      </c>
      <c r="O243" s="20" t="s">
        <v>549</v>
      </c>
      <c r="P243" s="30" t="s">
        <v>197</v>
      </c>
      <c r="Q243" s="30" t="s">
        <v>893</v>
      </c>
      <c r="R243" s="35">
        <v>152</v>
      </c>
      <c r="S243" s="20" t="s">
        <v>549</v>
      </c>
      <c r="T243" s="327">
        <f t="shared" si="116"/>
        <v>35.625</v>
      </c>
      <c r="U243" s="327">
        <f t="shared" si="117"/>
        <v>38.791666666666664</v>
      </c>
      <c r="V243" s="327">
        <f t="shared" si="118"/>
        <v>38.791666666666671</v>
      </c>
      <c r="W243" s="327">
        <f t="shared" si="119"/>
        <v>38.791666666666671</v>
      </c>
      <c r="Y243" s="318"/>
      <c r="Z243" s="318"/>
    </row>
    <row r="244" spans="1:26" s="222" customFormat="1" ht="51" x14ac:dyDescent="0.2">
      <c r="A244" s="222">
        <v>152</v>
      </c>
      <c r="B244" s="462"/>
      <c r="C244" s="462"/>
      <c r="D244" s="189" t="s">
        <v>208</v>
      </c>
      <c r="E244" s="460"/>
      <c r="F244" s="460"/>
      <c r="G244" s="462"/>
      <c r="H244" s="34"/>
      <c r="I244" s="34"/>
      <c r="J244" s="30"/>
      <c r="K244" s="33">
        <v>41659</v>
      </c>
      <c r="L244" s="33">
        <v>41983</v>
      </c>
      <c r="M244" s="334">
        <v>1</v>
      </c>
      <c r="N244" s="20" t="s">
        <v>545</v>
      </c>
      <c r="O244" s="20" t="s">
        <v>549</v>
      </c>
      <c r="P244" s="30" t="s">
        <v>197</v>
      </c>
      <c r="Q244" s="30" t="s">
        <v>996</v>
      </c>
      <c r="R244" s="35">
        <v>180</v>
      </c>
      <c r="S244" s="20" t="s">
        <v>549</v>
      </c>
      <c r="T244" s="327">
        <f t="shared" si="116"/>
        <v>42.1875</v>
      </c>
      <c r="U244" s="327">
        <f t="shared" si="117"/>
        <v>45.9375</v>
      </c>
      <c r="V244" s="327">
        <f t="shared" si="118"/>
        <v>45.9375</v>
      </c>
      <c r="W244" s="327">
        <f t="shared" si="119"/>
        <v>45.9375</v>
      </c>
      <c r="Y244" s="318"/>
      <c r="Z244" s="318"/>
    </row>
    <row r="245" spans="1:26" s="222" customFormat="1" ht="51" x14ac:dyDescent="0.2">
      <c r="A245" s="222">
        <v>152</v>
      </c>
      <c r="B245" s="462"/>
      <c r="C245" s="462"/>
      <c r="D245" s="189" t="s">
        <v>208</v>
      </c>
      <c r="E245" s="460"/>
      <c r="F245" s="460"/>
      <c r="G245" s="462"/>
      <c r="H245" s="34"/>
      <c r="I245" s="34"/>
      <c r="J245" s="30"/>
      <c r="K245" s="33">
        <v>41659</v>
      </c>
      <c r="L245" s="33">
        <v>41983</v>
      </c>
      <c r="M245" s="334">
        <v>1</v>
      </c>
      <c r="N245" s="20" t="s">
        <v>545</v>
      </c>
      <c r="O245" s="20" t="s">
        <v>549</v>
      </c>
      <c r="P245" s="30" t="s">
        <v>197</v>
      </c>
      <c r="Q245" s="30" t="s">
        <v>890</v>
      </c>
      <c r="R245" s="35">
        <v>180</v>
      </c>
      <c r="S245" s="20" t="s">
        <v>549</v>
      </c>
      <c r="T245" s="327">
        <f t="shared" si="116"/>
        <v>42.1875</v>
      </c>
      <c r="U245" s="327">
        <f t="shared" si="117"/>
        <v>45.9375</v>
      </c>
      <c r="V245" s="327">
        <f t="shared" si="118"/>
        <v>45.9375</v>
      </c>
      <c r="W245" s="327">
        <f t="shared" si="119"/>
        <v>45.9375</v>
      </c>
      <c r="Y245" s="318"/>
      <c r="Z245" s="318"/>
    </row>
    <row r="246" spans="1:26" s="222" customFormat="1" ht="51" x14ac:dyDescent="0.2">
      <c r="A246" s="222">
        <v>152</v>
      </c>
      <c r="B246" s="462"/>
      <c r="C246" s="462"/>
      <c r="D246" s="189" t="s">
        <v>208</v>
      </c>
      <c r="E246" s="460"/>
      <c r="F246" s="460"/>
      <c r="G246" s="462"/>
      <c r="H246" s="34"/>
      <c r="I246" s="34"/>
      <c r="J246" s="30"/>
      <c r="K246" s="33">
        <v>41659</v>
      </c>
      <c r="L246" s="33">
        <v>41983</v>
      </c>
      <c r="M246" s="334">
        <v>1</v>
      </c>
      <c r="N246" s="20" t="s">
        <v>545</v>
      </c>
      <c r="O246" s="20" t="s">
        <v>549</v>
      </c>
      <c r="P246" s="30" t="s">
        <v>197</v>
      </c>
      <c r="Q246" s="30" t="s">
        <v>891</v>
      </c>
      <c r="R246" s="35">
        <v>164</v>
      </c>
      <c r="S246" s="20" t="s">
        <v>549</v>
      </c>
      <c r="T246" s="327">
        <f t="shared" si="116"/>
        <v>38.4375</v>
      </c>
      <c r="U246" s="327">
        <f t="shared" si="117"/>
        <v>41.854166666666664</v>
      </c>
      <c r="V246" s="327">
        <f t="shared" si="118"/>
        <v>41.854166666666671</v>
      </c>
      <c r="W246" s="327">
        <f t="shared" si="119"/>
        <v>41.854166666666671</v>
      </c>
      <c r="Y246" s="318"/>
      <c r="Z246" s="318"/>
    </row>
    <row r="247" spans="1:26" s="222" customFormat="1" ht="51" x14ac:dyDescent="0.2">
      <c r="A247" s="222">
        <v>152</v>
      </c>
      <c r="B247" s="453"/>
      <c r="C247" s="453"/>
      <c r="D247" s="189" t="s">
        <v>208</v>
      </c>
      <c r="E247" s="449"/>
      <c r="F247" s="449"/>
      <c r="G247" s="453"/>
      <c r="H247" s="34"/>
      <c r="I247" s="34"/>
      <c r="J247" s="30"/>
      <c r="K247" s="33">
        <v>41659</v>
      </c>
      <c r="L247" s="33">
        <v>41983</v>
      </c>
      <c r="M247" s="334">
        <v>1</v>
      </c>
      <c r="N247" s="20" t="s">
        <v>545</v>
      </c>
      <c r="O247" s="20" t="s">
        <v>549</v>
      </c>
      <c r="P247" s="30" t="s">
        <v>197</v>
      </c>
      <c r="Q247" s="30" t="s">
        <v>892</v>
      </c>
      <c r="R247" s="35">
        <v>172</v>
      </c>
      <c r="S247" s="20" t="s">
        <v>549</v>
      </c>
      <c r="T247" s="327">
        <f t="shared" si="116"/>
        <v>40.3125</v>
      </c>
      <c r="U247" s="327">
        <f t="shared" si="117"/>
        <v>43.895833333333336</v>
      </c>
      <c r="V247" s="327">
        <f t="shared" si="118"/>
        <v>43.895833333333329</v>
      </c>
      <c r="W247" s="327">
        <f t="shared" si="119"/>
        <v>43.895833333333329</v>
      </c>
      <c r="Y247" s="318"/>
      <c r="Z247" s="318"/>
    </row>
    <row r="248" spans="1:26" s="222" customFormat="1" ht="63.75" x14ac:dyDescent="0.2">
      <c r="A248" s="222">
        <v>157</v>
      </c>
      <c r="B248" s="446">
        <v>622895</v>
      </c>
      <c r="C248" s="452" t="s">
        <v>702</v>
      </c>
      <c r="D248" s="189" t="s">
        <v>208</v>
      </c>
      <c r="E248" s="448">
        <v>41569</v>
      </c>
      <c r="F248" s="448">
        <v>42299</v>
      </c>
      <c r="G248" s="452">
        <v>30</v>
      </c>
      <c r="H248" s="34"/>
      <c r="I248" s="34"/>
      <c r="J248" s="30"/>
      <c r="K248" s="33">
        <v>41659</v>
      </c>
      <c r="L248" s="33">
        <v>41983</v>
      </c>
      <c r="M248" s="334">
        <v>1</v>
      </c>
      <c r="N248" s="189" t="s">
        <v>541</v>
      </c>
      <c r="O248" s="20" t="s">
        <v>552</v>
      </c>
      <c r="P248" s="30" t="s">
        <v>197</v>
      </c>
      <c r="Q248" s="30" t="s">
        <v>891</v>
      </c>
      <c r="R248" s="35">
        <v>228</v>
      </c>
      <c r="S248" s="20" t="s">
        <v>552</v>
      </c>
      <c r="T248" s="327">
        <f t="shared" si="116"/>
        <v>53.4375</v>
      </c>
      <c r="U248" s="327">
        <f t="shared" si="117"/>
        <v>58.1875</v>
      </c>
      <c r="V248" s="327">
        <f t="shared" si="118"/>
        <v>58.1875</v>
      </c>
      <c r="W248" s="327">
        <f t="shared" si="119"/>
        <v>58.1875</v>
      </c>
      <c r="Y248" s="318"/>
      <c r="Z248" s="318"/>
    </row>
    <row r="249" spans="1:26" s="222" customFormat="1" ht="63.75" x14ac:dyDescent="0.2">
      <c r="A249" s="222">
        <v>152</v>
      </c>
      <c r="B249" s="461"/>
      <c r="C249" s="462"/>
      <c r="D249" s="189" t="s">
        <v>208</v>
      </c>
      <c r="E249" s="460"/>
      <c r="F249" s="460"/>
      <c r="G249" s="462"/>
      <c r="H249" s="34"/>
      <c r="I249" s="34"/>
      <c r="J249" s="30"/>
      <c r="K249" s="33">
        <v>41659</v>
      </c>
      <c r="L249" s="33">
        <v>41983</v>
      </c>
      <c r="M249" s="334">
        <v>1</v>
      </c>
      <c r="N249" s="189" t="s">
        <v>541</v>
      </c>
      <c r="O249" s="20" t="s">
        <v>552</v>
      </c>
      <c r="P249" s="30" t="s">
        <v>197</v>
      </c>
      <c r="Q249" s="30" t="s">
        <v>892</v>
      </c>
      <c r="R249" s="35">
        <v>270</v>
      </c>
      <c r="S249" s="20" t="s">
        <v>552</v>
      </c>
      <c r="T249" s="327">
        <f t="shared" ref="T249:T252" si="176">IF(K249=$T$3,$T$5*R249/DAYS360(K249,L249),0)</f>
        <v>63.28125</v>
      </c>
      <c r="U249" s="327">
        <f t="shared" ref="U249:U252" si="177">IF(K249=$U$3,$U$5*R249/DAYS360(K249,L249),0)+IF(K249=$T$3,IF(L249=$U$4,R249-T249,0),0)+IF(K249=$T$3,IF(L249=$V$4,(R249-T249)/2,0),0)+IF(K249=$T$3,IF(L249=$W$4,(R249-T249)/3,0),0)</f>
        <v>68.90625</v>
      </c>
      <c r="V249" s="327">
        <f t="shared" ref="V249:V252" si="178">IF(K249=$V$3,$V$5*R249/DAYS360(K249,L249),0)+IF(K249=$T$3,IF(L249=$V$4,R249-T249-U249,0),0)+IF(K249=$T$3,IF(L249=$W$4,(R249-T249-U249)/2,0),0)+IF(K249=$U$3,IF(L249=$V$4,R249-U249,0),0)+IF(K249=$U$3,IF(L249=$W$4,(R249-U249)/2,0),0)</f>
        <v>68.90625</v>
      </c>
      <c r="W249" s="327">
        <f t="shared" ref="W249:W252" si="179">IF(K249=$W$3,$W$5*R249/DAYS360(K249,L249),0)+IF(K249=$T$3,IF(L249=$W$4,R249-T249-U249-V249,0),0)+IF(K249=$U$3,IF(L249=$W$4,R249-U249-V249,0),0)+IF(K249=$V$3,IF(L249=$W$4,R249-V249,0),0)</f>
        <v>68.90625</v>
      </c>
      <c r="Y249" s="318"/>
      <c r="Z249" s="318"/>
    </row>
    <row r="250" spans="1:26" s="222" customFormat="1" ht="63.75" x14ac:dyDescent="0.2">
      <c r="A250" s="222">
        <v>152</v>
      </c>
      <c r="B250" s="461"/>
      <c r="C250" s="462"/>
      <c r="D250" s="189" t="s">
        <v>208</v>
      </c>
      <c r="E250" s="460"/>
      <c r="F250" s="460"/>
      <c r="G250" s="462"/>
      <c r="H250" s="34"/>
      <c r="I250" s="34"/>
      <c r="J250" s="30"/>
      <c r="K250" s="33">
        <v>41659</v>
      </c>
      <c r="L250" s="33">
        <v>41983</v>
      </c>
      <c r="M250" s="334">
        <v>1</v>
      </c>
      <c r="N250" s="189" t="s">
        <v>541</v>
      </c>
      <c r="O250" s="20" t="s">
        <v>552</v>
      </c>
      <c r="P250" s="30" t="s">
        <v>197</v>
      </c>
      <c r="Q250" s="30" t="s">
        <v>893</v>
      </c>
      <c r="R250" s="35">
        <v>270</v>
      </c>
      <c r="S250" s="20" t="s">
        <v>552</v>
      </c>
      <c r="T250" s="327">
        <f t="shared" si="176"/>
        <v>63.28125</v>
      </c>
      <c r="U250" s="327">
        <f t="shared" si="177"/>
        <v>68.90625</v>
      </c>
      <c r="V250" s="327">
        <f t="shared" si="178"/>
        <v>68.90625</v>
      </c>
      <c r="W250" s="327">
        <f t="shared" si="179"/>
        <v>68.90625</v>
      </c>
      <c r="Y250" s="318"/>
      <c r="Z250" s="318"/>
    </row>
    <row r="251" spans="1:26" s="222" customFormat="1" ht="63.75" x14ac:dyDescent="0.2">
      <c r="A251" s="222">
        <v>152</v>
      </c>
      <c r="B251" s="461"/>
      <c r="C251" s="462"/>
      <c r="D251" s="189" t="s">
        <v>208</v>
      </c>
      <c r="E251" s="460"/>
      <c r="F251" s="460"/>
      <c r="G251" s="462"/>
      <c r="H251" s="34"/>
      <c r="I251" s="34"/>
      <c r="J251" s="30"/>
      <c r="K251" s="33">
        <v>41659</v>
      </c>
      <c r="L251" s="33">
        <v>41983</v>
      </c>
      <c r="M251" s="334">
        <v>1</v>
      </c>
      <c r="N251" s="189" t="s">
        <v>541</v>
      </c>
      <c r="O251" s="20" t="s">
        <v>552</v>
      </c>
      <c r="P251" s="30" t="s">
        <v>197</v>
      </c>
      <c r="Q251" s="30" t="s">
        <v>996</v>
      </c>
      <c r="R251" s="35">
        <v>246</v>
      </c>
      <c r="S251" s="20" t="s">
        <v>552</v>
      </c>
      <c r="T251" s="327">
        <f t="shared" si="176"/>
        <v>57.65625</v>
      </c>
      <c r="U251" s="327">
        <f t="shared" si="177"/>
        <v>62.78125</v>
      </c>
      <c r="V251" s="327">
        <f t="shared" si="178"/>
        <v>62.78125</v>
      </c>
      <c r="W251" s="327">
        <f t="shared" si="179"/>
        <v>62.78125</v>
      </c>
      <c r="Y251" s="318"/>
      <c r="Z251" s="318"/>
    </row>
    <row r="252" spans="1:26" s="222" customFormat="1" ht="63.75" x14ac:dyDescent="0.2">
      <c r="A252" s="222">
        <v>152</v>
      </c>
      <c r="B252" s="447"/>
      <c r="C252" s="453"/>
      <c r="D252" s="189" t="s">
        <v>208</v>
      </c>
      <c r="E252" s="449"/>
      <c r="F252" s="449"/>
      <c r="G252" s="453"/>
      <c r="H252" s="34"/>
      <c r="I252" s="34"/>
      <c r="J252" s="30"/>
      <c r="K252" s="33">
        <v>41659</v>
      </c>
      <c r="L252" s="33">
        <v>41983</v>
      </c>
      <c r="M252" s="334">
        <v>1</v>
      </c>
      <c r="N252" s="189" t="s">
        <v>541</v>
      </c>
      <c r="O252" s="20" t="s">
        <v>552</v>
      </c>
      <c r="P252" s="30" t="s">
        <v>197</v>
      </c>
      <c r="Q252" s="30" t="s">
        <v>890</v>
      </c>
      <c r="R252" s="35">
        <v>258</v>
      </c>
      <c r="S252" s="20" t="s">
        <v>552</v>
      </c>
      <c r="T252" s="327">
        <f t="shared" si="176"/>
        <v>60.46875</v>
      </c>
      <c r="U252" s="327">
        <f t="shared" si="177"/>
        <v>65.84375</v>
      </c>
      <c r="V252" s="327">
        <f t="shared" si="178"/>
        <v>65.84375</v>
      </c>
      <c r="W252" s="327">
        <f t="shared" si="179"/>
        <v>65.84375</v>
      </c>
      <c r="Y252" s="318"/>
      <c r="Z252" s="318"/>
    </row>
    <row r="253" spans="1:26" s="222" customFormat="1" ht="63.75" x14ac:dyDescent="0.2">
      <c r="A253" s="222">
        <v>158</v>
      </c>
      <c r="B253" s="446">
        <v>622904</v>
      </c>
      <c r="C253" s="452" t="s">
        <v>702</v>
      </c>
      <c r="D253" s="189" t="s">
        <v>208</v>
      </c>
      <c r="E253" s="448">
        <v>41569</v>
      </c>
      <c r="F253" s="448">
        <v>42299</v>
      </c>
      <c r="G253" s="452">
        <v>30</v>
      </c>
      <c r="H253" s="34"/>
      <c r="I253" s="34"/>
      <c r="J253" s="30"/>
      <c r="K253" s="33">
        <v>41659</v>
      </c>
      <c r="L253" s="33">
        <v>41983</v>
      </c>
      <c r="M253" s="334">
        <v>1</v>
      </c>
      <c r="N253" s="20" t="s">
        <v>545</v>
      </c>
      <c r="O253" s="20" t="s">
        <v>550</v>
      </c>
      <c r="P253" s="30" t="s">
        <v>197</v>
      </c>
      <c r="Q253" s="30" t="s">
        <v>997</v>
      </c>
      <c r="R253" s="35">
        <v>180</v>
      </c>
      <c r="S253" s="20" t="s">
        <v>550</v>
      </c>
      <c r="T253" s="327">
        <f t="shared" si="116"/>
        <v>42.1875</v>
      </c>
      <c r="U253" s="327">
        <f t="shared" si="117"/>
        <v>45.9375</v>
      </c>
      <c r="V253" s="327">
        <f t="shared" si="118"/>
        <v>45.9375</v>
      </c>
      <c r="W253" s="327">
        <f t="shared" si="119"/>
        <v>45.9375</v>
      </c>
      <c r="Y253" s="318"/>
      <c r="Z253" s="318"/>
    </row>
    <row r="254" spans="1:26" s="222" customFormat="1" ht="63.75" x14ac:dyDescent="0.2">
      <c r="A254" s="222">
        <v>152</v>
      </c>
      <c r="B254" s="461"/>
      <c r="C254" s="462"/>
      <c r="D254" s="189" t="s">
        <v>208</v>
      </c>
      <c r="E254" s="460"/>
      <c r="F254" s="460"/>
      <c r="G254" s="462"/>
      <c r="H254" s="34"/>
      <c r="I254" s="34"/>
      <c r="J254" s="30"/>
      <c r="K254" s="33">
        <v>41659</v>
      </c>
      <c r="L254" s="33">
        <v>41983</v>
      </c>
      <c r="M254" s="334">
        <v>1</v>
      </c>
      <c r="N254" s="20" t="s">
        <v>545</v>
      </c>
      <c r="O254" s="20" t="s">
        <v>550</v>
      </c>
      <c r="P254" s="30" t="s">
        <v>197</v>
      </c>
      <c r="Q254" s="30" t="s">
        <v>896</v>
      </c>
      <c r="R254" s="35">
        <v>152</v>
      </c>
      <c r="S254" s="20" t="s">
        <v>550</v>
      </c>
      <c r="T254" s="327">
        <f t="shared" si="116"/>
        <v>35.625</v>
      </c>
      <c r="U254" s="327">
        <f t="shared" si="117"/>
        <v>38.791666666666664</v>
      </c>
      <c r="V254" s="327">
        <f t="shared" si="118"/>
        <v>38.791666666666671</v>
      </c>
      <c r="W254" s="327">
        <f t="shared" si="119"/>
        <v>38.791666666666671</v>
      </c>
      <c r="Y254" s="318"/>
      <c r="Z254" s="318"/>
    </row>
    <row r="255" spans="1:26" s="222" customFormat="1" ht="63.75" x14ac:dyDescent="0.2">
      <c r="A255" s="222">
        <v>152</v>
      </c>
      <c r="B255" s="461"/>
      <c r="C255" s="462"/>
      <c r="D255" s="189" t="s">
        <v>208</v>
      </c>
      <c r="E255" s="460"/>
      <c r="F255" s="460"/>
      <c r="G255" s="462"/>
      <c r="H255" s="34"/>
      <c r="I255" s="34"/>
      <c r="J255" s="30"/>
      <c r="K255" s="33">
        <v>41659</v>
      </c>
      <c r="L255" s="33">
        <v>41983</v>
      </c>
      <c r="M255" s="334">
        <v>1</v>
      </c>
      <c r="N255" s="20" t="s">
        <v>545</v>
      </c>
      <c r="O255" s="20" t="s">
        <v>550</v>
      </c>
      <c r="P255" s="30" t="s">
        <v>197</v>
      </c>
      <c r="Q255" s="30" t="s">
        <v>897</v>
      </c>
      <c r="R255" s="35">
        <v>180</v>
      </c>
      <c r="S255" s="20" t="s">
        <v>550</v>
      </c>
      <c r="T255" s="327">
        <f t="shared" si="116"/>
        <v>42.1875</v>
      </c>
      <c r="U255" s="327">
        <f t="shared" si="117"/>
        <v>45.9375</v>
      </c>
      <c r="V255" s="327">
        <f t="shared" si="118"/>
        <v>45.9375</v>
      </c>
      <c r="W255" s="327">
        <f t="shared" si="119"/>
        <v>45.9375</v>
      </c>
      <c r="Y255" s="318"/>
      <c r="Z255" s="318"/>
    </row>
    <row r="256" spans="1:26" s="222" customFormat="1" ht="63.75" x14ac:dyDescent="0.2">
      <c r="A256" s="222">
        <v>152</v>
      </c>
      <c r="B256" s="461"/>
      <c r="C256" s="462"/>
      <c r="D256" s="189" t="s">
        <v>208</v>
      </c>
      <c r="E256" s="460"/>
      <c r="F256" s="460"/>
      <c r="G256" s="462"/>
      <c r="H256" s="34"/>
      <c r="I256" s="34"/>
      <c r="J256" s="30"/>
      <c r="K256" s="33">
        <v>41659</v>
      </c>
      <c r="L256" s="33">
        <v>41983</v>
      </c>
      <c r="M256" s="334">
        <v>1</v>
      </c>
      <c r="N256" s="20" t="s">
        <v>545</v>
      </c>
      <c r="O256" s="20" t="s">
        <v>550</v>
      </c>
      <c r="P256" s="30" t="s">
        <v>197</v>
      </c>
      <c r="Q256" s="30" t="s">
        <v>894</v>
      </c>
      <c r="R256" s="35">
        <v>180</v>
      </c>
      <c r="S256" s="20" t="s">
        <v>550</v>
      </c>
      <c r="T256" s="327">
        <f t="shared" si="116"/>
        <v>42.1875</v>
      </c>
      <c r="U256" s="327">
        <f t="shared" si="117"/>
        <v>45.9375</v>
      </c>
      <c r="V256" s="327">
        <f t="shared" si="118"/>
        <v>45.9375</v>
      </c>
      <c r="W256" s="327">
        <f t="shared" si="119"/>
        <v>45.9375</v>
      </c>
      <c r="Y256" s="318"/>
      <c r="Z256" s="318"/>
    </row>
    <row r="257" spans="1:26" s="222" customFormat="1" ht="63.75" x14ac:dyDescent="0.2">
      <c r="A257" s="222">
        <v>152</v>
      </c>
      <c r="B257" s="447"/>
      <c r="C257" s="453"/>
      <c r="D257" s="189" t="s">
        <v>208</v>
      </c>
      <c r="E257" s="449"/>
      <c r="F257" s="449"/>
      <c r="G257" s="453"/>
      <c r="H257" s="34"/>
      <c r="I257" s="34"/>
      <c r="J257" s="30"/>
      <c r="K257" s="33">
        <v>41659</v>
      </c>
      <c r="L257" s="33">
        <v>41983</v>
      </c>
      <c r="M257" s="334">
        <v>1</v>
      </c>
      <c r="N257" s="20" t="s">
        <v>545</v>
      </c>
      <c r="O257" s="20" t="s">
        <v>550</v>
      </c>
      <c r="P257" s="30" t="s">
        <v>197</v>
      </c>
      <c r="Q257" s="30" t="s">
        <v>895</v>
      </c>
      <c r="R257" s="35">
        <v>164</v>
      </c>
      <c r="S257" s="20" t="s">
        <v>550</v>
      </c>
      <c r="T257" s="327">
        <f t="shared" si="116"/>
        <v>38.4375</v>
      </c>
      <c r="U257" s="327">
        <f t="shared" si="117"/>
        <v>41.854166666666664</v>
      </c>
      <c r="V257" s="327">
        <f t="shared" si="118"/>
        <v>41.854166666666671</v>
      </c>
      <c r="W257" s="327">
        <f t="shared" si="119"/>
        <v>41.854166666666671</v>
      </c>
      <c r="Y257" s="318"/>
      <c r="Z257" s="318"/>
    </row>
    <row r="258" spans="1:26" s="222" customFormat="1" ht="63.75" x14ac:dyDescent="0.2">
      <c r="A258" s="222">
        <v>159</v>
      </c>
      <c r="B258" s="446">
        <v>622891</v>
      </c>
      <c r="C258" s="452" t="s">
        <v>702</v>
      </c>
      <c r="D258" s="189" t="s">
        <v>208</v>
      </c>
      <c r="E258" s="448">
        <v>41569</v>
      </c>
      <c r="F258" s="448">
        <v>42299</v>
      </c>
      <c r="G258" s="452">
        <v>30</v>
      </c>
      <c r="H258" s="34"/>
      <c r="I258" s="34"/>
      <c r="J258" s="30"/>
      <c r="K258" s="33">
        <v>41659</v>
      </c>
      <c r="L258" s="33">
        <v>41983</v>
      </c>
      <c r="M258" s="334">
        <v>1</v>
      </c>
      <c r="N258" s="20" t="s">
        <v>541</v>
      </c>
      <c r="O258" s="20" t="s">
        <v>550</v>
      </c>
      <c r="P258" s="30" t="s">
        <v>197</v>
      </c>
      <c r="Q258" s="30" t="s">
        <v>896</v>
      </c>
      <c r="R258" s="35">
        <v>172</v>
      </c>
      <c r="S258" s="20" t="s">
        <v>550</v>
      </c>
      <c r="T258" s="327">
        <f t="shared" si="116"/>
        <v>40.3125</v>
      </c>
      <c r="U258" s="327">
        <f t="shared" si="117"/>
        <v>43.895833333333336</v>
      </c>
      <c r="V258" s="327">
        <f t="shared" si="118"/>
        <v>43.895833333333329</v>
      </c>
      <c r="W258" s="327">
        <f t="shared" si="119"/>
        <v>43.895833333333329</v>
      </c>
      <c r="Y258" s="318"/>
      <c r="Z258" s="318"/>
    </row>
    <row r="259" spans="1:26" s="222" customFormat="1" ht="63.75" x14ac:dyDescent="0.2">
      <c r="A259" s="222">
        <v>152</v>
      </c>
      <c r="B259" s="461"/>
      <c r="C259" s="462"/>
      <c r="D259" s="189" t="s">
        <v>208</v>
      </c>
      <c r="E259" s="460"/>
      <c r="F259" s="460"/>
      <c r="G259" s="462"/>
      <c r="H259" s="34"/>
      <c r="I259" s="34"/>
      <c r="J259" s="30"/>
      <c r="K259" s="33">
        <v>41659</v>
      </c>
      <c r="L259" s="33">
        <v>41983</v>
      </c>
      <c r="M259" s="334">
        <v>1</v>
      </c>
      <c r="N259" s="20" t="s">
        <v>545</v>
      </c>
      <c r="O259" s="20" t="s">
        <v>550</v>
      </c>
      <c r="P259" s="30" t="s">
        <v>197</v>
      </c>
      <c r="Q259" s="30" t="s">
        <v>897</v>
      </c>
      <c r="R259" s="35">
        <v>152</v>
      </c>
      <c r="S259" s="20" t="s">
        <v>550</v>
      </c>
      <c r="T259" s="327">
        <f t="shared" ref="T259:T262" si="180">IF(K259=$T$3,$T$5*R259/DAYS360(K259,L259),0)</f>
        <v>35.625</v>
      </c>
      <c r="U259" s="327">
        <f t="shared" ref="U259:U262" si="181">IF(K259=$U$3,$U$5*R259/DAYS360(K259,L259),0)+IF(K259=$T$3,IF(L259=$U$4,R259-T259,0),0)+IF(K259=$T$3,IF(L259=$V$4,(R259-T259)/2,0),0)+IF(K259=$T$3,IF(L259=$W$4,(R259-T259)/3,0),0)</f>
        <v>38.791666666666664</v>
      </c>
      <c r="V259" s="327">
        <f t="shared" ref="V259:V262" si="182">IF(K259=$V$3,$V$5*R259/DAYS360(K259,L259),0)+IF(K259=$T$3,IF(L259=$V$4,R259-T259-U259,0),0)+IF(K259=$T$3,IF(L259=$W$4,(R259-T259-U259)/2,0),0)+IF(K259=$U$3,IF(L259=$V$4,R259-U259,0),0)+IF(K259=$U$3,IF(L259=$W$4,(R259-U259)/2,0),0)</f>
        <v>38.791666666666671</v>
      </c>
      <c r="W259" s="327">
        <f t="shared" ref="W259:W262" si="183">IF(K259=$W$3,$W$5*R259/DAYS360(K259,L259),0)+IF(K259=$T$3,IF(L259=$W$4,R259-T259-U259-V259,0),0)+IF(K259=$U$3,IF(L259=$W$4,R259-U259-V259,0),0)+IF(K259=$V$3,IF(L259=$W$4,R259-V259,0),0)</f>
        <v>38.791666666666671</v>
      </c>
      <c r="Y259" s="318"/>
      <c r="Z259" s="318"/>
    </row>
    <row r="260" spans="1:26" s="222" customFormat="1" ht="63.75" x14ac:dyDescent="0.2">
      <c r="A260" s="222">
        <v>152</v>
      </c>
      <c r="B260" s="461"/>
      <c r="C260" s="462"/>
      <c r="D260" s="189" t="s">
        <v>208</v>
      </c>
      <c r="E260" s="460"/>
      <c r="F260" s="460"/>
      <c r="G260" s="462"/>
      <c r="H260" s="34"/>
      <c r="I260" s="34"/>
      <c r="J260" s="30"/>
      <c r="K260" s="33">
        <v>41659</v>
      </c>
      <c r="L260" s="33">
        <v>41983</v>
      </c>
      <c r="M260" s="334">
        <v>1</v>
      </c>
      <c r="N260" s="20" t="s">
        <v>545</v>
      </c>
      <c r="O260" s="20" t="s">
        <v>550</v>
      </c>
      <c r="P260" s="30" t="s">
        <v>197</v>
      </c>
      <c r="Q260" s="30" t="s">
        <v>894</v>
      </c>
      <c r="R260" s="35">
        <v>180</v>
      </c>
      <c r="S260" s="20" t="s">
        <v>550</v>
      </c>
      <c r="T260" s="327">
        <f t="shared" si="180"/>
        <v>42.1875</v>
      </c>
      <c r="U260" s="327">
        <f t="shared" si="181"/>
        <v>45.9375</v>
      </c>
      <c r="V260" s="327">
        <f t="shared" si="182"/>
        <v>45.9375</v>
      </c>
      <c r="W260" s="327">
        <f t="shared" si="183"/>
        <v>45.9375</v>
      </c>
      <c r="Y260" s="318"/>
      <c r="Z260" s="318"/>
    </row>
    <row r="261" spans="1:26" s="222" customFormat="1" ht="63.75" x14ac:dyDescent="0.2">
      <c r="A261" s="222">
        <v>152</v>
      </c>
      <c r="B261" s="461"/>
      <c r="C261" s="462"/>
      <c r="D261" s="189" t="s">
        <v>208</v>
      </c>
      <c r="E261" s="460"/>
      <c r="F261" s="460"/>
      <c r="G261" s="462"/>
      <c r="H261" s="34"/>
      <c r="I261" s="34"/>
      <c r="J261" s="30"/>
      <c r="K261" s="33">
        <v>41659</v>
      </c>
      <c r="L261" s="33">
        <v>41983</v>
      </c>
      <c r="M261" s="334">
        <v>1</v>
      </c>
      <c r="N261" s="20" t="s">
        <v>545</v>
      </c>
      <c r="O261" s="20" t="s">
        <v>550</v>
      </c>
      <c r="P261" s="30" t="s">
        <v>197</v>
      </c>
      <c r="Q261" s="30" t="s">
        <v>895</v>
      </c>
      <c r="R261" s="35">
        <v>180</v>
      </c>
      <c r="S261" s="20" t="s">
        <v>550</v>
      </c>
      <c r="T261" s="327">
        <f t="shared" si="180"/>
        <v>42.1875</v>
      </c>
      <c r="U261" s="327">
        <f t="shared" si="181"/>
        <v>45.9375</v>
      </c>
      <c r="V261" s="327">
        <f t="shared" si="182"/>
        <v>45.9375</v>
      </c>
      <c r="W261" s="327">
        <f t="shared" si="183"/>
        <v>45.9375</v>
      </c>
      <c r="Y261" s="318"/>
      <c r="Z261" s="318"/>
    </row>
    <row r="262" spans="1:26" s="222" customFormat="1" ht="63.75" x14ac:dyDescent="0.2">
      <c r="A262" s="222">
        <v>152</v>
      </c>
      <c r="B262" s="447"/>
      <c r="C262" s="453"/>
      <c r="D262" s="189" t="s">
        <v>208</v>
      </c>
      <c r="E262" s="449"/>
      <c r="F262" s="449"/>
      <c r="G262" s="453"/>
      <c r="H262" s="34"/>
      <c r="I262" s="34"/>
      <c r="J262" s="30"/>
      <c r="K262" s="33">
        <v>41659</v>
      </c>
      <c r="L262" s="33">
        <v>41983</v>
      </c>
      <c r="M262" s="334">
        <v>1</v>
      </c>
      <c r="N262" s="20" t="s">
        <v>545</v>
      </c>
      <c r="O262" s="20" t="s">
        <v>550</v>
      </c>
      <c r="P262" s="30" t="s">
        <v>197</v>
      </c>
      <c r="Q262" s="30" t="s">
        <v>997</v>
      </c>
      <c r="R262" s="35">
        <v>164</v>
      </c>
      <c r="S262" s="20" t="s">
        <v>550</v>
      </c>
      <c r="T262" s="327">
        <f t="shared" si="180"/>
        <v>38.4375</v>
      </c>
      <c r="U262" s="327">
        <f t="shared" si="181"/>
        <v>41.854166666666664</v>
      </c>
      <c r="V262" s="327">
        <f t="shared" si="182"/>
        <v>41.854166666666671</v>
      </c>
      <c r="W262" s="327">
        <f t="shared" si="183"/>
        <v>41.854166666666671</v>
      </c>
      <c r="Y262" s="318"/>
      <c r="Z262" s="318"/>
    </row>
    <row r="263" spans="1:26" s="222" customFormat="1" ht="51" x14ac:dyDescent="0.2">
      <c r="A263" s="222">
        <v>160</v>
      </c>
      <c r="B263" s="452">
        <v>622897</v>
      </c>
      <c r="C263" s="452" t="s">
        <v>702</v>
      </c>
      <c r="D263" s="189" t="s">
        <v>208</v>
      </c>
      <c r="E263" s="448">
        <v>41569</v>
      </c>
      <c r="F263" s="448">
        <v>42299</v>
      </c>
      <c r="G263" s="452">
        <v>30</v>
      </c>
      <c r="H263" s="34"/>
      <c r="I263" s="34"/>
      <c r="J263" s="30"/>
      <c r="K263" s="33">
        <v>41659</v>
      </c>
      <c r="L263" s="33">
        <v>41983</v>
      </c>
      <c r="M263" s="334">
        <v>1</v>
      </c>
      <c r="N263" s="20" t="s">
        <v>541</v>
      </c>
      <c r="O263" s="20" t="s">
        <v>551</v>
      </c>
      <c r="P263" s="30" t="s">
        <v>197</v>
      </c>
      <c r="Q263" s="30" t="s">
        <v>892</v>
      </c>
      <c r="R263" s="35">
        <v>228</v>
      </c>
      <c r="S263" s="20" t="s">
        <v>551</v>
      </c>
      <c r="T263" s="327">
        <f t="shared" si="116"/>
        <v>53.4375</v>
      </c>
      <c r="U263" s="327">
        <f t="shared" si="117"/>
        <v>58.1875</v>
      </c>
      <c r="V263" s="327">
        <f t="shared" si="118"/>
        <v>58.1875</v>
      </c>
      <c r="W263" s="327">
        <f t="shared" si="119"/>
        <v>58.1875</v>
      </c>
      <c r="Y263" s="318"/>
      <c r="Z263" s="318"/>
    </row>
    <row r="264" spans="1:26" s="222" customFormat="1" ht="51" x14ac:dyDescent="0.2">
      <c r="A264" s="222">
        <v>152</v>
      </c>
      <c r="B264" s="462"/>
      <c r="C264" s="462"/>
      <c r="D264" s="189" t="s">
        <v>208</v>
      </c>
      <c r="E264" s="460"/>
      <c r="F264" s="460"/>
      <c r="G264" s="462"/>
      <c r="H264" s="34"/>
      <c r="I264" s="34"/>
      <c r="J264" s="30"/>
      <c r="K264" s="33">
        <v>41659</v>
      </c>
      <c r="L264" s="33">
        <v>41983</v>
      </c>
      <c r="M264" s="334">
        <v>1</v>
      </c>
      <c r="N264" s="20" t="s">
        <v>541</v>
      </c>
      <c r="O264" s="20" t="s">
        <v>551</v>
      </c>
      <c r="P264" s="30" t="s">
        <v>197</v>
      </c>
      <c r="Q264" s="30" t="s">
        <v>893</v>
      </c>
      <c r="R264" s="35">
        <v>270</v>
      </c>
      <c r="S264" s="20" t="s">
        <v>551</v>
      </c>
      <c r="T264" s="327">
        <f t="shared" si="116"/>
        <v>63.28125</v>
      </c>
      <c r="U264" s="327">
        <f t="shared" si="117"/>
        <v>68.90625</v>
      </c>
      <c r="V264" s="327">
        <f t="shared" si="118"/>
        <v>68.90625</v>
      </c>
      <c r="W264" s="327">
        <f t="shared" si="119"/>
        <v>68.90625</v>
      </c>
      <c r="Y264" s="318"/>
      <c r="Z264" s="318"/>
    </row>
    <row r="265" spans="1:26" s="222" customFormat="1" ht="51" x14ac:dyDescent="0.2">
      <c r="A265" s="222">
        <v>152</v>
      </c>
      <c r="B265" s="462"/>
      <c r="C265" s="462"/>
      <c r="D265" s="189" t="s">
        <v>208</v>
      </c>
      <c r="E265" s="460"/>
      <c r="F265" s="460"/>
      <c r="G265" s="462"/>
      <c r="H265" s="34"/>
      <c r="I265" s="34"/>
      <c r="J265" s="30"/>
      <c r="K265" s="33">
        <v>41659</v>
      </c>
      <c r="L265" s="33">
        <v>41983</v>
      </c>
      <c r="M265" s="334">
        <v>1</v>
      </c>
      <c r="N265" s="20" t="s">
        <v>541</v>
      </c>
      <c r="O265" s="20" t="s">
        <v>551</v>
      </c>
      <c r="P265" s="30" t="s">
        <v>197</v>
      </c>
      <c r="Q265" s="30" t="s">
        <v>996</v>
      </c>
      <c r="R265" s="35">
        <v>270</v>
      </c>
      <c r="S265" s="20" t="s">
        <v>551</v>
      </c>
      <c r="T265" s="327">
        <f t="shared" si="116"/>
        <v>63.28125</v>
      </c>
      <c r="U265" s="327">
        <f t="shared" si="117"/>
        <v>68.90625</v>
      </c>
      <c r="V265" s="327">
        <f t="shared" si="118"/>
        <v>68.90625</v>
      </c>
      <c r="W265" s="327">
        <f t="shared" si="119"/>
        <v>68.90625</v>
      </c>
      <c r="Y265" s="318"/>
      <c r="Z265" s="318"/>
    </row>
    <row r="266" spans="1:26" s="222" customFormat="1" ht="51" x14ac:dyDescent="0.2">
      <c r="A266" s="222">
        <v>152</v>
      </c>
      <c r="B266" s="462"/>
      <c r="C266" s="462"/>
      <c r="D266" s="189" t="s">
        <v>208</v>
      </c>
      <c r="E266" s="460"/>
      <c r="F266" s="460"/>
      <c r="G266" s="462"/>
      <c r="H266" s="34"/>
      <c r="I266" s="34"/>
      <c r="J266" s="30"/>
      <c r="K266" s="33">
        <v>41659</v>
      </c>
      <c r="L266" s="33">
        <v>41983</v>
      </c>
      <c r="M266" s="334">
        <v>1</v>
      </c>
      <c r="N266" s="20" t="s">
        <v>541</v>
      </c>
      <c r="O266" s="20" t="s">
        <v>551</v>
      </c>
      <c r="P266" s="30" t="s">
        <v>197</v>
      </c>
      <c r="Q266" s="30" t="s">
        <v>890</v>
      </c>
      <c r="R266" s="35">
        <v>246</v>
      </c>
      <c r="S266" s="20" t="s">
        <v>551</v>
      </c>
      <c r="T266" s="327">
        <f t="shared" si="116"/>
        <v>57.65625</v>
      </c>
      <c r="U266" s="327">
        <f t="shared" si="117"/>
        <v>62.78125</v>
      </c>
      <c r="V266" s="327">
        <f t="shared" si="118"/>
        <v>62.78125</v>
      </c>
      <c r="W266" s="327">
        <f t="shared" si="119"/>
        <v>62.78125</v>
      </c>
      <c r="Y266" s="318"/>
      <c r="Z266" s="318"/>
    </row>
    <row r="267" spans="1:26" s="222" customFormat="1" ht="51" x14ac:dyDescent="0.2">
      <c r="A267" s="222">
        <v>152</v>
      </c>
      <c r="B267" s="453"/>
      <c r="C267" s="453"/>
      <c r="D267" s="189" t="s">
        <v>208</v>
      </c>
      <c r="E267" s="449"/>
      <c r="F267" s="449"/>
      <c r="G267" s="453"/>
      <c r="H267" s="34"/>
      <c r="I267" s="34"/>
      <c r="J267" s="30"/>
      <c r="K267" s="33">
        <v>41659</v>
      </c>
      <c r="L267" s="33">
        <v>41983</v>
      </c>
      <c r="M267" s="334">
        <v>1</v>
      </c>
      <c r="N267" s="20" t="s">
        <v>541</v>
      </c>
      <c r="O267" s="20" t="s">
        <v>551</v>
      </c>
      <c r="P267" s="30" t="s">
        <v>197</v>
      </c>
      <c r="Q267" s="30" t="s">
        <v>891</v>
      </c>
      <c r="R267" s="35">
        <v>258</v>
      </c>
      <c r="S267" s="20" t="s">
        <v>551</v>
      </c>
      <c r="T267" s="327">
        <f t="shared" si="116"/>
        <v>60.46875</v>
      </c>
      <c r="U267" s="327">
        <f t="shared" si="117"/>
        <v>65.84375</v>
      </c>
      <c r="V267" s="327">
        <f t="shared" si="118"/>
        <v>65.84375</v>
      </c>
      <c r="W267" s="327">
        <f t="shared" si="119"/>
        <v>65.84375</v>
      </c>
      <c r="Y267" s="318"/>
      <c r="Z267" s="318"/>
    </row>
    <row r="268" spans="1:26" s="222" customFormat="1" ht="76.5" x14ac:dyDescent="0.2">
      <c r="A268" s="222">
        <v>161</v>
      </c>
      <c r="B268" s="452">
        <v>622872</v>
      </c>
      <c r="C268" s="452" t="s">
        <v>702</v>
      </c>
      <c r="D268" s="189" t="s">
        <v>208</v>
      </c>
      <c r="E268" s="448">
        <v>41569</v>
      </c>
      <c r="F268" s="448">
        <v>42299</v>
      </c>
      <c r="G268" s="452">
        <v>30</v>
      </c>
      <c r="H268" s="34"/>
      <c r="I268" s="34"/>
      <c r="J268" s="30"/>
      <c r="K268" s="33">
        <v>41659</v>
      </c>
      <c r="L268" s="33">
        <v>41983</v>
      </c>
      <c r="M268" s="334">
        <v>1</v>
      </c>
      <c r="N268" s="20" t="s">
        <v>545</v>
      </c>
      <c r="O268" s="20" t="s">
        <v>548</v>
      </c>
      <c r="P268" s="30" t="s">
        <v>197</v>
      </c>
      <c r="Q268" s="30" t="s">
        <v>895</v>
      </c>
      <c r="R268" s="35">
        <v>172</v>
      </c>
      <c r="S268" s="20" t="s">
        <v>548</v>
      </c>
      <c r="T268" s="327">
        <f t="shared" si="116"/>
        <v>40.3125</v>
      </c>
      <c r="U268" s="327">
        <f t="shared" si="117"/>
        <v>43.895833333333336</v>
      </c>
      <c r="V268" s="327">
        <f t="shared" si="118"/>
        <v>43.895833333333329</v>
      </c>
      <c r="W268" s="327">
        <f t="shared" si="119"/>
        <v>43.895833333333329</v>
      </c>
      <c r="Y268" s="318"/>
      <c r="Z268" s="318"/>
    </row>
    <row r="269" spans="1:26" s="222" customFormat="1" ht="76.5" x14ac:dyDescent="0.2">
      <c r="A269" s="222">
        <v>152</v>
      </c>
      <c r="B269" s="462"/>
      <c r="C269" s="462"/>
      <c r="D269" s="189" t="s">
        <v>208</v>
      </c>
      <c r="E269" s="460"/>
      <c r="F269" s="460"/>
      <c r="G269" s="462"/>
      <c r="H269" s="34"/>
      <c r="I269" s="34"/>
      <c r="J269" s="30"/>
      <c r="K269" s="33">
        <v>41659</v>
      </c>
      <c r="L269" s="33">
        <v>41983</v>
      </c>
      <c r="M269" s="334">
        <v>1</v>
      </c>
      <c r="N269" s="20" t="s">
        <v>545</v>
      </c>
      <c r="O269" s="20" t="s">
        <v>548</v>
      </c>
      <c r="P269" s="30" t="s">
        <v>197</v>
      </c>
      <c r="Q269" s="30" t="s">
        <v>997</v>
      </c>
      <c r="R269" s="35">
        <v>152</v>
      </c>
      <c r="S269" s="20" t="s">
        <v>548</v>
      </c>
      <c r="T269" s="327">
        <f t="shared" ref="T269:T272" si="184">IF(K269=$T$3,$T$5*R269/DAYS360(K269,L269),0)</f>
        <v>35.625</v>
      </c>
      <c r="U269" s="327">
        <f t="shared" ref="U269:U272" si="185">IF(K269=$U$3,$U$5*R269/DAYS360(K269,L269),0)+IF(K269=$T$3,IF(L269=$U$4,R269-T269,0),0)+IF(K269=$T$3,IF(L269=$V$4,(R269-T269)/2,0),0)+IF(K269=$T$3,IF(L269=$W$4,(R269-T269)/3,0),0)</f>
        <v>38.791666666666664</v>
      </c>
      <c r="V269" s="327">
        <f t="shared" ref="V269:V272" si="186">IF(K269=$V$3,$V$5*R269/DAYS360(K269,L269),0)+IF(K269=$T$3,IF(L269=$V$4,R269-T269-U269,0),0)+IF(K269=$T$3,IF(L269=$W$4,(R269-T269-U269)/2,0),0)+IF(K269=$U$3,IF(L269=$V$4,R269-U269,0),0)+IF(K269=$U$3,IF(L269=$W$4,(R269-U269)/2,0),0)</f>
        <v>38.791666666666671</v>
      </c>
      <c r="W269" s="327">
        <f t="shared" ref="W269:W272" si="187">IF(K269=$W$3,$W$5*R269/DAYS360(K269,L269),0)+IF(K269=$T$3,IF(L269=$W$4,R269-T269-U269-V269,0),0)+IF(K269=$U$3,IF(L269=$W$4,R269-U269-V269,0),0)+IF(K269=$V$3,IF(L269=$W$4,R269-V269,0),0)</f>
        <v>38.791666666666671</v>
      </c>
      <c r="Y269" s="318"/>
      <c r="Z269" s="318"/>
    </row>
    <row r="270" spans="1:26" s="222" customFormat="1" ht="76.5" x14ac:dyDescent="0.2">
      <c r="A270" s="222">
        <v>152</v>
      </c>
      <c r="B270" s="462"/>
      <c r="C270" s="462"/>
      <c r="D270" s="189" t="s">
        <v>208</v>
      </c>
      <c r="E270" s="460"/>
      <c r="F270" s="460"/>
      <c r="G270" s="462"/>
      <c r="H270" s="34"/>
      <c r="I270" s="34"/>
      <c r="J270" s="30"/>
      <c r="K270" s="33">
        <v>41659</v>
      </c>
      <c r="L270" s="33">
        <v>41983</v>
      </c>
      <c r="M270" s="334">
        <v>1</v>
      </c>
      <c r="N270" s="20" t="s">
        <v>545</v>
      </c>
      <c r="O270" s="20" t="s">
        <v>548</v>
      </c>
      <c r="P270" s="30" t="s">
        <v>197</v>
      </c>
      <c r="Q270" s="30" t="s">
        <v>896</v>
      </c>
      <c r="R270" s="35">
        <v>180</v>
      </c>
      <c r="S270" s="20" t="s">
        <v>548</v>
      </c>
      <c r="T270" s="327">
        <f t="shared" si="184"/>
        <v>42.1875</v>
      </c>
      <c r="U270" s="327">
        <f t="shared" si="185"/>
        <v>45.9375</v>
      </c>
      <c r="V270" s="327">
        <f t="shared" si="186"/>
        <v>45.9375</v>
      </c>
      <c r="W270" s="327">
        <f t="shared" si="187"/>
        <v>45.9375</v>
      </c>
      <c r="Y270" s="318"/>
      <c r="Z270" s="318"/>
    </row>
    <row r="271" spans="1:26" s="222" customFormat="1" ht="76.5" x14ac:dyDescent="0.2">
      <c r="A271" s="222">
        <v>152</v>
      </c>
      <c r="B271" s="462"/>
      <c r="C271" s="462"/>
      <c r="D271" s="189" t="s">
        <v>208</v>
      </c>
      <c r="E271" s="460"/>
      <c r="F271" s="460"/>
      <c r="G271" s="462"/>
      <c r="H271" s="34"/>
      <c r="I271" s="34"/>
      <c r="J271" s="30"/>
      <c r="K271" s="33">
        <v>41659</v>
      </c>
      <c r="L271" s="33">
        <v>41983</v>
      </c>
      <c r="M271" s="334">
        <v>1</v>
      </c>
      <c r="N271" s="20" t="s">
        <v>545</v>
      </c>
      <c r="O271" s="20" t="s">
        <v>548</v>
      </c>
      <c r="P271" s="30" t="s">
        <v>197</v>
      </c>
      <c r="Q271" s="30" t="s">
        <v>897</v>
      </c>
      <c r="R271" s="35">
        <v>180</v>
      </c>
      <c r="S271" s="20" t="s">
        <v>548</v>
      </c>
      <c r="T271" s="327">
        <f t="shared" si="184"/>
        <v>42.1875</v>
      </c>
      <c r="U271" s="327">
        <f t="shared" si="185"/>
        <v>45.9375</v>
      </c>
      <c r="V271" s="327">
        <f t="shared" si="186"/>
        <v>45.9375</v>
      </c>
      <c r="W271" s="327">
        <f t="shared" si="187"/>
        <v>45.9375</v>
      </c>
      <c r="Y271" s="318"/>
      <c r="Z271" s="318"/>
    </row>
    <row r="272" spans="1:26" s="222" customFormat="1" ht="76.5" x14ac:dyDescent="0.2">
      <c r="A272" s="222">
        <v>152</v>
      </c>
      <c r="B272" s="453"/>
      <c r="C272" s="453"/>
      <c r="D272" s="189" t="s">
        <v>208</v>
      </c>
      <c r="E272" s="449"/>
      <c r="F272" s="449"/>
      <c r="G272" s="453"/>
      <c r="H272" s="34"/>
      <c r="I272" s="34"/>
      <c r="J272" s="30"/>
      <c r="K272" s="33">
        <v>41659</v>
      </c>
      <c r="L272" s="33">
        <v>41983</v>
      </c>
      <c r="M272" s="334">
        <v>1</v>
      </c>
      <c r="N272" s="20" t="s">
        <v>545</v>
      </c>
      <c r="O272" s="20" t="s">
        <v>548</v>
      </c>
      <c r="P272" s="30" t="s">
        <v>197</v>
      </c>
      <c r="Q272" s="30" t="s">
        <v>894</v>
      </c>
      <c r="R272" s="35">
        <v>164</v>
      </c>
      <c r="S272" s="20" t="s">
        <v>548</v>
      </c>
      <c r="T272" s="327">
        <f t="shared" si="184"/>
        <v>38.4375</v>
      </c>
      <c r="U272" s="327">
        <f t="shared" si="185"/>
        <v>41.854166666666664</v>
      </c>
      <c r="V272" s="327">
        <f t="shared" si="186"/>
        <v>41.854166666666671</v>
      </c>
      <c r="W272" s="327">
        <f t="shared" si="187"/>
        <v>41.854166666666671</v>
      </c>
      <c r="Y272" s="318"/>
      <c r="Z272" s="318"/>
    </row>
    <row r="273" spans="1:26" s="222" customFormat="1" ht="25.5" x14ac:dyDescent="0.2">
      <c r="A273" s="222">
        <v>162</v>
      </c>
      <c r="B273" s="48" t="s">
        <v>450</v>
      </c>
      <c r="C273" s="189" t="s">
        <v>469</v>
      </c>
      <c r="D273" s="20" t="s">
        <v>208</v>
      </c>
      <c r="E273" s="59">
        <v>41659</v>
      </c>
      <c r="F273" s="59">
        <v>41902</v>
      </c>
      <c r="G273" s="20">
        <v>30</v>
      </c>
      <c r="H273" s="34"/>
      <c r="I273" s="34"/>
      <c r="J273" s="30"/>
      <c r="K273" s="33">
        <v>41659</v>
      </c>
      <c r="L273" s="33">
        <v>41902</v>
      </c>
      <c r="M273" s="334">
        <v>5</v>
      </c>
      <c r="N273" s="189" t="s">
        <v>542</v>
      </c>
      <c r="O273" s="30" t="s">
        <v>563</v>
      </c>
      <c r="P273" s="30" t="s">
        <v>190</v>
      </c>
      <c r="Q273" s="30" t="s">
        <v>325</v>
      </c>
      <c r="R273" s="35">
        <v>632</v>
      </c>
      <c r="S273" s="20" t="s">
        <v>510</v>
      </c>
      <c r="T273" s="327">
        <f t="shared" si="116"/>
        <v>197.5</v>
      </c>
      <c r="U273" s="327">
        <f t="shared" si="117"/>
        <v>217.25</v>
      </c>
      <c r="V273" s="327">
        <f t="shared" si="118"/>
        <v>217.25</v>
      </c>
      <c r="W273" s="327">
        <f t="shared" si="119"/>
        <v>0</v>
      </c>
      <c r="Y273" s="318"/>
      <c r="Z273" s="318"/>
    </row>
    <row r="274" spans="1:26" s="222" customFormat="1" ht="25.5" x14ac:dyDescent="0.2">
      <c r="A274" s="222">
        <v>163</v>
      </c>
      <c r="B274" s="48" t="s">
        <v>450</v>
      </c>
      <c r="C274" s="189" t="s">
        <v>340</v>
      </c>
      <c r="D274" s="20" t="s">
        <v>208</v>
      </c>
      <c r="E274" s="59">
        <v>41659</v>
      </c>
      <c r="F274" s="59">
        <v>41902</v>
      </c>
      <c r="G274" s="20">
        <v>30</v>
      </c>
      <c r="H274" s="34"/>
      <c r="I274" s="34"/>
      <c r="J274" s="30"/>
      <c r="K274" s="33">
        <v>41659</v>
      </c>
      <c r="L274" s="33">
        <v>41902</v>
      </c>
      <c r="M274" s="334">
        <v>3</v>
      </c>
      <c r="N274" s="189" t="s">
        <v>539</v>
      </c>
      <c r="O274" s="30" t="s">
        <v>564</v>
      </c>
      <c r="P274" s="30" t="s">
        <v>190</v>
      </c>
      <c r="Q274" s="30" t="s">
        <v>320</v>
      </c>
      <c r="R274" s="35">
        <v>1000</v>
      </c>
      <c r="S274" s="20" t="s">
        <v>511</v>
      </c>
      <c r="T274" s="327">
        <f t="shared" si="116"/>
        <v>312.5</v>
      </c>
      <c r="U274" s="327">
        <f t="shared" si="117"/>
        <v>343.75</v>
      </c>
      <c r="V274" s="327">
        <f t="shared" si="118"/>
        <v>343.75</v>
      </c>
      <c r="W274" s="327">
        <f t="shared" si="119"/>
        <v>0</v>
      </c>
      <c r="Y274" s="318"/>
      <c r="Z274" s="318"/>
    </row>
    <row r="275" spans="1:26" s="222" customFormat="1" ht="25.5" x14ac:dyDescent="0.2">
      <c r="A275" s="222">
        <v>164</v>
      </c>
      <c r="B275" s="48" t="s">
        <v>450</v>
      </c>
      <c r="C275" s="189" t="s">
        <v>340</v>
      </c>
      <c r="D275" s="20" t="s">
        <v>208</v>
      </c>
      <c r="E275" s="59">
        <v>41659</v>
      </c>
      <c r="F275" s="59">
        <v>41902</v>
      </c>
      <c r="G275" s="20">
        <v>30</v>
      </c>
      <c r="H275" s="34"/>
      <c r="I275" s="34"/>
      <c r="J275" s="30"/>
      <c r="K275" s="33">
        <v>41659</v>
      </c>
      <c r="L275" s="33">
        <v>41902</v>
      </c>
      <c r="M275" s="334">
        <v>5</v>
      </c>
      <c r="N275" s="189" t="s">
        <v>540</v>
      </c>
      <c r="O275" s="30" t="s">
        <v>564</v>
      </c>
      <c r="P275" s="30" t="s">
        <v>190</v>
      </c>
      <c r="Q275" s="30" t="s">
        <v>201</v>
      </c>
      <c r="R275" s="35">
        <v>948</v>
      </c>
      <c r="S275" s="20" t="s">
        <v>523</v>
      </c>
      <c r="T275" s="327">
        <f t="shared" si="116"/>
        <v>296.25</v>
      </c>
      <c r="U275" s="327">
        <f t="shared" si="117"/>
        <v>325.875</v>
      </c>
      <c r="V275" s="327">
        <f t="shared" si="118"/>
        <v>325.875</v>
      </c>
      <c r="W275" s="327">
        <f t="shared" si="119"/>
        <v>0</v>
      </c>
      <c r="Y275" s="318"/>
      <c r="Z275" s="318"/>
    </row>
    <row r="276" spans="1:26" s="222" customFormat="1" ht="25.5" x14ac:dyDescent="0.2">
      <c r="A276" s="222">
        <v>165</v>
      </c>
      <c r="B276" s="48" t="s">
        <v>450</v>
      </c>
      <c r="C276" s="319" t="s">
        <v>704</v>
      </c>
      <c r="D276" s="319" t="s">
        <v>208</v>
      </c>
      <c r="E276" s="59">
        <v>41736</v>
      </c>
      <c r="F276" s="59">
        <v>41902</v>
      </c>
      <c r="G276" s="20">
        <v>25</v>
      </c>
      <c r="H276" s="34"/>
      <c r="I276" s="34"/>
      <c r="J276" s="30"/>
      <c r="K276" s="33">
        <v>41736</v>
      </c>
      <c r="L276" s="33">
        <v>41902</v>
      </c>
      <c r="M276" s="334">
        <v>5</v>
      </c>
      <c r="N276" s="319" t="s">
        <v>540</v>
      </c>
      <c r="O276" s="30" t="s">
        <v>898</v>
      </c>
      <c r="P276" s="30" t="s">
        <v>197</v>
      </c>
      <c r="Q276" s="30" t="s">
        <v>294</v>
      </c>
      <c r="R276" s="35">
        <v>624</v>
      </c>
      <c r="S276" s="189" t="s">
        <v>521</v>
      </c>
      <c r="T276" s="327">
        <f t="shared" si="116"/>
        <v>0</v>
      </c>
      <c r="U276" s="327">
        <f t="shared" si="117"/>
        <v>283.28834355828224</v>
      </c>
      <c r="V276" s="327">
        <f t="shared" si="118"/>
        <v>340.71165644171776</v>
      </c>
      <c r="W276" s="327">
        <f t="shared" si="119"/>
        <v>0</v>
      </c>
      <c r="Y276" s="318"/>
      <c r="Z276" s="318"/>
    </row>
    <row r="277" spans="1:26" s="222" customFormat="1" ht="25.5" x14ac:dyDescent="0.2">
      <c r="A277" s="222">
        <v>166</v>
      </c>
      <c r="B277" s="48" t="s">
        <v>450</v>
      </c>
      <c r="C277" s="319" t="s">
        <v>704</v>
      </c>
      <c r="D277" s="319" t="s">
        <v>208</v>
      </c>
      <c r="E277" s="59">
        <v>41736</v>
      </c>
      <c r="F277" s="59">
        <v>41902</v>
      </c>
      <c r="G277" s="20">
        <v>25</v>
      </c>
      <c r="H277" s="34"/>
      <c r="I277" s="34"/>
      <c r="J277" s="30"/>
      <c r="K277" s="33">
        <v>41736</v>
      </c>
      <c r="L277" s="33">
        <v>41902</v>
      </c>
      <c r="M277" s="334">
        <v>5</v>
      </c>
      <c r="N277" s="319" t="s">
        <v>540</v>
      </c>
      <c r="O277" s="30" t="s">
        <v>899</v>
      </c>
      <c r="P277" s="30" t="s">
        <v>197</v>
      </c>
      <c r="Q277" s="30" t="s">
        <v>254</v>
      </c>
      <c r="R277" s="35">
        <v>624</v>
      </c>
      <c r="S277" s="189" t="s">
        <v>520</v>
      </c>
      <c r="T277" s="327">
        <f t="shared" si="116"/>
        <v>0</v>
      </c>
      <c r="U277" s="327">
        <f t="shared" si="117"/>
        <v>283.28834355828224</v>
      </c>
      <c r="V277" s="327">
        <f t="shared" si="118"/>
        <v>340.71165644171776</v>
      </c>
      <c r="W277" s="327">
        <f t="shared" si="119"/>
        <v>0</v>
      </c>
      <c r="Y277" s="318"/>
      <c r="Z277" s="318"/>
    </row>
    <row r="278" spans="1:26" s="222" customFormat="1" ht="25.5" x14ac:dyDescent="0.2">
      <c r="A278" s="222">
        <v>167</v>
      </c>
      <c r="B278" s="48" t="s">
        <v>450</v>
      </c>
      <c r="C278" s="189" t="s">
        <v>474</v>
      </c>
      <c r="D278" s="189" t="s">
        <v>208</v>
      </c>
      <c r="E278" s="59">
        <v>41736</v>
      </c>
      <c r="F278" s="59">
        <v>41902</v>
      </c>
      <c r="G278" s="20">
        <v>25</v>
      </c>
      <c r="H278" s="34"/>
      <c r="I278" s="34"/>
      <c r="J278" s="30"/>
      <c r="K278" s="33">
        <v>41736</v>
      </c>
      <c r="L278" s="33">
        <v>41902</v>
      </c>
      <c r="M278" s="334">
        <v>5</v>
      </c>
      <c r="N278" s="20" t="s">
        <v>541</v>
      </c>
      <c r="O278" s="30" t="s">
        <v>565</v>
      </c>
      <c r="P278" s="30" t="s">
        <v>190</v>
      </c>
      <c r="Q278" s="30" t="s">
        <v>164</v>
      </c>
      <c r="R278" s="35">
        <v>624</v>
      </c>
      <c r="S278" s="20" t="s">
        <v>527</v>
      </c>
      <c r="T278" s="327">
        <f t="shared" si="116"/>
        <v>0</v>
      </c>
      <c r="U278" s="327">
        <f t="shared" si="117"/>
        <v>283.28834355828224</v>
      </c>
      <c r="V278" s="327">
        <f t="shared" si="118"/>
        <v>340.71165644171776</v>
      </c>
      <c r="W278" s="327">
        <f t="shared" si="119"/>
        <v>0</v>
      </c>
      <c r="Y278" s="318"/>
      <c r="Z278" s="318"/>
    </row>
    <row r="279" spans="1:26" s="222" customFormat="1" ht="25.5" x14ac:dyDescent="0.2">
      <c r="A279" s="222">
        <v>168</v>
      </c>
      <c r="B279" s="48" t="s">
        <v>450</v>
      </c>
      <c r="C279" s="189" t="s">
        <v>472</v>
      </c>
      <c r="D279" s="20" t="s">
        <v>208</v>
      </c>
      <c r="E279" s="59">
        <v>41736</v>
      </c>
      <c r="F279" s="59">
        <v>41902</v>
      </c>
      <c r="G279" s="20">
        <v>30</v>
      </c>
      <c r="H279" s="34"/>
      <c r="I279" s="34"/>
      <c r="J279" s="30"/>
      <c r="K279" s="33">
        <v>41736</v>
      </c>
      <c r="L279" s="33">
        <v>41902</v>
      </c>
      <c r="M279" s="334">
        <v>5</v>
      </c>
      <c r="N279" s="189" t="s">
        <v>544</v>
      </c>
      <c r="O279" s="30" t="s">
        <v>547</v>
      </c>
      <c r="P279" s="30" t="s">
        <v>197</v>
      </c>
      <c r="Q279" s="30" t="s">
        <v>737</v>
      </c>
      <c r="R279" s="35">
        <v>416</v>
      </c>
      <c r="S279" s="20" t="s">
        <v>737</v>
      </c>
      <c r="T279" s="327">
        <f t="shared" si="116"/>
        <v>0</v>
      </c>
      <c r="U279" s="327">
        <f t="shared" si="117"/>
        <v>188.85889570552146</v>
      </c>
      <c r="V279" s="327">
        <f t="shared" si="118"/>
        <v>227.14110429447854</v>
      </c>
      <c r="W279" s="327">
        <f t="shared" si="119"/>
        <v>0</v>
      </c>
      <c r="Y279" s="318"/>
      <c r="Z279" s="318"/>
    </row>
    <row r="280" spans="1:26" s="222" customFormat="1" ht="25.5" x14ac:dyDescent="0.2">
      <c r="A280" s="222">
        <v>169</v>
      </c>
      <c r="B280" s="48" t="s">
        <v>450</v>
      </c>
      <c r="C280" s="189" t="s">
        <v>472</v>
      </c>
      <c r="D280" s="20" t="s">
        <v>208</v>
      </c>
      <c r="E280" s="59">
        <v>41736</v>
      </c>
      <c r="F280" s="59">
        <v>41902</v>
      </c>
      <c r="G280" s="20">
        <v>30</v>
      </c>
      <c r="H280" s="34"/>
      <c r="I280" s="34"/>
      <c r="J280" s="30"/>
      <c r="K280" s="33">
        <v>41736</v>
      </c>
      <c r="L280" s="33">
        <v>41902</v>
      </c>
      <c r="M280" s="334">
        <v>5</v>
      </c>
      <c r="N280" s="189" t="s">
        <v>542</v>
      </c>
      <c r="O280" s="30" t="s">
        <v>547</v>
      </c>
      <c r="P280" s="30" t="s">
        <v>197</v>
      </c>
      <c r="Q280" s="30" t="s">
        <v>288</v>
      </c>
      <c r="R280" s="35">
        <v>416</v>
      </c>
      <c r="S280" s="20" t="s">
        <v>519</v>
      </c>
      <c r="T280" s="327">
        <f t="shared" si="116"/>
        <v>0</v>
      </c>
      <c r="U280" s="327">
        <f t="shared" si="117"/>
        <v>188.85889570552146</v>
      </c>
      <c r="V280" s="327">
        <f t="shared" si="118"/>
        <v>227.14110429447854</v>
      </c>
      <c r="W280" s="327">
        <f t="shared" si="119"/>
        <v>0</v>
      </c>
      <c r="Y280" s="318"/>
      <c r="Z280" s="318"/>
    </row>
    <row r="281" spans="1:26" s="222" customFormat="1" ht="25.5" x14ac:dyDescent="0.2">
      <c r="A281" s="222">
        <v>170</v>
      </c>
      <c r="B281" s="48" t="s">
        <v>450</v>
      </c>
      <c r="C281" s="189" t="s">
        <v>472</v>
      </c>
      <c r="D281" s="20" t="s">
        <v>208</v>
      </c>
      <c r="E281" s="59">
        <v>41736</v>
      </c>
      <c r="F281" s="59">
        <v>41902</v>
      </c>
      <c r="G281" s="20">
        <v>30</v>
      </c>
      <c r="H281" s="34"/>
      <c r="I281" s="34"/>
      <c r="J281" s="30"/>
      <c r="K281" s="33">
        <v>41736</v>
      </c>
      <c r="L281" s="33">
        <v>41902</v>
      </c>
      <c r="M281" s="334">
        <v>5</v>
      </c>
      <c r="N281" s="189" t="s">
        <v>542</v>
      </c>
      <c r="O281" s="30" t="s">
        <v>547</v>
      </c>
      <c r="P281" s="30" t="s">
        <v>197</v>
      </c>
      <c r="Q281" s="30" t="s">
        <v>887</v>
      </c>
      <c r="R281" s="35">
        <v>416</v>
      </c>
      <c r="S281" s="189" t="s">
        <v>745</v>
      </c>
      <c r="T281" s="327">
        <f t="shared" si="116"/>
        <v>0</v>
      </c>
      <c r="U281" s="327">
        <f t="shared" si="117"/>
        <v>188.85889570552146</v>
      </c>
      <c r="V281" s="327">
        <f t="shared" si="118"/>
        <v>227.14110429447854</v>
      </c>
      <c r="W281" s="327">
        <f t="shared" si="119"/>
        <v>0</v>
      </c>
      <c r="Y281" s="318"/>
      <c r="Z281" s="318"/>
    </row>
    <row r="282" spans="1:26" s="222" customFormat="1" ht="25.5" x14ac:dyDescent="0.2">
      <c r="A282" s="222">
        <v>171</v>
      </c>
      <c r="B282" s="454" t="s">
        <v>450</v>
      </c>
      <c r="C282" s="446" t="s">
        <v>706</v>
      </c>
      <c r="D282" s="20" t="s">
        <v>208</v>
      </c>
      <c r="E282" s="448">
        <v>41736</v>
      </c>
      <c r="F282" s="448">
        <v>42269</v>
      </c>
      <c r="G282" s="452">
        <v>30</v>
      </c>
      <c r="H282" s="34"/>
      <c r="I282" s="34"/>
      <c r="J282" s="30"/>
      <c r="K282" s="33">
        <v>41736</v>
      </c>
      <c r="L282" s="33">
        <v>41983</v>
      </c>
      <c r="M282" s="334">
        <v>3</v>
      </c>
      <c r="N282" s="189" t="s">
        <v>540</v>
      </c>
      <c r="O282" s="30" t="s">
        <v>562</v>
      </c>
      <c r="P282" s="30" t="s">
        <v>190</v>
      </c>
      <c r="Q282" s="30" t="s">
        <v>298</v>
      </c>
      <c r="R282" s="35">
        <f>948/2</f>
        <v>474</v>
      </c>
      <c r="S282" s="20" t="s">
        <v>516</v>
      </c>
      <c r="T282" s="327">
        <f t="shared" ref="T282" si="188">IF(K282=$T$3,$T$5*R282/DAYS360(K282,L282),0)</f>
        <v>0</v>
      </c>
      <c r="U282" s="327">
        <f t="shared" ref="U282" si="189">IF(K282=$U$3,$U$5*R282/DAYS360(K282,L282),0)+IF(K282=$T$3,IF(L282=$U$4,R282-T282,0),0)+IF(K282=$T$3,IF(L282=$V$4,(R282-T282)/2,0),0)+IF(K282=$T$3,IF(L282=$W$4,(R282-T282)/3,0),0)</f>
        <v>144.34567901234567</v>
      </c>
      <c r="V282" s="327">
        <f t="shared" ref="V282" si="190">IF(K282=$V$3,$V$5*R282/DAYS360(K282,L282),0)+IF(K282=$T$3,IF(L282=$V$4,R282-T282-U282,0),0)+IF(K282=$T$3,IF(L282=$W$4,(R282-T282-U282)/2,0),0)+IF(K282=$U$3,IF(L282=$V$4,R282-U282,0),0)+IF(K282=$U$3,IF(L282=$W$4,(R282-U282)/2,0),0)</f>
        <v>164.82716049382717</v>
      </c>
      <c r="W282" s="327">
        <f t="shared" ref="W282" si="191">IF(K282=$W$3,$W$5*R282/DAYS360(K282,L282),0)+IF(K282=$T$3,IF(L282=$W$4,R282-T282-U282-V282,0),0)+IF(K282=$U$3,IF(L282=$W$4,R282-U282-V282,0),0)+IF(K282=$V$3,IF(L282=$W$4,R282-V282,0),0)</f>
        <v>164.82716049382717</v>
      </c>
      <c r="Y282" s="318"/>
      <c r="Z282" s="318"/>
    </row>
    <row r="283" spans="1:26" s="222" customFormat="1" ht="25.5" x14ac:dyDescent="0.2">
      <c r="A283" s="222">
        <v>171</v>
      </c>
      <c r="B283" s="455"/>
      <c r="C283" s="447"/>
      <c r="D283" s="20" t="s">
        <v>208</v>
      </c>
      <c r="E283" s="449"/>
      <c r="F283" s="449"/>
      <c r="G283" s="453"/>
      <c r="H283" s="34"/>
      <c r="I283" s="34"/>
      <c r="J283" s="30"/>
      <c r="K283" s="33">
        <v>41736</v>
      </c>
      <c r="L283" s="33">
        <v>41983</v>
      </c>
      <c r="M283" s="334">
        <v>2</v>
      </c>
      <c r="N283" s="189" t="s">
        <v>540</v>
      </c>
      <c r="O283" s="30" t="s">
        <v>562</v>
      </c>
      <c r="P283" s="30" t="s">
        <v>190</v>
      </c>
      <c r="Q283" s="30" t="s">
        <v>161</v>
      </c>
      <c r="R283" s="35">
        <f>948/2</f>
        <v>474</v>
      </c>
      <c r="S283" s="20" t="s">
        <v>516</v>
      </c>
      <c r="T283" s="327">
        <f t="shared" si="116"/>
        <v>0</v>
      </c>
      <c r="U283" s="327">
        <f t="shared" si="117"/>
        <v>144.34567901234567</v>
      </c>
      <c r="V283" s="327">
        <f t="shared" si="118"/>
        <v>164.82716049382717</v>
      </c>
      <c r="W283" s="327">
        <f t="shared" si="119"/>
        <v>164.82716049382717</v>
      </c>
      <c r="Y283" s="318"/>
      <c r="Z283" s="318"/>
    </row>
    <row r="284" spans="1:26" s="222" customFormat="1" ht="25.5" x14ac:dyDescent="0.2">
      <c r="A284" s="222">
        <v>172</v>
      </c>
      <c r="B284" s="48" t="s">
        <v>450</v>
      </c>
      <c r="C284" s="20" t="s">
        <v>702</v>
      </c>
      <c r="D284" s="20" t="s">
        <v>208</v>
      </c>
      <c r="E284" s="59">
        <v>41736</v>
      </c>
      <c r="F284" s="59">
        <v>42269</v>
      </c>
      <c r="G284" s="20">
        <v>18</v>
      </c>
      <c r="H284" s="34"/>
      <c r="I284" s="34"/>
      <c r="J284" s="30"/>
      <c r="K284" s="33">
        <v>41736</v>
      </c>
      <c r="L284" s="33">
        <v>41983</v>
      </c>
      <c r="M284" s="334">
        <v>5</v>
      </c>
      <c r="N284" s="20" t="s">
        <v>542</v>
      </c>
      <c r="O284" s="30" t="s">
        <v>547</v>
      </c>
      <c r="P284" s="30" t="s">
        <v>197</v>
      </c>
      <c r="Q284" s="30" t="s">
        <v>324</v>
      </c>
      <c r="R284" s="35">
        <v>632</v>
      </c>
      <c r="S284" s="20" t="s">
        <v>324</v>
      </c>
      <c r="T284" s="327">
        <f t="shared" si="116"/>
        <v>0</v>
      </c>
      <c r="U284" s="327">
        <f t="shared" si="117"/>
        <v>192.46090534979425</v>
      </c>
      <c r="V284" s="327">
        <f t="shared" si="118"/>
        <v>219.76954732510288</v>
      </c>
      <c r="W284" s="327">
        <f t="shared" si="119"/>
        <v>219.76954732510288</v>
      </c>
      <c r="Y284" s="318"/>
      <c r="Z284" s="318"/>
    </row>
    <row r="285" spans="1:26" s="222" customFormat="1" ht="25.5" x14ac:dyDescent="0.2">
      <c r="A285" s="222">
        <v>173</v>
      </c>
      <c r="B285" s="48" t="s">
        <v>450</v>
      </c>
      <c r="C285" s="189" t="s">
        <v>471</v>
      </c>
      <c r="D285" s="20" t="s">
        <v>208</v>
      </c>
      <c r="E285" s="59">
        <v>41736</v>
      </c>
      <c r="F285" s="59">
        <v>42269</v>
      </c>
      <c r="G285" s="20">
        <v>30</v>
      </c>
      <c r="H285" s="34"/>
      <c r="I285" s="34"/>
      <c r="J285" s="30"/>
      <c r="K285" s="33">
        <v>41736</v>
      </c>
      <c r="L285" s="33">
        <v>41983</v>
      </c>
      <c r="M285" s="334">
        <v>5</v>
      </c>
      <c r="N285" s="189" t="s">
        <v>541</v>
      </c>
      <c r="O285" s="30" t="s">
        <v>561</v>
      </c>
      <c r="P285" s="30" t="s">
        <v>190</v>
      </c>
      <c r="Q285" s="30" t="s">
        <v>678</v>
      </c>
      <c r="R285" s="35">
        <v>790</v>
      </c>
      <c r="S285" s="20" t="s">
        <v>518</v>
      </c>
      <c r="T285" s="327">
        <f t="shared" si="116"/>
        <v>0</v>
      </c>
      <c r="U285" s="327">
        <f t="shared" si="117"/>
        <v>240.57613168724279</v>
      </c>
      <c r="V285" s="327">
        <f t="shared" si="118"/>
        <v>274.71193415637862</v>
      </c>
      <c r="W285" s="327">
        <f t="shared" si="119"/>
        <v>274.71193415637862</v>
      </c>
      <c r="Y285" s="318"/>
      <c r="Z285" s="318"/>
    </row>
    <row r="286" spans="1:26" s="222" customFormat="1" ht="25.5" x14ac:dyDescent="0.2">
      <c r="A286" s="222">
        <v>174</v>
      </c>
      <c r="B286" s="48" t="s">
        <v>450</v>
      </c>
      <c r="C286" s="189" t="s">
        <v>470</v>
      </c>
      <c r="D286" s="189" t="s">
        <v>208</v>
      </c>
      <c r="E286" s="59">
        <v>41736</v>
      </c>
      <c r="F286" s="59">
        <v>42269</v>
      </c>
      <c r="G286" s="189">
        <v>30</v>
      </c>
      <c r="H286" s="34"/>
      <c r="I286" s="34"/>
      <c r="J286" s="30"/>
      <c r="K286" s="33">
        <v>41736</v>
      </c>
      <c r="L286" s="33">
        <v>41983</v>
      </c>
      <c r="M286" s="334">
        <v>5</v>
      </c>
      <c r="N286" s="189" t="s">
        <v>540</v>
      </c>
      <c r="O286" s="30" t="s">
        <v>565</v>
      </c>
      <c r="P286" s="30" t="s">
        <v>190</v>
      </c>
      <c r="Q286" s="30" t="s">
        <v>318</v>
      </c>
      <c r="R286" s="35">
        <v>790</v>
      </c>
      <c r="S286" s="189" t="s">
        <v>522</v>
      </c>
      <c r="T286" s="327">
        <f t="shared" si="116"/>
        <v>0</v>
      </c>
      <c r="U286" s="327">
        <f t="shared" si="117"/>
        <v>240.57613168724279</v>
      </c>
      <c r="V286" s="327">
        <f t="shared" si="118"/>
        <v>274.71193415637862</v>
      </c>
      <c r="W286" s="327">
        <f t="shared" si="119"/>
        <v>274.71193415637862</v>
      </c>
      <c r="Y286" s="318"/>
      <c r="Z286" s="318"/>
    </row>
    <row r="287" spans="1:26" s="222" customFormat="1" ht="25.5" x14ac:dyDescent="0.2">
      <c r="A287" s="222">
        <v>175</v>
      </c>
      <c r="B287" s="48" t="s">
        <v>450</v>
      </c>
      <c r="C287" s="319" t="s">
        <v>704</v>
      </c>
      <c r="D287" s="319" t="s">
        <v>208</v>
      </c>
      <c r="E287" s="59">
        <v>41736</v>
      </c>
      <c r="F287" s="59">
        <v>41902</v>
      </c>
      <c r="G287" s="20">
        <v>25</v>
      </c>
      <c r="H287" s="34"/>
      <c r="I287" s="34"/>
      <c r="J287" s="30"/>
      <c r="K287" s="33">
        <v>41736</v>
      </c>
      <c r="L287" s="33">
        <v>41902</v>
      </c>
      <c r="M287" s="334">
        <v>5</v>
      </c>
      <c r="N287" s="319" t="s">
        <v>541</v>
      </c>
      <c r="O287" s="30" t="s">
        <v>900</v>
      </c>
      <c r="P287" s="30" t="s">
        <v>197</v>
      </c>
      <c r="Q287" s="30" t="s">
        <v>298</v>
      </c>
      <c r="R287" s="35">
        <v>622</v>
      </c>
      <c r="S287" s="189" t="s">
        <v>516</v>
      </c>
      <c r="T287" s="327">
        <f t="shared" si="116"/>
        <v>0</v>
      </c>
      <c r="U287" s="327">
        <f t="shared" si="117"/>
        <v>282.38036809815952</v>
      </c>
      <c r="V287" s="327">
        <f t="shared" si="118"/>
        <v>339.61963190184048</v>
      </c>
      <c r="W287" s="327">
        <f t="shared" si="119"/>
        <v>0</v>
      </c>
      <c r="Y287" s="318"/>
      <c r="Z287" s="318"/>
    </row>
    <row r="288" spans="1:26" s="222" customFormat="1" ht="25.5" x14ac:dyDescent="0.2">
      <c r="A288" s="222">
        <v>176</v>
      </c>
      <c r="B288" s="48" t="s">
        <v>450</v>
      </c>
      <c r="C288" s="189" t="s">
        <v>468</v>
      </c>
      <c r="D288" s="319" t="s">
        <v>208</v>
      </c>
      <c r="E288" s="59">
        <v>41736</v>
      </c>
      <c r="F288" s="59">
        <v>42269</v>
      </c>
      <c r="G288" s="20">
        <v>30</v>
      </c>
      <c r="H288" s="34"/>
      <c r="I288" s="34"/>
      <c r="J288" s="30"/>
      <c r="K288" s="33">
        <v>41736</v>
      </c>
      <c r="L288" s="33">
        <v>41983</v>
      </c>
      <c r="M288" s="334">
        <v>5</v>
      </c>
      <c r="N288" s="319" t="s">
        <v>544</v>
      </c>
      <c r="O288" s="30" t="s">
        <v>879</v>
      </c>
      <c r="P288" s="30" t="s">
        <v>190</v>
      </c>
      <c r="Q288" s="30" t="s">
        <v>880</v>
      </c>
      <c r="R288" s="35">
        <v>632</v>
      </c>
      <c r="S288" s="217" t="s">
        <v>746</v>
      </c>
      <c r="T288" s="327">
        <f t="shared" si="116"/>
        <v>0</v>
      </c>
      <c r="U288" s="327">
        <f t="shared" si="117"/>
        <v>192.46090534979425</v>
      </c>
      <c r="V288" s="327">
        <f t="shared" si="118"/>
        <v>219.76954732510288</v>
      </c>
      <c r="W288" s="327">
        <f t="shared" si="119"/>
        <v>219.76954732510288</v>
      </c>
      <c r="Y288" s="318"/>
      <c r="Z288" s="318"/>
    </row>
    <row r="289" spans="1:26" s="222" customFormat="1" ht="25.5" x14ac:dyDescent="0.2">
      <c r="A289" s="222">
        <v>177</v>
      </c>
      <c r="B289" s="48" t="s">
        <v>450</v>
      </c>
      <c r="C289" s="319" t="s">
        <v>704</v>
      </c>
      <c r="D289" s="319" t="s">
        <v>208</v>
      </c>
      <c r="E289" s="59">
        <v>41736</v>
      </c>
      <c r="F289" s="59">
        <v>41902</v>
      </c>
      <c r="G289" s="20">
        <v>25</v>
      </c>
      <c r="H289" s="34"/>
      <c r="I289" s="34"/>
      <c r="J289" s="30"/>
      <c r="K289" s="33">
        <v>41736</v>
      </c>
      <c r="L289" s="33">
        <v>41902</v>
      </c>
      <c r="M289" s="334">
        <v>5</v>
      </c>
      <c r="N289" s="319" t="s">
        <v>541</v>
      </c>
      <c r="O289" s="30" t="s">
        <v>901</v>
      </c>
      <c r="P289" s="30" t="s">
        <v>197</v>
      </c>
      <c r="Q289" s="30" t="s">
        <v>259</v>
      </c>
      <c r="R289" s="35">
        <v>624</v>
      </c>
      <c r="S289" s="189" t="s">
        <v>747</v>
      </c>
      <c r="T289" s="327">
        <f t="shared" si="116"/>
        <v>0</v>
      </c>
      <c r="U289" s="327">
        <f t="shared" si="117"/>
        <v>283.28834355828224</v>
      </c>
      <c r="V289" s="327">
        <f t="shared" si="118"/>
        <v>340.71165644171776</v>
      </c>
      <c r="W289" s="327">
        <f t="shared" si="119"/>
        <v>0</v>
      </c>
      <c r="Y289" s="318"/>
      <c r="Z289" s="318"/>
    </row>
    <row r="290" spans="1:26" s="222" customFormat="1" ht="25.5" x14ac:dyDescent="0.2">
      <c r="A290" s="222">
        <v>178</v>
      </c>
      <c r="B290" s="48" t="s">
        <v>450</v>
      </c>
      <c r="C290" s="319" t="s">
        <v>704</v>
      </c>
      <c r="D290" s="319" t="s">
        <v>208</v>
      </c>
      <c r="E290" s="59">
        <v>41736</v>
      </c>
      <c r="F290" s="59">
        <v>41902</v>
      </c>
      <c r="G290" s="20">
        <v>25</v>
      </c>
      <c r="H290" s="34"/>
      <c r="I290" s="34"/>
      <c r="J290" s="30"/>
      <c r="K290" s="33">
        <v>41736</v>
      </c>
      <c r="L290" s="33">
        <v>41902</v>
      </c>
      <c r="M290" s="334">
        <v>5</v>
      </c>
      <c r="N290" s="319" t="s">
        <v>541</v>
      </c>
      <c r="O290" s="30" t="s">
        <v>902</v>
      </c>
      <c r="P290" s="30" t="s">
        <v>197</v>
      </c>
      <c r="Q290" s="30" t="s">
        <v>160</v>
      </c>
      <c r="R290" s="35">
        <v>520</v>
      </c>
      <c r="S290" s="189" t="s">
        <v>514</v>
      </c>
      <c r="T290" s="327">
        <f t="shared" ref="T290:T358" si="192">IF(K290=$T$3,$T$5*R290/DAYS360(K290,L290),0)</f>
        <v>0</v>
      </c>
      <c r="U290" s="327">
        <f t="shared" ref="U290:U358" si="193">IF(K290=$U$3,$U$5*R290/DAYS360(K290,L290),0)+IF(K290=$T$3,IF(L290=$U$4,R290-T290,0),0)+IF(K290=$T$3,IF(L290=$V$4,(R290-T290)/2,0),0)+IF(K290=$T$3,IF(L290=$W$4,(R290-T290)/3,0),0)</f>
        <v>236.07361963190183</v>
      </c>
      <c r="V290" s="327">
        <f t="shared" ref="V290:V358" si="194">IF(K290=$V$3,$V$5*R290/DAYS360(K290,L290),0)+IF(K290=$T$3,IF(L290=$V$4,R290-T290-U290,0),0)+IF(K290=$T$3,IF(L290=$W$4,(R290-T290-U290)/2,0),0)+IF(K290=$U$3,IF(L290=$V$4,R290-U290,0),0)+IF(K290=$U$3,IF(L290=$W$4,(R290-U290)/2,0),0)</f>
        <v>283.92638036809819</v>
      </c>
      <c r="W290" s="327">
        <f t="shared" ref="W290:W358" si="195">IF(K290=$W$3,$W$5*R290/DAYS360(K290,L290),0)+IF(K290=$T$3,IF(L290=$W$4,R290-T290-U290-V290,0),0)+IF(K290=$U$3,IF(L290=$W$4,R290-U290-V290,0),0)+IF(K290=$V$3,IF(L290=$W$4,R290-V290,0),0)</f>
        <v>0</v>
      </c>
      <c r="Y290" s="318"/>
      <c r="Z290" s="318"/>
    </row>
    <row r="291" spans="1:26" s="222" customFormat="1" ht="25.5" x14ac:dyDescent="0.2">
      <c r="A291" s="222">
        <v>179</v>
      </c>
      <c r="B291" s="48" t="s">
        <v>450</v>
      </c>
      <c r="C291" s="319" t="s">
        <v>704</v>
      </c>
      <c r="D291" s="319" t="s">
        <v>208</v>
      </c>
      <c r="E291" s="59">
        <v>41736</v>
      </c>
      <c r="F291" s="59">
        <v>41902</v>
      </c>
      <c r="G291" s="20">
        <v>25</v>
      </c>
      <c r="H291" s="34"/>
      <c r="I291" s="34"/>
      <c r="J291" s="30"/>
      <c r="K291" s="33">
        <v>41736</v>
      </c>
      <c r="L291" s="33">
        <v>41902</v>
      </c>
      <c r="M291" s="334">
        <v>5</v>
      </c>
      <c r="N291" s="319" t="s">
        <v>541</v>
      </c>
      <c r="O291" s="30" t="s">
        <v>903</v>
      </c>
      <c r="P291" s="30" t="s">
        <v>197</v>
      </c>
      <c r="Q291" s="30" t="s">
        <v>172</v>
      </c>
      <c r="R291" s="35">
        <v>600</v>
      </c>
      <c r="S291" s="189" t="s">
        <v>515</v>
      </c>
      <c r="T291" s="327">
        <f t="shared" si="192"/>
        <v>0</v>
      </c>
      <c r="U291" s="327">
        <f t="shared" si="193"/>
        <v>272.39263803680984</v>
      </c>
      <c r="V291" s="327">
        <f t="shared" si="194"/>
        <v>327.60736196319016</v>
      </c>
      <c r="W291" s="327">
        <f t="shared" si="195"/>
        <v>0</v>
      </c>
      <c r="Y291" s="318"/>
      <c r="Z291" s="318"/>
    </row>
    <row r="292" spans="1:26" s="222" customFormat="1" ht="25.5" x14ac:dyDescent="0.2">
      <c r="A292" s="222">
        <v>180</v>
      </c>
      <c r="B292" s="48" t="s">
        <v>450</v>
      </c>
      <c r="C292" s="319" t="s">
        <v>704</v>
      </c>
      <c r="D292" s="319" t="s">
        <v>208</v>
      </c>
      <c r="E292" s="59">
        <v>41736</v>
      </c>
      <c r="F292" s="59">
        <v>41902</v>
      </c>
      <c r="G292" s="20">
        <v>25</v>
      </c>
      <c r="H292" s="34"/>
      <c r="I292" s="34"/>
      <c r="J292" s="30"/>
      <c r="K292" s="33">
        <v>41736</v>
      </c>
      <c r="L292" s="33">
        <v>41902</v>
      </c>
      <c r="M292" s="334">
        <v>5</v>
      </c>
      <c r="N292" s="319" t="s">
        <v>541</v>
      </c>
      <c r="O292" s="30" t="s">
        <v>904</v>
      </c>
      <c r="P292" s="30" t="s">
        <v>197</v>
      </c>
      <c r="Q292" s="30" t="s">
        <v>282</v>
      </c>
      <c r="R292" s="35">
        <v>606</v>
      </c>
      <c r="S292" s="189" t="s">
        <v>748</v>
      </c>
      <c r="T292" s="327">
        <f t="shared" si="192"/>
        <v>0</v>
      </c>
      <c r="U292" s="327">
        <f t="shared" si="193"/>
        <v>275.11656441717793</v>
      </c>
      <c r="V292" s="327">
        <f t="shared" si="194"/>
        <v>330.88343558282207</v>
      </c>
      <c r="W292" s="327">
        <f t="shared" si="195"/>
        <v>0</v>
      </c>
      <c r="Y292" s="318"/>
      <c r="Z292" s="318"/>
    </row>
    <row r="293" spans="1:26" s="222" customFormat="1" ht="25.5" x14ac:dyDescent="0.2">
      <c r="A293" s="222">
        <v>181</v>
      </c>
      <c r="B293" s="48" t="s">
        <v>450</v>
      </c>
      <c r="C293" s="319" t="s">
        <v>704</v>
      </c>
      <c r="D293" s="319" t="s">
        <v>208</v>
      </c>
      <c r="E293" s="59">
        <v>41736</v>
      </c>
      <c r="F293" s="59">
        <v>41902</v>
      </c>
      <c r="G293" s="20">
        <v>25</v>
      </c>
      <c r="H293" s="34"/>
      <c r="I293" s="34"/>
      <c r="J293" s="30"/>
      <c r="K293" s="33">
        <v>41736</v>
      </c>
      <c r="L293" s="33">
        <v>41902</v>
      </c>
      <c r="M293" s="334">
        <v>5</v>
      </c>
      <c r="N293" s="319" t="s">
        <v>541</v>
      </c>
      <c r="O293" s="30" t="s">
        <v>905</v>
      </c>
      <c r="P293" s="30" t="s">
        <v>197</v>
      </c>
      <c r="Q293" s="30" t="s">
        <v>673</v>
      </c>
      <c r="R293" s="35">
        <v>624</v>
      </c>
      <c r="S293" s="189" t="s">
        <v>512</v>
      </c>
      <c r="T293" s="327">
        <f t="shared" si="192"/>
        <v>0</v>
      </c>
      <c r="U293" s="327">
        <f t="shared" si="193"/>
        <v>283.28834355828224</v>
      </c>
      <c r="V293" s="327">
        <f t="shared" si="194"/>
        <v>340.71165644171776</v>
      </c>
      <c r="W293" s="327">
        <f t="shared" si="195"/>
        <v>0</v>
      </c>
      <c r="Y293" s="318"/>
      <c r="Z293" s="318"/>
    </row>
    <row r="294" spans="1:26" s="222" customFormat="1" ht="25.5" x14ac:dyDescent="0.2">
      <c r="A294" s="222">
        <v>182</v>
      </c>
      <c r="B294" s="48" t="s">
        <v>450</v>
      </c>
      <c r="C294" s="319" t="s">
        <v>704</v>
      </c>
      <c r="D294" s="319" t="s">
        <v>208</v>
      </c>
      <c r="E294" s="59">
        <v>41736</v>
      </c>
      <c r="F294" s="59">
        <v>41902</v>
      </c>
      <c r="G294" s="20">
        <v>25</v>
      </c>
      <c r="H294" s="34"/>
      <c r="I294" s="34"/>
      <c r="J294" s="30"/>
      <c r="K294" s="33">
        <v>41736</v>
      </c>
      <c r="L294" s="33">
        <v>41902</v>
      </c>
      <c r="M294" s="334">
        <v>5</v>
      </c>
      <c r="N294" s="319" t="s">
        <v>541</v>
      </c>
      <c r="O294" s="30" t="s">
        <v>906</v>
      </c>
      <c r="P294" s="30" t="s">
        <v>197</v>
      </c>
      <c r="Q294" s="30" t="s">
        <v>319</v>
      </c>
      <c r="R294" s="35">
        <v>624</v>
      </c>
      <c r="S294" s="189" t="s">
        <v>749</v>
      </c>
      <c r="T294" s="327">
        <f t="shared" si="192"/>
        <v>0</v>
      </c>
      <c r="U294" s="327">
        <f t="shared" si="193"/>
        <v>283.28834355828224</v>
      </c>
      <c r="V294" s="327">
        <f t="shared" si="194"/>
        <v>340.71165644171776</v>
      </c>
      <c r="W294" s="327">
        <f t="shared" si="195"/>
        <v>0</v>
      </c>
      <c r="Y294" s="318"/>
      <c r="Z294" s="318"/>
    </row>
    <row r="295" spans="1:26" s="222" customFormat="1" ht="25.5" x14ac:dyDescent="0.2">
      <c r="A295" s="222">
        <v>183</v>
      </c>
      <c r="B295" s="48" t="s">
        <v>450</v>
      </c>
      <c r="C295" s="319" t="s">
        <v>704</v>
      </c>
      <c r="D295" s="319" t="s">
        <v>208</v>
      </c>
      <c r="E295" s="59">
        <v>41736</v>
      </c>
      <c r="F295" s="59">
        <v>41902</v>
      </c>
      <c r="G295" s="20">
        <v>25</v>
      </c>
      <c r="H295" s="34"/>
      <c r="I295" s="34"/>
      <c r="J295" s="30"/>
      <c r="K295" s="33">
        <v>41736</v>
      </c>
      <c r="L295" s="33">
        <v>41902</v>
      </c>
      <c r="M295" s="334">
        <v>5</v>
      </c>
      <c r="N295" s="319" t="s">
        <v>541</v>
      </c>
      <c r="O295" s="30" t="s">
        <v>907</v>
      </c>
      <c r="P295" s="30" t="s">
        <v>197</v>
      </c>
      <c r="Q295" s="30" t="s">
        <v>750</v>
      </c>
      <c r="R295" s="35">
        <v>624</v>
      </c>
      <c r="S295" s="189" t="s">
        <v>750</v>
      </c>
      <c r="T295" s="327">
        <f t="shared" si="192"/>
        <v>0</v>
      </c>
      <c r="U295" s="327">
        <f t="shared" si="193"/>
        <v>283.28834355828224</v>
      </c>
      <c r="V295" s="327">
        <f t="shared" si="194"/>
        <v>340.71165644171776</v>
      </c>
      <c r="W295" s="327">
        <f t="shared" si="195"/>
        <v>0</v>
      </c>
      <c r="Y295" s="318"/>
      <c r="Z295" s="318"/>
    </row>
    <row r="296" spans="1:26" s="222" customFormat="1" ht="25.5" x14ac:dyDescent="0.2">
      <c r="A296" s="222">
        <v>184</v>
      </c>
      <c r="B296" s="48" t="s">
        <v>450</v>
      </c>
      <c r="C296" s="319" t="s">
        <v>704</v>
      </c>
      <c r="D296" s="319" t="s">
        <v>208</v>
      </c>
      <c r="E296" s="59">
        <v>41736</v>
      </c>
      <c r="F296" s="59">
        <v>41902</v>
      </c>
      <c r="G296" s="20">
        <v>25</v>
      </c>
      <c r="H296" s="34"/>
      <c r="I296" s="34"/>
      <c r="J296" s="30"/>
      <c r="K296" s="33">
        <v>41736</v>
      </c>
      <c r="L296" s="33">
        <v>41902</v>
      </c>
      <c r="M296" s="334">
        <v>5</v>
      </c>
      <c r="N296" s="319" t="s">
        <v>541</v>
      </c>
      <c r="O296" s="30" t="s">
        <v>908</v>
      </c>
      <c r="P296" s="30" t="s">
        <v>197</v>
      </c>
      <c r="Q296" s="30" t="s">
        <v>603</v>
      </c>
      <c r="R296" s="35">
        <v>624</v>
      </c>
      <c r="S296" s="189" t="s">
        <v>751</v>
      </c>
      <c r="T296" s="327">
        <f t="shared" si="192"/>
        <v>0</v>
      </c>
      <c r="U296" s="327">
        <f t="shared" si="193"/>
        <v>283.28834355828224</v>
      </c>
      <c r="V296" s="327">
        <f t="shared" si="194"/>
        <v>340.71165644171776</v>
      </c>
      <c r="W296" s="327">
        <f t="shared" si="195"/>
        <v>0</v>
      </c>
      <c r="Y296" s="318"/>
      <c r="Z296" s="318"/>
    </row>
    <row r="297" spans="1:26" s="222" customFormat="1" ht="25.5" x14ac:dyDescent="0.2">
      <c r="A297" s="222">
        <v>185</v>
      </c>
      <c r="B297" s="48" t="s">
        <v>450</v>
      </c>
      <c r="C297" s="49" t="s">
        <v>707</v>
      </c>
      <c r="D297" s="189" t="s">
        <v>208</v>
      </c>
      <c r="E297" s="59">
        <v>41736</v>
      </c>
      <c r="F297" s="59">
        <v>41902</v>
      </c>
      <c r="G297" s="20">
        <v>30</v>
      </c>
      <c r="H297" s="34"/>
      <c r="I297" s="34"/>
      <c r="J297" s="30"/>
      <c r="K297" s="33">
        <v>41736</v>
      </c>
      <c r="L297" s="33">
        <v>41902</v>
      </c>
      <c r="M297" s="334">
        <v>5</v>
      </c>
      <c r="N297" s="189" t="s">
        <v>543</v>
      </c>
      <c r="O297" s="30" t="s">
        <v>900</v>
      </c>
      <c r="P297" s="30" t="s">
        <v>197</v>
      </c>
      <c r="Q297" s="30" t="s">
        <v>602</v>
      </c>
      <c r="R297" s="35">
        <v>624</v>
      </c>
      <c r="S297" s="189" t="s">
        <v>513</v>
      </c>
      <c r="T297" s="327">
        <f t="shared" si="192"/>
        <v>0</v>
      </c>
      <c r="U297" s="327">
        <f t="shared" si="193"/>
        <v>283.28834355828224</v>
      </c>
      <c r="V297" s="327">
        <f t="shared" si="194"/>
        <v>340.71165644171776</v>
      </c>
      <c r="W297" s="327">
        <f t="shared" si="195"/>
        <v>0</v>
      </c>
      <c r="Y297" s="318"/>
      <c r="Z297" s="318"/>
    </row>
    <row r="298" spans="1:26" s="222" customFormat="1" ht="25.5" x14ac:dyDescent="0.2">
      <c r="A298" s="222">
        <v>186</v>
      </c>
      <c r="B298" s="48" t="s">
        <v>450</v>
      </c>
      <c r="C298" s="319" t="s">
        <v>704</v>
      </c>
      <c r="D298" s="319" t="s">
        <v>208</v>
      </c>
      <c r="E298" s="59">
        <v>41827</v>
      </c>
      <c r="F298" s="59">
        <v>41983</v>
      </c>
      <c r="G298" s="20">
        <v>25</v>
      </c>
      <c r="H298" s="34"/>
      <c r="I298" s="34"/>
      <c r="J298" s="30"/>
      <c r="K298" s="33">
        <v>41827</v>
      </c>
      <c r="L298" s="33">
        <v>41983</v>
      </c>
      <c r="M298" s="334">
        <v>5</v>
      </c>
      <c r="N298" s="319" t="s">
        <v>540</v>
      </c>
      <c r="O298" s="30" t="s">
        <v>909</v>
      </c>
      <c r="P298" s="30" t="s">
        <v>197</v>
      </c>
      <c r="Q298" s="30" t="s">
        <v>257</v>
      </c>
      <c r="R298" s="35">
        <v>642</v>
      </c>
      <c r="S298" s="189" t="s">
        <v>524</v>
      </c>
      <c r="T298" s="327">
        <f t="shared" si="192"/>
        <v>0</v>
      </c>
      <c r="U298" s="327">
        <f t="shared" si="193"/>
        <v>0</v>
      </c>
      <c r="V298" s="327">
        <f t="shared" si="194"/>
        <v>306.31372549019608</v>
      </c>
      <c r="W298" s="327">
        <f t="shared" si="195"/>
        <v>335.68627450980392</v>
      </c>
      <c r="Y298" s="318"/>
      <c r="Z298" s="318"/>
    </row>
    <row r="299" spans="1:26" s="222" customFormat="1" ht="25.5" x14ac:dyDescent="0.2">
      <c r="A299" s="222">
        <v>187</v>
      </c>
      <c r="B299" s="48" t="s">
        <v>450</v>
      </c>
      <c r="C299" s="189" t="s">
        <v>340</v>
      </c>
      <c r="D299" s="20" t="s">
        <v>208</v>
      </c>
      <c r="E299" s="59">
        <v>41827</v>
      </c>
      <c r="F299" s="59">
        <v>42099</v>
      </c>
      <c r="G299" s="20">
        <v>25</v>
      </c>
      <c r="H299" s="34"/>
      <c r="I299" s="34"/>
      <c r="J299" s="30"/>
      <c r="K299" s="33">
        <v>41827</v>
      </c>
      <c r="L299" s="33">
        <v>41983</v>
      </c>
      <c r="M299" s="334">
        <v>5</v>
      </c>
      <c r="N299" s="189" t="s">
        <v>541</v>
      </c>
      <c r="O299" s="30" t="s">
        <v>564</v>
      </c>
      <c r="P299" s="30" t="s">
        <v>190</v>
      </c>
      <c r="Q299" s="30" t="s">
        <v>292</v>
      </c>
      <c r="R299" s="35">
        <v>642</v>
      </c>
      <c r="S299" s="189" t="s">
        <v>523</v>
      </c>
      <c r="T299" s="327">
        <f t="shared" si="192"/>
        <v>0</v>
      </c>
      <c r="U299" s="327">
        <f t="shared" si="193"/>
        <v>0</v>
      </c>
      <c r="V299" s="327">
        <f t="shared" si="194"/>
        <v>306.31372549019608</v>
      </c>
      <c r="W299" s="327">
        <f t="shared" si="195"/>
        <v>335.68627450980392</v>
      </c>
      <c r="Y299" s="318"/>
      <c r="Z299" s="318"/>
    </row>
    <row r="300" spans="1:26" s="222" customFormat="1" ht="25.5" x14ac:dyDescent="0.2">
      <c r="A300" s="222">
        <v>188</v>
      </c>
      <c r="B300" s="48" t="s">
        <v>450</v>
      </c>
      <c r="C300" s="189" t="s">
        <v>340</v>
      </c>
      <c r="D300" s="20" t="s">
        <v>208</v>
      </c>
      <c r="E300" s="59">
        <v>41827</v>
      </c>
      <c r="F300" s="59">
        <v>42099</v>
      </c>
      <c r="G300" s="20">
        <v>25</v>
      </c>
      <c r="H300" s="34"/>
      <c r="I300" s="34"/>
      <c r="J300" s="30"/>
      <c r="K300" s="33">
        <v>41827</v>
      </c>
      <c r="L300" s="33">
        <v>41983</v>
      </c>
      <c r="M300" s="334">
        <v>5</v>
      </c>
      <c r="N300" s="189" t="s">
        <v>542</v>
      </c>
      <c r="O300" s="30" t="s">
        <v>564</v>
      </c>
      <c r="P300" s="30" t="s">
        <v>190</v>
      </c>
      <c r="Q300" s="30" t="s">
        <v>201</v>
      </c>
      <c r="R300" s="35">
        <v>428</v>
      </c>
      <c r="S300" s="189" t="s">
        <v>525</v>
      </c>
      <c r="T300" s="327">
        <f t="shared" si="192"/>
        <v>0</v>
      </c>
      <c r="U300" s="327">
        <f t="shared" si="193"/>
        <v>0</v>
      </c>
      <c r="V300" s="327">
        <f t="shared" si="194"/>
        <v>204.20915032679738</v>
      </c>
      <c r="W300" s="327">
        <f t="shared" si="195"/>
        <v>223.79084967320262</v>
      </c>
      <c r="Y300" s="318"/>
      <c r="Z300" s="318"/>
    </row>
    <row r="301" spans="1:26" s="222" customFormat="1" ht="25.5" x14ac:dyDescent="0.2">
      <c r="A301" s="222">
        <v>192</v>
      </c>
      <c r="B301" s="48" t="s">
        <v>450</v>
      </c>
      <c r="C301" s="319" t="s">
        <v>704</v>
      </c>
      <c r="D301" s="319" t="s">
        <v>208</v>
      </c>
      <c r="E301" s="59">
        <v>41904</v>
      </c>
      <c r="F301" s="59">
        <v>42099</v>
      </c>
      <c r="G301" s="20">
        <v>25</v>
      </c>
      <c r="H301" s="34"/>
      <c r="I301" s="34"/>
      <c r="J301" s="30"/>
      <c r="K301" s="33">
        <v>41904</v>
      </c>
      <c r="L301" s="33">
        <v>41983</v>
      </c>
      <c r="M301" s="334">
        <v>5</v>
      </c>
      <c r="N301" s="319" t="s">
        <v>540</v>
      </c>
      <c r="O301" s="189" t="s">
        <v>898</v>
      </c>
      <c r="P301" s="30" t="s">
        <v>197</v>
      </c>
      <c r="Q301" s="30" t="s">
        <v>294</v>
      </c>
      <c r="R301" s="35">
        <v>324</v>
      </c>
      <c r="S301" s="189" t="s">
        <v>521</v>
      </c>
      <c r="T301" s="327">
        <f t="shared" si="192"/>
        <v>0</v>
      </c>
      <c r="U301" s="327">
        <f t="shared" si="193"/>
        <v>0</v>
      </c>
      <c r="V301" s="327">
        <f t="shared" si="194"/>
        <v>0</v>
      </c>
      <c r="W301" s="327">
        <f t="shared" si="195"/>
        <v>324</v>
      </c>
      <c r="Y301" s="318"/>
      <c r="Z301" s="318"/>
    </row>
    <row r="302" spans="1:26" s="222" customFormat="1" ht="25.5" x14ac:dyDescent="0.2">
      <c r="A302" s="222">
        <v>193</v>
      </c>
      <c r="B302" s="48" t="s">
        <v>450</v>
      </c>
      <c r="C302" s="319" t="s">
        <v>704</v>
      </c>
      <c r="D302" s="319" t="s">
        <v>208</v>
      </c>
      <c r="E302" s="59">
        <v>41904</v>
      </c>
      <c r="F302" s="59">
        <v>42099</v>
      </c>
      <c r="G302" s="20">
        <v>25</v>
      </c>
      <c r="H302" s="34"/>
      <c r="I302" s="34"/>
      <c r="J302" s="30"/>
      <c r="K302" s="33">
        <v>41904</v>
      </c>
      <c r="L302" s="33">
        <v>41983</v>
      </c>
      <c r="M302" s="334">
        <v>5</v>
      </c>
      <c r="N302" s="319" t="s">
        <v>540</v>
      </c>
      <c r="O302" s="189" t="s">
        <v>899</v>
      </c>
      <c r="P302" s="30" t="s">
        <v>197</v>
      </c>
      <c r="Q302" s="30" t="s">
        <v>254</v>
      </c>
      <c r="R302" s="35">
        <v>324</v>
      </c>
      <c r="S302" s="189" t="s">
        <v>520</v>
      </c>
      <c r="T302" s="327">
        <f t="shared" si="192"/>
        <v>0</v>
      </c>
      <c r="U302" s="327">
        <f t="shared" si="193"/>
        <v>0</v>
      </c>
      <c r="V302" s="327">
        <f t="shared" si="194"/>
        <v>0</v>
      </c>
      <c r="W302" s="327">
        <f t="shared" si="195"/>
        <v>324</v>
      </c>
      <c r="Y302" s="318"/>
      <c r="Z302" s="318"/>
    </row>
    <row r="303" spans="1:26" s="222" customFormat="1" ht="25.5" x14ac:dyDescent="0.2">
      <c r="A303" s="222">
        <v>194</v>
      </c>
      <c r="B303" s="48" t="s">
        <v>450</v>
      </c>
      <c r="C303" s="189" t="s">
        <v>474</v>
      </c>
      <c r="D303" s="189" t="s">
        <v>208</v>
      </c>
      <c r="E303" s="59">
        <v>41904</v>
      </c>
      <c r="F303" s="59">
        <v>42099</v>
      </c>
      <c r="G303" s="20">
        <v>25</v>
      </c>
      <c r="H303" s="34"/>
      <c r="I303" s="34"/>
      <c r="J303" s="30"/>
      <c r="K303" s="33">
        <v>41904</v>
      </c>
      <c r="L303" s="33">
        <v>41983</v>
      </c>
      <c r="M303" s="334">
        <v>5</v>
      </c>
      <c r="N303" s="20" t="s">
        <v>541</v>
      </c>
      <c r="O303" s="30" t="s">
        <v>565</v>
      </c>
      <c r="P303" s="30" t="s">
        <v>190</v>
      </c>
      <c r="Q303" s="30" t="s">
        <v>164</v>
      </c>
      <c r="R303" s="35">
        <v>324</v>
      </c>
      <c r="S303" s="20" t="s">
        <v>527</v>
      </c>
      <c r="T303" s="327">
        <f t="shared" si="192"/>
        <v>0</v>
      </c>
      <c r="U303" s="327">
        <f t="shared" si="193"/>
        <v>0</v>
      </c>
      <c r="V303" s="327">
        <f t="shared" si="194"/>
        <v>0</v>
      </c>
      <c r="W303" s="327">
        <f t="shared" si="195"/>
        <v>324</v>
      </c>
      <c r="Y303" s="318"/>
      <c r="Z303" s="318"/>
    </row>
    <row r="304" spans="1:26" s="222" customFormat="1" ht="25.5" x14ac:dyDescent="0.2">
      <c r="A304" s="222">
        <v>195</v>
      </c>
      <c r="B304" s="48" t="s">
        <v>450</v>
      </c>
      <c r="C304" s="189" t="s">
        <v>472</v>
      </c>
      <c r="D304" s="20" t="s">
        <v>208</v>
      </c>
      <c r="E304" s="59">
        <v>41904</v>
      </c>
      <c r="F304" s="59">
        <v>42099</v>
      </c>
      <c r="G304" s="20">
        <v>30</v>
      </c>
      <c r="H304" s="34"/>
      <c r="I304" s="34"/>
      <c r="J304" s="30"/>
      <c r="K304" s="33">
        <v>41904</v>
      </c>
      <c r="L304" s="33">
        <v>41983</v>
      </c>
      <c r="M304" s="334">
        <v>5</v>
      </c>
      <c r="N304" s="189" t="s">
        <v>544</v>
      </c>
      <c r="O304" s="30" t="s">
        <v>547</v>
      </c>
      <c r="P304" s="30" t="s">
        <v>197</v>
      </c>
      <c r="Q304" s="30" t="s">
        <v>737</v>
      </c>
      <c r="R304" s="35">
        <v>216</v>
      </c>
      <c r="S304" s="20" t="s">
        <v>737</v>
      </c>
      <c r="T304" s="327">
        <f t="shared" si="192"/>
        <v>0</v>
      </c>
      <c r="U304" s="327">
        <f t="shared" si="193"/>
        <v>0</v>
      </c>
      <c r="V304" s="327">
        <f t="shared" si="194"/>
        <v>0</v>
      </c>
      <c r="W304" s="327">
        <f t="shared" si="195"/>
        <v>216</v>
      </c>
      <c r="Y304" s="318"/>
      <c r="Z304" s="318"/>
    </row>
    <row r="305" spans="1:26" s="222" customFormat="1" ht="25.5" x14ac:dyDescent="0.2">
      <c r="A305" s="222">
        <v>196</v>
      </c>
      <c r="B305" s="48" t="s">
        <v>450</v>
      </c>
      <c r="C305" s="189" t="s">
        <v>472</v>
      </c>
      <c r="D305" s="20" t="s">
        <v>208</v>
      </c>
      <c r="E305" s="59">
        <v>41904</v>
      </c>
      <c r="F305" s="59">
        <v>42099</v>
      </c>
      <c r="G305" s="20">
        <v>30</v>
      </c>
      <c r="H305" s="34"/>
      <c r="I305" s="34"/>
      <c r="J305" s="30"/>
      <c r="K305" s="33">
        <v>41904</v>
      </c>
      <c r="L305" s="33">
        <v>41983</v>
      </c>
      <c r="M305" s="334">
        <v>5</v>
      </c>
      <c r="N305" s="189" t="s">
        <v>542</v>
      </c>
      <c r="O305" s="30" t="s">
        <v>547</v>
      </c>
      <c r="P305" s="30" t="s">
        <v>197</v>
      </c>
      <c r="Q305" s="30" t="s">
        <v>288</v>
      </c>
      <c r="R305" s="35">
        <v>216</v>
      </c>
      <c r="S305" s="20" t="s">
        <v>519</v>
      </c>
      <c r="T305" s="327">
        <f t="shared" si="192"/>
        <v>0</v>
      </c>
      <c r="U305" s="327">
        <f t="shared" si="193"/>
        <v>0</v>
      </c>
      <c r="V305" s="327">
        <f t="shared" si="194"/>
        <v>0</v>
      </c>
      <c r="W305" s="327">
        <f t="shared" si="195"/>
        <v>216</v>
      </c>
      <c r="Y305" s="318"/>
      <c r="Z305" s="318"/>
    </row>
    <row r="306" spans="1:26" s="222" customFormat="1" ht="25.5" x14ac:dyDescent="0.2">
      <c r="A306" s="222">
        <v>197</v>
      </c>
      <c r="B306" s="48" t="s">
        <v>450</v>
      </c>
      <c r="C306" s="189" t="s">
        <v>472</v>
      </c>
      <c r="D306" s="20" t="s">
        <v>208</v>
      </c>
      <c r="E306" s="59">
        <v>41904</v>
      </c>
      <c r="F306" s="59">
        <v>42099</v>
      </c>
      <c r="G306" s="20">
        <v>30</v>
      </c>
      <c r="H306" s="34"/>
      <c r="I306" s="34"/>
      <c r="J306" s="30"/>
      <c r="K306" s="33">
        <v>41904</v>
      </c>
      <c r="L306" s="33">
        <v>41983</v>
      </c>
      <c r="M306" s="334">
        <v>5</v>
      </c>
      <c r="N306" s="189" t="s">
        <v>542</v>
      </c>
      <c r="O306" s="30" t="s">
        <v>547</v>
      </c>
      <c r="P306" s="30" t="s">
        <v>197</v>
      </c>
      <c r="Q306" s="30" t="s">
        <v>887</v>
      </c>
      <c r="R306" s="35">
        <v>216</v>
      </c>
      <c r="S306" s="189" t="s">
        <v>745</v>
      </c>
      <c r="T306" s="327">
        <f t="shared" si="192"/>
        <v>0</v>
      </c>
      <c r="U306" s="327">
        <f t="shared" si="193"/>
        <v>0</v>
      </c>
      <c r="V306" s="327">
        <f t="shared" si="194"/>
        <v>0</v>
      </c>
      <c r="W306" s="327">
        <f t="shared" si="195"/>
        <v>216</v>
      </c>
      <c r="Y306" s="318"/>
      <c r="Z306" s="318"/>
    </row>
    <row r="307" spans="1:26" s="222" customFormat="1" ht="25.5" x14ac:dyDescent="0.2">
      <c r="A307" s="222">
        <v>198</v>
      </c>
      <c r="B307" s="48" t="s">
        <v>450</v>
      </c>
      <c r="C307" s="319" t="s">
        <v>704</v>
      </c>
      <c r="D307" s="319" t="s">
        <v>208</v>
      </c>
      <c r="E307" s="59">
        <v>41904</v>
      </c>
      <c r="F307" s="59">
        <v>42099</v>
      </c>
      <c r="G307" s="20">
        <v>25</v>
      </c>
      <c r="H307" s="34"/>
      <c r="I307" s="34"/>
      <c r="J307" s="30"/>
      <c r="K307" s="33">
        <v>41904</v>
      </c>
      <c r="L307" s="33">
        <v>41983</v>
      </c>
      <c r="M307" s="334">
        <v>5</v>
      </c>
      <c r="N307" s="319" t="s">
        <v>541</v>
      </c>
      <c r="O307" s="189" t="s">
        <v>900</v>
      </c>
      <c r="P307" s="30" t="s">
        <v>197</v>
      </c>
      <c r="Q307" s="30" t="s">
        <v>298</v>
      </c>
      <c r="R307" s="35">
        <v>216</v>
      </c>
      <c r="S307" s="189" t="s">
        <v>516</v>
      </c>
      <c r="T307" s="327">
        <f t="shared" si="192"/>
        <v>0</v>
      </c>
      <c r="U307" s="327">
        <f t="shared" si="193"/>
        <v>0</v>
      </c>
      <c r="V307" s="327">
        <f t="shared" si="194"/>
        <v>0</v>
      </c>
      <c r="W307" s="327">
        <f t="shared" si="195"/>
        <v>216</v>
      </c>
      <c r="Y307" s="318"/>
      <c r="Z307" s="318"/>
    </row>
    <row r="308" spans="1:26" s="222" customFormat="1" ht="25.5" x14ac:dyDescent="0.2">
      <c r="A308" s="222">
        <v>199</v>
      </c>
      <c r="B308" s="48" t="s">
        <v>450</v>
      </c>
      <c r="C308" s="20" t="s">
        <v>702</v>
      </c>
      <c r="D308" s="20" t="s">
        <v>208</v>
      </c>
      <c r="E308" s="59">
        <v>41904</v>
      </c>
      <c r="F308" s="59">
        <v>42472</v>
      </c>
      <c r="G308" s="20">
        <v>18</v>
      </c>
      <c r="H308" s="34"/>
      <c r="I308" s="34"/>
      <c r="J308" s="30"/>
      <c r="K308" s="33">
        <v>41904</v>
      </c>
      <c r="L308" s="33">
        <v>41983</v>
      </c>
      <c r="M308" s="334">
        <v>5</v>
      </c>
      <c r="N308" s="20" t="s">
        <v>542</v>
      </c>
      <c r="O308" s="30" t="s">
        <v>910</v>
      </c>
      <c r="P308" s="30" t="s">
        <v>190</v>
      </c>
      <c r="Q308" s="30" t="s">
        <v>165</v>
      </c>
      <c r="R308" s="35">
        <v>162</v>
      </c>
      <c r="S308" s="20" t="s">
        <v>507</v>
      </c>
      <c r="T308" s="327">
        <f t="shared" si="192"/>
        <v>0</v>
      </c>
      <c r="U308" s="327">
        <f t="shared" si="193"/>
        <v>0</v>
      </c>
      <c r="V308" s="327">
        <f t="shared" si="194"/>
        <v>0</v>
      </c>
      <c r="W308" s="327">
        <f t="shared" si="195"/>
        <v>162</v>
      </c>
      <c r="Y308" s="318"/>
      <c r="Z308" s="318"/>
    </row>
    <row r="309" spans="1:26" s="222" customFormat="1" ht="25.5" x14ac:dyDescent="0.2">
      <c r="A309" s="222">
        <v>200</v>
      </c>
      <c r="B309" s="48" t="s">
        <v>450</v>
      </c>
      <c r="C309" s="20" t="s">
        <v>702</v>
      </c>
      <c r="D309" s="189" t="s">
        <v>208</v>
      </c>
      <c r="E309" s="59">
        <v>41904</v>
      </c>
      <c r="F309" s="59">
        <v>42472</v>
      </c>
      <c r="G309" s="20">
        <v>30</v>
      </c>
      <c r="H309" s="34"/>
      <c r="I309" s="34"/>
      <c r="J309" s="30"/>
      <c r="K309" s="33">
        <v>41904</v>
      </c>
      <c r="L309" s="33">
        <v>41983</v>
      </c>
      <c r="M309" s="334">
        <v>5</v>
      </c>
      <c r="N309" s="20" t="s">
        <v>540</v>
      </c>
      <c r="O309" s="30" t="s">
        <v>563</v>
      </c>
      <c r="P309" s="30" t="s">
        <v>190</v>
      </c>
      <c r="Q309" s="30" t="s">
        <v>880</v>
      </c>
      <c r="R309" s="35">
        <v>216</v>
      </c>
      <c r="S309" s="189" t="s">
        <v>746</v>
      </c>
      <c r="T309" s="327">
        <f t="shared" si="192"/>
        <v>0</v>
      </c>
      <c r="U309" s="327">
        <f t="shared" si="193"/>
        <v>0</v>
      </c>
      <c r="V309" s="327">
        <f t="shared" si="194"/>
        <v>0</v>
      </c>
      <c r="W309" s="327">
        <f t="shared" si="195"/>
        <v>216</v>
      </c>
      <c r="Y309" s="318"/>
      <c r="Z309" s="318"/>
    </row>
    <row r="310" spans="1:26" s="222" customFormat="1" ht="25.5" x14ac:dyDescent="0.2">
      <c r="A310" s="222">
        <v>201</v>
      </c>
      <c r="B310" s="48" t="s">
        <v>450</v>
      </c>
      <c r="C310" s="20" t="s">
        <v>702</v>
      </c>
      <c r="D310" s="189" t="s">
        <v>208</v>
      </c>
      <c r="E310" s="59">
        <v>41904</v>
      </c>
      <c r="F310" s="59">
        <v>42472</v>
      </c>
      <c r="G310" s="20">
        <v>30</v>
      </c>
      <c r="H310" s="34"/>
      <c r="I310" s="34"/>
      <c r="J310" s="30"/>
      <c r="K310" s="33">
        <v>41904</v>
      </c>
      <c r="L310" s="33">
        <v>41983</v>
      </c>
      <c r="M310" s="334">
        <v>5</v>
      </c>
      <c r="N310" s="20" t="s">
        <v>540</v>
      </c>
      <c r="O310" s="30" t="s">
        <v>878</v>
      </c>
      <c r="P310" s="30" t="s">
        <v>190</v>
      </c>
      <c r="Q310" s="30" t="s">
        <v>242</v>
      </c>
      <c r="R310" s="35">
        <v>216</v>
      </c>
      <c r="S310" s="20" t="s">
        <v>497</v>
      </c>
      <c r="T310" s="327">
        <f t="shared" si="192"/>
        <v>0</v>
      </c>
      <c r="U310" s="327">
        <f t="shared" si="193"/>
        <v>0</v>
      </c>
      <c r="V310" s="327">
        <f t="shared" si="194"/>
        <v>0</v>
      </c>
      <c r="W310" s="327">
        <f t="shared" si="195"/>
        <v>216</v>
      </c>
      <c r="Y310" s="318"/>
      <c r="Z310" s="318"/>
    </row>
    <row r="311" spans="1:26" s="222" customFormat="1" ht="25.5" x14ac:dyDescent="0.2">
      <c r="A311" s="222">
        <v>202</v>
      </c>
      <c r="B311" s="48" t="s">
        <v>450</v>
      </c>
      <c r="C311" s="189" t="s">
        <v>469</v>
      </c>
      <c r="D311" s="20" t="s">
        <v>208</v>
      </c>
      <c r="E311" s="59">
        <v>41904</v>
      </c>
      <c r="F311" s="59">
        <v>42099</v>
      </c>
      <c r="G311" s="20">
        <v>30</v>
      </c>
      <c r="H311" s="34"/>
      <c r="I311" s="34"/>
      <c r="J311" s="30"/>
      <c r="K311" s="33">
        <v>41904</v>
      </c>
      <c r="L311" s="33">
        <v>41983</v>
      </c>
      <c r="M311" s="334">
        <v>5</v>
      </c>
      <c r="N311" s="189" t="s">
        <v>542</v>
      </c>
      <c r="O311" s="30" t="s">
        <v>563</v>
      </c>
      <c r="P311" s="30" t="s">
        <v>190</v>
      </c>
      <c r="Q311" s="30" t="s">
        <v>325</v>
      </c>
      <c r="R311" s="35">
        <v>216</v>
      </c>
      <c r="S311" s="20" t="s">
        <v>510</v>
      </c>
      <c r="T311" s="327">
        <f t="shared" si="192"/>
        <v>0</v>
      </c>
      <c r="U311" s="327">
        <f t="shared" si="193"/>
        <v>0</v>
      </c>
      <c r="V311" s="327">
        <f t="shared" si="194"/>
        <v>0</v>
      </c>
      <c r="W311" s="327">
        <f t="shared" si="195"/>
        <v>216</v>
      </c>
      <c r="Y311" s="318"/>
      <c r="Z311" s="318"/>
    </row>
    <row r="312" spans="1:26" s="222" customFormat="1" ht="25.5" x14ac:dyDescent="0.2">
      <c r="A312" s="222">
        <v>203</v>
      </c>
      <c r="B312" s="48" t="s">
        <v>450</v>
      </c>
      <c r="C312" s="189" t="s">
        <v>340</v>
      </c>
      <c r="D312" s="20" t="s">
        <v>208</v>
      </c>
      <c r="E312" s="59">
        <v>41904</v>
      </c>
      <c r="F312" s="59">
        <v>42099</v>
      </c>
      <c r="G312" s="20">
        <v>30</v>
      </c>
      <c r="H312" s="34"/>
      <c r="I312" s="34"/>
      <c r="J312" s="30"/>
      <c r="K312" s="33">
        <v>41904</v>
      </c>
      <c r="L312" s="33">
        <v>41983</v>
      </c>
      <c r="M312" s="334">
        <v>3</v>
      </c>
      <c r="N312" s="189" t="s">
        <v>539</v>
      </c>
      <c r="O312" s="30" t="s">
        <v>564</v>
      </c>
      <c r="P312" s="30" t="s">
        <v>190</v>
      </c>
      <c r="Q312" s="30" t="s">
        <v>320</v>
      </c>
      <c r="R312" s="35">
        <v>272</v>
      </c>
      <c r="S312" s="20" t="s">
        <v>511</v>
      </c>
      <c r="T312" s="327">
        <f t="shared" si="192"/>
        <v>0</v>
      </c>
      <c r="U312" s="327">
        <f t="shared" si="193"/>
        <v>0</v>
      </c>
      <c r="V312" s="327">
        <f t="shared" si="194"/>
        <v>0</v>
      </c>
      <c r="W312" s="327">
        <f t="shared" si="195"/>
        <v>272</v>
      </c>
      <c r="Y312" s="318"/>
      <c r="Z312" s="318"/>
    </row>
    <row r="313" spans="1:26" s="222" customFormat="1" ht="25.5" x14ac:dyDescent="0.2">
      <c r="A313" s="222">
        <v>204</v>
      </c>
      <c r="B313" s="48" t="s">
        <v>450</v>
      </c>
      <c r="C313" s="189" t="s">
        <v>340</v>
      </c>
      <c r="D313" s="20" t="s">
        <v>208</v>
      </c>
      <c r="E313" s="59">
        <v>41904</v>
      </c>
      <c r="F313" s="59">
        <v>42099</v>
      </c>
      <c r="G313" s="20">
        <v>30</v>
      </c>
      <c r="H313" s="34"/>
      <c r="I313" s="34"/>
      <c r="J313" s="30"/>
      <c r="K313" s="33">
        <v>41904</v>
      </c>
      <c r="L313" s="33">
        <v>41983</v>
      </c>
      <c r="M313" s="334">
        <v>5</v>
      </c>
      <c r="N313" s="189" t="s">
        <v>540</v>
      </c>
      <c r="O313" s="30" t="s">
        <v>564</v>
      </c>
      <c r="P313" s="30" t="s">
        <v>190</v>
      </c>
      <c r="Q313" s="30" t="s">
        <v>292</v>
      </c>
      <c r="R313" s="35">
        <v>324</v>
      </c>
      <c r="S313" s="20" t="s">
        <v>523</v>
      </c>
      <c r="T313" s="327">
        <f t="shared" si="192"/>
        <v>0</v>
      </c>
      <c r="U313" s="327">
        <f t="shared" si="193"/>
        <v>0</v>
      </c>
      <c r="V313" s="327">
        <f t="shared" si="194"/>
        <v>0</v>
      </c>
      <c r="W313" s="327">
        <f t="shared" si="195"/>
        <v>324</v>
      </c>
      <c r="Y313" s="318"/>
      <c r="Z313" s="318"/>
    </row>
    <row r="314" spans="1:26" s="222" customFormat="1" ht="25.5" x14ac:dyDescent="0.2">
      <c r="A314" s="222">
        <v>205</v>
      </c>
      <c r="B314" s="48" t="s">
        <v>450</v>
      </c>
      <c r="C314" s="49" t="s">
        <v>707</v>
      </c>
      <c r="D314" s="189" t="s">
        <v>208</v>
      </c>
      <c r="E314" s="59">
        <v>41904</v>
      </c>
      <c r="F314" s="59">
        <v>42099</v>
      </c>
      <c r="G314" s="20">
        <v>30</v>
      </c>
      <c r="H314" s="34"/>
      <c r="I314" s="34"/>
      <c r="J314" s="30"/>
      <c r="K314" s="33">
        <v>41904</v>
      </c>
      <c r="L314" s="33">
        <v>41983</v>
      </c>
      <c r="M314" s="334">
        <v>5</v>
      </c>
      <c r="N314" s="189" t="s">
        <v>543</v>
      </c>
      <c r="O314" s="189" t="s">
        <v>901</v>
      </c>
      <c r="P314" s="30" t="s">
        <v>197</v>
      </c>
      <c r="Q314" s="30" t="s">
        <v>602</v>
      </c>
      <c r="R314" s="35">
        <v>312</v>
      </c>
      <c r="S314" s="189" t="s">
        <v>513</v>
      </c>
      <c r="T314" s="327">
        <f t="shared" si="192"/>
        <v>0</v>
      </c>
      <c r="U314" s="327">
        <f t="shared" si="193"/>
        <v>0</v>
      </c>
      <c r="V314" s="327">
        <f t="shared" si="194"/>
        <v>0</v>
      </c>
      <c r="W314" s="327">
        <f t="shared" si="195"/>
        <v>312</v>
      </c>
      <c r="Y314" s="318"/>
      <c r="Z314" s="318"/>
    </row>
    <row r="315" spans="1:26" s="222" customFormat="1" ht="25.5" x14ac:dyDescent="0.2">
      <c r="A315" s="222">
        <v>206</v>
      </c>
      <c r="B315" s="48" t="s">
        <v>450</v>
      </c>
      <c r="C315" s="20" t="s">
        <v>708</v>
      </c>
      <c r="D315" s="20" t="s">
        <v>208</v>
      </c>
      <c r="E315" s="59">
        <v>41904</v>
      </c>
      <c r="F315" s="59">
        <v>41983</v>
      </c>
      <c r="G315" s="20">
        <v>25</v>
      </c>
      <c r="H315" s="34"/>
      <c r="I315" s="34"/>
      <c r="J315" s="30"/>
      <c r="K315" s="33">
        <v>41904</v>
      </c>
      <c r="L315" s="33">
        <v>41983</v>
      </c>
      <c r="M315" s="334">
        <v>5</v>
      </c>
      <c r="N315" s="20" t="s">
        <v>542</v>
      </c>
      <c r="O315" s="30" t="s">
        <v>879</v>
      </c>
      <c r="P315" s="30" t="s">
        <v>190</v>
      </c>
      <c r="Q315" s="30" t="s">
        <v>169</v>
      </c>
      <c r="R315" s="35">
        <v>162</v>
      </c>
      <c r="S315" s="20" t="s">
        <v>526</v>
      </c>
      <c r="T315" s="327">
        <f t="shared" si="192"/>
        <v>0</v>
      </c>
      <c r="U315" s="327">
        <f t="shared" si="193"/>
        <v>0</v>
      </c>
      <c r="V315" s="327">
        <f t="shared" si="194"/>
        <v>0</v>
      </c>
      <c r="W315" s="327">
        <f t="shared" si="195"/>
        <v>162</v>
      </c>
      <c r="Y315" s="318"/>
      <c r="Z315" s="318"/>
    </row>
    <row r="316" spans="1:26" s="222" customFormat="1" ht="25.5" x14ac:dyDescent="0.2">
      <c r="A316" s="222">
        <v>207</v>
      </c>
      <c r="B316" s="48">
        <v>397438</v>
      </c>
      <c r="C316" s="20" t="s">
        <v>196</v>
      </c>
      <c r="D316" s="20" t="s">
        <v>487</v>
      </c>
      <c r="E316" s="59">
        <v>41176</v>
      </c>
      <c r="F316" s="322">
        <v>41734</v>
      </c>
      <c r="G316" s="20">
        <v>37</v>
      </c>
      <c r="H316" s="34"/>
      <c r="I316" s="34"/>
      <c r="J316" s="30"/>
      <c r="K316" s="33">
        <v>41659</v>
      </c>
      <c r="L316" s="33">
        <v>41983</v>
      </c>
      <c r="M316" s="334">
        <v>5</v>
      </c>
      <c r="N316" s="20" t="s">
        <v>538</v>
      </c>
      <c r="O316" s="30" t="s">
        <v>928</v>
      </c>
      <c r="P316" s="30" t="s">
        <v>190</v>
      </c>
      <c r="Q316" s="30" t="s">
        <v>648</v>
      </c>
      <c r="R316" s="35">
        <v>848</v>
      </c>
      <c r="S316" s="20" t="s">
        <v>528</v>
      </c>
      <c r="T316" s="327">
        <f t="shared" si="192"/>
        <v>198.75</v>
      </c>
      <c r="U316" s="327">
        <f t="shared" si="193"/>
        <v>216.41666666666666</v>
      </c>
      <c r="V316" s="327">
        <f t="shared" si="194"/>
        <v>216.41666666666669</v>
      </c>
      <c r="W316" s="327">
        <f t="shared" si="195"/>
        <v>216.41666666666669</v>
      </c>
      <c r="Y316" s="318"/>
      <c r="Z316" s="318"/>
    </row>
    <row r="317" spans="1:26" s="222" customFormat="1" ht="38.25" x14ac:dyDescent="0.2">
      <c r="A317" s="222">
        <v>208</v>
      </c>
      <c r="B317" s="20">
        <v>430916</v>
      </c>
      <c r="C317" s="189" t="s">
        <v>196</v>
      </c>
      <c r="D317" s="189" t="s">
        <v>487</v>
      </c>
      <c r="E317" s="59">
        <v>41295</v>
      </c>
      <c r="F317" s="59">
        <v>41811</v>
      </c>
      <c r="G317" s="20">
        <v>39</v>
      </c>
      <c r="H317" s="34"/>
      <c r="I317" s="34"/>
      <c r="J317" s="30"/>
      <c r="K317" s="33">
        <v>41659</v>
      </c>
      <c r="L317" s="33">
        <v>41811</v>
      </c>
      <c r="M317" s="334">
        <v>5</v>
      </c>
      <c r="N317" s="20" t="s">
        <v>541</v>
      </c>
      <c r="O317" s="30" t="s">
        <v>928</v>
      </c>
      <c r="P317" s="30" t="s">
        <v>190</v>
      </c>
      <c r="Q317" s="30" t="s">
        <v>291</v>
      </c>
      <c r="R317" s="35">
        <v>848</v>
      </c>
      <c r="S317" s="20" t="s">
        <v>530</v>
      </c>
      <c r="T317" s="327">
        <f t="shared" si="192"/>
        <v>421.19205298013247</v>
      </c>
      <c r="U317" s="327">
        <f t="shared" si="193"/>
        <v>426.80794701986753</v>
      </c>
      <c r="V317" s="327">
        <f t="shared" si="194"/>
        <v>0</v>
      </c>
      <c r="W317" s="327">
        <f t="shared" si="195"/>
        <v>0</v>
      </c>
      <c r="Y317" s="318"/>
      <c r="Z317" s="318"/>
    </row>
    <row r="318" spans="1:26" s="222" customFormat="1" ht="38.25" x14ac:dyDescent="0.2">
      <c r="A318" s="222">
        <v>209</v>
      </c>
      <c r="B318" s="20">
        <v>472150</v>
      </c>
      <c r="C318" s="189" t="s">
        <v>475</v>
      </c>
      <c r="D318" s="20" t="s">
        <v>487</v>
      </c>
      <c r="E318" s="59">
        <v>41379</v>
      </c>
      <c r="F318" s="59">
        <v>41983</v>
      </c>
      <c r="G318" s="20">
        <v>45</v>
      </c>
      <c r="H318" s="34"/>
      <c r="I318" s="34"/>
      <c r="J318" s="30"/>
      <c r="K318" s="33">
        <v>41659</v>
      </c>
      <c r="L318" s="33">
        <v>41983</v>
      </c>
      <c r="M318" s="334">
        <v>5</v>
      </c>
      <c r="N318" s="189" t="s">
        <v>541</v>
      </c>
      <c r="O318" s="30" t="s">
        <v>599</v>
      </c>
      <c r="P318" s="30" t="s">
        <v>190</v>
      </c>
      <c r="Q318" s="30" t="s">
        <v>149</v>
      </c>
      <c r="R318" s="35">
        <v>1060</v>
      </c>
      <c r="S318" s="189" t="s">
        <v>531</v>
      </c>
      <c r="T318" s="327">
        <f t="shared" si="192"/>
        <v>248.4375</v>
      </c>
      <c r="U318" s="327">
        <f t="shared" si="193"/>
        <v>270.52083333333331</v>
      </c>
      <c r="V318" s="327">
        <f t="shared" si="194"/>
        <v>270.52083333333337</v>
      </c>
      <c r="W318" s="327">
        <f t="shared" si="195"/>
        <v>270.52083333333337</v>
      </c>
      <c r="Y318" s="318"/>
      <c r="Z318" s="318"/>
    </row>
    <row r="319" spans="1:26" s="222" customFormat="1" ht="38.25" x14ac:dyDescent="0.2">
      <c r="A319" s="222">
        <v>210</v>
      </c>
      <c r="B319" s="20">
        <v>515299</v>
      </c>
      <c r="C319" s="189" t="s">
        <v>196</v>
      </c>
      <c r="D319" s="20" t="s">
        <v>487</v>
      </c>
      <c r="E319" s="59">
        <v>41379</v>
      </c>
      <c r="F319" s="59">
        <v>41987</v>
      </c>
      <c r="G319" s="20">
        <v>40</v>
      </c>
      <c r="H319" s="34"/>
      <c r="I319" s="34"/>
      <c r="J319" s="30"/>
      <c r="K319" s="33">
        <v>41659</v>
      </c>
      <c r="L319" s="33">
        <v>41983</v>
      </c>
      <c r="M319" s="334">
        <v>5</v>
      </c>
      <c r="N319" s="189" t="s">
        <v>542</v>
      </c>
      <c r="O319" s="30" t="s">
        <v>928</v>
      </c>
      <c r="P319" s="30" t="s">
        <v>190</v>
      </c>
      <c r="Q319" s="30" t="s">
        <v>270</v>
      </c>
      <c r="R319" s="35">
        <v>848</v>
      </c>
      <c r="S319" s="189" t="s">
        <v>531</v>
      </c>
      <c r="T319" s="327">
        <f t="shared" si="192"/>
        <v>198.75</v>
      </c>
      <c r="U319" s="327">
        <f t="shared" si="193"/>
        <v>216.41666666666666</v>
      </c>
      <c r="V319" s="327">
        <f t="shared" si="194"/>
        <v>216.41666666666669</v>
      </c>
      <c r="W319" s="327">
        <f t="shared" si="195"/>
        <v>216.41666666666669</v>
      </c>
      <c r="Y319" s="318"/>
      <c r="Z319" s="318"/>
    </row>
    <row r="320" spans="1:26" s="222" customFormat="1" ht="25.5" x14ac:dyDescent="0.2">
      <c r="A320" s="222">
        <v>211</v>
      </c>
      <c r="B320" s="20">
        <v>564882</v>
      </c>
      <c r="C320" s="189" t="s">
        <v>196</v>
      </c>
      <c r="D320" s="20" t="s">
        <v>487</v>
      </c>
      <c r="E320" s="59">
        <v>41463</v>
      </c>
      <c r="F320" s="59">
        <v>41983</v>
      </c>
      <c r="G320" s="20">
        <v>40</v>
      </c>
      <c r="H320" s="34"/>
      <c r="I320" s="34"/>
      <c r="J320" s="30"/>
      <c r="K320" s="33">
        <v>41659</v>
      </c>
      <c r="L320" s="33">
        <v>41983</v>
      </c>
      <c r="M320" s="334">
        <v>5</v>
      </c>
      <c r="N320" s="189" t="s">
        <v>542</v>
      </c>
      <c r="O320" s="30" t="s">
        <v>928</v>
      </c>
      <c r="P320" s="30" t="s">
        <v>190</v>
      </c>
      <c r="Q320" s="30" t="s">
        <v>649</v>
      </c>
      <c r="R320" s="35">
        <v>848</v>
      </c>
      <c r="S320" s="189" t="s">
        <v>752</v>
      </c>
      <c r="T320" s="327">
        <f t="shared" si="192"/>
        <v>198.75</v>
      </c>
      <c r="U320" s="327">
        <f t="shared" si="193"/>
        <v>216.41666666666666</v>
      </c>
      <c r="V320" s="327">
        <f t="shared" si="194"/>
        <v>216.41666666666669</v>
      </c>
      <c r="W320" s="327">
        <f t="shared" si="195"/>
        <v>216.41666666666669</v>
      </c>
      <c r="Y320" s="318"/>
      <c r="Z320" s="318"/>
    </row>
    <row r="321" spans="1:26" s="222" customFormat="1" ht="38.25" x14ac:dyDescent="0.2">
      <c r="A321" s="222">
        <v>212</v>
      </c>
      <c r="B321" s="20">
        <v>525333</v>
      </c>
      <c r="C321" s="189" t="s">
        <v>196</v>
      </c>
      <c r="D321" s="189" t="s">
        <v>487</v>
      </c>
      <c r="E321" s="59">
        <v>41463</v>
      </c>
      <c r="F321" s="59">
        <v>41983</v>
      </c>
      <c r="G321" s="20">
        <v>38</v>
      </c>
      <c r="H321" s="34"/>
      <c r="I321" s="34"/>
      <c r="J321" s="30"/>
      <c r="K321" s="33">
        <v>41659</v>
      </c>
      <c r="L321" s="33">
        <v>41983</v>
      </c>
      <c r="M321" s="334">
        <v>5</v>
      </c>
      <c r="N321" s="20" t="s">
        <v>541</v>
      </c>
      <c r="O321" s="30" t="s">
        <v>928</v>
      </c>
      <c r="P321" s="30" t="s">
        <v>190</v>
      </c>
      <c r="Q321" s="30" t="s">
        <v>250</v>
      </c>
      <c r="R321" s="35">
        <v>1696</v>
      </c>
      <c r="S321" s="20" t="s">
        <v>530</v>
      </c>
      <c r="T321" s="327">
        <f t="shared" si="192"/>
        <v>397.5</v>
      </c>
      <c r="U321" s="327">
        <f t="shared" si="193"/>
        <v>432.83333333333331</v>
      </c>
      <c r="V321" s="327">
        <f t="shared" si="194"/>
        <v>432.83333333333337</v>
      </c>
      <c r="W321" s="327">
        <f t="shared" si="195"/>
        <v>432.83333333333337</v>
      </c>
      <c r="Y321" s="318"/>
      <c r="Z321" s="318"/>
    </row>
    <row r="322" spans="1:26" s="222" customFormat="1" ht="51" x14ac:dyDescent="0.2">
      <c r="A322" s="222">
        <v>213</v>
      </c>
      <c r="B322" s="20">
        <v>607522</v>
      </c>
      <c r="C322" s="189" t="s">
        <v>476</v>
      </c>
      <c r="D322" s="20" t="s">
        <v>487</v>
      </c>
      <c r="E322" s="59">
        <v>41540</v>
      </c>
      <c r="F322" s="59">
        <v>42108</v>
      </c>
      <c r="G322" s="20">
        <v>25</v>
      </c>
      <c r="H322" s="34"/>
      <c r="I322" s="34"/>
      <c r="J322" s="30"/>
      <c r="K322" s="33">
        <v>41659</v>
      </c>
      <c r="L322" s="33">
        <v>41983</v>
      </c>
      <c r="M322" s="334">
        <v>5</v>
      </c>
      <c r="N322" s="189" t="s">
        <v>544</v>
      </c>
      <c r="O322" s="30" t="s">
        <v>547</v>
      </c>
      <c r="P322" s="30" t="s">
        <v>197</v>
      </c>
      <c r="Q322" s="30" t="s">
        <v>321</v>
      </c>
      <c r="R322" s="35">
        <v>157</v>
      </c>
      <c r="S322" s="189" t="s">
        <v>753</v>
      </c>
      <c r="T322" s="327">
        <f t="shared" si="192"/>
        <v>36.796875</v>
      </c>
      <c r="U322" s="327">
        <f t="shared" si="193"/>
        <v>40.067708333333336</v>
      </c>
      <c r="V322" s="327">
        <f t="shared" si="194"/>
        <v>40.067708333333329</v>
      </c>
      <c r="W322" s="327">
        <f t="shared" si="195"/>
        <v>40.067708333333329</v>
      </c>
      <c r="Y322" s="318"/>
      <c r="Z322" s="318"/>
    </row>
    <row r="323" spans="1:26" s="222" customFormat="1" ht="25.5" x14ac:dyDescent="0.2">
      <c r="A323" s="222">
        <v>214</v>
      </c>
      <c r="B323" s="20">
        <v>578816</v>
      </c>
      <c r="C323" s="189" t="s">
        <v>196</v>
      </c>
      <c r="D323" s="189" t="s">
        <v>487</v>
      </c>
      <c r="E323" s="59">
        <v>41540</v>
      </c>
      <c r="F323" s="59">
        <v>42108</v>
      </c>
      <c r="G323" s="20">
        <v>32</v>
      </c>
      <c r="H323" s="34"/>
      <c r="I323" s="34"/>
      <c r="J323" s="30"/>
      <c r="K323" s="33">
        <v>41659</v>
      </c>
      <c r="L323" s="33">
        <v>41983</v>
      </c>
      <c r="M323" s="334">
        <v>5</v>
      </c>
      <c r="N323" s="20" t="s">
        <v>541</v>
      </c>
      <c r="O323" s="30" t="s">
        <v>928</v>
      </c>
      <c r="P323" s="30" t="s">
        <v>190</v>
      </c>
      <c r="Q323" s="30" t="s">
        <v>270</v>
      </c>
      <c r="R323" s="35">
        <v>848</v>
      </c>
      <c r="S323" s="189" t="s">
        <v>754</v>
      </c>
      <c r="T323" s="327">
        <f t="shared" si="192"/>
        <v>198.75</v>
      </c>
      <c r="U323" s="327">
        <f t="shared" si="193"/>
        <v>216.41666666666666</v>
      </c>
      <c r="V323" s="327">
        <f t="shared" si="194"/>
        <v>216.41666666666669</v>
      </c>
      <c r="W323" s="327">
        <f t="shared" si="195"/>
        <v>216.41666666666669</v>
      </c>
      <c r="Y323" s="318"/>
      <c r="Z323" s="318"/>
    </row>
    <row r="324" spans="1:26" s="222" customFormat="1" ht="63.75" x14ac:dyDescent="0.2">
      <c r="A324" s="222">
        <v>215</v>
      </c>
      <c r="B324" s="189">
        <v>577893</v>
      </c>
      <c r="C324" s="49" t="s">
        <v>707</v>
      </c>
      <c r="D324" s="189" t="s">
        <v>487</v>
      </c>
      <c r="E324" s="59">
        <v>41540</v>
      </c>
      <c r="F324" s="322">
        <v>41734</v>
      </c>
      <c r="G324" s="20">
        <v>30</v>
      </c>
      <c r="H324" s="34"/>
      <c r="I324" s="34"/>
      <c r="J324" s="30"/>
      <c r="K324" s="33">
        <v>41659</v>
      </c>
      <c r="L324" s="33">
        <v>41734</v>
      </c>
      <c r="M324" s="334">
        <v>5</v>
      </c>
      <c r="N324" s="189" t="s">
        <v>543</v>
      </c>
      <c r="O324" s="30" t="s">
        <v>915</v>
      </c>
      <c r="P324" s="30" t="s">
        <v>197</v>
      </c>
      <c r="Q324" s="30" t="s">
        <v>927</v>
      </c>
      <c r="R324" s="35">
        <v>324</v>
      </c>
      <c r="S324" s="189" t="s">
        <v>755</v>
      </c>
      <c r="T324" s="327">
        <f t="shared" si="192"/>
        <v>324</v>
      </c>
      <c r="U324" s="327">
        <f t="shared" si="193"/>
        <v>0</v>
      </c>
      <c r="V324" s="327">
        <f t="shared" si="194"/>
        <v>0</v>
      </c>
      <c r="W324" s="327">
        <f t="shared" si="195"/>
        <v>0</v>
      </c>
      <c r="Y324" s="318"/>
      <c r="Z324" s="318"/>
    </row>
    <row r="325" spans="1:26" s="222" customFormat="1" ht="63.75" x14ac:dyDescent="0.2">
      <c r="A325" s="222">
        <v>216</v>
      </c>
      <c r="B325" s="189">
        <v>618427</v>
      </c>
      <c r="C325" s="20" t="s">
        <v>709</v>
      </c>
      <c r="D325" s="189" t="s">
        <v>487</v>
      </c>
      <c r="E325" s="59">
        <v>41540</v>
      </c>
      <c r="F325" s="322">
        <v>41734</v>
      </c>
      <c r="G325" s="20">
        <v>35</v>
      </c>
      <c r="H325" s="34"/>
      <c r="I325" s="34"/>
      <c r="J325" s="30"/>
      <c r="K325" s="33">
        <v>41659</v>
      </c>
      <c r="L325" s="33">
        <v>41734</v>
      </c>
      <c r="M325" s="334">
        <v>5</v>
      </c>
      <c r="N325" s="189" t="s">
        <v>543</v>
      </c>
      <c r="O325" s="30" t="s">
        <v>915</v>
      </c>
      <c r="P325" s="30" t="s">
        <v>197</v>
      </c>
      <c r="Q325" s="30" t="s">
        <v>868</v>
      </c>
      <c r="R325" s="35">
        <v>324</v>
      </c>
      <c r="S325" s="189" t="s">
        <v>756</v>
      </c>
      <c r="T325" s="327">
        <f t="shared" si="192"/>
        <v>324</v>
      </c>
      <c r="U325" s="327">
        <f t="shared" si="193"/>
        <v>0</v>
      </c>
      <c r="V325" s="327">
        <f t="shared" si="194"/>
        <v>0</v>
      </c>
      <c r="W325" s="327">
        <f t="shared" si="195"/>
        <v>0</v>
      </c>
      <c r="Y325" s="318"/>
      <c r="Z325" s="318"/>
    </row>
    <row r="326" spans="1:26" s="222" customFormat="1" ht="25.5" x14ac:dyDescent="0.2">
      <c r="A326" s="222">
        <v>217</v>
      </c>
      <c r="B326" s="20">
        <v>610540</v>
      </c>
      <c r="C326" s="189" t="s">
        <v>476</v>
      </c>
      <c r="D326" s="20" t="s">
        <v>487</v>
      </c>
      <c r="E326" s="59">
        <v>41548</v>
      </c>
      <c r="F326" s="59">
        <v>42108</v>
      </c>
      <c r="G326" s="20">
        <v>20</v>
      </c>
      <c r="H326" s="34"/>
      <c r="I326" s="34"/>
      <c r="J326" s="30"/>
      <c r="K326" s="33">
        <v>41659</v>
      </c>
      <c r="L326" s="33">
        <v>41983</v>
      </c>
      <c r="M326" s="334">
        <v>5</v>
      </c>
      <c r="N326" s="189" t="s">
        <v>541</v>
      </c>
      <c r="O326" s="30" t="s">
        <v>926</v>
      </c>
      <c r="P326" s="30" t="s">
        <v>197</v>
      </c>
      <c r="Q326" s="30" t="s">
        <v>321</v>
      </c>
      <c r="R326" s="35">
        <v>1026</v>
      </c>
      <c r="S326" s="20" t="s">
        <v>529</v>
      </c>
      <c r="T326" s="327">
        <f t="shared" si="192"/>
        <v>240.46875</v>
      </c>
      <c r="U326" s="327">
        <f t="shared" si="193"/>
        <v>261.84375</v>
      </c>
      <c r="V326" s="327">
        <f t="shared" si="194"/>
        <v>261.84375</v>
      </c>
      <c r="W326" s="327">
        <f t="shared" si="195"/>
        <v>261.84375</v>
      </c>
      <c r="Y326" s="318"/>
      <c r="Z326" s="318"/>
    </row>
    <row r="327" spans="1:26" s="222" customFormat="1" ht="25.5" x14ac:dyDescent="0.2">
      <c r="A327" s="222">
        <v>218</v>
      </c>
      <c r="B327" s="20">
        <v>610541</v>
      </c>
      <c r="C327" s="189" t="s">
        <v>476</v>
      </c>
      <c r="D327" s="20" t="s">
        <v>487</v>
      </c>
      <c r="E327" s="59">
        <v>41548</v>
      </c>
      <c r="F327" s="59">
        <v>42108</v>
      </c>
      <c r="G327" s="20">
        <v>24</v>
      </c>
      <c r="H327" s="34"/>
      <c r="I327" s="34"/>
      <c r="J327" s="30"/>
      <c r="K327" s="33">
        <v>41659</v>
      </c>
      <c r="L327" s="33">
        <v>41983</v>
      </c>
      <c r="M327" s="334">
        <v>5</v>
      </c>
      <c r="N327" s="189" t="s">
        <v>544</v>
      </c>
      <c r="O327" s="30" t="s">
        <v>926</v>
      </c>
      <c r="P327" s="30" t="s">
        <v>197</v>
      </c>
      <c r="Q327" s="30" t="s">
        <v>321</v>
      </c>
      <c r="R327" s="35">
        <v>513</v>
      </c>
      <c r="S327" s="20" t="s">
        <v>529</v>
      </c>
      <c r="T327" s="327">
        <f t="shared" si="192"/>
        <v>120.234375</v>
      </c>
      <c r="U327" s="327">
        <f t="shared" si="193"/>
        <v>130.921875</v>
      </c>
      <c r="V327" s="327">
        <f t="shared" si="194"/>
        <v>130.921875</v>
      </c>
      <c r="W327" s="327">
        <f t="shared" si="195"/>
        <v>130.921875</v>
      </c>
      <c r="Y327" s="318"/>
      <c r="Z327" s="318"/>
    </row>
    <row r="328" spans="1:26" s="222" customFormat="1" ht="51" x14ac:dyDescent="0.2">
      <c r="A328" s="222">
        <v>219</v>
      </c>
      <c r="B328" s="452">
        <v>580665</v>
      </c>
      <c r="C328" s="446" t="s">
        <v>476</v>
      </c>
      <c r="D328" s="20" t="s">
        <v>487</v>
      </c>
      <c r="E328" s="448">
        <v>41548</v>
      </c>
      <c r="F328" s="448">
        <v>42108</v>
      </c>
      <c r="G328" s="452">
        <v>30</v>
      </c>
      <c r="H328" s="34"/>
      <c r="I328" s="34"/>
      <c r="J328" s="30"/>
      <c r="K328" s="33">
        <v>41659</v>
      </c>
      <c r="L328" s="33">
        <v>41983</v>
      </c>
      <c r="M328" s="335">
        <v>2</v>
      </c>
      <c r="N328" s="189" t="s">
        <v>782</v>
      </c>
      <c r="O328" s="30" t="s">
        <v>598</v>
      </c>
      <c r="P328" s="30" t="s">
        <v>190</v>
      </c>
      <c r="Q328" s="30" t="s">
        <v>925</v>
      </c>
      <c r="R328" s="35">
        <v>704</v>
      </c>
      <c r="S328" s="189" t="s">
        <v>757</v>
      </c>
      <c r="T328" s="327">
        <f t="shared" ref="T328" si="196">IF(K328=$T$3,$T$5*R328/DAYS360(K328,L328),0)</f>
        <v>165</v>
      </c>
      <c r="U328" s="327">
        <f t="shared" ref="U328" si="197">IF(K328=$U$3,$U$5*R328/DAYS360(K328,L328),0)+IF(K328=$T$3,IF(L328=$U$4,R328-T328,0),0)+IF(K328=$T$3,IF(L328=$V$4,(R328-T328)/2,0),0)+IF(K328=$T$3,IF(L328=$W$4,(R328-T328)/3,0),0)</f>
        <v>179.66666666666666</v>
      </c>
      <c r="V328" s="327">
        <f t="shared" ref="V328" si="198">IF(K328=$V$3,$V$5*R328/DAYS360(K328,L328),0)+IF(K328=$T$3,IF(L328=$V$4,R328-T328-U328,0),0)+IF(K328=$T$3,IF(L328=$W$4,(R328-T328-U328)/2,0),0)+IF(K328=$U$3,IF(L328=$V$4,R328-U328,0),0)+IF(K328=$U$3,IF(L328=$W$4,(R328-U328)/2,0),0)</f>
        <v>179.66666666666669</v>
      </c>
      <c r="W328" s="327">
        <f t="shared" ref="W328" si="199">IF(K328=$W$3,$W$5*R328/DAYS360(K328,L328),0)+IF(K328=$T$3,IF(L328=$W$4,R328-T328-U328-V328,0),0)+IF(K328=$U$3,IF(L328=$W$4,R328-U328-V328,0),0)+IF(K328=$V$3,IF(L328=$W$4,R328-V328,0),0)</f>
        <v>179.66666666666669</v>
      </c>
      <c r="Y328" s="318"/>
      <c r="Z328" s="318"/>
    </row>
    <row r="329" spans="1:26" s="222" customFormat="1" ht="51" x14ac:dyDescent="0.2">
      <c r="A329" s="222">
        <v>219</v>
      </c>
      <c r="B329" s="453"/>
      <c r="C329" s="447"/>
      <c r="D329" s="20" t="s">
        <v>487</v>
      </c>
      <c r="E329" s="449"/>
      <c r="F329" s="449"/>
      <c r="G329" s="453"/>
      <c r="H329" s="34"/>
      <c r="I329" s="34"/>
      <c r="J329" s="30"/>
      <c r="K329" s="33">
        <v>41659</v>
      </c>
      <c r="L329" s="33">
        <v>41983</v>
      </c>
      <c r="M329" s="334">
        <v>1</v>
      </c>
      <c r="N329" s="189" t="s">
        <v>782</v>
      </c>
      <c r="O329" s="30" t="s">
        <v>598</v>
      </c>
      <c r="P329" s="30" t="s">
        <v>190</v>
      </c>
      <c r="Q329" s="30" t="s">
        <v>923</v>
      </c>
      <c r="R329" s="35">
        <v>360</v>
      </c>
      <c r="S329" s="189" t="s">
        <v>757</v>
      </c>
      <c r="T329" s="327">
        <f t="shared" si="192"/>
        <v>84.375</v>
      </c>
      <c r="U329" s="327">
        <f t="shared" si="193"/>
        <v>91.875</v>
      </c>
      <c r="V329" s="327">
        <f t="shared" si="194"/>
        <v>91.875</v>
      </c>
      <c r="W329" s="327">
        <f t="shared" si="195"/>
        <v>91.875</v>
      </c>
      <c r="Y329" s="318"/>
      <c r="Z329" s="318"/>
    </row>
    <row r="330" spans="1:26" s="222" customFormat="1" ht="51" x14ac:dyDescent="0.2">
      <c r="A330" s="222">
        <v>220</v>
      </c>
      <c r="B330" s="452">
        <v>580486</v>
      </c>
      <c r="C330" s="446" t="s">
        <v>476</v>
      </c>
      <c r="D330" s="20" t="s">
        <v>487</v>
      </c>
      <c r="E330" s="448">
        <v>41548</v>
      </c>
      <c r="F330" s="448">
        <v>42108</v>
      </c>
      <c r="G330" s="452">
        <v>30</v>
      </c>
      <c r="H330" s="34"/>
      <c r="I330" s="34"/>
      <c r="J330" s="30"/>
      <c r="K330" s="33">
        <v>41659</v>
      </c>
      <c r="L330" s="33">
        <v>41983</v>
      </c>
      <c r="M330" s="335">
        <v>2</v>
      </c>
      <c r="N330" s="189" t="s">
        <v>782</v>
      </c>
      <c r="O330" s="30" t="s">
        <v>599</v>
      </c>
      <c r="P330" s="30" t="s">
        <v>190</v>
      </c>
      <c r="Q330" s="30" t="s">
        <v>923</v>
      </c>
      <c r="R330" s="35">
        <v>360</v>
      </c>
      <c r="S330" s="189" t="s">
        <v>757</v>
      </c>
      <c r="T330" s="327">
        <f t="shared" ref="T330" si="200">IF(K330=$T$3,$T$5*R330/DAYS360(K330,L330),0)</f>
        <v>84.375</v>
      </c>
      <c r="U330" s="327">
        <f t="shared" ref="U330" si="201">IF(K330=$U$3,$U$5*R330/DAYS360(K330,L330),0)+IF(K330=$T$3,IF(L330=$U$4,R330-T330,0),0)+IF(K330=$T$3,IF(L330=$V$4,(R330-T330)/2,0),0)+IF(K330=$T$3,IF(L330=$W$4,(R330-T330)/3,0),0)</f>
        <v>91.875</v>
      </c>
      <c r="V330" s="327">
        <f t="shared" ref="V330" si="202">IF(K330=$V$3,$V$5*R330/DAYS360(K330,L330),0)+IF(K330=$T$3,IF(L330=$V$4,R330-T330-U330,0),0)+IF(K330=$T$3,IF(L330=$W$4,(R330-T330-U330)/2,0),0)+IF(K330=$U$3,IF(L330=$V$4,R330-U330,0),0)+IF(K330=$U$3,IF(L330=$W$4,(R330-U330)/2,0),0)</f>
        <v>91.875</v>
      </c>
      <c r="W330" s="327">
        <f t="shared" ref="W330" si="203">IF(K330=$W$3,$W$5*R330/DAYS360(K330,L330),0)+IF(K330=$T$3,IF(L330=$W$4,R330-T330-U330-V330,0),0)+IF(K330=$U$3,IF(L330=$W$4,R330-U330-V330,0),0)+IF(K330=$V$3,IF(L330=$W$4,R330-V330,0),0)</f>
        <v>91.875</v>
      </c>
      <c r="Y330" s="318"/>
      <c r="Z330" s="318"/>
    </row>
    <row r="331" spans="1:26" s="222" customFormat="1" ht="51" x14ac:dyDescent="0.2">
      <c r="A331" s="222">
        <v>220</v>
      </c>
      <c r="B331" s="453"/>
      <c r="C331" s="447"/>
      <c r="D331" s="20" t="s">
        <v>487</v>
      </c>
      <c r="E331" s="449"/>
      <c r="F331" s="449"/>
      <c r="G331" s="453"/>
      <c r="H331" s="34"/>
      <c r="I331" s="34"/>
      <c r="J331" s="30"/>
      <c r="K331" s="33">
        <v>41659</v>
      </c>
      <c r="L331" s="33">
        <v>41983</v>
      </c>
      <c r="M331" s="334">
        <v>1</v>
      </c>
      <c r="N331" s="189" t="s">
        <v>782</v>
      </c>
      <c r="O331" s="30" t="s">
        <v>599</v>
      </c>
      <c r="P331" s="30" t="s">
        <v>190</v>
      </c>
      <c r="Q331" s="30" t="s">
        <v>924</v>
      </c>
      <c r="R331" s="35">
        <v>704</v>
      </c>
      <c r="S331" s="189" t="s">
        <v>757</v>
      </c>
      <c r="T331" s="327">
        <f t="shared" si="192"/>
        <v>165</v>
      </c>
      <c r="U331" s="327">
        <f t="shared" si="193"/>
        <v>179.66666666666666</v>
      </c>
      <c r="V331" s="327">
        <f t="shared" si="194"/>
        <v>179.66666666666669</v>
      </c>
      <c r="W331" s="327">
        <f t="shared" si="195"/>
        <v>179.66666666666669</v>
      </c>
      <c r="Y331" s="318"/>
      <c r="Z331" s="318"/>
    </row>
    <row r="332" spans="1:26" s="222" customFormat="1" ht="51" x14ac:dyDescent="0.2">
      <c r="A332" s="222">
        <v>221</v>
      </c>
      <c r="B332" s="20">
        <v>580370</v>
      </c>
      <c r="C332" s="189" t="s">
        <v>196</v>
      </c>
      <c r="D332" s="20" t="s">
        <v>487</v>
      </c>
      <c r="E332" s="59">
        <v>41548</v>
      </c>
      <c r="F332" s="59">
        <v>42108</v>
      </c>
      <c r="G332" s="20">
        <v>30</v>
      </c>
      <c r="H332" s="34"/>
      <c r="I332" s="34"/>
      <c r="J332" s="30"/>
      <c r="K332" s="33">
        <v>41659</v>
      </c>
      <c r="L332" s="33">
        <v>41983</v>
      </c>
      <c r="M332" s="334">
        <v>5</v>
      </c>
      <c r="N332" s="323" t="s">
        <v>541</v>
      </c>
      <c r="O332" s="30" t="s">
        <v>928</v>
      </c>
      <c r="P332" s="30" t="s">
        <v>190</v>
      </c>
      <c r="Q332" s="30" t="s">
        <v>932</v>
      </c>
      <c r="R332" s="35">
        <v>1696</v>
      </c>
      <c r="S332" s="189" t="s">
        <v>758</v>
      </c>
      <c r="T332" s="327">
        <f t="shared" si="192"/>
        <v>397.5</v>
      </c>
      <c r="U332" s="327">
        <f t="shared" si="193"/>
        <v>432.83333333333331</v>
      </c>
      <c r="V332" s="327">
        <f t="shared" si="194"/>
        <v>432.83333333333337</v>
      </c>
      <c r="W332" s="327">
        <f t="shared" si="195"/>
        <v>432.83333333333337</v>
      </c>
      <c r="Y332" s="318"/>
      <c r="Z332" s="318"/>
    </row>
    <row r="333" spans="1:26" s="222" customFormat="1" ht="51" x14ac:dyDescent="0.2">
      <c r="A333" s="222">
        <v>222</v>
      </c>
      <c r="B333" s="20">
        <v>610553</v>
      </c>
      <c r="C333" s="189" t="s">
        <v>196</v>
      </c>
      <c r="D333" s="20" t="s">
        <v>487</v>
      </c>
      <c r="E333" s="59">
        <v>41548</v>
      </c>
      <c r="F333" s="59">
        <v>42108</v>
      </c>
      <c r="G333" s="20">
        <v>40</v>
      </c>
      <c r="H333" s="34"/>
      <c r="I333" s="34"/>
      <c r="J333" s="30"/>
      <c r="K333" s="33">
        <v>41659</v>
      </c>
      <c r="L333" s="33">
        <v>41983</v>
      </c>
      <c r="M333" s="334">
        <v>5</v>
      </c>
      <c r="N333" s="323" t="s">
        <v>544</v>
      </c>
      <c r="O333" s="30" t="s">
        <v>928</v>
      </c>
      <c r="P333" s="30" t="s">
        <v>190</v>
      </c>
      <c r="Q333" s="30" t="s">
        <v>933</v>
      </c>
      <c r="R333" s="35">
        <v>1696</v>
      </c>
      <c r="S333" s="189" t="s">
        <v>758</v>
      </c>
      <c r="T333" s="327">
        <f t="shared" si="192"/>
        <v>397.5</v>
      </c>
      <c r="U333" s="327">
        <f t="shared" si="193"/>
        <v>432.83333333333331</v>
      </c>
      <c r="V333" s="327">
        <f t="shared" si="194"/>
        <v>432.83333333333337</v>
      </c>
      <c r="W333" s="327">
        <f t="shared" si="195"/>
        <v>432.83333333333337</v>
      </c>
      <c r="Y333" s="318"/>
      <c r="Z333" s="318"/>
    </row>
    <row r="334" spans="1:26" s="222" customFormat="1" ht="51" x14ac:dyDescent="0.2">
      <c r="A334" s="222">
        <v>223</v>
      </c>
      <c r="B334" s="20">
        <v>580371</v>
      </c>
      <c r="C334" s="189" t="s">
        <v>196</v>
      </c>
      <c r="D334" s="20" t="s">
        <v>487</v>
      </c>
      <c r="E334" s="59">
        <v>41548</v>
      </c>
      <c r="F334" s="59">
        <v>42108</v>
      </c>
      <c r="G334" s="20">
        <v>30</v>
      </c>
      <c r="H334" s="34"/>
      <c r="I334" s="34"/>
      <c r="J334" s="30"/>
      <c r="K334" s="33">
        <v>41659</v>
      </c>
      <c r="L334" s="33">
        <v>41983</v>
      </c>
      <c r="M334" s="334">
        <v>5</v>
      </c>
      <c r="N334" s="323" t="s">
        <v>540</v>
      </c>
      <c r="O334" s="30" t="s">
        <v>928</v>
      </c>
      <c r="P334" s="30" t="s">
        <v>190</v>
      </c>
      <c r="Q334" s="30" t="s">
        <v>934</v>
      </c>
      <c r="R334" s="35">
        <v>1696</v>
      </c>
      <c r="S334" s="189" t="s">
        <v>759</v>
      </c>
      <c r="T334" s="327">
        <f t="shared" si="192"/>
        <v>397.5</v>
      </c>
      <c r="U334" s="327">
        <f t="shared" si="193"/>
        <v>432.83333333333331</v>
      </c>
      <c r="V334" s="327">
        <f t="shared" si="194"/>
        <v>432.83333333333337</v>
      </c>
      <c r="W334" s="327">
        <f t="shared" si="195"/>
        <v>432.83333333333337</v>
      </c>
      <c r="Y334" s="318"/>
      <c r="Z334" s="318"/>
    </row>
    <row r="335" spans="1:26" s="222" customFormat="1" ht="51" x14ac:dyDescent="0.2">
      <c r="A335" s="222">
        <v>224</v>
      </c>
      <c r="B335" s="20">
        <v>580366</v>
      </c>
      <c r="C335" s="189" t="s">
        <v>196</v>
      </c>
      <c r="D335" s="20" t="s">
        <v>487</v>
      </c>
      <c r="E335" s="59">
        <v>41548</v>
      </c>
      <c r="F335" s="59">
        <v>42108</v>
      </c>
      <c r="G335" s="20">
        <v>30</v>
      </c>
      <c r="H335" s="34"/>
      <c r="I335" s="34"/>
      <c r="J335" s="30"/>
      <c r="K335" s="33">
        <v>41659</v>
      </c>
      <c r="L335" s="33">
        <v>41983</v>
      </c>
      <c r="M335" s="334">
        <v>5</v>
      </c>
      <c r="N335" s="189" t="s">
        <v>782</v>
      </c>
      <c r="O335" s="30" t="s">
        <v>928</v>
      </c>
      <c r="P335" s="30" t="s">
        <v>190</v>
      </c>
      <c r="Q335" s="30" t="s">
        <v>935</v>
      </c>
      <c r="R335" s="35">
        <v>1696</v>
      </c>
      <c r="S335" s="189" t="s">
        <v>759</v>
      </c>
      <c r="T335" s="327">
        <f t="shared" si="192"/>
        <v>397.5</v>
      </c>
      <c r="U335" s="327">
        <f t="shared" si="193"/>
        <v>432.83333333333331</v>
      </c>
      <c r="V335" s="327">
        <f t="shared" si="194"/>
        <v>432.83333333333337</v>
      </c>
      <c r="W335" s="327">
        <f t="shared" si="195"/>
        <v>432.83333333333337</v>
      </c>
      <c r="Y335" s="318"/>
      <c r="Z335" s="318"/>
    </row>
    <row r="336" spans="1:26" s="222" customFormat="1" ht="38.25" x14ac:dyDescent="0.2">
      <c r="A336" s="222">
        <v>225</v>
      </c>
      <c r="B336" s="48" t="s">
        <v>450</v>
      </c>
      <c r="C336" s="189" t="s">
        <v>196</v>
      </c>
      <c r="D336" s="20" t="s">
        <v>487</v>
      </c>
      <c r="E336" s="59">
        <v>41659</v>
      </c>
      <c r="F336" s="59">
        <v>42548</v>
      </c>
      <c r="G336" s="20">
        <v>40</v>
      </c>
      <c r="H336" s="34"/>
      <c r="I336" s="34"/>
      <c r="J336" s="30"/>
      <c r="K336" s="33">
        <v>41659</v>
      </c>
      <c r="L336" s="33">
        <v>41983</v>
      </c>
      <c r="M336" s="334">
        <v>5</v>
      </c>
      <c r="N336" s="189" t="s">
        <v>542</v>
      </c>
      <c r="O336" s="30" t="s">
        <v>928</v>
      </c>
      <c r="P336" s="30" t="s">
        <v>190</v>
      </c>
      <c r="Q336" s="30" t="s">
        <v>291</v>
      </c>
      <c r="R336" s="35">
        <v>848</v>
      </c>
      <c r="S336" s="189" t="s">
        <v>531</v>
      </c>
      <c r="T336" s="327">
        <f t="shared" si="192"/>
        <v>198.75</v>
      </c>
      <c r="U336" s="327">
        <f t="shared" si="193"/>
        <v>216.41666666666666</v>
      </c>
      <c r="V336" s="327">
        <f t="shared" si="194"/>
        <v>216.41666666666669</v>
      </c>
      <c r="W336" s="327">
        <f t="shared" si="195"/>
        <v>216.41666666666669</v>
      </c>
      <c r="Y336" s="318"/>
      <c r="Z336" s="318"/>
    </row>
    <row r="337" spans="1:26" s="222" customFormat="1" ht="25.5" x14ac:dyDescent="0.2">
      <c r="A337" s="222">
        <v>226</v>
      </c>
      <c r="B337" s="48" t="s">
        <v>450</v>
      </c>
      <c r="C337" s="189" t="s">
        <v>481</v>
      </c>
      <c r="D337" s="189" t="s">
        <v>487</v>
      </c>
      <c r="E337" s="59">
        <v>41659</v>
      </c>
      <c r="F337" s="59">
        <v>41811</v>
      </c>
      <c r="G337" s="20">
        <v>21</v>
      </c>
      <c r="H337" s="34"/>
      <c r="I337" s="34"/>
      <c r="J337" s="30"/>
      <c r="K337" s="33">
        <v>41659</v>
      </c>
      <c r="L337" s="33">
        <v>41811</v>
      </c>
      <c r="M337" s="335">
        <v>5</v>
      </c>
      <c r="N337" s="20" t="s">
        <v>541</v>
      </c>
      <c r="O337" s="30" t="s">
        <v>571</v>
      </c>
      <c r="P337" s="30" t="s">
        <v>190</v>
      </c>
      <c r="Q337" s="30" t="s">
        <v>614</v>
      </c>
      <c r="R337" s="35">
        <v>630</v>
      </c>
      <c r="S337" s="20" t="s">
        <v>537</v>
      </c>
      <c r="T337" s="327">
        <f t="shared" si="192"/>
        <v>312.91390728476819</v>
      </c>
      <c r="U337" s="327">
        <f t="shared" si="193"/>
        <v>317.08609271523181</v>
      </c>
      <c r="V337" s="327">
        <f t="shared" si="194"/>
        <v>0</v>
      </c>
      <c r="W337" s="327">
        <f t="shared" si="195"/>
        <v>0</v>
      </c>
      <c r="Y337" s="318"/>
      <c r="Z337" s="318"/>
    </row>
    <row r="338" spans="1:26" s="222" customFormat="1" ht="51" x14ac:dyDescent="0.2">
      <c r="A338" s="222">
        <v>227</v>
      </c>
      <c r="B338" s="48" t="s">
        <v>450</v>
      </c>
      <c r="C338" s="189" t="s">
        <v>710</v>
      </c>
      <c r="D338" s="189" t="s">
        <v>487</v>
      </c>
      <c r="E338" s="59">
        <v>41659</v>
      </c>
      <c r="F338" s="59">
        <v>41811</v>
      </c>
      <c r="G338" s="20">
        <v>25</v>
      </c>
      <c r="H338" s="34"/>
      <c r="I338" s="34"/>
      <c r="J338" s="30"/>
      <c r="K338" s="33">
        <v>41659</v>
      </c>
      <c r="L338" s="33">
        <v>41811</v>
      </c>
      <c r="M338" s="334">
        <v>5</v>
      </c>
      <c r="N338" s="20" t="s">
        <v>545</v>
      </c>
      <c r="O338" s="30" t="s">
        <v>815</v>
      </c>
      <c r="P338" s="30" t="s">
        <v>190</v>
      </c>
      <c r="Q338" s="30" t="s">
        <v>922</v>
      </c>
      <c r="R338" s="35">
        <v>420</v>
      </c>
      <c r="S338" s="189" t="s">
        <v>922</v>
      </c>
      <c r="T338" s="327">
        <f t="shared" si="192"/>
        <v>208.60927152317882</v>
      </c>
      <c r="U338" s="327">
        <f t="shared" si="193"/>
        <v>211.39072847682118</v>
      </c>
      <c r="V338" s="327">
        <f t="shared" si="194"/>
        <v>0</v>
      </c>
      <c r="W338" s="327">
        <f t="shared" si="195"/>
        <v>0</v>
      </c>
      <c r="Y338" s="318"/>
      <c r="Z338" s="318"/>
    </row>
    <row r="339" spans="1:26" s="222" customFormat="1" ht="25.5" x14ac:dyDescent="0.2">
      <c r="A339" s="222">
        <v>228</v>
      </c>
      <c r="B339" s="48" t="s">
        <v>450</v>
      </c>
      <c r="C339" s="20" t="s">
        <v>196</v>
      </c>
      <c r="D339" s="20" t="s">
        <v>487</v>
      </c>
      <c r="E339" s="59">
        <v>41736</v>
      </c>
      <c r="F339" s="59">
        <v>42269</v>
      </c>
      <c r="G339" s="20">
        <v>33</v>
      </c>
      <c r="H339" s="34"/>
      <c r="I339" s="34"/>
      <c r="J339" s="30"/>
      <c r="K339" s="33">
        <v>41736</v>
      </c>
      <c r="L339" s="33">
        <v>41983</v>
      </c>
      <c r="M339" s="334">
        <v>5</v>
      </c>
      <c r="N339" s="20" t="s">
        <v>538</v>
      </c>
      <c r="O339" s="30" t="s">
        <v>928</v>
      </c>
      <c r="P339" s="30" t="s">
        <v>190</v>
      </c>
      <c r="Q339" s="30" t="s">
        <v>648</v>
      </c>
      <c r="R339" s="35">
        <v>848</v>
      </c>
      <c r="S339" s="20" t="s">
        <v>528</v>
      </c>
      <c r="T339" s="327">
        <f t="shared" si="192"/>
        <v>0</v>
      </c>
      <c r="U339" s="327">
        <f t="shared" si="193"/>
        <v>258.23868312757202</v>
      </c>
      <c r="V339" s="327">
        <f t="shared" si="194"/>
        <v>294.88065843621399</v>
      </c>
      <c r="W339" s="327">
        <f t="shared" si="195"/>
        <v>294.88065843621399</v>
      </c>
      <c r="Y339" s="318"/>
      <c r="Z339" s="318"/>
    </row>
    <row r="340" spans="1:26" s="222" customFormat="1" ht="25.5" x14ac:dyDescent="0.2">
      <c r="A340" s="222">
        <v>229</v>
      </c>
      <c r="B340" s="454" t="s">
        <v>450</v>
      </c>
      <c r="C340" s="456" t="s">
        <v>707</v>
      </c>
      <c r="D340" s="189" t="s">
        <v>487</v>
      </c>
      <c r="E340" s="448">
        <v>41736</v>
      </c>
      <c r="F340" s="448">
        <v>41902</v>
      </c>
      <c r="G340" s="452">
        <v>35</v>
      </c>
      <c r="H340" s="34"/>
      <c r="I340" s="34"/>
      <c r="J340" s="30"/>
      <c r="K340" s="33">
        <v>41736</v>
      </c>
      <c r="L340" s="33">
        <v>41902</v>
      </c>
      <c r="M340" s="335">
        <v>3</v>
      </c>
      <c r="N340" s="189" t="s">
        <v>543</v>
      </c>
      <c r="O340" s="30" t="s">
        <v>915</v>
      </c>
      <c r="P340" s="30" t="s">
        <v>197</v>
      </c>
      <c r="Q340" s="30" t="s">
        <v>868</v>
      </c>
      <c r="R340" s="35">
        <v>384</v>
      </c>
      <c r="S340" s="189" t="s">
        <v>760</v>
      </c>
      <c r="T340" s="327">
        <f t="shared" ref="T340" si="204">IF(K340=$T$3,$T$5*R340/DAYS360(K340,L340),0)</f>
        <v>0</v>
      </c>
      <c r="U340" s="327">
        <f t="shared" ref="U340" si="205">IF(K340=$U$3,$U$5*R340/DAYS360(K340,L340),0)+IF(K340=$T$3,IF(L340=$U$4,R340-T340,0),0)+IF(K340=$T$3,IF(L340=$V$4,(R340-T340)/2,0),0)+IF(K340=$T$3,IF(L340=$W$4,(R340-T340)/3,0),0)</f>
        <v>174.33128834355827</v>
      </c>
      <c r="V340" s="327">
        <f t="shared" ref="V340" si="206">IF(K340=$V$3,$V$5*R340/DAYS360(K340,L340),0)+IF(K340=$T$3,IF(L340=$V$4,R340-T340-U340,0),0)+IF(K340=$T$3,IF(L340=$W$4,(R340-T340-U340)/2,0),0)+IF(K340=$U$3,IF(L340=$V$4,R340-U340,0),0)+IF(K340=$U$3,IF(L340=$W$4,(R340-U340)/2,0),0)</f>
        <v>209.66871165644173</v>
      </c>
      <c r="W340" s="327">
        <f t="shared" ref="W340" si="207">IF(K340=$W$3,$W$5*R340/DAYS360(K340,L340),0)+IF(K340=$T$3,IF(L340=$W$4,R340-T340-U340-V340,0),0)+IF(K340=$U$3,IF(L340=$W$4,R340-U340-V340,0),0)+IF(K340=$V$3,IF(L340=$W$4,R340-V340,0),0)</f>
        <v>0</v>
      </c>
      <c r="Y340" s="318"/>
      <c r="Z340" s="318"/>
    </row>
    <row r="341" spans="1:26" s="222" customFormat="1" ht="25.5" x14ac:dyDescent="0.2">
      <c r="A341" s="222">
        <v>229</v>
      </c>
      <c r="B341" s="455"/>
      <c r="C341" s="457"/>
      <c r="D341" s="189" t="s">
        <v>487</v>
      </c>
      <c r="E341" s="449"/>
      <c r="F341" s="449"/>
      <c r="G341" s="453"/>
      <c r="H341" s="34"/>
      <c r="I341" s="34"/>
      <c r="J341" s="30"/>
      <c r="K341" s="33">
        <v>41736</v>
      </c>
      <c r="L341" s="33">
        <v>41902</v>
      </c>
      <c r="M341" s="334">
        <v>3</v>
      </c>
      <c r="N341" s="189" t="s">
        <v>543</v>
      </c>
      <c r="O341" s="30" t="s">
        <v>915</v>
      </c>
      <c r="P341" s="30" t="s">
        <v>197</v>
      </c>
      <c r="Q341" s="30" t="s">
        <v>927</v>
      </c>
      <c r="R341" s="35">
        <v>372</v>
      </c>
      <c r="S341" s="189" t="s">
        <v>760</v>
      </c>
      <c r="T341" s="327">
        <f t="shared" si="192"/>
        <v>0</v>
      </c>
      <c r="U341" s="327">
        <f t="shared" si="193"/>
        <v>168.88343558282207</v>
      </c>
      <c r="V341" s="327">
        <f t="shared" si="194"/>
        <v>203.11656441717793</v>
      </c>
      <c r="W341" s="327">
        <f t="shared" si="195"/>
        <v>0</v>
      </c>
      <c r="Y341" s="318"/>
      <c r="Z341" s="318"/>
    </row>
    <row r="342" spans="1:26" s="222" customFormat="1" ht="38.25" x14ac:dyDescent="0.2">
      <c r="A342" s="222">
        <v>230</v>
      </c>
      <c r="B342" s="48" t="s">
        <v>450</v>
      </c>
      <c r="C342" s="20" t="s">
        <v>709</v>
      </c>
      <c r="D342" s="189" t="s">
        <v>487</v>
      </c>
      <c r="E342" s="59">
        <v>41540</v>
      </c>
      <c r="F342" s="322">
        <v>41734</v>
      </c>
      <c r="G342" s="20">
        <v>35</v>
      </c>
      <c r="H342" s="34"/>
      <c r="I342" s="34"/>
      <c r="J342" s="30"/>
      <c r="K342" s="33">
        <v>41659</v>
      </c>
      <c r="L342" s="33">
        <v>41734</v>
      </c>
      <c r="M342" s="334">
        <v>5</v>
      </c>
      <c r="N342" s="189" t="s">
        <v>544</v>
      </c>
      <c r="O342" s="30" t="s">
        <v>915</v>
      </c>
      <c r="P342" s="30" t="s">
        <v>197</v>
      </c>
      <c r="Q342" s="30" t="s">
        <v>868</v>
      </c>
      <c r="R342" s="35">
        <v>324</v>
      </c>
      <c r="S342" s="189" t="s">
        <v>761</v>
      </c>
      <c r="T342" s="327">
        <f t="shared" si="192"/>
        <v>324</v>
      </c>
      <c r="U342" s="327">
        <f t="shared" si="193"/>
        <v>0</v>
      </c>
      <c r="V342" s="327">
        <f t="shared" si="194"/>
        <v>0</v>
      </c>
      <c r="W342" s="327">
        <f t="shared" si="195"/>
        <v>0</v>
      </c>
      <c r="Y342" s="318"/>
      <c r="Z342" s="318"/>
    </row>
    <row r="343" spans="1:26" s="222" customFormat="1" ht="38.25" x14ac:dyDescent="0.2">
      <c r="A343" s="222">
        <v>231</v>
      </c>
      <c r="B343" s="48" t="s">
        <v>450</v>
      </c>
      <c r="C343" s="189" t="s">
        <v>196</v>
      </c>
      <c r="D343" s="189" t="s">
        <v>487</v>
      </c>
      <c r="E343" s="59">
        <v>41827</v>
      </c>
      <c r="F343" s="59">
        <v>42348</v>
      </c>
      <c r="G343" s="20">
        <v>33</v>
      </c>
      <c r="H343" s="34"/>
      <c r="I343" s="34"/>
      <c r="J343" s="30"/>
      <c r="K343" s="33">
        <v>41827</v>
      </c>
      <c r="L343" s="33">
        <v>41983</v>
      </c>
      <c r="M343" s="334">
        <v>5</v>
      </c>
      <c r="N343" s="20" t="s">
        <v>541</v>
      </c>
      <c r="O343" s="30" t="s">
        <v>928</v>
      </c>
      <c r="P343" s="30" t="s">
        <v>190</v>
      </c>
      <c r="Q343" s="30"/>
      <c r="R343" s="35"/>
      <c r="S343" s="20" t="s">
        <v>530</v>
      </c>
      <c r="T343" s="327">
        <f t="shared" si="192"/>
        <v>0</v>
      </c>
      <c r="U343" s="327">
        <f t="shared" si="193"/>
        <v>0</v>
      </c>
      <c r="V343" s="327">
        <f t="shared" si="194"/>
        <v>0</v>
      </c>
      <c r="W343" s="327">
        <f t="shared" si="195"/>
        <v>0</v>
      </c>
      <c r="Y343" s="318"/>
      <c r="Z343" s="318"/>
    </row>
    <row r="344" spans="1:26" s="222" customFormat="1" ht="25.5" x14ac:dyDescent="0.2">
      <c r="A344" s="222">
        <v>232</v>
      </c>
      <c r="B344" s="214" t="s">
        <v>450</v>
      </c>
      <c r="C344" s="189" t="s">
        <v>481</v>
      </c>
      <c r="D344" s="189" t="s">
        <v>487</v>
      </c>
      <c r="E344" s="59">
        <v>41827</v>
      </c>
      <c r="F344" s="59">
        <v>41983</v>
      </c>
      <c r="G344" s="20">
        <v>21</v>
      </c>
      <c r="H344" s="34"/>
      <c r="I344" s="34"/>
      <c r="J344" s="30"/>
      <c r="K344" s="33">
        <v>41827</v>
      </c>
      <c r="L344" s="33">
        <v>41983</v>
      </c>
      <c r="M344" s="334">
        <v>5</v>
      </c>
      <c r="N344" s="20" t="s">
        <v>541</v>
      </c>
      <c r="O344" s="30" t="s">
        <v>571</v>
      </c>
      <c r="P344" s="30" t="s">
        <v>190</v>
      </c>
      <c r="Q344" s="30" t="s">
        <v>299</v>
      </c>
      <c r="R344" s="35">
        <v>642</v>
      </c>
      <c r="S344" s="20" t="s">
        <v>537</v>
      </c>
      <c r="T344" s="327">
        <f t="shared" si="192"/>
        <v>0</v>
      </c>
      <c r="U344" s="327">
        <f t="shared" si="193"/>
        <v>0</v>
      </c>
      <c r="V344" s="327">
        <f t="shared" si="194"/>
        <v>306.31372549019608</v>
      </c>
      <c r="W344" s="327">
        <f t="shared" si="195"/>
        <v>335.68627450980392</v>
      </c>
      <c r="Y344" s="318"/>
      <c r="Z344" s="318"/>
    </row>
    <row r="345" spans="1:26" s="222" customFormat="1" ht="25.5" x14ac:dyDescent="0.2">
      <c r="A345" s="222">
        <v>233</v>
      </c>
      <c r="B345" s="20">
        <v>569064</v>
      </c>
      <c r="C345" s="189" t="s">
        <v>711</v>
      </c>
      <c r="D345" s="20" t="s">
        <v>488</v>
      </c>
      <c r="E345" s="59">
        <v>41463</v>
      </c>
      <c r="F345" s="322">
        <v>41734</v>
      </c>
      <c r="G345" s="319">
        <v>13</v>
      </c>
      <c r="H345" s="34"/>
      <c r="I345" s="34"/>
      <c r="J345" s="30"/>
      <c r="K345" s="33">
        <v>41659</v>
      </c>
      <c r="L345" s="33">
        <v>41734</v>
      </c>
      <c r="M345" s="334">
        <v>5</v>
      </c>
      <c r="N345" s="20" t="s">
        <v>838</v>
      </c>
      <c r="O345" s="30" t="s">
        <v>547</v>
      </c>
      <c r="P345" s="30" t="s">
        <v>197</v>
      </c>
      <c r="Q345" s="30" t="s">
        <v>271</v>
      </c>
      <c r="R345" s="35">
        <v>326</v>
      </c>
      <c r="S345" s="20" t="s">
        <v>533</v>
      </c>
      <c r="T345" s="327">
        <f t="shared" si="192"/>
        <v>326</v>
      </c>
      <c r="U345" s="327">
        <f t="shared" si="193"/>
        <v>0</v>
      </c>
      <c r="V345" s="327">
        <f t="shared" si="194"/>
        <v>0</v>
      </c>
      <c r="W345" s="327">
        <f t="shared" si="195"/>
        <v>0</v>
      </c>
      <c r="Y345" s="318"/>
      <c r="Z345" s="318"/>
    </row>
    <row r="346" spans="1:26" s="222" customFormat="1" ht="25.5" x14ac:dyDescent="0.2">
      <c r="A346" s="222">
        <v>234</v>
      </c>
      <c r="B346" s="452">
        <v>568006</v>
      </c>
      <c r="C346" s="446" t="s">
        <v>712</v>
      </c>
      <c r="D346" s="20" t="s">
        <v>488</v>
      </c>
      <c r="E346" s="448">
        <v>41463</v>
      </c>
      <c r="F346" s="448">
        <v>41983</v>
      </c>
      <c r="G346" s="452">
        <v>28</v>
      </c>
      <c r="H346" s="34"/>
      <c r="I346" s="34"/>
      <c r="J346" s="30"/>
      <c r="K346" s="33">
        <v>41659</v>
      </c>
      <c r="L346" s="33">
        <v>41983</v>
      </c>
      <c r="M346" s="334">
        <v>5</v>
      </c>
      <c r="N346" s="189" t="s">
        <v>801</v>
      </c>
      <c r="O346" s="30" t="s">
        <v>843</v>
      </c>
      <c r="P346" s="30" t="s">
        <v>190</v>
      </c>
      <c r="Q346" s="30" t="s">
        <v>278</v>
      </c>
      <c r="R346" s="35">
        <v>424</v>
      </c>
      <c r="S346" s="20" t="s">
        <v>532</v>
      </c>
      <c r="T346" s="327">
        <f t="shared" si="192"/>
        <v>99.375</v>
      </c>
      <c r="U346" s="327">
        <f t="shared" si="193"/>
        <v>108.20833333333333</v>
      </c>
      <c r="V346" s="327">
        <f t="shared" si="194"/>
        <v>108.20833333333334</v>
      </c>
      <c r="W346" s="327">
        <f t="shared" si="195"/>
        <v>108.20833333333334</v>
      </c>
      <c r="Y346" s="318"/>
      <c r="Z346" s="318"/>
    </row>
    <row r="347" spans="1:26" s="222" customFormat="1" ht="25.5" x14ac:dyDescent="0.2">
      <c r="A347" s="222">
        <v>234</v>
      </c>
      <c r="B347" s="453"/>
      <c r="C347" s="447"/>
      <c r="D347" s="20" t="s">
        <v>488</v>
      </c>
      <c r="E347" s="449"/>
      <c r="F347" s="449"/>
      <c r="G347" s="453"/>
      <c r="H347" s="34"/>
      <c r="I347" s="34"/>
      <c r="J347" s="30"/>
      <c r="K347" s="33">
        <v>41659</v>
      </c>
      <c r="L347" s="33">
        <v>41983</v>
      </c>
      <c r="M347" s="334">
        <v>5</v>
      </c>
      <c r="N347" s="189" t="s">
        <v>801</v>
      </c>
      <c r="O347" s="30" t="s">
        <v>842</v>
      </c>
      <c r="P347" s="30" t="s">
        <v>190</v>
      </c>
      <c r="Q347" s="30" t="s">
        <v>844</v>
      </c>
      <c r="R347" s="35">
        <v>424</v>
      </c>
      <c r="S347" s="20" t="s">
        <v>532</v>
      </c>
      <c r="T347" s="327">
        <f t="shared" ref="T347" si="208">IF(K347=$T$3,$T$5*R347/DAYS360(K347,L347),0)</f>
        <v>99.375</v>
      </c>
      <c r="U347" s="327">
        <f t="shared" ref="U347" si="209">IF(K347=$U$3,$U$5*R347/DAYS360(K347,L347),0)+IF(K347=$T$3,IF(L347=$U$4,R347-T347,0),0)+IF(K347=$T$3,IF(L347=$V$4,(R347-T347)/2,0),0)+IF(K347=$T$3,IF(L347=$W$4,(R347-T347)/3,0),0)</f>
        <v>108.20833333333333</v>
      </c>
      <c r="V347" s="327">
        <f t="shared" ref="V347" si="210">IF(K347=$V$3,$V$5*R347/DAYS360(K347,L347),0)+IF(K347=$T$3,IF(L347=$V$4,R347-T347-U347,0),0)+IF(K347=$T$3,IF(L347=$W$4,(R347-T347-U347)/2,0),0)+IF(K347=$U$3,IF(L347=$V$4,R347-U347,0),0)+IF(K347=$U$3,IF(L347=$W$4,(R347-U347)/2,0),0)</f>
        <v>108.20833333333334</v>
      </c>
      <c r="W347" s="327">
        <f t="shared" ref="W347" si="211">IF(K347=$W$3,$W$5*R347/DAYS360(K347,L347),0)+IF(K347=$T$3,IF(L347=$W$4,R347-T347-U347-V347,0),0)+IF(K347=$U$3,IF(L347=$W$4,R347-U347-V347,0),0)+IF(K347=$V$3,IF(L347=$W$4,R347-V347,0),0)</f>
        <v>108.20833333333334</v>
      </c>
      <c r="Y347" s="318"/>
      <c r="Z347" s="318"/>
    </row>
    <row r="348" spans="1:26" s="222" customFormat="1" ht="38.25" x14ac:dyDescent="0.2">
      <c r="A348" s="222">
        <v>235</v>
      </c>
      <c r="B348" s="452">
        <v>580351</v>
      </c>
      <c r="C348" s="446" t="s">
        <v>477</v>
      </c>
      <c r="D348" s="20" t="s">
        <v>488</v>
      </c>
      <c r="E348" s="448">
        <v>41548</v>
      </c>
      <c r="F348" s="448">
        <v>42108</v>
      </c>
      <c r="G348" s="452">
        <v>30</v>
      </c>
      <c r="H348" s="34"/>
      <c r="I348" s="34"/>
      <c r="J348" s="30"/>
      <c r="K348" s="33">
        <v>41659</v>
      </c>
      <c r="L348" s="33">
        <v>41983</v>
      </c>
      <c r="M348" s="334">
        <v>5</v>
      </c>
      <c r="N348" s="189" t="s">
        <v>801</v>
      </c>
      <c r="O348" s="30" t="s">
        <v>843</v>
      </c>
      <c r="P348" s="30" t="s">
        <v>190</v>
      </c>
      <c r="Q348" s="30" t="s">
        <v>278</v>
      </c>
      <c r="R348" s="35">
        <v>424</v>
      </c>
      <c r="S348" s="20" t="s">
        <v>762</v>
      </c>
      <c r="T348" s="327">
        <f t="shared" si="192"/>
        <v>99.375</v>
      </c>
      <c r="U348" s="327">
        <f t="shared" si="193"/>
        <v>108.20833333333333</v>
      </c>
      <c r="V348" s="327">
        <f t="shared" si="194"/>
        <v>108.20833333333334</v>
      </c>
      <c r="W348" s="327">
        <f t="shared" si="195"/>
        <v>108.20833333333334</v>
      </c>
      <c r="Y348" s="318"/>
      <c r="Z348" s="318"/>
    </row>
    <row r="349" spans="1:26" s="222" customFormat="1" ht="25.5" x14ac:dyDescent="0.2">
      <c r="A349" s="222">
        <v>234</v>
      </c>
      <c r="B349" s="453"/>
      <c r="C349" s="447"/>
      <c r="D349" s="20" t="s">
        <v>488</v>
      </c>
      <c r="E349" s="449"/>
      <c r="F349" s="449"/>
      <c r="G349" s="453"/>
      <c r="H349" s="34"/>
      <c r="I349" s="34"/>
      <c r="J349" s="30"/>
      <c r="K349" s="33">
        <v>41659</v>
      </c>
      <c r="L349" s="33">
        <v>41983</v>
      </c>
      <c r="M349" s="334">
        <v>5</v>
      </c>
      <c r="N349" s="189" t="s">
        <v>801</v>
      </c>
      <c r="O349" s="30" t="s">
        <v>842</v>
      </c>
      <c r="P349" s="30" t="s">
        <v>190</v>
      </c>
      <c r="Q349" s="30" t="s">
        <v>844</v>
      </c>
      <c r="R349" s="35">
        <v>424</v>
      </c>
      <c r="S349" s="20" t="s">
        <v>532</v>
      </c>
      <c r="T349" s="327">
        <f t="shared" si="192"/>
        <v>99.375</v>
      </c>
      <c r="U349" s="327">
        <f t="shared" si="193"/>
        <v>108.20833333333333</v>
      </c>
      <c r="V349" s="327">
        <f t="shared" si="194"/>
        <v>108.20833333333334</v>
      </c>
      <c r="W349" s="327">
        <f t="shared" si="195"/>
        <v>108.20833333333334</v>
      </c>
      <c r="Y349" s="318"/>
      <c r="Z349" s="318"/>
    </row>
    <row r="350" spans="1:26" s="222" customFormat="1" ht="25.5" x14ac:dyDescent="0.2">
      <c r="A350" s="222">
        <v>236</v>
      </c>
      <c r="B350" s="454" t="s">
        <v>450</v>
      </c>
      <c r="C350" s="446" t="s">
        <v>477</v>
      </c>
      <c r="D350" s="20" t="s">
        <v>488</v>
      </c>
      <c r="E350" s="448">
        <v>41569</v>
      </c>
      <c r="F350" s="448">
        <v>42108</v>
      </c>
      <c r="G350" s="452">
        <v>35</v>
      </c>
      <c r="H350" s="34"/>
      <c r="I350" s="34"/>
      <c r="J350" s="30"/>
      <c r="K350" s="33">
        <v>41659</v>
      </c>
      <c r="L350" s="33">
        <v>41983</v>
      </c>
      <c r="M350" s="334">
        <v>5</v>
      </c>
      <c r="N350" s="189" t="s">
        <v>801</v>
      </c>
      <c r="O350" s="30" t="s">
        <v>843</v>
      </c>
      <c r="P350" s="30" t="s">
        <v>190</v>
      </c>
      <c r="Q350" s="30" t="s">
        <v>278</v>
      </c>
      <c r="R350" s="35">
        <v>424</v>
      </c>
      <c r="S350" s="189" t="s">
        <v>532</v>
      </c>
      <c r="T350" s="327">
        <f t="shared" si="192"/>
        <v>99.375</v>
      </c>
      <c r="U350" s="327">
        <f t="shared" si="193"/>
        <v>108.20833333333333</v>
      </c>
      <c r="V350" s="327">
        <f t="shared" si="194"/>
        <v>108.20833333333334</v>
      </c>
      <c r="W350" s="327">
        <f t="shared" si="195"/>
        <v>108.20833333333334</v>
      </c>
      <c r="Y350" s="318"/>
      <c r="Z350" s="318"/>
    </row>
    <row r="351" spans="1:26" s="222" customFormat="1" ht="25.5" x14ac:dyDescent="0.2">
      <c r="A351" s="222">
        <v>234</v>
      </c>
      <c r="B351" s="455"/>
      <c r="C351" s="447"/>
      <c r="D351" s="20" t="s">
        <v>488</v>
      </c>
      <c r="E351" s="449"/>
      <c r="F351" s="449"/>
      <c r="G351" s="453"/>
      <c r="H351" s="34"/>
      <c r="I351" s="34"/>
      <c r="J351" s="30"/>
      <c r="K351" s="33">
        <v>41659</v>
      </c>
      <c r="L351" s="33">
        <v>41983</v>
      </c>
      <c r="M351" s="334">
        <v>5</v>
      </c>
      <c r="N351" s="189" t="s">
        <v>801</v>
      </c>
      <c r="O351" s="30" t="s">
        <v>842</v>
      </c>
      <c r="P351" s="30" t="s">
        <v>190</v>
      </c>
      <c r="Q351" s="30" t="s">
        <v>844</v>
      </c>
      <c r="R351" s="35">
        <v>424</v>
      </c>
      <c r="S351" s="20" t="s">
        <v>532</v>
      </c>
      <c r="T351" s="327">
        <f t="shared" ref="T351" si="212">IF(K351=$T$3,$T$5*R351/DAYS360(K351,L351),0)</f>
        <v>99.375</v>
      </c>
      <c r="U351" s="327">
        <f t="shared" ref="U351" si="213">IF(K351=$U$3,$U$5*R351/DAYS360(K351,L351),0)+IF(K351=$T$3,IF(L351=$U$4,R351-T351,0),0)+IF(K351=$T$3,IF(L351=$V$4,(R351-T351)/2,0),0)+IF(K351=$T$3,IF(L351=$W$4,(R351-T351)/3,0),0)</f>
        <v>108.20833333333333</v>
      </c>
      <c r="V351" s="327">
        <f t="shared" ref="V351" si="214">IF(K351=$V$3,$V$5*R351/DAYS360(K351,L351),0)+IF(K351=$T$3,IF(L351=$V$4,R351-T351-U351,0),0)+IF(K351=$T$3,IF(L351=$W$4,(R351-T351-U351)/2,0),0)+IF(K351=$U$3,IF(L351=$V$4,R351-U351,0),0)+IF(K351=$U$3,IF(L351=$W$4,(R351-U351)/2,0),0)</f>
        <v>108.20833333333334</v>
      </c>
      <c r="W351" s="327">
        <f t="shared" ref="W351" si="215">IF(K351=$W$3,$W$5*R351/DAYS360(K351,L351),0)+IF(K351=$T$3,IF(L351=$W$4,R351-T351-U351-V351,0),0)+IF(K351=$U$3,IF(L351=$W$4,R351-U351-V351,0),0)+IF(K351=$V$3,IF(L351=$W$4,R351-V351,0),0)</f>
        <v>108.20833333333334</v>
      </c>
      <c r="Y351" s="318"/>
      <c r="Z351" s="318"/>
    </row>
    <row r="352" spans="1:26" s="222" customFormat="1" ht="25.5" x14ac:dyDescent="0.2">
      <c r="A352" s="222">
        <v>237</v>
      </c>
      <c r="B352" s="48" t="s">
        <v>450</v>
      </c>
      <c r="C352" s="189" t="s">
        <v>479</v>
      </c>
      <c r="D352" s="20" t="s">
        <v>488</v>
      </c>
      <c r="E352" s="59">
        <v>41659</v>
      </c>
      <c r="F352" s="59">
        <v>41902</v>
      </c>
      <c r="G352" s="319">
        <v>21</v>
      </c>
      <c r="H352" s="34"/>
      <c r="I352" s="34"/>
      <c r="J352" s="30"/>
      <c r="K352" s="33">
        <v>41659</v>
      </c>
      <c r="L352" s="33">
        <v>41902</v>
      </c>
      <c r="M352" s="334">
        <v>5</v>
      </c>
      <c r="N352" s="20" t="s">
        <v>795</v>
      </c>
      <c r="O352" s="30" t="s">
        <v>840</v>
      </c>
      <c r="P352" s="30" t="s">
        <v>190</v>
      </c>
      <c r="Q352" s="30" t="s">
        <v>150</v>
      </c>
      <c r="R352" s="35">
        <v>790</v>
      </c>
      <c r="S352" s="20" t="s">
        <v>150</v>
      </c>
      <c r="T352" s="327">
        <f t="shared" si="192"/>
        <v>246.875</v>
      </c>
      <c r="U352" s="327">
        <f t="shared" si="193"/>
        <v>271.5625</v>
      </c>
      <c r="V352" s="327">
        <f t="shared" si="194"/>
        <v>271.5625</v>
      </c>
      <c r="W352" s="327">
        <f t="shared" si="195"/>
        <v>0</v>
      </c>
      <c r="Y352" s="318"/>
      <c r="Z352" s="318"/>
    </row>
    <row r="353" spans="1:26" s="222" customFormat="1" ht="25.5" x14ac:dyDescent="0.2">
      <c r="A353" s="222">
        <v>238</v>
      </c>
      <c r="B353" s="48" t="s">
        <v>450</v>
      </c>
      <c r="C353" s="189" t="s">
        <v>479</v>
      </c>
      <c r="D353" s="20" t="s">
        <v>488</v>
      </c>
      <c r="E353" s="59">
        <v>41659</v>
      </c>
      <c r="F353" s="59">
        <v>41902</v>
      </c>
      <c r="G353" s="20">
        <v>30</v>
      </c>
      <c r="H353" s="34"/>
      <c r="I353" s="34"/>
      <c r="J353" s="30"/>
      <c r="K353" s="33">
        <v>41659</v>
      </c>
      <c r="L353" s="33">
        <v>41902</v>
      </c>
      <c r="M353" s="334">
        <v>5</v>
      </c>
      <c r="N353" s="20" t="s">
        <v>800</v>
      </c>
      <c r="O353" s="30" t="s">
        <v>840</v>
      </c>
      <c r="P353" s="30" t="s">
        <v>190</v>
      </c>
      <c r="Q353" s="30" t="s">
        <v>763</v>
      </c>
      <c r="R353" s="35">
        <v>948</v>
      </c>
      <c r="S353" s="189" t="s">
        <v>763</v>
      </c>
      <c r="T353" s="327">
        <f t="shared" si="192"/>
        <v>296.25</v>
      </c>
      <c r="U353" s="327">
        <f t="shared" si="193"/>
        <v>325.875</v>
      </c>
      <c r="V353" s="327">
        <f t="shared" si="194"/>
        <v>325.875</v>
      </c>
      <c r="W353" s="327">
        <f t="shared" si="195"/>
        <v>0</v>
      </c>
      <c r="Y353" s="318"/>
      <c r="Z353" s="318"/>
    </row>
    <row r="354" spans="1:26" s="222" customFormat="1" ht="25.5" customHeight="1" x14ac:dyDescent="0.2">
      <c r="A354" s="222">
        <v>239</v>
      </c>
      <c r="B354" s="454" t="s">
        <v>450</v>
      </c>
      <c r="C354" s="446" t="s">
        <v>478</v>
      </c>
      <c r="D354" s="20" t="s">
        <v>488</v>
      </c>
      <c r="E354" s="448">
        <v>41659</v>
      </c>
      <c r="F354" s="448">
        <v>41902</v>
      </c>
      <c r="G354" s="20">
        <v>30</v>
      </c>
      <c r="H354" s="34"/>
      <c r="I354" s="34"/>
      <c r="J354" s="30"/>
      <c r="K354" s="33">
        <v>41659</v>
      </c>
      <c r="L354" s="33">
        <v>41902</v>
      </c>
      <c r="M354" s="334">
        <v>3</v>
      </c>
      <c r="N354" s="20" t="s">
        <v>800</v>
      </c>
      <c r="O354" s="30" t="s">
        <v>840</v>
      </c>
      <c r="P354" s="30" t="s">
        <v>190</v>
      </c>
      <c r="Q354" s="30" t="s">
        <v>764</v>
      </c>
      <c r="R354" s="35">
        <v>576</v>
      </c>
      <c r="S354" s="20" t="s">
        <v>764</v>
      </c>
      <c r="T354" s="327">
        <f t="shared" si="192"/>
        <v>180</v>
      </c>
      <c r="U354" s="327">
        <f t="shared" si="193"/>
        <v>198</v>
      </c>
      <c r="V354" s="327">
        <f t="shared" si="194"/>
        <v>198</v>
      </c>
      <c r="W354" s="327">
        <f t="shared" si="195"/>
        <v>0</v>
      </c>
      <c r="Y354" s="318"/>
      <c r="Z354" s="318"/>
    </row>
    <row r="355" spans="1:26" s="222" customFormat="1" ht="25.5" customHeight="1" x14ac:dyDescent="0.2">
      <c r="A355" s="222">
        <v>239</v>
      </c>
      <c r="B355" s="458"/>
      <c r="C355" s="461"/>
      <c r="D355" s="20" t="s">
        <v>488</v>
      </c>
      <c r="E355" s="460"/>
      <c r="F355" s="460"/>
      <c r="G355" s="20">
        <v>30</v>
      </c>
      <c r="H355" s="34"/>
      <c r="I355" s="34"/>
      <c r="J355" s="30"/>
      <c r="K355" s="33">
        <v>41659</v>
      </c>
      <c r="L355" s="33">
        <v>41734</v>
      </c>
      <c r="M355" s="334">
        <v>2</v>
      </c>
      <c r="N355" s="20" t="s">
        <v>800</v>
      </c>
      <c r="O355" s="30" t="s">
        <v>840</v>
      </c>
      <c r="P355" s="30" t="s">
        <v>190</v>
      </c>
      <c r="Q355" s="30" t="s">
        <v>327</v>
      </c>
      <c r="R355" s="35">
        <v>120</v>
      </c>
      <c r="S355" s="20" t="s">
        <v>764</v>
      </c>
      <c r="T355" s="327">
        <f t="shared" ref="T355" si="216">IF(K355=$T$3,$T$5*R355/DAYS360(K355,L355),0)</f>
        <v>120</v>
      </c>
      <c r="U355" s="327">
        <f t="shared" ref="U355" si="217">IF(K355=$U$3,$U$5*R355/DAYS360(K355,L355),0)+IF(K355=$T$3,IF(L355=$U$4,R355-T355,0),0)+IF(K355=$T$3,IF(L355=$V$4,(R355-T355)/2,0),0)+IF(K355=$T$3,IF(L355=$W$4,(R355-T355)/3,0),0)</f>
        <v>0</v>
      </c>
      <c r="V355" s="327">
        <f t="shared" ref="V355" si="218">IF(K355=$V$3,$V$5*R355/DAYS360(K355,L355),0)+IF(K355=$T$3,IF(L355=$V$4,R355-T355-U355,0),0)+IF(K355=$T$3,IF(L355=$W$4,(R355-T355-U355)/2,0),0)+IF(K355=$U$3,IF(L355=$V$4,R355-U355,0),0)+IF(K355=$U$3,IF(L355=$W$4,(R355-U355)/2,0),0)</f>
        <v>0</v>
      </c>
      <c r="W355" s="327">
        <f t="shared" ref="W355" si="219">IF(K355=$W$3,$W$5*R355/DAYS360(K355,L355),0)+IF(K355=$T$3,IF(L355=$W$4,R355-T355-U355-V355,0),0)+IF(K355=$U$3,IF(L355=$W$4,R355-U355-V355,0),0)+IF(K355=$V$3,IF(L355=$W$4,R355-V355,0),0)</f>
        <v>0</v>
      </c>
      <c r="Y355" s="318"/>
      <c r="Z355" s="318"/>
    </row>
    <row r="356" spans="1:26" s="222" customFormat="1" ht="25.5" customHeight="1" x14ac:dyDescent="0.2">
      <c r="A356" s="222">
        <v>239</v>
      </c>
      <c r="B356" s="455"/>
      <c r="C356" s="447"/>
      <c r="D356" s="20" t="s">
        <v>488</v>
      </c>
      <c r="E356" s="449"/>
      <c r="F356" s="449"/>
      <c r="G356" s="20">
        <v>30</v>
      </c>
      <c r="H356" s="34"/>
      <c r="I356" s="34"/>
      <c r="J356" s="30"/>
      <c r="K356" s="33">
        <v>41736</v>
      </c>
      <c r="L356" s="33">
        <v>41902</v>
      </c>
      <c r="M356" s="334">
        <v>2</v>
      </c>
      <c r="N356" s="20" t="s">
        <v>800</v>
      </c>
      <c r="O356" s="30" t="s">
        <v>840</v>
      </c>
      <c r="P356" s="30" t="s">
        <v>190</v>
      </c>
      <c r="Q356" s="30" t="s">
        <v>327</v>
      </c>
      <c r="R356" s="35">
        <v>240</v>
      </c>
      <c r="S356" s="20" t="s">
        <v>764</v>
      </c>
      <c r="T356" s="327">
        <f t="shared" si="192"/>
        <v>0</v>
      </c>
      <c r="U356" s="327">
        <f t="shared" si="193"/>
        <v>108.95705521472392</v>
      </c>
      <c r="V356" s="327">
        <f t="shared" si="194"/>
        <v>131.04294478527606</v>
      </c>
      <c r="W356" s="327">
        <f t="shared" si="195"/>
        <v>0</v>
      </c>
      <c r="Y356" s="318"/>
      <c r="Z356" s="318"/>
    </row>
    <row r="357" spans="1:26" s="222" customFormat="1" ht="25.5" x14ac:dyDescent="0.2">
      <c r="A357" s="222">
        <v>240</v>
      </c>
      <c r="B357" s="48" t="s">
        <v>450</v>
      </c>
      <c r="C357" s="189" t="s">
        <v>713</v>
      </c>
      <c r="D357" s="20" t="s">
        <v>488</v>
      </c>
      <c r="E357" s="59">
        <v>41659</v>
      </c>
      <c r="F357" s="322">
        <v>41734</v>
      </c>
      <c r="G357" s="319">
        <v>25</v>
      </c>
      <c r="H357" s="34"/>
      <c r="I357" s="34"/>
      <c r="J357" s="30"/>
      <c r="K357" s="33">
        <v>41659</v>
      </c>
      <c r="L357" s="33">
        <v>41734</v>
      </c>
      <c r="M357" s="334">
        <v>5</v>
      </c>
      <c r="N357" s="20" t="s">
        <v>838</v>
      </c>
      <c r="O357" s="30" t="s">
        <v>547</v>
      </c>
      <c r="P357" s="30" t="s">
        <v>197</v>
      </c>
      <c r="Q357" s="30" t="s">
        <v>766</v>
      </c>
      <c r="R357" s="35">
        <v>216</v>
      </c>
      <c r="S357" s="189" t="s">
        <v>765</v>
      </c>
      <c r="T357" s="327">
        <f t="shared" si="192"/>
        <v>216</v>
      </c>
      <c r="U357" s="327">
        <f t="shared" si="193"/>
        <v>0</v>
      </c>
      <c r="V357" s="327">
        <f t="shared" si="194"/>
        <v>0</v>
      </c>
      <c r="W357" s="327">
        <f t="shared" si="195"/>
        <v>0</v>
      </c>
      <c r="Y357" s="318"/>
      <c r="Z357" s="318"/>
    </row>
    <row r="358" spans="1:26" s="222" customFormat="1" ht="25.5" x14ac:dyDescent="0.2">
      <c r="A358" s="222">
        <v>241</v>
      </c>
      <c r="B358" s="48" t="s">
        <v>450</v>
      </c>
      <c r="C358" s="189" t="s">
        <v>713</v>
      </c>
      <c r="D358" s="20" t="s">
        <v>488</v>
      </c>
      <c r="E358" s="59">
        <v>41659</v>
      </c>
      <c r="F358" s="322">
        <v>41734</v>
      </c>
      <c r="G358" s="319">
        <v>25</v>
      </c>
      <c r="H358" s="34"/>
      <c r="I358" s="34"/>
      <c r="J358" s="30"/>
      <c r="K358" s="33">
        <v>41659</v>
      </c>
      <c r="L358" s="33">
        <v>41734</v>
      </c>
      <c r="M358" s="334">
        <v>5</v>
      </c>
      <c r="N358" s="20" t="s">
        <v>839</v>
      </c>
      <c r="O358" s="30" t="s">
        <v>547</v>
      </c>
      <c r="P358" s="30" t="s">
        <v>197</v>
      </c>
      <c r="Q358" s="30" t="s">
        <v>766</v>
      </c>
      <c r="R358" s="35">
        <v>216</v>
      </c>
      <c r="S358" s="20" t="s">
        <v>766</v>
      </c>
      <c r="T358" s="327">
        <f t="shared" si="192"/>
        <v>216</v>
      </c>
      <c r="U358" s="327">
        <f t="shared" si="193"/>
        <v>0</v>
      </c>
      <c r="V358" s="327">
        <f t="shared" si="194"/>
        <v>0</v>
      </c>
      <c r="W358" s="327">
        <f t="shared" si="195"/>
        <v>0</v>
      </c>
      <c r="Y358" s="318"/>
      <c r="Z358" s="318"/>
    </row>
    <row r="359" spans="1:26" s="222" customFormat="1" ht="25.5" x14ac:dyDescent="0.2">
      <c r="A359" s="222">
        <v>242</v>
      </c>
      <c r="B359" s="48" t="s">
        <v>450</v>
      </c>
      <c r="C359" s="189" t="s">
        <v>711</v>
      </c>
      <c r="D359" s="20" t="s">
        <v>488</v>
      </c>
      <c r="E359" s="59">
        <v>41736</v>
      </c>
      <c r="F359" s="59">
        <v>41902</v>
      </c>
      <c r="G359" s="319">
        <v>13</v>
      </c>
      <c r="H359" s="34"/>
      <c r="I359" s="34"/>
      <c r="J359" s="30"/>
      <c r="K359" s="33">
        <v>41736</v>
      </c>
      <c r="L359" s="33">
        <v>41902</v>
      </c>
      <c r="M359" s="334">
        <v>5</v>
      </c>
      <c r="N359" s="20" t="s">
        <v>838</v>
      </c>
      <c r="O359" s="30" t="s">
        <v>547</v>
      </c>
      <c r="P359" s="30" t="s">
        <v>197</v>
      </c>
      <c r="Q359" s="30" t="s">
        <v>271</v>
      </c>
      <c r="R359" s="35">
        <v>416</v>
      </c>
      <c r="S359" s="20" t="s">
        <v>533</v>
      </c>
      <c r="T359" s="327">
        <f t="shared" ref="T359:T448" si="220">IF(K359=$T$3,$T$5*R359/DAYS360(K359,L359),0)</f>
        <v>0</v>
      </c>
      <c r="U359" s="327">
        <f t="shared" ref="U359:U448" si="221">IF(K359=$U$3,$U$5*R359/DAYS360(K359,L359),0)+IF(K359=$T$3,IF(L359=$U$4,R359-T359,0),0)+IF(K359=$T$3,IF(L359=$V$4,(R359-T359)/2,0),0)+IF(K359=$T$3,IF(L359=$W$4,(R359-T359)/3,0),0)</f>
        <v>188.85889570552146</v>
      </c>
      <c r="V359" s="327">
        <f t="shared" ref="V359:V448" si="222">IF(K359=$V$3,$V$5*R359/DAYS360(K359,L359),0)+IF(K359=$T$3,IF(L359=$V$4,R359-T359-U359,0),0)+IF(K359=$T$3,IF(L359=$W$4,(R359-T359-U359)/2,0),0)+IF(K359=$U$3,IF(L359=$V$4,R359-U359,0),0)+IF(K359=$U$3,IF(L359=$W$4,(R359-U359)/2,0),0)</f>
        <v>227.14110429447854</v>
      </c>
      <c r="W359" s="327">
        <f t="shared" ref="W359:W448" si="223">IF(K359=$W$3,$W$5*R359/DAYS360(K359,L359),0)+IF(K359=$T$3,IF(L359=$W$4,R359-T359-U359-V359,0),0)+IF(K359=$U$3,IF(L359=$W$4,R359-U359-V359,0),0)+IF(K359=$V$3,IF(L359=$W$4,R359-V359,0),0)</f>
        <v>0</v>
      </c>
      <c r="Y359" s="318"/>
      <c r="Z359" s="318"/>
    </row>
    <row r="360" spans="1:26" s="222" customFormat="1" ht="25.5" x14ac:dyDescent="0.2">
      <c r="A360" s="222">
        <v>243</v>
      </c>
      <c r="B360" s="48" t="s">
        <v>450</v>
      </c>
      <c r="C360" s="189" t="s">
        <v>713</v>
      </c>
      <c r="D360" s="20" t="s">
        <v>488</v>
      </c>
      <c r="E360" s="59">
        <v>41736</v>
      </c>
      <c r="F360" s="59">
        <v>41811</v>
      </c>
      <c r="G360" s="319">
        <v>25</v>
      </c>
      <c r="H360" s="34"/>
      <c r="I360" s="34"/>
      <c r="J360" s="30"/>
      <c r="K360" s="33">
        <v>41736</v>
      </c>
      <c r="L360" s="33">
        <v>41811</v>
      </c>
      <c r="M360" s="334">
        <v>5</v>
      </c>
      <c r="N360" s="20" t="s">
        <v>838</v>
      </c>
      <c r="O360" s="30" t="s">
        <v>547</v>
      </c>
      <c r="P360" s="30" t="s">
        <v>197</v>
      </c>
      <c r="Q360" s="30" t="s">
        <v>766</v>
      </c>
      <c r="R360" s="35">
        <v>204</v>
      </c>
      <c r="S360" s="189" t="s">
        <v>765</v>
      </c>
      <c r="T360" s="327">
        <f t="shared" si="220"/>
        <v>0</v>
      </c>
      <c r="U360" s="327">
        <f t="shared" si="221"/>
        <v>204</v>
      </c>
      <c r="V360" s="327">
        <f t="shared" si="222"/>
        <v>0</v>
      </c>
      <c r="W360" s="327">
        <f t="shared" si="223"/>
        <v>0</v>
      </c>
      <c r="Y360" s="318"/>
      <c r="Z360" s="318"/>
    </row>
    <row r="361" spans="1:26" s="222" customFormat="1" ht="25.5" x14ac:dyDescent="0.2">
      <c r="A361" s="222">
        <v>244</v>
      </c>
      <c r="B361" s="48" t="s">
        <v>450</v>
      </c>
      <c r="C361" s="189" t="s">
        <v>713</v>
      </c>
      <c r="D361" s="20" t="s">
        <v>488</v>
      </c>
      <c r="E361" s="59">
        <v>41736</v>
      </c>
      <c r="F361" s="59">
        <v>41811</v>
      </c>
      <c r="G361" s="319">
        <v>25</v>
      </c>
      <c r="H361" s="34"/>
      <c r="I361" s="34"/>
      <c r="J361" s="30"/>
      <c r="K361" s="33">
        <v>41736</v>
      </c>
      <c r="L361" s="33">
        <v>41811</v>
      </c>
      <c r="M361" s="334">
        <v>5</v>
      </c>
      <c r="N361" s="20" t="s">
        <v>839</v>
      </c>
      <c r="O361" s="30" t="s">
        <v>547</v>
      </c>
      <c r="P361" s="30" t="s">
        <v>197</v>
      </c>
      <c r="Q361" s="30" t="s">
        <v>766</v>
      </c>
      <c r="R361" s="35">
        <v>204</v>
      </c>
      <c r="S361" s="20" t="s">
        <v>766</v>
      </c>
      <c r="T361" s="327">
        <f t="shared" si="220"/>
        <v>0</v>
      </c>
      <c r="U361" s="327">
        <f t="shared" si="221"/>
        <v>204</v>
      </c>
      <c r="V361" s="327">
        <f t="shared" si="222"/>
        <v>0</v>
      </c>
      <c r="W361" s="327">
        <f t="shared" si="223"/>
        <v>0</v>
      </c>
      <c r="Y361" s="318"/>
      <c r="Z361" s="318"/>
    </row>
    <row r="362" spans="1:26" s="222" customFormat="1" ht="25.5" x14ac:dyDescent="0.2">
      <c r="A362" s="222">
        <v>245</v>
      </c>
      <c r="B362" s="48" t="s">
        <v>450</v>
      </c>
      <c r="C362" s="189" t="s">
        <v>713</v>
      </c>
      <c r="D362" s="20" t="s">
        <v>488</v>
      </c>
      <c r="E362" s="59">
        <v>41827</v>
      </c>
      <c r="F362" s="59">
        <v>41902</v>
      </c>
      <c r="G362" s="319">
        <v>25</v>
      </c>
      <c r="H362" s="34"/>
      <c r="I362" s="34"/>
      <c r="J362" s="30"/>
      <c r="K362" s="33">
        <v>41827</v>
      </c>
      <c r="L362" s="33">
        <v>41902</v>
      </c>
      <c r="M362" s="334">
        <v>5</v>
      </c>
      <c r="N362" s="20" t="s">
        <v>838</v>
      </c>
      <c r="O362" s="30" t="s">
        <v>547</v>
      </c>
      <c r="P362" s="30" t="s">
        <v>197</v>
      </c>
      <c r="Q362" s="30" t="s">
        <v>766</v>
      </c>
      <c r="R362" s="35">
        <v>212</v>
      </c>
      <c r="S362" s="189" t="s">
        <v>765</v>
      </c>
      <c r="T362" s="327">
        <f t="shared" si="220"/>
        <v>0</v>
      </c>
      <c r="U362" s="327">
        <f t="shared" si="221"/>
        <v>0</v>
      </c>
      <c r="V362" s="327">
        <f t="shared" si="222"/>
        <v>212</v>
      </c>
      <c r="W362" s="327">
        <f t="shared" si="223"/>
        <v>0</v>
      </c>
      <c r="Y362" s="318"/>
      <c r="Z362" s="318"/>
    </row>
    <row r="363" spans="1:26" s="222" customFormat="1" ht="25.5" x14ac:dyDescent="0.2">
      <c r="A363" s="222">
        <v>246</v>
      </c>
      <c r="B363" s="48" t="s">
        <v>450</v>
      </c>
      <c r="C363" s="189" t="s">
        <v>713</v>
      </c>
      <c r="D363" s="20" t="s">
        <v>488</v>
      </c>
      <c r="E363" s="59">
        <v>41827</v>
      </c>
      <c r="F363" s="59">
        <v>41902</v>
      </c>
      <c r="G363" s="319">
        <v>25</v>
      </c>
      <c r="H363" s="34"/>
      <c r="I363" s="34"/>
      <c r="J363" s="30"/>
      <c r="K363" s="33">
        <v>41827</v>
      </c>
      <c r="L363" s="33">
        <v>41902</v>
      </c>
      <c r="M363" s="334">
        <v>5</v>
      </c>
      <c r="N363" s="20" t="s">
        <v>839</v>
      </c>
      <c r="O363" s="30" t="s">
        <v>547</v>
      </c>
      <c r="P363" s="30" t="s">
        <v>197</v>
      </c>
      <c r="Q363" s="30" t="s">
        <v>766</v>
      </c>
      <c r="R363" s="35">
        <v>212</v>
      </c>
      <c r="S363" s="20" t="s">
        <v>766</v>
      </c>
      <c r="T363" s="327">
        <f t="shared" si="220"/>
        <v>0</v>
      </c>
      <c r="U363" s="327">
        <f t="shared" si="221"/>
        <v>0</v>
      </c>
      <c r="V363" s="327">
        <f t="shared" si="222"/>
        <v>212</v>
      </c>
      <c r="W363" s="327">
        <f t="shared" si="223"/>
        <v>0</v>
      </c>
      <c r="Y363" s="318"/>
      <c r="Z363" s="318"/>
    </row>
    <row r="364" spans="1:26" s="222" customFormat="1" ht="25.5" x14ac:dyDescent="0.2">
      <c r="A364" s="222">
        <v>247</v>
      </c>
      <c r="B364" s="48" t="s">
        <v>450</v>
      </c>
      <c r="C364" s="189" t="s">
        <v>479</v>
      </c>
      <c r="D364" s="20" t="s">
        <v>488</v>
      </c>
      <c r="E364" s="59">
        <v>41904</v>
      </c>
      <c r="F364" s="59">
        <v>42099</v>
      </c>
      <c r="G364" s="20">
        <v>30</v>
      </c>
      <c r="H364" s="34"/>
      <c r="I364" s="34"/>
      <c r="J364" s="30"/>
      <c r="K364" s="33">
        <v>41904</v>
      </c>
      <c r="L364" s="33">
        <v>41983</v>
      </c>
      <c r="M364" s="334">
        <v>5</v>
      </c>
      <c r="N364" s="20" t="s">
        <v>800</v>
      </c>
      <c r="O364" s="30" t="s">
        <v>840</v>
      </c>
      <c r="P364" s="30" t="s">
        <v>197</v>
      </c>
      <c r="Q364" s="30" t="s">
        <v>763</v>
      </c>
      <c r="R364" s="35">
        <v>324</v>
      </c>
      <c r="S364" s="189" t="s">
        <v>763</v>
      </c>
      <c r="T364" s="327">
        <f t="shared" si="220"/>
        <v>0</v>
      </c>
      <c r="U364" s="327">
        <f t="shared" si="221"/>
        <v>0</v>
      </c>
      <c r="V364" s="327">
        <f t="shared" si="222"/>
        <v>0</v>
      </c>
      <c r="W364" s="327">
        <f t="shared" si="223"/>
        <v>324</v>
      </c>
      <c r="Y364" s="318"/>
      <c r="Z364" s="318"/>
    </row>
    <row r="365" spans="1:26" s="222" customFormat="1" ht="25.5" customHeight="1" x14ac:dyDescent="0.2">
      <c r="A365" s="222">
        <v>248</v>
      </c>
      <c r="B365" s="454" t="s">
        <v>450</v>
      </c>
      <c r="C365" s="446" t="s">
        <v>478</v>
      </c>
      <c r="D365" s="20" t="s">
        <v>488</v>
      </c>
      <c r="E365" s="448">
        <v>41904</v>
      </c>
      <c r="F365" s="448">
        <v>42099</v>
      </c>
      <c r="G365" s="452">
        <v>30</v>
      </c>
      <c r="H365" s="34"/>
      <c r="I365" s="34"/>
      <c r="J365" s="30"/>
      <c r="K365" s="33">
        <v>41904</v>
      </c>
      <c r="L365" s="33">
        <v>41983</v>
      </c>
      <c r="M365" s="334">
        <v>3</v>
      </c>
      <c r="N365" s="20" t="s">
        <v>800</v>
      </c>
      <c r="O365" s="30" t="s">
        <v>840</v>
      </c>
      <c r="P365" s="30" t="s">
        <v>190</v>
      </c>
      <c r="Q365" s="30" t="s">
        <v>764</v>
      </c>
      <c r="R365" s="35">
        <v>192</v>
      </c>
      <c r="S365" s="20" t="s">
        <v>764</v>
      </c>
      <c r="T365" s="327">
        <f t="shared" ref="T365" si="224">IF(K365=$T$3,$T$5*R365/DAYS360(K365,L365),0)</f>
        <v>0</v>
      </c>
      <c r="U365" s="327">
        <f t="shared" ref="U365" si="225">IF(K365=$U$3,$U$5*R365/DAYS360(K365,L365),0)+IF(K365=$T$3,IF(L365=$U$4,R365-T365,0),0)+IF(K365=$T$3,IF(L365=$V$4,(R365-T365)/2,0),0)+IF(K365=$T$3,IF(L365=$W$4,(R365-T365)/3,0),0)</f>
        <v>0</v>
      </c>
      <c r="V365" s="327">
        <f t="shared" ref="V365" si="226">IF(K365=$V$3,$V$5*R365/DAYS360(K365,L365),0)+IF(K365=$T$3,IF(L365=$V$4,R365-T365-U365,0),0)+IF(K365=$T$3,IF(L365=$W$4,(R365-T365-U365)/2,0),0)+IF(K365=$U$3,IF(L365=$V$4,R365-U365,0),0)+IF(K365=$U$3,IF(L365=$W$4,(R365-U365)/2,0),0)</f>
        <v>0</v>
      </c>
      <c r="W365" s="327">
        <f t="shared" ref="W365" si="227">IF(K365=$W$3,$W$5*R365/DAYS360(K365,L365),0)+IF(K365=$T$3,IF(L365=$W$4,R365-T365-U365-V365,0),0)+IF(K365=$U$3,IF(L365=$W$4,R365-U365-V365,0),0)+IF(K365=$V$3,IF(L365=$W$4,R365-V365,0),0)</f>
        <v>192</v>
      </c>
      <c r="Y365" s="318"/>
      <c r="Z365" s="318"/>
    </row>
    <row r="366" spans="1:26" s="222" customFormat="1" ht="25.5" customHeight="1" x14ac:dyDescent="0.2">
      <c r="A366" s="222">
        <v>248</v>
      </c>
      <c r="B366" s="455"/>
      <c r="C366" s="447"/>
      <c r="D366" s="20" t="s">
        <v>488</v>
      </c>
      <c r="E366" s="449"/>
      <c r="F366" s="449"/>
      <c r="G366" s="453"/>
      <c r="H366" s="34"/>
      <c r="I366" s="34"/>
      <c r="J366" s="30"/>
      <c r="K366" s="33">
        <v>41904</v>
      </c>
      <c r="L366" s="33">
        <v>41983</v>
      </c>
      <c r="M366" s="334">
        <v>2</v>
      </c>
      <c r="N366" s="20" t="s">
        <v>800</v>
      </c>
      <c r="O366" s="30" t="s">
        <v>841</v>
      </c>
      <c r="P366" s="30" t="s">
        <v>190</v>
      </c>
      <c r="Q366" s="30" t="s">
        <v>327</v>
      </c>
      <c r="R366" s="35">
        <v>132</v>
      </c>
      <c r="S366" s="20" t="s">
        <v>764</v>
      </c>
      <c r="T366" s="327">
        <f t="shared" si="220"/>
        <v>0</v>
      </c>
      <c r="U366" s="327">
        <f t="shared" si="221"/>
        <v>0</v>
      </c>
      <c r="V366" s="327">
        <f t="shared" si="222"/>
        <v>0</v>
      </c>
      <c r="W366" s="327">
        <f t="shared" si="223"/>
        <v>132</v>
      </c>
      <c r="Y366" s="318"/>
      <c r="Z366" s="318"/>
    </row>
    <row r="367" spans="1:26" s="222" customFormat="1" ht="25.5" x14ac:dyDescent="0.2">
      <c r="A367" s="222">
        <v>249</v>
      </c>
      <c r="B367" s="48" t="s">
        <v>450</v>
      </c>
      <c r="C367" s="189" t="s">
        <v>713</v>
      </c>
      <c r="D367" s="20" t="s">
        <v>488</v>
      </c>
      <c r="E367" s="59">
        <v>41904</v>
      </c>
      <c r="F367" s="59">
        <v>41983</v>
      </c>
      <c r="G367" s="319">
        <v>25</v>
      </c>
      <c r="H367" s="34"/>
      <c r="I367" s="34"/>
      <c r="J367" s="30"/>
      <c r="K367" s="33">
        <v>41904</v>
      </c>
      <c r="L367" s="33">
        <v>41983</v>
      </c>
      <c r="M367" s="334">
        <v>5</v>
      </c>
      <c r="N367" s="20" t="s">
        <v>838</v>
      </c>
      <c r="O367" s="30" t="s">
        <v>547</v>
      </c>
      <c r="P367" s="30" t="s">
        <v>197</v>
      </c>
      <c r="Q367" s="30" t="s">
        <v>766</v>
      </c>
      <c r="R367" s="35">
        <v>216</v>
      </c>
      <c r="S367" s="189" t="s">
        <v>765</v>
      </c>
      <c r="T367" s="327">
        <f t="shared" si="220"/>
        <v>0</v>
      </c>
      <c r="U367" s="327">
        <f t="shared" si="221"/>
        <v>0</v>
      </c>
      <c r="V367" s="327">
        <f t="shared" si="222"/>
        <v>0</v>
      </c>
      <c r="W367" s="327">
        <f t="shared" si="223"/>
        <v>216</v>
      </c>
      <c r="Y367" s="318"/>
      <c r="Z367" s="318"/>
    </row>
    <row r="368" spans="1:26" s="222" customFormat="1" ht="25.5" x14ac:dyDescent="0.2">
      <c r="A368" s="222">
        <v>250</v>
      </c>
      <c r="B368" s="48" t="s">
        <v>450</v>
      </c>
      <c r="C368" s="189" t="s">
        <v>713</v>
      </c>
      <c r="D368" s="20" t="s">
        <v>488</v>
      </c>
      <c r="E368" s="59">
        <v>41904</v>
      </c>
      <c r="F368" s="59">
        <v>41983</v>
      </c>
      <c r="G368" s="319">
        <v>25</v>
      </c>
      <c r="H368" s="34"/>
      <c r="I368" s="34"/>
      <c r="J368" s="30"/>
      <c r="K368" s="33">
        <v>41904</v>
      </c>
      <c r="L368" s="33">
        <v>41983</v>
      </c>
      <c r="M368" s="334">
        <v>5</v>
      </c>
      <c r="N368" s="20" t="s">
        <v>839</v>
      </c>
      <c r="O368" s="30" t="s">
        <v>547</v>
      </c>
      <c r="P368" s="30" t="s">
        <v>197</v>
      </c>
      <c r="Q368" s="30" t="s">
        <v>766</v>
      </c>
      <c r="R368" s="35">
        <v>216</v>
      </c>
      <c r="S368" s="20" t="s">
        <v>766</v>
      </c>
      <c r="T368" s="327">
        <f t="shared" si="220"/>
        <v>0</v>
      </c>
      <c r="U368" s="327">
        <f t="shared" si="221"/>
        <v>0</v>
      </c>
      <c r="V368" s="327">
        <f t="shared" si="222"/>
        <v>0</v>
      </c>
      <c r="W368" s="327">
        <f t="shared" si="223"/>
        <v>216</v>
      </c>
      <c r="Y368" s="318"/>
      <c r="Z368" s="318"/>
    </row>
    <row r="369" spans="1:26" s="222" customFormat="1" ht="25.5" x14ac:dyDescent="0.2">
      <c r="A369" s="222">
        <v>251</v>
      </c>
      <c r="B369" s="48" t="s">
        <v>450</v>
      </c>
      <c r="C369" s="189" t="s">
        <v>713</v>
      </c>
      <c r="D369" s="20" t="s">
        <v>488</v>
      </c>
      <c r="E369" s="59">
        <v>41904</v>
      </c>
      <c r="F369" s="59">
        <v>41983</v>
      </c>
      <c r="G369" s="319">
        <v>25</v>
      </c>
      <c r="H369" s="34"/>
      <c r="I369" s="34"/>
      <c r="J369" s="30"/>
      <c r="K369" s="33">
        <v>41904</v>
      </c>
      <c r="L369" s="33">
        <v>41983</v>
      </c>
      <c r="M369" s="334">
        <v>5</v>
      </c>
      <c r="N369" s="20" t="s">
        <v>839</v>
      </c>
      <c r="O369" s="30" t="s">
        <v>547</v>
      </c>
      <c r="P369" s="30" t="s">
        <v>197</v>
      </c>
      <c r="Q369" s="30" t="s">
        <v>763</v>
      </c>
      <c r="R369" s="35">
        <v>216</v>
      </c>
      <c r="S369" s="20" t="s">
        <v>766</v>
      </c>
      <c r="T369" s="327">
        <f t="shared" si="220"/>
        <v>0</v>
      </c>
      <c r="U369" s="327">
        <f t="shared" si="221"/>
        <v>0</v>
      </c>
      <c r="V369" s="327">
        <f t="shared" si="222"/>
        <v>0</v>
      </c>
      <c r="W369" s="327">
        <f t="shared" si="223"/>
        <v>216</v>
      </c>
      <c r="Y369" s="318"/>
      <c r="Z369" s="318"/>
    </row>
    <row r="370" spans="1:26" s="222" customFormat="1" ht="25.5" x14ac:dyDescent="0.2">
      <c r="A370" s="222">
        <v>252</v>
      </c>
      <c r="B370" s="48">
        <v>413040</v>
      </c>
      <c r="C370" s="189" t="s">
        <v>444</v>
      </c>
      <c r="D370" s="189" t="s">
        <v>456</v>
      </c>
      <c r="E370" s="59">
        <v>41176</v>
      </c>
      <c r="F370" s="322">
        <v>41734</v>
      </c>
      <c r="G370" s="20">
        <v>80</v>
      </c>
      <c r="H370" s="34"/>
      <c r="I370" s="34"/>
      <c r="J370" s="30"/>
      <c r="K370" s="33">
        <v>41659</v>
      </c>
      <c r="L370" s="33">
        <v>41734</v>
      </c>
      <c r="M370" s="334">
        <v>5</v>
      </c>
      <c r="N370" s="20" t="s">
        <v>191</v>
      </c>
      <c r="O370" s="20" t="s">
        <v>191</v>
      </c>
      <c r="P370" s="30" t="s">
        <v>190</v>
      </c>
      <c r="Q370" s="30" t="s">
        <v>615</v>
      </c>
      <c r="R370" s="35">
        <v>432</v>
      </c>
      <c r="S370" s="189" t="s">
        <v>767</v>
      </c>
      <c r="T370" s="327">
        <f t="shared" si="220"/>
        <v>432</v>
      </c>
      <c r="U370" s="327">
        <f t="shared" si="221"/>
        <v>0</v>
      </c>
      <c r="V370" s="327">
        <f t="shared" si="222"/>
        <v>0</v>
      </c>
      <c r="W370" s="327">
        <f t="shared" si="223"/>
        <v>0</v>
      </c>
      <c r="Y370" s="318"/>
      <c r="Z370" s="318"/>
    </row>
    <row r="371" spans="1:26" s="222" customFormat="1" ht="25.5" x14ac:dyDescent="0.2">
      <c r="A371" s="222">
        <v>253</v>
      </c>
      <c r="B371" s="48">
        <v>413044</v>
      </c>
      <c r="C371" s="189" t="s">
        <v>444</v>
      </c>
      <c r="D371" s="189" t="s">
        <v>456</v>
      </c>
      <c r="E371" s="59">
        <v>41176</v>
      </c>
      <c r="F371" s="322">
        <v>41734</v>
      </c>
      <c r="G371" s="20">
        <v>80</v>
      </c>
      <c r="H371" s="34"/>
      <c r="I371" s="34"/>
      <c r="J371" s="30"/>
      <c r="K371" s="33">
        <v>41659</v>
      </c>
      <c r="L371" s="33">
        <v>41734</v>
      </c>
      <c r="M371" s="334">
        <v>5</v>
      </c>
      <c r="N371" s="20" t="s">
        <v>191</v>
      </c>
      <c r="O371" s="20" t="s">
        <v>191</v>
      </c>
      <c r="P371" s="30" t="s">
        <v>190</v>
      </c>
      <c r="Q371" s="30" t="s">
        <v>253</v>
      </c>
      <c r="R371" s="35">
        <v>432</v>
      </c>
      <c r="S371" s="189" t="s">
        <v>768</v>
      </c>
      <c r="T371" s="327">
        <f t="shared" si="220"/>
        <v>432</v>
      </c>
      <c r="U371" s="327">
        <f t="shared" si="221"/>
        <v>0</v>
      </c>
      <c r="V371" s="327">
        <f t="shared" si="222"/>
        <v>0</v>
      </c>
      <c r="W371" s="327">
        <f t="shared" si="223"/>
        <v>0</v>
      </c>
      <c r="Y371" s="318"/>
      <c r="Z371" s="318"/>
    </row>
    <row r="372" spans="1:26" s="222" customFormat="1" ht="25.5" x14ac:dyDescent="0.2">
      <c r="A372" s="222">
        <v>254</v>
      </c>
      <c r="B372" s="20">
        <v>413046</v>
      </c>
      <c r="C372" s="189" t="s">
        <v>480</v>
      </c>
      <c r="D372" s="189" t="s">
        <v>456</v>
      </c>
      <c r="E372" s="59">
        <v>41176</v>
      </c>
      <c r="F372" s="322">
        <v>41734</v>
      </c>
      <c r="G372" s="20">
        <v>80</v>
      </c>
      <c r="H372" s="34"/>
      <c r="I372" s="34"/>
      <c r="J372" s="30"/>
      <c r="K372" s="33">
        <v>41659</v>
      </c>
      <c r="L372" s="33">
        <v>41734</v>
      </c>
      <c r="M372" s="334">
        <v>5</v>
      </c>
      <c r="N372" s="20" t="s">
        <v>191</v>
      </c>
      <c r="O372" s="20" t="s">
        <v>191</v>
      </c>
      <c r="P372" s="30" t="s">
        <v>190</v>
      </c>
      <c r="Q372" s="30" t="s">
        <v>252</v>
      </c>
      <c r="R372" s="35">
        <v>432</v>
      </c>
      <c r="S372" s="20" t="s">
        <v>769</v>
      </c>
      <c r="T372" s="327">
        <f t="shared" si="220"/>
        <v>432</v>
      </c>
      <c r="U372" s="327">
        <f t="shared" si="221"/>
        <v>0</v>
      </c>
      <c r="V372" s="327">
        <f t="shared" si="222"/>
        <v>0</v>
      </c>
      <c r="W372" s="327">
        <f t="shared" si="223"/>
        <v>0</v>
      </c>
      <c r="Y372" s="318"/>
      <c r="Z372" s="318"/>
    </row>
    <row r="373" spans="1:26" s="222" customFormat="1" ht="25.5" x14ac:dyDescent="0.2">
      <c r="A373" s="222">
        <v>255</v>
      </c>
      <c r="B373" s="20">
        <v>413048</v>
      </c>
      <c r="C373" s="189" t="s">
        <v>480</v>
      </c>
      <c r="D373" s="189" t="s">
        <v>456</v>
      </c>
      <c r="E373" s="59">
        <v>41176</v>
      </c>
      <c r="F373" s="322">
        <v>41734</v>
      </c>
      <c r="G373" s="20">
        <v>80</v>
      </c>
      <c r="H373" s="34"/>
      <c r="I373" s="34"/>
      <c r="J373" s="30"/>
      <c r="K373" s="33">
        <v>41659</v>
      </c>
      <c r="L373" s="33">
        <v>41734</v>
      </c>
      <c r="M373" s="334">
        <v>5</v>
      </c>
      <c r="N373" s="20" t="s">
        <v>191</v>
      </c>
      <c r="O373" s="20" t="s">
        <v>191</v>
      </c>
      <c r="P373" s="30" t="s">
        <v>190</v>
      </c>
      <c r="Q373" s="30" t="s">
        <v>280</v>
      </c>
      <c r="R373" s="35">
        <v>432</v>
      </c>
      <c r="S373" s="20" t="s">
        <v>770</v>
      </c>
      <c r="T373" s="327">
        <f t="shared" si="220"/>
        <v>432</v>
      </c>
      <c r="U373" s="327">
        <f t="shared" si="221"/>
        <v>0</v>
      </c>
      <c r="V373" s="327">
        <f t="shared" si="222"/>
        <v>0</v>
      </c>
      <c r="W373" s="327">
        <f t="shared" si="223"/>
        <v>0</v>
      </c>
      <c r="Y373" s="318"/>
      <c r="Z373" s="318"/>
    </row>
    <row r="374" spans="1:26" s="222" customFormat="1" ht="38.25" x14ac:dyDescent="0.2">
      <c r="A374" s="222">
        <v>256</v>
      </c>
      <c r="B374" s="452">
        <v>430013</v>
      </c>
      <c r="C374" s="446" t="s">
        <v>480</v>
      </c>
      <c r="D374" s="189" t="s">
        <v>456</v>
      </c>
      <c r="E374" s="448">
        <v>41295</v>
      </c>
      <c r="F374" s="448">
        <v>41811</v>
      </c>
      <c r="G374" s="452">
        <v>38</v>
      </c>
      <c r="H374" s="34"/>
      <c r="I374" s="34"/>
      <c r="J374" s="30"/>
      <c r="K374" s="33">
        <v>41659</v>
      </c>
      <c r="L374" s="33">
        <v>41811</v>
      </c>
      <c r="M374" s="30" t="s">
        <v>911</v>
      </c>
      <c r="N374" s="20" t="s">
        <v>543</v>
      </c>
      <c r="O374" s="30" t="s">
        <v>913</v>
      </c>
      <c r="P374" s="30" t="s">
        <v>190</v>
      </c>
      <c r="Q374" s="30" t="s">
        <v>613</v>
      </c>
      <c r="R374" s="35">
        <v>318</v>
      </c>
      <c r="S374" s="20" t="s">
        <v>535</v>
      </c>
      <c r="T374" s="327">
        <f t="shared" ref="T374" si="228">IF(K374=$T$3,$T$5*R374/DAYS360(K374,L374),0)</f>
        <v>157.94701986754967</v>
      </c>
      <c r="U374" s="327">
        <f t="shared" ref="U374" si="229">IF(K374=$U$3,$U$5*R374/DAYS360(K374,L374),0)+IF(K374=$T$3,IF(L374=$U$4,R374-T374,0),0)+IF(K374=$T$3,IF(L374=$V$4,(R374-T374)/2,0),0)+IF(K374=$T$3,IF(L374=$W$4,(R374-T374)/3,0),0)</f>
        <v>160.05298013245033</v>
      </c>
      <c r="V374" s="327">
        <f t="shared" ref="V374" si="230">IF(K374=$V$3,$V$5*R374/DAYS360(K374,L374),0)+IF(K374=$T$3,IF(L374=$V$4,R374-T374-U374,0),0)+IF(K374=$T$3,IF(L374=$W$4,(R374-T374-U374)/2,0),0)+IF(K374=$U$3,IF(L374=$V$4,R374-U374,0),0)+IF(K374=$U$3,IF(L374=$W$4,(R374-U374)/2,0),0)</f>
        <v>0</v>
      </c>
      <c r="W374" s="327">
        <f t="shared" ref="W374" si="231">IF(K374=$W$3,$W$5*R374/DAYS360(K374,L374),0)+IF(K374=$T$3,IF(L374=$W$4,R374-T374-U374-V374,0),0)+IF(K374=$U$3,IF(L374=$W$4,R374-U374-V374,0),0)+IF(K374=$V$3,IF(L374=$W$4,R374-V374,0),0)</f>
        <v>0</v>
      </c>
      <c r="Y374" s="318"/>
      <c r="Z374" s="318"/>
    </row>
    <row r="375" spans="1:26" s="222" customFormat="1" ht="38.25" x14ac:dyDescent="0.2">
      <c r="A375" s="222">
        <v>256</v>
      </c>
      <c r="B375" s="453"/>
      <c r="C375" s="447"/>
      <c r="D375" s="189" t="s">
        <v>456</v>
      </c>
      <c r="E375" s="449"/>
      <c r="F375" s="449"/>
      <c r="G375" s="453"/>
      <c r="H375" s="34"/>
      <c r="I375" s="34"/>
      <c r="J375" s="30"/>
      <c r="K375" s="33">
        <v>41659</v>
      </c>
      <c r="L375" s="33">
        <v>41811</v>
      </c>
      <c r="M375" s="30" t="s">
        <v>912</v>
      </c>
      <c r="N375" s="20" t="s">
        <v>543</v>
      </c>
      <c r="O375" s="30" t="s">
        <v>913</v>
      </c>
      <c r="P375" s="30" t="s">
        <v>190</v>
      </c>
      <c r="Q375" s="30" t="s">
        <v>313</v>
      </c>
      <c r="R375" s="35">
        <v>312</v>
      </c>
      <c r="S375" s="20" t="s">
        <v>535</v>
      </c>
      <c r="T375" s="327">
        <f t="shared" si="220"/>
        <v>154.96688741721854</v>
      </c>
      <c r="U375" s="327">
        <f t="shared" si="221"/>
        <v>157.03311258278146</v>
      </c>
      <c r="V375" s="327">
        <f t="shared" si="222"/>
        <v>0</v>
      </c>
      <c r="W375" s="327">
        <f t="shared" si="223"/>
        <v>0</v>
      </c>
      <c r="Y375" s="318"/>
      <c r="Z375" s="318"/>
    </row>
    <row r="376" spans="1:26" s="222" customFormat="1" ht="38.25" x14ac:dyDescent="0.2">
      <c r="A376" s="222">
        <v>257</v>
      </c>
      <c r="B376" s="452">
        <v>532168</v>
      </c>
      <c r="C376" s="452" t="s">
        <v>482</v>
      </c>
      <c r="D376" s="189" t="s">
        <v>456</v>
      </c>
      <c r="E376" s="448">
        <v>41379</v>
      </c>
      <c r="F376" s="450">
        <v>41734</v>
      </c>
      <c r="G376" s="452">
        <v>28</v>
      </c>
      <c r="H376" s="34"/>
      <c r="I376" s="34"/>
      <c r="J376" s="30"/>
      <c r="K376" s="33">
        <v>41659</v>
      </c>
      <c r="L376" s="33">
        <v>41734</v>
      </c>
      <c r="M376" s="334">
        <v>1</v>
      </c>
      <c r="N376" s="20" t="s">
        <v>544</v>
      </c>
      <c r="O376" s="30" t="s">
        <v>914</v>
      </c>
      <c r="P376" s="30" t="s">
        <v>190</v>
      </c>
      <c r="Q376" s="30" t="s">
        <v>157</v>
      </c>
      <c r="R376" s="35">
        <v>30</v>
      </c>
      <c r="S376" s="20" t="s">
        <v>536</v>
      </c>
      <c r="T376" s="327">
        <f t="shared" ref="T376:T379" si="232">IF(K376=$T$3,$T$5*R376/DAYS360(K376,L376),0)</f>
        <v>30</v>
      </c>
      <c r="U376" s="327">
        <f t="shared" ref="U376:U379" si="233">IF(K376=$U$3,$U$5*R376/DAYS360(K376,L376),0)+IF(K376=$T$3,IF(L376=$U$4,R376-T376,0),0)+IF(K376=$T$3,IF(L376=$V$4,(R376-T376)/2,0),0)+IF(K376=$T$3,IF(L376=$W$4,(R376-T376)/3,0),0)</f>
        <v>0</v>
      </c>
      <c r="V376" s="327">
        <f t="shared" ref="V376:V379" si="234">IF(K376=$V$3,$V$5*R376/DAYS360(K376,L376),0)+IF(K376=$T$3,IF(L376=$V$4,R376-T376-U376,0),0)+IF(K376=$T$3,IF(L376=$W$4,(R376-T376-U376)/2,0),0)+IF(K376=$U$3,IF(L376=$V$4,R376-U376,0),0)+IF(K376=$U$3,IF(L376=$W$4,(R376-U376)/2,0),0)</f>
        <v>0</v>
      </c>
      <c r="W376" s="327">
        <f t="shared" ref="W376:W379" si="235">IF(K376=$W$3,$W$5*R376/DAYS360(K376,L376),0)+IF(K376=$T$3,IF(L376=$W$4,R376-T376-U376-V376,0),0)+IF(K376=$U$3,IF(L376=$W$4,R376-U376-V376,0),0)+IF(K376=$V$3,IF(L376=$W$4,R376-V376,0),0)</f>
        <v>0</v>
      </c>
      <c r="Y376" s="318"/>
      <c r="Z376" s="318"/>
    </row>
    <row r="377" spans="1:26" s="222" customFormat="1" ht="38.25" x14ac:dyDescent="0.2">
      <c r="A377" s="222">
        <v>257</v>
      </c>
      <c r="B377" s="462"/>
      <c r="C377" s="462"/>
      <c r="D377" s="189" t="s">
        <v>456</v>
      </c>
      <c r="E377" s="460"/>
      <c r="F377" s="463"/>
      <c r="G377" s="462"/>
      <c r="H377" s="34"/>
      <c r="I377" s="34"/>
      <c r="J377" s="30"/>
      <c r="K377" s="33">
        <v>41659</v>
      </c>
      <c r="L377" s="33">
        <v>41734</v>
      </c>
      <c r="M377" s="334">
        <v>1</v>
      </c>
      <c r="N377" s="20" t="s">
        <v>544</v>
      </c>
      <c r="O377" s="30" t="s">
        <v>914</v>
      </c>
      <c r="P377" s="30" t="s">
        <v>190</v>
      </c>
      <c r="Q377" s="30" t="s">
        <v>182</v>
      </c>
      <c r="R377" s="35">
        <v>33</v>
      </c>
      <c r="S377" s="20" t="s">
        <v>536</v>
      </c>
      <c r="T377" s="327">
        <f t="shared" si="232"/>
        <v>33</v>
      </c>
      <c r="U377" s="327">
        <f t="shared" si="233"/>
        <v>0</v>
      </c>
      <c r="V377" s="327">
        <f t="shared" si="234"/>
        <v>0</v>
      </c>
      <c r="W377" s="327">
        <f t="shared" si="235"/>
        <v>0</v>
      </c>
      <c r="Y377" s="318"/>
      <c r="Z377" s="318"/>
    </row>
    <row r="378" spans="1:26" s="222" customFormat="1" ht="38.25" x14ac:dyDescent="0.2">
      <c r="A378" s="222">
        <v>257</v>
      </c>
      <c r="B378" s="462"/>
      <c r="C378" s="462"/>
      <c r="D378" s="189" t="s">
        <v>456</v>
      </c>
      <c r="E378" s="460"/>
      <c r="F378" s="463"/>
      <c r="G378" s="462"/>
      <c r="H378" s="34"/>
      <c r="I378" s="34"/>
      <c r="J378" s="30"/>
      <c r="K378" s="33">
        <v>41659</v>
      </c>
      <c r="L378" s="33">
        <v>41734</v>
      </c>
      <c r="M378" s="334">
        <v>1</v>
      </c>
      <c r="N378" s="20" t="s">
        <v>544</v>
      </c>
      <c r="O378" s="30" t="s">
        <v>914</v>
      </c>
      <c r="P378" s="30" t="s">
        <v>190</v>
      </c>
      <c r="Q378" s="30" t="s">
        <v>814</v>
      </c>
      <c r="R378" s="35">
        <v>44</v>
      </c>
      <c r="S378" s="20" t="s">
        <v>536</v>
      </c>
      <c r="T378" s="327">
        <f t="shared" ref="T378" si="236">IF(K378=$T$3,$T$5*R378/DAYS360(K378,L378),0)</f>
        <v>44</v>
      </c>
      <c r="U378" s="327">
        <f t="shared" ref="U378" si="237">IF(K378=$U$3,$U$5*R378/DAYS360(K378,L378),0)+IF(K378=$T$3,IF(L378=$U$4,R378-T378,0),0)+IF(K378=$T$3,IF(L378=$V$4,(R378-T378)/2,0),0)+IF(K378=$T$3,IF(L378=$W$4,(R378-T378)/3,0),0)</f>
        <v>0</v>
      </c>
      <c r="V378" s="327">
        <f t="shared" ref="V378" si="238">IF(K378=$V$3,$V$5*R378/DAYS360(K378,L378),0)+IF(K378=$T$3,IF(L378=$V$4,R378-T378-U378,0),0)+IF(K378=$T$3,IF(L378=$W$4,(R378-T378-U378)/2,0),0)+IF(K378=$U$3,IF(L378=$V$4,R378-U378,0),0)+IF(K378=$U$3,IF(L378=$W$4,(R378-U378)/2,0),0)</f>
        <v>0</v>
      </c>
      <c r="W378" s="327">
        <f t="shared" ref="W378" si="239">IF(K378=$W$3,$W$5*R378/DAYS360(K378,L378),0)+IF(K378=$T$3,IF(L378=$W$4,R378-T378-U378-V378,0),0)+IF(K378=$U$3,IF(L378=$W$4,R378-U378-V378,0),0)+IF(K378=$V$3,IF(L378=$W$4,R378-V378,0),0)</f>
        <v>0</v>
      </c>
      <c r="Y378" s="318"/>
      <c r="Z378" s="318"/>
    </row>
    <row r="379" spans="1:26" s="222" customFormat="1" ht="38.25" x14ac:dyDescent="0.2">
      <c r="A379" s="222">
        <v>257</v>
      </c>
      <c r="B379" s="462"/>
      <c r="C379" s="462"/>
      <c r="D379" s="189" t="s">
        <v>456</v>
      </c>
      <c r="E379" s="460"/>
      <c r="F379" s="463"/>
      <c r="G379" s="462"/>
      <c r="H379" s="34"/>
      <c r="I379" s="34"/>
      <c r="J379" s="30"/>
      <c r="K379" s="33">
        <v>41659</v>
      </c>
      <c r="L379" s="33">
        <v>41734</v>
      </c>
      <c r="M379" s="334">
        <v>1</v>
      </c>
      <c r="N379" s="20" t="s">
        <v>544</v>
      </c>
      <c r="O379" s="30" t="s">
        <v>914</v>
      </c>
      <c r="P379" s="30" t="s">
        <v>190</v>
      </c>
      <c r="Q379" s="30" t="s">
        <v>313</v>
      </c>
      <c r="R379" s="35">
        <v>44</v>
      </c>
      <c r="S379" s="20" t="s">
        <v>536</v>
      </c>
      <c r="T379" s="327">
        <f t="shared" si="232"/>
        <v>44</v>
      </c>
      <c r="U379" s="327">
        <f t="shared" si="233"/>
        <v>0</v>
      </c>
      <c r="V379" s="327">
        <f t="shared" si="234"/>
        <v>0</v>
      </c>
      <c r="W379" s="327">
        <f t="shared" si="235"/>
        <v>0</v>
      </c>
      <c r="Y379" s="318"/>
      <c r="Z379" s="318"/>
    </row>
    <row r="380" spans="1:26" s="222" customFormat="1" ht="38.25" x14ac:dyDescent="0.2">
      <c r="A380" s="222">
        <v>257</v>
      </c>
      <c r="B380" s="453"/>
      <c r="C380" s="453"/>
      <c r="D380" s="189" t="s">
        <v>456</v>
      </c>
      <c r="E380" s="449"/>
      <c r="F380" s="451"/>
      <c r="G380" s="453"/>
      <c r="H380" s="34"/>
      <c r="I380" s="34"/>
      <c r="J380" s="30"/>
      <c r="K380" s="33">
        <v>41659</v>
      </c>
      <c r="L380" s="33">
        <v>41734</v>
      </c>
      <c r="M380" s="334">
        <v>2</v>
      </c>
      <c r="N380" s="20" t="s">
        <v>544</v>
      </c>
      <c r="O380" s="30" t="s">
        <v>914</v>
      </c>
      <c r="P380" s="30" t="s">
        <v>190</v>
      </c>
      <c r="Q380" s="30" t="s">
        <v>292</v>
      </c>
      <c r="R380" s="35">
        <v>88</v>
      </c>
      <c r="S380" s="20" t="s">
        <v>536</v>
      </c>
      <c r="T380" s="327">
        <f t="shared" si="220"/>
        <v>88</v>
      </c>
      <c r="U380" s="327">
        <f t="shared" si="221"/>
        <v>0</v>
      </c>
      <c r="V380" s="327">
        <f t="shared" si="222"/>
        <v>0</v>
      </c>
      <c r="W380" s="327">
        <f t="shared" si="223"/>
        <v>0</v>
      </c>
      <c r="Y380" s="318"/>
      <c r="Z380" s="318"/>
    </row>
    <row r="381" spans="1:26" s="222" customFormat="1" ht="25.5" x14ac:dyDescent="0.2">
      <c r="A381" s="222">
        <v>258</v>
      </c>
      <c r="B381" s="20">
        <v>519213</v>
      </c>
      <c r="C381" s="20" t="s">
        <v>483</v>
      </c>
      <c r="D381" s="189" t="s">
        <v>456</v>
      </c>
      <c r="E381" s="59">
        <v>41463</v>
      </c>
      <c r="F381" s="59">
        <v>41983</v>
      </c>
      <c r="G381" s="20">
        <v>22</v>
      </c>
      <c r="H381" s="34"/>
      <c r="I381" s="34"/>
      <c r="J381" s="30"/>
      <c r="K381" s="33">
        <v>41659</v>
      </c>
      <c r="L381" s="33">
        <v>41983</v>
      </c>
      <c r="M381" s="334">
        <v>4</v>
      </c>
      <c r="N381" s="20" t="s">
        <v>543</v>
      </c>
      <c r="O381" s="30" t="s">
        <v>914</v>
      </c>
      <c r="P381" s="30" t="s">
        <v>190</v>
      </c>
      <c r="Q381" s="30" t="s">
        <v>267</v>
      </c>
      <c r="R381" s="35">
        <v>1014</v>
      </c>
      <c r="S381" s="20" t="s">
        <v>534</v>
      </c>
      <c r="T381" s="327">
        <f t="shared" si="220"/>
        <v>237.65625</v>
      </c>
      <c r="U381" s="327">
        <f t="shared" si="221"/>
        <v>258.78125</v>
      </c>
      <c r="V381" s="327">
        <f t="shared" si="222"/>
        <v>258.78125</v>
      </c>
      <c r="W381" s="327">
        <f t="shared" si="223"/>
        <v>258.78125</v>
      </c>
      <c r="Y381" s="318"/>
      <c r="Z381" s="318"/>
    </row>
    <row r="382" spans="1:26" s="222" customFormat="1" ht="25.5" x14ac:dyDescent="0.2">
      <c r="A382" s="222">
        <v>259</v>
      </c>
      <c r="B382" s="20">
        <v>585129</v>
      </c>
      <c r="C382" s="20" t="s">
        <v>483</v>
      </c>
      <c r="D382" s="189" t="s">
        <v>456</v>
      </c>
      <c r="E382" s="59">
        <v>41491</v>
      </c>
      <c r="F382" s="59">
        <v>41983</v>
      </c>
      <c r="G382" s="20">
        <v>13</v>
      </c>
      <c r="H382" s="34"/>
      <c r="I382" s="34"/>
      <c r="J382" s="30"/>
      <c r="K382" s="33">
        <v>41659</v>
      </c>
      <c r="L382" s="33">
        <v>41983</v>
      </c>
      <c r="M382" s="334">
        <v>4</v>
      </c>
      <c r="N382" s="20" t="s">
        <v>543</v>
      </c>
      <c r="O382" s="30" t="s">
        <v>914</v>
      </c>
      <c r="P382" s="30" t="s">
        <v>190</v>
      </c>
      <c r="Q382" s="30" t="s">
        <v>326</v>
      </c>
      <c r="R382" s="35">
        <v>738</v>
      </c>
      <c r="S382" s="20" t="s">
        <v>534</v>
      </c>
      <c r="T382" s="327">
        <f t="shared" si="220"/>
        <v>172.96875</v>
      </c>
      <c r="U382" s="327">
        <f t="shared" si="221"/>
        <v>188.34375</v>
      </c>
      <c r="V382" s="327">
        <f t="shared" si="222"/>
        <v>188.34375</v>
      </c>
      <c r="W382" s="327">
        <f t="shared" si="223"/>
        <v>188.34375</v>
      </c>
      <c r="Y382" s="318"/>
      <c r="Z382" s="318"/>
    </row>
    <row r="383" spans="1:26" s="222" customFormat="1" ht="38.25" x14ac:dyDescent="0.2">
      <c r="A383" s="222">
        <v>260</v>
      </c>
      <c r="B383" s="446">
        <v>577987</v>
      </c>
      <c r="C383" s="446" t="s">
        <v>456</v>
      </c>
      <c r="D383" s="189" t="s">
        <v>456</v>
      </c>
      <c r="E383" s="448">
        <v>41540</v>
      </c>
      <c r="F383" s="450">
        <v>41734</v>
      </c>
      <c r="G383" s="452">
        <v>23</v>
      </c>
      <c r="H383" s="34"/>
      <c r="I383" s="34"/>
      <c r="J383" s="30"/>
      <c r="K383" s="33">
        <v>41659</v>
      </c>
      <c r="L383" s="33">
        <v>41734</v>
      </c>
      <c r="M383" s="334">
        <v>2</v>
      </c>
      <c r="N383" s="20" t="s">
        <v>543</v>
      </c>
      <c r="O383" s="30" t="s">
        <v>915</v>
      </c>
      <c r="P383" s="30" t="s">
        <v>197</v>
      </c>
      <c r="Q383" s="30" t="s">
        <v>262</v>
      </c>
      <c r="R383" s="35">
        <v>126</v>
      </c>
      <c r="S383" s="189" t="s">
        <v>771</v>
      </c>
      <c r="T383" s="327">
        <f t="shared" ref="T383" si="240">IF(K383=$T$3,$T$5*R383/DAYS360(K383,L383),0)</f>
        <v>126</v>
      </c>
      <c r="U383" s="327">
        <f t="shared" ref="U383" si="241">IF(K383=$U$3,$U$5*R383/DAYS360(K383,L383),0)+IF(K383=$T$3,IF(L383=$U$4,R383-T383,0),0)+IF(K383=$T$3,IF(L383=$V$4,(R383-T383)/2,0),0)+IF(K383=$T$3,IF(L383=$W$4,(R383-T383)/3,0),0)</f>
        <v>0</v>
      </c>
      <c r="V383" s="327">
        <f t="shared" ref="V383" si="242">IF(K383=$V$3,$V$5*R383/DAYS360(K383,L383),0)+IF(K383=$T$3,IF(L383=$V$4,R383-T383-U383,0),0)+IF(K383=$T$3,IF(L383=$W$4,(R383-T383-U383)/2,0),0)+IF(K383=$U$3,IF(L383=$V$4,R383-U383,0),0)+IF(K383=$U$3,IF(L383=$W$4,(R383-U383)/2,0),0)</f>
        <v>0</v>
      </c>
      <c r="W383" s="327">
        <f t="shared" ref="W383" si="243">IF(K383=$W$3,$W$5*R383/DAYS360(K383,L383),0)+IF(K383=$T$3,IF(L383=$W$4,R383-T383-U383-V383,0),0)+IF(K383=$U$3,IF(L383=$W$4,R383-U383-V383,0),0)+IF(K383=$V$3,IF(L383=$W$4,R383-V383,0),0)</f>
        <v>0</v>
      </c>
      <c r="Y383" s="318"/>
      <c r="Z383" s="318"/>
    </row>
    <row r="384" spans="1:26" s="222" customFormat="1" ht="38.25" x14ac:dyDescent="0.2">
      <c r="A384" s="222">
        <v>260</v>
      </c>
      <c r="B384" s="447"/>
      <c r="C384" s="447"/>
      <c r="D384" s="189" t="s">
        <v>456</v>
      </c>
      <c r="E384" s="449"/>
      <c r="F384" s="451"/>
      <c r="G384" s="453"/>
      <c r="H384" s="34"/>
      <c r="I384" s="34"/>
      <c r="J384" s="30"/>
      <c r="K384" s="33">
        <v>41659</v>
      </c>
      <c r="L384" s="33">
        <v>41734</v>
      </c>
      <c r="M384" s="334">
        <v>4</v>
      </c>
      <c r="N384" s="20" t="s">
        <v>543</v>
      </c>
      <c r="O384" s="30" t="s">
        <v>915</v>
      </c>
      <c r="P384" s="30" t="s">
        <v>197</v>
      </c>
      <c r="Q384" s="30" t="s">
        <v>275</v>
      </c>
      <c r="R384" s="35">
        <v>198</v>
      </c>
      <c r="S384" s="189" t="s">
        <v>771</v>
      </c>
      <c r="T384" s="327">
        <f t="shared" si="220"/>
        <v>198</v>
      </c>
      <c r="U384" s="327">
        <f t="shared" si="221"/>
        <v>0</v>
      </c>
      <c r="V384" s="327">
        <f t="shared" si="222"/>
        <v>0</v>
      </c>
      <c r="W384" s="327">
        <f t="shared" si="223"/>
        <v>0</v>
      </c>
      <c r="Y384" s="318"/>
      <c r="Z384" s="318"/>
    </row>
    <row r="385" spans="1:26" s="222" customFormat="1" ht="38.25" x14ac:dyDescent="0.2">
      <c r="A385" s="222">
        <v>261</v>
      </c>
      <c r="B385" s="444">
        <v>577982</v>
      </c>
      <c r="C385" s="444" t="s">
        <v>456</v>
      </c>
      <c r="D385" s="319" t="s">
        <v>456</v>
      </c>
      <c r="E385" s="448">
        <v>41540</v>
      </c>
      <c r="F385" s="450">
        <v>41734</v>
      </c>
      <c r="G385" s="444">
        <v>26</v>
      </c>
      <c r="H385" s="34"/>
      <c r="I385" s="34"/>
      <c r="J385" s="30"/>
      <c r="K385" s="33">
        <v>41659</v>
      </c>
      <c r="L385" s="33">
        <v>41734</v>
      </c>
      <c r="M385" s="335">
        <v>2</v>
      </c>
      <c r="N385" s="319" t="s">
        <v>540</v>
      </c>
      <c r="O385" s="30" t="s">
        <v>915</v>
      </c>
      <c r="P385" s="30" t="s">
        <v>197</v>
      </c>
      <c r="Q385" s="30" t="s">
        <v>313</v>
      </c>
      <c r="R385" s="35">
        <v>126</v>
      </c>
      <c r="S385" s="319" t="s">
        <v>772</v>
      </c>
      <c r="T385" s="327">
        <f t="shared" ref="T385" si="244">IF(K385=$T$3,$T$5*R385/DAYS360(K385,L385),0)</f>
        <v>126</v>
      </c>
      <c r="U385" s="327">
        <f t="shared" ref="U385" si="245">IF(K385=$U$3,$U$5*R385/DAYS360(K385,L385),0)+IF(K385=$T$3,IF(L385=$U$4,R385-T385,0),0)+IF(K385=$T$3,IF(L385=$V$4,(R385-T385)/2,0),0)+IF(K385=$T$3,IF(L385=$W$4,(R385-T385)/3,0),0)</f>
        <v>0</v>
      </c>
      <c r="V385" s="327">
        <f t="shared" ref="V385" si="246">IF(K385=$V$3,$V$5*R385/DAYS360(K385,L385),0)+IF(K385=$T$3,IF(L385=$V$4,R385-T385-U385,0),0)+IF(K385=$T$3,IF(L385=$W$4,(R385-T385-U385)/2,0),0)+IF(K385=$U$3,IF(L385=$V$4,R385-U385,0),0)+IF(K385=$U$3,IF(L385=$W$4,(R385-U385)/2,0),0)</f>
        <v>0</v>
      </c>
      <c r="W385" s="327">
        <f t="shared" ref="W385" si="247">IF(K385=$W$3,$W$5*R385/DAYS360(K385,L385),0)+IF(K385=$T$3,IF(L385=$W$4,R385-T385-U385-V385,0),0)+IF(K385=$U$3,IF(L385=$W$4,R385-U385-V385,0),0)+IF(K385=$V$3,IF(L385=$W$4,R385-V385,0),0)</f>
        <v>0</v>
      </c>
      <c r="Y385" s="318"/>
      <c r="Z385" s="318"/>
    </row>
    <row r="386" spans="1:26" s="222" customFormat="1" ht="38.25" x14ac:dyDescent="0.2">
      <c r="A386" s="222">
        <v>261</v>
      </c>
      <c r="B386" s="445"/>
      <c r="C386" s="445"/>
      <c r="D386" s="319" t="s">
        <v>456</v>
      </c>
      <c r="E386" s="449"/>
      <c r="F386" s="451"/>
      <c r="G386" s="445"/>
      <c r="H386" s="34"/>
      <c r="I386" s="34"/>
      <c r="J386" s="30"/>
      <c r="K386" s="33">
        <v>41659</v>
      </c>
      <c r="L386" s="33">
        <v>41734</v>
      </c>
      <c r="M386" s="335">
        <v>4</v>
      </c>
      <c r="N386" s="319" t="s">
        <v>540</v>
      </c>
      <c r="O386" s="30" t="s">
        <v>915</v>
      </c>
      <c r="P386" s="30" t="s">
        <v>197</v>
      </c>
      <c r="Q386" s="30" t="s">
        <v>275</v>
      </c>
      <c r="R386" s="35">
        <v>264</v>
      </c>
      <c r="S386" s="319" t="s">
        <v>772</v>
      </c>
      <c r="T386" s="327">
        <f t="shared" si="220"/>
        <v>264</v>
      </c>
      <c r="U386" s="327">
        <f t="shared" si="221"/>
        <v>0</v>
      </c>
      <c r="V386" s="327">
        <f t="shared" si="222"/>
        <v>0</v>
      </c>
      <c r="W386" s="327">
        <f t="shared" si="223"/>
        <v>0</v>
      </c>
      <c r="Y386" s="318"/>
      <c r="Z386" s="318"/>
    </row>
    <row r="387" spans="1:26" s="222" customFormat="1" ht="38.25" x14ac:dyDescent="0.2">
      <c r="A387" s="222">
        <v>262</v>
      </c>
      <c r="B387" s="444">
        <v>577989</v>
      </c>
      <c r="C387" s="444" t="s">
        <v>609</v>
      </c>
      <c r="D387" s="319" t="s">
        <v>456</v>
      </c>
      <c r="E387" s="448">
        <v>41540</v>
      </c>
      <c r="F387" s="450">
        <v>41734</v>
      </c>
      <c r="G387" s="444">
        <v>16</v>
      </c>
      <c r="H387" s="34"/>
      <c r="I387" s="34"/>
      <c r="J387" s="30"/>
      <c r="K387" s="33">
        <v>41659</v>
      </c>
      <c r="L387" s="33">
        <v>41734</v>
      </c>
      <c r="M387" s="335">
        <v>2</v>
      </c>
      <c r="N387" s="319" t="s">
        <v>541</v>
      </c>
      <c r="O387" s="30" t="s">
        <v>915</v>
      </c>
      <c r="P387" s="30" t="s">
        <v>197</v>
      </c>
      <c r="Q387" s="30" t="s">
        <v>156</v>
      </c>
      <c r="R387" s="35">
        <v>126</v>
      </c>
      <c r="S387" s="319" t="s">
        <v>773</v>
      </c>
      <c r="T387" s="327">
        <f t="shared" ref="T387" si="248">IF(K387=$T$3,$T$5*R387/DAYS360(K387,L387),0)</f>
        <v>126</v>
      </c>
      <c r="U387" s="327">
        <f t="shared" ref="U387" si="249">IF(K387=$U$3,$U$5*R387/DAYS360(K387,L387),0)+IF(K387=$T$3,IF(L387=$U$4,R387-T387,0),0)+IF(K387=$T$3,IF(L387=$V$4,(R387-T387)/2,0),0)+IF(K387=$T$3,IF(L387=$W$4,(R387-T387)/3,0),0)</f>
        <v>0</v>
      </c>
      <c r="V387" s="327">
        <f t="shared" ref="V387" si="250">IF(K387=$V$3,$V$5*R387/DAYS360(K387,L387),0)+IF(K387=$T$3,IF(L387=$V$4,R387-T387-U387,0),0)+IF(K387=$T$3,IF(L387=$W$4,(R387-T387-U387)/2,0),0)+IF(K387=$U$3,IF(L387=$V$4,R387-U387,0),0)+IF(K387=$U$3,IF(L387=$W$4,(R387-U387)/2,0),0)</f>
        <v>0</v>
      </c>
      <c r="W387" s="327">
        <f t="shared" ref="W387" si="251">IF(K387=$W$3,$W$5*R387/DAYS360(K387,L387),0)+IF(K387=$T$3,IF(L387=$W$4,R387-T387-U387-V387,0),0)+IF(K387=$U$3,IF(L387=$W$4,R387-U387-V387,0),0)+IF(K387=$V$3,IF(L387=$W$4,R387-V387,0),0)</f>
        <v>0</v>
      </c>
      <c r="Y387" s="318"/>
      <c r="Z387" s="318"/>
    </row>
    <row r="388" spans="1:26" s="222" customFormat="1" ht="38.25" x14ac:dyDescent="0.2">
      <c r="A388" s="222">
        <v>262</v>
      </c>
      <c r="B388" s="445"/>
      <c r="C388" s="445"/>
      <c r="D388" s="319" t="s">
        <v>456</v>
      </c>
      <c r="E388" s="449"/>
      <c r="F388" s="451"/>
      <c r="G388" s="445"/>
      <c r="H388" s="34"/>
      <c r="I388" s="34"/>
      <c r="J388" s="30"/>
      <c r="K388" s="33">
        <v>41659</v>
      </c>
      <c r="L388" s="33">
        <v>41734</v>
      </c>
      <c r="M388" s="335">
        <v>4</v>
      </c>
      <c r="N388" s="319" t="s">
        <v>541</v>
      </c>
      <c r="O388" s="30" t="s">
        <v>915</v>
      </c>
      <c r="P388" s="30" t="s">
        <v>197</v>
      </c>
      <c r="Q388" s="30" t="s">
        <v>313</v>
      </c>
      <c r="R388" s="35">
        <v>264</v>
      </c>
      <c r="S388" s="319" t="s">
        <v>773</v>
      </c>
      <c r="T388" s="327">
        <f t="shared" si="220"/>
        <v>264</v>
      </c>
      <c r="U388" s="327">
        <f t="shared" si="221"/>
        <v>0</v>
      </c>
      <c r="V388" s="327">
        <f t="shared" si="222"/>
        <v>0</v>
      </c>
      <c r="W388" s="327">
        <f t="shared" si="223"/>
        <v>0</v>
      </c>
      <c r="Y388" s="318"/>
      <c r="Z388" s="318"/>
    </row>
    <row r="389" spans="1:26" s="222" customFormat="1" ht="38.25" x14ac:dyDescent="0.2">
      <c r="A389" s="222">
        <v>263</v>
      </c>
      <c r="B389" s="454">
        <v>636108</v>
      </c>
      <c r="C389" s="444" t="s">
        <v>456</v>
      </c>
      <c r="D389" s="319" t="s">
        <v>456</v>
      </c>
      <c r="E389" s="448">
        <v>41540</v>
      </c>
      <c r="F389" s="450">
        <v>41734</v>
      </c>
      <c r="G389" s="444">
        <v>35</v>
      </c>
      <c r="H389" s="34"/>
      <c r="I389" s="34"/>
      <c r="J389" s="30"/>
      <c r="K389" s="33">
        <v>41659</v>
      </c>
      <c r="L389" s="33">
        <v>41734</v>
      </c>
      <c r="M389" s="335">
        <v>2</v>
      </c>
      <c r="N389" s="319" t="s">
        <v>783</v>
      </c>
      <c r="O389" s="30" t="s">
        <v>915</v>
      </c>
      <c r="P389" s="30" t="s">
        <v>197</v>
      </c>
      <c r="Q389" s="30" t="s">
        <v>156</v>
      </c>
      <c r="R389" s="35">
        <v>84</v>
      </c>
      <c r="S389" s="189" t="s">
        <v>774</v>
      </c>
      <c r="T389" s="327">
        <f t="shared" ref="T389" si="252">IF(K389=$T$3,$T$5*R389/DAYS360(K389,L389),0)</f>
        <v>84</v>
      </c>
      <c r="U389" s="327">
        <f t="shared" ref="U389" si="253">IF(K389=$U$3,$U$5*R389/DAYS360(K389,L389),0)+IF(K389=$T$3,IF(L389=$U$4,R389-T389,0),0)+IF(K389=$T$3,IF(L389=$V$4,(R389-T389)/2,0),0)+IF(K389=$T$3,IF(L389=$W$4,(R389-T389)/3,0),0)</f>
        <v>0</v>
      </c>
      <c r="V389" s="327">
        <f t="shared" ref="V389" si="254">IF(K389=$V$3,$V$5*R389/DAYS360(K389,L389),0)+IF(K389=$T$3,IF(L389=$V$4,R389-T389-U389,0),0)+IF(K389=$T$3,IF(L389=$W$4,(R389-T389-U389)/2,0),0)+IF(K389=$U$3,IF(L389=$V$4,R389-U389,0),0)+IF(K389=$U$3,IF(L389=$W$4,(R389-U389)/2,0),0)</f>
        <v>0</v>
      </c>
      <c r="W389" s="327">
        <f t="shared" ref="W389" si="255">IF(K389=$W$3,$W$5*R389/DAYS360(K389,L389),0)+IF(K389=$T$3,IF(L389=$W$4,R389-T389-U389-V389,0),0)+IF(K389=$U$3,IF(L389=$W$4,R389-U389-V389,0),0)+IF(K389=$V$3,IF(L389=$W$4,R389-V389,0),0)</f>
        <v>0</v>
      </c>
      <c r="Y389" s="318"/>
      <c r="Z389" s="318"/>
    </row>
    <row r="390" spans="1:26" s="222" customFormat="1" ht="38.25" x14ac:dyDescent="0.2">
      <c r="A390" s="222">
        <v>263</v>
      </c>
      <c r="B390" s="455"/>
      <c r="C390" s="445"/>
      <c r="D390" s="319" t="s">
        <v>456</v>
      </c>
      <c r="E390" s="449"/>
      <c r="F390" s="451"/>
      <c r="G390" s="445"/>
      <c r="H390" s="34"/>
      <c r="I390" s="34"/>
      <c r="J390" s="30"/>
      <c r="K390" s="33">
        <v>41659</v>
      </c>
      <c r="L390" s="33">
        <v>41734</v>
      </c>
      <c r="M390" s="335">
        <v>3</v>
      </c>
      <c r="N390" s="319" t="s">
        <v>783</v>
      </c>
      <c r="O390" s="30" t="s">
        <v>915</v>
      </c>
      <c r="P390" s="30" t="s">
        <v>197</v>
      </c>
      <c r="Q390" s="30" t="s">
        <v>326</v>
      </c>
      <c r="R390" s="35">
        <v>124</v>
      </c>
      <c r="S390" s="189" t="s">
        <v>774</v>
      </c>
      <c r="T390" s="327">
        <f t="shared" si="220"/>
        <v>124</v>
      </c>
      <c r="U390" s="327">
        <f t="shared" si="221"/>
        <v>0</v>
      </c>
      <c r="V390" s="327">
        <f t="shared" si="222"/>
        <v>0</v>
      </c>
      <c r="W390" s="327">
        <f t="shared" si="223"/>
        <v>0</v>
      </c>
      <c r="Y390" s="318"/>
      <c r="Z390" s="318"/>
    </row>
    <row r="391" spans="1:26" s="222" customFormat="1" ht="38.25" x14ac:dyDescent="0.2">
      <c r="A391" s="222">
        <v>264</v>
      </c>
      <c r="B391" s="444">
        <v>609913</v>
      </c>
      <c r="C391" s="444" t="s">
        <v>456</v>
      </c>
      <c r="D391" s="319" t="s">
        <v>456</v>
      </c>
      <c r="E391" s="448">
        <v>41540</v>
      </c>
      <c r="F391" s="450">
        <v>41734</v>
      </c>
      <c r="G391" s="444">
        <v>36</v>
      </c>
      <c r="H391" s="34"/>
      <c r="I391" s="34"/>
      <c r="J391" s="30"/>
      <c r="K391" s="33">
        <v>41659</v>
      </c>
      <c r="L391" s="33">
        <v>41734</v>
      </c>
      <c r="M391" s="335">
        <v>2</v>
      </c>
      <c r="N391" s="319" t="s">
        <v>541</v>
      </c>
      <c r="O391" s="30" t="s">
        <v>916</v>
      </c>
      <c r="P391" s="30" t="s">
        <v>197</v>
      </c>
      <c r="Q391" s="30" t="s">
        <v>326</v>
      </c>
      <c r="R391" s="35">
        <v>192</v>
      </c>
      <c r="S391" s="189" t="s">
        <v>775</v>
      </c>
      <c r="T391" s="327">
        <f t="shared" ref="T391" si="256">IF(K391=$T$3,$T$5*R391/DAYS360(K391,L391),0)</f>
        <v>192</v>
      </c>
      <c r="U391" s="327">
        <f t="shared" ref="U391" si="257">IF(K391=$U$3,$U$5*R391/DAYS360(K391,L391),0)+IF(K391=$T$3,IF(L391=$U$4,R391-T391,0),0)+IF(K391=$T$3,IF(L391=$V$4,(R391-T391)/2,0),0)+IF(K391=$T$3,IF(L391=$W$4,(R391-T391)/3,0),0)</f>
        <v>0</v>
      </c>
      <c r="V391" s="327">
        <f t="shared" ref="V391" si="258">IF(K391=$V$3,$V$5*R391/DAYS360(K391,L391),0)+IF(K391=$T$3,IF(L391=$V$4,R391-T391-U391,0),0)+IF(K391=$T$3,IF(L391=$W$4,(R391-T391-U391)/2,0),0)+IF(K391=$U$3,IF(L391=$V$4,R391-U391,0),0)+IF(K391=$U$3,IF(L391=$W$4,(R391-U391)/2,0),0)</f>
        <v>0</v>
      </c>
      <c r="W391" s="327">
        <f t="shared" ref="W391" si="259">IF(K391=$W$3,$W$5*R391/DAYS360(K391,L391),0)+IF(K391=$T$3,IF(L391=$W$4,R391-T391-U391-V391,0),0)+IF(K391=$U$3,IF(L391=$W$4,R391-U391-V391,0),0)+IF(K391=$V$3,IF(L391=$W$4,R391-V391,0),0)</f>
        <v>0</v>
      </c>
      <c r="Y391" s="318"/>
      <c r="Z391" s="318"/>
    </row>
    <row r="392" spans="1:26" s="222" customFormat="1" ht="38.25" x14ac:dyDescent="0.2">
      <c r="A392" s="222">
        <v>264</v>
      </c>
      <c r="B392" s="445"/>
      <c r="C392" s="445"/>
      <c r="D392" s="319" t="s">
        <v>456</v>
      </c>
      <c r="E392" s="449"/>
      <c r="F392" s="451"/>
      <c r="G392" s="445"/>
      <c r="H392" s="34"/>
      <c r="I392" s="34"/>
      <c r="J392" s="30"/>
      <c r="K392" s="33">
        <v>41659</v>
      </c>
      <c r="L392" s="33">
        <v>41734</v>
      </c>
      <c r="M392" s="335">
        <v>3</v>
      </c>
      <c r="N392" s="319" t="s">
        <v>541</v>
      </c>
      <c r="O392" s="30" t="s">
        <v>916</v>
      </c>
      <c r="P392" s="30" t="s">
        <v>197</v>
      </c>
      <c r="Q392" s="30" t="s">
        <v>262</v>
      </c>
      <c r="R392" s="35">
        <v>132</v>
      </c>
      <c r="S392" s="189" t="s">
        <v>775</v>
      </c>
      <c r="T392" s="327">
        <f t="shared" si="220"/>
        <v>132</v>
      </c>
      <c r="U392" s="327">
        <f t="shared" si="221"/>
        <v>0</v>
      </c>
      <c r="V392" s="327">
        <f t="shared" si="222"/>
        <v>0</v>
      </c>
      <c r="W392" s="327">
        <f t="shared" si="223"/>
        <v>0</v>
      </c>
      <c r="Y392" s="318"/>
      <c r="Z392" s="318"/>
    </row>
    <row r="393" spans="1:26" s="222" customFormat="1" ht="51" x14ac:dyDescent="0.2">
      <c r="A393" s="222">
        <v>265</v>
      </c>
      <c r="B393" s="444">
        <v>580356</v>
      </c>
      <c r="C393" s="446" t="s">
        <v>480</v>
      </c>
      <c r="D393" s="319" t="s">
        <v>456</v>
      </c>
      <c r="E393" s="448">
        <v>41548</v>
      </c>
      <c r="F393" s="450">
        <v>42108</v>
      </c>
      <c r="G393" s="444">
        <v>26</v>
      </c>
      <c r="H393" s="34"/>
      <c r="I393" s="34"/>
      <c r="J393" s="30"/>
      <c r="K393" s="33">
        <v>41659</v>
      </c>
      <c r="L393" s="33">
        <v>41983</v>
      </c>
      <c r="M393" s="335">
        <v>2</v>
      </c>
      <c r="N393" s="319" t="s">
        <v>541</v>
      </c>
      <c r="O393" s="30" t="s">
        <v>612</v>
      </c>
      <c r="P393" s="30" t="s">
        <v>190</v>
      </c>
      <c r="Q393" s="30" t="s">
        <v>917</v>
      </c>
      <c r="R393" s="35">
        <v>407</v>
      </c>
      <c r="S393" s="189" t="s">
        <v>776</v>
      </c>
      <c r="T393" s="327">
        <f t="shared" ref="T393" si="260">IF(K393=$T$3,$T$5*R393/DAYS360(K393,L393),0)</f>
        <v>95.390625</v>
      </c>
      <c r="U393" s="327">
        <f t="shared" ref="U393" si="261">IF(K393=$U$3,$U$5*R393/DAYS360(K393,L393),0)+IF(K393=$T$3,IF(L393=$U$4,R393-T393,0),0)+IF(K393=$T$3,IF(L393=$V$4,(R393-T393)/2,0),0)+IF(K393=$T$3,IF(L393=$W$4,(R393-T393)/3,0),0)</f>
        <v>103.86979166666667</v>
      </c>
      <c r="V393" s="327">
        <f t="shared" ref="V393" si="262">IF(K393=$V$3,$V$5*R393/DAYS360(K393,L393),0)+IF(K393=$T$3,IF(L393=$V$4,R393-T393-U393,0),0)+IF(K393=$T$3,IF(L393=$W$4,(R393-T393-U393)/2,0),0)+IF(K393=$U$3,IF(L393=$V$4,R393-U393,0),0)+IF(K393=$U$3,IF(L393=$W$4,(R393-U393)/2,0),0)</f>
        <v>103.86979166666666</v>
      </c>
      <c r="W393" s="327">
        <f t="shared" ref="W393" si="263">IF(K393=$W$3,$W$5*R393/DAYS360(K393,L393),0)+IF(K393=$T$3,IF(L393=$W$4,R393-T393-U393-V393,0),0)+IF(K393=$U$3,IF(L393=$W$4,R393-U393-V393,0),0)+IF(K393=$V$3,IF(L393=$W$4,R393-V393,0),0)</f>
        <v>103.86979166666666</v>
      </c>
      <c r="Y393" s="318"/>
      <c r="Z393" s="318"/>
    </row>
    <row r="394" spans="1:26" s="222" customFormat="1" ht="51" x14ac:dyDescent="0.2">
      <c r="A394" s="222">
        <v>265</v>
      </c>
      <c r="B394" s="445"/>
      <c r="C394" s="447"/>
      <c r="D394" s="319" t="s">
        <v>456</v>
      </c>
      <c r="E394" s="449"/>
      <c r="F394" s="451"/>
      <c r="G394" s="445"/>
      <c r="H394" s="34"/>
      <c r="I394" s="34"/>
      <c r="J394" s="30"/>
      <c r="K394" s="33">
        <v>41659</v>
      </c>
      <c r="L394" s="33">
        <v>41983</v>
      </c>
      <c r="M394" s="334">
        <v>3</v>
      </c>
      <c r="N394" s="319" t="s">
        <v>541</v>
      </c>
      <c r="O394" s="30" t="s">
        <v>612</v>
      </c>
      <c r="P394" s="30" t="s">
        <v>190</v>
      </c>
      <c r="Q394" s="30" t="s">
        <v>918</v>
      </c>
      <c r="R394" s="35">
        <v>768</v>
      </c>
      <c r="S394" s="189" t="s">
        <v>776</v>
      </c>
      <c r="T394" s="327">
        <f t="shared" si="220"/>
        <v>180</v>
      </c>
      <c r="U394" s="327">
        <f t="shared" si="221"/>
        <v>196</v>
      </c>
      <c r="V394" s="327">
        <f t="shared" si="222"/>
        <v>196</v>
      </c>
      <c r="W394" s="327">
        <f t="shared" si="223"/>
        <v>196</v>
      </c>
      <c r="Y394" s="318"/>
      <c r="Z394" s="318"/>
    </row>
    <row r="395" spans="1:26" s="222" customFormat="1" ht="25.5" x14ac:dyDescent="0.2">
      <c r="A395" s="222">
        <v>266</v>
      </c>
      <c r="B395" s="444">
        <v>612335</v>
      </c>
      <c r="C395" s="446" t="s">
        <v>480</v>
      </c>
      <c r="D395" s="319" t="s">
        <v>456</v>
      </c>
      <c r="E395" s="448">
        <v>41548</v>
      </c>
      <c r="F395" s="450">
        <v>42108</v>
      </c>
      <c r="G395" s="444">
        <v>23</v>
      </c>
      <c r="H395" s="34"/>
      <c r="I395" s="34"/>
      <c r="J395" s="30"/>
      <c r="K395" s="33">
        <v>41659</v>
      </c>
      <c r="L395" s="33">
        <v>41983</v>
      </c>
      <c r="M395" s="335">
        <v>2</v>
      </c>
      <c r="N395" s="319" t="s">
        <v>544</v>
      </c>
      <c r="O395" s="30" t="s">
        <v>611</v>
      </c>
      <c r="P395" s="30" t="s">
        <v>190</v>
      </c>
      <c r="Q395" s="30" t="s">
        <v>919</v>
      </c>
      <c r="R395" s="35">
        <v>332</v>
      </c>
      <c r="S395" s="20" t="s">
        <v>777</v>
      </c>
      <c r="T395" s="327">
        <f t="shared" ref="T395" si="264">IF(K395=$T$3,$T$5*R395/DAYS360(K395,L395),0)</f>
        <v>77.8125</v>
      </c>
      <c r="U395" s="327">
        <f t="shared" ref="U395" si="265">IF(K395=$U$3,$U$5*R395/DAYS360(K395,L395),0)+IF(K395=$T$3,IF(L395=$U$4,R395-T395,0),0)+IF(K395=$T$3,IF(L395=$V$4,(R395-T395)/2,0),0)+IF(K395=$T$3,IF(L395=$W$4,(R395-T395)/3,0),0)</f>
        <v>84.729166666666671</v>
      </c>
      <c r="V395" s="327">
        <f t="shared" ref="V395" si="266">IF(K395=$V$3,$V$5*R395/DAYS360(K395,L395),0)+IF(K395=$T$3,IF(L395=$V$4,R395-T395-U395,0),0)+IF(K395=$T$3,IF(L395=$W$4,(R395-T395-U395)/2,0),0)+IF(K395=$U$3,IF(L395=$V$4,R395-U395,0),0)+IF(K395=$U$3,IF(L395=$W$4,(R395-U395)/2,0),0)</f>
        <v>84.729166666666657</v>
      </c>
      <c r="W395" s="327">
        <f t="shared" ref="W395" si="267">IF(K395=$W$3,$W$5*R395/DAYS360(K395,L395),0)+IF(K395=$T$3,IF(L395=$W$4,R395-T395-U395-V395,0),0)+IF(K395=$U$3,IF(L395=$W$4,R395-U395-V395,0),0)+IF(K395=$V$3,IF(L395=$W$4,R395-V395,0),0)</f>
        <v>84.729166666666657</v>
      </c>
      <c r="Y395" s="318"/>
      <c r="Z395" s="318"/>
    </row>
    <row r="396" spans="1:26" s="222" customFormat="1" ht="25.5" x14ac:dyDescent="0.2">
      <c r="A396" s="222">
        <v>266</v>
      </c>
      <c r="B396" s="445"/>
      <c r="C396" s="447"/>
      <c r="D396" s="319" t="s">
        <v>456</v>
      </c>
      <c r="E396" s="449"/>
      <c r="F396" s="451"/>
      <c r="G396" s="445"/>
      <c r="H396" s="34"/>
      <c r="I396" s="34"/>
      <c r="J396" s="30"/>
      <c r="K396" s="33">
        <v>41659</v>
      </c>
      <c r="L396" s="33">
        <v>41983</v>
      </c>
      <c r="M396" s="334">
        <v>3</v>
      </c>
      <c r="N396" s="319" t="s">
        <v>544</v>
      </c>
      <c r="O396" s="30" t="s">
        <v>611</v>
      </c>
      <c r="P396" s="30" t="s">
        <v>190</v>
      </c>
      <c r="Q396" s="30" t="s">
        <v>920</v>
      </c>
      <c r="R396" s="35">
        <v>516</v>
      </c>
      <c r="S396" s="20" t="s">
        <v>777</v>
      </c>
      <c r="T396" s="327">
        <f t="shared" si="220"/>
        <v>120.9375</v>
      </c>
      <c r="U396" s="327">
        <f t="shared" si="221"/>
        <v>131.6875</v>
      </c>
      <c r="V396" s="327">
        <f t="shared" si="222"/>
        <v>131.6875</v>
      </c>
      <c r="W396" s="327">
        <f t="shared" si="223"/>
        <v>131.6875</v>
      </c>
      <c r="Y396" s="318"/>
      <c r="Z396" s="318"/>
    </row>
    <row r="397" spans="1:26" s="222" customFormat="1" ht="25.5" x14ac:dyDescent="0.2">
      <c r="A397" s="222">
        <v>267</v>
      </c>
      <c r="B397" s="444">
        <v>580364</v>
      </c>
      <c r="C397" s="446" t="s">
        <v>480</v>
      </c>
      <c r="D397" s="319" t="s">
        <v>456</v>
      </c>
      <c r="E397" s="448">
        <v>41548</v>
      </c>
      <c r="F397" s="450">
        <v>42108</v>
      </c>
      <c r="G397" s="444">
        <v>30</v>
      </c>
      <c r="H397" s="34"/>
      <c r="I397" s="34"/>
      <c r="J397" s="30"/>
      <c r="K397" s="33">
        <v>41659</v>
      </c>
      <c r="L397" s="33">
        <v>41983</v>
      </c>
      <c r="M397" s="351">
        <v>2</v>
      </c>
      <c r="N397" s="319" t="s">
        <v>782</v>
      </c>
      <c r="O397" s="30" t="s">
        <v>611</v>
      </c>
      <c r="P397" s="30" t="s">
        <v>190</v>
      </c>
      <c r="Q397" s="30" t="s">
        <v>919</v>
      </c>
      <c r="R397" s="35">
        <v>688</v>
      </c>
      <c r="S397" s="20" t="s">
        <v>778</v>
      </c>
      <c r="T397" s="327">
        <f t="shared" si="220"/>
        <v>161.25</v>
      </c>
      <c r="U397" s="327">
        <f t="shared" si="221"/>
        <v>175.58333333333334</v>
      </c>
      <c r="V397" s="327">
        <f t="shared" si="222"/>
        <v>175.58333333333331</v>
      </c>
      <c r="W397" s="327">
        <f t="shared" si="223"/>
        <v>175.58333333333331</v>
      </c>
      <c r="Y397" s="318"/>
      <c r="Z397" s="318"/>
    </row>
    <row r="398" spans="1:26" s="222" customFormat="1" ht="25.5" x14ac:dyDescent="0.2">
      <c r="A398" s="222">
        <v>267</v>
      </c>
      <c r="B398" s="445"/>
      <c r="C398" s="447"/>
      <c r="D398" s="319" t="s">
        <v>456</v>
      </c>
      <c r="E398" s="449"/>
      <c r="F398" s="451"/>
      <c r="G398" s="445"/>
      <c r="H398" s="34"/>
      <c r="I398" s="34"/>
      <c r="J398" s="30"/>
      <c r="K398" s="33">
        <v>41659</v>
      </c>
      <c r="L398" s="33">
        <v>41983</v>
      </c>
      <c r="M398" s="351">
        <v>1</v>
      </c>
      <c r="N398" s="319" t="s">
        <v>782</v>
      </c>
      <c r="O398" s="30" t="s">
        <v>611</v>
      </c>
      <c r="P398" s="30" t="s">
        <v>190</v>
      </c>
      <c r="Q398" s="30" t="s">
        <v>920</v>
      </c>
      <c r="R398" s="35">
        <v>360</v>
      </c>
      <c r="S398" s="20" t="s">
        <v>778</v>
      </c>
      <c r="T398" s="327">
        <f t="shared" ref="T398" si="268">IF(K398=$T$3,$T$5*R398/DAYS360(K398,L398),0)</f>
        <v>84.375</v>
      </c>
      <c r="U398" s="327">
        <f t="shared" ref="U398" si="269">IF(K398=$U$3,$U$5*R398/DAYS360(K398,L398),0)+IF(K398=$T$3,IF(L398=$U$4,R398-T398,0),0)+IF(K398=$T$3,IF(L398=$V$4,(R398-T398)/2,0),0)+IF(K398=$T$3,IF(L398=$W$4,(R398-T398)/3,0),0)</f>
        <v>91.875</v>
      </c>
      <c r="V398" s="327">
        <f t="shared" ref="V398" si="270">IF(K398=$V$3,$V$5*R398/DAYS360(K398,L398),0)+IF(K398=$T$3,IF(L398=$V$4,R398-T398-U398,0),0)+IF(K398=$T$3,IF(L398=$W$4,(R398-T398-U398)/2,0),0)+IF(K398=$U$3,IF(L398=$V$4,R398-U398,0),0)+IF(K398=$U$3,IF(L398=$W$4,(R398-U398)/2,0),0)</f>
        <v>91.875</v>
      </c>
      <c r="W398" s="327">
        <f t="shared" ref="W398" si="271">IF(K398=$W$3,$W$5*R398/DAYS360(K398,L398),0)+IF(K398=$T$3,IF(L398=$W$4,R398-T398-U398-V398,0),0)+IF(K398=$U$3,IF(L398=$W$4,R398-U398-V398,0),0)+IF(K398=$V$3,IF(L398=$W$4,R398-V398,0),0)</f>
        <v>91.875</v>
      </c>
      <c r="Y398" s="318"/>
      <c r="Z398" s="318"/>
    </row>
    <row r="399" spans="1:26" s="222" customFormat="1" ht="25.5" x14ac:dyDescent="0.2">
      <c r="A399" s="222">
        <v>267</v>
      </c>
      <c r="B399" s="444">
        <v>580362</v>
      </c>
      <c r="C399" s="446" t="s">
        <v>480</v>
      </c>
      <c r="D399" s="319" t="s">
        <v>456</v>
      </c>
      <c r="E399" s="448">
        <v>41548</v>
      </c>
      <c r="F399" s="450">
        <v>42108</v>
      </c>
      <c r="G399" s="444">
        <v>30</v>
      </c>
      <c r="H399" s="34"/>
      <c r="I399" s="34"/>
      <c r="J399" s="30"/>
      <c r="K399" s="33">
        <v>41659</v>
      </c>
      <c r="L399" s="33">
        <v>41983</v>
      </c>
      <c r="M399" s="335">
        <v>2</v>
      </c>
      <c r="N399" s="319" t="s">
        <v>782</v>
      </c>
      <c r="O399" s="30" t="s">
        <v>611</v>
      </c>
      <c r="P399" s="30" t="s">
        <v>190</v>
      </c>
      <c r="Q399" s="30" t="s">
        <v>1002</v>
      </c>
      <c r="R399" s="35">
        <v>688</v>
      </c>
      <c r="S399" s="20" t="s">
        <v>778</v>
      </c>
      <c r="T399" s="327">
        <f t="shared" ref="T399" si="272">IF(K399=$T$3,$T$5*R399/DAYS360(K399,L399),0)</f>
        <v>161.25</v>
      </c>
      <c r="U399" s="327">
        <f t="shared" ref="U399" si="273">IF(K399=$U$3,$U$5*R399/DAYS360(K399,L399),0)+IF(K399=$T$3,IF(L399=$U$4,R399-T399,0),0)+IF(K399=$T$3,IF(L399=$V$4,(R399-T399)/2,0),0)+IF(K399=$T$3,IF(L399=$W$4,(R399-T399)/3,0),0)</f>
        <v>175.58333333333334</v>
      </c>
      <c r="V399" s="327">
        <f t="shared" ref="V399" si="274">IF(K399=$V$3,$V$5*R399/DAYS360(K399,L399),0)+IF(K399=$T$3,IF(L399=$V$4,R399-T399-U399,0),0)+IF(K399=$T$3,IF(L399=$W$4,(R399-T399-U399)/2,0),0)+IF(K399=$U$3,IF(L399=$V$4,R399-U399,0),0)+IF(K399=$U$3,IF(L399=$W$4,(R399-U399)/2,0),0)</f>
        <v>175.58333333333331</v>
      </c>
      <c r="W399" s="327">
        <f t="shared" ref="W399" si="275">IF(K399=$W$3,$W$5*R399/DAYS360(K399,L399),0)+IF(K399=$T$3,IF(L399=$W$4,R399-T399-U399-V399,0),0)+IF(K399=$U$3,IF(L399=$W$4,R399-U399-V399,0),0)+IF(K399=$V$3,IF(L399=$W$4,R399-V399,0),0)</f>
        <v>175.58333333333331</v>
      </c>
      <c r="Y399" s="318"/>
      <c r="Z399" s="318"/>
    </row>
    <row r="400" spans="1:26" s="222" customFormat="1" ht="25.5" x14ac:dyDescent="0.2">
      <c r="A400" s="222">
        <v>267</v>
      </c>
      <c r="B400" s="445"/>
      <c r="C400" s="447"/>
      <c r="D400" s="319" t="s">
        <v>456</v>
      </c>
      <c r="E400" s="449"/>
      <c r="F400" s="451"/>
      <c r="G400" s="445"/>
      <c r="H400" s="34"/>
      <c r="I400" s="34"/>
      <c r="J400" s="30"/>
      <c r="K400" s="33">
        <v>41659</v>
      </c>
      <c r="L400" s="33">
        <v>41983</v>
      </c>
      <c r="M400" s="335">
        <v>1</v>
      </c>
      <c r="N400" s="319" t="s">
        <v>782</v>
      </c>
      <c r="O400" s="30" t="s">
        <v>611</v>
      </c>
      <c r="P400" s="30" t="s">
        <v>190</v>
      </c>
      <c r="Q400" s="30" t="s">
        <v>920</v>
      </c>
      <c r="R400" s="35">
        <v>360</v>
      </c>
      <c r="S400" s="20" t="s">
        <v>778</v>
      </c>
      <c r="T400" s="327">
        <f t="shared" si="220"/>
        <v>84.375</v>
      </c>
      <c r="U400" s="327">
        <f t="shared" si="221"/>
        <v>91.875</v>
      </c>
      <c r="V400" s="327">
        <f t="shared" si="222"/>
        <v>91.875</v>
      </c>
      <c r="W400" s="327">
        <f t="shared" si="223"/>
        <v>91.875</v>
      </c>
      <c r="Y400" s="318"/>
      <c r="Z400" s="318"/>
    </row>
    <row r="401" spans="1:26" s="222" customFormat="1" ht="25.5" x14ac:dyDescent="0.2">
      <c r="A401" s="222">
        <v>268</v>
      </c>
      <c r="B401" s="48" t="s">
        <v>450</v>
      </c>
      <c r="C401" s="189" t="s">
        <v>444</v>
      </c>
      <c r="D401" s="189" t="s">
        <v>456</v>
      </c>
      <c r="E401" s="59">
        <v>41736</v>
      </c>
      <c r="F401" s="59">
        <v>42269</v>
      </c>
      <c r="G401" s="20">
        <v>80</v>
      </c>
      <c r="H401" s="34"/>
      <c r="I401" s="34"/>
      <c r="J401" s="30"/>
      <c r="K401" s="33">
        <v>41736</v>
      </c>
      <c r="L401" s="33">
        <v>41983</v>
      </c>
      <c r="M401" s="334">
        <v>5</v>
      </c>
      <c r="N401" s="20" t="s">
        <v>191</v>
      </c>
      <c r="O401" s="20" t="s">
        <v>191</v>
      </c>
      <c r="P401" s="30" t="s">
        <v>190</v>
      </c>
      <c r="Q401" s="30" t="s">
        <v>615</v>
      </c>
      <c r="R401" s="35">
        <v>1264</v>
      </c>
      <c r="S401" s="189" t="s">
        <v>767</v>
      </c>
      <c r="T401" s="327">
        <f t="shared" si="220"/>
        <v>0</v>
      </c>
      <c r="U401" s="327">
        <f t="shared" si="221"/>
        <v>384.92181069958849</v>
      </c>
      <c r="V401" s="327">
        <f t="shared" si="222"/>
        <v>439.53909465020575</v>
      </c>
      <c r="W401" s="327">
        <f t="shared" si="223"/>
        <v>439.53909465020575</v>
      </c>
      <c r="Y401" s="318"/>
      <c r="Z401" s="318"/>
    </row>
    <row r="402" spans="1:26" s="222" customFormat="1" ht="25.5" x14ac:dyDescent="0.2">
      <c r="A402" s="222">
        <v>269</v>
      </c>
      <c r="B402" s="48" t="s">
        <v>450</v>
      </c>
      <c r="C402" s="189" t="s">
        <v>444</v>
      </c>
      <c r="D402" s="189" t="s">
        <v>456</v>
      </c>
      <c r="E402" s="59">
        <v>41736</v>
      </c>
      <c r="F402" s="59">
        <v>42269</v>
      </c>
      <c r="G402" s="20">
        <v>80</v>
      </c>
      <c r="H402" s="34"/>
      <c r="I402" s="34"/>
      <c r="J402" s="30"/>
      <c r="K402" s="33">
        <v>41736</v>
      </c>
      <c r="L402" s="33">
        <v>41983</v>
      </c>
      <c r="M402" s="334">
        <v>5</v>
      </c>
      <c r="N402" s="20" t="s">
        <v>191</v>
      </c>
      <c r="O402" s="20" t="s">
        <v>191</v>
      </c>
      <c r="P402" s="30" t="s">
        <v>190</v>
      </c>
      <c r="Q402" s="30" t="s">
        <v>253</v>
      </c>
      <c r="R402" s="35">
        <v>1264</v>
      </c>
      <c r="S402" s="189" t="s">
        <v>768</v>
      </c>
      <c r="T402" s="327">
        <f t="shared" si="220"/>
        <v>0</v>
      </c>
      <c r="U402" s="327">
        <f t="shared" si="221"/>
        <v>384.92181069958849</v>
      </c>
      <c r="V402" s="327">
        <f t="shared" si="222"/>
        <v>439.53909465020575</v>
      </c>
      <c r="W402" s="327">
        <f t="shared" si="223"/>
        <v>439.53909465020575</v>
      </c>
      <c r="Y402" s="318"/>
      <c r="Z402" s="318"/>
    </row>
    <row r="403" spans="1:26" s="222" customFormat="1" ht="25.5" x14ac:dyDescent="0.2">
      <c r="A403" s="222">
        <v>270</v>
      </c>
      <c r="B403" s="48" t="s">
        <v>450</v>
      </c>
      <c r="C403" s="189" t="s">
        <v>480</v>
      </c>
      <c r="D403" s="189" t="s">
        <v>456</v>
      </c>
      <c r="E403" s="59">
        <v>41736</v>
      </c>
      <c r="F403" s="59">
        <v>42269</v>
      </c>
      <c r="G403" s="20">
        <v>80</v>
      </c>
      <c r="H403" s="34"/>
      <c r="I403" s="34"/>
      <c r="J403" s="30"/>
      <c r="K403" s="33">
        <v>41736</v>
      </c>
      <c r="L403" s="33">
        <v>41983</v>
      </c>
      <c r="M403" s="334">
        <v>5</v>
      </c>
      <c r="N403" s="20" t="s">
        <v>191</v>
      </c>
      <c r="O403" s="20" t="s">
        <v>191</v>
      </c>
      <c r="P403" s="30" t="s">
        <v>190</v>
      </c>
      <c r="Q403" s="30" t="s">
        <v>252</v>
      </c>
      <c r="R403" s="35">
        <v>1264</v>
      </c>
      <c r="S403" s="20" t="s">
        <v>769</v>
      </c>
      <c r="T403" s="327">
        <f t="shared" si="220"/>
        <v>0</v>
      </c>
      <c r="U403" s="327">
        <f t="shared" si="221"/>
        <v>384.92181069958849</v>
      </c>
      <c r="V403" s="327">
        <f t="shared" si="222"/>
        <v>439.53909465020575</v>
      </c>
      <c r="W403" s="327">
        <f t="shared" si="223"/>
        <v>439.53909465020575</v>
      </c>
      <c r="Y403" s="318"/>
      <c r="Z403" s="318"/>
    </row>
    <row r="404" spans="1:26" s="222" customFormat="1" ht="25.5" x14ac:dyDescent="0.2">
      <c r="A404" s="222">
        <v>271</v>
      </c>
      <c r="B404" s="48" t="s">
        <v>450</v>
      </c>
      <c r="C404" s="189" t="s">
        <v>480</v>
      </c>
      <c r="D404" s="189" t="s">
        <v>456</v>
      </c>
      <c r="E404" s="59">
        <v>41736</v>
      </c>
      <c r="F404" s="59">
        <v>42269</v>
      </c>
      <c r="G404" s="20">
        <v>80</v>
      </c>
      <c r="H404" s="34"/>
      <c r="I404" s="34"/>
      <c r="J404" s="30"/>
      <c r="K404" s="33">
        <v>41736</v>
      </c>
      <c r="L404" s="33">
        <v>41983</v>
      </c>
      <c r="M404" s="334">
        <v>5</v>
      </c>
      <c r="N404" s="20" t="s">
        <v>191</v>
      </c>
      <c r="O404" s="20" t="s">
        <v>191</v>
      </c>
      <c r="P404" s="30" t="s">
        <v>190</v>
      </c>
      <c r="Q404" s="30" t="s">
        <v>280</v>
      </c>
      <c r="R404" s="35">
        <v>1264</v>
      </c>
      <c r="S404" s="20" t="s">
        <v>770</v>
      </c>
      <c r="T404" s="327">
        <f t="shared" si="220"/>
        <v>0</v>
      </c>
      <c r="U404" s="327">
        <f t="shared" si="221"/>
        <v>384.92181069958849</v>
      </c>
      <c r="V404" s="327">
        <f t="shared" si="222"/>
        <v>439.53909465020575</v>
      </c>
      <c r="W404" s="327">
        <f t="shared" si="223"/>
        <v>439.53909465020575</v>
      </c>
      <c r="Y404" s="318"/>
      <c r="Z404" s="318"/>
    </row>
    <row r="405" spans="1:26" s="222" customFormat="1" ht="38.25" x14ac:dyDescent="0.2">
      <c r="A405" s="222">
        <v>272</v>
      </c>
      <c r="B405" s="454" t="s">
        <v>450</v>
      </c>
      <c r="C405" s="452" t="s">
        <v>482</v>
      </c>
      <c r="D405" s="189" t="s">
        <v>456</v>
      </c>
      <c r="E405" s="448">
        <v>41736</v>
      </c>
      <c r="F405" s="448">
        <v>42269</v>
      </c>
      <c r="G405" s="452">
        <v>30</v>
      </c>
      <c r="H405" s="34"/>
      <c r="I405" s="34"/>
      <c r="J405" s="30"/>
      <c r="K405" s="33">
        <v>41736</v>
      </c>
      <c r="L405" s="33">
        <v>41983</v>
      </c>
      <c r="M405" s="335">
        <v>3</v>
      </c>
      <c r="N405" s="20" t="s">
        <v>544</v>
      </c>
      <c r="O405" s="30" t="s">
        <v>612</v>
      </c>
      <c r="P405" s="30" t="s">
        <v>190</v>
      </c>
      <c r="Q405" s="30" t="s">
        <v>155</v>
      </c>
      <c r="R405" s="35">
        <v>288</v>
      </c>
      <c r="S405" s="20" t="s">
        <v>536</v>
      </c>
      <c r="T405" s="327">
        <f t="shared" ref="T405:T406" si="276">IF(K405=$T$3,$T$5*R405/DAYS360(K405,L405),0)</f>
        <v>0</v>
      </c>
      <c r="U405" s="327">
        <f t="shared" ref="U405:U406" si="277">IF(K405=$U$3,$U$5*R405/DAYS360(K405,L405),0)+IF(K405=$T$3,IF(L405=$U$4,R405-T405,0),0)+IF(K405=$T$3,IF(L405=$V$4,(R405-T405)/2,0),0)+IF(K405=$T$3,IF(L405=$W$4,(R405-T405)/3,0),0)</f>
        <v>87.703703703703709</v>
      </c>
      <c r="V405" s="327">
        <f t="shared" ref="V405:V406" si="278">IF(K405=$V$3,$V$5*R405/DAYS360(K405,L405),0)+IF(K405=$T$3,IF(L405=$V$4,R405-T405-U405,0),0)+IF(K405=$T$3,IF(L405=$W$4,(R405-T405-U405)/2,0),0)+IF(K405=$U$3,IF(L405=$V$4,R405-U405,0),0)+IF(K405=$U$3,IF(L405=$W$4,(R405-U405)/2,0),0)</f>
        <v>100.14814814814815</v>
      </c>
      <c r="W405" s="327">
        <f t="shared" ref="W405:W406" si="279">IF(K405=$W$3,$W$5*R405/DAYS360(K405,L405),0)+IF(K405=$T$3,IF(L405=$W$4,R405-T405-U405-V405,0),0)+IF(K405=$U$3,IF(L405=$W$4,R405-U405-V405,0),0)+IF(K405=$V$3,IF(L405=$W$4,R405-V405,0),0)</f>
        <v>100.14814814814815</v>
      </c>
      <c r="Y405" s="318"/>
      <c r="Z405" s="318"/>
    </row>
    <row r="406" spans="1:26" s="222" customFormat="1" ht="38.25" x14ac:dyDescent="0.2">
      <c r="A406" s="222">
        <v>272</v>
      </c>
      <c r="B406" s="458"/>
      <c r="C406" s="462"/>
      <c r="D406" s="189" t="s">
        <v>456</v>
      </c>
      <c r="E406" s="460"/>
      <c r="F406" s="460"/>
      <c r="G406" s="462"/>
      <c r="H406" s="34"/>
      <c r="I406" s="34"/>
      <c r="J406" s="30"/>
      <c r="K406" s="33">
        <v>41736</v>
      </c>
      <c r="L406" s="33">
        <v>41983</v>
      </c>
      <c r="M406" s="335">
        <v>3</v>
      </c>
      <c r="N406" s="20" t="s">
        <v>544</v>
      </c>
      <c r="O406" s="30" t="s">
        <v>612</v>
      </c>
      <c r="P406" s="30" t="s">
        <v>190</v>
      </c>
      <c r="Q406" s="30" t="s">
        <v>326</v>
      </c>
      <c r="R406" s="35">
        <v>402</v>
      </c>
      <c r="S406" s="20" t="s">
        <v>536</v>
      </c>
      <c r="T406" s="327">
        <f t="shared" si="276"/>
        <v>0</v>
      </c>
      <c r="U406" s="327">
        <f t="shared" si="277"/>
        <v>122.41975308641975</v>
      </c>
      <c r="V406" s="327">
        <f t="shared" si="278"/>
        <v>139.79012345679013</v>
      </c>
      <c r="W406" s="327">
        <f t="shared" si="279"/>
        <v>139.79012345679013</v>
      </c>
      <c r="Y406" s="318"/>
      <c r="Z406" s="318"/>
    </row>
    <row r="407" spans="1:26" s="222" customFormat="1" ht="38.25" x14ac:dyDescent="0.2">
      <c r="A407" s="222">
        <v>272</v>
      </c>
      <c r="B407" s="455"/>
      <c r="C407" s="453"/>
      <c r="D407" s="189" t="s">
        <v>456</v>
      </c>
      <c r="E407" s="449"/>
      <c r="F407" s="449"/>
      <c r="G407" s="453"/>
      <c r="H407" s="34"/>
      <c r="I407" s="34"/>
      <c r="J407" s="30"/>
      <c r="K407" s="33">
        <v>41904</v>
      </c>
      <c r="L407" s="33">
        <v>41983</v>
      </c>
      <c r="M407" s="334">
        <v>1</v>
      </c>
      <c r="N407" s="20" t="s">
        <v>544</v>
      </c>
      <c r="O407" s="30" t="s">
        <v>612</v>
      </c>
      <c r="P407" s="30" t="s">
        <v>190</v>
      </c>
      <c r="Q407" s="30" t="s">
        <v>262</v>
      </c>
      <c r="R407" s="35">
        <v>44</v>
      </c>
      <c r="S407" s="20" t="s">
        <v>536</v>
      </c>
      <c r="T407" s="327">
        <f t="shared" si="220"/>
        <v>0</v>
      </c>
      <c r="U407" s="327">
        <f t="shared" si="221"/>
        <v>0</v>
      </c>
      <c r="V407" s="327">
        <f t="shared" si="222"/>
        <v>0</v>
      </c>
      <c r="W407" s="327">
        <f t="shared" si="223"/>
        <v>44</v>
      </c>
      <c r="Y407" s="318"/>
      <c r="Z407" s="318"/>
    </row>
    <row r="408" spans="1:26" s="222" customFormat="1" ht="38.25" x14ac:dyDescent="0.2">
      <c r="A408" s="222">
        <v>273</v>
      </c>
      <c r="B408" s="454" t="s">
        <v>450</v>
      </c>
      <c r="C408" s="446" t="s">
        <v>456</v>
      </c>
      <c r="D408" s="189" t="s">
        <v>456</v>
      </c>
      <c r="E408" s="448">
        <v>41736</v>
      </c>
      <c r="F408" s="448">
        <v>41902</v>
      </c>
      <c r="G408" s="452">
        <v>30</v>
      </c>
      <c r="H408" s="34"/>
      <c r="I408" s="34"/>
      <c r="J408" s="30"/>
      <c r="K408" s="33">
        <v>41736</v>
      </c>
      <c r="L408" s="33">
        <v>41902</v>
      </c>
      <c r="M408" s="335">
        <v>2</v>
      </c>
      <c r="N408" s="20" t="s">
        <v>543</v>
      </c>
      <c r="O408" s="30" t="s">
        <v>915</v>
      </c>
      <c r="P408" s="30" t="s">
        <v>197</v>
      </c>
      <c r="Q408" s="30" t="s">
        <v>313</v>
      </c>
      <c r="R408" s="35">
        <v>240</v>
      </c>
      <c r="S408" s="189" t="s">
        <v>771</v>
      </c>
      <c r="T408" s="327">
        <f t="shared" ref="T408:T409" si="280">IF(K408=$T$3,$T$5*R408/DAYS360(K408,L408),0)</f>
        <v>0</v>
      </c>
      <c r="U408" s="327">
        <f t="shared" ref="U408:U409" si="281">IF(K408=$U$3,$U$5*R408/DAYS360(K408,L408),0)+IF(K408=$T$3,IF(L408=$U$4,R408-T408,0),0)+IF(K408=$T$3,IF(L408=$V$4,(R408-T408)/2,0),0)+IF(K408=$T$3,IF(L408=$W$4,(R408-T408)/3,0),0)</f>
        <v>108.95705521472392</v>
      </c>
      <c r="V408" s="327">
        <f t="shared" ref="V408:V409" si="282">IF(K408=$V$3,$V$5*R408/DAYS360(K408,L408),0)+IF(K408=$T$3,IF(L408=$V$4,R408-T408-U408,0),0)+IF(K408=$T$3,IF(L408=$W$4,(R408-T408-U408)/2,0),0)+IF(K408=$U$3,IF(L408=$V$4,R408-U408,0),0)+IF(K408=$U$3,IF(L408=$W$4,(R408-U408)/2,0),0)</f>
        <v>131.04294478527606</v>
      </c>
      <c r="W408" s="327">
        <f t="shared" ref="W408:W409" si="283">IF(K408=$W$3,$W$5*R408/DAYS360(K408,L408),0)+IF(K408=$T$3,IF(L408=$W$4,R408-T408-U408-V408,0),0)+IF(K408=$U$3,IF(L408=$W$4,R408-U408-V408,0),0)+IF(K408=$V$3,IF(L408=$W$4,R408-V408,0),0)</f>
        <v>0</v>
      </c>
      <c r="Y408" s="318"/>
      <c r="Z408" s="318"/>
    </row>
    <row r="409" spans="1:26" s="222" customFormat="1" ht="38.25" x14ac:dyDescent="0.2">
      <c r="A409" s="222">
        <v>273</v>
      </c>
      <c r="B409" s="458"/>
      <c r="C409" s="461"/>
      <c r="D409" s="189" t="s">
        <v>456</v>
      </c>
      <c r="E409" s="460"/>
      <c r="F409" s="460"/>
      <c r="G409" s="462"/>
      <c r="H409" s="34"/>
      <c r="I409" s="34"/>
      <c r="J409" s="30"/>
      <c r="K409" s="33">
        <v>41736</v>
      </c>
      <c r="L409" s="33">
        <v>41811</v>
      </c>
      <c r="M409" s="335">
        <v>4</v>
      </c>
      <c r="N409" s="20" t="s">
        <v>543</v>
      </c>
      <c r="O409" s="30" t="s">
        <v>915</v>
      </c>
      <c r="P409" s="30" t="s">
        <v>197</v>
      </c>
      <c r="Q409" s="30" t="s">
        <v>157</v>
      </c>
      <c r="R409" s="35">
        <v>165</v>
      </c>
      <c r="S409" s="189" t="s">
        <v>771</v>
      </c>
      <c r="T409" s="327">
        <f t="shared" si="280"/>
        <v>0</v>
      </c>
      <c r="U409" s="327">
        <f t="shared" si="281"/>
        <v>165</v>
      </c>
      <c r="V409" s="327">
        <f t="shared" si="282"/>
        <v>0</v>
      </c>
      <c r="W409" s="327">
        <f t="shared" si="283"/>
        <v>0</v>
      </c>
      <c r="Y409" s="318"/>
      <c r="Z409" s="318"/>
    </row>
    <row r="410" spans="1:26" s="222" customFormat="1" ht="38.25" x14ac:dyDescent="0.2">
      <c r="A410" s="222">
        <v>273</v>
      </c>
      <c r="B410" s="455"/>
      <c r="C410" s="447"/>
      <c r="D410" s="189" t="s">
        <v>456</v>
      </c>
      <c r="E410" s="449"/>
      <c r="F410" s="449"/>
      <c r="G410" s="453"/>
      <c r="H410" s="34"/>
      <c r="I410" s="34"/>
      <c r="J410" s="30"/>
      <c r="K410" s="33">
        <v>41827</v>
      </c>
      <c r="L410" s="33">
        <v>41902</v>
      </c>
      <c r="M410" s="334">
        <v>3</v>
      </c>
      <c r="N410" s="20" t="s">
        <v>543</v>
      </c>
      <c r="O410" s="30" t="s">
        <v>915</v>
      </c>
      <c r="P410" s="30" t="s">
        <v>197</v>
      </c>
      <c r="Q410" s="30" t="s">
        <v>275</v>
      </c>
      <c r="R410" s="35">
        <v>192</v>
      </c>
      <c r="S410" s="189" t="s">
        <v>771</v>
      </c>
      <c r="T410" s="327">
        <f t="shared" si="220"/>
        <v>0</v>
      </c>
      <c r="U410" s="327">
        <f t="shared" si="221"/>
        <v>0</v>
      </c>
      <c r="V410" s="327">
        <f t="shared" si="222"/>
        <v>192</v>
      </c>
      <c r="W410" s="327">
        <f t="shared" si="223"/>
        <v>0</v>
      </c>
      <c r="Y410" s="318"/>
      <c r="Z410" s="318"/>
    </row>
    <row r="411" spans="1:26" s="222" customFormat="1" ht="38.25" x14ac:dyDescent="0.2">
      <c r="A411" s="222">
        <v>274</v>
      </c>
      <c r="B411" s="454" t="s">
        <v>450</v>
      </c>
      <c r="C411" s="444" t="s">
        <v>456</v>
      </c>
      <c r="D411" s="319" t="s">
        <v>456</v>
      </c>
      <c r="E411" s="448">
        <v>41736</v>
      </c>
      <c r="F411" s="448">
        <v>41902</v>
      </c>
      <c r="G411" s="444">
        <v>30</v>
      </c>
      <c r="H411" s="34"/>
      <c r="I411" s="34"/>
      <c r="J411" s="30"/>
      <c r="K411" s="33">
        <v>41736</v>
      </c>
      <c r="L411" s="33">
        <v>41902</v>
      </c>
      <c r="M411" s="335">
        <v>2</v>
      </c>
      <c r="N411" s="319" t="s">
        <v>540</v>
      </c>
      <c r="O411" s="30" t="s">
        <v>915</v>
      </c>
      <c r="P411" s="30" t="s">
        <v>197</v>
      </c>
      <c r="Q411" s="30" t="s">
        <v>262</v>
      </c>
      <c r="R411" s="35">
        <v>240</v>
      </c>
      <c r="S411" s="319" t="s">
        <v>772</v>
      </c>
      <c r="T411" s="327">
        <f t="shared" si="220"/>
        <v>0</v>
      </c>
      <c r="U411" s="327">
        <f t="shared" si="221"/>
        <v>108.95705521472392</v>
      </c>
      <c r="V411" s="327">
        <f t="shared" si="222"/>
        <v>131.04294478527606</v>
      </c>
      <c r="W411" s="327">
        <f t="shared" si="223"/>
        <v>0</v>
      </c>
      <c r="Y411" s="318"/>
      <c r="Z411" s="318"/>
    </row>
    <row r="412" spans="1:26" s="222" customFormat="1" ht="38.25" x14ac:dyDescent="0.2">
      <c r="A412" s="222">
        <v>274</v>
      </c>
      <c r="B412" s="458"/>
      <c r="C412" s="459"/>
      <c r="D412" s="319" t="s">
        <v>456</v>
      </c>
      <c r="E412" s="460"/>
      <c r="F412" s="460"/>
      <c r="G412" s="459"/>
      <c r="H412" s="34"/>
      <c r="I412" s="34"/>
      <c r="J412" s="30"/>
      <c r="K412" s="33">
        <v>41736</v>
      </c>
      <c r="L412" s="33">
        <v>41811</v>
      </c>
      <c r="M412" s="335">
        <v>4</v>
      </c>
      <c r="N412" s="319" t="s">
        <v>540</v>
      </c>
      <c r="O412" s="30" t="s">
        <v>915</v>
      </c>
      <c r="P412" s="30" t="s">
        <v>197</v>
      </c>
      <c r="Q412" s="30" t="s">
        <v>917</v>
      </c>
      <c r="R412" s="35">
        <v>165</v>
      </c>
      <c r="S412" s="319" t="s">
        <v>772</v>
      </c>
      <c r="T412" s="327">
        <f t="shared" ref="T412" si="284">IF(K412=$T$3,$T$5*R412/DAYS360(K412,L412),0)</f>
        <v>0</v>
      </c>
      <c r="U412" s="327">
        <f t="shared" ref="U412" si="285">IF(K412=$U$3,$U$5*R412/DAYS360(K412,L412),0)+IF(K412=$T$3,IF(L412=$U$4,R412-T412,0),0)+IF(K412=$T$3,IF(L412=$V$4,(R412-T412)/2,0),0)+IF(K412=$T$3,IF(L412=$W$4,(R412-T412)/3,0),0)</f>
        <v>165</v>
      </c>
      <c r="V412" s="327">
        <f t="shared" ref="V412" si="286">IF(K412=$V$3,$V$5*R412/DAYS360(K412,L412),0)+IF(K412=$T$3,IF(L412=$V$4,R412-T412-U412,0),0)+IF(K412=$T$3,IF(L412=$W$4,(R412-T412-U412)/2,0),0)+IF(K412=$U$3,IF(L412=$V$4,R412-U412,0),0)+IF(K412=$U$3,IF(L412=$W$4,(R412-U412)/2,0),0)</f>
        <v>0</v>
      </c>
      <c r="W412" s="327">
        <f t="shared" ref="W412" si="287">IF(K412=$W$3,$W$5*R412/DAYS360(K412,L412),0)+IF(K412=$T$3,IF(L412=$W$4,R412-T412-U412-V412,0),0)+IF(K412=$U$3,IF(L412=$W$4,R412-U412-V412,0),0)+IF(K412=$V$3,IF(L412=$W$4,R412-V412,0),0)</f>
        <v>0</v>
      </c>
      <c r="Y412" s="318"/>
      <c r="Z412" s="318"/>
    </row>
    <row r="413" spans="1:26" s="222" customFormat="1" ht="38.25" x14ac:dyDescent="0.2">
      <c r="A413" s="222">
        <v>274</v>
      </c>
      <c r="B413" s="455"/>
      <c r="C413" s="445"/>
      <c r="D413" s="319" t="s">
        <v>456</v>
      </c>
      <c r="E413" s="449"/>
      <c r="F413" s="449"/>
      <c r="G413" s="445"/>
      <c r="H413" s="34"/>
      <c r="I413" s="34"/>
      <c r="J413" s="30"/>
      <c r="K413" s="33">
        <v>41827</v>
      </c>
      <c r="L413" s="33">
        <v>41902</v>
      </c>
      <c r="M413" s="334">
        <v>3</v>
      </c>
      <c r="N413" s="319" t="s">
        <v>540</v>
      </c>
      <c r="O413" s="30" t="s">
        <v>915</v>
      </c>
      <c r="P413" s="30" t="s">
        <v>197</v>
      </c>
      <c r="Q413" s="30" t="s">
        <v>275</v>
      </c>
      <c r="R413" s="35">
        <v>192</v>
      </c>
      <c r="S413" s="319" t="s">
        <v>772</v>
      </c>
      <c r="T413" s="327">
        <f t="shared" si="220"/>
        <v>0</v>
      </c>
      <c r="U413" s="327">
        <f t="shared" si="221"/>
        <v>0</v>
      </c>
      <c r="V413" s="327">
        <f t="shared" si="222"/>
        <v>192</v>
      </c>
      <c r="W413" s="327">
        <f t="shared" si="223"/>
        <v>0</v>
      </c>
      <c r="Y413" s="318"/>
      <c r="Z413" s="318"/>
    </row>
    <row r="414" spans="1:26" s="222" customFormat="1" ht="38.25" x14ac:dyDescent="0.2">
      <c r="A414" s="222">
        <v>275</v>
      </c>
      <c r="B414" s="454" t="s">
        <v>450</v>
      </c>
      <c r="C414" s="444" t="s">
        <v>609</v>
      </c>
      <c r="D414" s="319" t="s">
        <v>456</v>
      </c>
      <c r="E414" s="448">
        <v>41736</v>
      </c>
      <c r="F414" s="448">
        <v>41902</v>
      </c>
      <c r="G414" s="444">
        <v>30</v>
      </c>
      <c r="H414" s="34"/>
      <c r="I414" s="34"/>
      <c r="J414" s="30"/>
      <c r="K414" s="33">
        <v>41736</v>
      </c>
      <c r="L414" s="33">
        <v>41902</v>
      </c>
      <c r="M414" s="30" t="s">
        <v>921</v>
      </c>
      <c r="N414" s="319" t="s">
        <v>541</v>
      </c>
      <c r="O414" s="30" t="s">
        <v>915</v>
      </c>
      <c r="P414" s="30" t="s">
        <v>197</v>
      </c>
      <c r="Q414" s="30" t="s">
        <v>917</v>
      </c>
      <c r="R414" s="35">
        <v>365</v>
      </c>
      <c r="S414" s="319" t="s">
        <v>773</v>
      </c>
      <c r="T414" s="327">
        <f t="shared" ref="T414" si="288">IF(K414=$T$3,$T$5*R414/DAYS360(K414,L414),0)</f>
        <v>0</v>
      </c>
      <c r="U414" s="327">
        <f t="shared" ref="U414" si="289">IF(K414=$U$3,$U$5*R414/DAYS360(K414,L414),0)+IF(K414=$T$3,IF(L414=$U$4,R414-T414,0),0)+IF(K414=$T$3,IF(L414=$V$4,(R414-T414)/2,0),0)+IF(K414=$T$3,IF(L414=$W$4,(R414-T414)/3,0),0)</f>
        <v>165.70552147239263</v>
      </c>
      <c r="V414" s="327">
        <f t="shared" ref="V414" si="290">IF(K414=$V$3,$V$5*R414/DAYS360(K414,L414),0)+IF(K414=$T$3,IF(L414=$V$4,R414-T414-U414,0),0)+IF(K414=$T$3,IF(L414=$W$4,(R414-T414-U414)/2,0),0)+IF(K414=$U$3,IF(L414=$V$4,R414-U414,0),0)+IF(K414=$U$3,IF(L414=$W$4,(R414-U414)/2,0),0)</f>
        <v>199.29447852760737</v>
      </c>
      <c r="W414" s="327">
        <f t="shared" ref="W414" si="291">IF(K414=$W$3,$W$5*R414/DAYS360(K414,L414),0)+IF(K414=$T$3,IF(L414=$W$4,R414-T414-U414-V414,0),0)+IF(K414=$U$3,IF(L414=$W$4,R414-U414-V414,0),0)+IF(K414=$V$3,IF(L414=$W$4,R414-V414,0),0)</f>
        <v>0</v>
      </c>
      <c r="Y414" s="318"/>
      <c r="Z414" s="318"/>
    </row>
    <row r="415" spans="1:26" s="222" customFormat="1" ht="38.25" x14ac:dyDescent="0.2">
      <c r="A415" s="222">
        <v>275</v>
      </c>
      <c r="B415" s="455"/>
      <c r="C415" s="445"/>
      <c r="D415" s="319" t="s">
        <v>456</v>
      </c>
      <c r="E415" s="449"/>
      <c r="F415" s="449"/>
      <c r="G415" s="445"/>
      <c r="H415" s="34"/>
      <c r="I415" s="34"/>
      <c r="J415" s="30"/>
      <c r="K415" s="33">
        <v>41736</v>
      </c>
      <c r="L415" s="33">
        <v>41902</v>
      </c>
      <c r="M415" s="334">
        <v>2</v>
      </c>
      <c r="N415" s="319" t="s">
        <v>541</v>
      </c>
      <c r="O415" s="30" t="s">
        <v>915</v>
      </c>
      <c r="P415" s="30" t="s">
        <v>197</v>
      </c>
      <c r="Q415" s="30" t="s">
        <v>156</v>
      </c>
      <c r="R415" s="35">
        <v>240</v>
      </c>
      <c r="S415" s="319" t="s">
        <v>773</v>
      </c>
      <c r="T415" s="327">
        <f t="shared" si="220"/>
        <v>0</v>
      </c>
      <c r="U415" s="327">
        <f t="shared" si="221"/>
        <v>108.95705521472392</v>
      </c>
      <c r="V415" s="327">
        <f t="shared" si="222"/>
        <v>131.04294478527606</v>
      </c>
      <c r="W415" s="327">
        <f t="shared" si="223"/>
        <v>0</v>
      </c>
      <c r="Y415" s="318"/>
      <c r="Z415" s="318"/>
    </row>
    <row r="416" spans="1:26" s="222" customFormat="1" ht="38.25" x14ac:dyDescent="0.2">
      <c r="A416" s="222">
        <v>276</v>
      </c>
      <c r="B416" s="454" t="s">
        <v>450</v>
      </c>
      <c r="C416" s="444" t="s">
        <v>456</v>
      </c>
      <c r="D416" s="319" t="s">
        <v>456</v>
      </c>
      <c r="E416" s="448">
        <v>41736</v>
      </c>
      <c r="F416" s="448">
        <v>41902</v>
      </c>
      <c r="G416" s="444">
        <v>25</v>
      </c>
      <c r="H416" s="34"/>
      <c r="I416" s="34"/>
      <c r="J416" s="30"/>
      <c r="K416" s="33">
        <v>41736</v>
      </c>
      <c r="L416" s="33">
        <v>41902</v>
      </c>
      <c r="M416" s="335">
        <v>2</v>
      </c>
      <c r="N416" s="319" t="s">
        <v>544</v>
      </c>
      <c r="O416" s="30" t="s">
        <v>915</v>
      </c>
      <c r="P416" s="30" t="s">
        <v>197</v>
      </c>
      <c r="Q416" s="30" t="s">
        <v>156</v>
      </c>
      <c r="R416" s="35">
        <v>192</v>
      </c>
      <c r="S416" s="189" t="s">
        <v>774</v>
      </c>
      <c r="T416" s="327">
        <f t="shared" si="220"/>
        <v>0</v>
      </c>
      <c r="U416" s="327">
        <f t="shared" si="221"/>
        <v>87.165644171779135</v>
      </c>
      <c r="V416" s="327">
        <f t="shared" si="222"/>
        <v>104.83435582822086</v>
      </c>
      <c r="W416" s="327">
        <f t="shared" si="223"/>
        <v>0</v>
      </c>
      <c r="Y416" s="318"/>
      <c r="Z416" s="318"/>
    </row>
    <row r="417" spans="1:26" s="222" customFormat="1" ht="38.25" x14ac:dyDescent="0.2">
      <c r="A417" s="222">
        <v>276</v>
      </c>
      <c r="B417" s="458"/>
      <c r="C417" s="459"/>
      <c r="D417" s="319" t="s">
        <v>456</v>
      </c>
      <c r="E417" s="460"/>
      <c r="F417" s="460"/>
      <c r="G417" s="459"/>
      <c r="H417" s="34"/>
      <c r="I417" s="34"/>
      <c r="J417" s="30"/>
      <c r="K417" s="33">
        <v>41736</v>
      </c>
      <c r="L417" s="33">
        <v>41811</v>
      </c>
      <c r="M417" s="335">
        <v>3</v>
      </c>
      <c r="N417" s="319" t="s">
        <v>544</v>
      </c>
      <c r="O417" s="30" t="s">
        <v>915</v>
      </c>
      <c r="P417" s="30" t="s">
        <v>197</v>
      </c>
      <c r="Q417" s="30" t="s">
        <v>613</v>
      </c>
      <c r="R417" s="35">
        <v>375</v>
      </c>
      <c r="S417" s="189" t="s">
        <v>774</v>
      </c>
      <c r="T417" s="327">
        <f t="shared" ref="T417" si="292">IF(K417=$T$3,$T$5*R417/DAYS360(K417,L417),0)</f>
        <v>0</v>
      </c>
      <c r="U417" s="327">
        <f t="shared" ref="U417" si="293">IF(K417=$U$3,$U$5*R417/DAYS360(K417,L417),0)+IF(K417=$T$3,IF(L417=$U$4,R417-T417,0),0)+IF(K417=$T$3,IF(L417=$V$4,(R417-T417)/2,0),0)+IF(K417=$T$3,IF(L417=$W$4,(R417-T417)/3,0),0)</f>
        <v>375</v>
      </c>
      <c r="V417" s="327">
        <f t="shared" ref="V417" si="294">IF(K417=$V$3,$V$5*R417/DAYS360(K417,L417),0)+IF(K417=$T$3,IF(L417=$V$4,R417-T417-U417,0),0)+IF(K417=$T$3,IF(L417=$W$4,(R417-T417-U417)/2,0),0)+IF(K417=$U$3,IF(L417=$V$4,R417-U417,0),0)+IF(K417=$U$3,IF(L417=$W$4,(R417-U417)/2,0),0)</f>
        <v>0</v>
      </c>
      <c r="W417" s="327">
        <f t="shared" ref="W417" si="295">IF(K417=$W$3,$W$5*R417/DAYS360(K417,L417),0)+IF(K417=$T$3,IF(L417=$W$4,R417-T417-U417-V417,0),0)+IF(K417=$U$3,IF(L417=$W$4,R417-U417-V417,0),0)+IF(K417=$V$3,IF(L417=$W$4,R417-V417,0),0)</f>
        <v>0</v>
      </c>
      <c r="Y417" s="318"/>
      <c r="Z417" s="318"/>
    </row>
    <row r="418" spans="1:26" s="222" customFormat="1" ht="38.25" x14ac:dyDescent="0.2">
      <c r="A418" s="222">
        <v>276</v>
      </c>
      <c r="B418" s="455"/>
      <c r="C418" s="445"/>
      <c r="D418" s="319" t="s">
        <v>456</v>
      </c>
      <c r="E418" s="449"/>
      <c r="F418" s="449"/>
      <c r="G418" s="445"/>
      <c r="H418" s="34"/>
      <c r="I418" s="34"/>
      <c r="J418" s="30"/>
      <c r="K418" s="33">
        <v>41827</v>
      </c>
      <c r="L418" s="33">
        <v>41902</v>
      </c>
      <c r="M418" s="334">
        <v>3</v>
      </c>
      <c r="N418" s="319" t="s">
        <v>544</v>
      </c>
      <c r="O418" s="30" t="s">
        <v>915</v>
      </c>
      <c r="P418" s="30" t="s">
        <v>197</v>
      </c>
      <c r="Q418" s="30" t="s">
        <v>326</v>
      </c>
      <c r="R418" s="35">
        <v>240</v>
      </c>
      <c r="S418" s="189" t="s">
        <v>774</v>
      </c>
      <c r="T418" s="327">
        <f t="shared" si="220"/>
        <v>0</v>
      </c>
      <c r="U418" s="327">
        <f t="shared" si="221"/>
        <v>0</v>
      </c>
      <c r="V418" s="327">
        <f t="shared" si="222"/>
        <v>240</v>
      </c>
      <c r="W418" s="327">
        <f t="shared" si="223"/>
        <v>0</v>
      </c>
      <c r="Y418" s="318"/>
      <c r="Z418" s="318"/>
    </row>
    <row r="419" spans="1:26" s="222" customFormat="1" ht="38.25" x14ac:dyDescent="0.2">
      <c r="A419" s="222">
        <v>277</v>
      </c>
      <c r="B419" s="454" t="s">
        <v>450</v>
      </c>
      <c r="C419" s="456" t="s">
        <v>714</v>
      </c>
      <c r="D419" s="319" t="s">
        <v>456</v>
      </c>
      <c r="E419" s="448">
        <v>41736</v>
      </c>
      <c r="F419" s="448">
        <v>41902</v>
      </c>
      <c r="G419" s="444">
        <v>25</v>
      </c>
      <c r="H419" s="34"/>
      <c r="I419" s="34"/>
      <c r="J419" s="30"/>
      <c r="K419" s="33">
        <v>41736</v>
      </c>
      <c r="L419" s="33">
        <v>41902</v>
      </c>
      <c r="M419" s="335">
        <v>2</v>
      </c>
      <c r="N419" s="319" t="s">
        <v>541</v>
      </c>
      <c r="O419" s="30" t="s">
        <v>915</v>
      </c>
      <c r="P419" s="30" t="s">
        <v>197</v>
      </c>
      <c r="Q419" s="30" t="s">
        <v>262</v>
      </c>
      <c r="R419" s="35">
        <v>252</v>
      </c>
      <c r="S419" s="189" t="s">
        <v>779</v>
      </c>
      <c r="T419" s="327">
        <f t="shared" ref="T419" si="296">IF(K419=$T$3,$T$5*R419/DAYS360(K419,L419),0)</f>
        <v>0</v>
      </c>
      <c r="U419" s="327">
        <f t="shared" ref="U419" si="297">IF(K419=$U$3,$U$5*R419/DAYS360(K419,L419),0)+IF(K419=$T$3,IF(L419=$U$4,R419-T419,0),0)+IF(K419=$T$3,IF(L419=$V$4,(R419-T419)/2,0),0)+IF(K419=$T$3,IF(L419=$W$4,(R419-T419)/3,0),0)</f>
        <v>114.40490797546012</v>
      </c>
      <c r="V419" s="327">
        <f t="shared" ref="V419" si="298">IF(K419=$V$3,$V$5*R419/DAYS360(K419,L419),0)+IF(K419=$T$3,IF(L419=$V$4,R419-T419-U419,0),0)+IF(K419=$T$3,IF(L419=$W$4,(R419-T419-U419)/2,0),0)+IF(K419=$U$3,IF(L419=$V$4,R419-U419,0),0)+IF(K419=$U$3,IF(L419=$W$4,(R419-U419)/2,0),0)</f>
        <v>137.59509202453989</v>
      </c>
      <c r="W419" s="327">
        <f t="shared" ref="W419" si="299">IF(K419=$W$3,$W$5*R419/DAYS360(K419,L419),0)+IF(K419=$T$3,IF(L419=$W$4,R419-T419-U419-V419,0),0)+IF(K419=$U$3,IF(L419=$W$4,R419-U419-V419,0),0)+IF(K419=$V$3,IF(L419=$W$4,R419-V419,0),0)</f>
        <v>0</v>
      </c>
      <c r="Y419" s="318"/>
      <c r="Z419" s="318"/>
    </row>
    <row r="420" spans="1:26" s="222" customFormat="1" ht="38.25" x14ac:dyDescent="0.2">
      <c r="A420" s="222">
        <v>277</v>
      </c>
      <c r="B420" s="455"/>
      <c r="C420" s="457"/>
      <c r="D420" s="319" t="s">
        <v>456</v>
      </c>
      <c r="E420" s="449"/>
      <c r="F420" s="449"/>
      <c r="G420" s="445"/>
      <c r="H420" s="34"/>
      <c r="I420" s="34"/>
      <c r="J420" s="30"/>
      <c r="K420" s="33">
        <v>41736</v>
      </c>
      <c r="L420" s="33">
        <v>41902</v>
      </c>
      <c r="M420" s="334">
        <v>3</v>
      </c>
      <c r="N420" s="319" t="s">
        <v>541</v>
      </c>
      <c r="O420" s="30" t="s">
        <v>915</v>
      </c>
      <c r="P420" s="30" t="s">
        <v>197</v>
      </c>
      <c r="Q420" s="30" t="s">
        <v>267</v>
      </c>
      <c r="R420" s="35">
        <v>372</v>
      </c>
      <c r="S420" s="189" t="s">
        <v>779</v>
      </c>
      <c r="T420" s="327">
        <f t="shared" si="220"/>
        <v>0</v>
      </c>
      <c r="U420" s="327">
        <f t="shared" si="221"/>
        <v>168.88343558282207</v>
      </c>
      <c r="V420" s="327">
        <f t="shared" si="222"/>
        <v>203.11656441717793</v>
      </c>
      <c r="W420" s="327">
        <f t="shared" si="223"/>
        <v>0</v>
      </c>
      <c r="Y420" s="318"/>
      <c r="Z420" s="318"/>
    </row>
    <row r="421" spans="1:26" s="222" customFormat="1" ht="38.25" x14ac:dyDescent="0.2">
      <c r="A421" s="222">
        <v>278</v>
      </c>
      <c r="B421" s="454" t="s">
        <v>450</v>
      </c>
      <c r="C421" s="446" t="s">
        <v>480</v>
      </c>
      <c r="D421" s="189" t="s">
        <v>456</v>
      </c>
      <c r="E421" s="448">
        <v>41827</v>
      </c>
      <c r="F421" s="448">
        <v>42348</v>
      </c>
      <c r="G421" s="452">
        <v>30</v>
      </c>
      <c r="H421" s="34"/>
      <c r="I421" s="34"/>
      <c r="J421" s="30"/>
      <c r="K421" s="33">
        <v>41827</v>
      </c>
      <c r="L421" s="33">
        <v>41983</v>
      </c>
      <c r="M421" s="334">
        <v>2</v>
      </c>
      <c r="N421" s="20" t="s">
        <v>543</v>
      </c>
      <c r="O421" s="30" t="s">
        <v>914</v>
      </c>
      <c r="P421" s="30" t="s">
        <v>190</v>
      </c>
      <c r="Q421" s="30" t="s">
        <v>156</v>
      </c>
      <c r="R421" s="35">
        <v>246</v>
      </c>
      <c r="S421" s="20" t="s">
        <v>535</v>
      </c>
      <c r="T421" s="327">
        <f t="shared" si="220"/>
        <v>0</v>
      </c>
      <c r="U421" s="327">
        <f t="shared" si="221"/>
        <v>0</v>
      </c>
      <c r="V421" s="327">
        <f t="shared" si="222"/>
        <v>117.37254901960785</v>
      </c>
      <c r="W421" s="327">
        <f t="shared" si="223"/>
        <v>128.62745098039215</v>
      </c>
      <c r="Y421" s="318"/>
      <c r="Z421" s="318"/>
    </row>
    <row r="422" spans="1:26" s="222" customFormat="1" ht="38.25" x14ac:dyDescent="0.2">
      <c r="A422" s="222">
        <v>278</v>
      </c>
      <c r="B422" s="455"/>
      <c r="C422" s="447"/>
      <c r="D422" s="189" t="s">
        <v>456</v>
      </c>
      <c r="E422" s="449"/>
      <c r="F422" s="449"/>
      <c r="G422" s="453"/>
      <c r="H422" s="34"/>
      <c r="I422" s="34"/>
      <c r="J422" s="30"/>
      <c r="K422" s="33">
        <v>41827</v>
      </c>
      <c r="L422" s="33">
        <v>41983</v>
      </c>
      <c r="M422" s="335">
        <v>3</v>
      </c>
      <c r="N422" s="20" t="s">
        <v>543</v>
      </c>
      <c r="O422" s="30" t="s">
        <v>914</v>
      </c>
      <c r="P422" s="30" t="s">
        <v>190</v>
      </c>
      <c r="Q422" s="30" t="s">
        <v>917</v>
      </c>
      <c r="R422" s="35">
        <v>320</v>
      </c>
      <c r="S422" s="20" t="s">
        <v>535</v>
      </c>
      <c r="T422" s="327">
        <f t="shared" ref="T422:T423" si="300">IF(K422=$T$3,$T$5*R422/DAYS360(K422,L422),0)</f>
        <v>0</v>
      </c>
      <c r="U422" s="327">
        <f t="shared" ref="U422:U423" si="301">IF(K422=$U$3,$U$5*R422/DAYS360(K422,L422),0)+IF(K422=$T$3,IF(L422=$U$4,R422-T422,0),0)+IF(K422=$T$3,IF(L422=$V$4,(R422-T422)/2,0),0)+IF(K422=$T$3,IF(L422=$W$4,(R422-T422)/3,0),0)</f>
        <v>0</v>
      </c>
      <c r="V422" s="327">
        <f t="shared" ref="V422:V423" si="302">IF(K422=$V$3,$V$5*R422/DAYS360(K422,L422),0)+IF(K422=$T$3,IF(L422=$V$4,R422-T422-U422,0),0)+IF(K422=$T$3,IF(L422=$W$4,(R422-T422-U422)/2,0),0)+IF(K422=$U$3,IF(L422=$V$4,R422-U422,0),0)+IF(K422=$U$3,IF(L422=$W$4,(R422-U422)/2,0),0)</f>
        <v>152.6797385620915</v>
      </c>
      <c r="W422" s="327">
        <f t="shared" ref="W422:W423" si="303">IF(K422=$W$3,$W$5*R422/DAYS360(K422,L422),0)+IF(K422=$T$3,IF(L422=$W$4,R422-T422-U422-V422,0),0)+IF(K422=$U$3,IF(L422=$W$4,R422-U422-V422,0),0)+IF(K422=$V$3,IF(L422=$W$4,R422-V422,0),0)</f>
        <v>167.3202614379085</v>
      </c>
      <c r="Y422" s="318"/>
      <c r="Z422" s="318"/>
    </row>
    <row r="423" spans="1:26" s="222" customFormat="1" ht="38.25" x14ac:dyDescent="0.2">
      <c r="A423" s="222">
        <v>279</v>
      </c>
      <c r="B423" s="454" t="s">
        <v>450</v>
      </c>
      <c r="C423" s="446" t="s">
        <v>456</v>
      </c>
      <c r="D423" s="189" t="s">
        <v>456</v>
      </c>
      <c r="E423" s="448">
        <v>41904</v>
      </c>
      <c r="F423" s="448">
        <v>42099</v>
      </c>
      <c r="G423" s="452">
        <v>30</v>
      </c>
      <c r="H423" s="34"/>
      <c r="I423" s="34"/>
      <c r="J423" s="30"/>
      <c r="K423" s="33">
        <v>41904</v>
      </c>
      <c r="L423" s="33">
        <v>41983</v>
      </c>
      <c r="M423" s="335">
        <v>3</v>
      </c>
      <c r="N423" s="20" t="s">
        <v>543</v>
      </c>
      <c r="O423" s="30" t="s">
        <v>915</v>
      </c>
      <c r="P423" s="30" t="s">
        <v>197</v>
      </c>
      <c r="Q423" s="30" t="s">
        <v>157</v>
      </c>
      <c r="R423" s="35">
        <v>160</v>
      </c>
      <c r="S423" s="189" t="s">
        <v>771</v>
      </c>
      <c r="T423" s="327">
        <f t="shared" si="300"/>
        <v>0</v>
      </c>
      <c r="U423" s="327">
        <f t="shared" si="301"/>
        <v>0</v>
      </c>
      <c r="V423" s="327">
        <f t="shared" si="302"/>
        <v>0</v>
      </c>
      <c r="W423" s="327">
        <f t="shared" si="303"/>
        <v>160</v>
      </c>
      <c r="Y423" s="318"/>
      <c r="Z423" s="318"/>
    </row>
    <row r="424" spans="1:26" s="222" customFormat="1" ht="38.25" x14ac:dyDescent="0.2">
      <c r="A424" s="222">
        <v>279</v>
      </c>
      <c r="B424" s="455"/>
      <c r="C424" s="447"/>
      <c r="D424" s="189" t="s">
        <v>456</v>
      </c>
      <c r="E424" s="449"/>
      <c r="F424" s="449"/>
      <c r="G424" s="453"/>
      <c r="H424" s="34"/>
      <c r="I424" s="34"/>
      <c r="J424" s="30"/>
      <c r="K424" s="33">
        <v>41904</v>
      </c>
      <c r="L424" s="33">
        <v>41983</v>
      </c>
      <c r="M424" s="334">
        <v>2</v>
      </c>
      <c r="N424" s="20" t="s">
        <v>543</v>
      </c>
      <c r="O424" s="30" t="s">
        <v>915</v>
      </c>
      <c r="P424" s="30" t="s">
        <v>197</v>
      </c>
      <c r="Q424" s="30" t="s">
        <v>313</v>
      </c>
      <c r="R424" s="35">
        <v>132</v>
      </c>
      <c r="S424" s="189" t="s">
        <v>771</v>
      </c>
      <c r="T424" s="327">
        <f t="shared" si="220"/>
        <v>0</v>
      </c>
      <c r="U424" s="327">
        <f t="shared" si="221"/>
        <v>0</v>
      </c>
      <c r="V424" s="327">
        <f t="shared" si="222"/>
        <v>0</v>
      </c>
      <c r="W424" s="327">
        <f t="shared" si="223"/>
        <v>132</v>
      </c>
      <c r="Y424" s="318"/>
      <c r="Z424" s="318"/>
    </row>
    <row r="425" spans="1:26" s="222" customFormat="1" ht="38.25" x14ac:dyDescent="0.2">
      <c r="A425" s="222">
        <v>280</v>
      </c>
      <c r="B425" s="454" t="s">
        <v>450</v>
      </c>
      <c r="C425" s="456" t="s">
        <v>714</v>
      </c>
      <c r="D425" s="319" t="s">
        <v>456</v>
      </c>
      <c r="E425" s="448">
        <v>41904</v>
      </c>
      <c r="F425" s="448">
        <v>42099</v>
      </c>
      <c r="G425" s="444">
        <v>30</v>
      </c>
      <c r="H425" s="34"/>
      <c r="I425" s="34"/>
      <c r="J425" s="30"/>
      <c r="K425" s="33">
        <v>41904</v>
      </c>
      <c r="L425" s="33">
        <v>41983</v>
      </c>
      <c r="M425" s="335">
        <v>2</v>
      </c>
      <c r="N425" s="319" t="s">
        <v>540</v>
      </c>
      <c r="O425" s="30" t="s">
        <v>915</v>
      </c>
      <c r="P425" s="189" t="s">
        <v>197</v>
      </c>
      <c r="Q425" s="30" t="s">
        <v>262</v>
      </c>
      <c r="R425" s="35">
        <v>120</v>
      </c>
      <c r="S425" s="319" t="s">
        <v>780</v>
      </c>
      <c r="T425" s="327">
        <f t="shared" ref="T425" si="304">IF(K425=$T$3,$T$5*R425/DAYS360(K425,L425),0)</f>
        <v>0</v>
      </c>
      <c r="U425" s="327">
        <f t="shared" ref="U425" si="305">IF(K425=$U$3,$U$5*R425/DAYS360(K425,L425),0)+IF(K425=$T$3,IF(L425=$U$4,R425-T425,0),0)+IF(K425=$T$3,IF(L425=$V$4,(R425-T425)/2,0),0)+IF(K425=$T$3,IF(L425=$W$4,(R425-T425)/3,0),0)</f>
        <v>0</v>
      </c>
      <c r="V425" s="327">
        <f t="shared" ref="V425" si="306">IF(K425=$V$3,$V$5*R425/DAYS360(K425,L425),0)+IF(K425=$T$3,IF(L425=$V$4,R425-T425-U425,0),0)+IF(K425=$T$3,IF(L425=$W$4,(R425-T425-U425)/2,0),0)+IF(K425=$U$3,IF(L425=$V$4,R425-U425,0),0)+IF(K425=$U$3,IF(L425=$W$4,(R425-U425)/2,0),0)</f>
        <v>0</v>
      </c>
      <c r="W425" s="327">
        <f t="shared" ref="W425" si="307">IF(K425=$W$3,$W$5*R425/DAYS360(K425,L425),0)+IF(K425=$T$3,IF(L425=$W$4,R425-T425-U425-V425,0),0)+IF(K425=$U$3,IF(L425=$W$4,R425-U425-V425,0),0)+IF(K425=$V$3,IF(L425=$W$4,R425-V425,0),0)</f>
        <v>120</v>
      </c>
      <c r="Y425" s="318"/>
      <c r="Z425" s="318"/>
    </row>
    <row r="426" spans="1:26" s="222" customFormat="1" ht="38.25" x14ac:dyDescent="0.2">
      <c r="A426" s="222">
        <v>280</v>
      </c>
      <c r="B426" s="455"/>
      <c r="C426" s="457"/>
      <c r="D426" s="319" t="s">
        <v>456</v>
      </c>
      <c r="E426" s="449"/>
      <c r="F426" s="449"/>
      <c r="G426" s="445"/>
      <c r="H426" s="34"/>
      <c r="I426" s="34"/>
      <c r="J426" s="30"/>
      <c r="K426" s="33">
        <v>41904</v>
      </c>
      <c r="L426" s="33">
        <v>41983</v>
      </c>
      <c r="M426" s="334">
        <v>3</v>
      </c>
      <c r="N426" s="319" t="s">
        <v>540</v>
      </c>
      <c r="O426" s="30" t="s">
        <v>915</v>
      </c>
      <c r="P426" s="189" t="s">
        <v>197</v>
      </c>
      <c r="Q426" s="30" t="s">
        <v>267</v>
      </c>
      <c r="R426" s="35">
        <v>204</v>
      </c>
      <c r="S426" s="319" t="s">
        <v>780</v>
      </c>
      <c r="T426" s="327">
        <f t="shared" si="220"/>
        <v>0</v>
      </c>
      <c r="U426" s="327">
        <f t="shared" si="221"/>
        <v>0</v>
      </c>
      <c r="V426" s="327">
        <f t="shared" si="222"/>
        <v>0</v>
      </c>
      <c r="W426" s="327">
        <f t="shared" si="223"/>
        <v>204</v>
      </c>
      <c r="Y426" s="318"/>
      <c r="Z426" s="318"/>
    </row>
    <row r="427" spans="1:26" s="222" customFormat="1" ht="38.25" x14ac:dyDescent="0.2">
      <c r="A427" s="222">
        <v>281</v>
      </c>
      <c r="B427" s="454" t="s">
        <v>450</v>
      </c>
      <c r="C427" s="444" t="s">
        <v>609</v>
      </c>
      <c r="D427" s="319" t="s">
        <v>456</v>
      </c>
      <c r="E427" s="448">
        <v>41904</v>
      </c>
      <c r="F427" s="448">
        <v>42099</v>
      </c>
      <c r="G427" s="444">
        <v>30</v>
      </c>
      <c r="H427" s="34"/>
      <c r="I427" s="34"/>
      <c r="J427" s="30"/>
      <c r="K427" s="33">
        <v>41904</v>
      </c>
      <c r="L427" s="33">
        <v>41983</v>
      </c>
      <c r="M427" s="335">
        <v>2</v>
      </c>
      <c r="N427" s="319" t="s">
        <v>541</v>
      </c>
      <c r="O427" s="30" t="s">
        <v>915</v>
      </c>
      <c r="P427" s="189" t="s">
        <v>197</v>
      </c>
      <c r="Q427" s="30" t="s">
        <v>917</v>
      </c>
      <c r="R427" s="35">
        <v>100</v>
      </c>
      <c r="S427" s="319" t="s">
        <v>781</v>
      </c>
      <c r="T427" s="327">
        <f t="shared" ref="T427" si="308">IF(K427=$T$3,$T$5*R427/DAYS360(K427,L427),0)</f>
        <v>0</v>
      </c>
      <c r="U427" s="327">
        <f t="shared" ref="U427" si="309">IF(K427=$U$3,$U$5*R427/DAYS360(K427,L427),0)+IF(K427=$T$3,IF(L427=$U$4,R427-T427,0),0)+IF(K427=$T$3,IF(L427=$V$4,(R427-T427)/2,0),0)+IF(K427=$T$3,IF(L427=$W$4,(R427-T427)/3,0),0)</f>
        <v>0</v>
      </c>
      <c r="V427" s="327">
        <f t="shared" ref="V427" si="310">IF(K427=$V$3,$V$5*R427/DAYS360(K427,L427),0)+IF(K427=$T$3,IF(L427=$V$4,R427-T427-U427,0),0)+IF(K427=$T$3,IF(L427=$W$4,(R427-T427-U427)/2,0),0)+IF(K427=$U$3,IF(L427=$V$4,R427-U427,0),0)+IF(K427=$U$3,IF(L427=$W$4,(R427-U427)/2,0),0)</f>
        <v>0</v>
      </c>
      <c r="W427" s="327">
        <f t="shared" ref="W427" si="311">IF(K427=$W$3,$W$5*R427/DAYS360(K427,L427),0)+IF(K427=$T$3,IF(L427=$W$4,R427-T427-U427-V427,0),0)+IF(K427=$U$3,IF(L427=$W$4,R427-U427-V427,0),0)+IF(K427=$V$3,IF(L427=$W$4,R427-V427,0),0)</f>
        <v>100</v>
      </c>
      <c r="Y427" s="318"/>
      <c r="Z427" s="318"/>
    </row>
    <row r="428" spans="1:26" s="222" customFormat="1" ht="38.25" x14ac:dyDescent="0.2">
      <c r="A428" s="222">
        <v>281</v>
      </c>
      <c r="B428" s="455"/>
      <c r="C428" s="445"/>
      <c r="D428" s="319" t="s">
        <v>456</v>
      </c>
      <c r="E428" s="449"/>
      <c r="F428" s="449"/>
      <c r="G428" s="445"/>
      <c r="H428" s="34"/>
      <c r="I428" s="34"/>
      <c r="J428" s="30"/>
      <c r="K428" s="33">
        <v>41904</v>
      </c>
      <c r="L428" s="33">
        <v>41983</v>
      </c>
      <c r="M428" s="334">
        <v>3</v>
      </c>
      <c r="N428" s="319" t="s">
        <v>541</v>
      </c>
      <c r="O428" s="30" t="s">
        <v>915</v>
      </c>
      <c r="P428" s="189" t="s">
        <v>197</v>
      </c>
      <c r="Q428" s="30" t="s">
        <v>613</v>
      </c>
      <c r="R428" s="35">
        <v>204</v>
      </c>
      <c r="S428" s="319" t="s">
        <v>781</v>
      </c>
      <c r="T428" s="327">
        <f t="shared" si="220"/>
        <v>0</v>
      </c>
      <c r="U428" s="327">
        <f t="shared" si="221"/>
        <v>0</v>
      </c>
      <c r="V428" s="327">
        <f t="shared" si="222"/>
        <v>0</v>
      </c>
      <c r="W428" s="327">
        <f t="shared" si="223"/>
        <v>204</v>
      </c>
      <c r="Y428" s="318"/>
      <c r="Z428" s="318"/>
    </row>
    <row r="429" spans="1:26" s="222" customFormat="1" ht="38.25" x14ac:dyDescent="0.2">
      <c r="A429" s="222">
        <v>282</v>
      </c>
      <c r="B429" s="454" t="s">
        <v>450</v>
      </c>
      <c r="C429" s="444" t="s">
        <v>456</v>
      </c>
      <c r="D429" s="319" t="s">
        <v>456</v>
      </c>
      <c r="E429" s="448">
        <v>41904</v>
      </c>
      <c r="F429" s="448">
        <v>42099</v>
      </c>
      <c r="G429" s="444">
        <v>25</v>
      </c>
      <c r="H429" s="34"/>
      <c r="I429" s="34"/>
      <c r="J429" s="30"/>
      <c r="K429" s="33">
        <v>41904</v>
      </c>
      <c r="L429" s="33">
        <v>41983</v>
      </c>
      <c r="M429" s="335">
        <v>2</v>
      </c>
      <c r="N429" s="319" t="s">
        <v>544</v>
      </c>
      <c r="O429" s="30" t="s">
        <v>915</v>
      </c>
      <c r="P429" s="189" t="s">
        <v>197</v>
      </c>
      <c r="Q429" s="30" t="s">
        <v>156</v>
      </c>
      <c r="R429" s="35">
        <v>80</v>
      </c>
      <c r="S429" s="189" t="s">
        <v>774</v>
      </c>
      <c r="T429" s="327">
        <f t="shared" ref="T429" si="312">IF(K429=$T$3,$T$5*R429/DAYS360(K429,L429),0)</f>
        <v>0</v>
      </c>
      <c r="U429" s="327">
        <f t="shared" ref="U429" si="313">IF(K429=$U$3,$U$5*R429/DAYS360(K429,L429),0)+IF(K429=$T$3,IF(L429=$U$4,R429-T429,0),0)+IF(K429=$T$3,IF(L429=$V$4,(R429-T429)/2,0),0)+IF(K429=$T$3,IF(L429=$W$4,(R429-T429)/3,0),0)</f>
        <v>0</v>
      </c>
      <c r="V429" s="327">
        <f t="shared" ref="V429" si="314">IF(K429=$V$3,$V$5*R429/DAYS360(K429,L429),0)+IF(K429=$T$3,IF(L429=$V$4,R429-T429-U429,0),0)+IF(K429=$T$3,IF(L429=$W$4,(R429-T429-U429)/2,0),0)+IF(K429=$U$3,IF(L429=$V$4,R429-U429,0),0)+IF(K429=$U$3,IF(L429=$W$4,(R429-U429)/2,0),0)</f>
        <v>0</v>
      </c>
      <c r="W429" s="327">
        <f t="shared" ref="W429" si="315">IF(K429=$W$3,$W$5*R429/DAYS360(K429,L429),0)+IF(K429=$T$3,IF(L429=$W$4,R429-T429-U429-V429,0),0)+IF(K429=$U$3,IF(L429=$W$4,R429-U429-V429,0),0)+IF(K429=$V$3,IF(L429=$W$4,R429-V429,0),0)</f>
        <v>80</v>
      </c>
      <c r="Y429" s="318"/>
      <c r="Z429" s="318"/>
    </row>
    <row r="430" spans="1:26" s="222" customFormat="1" ht="38.25" x14ac:dyDescent="0.2">
      <c r="A430" s="222">
        <v>282</v>
      </c>
      <c r="B430" s="455"/>
      <c r="C430" s="445"/>
      <c r="D430" s="319" t="s">
        <v>456</v>
      </c>
      <c r="E430" s="449"/>
      <c r="F430" s="449"/>
      <c r="G430" s="445"/>
      <c r="H430" s="34"/>
      <c r="I430" s="34"/>
      <c r="J430" s="30"/>
      <c r="K430" s="33">
        <v>41904</v>
      </c>
      <c r="L430" s="33">
        <v>41983</v>
      </c>
      <c r="M430" s="335">
        <v>3</v>
      </c>
      <c r="N430" s="319" t="s">
        <v>544</v>
      </c>
      <c r="O430" s="30" t="s">
        <v>915</v>
      </c>
      <c r="P430" s="189" t="s">
        <v>197</v>
      </c>
      <c r="Q430" s="30" t="s">
        <v>613</v>
      </c>
      <c r="R430" s="35">
        <v>136</v>
      </c>
      <c r="S430" s="189" t="s">
        <v>774</v>
      </c>
      <c r="T430" s="327">
        <f t="shared" si="220"/>
        <v>0</v>
      </c>
      <c r="U430" s="327">
        <f t="shared" si="221"/>
        <v>0</v>
      </c>
      <c r="V430" s="327">
        <f t="shared" si="222"/>
        <v>0</v>
      </c>
      <c r="W430" s="327">
        <f t="shared" si="223"/>
        <v>136</v>
      </c>
      <c r="Y430" s="318"/>
      <c r="Z430" s="318"/>
    </row>
    <row r="431" spans="1:26" s="222" customFormat="1" ht="38.25" x14ac:dyDescent="0.2">
      <c r="A431" s="222">
        <v>283</v>
      </c>
      <c r="B431" s="454" t="s">
        <v>450</v>
      </c>
      <c r="C431" s="444" t="s">
        <v>456</v>
      </c>
      <c r="D431" s="319" t="s">
        <v>456</v>
      </c>
      <c r="E431" s="448">
        <v>41904</v>
      </c>
      <c r="F431" s="448">
        <v>42099</v>
      </c>
      <c r="G431" s="444">
        <v>25</v>
      </c>
      <c r="H431" s="34"/>
      <c r="I431" s="34"/>
      <c r="J431" s="30"/>
      <c r="K431" s="33">
        <v>41904</v>
      </c>
      <c r="L431" s="33">
        <v>41983</v>
      </c>
      <c r="M431" s="335">
        <v>2</v>
      </c>
      <c r="N431" s="319" t="s">
        <v>541</v>
      </c>
      <c r="O431" s="30" t="s">
        <v>915</v>
      </c>
      <c r="P431" s="189" t="s">
        <v>197</v>
      </c>
      <c r="Q431" s="30" t="s">
        <v>262</v>
      </c>
      <c r="R431" s="35">
        <v>120</v>
      </c>
      <c r="S431" s="189" t="s">
        <v>775</v>
      </c>
      <c r="T431" s="327">
        <f t="shared" ref="T431" si="316">IF(K431=$T$3,$T$5*R431/DAYS360(K431,L431),0)</f>
        <v>0</v>
      </c>
      <c r="U431" s="327">
        <f t="shared" ref="U431" si="317">IF(K431=$U$3,$U$5*R431/DAYS360(K431,L431),0)+IF(K431=$T$3,IF(L431=$U$4,R431-T431,0),0)+IF(K431=$T$3,IF(L431=$V$4,(R431-T431)/2,0),0)+IF(K431=$T$3,IF(L431=$W$4,(R431-T431)/3,0),0)</f>
        <v>0</v>
      </c>
      <c r="V431" s="327">
        <f t="shared" ref="V431" si="318">IF(K431=$V$3,$V$5*R431/DAYS360(K431,L431),0)+IF(K431=$T$3,IF(L431=$V$4,R431-T431-U431,0),0)+IF(K431=$T$3,IF(L431=$W$4,(R431-T431-U431)/2,0),0)+IF(K431=$U$3,IF(L431=$V$4,R431-U431,0),0)+IF(K431=$U$3,IF(L431=$W$4,(R431-U431)/2,0),0)</f>
        <v>0</v>
      </c>
      <c r="W431" s="327">
        <f t="shared" ref="W431" si="319">IF(K431=$W$3,$W$5*R431/DAYS360(K431,L431),0)+IF(K431=$T$3,IF(L431=$W$4,R431-T431-U431-V431,0),0)+IF(K431=$U$3,IF(L431=$W$4,R431-U431-V431,0),0)+IF(K431=$V$3,IF(L431=$W$4,R431-V431,0),0)</f>
        <v>120</v>
      </c>
      <c r="Y431" s="318"/>
      <c r="Z431" s="318"/>
    </row>
    <row r="432" spans="1:26" s="222" customFormat="1" ht="38.25" x14ac:dyDescent="0.2">
      <c r="A432" s="222">
        <v>283</v>
      </c>
      <c r="B432" s="455"/>
      <c r="C432" s="445"/>
      <c r="D432" s="319" t="s">
        <v>456</v>
      </c>
      <c r="E432" s="449"/>
      <c r="F432" s="449"/>
      <c r="G432" s="445"/>
      <c r="H432" s="34"/>
      <c r="I432" s="34"/>
      <c r="J432" s="30"/>
      <c r="K432" s="33">
        <v>41904</v>
      </c>
      <c r="L432" s="33">
        <v>41983</v>
      </c>
      <c r="M432" s="335">
        <v>3</v>
      </c>
      <c r="N432" s="319" t="s">
        <v>541</v>
      </c>
      <c r="O432" s="30" t="s">
        <v>915</v>
      </c>
      <c r="P432" s="189" t="s">
        <v>197</v>
      </c>
      <c r="Q432" s="30" t="s">
        <v>158</v>
      </c>
      <c r="R432" s="35">
        <v>170</v>
      </c>
      <c r="S432" s="189" t="s">
        <v>775</v>
      </c>
      <c r="T432" s="327">
        <f t="shared" si="220"/>
        <v>0</v>
      </c>
      <c r="U432" s="327">
        <f t="shared" si="221"/>
        <v>0</v>
      </c>
      <c r="V432" s="327">
        <f t="shared" si="222"/>
        <v>0</v>
      </c>
      <c r="W432" s="327">
        <f t="shared" si="223"/>
        <v>170</v>
      </c>
      <c r="Y432" s="318"/>
      <c r="Z432" s="318"/>
    </row>
    <row r="433" spans="1:25" s="222" customFormat="1" ht="25.5" x14ac:dyDescent="0.2">
      <c r="B433" s="53"/>
      <c r="C433" s="49" t="s">
        <v>1039</v>
      </c>
      <c r="D433" s="20" t="s">
        <v>487</v>
      </c>
      <c r="E433" s="59">
        <v>41659</v>
      </c>
      <c r="F433" s="59">
        <v>41983</v>
      </c>
      <c r="G433" s="32"/>
      <c r="H433" s="28"/>
      <c r="I433" s="28"/>
      <c r="J433" s="45"/>
      <c r="K433" s="59">
        <v>41659</v>
      </c>
      <c r="L433" s="59">
        <v>41983</v>
      </c>
      <c r="M433" s="20">
        <v>5</v>
      </c>
      <c r="N433" s="189" t="s">
        <v>1040</v>
      </c>
      <c r="O433" s="20"/>
      <c r="P433" s="319" t="s">
        <v>190</v>
      </c>
      <c r="Q433" s="45" t="s">
        <v>403</v>
      </c>
      <c r="R433" s="20">
        <v>1357</v>
      </c>
      <c r="T433" s="327">
        <f t="shared" si="220"/>
        <v>318.046875</v>
      </c>
      <c r="U433" s="327">
        <f t="shared" si="221"/>
        <v>346.31770833333331</v>
      </c>
      <c r="V433" s="327">
        <f t="shared" si="222"/>
        <v>346.31770833333337</v>
      </c>
      <c r="W433" s="327">
        <f t="shared" si="223"/>
        <v>346.31770833333337</v>
      </c>
      <c r="X433" s="65">
        <f t="shared" ref="X433:X468" si="320">SUM(T433:W433)</f>
        <v>1357</v>
      </c>
      <c r="Y433" s="235">
        <f t="shared" ref="Y433:Y453" si="321">X433-R433</f>
        <v>0</v>
      </c>
    </row>
    <row r="434" spans="1:25" s="222" customFormat="1" ht="25.5" x14ac:dyDescent="0.2">
      <c r="B434" s="53"/>
      <c r="C434" s="49" t="s">
        <v>1039</v>
      </c>
      <c r="D434" s="20" t="s">
        <v>487</v>
      </c>
      <c r="E434" s="59">
        <v>41659</v>
      </c>
      <c r="F434" s="59">
        <v>41983</v>
      </c>
      <c r="G434" s="32"/>
      <c r="H434" s="28"/>
      <c r="I434" s="28"/>
      <c r="J434" s="45"/>
      <c r="K434" s="59">
        <v>41659</v>
      </c>
      <c r="L434" s="59">
        <v>41983</v>
      </c>
      <c r="M434" s="20">
        <v>5</v>
      </c>
      <c r="N434" s="189" t="s">
        <v>1040</v>
      </c>
      <c r="O434" s="20"/>
      <c r="P434" s="319" t="s">
        <v>190</v>
      </c>
      <c r="Q434" s="45" t="s">
        <v>402</v>
      </c>
      <c r="R434" s="20">
        <v>1357</v>
      </c>
      <c r="T434" s="327">
        <f t="shared" si="220"/>
        <v>318.046875</v>
      </c>
      <c r="U434" s="327">
        <f t="shared" si="221"/>
        <v>346.31770833333331</v>
      </c>
      <c r="V434" s="327">
        <f t="shared" si="222"/>
        <v>346.31770833333337</v>
      </c>
      <c r="W434" s="327">
        <f t="shared" si="223"/>
        <v>346.31770833333337</v>
      </c>
      <c r="X434" s="65">
        <f t="shared" si="320"/>
        <v>1357</v>
      </c>
      <c r="Y434" s="235">
        <f t="shared" si="321"/>
        <v>0</v>
      </c>
    </row>
    <row r="435" spans="1:25" s="222" customFormat="1" ht="25.5" x14ac:dyDescent="0.2">
      <c r="B435" s="53"/>
      <c r="C435" s="49" t="s">
        <v>1039</v>
      </c>
      <c r="D435" s="20" t="s">
        <v>487</v>
      </c>
      <c r="E435" s="59">
        <v>41659</v>
      </c>
      <c r="F435" s="59">
        <v>41983</v>
      </c>
      <c r="G435" s="32"/>
      <c r="H435" s="28"/>
      <c r="I435" s="28"/>
      <c r="J435" s="45"/>
      <c r="K435" s="59">
        <v>41659</v>
      </c>
      <c r="L435" s="59">
        <v>41983</v>
      </c>
      <c r="M435" s="20">
        <v>5</v>
      </c>
      <c r="N435" s="189" t="s">
        <v>1040</v>
      </c>
      <c r="O435" s="20"/>
      <c r="P435" s="319" t="s">
        <v>190</v>
      </c>
      <c r="Q435" s="45" t="s">
        <v>210</v>
      </c>
      <c r="R435" s="20">
        <v>1696</v>
      </c>
      <c r="T435" s="327">
        <f t="shared" si="220"/>
        <v>397.5</v>
      </c>
      <c r="U435" s="327">
        <f t="shared" si="221"/>
        <v>432.83333333333331</v>
      </c>
      <c r="V435" s="327">
        <f t="shared" si="222"/>
        <v>432.83333333333337</v>
      </c>
      <c r="W435" s="327">
        <f t="shared" si="223"/>
        <v>432.83333333333337</v>
      </c>
      <c r="X435" s="65">
        <f t="shared" si="320"/>
        <v>1696</v>
      </c>
      <c r="Y435" s="235">
        <f t="shared" si="321"/>
        <v>0</v>
      </c>
    </row>
    <row r="436" spans="1:25" s="222" customFormat="1" ht="25.5" x14ac:dyDescent="0.2">
      <c r="B436" s="53"/>
      <c r="C436" s="49" t="s">
        <v>1039</v>
      </c>
      <c r="D436" s="20" t="s">
        <v>487</v>
      </c>
      <c r="E436" s="59">
        <v>41659</v>
      </c>
      <c r="F436" s="59">
        <v>41983</v>
      </c>
      <c r="G436" s="32"/>
      <c r="H436" s="28"/>
      <c r="I436" s="28"/>
      <c r="J436" s="45"/>
      <c r="K436" s="59">
        <v>41659</v>
      </c>
      <c r="L436" s="59">
        <v>41983</v>
      </c>
      <c r="M436" s="20">
        <v>5</v>
      </c>
      <c r="N436" s="189" t="s">
        <v>1040</v>
      </c>
      <c r="O436" s="20"/>
      <c r="P436" s="319" t="s">
        <v>190</v>
      </c>
      <c r="Q436" s="45" t="s">
        <v>652</v>
      </c>
      <c r="R436" s="20">
        <v>1696</v>
      </c>
      <c r="T436" s="327">
        <f t="shared" si="220"/>
        <v>397.5</v>
      </c>
      <c r="U436" s="327">
        <f t="shared" si="221"/>
        <v>432.83333333333331</v>
      </c>
      <c r="V436" s="327">
        <f t="shared" si="222"/>
        <v>432.83333333333337</v>
      </c>
      <c r="W436" s="327">
        <f t="shared" si="223"/>
        <v>432.83333333333337</v>
      </c>
      <c r="X436" s="65">
        <f t="shared" si="320"/>
        <v>1696</v>
      </c>
      <c r="Y436" s="235">
        <f t="shared" si="321"/>
        <v>0</v>
      </c>
    </row>
    <row r="437" spans="1:25" s="222" customFormat="1" ht="25.5" x14ac:dyDescent="0.2">
      <c r="B437" s="53"/>
      <c r="C437" s="49" t="s">
        <v>1039</v>
      </c>
      <c r="D437" s="20" t="s">
        <v>487</v>
      </c>
      <c r="E437" s="59">
        <v>41659</v>
      </c>
      <c r="F437" s="59">
        <v>41983</v>
      </c>
      <c r="G437" s="32"/>
      <c r="H437" s="28"/>
      <c r="I437" s="28"/>
      <c r="J437" s="45"/>
      <c r="K437" s="59">
        <v>41659</v>
      </c>
      <c r="L437" s="59">
        <v>41983</v>
      </c>
      <c r="M437" s="20">
        <v>5</v>
      </c>
      <c r="N437" s="189" t="s">
        <v>1040</v>
      </c>
      <c r="O437" s="20"/>
      <c r="P437" s="319" t="s">
        <v>190</v>
      </c>
      <c r="Q437" s="45" t="s">
        <v>274</v>
      </c>
      <c r="R437" s="20">
        <v>1696</v>
      </c>
      <c r="T437" s="327">
        <f t="shared" si="220"/>
        <v>397.5</v>
      </c>
      <c r="U437" s="327">
        <f t="shared" si="221"/>
        <v>432.83333333333331</v>
      </c>
      <c r="V437" s="327">
        <f t="shared" si="222"/>
        <v>432.83333333333337</v>
      </c>
      <c r="W437" s="327">
        <f t="shared" si="223"/>
        <v>432.83333333333337</v>
      </c>
      <c r="X437" s="65">
        <f t="shared" si="320"/>
        <v>1696</v>
      </c>
      <c r="Y437" s="235">
        <f t="shared" si="321"/>
        <v>0</v>
      </c>
    </row>
    <row r="438" spans="1:25" s="222" customFormat="1" ht="38.25" x14ac:dyDescent="0.2">
      <c r="B438" s="53"/>
      <c r="C438" s="49" t="s">
        <v>1039</v>
      </c>
      <c r="D438" s="20" t="s">
        <v>487</v>
      </c>
      <c r="E438" s="59">
        <v>41659</v>
      </c>
      <c r="F438" s="59">
        <v>41983</v>
      </c>
      <c r="G438" s="32"/>
      <c r="H438" s="28"/>
      <c r="I438" s="28"/>
      <c r="J438" s="45"/>
      <c r="K438" s="59">
        <v>41659</v>
      </c>
      <c r="L438" s="59">
        <v>41983</v>
      </c>
      <c r="M438" s="20">
        <v>5</v>
      </c>
      <c r="N438" s="189" t="s">
        <v>1040</v>
      </c>
      <c r="O438" s="20"/>
      <c r="P438" s="319" t="s">
        <v>190</v>
      </c>
      <c r="Q438" s="45" t="s">
        <v>930</v>
      </c>
      <c r="R438" s="20">
        <v>848</v>
      </c>
      <c r="T438" s="327">
        <f t="shared" si="220"/>
        <v>198.75</v>
      </c>
      <c r="U438" s="327">
        <f t="shared" si="221"/>
        <v>216.41666666666666</v>
      </c>
      <c r="V438" s="327">
        <f t="shared" si="222"/>
        <v>216.41666666666669</v>
      </c>
      <c r="W438" s="327">
        <f t="shared" si="223"/>
        <v>216.41666666666669</v>
      </c>
      <c r="X438" s="65">
        <f t="shared" si="320"/>
        <v>848</v>
      </c>
      <c r="Y438" s="235">
        <f t="shared" si="321"/>
        <v>0</v>
      </c>
    </row>
    <row r="439" spans="1:25" s="222" customFormat="1" ht="51" x14ac:dyDescent="0.2">
      <c r="B439" s="53"/>
      <c r="C439" s="49" t="s">
        <v>1039</v>
      </c>
      <c r="D439" s="20" t="s">
        <v>487</v>
      </c>
      <c r="E439" s="59">
        <v>41659</v>
      </c>
      <c r="F439" s="59">
        <v>41983</v>
      </c>
      <c r="G439" s="32"/>
      <c r="H439" s="28"/>
      <c r="I439" s="28"/>
      <c r="J439" s="45"/>
      <c r="K439" s="59">
        <v>41659</v>
      </c>
      <c r="L439" s="59">
        <v>41983</v>
      </c>
      <c r="M439" s="20">
        <v>5</v>
      </c>
      <c r="N439" s="189" t="s">
        <v>1040</v>
      </c>
      <c r="O439" s="20"/>
      <c r="P439" s="319" t="s">
        <v>190</v>
      </c>
      <c r="Q439" s="45" t="s">
        <v>929</v>
      </c>
      <c r="R439" s="20">
        <v>848</v>
      </c>
      <c r="T439" s="327">
        <f t="shared" si="220"/>
        <v>198.75</v>
      </c>
      <c r="U439" s="327">
        <f t="shared" si="221"/>
        <v>216.41666666666666</v>
      </c>
      <c r="V439" s="327">
        <f t="shared" si="222"/>
        <v>216.41666666666669</v>
      </c>
      <c r="W439" s="327">
        <f t="shared" si="223"/>
        <v>216.41666666666669</v>
      </c>
      <c r="X439" s="65">
        <f t="shared" si="320"/>
        <v>848</v>
      </c>
      <c r="Y439" s="235">
        <f t="shared" si="321"/>
        <v>0</v>
      </c>
    </row>
    <row r="440" spans="1:25" s="222" customFormat="1" ht="38.25" x14ac:dyDescent="0.2">
      <c r="B440" s="53"/>
      <c r="C440" s="49" t="s">
        <v>1039</v>
      </c>
      <c r="D440" s="20" t="s">
        <v>487</v>
      </c>
      <c r="E440" s="59">
        <v>41659</v>
      </c>
      <c r="F440" s="59">
        <v>41983</v>
      </c>
      <c r="G440" s="32"/>
      <c r="H440" s="28"/>
      <c r="I440" s="28"/>
      <c r="J440" s="45"/>
      <c r="K440" s="59">
        <v>41659</v>
      </c>
      <c r="L440" s="59">
        <v>41983</v>
      </c>
      <c r="M440" s="20">
        <v>5</v>
      </c>
      <c r="N440" s="189" t="s">
        <v>1040</v>
      </c>
      <c r="O440" s="20"/>
      <c r="P440" s="319" t="s">
        <v>190</v>
      </c>
      <c r="Q440" s="45" t="s">
        <v>931</v>
      </c>
      <c r="R440" s="20">
        <v>848</v>
      </c>
      <c r="T440" s="327">
        <f t="shared" si="220"/>
        <v>198.75</v>
      </c>
      <c r="U440" s="327">
        <f t="shared" si="221"/>
        <v>216.41666666666666</v>
      </c>
      <c r="V440" s="327">
        <f t="shared" si="222"/>
        <v>216.41666666666669</v>
      </c>
      <c r="W440" s="327">
        <f t="shared" si="223"/>
        <v>216.41666666666669</v>
      </c>
      <c r="X440" s="65">
        <f t="shared" si="320"/>
        <v>848</v>
      </c>
      <c r="Y440" s="235">
        <f t="shared" si="321"/>
        <v>0</v>
      </c>
    </row>
    <row r="441" spans="1:25" s="222" customFormat="1" ht="25.5" x14ac:dyDescent="0.2">
      <c r="B441" s="53"/>
      <c r="C441" s="49" t="s">
        <v>1039</v>
      </c>
      <c r="D441" s="20" t="s">
        <v>487</v>
      </c>
      <c r="E441" s="59">
        <v>41659</v>
      </c>
      <c r="F441" s="59">
        <v>41983</v>
      </c>
      <c r="G441" s="32"/>
      <c r="H441" s="28"/>
      <c r="I441" s="28"/>
      <c r="J441" s="45"/>
      <c r="K441" s="59">
        <v>41659</v>
      </c>
      <c r="L441" s="59">
        <v>41983</v>
      </c>
      <c r="M441" s="20">
        <v>5</v>
      </c>
      <c r="N441" s="189" t="s">
        <v>1040</v>
      </c>
      <c r="O441" s="20"/>
      <c r="P441" s="319" t="s">
        <v>190</v>
      </c>
      <c r="Q441" s="45" t="s">
        <v>304</v>
      </c>
      <c r="R441" s="20">
        <v>1696</v>
      </c>
      <c r="T441" s="327">
        <f t="shared" si="220"/>
        <v>397.5</v>
      </c>
      <c r="U441" s="327">
        <f t="shared" si="221"/>
        <v>432.83333333333331</v>
      </c>
      <c r="V441" s="327">
        <f t="shared" si="222"/>
        <v>432.83333333333337</v>
      </c>
      <c r="W441" s="327">
        <f t="shared" si="223"/>
        <v>432.83333333333337</v>
      </c>
      <c r="X441" s="65">
        <f t="shared" si="320"/>
        <v>1696</v>
      </c>
      <c r="Y441" s="235">
        <f t="shared" si="321"/>
        <v>0</v>
      </c>
    </row>
    <row r="442" spans="1:25" s="222" customFormat="1" ht="25.5" x14ac:dyDescent="0.2">
      <c r="B442" s="53"/>
      <c r="C442" s="49" t="s">
        <v>1039</v>
      </c>
      <c r="D442" s="20" t="s">
        <v>487</v>
      </c>
      <c r="E442" s="59">
        <v>41659</v>
      </c>
      <c r="F442" s="59">
        <v>41983</v>
      </c>
      <c r="G442" s="32"/>
      <c r="H442" s="28"/>
      <c r="I442" s="28"/>
      <c r="J442" s="45"/>
      <c r="K442" s="59">
        <v>41659</v>
      </c>
      <c r="L442" s="59">
        <v>41983</v>
      </c>
      <c r="M442" s="20">
        <v>5</v>
      </c>
      <c r="N442" s="189" t="s">
        <v>1040</v>
      </c>
      <c r="O442" s="20"/>
      <c r="P442" s="319" t="s">
        <v>190</v>
      </c>
      <c r="Q442" s="45" t="s">
        <v>328</v>
      </c>
      <c r="R442" s="20">
        <v>1696</v>
      </c>
      <c r="T442" s="327">
        <f t="shared" si="220"/>
        <v>397.5</v>
      </c>
      <c r="U442" s="327">
        <f t="shared" si="221"/>
        <v>432.83333333333331</v>
      </c>
      <c r="V442" s="327">
        <f t="shared" si="222"/>
        <v>432.83333333333337</v>
      </c>
      <c r="W442" s="327">
        <f t="shared" si="223"/>
        <v>432.83333333333337</v>
      </c>
      <c r="X442" s="65">
        <f t="shared" si="320"/>
        <v>1696</v>
      </c>
      <c r="Y442" s="235">
        <f t="shared" si="321"/>
        <v>0</v>
      </c>
    </row>
    <row r="443" spans="1:25" s="222" customFormat="1" ht="25.5" x14ac:dyDescent="0.2">
      <c r="B443" s="53"/>
      <c r="C443" s="49" t="s">
        <v>1039</v>
      </c>
      <c r="D443" s="20" t="s">
        <v>487</v>
      </c>
      <c r="E443" s="59">
        <v>41659</v>
      </c>
      <c r="F443" s="59">
        <v>41983</v>
      </c>
      <c r="G443" s="32"/>
      <c r="H443" s="28"/>
      <c r="I443" s="28"/>
      <c r="J443" s="45"/>
      <c r="K443" s="59">
        <v>41659</v>
      </c>
      <c r="L443" s="59">
        <v>41983</v>
      </c>
      <c r="M443" s="20">
        <v>5</v>
      </c>
      <c r="N443" s="189" t="s">
        <v>1040</v>
      </c>
      <c r="O443" s="20"/>
      <c r="P443" s="319" t="s">
        <v>190</v>
      </c>
      <c r="Q443" s="45" t="s">
        <v>653</v>
      </c>
      <c r="R443" s="20">
        <v>1696</v>
      </c>
      <c r="T443" s="327">
        <f t="shared" si="220"/>
        <v>397.5</v>
      </c>
      <c r="U443" s="327">
        <f t="shared" si="221"/>
        <v>432.83333333333331</v>
      </c>
      <c r="V443" s="327">
        <f t="shared" si="222"/>
        <v>432.83333333333337</v>
      </c>
      <c r="W443" s="327">
        <f t="shared" si="223"/>
        <v>432.83333333333337</v>
      </c>
      <c r="X443" s="65">
        <f t="shared" si="320"/>
        <v>1696</v>
      </c>
      <c r="Y443" s="235">
        <f t="shared" si="321"/>
        <v>0</v>
      </c>
    </row>
    <row r="444" spans="1:25" s="222" customFormat="1" ht="25.5" x14ac:dyDescent="0.2">
      <c r="B444" s="53"/>
      <c r="C444" s="49" t="s">
        <v>1039</v>
      </c>
      <c r="D444" s="20" t="s">
        <v>487</v>
      </c>
      <c r="E444" s="59">
        <v>41659</v>
      </c>
      <c r="F444" s="59">
        <v>41983</v>
      </c>
      <c r="G444" s="32"/>
      <c r="H444" s="28"/>
      <c r="I444" s="28"/>
      <c r="J444" s="45"/>
      <c r="K444" s="59">
        <v>41659</v>
      </c>
      <c r="L444" s="59">
        <v>41983</v>
      </c>
      <c r="M444" s="20">
        <v>5</v>
      </c>
      <c r="N444" s="189" t="s">
        <v>1040</v>
      </c>
      <c r="O444" s="20"/>
      <c r="P444" s="319" t="s">
        <v>190</v>
      </c>
      <c r="Q444" s="220" t="s">
        <v>959</v>
      </c>
      <c r="R444" s="20">
        <v>848</v>
      </c>
      <c r="T444" s="327">
        <f t="shared" si="220"/>
        <v>198.75</v>
      </c>
      <c r="U444" s="327">
        <f t="shared" si="221"/>
        <v>216.41666666666666</v>
      </c>
      <c r="V444" s="327">
        <f t="shared" si="222"/>
        <v>216.41666666666669</v>
      </c>
      <c r="W444" s="327">
        <f t="shared" si="223"/>
        <v>216.41666666666669</v>
      </c>
      <c r="X444" s="65">
        <f t="shared" si="320"/>
        <v>848</v>
      </c>
      <c r="Y444" s="235">
        <f t="shared" si="321"/>
        <v>0</v>
      </c>
    </row>
    <row r="445" spans="1:25" s="222" customFormat="1" ht="25.5" x14ac:dyDescent="0.2">
      <c r="A445" s="216"/>
      <c r="B445" s="53"/>
      <c r="C445" s="49" t="s">
        <v>1039</v>
      </c>
      <c r="D445" s="20" t="s">
        <v>487</v>
      </c>
      <c r="E445" s="59">
        <v>41659</v>
      </c>
      <c r="F445" s="59">
        <v>41983</v>
      </c>
      <c r="G445" s="32"/>
      <c r="H445" s="28"/>
      <c r="I445" s="28"/>
      <c r="J445" s="45"/>
      <c r="K445" s="59">
        <v>41659</v>
      </c>
      <c r="L445" s="59">
        <v>41983</v>
      </c>
      <c r="M445" s="20">
        <v>5</v>
      </c>
      <c r="N445" s="189" t="s">
        <v>1040</v>
      </c>
      <c r="O445" s="20"/>
      <c r="P445" s="319" t="s">
        <v>190</v>
      </c>
      <c r="Q445" s="220" t="s">
        <v>960</v>
      </c>
      <c r="R445" s="20">
        <v>848</v>
      </c>
      <c r="T445" s="327">
        <f t="shared" si="220"/>
        <v>198.75</v>
      </c>
      <c r="U445" s="327">
        <f t="shared" si="221"/>
        <v>216.41666666666666</v>
      </c>
      <c r="V445" s="327">
        <f t="shared" si="222"/>
        <v>216.41666666666669</v>
      </c>
      <c r="W445" s="327">
        <f t="shared" si="223"/>
        <v>216.41666666666669</v>
      </c>
      <c r="X445" s="65">
        <f t="shared" si="320"/>
        <v>848</v>
      </c>
      <c r="Y445" s="235">
        <f t="shared" si="321"/>
        <v>0</v>
      </c>
    </row>
    <row r="446" spans="1:25" s="222" customFormat="1" ht="25.5" x14ac:dyDescent="0.2">
      <c r="A446" s="216"/>
      <c r="B446" s="53"/>
      <c r="C446" s="49" t="s">
        <v>1039</v>
      </c>
      <c r="D446" s="20" t="s">
        <v>487</v>
      </c>
      <c r="E446" s="59">
        <v>41659</v>
      </c>
      <c r="F446" s="59">
        <v>41983</v>
      </c>
      <c r="G446" s="32"/>
      <c r="H446" s="28"/>
      <c r="I446" s="28"/>
      <c r="J446" s="45"/>
      <c r="K446" s="59">
        <v>41659</v>
      </c>
      <c r="L446" s="59">
        <v>41983</v>
      </c>
      <c r="M446" s="20">
        <v>5</v>
      </c>
      <c r="N446" s="189" t="s">
        <v>1040</v>
      </c>
      <c r="O446" s="20"/>
      <c r="P446" s="319" t="s">
        <v>190</v>
      </c>
      <c r="Q446" s="220" t="s">
        <v>961</v>
      </c>
      <c r="R446" s="20">
        <v>1272</v>
      </c>
      <c r="T446" s="327">
        <f t="shared" si="220"/>
        <v>298.125</v>
      </c>
      <c r="U446" s="327">
        <f t="shared" si="221"/>
        <v>324.625</v>
      </c>
      <c r="V446" s="327">
        <f t="shared" si="222"/>
        <v>324.625</v>
      </c>
      <c r="W446" s="327">
        <f t="shared" si="223"/>
        <v>324.625</v>
      </c>
      <c r="X446" s="65">
        <f t="shared" si="320"/>
        <v>1272</v>
      </c>
      <c r="Y446" s="235">
        <f t="shared" si="321"/>
        <v>0</v>
      </c>
    </row>
    <row r="447" spans="1:25" s="222" customFormat="1" ht="25.5" x14ac:dyDescent="0.2">
      <c r="A447" s="216"/>
      <c r="B447" s="53"/>
      <c r="C447" s="49" t="s">
        <v>1039</v>
      </c>
      <c r="D447" s="20" t="s">
        <v>487</v>
      </c>
      <c r="E447" s="59">
        <v>41659</v>
      </c>
      <c r="F447" s="59">
        <v>41983</v>
      </c>
      <c r="G447" s="32"/>
      <c r="H447" s="28"/>
      <c r="I447" s="28"/>
      <c r="J447" s="45"/>
      <c r="K447" s="59">
        <v>41659</v>
      </c>
      <c r="L447" s="59">
        <v>41983</v>
      </c>
      <c r="M447" s="20">
        <v>5</v>
      </c>
      <c r="N447" s="189" t="s">
        <v>1040</v>
      </c>
      <c r="O447" s="20"/>
      <c r="P447" s="319" t="s">
        <v>190</v>
      </c>
      <c r="Q447" s="220" t="s">
        <v>962</v>
      </c>
      <c r="R447" s="20">
        <v>848</v>
      </c>
      <c r="T447" s="327">
        <f t="shared" si="220"/>
        <v>198.75</v>
      </c>
      <c r="U447" s="327">
        <f t="shared" si="221"/>
        <v>216.41666666666666</v>
      </c>
      <c r="V447" s="327">
        <f t="shared" si="222"/>
        <v>216.41666666666669</v>
      </c>
      <c r="W447" s="327">
        <f t="shared" si="223"/>
        <v>216.41666666666669</v>
      </c>
      <c r="X447" s="65">
        <f t="shared" si="320"/>
        <v>848</v>
      </c>
      <c r="Y447" s="235">
        <f t="shared" si="321"/>
        <v>0</v>
      </c>
    </row>
    <row r="448" spans="1:25" s="222" customFormat="1" ht="25.5" x14ac:dyDescent="0.2">
      <c r="A448" s="216"/>
      <c r="B448" s="53"/>
      <c r="C448" s="49" t="s">
        <v>1039</v>
      </c>
      <c r="D448" s="20" t="s">
        <v>487</v>
      </c>
      <c r="E448" s="59">
        <v>41659</v>
      </c>
      <c r="F448" s="59">
        <v>41983</v>
      </c>
      <c r="G448" s="32"/>
      <c r="H448" s="28"/>
      <c r="I448" s="28"/>
      <c r="J448" s="45"/>
      <c r="K448" s="59">
        <v>41659</v>
      </c>
      <c r="L448" s="59">
        <v>41983</v>
      </c>
      <c r="M448" s="20">
        <v>5</v>
      </c>
      <c r="N448" s="189" t="s">
        <v>1040</v>
      </c>
      <c r="O448" s="20"/>
      <c r="P448" s="319" t="s">
        <v>190</v>
      </c>
      <c r="Q448" s="220" t="s">
        <v>963</v>
      </c>
      <c r="R448" s="20">
        <v>848</v>
      </c>
      <c r="T448" s="327">
        <f t="shared" si="220"/>
        <v>198.75</v>
      </c>
      <c r="U448" s="327">
        <f t="shared" si="221"/>
        <v>216.41666666666666</v>
      </c>
      <c r="V448" s="327">
        <f t="shared" si="222"/>
        <v>216.41666666666669</v>
      </c>
      <c r="W448" s="327">
        <f t="shared" si="223"/>
        <v>216.41666666666669</v>
      </c>
      <c r="X448" s="65">
        <f t="shared" si="320"/>
        <v>848</v>
      </c>
      <c r="Y448" s="235">
        <f t="shared" si="321"/>
        <v>0</v>
      </c>
    </row>
    <row r="449" spans="1:25" s="222" customFormat="1" ht="25.5" x14ac:dyDescent="0.2">
      <c r="A449" s="216"/>
      <c r="B449" s="53"/>
      <c r="C449" s="49" t="s">
        <v>1039</v>
      </c>
      <c r="D449" s="20" t="s">
        <v>487</v>
      </c>
      <c r="E449" s="59">
        <v>41659</v>
      </c>
      <c r="F449" s="59">
        <v>41983</v>
      </c>
      <c r="G449" s="32"/>
      <c r="H449" s="28"/>
      <c r="I449" s="28"/>
      <c r="J449" s="45"/>
      <c r="K449" s="59">
        <v>41659</v>
      </c>
      <c r="L449" s="59">
        <v>41983</v>
      </c>
      <c r="M449" s="20">
        <v>5</v>
      </c>
      <c r="N449" s="189" t="s">
        <v>1040</v>
      </c>
      <c r="O449" s="20"/>
      <c r="P449" s="319" t="s">
        <v>190</v>
      </c>
      <c r="Q449" s="220" t="s">
        <v>964</v>
      </c>
      <c r="R449" s="20">
        <v>848</v>
      </c>
      <c r="T449" s="327">
        <f t="shared" ref="T449:T509" si="322">IF(K449=$T$3,$T$5*R449/DAYS360(K449,L449),0)</f>
        <v>198.75</v>
      </c>
      <c r="U449" s="327">
        <f t="shared" ref="U449:U509" si="323">IF(K449=$U$3,$U$5*R449/DAYS360(K449,L449),0)+IF(K449=$T$3,IF(L449=$U$4,R449-T449,0),0)+IF(K449=$T$3,IF(L449=$V$4,(R449-T449)/2,0),0)+IF(K449=$T$3,IF(L449=$W$4,(R449-T449)/3,0),0)</f>
        <v>216.41666666666666</v>
      </c>
      <c r="V449" s="327">
        <f t="shared" ref="V449:V509" si="324">IF(K449=$V$3,$V$5*R449/DAYS360(K449,L449),0)+IF(K449=$T$3,IF(L449=$V$4,R449-T449-U449,0),0)+IF(K449=$T$3,IF(L449=$W$4,(R449-T449-U449)/2,0),0)+IF(K449=$U$3,IF(L449=$V$4,R449-U449,0),0)+IF(K449=$U$3,IF(L449=$W$4,(R449-U449)/2,0),0)</f>
        <v>216.41666666666669</v>
      </c>
      <c r="W449" s="327">
        <f t="shared" ref="W449:W509" si="325">IF(K449=$W$3,$W$5*R449/DAYS360(K449,L449),0)+IF(K449=$T$3,IF(L449=$W$4,R449-T449-U449-V449,0),0)+IF(K449=$U$3,IF(L449=$W$4,R449-U449-V449,0),0)+IF(K449=$V$3,IF(L449=$W$4,R449-V449,0),0)</f>
        <v>216.41666666666669</v>
      </c>
      <c r="X449" s="65">
        <f t="shared" si="320"/>
        <v>848</v>
      </c>
      <c r="Y449" s="235">
        <f t="shared" si="321"/>
        <v>0</v>
      </c>
    </row>
    <row r="450" spans="1:25" s="222" customFormat="1" x14ac:dyDescent="0.2">
      <c r="A450" s="216"/>
      <c r="B450" s="53"/>
      <c r="C450" s="224"/>
      <c r="D450" s="20"/>
      <c r="E450" s="60"/>
      <c r="F450" s="60"/>
      <c r="G450" s="32"/>
      <c r="H450" s="28"/>
      <c r="I450" s="28"/>
      <c r="J450" s="45"/>
      <c r="K450" s="36"/>
      <c r="L450" s="36"/>
      <c r="M450" s="20"/>
      <c r="N450" s="45"/>
      <c r="O450" s="20"/>
      <c r="P450" s="189"/>
      <c r="Q450" s="26" t="s">
        <v>139</v>
      </c>
      <c r="R450" s="65">
        <v>988.8</v>
      </c>
      <c r="T450" s="327">
        <f t="shared" si="322"/>
        <v>0</v>
      </c>
      <c r="U450" s="327">
        <f t="shared" si="323"/>
        <v>0</v>
      </c>
      <c r="V450" s="327">
        <f t="shared" si="324"/>
        <v>0</v>
      </c>
      <c r="W450" s="327">
        <f t="shared" si="325"/>
        <v>0</v>
      </c>
      <c r="X450" s="65">
        <f t="shared" si="320"/>
        <v>0</v>
      </c>
      <c r="Y450" s="235">
        <f t="shared" si="321"/>
        <v>-988.8</v>
      </c>
    </row>
    <row r="451" spans="1:25" s="222" customFormat="1" x14ac:dyDescent="0.2">
      <c r="A451" s="216"/>
      <c r="B451" s="53"/>
      <c r="C451" s="224"/>
      <c r="D451" s="20"/>
      <c r="E451" s="60"/>
      <c r="F451" s="60"/>
      <c r="G451" s="32"/>
      <c r="H451" s="28"/>
      <c r="I451" s="28"/>
      <c r="J451" s="45"/>
      <c r="K451" s="36"/>
      <c r="L451" s="36"/>
      <c r="M451" s="20"/>
      <c r="N451" s="45"/>
      <c r="O451" s="20"/>
      <c r="P451" s="189"/>
      <c r="Q451" s="26" t="s">
        <v>198</v>
      </c>
      <c r="R451" s="65">
        <v>928.8</v>
      </c>
      <c r="T451" s="327">
        <f t="shared" si="322"/>
        <v>0</v>
      </c>
      <c r="U451" s="327">
        <f t="shared" si="323"/>
        <v>0</v>
      </c>
      <c r="V451" s="327">
        <f t="shared" si="324"/>
        <v>0</v>
      </c>
      <c r="W451" s="327">
        <f t="shared" si="325"/>
        <v>0</v>
      </c>
      <c r="X451" s="65">
        <f t="shared" si="320"/>
        <v>0</v>
      </c>
      <c r="Y451" s="235">
        <f t="shared" si="321"/>
        <v>-928.8</v>
      </c>
    </row>
    <row r="452" spans="1:25" s="222" customFormat="1" x14ac:dyDescent="0.2">
      <c r="A452" s="216"/>
      <c r="B452" s="53"/>
      <c r="C452" s="224"/>
      <c r="D452" s="20"/>
      <c r="E452" s="60"/>
      <c r="F452" s="60"/>
      <c r="G452" s="32"/>
      <c r="H452" s="28"/>
      <c r="I452" s="28"/>
      <c r="J452" s="45"/>
      <c r="K452" s="36"/>
      <c r="L452" s="36"/>
      <c r="M452" s="20"/>
      <c r="N452" s="45"/>
      <c r="O452" s="20"/>
      <c r="P452" s="189"/>
      <c r="Q452" s="26" t="s">
        <v>133</v>
      </c>
      <c r="R452" s="65">
        <v>1041.8</v>
      </c>
      <c r="T452" s="327">
        <f t="shared" si="322"/>
        <v>0</v>
      </c>
      <c r="U452" s="327">
        <f t="shared" si="323"/>
        <v>0</v>
      </c>
      <c r="V452" s="327">
        <f t="shared" si="324"/>
        <v>0</v>
      </c>
      <c r="W452" s="327">
        <f t="shared" si="325"/>
        <v>0</v>
      </c>
      <c r="X452" s="65">
        <f t="shared" si="320"/>
        <v>0</v>
      </c>
      <c r="Y452" s="235">
        <f t="shared" si="321"/>
        <v>-1041.8</v>
      </c>
    </row>
    <row r="453" spans="1:25" s="222" customFormat="1" x14ac:dyDescent="0.2">
      <c r="A453" s="216"/>
      <c r="B453" s="53"/>
      <c r="C453" s="224"/>
      <c r="D453" s="20"/>
      <c r="E453" s="60"/>
      <c r="F453" s="60"/>
      <c r="G453" s="32"/>
      <c r="H453" s="28"/>
      <c r="I453" s="28"/>
      <c r="J453" s="45"/>
      <c r="K453" s="36"/>
      <c r="L453" s="36"/>
      <c r="M453" s="20"/>
      <c r="N453" s="45"/>
      <c r="O453" s="20"/>
      <c r="P453" s="319"/>
      <c r="Q453" s="26" t="s">
        <v>193</v>
      </c>
      <c r="R453" s="65">
        <v>992.8</v>
      </c>
      <c r="T453" s="327">
        <f t="shared" si="322"/>
        <v>0</v>
      </c>
      <c r="U453" s="327">
        <f t="shared" si="323"/>
        <v>0</v>
      </c>
      <c r="V453" s="327">
        <f t="shared" si="324"/>
        <v>0</v>
      </c>
      <c r="W453" s="327">
        <f t="shared" si="325"/>
        <v>0</v>
      </c>
      <c r="X453" s="65">
        <f t="shared" si="320"/>
        <v>0</v>
      </c>
      <c r="Y453" s="235">
        <f t="shared" si="321"/>
        <v>-992.8</v>
      </c>
    </row>
    <row r="454" spans="1:25" s="222" customFormat="1" x14ac:dyDescent="0.2">
      <c r="A454" s="216"/>
      <c r="B454" s="53"/>
      <c r="C454" s="224"/>
      <c r="D454" s="20"/>
      <c r="E454" s="60"/>
      <c r="F454" s="60"/>
      <c r="G454" s="32"/>
      <c r="H454" s="28"/>
      <c r="I454" s="28"/>
      <c r="J454" s="45"/>
      <c r="K454" s="36"/>
      <c r="L454" s="36"/>
      <c r="M454" s="20"/>
      <c r="N454" s="45"/>
      <c r="O454" s="20"/>
      <c r="P454" s="320"/>
      <c r="Q454" s="26" t="s">
        <v>75</v>
      </c>
      <c r="R454" s="65">
        <v>1288.8</v>
      </c>
      <c r="T454" s="327">
        <f t="shared" si="322"/>
        <v>0</v>
      </c>
      <c r="U454" s="327">
        <f t="shared" si="323"/>
        <v>0</v>
      </c>
      <c r="V454" s="327">
        <f t="shared" si="324"/>
        <v>0</v>
      </c>
      <c r="W454" s="327">
        <f t="shared" si="325"/>
        <v>0</v>
      </c>
      <c r="X454" s="65">
        <f t="shared" si="320"/>
        <v>0</v>
      </c>
      <c r="Y454" s="235">
        <f t="shared" ref="Y454:Y514" si="326">X454-R454</f>
        <v>-1288.8</v>
      </c>
    </row>
    <row r="455" spans="1:25" s="222" customFormat="1" x14ac:dyDescent="0.2">
      <c r="A455" s="216"/>
      <c r="B455" s="53"/>
      <c r="C455" s="224"/>
      <c r="D455" s="20"/>
      <c r="E455" s="60"/>
      <c r="F455" s="60"/>
      <c r="G455" s="32"/>
      <c r="H455" s="28"/>
      <c r="I455" s="28"/>
      <c r="J455" s="45"/>
      <c r="K455" s="36"/>
      <c r="L455" s="36"/>
      <c r="M455" s="20"/>
      <c r="N455" s="45"/>
      <c r="O455" s="20"/>
      <c r="P455" s="320"/>
      <c r="Q455" s="26" t="s">
        <v>134</v>
      </c>
      <c r="R455" s="65">
        <v>843.8</v>
      </c>
      <c r="T455" s="327">
        <f t="shared" si="322"/>
        <v>0</v>
      </c>
      <c r="U455" s="327">
        <f t="shared" si="323"/>
        <v>0</v>
      </c>
      <c r="V455" s="327">
        <f t="shared" si="324"/>
        <v>0</v>
      </c>
      <c r="W455" s="327">
        <f t="shared" si="325"/>
        <v>0</v>
      </c>
      <c r="X455" s="65">
        <f t="shared" si="320"/>
        <v>0</v>
      </c>
      <c r="Y455" s="235">
        <f t="shared" si="326"/>
        <v>-843.8</v>
      </c>
    </row>
    <row r="456" spans="1:25" s="222" customFormat="1" x14ac:dyDescent="0.2">
      <c r="A456" s="216"/>
      <c r="B456" s="53"/>
      <c r="C456" s="224"/>
      <c r="D456" s="20"/>
      <c r="E456" s="60"/>
      <c r="F456" s="60"/>
      <c r="G456" s="32"/>
      <c r="H456" s="64"/>
      <c r="I456" s="28"/>
      <c r="J456" s="45"/>
      <c r="K456" s="36"/>
      <c r="L456" s="36"/>
      <c r="M456" s="20"/>
      <c r="N456" s="45"/>
      <c r="O456" s="20"/>
      <c r="P456" s="320"/>
      <c r="Q456" s="26" t="s">
        <v>136</v>
      </c>
      <c r="R456" s="65">
        <v>988.8</v>
      </c>
      <c r="T456" s="327">
        <f t="shared" si="322"/>
        <v>0</v>
      </c>
      <c r="U456" s="327">
        <f t="shared" si="323"/>
        <v>0</v>
      </c>
      <c r="V456" s="327">
        <f t="shared" si="324"/>
        <v>0</v>
      </c>
      <c r="W456" s="327">
        <f t="shared" si="325"/>
        <v>0</v>
      </c>
      <c r="X456" s="65">
        <f t="shared" si="320"/>
        <v>0</v>
      </c>
      <c r="Y456" s="235">
        <f t="shared" si="326"/>
        <v>-988.8</v>
      </c>
    </row>
    <row r="457" spans="1:25" s="222" customFormat="1" x14ac:dyDescent="0.2">
      <c r="A457" s="216"/>
      <c r="B457" s="53"/>
      <c r="C457" s="224"/>
      <c r="D457" s="20"/>
      <c r="E457" s="60"/>
      <c r="F457" s="60"/>
      <c r="G457" s="32"/>
      <c r="H457" s="64"/>
      <c r="I457" s="28"/>
      <c r="J457" s="45"/>
      <c r="K457" s="36"/>
      <c r="L457" s="36"/>
      <c r="M457" s="20"/>
      <c r="N457" s="45"/>
      <c r="O457" s="20"/>
      <c r="P457" s="320"/>
      <c r="Q457" s="275" t="s">
        <v>238</v>
      </c>
      <c r="R457" s="20">
        <v>1076</v>
      </c>
      <c r="T457" s="327">
        <f t="shared" si="322"/>
        <v>0</v>
      </c>
      <c r="U457" s="327">
        <f t="shared" si="323"/>
        <v>0</v>
      </c>
      <c r="V457" s="327">
        <f t="shared" si="324"/>
        <v>0</v>
      </c>
      <c r="W457" s="327">
        <f t="shared" si="325"/>
        <v>0</v>
      </c>
      <c r="X457" s="65">
        <f t="shared" si="320"/>
        <v>0</v>
      </c>
      <c r="Y457" s="235">
        <f t="shared" si="326"/>
        <v>-1076</v>
      </c>
    </row>
    <row r="458" spans="1:25" s="222" customFormat="1" x14ac:dyDescent="0.2">
      <c r="A458" s="216"/>
      <c r="B458" s="53"/>
      <c r="C458" s="224"/>
      <c r="D458" s="20"/>
      <c r="E458" s="60"/>
      <c r="F458" s="60"/>
      <c r="G458" s="32"/>
      <c r="H458" s="64"/>
      <c r="I458" s="28"/>
      <c r="J458" s="45"/>
      <c r="K458" s="36"/>
      <c r="L458" s="36"/>
      <c r="M458" s="20"/>
      <c r="N458" s="45"/>
      <c r="O458" s="20"/>
      <c r="P458" s="320"/>
      <c r="Q458" s="6" t="s">
        <v>246</v>
      </c>
      <c r="R458" s="20">
        <v>1076</v>
      </c>
      <c r="T458" s="327">
        <f t="shared" si="322"/>
        <v>0</v>
      </c>
      <c r="U458" s="327">
        <f t="shared" si="323"/>
        <v>0</v>
      </c>
      <c r="V458" s="327">
        <f t="shared" si="324"/>
        <v>0</v>
      </c>
      <c r="W458" s="327">
        <f t="shared" si="325"/>
        <v>0</v>
      </c>
      <c r="X458" s="65">
        <f t="shared" si="320"/>
        <v>0</v>
      </c>
      <c r="Y458" s="235">
        <f t="shared" si="326"/>
        <v>-1076</v>
      </c>
    </row>
    <row r="459" spans="1:25" s="222" customFormat="1" x14ac:dyDescent="0.2">
      <c r="A459" s="216"/>
      <c r="B459" s="53"/>
      <c r="C459" s="224"/>
      <c r="D459" s="20"/>
      <c r="E459" s="60"/>
      <c r="F459" s="60"/>
      <c r="G459" s="32"/>
      <c r="H459" s="64"/>
      <c r="I459" s="28"/>
      <c r="J459" s="45"/>
      <c r="K459" s="36"/>
      <c r="L459" s="36"/>
      <c r="M459" s="20"/>
      <c r="N459" s="45"/>
      <c r="O459" s="20"/>
      <c r="P459" s="320"/>
      <c r="Q459" s="26" t="s">
        <v>186</v>
      </c>
      <c r="R459" s="20">
        <v>1364</v>
      </c>
      <c r="T459" s="327">
        <f t="shared" si="322"/>
        <v>0</v>
      </c>
      <c r="U459" s="327">
        <f t="shared" si="323"/>
        <v>0</v>
      </c>
      <c r="V459" s="327">
        <f t="shared" si="324"/>
        <v>0</v>
      </c>
      <c r="W459" s="327">
        <f t="shared" si="325"/>
        <v>0</v>
      </c>
      <c r="X459" s="65">
        <f t="shared" si="320"/>
        <v>0</v>
      </c>
      <c r="Y459" s="235">
        <f t="shared" si="326"/>
        <v>-1364</v>
      </c>
    </row>
    <row r="460" spans="1:25" s="222" customFormat="1" x14ac:dyDescent="0.2">
      <c r="A460" s="216"/>
      <c r="B460" s="53"/>
      <c r="C460" s="224"/>
      <c r="D460" s="20"/>
      <c r="E460" s="60"/>
      <c r="F460" s="60"/>
      <c r="G460" s="32"/>
      <c r="H460" s="28"/>
      <c r="I460" s="28"/>
      <c r="J460" s="45"/>
      <c r="K460" s="36"/>
      <c r="L460" s="36"/>
      <c r="M460" s="20"/>
      <c r="N460" s="45"/>
      <c r="O460" s="20"/>
      <c r="P460" s="320"/>
      <c r="Q460" s="6" t="s">
        <v>619</v>
      </c>
      <c r="R460" s="20">
        <v>1515</v>
      </c>
      <c r="T460" s="327">
        <f t="shared" si="322"/>
        <v>0</v>
      </c>
      <c r="U460" s="327">
        <f t="shared" si="323"/>
        <v>0</v>
      </c>
      <c r="V460" s="327">
        <f t="shared" si="324"/>
        <v>0</v>
      </c>
      <c r="W460" s="327">
        <f t="shared" si="325"/>
        <v>0</v>
      </c>
      <c r="X460" s="65">
        <f t="shared" si="320"/>
        <v>0</v>
      </c>
      <c r="Y460" s="235">
        <f t="shared" si="326"/>
        <v>-1515</v>
      </c>
    </row>
    <row r="461" spans="1:25" s="222" customFormat="1" x14ac:dyDescent="0.2">
      <c r="A461" s="216"/>
      <c r="B461" s="53"/>
      <c r="C461" s="224"/>
      <c r="D461" s="20"/>
      <c r="E461" s="60"/>
      <c r="F461" s="60"/>
      <c r="G461" s="32"/>
      <c r="H461" s="64"/>
      <c r="I461" s="28"/>
      <c r="J461" s="20"/>
      <c r="K461" s="36"/>
      <c r="L461" s="36"/>
      <c r="M461" s="45"/>
      <c r="N461" s="45"/>
      <c r="O461" s="20"/>
      <c r="P461" s="320"/>
      <c r="Q461" s="6" t="s">
        <v>287</v>
      </c>
      <c r="R461" s="20">
        <v>1696</v>
      </c>
      <c r="T461" s="327">
        <f t="shared" si="322"/>
        <v>0</v>
      </c>
      <c r="U461" s="327">
        <f t="shared" si="323"/>
        <v>0</v>
      </c>
      <c r="V461" s="327">
        <f t="shared" si="324"/>
        <v>0</v>
      </c>
      <c r="W461" s="327">
        <f t="shared" si="325"/>
        <v>0</v>
      </c>
      <c r="X461" s="65">
        <f t="shared" si="320"/>
        <v>0</v>
      </c>
      <c r="Y461" s="235">
        <f t="shared" si="326"/>
        <v>-1696</v>
      </c>
    </row>
    <row r="462" spans="1:25" s="222" customFormat="1" x14ac:dyDescent="0.2">
      <c r="A462" s="216"/>
      <c r="B462" s="53"/>
      <c r="C462" s="224"/>
      <c r="D462" s="20"/>
      <c r="E462" s="60"/>
      <c r="F462" s="60"/>
      <c r="G462" s="32"/>
      <c r="H462" s="64"/>
      <c r="I462" s="28"/>
      <c r="J462" s="20"/>
      <c r="K462" s="36"/>
      <c r="L462" s="36"/>
      <c r="M462" s="20"/>
      <c r="N462" s="45"/>
      <c r="O462" s="20"/>
      <c r="P462" s="320"/>
      <c r="Q462" s="6" t="s">
        <v>618</v>
      </c>
      <c r="R462" s="20">
        <v>1471</v>
      </c>
      <c r="T462" s="327">
        <f t="shared" si="322"/>
        <v>0</v>
      </c>
      <c r="U462" s="327">
        <f t="shared" si="323"/>
        <v>0</v>
      </c>
      <c r="V462" s="327">
        <f t="shared" si="324"/>
        <v>0</v>
      </c>
      <c r="W462" s="327">
        <f t="shared" si="325"/>
        <v>0</v>
      </c>
      <c r="X462" s="65">
        <f t="shared" si="320"/>
        <v>0</v>
      </c>
      <c r="Y462" s="235">
        <f t="shared" si="326"/>
        <v>-1471</v>
      </c>
    </row>
    <row r="463" spans="1:25" s="222" customFormat="1" x14ac:dyDescent="0.2">
      <c r="A463" s="216"/>
      <c r="B463" s="53"/>
      <c r="C463" s="224"/>
      <c r="D463" s="20"/>
      <c r="E463" s="60"/>
      <c r="F463" s="60"/>
      <c r="G463" s="32"/>
      <c r="H463" s="28"/>
      <c r="I463" s="28"/>
      <c r="J463" s="20"/>
      <c r="K463" s="36"/>
      <c r="L463" s="36"/>
      <c r="M463" s="20"/>
      <c r="N463" s="20"/>
      <c r="O463" s="20"/>
      <c r="P463" s="320"/>
      <c r="Q463" s="273" t="s">
        <v>385</v>
      </c>
      <c r="R463" s="20">
        <v>1696</v>
      </c>
      <c r="T463" s="327">
        <f t="shared" si="322"/>
        <v>0</v>
      </c>
      <c r="U463" s="327">
        <f t="shared" si="323"/>
        <v>0</v>
      </c>
      <c r="V463" s="327">
        <f t="shared" si="324"/>
        <v>0</v>
      </c>
      <c r="W463" s="327">
        <f t="shared" si="325"/>
        <v>0</v>
      </c>
      <c r="X463" s="65">
        <f t="shared" si="320"/>
        <v>0</v>
      </c>
      <c r="Y463" s="235">
        <f t="shared" si="326"/>
        <v>-1696</v>
      </c>
    </row>
    <row r="464" spans="1:25" s="222" customFormat="1" x14ac:dyDescent="0.2">
      <c r="A464" s="32"/>
      <c r="B464" s="32"/>
      <c r="C464" s="224"/>
      <c r="D464" s="20"/>
      <c r="E464" s="60"/>
      <c r="F464" s="60"/>
      <c r="G464" s="32"/>
      <c r="H464" s="28"/>
      <c r="I464" s="28"/>
      <c r="J464" s="20"/>
      <c r="K464" s="36"/>
      <c r="L464" s="36"/>
      <c r="M464" s="20"/>
      <c r="N464" s="20"/>
      <c r="O464" s="20"/>
      <c r="P464" s="320"/>
      <c r="Q464" s="6" t="s">
        <v>312</v>
      </c>
      <c r="R464" s="20">
        <v>1696</v>
      </c>
      <c r="T464" s="327">
        <f t="shared" si="322"/>
        <v>0</v>
      </c>
      <c r="U464" s="327">
        <f t="shared" si="323"/>
        <v>0</v>
      </c>
      <c r="V464" s="327">
        <f t="shared" si="324"/>
        <v>0</v>
      </c>
      <c r="W464" s="327">
        <f t="shared" si="325"/>
        <v>0</v>
      </c>
      <c r="X464" s="65">
        <f t="shared" si="320"/>
        <v>0</v>
      </c>
      <c r="Y464" s="235">
        <f t="shared" si="326"/>
        <v>-1696</v>
      </c>
    </row>
    <row r="465" spans="1:25" s="222" customFormat="1" x14ac:dyDescent="0.2">
      <c r="A465" s="32"/>
      <c r="B465" s="32"/>
      <c r="C465" s="224"/>
      <c r="D465" s="20"/>
      <c r="E465" s="60"/>
      <c r="F465" s="60"/>
      <c r="G465" s="32"/>
      <c r="H465" s="28"/>
      <c r="I465" s="28"/>
      <c r="J465" s="20"/>
      <c r="K465" s="36"/>
      <c r="L465" s="36"/>
      <c r="M465" s="20"/>
      <c r="N465" s="20"/>
      <c r="O465" s="20"/>
      <c r="P465" s="320"/>
      <c r="Q465" s="26" t="s">
        <v>384</v>
      </c>
      <c r="R465" s="20">
        <v>1315</v>
      </c>
      <c r="T465" s="327">
        <f t="shared" si="322"/>
        <v>0</v>
      </c>
      <c r="U465" s="327">
        <f t="shared" si="323"/>
        <v>0</v>
      </c>
      <c r="V465" s="327">
        <f t="shared" si="324"/>
        <v>0</v>
      </c>
      <c r="W465" s="327">
        <f t="shared" si="325"/>
        <v>0</v>
      </c>
      <c r="X465" s="65">
        <f t="shared" si="320"/>
        <v>0</v>
      </c>
      <c r="Y465" s="235">
        <f t="shared" si="326"/>
        <v>-1315</v>
      </c>
    </row>
    <row r="466" spans="1:25" s="222" customFormat="1" ht="12.75" customHeight="1" x14ac:dyDescent="0.2">
      <c r="A466" s="32"/>
      <c r="B466" s="32"/>
      <c r="C466" s="224"/>
      <c r="D466" s="20"/>
      <c r="E466" s="60"/>
      <c r="F466" s="60"/>
      <c r="G466" s="32"/>
      <c r="H466" s="28"/>
      <c r="I466" s="28"/>
      <c r="J466" s="20"/>
      <c r="K466" s="36"/>
      <c r="L466" s="36"/>
      <c r="M466" s="20"/>
      <c r="N466" s="20"/>
      <c r="O466" s="20"/>
      <c r="P466" s="320"/>
      <c r="Q466" s="6" t="s">
        <v>1005</v>
      </c>
      <c r="R466" s="49">
        <v>848</v>
      </c>
      <c r="T466" s="327">
        <f>IF(K466=$T$3,$T$5*R471/DAYS360(K466,L466),0)</f>
        <v>0</v>
      </c>
      <c r="U466" s="327">
        <f>IF(K466=$U$3,$U$5*R471/DAYS360(K466,L466),0)+IF(K466=$T$3,IF(L466=$U$4,R471-T466,0),0)+IF(K466=$T$3,IF(L466=$V$4,(R471-T466)/2,0),0)+IF(K466=$T$3,IF(L466=$W$4,(R471-T466)/3,0),0)</f>
        <v>0</v>
      </c>
      <c r="V466" s="327">
        <f>IF(K466=$V$3,$V$5*R471/DAYS360(K466,L466),0)+IF(K466=$T$3,IF(L466=$V$4,R471-T466-U466,0),0)+IF(K466=$T$3,IF(L466=$W$4,(R471-T466-U466)/2,0),0)+IF(K466=$U$3,IF(L466=$V$4,R471-U466,0),0)+IF(K466=$U$3,IF(L466=$W$4,(R471-U466)/2,0),0)</f>
        <v>0</v>
      </c>
      <c r="W466" s="327">
        <f>IF(K466=$W$3,$W$5*R471/DAYS360(K466,L466),0)+IF(K466=$T$3,IF(L466=$W$4,R471-T466-U466-V466,0),0)+IF(K466=$U$3,IF(L466=$W$4,R471-U466-V466,0),0)+IF(K466=$V$3,IF(L466=$W$4,R471-V466,0),0)</f>
        <v>0</v>
      </c>
      <c r="X466" s="65">
        <f t="shared" si="320"/>
        <v>0</v>
      </c>
      <c r="Y466" s="235">
        <f>X466-R471</f>
        <v>-205814.59999999992</v>
      </c>
    </row>
    <row r="467" spans="1:25" s="222" customFormat="1" x14ac:dyDescent="0.2">
      <c r="A467" s="32"/>
      <c r="B467" s="32"/>
      <c r="C467" s="224"/>
      <c r="D467" s="20"/>
      <c r="E467" s="60"/>
      <c r="F467" s="60"/>
      <c r="G467" s="32"/>
      <c r="H467" s="28"/>
      <c r="I467" s="28"/>
      <c r="J467" s="45"/>
      <c r="K467" s="36"/>
      <c r="L467" s="36"/>
      <c r="M467" s="20"/>
      <c r="N467" s="45"/>
      <c r="O467" s="20"/>
      <c r="P467" s="320"/>
      <c r="Q467" s="407" t="s">
        <v>1004</v>
      </c>
      <c r="R467" s="20">
        <v>848</v>
      </c>
      <c r="T467" s="327">
        <f t="shared" si="322"/>
        <v>0</v>
      </c>
      <c r="U467" s="327">
        <f t="shared" si="323"/>
        <v>0</v>
      </c>
      <c r="V467" s="327">
        <f t="shared" si="324"/>
        <v>0</v>
      </c>
      <c r="W467" s="327">
        <f t="shared" si="325"/>
        <v>0</v>
      </c>
      <c r="X467" s="65">
        <f t="shared" si="320"/>
        <v>0</v>
      </c>
      <c r="Y467" s="235">
        <f t="shared" si="326"/>
        <v>-848</v>
      </c>
    </row>
    <row r="468" spans="1:25" s="222" customFormat="1" x14ac:dyDescent="0.2">
      <c r="A468" s="32"/>
      <c r="B468" s="32"/>
      <c r="C468" s="224"/>
      <c r="D468" s="20"/>
      <c r="E468" s="60"/>
      <c r="F468" s="60"/>
      <c r="G468" s="32"/>
      <c r="H468" s="28"/>
      <c r="I468" s="28"/>
      <c r="J468" s="45"/>
      <c r="K468" s="36"/>
      <c r="L468" s="36"/>
      <c r="M468" s="20"/>
      <c r="N468" s="45"/>
      <c r="O468" s="20"/>
      <c r="P468" s="320"/>
      <c r="Q468" s="407" t="s">
        <v>1003</v>
      </c>
      <c r="R468" s="20">
        <v>1696</v>
      </c>
      <c r="T468" s="327">
        <f t="shared" si="322"/>
        <v>0</v>
      </c>
      <c r="U468" s="327">
        <f t="shared" si="323"/>
        <v>0</v>
      </c>
      <c r="V468" s="327">
        <f t="shared" si="324"/>
        <v>0</v>
      </c>
      <c r="W468" s="327">
        <f t="shared" si="325"/>
        <v>0</v>
      </c>
      <c r="X468" s="65">
        <f t="shared" si="320"/>
        <v>0</v>
      </c>
      <c r="Y468" s="235">
        <f t="shared" si="326"/>
        <v>-1696</v>
      </c>
    </row>
    <row r="469" spans="1:25" s="222" customFormat="1" ht="12.75" customHeight="1" x14ac:dyDescent="0.2">
      <c r="A469" s="32"/>
      <c r="B469" s="32"/>
      <c r="C469" s="49" t="s">
        <v>1039</v>
      </c>
      <c r="D469" s="20" t="s">
        <v>487</v>
      </c>
      <c r="E469" s="59">
        <v>41659</v>
      </c>
      <c r="F469" s="59">
        <v>41983</v>
      </c>
      <c r="G469" s="32"/>
      <c r="H469" s="28"/>
      <c r="I469" s="28"/>
      <c r="J469" s="45"/>
      <c r="K469" s="59">
        <v>41659</v>
      </c>
      <c r="L469" s="59">
        <v>41983</v>
      </c>
      <c r="M469" s="20">
        <v>5</v>
      </c>
      <c r="N469" s="189" t="s">
        <v>1040</v>
      </c>
      <c r="O469" s="20"/>
      <c r="P469" s="319" t="s">
        <v>190</v>
      </c>
      <c r="Q469" s="189" t="s">
        <v>1037</v>
      </c>
      <c r="R469" s="49">
        <v>848</v>
      </c>
      <c r="T469" s="327" t="e">
        <f>IF(K469=$T$3,$T$5*#REF!/DAYS360(K469,L469),0)</f>
        <v>#REF!</v>
      </c>
      <c r="U469" s="327" t="e">
        <f>IF(K469=$U$3,$U$5*#REF!/DAYS360(K469,L469),0)+IF(K469=$T$3,IF(L469=$U$4,#REF!-T469,0),0)+IF(K469=$T$3,IF(L469=$V$4,(#REF!-T469)/2,0),0)+IF(K469=$T$3,IF(L469=$W$4,(#REF!-T469)/3,0),0)</f>
        <v>#REF!</v>
      </c>
      <c r="V469" s="327" t="e">
        <f>IF(K469=$V$3,$V$5*#REF!/DAYS360(K469,L469),0)+IF(K469=$T$3,IF(L469=$V$4,#REF!-T469-U469,0),0)+IF(K469=$T$3,IF(L469=$W$4,(#REF!-T469-U469)/2,0),0)+IF(K469=$U$3,IF(L469=$V$4,#REF!-U469,0),0)+IF(K469=$U$3,IF(L469=$W$4,(#REF!-U469)/2,0),0)</f>
        <v>#REF!</v>
      </c>
      <c r="W469" s="327" t="e">
        <f>IF(K469=$W$3,$W$5*#REF!/DAYS360(K469,L469),0)+IF(K469=$T$3,IF(L469=$W$4,#REF!-T469-U469-V469,0),0)+IF(K469=$U$3,IF(L469=$W$4,#REF!-U469-V469,0),0)+IF(K469=$V$3,IF(L469=$W$4,#REF!-V469,0),0)</f>
        <v>#REF!</v>
      </c>
      <c r="X469" s="65" t="e">
        <f t="shared" ref="X469:X532" si="327">SUM(T469:W469)</f>
        <v>#REF!</v>
      </c>
      <c r="Y469" s="235" t="e">
        <f>X469-#REF!</f>
        <v>#REF!</v>
      </c>
    </row>
    <row r="470" spans="1:25" s="222" customFormat="1" ht="12.75" customHeight="1" x14ac:dyDescent="0.2">
      <c r="A470" s="32"/>
      <c r="B470" s="32"/>
      <c r="C470" s="49" t="s">
        <v>1039</v>
      </c>
      <c r="D470" s="20" t="s">
        <v>487</v>
      </c>
      <c r="E470" s="59">
        <v>41659</v>
      </c>
      <c r="F470" s="59">
        <v>41983</v>
      </c>
      <c r="G470" s="32"/>
      <c r="H470" s="28"/>
      <c r="I470" s="28"/>
      <c r="J470" s="45"/>
      <c r="K470" s="59">
        <v>41659</v>
      </c>
      <c r="L470" s="59">
        <v>41983</v>
      </c>
      <c r="M470" s="20">
        <v>5</v>
      </c>
      <c r="N470" s="189" t="s">
        <v>1040</v>
      </c>
      <c r="O470" s="20"/>
      <c r="P470" s="319" t="s">
        <v>190</v>
      </c>
      <c r="Q470" s="45" t="s">
        <v>1038</v>
      </c>
      <c r="R470" s="49">
        <v>848</v>
      </c>
      <c r="T470" s="327" t="e">
        <f>IF(K470=$T$3,$T$5*#REF!/DAYS360(K470,L470),0)</f>
        <v>#REF!</v>
      </c>
      <c r="U470" s="327" t="e">
        <f>IF(K470=$U$3,$U$5*#REF!/DAYS360(K470,L470),0)+IF(K470=$T$3,IF(L470=$U$4,#REF!-T470,0),0)+IF(K470=$T$3,IF(L470=$V$4,(#REF!-T470)/2,0),0)+IF(K470=$T$3,IF(L470=$W$4,(#REF!-T470)/3,0),0)</f>
        <v>#REF!</v>
      </c>
      <c r="V470" s="327" t="e">
        <f>IF(K470=$V$3,$V$5*#REF!/DAYS360(K470,L470),0)+IF(K470=$T$3,IF(L470=$V$4,#REF!-T470-U470,0),0)+IF(K470=$T$3,IF(L470=$W$4,(#REF!-T470-U470)/2,0),0)+IF(K470=$U$3,IF(L470=$V$4,#REF!-U470,0),0)+IF(K470=$U$3,IF(L470=$W$4,(#REF!-U470)/2,0),0)</f>
        <v>#REF!</v>
      </c>
      <c r="W470" s="327" t="e">
        <f>IF(K470=$W$3,$W$5*#REF!/DAYS360(K470,L470),0)+IF(K470=$T$3,IF(L470=$W$4,#REF!-T470-U470-V470,0),0)+IF(K470=$U$3,IF(L470=$W$4,#REF!-U470-V470,0),0)+IF(K470=$V$3,IF(L470=$W$4,#REF!-V470,0),0)</f>
        <v>#REF!</v>
      </c>
      <c r="X470" s="65" t="e">
        <f t="shared" si="327"/>
        <v>#REF!</v>
      </c>
      <c r="Y470" s="235" t="e">
        <f>X470-#REF!</f>
        <v>#REF!</v>
      </c>
    </row>
    <row r="471" spans="1:25" s="222" customFormat="1" ht="12.75" customHeight="1" x14ac:dyDescent="0.2">
      <c r="A471" s="32"/>
      <c r="B471" s="32"/>
      <c r="C471" s="224"/>
      <c r="D471" s="20"/>
      <c r="E471" s="60"/>
      <c r="F471" s="60"/>
      <c r="G471" s="32"/>
      <c r="H471" s="28"/>
      <c r="I471" s="28"/>
      <c r="J471" s="45"/>
      <c r="K471" s="36"/>
      <c r="L471" s="36"/>
      <c r="M471" s="20"/>
      <c r="N471" s="45"/>
      <c r="O471" s="20"/>
      <c r="P471" s="189"/>
      <c r="Q471" s="45"/>
      <c r="R471" s="65">
        <f>SUM(R8:R470)</f>
        <v>205814.59999999992</v>
      </c>
      <c r="T471" s="327">
        <f>IF(K471=$T$3,$T$5*#REF!/DAYS360(K471,L471),0)</f>
        <v>0</v>
      </c>
      <c r="U471" s="327">
        <f>IF(K471=$U$3,$U$5*#REF!/DAYS360(K471,L471),0)+IF(K471=$T$3,IF(L471=$U$4,#REF!-T471,0),0)+IF(K471=$T$3,IF(L471=$V$4,(#REF!-T471)/2,0),0)+IF(K471=$T$3,IF(L471=$W$4,(#REF!-T471)/3,0),0)</f>
        <v>0</v>
      </c>
      <c r="V471" s="327">
        <f>IF(K471=$V$3,$V$5*#REF!/DAYS360(K471,L471),0)+IF(K471=$T$3,IF(L471=$V$4,#REF!-T471-U471,0),0)+IF(K471=$T$3,IF(L471=$W$4,(#REF!-T471-U471)/2,0),0)+IF(K471=$U$3,IF(L471=$V$4,#REF!-U471,0),0)+IF(K471=$U$3,IF(L471=$W$4,(#REF!-U471)/2,0),0)</f>
        <v>0</v>
      </c>
      <c r="W471" s="327">
        <f>IF(K471=$W$3,$W$5*#REF!/DAYS360(K471,L471),0)+IF(K471=$T$3,IF(L471=$W$4,#REF!-T471-U471-V471,0),0)+IF(K471=$U$3,IF(L471=$W$4,#REF!-U471-V471,0),0)+IF(K471=$V$3,IF(L471=$W$4,#REF!-V471,0),0)</f>
        <v>0</v>
      </c>
      <c r="X471" s="65">
        <f t="shared" si="327"/>
        <v>0</v>
      </c>
      <c r="Y471" s="235" t="e">
        <f>X471-#REF!</f>
        <v>#REF!</v>
      </c>
    </row>
    <row r="472" spans="1:25" s="222" customFormat="1" ht="12.75" customHeight="1" x14ac:dyDescent="0.2">
      <c r="A472" s="32"/>
      <c r="B472" s="32"/>
      <c r="C472" s="224"/>
      <c r="D472" s="20"/>
      <c r="E472" s="60"/>
      <c r="F472" s="60"/>
      <c r="G472" s="32"/>
      <c r="H472" s="28"/>
      <c r="I472" s="28"/>
      <c r="J472" s="45"/>
      <c r="K472" s="36"/>
      <c r="L472" s="36"/>
      <c r="M472" s="20"/>
      <c r="N472" s="45"/>
      <c r="O472" s="20"/>
      <c r="P472" s="189"/>
      <c r="Q472" s="45"/>
      <c r="R472" s="20"/>
      <c r="T472" s="327">
        <f t="shared" si="322"/>
        <v>0</v>
      </c>
      <c r="U472" s="327">
        <f t="shared" si="323"/>
        <v>0</v>
      </c>
      <c r="V472" s="327">
        <f t="shared" si="324"/>
        <v>0</v>
      </c>
      <c r="W472" s="327">
        <f t="shared" si="325"/>
        <v>0</v>
      </c>
      <c r="X472" s="65">
        <f t="shared" si="327"/>
        <v>0</v>
      </c>
      <c r="Y472" s="235">
        <f t="shared" si="326"/>
        <v>0</v>
      </c>
    </row>
    <row r="473" spans="1:25" s="222" customFormat="1" ht="12.75" customHeight="1" x14ac:dyDescent="0.2">
      <c r="A473" s="32"/>
      <c r="B473" s="32"/>
      <c r="C473" s="224"/>
      <c r="D473" s="20"/>
      <c r="E473" s="60"/>
      <c r="F473" s="60"/>
      <c r="G473" s="32"/>
      <c r="H473" s="28"/>
      <c r="I473" s="28"/>
      <c r="J473" s="45"/>
      <c r="K473" s="36"/>
      <c r="L473" s="36"/>
      <c r="M473" s="20"/>
      <c r="N473" s="45"/>
      <c r="O473" s="20"/>
      <c r="P473" s="189"/>
      <c r="Q473" s="45"/>
      <c r="R473" s="20"/>
      <c r="T473" s="327">
        <f t="shared" si="322"/>
        <v>0</v>
      </c>
      <c r="U473" s="327">
        <f t="shared" si="323"/>
        <v>0</v>
      </c>
      <c r="V473" s="327">
        <f t="shared" si="324"/>
        <v>0</v>
      </c>
      <c r="W473" s="327">
        <f t="shared" si="325"/>
        <v>0</v>
      </c>
      <c r="X473" s="65">
        <f t="shared" si="327"/>
        <v>0</v>
      </c>
      <c r="Y473" s="235">
        <f t="shared" si="326"/>
        <v>0</v>
      </c>
    </row>
    <row r="474" spans="1:25" s="222" customFormat="1" ht="12.75" customHeight="1" x14ac:dyDescent="0.2">
      <c r="A474" s="32"/>
      <c r="B474" s="32"/>
      <c r="C474" s="224"/>
      <c r="D474" s="20"/>
      <c r="E474" s="60"/>
      <c r="F474" s="60"/>
      <c r="G474" s="32"/>
      <c r="H474" s="28"/>
      <c r="I474" s="28"/>
      <c r="J474" s="20"/>
      <c r="K474" s="36"/>
      <c r="L474" s="36"/>
      <c r="M474" s="20"/>
      <c r="N474" s="20"/>
      <c r="O474" s="20"/>
      <c r="P474" s="189"/>
      <c r="Q474" s="45"/>
      <c r="R474" s="20"/>
      <c r="T474" s="327">
        <f t="shared" si="322"/>
        <v>0</v>
      </c>
      <c r="U474" s="327">
        <f t="shared" si="323"/>
        <v>0</v>
      </c>
      <c r="V474" s="327">
        <f t="shared" si="324"/>
        <v>0</v>
      </c>
      <c r="W474" s="327">
        <f t="shared" si="325"/>
        <v>0</v>
      </c>
      <c r="X474" s="65">
        <f t="shared" si="327"/>
        <v>0</v>
      </c>
      <c r="Y474" s="235">
        <f t="shared" si="326"/>
        <v>0</v>
      </c>
    </row>
    <row r="475" spans="1:25" s="222" customFormat="1" ht="12.75" customHeight="1" x14ac:dyDescent="0.2">
      <c r="B475" s="32"/>
      <c r="C475" s="32"/>
      <c r="D475" s="20"/>
      <c r="E475" s="60"/>
      <c r="F475" s="60"/>
      <c r="G475" s="32"/>
      <c r="H475" s="28"/>
      <c r="I475" s="28"/>
      <c r="J475" s="20"/>
      <c r="K475" s="36"/>
      <c r="L475" s="36"/>
      <c r="M475" s="20"/>
      <c r="N475" s="20"/>
      <c r="O475" s="20"/>
      <c r="P475" s="189"/>
      <c r="Q475" s="45"/>
      <c r="R475" s="20"/>
      <c r="T475" s="327">
        <f t="shared" si="322"/>
        <v>0</v>
      </c>
      <c r="U475" s="327">
        <f t="shared" si="323"/>
        <v>0</v>
      </c>
      <c r="V475" s="327">
        <f t="shared" si="324"/>
        <v>0</v>
      </c>
      <c r="W475" s="327">
        <f t="shared" si="325"/>
        <v>0</v>
      </c>
      <c r="X475" s="65">
        <f t="shared" si="327"/>
        <v>0</v>
      </c>
      <c r="Y475" s="235">
        <f t="shared" si="326"/>
        <v>0</v>
      </c>
    </row>
    <row r="476" spans="1:25" s="222" customFormat="1" ht="12.75" customHeight="1" x14ac:dyDescent="0.2">
      <c r="B476" s="32"/>
      <c r="C476" s="32"/>
      <c r="D476" s="20"/>
      <c r="E476" s="60"/>
      <c r="F476" s="60"/>
      <c r="G476" s="32"/>
      <c r="H476" s="28"/>
      <c r="I476" s="28"/>
      <c r="J476" s="20"/>
      <c r="K476" s="36"/>
      <c r="L476" s="36"/>
      <c r="M476" s="20"/>
      <c r="N476" s="20"/>
      <c r="O476" s="20"/>
      <c r="P476" s="189"/>
      <c r="Q476" s="45"/>
      <c r="R476" s="20"/>
      <c r="T476" s="327">
        <f t="shared" si="322"/>
        <v>0</v>
      </c>
      <c r="U476" s="327">
        <f t="shared" si="323"/>
        <v>0</v>
      </c>
      <c r="V476" s="327">
        <f t="shared" si="324"/>
        <v>0</v>
      </c>
      <c r="W476" s="327">
        <f t="shared" si="325"/>
        <v>0</v>
      </c>
      <c r="X476" s="65">
        <f t="shared" si="327"/>
        <v>0</v>
      </c>
      <c r="Y476" s="235">
        <f t="shared" si="326"/>
        <v>0</v>
      </c>
    </row>
    <row r="477" spans="1:25" s="222" customFormat="1" ht="12.75" customHeight="1" x14ac:dyDescent="0.2">
      <c r="B477" s="32"/>
      <c r="C477" s="32"/>
      <c r="D477" s="20"/>
      <c r="E477" s="60"/>
      <c r="F477" s="60"/>
      <c r="G477" s="32"/>
      <c r="H477" s="28"/>
      <c r="I477" s="28"/>
      <c r="J477" s="20"/>
      <c r="K477" s="36"/>
      <c r="L477" s="36"/>
      <c r="M477" s="20"/>
      <c r="N477" s="20"/>
      <c r="O477" s="20"/>
      <c r="P477" s="189"/>
      <c r="Q477" s="45"/>
      <c r="R477" s="20"/>
      <c r="T477" s="327">
        <f t="shared" si="322"/>
        <v>0</v>
      </c>
      <c r="U477" s="327">
        <f t="shared" si="323"/>
        <v>0</v>
      </c>
      <c r="V477" s="327">
        <f t="shared" si="324"/>
        <v>0</v>
      </c>
      <c r="W477" s="327">
        <f t="shared" si="325"/>
        <v>0</v>
      </c>
      <c r="X477" s="65">
        <f t="shared" si="327"/>
        <v>0</v>
      </c>
      <c r="Y477" s="235">
        <f t="shared" si="326"/>
        <v>0</v>
      </c>
    </row>
    <row r="478" spans="1:25" s="222" customFormat="1" ht="12.75" customHeight="1" x14ac:dyDescent="0.2">
      <c r="B478" s="32"/>
      <c r="C478" s="32"/>
      <c r="D478" s="20"/>
      <c r="E478" s="60"/>
      <c r="F478" s="60"/>
      <c r="G478" s="32"/>
      <c r="H478" s="28"/>
      <c r="I478" s="28"/>
      <c r="J478" s="20"/>
      <c r="K478" s="36"/>
      <c r="L478" s="36"/>
      <c r="M478" s="20"/>
      <c r="N478" s="20"/>
      <c r="O478" s="20"/>
      <c r="P478" s="189"/>
      <c r="Q478" s="45"/>
      <c r="R478" s="20"/>
      <c r="T478" s="327">
        <f t="shared" si="322"/>
        <v>0</v>
      </c>
      <c r="U478" s="327">
        <f t="shared" si="323"/>
        <v>0</v>
      </c>
      <c r="V478" s="327">
        <f t="shared" si="324"/>
        <v>0</v>
      </c>
      <c r="W478" s="327">
        <f t="shared" si="325"/>
        <v>0</v>
      </c>
      <c r="X478" s="65">
        <f t="shared" si="327"/>
        <v>0</v>
      </c>
      <c r="Y478" s="235">
        <f t="shared" si="326"/>
        <v>0</v>
      </c>
    </row>
    <row r="479" spans="1:25" s="222" customFormat="1" ht="12.75" customHeight="1" x14ac:dyDescent="0.2">
      <c r="B479" s="32"/>
      <c r="C479" s="32"/>
      <c r="D479" s="20"/>
      <c r="E479" s="60"/>
      <c r="F479" s="60"/>
      <c r="G479" s="32"/>
      <c r="H479" s="28"/>
      <c r="I479" s="28"/>
      <c r="J479" s="20"/>
      <c r="K479" s="36"/>
      <c r="L479" s="36"/>
      <c r="M479" s="20"/>
      <c r="N479" s="20"/>
      <c r="O479" s="20"/>
      <c r="P479" s="189"/>
      <c r="Q479" s="45"/>
      <c r="R479" s="20"/>
      <c r="T479" s="327">
        <f t="shared" si="322"/>
        <v>0</v>
      </c>
      <c r="U479" s="327">
        <f t="shared" si="323"/>
        <v>0</v>
      </c>
      <c r="V479" s="327">
        <f t="shared" si="324"/>
        <v>0</v>
      </c>
      <c r="W479" s="327">
        <f t="shared" si="325"/>
        <v>0</v>
      </c>
      <c r="X479" s="65">
        <f t="shared" si="327"/>
        <v>0</v>
      </c>
      <c r="Y479" s="235">
        <f t="shared" si="326"/>
        <v>0</v>
      </c>
    </row>
    <row r="480" spans="1:25" s="222" customFormat="1" ht="12.75" customHeight="1" x14ac:dyDescent="0.2">
      <c r="B480" s="32"/>
      <c r="C480" s="32"/>
      <c r="D480" s="20"/>
      <c r="E480" s="60"/>
      <c r="F480" s="60"/>
      <c r="G480" s="32"/>
      <c r="H480" s="28"/>
      <c r="I480" s="28"/>
      <c r="J480" s="20"/>
      <c r="K480" s="36"/>
      <c r="L480" s="36"/>
      <c r="M480" s="20"/>
      <c r="N480" s="20"/>
      <c r="O480" s="20"/>
      <c r="P480" s="189"/>
      <c r="Q480" s="45"/>
      <c r="R480" s="20"/>
      <c r="T480" s="327">
        <f t="shared" si="322"/>
        <v>0</v>
      </c>
      <c r="U480" s="327">
        <f t="shared" si="323"/>
        <v>0</v>
      </c>
      <c r="V480" s="327">
        <f t="shared" si="324"/>
        <v>0</v>
      </c>
      <c r="W480" s="327">
        <f t="shared" si="325"/>
        <v>0</v>
      </c>
      <c r="X480" s="65">
        <f t="shared" si="327"/>
        <v>0</v>
      </c>
      <c r="Y480" s="235">
        <f t="shared" si="326"/>
        <v>0</v>
      </c>
    </row>
    <row r="481" spans="2:25" s="222" customFormat="1" ht="12.75" customHeight="1" x14ac:dyDescent="0.2">
      <c r="B481" s="32"/>
      <c r="C481" s="32"/>
      <c r="D481" s="20"/>
      <c r="E481" s="60"/>
      <c r="F481" s="60"/>
      <c r="G481" s="32"/>
      <c r="H481" s="28"/>
      <c r="I481" s="28"/>
      <c r="J481" s="20"/>
      <c r="K481" s="36"/>
      <c r="L481" s="36"/>
      <c r="M481" s="20"/>
      <c r="N481" s="20"/>
      <c r="O481" s="20"/>
      <c r="P481" s="189"/>
      <c r="Q481" s="45"/>
      <c r="R481" s="20"/>
      <c r="T481" s="327">
        <f t="shared" si="322"/>
        <v>0</v>
      </c>
      <c r="U481" s="327">
        <f t="shared" si="323"/>
        <v>0</v>
      </c>
      <c r="V481" s="327">
        <f t="shared" si="324"/>
        <v>0</v>
      </c>
      <c r="W481" s="327">
        <f t="shared" si="325"/>
        <v>0</v>
      </c>
      <c r="X481" s="65">
        <f t="shared" si="327"/>
        <v>0</v>
      </c>
      <c r="Y481" s="235">
        <f t="shared" si="326"/>
        <v>0</v>
      </c>
    </row>
    <row r="482" spans="2:25" s="222" customFormat="1" ht="12.75" customHeight="1" x14ac:dyDescent="0.2">
      <c r="B482" s="32"/>
      <c r="C482" s="32"/>
      <c r="D482" s="20"/>
      <c r="E482" s="60"/>
      <c r="F482" s="60"/>
      <c r="G482" s="32"/>
      <c r="H482" s="64"/>
      <c r="I482" s="28"/>
      <c r="J482" s="20"/>
      <c r="K482" s="36"/>
      <c r="L482" s="36"/>
      <c r="M482" s="20"/>
      <c r="N482" s="20"/>
      <c r="O482" s="20"/>
      <c r="P482" s="189"/>
      <c r="Q482" s="45"/>
      <c r="R482" s="20"/>
      <c r="T482" s="327">
        <f t="shared" si="322"/>
        <v>0</v>
      </c>
      <c r="U482" s="327">
        <f t="shared" si="323"/>
        <v>0</v>
      </c>
      <c r="V482" s="327">
        <f t="shared" si="324"/>
        <v>0</v>
      </c>
      <c r="W482" s="327">
        <f t="shared" si="325"/>
        <v>0</v>
      </c>
      <c r="X482" s="65">
        <f t="shared" si="327"/>
        <v>0</v>
      </c>
      <c r="Y482" s="235">
        <f t="shared" si="326"/>
        <v>0</v>
      </c>
    </row>
    <row r="483" spans="2:25" s="222" customFormat="1" ht="12.75" customHeight="1" x14ac:dyDescent="0.2">
      <c r="B483" s="32"/>
      <c r="C483" s="32"/>
      <c r="D483" s="20"/>
      <c r="E483" s="60"/>
      <c r="F483" s="60"/>
      <c r="G483" s="32"/>
      <c r="H483" s="64"/>
      <c r="I483" s="28"/>
      <c r="J483" s="20"/>
      <c r="K483" s="36"/>
      <c r="L483" s="36"/>
      <c r="M483" s="20"/>
      <c r="N483" s="20"/>
      <c r="O483" s="20"/>
      <c r="P483" s="320"/>
      <c r="Q483" s="45"/>
      <c r="R483" s="20"/>
      <c r="T483" s="327">
        <f t="shared" si="322"/>
        <v>0</v>
      </c>
      <c r="U483" s="327">
        <f t="shared" si="323"/>
        <v>0</v>
      </c>
      <c r="V483" s="327">
        <f t="shared" si="324"/>
        <v>0</v>
      </c>
      <c r="W483" s="327">
        <f t="shared" si="325"/>
        <v>0</v>
      </c>
      <c r="X483" s="65">
        <f t="shared" si="327"/>
        <v>0</v>
      </c>
      <c r="Y483" s="235">
        <f t="shared" si="326"/>
        <v>0</v>
      </c>
    </row>
    <row r="484" spans="2:25" s="222" customFormat="1" ht="12.75" customHeight="1" x14ac:dyDescent="0.2">
      <c r="B484" s="32"/>
      <c r="C484" s="32"/>
      <c r="D484" s="20"/>
      <c r="E484" s="60"/>
      <c r="F484" s="60"/>
      <c r="G484" s="32"/>
      <c r="H484" s="64"/>
      <c r="I484" s="28"/>
      <c r="J484" s="20"/>
      <c r="K484" s="36"/>
      <c r="L484" s="36"/>
      <c r="M484" s="20"/>
      <c r="N484" s="20"/>
      <c r="O484" s="20"/>
      <c r="P484" s="320"/>
      <c r="Q484" s="45"/>
      <c r="R484" s="20"/>
      <c r="T484" s="327">
        <f t="shared" si="322"/>
        <v>0</v>
      </c>
      <c r="U484" s="327">
        <f t="shared" si="323"/>
        <v>0</v>
      </c>
      <c r="V484" s="327">
        <f t="shared" si="324"/>
        <v>0</v>
      </c>
      <c r="W484" s="327">
        <f t="shared" si="325"/>
        <v>0</v>
      </c>
      <c r="X484" s="65">
        <f t="shared" si="327"/>
        <v>0</v>
      </c>
      <c r="Y484" s="235">
        <f t="shared" si="326"/>
        <v>0</v>
      </c>
    </row>
    <row r="485" spans="2:25" s="222" customFormat="1" ht="12.75" customHeight="1" x14ac:dyDescent="0.2">
      <c r="B485" s="32"/>
      <c r="C485" s="32"/>
      <c r="D485" s="20"/>
      <c r="E485" s="60"/>
      <c r="F485" s="60"/>
      <c r="G485" s="32"/>
      <c r="H485" s="28"/>
      <c r="I485" s="28"/>
      <c r="J485" s="20"/>
      <c r="K485" s="36"/>
      <c r="L485" s="36"/>
      <c r="M485" s="20"/>
      <c r="N485" s="20"/>
      <c r="O485" s="20"/>
      <c r="P485" s="320"/>
      <c r="Q485" s="45"/>
      <c r="R485" s="20"/>
      <c r="T485" s="327">
        <f t="shared" si="322"/>
        <v>0</v>
      </c>
      <c r="U485" s="327">
        <f t="shared" si="323"/>
        <v>0</v>
      </c>
      <c r="V485" s="327">
        <f t="shared" si="324"/>
        <v>0</v>
      </c>
      <c r="W485" s="327">
        <f t="shared" si="325"/>
        <v>0</v>
      </c>
      <c r="X485" s="65">
        <f t="shared" si="327"/>
        <v>0</v>
      </c>
      <c r="Y485" s="235">
        <f t="shared" si="326"/>
        <v>0</v>
      </c>
    </row>
    <row r="486" spans="2:25" s="222" customFormat="1" ht="12.75" customHeight="1" x14ac:dyDescent="0.2">
      <c r="B486" s="32"/>
      <c r="C486" s="32"/>
      <c r="D486" s="20"/>
      <c r="E486" s="60"/>
      <c r="F486" s="60"/>
      <c r="G486" s="32"/>
      <c r="H486" s="28"/>
      <c r="I486" s="28"/>
      <c r="J486" s="20"/>
      <c r="K486" s="36"/>
      <c r="L486" s="36"/>
      <c r="M486" s="20"/>
      <c r="N486" s="20"/>
      <c r="O486" s="20"/>
      <c r="P486" s="320"/>
      <c r="Q486" s="45"/>
      <c r="R486" s="20"/>
      <c r="T486" s="327">
        <f t="shared" si="322"/>
        <v>0</v>
      </c>
      <c r="U486" s="327">
        <f t="shared" si="323"/>
        <v>0</v>
      </c>
      <c r="V486" s="327">
        <f t="shared" si="324"/>
        <v>0</v>
      </c>
      <c r="W486" s="327">
        <f t="shared" si="325"/>
        <v>0</v>
      </c>
      <c r="X486" s="65">
        <f t="shared" si="327"/>
        <v>0</v>
      </c>
      <c r="Y486" s="235">
        <f t="shared" si="326"/>
        <v>0</v>
      </c>
    </row>
    <row r="487" spans="2:25" s="222" customFormat="1" ht="12.75" customHeight="1" x14ac:dyDescent="0.2">
      <c r="B487" s="32"/>
      <c r="C487" s="32"/>
      <c r="D487" s="20"/>
      <c r="E487" s="60"/>
      <c r="F487" s="60"/>
      <c r="G487" s="32"/>
      <c r="H487" s="28"/>
      <c r="I487" s="28"/>
      <c r="J487" s="20"/>
      <c r="K487" s="36"/>
      <c r="L487" s="36"/>
      <c r="M487" s="20"/>
      <c r="N487" s="20"/>
      <c r="O487" s="20"/>
      <c r="P487" s="320"/>
      <c r="Q487" s="45"/>
      <c r="R487" s="20"/>
      <c r="T487" s="327">
        <f t="shared" si="322"/>
        <v>0</v>
      </c>
      <c r="U487" s="327">
        <f t="shared" si="323"/>
        <v>0</v>
      </c>
      <c r="V487" s="327">
        <f t="shared" si="324"/>
        <v>0</v>
      </c>
      <c r="W487" s="327">
        <f t="shared" si="325"/>
        <v>0</v>
      </c>
      <c r="X487" s="65">
        <f t="shared" si="327"/>
        <v>0</v>
      </c>
      <c r="Y487" s="235">
        <f t="shared" si="326"/>
        <v>0</v>
      </c>
    </row>
    <row r="488" spans="2:25" s="222" customFormat="1" ht="12.75" customHeight="1" x14ac:dyDescent="0.2">
      <c r="B488" s="32"/>
      <c r="C488" s="32"/>
      <c r="D488" s="20"/>
      <c r="E488" s="60"/>
      <c r="F488" s="60"/>
      <c r="G488" s="32"/>
      <c r="H488" s="28"/>
      <c r="I488" s="28"/>
      <c r="J488" s="20"/>
      <c r="K488" s="36"/>
      <c r="L488" s="36"/>
      <c r="M488" s="20"/>
      <c r="N488" s="20"/>
      <c r="O488" s="20"/>
      <c r="P488" s="320"/>
      <c r="Q488" s="45"/>
      <c r="R488" s="20"/>
      <c r="T488" s="327">
        <f t="shared" si="322"/>
        <v>0</v>
      </c>
      <c r="U488" s="327">
        <f t="shared" si="323"/>
        <v>0</v>
      </c>
      <c r="V488" s="327">
        <f t="shared" si="324"/>
        <v>0</v>
      </c>
      <c r="W488" s="327">
        <f t="shared" si="325"/>
        <v>0</v>
      </c>
      <c r="X488" s="65">
        <f t="shared" si="327"/>
        <v>0</v>
      </c>
      <c r="Y488" s="235">
        <f t="shared" si="326"/>
        <v>0</v>
      </c>
    </row>
    <row r="489" spans="2:25" s="222" customFormat="1" ht="12.75" customHeight="1" x14ac:dyDescent="0.2">
      <c r="B489" s="32"/>
      <c r="C489" s="32"/>
      <c r="D489" s="20"/>
      <c r="E489" s="60"/>
      <c r="F489" s="60"/>
      <c r="G489" s="32"/>
      <c r="H489" s="28"/>
      <c r="I489" s="28"/>
      <c r="J489" s="20"/>
      <c r="K489" s="36"/>
      <c r="L489" s="36"/>
      <c r="M489" s="20"/>
      <c r="N489" s="20"/>
      <c r="O489" s="20"/>
      <c r="P489" s="320"/>
      <c r="Q489" s="45"/>
      <c r="R489" s="20"/>
      <c r="T489" s="327">
        <f t="shared" si="322"/>
        <v>0</v>
      </c>
      <c r="U489" s="327">
        <f t="shared" si="323"/>
        <v>0</v>
      </c>
      <c r="V489" s="327">
        <f t="shared" si="324"/>
        <v>0</v>
      </c>
      <c r="W489" s="327">
        <f t="shared" si="325"/>
        <v>0</v>
      </c>
      <c r="X489" s="65">
        <f t="shared" si="327"/>
        <v>0</v>
      </c>
      <c r="Y489" s="235">
        <f t="shared" si="326"/>
        <v>0</v>
      </c>
    </row>
    <row r="490" spans="2:25" s="222" customFormat="1" ht="12.75" customHeight="1" x14ac:dyDescent="0.2">
      <c r="B490" s="32"/>
      <c r="C490" s="32"/>
      <c r="D490" s="20"/>
      <c r="E490" s="60"/>
      <c r="F490" s="60"/>
      <c r="G490" s="32"/>
      <c r="H490" s="28"/>
      <c r="I490" s="28"/>
      <c r="J490" s="20"/>
      <c r="K490" s="36"/>
      <c r="L490" s="36"/>
      <c r="M490" s="20"/>
      <c r="N490" s="20"/>
      <c r="O490" s="20"/>
      <c r="P490" s="320"/>
      <c r="Q490" s="45"/>
      <c r="R490" s="20"/>
      <c r="T490" s="327">
        <f t="shared" si="322"/>
        <v>0</v>
      </c>
      <c r="U490" s="327">
        <f t="shared" si="323"/>
        <v>0</v>
      </c>
      <c r="V490" s="327">
        <f t="shared" si="324"/>
        <v>0</v>
      </c>
      <c r="W490" s="327">
        <f t="shared" si="325"/>
        <v>0</v>
      </c>
      <c r="X490" s="65">
        <f t="shared" si="327"/>
        <v>0</v>
      </c>
      <c r="Y490" s="235">
        <f t="shared" si="326"/>
        <v>0</v>
      </c>
    </row>
    <row r="491" spans="2:25" s="222" customFormat="1" ht="12.75" customHeight="1" x14ac:dyDescent="0.2">
      <c r="B491" s="32"/>
      <c r="C491" s="54"/>
      <c r="D491" s="20"/>
      <c r="E491" s="60"/>
      <c r="F491" s="60"/>
      <c r="G491" s="32"/>
      <c r="H491" s="64"/>
      <c r="I491" s="28"/>
      <c r="J491" s="45"/>
      <c r="K491" s="36"/>
      <c r="L491" s="36"/>
      <c r="M491" s="20"/>
      <c r="N491" s="45"/>
      <c r="O491" s="20"/>
      <c r="P491" s="320"/>
      <c r="Q491" s="45"/>
      <c r="R491" s="20"/>
      <c r="T491" s="327">
        <f t="shared" si="322"/>
        <v>0</v>
      </c>
      <c r="U491" s="327">
        <f t="shared" si="323"/>
        <v>0</v>
      </c>
      <c r="V491" s="327">
        <f t="shared" si="324"/>
        <v>0</v>
      </c>
      <c r="W491" s="327">
        <f t="shared" si="325"/>
        <v>0</v>
      </c>
      <c r="X491" s="65">
        <f t="shared" si="327"/>
        <v>0</v>
      </c>
      <c r="Y491" s="235">
        <f t="shared" si="326"/>
        <v>0</v>
      </c>
    </row>
    <row r="492" spans="2:25" s="222" customFormat="1" ht="12.75" customHeight="1" x14ac:dyDescent="0.2">
      <c r="B492" s="32"/>
      <c r="C492" s="32"/>
      <c r="D492" s="20"/>
      <c r="E492" s="60"/>
      <c r="F492" s="60"/>
      <c r="G492" s="32"/>
      <c r="H492" s="64"/>
      <c r="I492" s="28"/>
      <c r="J492" s="45"/>
      <c r="K492" s="36"/>
      <c r="L492" s="36"/>
      <c r="M492" s="20"/>
      <c r="N492" s="45"/>
      <c r="O492" s="20"/>
      <c r="P492" s="320"/>
      <c r="Q492" s="45"/>
      <c r="R492" s="20"/>
      <c r="T492" s="327">
        <f t="shared" si="322"/>
        <v>0</v>
      </c>
      <c r="U492" s="327">
        <f t="shared" si="323"/>
        <v>0</v>
      </c>
      <c r="V492" s="327">
        <f t="shared" si="324"/>
        <v>0</v>
      </c>
      <c r="W492" s="327">
        <f t="shared" si="325"/>
        <v>0</v>
      </c>
      <c r="X492" s="65">
        <f t="shared" si="327"/>
        <v>0</v>
      </c>
      <c r="Y492" s="235">
        <f t="shared" si="326"/>
        <v>0</v>
      </c>
    </row>
    <row r="493" spans="2:25" s="222" customFormat="1" ht="12.75" customHeight="1" x14ac:dyDescent="0.2">
      <c r="B493" s="32"/>
      <c r="C493" s="32"/>
      <c r="D493" s="20"/>
      <c r="E493" s="60"/>
      <c r="F493" s="60"/>
      <c r="G493" s="32"/>
      <c r="H493" s="64"/>
      <c r="I493" s="28"/>
      <c r="J493" s="45"/>
      <c r="K493" s="36"/>
      <c r="L493" s="36"/>
      <c r="M493" s="20"/>
      <c r="N493" s="45"/>
      <c r="O493" s="20"/>
      <c r="P493" s="320"/>
      <c r="Q493" s="45"/>
      <c r="R493" s="20"/>
      <c r="T493" s="327">
        <f t="shared" si="322"/>
        <v>0</v>
      </c>
      <c r="U493" s="327">
        <f t="shared" si="323"/>
        <v>0</v>
      </c>
      <c r="V493" s="327">
        <f t="shared" si="324"/>
        <v>0</v>
      </c>
      <c r="W493" s="327">
        <f t="shared" si="325"/>
        <v>0</v>
      </c>
      <c r="X493" s="65">
        <f t="shared" si="327"/>
        <v>0</v>
      </c>
      <c r="Y493" s="235">
        <f t="shared" si="326"/>
        <v>0</v>
      </c>
    </row>
    <row r="494" spans="2:25" s="222" customFormat="1" ht="12.75" customHeight="1" x14ac:dyDescent="0.2">
      <c r="B494" s="32"/>
      <c r="C494" s="32"/>
      <c r="D494" s="20"/>
      <c r="E494" s="61"/>
      <c r="F494" s="60"/>
      <c r="G494" s="32"/>
      <c r="H494" s="64"/>
      <c r="I494" s="28"/>
      <c r="J494" s="45"/>
      <c r="K494" s="36"/>
      <c r="L494" s="36"/>
      <c r="M494" s="20"/>
      <c r="N494" s="45"/>
      <c r="O494" s="20"/>
      <c r="P494" s="320"/>
      <c r="Q494" s="45"/>
      <c r="R494" s="20"/>
      <c r="T494" s="327">
        <f t="shared" si="322"/>
        <v>0</v>
      </c>
      <c r="U494" s="327">
        <f t="shared" si="323"/>
        <v>0</v>
      </c>
      <c r="V494" s="327">
        <f t="shared" si="324"/>
        <v>0</v>
      </c>
      <c r="W494" s="327">
        <f t="shared" si="325"/>
        <v>0</v>
      </c>
      <c r="X494" s="65">
        <f t="shared" si="327"/>
        <v>0</v>
      </c>
      <c r="Y494" s="235">
        <f t="shared" si="326"/>
        <v>0</v>
      </c>
    </row>
    <row r="495" spans="2:25" s="222" customFormat="1" ht="12.75" customHeight="1" x14ac:dyDescent="0.2">
      <c r="B495" s="32"/>
      <c r="C495" s="32"/>
      <c r="D495" s="20"/>
      <c r="E495" s="60"/>
      <c r="F495" s="60"/>
      <c r="G495" s="32"/>
      <c r="H495" s="64"/>
      <c r="I495" s="28"/>
      <c r="J495" s="45"/>
      <c r="K495" s="36"/>
      <c r="L495" s="36"/>
      <c r="M495" s="20"/>
      <c r="N495" s="45"/>
      <c r="O495" s="20"/>
      <c r="P495" s="320"/>
      <c r="Q495" s="45"/>
      <c r="R495" s="20"/>
      <c r="T495" s="327">
        <f t="shared" si="322"/>
        <v>0</v>
      </c>
      <c r="U495" s="327">
        <f t="shared" si="323"/>
        <v>0</v>
      </c>
      <c r="V495" s="327">
        <f t="shared" si="324"/>
        <v>0</v>
      </c>
      <c r="W495" s="327">
        <f t="shared" si="325"/>
        <v>0</v>
      </c>
      <c r="X495" s="65">
        <f t="shared" si="327"/>
        <v>0</v>
      </c>
      <c r="Y495" s="235">
        <f t="shared" si="326"/>
        <v>0</v>
      </c>
    </row>
    <row r="496" spans="2:25" s="222" customFormat="1" ht="12.75" customHeight="1" x14ac:dyDescent="0.2">
      <c r="B496" s="32"/>
      <c r="C496" s="32"/>
      <c r="D496" s="20"/>
      <c r="E496" s="60"/>
      <c r="F496" s="60"/>
      <c r="G496" s="32"/>
      <c r="H496" s="64"/>
      <c r="I496" s="28"/>
      <c r="J496" s="45"/>
      <c r="K496" s="36"/>
      <c r="L496" s="36"/>
      <c r="M496" s="20"/>
      <c r="N496" s="45"/>
      <c r="O496" s="20"/>
      <c r="P496" s="320"/>
      <c r="Q496" s="45"/>
      <c r="R496" s="20"/>
      <c r="T496" s="327">
        <f t="shared" si="322"/>
        <v>0</v>
      </c>
      <c r="U496" s="327">
        <f t="shared" si="323"/>
        <v>0</v>
      </c>
      <c r="V496" s="327">
        <f t="shared" si="324"/>
        <v>0</v>
      </c>
      <c r="W496" s="327">
        <f t="shared" si="325"/>
        <v>0</v>
      </c>
      <c r="X496" s="65">
        <f t="shared" si="327"/>
        <v>0</v>
      </c>
      <c r="Y496" s="235">
        <f t="shared" si="326"/>
        <v>0</v>
      </c>
    </row>
    <row r="497" spans="2:25" s="222" customFormat="1" ht="12.75" customHeight="1" x14ac:dyDescent="0.2">
      <c r="B497" s="20"/>
      <c r="C497" s="20"/>
      <c r="D497" s="20"/>
      <c r="E497" s="62"/>
      <c r="F497" s="59"/>
      <c r="G497" s="20"/>
      <c r="H497" s="28"/>
      <c r="I497" s="28"/>
      <c r="J497" s="45"/>
      <c r="K497" s="36"/>
      <c r="L497" s="36"/>
      <c r="M497" s="20"/>
      <c r="N497" s="45"/>
      <c r="O497" s="20"/>
      <c r="P497" s="320"/>
      <c r="Q497" s="45"/>
      <c r="R497" s="20"/>
      <c r="T497" s="327">
        <f t="shared" si="322"/>
        <v>0</v>
      </c>
      <c r="U497" s="327">
        <f t="shared" si="323"/>
        <v>0</v>
      </c>
      <c r="V497" s="327">
        <f t="shared" si="324"/>
        <v>0</v>
      </c>
      <c r="W497" s="327">
        <f t="shared" si="325"/>
        <v>0</v>
      </c>
      <c r="X497" s="65">
        <f t="shared" si="327"/>
        <v>0</v>
      </c>
      <c r="Y497" s="235">
        <f t="shared" si="326"/>
        <v>0</v>
      </c>
    </row>
    <row r="498" spans="2:25" s="222" customFormat="1" ht="12.75" customHeight="1" x14ac:dyDescent="0.2">
      <c r="B498" s="20"/>
      <c r="C498" s="20"/>
      <c r="D498" s="20"/>
      <c r="E498" s="62"/>
      <c r="F498" s="59"/>
      <c r="G498" s="20"/>
      <c r="H498" s="28"/>
      <c r="I498" s="28"/>
      <c r="J498" s="45"/>
      <c r="K498" s="36"/>
      <c r="L498" s="36"/>
      <c r="M498" s="20"/>
      <c r="N498" s="45"/>
      <c r="O498" s="20"/>
      <c r="P498" s="320"/>
      <c r="Q498" s="45"/>
      <c r="R498" s="20"/>
      <c r="T498" s="327">
        <f t="shared" si="322"/>
        <v>0</v>
      </c>
      <c r="U498" s="327">
        <f t="shared" si="323"/>
        <v>0</v>
      </c>
      <c r="V498" s="327">
        <f t="shared" si="324"/>
        <v>0</v>
      </c>
      <c r="W498" s="327">
        <f t="shared" si="325"/>
        <v>0</v>
      </c>
      <c r="X498" s="65">
        <f t="shared" si="327"/>
        <v>0</v>
      </c>
      <c r="Y498" s="235">
        <f t="shared" si="326"/>
        <v>0</v>
      </c>
    </row>
    <row r="499" spans="2:25" s="222" customFormat="1" ht="12.75" customHeight="1" x14ac:dyDescent="0.2">
      <c r="B499" s="20"/>
      <c r="C499" s="20"/>
      <c r="D499" s="20"/>
      <c r="E499" s="59"/>
      <c r="F499" s="59"/>
      <c r="G499" s="20"/>
      <c r="H499" s="28"/>
      <c r="I499" s="28"/>
      <c r="J499" s="45"/>
      <c r="K499" s="36"/>
      <c r="L499" s="36"/>
      <c r="M499" s="20"/>
      <c r="N499" s="45"/>
      <c r="O499" s="20"/>
      <c r="P499" s="189"/>
      <c r="Q499" s="45"/>
      <c r="R499" s="20"/>
      <c r="T499" s="327">
        <f t="shared" si="322"/>
        <v>0</v>
      </c>
      <c r="U499" s="327">
        <f t="shared" si="323"/>
        <v>0</v>
      </c>
      <c r="V499" s="327">
        <f t="shared" si="324"/>
        <v>0</v>
      </c>
      <c r="W499" s="327">
        <f t="shared" si="325"/>
        <v>0</v>
      </c>
      <c r="X499" s="65">
        <f t="shared" si="327"/>
        <v>0</v>
      </c>
      <c r="Y499" s="235">
        <f t="shared" si="326"/>
        <v>0</v>
      </c>
    </row>
    <row r="500" spans="2:25" s="222" customFormat="1" ht="12.75" customHeight="1" x14ac:dyDescent="0.2">
      <c r="B500" s="20"/>
      <c r="C500" s="20"/>
      <c r="D500" s="20"/>
      <c r="E500" s="62"/>
      <c r="F500" s="59"/>
      <c r="G500" s="20"/>
      <c r="H500" s="28"/>
      <c r="I500" s="28"/>
      <c r="J500" s="45"/>
      <c r="K500" s="36"/>
      <c r="L500" s="36"/>
      <c r="M500" s="20"/>
      <c r="N500" s="45"/>
      <c r="O500" s="20"/>
      <c r="P500" s="320"/>
      <c r="Q500" s="45"/>
      <c r="R500" s="20"/>
      <c r="T500" s="327">
        <f t="shared" si="322"/>
        <v>0</v>
      </c>
      <c r="U500" s="327">
        <f t="shared" si="323"/>
        <v>0</v>
      </c>
      <c r="V500" s="327">
        <f t="shared" si="324"/>
        <v>0</v>
      </c>
      <c r="W500" s="327">
        <f t="shared" si="325"/>
        <v>0</v>
      </c>
      <c r="X500" s="65">
        <f t="shared" si="327"/>
        <v>0</v>
      </c>
      <c r="Y500" s="235">
        <f t="shared" si="326"/>
        <v>0</v>
      </c>
    </row>
    <row r="501" spans="2:25" s="222" customFormat="1" ht="12.75" customHeight="1" x14ac:dyDescent="0.2">
      <c r="B501" s="20"/>
      <c r="C501" s="20"/>
      <c r="D501" s="20"/>
      <c r="E501" s="62"/>
      <c r="F501" s="59"/>
      <c r="G501" s="20"/>
      <c r="H501" s="28"/>
      <c r="I501" s="28"/>
      <c r="J501" s="45"/>
      <c r="K501" s="36"/>
      <c r="L501" s="36"/>
      <c r="M501" s="20"/>
      <c r="N501" s="45"/>
      <c r="O501" s="20"/>
      <c r="P501" s="320"/>
      <c r="Q501" s="45"/>
      <c r="R501" s="20"/>
      <c r="T501" s="327">
        <f t="shared" si="322"/>
        <v>0</v>
      </c>
      <c r="U501" s="327">
        <f t="shared" si="323"/>
        <v>0</v>
      </c>
      <c r="V501" s="327">
        <f t="shared" si="324"/>
        <v>0</v>
      </c>
      <c r="W501" s="327">
        <f t="shared" si="325"/>
        <v>0</v>
      </c>
      <c r="X501" s="65">
        <f t="shared" si="327"/>
        <v>0</v>
      </c>
      <c r="Y501" s="235">
        <f t="shared" si="326"/>
        <v>0</v>
      </c>
    </row>
    <row r="502" spans="2:25" s="222" customFormat="1" ht="12.75" customHeight="1" x14ac:dyDescent="0.2">
      <c r="B502" s="20"/>
      <c r="C502" s="20"/>
      <c r="D502" s="20"/>
      <c r="E502" s="62"/>
      <c r="F502" s="59"/>
      <c r="G502" s="20"/>
      <c r="H502" s="28"/>
      <c r="I502" s="28"/>
      <c r="J502" s="45"/>
      <c r="K502" s="36"/>
      <c r="L502" s="36"/>
      <c r="M502" s="20"/>
      <c r="N502" s="45"/>
      <c r="O502" s="20"/>
      <c r="P502" s="320"/>
      <c r="Q502" s="45"/>
      <c r="R502" s="20"/>
      <c r="T502" s="327">
        <f t="shared" si="322"/>
        <v>0</v>
      </c>
      <c r="U502" s="327">
        <f t="shared" si="323"/>
        <v>0</v>
      </c>
      <c r="V502" s="327">
        <f t="shared" si="324"/>
        <v>0</v>
      </c>
      <c r="W502" s="327">
        <f t="shared" si="325"/>
        <v>0</v>
      </c>
      <c r="X502" s="65">
        <f t="shared" si="327"/>
        <v>0</v>
      </c>
      <c r="Y502" s="235">
        <f t="shared" si="326"/>
        <v>0</v>
      </c>
    </row>
    <row r="503" spans="2:25" s="222" customFormat="1" ht="12.75" customHeight="1" x14ac:dyDescent="0.2">
      <c r="B503" s="32"/>
      <c r="C503" s="32"/>
      <c r="D503" s="20"/>
      <c r="E503" s="60"/>
      <c r="F503" s="60"/>
      <c r="G503" s="32"/>
      <c r="H503" s="64"/>
      <c r="I503" s="28"/>
      <c r="J503" s="45"/>
      <c r="K503" s="36"/>
      <c r="L503" s="36"/>
      <c r="M503" s="20"/>
      <c r="N503" s="45"/>
      <c r="O503" s="20"/>
      <c r="P503" s="189"/>
      <c r="Q503" s="45"/>
      <c r="R503" s="20"/>
      <c r="T503" s="327">
        <f t="shared" si="322"/>
        <v>0</v>
      </c>
      <c r="U503" s="327">
        <f t="shared" si="323"/>
        <v>0</v>
      </c>
      <c r="V503" s="327">
        <f t="shared" si="324"/>
        <v>0</v>
      </c>
      <c r="W503" s="327">
        <f t="shared" si="325"/>
        <v>0</v>
      </c>
      <c r="X503" s="65">
        <f t="shared" si="327"/>
        <v>0</v>
      </c>
      <c r="Y503" s="235">
        <f t="shared" si="326"/>
        <v>0</v>
      </c>
    </row>
    <row r="504" spans="2:25" s="222" customFormat="1" ht="12.75" customHeight="1" x14ac:dyDescent="0.2">
      <c r="B504" s="32"/>
      <c r="C504" s="32"/>
      <c r="D504" s="20"/>
      <c r="E504" s="60"/>
      <c r="F504" s="60"/>
      <c r="G504" s="32"/>
      <c r="H504" s="64"/>
      <c r="I504" s="28"/>
      <c r="J504" s="45"/>
      <c r="K504" s="36"/>
      <c r="L504" s="36"/>
      <c r="M504" s="20"/>
      <c r="N504" s="45"/>
      <c r="O504" s="20"/>
      <c r="P504" s="320"/>
      <c r="Q504" s="45"/>
      <c r="R504" s="20"/>
      <c r="T504" s="327">
        <f t="shared" si="322"/>
        <v>0</v>
      </c>
      <c r="U504" s="327">
        <f t="shared" si="323"/>
        <v>0</v>
      </c>
      <c r="V504" s="327">
        <f t="shared" si="324"/>
        <v>0</v>
      </c>
      <c r="W504" s="327">
        <f t="shared" si="325"/>
        <v>0</v>
      </c>
      <c r="X504" s="65">
        <f t="shared" si="327"/>
        <v>0</v>
      </c>
      <c r="Y504" s="235">
        <f t="shared" si="326"/>
        <v>0</v>
      </c>
    </row>
    <row r="505" spans="2:25" s="222" customFormat="1" ht="12.75" customHeight="1" x14ac:dyDescent="0.2">
      <c r="B505" s="32"/>
      <c r="C505" s="32"/>
      <c r="D505" s="20"/>
      <c r="E505" s="60"/>
      <c r="F505" s="60"/>
      <c r="G505" s="32"/>
      <c r="H505" s="64"/>
      <c r="I505" s="28"/>
      <c r="J505" s="45"/>
      <c r="K505" s="36"/>
      <c r="L505" s="36"/>
      <c r="M505" s="20"/>
      <c r="N505" s="45"/>
      <c r="O505" s="20"/>
      <c r="P505" s="189"/>
      <c r="Q505" s="45"/>
      <c r="R505" s="20"/>
      <c r="T505" s="327">
        <f t="shared" si="322"/>
        <v>0</v>
      </c>
      <c r="U505" s="327">
        <f t="shared" si="323"/>
        <v>0</v>
      </c>
      <c r="V505" s="327">
        <f t="shared" si="324"/>
        <v>0</v>
      </c>
      <c r="W505" s="327">
        <f t="shared" si="325"/>
        <v>0</v>
      </c>
      <c r="X505" s="65">
        <f t="shared" si="327"/>
        <v>0</v>
      </c>
      <c r="Y505" s="235">
        <f t="shared" si="326"/>
        <v>0</v>
      </c>
    </row>
    <row r="506" spans="2:25" s="222" customFormat="1" ht="12.75" customHeight="1" x14ac:dyDescent="0.2">
      <c r="B506" s="32"/>
      <c r="C506" s="32"/>
      <c r="D506" s="20"/>
      <c r="E506" s="61"/>
      <c r="F506" s="60"/>
      <c r="G506" s="32"/>
      <c r="H506" s="64"/>
      <c r="I506" s="28"/>
      <c r="J506" s="45"/>
      <c r="K506" s="36"/>
      <c r="L506" s="36"/>
      <c r="M506" s="20"/>
      <c r="N506" s="45"/>
      <c r="O506" s="20"/>
      <c r="P506" s="189"/>
      <c r="Q506" s="45"/>
      <c r="R506" s="20"/>
      <c r="T506" s="327">
        <f t="shared" si="322"/>
        <v>0</v>
      </c>
      <c r="U506" s="327">
        <f t="shared" si="323"/>
        <v>0</v>
      </c>
      <c r="V506" s="327">
        <f t="shared" si="324"/>
        <v>0</v>
      </c>
      <c r="W506" s="327">
        <f t="shared" si="325"/>
        <v>0</v>
      </c>
      <c r="X506" s="65">
        <f t="shared" si="327"/>
        <v>0</v>
      </c>
      <c r="Y506" s="235">
        <f t="shared" si="326"/>
        <v>0</v>
      </c>
    </row>
    <row r="507" spans="2:25" s="222" customFormat="1" ht="12.75" customHeight="1" x14ac:dyDescent="0.2">
      <c r="B507" s="32"/>
      <c r="C507" s="32"/>
      <c r="D507" s="20"/>
      <c r="E507" s="60"/>
      <c r="F507" s="60"/>
      <c r="G507" s="32"/>
      <c r="H507" s="64"/>
      <c r="I507" s="28"/>
      <c r="J507" s="45"/>
      <c r="K507" s="36"/>
      <c r="L507" s="36"/>
      <c r="M507" s="20"/>
      <c r="N507" s="45"/>
      <c r="O507" s="20"/>
      <c r="P507" s="189"/>
      <c r="Q507" s="45"/>
      <c r="R507" s="20"/>
      <c r="T507" s="327">
        <f t="shared" si="322"/>
        <v>0</v>
      </c>
      <c r="U507" s="327">
        <f t="shared" si="323"/>
        <v>0</v>
      </c>
      <c r="V507" s="327">
        <f t="shared" si="324"/>
        <v>0</v>
      </c>
      <c r="W507" s="327">
        <f t="shared" si="325"/>
        <v>0</v>
      </c>
      <c r="X507" s="65">
        <f t="shared" si="327"/>
        <v>0</v>
      </c>
      <c r="Y507" s="235">
        <f t="shared" si="326"/>
        <v>0</v>
      </c>
    </row>
    <row r="508" spans="2:25" s="222" customFormat="1" ht="12.75" customHeight="1" x14ac:dyDescent="0.2">
      <c r="B508" s="32"/>
      <c r="C508" s="32"/>
      <c r="D508" s="20"/>
      <c r="E508" s="60"/>
      <c r="F508" s="60"/>
      <c r="G508" s="32"/>
      <c r="H508" s="64"/>
      <c r="I508" s="28"/>
      <c r="J508" s="45"/>
      <c r="K508" s="36"/>
      <c r="L508" s="36"/>
      <c r="M508" s="20"/>
      <c r="N508" s="45"/>
      <c r="O508" s="20"/>
      <c r="P508" s="189"/>
      <c r="Q508" s="45"/>
      <c r="R508" s="20"/>
      <c r="T508" s="327">
        <f t="shared" si="322"/>
        <v>0</v>
      </c>
      <c r="U508" s="327">
        <f t="shared" si="323"/>
        <v>0</v>
      </c>
      <c r="V508" s="327">
        <f t="shared" si="324"/>
        <v>0</v>
      </c>
      <c r="W508" s="327">
        <f t="shared" si="325"/>
        <v>0</v>
      </c>
      <c r="X508" s="65">
        <f t="shared" si="327"/>
        <v>0</v>
      </c>
      <c r="Y508" s="235">
        <f t="shared" si="326"/>
        <v>0</v>
      </c>
    </row>
    <row r="509" spans="2:25" s="222" customFormat="1" ht="12.75" customHeight="1" x14ac:dyDescent="0.2">
      <c r="B509" s="20"/>
      <c r="C509" s="20"/>
      <c r="D509" s="20"/>
      <c r="E509" s="59"/>
      <c r="F509" s="59"/>
      <c r="G509" s="20"/>
      <c r="H509" s="28"/>
      <c r="I509" s="28"/>
      <c r="J509" s="45"/>
      <c r="K509" s="36"/>
      <c r="L509" s="36"/>
      <c r="M509" s="20"/>
      <c r="N509" s="45"/>
      <c r="O509" s="20"/>
      <c r="P509" s="319"/>
      <c r="Q509" s="45"/>
      <c r="R509" s="20"/>
      <c r="T509" s="327">
        <f t="shared" si="322"/>
        <v>0</v>
      </c>
      <c r="U509" s="327">
        <f t="shared" si="323"/>
        <v>0</v>
      </c>
      <c r="V509" s="327">
        <f t="shared" si="324"/>
        <v>0</v>
      </c>
      <c r="W509" s="327">
        <f t="shared" si="325"/>
        <v>0</v>
      </c>
      <c r="X509" s="65">
        <f t="shared" si="327"/>
        <v>0</v>
      </c>
      <c r="Y509" s="235">
        <f t="shared" si="326"/>
        <v>0</v>
      </c>
    </row>
    <row r="510" spans="2:25" s="222" customFormat="1" ht="12.75" customHeight="1" x14ac:dyDescent="0.2">
      <c r="B510" s="20"/>
      <c r="C510" s="20"/>
      <c r="D510" s="20"/>
      <c r="E510" s="59"/>
      <c r="F510" s="59"/>
      <c r="G510" s="20"/>
      <c r="H510" s="28"/>
      <c r="I510" s="28"/>
      <c r="J510" s="45"/>
      <c r="K510" s="36"/>
      <c r="L510" s="36"/>
      <c r="M510" s="20"/>
      <c r="N510" s="45"/>
      <c r="O510" s="20"/>
      <c r="P510" s="319"/>
      <c r="Q510" s="45"/>
      <c r="R510" s="20"/>
      <c r="T510" s="327">
        <f t="shared" ref="T510:T573" si="328">IF(K510=$T$3,$T$5*R510/DAYS360(K510,L510),0)</f>
        <v>0</v>
      </c>
      <c r="U510" s="327">
        <f t="shared" ref="U510:U573" si="329">IF(K510=$U$3,$U$5*R510/DAYS360(K510,L510),0)+IF(K510=$T$3,IF(L510=$U$4,R510-T510,0),0)+IF(K510=$T$3,IF(L510=$V$4,(R510-T510)/2,0),0)+IF(K510=$T$3,IF(L510=$W$4,(R510-T510)/3,0),0)</f>
        <v>0</v>
      </c>
      <c r="V510" s="327">
        <f t="shared" ref="V510:V573" si="330">IF(K510=$V$3,$V$5*R510/DAYS360(K510,L510),0)+IF(K510=$T$3,IF(L510=$V$4,R510-T510-U510,0),0)+IF(K510=$T$3,IF(L510=$W$4,(R510-T510-U510)/2,0),0)+IF(K510=$U$3,IF(L510=$V$4,R510-U510,0),0)+IF(K510=$U$3,IF(L510=$W$4,(R510-U510)/2,0),0)</f>
        <v>0</v>
      </c>
      <c r="W510" s="327">
        <f t="shared" ref="W510:W573" si="331">IF(K510=$W$3,$W$5*R510/DAYS360(K510,L510),0)+IF(K510=$T$3,IF(L510=$W$4,R510-T510-U510-V510,0),0)+IF(K510=$U$3,IF(L510=$W$4,R510-U510-V510,0),0)+IF(K510=$V$3,IF(L510=$W$4,R510-V510,0),0)</f>
        <v>0</v>
      </c>
      <c r="X510" s="65">
        <f t="shared" si="327"/>
        <v>0</v>
      </c>
      <c r="Y510" s="235">
        <f t="shared" si="326"/>
        <v>0</v>
      </c>
    </row>
    <row r="511" spans="2:25" s="222" customFormat="1" ht="12.75" customHeight="1" x14ac:dyDescent="0.2">
      <c r="B511" s="20"/>
      <c r="C511" s="20"/>
      <c r="D511" s="20"/>
      <c r="E511" s="59"/>
      <c r="F511" s="59"/>
      <c r="G511" s="20"/>
      <c r="H511" s="28"/>
      <c r="I511" s="28"/>
      <c r="J511" s="45"/>
      <c r="K511" s="36"/>
      <c r="L511" s="36"/>
      <c r="M511" s="20"/>
      <c r="N511" s="45"/>
      <c r="O511" s="20"/>
      <c r="P511" s="319"/>
      <c r="Q511" s="45"/>
      <c r="R511" s="20"/>
      <c r="T511" s="327">
        <f t="shared" si="328"/>
        <v>0</v>
      </c>
      <c r="U511" s="327">
        <f t="shared" si="329"/>
        <v>0</v>
      </c>
      <c r="V511" s="327">
        <f t="shared" si="330"/>
        <v>0</v>
      </c>
      <c r="W511" s="327">
        <f t="shared" si="331"/>
        <v>0</v>
      </c>
      <c r="X511" s="65">
        <f t="shared" si="327"/>
        <v>0</v>
      </c>
      <c r="Y511" s="235">
        <f t="shared" si="326"/>
        <v>0</v>
      </c>
    </row>
    <row r="512" spans="2:25" s="222" customFormat="1" ht="12.75" customHeight="1" x14ac:dyDescent="0.2">
      <c r="B512" s="20"/>
      <c r="C512" s="20"/>
      <c r="D512" s="20"/>
      <c r="E512" s="59"/>
      <c r="F512" s="59"/>
      <c r="G512" s="20"/>
      <c r="H512" s="28"/>
      <c r="I512" s="28"/>
      <c r="J512" s="45"/>
      <c r="K512" s="36"/>
      <c r="L512" s="36"/>
      <c r="M512" s="20"/>
      <c r="N512" s="45"/>
      <c r="O512" s="20"/>
      <c r="P512" s="319"/>
      <c r="Q512" s="45"/>
      <c r="R512" s="20"/>
      <c r="T512" s="327">
        <f t="shared" si="328"/>
        <v>0</v>
      </c>
      <c r="U512" s="327">
        <f t="shared" si="329"/>
        <v>0</v>
      </c>
      <c r="V512" s="327">
        <f t="shared" si="330"/>
        <v>0</v>
      </c>
      <c r="W512" s="327">
        <f t="shared" si="331"/>
        <v>0</v>
      </c>
      <c r="X512" s="65">
        <f t="shared" si="327"/>
        <v>0</v>
      </c>
      <c r="Y512" s="235">
        <f t="shared" si="326"/>
        <v>0</v>
      </c>
    </row>
    <row r="513" spans="2:25" s="222" customFormat="1" ht="12.75" customHeight="1" x14ac:dyDescent="0.2">
      <c r="B513" s="20"/>
      <c r="C513" s="20"/>
      <c r="D513" s="20"/>
      <c r="E513" s="59"/>
      <c r="F513" s="59"/>
      <c r="G513" s="20"/>
      <c r="H513" s="28"/>
      <c r="I513" s="28"/>
      <c r="J513" s="45"/>
      <c r="K513" s="36"/>
      <c r="L513" s="36"/>
      <c r="M513" s="20"/>
      <c r="N513" s="45"/>
      <c r="O513" s="20"/>
      <c r="P513" s="323"/>
      <c r="Q513" s="45"/>
      <c r="R513" s="20"/>
      <c r="T513" s="327">
        <f t="shared" si="328"/>
        <v>0</v>
      </c>
      <c r="U513" s="327">
        <f t="shared" si="329"/>
        <v>0</v>
      </c>
      <c r="V513" s="327">
        <f t="shared" si="330"/>
        <v>0</v>
      </c>
      <c r="W513" s="327">
        <f t="shared" si="331"/>
        <v>0</v>
      </c>
      <c r="X513" s="65">
        <f t="shared" si="327"/>
        <v>0</v>
      </c>
      <c r="Y513" s="235">
        <f t="shared" si="326"/>
        <v>0</v>
      </c>
    </row>
    <row r="514" spans="2:25" s="222" customFormat="1" ht="12.75" customHeight="1" x14ac:dyDescent="0.2">
      <c r="B514" s="20"/>
      <c r="C514" s="20"/>
      <c r="D514" s="20"/>
      <c r="E514" s="59"/>
      <c r="F514" s="59"/>
      <c r="G514" s="20"/>
      <c r="H514" s="28"/>
      <c r="I514" s="28"/>
      <c r="J514" s="45"/>
      <c r="K514" s="36"/>
      <c r="L514" s="36"/>
      <c r="M514" s="20"/>
      <c r="N514" s="45"/>
      <c r="O514" s="20"/>
      <c r="P514" s="189" t="s">
        <v>555</v>
      </c>
      <c r="Q514" s="45"/>
      <c r="R514" s="20"/>
      <c r="T514" s="327">
        <f t="shared" si="328"/>
        <v>0</v>
      </c>
      <c r="U514" s="327">
        <f t="shared" si="329"/>
        <v>0</v>
      </c>
      <c r="V514" s="327">
        <f t="shared" si="330"/>
        <v>0</v>
      </c>
      <c r="W514" s="327">
        <f t="shared" si="331"/>
        <v>0</v>
      </c>
      <c r="X514" s="65">
        <f t="shared" si="327"/>
        <v>0</v>
      </c>
      <c r="Y514" s="235">
        <f t="shared" si="326"/>
        <v>0</v>
      </c>
    </row>
    <row r="515" spans="2:25" s="222" customFormat="1" ht="12.75" customHeight="1" x14ac:dyDescent="0.2">
      <c r="B515" s="20"/>
      <c r="C515" s="20"/>
      <c r="D515" s="20"/>
      <c r="E515" s="59"/>
      <c r="F515" s="59"/>
      <c r="G515" s="20"/>
      <c r="H515" s="28"/>
      <c r="I515" s="28"/>
      <c r="J515" s="45"/>
      <c r="K515" s="36"/>
      <c r="L515" s="36"/>
      <c r="M515" s="20"/>
      <c r="N515" s="45"/>
      <c r="O515" s="20"/>
      <c r="P515" s="189" t="s">
        <v>552</v>
      </c>
      <c r="Q515" s="45"/>
      <c r="R515" s="20"/>
      <c r="T515" s="327">
        <f t="shared" si="328"/>
        <v>0</v>
      </c>
      <c r="U515" s="327">
        <f t="shared" si="329"/>
        <v>0</v>
      </c>
      <c r="V515" s="327">
        <f t="shared" si="330"/>
        <v>0</v>
      </c>
      <c r="W515" s="327">
        <f t="shared" si="331"/>
        <v>0</v>
      </c>
      <c r="X515" s="65">
        <f t="shared" si="327"/>
        <v>0</v>
      </c>
      <c r="Y515" s="235">
        <f t="shared" ref="Y515:Y578" si="332">X515-R515</f>
        <v>0</v>
      </c>
    </row>
    <row r="516" spans="2:25" s="222" customFormat="1" ht="12.75" customHeight="1" x14ac:dyDescent="0.2">
      <c r="B516" s="20"/>
      <c r="C516" s="20"/>
      <c r="D516" s="20"/>
      <c r="E516" s="59"/>
      <c r="F516" s="59"/>
      <c r="G516" s="20"/>
      <c r="H516" s="28"/>
      <c r="I516" s="28"/>
      <c r="J516" s="45"/>
      <c r="K516" s="36"/>
      <c r="L516" s="36"/>
      <c r="M516" s="20"/>
      <c r="N516" s="45"/>
      <c r="O516" s="20"/>
      <c r="P516" s="20" t="s">
        <v>551</v>
      </c>
      <c r="Q516" s="45"/>
      <c r="R516" s="20"/>
      <c r="T516" s="327">
        <f t="shared" si="328"/>
        <v>0</v>
      </c>
      <c r="U516" s="327">
        <f t="shared" si="329"/>
        <v>0</v>
      </c>
      <c r="V516" s="327">
        <f t="shared" si="330"/>
        <v>0</v>
      </c>
      <c r="W516" s="327">
        <f t="shared" si="331"/>
        <v>0</v>
      </c>
      <c r="X516" s="65">
        <f t="shared" si="327"/>
        <v>0</v>
      </c>
      <c r="Y516" s="235">
        <f t="shared" si="332"/>
        <v>0</v>
      </c>
    </row>
    <row r="517" spans="2:25" s="222" customFormat="1" ht="12.75" customHeight="1" x14ac:dyDescent="0.2">
      <c r="B517" s="20"/>
      <c r="C517" s="20"/>
      <c r="D517" s="20"/>
      <c r="E517" s="59"/>
      <c r="F517" s="59"/>
      <c r="G517" s="20"/>
      <c r="H517" s="28"/>
      <c r="I517" s="28"/>
      <c r="J517" s="45"/>
      <c r="K517" s="36"/>
      <c r="L517" s="36"/>
      <c r="M517" s="20"/>
      <c r="N517" s="45"/>
      <c r="O517" s="20"/>
      <c r="P517" s="20" t="s">
        <v>548</v>
      </c>
      <c r="Q517" s="45"/>
      <c r="R517" s="20"/>
      <c r="T517" s="327">
        <f t="shared" si="328"/>
        <v>0</v>
      </c>
      <c r="U517" s="327">
        <f t="shared" si="329"/>
        <v>0</v>
      </c>
      <c r="V517" s="327">
        <f t="shared" si="330"/>
        <v>0</v>
      </c>
      <c r="W517" s="327">
        <f t="shared" si="331"/>
        <v>0</v>
      </c>
      <c r="X517" s="65">
        <f t="shared" si="327"/>
        <v>0</v>
      </c>
      <c r="Y517" s="235">
        <f t="shared" si="332"/>
        <v>0</v>
      </c>
    </row>
    <row r="518" spans="2:25" s="222" customFormat="1" ht="12.75" customHeight="1" x14ac:dyDescent="0.2">
      <c r="B518" s="20"/>
      <c r="C518" s="20"/>
      <c r="D518" s="20"/>
      <c r="E518" s="59"/>
      <c r="F518" s="59"/>
      <c r="G518" s="20"/>
      <c r="H518" s="28"/>
      <c r="I518" s="28"/>
      <c r="J518" s="45"/>
      <c r="K518" s="36"/>
      <c r="L518" s="36"/>
      <c r="M518" s="20"/>
      <c r="N518" s="45"/>
      <c r="O518" s="20"/>
      <c r="P518" s="20" t="s">
        <v>554</v>
      </c>
      <c r="Q518" s="45"/>
      <c r="R518" s="20"/>
      <c r="T518" s="327">
        <f t="shared" si="328"/>
        <v>0</v>
      </c>
      <c r="U518" s="327">
        <f t="shared" si="329"/>
        <v>0</v>
      </c>
      <c r="V518" s="327">
        <f t="shared" si="330"/>
        <v>0</v>
      </c>
      <c r="W518" s="327">
        <f t="shared" si="331"/>
        <v>0</v>
      </c>
      <c r="X518" s="65">
        <f t="shared" si="327"/>
        <v>0</v>
      </c>
      <c r="Y518" s="235">
        <f t="shared" si="332"/>
        <v>0</v>
      </c>
    </row>
    <row r="519" spans="2:25" s="222" customFormat="1" ht="12.75" customHeight="1" x14ac:dyDescent="0.2">
      <c r="B519" s="20"/>
      <c r="C519" s="20"/>
      <c r="D519" s="20"/>
      <c r="E519" s="59"/>
      <c r="F519" s="59"/>
      <c r="G519" s="20"/>
      <c r="H519" s="28"/>
      <c r="I519" s="28"/>
      <c r="J519" s="45"/>
      <c r="K519" s="36"/>
      <c r="L519" s="36"/>
      <c r="M519" s="20"/>
      <c r="N519" s="45"/>
      <c r="O519" s="20"/>
      <c r="P519" s="20" t="s">
        <v>554</v>
      </c>
      <c r="Q519" s="45"/>
      <c r="R519" s="20"/>
      <c r="T519" s="327">
        <f t="shared" si="328"/>
        <v>0</v>
      </c>
      <c r="U519" s="327">
        <f t="shared" si="329"/>
        <v>0</v>
      </c>
      <c r="V519" s="327">
        <f t="shared" si="330"/>
        <v>0</v>
      </c>
      <c r="W519" s="327">
        <f t="shared" si="331"/>
        <v>0</v>
      </c>
      <c r="X519" s="65">
        <f t="shared" si="327"/>
        <v>0</v>
      </c>
      <c r="Y519" s="235">
        <f t="shared" si="332"/>
        <v>0</v>
      </c>
    </row>
    <row r="520" spans="2:25" s="222" customFormat="1" ht="12.75" customHeight="1" x14ac:dyDescent="0.2">
      <c r="B520" s="20"/>
      <c r="C520" s="20"/>
      <c r="D520" s="20"/>
      <c r="E520" s="59"/>
      <c r="F520" s="59"/>
      <c r="G520" s="20"/>
      <c r="H520" s="28"/>
      <c r="I520" s="28"/>
      <c r="J520" s="45"/>
      <c r="K520" s="36"/>
      <c r="L520" s="36"/>
      <c r="M520" s="20"/>
      <c r="N520" s="45"/>
      <c r="O520" s="20"/>
      <c r="P520" s="20" t="s">
        <v>554</v>
      </c>
      <c r="Q520" s="45"/>
      <c r="R520" s="20"/>
      <c r="T520" s="327">
        <f t="shared" si="328"/>
        <v>0</v>
      </c>
      <c r="U520" s="327">
        <f t="shared" si="329"/>
        <v>0</v>
      </c>
      <c r="V520" s="327">
        <f t="shared" si="330"/>
        <v>0</v>
      </c>
      <c r="W520" s="327">
        <f t="shared" si="331"/>
        <v>0</v>
      </c>
      <c r="X520" s="65">
        <f t="shared" si="327"/>
        <v>0</v>
      </c>
      <c r="Y520" s="235">
        <f t="shared" si="332"/>
        <v>0</v>
      </c>
    </row>
    <row r="521" spans="2:25" s="222" customFormat="1" ht="12.75" customHeight="1" x14ac:dyDescent="0.2">
      <c r="B521" s="20"/>
      <c r="C521" s="20"/>
      <c r="D521" s="20"/>
      <c r="E521" s="59"/>
      <c r="F521" s="59"/>
      <c r="G521" s="20"/>
      <c r="H521" s="28"/>
      <c r="I521" s="28"/>
      <c r="J521" s="45"/>
      <c r="K521" s="36"/>
      <c r="L521" s="36"/>
      <c r="M521" s="20"/>
      <c r="N521" s="45"/>
      <c r="O521" s="20"/>
      <c r="P521" s="20" t="s">
        <v>556</v>
      </c>
      <c r="Q521" s="45"/>
      <c r="R521" s="20"/>
      <c r="T521" s="327">
        <f t="shared" si="328"/>
        <v>0</v>
      </c>
      <c r="U521" s="327">
        <f t="shared" si="329"/>
        <v>0</v>
      </c>
      <c r="V521" s="327">
        <f t="shared" si="330"/>
        <v>0</v>
      </c>
      <c r="W521" s="327">
        <f t="shared" si="331"/>
        <v>0</v>
      </c>
      <c r="X521" s="65">
        <f t="shared" si="327"/>
        <v>0</v>
      </c>
      <c r="Y521" s="235">
        <f t="shared" si="332"/>
        <v>0</v>
      </c>
    </row>
    <row r="522" spans="2:25" s="222" customFormat="1" ht="12.75" customHeight="1" x14ac:dyDescent="0.2">
      <c r="B522" s="20"/>
      <c r="C522" s="20"/>
      <c r="D522" s="20"/>
      <c r="E522" s="59"/>
      <c r="F522" s="59"/>
      <c r="G522" s="20"/>
      <c r="H522" s="28"/>
      <c r="I522" s="28"/>
      <c r="J522" s="45"/>
      <c r="K522" s="36"/>
      <c r="L522" s="36"/>
      <c r="M522" s="20"/>
      <c r="N522" s="45"/>
      <c r="O522" s="20"/>
      <c r="P522" s="320"/>
      <c r="Q522" s="45"/>
      <c r="R522" s="20"/>
      <c r="T522" s="327">
        <f t="shared" si="328"/>
        <v>0</v>
      </c>
      <c r="U522" s="327">
        <f t="shared" si="329"/>
        <v>0</v>
      </c>
      <c r="V522" s="327">
        <f t="shared" si="330"/>
        <v>0</v>
      </c>
      <c r="W522" s="327">
        <f t="shared" si="331"/>
        <v>0</v>
      </c>
      <c r="X522" s="65">
        <f t="shared" si="327"/>
        <v>0</v>
      </c>
      <c r="Y522" s="235">
        <f t="shared" si="332"/>
        <v>0</v>
      </c>
    </row>
    <row r="523" spans="2:25" s="222" customFormat="1" ht="12.75" customHeight="1" x14ac:dyDescent="0.2">
      <c r="B523" s="20"/>
      <c r="C523" s="20"/>
      <c r="D523" s="20"/>
      <c r="E523" s="59"/>
      <c r="F523" s="59"/>
      <c r="G523" s="20"/>
      <c r="H523" s="28"/>
      <c r="I523" s="28"/>
      <c r="J523" s="45"/>
      <c r="K523" s="36"/>
      <c r="L523" s="36"/>
      <c r="M523" s="20"/>
      <c r="N523" s="45"/>
      <c r="O523" s="20"/>
      <c r="P523" s="320"/>
      <c r="Q523" s="45"/>
      <c r="R523" s="20"/>
      <c r="T523" s="327">
        <f t="shared" si="328"/>
        <v>0</v>
      </c>
      <c r="U523" s="327">
        <f t="shared" si="329"/>
        <v>0</v>
      </c>
      <c r="V523" s="327">
        <f t="shared" si="330"/>
        <v>0</v>
      </c>
      <c r="W523" s="327">
        <f t="shared" si="331"/>
        <v>0</v>
      </c>
      <c r="X523" s="65">
        <f t="shared" si="327"/>
        <v>0</v>
      </c>
      <c r="Y523" s="235">
        <f t="shared" si="332"/>
        <v>0</v>
      </c>
    </row>
    <row r="524" spans="2:25" s="222" customFormat="1" ht="12.75" customHeight="1" x14ac:dyDescent="0.2">
      <c r="B524" s="20"/>
      <c r="C524" s="20"/>
      <c r="D524" s="20"/>
      <c r="E524" s="59"/>
      <c r="F524" s="59"/>
      <c r="G524" s="20"/>
      <c r="H524" s="28"/>
      <c r="I524" s="28"/>
      <c r="J524" s="45"/>
      <c r="K524" s="36"/>
      <c r="L524" s="36"/>
      <c r="M524" s="20"/>
      <c r="N524" s="45"/>
      <c r="O524" s="20"/>
      <c r="P524" s="320"/>
      <c r="Q524" s="45"/>
      <c r="R524" s="20"/>
      <c r="T524" s="327">
        <f t="shared" si="328"/>
        <v>0</v>
      </c>
      <c r="U524" s="327">
        <f t="shared" si="329"/>
        <v>0</v>
      </c>
      <c r="V524" s="327">
        <f t="shared" si="330"/>
        <v>0</v>
      </c>
      <c r="W524" s="327">
        <f t="shared" si="331"/>
        <v>0</v>
      </c>
      <c r="X524" s="65">
        <f t="shared" si="327"/>
        <v>0</v>
      </c>
      <c r="Y524" s="235">
        <f t="shared" si="332"/>
        <v>0</v>
      </c>
    </row>
    <row r="525" spans="2:25" s="222" customFormat="1" ht="12.75" customHeight="1" x14ac:dyDescent="0.2">
      <c r="B525" s="32"/>
      <c r="C525" s="32"/>
      <c r="D525" s="20"/>
      <c r="E525" s="60"/>
      <c r="F525" s="60"/>
      <c r="G525" s="32"/>
      <c r="H525" s="55"/>
      <c r="I525" s="28"/>
      <c r="J525" s="45"/>
      <c r="K525" s="36"/>
      <c r="L525" s="36"/>
      <c r="M525" s="20"/>
      <c r="N525" s="45"/>
      <c r="O525" s="20"/>
      <c r="P525" s="320"/>
      <c r="Q525" s="45"/>
      <c r="R525" s="20"/>
      <c r="T525" s="327">
        <f t="shared" si="328"/>
        <v>0</v>
      </c>
      <c r="U525" s="327">
        <f t="shared" si="329"/>
        <v>0</v>
      </c>
      <c r="V525" s="327">
        <f t="shared" si="330"/>
        <v>0</v>
      </c>
      <c r="W525" s="327">
        <f t="shared" si="331"/>
        <v>0</v>
      </c>
      <c r="X525" s="65">
        <f t="shared" si="327"/>
        <v>0</v>
      </c>
      <c r="Y525" s="235">
        <f t="shared" si="332"/>
        <v>0</v>
      </c>
    </row>
    <row r="526" spans="2:25" s="222" customFormat="1" ht="12.75" customHeight="1" x14ac:dyDescent="0.2">
      <c r="B526" s="32"/>
      <c r="C526" s="32"/>
      <c r="D526" s="20"/>
      <c r="E526" s="60"/>
      <c r="F526" s="60"/>
      <c r="G526" s="32"/>
      <c r="H526" s="55"/>
      <c r="I526" s="28"/>
      <c r="J526" s="45"/>
      <c r="K526" s="36"/>
      <c r="L526" s="36"/>
      <c r="M526" s="20"/>
      <c r="N526" s="45"/>
      <c r="O526" s="20"/>
      <c r="P526" s="320"/>
      <c r="Q526" s="45"/>
      <c r="R526" s="20"/>
      <c r="T526" s="327">
        <f t="shared" si="328"/>
        <v>0</v>
      </c>
      <c r="U526" s="327">
        <f t="shared" si="329"/>
        <v>0</v>
      </c>
      <c r="V526" s="327">
        <f t="shared" si="330"/>
        <v>0</v>
      </c>
      <c r="W526" s="327">
        <f t="shared" si="331"/>
        <v>0</v>
      </c>
      <c r="X526" s="65">
        <f t="shared" si="327"/>
        <v>0</v>
      </c>
      <c r="Y526" s="235">
        <f t="shared" si="332"/>
        <v>0</v>
      </c>
    </row>
    <row r="527" spans="2:25" s="222" customFormat="1" ht="12.75" customHeight="1" x14ac:dyDescent="0.2">
      <c r="B527" s="32"/>
      <c r="C527" s="32"/>
      <c r="D527" s="20"/>
      <c r="E527" s="60"/>
      <c r="F527" s="60"/>
      <c r="G527" s="32"/>
      <c r="H527" s="55"/>
      <c r="I527" s="28"/>
      <c r="J527" s="45"/>
      <c r="K527" s="36"/>
      <c r="L527" s="36"/>
      <c r="M527" s="20"/>
      <c r="N527" s="45"/>
      <c r="O527" s="20"/>
      <c r="P527" s="320"/>
      <c r="Q527" s="45"/>
      <c r="R527" s="20"/>
      <c r="T527" s="327">
        <f t="shared" si="328"/>
        <v>0</v>
      </c>
      <c r="U527" s="327">
        <f t="shared" si="329"/>
        <v>0</v>
      </c>
      <c r="V527" s="327">
        <f t="shared" si="330"/>
        <v>0</v>
      </c>
      <c r="W527" s="327">
        <f t="shared" si="331"/>
        <v>0</v>
      </c>
      <c r="X527" s="65">
        <f t="shared" si="327"/>
        <v>0</v>
      </c>
      <c r="Y527" s="235">
        <f t="shared" si="332"/>
        <v>0</v>
      </c>
    </row>
    <row r="528" spans="2:25" s="222" customFormat="1" ht="12.75" customHeight="1" x14ac:dyDescent="0.2">
      <c r="B528" s="32"/>
      <c r="C528" s="32"/>
      <c r="D528" s="20"/>
      <c r="E528" s="60"/>
      <c r="F528" s="60"/>
      <c r="G528" s="32"/>
      <c r="H528" s="55"/>
      <c r="I528" s="28"/>
      <c r="J528" s="45"/>
      <c r="K528" s="36"/>
      <c r="L528" s="36"/>
      <c r="M528" s="20"/>
      <c r="N528" s="45"/>
      <c r="O528" s="20"/>
      <c r="P528" s="320"/>
      <c r="Q528" s="45"/>
      <c r="R528" s="20"/>
      <c r="T528" s="327">
        <f t="shared" si="328"/>
        <v>0</v>
      </c>
      <c r="U528" s="327">
        <f t="shared" si="329"/>
        <v>0</v>
      </c>
      <c r="V528" s="327">
        <f t="shared" si="330"/>
        <v>0</v>
      </c>
      <c r="W528" s="327">
        <f t="shared" si="331"/>
        <v>0</v>
      </c>
      <c r="X528" s="65">
        <f t="shared" si="327"/>
        <v>0</v>
      </c>
      <c r="Y528" s="235">
        <f t="shared" si="332"/>
        <v>0</v>
      </c>
    </row>
    <row r="529" spans="2:25" s="222" customFormat="1" ht="12.75" customHeight="1" x14ac:dyDescent="0.2">
      <c r="B529" s="32"/>
      <c r="C529" s="32"/>
      <c r="D529" s="20"/>
      <c r="E529" s="60"/>
      <c r="F529" s="60"/>
      <c r="G529" s="32"/>
      <c r="H529" s="55"/>
      <c r="I529" s="28"/>
      <c r="J529" s="45"/>
      <c r="K529" s="36"/>
      <c r="L529" s="36"/>
      <c r="M529" s="20"/>
      <c r="N529" s="45"/>
      <c r="O529" s="20"/>
      <c r="P529" s="320"/>
      <c r="Q529" s="45"/>
      <c r="R529" s="20"/>
      <c r="T529" s="327">
        <f t="shared" si="328"/>
        <v>0</v>
      </c>
      <c r="U529" s="327">
        <f t="shared" si="329"/>
        <v>0</v>
      </c>
      <c r="V529" s="327">
        <f t="shared" si="330"/>
        <v>0</v>
      </c>
      <c r="W529" s="327">
        <f t="shared" si="331"/>
        <v>0</v>
      </c>
      <c r="X529" s="65">
        <f t="shared" si="327"/>
        <v>0</v>
      </c>
      <c r="Y529" s="235">
        <f t="shared" si="332"/>
        <v>0</v>
      </c>
    </row>
    <row r="530" spans="2:25" s="222" customFormat="1" ht="12.75" customHeight="1" x14ac:dyDescent="0.2">
      <c r="B530" s="32"/>
      <c r="C530" s="32"/>
      <c r="D530" s="20"/>
      <c r="E530" s="60"/>
      <c r="F530" s="60"/>
      <c r="G530" s="32"/>
      <c r="H530" s="55"/>
      <c r="I530" s="28"/>
      <c r="J530" s="45"/>
      <c r="K530" s="36"/>
      <c r="L530" s="36"/>
      <c r="M530" s="20"/>
      <c r="N530" s="45"/>
      <c r="O530" s="20"/>
      <c r="P530" s="320"/>
      <c r="Q530" s="45"/>
      <c r="R530" s="20"/>
      <c r="T530" s="327">
        <f t="shared" si="328"/>
        <v>0</v>
      </c>
      <c r="U530" s="327">
        <f t="shared" si="329"/>
        <v>0</v>
      </c>
      <c r="V530" s="327">
        <f t="shared" si="330"/>
        <v>0</v>
      </c>
      <c r="W530" s="327">
        <f t="shared" si="331"/>
        <v>0</v>
      </c>
      <c r="X530" s="65">
        <f t="shared" si="327"/>
        <v>0</v>
      </c>
      <c r="Y530" s="235">
        <f t="shared" si="332"/>
        <v>0</v>
      </c>
    </row>
    <row r="531" spans="2:25" s="222" customFormat="1" ht="12.75" customHeight="1" x14ac:dyDescent="0.2">
      <c r="B531" s="32"/>
      <c r="C531" s="32"/>
      <c r="D531" s="20"/>
      <c r="E531" s="60"/>
      <c r="F531" s="60"/>
      <c r="G531" s="32"/>
      <c r="H531" s="55"/>
      <c r="I531" s="28"/>
      <c r="J531" s="45"/>
      <c r="K531" s="36"/>
      <c r="L531" s="36"/>
      <c r="M531" s="20"/>
      <c r="N531" s="45"/>
      <c r="O531" s="20"/>
      <c r="P531" s="320"/>
      <c r="Q531" s="45"/>
      <c r="R531" s="20"/>
      <c r="T531" s="327">
        <f t="shared" si="328"/>
        <v>0</v>
      </c>
      <c r="U531" s="327">
        <f t="shared" si="329"/>
        <v>0</v>
      </c>
      <c r="V531" s="327">
        <f t="shared" si="330"/>
        <v>0</v>
      </c>
      <c r="W531" s="327">
        <f t="shared" si="331"/>
        <v>0</v>
      </c>
      <c r="X531" s="65">
        <f t="shared" si="327"/>
        <v>0</v>
      </c>
      <c r="Y531" s="235">
        <f t="shared" si="332"/>
        <v>0</v>
      </c>
    </row>
    <row r="532" spans="2:25" s="222" customFormat="1" ht="12.75" customHeight="1" x14ac:dyDescent="0.2">
      <c r="B532" s="32"/>
      <c r="C532" s="32"/>
      <c r="D532" s="20"/>
      <c r="E532" s="60"/>
      <c r="F532" s="60"/>
      <c r="G532" s="32"/>
      <c r="H532" s="55"/>
      <c r="I532" s="28"/>
      <c r="J532" s="45"/>
      <c r="K532" s="36"/>
      <c r="L532" s="36"/>
      <c r="M532" s="20"/>
      <c r="N532" s="45"/>
      <c r="O532" s="20"/>
      <c r="P532" s="320"/>
      <c r="Q532" s="45"/>
      <c r="R532" s="20"/>
      <c r="T532" s="327">
        <f t="shared" si="328"/>
        <v>0</v>
      </c>
      <c r="U532" s="327">
        <f t="shared" si="329"/>
        <v>0</v>
      </c>
      <c r="V532" s="327">
        <f t="shared" si="330"/>
        <v>0</v>
      </c>
      <c r="W532" s="327">
        <f t="shared" si="331"/>
        <v>0</v>
      </c>
      <c r="X532" s="65">
        <f t="shared" si="327"/>
        <v>0</v>
      </c>
      <c r="Y532" s="235">
        <f t="shared" si="332"/>
        <v>0</v>
      </c>
    </row>
    <row r="533" spans="2:25" s="222" customFormat="1" ht="12.75" customHeight="1" x14ac:dyDescent="0.2">
      <c r="B533" s="32"/>
      <c r="C533" s="32"/>
      <c r="D533" s="20"/>
      <c r="E533" s="60"/>
      <c r="F533" s="60"/>
      <c r="G533" s="32"/>
      <c r="H533" s="55"/>
      <c r="I533" s="28"/>
      <c r="J533" s="45"/>
      <c r="K533" s="36"/>
      <c r="L533" s="36"/>
      <c r="M533" s="20"/>
      <c r="N533" s="45"/>
      <c r="O533" s="20"/>
      <c r="P533" s="320"/>
      <c r="Q533" s="45"/>
      <c r="R533" s="20"/>
      <c r="T533" s="327">
        <f t="shared" si="328"/>
        <v>0</v>
      </c>
      <c r="U533" s="327">
        <f t="shared" si="329"/>
        <v>0</v>
      </c>
      <c r="V533" s="327">
        <f t="shared" si="330"/>
        <v>0</v>
      </c>
      <c r="W533" s="327">
        <f t="shared" si="331"/>
        <v>0</v>
      </c>
      <c r="X533" s="65">
        <f t="shared" ref="X533:X596" si="333">SUM(T533:W533)</f>
        <v>0</v>
      </c>
      <c r="Y533" s="235">
        <f t="shared" si="332"/>
        <v>0</v>
      </c>
    </row>
    <row r="534" spans="2:25" s="222" customFormat="1" ht="12.75" customHeight="1" x14ac:dyDescent="0.2">
      <c r="B534" s="32"/>
      <c r="C534" s="32"/>
      <c r="D534" s="20"/>
      <c r="E534" s="60"/>
      <c r="F534" s="60"/>
      <c r="G534" s="32"/>
      <c r="H534" s="55"/>
      <c r="I534" s="28"/>
      <c r="J534" s="45"/>
      <c r="K534" s="36"/>
      <c r="L534" s="36"/>
      <c r="M534" s="20"/>
      <c r="N534" s="45"/>
      <c r="O534" s="20"/>
      <c r="P534" s="320"/>
      <c r="Q534" s="45"/>
      <c r="R534" s="20"/>
      <c r="T534" s="327">
        <f t="shared" si="328"/>
        <v>0</v>
      </c>
      <c r="U534" s="327">
        <f t="shared" si="329"/>
        <v>0</v>
      </c>
      <c r="V534" s="327">
        <f t="shared" si="330"/>
        <v>0</v>
      </c>
      <c r="W534" s="327">
        <f t="shared" si="331"/>
        <v>0</v>
      </c>
      <c r="X534" s="65">
        <f t="shared" si="333"/>
        <v>0</v>
      </c>
      <c r="Y534" s="235">
        <f t="shared" si="332"/>
        <v>0</v>
      </c>
    </row>
    <row r="535" spans="2:25" s="222" customFormat="1" ht="12.75" customHeight="1" x14ac:dyDescent="0.2">
      <c r="B535" s="32"/>
      <c r="C535" s="32"/>
      <c r="D535" s="20"/>
      <c r="E535" s="60"/>
      <c r="F535" s="60"/>
      <c r="G535" s="32"/>
      <c r="H535" s="55"/>
      <c r="I535" s="28"/>
      <c r="J535" s="45"/>
      <c r="K535" s="36"/>
      <c r="L535" s="36"/>
      <c r="M535" s="20"/>
      <c r="N535" s="45"/>
      <c r="O535" s="20"/>
      <c r="P535" s="320"/>
      <c r="Q535" s="45"/>
      <c r="R535" s="20"/>
      <c r="T535" s="327">
        <f t="shared" si="328"/>
        <v>0</v>
      </c>
      <c r="U535" s="327">
        <f t="shared" si="329"/>
        <v>0</v>
      </c>
      <c r="V535" s="327">
        <f t="shared" si="330"/>
        <v>0</v>
      </c>
      <c r="W535" s="327">
        <f t="shared" si="331"/>
        <v>0</v>
      </c>
      <c r="X535" s="65">
        <f t="shared" si="333"/>
        <v>0</v>
      </c>
      <c r="Y535" s="235">
        <f t="shared" si="332"/>
        <v>0</v>
      </c>
    </row>
    <row r="536" spans="2:25" s="222" customFormat="1" ht="12.75" customHeight="1" x14ac:dyDescent="0.2">
      <c r="B536" s="32"/>
      <c r="C536" s="32"/>
      <c r="D536" s="20"/>
      <c r="E536" s="60"/>
      <c r="F536" s="60"/>
      <c r="G536" s="32"/>
      <c r="H536" s="55"/>
      <c r="I536" s="28"/>
      <c r="J536" s="45"/>
      <c r="K536" s="36"/>
      <c r="L536" s="36"/>
      <c r="M536" s="20"/>
      <c r="N536" s="45"/>
      <c r="O536" s="20"/>
      <c r="P536" s="320"/>
      <c r="Q536" s="45"/>
      <c r="R536" s="20"/>
      <c r="T536" s="327">
        <f t="shared" si="328"/>
        <v>0</v>
      </c>
      <c r="U536" s="327">
        <f t="shared" si="329"/>
        <v>0</v>
      </c>
      <c r="V536" s="327">
        <f t="shared" si="330"/>
        <v>0</v>
      </c>
      <c r="W536" s="327">
        <f t="shared" si="331"/>
        <v>0</v>
      </c>
      <c r="X536" s="65">
        <f t="shared" si="333"/>
        <v>0</v>
      </c>
      <c r="Y536" s="235">
        <f t="shared" si="332"/>
        <v>0</v>
      </c>
    </row>
    <row r="537" spans="2:25" s="222" customFormat="1" ht="12.75" customHeight="1" x14ac:dyDescent="0.2">
      <c r="B537" s="32"/>
      <c r="C537" s="32"/>
      <c r="D537" s="20"/>
      <c r="E537" s="60"/>
      <c r="F537" s="60"/>
      <c r="G537" s="32"/>
      <c r="H537" s="55"/>
      <c r="I537" s="28"/>
      <c r="J537" s="45"/>
      <c r="K537" s="36"/>
      <c r="L537" s="36"/>
      <c r="M537" s="20"/>
      <c r="N537" s="45"/>
      <c r="O537" s="20"/>
      <c r="P537" s="320"/>
      <c r="Q537" s="45"/>
      <c r="R537" s="20"/>
      <c r="T537" s="327">
        <f t="shared" si="328"/>
        <v>0</v>
      </c>
      <c r="U537" s="327">
        <f t="shared" si="329"/>
        <v>0</v>
      </c>
      <c r="V537" s="327">
        <f t="shared" si="330"/>
        <v>0</v>
      </c>
      <c r="W537" s="327">
        <f t="shared" si="331"/>
        <v>0</v>
      </c>
      <c r="X537" s="65">
        <f t="shared" si="333"/>
        <v>0</v>
      </c>
      <c r="Y537" s="235">
        <f t="shared" si="332"/>
        <v>0</v>
      </c>
    </row>
    <row r="538" spans="2:25" s="222" customFormat="1" ht="12.75" customHeight="1" x14ac:dyDescent="0.2">
      <c r="B538" s="32"/>
      <c r="C538" s="32"/>
      <c r="D538" s="20"/>
      <c r="E538" s="60"/>
      <c r="F538" s="60"/>
      <c r="G538" s="32"/>
      <c r="H538" s="55"/>
      <c r="I538" s="28"/>
      <c r="J538" s="45"/>
      <c r="K538" s="36"/>
      <c r="L538" s="36"/>
      <c r="M538" s="20"/>
      <c r="N538" s="45"/>
      <c r="O538" s="20"/>
      <c r="P538" s="189"/>
      <c r="Q538" s="45"/>
      <c r="R538" s="20"/>
      <c r="T538" s="327">
        <f t="shared" si="328"/>
        <v>0</v>
      </c>
      <c r="U538" s="327">
        <f t="shared" si="329"/>
        <v>0</v>
      </c>
      <c r="V538" s="327">
        <f t="shared" si="330"/>
        <v>0</v>
      </c>
      <c r="W538" s="327">
        <f t="shared" si="331"/>
        <v>0</v>
      </c>
      <c r="X538" s="65">
        <f t="shared" si="333"/>
        <v>0</v>
      </c>
      <c r="Y538" s="235">
        <f t="shared" si="332"/>
        <v>0</v>
      </c>
    </row>
    <row r="539" spans="2:25" s="222" customFormat="1" ht="12.75" customHeight="1" x14ac:dyDescent="0.2">
      <c r="B539" s="32"/>
      <c r="C539" s="32"/>
      <c r="D539" s="20"/>
      <c r="E539" s="60"/>
      <c r="F539" s="60"/>
      <c r="G539" s="32"/>
      <c r="H539" s="55"/>
      <c r="I539" s="28"/>
      <c r="J539" s="45"/>
      <c r="K539" s="36"/>
      <c r="L539" s="36"/>
      <c r="M539" s="20"/>
      <c r="N539" s="45"/>
      <c r="O539" s="20"/>
      <c r="P539" s="189"/>
      <c r="Q539" s="45"/>
      <c r="R539" s="20"/>
      <c r="T539" s="327">
        <f t="shared" si="328"/>
        <v>0</v>
      </c>
      <c r="U539" s="327">
        <f t="shared" si="329"/>
        <v>0</v>
      </c>
      <c r="V539" s="327">
        <f t="shared" si="330"/>
        <v>0</v>
      </c>
      <c r="W539" s="327">
        <f t="shared" si="331"/>
        <v>0</v>
      </c>
      <c r="X539" s="65">
        <f t="shared" si="333"/>
        <v>0</v>
      </c>
      <c r="Y539" s="235">
        <f t="shared" si="332"/>
        <v>0</v>
      </c>
    </row>
    <row r="540" spans="2:25" s="222" customFormat="1" ht="12.75" customHeight="1" x14ac:dyDescent="0.2">
      <c r="B540" s="32"/>
      <c r="C540" s="32"/>
      <c r="D540" s="20"/>
      <c r="E540" s="60"/>
      <c r="F540" s="60"/>
      <c r="G540" s="32"/>
      <c r="H540" s="55"/>
      <c r="I540" s="28"/>
      <c r="J540" s="45"/>
      <c r="K540" s="36"/>
      <c r="L540" s="36"/>
      <c r="M540" s="20"/>
      <c r="N540" s="45"/>
      <c r="O540" s="20"/>
      <c r="P540" s="189"/>
      <c r="Q540" s="45"/>
      <c r="R540" s="20"/>
      <c r="T540" s="327">
        <f t="shared" si="328"/>
        <v>0</v>
      </c>
      <c r="U540" s="327">
        <f t="shared" si="329"/>
        <v>0</v>
      </c>
      <c r="V540" s="327">
        <f t="shared" si="330"/>
        <v>0</v>
      </c>
      <c r="W540" s="327">
        <f t="shared" si="331"/>
        <v>0</v>
      </c>
      <c r="X540" s="65">
        <f t="shared" si="333"/>
        <v>0</v>
      </c>
      <c r="Y540" s="235">
        <f t="shared" si="332"/>
        <v>0</v>
      </c>
    </row>
    <row r="541" spans="2:25" s="222" customFormat="1" ht="12.75" customHeight="1" x14ac:dyDescent="0.2">
      <c r="B541" s="32"/>
      <c r="C541" s="32"/>
      <c r="D541" s="20"/>
      <c r="E541" s="60"/>
      <c r="F541" s="60"/>
      <c r="G541" s="32"/>
      <c r="H541" s="55"/>
      <c r="I541" s="28"/>
      <c r="J541" s="45"/>
      <c r="K541" s="36"/>
      <c r="L541" s="36"/>
      <c r="M541" s="20"/>
      <c r="N541" s="45"/>
      <c r="O541" s="20"/>
      <c r="P541" s="189"/>
      <c r="Q541" s="45"/>
      <c r="R541" s="20"/>
      <c r="T541" s="327">
        <f t="shared" si="328"/>
        <v>0</v>
      </c>
      <c r="U541" s="327">
        <f t="shared" si="329"/>
        <v>0</v>
      </c>
      <c r="V541" s="327">
        <f t="shared" si="330"/>
        <v>0</v>
      </c>
      <c r="W541" s="327">
        <f t="shared" si="331"/>
        <v>0</v>
      </c>
      <c r="X541" s="65">
        <f t="shared" si="333"/>
        <v>0</v>
      </c>
      <c r="Y541" s="235">
        <f t="shared" si="332"/>
        <v>0</v>
      </c>
    </row>
    <row r="542" spans="2:25" s="222" customFormat="1" ht="12.75" customHeight="1" x14ac:dyDescent="0.2">
      <c r="B542" s="32"/>
      <c r="C542" s="32"/>
      <c r="D542" s="20"/>
      <c r="E542" s="60"/>
      <c r="F542" s="60"/>
      <c r="G542" s="32"/>
      <c r="H542" s="55"/>
      <c r="I542" s="28"/>
      <c r="J542" s="45"/>
      <c r="K542" s="36"/>
      <c r="L542" s="36"/>
      <c r="M542" s="20"/>
      <c r="N542" s="45"/>
      <c r="O542" s="20"/>
      <c r="P542" s="189"/>
      <c r="Q542" s="45"/>
      <c r="R542" s="20"/>
      <c r="T542" s="327">
        <f t="shared" si="328"/>
        <v>0</v>
      </c>
      <c r="U542" s="327">
        <f t="shared" si="329"/>
        <v>0</v>
      </c>
      <c r="V542" s="327">
        <f t="shared" si="330"/>
        <v>0</v>
      </c>
      <c r="W542" s="327">
        <f t="shared" si="331"/>
        <v>0</v>
      </c>
      <c r="X542" s="65">
        <f t="shared" si="333"/>
        <v>0</v>
      </c>
      <c r="Y542" s="235">
        <f t="shared" si="332"/>
        <v>0</v>
      </c>
    </row>
    <row r="543" spans="2:25" s="222" customFormat="1" ht="12.75" customHeight="1" x14ac:dyDescent="0.2">
      <c r="B543" s="32"/>
      <c r="C543" s="32"/>
      <c r="D543" s="20"/>
      <c r="E543" s="60"/>
      <c r="F543" s="60"/>
      <c r="G543" s="32"/>
      <c r="H543" s="55"/>
      <c r="I543" s="28"/>
      <c r="J543" s="45"/>
      <c r="K543" s="36"/>
      <c r="L543" s="36"/>
      <c r="M543" s="20"/>
      <c r="N543" s="45"/>
      <c r="O543" s="20"/>
      <c r="P543" s="189"/>
      <c r="Q543" s="45"/>
      <c r="R543" s="20"/>
      <c r="T543" s="327">
        <f t="shared" si="328"/>
        <v>0</v>
      </c>
      <c r="U543" s="327">
        <f t="shared" si="329"/>
        <v>0</v>
      </c>
      <c r="V543" s="327">
        <f t="shared" si="330"/>
        <v>0</v>
      </c>
      <c r="W543" s="327">
        <f t="shared" si="331"/>
        <v>0</v>
      </c>
      <c r="X543" s="65">
        <f t="shared" si="333"/>
        <v>0</v>
      </c>
      <c r="Y543" s="235">
        <f t="shared" si="332"/>
        <v>0</v>
      </c>
    </row>
    <row r="544" spans="2:25" s="222" customFormat="1" ht="12.75" customHeight="1" x14ac:dyDescent="0.2">
      <c r="B544" s="32"/>
      <c r="C544" s="32"/>
      <c r="D544" s="20"/>
      <c r="E544" s="60"/>
      <c r="F544" s="60"/>
      <c r="G544" s="32"/>
      <c r="H544" s="55"/>
      <c r="I544" s="28"/>
      <c r="J544" s="45"/>
      <c r="K544" s="36"/>
      <c r="L544" s="36"/>
      <c r="M544" s="20"/>
      <c r="N544" s="45"/>
      <c r="O544" s="20"/>
      <c r="P544" s="189"/>
      <c r="Q544" s="45"/>
      <c r="R544" s="20"/>
      <c r="T544" s="327">
        <f t="shared" si="328"/>
        <v>0</v>
      </c>
      <c r="U544" s="327">
        <f t="shared" si="329"/>
        <v>0</v>
      </c>
      <c r="V544" s="327">
        <f t="shared" si="330"/>
        <v>0</v>
      </c>
      <c r="W544" s="327">
        <f t="shared" si="331"/>
        <v>0</v>
      </c>
      <c r="X544" s="65">
        <f t="shared" si="333"/>
        <v>0</v>
      </c>
      <c r="Y544" s="235">
        <f t="shared" si="332"/>
        <v>0</v>
      </c>
    </row>
    <row r="545" spans="2:25" s="222" customFormat="1" ht="12.75" customHeight="1" x14ac:dyDescent="0.2">
      <c r="B545" s="32"/>
      <c r="C545" s="32"/>
      <c r="D545" s="20"/>
      <c r="E545" s="60"/>
      <c r="F545" s="60"/>
      <c r="G545" s="32"/>
      <c r="H545" s="55"/>
      <c r="I545" s="28"/>
      <c r="J545" s="45"/>
      <c r="K545" s="36"/>
      <c r="L545" s="36"/>
      <c r="M545" s="20"/>
      <c r="N545" s="45"/>
      <c r="O545" s="20"/>
      <c r="P545" s="189"/>
      <c r="Q545" s="45"/>
      <c r="R545" s="20"/>
      <c r="T545" s="327">
        <f t="shared" si="328"/>
        <v>0</v>
      </c>
      <c r="U545" s="327">
        <f t="shared" si="329"/>
        <v>0</v>
      </c>
      <c r="V545" s="327">
        <f t="shared" si="330"/>
        <v>0</v>
      </c>
      <c r="W545" s="327">
        <f t="shared" si="331"/>
        <v>0</v>
      </c>
      <c r="X545" s="65">
        <f t="shared" si="333"/>
        <v>0</v>
      </c>
      <c r="Y545" s="235">
        <f t="shared" si="332"/>
        <v>0</v>
      </c>
    </row>
    <row r="546" spans="2:25" s="222" customFormat="1" ht="12.75" customHeight="1" x14ac:dyDescent="0.2">
      <c r="B546" s="32"/>
      <c r="C546" s="32"/>
      <c r="D546" s="20"/>
      <c r="E546" s="60"/>
      <c r="F546" s="60"/>
      <c r="G546" s="32"/>
      <c r="H546" s="55"/>
      <c r="I546" s="28"/>
      <c r="J546" s="45"/>
      <c r="K546" s="36"/>
      <c r="L546" s="36"/>
      <c r="M546" s="20"/>
      <c r="N546" s="45"/>
      <c r="O546" s="20"/>
      <c r="P546" s="189"/>
      <c r="Q546" s="45"/>
      <c r="R546" s="20"/>
      <c r="T546" s="327">
        <f t="shared" si="328"/>
        <v>0</v>
      </c>
      <c r="U546" s="327">
        <f t="shared" si="329"/>
        <v>0</v>
      </c>
      <c r="V546" s="327">
        <f t="shared" si="330"/>
        <v>0</v>
      </c>
      <c r="W546" s="327">
        <f t="shared" si="331"/>
        <v>0</v>
      </c>
      <c r="X546" s="65">
        <f t="shared" si="333"/>
        <v>0</v>
      </c>
      <c r="Y546" s="235">
        <f t="shared" si="332"/>
        <v>0</v>
      </c>
    </row>
    <row r="547" spans="2:25" s="222" customFormat="1" ht="12.75" customHeight="1" x14ac:dyDescent="0.2">
      <c r="B547" s="32"/>
      <c r="C547" s="32"/>
      <c r="D547" s="20"/>
      <c r="E547" s="60"/>
      <c r="F547" s="60"/>
      <c r="G547" s="32"/>
      <c r="H547" s="55"/>
      <c r="I547" s="28"/>
      <c r="J547" s="45"/>
      <c r="K547" s="36"/>
      <c r="L547" s="36"/>
      <c r="M547" s="20"/>
      <c r="N547" s="45"/>
      <c r="O547" s="20"/>
      <c r="P547" s="189"/>
      <c r="Q547" s="45"/>
      <c r="R547" s="20"/>
      <c r="T547" s="327">
        <f t="shared" si="328"/>
        <v>0</v>
      </c>
      <c r="U547" s="327">
        <f t="shared" si="329"/>
        <v>0</v>
      </c>
      <c r="V547" s="327">
        <f t="shared" si="330"/>
        <v>0</v>
      </c>
      <c r="W547" s="327">
        <f t="shared" si="331"/>
        <v>0</v>
      </c>
      <c r="X547" s="65">
        <f t="shared" si="333"/>
        <v>0</v>
      </c>
      <c r="Y547" s="235">
        <f t="shared" si="332"/>
        <v>0</v>
      </c>
    </row>
    <row r="548" spans="2:25" s="222" customFormat="1" ht="12.75" customHeight="1" x14ac:dyDescent="0.2">
      <c r="B548" s="32"/>
      <c r="C548" s="32"/>
      <c r="D548" s="20"/>
      <c r="E548" s="60"/>
      <c r="F548" s="60"/>
      <c r="G548" s="32"/>
      <c r="H548" s="55"/>
      <c r="I548" s="28"/>
      <c r="J548" s="45"/>
      <c r="K548" s="36"/>
      <c r="L548" s="36"/>
      <c r="M548" s="20"/>
      <c r="N548" s="45"/>
      <c r="O548" s="20"/>
      <c r="P548" s="189"/>
      <c r="Q548" s="45"/>
      <c r="R548" s="20"/>
      <c r="T548" s="327">
        <f t="shared" si="328"/>
        <v>0</v>
      </c>
      <c r="U548" s="327">
        <f t="shared" si="329"/>
        <v>0</v>
      </c>
      <c r="V548" s="327">
        <f t="shared" si="330"/>
        <v>0</v>
      </c>
      <c r="W548" s="327">
        <f t="shared" si="331"/>
        <v>0</v>
      </c>
      <c r="X548" s="65">
        <f t="shared" si="333"/>
        <v>0</v>
      </c>
      <c r="Y548" s="235">
        <f t="shared" si="332"/>
        <v>0</v>
      </c>
    </row>
    <row r="549" spans="2:25" s="222" customFormat="1" ht="12.75" customHeight="1" x14ac:dyDescent="0.2">
      <c r="B549" s="32"/>
      <c r="C549" s="32"/>
      <c r="D549" s="20"/>
      <c r="E549" s="60"/>
      <c r="F549" s="60"/>
      <c r="G549" s="32"/>
      <c r="H549" s="55"/>
      <c r="I549" s="28"/>
      <c r="J549" s="45"/>
      <c r="K549" s="36"/>
      <c r="L549" s="36"/>
      <c r="M549" s="20"/>
      <c r="N549" s="45"/>
      <c r="O549" s="20"/>
      <c r="P549" s="189"/>
      <c r="Q549" s="45"/>
      <c r="R549" s="20"/>
      <c r="T549" s="327">
        <f t="shared" si="328"/>
        <v>0</v>
      </c>
      <c r="U549" s="327">
        <f t="shared" si="329"/>
        <v>0</v>
      </c>
      <c r="V549" s="327">
        <f t="shared" si="330"/>
        <v>0</v>
      </c>
      <c r="W549" s="327">
        <f t="shared" si="331"/>
        <v>0</v>
      </c>
      <c r="X549" s="65">
        <f t="shared" si="333"/>
        <v>0</v>
      </c>
      <c r="Y549" s="235">
        <f t="shared" si="332"/>
        <v>0</v>
      </c>
    </row>
    <row r="550" spans="2:25" s="222" customFormat="1" ht="12.75" customHeight="1" x14ac:dyDescent="0.2">
      <c r="B550" s="32"/>
      <c r="C550" s="32"/>
      <c r="D550" s="20"/>
      <c r="E550" s="60"/>
      <c r="F550" s="60"/>
      <c r="G550" s="32"/>
      <c r="H550" s="55"/>
      <c r="I550" s="28"/>
      <c r="J550" s="45"/>
      <c r="K550" s="36"/>
      <c r="L550" s="36"/>
      <c r="M550" s="20"/>
      <c r="N550" s="45"/>
      <c r="O550" s="20"/>
      <c r="P550" s="189"/>
      <c r="Q550" s="45"/>
      <c r="R550" s="20"/>
      <c r="T550" s="327">
        <f t="shared" si="328"/>
        <v>0</v>
      </c>
      <c r="U550" s="327">
        <f t="shared" si="329"/>
        <v>0</v>
      </c>
      <c r="V550" s="327">
        <f t="shared" si="330"/>
        <v>0</v>
      </c>
      <c r="W550" s="327">
        <f t="shared" si="331"/>
        <v>0</v>
      </c>
      <c r="X550" s="65">
        <f t="shared" si="333"/>
        <v>0</v>
      </c>
      <c r="Y550" s="235">
        <f t="shared" si="332"/>
        <v>0</v>
      </c>
    </row>
    <row r="551" spans="2:25" s="222" customFormat="1" ht="12.75" customHeight="1" x14ac:dyDescent="0.2">
      <c r="B551" s="32"/>
      <c r="C551" s="32"/>
      <c r="D551" s="20"/>
      <c r="E551" s="60"/>
      <c r="F551" s="60"/>
      <c r="G551" s="32"/>
      <c r="H551" s="55"/>
      <c r="I551" s="28"/>
      <c r="J551" s="45"/>
      <c r="K551" s="36"/>
      <c r="L551" s="36"/>
      <c r="M551" s="20"/>
      <c r="N551" s="45"/>
      <c r="O551" s="20"/>
      <c r="P551" s="189"/>
      <c r="Q551" s="45"/>
      <c r="R551" s="20"/>
      <c r="T551" s="327">
        <f t="shared" si="328"/>
        <v>0</v>
      </c>
      <c r="U551" s="327">
        <f t="shared" si="329"/>
        <v>0</v>
      </c>
      <c r="V551" s="327">
        <f t="shared" si="330"/>
        <v>0</v>
      </c>
      <c r="W551" s="327">
        <f t="shared" si="331"/>
        <v>0</v>
      </c>
      <c r="X551" s="65">
        <f t="shared" si="333"/>
        <v>0</v>
      </c>
      <c r="Y551" s="235">
        <f t="shared" si="332"/>
        <v>0</v>
      </c>
    </row>
    <row r="552" spans="2:25" s="222" customFormat="1" ht="12.75" customHeight="1" x14ac:dyDescent="0.2">
      <c r="B552" s="32"/>
      <c r="C552" s="32"/>
      <c r="D552" s="20"/>
      <c r="E552" s="60"/>
      <c r="F552" s="60"/>
      <c r="G552" s="32"/>
      <c r="H552" s="55"/>
      <c r="I552" s="28"/>
      <c r="J552" s="45"/>
      <c r="K552" s="36"/>
      <c r="L552" s="36"/>
      <c r="M552" s="20"/>
      <c r="N552" s="45"/>
      <c r="O552" s="20"/>
      <c r="P552" s="189"/>
      <c r="Q552" s="45"/>
      <c r="R552" s="20"/>
      <c r="T552" s="327">
        <f t="shared" si="328"/>
        <v>0</v>
      </c>
      <c r="U552" s="327">
        <f t="shared" si="329"/>
        <v>0</v>
      </c>
      <c r="V552" s="327">
        <f t="shared" si="330"/>
        <v>0</v>
      </c>
      <c r="W552" s="327">
        <f t="shared" si="331"/>
        <v>0</v>
      </c>
      <c r="X552" s="65">
        <f t="shared" si="333"/>
        <v>0</v>
      </c>
      <c r="Y552" s="235">
        <f t="shared" si="332"/>
        <v>0</v>
      </c>
    </row>
    <row r="553" spans="2:25" s="222" customFormat="1" ht="12.75" customHeight="1" x14ac:dyDescent="0.2">
      <c r="B553" s="32"/>
      <c r="C553" s="32"/>
      <c r="D553" s="20"/>
      <c r="E553" s="60"/>
      <c r="F553" s="60"/>
      <c r="G553" s="32"/>
      <c r="H553" s="55"/>
      <c r="I553" s="28"/>
      <c r="J553" s="45"/>
      <c r="K553" s="36"/>
      <c r="L553" s="36"/>
      <c r="M553" s="20"/>
      <c r="N553" s="45"/>
      <c r="O553" s="20"/>
      <c r="P553" s="189"/>
      <c r="Q553" s="45"/>
      <c r="R553" s="20"/>
      <c r="T553" s="327">
        <f t="shared" si="328"/>
        <v>0</v>
      </c>
      <c r="U553" s="327">
        <f t="shared" si="329"/>
        <v>0</v>
      </c>
      <c r="V553" s="327">
        <f t="shared" si="330"/>
        <v>0</v>
      </c>
      <c r="W553" s="327">
        <f t="shared" si="331"/>
        <v>0</v>
      </c>
      <c r="X553" s="65">
        <f t="shared" si="333"/>
        <v>0</v>
      </c>
      <c r="Y553" s="235">
        <f t="shared" si="332"/>
        <v>0</v>
      </c>
    </row>
    <row r="554" spans="2:25" s="222" customFormat="1" ht="12.75" customHeight="1" x14ac:dyDescent="0.2">
      <c r="B554" s="32"/>
      <c r="C554" s="32"/>
      <c r="D554" s="20"/>
      <c r="E554" s="60"/>
      <c r="F554" s="60"/>
      <c r="G554" s="32"/>
      <c r="H554" s="55"/>
      <c r="I554" s="28"/>
      <c r="J554" s="45"/>
      <c r="K554" s="36"/>
      <c r="L554" s="36"/>
      <c r="M554" s="20"/>
      <c r="N554" s="45"/>
      <c r="O554" s="20"/>
      <c r="P554" s="189"/>
      <c r="Q554" s="45"/>
      <c r="R554" s="20"/>
      <c r="T554" s="327">
        <f t="shared" si="328"/>
        <v>0</v>
      </c>
      <c r="U554" s="327">
        <f t="shared" si="329"/>
        <v>0</v>
      </c>
      <c r="V554" s="327">
        <f t="shared" si="330"/>
        <v>0</v>
      </c>
      <c r="W554" s="327">
        <f t="shared" si="331"/>
        <v>0</v>
      </c>
      <c r="X554" s="65">
        <f t="shared" si="333"/>
        <v>0</v>
      </c>
      <c r="Y554" s="235">
        <f t="shared" si="332"/>
        <v>0</v>
      </c>
    </row>
    <row r="555" spans="2:25" s="222" customFormat="1" ht="12.75" customHeight="1" x14ac:dyDescent="0.2">
      <c r="B555" s="32"/>
      <c r="C555" s="32"/>
      <c r="D555" s="20"/>
      <c r="E555" s="60"/>
      <c r="F555" s="60"/>
      <c r="G555" s="32"/>
      <c r="H555" s="55"/>
      <c r="I555" s="28"/>
      <c r="J555" s="45"/>
      <c r="K555" s="36"/>
      <c r="L555" s="36"/>
      <c r="M555" s="20"/>
      <c r="N555" s="45"/>
      <c r="O555" s="20"/>
      <c r="P555" s="189"/>
      <c r="Q555" s="45"/>
      <c r="R555" s="20"/>
      <c r="T555" s="327">
        <f t="shared" si="328"/>
        <v>0</v>
      </c>
      <c r="U555" s="327">
        <f t="shared" si="329"/>
        <v>0</v>
      </c>
      <c r="V555" s="327">
        <f t="shared" si="330"/>
        <v>0</v>
      </c>
      <c r="W555" s="327">
        <f t="shared" si="331"/>
        <v>0</v>
      </c>
      <c r="X555" s="65">
        <f t="shared" si="333"/>
        <v>0</v>
      </c>
      <c r="Y555" s="235">
        <f t="shared" si="332"/>
        <v>0</v>
      </c>
    </row>
    <row r="556" spans="2:25" s="222" customFormat="1" ht="12.75" customHeight="1" x14ac:dyDescent="0.2">
      <c r="B556" s="32"/>
      <c r="C556" s="32"/>
      <c r="D556" s="20"/>
      <c r="E556" s="60"/>
      <c r="F556" s="60"/>
      <c r="G556" s="32"/>
      <c r="H556" s="55"/>
      <c r="I556" s="28"/>
      <c r="J556" s="45"/>
      <c r="K556" s="36"/>
      <c r="L556" s="36"/>
      <c r="M556" s="20"/>
      <c r="N556" s="45"/>
      <c r="O556" s="20"/>
      <c r="P556" s="189"/>
      <c r="Q556" s="45"/>
      <c r="R556" s="20"/>
      <c r="T556" s="327">
        <f t="shared" si="328"/>
        <v>0</v>
      </c>
      <c r="U556" s="327">
        <f t="shared" si="329"/>
        <v>0</v>
      </c>
      <c r="V556" s="327">
        <f t="shared" si="330"/>
        <v>0</v>
      </c>
      <c r="W556" s="327">
        <f t="shared" si="331"/>
        <v>0</v>
      </c>
      <c r="X556" s="65">
        <f t="shared" si="333"/>
        <v>0</v>
      </c>
      <c r="Y556" s="235">
        <f t="shared" si="332"/>
        <v>0</v>
      </c>
    </row>
    <row r="557" spans="2:25" s="222" customFormat="1" ht="12.75" customHeight="1" x14ac:dyDescent="0.2">
      <c r="B557" s="32"/>
      <c r="C557" s="32"/>
      <c r="D557" s="20"/>
      <c r="E557" s="60"/>
      <c r="F557" s="60"/>
      <c r="G557" s="32"/>
      <c r="H557" s="55"/>
      <c r="I557" s="28"/>
      <c r="J557" s="45"/>
      <c r="K557" s="36"/>
      <c r="L557" s="36"/>
      <c r="M557" s="20"/>
      <c r="N557" s="45"/>
      <c r="O557" s="20"/>
      <c r="P557" s="189"/>
      <c r="Q557" s="45"/>
      <c r="R557" s="20"/>
      <c r="T557" s="327">
        <f t="shared" si="328"/>
        <v>0</v>
      </c>
      <c r="U557" s="327">
        <f t="shared" si="329"/>
        <v>0</v>
      </c>
      <c r="V557" s="327">
        <f t="shared" si="330"/>
        <v>0</v>
      </c>
      <c r="W557" s="327">
        <f t="shared" si="331"/>
        <v>0</v>
      </c>
      <c r="X557" s="65">
        <f t="shared" si="333"/>
        <v>0</v>
      </c>
      <c r="Y557" s="235">
        <f t="shared" si="332"/>
        <v>0</v>
      </c>
    </row>
    <row r="558" spans="2:25" s="222" customFormat="1" ht="12.75" customHeight="1" x14ac:dyDescent="0.2">
      <c r="B558" s="32"/>
      <c r="C558" s="32"/>
      <c r="D558" s="20"/>
      <c r="E558" s="60"/>
      <c r="F558" s="60"/>
      <c r="G558" s="32"/>
      <c r="H558" s="55"/>
      <c r="I558" s="28"/>
      <c r="J558" s="45"/>
      <c r="K558" s="36"/>
      <c r="L558" s="36"/>
      <c r="M558" s="20"/>
      <c r="N558" s="45"/>
      <c r="O558" s="20"/>
      <c r="P558" s="189"/>
      <c r="Q558" s="45"/>
      <c r="R558" s="20"/>
      <c r="T558" s="327">
        <f t="shared" si="328"/>
        <v>0</v>
      </c>
      <c r="U558" s="327">
        <f t="shared" si="329"/>
        <v>0</v>
      </c>
      <c r="V558" s="327">
        <f t="shared" si="330"/>
        <v>0</v>
      </c>
      <c r="W558" s="327">
        <f t="shared" si="331"/>
        <v>0</v>
      </c>
      <c r="X558" s="65">
        <f t="shared" si="333"/>
        <v>0</v>
      </c>
      <c r="Y558" s="235">
        <f t="shared" si="332"/>
        <v>0</v>
      </c>
    </row>
    <row r="559" spans="2:25" s="222" customFormat="1" ht="12.75" customHeight="1" x14ac:dyDescent="0.2">
      <c r="B559" s="32"/>
      <c r="C559" s="32"/>
      <c r="D559" s="20"/>
      <c r="E559" s="60"/>
      <c r="F559" s="60"/>
      <c r="G559" s="32"/>
      <c r="H559" s="55"/>
      <c r="I559" s="28"/>
      <c r="J559" s="45"/>
      <c r="K559" s="36"/>
      <c r="L559" s="36"/>
      <c r="M559" s="20"/>
      <c r="N559" s="45"/>
      <c r="O559" s="20"/>
      <c r="P559" s="189"/>
      <c r="Q559" s="45"/>
      <c r="R559" s="20"/>
      <c r="T559" s="327">
        <f t="shared" si="328"/>
        <v>0</v>
      </c>
      <c r="U559" s="327">
        <f t="shared" si="329"/>
        <v>0</v>
      </c>
      <c r="V559" s="327">
        <f t="shared" si="330"/>
        <v>0</v>
      </c>
      <c r="W559" s="327">
        <f t="shared" si="331"/>
        <v>0</v>
      </c>
      <c r="X559" s="65">
        <f t="shared" si="333"/>
        <v>0</v>
      </c>
      <c r="Y559" s="235">
        <f t="shared" si="332"/>
        <v>0</v>
      </c>
    </row>
    <row r="560" spans="2:25" s="222" customFormat="1" ht="12.75" customHeight="1" x14ac:dyDescent="0.2">
      <c r="B560" s="32"/>
      <c r="C560" s="32"/>
      <c r="D560" s="20"/>
      <c r="E560" s="60"/>
      <c r="F560" s="60"/>
      <c r="G560" s="32"/>
      <c r="H560" s="55"/>
      <c r="I560" s="28"/>
      <c r="J560" s="45"/>
      <c r="K560" s="36"/>
      <c r="L560" s="36"/>
      <c r="M560" s="20"/>
      <c r="N560" s="45"/>
      <c r="O560" s="20"/>
      <c r="P560" s="189"/>
      <c r="Q560" s="45"/>
      <c r="R560" s="20"/>
      <c r="T560" s="327">
        <f t="shared" si="328"/>
        <v>0</v>
      </c>
      <c r="U560" s="327">
        <f t="shared" si="329"/>
        <v>0</v>
      </c>
      <c r="V560" s="327">
        <f t="shared" si="330"/>
        <v>0</v>
      </c>
      <c r="W560" s="327">
        <f t="shared" si="331"/>
        <v>0</v>
      </c>
      <c r="X560" s="65">
        <f t="shared" si="333"/>
        <v>0</v>
      </c>
      <c r="Y560" s="235">
        <f t="shared" si="332"/>
        <v>0</v>
      </c>
    </row>
    <row r="561" spans="2:25" s="222" customFormat="1" ht="12.75" customHeight="1" x14ac:dyDescent="0.2">
      <c r="B561" s="32"/>
      <c r="C561" s="32"/>
      <c r="D561" s="20"/>
      <c r="E561" s="60"/>
      <c r="F561" s="60"/>
      <c r="G561" s="32"/>
      <c r="H561" s="55"/>
      <c r="I561" s="28"/>
      <c r="J561" s="45"/>
      <c r="K561" s="36"/>
      <c r="L561" s="36"/>
      <c r="M561" s="20"/>
      <c r="N561" s="45"/>
      <c r="O561" s="20"/>
      <c r="P561" s="189"/>
      <c r="Q561" s="45"/>
      <c r="R561" s="20"/>
      <c r="T561" s="327">
        <f t="shared" si="328"/>
        <v>0</v>
      </c>
      <c r="U561" s="327">
        <f t="shared" si="329"/>
        <v>0</v>
      </c>
      <c r="V561" s="327">
        <f t="shared" si="330"/>
        <v>0</v>
      </c>
      <c r="W561" s="327">
        <f t="shared" si="331"/>
        <v>0</v>
      </c>
      <c r="X561" s="65">
        <f t="shared" si="333"/>
        <v>0</v>
      </c>
      <c r="Y561" s="235">
        <f t="shared" si="332"/>
        <v>0</v>
      </c>
    </row>
    <row r="562" spans="2:25" s="222" customFormat="1" ht="12.75" customHeight="1" x14ac:dyDescent="0.2">
      <c r="B562" s="32"/>
      <c r="C562" s="32"/>
      <c r="D562" s="20"/>
      <c r="E562" s="60"/>
      <c r="F562" s="60"/>
      <c r="G562" s="32"/>
      <c r="H562" s="28"/>
      <c r="I562" s="28"/>
      <c r="J562" s="45"/>
      <c r="K562" s="36"/>
      <c r="L562" s="36"/>
      <c r="M562" s="20"/>
      <c r="N562" s="45"/>
      <c r="O562" s="20"/>
      <c r="P562" s="319"/>
      <c r="Q562" s="45"/>
      <c r="R562" s="20"/>
      <c r="T562" s="327">
        <f t="shared" si="328"/>
        <v>0</v>
      </c>
      <c r="U562" s="327">
        <f t="shared" si="329"/>
        <v>0</v>
      </c>
      <c r="V562" s="327">
        <f t="shared" si="330"/>
        <v>0</v>
      </c>
      <c r="W562" s="327">
        <f t="shared" si="331"/>
        <v>0</v>
      </c>
      <c r="X562" s="65">
        <f t="shared" si="333"/>
        <v>0</v>
      </c>
      <c r="Y562" s="235">
        <f t="shared" si="332"/>
        <v>0</v>
      </c>
    </row>
    <row r="563" spans="2:25" s="222" customFormat="1" ht="12.75" customHeight="1" x14ac:dyDescent="0.2">
      <c r="B563" s="32"/>
      <c r="C563" s="32"/>
      <c r="D563" s="20"/>
      <c r="E563" s="60"/>
      <c r="F563" s="60"/>
      <c r="G563" s="32"/>
      <c r="H563" s="28"/>
      <c r="I563" s="28"/>
      <c r="J563" s="45"/>
      <c r="K563" s="36"/>
      <c r="L563" s="36"/>
      <c r="M563" s="20"/>
      <c r="N563" s="45"/>
      <c r="O563" s="20"/>
      <c r="P563" s="323"/>
      <c r="Q563" s="45"/>
      <c r="R563" s="20"/>
      <c r="T563" s="327">
        <f t="shared" si="328"/>
        <v>0</v>
      </c>
      <c r="U563" s="327">
        <f t="shared" si="329"/>
        <v>0</v>
      </c>
      <c r="V563" s="327">
        <f t="shared" si="330"/>
        <v>0</v>
      </c>
      <c r="W563" s="327">
        <f t="shared" si="331"/>
        <v>0</v>
      </c>
      <c r="X563" s="65">
        <f t="shared" si="333"/>
        <v>0</v>
      </c>
      <c r="Y563" s="235">
        <f t="shared" si="332"/>
        <v>0</v>
      </c>
    </row>
    <row r="564" spans="2:25" s="222" customFormat="1" ht="12.75" customHeight="1" x14ac:dyDescent="0.2">
      <c r="B564" s="32"/>
      <c r="C564" s="32"/>
      <c r="D564" s="20"/>
      <c r="E564" s="60"/>
      <c r="F564" s="60"/>
      <c r="G564" s="32"/>
      <c r="H564" s="64"/>
      <c r="I564" s="28"/>
      <c r="J564" s="45"/>
      <c r="K564" s="36"/>
      <c r="L564" s="36"/>
      <c r="M564" s="20"/>
      <c r="N564" s="45"/>
      <c r="O564" s="20"/>
      <c r="P564" s="319"/>
      <c r="Q564" s="45"/>
      <c r="R564" s="20"/>
      <c r="T564" s="327">
        <f t="shared" si="328"/>
        <v>0</v>
      </c>
      <c r="U564" s="327">
        <f t="shared" si="329"/>
        <v>0</v>
      </c>
      <c r="V564" s="327">
        <f t="shared" si="330"/>
        <v>0</v>
      </c>
      <c r="W564" s="327">
        <f t="shared" si="331"/>
        <v>0</v>
      </c>
      <c r="X564" s="65">
        <f t="shared" si="333"/>
        <v>0</v>
      </c>
      <c r="Y564" s="235">
        <f t="shared" si="332"/>
        <v>0</v>
      </c>
    </row>
    <row r="565" spans="2:25" s="222" customFormat="1" ht="12.75" customHeight="1" x14ac:dyDescent="0.2">
      <c r="B565" s="32"/>
      <c r="C565" s="32"/>
      <c r="D565" s="20"/>
      <c r="E565" s="60"/>
      <c r="F565" s="60"/>
      <c r="G565" s="32"/>
      <c r="H565" s="64"/>
      <c r="I565" s="28"/>
      <c r="J565" s="45"/>
      <c r="K565" s="36"/>
      <c r="L565" s="36"/>
      <c r="M565" s="20"/>
      <c r="N565" s="45"/>
      <c r="O565" s="20"/>
      <c r="P565" s="323"/>
      <c r="Q565" s="45"/>
      <c r="R565" s="20"/>
      <c r="T565" s="327">
        <f t="shared" si="328"/>
        <v>0</v>
      </c>
      <c r="U565" s="327">
        <f t="shared" si="329"/>
        <v>0</v>
      </c>
      <c r="V565" s="327">
        <f t="shared" si="330"/>
        <v>0</v>
      </c>
      <c r="W565" s="327">
        <f t="shared" si="331"/>
        <v>0</v>
      </c>
      <c r="X565" s="65">
        <f t="shared" si="333"/>
        <v>0</v>
      </c>
      <c r="Y565" s="235">
        <f t="shared" si="332"/>
        <v>0</v>
      </c>
    </row>
    <row r="566" spans="2:25" s="222" customFormat="1" ht="12.75" customHeight="1" x14ac:dyDescent="0.2">
      <c r="B566" s="32"/>
      <c r="C566" s="32"/>
      <c r="D566" s="20"/>
      <c r="E566" s="60"/>
      <c r="F566" s="60"/>
      <c r="G566" s="32"/>
      <c r="H566" s="64"/>
      <c r="I566" s="28"/>
      <c r="J566" s="45"/>
      <c r="K566" s="36"/>
      <c r="L566" s="36"/>
      <c r="M566" s="20"/>
      <c r="N566" s="45"/>
      <c r="O566" s="20"/>
      <c r="P566" s="319"/>
      <c r="Q566" s="45"/>
      <c r="R566" s="20"/>
      <c r="T566" s="327">
        <f t="shared" si="328"/>
        <v>0</v>
      </c>
      <c r="U566" s="327">
        <f t="shared" si="329"/>
        <v>0</v>
      </c>
      <c r="V566" s="327">
        <f t="shared" si="330"/>
        <v>0</v>
      </c>
      <c r="W566" s="327">
        <f t="shared" si="331"/>
        <v>0</v>
      </c>
      <c r="X566" s="65">
        <f t="shared" si="333"/>
        <v>0</v>
      </c>
      <c r="Y566" s="235">
        <f t="shared" si="332"/>
        <v>0</v>
      </c>
    </row>
    <row r="567" spans="2:25" s="222" customFormat="1" ht="12.75" customHeight="1" x14ac:dyDescent="0.2">
      <c r="B567" s="32"/>
      <c r="C567" s="32"/>
      <c r="D567" s="20"/>
      <c r="E567" s="60"/>
      <c r="F567" s="60"/>
      <c r="G567" s="32"/>
      <c r="H567" s="64"/>
      <c r="I567" s="28"/>
      <c r="J567" s="45"/>
      <c r="K567" s="36"/>
      <c r="L567" s="36"/>
      <c r="M567" s="20"/>
      <c r="N567" s="45"/>
      <c r="O567" s="20"/>
      <c r="P567" s="319"/>
      <c r="Q567" s="45"/>
      <c r="R567" s="20"/>
      <c r="T567" s="327">
        <f t="shared" si="328"/>
        <v>0</v>
      </c>
      <c r="U567" s="327">
        <f t="shared" si="329"/>
        <v>0</v>
      </c>
      <c r="V567" s="327">
        <f t="shared" si="330"/>
        <v>0</v>
      </c>
      <c r="W567" s="327">
        <f t="shared" si="331"/>
        <v>0</v>
      </c>
      <c r="X567" s="65">
        <f t="shared" si="333"/>
        <v>0</v>
      </c>
      <c r="Y567" s="235">
        <f t="shared" si="332"/>
        <v>0</v>
      </c>
    </row>
    <row r="568" spans="2:25" s="222" customFormat="1" ht="12.75" customHeight="1" x14ac:dyDescent="0.2">
      <c r="B568" s="32"/>
      <c r="C568" s="32"/>
      <c r="D568" s="20"/>
      <c r="E568" s="60"/>
      <c r="F568" s="60"/>
      <c r="G568" s="32"/>
      <c r="H568" s="28"/>
      <c r="I568" s="28"/>
      <c r="J568" s="45"/>
      <c r="K568" s="36"/>
      <c r="L568" s="36"/>
      <c r="M568" s="20"/>
      <c r="N568" s="45"/>
      <c r="O568" s="20"/>
      <c r="P568" s="319"/>
      <c r="Q568" s="45"/>
      <c r="R568" s="20"/>
      <c r="T568" s="327">
        <f t="shared" si="328"/>
        <v>0</v>
      </c>
      <c r="U568" s="327">
        <f t="shared" si="329"/>
        <v>0</v>
      </c>
      <c r="V568" s="327">
        <f t="shared" si="330"/>
        <v>0</v>
      </c>
      <c r="W568" s="327">
        <f t="shared" si="331"/>
        <v>0</v>
      </c>
      <c r="X568" s="65">
        <f t="shared" si="333"/>
        <v>0</v>
      </c>
      <c r="Y568" s="235">
        <f t="shared" si="332"/>
        <v>0</v>
      </c>
    </row>
    <row r="569" spans="2:25" s="222" customFormat="1" ht="12.75" customHeight="1" x14ac:dyDescent="0.2">
      <c r="B569" s="32"/>
      <c r="C569" s="32"/>
      <c r="D569" s="20"/>
      <c r="E569" s="60"/>
      <c r="F569" s="60"/>
      <c r="G569" s="32"/>
      <c r="H569" s="28"/>
      <c r="I569" s="28"/>
      <c r="J569" s="45"/>
      <c r="K569" s="36"/>
      <c r="L569" s="36"/>
      <c r="M569" s="20"/>
      <c r="N569" s="45"/>
      <c r="O569" s="20"/>
      <c r="P569" s="319"/>
      <c r="Q569" s="45"/>
      <c r="R569" s="20"/>
      <c r="T569" s="327">
        <f t="shared" si="328"/>
        <v>0</v>
      </c>
      <c r="U569" s="327">
        <f t="shared" si="329"/>
        <v>0</v>
      </c>
      <c r="V569" s="327">
        <f t="shared" si="330"/>
        <v>0</v>
      </c>
      <c r="W569" s="327">
        <f t="shared" si="331"/>
        <v>0</v>
      </c>
      <c r="X569" s="65">
        <f t="shared" si="333"/>
        <v>0</v>
      </c>
      <c r="Y569" s="235">
        <f t="shared" si="332"/>
        <v>0</v>
      </c>
    </row>
    <row r="570" spans="2:25" s="222" customFormat="1" ht="12.75" customHeight="1" x14ac:dyDescent="0.2">
      <c r="B570" s="32"/>
      <c r="C570" s="32"/>
      <c r="D570" s="20"/>
      <c r="E570" s="60"/>
      <c r="F570" s="60"/>
      <c r="G570" s="32"/>
      <c r="H570" s="55"/>
      <c r="I570" s="28"/>
      <c r="J570" s="45"/>
      <c r="K570" s="36"/>
      <c r="L570" s="36"/>
      <c r="M570" s="20"/>
      <c r="N570" s="45"/>
      <c r="O570" s="20"/>
      <c r="P570" s="319"/>
      <c r="Q570" s="45"/>
      <c r="R570" s="20"/>
      <c r="T570" s="327">
        <f t="shared" si="328"/>
        <v>0</v>
      </c>
      <c r="U570" s="327">
        <f t="shared" si="329"/>
        <v>0</v>
      </c>
      <c r="V570" s="327">
        <f t="shared" si="330"/>
        <v>0</v>
      </c>
      <c r="W570" s="327">
        <f t="shared" si="331"/>
        <v>0</v>
      </c>
      <c r="X570" s="65">
        <f t="shared" si="333"/>
        <v>0</v>
      </c>
      <c r="Y570" s="235">
        <f t="shared" si="332"/>
        <v>0</v>
      </c>
    </row>
    <row r="571" spans="2:25" s="222" customFormat="1" ht="12.75" customHeight="1" x14ac:dyDescent="0.2">
      <c r="B571" s="32"/>
      <c r="C571" s="32"/>
      <c r="D571" s="20"/>
      <c r="E571" s="60"/>
      <c r="F571" s="60"/>
      <c r="G571" s="32"/>
      <c r="H571" s="55"/>
      <c r="I571" s="28"/>
      <c r="J571" s="45"/>
      <c r="K571" s="36"/>
      <c r="L571" s="36"/>
      <c r="M571" s="20"/>
      <c r="N571" s="45"/>
      <c r="O571" s="20"/>
      <c r="P571" s="20" t="s">
        <v>549</v>
      </c>
      <c r="Q571" s="45"/>
      <c r="R571" s="20"/>
      <c r="T571" s="327">
        <f t="shared" si="328"/>
        <v>0</v>
      </c>
      <c r="U571" s="327">
        <f t="shared" si="329"/>
        <v>0</v>
      </c>
      <c r="V571" s="327">
        <f t="shared" si="330"/>
        <v>0</v>
      </c>
      <c r="W571" s="327">
        <f t="shared" si="331"/>
        <v>0</v>
      </c>
      <c r="X571" s="65">
        <f t="shared" si="333"/>
        <v>0</v>
      </c>
      <c r="Y571" s="235">
        <f t="shared" si="332"/>
        <v>0</v>
      </c>
    </row>
    <row r="572" spans="2:25" s="222" customFormat="1" ht="12.75" customHeight="1" x14ac:dyDescent="0.2">
      <c r="B572" s="32"/>
      <c r="C572" s="32"/>
      <c r="D572" s="20"/>
      <c r="E572" s="60"/>
      <c r="F572" s="60"/>
      <c r="G572" s="32"/>
      <c r="H572" s="55"/>
      <c r="I572" s="28"/>
      <c r="J572" s="45"/>
      <c r="K572" s="36"/>
      <c r="L572" s="36"/>
      <c r="M572" s="20"/>
      <c r="N572" s="45"/>
      <c r="O572" s="20"/>
      <c r="P572" s="20" t="s">
        <v>549</v>
      </c>
      <c r="Q572" s="45"/>
      <c r="R572" s="20"/>
      <c r="T572" s="327">
        <f t="shared" si="328"/>
        <v>0</v>
      </c>
      <c r="U572" s="327">
        <f t="shared" si="329"/>
        <v>0</v>
      </c>
      <c r="V572" s="327">
        <f t="shared" si="330"/>
        <v>0</v>
      </c>
      <c r="W572" s="327">
        <f t="shared" si="331"/>
        <v>0</v>
      </c>
      <c r="X572" s="65">
        <f t="shared" si="333"/>
        <v>0</v>
      </c>
      <c r="Y572" s="235">
        <f t="shared" si="332"/>
        <v>0</v>
      </c>
    </row>
    <row r="573" spans="2:25" s="222" customFormat="1" ht="12.75" customHeight="1" x14ac:dyDescent="0.2">
      <c r="B573" s="32"/>
      <c r="C573" s="32"/>
      <c r="D573" s="20"/>
      <c r="E573" s="60"/>
      <c r="F573" s="60"/>
      <c r="G573" s="32"/>
      <c r="H573" s="55"/>
      <c r="I573" s="28"/>
      <c r="J573" s="45"/>
      <c r="K573" s="36"/>
      <c r="L573" s="36"/>
      <c r="M573" s="20"/>
      <c r="N573" s="45"/>
      <c r="O573" s="20"/>
      <c r="P573" s="20" t="s">
        <v>549</v>
      </c>
      <c r="Q573" s="45"/>
      <c r="R573" s="20"/>
      <c r="T573" s="327">
        <f t="shared" si="328"/>
        <v>0</v>
      </c>
      <c r="U573" s="327">
        <f t="shared" si="329"/>
        <v>0</v>
      </c>
      <c r="V573" s="327">
        <f t="shared" si="330"/>
        <v>0</v>
      </c>
      <c r="W573" s="327">
        <f t="shared" si="331"/>
        <v>0</v>
      </c>
      <c r="X573" s="65">
        <f t="shared" si="333"/>
        <v>0</v>
      </c>
      <c r="Y573" s="235">
        <f t="shared" si="332"/>
        <v>0</v>
      </c>
    </row>
    <row r="574" spans="2:25" s="222" customFormat="1" ht="12.75" customHeight="1" x14ac:dyDescent="0.2">
      <c r="B574" s="32"/>
      <c r="C574" s="32"/>
      <c r="D574" s="20"/>
      <c r="E574" s="60"/>
      <c r="F574" s="60"/>
      <c r="G574" s="32"/>
      <c r="H574" s="28"/>
      <c r="I574" s="28"/>
      <c r="J574" s="45"/>
      <c r="K574" s="36"/>
      <c r="L574" s="36"/>
      <c r="M574" s="20"/>
      <c r="N574" s="45"/>
      <c r="O574" s="20"/>
      <c r="P574" s="20" t="s">
        <v>549</v>
      </c>
      <c r="Q574" s="45"/>
      <c r="R574" s="20"/>
      <c r="T574" s="327">
        <f t="shared" ref="T574:T637" si="334">IF(K574=$T$3,$T$5*R574/DAYS360(K574,L574),0)</f>
        <v>0</v>
      </c>
      <c r="U574" s="327">
        <f t="shared" ref="U574:U637" si="335">IF(K574=$U$3,$U$5*R574/DAYS360(K574,L574),0)+IF(K574=$T$3,IF(L574=$U$4,R574-T574,0),0)+IF(K574=$T$3,IF(L574=$V$4,(R574-T574)/2,0),0)+IF(K574=$T$3,IF(L574=$W$4,(R574-T574)/3,0),0)</f>
        <v>0</v>
      </c>
      <c r="V574" s="327">
        <f t="shared" ref="V574:V637" si="336">IF(K574=$V$3,$V$5*R574/DAYS360(K574,L574),0)+IF(K574=$T$3,IF(L574=$V$4,R574-T574-U574,0),0)+IF(K574=$T$3,IF(L574=$W$4,(R574-T574-U574)/2,0),0)+IF(K574=$U$3,IF(L574=$V$4,R574-U574,0),0)+IF(K574=$U$3,IF(L574=$W$4,(R574-U574)/2,0),0)</f>
        <v>0</v>
      </c>
      <c r="W574" s="327">
        <f t="shared" ref="W574:W637" si="337">IF(K574=$W$3,$W$5*R574/DAYS360(K574,L574),0)+IF(K574=$T$3,IF(L574=$W$4,R574-T574-U574-V574,0),0)+IF(K574=$U$3,IF(L574=$W$4,R574-U574-V574,0),0)+IF(K574=$V$3,IF(L574=$W$4,R574-V574,0),0)</f>
        <v>0</v>
      </c>
      <c r="X574" s="65">
        <f t="shared" si="333"/>
        <v>0</v>
      </c>
      <c r="Y574" s="235">
        <f t="shared" si="332"/>
        <v>0</v>
      </c>
    </row>
    <row r="575" spans="2:25" s="222" customFormat="1" ht="12.75" customHeight="1" x14ac:dyDescent="0.2">
      <c r="B575" s="32"/>
      <c r="C575" s="32"/>
      <c r="D575" s="20"/>
      <c r="E575" s="60"/>
      <c r="F575" s="60"/>
      <c r="G575" s="32"/>
      <c r="H575" s="64"/>
      <c r="I575" s="28"/>
      <c r="J575" s="45"/>
      <c r="K575" s="36"/>
      <c r="L575" s="36"/>
      <c r="M575" s="20"/>
      <c r="N575" s="45"/>
      <c r="O575" s="20"/>
      <c r="P575" s="20" t="s">
        <v>552</v>
      </c>
      <c r="Q575" s="45"/>
      <c r="R575" s="20"/>
      <c r="T575" s="327">
        <f t="shared" si="334"/>
        <v>0</v>
      </c>
      <c r="U575" s="327">
        <f t="shared" si="335"/>
        <v>0</v>
      </c>
      <c r="V575" s="327">
        <f t="shared" si="336"/>
        <v>0</v>
      </c>
      <c r="W575" s="327">
        <f t="shared" si="337"/>
        <v>0</v>
      </c>
      <c r="X575" s="65">
        <f t="shared" si="333"/>
        <v>0</v>
      </c>
      <c r="Y575" s="235">
        <f t="shared" si="332"/>
        <v>0</v>
      </c>
    </row>
    <row r="576" spans="2:25" s="222" customFormat="1" ht="12.75" customHeight="1" x14ac:dyDescent="0.2">
      <c r="B576" s="32"/>
      <c r="C576" s="32"/>
      <c r="D576" s="20"/>
      <c r="E576" s="60"/>
      <c r="F576" s="60"/>
      <c r="G576" s="32"/>
      <c r="H576" s="64"/>
      <c r="I576" s="28"/>
      <c r="J576" s="45"/>
      <c r="K576" s="36"/>
      <c r="L576" s="36"/>
      <c r="M576" s="20"/>
      <c r="N576" s="45"/>
      <c r="O576" s="20"/>
      <c r="P576" s="20" t="s">
        <v>550</v>
      </c>
      <c r="Q576" s="45"/>
      <c r="R576" s="20"/>
      <c r="T576" s="327">
        <f t="shared" si="334"/>
        <v>0</v>
      </c>
      <c r="U576" s="327">
        <f t="shared" si="335"/>
        <v>0</v>
      </c>
      <c r="V576" s="327">
        <f t="shared" si="336"/>
        <v>0</v>
      </c>
      <c r="W576" s="327">
        <f t="shared" si="337"/>
        <v>0</v>
      </c>
      <c r="X576" s="65">
        <f t="shared" si="333"/>
        <v>0</v>
      </c>
      <c r="Y576" s="235">
        <f t="shared" si="332"/>
        <v>0</v>
      </c>
    </row>
    <row r="577" spans="2:25" s="222" customFormat="1" ht="12.75" customHeight="1" x14ac:dyDescent="0.2">
      <c r="B577" s="32"/>
      <c r="C577" s="32"/>
      <c r="D577" s="20"/>
      <c r="E577" s="60"/>
      <c r="F577" s="60"/>
      <c r="G577" s="32"/>
      <c r="H577" s="28"/>
      <c r="I577" s="28"/>
      <c r="J577" s="45"/>
      <c r="K577" s="36"/>
      <c r="L577" s="36"/>
      <c r="M577" s="20"/>
      <c r="N577" s="45"/>
      <c r="O577" s="20"/>
      <c r="P577" s="20" t="s">
        <v>550</v>
      </c>
      <c r="Q577" s="45"/>
      <c r="R577" s="20"/>
      <c r="T577" s="327">
        <f t="shared" si="334"/>
        <v>0</v>
      </c>
      <c r="U577" s="327">
        <f t="shared" si="335"/>
        <v>0</v>
      </c>
      <c r="V577" s="327">
        <f t="shared" si="336"/>
        <v>0</v>
      </c>
      <c r="W577" s="327">
        <f t="shared" si="337"/>
        <v>0</v>
      </c>
      <c r="X577" s="65">
        <f t="shared" si="333"/>
        <v>0</v>
      </c>
      <c r="Y577" s="235">
        <f t="shared" si="332"/>
        <v>0</v>
      </c>
    </row>
    <row r="578" spans="2:25" s="222" customFormat="1" ht="12.75" customHeight="1" x14ac:dyDescent="0.2">
      <c r="B578" s="32"/>
      <c r="C578" s="32"/>
      <c r="D578" s="20"/>
      <c r="E578" s="60"/>
      <c r="F578" s="60"/>
      <c r="G578" s="32"/>
      <c r="H578" s="28"/>
      <c r="I578" s="28"/>
      <c r="J578" s="45"/>
      <c r="K578" s="36"/>
      <c r="L578" s="36"/>
      <c r="M578" s="20"/>
      <c r="N578" s="45"/>
      <c r="O578" s="20"/>
      <c r="P578" s="20" t="s">
        <v>553</v>
      </c>
      <c r="Q578" s="45"/>
      <c r="R578" s="20"/>
      <c r="T578" s="327">
        <f t="shared" si="334"/>
        <v>0</v>
      </c>
      <c r="U578" s="327">
        <f t="shared" si="335"/>
        <v>0</v>
      </c>
      <c r="V578" s="327">
        <f t="shared" si="336"/>
        <v>0</v>
      </c>
      <c r="W578" s="327">
        <f t="shared" si="337"/>
        <v>0</v>
      </c>
      <c r="X578" s="65">
        <f t="shared" si="333"/>
        <v>0</v>
      </c>
      <c r="Y578" s="235">
        <f t="shared" si="332"/>
        <v>0</v>
      </c>
    </row>
    <row r="579" spans="2:25" s="222" customFormat="1" ht="12.75" customHeight="1" x14ac:dyDescent="0.2">
      <c r="B579" s="32"/>
      <c r="C579" s="32"/>
      <c r="D579" s="20"/>
      <c r="E579" s="60"/>
      <c r="F579" s="60"/>
      <c r="G579" s="32"/>
      <c r="H579" s="28"/>
      <c r="I579" s="28"/>
      <c r="J579" s="45"/>
      <c r="K579" s="36"/>
      <c r="L579" s="36"/>
      <c r="M579" s="20"/>
      <c r="N579" s="45"/>
      <c r="O579" s="20"/>
      <c r="P579" s="20" t="s">
        <v>551</v>
      </c>
      <c r="Q579" s="45"/>
      <c r="R579" s="20"/>
      <c r="T579" s="327">
        <f t="shared" si="334"/>
        <v>0</v>
      </c>
      <c r="U579" s="327">
        <f t="shared" si="335"/>
        <v>0</v>
      </c>
      <c r="V579" s="327">
        <f t="shared" si="336"/>
        <v>0</v>
      </c>
      <c r="W579" s="327">
        <f t="shared" si="337"/>
        <v>0</v>
      </c>
      <c r="X579" s="65">
        <f t="shared" si="333"/>
        <v>0</v>
      </c>
      <c r="Y579" s="235">
        <f t="shared" ref="Y579:Y642" si="338">X579-R579</f>
        <v>0</v>
      </c>
    </row>
    <row r="580" spans="2:25" s="222" customFormat="1" ht="12.75" customHeight="1" x14ac:dyDescent="0.2">
      <c r="B580" s="32"/>
      <c r="C580" s="32"/>
      <c r="D580" s="20"/>
      <c r="E580" s="60"/>
      <c r="F580" s="60"/>
      <c r="G580" s="32"/>
      <c r="H580" s="28"/>
      <c r="I580" s="28"/>
      <c r="J580" s="45"/>
      <c r="K580" s="36"/>
      <c r="L580" s="36"/>
      <c r="M580" s="20"/>
      <c r="N580" s="45"/>
      <c r="O580" s="20"/>
      <c r="P580" s="20" t="s">
        <v>548</v>
      </c>
      <c r="Q580" s="45"/>
      <c r="R580" s="20"/>
      <c r="T580" s="327">
        <f t="shared" si="334"/>
        <v>0</v>
      </c>
      <c r="U580" s="327">
        <f t="shared" si="335"/>
        <v>0</v>
      </c>
      <c r="V580" s="327">
        <f t="shared" si="336"/>
        <v>0</v>
      </c>
      <c r="W580" s="327">
        <f t="shared" si="337"/>
        <v>0</v>
      </c>
      <c r="X580" s="65">
        <f t="shared" si="333"/>
        <v>0</v>
      </c>
      <c r="Y580" s="235">
        <f t="shared" si="338"/>
        <v>0</v>
      </c>
    </row>
    <row r="581" spans="2:25" s="222" customFormat="1" ht="12.75" customHeight="1" x14ac:dyDescent="0.2">
      <c r="B581" s="32"/>
      <c r="C581" s="32"/>
      <c r="D581" s="20"/>
      <c r="E581" s="60"/>
      <c r="F581" s="60"/>
      <c r="G581" s="32"/>
      <c r="H581" s="28"/>
      <c r="I581" s="28"/>
      <c r="J581" s="45"/>
      <c r="K581" s="36"/>
      <c r="L581" s="36"/>
      <c r="M581" s="20"/>
      <c r="N581" s="45"/>
      <c r="O581" s="20"/>
      <c r="P581" s="189"/>
      <c r="Q581" s="45"/>
      <c r="R581" s="20"/>
      <c r="T581" s="327">
        <f t="shared" si="334"/>
        <v>0</v>
      </c>
      <c r="U581" s="327">
        <f t="shared" si="335"/>
        <v>0</v>
      </c>
      <c r="V581" s="327">
        <f t="shared" si="336"/>
        <v>0</v>
      </c>
      <c r="W581" s="327">
        <f t="shared" si="337"/>
        <v>0</v>
      </c>
      <c r="X581" s="65">
        <f t="shared" si="333"/>
        <v>0</v>
      </c>
      <c r="Y581" s="235">
        <f t="shared" si="338"/>
        <v>0</v>
      </c>
    </row>
    <row r="582" spans="2:25" s="222" customFormat="1" ht="12.75" customHeight="1" x14ac:dyDescent="0.2">
      <c r="B582" s="32"/>
      <c r="C582" s="32"/>
      <c r="D582" s="20"/>
      <c r="E582" s="60"/>
      <c r="F582" s="60"/>
      <c r="G582" s="32"/>
      <c r="H582" s="28"/>
      <c r="I582" s="28"/>
      <c r="J582" s="45"/>
      <c r="K582" s="36"/>
      <c r="L582" s="36"/>
      <c r="M582" s="20"/>
      <c r="N582" s="45"/>
      <c r="O582" s="20"/>
      <c r="P582" s="189"/>
      <c r="Q582" s="45"/>
      <c r="R582" s="20"/>
      <c r="T582" s="327">
        <f t="shared" si="334"/>
        <v>0</v>
      </c>
      <c r="U582" s="327">
        <f t="shared" si="335"/>
        <v>0</v>
      </c>
      <c r="V582" s="327">
        <f t="shared" si="336"/>
        <v>0</v>
      </c>
      <c r="W582" s="327">
        <f t="shared" si="337"/>
        <v>0</v>
      </c>
      <c r="X582" s="65">
        <f t="shared" si="333"/>
        <v>0</v>
      </c>
      <c r="Y582" s="235">
        <f t="shared" si="338"/>
        <v>0</v>
      </c>
    </row>
    <row r="583" spans="2:25" s="222" customFormat="1" ht="12.75" customHeight="1" x14ac:dyDescent="0.2">
      <c r="B583" s="32"/>
      <c r="C583" s="32"/>
      <c r="D583" s="20"/>
      <c r="E583" s="60"/>
      <c r="F583" s="60"/>
      <c r="G583" s="32"/>
      <c r="H583" s="28"/>
      <c r="I583" s="28"/>
      <c r="J583" s="45"/>
      <c r="K583" s="36"/>
      <c r="L583" s="36"/>
      <c r="M583" s="20"/>
      <c r="N583" s="45"/>
      <c r="O583" s="20"/>
      <c r="P583" s="189"/>
      <c r="Q583" s="45"/>
      <c r="R583" s="20"/>
      <c r="T583" s="327">
        <f t="shared" si="334"/>
        <v>0</v>
      </c>
      <c r="U583" s="327">
        <f t="shared" si="335"/>
        <v>0</v>
      </c>
      <c r="V583" s="327">
        <f t="shared" si="336"/>
        <v>0</v>
      </c>
      <c r="W583" s="327">
        <f t="shared" si="337"/>
        <v>0</v>
      </c>
      <c r="X583" s="65">
        <f t="shared" si="333"/>
        <v>0</v>
      </c>
      <c r="Y583" s="235">
        <f t="shared" si="338"/>
        <v>0</v>
      </c>
    </row>
    <row r="584" spans="2:25" s="222" customFormat="1" ht="12.75" customHeight="1" x14ac:dyDescent="0.2">
      <c r="B584" s="32"/>
      <c r="C584" s="32"/>
      <c r="D584" s="20"/>
      <c r="E584" s="60"/>
      <c r="F584" s="60"/>
      <c r="G584" s="32"/>
      <c r="H584" s="28"/>
      <c r="I584" s="28"/>
      <c r="J584" s="45"/>
      <c r="K584" s="36"/>
      <c r="L584" s="36"/>
      <c r="M584" s="20"/>
      <c r="N584" s="45"/>
      <c r="O584" s="20"/>
      <c r="P584" s="189"/>
      <c r="Q584" s="45"/>
      <c r="R584" s="20"/>
      <c r="T584" s="327">
        <f t="shared" si="334"/>
        <v>0</v>
      </c>
      <c r="U584" s="327">
        <f t="shared" si="335"/>
        <v>0</v>
      </c>
      <c r="V584" s="327">
        <f t="shared" si="336"/>
        <v>0</v>
      </c>
      <c r="W584" s="327">
        <f t="shared" si="337"/>
        <v>0</v>
      </c>
      <c r="X584" s="65">
        <f t="shared" si="333"/>
        <v>0</v>
      </c>
      <c r="Y584" s="235">
        <f t="shared" si="338"/>
        <v>0</v>
      </c>
    </row>
    <row r="585" spans="2:25" s="222" customFormat="1" ht="12.75" customHeight="1" x14ac:dyDescent="0.2">
      <c r="B585" s="32"/>
      <c r="C585" s="32"/>
      <c r="D585" s="20"/>
      <c r="E585" s="60"/>
      <c r="F585" s="60"/>
      <c r="G585" s="32"/>
      <c r="H585" s="28"/>
      <c r="I585" s="28"/>
      <c r="J585" s="45"/>
      <c r="K585" s="36"/>
      <c r="L585" s="36"/>
      <c r="M585" s="20"/>
      <c r="N585" s="45"/>
      <c r="O585" s="20"/>
      <c r="P585" s="189"/>
      <c r="Q585" s="45"/>
      <c r="R585" s="20"/>
      <c r="T585" s="327">
        <f t="shared" si="334"/>
        <v>0</v>
      </c>
      <c r="U585" s="327">
        <f t="shared" si="335"/>
        <v>0</v>
      </c>
      <c r="V585" s="327">
        <f t="shared" si="336"/>
        <v>0</v>
      </c>
      <c r="W585" s="327">
        <f t="shared" si="337"/>
        <v>0</v>
      </c>
      <c r="X585" s="65">
        <f t="shared" si="333"/>
        <v>0</v>
      </c>
      <c r="Y585" s="235">
        <f t="shared" si="338"/>
        <v>0</v>
      </c>
    </row>
    <row r="586" spans="2:25" s="222" customFormat="1" ht="12.75" customHeight="1" x14ac:dyDescent="0.2">
      <c r="B586" s="32"/>
      <c r="C586" s="32"/>
      <c r="D586" s="20"/>
      <c r="E586" s="60"/>
      <c r="F586" s="60"/>
      <c r="G586" s="32"/>
      <c r="H586" s="28"/>
      <c r="I586" s="28"/>
      <c r="J586" s="45"/>
      <c r="K586" s="36"/>
      <c r="L586" s="36"/>
      <c r="M586" s="20"/>
      <c r="N586" s="45"/>
      <c r="O586" s="20"/>
      <c r="P586" s="189"/>
      <c r="Q586" s="45"/>
      <c r="R586" s="20"/>
      <c r="T586" s="327">
        <f t="shared" si="334"/>
        <v>0</v>
      </c>
      <c r="U586" s="327">
        <f t="shared" si="335"/>
        <v>0</v>
      </c>
      <c r="V586" s="327">
        <f t="shared" si="336"/>
        <v>0</v>
      </c>
      <c r="W586" s="327">
        <f t="shared" si="337"/>
        <v>0</v>
      </c>
      <c r="X586" s="65">
        <f t="shared" si="333"/>
        <v>0</v>
      </c>
      <c r="Y586" s="235">
        <f t="shared" si="338"/>
        <v>0</v>
      </c>
    </row>
    <row r="587" spans="2:25" s="222" customFormat="1" ht="12.75" customHeight="1" x14ac:dyDescent="0.2">
      <c r="B587" s="32"/>
      <c r="C587" s="32"/>
      <c r="D587" s="20"/>
      <c r="E587" s="60"/>
      <c r="F587" s="60"/>
      <c r="G587" s="32"/>
      <c r="H587" s="28"/>
      <c r="I587" s="28"/>
      <c r="J587" s="45"/>
      <c r="K587" s="36"/>
      <c r="L587" s="36"/>
      <c r="M587" s="20"/>
      <c r="N587" s="45"/>
      <c r="O587" s="20"/>
      <c r="P587" s="189"/>
      <c r="Q587" s="45"/>
      <c r="R587" s="20"/>
      <c r="T587" s="327">
        <f t="shared" si="334"/>
        <v>0</v>
      </c>
      <c r="U587" s="327">
        <f t="shared" si="335"/>
        <v>0</v>
      </c>
      <c r="V587" s="327">
        <f t="shared" si="336"/>
        <v>0</v>
      </c>
      <c r="W587" s="327">
        <f t="shared" si="337"/>
        <v>0</v>
      </c>
      <c r="X587" s="65">
        <f t="shared" si="333"/>
        <v>0</v>
      </c>
      <c r="Y587" s="235">
        <f t="shared" si="338"/>
        <v>0</v>
      </c>
    </row>
    <row r="588" spans="2:25" s="222" customFormat="1" ht="12.75" customHeight="1" x14ac:dyDescent="0.2">
      <c r="B588" s="32"/>
      <c r="C588" s="32"/>
      <c r="D588" s="20"/>
      <c r="E588" s="60"/>
      <c r="F588" s="60"/>
      <c r="G588" s="32"/>
      <c r="H588" s="28"/>
      <c r="I588" s="28"/>
      <c r="J588" s="45"/>
      <c r="K588" s="36"/>
      <c r="L588" s="36"/>
      <c r="M588" s="20"/>
      <c r="N588" s="45"/>
      <c r="O588" s="20"/>
      <c r="P588" s="189"/>
      <c r="Q588" s="45"/>
      <c r="R588" s="20"/>
      <c r="T588" s="327">
        <f t="shared" si="334"/>
        <v>0</v>
      </c>
      <c r="U588" s="327">
        <f t="shared" si="335"/>
        <v>0</v>
      </c>
      <c r="V588" s="327">
        <f t="shared" si="336"/>
        <v>0</v>
      </c>
      <c r="W588" s="327">
        <f t="shared" si="337"/>
        <v>0</v>
      </c>
      <c r="X588" s="65">
        <f t="shared" si="333"/>
        <v>0</v>
      </c>
      <c r="Y588" s="235">
        <f t="shared" si="338"/>
        <v>0</v>
      </c>
    </row>
    <row r="589" spans="2:25" s="222" customFormat="1" ht="12.75" customHeight="1" x14ac:dyDescent="0.2">
      <c r="B589" s="32"/>
      <c r="C589" s="32"/>
      <c r="D589" s="20"/>
      <c r="E589" s="60"/>
      <c r="F589" s="60"/>
      <c r="G589" s="32"/>
      <c r="H589" s="28"/>
      <c r="I589" s="28"/>
      <c r="J589" s="45"/>
      <c r="K589" s="36"/>
      <c r="L589" s="36"/>
      <c r="M589" s="20"/>
      <c r="N589" s="45"/>
      <c r="O589" s="20"/>
      <c r="P589" s="189"/>
      <c r="Q589" s="45"/>
      <c r="R589" s="20"/>
      <c r="T589" s="327">
        <f t="shared" si="334"/>
        <v>0</v>
      </c>
      <c r="U589" s="327">
        <f t="shared" si="335"/>
        <v>0</v>
      </c>
      <c r="V589" s="327">
        <f t="shared" si="336"/>
        <v>0</v>
      </c>
      <c r="W589" s="327">
        <f t="shared" si="337"/>
        <v>0</v>
      </c>
      <c r="X589" s="65">
        <f t="shared" si="333"/>
        <v>0</v>
      </c>
      <c r="Y589" s="235">
        <f t="shared" si="338"/>
        <v>0</v>
      </c>
    </row>
    <row r="590" spans="2:25" s="222" customFormat="1" ht="12.75" customHeight="1" x14ac:dyDescent="0.2">
      <c r="B590" s="32"/>
      <c r="C590" s="32"/>
      <c r="D590" s="20"/>
      <c r="E590" s="60"/>
      <c r="F590" s="60"/>
      <c r="G590" s="32"/>
      <c r="H590" s="28"/>
      <c r="I590" s="28"/>
      <c r="J590" s="45"/>
      <c r="K590" s="36"/>
      <c r="L590" s="36"/>
      <c r="M590" s="20"/>
      <c r="N590" s="45"/>
      <c r="O590" s="20"/>
      <c r="P590" s="189"/>
      <c r="Q590" s="45"/>
      <c r="R590" s="20"/>
      <c r="T590" s="327">
        <f t="shared" si="334"/>
        <v>0</v>
      </c>
      <c r="U590" s="327">
        <f t="shared" si="335"/>
        <v>0</v>
      </c>
      <c r="V590" s="327">
        <f t="shared" si="336"/>
        <v>0</v>
      </c>
      <c r="W590" s="327">
        <f t="shared" si="337"/>
        <v>0</v>
      </c>
      <c r="X590" s="65">
        <f t="shared" si="333"/>
        <v>0</v>
      </c>
      <c r="Y590" s="235">
        <f t="shared" si="338"/>
        <v>0</v>
      </c>
    </row>
    <row r="591" spans="2:25" s="222" customFormat="1" ht="12.75" customHeight="1" x14ac:dyDescent="0.2">
      <c r="B591" s="32"/>
      <c r="C591" s="32"/>
      <c r="D591" s="20"/>
      <c r="E591" s="60"/>
      <c r="F591" s="60"/>
      <c r="G591" s="32"/>
      <c r="H591" s="28"/>
      <c r="I591" s="28"/>
      <c r="J591" s="45"/>
      <c r="K591" s="36"/>
      <c r="L591" s="36"/>
      <c r="M591" s="20"/>
      <c r="N591" s="45"/>
      <c r="O591" s="20"/>
      <c r="P591" s="189"/>
      <c r="Q591" s="45"/>
      <c r="R591" s="20"/>
      <c r="T591" s="327">
        <f t="shared" si="334"/>
        <v>0</v>
      </c>
      <c r="U591" s="327">
        <f t="shared" si="335"/>
        <v>0</v>
      </c>
      <c r="V591" s="327">
        <f t="shared" si="336"/>
        <v>0</v>
      </c>
      <c r="W591" s="327">
        <f t="shared" si="337"/>
        <v>0</v>
      </c>
      <c r="X591" s="65">
        <f t="shared" si="333"/>
        <v>0</v>
      </c>
      <c r="Y591" s="235">
        <f t="shared" si="338"/>
        <v>0</v>
      </c>
    </row>
    <row r="592" spans="2:25" s="222" customFormat="1" ht="12.75" customHeight="1" x14ac:dyDescent="0.2">
      <c r="B592" s="32"/>
      <c r="C592" s="32"/>
      <c r="D592" s="20"/>
      <c r="E592" s="60"/>
      <c r="F592" s="60"/>
      <c r="G592" s="32"/>
      <c r="H592" s="28"/>
      <c r="I592" s="28"/>
      <c r="J592" s="45"/>
      <c r="K592" s="36"/>
      <c r="L592" s="36"/>
      <c r="M592" s="20"/>
      <c r="N592" s="45"/>
      <c r="O592" s="20"/>
      <c r="P592" s="189"/>
      <c r="Q592" s="45"/>
      <c r="R592" s="20"/>
      <c r="T592" s="327">
        <f t="shared" si="334"/>
        <v>0</v>
      </c>
      <c r="U592" s="327">
        <f t="shared" si="335"/>
        <v>0</v>
      </c>
      <c r="V592" s="327">
        <f t="shared" si="336"/>
        <v>0</v>
      </c>
      <c r="W592" s="327">
        <f t="shared" si="337"/>
        <v>0</v>
      </c>
      <c r="X592" s="65">
        <f t="shared" si="333"/>
        <v>0</v>
      </c>
      <c r="Y592" s="235">
        <f t="shared" si="338"/>
        <v>0</v>
      </c>
    </row>
    <row r="593" spans="2:25" s="222" customFormat="1" ht="12.75" customHeight="1" x14ac:dyDescent="0.2">
      <c r="B593" s="32"/>
      <c r="C593" s="32"/>
      <c r="D593" s="20"/>
      <c r="E593" s="60"/>
      <c r="F593" s="60"/>
      <c r="G593" s="32"/>
      <c r="H593" s="28"/>
      <c r="I593" s="28"/>
      <c r="J593" s="45"/>
      <c r="K593" s="36"/>
      <c r="L593" s="36"/>
      <c r="M593" s="20"/>
      <c r="N593" s="45"/>
      <c r="O593" s="20"/>
      <c r="P593" s="189"/>
      <c r="Q593" s="45"/>
      <c r="R593" s="20"/>
      <c r="T593" s="327">
        <f t="shared" si="334"/>
        <v>0</v>
      </c>
      <c r="U593" s="327">
        <f t="shared" si="335"/>
        <v>0</v>
      </c>
      <c r="V593" s="327">
        <f t="shared" si="336"/>
        <v>0</v>
      </c>
      <c r="W593" s="327">
        <f t="shared" si="337"/>
        <v>0</v>
      </c>
      <c r="X593" s="65">
        <f t="shared" si="333"/>
        <v>0</v>
      </c>
      <c r="Y593" s="235">
        <f t="shared" si="338"/>
        <v>0</v>
      </c>
    </row>
    <row r="594" spans="2:25" s="222" customFormat="1" ht="12.75" customHeight="1" x14ac:dyDescent="0.2">
      <c r="B594" s="32"/>
      <c r="C594" s="32"/>
      <c r="D594" s="20"/>
      <c r="E594" s="60"/>
      <c r="F594" s="60"/>
      <c r="G594" s="32"/>
      <c r="H594" s="28"/>
      <c r="I594" s="28"/>
      <c r="J594" s="45"/>
      <c r="K594" s="36"/>
      <c r="L594" s="36"/>
      <c r="M594" s="20"/>
      <c r="N594" s="45"/>
      <c r="O594" s="20"/>
      <c r="P594" s="189"/>
      <c r="Q594" s="45"/>
      <c r="R594" s="20"/>
      <c r="T594" s="327">
        <f t="shared" si="334"/>
        <v>0</v>
      </c>
      <c r="U594" s="327">
        <f t="shared" si="335"/>
        <v>0</v>
      </c>
      <c r="V594" s="327">
        <f t="shared" si="336"/>
        <v>0</v>
      </c>
      <c r="W594" s="327">
        <f t="shared" si="337"/>
        <v>0</v>
      </c>
      <c r="X594" s="65">
        <f t="shared" si="333"/>
        <v>0</v>
      </c>
      <c r="Y594" s="235">
        <f t="shared" si="338"/>
        <v>0</v>
      </c>
    </row>
    <row r="595" spans="2:25" s="222" customFormat="1" ht="12.75" customHeight="1" x14ac:dyDescent="0.2">
      <c r="B595" s="32"/>
      <c r="C595" s="32"/>
      <c r="D595" s="20"/>
      <c r="E595" s="60"/>
      <c r="F595" s="60"/>
      <c r="G595" s="32"/>
      <c r="H595" s="28"/>
      <c r="I595" s="28"/>
      <c r="J595" s="45"/>
      <c r="K595" s="36"/>
      <c r="L595" s="36"/>
      <c r="M595" s="20"/>
      <c r="N595" s="45"/>
      <c r="O595" s="20"/>
      <c r="P595" s="189"/>
      <c r="Q595" s="45"/>
      <c r="R595" s="20"/>
      <c r="T595" s="327">
        <f t="shared" si="334"/>
        <v>0</v>
      </c>
      <c r="U595" s="327">
        <f t="shared" si="335"/>
        <v>0</v>
      </c>
      <c r="V595" s="327">
        <f t="shared" si="336"/>
        <v>0</v>
      </c>
      <c r="W595" s="327">
        <f t="shared" si="337"/>
        <v>0</v>
      </c>
      <c r="X595" s="65">
        <f t="shared" si="333"/>
        <v>0</v>
      </c>
      <c r="Y595" s="235">
        <f t="shared" si="338"/>
        <v>0</v>
      </c>
    </row>
    <row r="596" spans="2:25" s="222" customFormat="1" ht="12.75" customHeight="1" x14ac:dyDescent="0.2">
      <c r="B596" s="32"/>
      <c r="C596" s="32"/>
      <c r="D596" s="20"/>
      <c r="E596" s="60"/>
      <c r="F596" s="60"/>
      <c r="G596" s="32"/>
      <c r="H596" s="28"/>
      <c r="I596" s="28"/>
      <c r="J596" s="45"/>
      <c r="K596" s="36"/>
      <c r="L596" s="36"/>
      <c r="M596" s="20"/>
      <c r="N596" s="45"/>
      <c r="O596" s="20"/>
      <c r="P596" s="189"/>
      <c r="Q596" s="45"/>
      <c r="R596" s="20"/>
      <c r="T596" s="327">
        <f t="shared" si="334"/>
        <v>0</v>
      </c>
      <c r="U596" s="327">
        <f t="shared" si="335"/>
        <v>0</v>
      </c>
      <c r="V596" s="327">
        <f t="shared" si="336"/>
        <v>0</v>
      </c>
      <c r="W596" s="327">
        <f t="shared" si="337"/>
        <v>0</v>
      </c>
      <c r="X596" s="65">
        <f t="shared" si="333"/>
        <v>0</v>
      </c>
      <c r="Y596" s="235">
        <f t="shared" si="338"/>
        <v>0</v>
      </c>
    </row>
    <row r="597" spans="2:25" s="222" customFormat="1" ht="12.75" customHeight="1" x14ac:dyDescent="0.2">
      <c r="B597" s="32"/>
      <c r="C597" s="32"/>
      <c r="D597" s="20"/>
      <c r="E597" s="60"/>
      <c r="F597" s="60"/>
      <c r="G597" s="32"/>
      <c r="H597" s="28"/>
      <c r="I597" s="28"/>
      <c r="J597" s="45"/>
      <c r="K597" s="36"/>
      <c r="L597" s="36"/>
      <c r="M597" s="20"/>
      <c r="N597" s="45"/>
      <c r="O597" s="20"/>
      <c r="P597" s="189"/>
      <c r="Q597" s="45"/>
      <c r="R597" s="20"/>
      <c r="T597" s="327">
        <f t="shared" si="334"/>
        <v>0</v>
      </c>
      <c r="U597" s="327">
        <f t="shared" si="335"/>
        <v>0</v>
      </c>
      <c r="V597" s="327">
        <f t="shared" si="336"/>
        <v>0</v>
      </c>
      <c r="W597" s="327">
        <f t="shared" si="337"/>
        <v>0</v>
      </c>
      <c r="X597" s="65">
        <f t="shared" ref="X597:X660" si="339">SUM(T597:W597)</f>
        <v>0</v>
      </c>
      <c r="Y597" s="235">
        <f t="shared" si="338"/>
        <v>0</v>
      </c>
    </row>
    <row r="598" spans="2:25" s="222" customFormat="1" ht="12.75" customHeight="1" x14ac:dyDescent="0.2">
      <c r="B598" s="32"/>
      <c r="C598" s="32"/>
      <c r="D598" s="20"/>
      <c r="E598" s="60"/>
      <c r="F598" s="60"/>
      <c r="G598" s="32"/>
      <c r="H598" s="28"/>
      <c r="I598" s="28"/>
      <c r="J598" s="45"/>
      <c r="K598" s="36"/>
      <c r="L598" s="36"/>
      <c r="M598" s="20"/>
      <c r="N598" s="45"/>
      <c r="O598" s="20"/>
      <c r="P598" s="189"/>
      <c r="Q598" s="45"/>
      <c r="R598" s="20"/>
      <c r="T598" s="327">
        <f t="shared" si="334"/>
        <v>0</v>
      </c>
      <c r="U598" s="327">
        <f t="shared" si="335"/>
        <v>0</v>
      </c>
      <c r="V598" s="327">
        <f t="shared" si="336"/>
        <v>0</v>
      </c>
      <c r="W598" s="327">
        <f t="shared" si="337"/>
        <v>0</v>
      </c>
      <c r="X598" s="65">
        <f t="shared" si="339"/>
        <v>0</v>
      </c>
      <c r="Y598" s="235">
        <f t="shared" si="338"/>
        <v>0</v>
      </c>
    </row>
    <row r="599" spans="2:25" s="222" customFormat="1" ht="12.75" customHeight="1" x14ac:dyDescent="0.2">
      <c r="B599" s="32"/>
      <c r="C599" s="32"/>
      <c r="D599" s="20"/>
      <c r="E599" s="60"/>
      <c r="F599" s="60"/>
      <c r="G599" s="32"/>
      <c r="H599" s="28"/>
      <c r="I599" s="28"/>
      <c r="J599" s="45"/>
      <c r="K599" s="36"/>
      <c r="L599" s="36"/>
      <c r="M599" s="20"/>
      <c r="N599" s="45"/>
      <c r="O599" s="20"/>
      <c r="P599" s="189"/>
      <c r="Q599" s="45"/>
      <c r="R599" s="20"/>
      <c r="T599" s="327">
        <f t="shared" si="334"/>
        <v>0</v>
      </c>
      <c r="U599" s="327">
        <f t="shared" si="335"/>
        <v>0</v>
      </c>
      <c r="V599" s="327">
        <f t="shared" si="336"/>
        <v>0</v>
      </c>
      <c r="W599" s="327">
        <f t="shared" si="337"/>
        <v>0</v>
      </c>
      <c r="X599" s="65">
        <f t="shared" si="339"/>
        <v>0</v>
      </c>
      <c r="Y599" s="235">
        <f t="shared" si="338"/>
        <v>0</v>
      </c>
    </row>
    <row r="600" spans="2:25" s="222" customFormat="1" ht="12.75" customHeight="1" x14ac:dyDescent="0.2">
      <c r="B600" s="32"/>
      <c r="C600" s="32"/>
      <c r="D600" s="20"/>
      <c r="E600" s="60"/>
      <c r="F600" s="60"/>
      <c r="G600" s="32"/>
      <c r="H600" s="28"/>
      <c r="I600" s="28"/>
      <c r="J600" s="45"/>
      <c r="K600" s="36"/>
      <c r="L600" s="36"/>
      <c r="M600" s="20"/>
      <c r="N600" s="45"/>
      <c r="O600" s="20"/>
      <c r="P600" s="189"/>
      <c r="Q600" s="45"/>
      <c r="R600" s="20"/>
      <c r="T600" s="327">
        <f t="shared" si="334"/>
        <v>0</v>
      </c>
      <c r="U600" s="327">
        <f t="shared" si="335"/>
        <v>0</v>
      </c>
      <c r="V600" s="327">
        <f t="shared" si="336"/>
        <v>0</v>
      </c>
      <c r="W600" s="327">
        <f t="shared" si="337"/>
        <v>0</v>
      </c>
      <c r="X600" s="65">
        <f t="shared" si="339"/>
        <v>0</v>
      </c>
      <c r="Y600" s="235">
        <f t="shared" si="338"/>
        <v>0</v>
      </c>
    </row>
    <row r="601" spans="2:25" s="222" customFormat="1" ht="12.75" customHeight="1" x14ac:dyDescent="0.2">
      <c r="B601" s="32"/>
      <c r="C601" s="32"/>
      <c r="D601" s="20"/>
      <c r="E601" s="60"/>
      <c r="F601" s="60"/>
      <c r="G601" s="32"/>
      <c r="H601" s="28"/>
      <c r="I601" s="28"/>
      <c r="J601" s="45"/>
      <c r="K601" s="36"/>
      <c r="L601" s="36"/>
      <c r="M601" s="20"/>
      <c r="N601" s="45"/>
      <c r="O601" s="20"/>
      <c r="P601" s="189"/>
      <c r="Q601" s="45"/>
      <c r="R601" s="20"/>
      <c r="T601" s="327">
        <f t="shared" si="334"/>
        <v>0</v>
      </c>
      <c r="U601" s="327">
        <f t="shared" si="335"/>
        <v>0</v>
      </c>
      <c r="V601" s="327">
        <f t="shared" si="336"/>
        <v>0</v>
      </c>
      <c r="W601" s="327">
        <f t="shared" si="337"/>
        <v>0</v>
      </c>
      <c r="X601" s="65">
        <f t="shared" si="339"/>
        <v>0</v>
      </c>
      <c r="Y601" s="235">
        <f t="shared" si="338"/>
        <v>0</v>
      </c>
    </row>
    <row r="602" spans="2:25" s="222" customFormat="1" ht="12.75" customHeight="1" x14ac:dyDescent="0.2">
      <c r="B602" s="32"/>
      <c r="C602" s="32"/>
      <c r="D602" s="20"/>
      <c r="E602" s="60"/>
      <c r="F602" s="60"/>
      <c r="G602" s="32"/>
      <c r="H602" s="28"/>
      <c r="I602" s="28"/>
      <c r="J602" s="45"/>
      <c r="K602" s="36"/>
      <c r="L602" s="36"/>
      <c r="M602" s="20"/>
      <c r="N602" s="45"/>
      <c r="O602" s="20"/>
      <c r="P602" s="189"/>
      <c r="Q602" s="45"/>
      <c r="R602" s="20"/>
      <c r="T602" s="327">
        <f t="shared" si="334"/>
        <v>0</v>
      </c>
      <c r="U602" s="327">
        <f t="shared" si="335"/>
        <v>0</v>
      </c>
      <c r="V602" s="327">
        <f t="shared" si="336"/>
        <v>0</v>
      </c>
      <c r="W602" s="327">
        <f t="shared" si="337"/>
        <v>0</v>
      </c>
      <c r="X602" s="65">
        <f t="shared" si="339"/>
        <v>0</v>
      </c>
      <c r="Y602" s="235">
        <f t="shared" si="338"/>
        <v>0</v>
      </c>
    </row>
    <row r="603" spans="2:25" s="222" customFormat="1" ht="12.75" customHeight="1" x14ac:dyDescent="0.2">
      <c r="B603" s="32"/>
      <c r="C603" s="32"/>
      <c r="D603" s="20"/>
      <c r="E603" s="60"/>
      <c r="F603" s="60"/>
      <c r="G603" s="32"/>
      <c r="H603" s="28"/>
      <c r="I603" s="28"/>
      <c r="J603" s="45"/>
      <c r="K603" s="36"/>
      <c r="L603" s="36"/>
      <c r="M603" s="20"/>
      <c r="N603" s="45"/>
      <c r="O603" s="20"/>
      <c r="P603" s="189"/>
      <c r="Q603" s="45"/>
      <c r="R603" s="20"/>
      <c r="T603" s="327">
        <f t="shared" si="334"/>
        <v>0</v>
      </c>
      <c r="U603" s="327">
        <f t="shared" si="335"/>
        <v>0</v>
      </c>
      <c r="V603" s="327">
        <f t="shared" si="336"/>
        <v>0</v>
      </c>
      <c r="W603" s="327">
        <f t="shared" si="337"/>
        <v>0</v>
      </c>
      <c r="X603" s="65">
        <f t="shared" si="339"/>
        <v>0</v>
      </c>
      <c r="Y603" s="235">
        <f t="shared" si="338"/>
        <v>0</v>
      </c>
    </row>
    <row r="604" spans="2:25" s="222" customFormat="1" ht="12.75" customHeight="1" x14ac:dyDescent="0.2">
      <c r="B604" s="32"/>
      <c r="C604" s="32"/>
      <c r="D604" s="20"/>
      <c r="E604" s="60"/>
      <c r="F604" s="60"/>
      <c r="G604" s="32"/>
      <c r="H604" s="28"/>
      <c r="I604" s="28"/>
      <c r="J604" s="45"/>
      <c r="K604" s="36"/>
      <c r="L604" s="36"/>
      <c r="M604" s="20"/>
      <c r="N604" s="45"/>
      <c r="O604" s="20"/>
      <c r="P604" s="189"/>
      <c r="Q604" s="45"/>
      <c r="R604" s="20"/>
      <c r="T604" s="327">
        <f t="shared" si="334"/>
        <v>0</v>
      </c>
      <c r="U604" s="327">
        <f t="shared" si="335"/>
        <v>0</v>
      </c>
      <c r="V604" s="327">
        <f t="shared" si="336"/>
        <v>0</v>
      </c>
      <c r="W604" s="327">
        <f t="shared" si="337"/>
        <v>0</v>
      </c>
      <c r="X604" s="65">
        <f t="shared" si="339"/>
        <v>0</v>
      </c>
      <c r="Y604" s="235">
        <f t="shared" si="338"/>
        <v>0</v>
      </c>
    </row>
    <row r="605" spans="2:25" s="222" customFormat="1" ht="12.75" customHeight="1" x14ac:dyDescent="0.2">
      <c r="B605" s="32"/>
      <c r="C605" s="32"/>
      <c r="D605" s="20"/>
      <c r="E605" s="60"/>
      <c r="F605" s="60"/>
      <c r="G605" s="32"/>
      <c r="H605" s="28"/>
      <c r="I605" s="28"/>
      <c r="J605" s="45"/>
      <c r="K605" s="36"/>
      <c r="L605" s="36"/>
      <c r="M605" s="20"/>
      <c r="N605" s="45"/>
      <c r="O605" s="20"/>
      <c r="P605" s="189"/>
      <c r="Q605" s="45"/>
      <c r="R605" s="20"/>
      <c r="T605" s="327">
        <f t="shared" si="334"/>
        <v>0</v>
      </c>
      <c r="U605" s="327">
        <f t="shared" si="335"/>
        <v>0</v>
      </c>
      <c r="V605" s="327">
        <f t="shared" si="336"/>
        <v>0</v>
      </c>
      <c r="W605" s="327">
        <f t="shared" si="337"/>
        <v>0</v>
      </c>
      <c r="X605" s="65">
        <f t="shared" si="339"/>
        <v>0</v>
      </c>
      <c r="Y605" s="235">
        <f t="shared" si="338"/>
        <v>0</v>
      </c>
    </row>
    <row r="606" spans="2:25" s="222" customFormat="1" ht="12.75" customHeight="1" x14ac:dyDescent="0.2">
      <c r="B606" s="32"/>
      <c r="C606" s="32"/>
      <c r="D606" s="20"/>
      <c r="E606" s="60"/>
      <c r="F606" s="60"/>
      <c r="G606" s="32"/>
      <c r="H606" s="28"/>
      <c r="I606" s="28"/>
      <c r="J606" s="45"/>
      <c r="K606" s="36"/>
      <c r="L606" s="36"/>
      <c r="M606" s="20"/>
      <c r="N606" s="45"/>
      <c r="O606" s="20"/>
      <c r="P606" s="189"/>
      <c r="Q606" s="45"/>
      <c r="R606" s="20"/>
      <c r="T606" s="327">
        <f t="shared" si="334"/>
        <v>0</v>
      </c>
      <c r="U606" s="327">
        <f t="shared" si="335"/>
        <v>0</v>
      </c>
      <c r="V606" s="327">
        <f t="shared" si="336"/>
        <v>0</v>
      </c>
      <c r="W606" s="327">
        <f t="shared" si="337"/>
        <v>0</v>
      </c>
      <c r="X606" s="65">
        <f t="shared" si="339"/>
        <v>0</v>
      </c>
      <c r="Y606" s="235">
        <f t="shared" si="338"/>
        <v>0</v>
      </c>
    </row>
    <row r="607" spans="2:25" s="222" customFormat="1" ht="12.75" customHeight="1" x14ac:dyDescent="0.2">
      <c r="B607" s="32"/>
      <c r="C607" s="32"/>
      <c r="D607" s="20"/>
      <c r="E607" s="60"/>
      <c r="F607" s="60"/>
      <c r="G607" s="32"/>
      <c r="H607" s="28"/>
      <c r="I607" s="28"/>
      <c r="J607" s="45"/>
      <c r="K607" s="36"/>
      <c r="L607" s="36"/>
      <c r="M607" s="20"/>
      <c r="N607" s="45"/>
      <c r="O607" s="20"/>
      <c r="P607" s="189"/>
      <c r="Q607" s="45"/>
      <c r="R607" s="20"/>
      <c r="T607" s="327">
        <f t="shared" si="334"/>
        <v>0</v>
      </c>
      <c r="U607" s="327">
        <f t="shared" si="335"/>
        <v>0</v>
      </c>
      <c r="V607" s="327">
        <f t="shared" si="336"/>
        <v>0</v>
      </c>
      <c r="W607" s="327">
        <f t="shared" si="337"/>
        <v>0</v>
      </c>
      <c r="X607" s="65">
        <f t="shared" si="339"/>
        <v>0</v>
      </c>
      <c r="Y607" s="235">
        <f t="shared" si="338"/>
        <v>0</v>
      </c>
    </row>
    <row r="608" spans="2:25" s="222" customFormat="1" ht="12.75" customHeight="1" x14ac:dyDescent="0.2">
      <c r="B608" s="32"/>
      <c r="C608" s="32"/>
      <c r="D608" s="20"/>
      <c r="E608" s="60"/>
      <c r="F608" s="60"/>
      <c r="G608" s="32"/>
      <c r="H608" s="28"/>
      <c r="I608" s="28"/>
      <c r="J608" s="45"/>
      <c r="K608" s="36"/>
      <c r="L608" s="36"/>
      <c r="M608" s="20"/>
      <c r="N608" s="45"/>
      <c r="O608" s="20"/>
      <c r="P608" s="320"/>
      <c r="Q608" s="45"/>
      <c r="R608" s="20"/>
      <c r="T608" s="327">
        <f t="shared" si="334"/>
        <v>0</v>
      </c>
      <c r="U608" s="327">
        <f t="shared" si="335"/>
        <v>0</v>
      </c>
      <c r="V608" s="327">
        <f t="shared" si="336"/>
        <v>0</v>
      </c>
      <c r="W608" s="327">
        <f t="shared" si="337"/>
        <v>0</v>
      </c>
      <c r="X608" s="65">
        <f t="shared" si="339"/>
        <v>0</v>
      </c>
      <c r="Y608" s="235">
        <f t="shared" si="338"/>
        <v>0</v>
      </c>
    </row>
    <row r="609" spans="2:25" s="222" customFormat="1" ht="12.75" customHeight="1" x14ac:dyDescent="0.2">
      <c r="B609" s="32"/>
      <c r="C609" s="32"/>
      <c r="D609" s="20"/>
      <c r="E609" s="60"/>
      <c r="F609" s="60"/>
      <c r="G609" s="32"/>
      <c r="H609" s="28"/>
      <c r="I609" s="28"/>
      <c r="J609" s="45"/>
      <c r="K609" s="36"/>
      <c r="L609" s="36"/>
      <c r="M609" s="20"/>
      <c r="N609" s="45"/>
      <c r="O609" s="20"/>
      <c r="P609" s="320"/>
      <c r="Q609" s="45"/>
      <c r="R609" s="20"/>
      <c r="T609" s="327">
        <f t="shared" si="334"/>
        <v>0</v>
      </c>
      <c r="U609" s="327">
        <f t="shared" si="335"/>
        <v>0</v>
      </c>
      <c r="V609" s="327">
        <f t="shared" si="336"/>
        <v>0</v>
      </c>
      <c r="W609" s="327">
        <f t="shared" si="337"/>
        <v>0</v>
      </c>
      <c r="X609" s="65">
        <f t="shared" si="339"/>
        <v>0</v>
      </c>
      <c r="Y609" s="235">
        <f t="shared" si="338"/>
        <v>0</v>
      </c>
    </row>
    <row r="610" spans="2:25" s="222" customFormat="1" ht="12.75" customHeight="1" x14ac:dyDescent="0.2">
      <c r="B610" s="32"/>
      <c r="C610" s="32"/>
      <c r="D610" s="20"/>
      <c r="E610" s="60"/>
      <c r="F610" s="60"/>
      <c r="G610" s="32"/>
      <c r="H610" s="28"/>
      <c r="I610" s="28"/>
      <c r="J610" s="45"/>
      <c r="K610" s="36"/>
      <c r="L610" s="36"/>
      <c r="M610" s="20"/>
      <c r="N610" s="45"/>
      <c r="O610" s="20"/>
      <c r="P610" s="320"/>
      <c r="Q610" s="45"/>
      <c r="R610" s="20"/>
      <c r="T610" s="327">
        <f t="shared" si="334"/>
        <v>0</v>
      </c>
      <c r="U610" s="327">
        <f t="shared" si="335"/>
        <v>0</v>
      </c>
      <c r="V610" s="327">
        <f t="shared" si="336"/>
        <v>0</v>
      </c>
      <c r="W610" s="327">
        <f t="shared" si="337"/>
        <v>0</v>
      </c>
      <c r="X610" s="65">
        <f t="shared" si="339"/>
        <v>0</v>
      </c>
      <c r="Y610" s="235">
        <f t="shared" si="338"/>
        <v>0</v>
      </c>
    </row>
    <row r="611" spans="2:25" s="222" customFormat="1" ht="12.75" customHeight="1" x14ac:dyDescent="0.2">
      <c r="B611" s="32"/>
      <c r="C611" s="32"/>
      <c r="D611" s="20"/>
      <c r="E611" s="60"/>
      <c r="F611" s="60"/>
      <c r="G611" s="32"/>
      <c r="H611" s="28"/>
      <c r="I611" s="28"/>
      <c r="J611" s="20"/>
      <c r="K611" s="36"/>
      <c r="L611" s="36"/>
      <c r="M611" s="20"/>
      <c r="N611" s="45"/>
      <c r="O611" s="20"/>
      <c r="P611" s="189"/>
      <c r="Q611" s="45"/>
      <c r="R611" s="20"/>
      <c r="T611" s="327">
        <f t="shared" si="334"/>
        <v>0</v>
      </c>
      <c r="U611" s="327">
        <f t="shared" si="335"/>
        <v>0</v>
      </c>
      <c r="V611" s="327">
        <f t="shared" si="336"/>
        <v>0</v>
      </c>
      <c r="W611" s="327">
        <f t="shared" si="337"/>
        <v>0</v>
      </c>
      <c r="X611" s="65">
        <f t="shared" si="339"/>
        <v>0</v>
      </c>
      <c r="Y611" s="235">
        <f t="shared" si="338"/>
        <v>0</v>
      </c>
    </row>
    <row r="612" spans="2:25" s="222" customFormat="1" ht="12.75" customHeight="1" x14ac:dyDescent="0.2">
      <c r="B612" s="32"/>
      <c r="C612" s="32"/>
      <c r="D612" s="20"/>
      <c r="E612" s="60"/>
      <c r="F612" s="60"/>
      <c r="G612" s="32"/>
      <c r="H612" s="28"/>
      <c r="I612" s="28"/>
      <c r="J612" s="20"/>
      <c r="K612" s="36"/>
      <c r="L612" s="36"/>
      <c r="M612" s="20"/>
      <c r="N612" s="45"/>
      <c r="O612" s="20"/>
      <c r="P612" s="189"/>
      <c r="Q612" s="45"/>
      <c r="R612" s="20"/>
      <c r="T612" s="327">
        <f t="shared" si="334"/>
        <v>0</v>
      </c>
      <c r="U612" s="327">
        <f t="shared" si="335"/>
        <v>0</v>
      </c>
      <c r="V612" s="327">
        <f t="shared" si="336"/>
        <v>0</v>
      </c>
      <c r="W612" s="327">
        <f t="shared" si="337"/>
        <v>0</v>
      </c>
      <c r="X612" s="65">
        <f t="shared" si="339"/>
        <v>0</v>
      </c>
      <c r="Y612" s="235">
        <f t="shared" si="338"/>
        <v>0</v>
      </c>
    </row>
    <row r="613" spans="2:25" s="222" customFormat="1" ht="12.75" customHeight="1" x14ac:dyDescent="0.2">
      <c r="B613" s="32"/>
      <c r="C613" s="32"/>
      <c r="D613" s="20"/>
      <c r="E613" s="60"/>
      <c r="F613" s="60"/>
      <c r="G613" s="32"/>
      <c r="H613" s="28"/>
      <c r="I613" s="28"/>
      <c r="J613" s="20"/>
      <c r="K613" s="36"/>
      <c r="L613" s="36"/>
      <c r="M613" s="20"/>
      <c r="N613" s="45"/>
      <c r="O613" s="20"/>
      <c r="P613" s="189"/>
      <c r="Q613" s="45"/>
      <c r="R613" s="20"/>
      <c r="T613" s="327">
        <f t="shared" si="334"/>
        <v>0</v>
      </c>
      <c r="U613" s="327">
        <f t="shared" si="335"/>
        <v>0</v>
      </c>
      <c r="V613" s="327">
        <f t="shared" si="336"/>
        <v>0</v>
      </c>
      <c r="W613" s="327">
        <f t="shared" si="337"/>
        <v>0</v>
      </c>
      <c r="X613" s="65">
        <f t="shared" si="339"/>
        <v>0</v>
      </c>
      <c r="Y613" s="235">
        <f t="shared" si="338"/>
        <v>0</v>
      </c>
    </row>
    <row r="614" spans="2:25" s="222" customFormat="1" ht="12.75" customHeight="1" x14ac:dyDescent="0.2">
      <c r="B614" s="32"/>
      <c r="C614" s="32"/>
      <c r="D614" s="20"/>
      <c r="E614" s="60"/>
      <c r="F614" s="60"/>
      <c r="G614" s="32"/>
      <c r="H614" s="28"/>
      <c r="I614" s="28"/>
      <c r="J614" s="20"/>
      <c r="K614" s="36"/>
      <c r="L614" s="36"/>
      <c r="M614" s="20"/>
      <c r="N614" s="45"/>
      <c r="O614" s="20"/>
      <c r="P614" s="189"/>
      <c r="Q614" s="45"/>
      <c r="R614" s="20"/>
      <c r="T614" s="327">
        <f t="shared" si="334"/>
        <v>0</v>
      </c>
      <c r="U614" s="327">
        <f t="shared" si="335"/>
        <v>0</v>
      </c>
      <c r="V614" s="327">
        <f t="shared" si="336"/>
        <v>0</v>
      </c>
      <c r="W614" s="327">
        <f t="shared" si="337"/>
        <v>0</v>
      </c>
      <c r="X614" s="65">
        <f t="shared" si="339"/>
        <v>0</v>
      </c>
      <c r="Y614" s="235">
        <f t="shared" si="338"/>
        <v>0</v>
      </c>
    </row>
    <row r="615" spans="2:25" s="222" customFormat="1" ht="12.75" customHeight="1" x14ac:dyDescent="0.2">
      <c r="B615" s="32"/>
      <c r="C615" s="32"/>
      <c r="D615" s="20"/>
      <c r="E615" s="60"/>
      <c r="F615" s="60"/>
      <c r="G615" s="32"/>
      <c r="H615" s="28"/>
      <c r="I615" s="28"/>
      <c r="J615" s="20"/>
      <c r="K615" s="36"/>
      <c r="L615" s="36"/>
      <c r="M615" s="20"/>
      <c r="N615" s="45"/>
      <c r="O615" s="20"/>
      <c r="P615" s="189"/>
      <c r="Q615" s="45"/>
      <c r="R615" s="20"/>
      <c r="T615" s="327">
        <f t="shared" si="334"/>
        <v>0</v>
      </c>
      <c r="U615" s="327">
        <f t="shared" si="335"/>
        <v>0</v>
      </c>
      <c r="V615" s="327">
        <f t="shared" si="336"/>
        <v>0</v>
      </c>
      <c r="W615" s="327">
        <f t="shared" si="337"/>
        <v>0</v>
      </c>
      <c r="X615" s="65">
        <f t="shared" si="339"/>
        <v>0</v>
      </c>
      <c r="Y615" s="235">
        <f t="shared" si="338"/>
        <v>0</v>
      </c>
    </row>
    <row r="616" spans="2:25" s="222" customFormat="1" ht="12.75" customHeight="1" x14ac:dyDescent="0.2">
      <c r="B616" s="32"/>
      <c r="C616" s="32"/>
      <c r="D616" s="20"/>
      <c r="E616" s="60"/>
      <c r="F616" s="60"/>
      <c r="G616" s="32"/>
      <c r="H616" s="28"/>
      <c r="I616" s="28"/>
      <c r="J616" s="20"/>
      <c r="K616" s="36"/>
      <c r="L616" s="36"/>
      <c r="M616" s="20"/>
      <c r="N616" s="45"/>
      <c r="O616" s="20"/>
      <c r="P616" s="320"/>
      <c r="Q616" s="45"/>
      <c r="R616" s="20"/>
      <c r="T616" s="327">
        <f t="shared" si="334"/>
        <v>0</v>
      </c>
      <c r="U616" s="327">
        <f t="shared" si="335"/>
        <v>0</v>
      </c>
      <c r="V616" s="327">
        <f t="shared" si="336"/>
        <v>0</v>
      </c>
      <c r="W616" s="327">
        <f t="shared" si="337"/>
        <v>0</v>
      </c>
      <c r="X616" s="65">
        <f t="shared" si="339"/>
        <v>0</v>
      </c>
      <c r="Y616" s="235">
        <f t="shared" si="338"/>
        <v>0</v>
      </c>
    </row>
    <row r="617" spans="2:25" s="222" customFormat="1" ht="12.75" customHeight="1" x14ac:dyDescent="0.2">
      <c r="B617" s="32"/>
      <c r="C617" s="32"/>
      <c r="D617" s="20"/>
      <c r="E617" s="60"/>
      <c r="F617" s="60"/>
      <c r="G617" s="32"/>
      <c r="H617" s="28"/>
      <c r="I617" s="28"/>
      <c r="J617" s="20"/>
      <c r="K617" s="36"/>
      <c r="L617" s="36"/>
      <c r="M617" s="20"/>
      <c r="N617" s="45"/>
      <c r="O617" s="20"/>
      <c r="P617" s="189"/>
      <c r="Q617" s="45"/>
      <c r="R617" s="20"/>
      <c r="T617" s="327">
        <f t="shared" si="334"/>
        <v>0</v>
      </c>
      <c r="U617" s="327">
        <f t="shared" si="335"/>
        <v>0</v>
      </c>
      <c r="V617" s="327">
        <f t="shared" si="336"/>
        <v>0</v>
      </c>
      <c r="W617" s="327">
        <f t="shared" si="337"/>
        <v>0</v>
      </c>
      <c r="X617" s="65">
        <f t="shared" si="339"/>
        <v>0</v>
      </c>
      <c r="Y617" s="235">
        <f t="shared" si="338"/>
        <v>0</v>
      </c>
    </row>
    <row r="618" spans="2:25" s="222" customFormat="1" ht="12.75" customHeight="1" x14ac:dyDescent="0.2">
      <c r="B618" s="32"/>
      <c r="C618" s="32"/>
      <c r="D618" s="20"/>
      <c r="E618" s="60"/>
      <c r="F618" s="60"/>
      <c r="G618" s="32"/>
      <c r="H618" s="28"/>
      <c r="I618" s="28"/>
      <c r="J618" s="20"/>
      <c r="K618" s="36"/>
      <c r="L618" s="36"/>
      <c r="M618" s="20"/>
      <c r="N618" s="45"/>
      <c r="O618" s="20"/>
      <c r="P618" s="189"/>
      <c r="Q618" s="45"/>
      <c r="R618" s="20"/>
      <c r="T618" s="327">
        <f t="shared" si="334"/>
        <v>0</v>
      </c>
      <c r="U618" s="327">
        <f t="shared" si="335"/>
        <v>0</v>
      </c>
      <c r="V618" s="327">
        <f t="shared" si="336"/>
        <v>0</v>
      </c>
      <c r="W618" s="327">
        <f t="shared" si="337"/>
        <v>0</v>
      </c>
      <c r="X618" s="65">
        <f t="shared" si="339"/>
        <v>0</v>
      </c>
      <c r="Y618" s="235">
        <f t="shared" si="338"/>
        <v>0</v>
      </c>
    </row>
    <row r="619" spans="2:25" s="222" customFormat="1" ht="12.75" customHeight="1" x14ac:dyDescent="0.2">
      <c r="B619" s="32"/>
      <c r="C619" s="32"/>
      <c r="D619" s="20"/>
      <c r="E619" s="60"/>
      <c r="F619" s="60"/>
      <c r="G619" s="32"/>
      <c r="H619" s="28"/>
      <c r="I619" s="28"/>
      <c r="J619" s="20"/>
      <c r="K619" s="36"/>
      <c r="L619" s="36"/>
      <c r="M619" s="20"/>
      <c r="N619" s="45"/>
      <c r="O619" s="20"/>
      <c r="P619" s="189"/>
      <c r="Q619" s="45"/>
      <c r="R619" s="20"/>
      <c r="T619" s="327">
        <f t="shared" si="334"/>
        <v>0</v>
      </c>
      <c r="U619" s="327">
        <f t="shared" si="335"/>
        <v>0</v>
      </c>
      <c r="V619" s="327">
        <f t="shared" si="336"/>
        <v>0</v>
      </c>
      <c r="W619" s="327">
        <f t="shared" si="337"/>
        <v>0</v>
      </c>
      <c r="X619" s="65">
        <f t="shared" si="339"/>
        <v>0</v>
      </c>
      <c r="Y619" s="235">
        <f t="shared" si="338"/>
        <v>0</v>
      </c>
    </row>
    <row r="620" spans="2:25" s="222" customFormat="1" ht="12.75" customHeight="1" x14ac:dyDescent="0.2">
      <c r="B620" s="32"/>
      <c r="C620" s="32"/>
      <c r="D620" s="20"/>
      <c r="E620" s="60"/>
      <c r="F620" s="60"/>
      <c r="G620" s="32"/>
      <c r="H620" s="28"/>
      <c r="I620" s="28"/>
      <c r="J620" s="45"/>
      <c r="K620" s="36"/>
      <c r="L620" s="36"/>
      <c r="M620" s="20"/>
      <c r="N620" s="45"/>
      <c r="O620" s="20"/>
      <c r="P620" s="189"/>
      <c r="Q620" s="45"/>
      <c r="R620" s="20"/>
      <c r="T620" s="327">
        <f t="shared" si="334"/>
        <v>0</v>
      </c>
      <c r="U620" s="327">
        <f t="shared" si="335"/>
        <v>0</v>
      </c>
      <c r="V620" s="327">
        <f t="shared" si="336"/>
        <v>0</v>
      </c>
      <c r="W620" s="327">
        <f t="shared" si="337"/>
        <v>0</v>
      </c>
      <c r="X620" s="65">
        <f t="shared" si="339"/>
        <v>0</v>
      </c>
      <c r="Y620" s="235">
        <f t="shared" si="338"/>
        <v>0</v>
      </c>
    </row>
    <row r="621" spans="2:25" s="222" customFormat="1" ht="12.75" customHeight="1" x14ac:dyDescent="0.2">
      <c r="B621" s="32"/>
      <c r="C621" s="32"/>
      <c r="D621" s="20"/>
      <c r="E621" s="60"/>
      <c r="F621" s="60"/>
      <c r="G621" s="32"/>
      <c r="H621" s="28"/>
      <c r="I621" s="28"/>
      <c r="J621" s="45"/>
      <c r="K621" s="36"/>
      <c r="L621" s="36"/>
      <c r="M621" s="20"/>
      <c r="N621" s="45"/>
      <c r="O621" s="20"/>
      <c r="P621" s="189"/>
      <c r="Q621" s="45"/>
      <c r="R621" s="20"/>
      <c r="T621" s="327">
        <f t="shared" si="334"/>
        <v>0</v>
      </c>
      <c r="U621" s="327">
        <f t="shared" si="335"/>
        <v>0</v>
      </c>
      <c r="V621" s="327">
        <f t="shared" si="336"/>
        <v>0</v>
      </c>
      <c r="W621" s="327">
        <f t="shared" si="337"/>
        <v>0</v>
      </c>
      <c r="X621" s="65">
        <f t="shared" si="339"/>
        <v>0</v>
      </c>
      <c r="Y621" s="235">
        <f t="shared" si="338"/>
        <v>0</v>
      </c>
    </row>
    <row r="622" spans="2:25" s="222" customFormat="1" ht="12.75" customHeight="1" x14ac:dyDescent="0.2">
      <c r="B622" s="32"/>
      <c r="C622" s="32"/>
      <c r="D622" s="20"/>
      <c r="E622" s="60"/>
      <c r="F622" s="60"/>
      <c r="G622" s="32"/>
      <c r="H622" s="28"/>
      <c r="I622" s="28"/>
      <c r="J622" s="45"/>
      <c r="K622" s="36"/>
      <c r="L622" s="36"/>
      <c r="M622" s="20"/>
      <c r="N622" s="45"/>
      <c r="O622" s="20"/>
      <c r="P622" s="189"/>
      <c r="Q622" s="45"/>
      <c r="R622" s="20"/>
      <c r="T622" s="327">
        <f t="shared" si="334"/>
        <v>0</v>
      </c>
      <c r="U622" s="327">
        <f t="shared" si="335"/>
        <v>0</v>
      </c>
      <c r="V622" s="327">
        <f t="shared" si="336"/>
        <v>0</v>
      </c>
      <c r="W622" s="327">
        <f t="shared" si="337"/>
        <v>0</v>
      </c>
      <c r="X622" s="65">
        <f t="shared" si="339"/>
        <v>0</v>
      </c>
      <c r="Y622" s="235">
        <f t="shared" si="338"/>
        <v>0</v>
      </c>
    </row>
    <row r="623" spans="2:25" s="222" customFormat="1" ht="12.75" customHeight="1" x14ac:dyDescent="0.2">
      <c r="B623" s="32"/>
      <c r="C623" s="32"/>
      <c r="D623" s="20"/>
      <c r="E623" s="60"/>
      <c r="F623" s="60"/>
      <c r="G623" s="32"/>
      <c r="H623" s="28"/>
      <c r="I623" s="28"/>
      <c r="J623" s="45"/>
      <c r="K623" s="36"/>
      <c r="L623" s="36"/>
      <c r="M623" s="20"/>
      <c r="N623" s="45"/>
      <c r="O623" s="20"/>
      <c r="P623" s="189"/>
      <c r="Q623" s="45"/>
      <c r="R623" s="20"/>
      <c r="T623" s="327">
        <f t="shared" si="334"/>
        <v>0</v>
      </c>
      <c r="U623" s="327">
        <f t="shared" si="335"/>
        <v>0</v>
      </c>
      <c r="V623" s="327">
        <f t="shared" si="336"/>
        <v>0</v>
      </c>
      <c r="W623" s="327">
        <f t="shared" si="337"/>
        <v>0</v>
      </c>
      <c r="X623" s="65">
        <f t="shared" si="339"/>
        <v>0</v>
      </c>
      <c r="Y623" s="235">
        <f t="shared" si="338"/>
        <v>0</v>
      </c>
    </row>
    <row r="624" spans="2:25" s="222" customFormat="1" ht="12.75" customHeight="1" x14ac:dyDescent="0.2">
      <c r="B624" s="32"/>
      <c r="C624" s="32"/>
      <c r="D624" s="20"/>
      <c r="E624" s="60"/>
      <c r="F624" s="60"/>
      <c r="G624" s="32"/>
      <c r="H624" s="28"/>
      <c r="I624" s="28"/>
      <c r="J624" s="45"/>
      <c r="K624" s="36"/>
      <c r="L624" s="36"/>
      <c r="M624" s="20"/>
      <c r="N624" s="45"/>
      <c r="O624" s="20"/>
      <c r="P624" s="189"/>
      <c r="Q624" s="45"/>
      <c r="R624" s="20"/>
      <c r="T624" s="327">
        <f t="shared" si="334"/>
        <v>0</v>
      </c>
      <c r="U624" s="327">
        <f t="shared" si="335"/>
        <v>0</v>
      </c>
      <c r="V624" s="327">
        <f t="shared" si="336"/>
        <v>0</v>
      </c>
      <c r="W624" s="327">
        <f t="shared" si="337"/>
        <v>0</v>
      </c>
      <c r="X624" s="65">
        <f t="shared" si="339"/>
        <v>0</v>
      </c>
      <c r="Y624" s="235">
        <f t="shared" si="338"/>
        <v>0</v>
      </c>
    </row>
    <row r="625" spans="2:25" s="222" customFormat="1" ht="12.75" customHeight="1" x14ac:dyDescent="0.2">
      <c r="B625" s="32"/>
      <c r="C625" s="32"/>
      <c r="D625" s="20"/>
      <c r="E625" s="60"/>
      <c r="F625" s="60"/>
      <c r="G625" s="32"/>
      <c r="H625" s="28"/>
      <c r="I625" s="28"/>
      <c r="J625" s="45"/>
      <c r="K625" s="36"/>
      <c r="L625" s="36"/>
      <c r="M625" s="20"/>
      <c r="N625" s="45"/>
      <c r="O625" s="20"/>
      <c r="P625" s="320"/>
      <c r="Q625" s="45"/>
      <c r="R625" s="20"/>
      <c r="T625" s="327">
        <f t="shared" si="334"/>
        <v>0</v>
      </c>
      <c r="U625" s="327">
        <f t="shared" si="335"/>
        <v>0</v>
      </c>
      <c r="V625" s="327">
        <f t="shared" si="336"/>
        <v>0</v>
      </c>
      <c r="W625" s="327">
        <f t="shared" si="337"/>
        <v>0</v>
      </c>
      <c r="X625" s="65">
        <f t="shared" si="339"/>
        <v>0</v>
      </c>
      <c r="Y625" s="235">
        <f t="shared" si="338"/>
        <v>0</v>
      </c>
    </row>
    <row r="626" spans="2:25" s="222" customFormat="1" ht="12.75" customHeight="1" x14ac:dyDescent="0.2">
      <c r="B626" s="32"/>
      <c r="C626" s="32"/>
      <c r="D626" s="20"/>
      <c r="E626" s="60"/>
      <c r="F626" s="60"/>
      <c r="G626" s="32"/>
      <c r="H626" s="28"/>
      <c r="I626" s="28"/>
      <c r="J626" s="45"/>
      <c r="K626" s="36"/>
      <c r="L626" s="36"/>
      <c r="M626" s="20"/>
      <c r="N626" s="45"/>
      <c r="O626" s="20"/>
      <c r="P626" s="189"/>
      <c r="Q626" s="45"/>
      <c r="R626" s="20"/>
      <c r="T626" s="327">
        <f t="shared" si="334"/>
        <v>0</v>
      </c>
      <c r="U626" s="327">
        <f t="shared" si="335"/>
        <v>0</v>
      </c>
      <c r="V626" s="327">
        <f t="shared" si="336"/>
        <v>0</v>
      </c>
      <c r="W626" s="327">
        <f t="shared" si="337"/>
        <v>0</v>
      </c>
      <c r="X626" s="65">
        <f t="shared" si="339"/>
        <v>0</v>
      </c>
      <c r="Y626" s="235">
        <f t="shared" si="338"/>
        <v>0</v>
      </c>
    </row>
    <row r="627" spans="2:25" s="222" customFormat="1" ht="12.75" customHeight="1" x14ac:dyDescent="0.2">
      <c r="B627" s="32"/>
      <c r="C627" s="32"/>
      <c r="D627" s="20"/>
      <c r="E627" s="60"/>
      <c r="F627" s="60"/>
      <c r="G627" s="32"/>
      <c r="H627" s="28"/>
      <c r="I627" s="28"/>
      <c r="J627" s="20"/>
      <c r="K627" s="36"/>
      <c r="L627" s="36"/>
      <c r="M627" s="20"/>
      <c r="N627" s="20"/>
      <c r="O627" s="20"/>
      <c r="P627" s="189"/>
      <c r="Q627" s="45"/>
      <c r="R627" s="20"/>
      <c r="T627" s="327">
        <f t="shared" si="334"/>
        <v>0</v>
      </c>
      <c r="U627" s="327">
        <f t="shared" si="335"/>
        <v>0</v>
      </c>
      <c r="V627" s="327">
        <f t="shared" si="336"/>
        <v>0</v>
      </c>
      <c r="W627" s="327">
        <f t="shared" si="337"/>
        <v>0</v>
      </c>
      <c r="X627" s="65">
        <f t="shared" si="339"/>
        <v>0</v>
      </c>
      <c r="Y627" s="235">
        <f t="shared" si="338"/>
        <v>0</v>
      </c>
    </row>
    <row r="628" spans="2:25" s="222" customFormat="1" ht="12.75" customHeight="1" x14ac:dyDescent="0.2">
      <c r="B628" s="32"/>
      <c r="C628" s="32"/>
      <c r="D628" s="20"/>
      <c r="E628" s="60"/>
      <c r="F628" s="60"/>
      <c r="G628" s="32"/>
      <c r="H628" s="28"/>
      <c r="I628" s="28"/>
      <c r="J628" s="20"/>
      <c r="K628" s="36"/>
      <c r="L628" s="36"/>
      <c r="M628" s="20"/>
      <c r="N628" s="20"/>
      <c r="O628" s="20"/>
      <c r="P628" s="189"/>
      <c r="Q628" s="45"/>
      <c r="R628" s="20"/>
      <c r="T628" s="327">
        <f t="shared" si="334"/>
        <v>0</v>
      </c>
      <c r="U628" s="327">
        <f t="shared" si="335"/>
        <v>0</v>
      </c>
      <c r="V628" s="327">
        <f t="shared" si="336"/>
        <v>0</v>
      </c>
      <c r="W628" s="327">
        <f t="shared" si="337"/>
        <v>0</v>
      </c>
      <c r="X628" s="65">
        <f t="shared" si="339"/>
        <v>0</v>
      </c>
      <c r="Y628" s="235">
        <f t="shared" si="338"/>
        <v>0</v>
      </c>
    </row>
    <row r="629" spans="2:25" s="222" customFormat="1" ht="12.75" customHeight="1" x14ac:dyDescent="0.2">
      <c r="B629" s="32"/>
      <c r="C629" s="32"/>
      <c r="D629" s="20"/>
      <c r="E629" s="60"/>
      <c r="F629" s="60"/>
      <c r="G629" s="32"/>
      <c r="H629" s="28"/>
      <c r="I629" s="28"/>
      <c r="J629" s="20"/>
      <c r="K629" s="36"/>
      <c r="L629" s="36"/>
      <c r="M629" s="20"/>
      <c r="N629" s="20"/>
      <c r="O629" s="20"/>
      <c r="P629" s="189"/>
      <c r="Q629" s="45"/>
      <c r="R629" s="20"/>
      <c r="T629" s="327">
        <f t="shared" si="334"/>
        <v>0</v>
      </c>
      <c r="U629" s="327">
        <f t="shared" si="335"/>
        <v>0</v>
      </c>
      <c r="V629" s="327">
        <f t="shared" si="336"/>
        <v>0</v>
      </c>
      <c r="W629" s="327">
        <f t="shared" si="337"/>
        <v>0</v>
      </c>
      <c r="X629" s="65">
        <f t="shared" si="339"/>
        <v>0</v>
      </c>
      <c r="Y629" s="235">
        <f t="shared" si="338"/>
        <v>0</v>
      </c>
    </row>
    <row r="630" spans="2:25" s="222" customFormat="1" ht="12.75" customHeight="1" x14ac:dyDescent="0.2">
      <c r="B630" s="32"/>
      <c r="C630" s="32"/>
      <c r="D630" s="20"/>
      <c r="E630" s="60"/>
      <c r="F630" s="60"/>
      <c r="G630" s="32"/>
      <c r="H630" s="28"/>
      <c r="I630" s="28"/>
      <c r="J630" s="20"/>
      <c r="K630" s="36"/>
      <c r="L630" s="36"/>
      <c r="M630" s="20"/>
      <c r="N630" s="20"/>
      <c r="O630" s="20"/>
      <c r="P630" s="189"/>
      <c r="Q630" s="45"/>
      <c r="R630" s="20"/>
      <c r="T630" s="327">
        <f t="shared" si="334"/>
        <v>0</v>
      </c>
      <c r="U630" s="327">
        <f t="shared" si="335"/>
        <v>0</v>
      </c>
      <c r="V630" s="327">
        <f t="shared" si="336"/>
        <v>0</v>
      </c>
      <c r="W630" s="327">
        <f t="shared" si="337"/>
        <v>0</v>
      </c>
      <c r="X630" s="65">
        <f t="shared" si="339"/>
        <v>0</v>
      </c>
      <c r="Y630" s="235">
        <f t="shared" si="338"/>
        <v>0</v>
      </c>
    </row>
    <row r="631" spans="2:25" s="222" customFormat="1" ht="12.75" customHeight="1" x14ac:dyDescent="0.2">
      <c r="B631" s="32"/>
      <c r="C631" s="32"/>
      <c r="D631" s="20"/>
      <c r="E631" s="60"/>
      <c r="F631" s="60"/>
      <c r="G631" s="32"/>
      <c r="H631" s="28"/>
      <c r="I631" s="28"/>
      <c r="J631" s="20"/>
      <c r="K631" s="36"/>
      <c r="L631" s="36"/>
      <c r="M631" s="20"/>
      <c r="N631" s="20"/>
      <c r="O631" s="20"/>
      <c r="P631" s="189"/>
      <c r="Q631" s="45"/>
      <c r="R631" s="20"/>
      <c r="T631" s="327">
        <f t="shared" si="334"/>
        <v>0</v>
      </c>
      <c r="U631" s="327">
        <f t="shared" si="335"/>
        <v>0</v>
      </c>
      <c r="V631" s="327">
        <f t="shared" si="336"/>
        <v>0</v>
      </c>
      <c r="W631" s="327">
        <f t="shared" si="337"/>
        <v>0</v>
      </c>
      <c r="X631" s="65">
        <f t="shared" si="339"/>
        <v>0</v>
      </c>
      <c r="Y631" s="235">
        <f t="shared" si="338"/>
        <v>0</v>
      </c>
    </row>
    <row r="632" spans="2:25" s="222" customFormat="1" ht="12.75" customHeight="1" x14ac:dyDescent="0.2">
      <c r="B632" s="32"/>
      <c r="C632" s="32"/>
      <c r="D632" s="20"/>
      <c r="E632" s="60"/>
      <c r="F632" s="60"/>
      <c r="G632" s="32"/>
      <c r="H632" s="28"/>
      <c r="I632" s="28"/>
      <c r="J632" s="20"/>
      <c r="K632" s="36"/>
      <c r="L632" s="36"/>
      <c r="M632" s="20"/>
      <c r="N632" s="20"/>
      <c r="O632" s="20"/>
      <c r="P632" s="189" t="s">
        <v>784</v>
      </c>
      <c r="Q632" s="45"/>
      <c r="R632" s="20"/>
      <c r="T632" s="327">
        <f t="shared" si="334"/>
        <v>0</v>
      </c>
      <c r="U632" s="327">
        <f t="shared" si="335"/>
        <v>0</v>
      </c>
      <c r="V632" s="327">
        <f t="shared" si="336"/>
        <v>0</v>
      </c>
      <c r="W632" s="327">
        <f t="shared" si="337"/>
        <v>0</v>
      </c>
      <c r="X632" s="65">
        <f t="shared" si="339"/>
        <v>0</v>
      </c>
      <c r="Y632" s="235">
        <f t="shared" si="338"/>
        <v>0</v>
      </c>
    </row>
    <row r="633" spans="2:25" s="222" customFormat="1" ht="12.75" customHeight="1" x14ac:dyDescent="0.2">
      <c r="B633" s="32"/>
      <c r="C633" s="32"/>
      <c r="D633" s="20"/>
      <c r="E633" s="60"/>
      <c r="F633" s="60"/>
      <c r="G633" s="32"/>
      <c r="H633" s="28"/>
      <c r="I633" s="28"/>
      <c r="J633" s="20"/>
      <c r="K633" s="36"/>
      <c r="L633" s="36"/>
      <c r="M633" s="20"/>
      <c r="N633" s="20"/>
      <c r="O633" s="20"/>
      <c r="P633" s="323" t="s">
        <v>785</v>
      </c>
      <c r="Q633" s="45"/>
      <c r="R633" s="20"/>
      <c r="T633" s="327">
        <f t="shared" si="334"/>
        <v>0</v>
      </c>
      <c r="U633" s="327">
        <f t="shared" si="335"/>
        <v>0</v>
      </c>
      <c r="V633" s="327">
        <f t="shared" si="336"/>
        <v>0</v>
      </c>
      <c r="W633" s="327">
        <f t="shared" si="337"/>
        <v>0</v>
      </c>
      <c r="X633" s="65">
        <f t="shared" si="339"/>
        <v>0</v>
      </c>
      <c r="Y633" s="235">
        <f t="shared" si="338"/>
        <v>0</v>
      </c>
    </row>
    <row r="634" spans="2:25" s="222" customFormat="1" ht="12.75" customHeight="1" x14ac:dyDescent="0.2">
      <c r="B634" s="32"/>
      <c r="C634" s="32"/>
      <c r="D634" s="20"/>
      <c r="E634" s="60"/>
      <c r="F634" s="60"/>
      <c r="G634" s="32"/>
      <c r="H634" s="28"/>
      <c r="I634" s="28"/>
      <c r="J634" s="20"/>
      <c r="K634" s="36"/>
      <c r="L634" s="36"/>
      <c r="M634" s="20"/>
      <c r="N634" s="20"/>
      <c r="O634" s="20"/>
      <c r="P634" s="189"/>
      <c r="Q634" s="45"/>
      <c r="R634" s="20"/>
      <c r="T634" s="327">
        <f t="shared" si="334"/>
        <v>0</v>
      </c>
      <c r="U634" s="327">
        <f t="shared" si="335"/>
        <v>0</v>
      </c>
      <c r="V634" s="327">
        <f t="shared" si="336"/>
        <v>0</v>
      </c>
      <c r="W634" s="327">
        <f t="shared" si="337"/>
        <v>0</v>
      </c>
      <c r="X634" s="65">
        <f t="shared" si="339"/>
        <v>0</v>
      </c>
      <c r="Y634" s="235">
        <f t="shared" si="338"/>
        <v>0</v>
      </c>
    </row>
    <row r="635" spans="2:25" s="222" customFormat="1" ht="12.75" customHeight="1" x14ac:dyDescent="0.2">
      <c r="B635" s="32"/>
      <c r="C635" s="32"/>
      <c r="D635" s="20"/>
      <c r="E635" s="60"/>
      <c r="F635" s="60"/>
      <c r="G635" s="32"/>
      <c r="H635" s="28"/>
      <c r="I635" s="28"/>
      <c r="J635" s="20"/>
      <c r="K635" s="36"/>
      <c r="L635" s="36"/>
      <c r="M635" s="20"/>
      <c r="N635" s="20"/>
      <c r="O635" s="20"/>
      <c r="P635" s="189"/>
      <c r="Q635" s="45"/>
      <c r="R635" s="20"/>
      <c r="T635" s="327">
        <f t="shared" si="334"/>
        <v>0</v>
      </c>
      <c r="U635" s="327">
        <f t="shared" si="335"/>
        <v>0</v>
      </c>
      <c r="V635" s="327">
        <f t="shared" si="336"/>
        <v>0</v>
      </c>
      <c r="W635" s="327">
        <f t="shared" si="337"/>
        <v>0</v>
      </c>
      <c r="X635" s="65">
        <f t="shared" si="339"/>
        <v>0</v>
      </c>
      <c r="Y635" s="235">
        <f t="shared" si="338"/>
        <v>0</v>
      </c>
    </row>
    <row r="636" spans="2:25" s="222" customFormat="1" ht="12.75" customHeight="1" x14ac:dyDescent="0.2">
      <c r="B636" s="32"/>
      <c r="C636" s="32"/>
      <c r="D636" s="20"/>
      <c r="E636" s="60"/>
      <c r="F636" s="60"/>
      <c r="G636" s="32"/>
      <c r="H636" s="28"/>
      <c r="I636" s="28"/>
      <c r="J636" s="20"/>
      <c r="K636" s="36"/>
      <c r="L636" s="36"/>
      <c r="M636" s="20"/>
      <c r="N636" s="20"/>
      <c r="O636" s="20"/>
      <c r="P636" s="323" t="s">
        <v>786</v>
      </c>
      <c r="Q636" s="45"/>
      <c r="R636" s="20"/>
      <c r="T636" s="327">
        <f t="shared" si="334"/>
        <v>0</v>
      </c>
      <c r="U636" s="327">
        <f t="shared" si="335"/>
        <v>0</v>
      </c>
      <c r="V636" s="327">
        <f t="shared" si="336"/>
        <v>0</v>
      </c>
      <c r="W636" s="327">
        <f t="shared" si="337"/>
        <v>0</v>
      </c>
      <c r="X636" s="65">
        <f t="shared" si="339"/>
        <v>0</v>
      </c>
      <c r="Y636" s="235">
        <f t="shared" si="338"/>
        <v>0</v>
      </c>
    </row>
    <row r="637" spans="2:25" s="222" customFormat="1" ht="12.75" customHeight="1" x14ac:dyDescent="0.2">
      <c r="B637" s="32"/>
      <c r="C637" s="32"/>
      <c r="D637" s="20"/>
      <c r="E637" s="60"/>
      <c r="F637" s="60"/>
      <c r="G637" s="32"/>
      <c r="H637" s="28"/>
      <c r="I637" s="28"/>
      <c r="J637" s="20"/>
      <c r="K637" s="36"/>
      <c r="L637" s="36"/>
      <c r="M637" s="20"/>
      <c r="N637" s="20"/>
      <c r="O637" s="20"/>
      <c r="P637" s="323" t="s">
        <v>787</v>
      </c>
      <c r="Q637" s="45"/>
      <c r="R637" s="20"/>
      <c r="T637" s="327">
        <f t="shared" si="334"/>
        <v>0</v>
      </c>
      <c r="U637" s="327">
        <f t="shared" si="335"/>
        <v>0</v>
      </c>
      <c r="V637" s="327">
        <f t="shared" si="336"/>
        <v>0</v>
      </c>
      <c r="W637" s="327">
        <f t="shared" si="337"/>
        <v>0</v>
      </c>
      <c r="X637" s="65">
        <f t="shared" si="339"/>
        <v>0</v>
      </c>
      <c r="Y637" s="235">
        <f t="shared" si="338"/>
        <v>0</v>
      </c>
    </row>
    <row r="638" spans="2:25" s="222" customFormat="1" ht="12.75" customHeight="1" x14ac:dyDescent="0.2">
      <c r="B638" s="32"/>
      <c r="C638" s="32"/>
      <c r="D638" s="20"/>
      <c r="E638" s="60"/>
      <c r="F638" s="60"/>
      <c r="G638" s="32"/>
      <c r="H638" s="28"/>
      <c r="I638" s="28"/>
      <c r="J638" s="20"/>
      <c r="K638" s="36"/>
      <c r="L638" s="36"/>
      <c r="M638" s="20"/>
      <c r="N638" s="20"/>
      <c r="O638" s="20"/>
      <c r="P638" s="319"/>
      <c r="Q638" s="45"/>
      <c r="R638" s="20"/>
      <c r="T638" s="327">
        <f t="shared" ref="T638:T701" si="340">IF(K638=$T$3,$T$5*R638/DAYS360(K638,L638),0)</f>
        <v>0</v>
      </c>
      <c r="U638" s="327">
        <f t="shared" ref="U638:U701" si="341">IF(K638=$U$3,$U$5*R638/DAYS360(K638,L638),0)+IF(K638=$T$3,IF(L638=$U$4,R638-T638,0),0)+IF(K638=$T$3,IF(L638=$V$4,(R638-T638)/2,0),0)+IF(K638=$T$3,IF(L638=$W$4,(R638-T638)/3,0),0)</f>
        <v>0</v>
      </c>
      <c r="V638" s="327">
        <f t="shared" ref="V638:V701" si="342">IF(K638=$V$3,$V$5*R638/DAYS360(K638,L638),0)+IF(K638=$T$3,IF(L638=$V$4,R638-T638-U638,0),0)+IF(K638=$T$3,IF(L638=$W$4,(R638-T638-U638)/2,0),0)+IF(K638=$U$3,IF(L638=$V$4,R638-U638,0),0)+IF(K638=$U$3,IF(L638=$W$4,(R638-U638)/2,0),0)</f>
        <v>0</v>
      </c>
      <c r="W638" s="327">
        <f t="shared" ref="W638:W701" si="343">IF(K638=$W$3,$W$5*R638/DAYS360(K638,L638),0)+IF(K638=$T$3,IF(L638=$W$4,R638-T638-U638-V638,0),0)+IF(K638=$U$3,IF(L638=$W$4,R638-U638-V638,0),0)+IF(K638=$V$3,IF(L638=$W$4,R638-V638,0),0)</f>
        <v>0</v>
      </c>
      <c r="X638" s="65">
        <f t="shared" si="339"/>
        <v>0</v>
      </c>
      <c r="Y638" s="235">
        <f t="shared" si="338"/>
        <v>0</v>
      </c>
    </row>
    <row r="639" spans="2:25" s="222" customFormat="1" ht="12.75" customHeight="1" x14ac:dyDescent="0.2">
      <c r="B639" s="32"/>
      <c r="C639" s="32"/>
      <c r="D639" s="20"/>
      <c r="E639" s="60"/>
      <c r="F639" s="60"/>
      <c r="G639" s="32"/>
      <c r="H639" s="28"/>
      <c r="I639" s="28"/>
      <c r="J639" s="20"/>
      <c r="K639" s="36"/>
      <c r="L639" s="36"/>
      <c r="M639" s="20"/>
      <c r="N639" s="20"/>
      <c r="O639" s="20"/>
      <c r="P639" s="319"/>
      <c r="Q639" s="45"/>
      <c r="R639" s="20"/>
      <c r="T639" s="327">
        <f t="shared" si="340"/>
        <v>0</v>
      </c>
      <c r="U639" s="327">
        <f t="shared" si="341"/>
        <v>0</v>
      </c>
      <c r="V639" s="327">
        <f t="shared" si="342"/>
        <v>0</v>
      </c>
      <c r="W639" s="327">
        <f t="shared" si="343"/>
        <v>0</v>
      </c>
      <c r="X639" s="65">
        <f t="shared" si="339"/>
        <v>0</v>
      </c>
      <c r="Y639" s="235">
        <f t="shared" si="338"/>
        <v>0</v>
      </c>
    </row>
    <row r="640" spans="2:25" s="222" customFormat="1" ht="12.75" customHeight="1" x14ac:dyDescent="0.2">
      <c r="B640" s="32"/>
      <c r="C640" s="32"/>
      <c r="D640" s="20"/>
      <c r="E640" s="60"/>
      <c r="F640" s="60"/>
      <c r="G640" s="32"/>
      <c r="H640" s="28"/>
      <c r="I640" s="28"/>
      <c r="J640" s="20"/>
      <c r="K640" s="36"/>
      <c r="L640" s="36"/>
      <c r="M640" s="20"/>
      <c r="N640" s="20"/>
      <c r="O640" s="20"/>
      <c r="P640" s="319"/>
      <c r="Q640" s="45"/>
      <c r="R640" s="20"/>
      <c r="T640" s="327">
        <f t="shared" si="340"/>
        <v>0</v>
      </c>
      <c r="U640" s="327">
        <f t="shared" si="341"/>
        <v>0</v>
      </c>
      <c r="V640" s="327">
        <f t="shared" si="342"/>
        <v>0</v>
      </c>
      <c r="W640" s="327">
        <f t="shared" si="343"/>
        <v>0</v>
      </c>
      <c r="X640" s="65">
        <f t="shared" si="339"/>
        <v>0</v>
      </c>
      <c r="Y640" s="235">
        <f t="shared" si="338"/>
        <v>0</v>
      </c>
    </row>
    <row r="641" spans="2:25" s="222" customFormat="1" ht="12.75" customHeight="1" x14ac:dyDescent="0.2">
      <c r="B641" s="32"/>
      <c r="C641" s="32"/>
      <c r="D641" s="20"/>
      <c r="E641" s="60"/>
      <c r="F641" s="60"/>
      <c r="G641" s="32"/>
      <c r="H641" s="28"/>
      <c r="I641" s="28"/>
      <c r="J641" s="20"/>
      <c r="K641" s="36"/>
      <c r="L641" s="36"/>
      <c r="M641" s="20"/>
      <c r="N641" s="20"/>
      <c r="O641" s="20"/>
      <c r="P641" s="323"/>
      <c r="Q641" s="45"/>
      <c r="R641" s="20"/>
      <c r="T641" s="327">
        <f t="shared" si="340"/>
        <v>0</v>
      </c>
      <c r="U641" s="327">
        <f t="shared" si="341"/>
        <v>0</v>
      </c>
      <c r="V641" s="327">
        <f t="shared" si="342"/>
        <v>0</v>
      </c>
      <c r="W641" s="327">
        <f t="shared" si="343"/>
        <v>0</v>
      </c>
      <c r="X641" s="65">
        <f t="shared" si="339"/>
        <v>0</v>
      </c>
      <c r="Y641" s="235">
        <f t="shared" si="338"/>
        <v>0</v>
      </c>
    </row>
    <row r="642" spans="2:25" s="222" customFormat="1" ht="12.75" customHeight="1" x14ac:dyDescent="0.2">
      <c r="B642" s="32"/>
      <c r="C642" s="32"/>
      <c r="D642" s="20"/>
      <c r="E642" s="60"/>
      <c r="F642" s="60"/>
      <c r="G642" s="32"/>
      <c r="H642" s="28"/>
      <c r="I642" s="28"/>
      <c r="J642" s="20"/>
      <c r="K642" s="36"/>
      <c r="L642" s="36"/>
      <c r="M642" s="20"/>
      <c r="N642" s="20"/>
      <c r="O642" s="20"/>
      <c r="P642" s="319"/>
      <c r="Q642" s="45"/>
      <c r="R642" s="20"/>
      <c r="T642" s="327">
        <f t="shared" si="340"/>
        <v>0</v>
      </c>
      <c r="U642" s="327">
        <f t="shared" si="341"/>
        <v>0</v>
      </c>
      <c r="V642" s="327">
        <f t="shared" si="342"/>
        <v>0</v>
      </c>
      <c r="W642" s="327">
        <f t="shared" si="343"/>
        <v>0</v>
      </c>
      <c r="X642" s="65">
        <f t="shared" si="339"/>
        <v>0</v>
      </c>
      <c r="Y642" s="235">
        <f t="shared" si="338"/>
        <v>0</v>
      </c>
    </row>
    <row r="643" spans="2:25" s="222" customFormat="1" ht="12.75" customHeight="1" x14ac:dyDescent="0.2">
      <c r="B643" s="32"/>
      <c r="C643" s="32"/>
      <c r="D643" s="20"/>
      <c r="E643" s="60"/>
      <c r="F643" s="60"/>
      <c r="G643" s="32"/>
      <c r="H643" s="28"/>
      <c r="I643" s="28"/>
      <c r="J643" s="20"/>
      <c r="K643" s="36"/>
      <c r="L643" s="36"/>
      <c r="M643" s="20"/>
      <c r="N643" s="20"/>
      <c r="O643" s="20"/>
      <c r="P643" s="319"/>
      <c r="Q643" s="45"/>
      <c r="R643" s="20"/>
      <c r="T643" s="327">
        <f t="shared" si="340"/>
        <v>0</v>
      </c>
      <c r="U643" s="327">
        <f t="shared" si="341"/>
        <v>0</v>
      </c>
      <c r="V643" s="327">
        <f t="shared" si="342"/>
        <v>0</v>
      </c>
      <c r="W643" s="327">
        <f t="shared" si="343"/>
        <v>0</v>
      </c>
      <c r="X643" s="65">
        <f t="shared" si="339"/>
        <v>0</v>
      </c>
      <c r="Y643" s="235">
        <f t="shared" ref="Y643:Y706" si="344">X643-R643</f>
        <v>0</v>
      </c>
    </row>
    <row r="644" spans="2:25" s="222" customFormat="1" ht="12.75" customHeight="1" x14ac:dyDescent="0.2">
      <c r="B644" s="32"/>
      <c r="C644" s="32"/>
      <c r="D644" s="20"/>
      <c r="E644" s="60"/>
      <c r="F644" s="60"/>
      <c r="G644" s="32"/>
      <c r="H644" s="28"/>
      <c r="I644" s="28"/>
      <c r="J644" s="20"/>
      <c r="K644" s="36"/>
      <c r="L644" s="36"/>
      <c r="M644" s="20"/>
      <c r="N644" s="20"/>
      <c r="O644" s="20"/>
      <c r="P644" s="189"/>
      <c r="Q644" s="45"/>
      <c r="R644" s="20"/>
      <c r="T644" s="327">
        <f t="shared" si="340"/>
        <v>0</v>
      </c>
      <c r="U644" s="327">
        <f t="shared" si="341"/>
        <v>0</v>
      </c>
      <c r="V644" s="327">
        <f t="shared" si="342"/>
        <v>0</v>
      </c>
      <c r="W644" s="327">
        <f t="shared" si="343"/>
        <v>0</v>
      </c>
      <c r="X644" s="65">
        <f t="shared" si="339"/>
        <v>0</v>
      </c>
      <c r="Y644" s="235">
        <f t="shared" si="344"/>
        <v>0</v>
      </c>
    </row>
    <row r="645" spans="2:25" s="222" customFormat="1" ht="12.75" customHeight="1" x14ac:dyDescent="0.2">
      <c r="B645" s="32"/>
      <c r="C645" s="32"/>
      <c r="D645" s="20"/>
      <c r="E645" s="60"/>
      <c r="F645" s="60"/>
      <c r="G645" s="32"/>
      <c r="H645" s="28"/>
      <c r="I645" s="28"/>
      <c r="J645" s="20"/>
      <c r="K645" s="36"/>
      <c r="L645" s="36"/>
      <c r="M645" s="20"/>
      <c r="N645" s="20"/>
      <c r="O645" s="20"/>
      <c r="P645" s="189"/>
      <c r="Q645" s="45"/>
      <c r="R645" s="20"/>
      <c r="T645" s="327">
        <f t="shared" si="340"/>
        <v>0</v>
      </c>
      <c r="U645" s="327">
        <f t="shared" si="341"/>
        <v>0</v>
      </c>
      <c r="V645" s="327">
        <f t="shared" si="342"/>
        <v>0</v>
      </c>
      <c r="W645" s="327">
        <f t="shared" si="343"/>
        <v>0</v>
      </c>
      <c r="X645" s="65">
        <f t="shared" si="339"/>
        <v>0</v>
      </c>
      <c r="Y645" s="235">
        <f t="shared" si="344"/>
        <v>0</v>
      </c>
    </row>
    <row r="646" spans="2:25" s="222" customFormat="1" ht="12.75" customHeight="1" x14ac:dyDescent="0.2">
      <c r="B646" s="32"/>
      <c r="C646" s="32"/>
      <c r="D646" s="20"/>
      <c r="E646" s="60"/>
      <c r="F646" s="60"/>
      <c r="G646" s="32"/>
      <c r="H646" s="28"/>
      <c r="I646" s="28"/>
      <c r="J646" s="20"/>
      <c r="K646" s="36"/>
      <c r="L646" s="36"/>
      <c r="M646" s="20"/>
      <c r="N646" s="20"/>
      <c r="O646" s="20"/>
      <c r="P646" s="189"/>
      <c r="Q646" s="45"/>
      <c r="R646" s="20"/>
      <c r="T646" s="327">
        <f t="shared" si="340"/>
        <v>0</v>
      </c>
      <c r="U646" s="327">
        <f t="shared" si="341"/>
        <v>0</v>
      </c>
      <c r="V646" s="327">
        <f t="shared" si="342"/>
        <v>0</v>
      </c>
      <c r="W646" s="327">
        <f t="shared" si="343"/>
        <v>0</v>
      </c>
      <c r="X646" s="65">
        <f t="shared" si="339"/>
        <v>0</v>
      </c>
      <c r="Y646" s="235">
        <f t="shared" si="344"/>
        <v>0</v>
      </c>
    </row>
    <row r="647" spans="2:25" s="222" customFormat="1" ht="12.75" customHeight="1" x14ac:dyDescent="0.2">
      <c r="B647" s="32"/>
      <c r="C647" s="32"/>
      <c r="D647" s="20"/>
      <c r="E647" s="60"/>
      <c r="F647" s="60"/>
      <c r="G647" s="32"/>
      <c r="H647" s="28"/>
      <c r="I647" s="28"/>
      <c r="J647" s="20"/>
      <c r="K647" s="36"/>
      <c r="L647" s="36"/>
      <c r="M647" s="20"/>
      <c r="N647" s="20"/>
      <c r="O647" s="20"/>
      <c r="P647" s="189"/>
      <c r="Q647" s="45"/>
      <c r="R647" s="20"/>
      <c r="T647" s="327">
        <f t="shared" si="340"/>
        <v>0</v>
      </c>
      <c r="U647" s="327">
        <f t="shared" si="341"/>
        <v>0</v>
      </c>
      <c r="V647" s="327">
        <f t="shared" si="342"/>
        <v>0</v>
      </c>
      <c r="W647" s="327">
        <f t="shared" si="343"/>
        <v>0</v>
      </c>
      <c r="X647" s="65">
        <f t="shared" si="339"/>
        <v>0</v>
      </c>
      <c r="Y647" s="235">
        <f t="shared" si="344"/>
        <v>0</v>
      </c>
    </row>
    <row r="648" spans="2:25" s="222" customFormat="1" ht="12.75" customHeight="1" x14ac:dyDescent="0.2">
      <c r="B648" s="32"/>
      <c r="C648" s="32"/>
      <c r="D648" s="20"/>
      <c r="E648" s="60"/>
      <c r="F648" s="60"/>
      <c r="G648" s="32"/>
      <c r="H648" s="28"/>
      <c r="I648" s="28"/>
      <c r="J648" s="20"/>
      <c r="K648" s="36"/>
      <c r="L648" s="36"/>
      <c r="M648" s="20"/>
      <c r="N648" s="20"/>
      <c r="O648" s="20"/>
      <c r="P648" s="189"/>
      <c r="Q648" s="45"/>
      <c r="R648" s="20"/>
      <c r="T648" s="327">
        <f t="shared" si="340"/>
        <v>0</v>
      </c>
      <c r="U648" s="327">
        <f t="shared" si="341"/>
        <v>0</v>
      </c>
      <c r="V648" s="327">
        <f t="shared" si="342"/>
        <v>0</v>
      </c>
      <c r="W648" s="327">
        <f t="shared" si="343"/>
        <v>0</v>
      </c>
      <c r="X648" s="65">
        <f t="shared" si="339"/>
        <v>0</v>
      </c>
      <c r="Y648" s="235">
        <f t="shared" si="344"/>
        <v>0</v>
      </c>
    </row>
    <row r="649" spans="2:25" s="222" customFormat="1" ht="12.75" customHeight="1" x14ac:dyDescent="0.2">
      <c r="B649" s="32"/>
      <c r="C649" s="32"/>
      <c r="D649" s="20"/>
      <c r="E649" s="60"/>
      <c r="F649" s="60"/>
      <c r="G649" s="32"/>
      <c r="H649" s="28"/>
      <c r="I649" s="28"/>
      <c r="J649" s="20"/>
      <c r="K649" s="36"/>
      <c r="L649" s="36"/>
      <c r="M649" s="20"/>
      <c r="N649" s="20"/>
      <c r="O649" s="20"/>
      <c r="P649" s="189"/>
      <c r="Q649" s="45"/>
      <c r="R649" s="20"/>
      <c r="T649" s="327">
        <f t="shared" si="340"/>
        <v>0</v>
      </c>
      <c r="U649" s="327">
        <f t="shared" si="341"/>
        <v>0</v>
      </c>
      <c r="V649" s="327">
        <f t="shared" si="342"/>
        <v>0</v>
      </c>
      <c r="W649" s="327">
        <f t="shared" si="343"/>
        <v>0</v>
      </c>
      <c r="X649" s="65">
        <f t="shared" si="339"/>
        <v>0</v>
      </c>
      <c r="Y649" s="235">
        <f t="shared" si="344"/>
        <v>0</v>
      </c>
    </row>
    <row r="650" spans="2:25" s="222" customFormat="1" ht="12.75" customHeight="1" x14ac:dyDescent="0.2">
      <c r="B650" s="32"/>
      <c r="C650" s="32"/>
      <c r="D650" s="20"/>
      <c r="E650" s="60"/>
      <c r="F650" s="60"/>
      <c r="G650" s="32"/>
      <c r="H650" s="28"/>
      <c r="I650" s="28"/>
      <c r="J650" s="20"/>
      <c r="K650" s="36"/>
      <c r="L650" s="36"/>
      <c r="M650" s="20"/>
      <c r="N650" s="20"/>
      <c r="O650" s="20"/>
      <c r="P650" s="189"/>
      <c r="Q650" s="45"/>
      <c r="R650" s="20"/>
      <c r="T650" s="327">
        <f t="shared" si="340"/>
        <v>0</v>
      </c>
      <c r="U650" s="327">
        <f t="shared" si="341"/>
        <v>0</v>
      </c>
      <c r="V650" s="327">
        <f t="shared" si="342"/>
        <v>0</v>
      </c>
      <c r="W650" s="327">
        <f t="shared" si="343"/>
        <v>0</v>
      </c>
      <c r="X650" s="65">
        <f t="shared" si="339"/>
        <v>0</v>
      </c>
      <c r="Y650" s="235">
        <f t="shared" si="344"/>
        <v>0</v>
      </c>
    </row>
    <row r="651" spans="2:25" s="222" customFormat="1" ht="12.75" customHeight="1" x14ac:dyDescent="0.2">
      <c r="B651" s="32"/>
      <c r="C651" s="32"/>
      <c r="D651" s="20"/>
      <c r="E651" s="60"/>
      <c r="F651" s="60"/>
      <c r="G651" s="32"/>
      <c r="H651" s="28"/>
      <c r="I651" s="28"/>
      <c r="J651" s="20"/>
      <c r="K651" s="36"/>
      <c r="L651" s="36"/>
      <c r="M651" s="20"/>
      <c r="N651" s="20"/>
      <c r="O651" s="20"/>
      <c r="P651" s="189"/>
      <c r="Q651" s="45"/>
      <c r="R651" s="20"/>
      <c r="T651" s="327">
        <f t="shared" si="340"/>
        <v>0</v>
      </c>
      <c r="U651" s="327">
        <f t="shared" si="341"/>
        <v>0</v>
      </c>
      <c r="V651" s="327">
        <f t="shared" si="342"/>
        <v>0</v>
      </c>
      <c r="W651" s="327">
        <f t="shared" si="343"/>
        <v>0</v>
      </c>
      <c r="X651" s="65">
        <f t="shared" si="339"/>
        <v>0</v>
      </c>
      <c r="Y651" s="235">
        <f t="shared" si="344"/>
        <v>0</v>
      </c>
    </row>
    <row r="652" spans="2:25" s="222" customFormat="1" ht="12.75" customHeight="1" x14ac:dyDescent="0.2">
      <c r="B652" s="32"/>
      <c r="C652" s="32"/>
      <c r="D652" s="20"/>
      <c r="E652" s="60"/>
      <c r="F652" s="60"/>
      <c r="G652" s="32"/>
      <c r="H652" s="28"/>
      <c r="I652" s="28"/>
      <c r="J652" s="20"/>
      <c r="K652" s="36"/>
      <c r="L652" s="36"/>
      <c r="M652" s="20"/>
      <c r="N652" s="20"/>
      <c r="O652" s="20"/>
      <c r="P652" s="189"/>
      <c r="Q652" s="45"/>
      <c r="R652" s="20"/>
      <c r="T652" s="327">
        <f t="shared" si="340"/>
        <v>0</v>
      </c>
      <c r="U652" s="327">
        <f t="shared" si="341"/>
        <v>0</v>
      </c>
      <c r="V652" s="327">
        <f t="shared" si="342"/>
        <v>0</v>
      </c>
      <c r="W652" s="327">
        <f t="shared" si="343"/>
        <v>0</v>
      </c>
      <c r="X652" s="65">
        <f t="shared" si="339"/>
        <v>0</v>
      </c>
      <c r="Y652" s="235">
        <f t="shared" si="344"/>
        <v>0</v>
      </c>
    </row>
    <row r="653" spans="2:25" s="222" customFormat="1" ht="12.75" customHeight="1" x14ac:dyDescent="0.2">
      <c r="B653" s="32"/>
      <c r="C653" s="32"/>
      <c r="D653" s="20"/>
      <c r="E653" s="60"/>
      <c r="F653" s="60"/>
      <c r="G653" s="32"/>
      <c r="H653" s="28"/>
      <c r="I653" s="28"/>
      <c r="J653" s="20"/>
      <c r="K653" s="36"/>
      <c r="L653" s="36"/>
      <c r="M653" s="20"/>
      <c r="N653" s="20"/>
      <c r="O653" s="20"/>
      <c r="P653" s="189"/>
      <c r="Q653" s="45"/>
      <c r="R653" s="20"/>
      <c r="T653" s="327">
        <f t="shared" si="340"/>
        <v>0</v>
      </c>
      <c r="U653" s="327">
        <f t="shared" si="341"/>
        <v>0</v>
      </c>
      <c r="V653" s="327">
        <f t="shared" si="342"/>
        <v>0</v>
      </c>
      <c r="W653" s="327">
        <f t="shared" si="343"/>
        <v>0</v>
      </c>
      <c r="X653" s="65">
        <f t="shared" si="339"/>
        <v>0</v>
      </c>
      <c r="Y653" s="235">
        <f t="shared" si="344"/>
        <v>0</v>
      </c>
    </row>
    <row r="654" spans="2:25" s="222" customFormat="1" ht="12.75" customHeight="1" x14ac:dyDescent="0.2">
      <c r="B654" s="32"/>
      <c r="C654" s="32"/>
      <c r="D654" s="20"/>
      <c r="E654" s="60"/>
      <c r="F654" s="60"/>
      <c r="G654" s="32"/>
      <c r="H654" s="28"/>
      <c r="I654" s="28"/>
      <c r="J654" s="20"/>
      <c r="K654" s="36"/>
      <c r="L654" s="36"/>
      <c r="M654" s="20"/>
      <c r="N654" s="20"/>
      <c r="O654" s="20"/>
      <c r="P654" s="319"/>
      <c r="Q654" s="45"/>
      <c r="R654" s="20"/>
      <c r="T654" s="327">
        <f t="shared" si="340"/>
        <v>0</v>
      </c>
      <c r="U654" s="327">
        <f t="shared" si="341"/>
        <v>0</v>
      </c>
      <c r="V654" s="327">
        <f t="shared" si="342"/>
        <v>0</v>
      </c>
      <c r="W654" s="327">
        <f t="shared" si="343"/>
        <v>0</v>
      </c>
      <c r="X654" s="65">
        <f t="shared" si="339"/>
        <v>0</v>
      </c>
      <c r="Y654" s="235">
        <f t="shared" si="344"/>
        <v>0</v>
      </c>
    </row>
    <row r="655" spans="2:25" s="222" customFormat="1" ht="12.75" customHeight="1" x14ac:dyDescent="0.2">
      <c r="B655" s="32"/>
      <c r="C655" s="32"/>
      <c r="D655" s="20"/>
      <c r="E655" s="60"/>
      <c r="F655" s="60"/>
      <c r="G655" s="32"/>
      <c r="H655" s="28"/>
      <c r="I655" s="28"/>
      <c r="J655" s="20"/>
      <c r="K655" s="36"/>
      <c r="L655" s="36"/>
      <c r="M655" s="20"/>
      <c r="N655" s="20"/>
      <c r="O655" s="20"/>
      <c r="P655" s="189"/>
      <c r="Q655" s="45"/>
      <c r="R655" s="20"/>
      <c r="T655" s="327">
        <f t="shared" si="340"/>
        <v>0</v>
      </c>
      <c r="U655" s="327">
        <f t="shared" si="341"/>
        <v>0</v>
      </c>
      <c r="V655" s="327">
        <f t="shared" si="342"/>
        <v>0</v>
      </c>
      <c r="W655" s="327">
        <f t="shared" si="343"/>
        <v>0</v>
      </c>
      <c r="X655" s="65">
        <f t="shared" si="339"/>
        <v>0</v>
      </c>
      <c r="Y655" s="235">
        <f t="shared" si="344"/>
        <v>0</v>
      </c>
    </row>
    <row r="656" spans="2:25" s="222" customFormat="1" ht="12.75" customHeight="1" x14ac:dyDescent="0.2">
      <c r="B656" s="32"/>
      <c r="C656" s="32"/>
      <c r="D656" s="20"/>
      <c r="E656" s="60"/>
      <c r="F656" s="60"/>
      <c r="G656" s="32"/>
      <c r="H656" s="28"/>
      <c r="I656" s="28"/>
      <c r="J656" s="20"/>
      <c r="K656" s="36"/>
      <c r="L656" s="36"/>
      <c r="M656" s="20"/>
      <c r="N656" s="20"/>
      <c r="O656" s="20"/>
      <c r="P656" s="189"/>
      <c r="Q656" s="45"/>
      <c r="R656" s="20"/>
      <c r="T656" s="327">
        <f t="shared" si="340"/>
        <v>0</v>
      </c>
      <c r="U656" s="327">
        <f t="shared" si="341"/>
        <v>0</v>
      </c>
      <c r="V656" s="327">
        <f t="shared" si="342"/>
        <v>0</v>
      </c>
      <c r="W656" s="327">
        <f t="shared" si="343"/>
        <v>0</v>
      </c>
      <c r="X656" s="65">
        <f t="shared" si="339"/>
        <v>0</v>
      </c>
      <c r="Y656" s="235">
        <f t="shared" si="344"/>
        <v>0</v>
      </c>
    </row>
    <row r="657" spans="2:25" s="222" customFormat="1" ht="12.75" customHeight="1" x14ac:dyDescent="0.2">
      <c r="B657" s="32"/>
      <c r="C657" s="32"/>
      <c r="D657" s="20"/>
      <c r="E657" s="60"/>
      <c r="F657" s="60"/>
      <c r="G657" s="32"/>
      <c r="H657" s="28"/>
      <c r="I657" s="28"/>
      <c r="J657" s="20"/>
      <c r="K657" s="36"/>
      <c r="L657" s="36"/>
      <c r="M657" s="20"/>
      <c r="N657" s="20"/>
      <c r="O657" s="20"/>
      <c r="P657" s="189"/>
      <c r="Q657" s="45"/>
      <c r="R657" s="20"/>
      <c r="T657" s="327">
        <f t="shared" si="340"/>
        <v>0</v>
      </c>
      <c r="U657" s="327">
        <f t="shared" si="341"/>
        <v>0</v>
      </c>
      <c r="V657" s="327">
        <f t="shared" si="342"/>
        <v>0</v>
      </c>
      <c r="W657" s="327">
        <f t="shared" si="343"/>
        <v>0</v>
      </c>
      <c r="X657" s="65">
        <f t="shared" si="339"/>
        <v>0</v>
      </c>
      <c r="Y657" s="235">
        <f t="shared" si="344"/>
        <v>0</v>
      </c>
    </row>
    <row r="658" spans="2:25" s="222" customFormat="1" ht="12.75" customHeight="1" x14ac:dyDescent="0.2">
      <c r="B658" s="32"/>
      <c r="C658" s="32"/>
      <c r="D658" s="20"/>
      <c r="E658" s="60"/>
      <c r="F658" s="60"/>
      <c r="G658" s="32"/>
      <c r="H658" s="28"/>
      <c r="I658" s="28"/>
      <c r="J658" s="20"/>
      <c r="K658" s="36"/>
      <c r="L658" s="36"/>
      <c r="M658" s="20"/>
      <c r="N658" s="20"/>
      <c r="O658" s="20"/>
      <c r="P658" s="189"/>
      <c r="Q658" s="45"/>
      <c r="R658" s="20"/>
      <c r="T658" s="327">
        <f t="shared" si="340"/>
        <v>0</v>
      </c>
      <c r="U658" s="327">
        <f t="shared" si="341"/>
        <v>0</v>
      </c>
      <c r="V658" s="327">
        <f t="shared" si="342"/>
        <v>0</v>
      </c>
      <c r="W658" s="327">
        <f t="shared" si="343"/>
        <v>0</v>
      </c>
      <c r="X658" s="65">
        <f t="shared" si="339"/>
        <v>0</v>
      </c>
      <c r="Y658" s="235">
        <f t="shared" si="344"/>
        <v>0</v>
      </c>
    </row>
    <row r="659" spans="2:25" s="222" customFormat="1" ht="12.75" customHeight="1" x14ac:dyDescent="0.2">
      <c r="B659" s="32"/>
      <c r="C659" s="32"/>
      <c r="D659" s="20"/>
      <c r="E659" s="60"/>
      <c r="F659" s="60"/>
      <c r="G659" s="32"/>
      <c r="H659" s="28"/>
      <c r="I659" s="28"/>
      <c r="J659" s="20"/>
      <c r="K659" s="36"/>
      <c r="L659" s="36"/>
      <c r="M659" s="20"/>
      <c r="N659" s="20"/>
      <c r="O659" s="20"/>
      <c r="P659" s="189"/>
      <c r="Q659" s="45"/>
      <c r="R659" s="20"/>
      <c r="T659" s="327">
        <f t="shared" si="340"/>
        <v>0</v>
      </c>
      <c r="U659" s="327">
        <f t="shared" si="341"/>
        <v>0</v>
      </c>
      <c r="V659" s="327">
        <f t="shared" si="342"/>
        <v>0</v>
      </c>
      <c r="W659" s="327">
        <f t="shared" si="343"/>
        <v>0</v>
      </c>
      <c r="X659" s="65">
        <f t="shared" si="339"/>
        <v>0</v>
      </c>
      <c r="Y659" s="235">
        <f t="shared" si="344"/>
        <v>0</v>
      </c>
    </row>
    <row r="660" spans="2:25" s="222" customFormat="1" ht="12.75" customHeight="1" x14ac:dyDescent="0.2">
      <c r="B660" s="32"/>
      <c r="C660" s="32"/>
      <c r="D660" s="20"/>
      <c r="E660" s="60"/>
      <c r="F660" s="60"/>
      <c r="G660" s="32"/>
      <c r="H660" s="28"/>
      <c r="I660" s="28"/>
      <c r="J660" s="20"/>
      <c r="K660" s="36"/>
      <c r="L660" s="36"/>
      <c r="M660" s="20"/>
      <c r="N660" s="20"/>
      <c r="O660" s="20"/>
      <c r="P660" s="189"/>
      <c r="Q660" s="45"/>
      <c r="R660" s="20"/>
      <c r="T660" s="327">
        <f t="shared" si="340"/>
        <v>0</v>
      </c>
      <c r="U660" s="327">
        <f t="shared" si="341"/>
        <v>0</v>
      </c>
      <c r="V660" s="327">
        <f t="shared" si="342"/>
        <v>0</v>
      </c>
      <c r="W660" s="327">
        <f t="shared" si="343"/>
        <v>0</v>
      </c>
      <c r="X660" s="65">
        <f t="shared" si="339"/>
        <v>0</v>
      </c>
      <c r="Y660" s="235">
        <f t="shared" si="344"/>
        <v>0</v>
      </c>
    </row>
    <row r="661" spans="2:25" s="222" customFormat="1" ht="12.75" customHeight="1" x14ac:dyDescent="0.2">
      <c r="B661" s="32"/>
      <c r="C661" s="32"/>
      <c r="D661" s="20"/>
      <c r="E661" s="60"/>
      <c r="F661" s="60"/>
      <c r="G661" s="32"/>
      <c r="H661" s="28"/>
      <c r="I661" s="28"/>
      <c r="J661" s="20"/>
      <c r="K661" s="36"/>
      <c r="L661" s="36"/>
      <c r="M661" s="20"/>
      <c r="N661" s="20"/>
      <c r="O661" s="20"/>
      <c r="P661" s="189"/>
      <c r="Q661" s="45"/>
      <c r="R661" s="20"/>
      <c r="T661" s="327">
        <f t="shared" si="340"/>
        <v>0</v>
      </c>
      <c r="U661" s="327">
        <f t="shared" si="341"/>
        <v>0</v>
      </c>
      <c r="V661" s="327">
        <f t="shared" si="342"/>
        <v>0</v>
      </c>
      <c r="W661" s="327">
        <f t="shared" si="343"/>
        <v>0</v>
      </c>
      <c r="X661" s="65">
        <f t="shared" ref="X661:X724" si="345">SUM(T661:W661)</f>
        <v>0</v>
      </c>
      <c r="Y661" s="235">
        <f t="shared" si="344"/>
        <v>0</v>
      </c>
    </row>
    <row r="662" spans="2:25" s="222" customFormat="1" ht="12.75" customHeight="1" x14ac:dyDescent="0.2">
      <c r="B662" s="32"/>
      <c r="C662" s="32"/>
      <c r="D662" s="20"/>
      <c r="E662" s="60"/>
      <c r="F662" s="60"/>
      <c r="G662" s="32"/>
      <c r="H662" s="28"/>
      <c r="I662" s="28"/>
      <c r="J662" s="20"/>
      <c r="K662" s="36"/>
      <c r="L662" s="36"/>
      <c r="M662" s="20"/>
      <c r="N662" s="20"/>
      <c r="O662" s="20"/>
      <c r="P662" s="189"/>
      <c r="Q662" s="45"/>
      <c r="R662" s="20"/>
      <c r="T662" s="327">
        <f t="shared" si="340"/>
        <v>0</v>
      </c>
      <c r="U662" s="327">
        <f t="shared" si="341"/>
        <v>0</v>
      </c>
      <c r="V662" s="327">
        <f t="shared" si="342"/>
        <v>0</v>
      </c>
      <c r="W662" s="327">
        <f t="shared" si="343"/>
        <v>0</v>
      </c>
      <c r="X662" s="65">
        <f t="shared" si="345"/>
        <v>0</v>
      </c>
      <c r="Y662" s="235">
        <f t="shared" si="344"/>
        <v>0</v>
      </c>
    </row>
    <row r="663" spans="2:25" s="222" customFormat="1" ht="12.75" customHeight="1" x14ac:dyDescent="0.2">
      <c r="B663" s="32"/>
      <c r="C663" s="32"/>
      <c r="D663" s="20"/>
      <c r="E663" s="60"/>
      <c r="F663" s="60"/>
      <c r="G663" s="32"/>
      <c r="H663" s="28"/>
      <c r="I663" s="28"/>
      <c r="J663" s="20"/>
      <c r="K663" s="36"/>
      <c r="L663" s="36"/>
      <c r="M663" s="20"/>
      <c r="N663" s="20"/>
      <c r="O663" s="20"/>
      <c r="P663" s="189"/>
      <c r="Q663" s="45"/>
      <c r="R663" s="20"/>
      <c r="T663" s="327">
        <f t="shared" si="340"/>
        <v>0</v>
      </c>
      <c r="U663" s="327">
        <f t="shared" si="341"/>
        <v>0</v>
      </c>
      <c r="V663" s="327">
        <f t="shared" si="342"/>
        <v>0</v>
      </c>
      <c r="W663" s="327">
        <f t="shared" si="343"/>
        <v>0</v>
      </c>
      <c r="X663" s="65">
        <f t="shared" si="345"/>
        <v>0</v>
      </c>
      <c r="Y663" s="235">
        <f t="shared" si="344"/>
        <v>0</v>
      </c>
    </row>
    <row r="664" spans="2:25" s="222" customFormat="1" ht="12.75" customHeight="1" x14ac:dyDescent="0.2">
      <c r="B664" s="32"/>
      <c r="C664" s="32"/>
      <c r="D664" s="20"/>
      <c r="E664" s="60"/>
      <c r="F664" s="60"/>
      <c r="G664" s="32"/>
      <c r="H664" s="28"/>
      <c r="I664" s="28"/>
      <c r="J664" s="20"/>
      <c r="K664" s="36"/>
      <c r="L664" s="36"/>
      <c r="M664" s="20"/>
      <c r="N664" s="20"/>
      <c r="O664" s="20"/>
      <c r="P664" s="189"/>
      <c r="Q664" s="45"/>
      <c r="R664" s="20"/>
      <c r="T664" s="327">
        <f t="shared" si="340"/>
        <v>0</v>
      </c>
      <c r="U664" s="327">
        <f t="shared" si="341"/>
        <v>0</v>
      </c>
      <c r="V664" s="327">
        <f t="shared" si="342"/>
        <v>0</v>
      </c>
      <c r="W664" s="327">
        <f t="shared" si="343"/>
        <v>0</v>
      </c>
      <c r="X664" s="65">
        <f t="shared" si="345"/>
        <v>0</v>
      </c>
      <c r="Y664" s="235">
        <f t="shared" si="344"/>
        <v>0</v>
      </c>
    </row>
    <row r="665" spans="2:25" s="222" customFormat="1" ht="12.75" customHeight="1" x14ac:dyDescent="0.2">
      <c r="B665" s="32"/>
      <c r="C665" s="32"/>
      <c r="D665" s="20"/>
      <c r="E665" s="60"/>
      <c r="F665" s="60"/>
      <c r="G665" s="32"/>
      <c r="H665" s="28"/>
      <c r="I665" s="28"/>
      <c r="J665" s="20"/>
      <c r="K665" s="36"/>
      <c r="L665" s="36"/>
      <c r="M665" s="20"/>
      <c r="N665" s="20"/>
      <c r="O665" s="20"/>
      <c r="P665" s="189"/>
      <c r="Q665" s="45"/>
      <c r="R665" s="20"/>
      <c r="T665" s="327">
        <f t="shared" si="340"/>
        <v>0</v>
      </c>
      <c r="U665" s="327">
        <f t="shared" si="341"/>
        <v>0</v>
      </c>
      <c r="V665" s="327">
        <f t="shared" si="342"/>
        <v>0</v>
      </c>
      <c r="W665" s="327">
        <f t="shared" si="343"/>
        <v>0</v>
      </c>
      <c r="X665" s="65">
        <f t="shared" si="345"/>
        <v>0</v>
      </c>
      <c r="Y665" s="235">
        <f t="shared" si="344"/>
        <v>0</v>
      </c>
    </row>
    <row r="666" spans="2:25" s="222" customFormat="1" ht="12.75" customHeight="1" x14ac:dyDescent="0.2">
      <c r="B666" s="32"/>
      <c r="C666" s="32"/>
      <c r="D666" s="20"/>
      <c r="E666" s="60"/>
      <c r="F666" s="60"/>
      <c r="G666" s="32"/>
      <c r="H666" s="28"/>
      <c r="I666" s="28"/>
      <c r="J666" s="20"/>
      <c r="K666" s="36"/>
      <c r="L666" s="36"/>
      <c r="M666" s="20"/>
      <c r="N666" s="20"/>
      <c r="O666" s="20"/>
      <c r="P666" s="189"/>
      <c r="Q666" s="45"/>
      <c r="R666" s="20"/>
      <c r="T666" s="327">
        <f t="shared" si="340"/>
        <v>0</v>
      </c>
      <c r="U666" s="327">
        <f t="shared" si="341"/>
        <v>0</v>
      </c>
      <c r="V666" s="327">
        <f t="shared" si="342"/>
        <v>0</v>
      </c>
      <c r="W666" s="327">
        <f t="shared" si="343"/>
        <v>0</v>
      </c>
      <c r="X666" s="65">
        <f t="shared" si="345"/>
        <v>0</v>
      </c>
      <c r="Y666" s="235">
        <f t="shared" si="344"/>
        <v>0</v>
      </c>
    </row>
    <row r="667" spans="2:25" s="222" customFormat="1" ht="12.75" customHeight="1" x14ac:dyDescent="0.2">
      <c r="B667" s="32"/>
      <c r="C667" s="32"/>
      <c r="D667" s="20"/>
      <c r="E667" s="60"/>
      <c r="F667" s="60"/>
      <c r="G667" s="32"/>
      <c r="H667" s="28"/>
      <c r="I667" s="28"/>
      <c r="J667" s="20"/>
      <c r="K667" s="36"/>
      <c r="L667" s="36"/>
      <c r="M667" s="20"/>
      <c r="N667" s="20"/>
      <c r="O667" s="20"/>
      <c r="P667" s="189"/>
      <c r="Q667" s="45"/>
      <c r="R667" s="20"/>
      <c r="T667" s="327">
        <f t="shared" si="340"/>
        <v>0</v>
      </c>
      <c r="U667" s="327">
        <f t="shared" si="341"/>
        <v>0</v>
      </c>
      <c r="V667" s="327">
        <f t="shared" si="342"/>
        <v>0</v>
      </c>
      <c r="W667" s="327">
        <f t="shared" si="343"/>
        <v>0</v>
      </c>
      <c r="X667" s="65">
        <f t="shared" si="345"/>
        <v>0</v>
      </c>
      <c r="Y667" s="235">
        <f t="shared" si="344"/>
        <v>0</v>
      </c>
    </row>
    <row r="668" spans="2:25" s="222" customFormat="1" ht="12.75" customHeight="1" x14ac:dyDescent="0.2">
      <c r="B668" s="32"/>
      <c r="C668" s="32"/>
      <c r="D668" s="20"/>
      <c r="E668" s="60"/>
      <c r="F668" s="60"/>
      <c r="G668" s="32"/>
      <c r="H668" s="28"/>
      <c r="I668" s="28"/>
      <c r="J668" s="20"/>
      <c r="K668" s="36"/>
      <c r="L668" s="36"/>
      <c r="M668" s="20"/>
      <c r="N668" s="20"/>
      <c r="O668" s="20"/>
      <c r="P668" s="189"/>
      <c r="Q668" s="45"/>
      <c r="R668" s="20"/>
      <c r="T668" s="327">
        <f t="shared" si="340"/>
        <v>0</v>
      </c>
      <c r="U668" s="327">
        <f t="shared" si="341"/>
        <v>0</v>
      </c>
      <c r="V668" s="327">
        <f t="shared" si="342"/>
        <v>0</v>
      </c>
      <c r="W668" s="327">
        <f t="shared" si="343"/>
        <v>0</v>
      </c>
      <c r="X668" s="65">
        <f t="shared" si="345"/>
        <v>0</v>
      </c>
      <c r="Y668" s="235">
        <f t="shared" si="344"/>
        <v>0</v>
      </c>
    </row>
    <row r="669" spans="2:25" s="222" customFormat="1" ht="12.75" customHeight="1" x14ac:dyDescent="0.2">
      <c r="B669" s="32"/>
      <c r="C669" s="32"/>
      <c r="D669" s="20"/>
      <c r="E669" s="60"/>
      <c r="F669" s="60"/>
      <c r="G669" s="32"/>
      <c r="H669" s="28"/>
      <c r="I669" s="28"/>
      <c r="J669" s="20"/>
      <c r="K669" s="36"/>
      <c r="L669" s="36"/>
      <c r="M669" s="20"/>
      <c r="N669" s="20"/>
      <c r="O669" s="20"/>
      <c r="P669" s="189"/>
      <c r="Q669" s="45"/>
      <c r="R669" s="20"/>
      <c r="T669" s="327">
        <f t="shared" si="340"/>
        <v>0</v>
      </c>
      <c r="U669" s="327">
        <f t="shared" si="341"/>
        <v>0</v>
      </c>
      <c r="V669" s="327">
        <f t="shared" si="342"/>
        <v>0</v>
      </c>
      <c r="W669" s="327">
        <f t="shared" si="343"/>
        <v>0</v>
      </c>
      <c r="X669" s="65">
        <f t="shared" si="345"/>
        <v>0</v>
      </c>
      <c r="Y669" s="235">
        <f t="shared" si="344"/>
        <v>0</v>
      </c>
    </row>
    <row r="670" spans="2:25" s="222" customFormat="1" ht="12.75" customHeight="1" x14ac:dyDescent="0.2">
      <c r="B670" s="32"/>
      <c r="C670" s="32"/>
      <c r="D670" s="20"/>
      <c r="E670" s="60"/>
      <c r="F670" s="60"/>
      <c r="G670" s="32"/>
      <c r="H670" s="28"/>
      <c r="I670" s="28"/>
      <c r="J670" s="20"/>
      <c r="K670" s="36"/>
      <c r="L670" s="36"/>
      <c r="M670" s="20"/>
      <c r="N670" s="20"/>
      <c r="O670" s="20"/>
      <c r="P670" s="189"/>
      <c r="Q670" s="45"/>
      <c r="R670" s="20"/>
      <c r="T670" s="327">
        <f t="shared" si="340"/>
        <v>0</v>
      </c>
      <c r="U670" s="327">
        <f t="shared" si="341"/>
        <v>0</v>
      </c>
      <c r="V670" s="327">
        <f t="shared" si="342"/>
        <v>0</v>
      </c>
      <c r="W670" s="327">
        <f t="shared" si="343"/>
        <v>0</v>
      </c>
      <c r="X670" s="65">
        <f t="shared" si="345"/>
        <v>0</v>
      </c>
      <c r="Y670" s="235">
        <f t="shared" si="344"/>
        <v>0</v>
      </c>
    </row>
    <row r="671" spans="2:25" s="222" customFormat="1" ht="12.75" customHeight="1" x14ac:dyDescent="0.2">
      <c r="B671" s="32"/>
      <c r="C671" s="32"/>
      <c r="D671" s="20"/>
      <c r="E671" s="60"/>
      <c r="F671" s="60"/>
      <c r="G671" s="32"/>
      <c r="H671" s="28"/>
      <c r="I671" s="28"/>
      <c r="J671" s="20"/>
      <c r="K671" s="36"/>
      <c r="L671" s="36"/>
      <c r="M671" s="20"/>
      <c r="N671" s="20"/>
      <c r="O671" s="20"/>
      <c r="P671" s="49"/>
      <c r="Q671" s="45"/>
      <c r="R671" s="20"/>
      <c r="T671" s="327">
        <f t="shared" si="340"/>
        <v>0</v>
      </c>
      <c r="U671" s="327">
        <f t="shared" si="341"/>
        <v>0</v>
      </c>
      <c r="V671" s="327">
        <f t="shared" si="342"/>
        <v>0</v>
      </c>
      <c r="W671" s="327">
        <f t="shared" si="343"/>
        <v>0</v>
      </c>
      <c r="X671" s="65">
        <f t="shared" si="345"/>
        <v>0</v>
      </c>
      <c r="Y671" s="235">
        <f t="shared" si="344"/>
        <v>0</v>
      </c>
    </row>
    <row r="672" spans="2:25" s="222" customFormat="1" ht="12.75" customHeight="1" x14ac:dyDescent="0.2">
      <c r="B672" s="32"/>
      <c r="C672" s="32"/>
      <c r="D672" s="20"/>
      <c r="E672" s="60"/>
      <c r="F672" s="60"/>
      <c r="G672" s="32"/>
      <c r="H672" s="28"/>
      <c r="I672" s="28"/>
      <c r="J672" s="20"/>
      <c r="K672" s="36"/>
      <c r="L672" s="36"/>
      <c r="M672" s="20"/>
      <c r="N672" s="20"/>
      <c r="O672" s="20"/>
      <c r="P672" s="49"/>
      <c r="Q672" s="45"/>
      <c r="R672" s="20"/>
      <c r="T672" s="327">
        <f t="shared" si="340"/>
        <v>0</v>
      </c>
      <c r="U672" s="327">
        <f t="shared" si="341"/>
        <v>0</v>
      </c>
      <c r="V672" s="327">
        <f t="shared" si="342"/>
        <v>0</v>
      </c>
      <c r="W672" s="327">
        <f t="shared" si="343"/>
        <v>0</v>
      </c>
      <c r="X672" s="65">
        <f t="shared" si="345"/>
        <v>0</v>
      </c>
      <c r="Y672" s="235">
        <f t="shared" si="344"/>
        <v>0</v>
      </c>
    </row>
    <row r="673" spans="2:25" s="222" customFormat="1" ht="12.75" customHeight="1" x14ac:dyDescent="0.2">
      <c r="B673" s="32"/>
      <c r="C673" s="32"/>
      <c r="D673" s="20"/>
      <c r="E673" s="60"/>
      <c r="F673" s="60"/>
      <c r="G673" s="32"/>
      <c r="H673" s="28"/>
      <c r="I673" s="28"/>
      <c r="J673" s="20"/>
      <c r="K673" s="36"/>
      <c r="L673" s="36"/>
      <c r="M673" s="20"/>
      <c r="N673" s="20"/>
      <c r="O673" s="20"/>
      <c r="P673" s="49"/>
      <c r="Q673" s="45"/>
      <c r="R673" s="20"/>
      <c r="T673" s="327">
        <f t="shared" si="340"/>
        <v>0</v>
      </c>
      <c r="U673" s="327">
        <f t="shared" si="341"/>
        <v>0</v>
      </c>
      <c r="V673" s="327">
        <f t="shared" si="342"/>
        <v>0</v>
      </c>
      <c r="W673" s="327">
        <f t="shared" si="343"/>
        <v>0</v>
      </c>
      <c r="X673" s="65">
        <f t="shared" si="345"/>
        <v>0</v>
      </c>
      <c r="Y673" s="235">
        <f t="shared" si="344"/>
        <v>0</v>
      </c>
    </row>
    <row r="674" spans="2:25" s="222" customFormat="1" ht="12.75" customHeight="1" x14ac:dyDescent="0.2">
      <c r="B674" s="32"/>
      <c r="C674" s="32"/>
      <c r="D674" s="20"/>
      <c r="E674" s="60"/>
      <c r="F674" s="60"/>
      <c r="G674" s="32"/>
      <c r="H674" s="28"/>
      <c r="I674" s="28"/>
      <c r="J674" s="20"/>
      <c r="K674" s="36"/>
      <c r="L674" s="36"/>
      <c r="M674" s="20"/>
      <c r="N674" s="20"/>
      <c r="O674" s="20"/>
      <c r="P674" s="49"/>
      <c r="Q674" s="45"/>
      <c r="R674" s="20"/>
      <c r="T674" s="327">
        <f t="shared" si="340"/>
        <v>0</v>
      </c>
      <c r="U674" s="327">
        <f t="shared" si="341"/>
        <v>0</v>
      </c>
      <c r="V674" s="327">
        <f t="shared" si="342"/>
        <v>0</v>
      </c>
      <c r="W674" s="327">
        <f t="shared" si="343"/>
        <v>0</v>
      </c>
      <c r="X674" s="65">
        <f t="shared" si="345"/>
        <v>0</v>
      </c>
      <c r="Y674" s="235">
        <f t="shared" si="344"/>
        <v>0</v>
      </c>
    </row>
    <row r="675" spans="2:25" s="222" customFormat="1" ht="12.75" customHeight="1" x14ac:dyDescent="0.2">
      <c r="B675" s="32"/>
      <c r="C675" s="32"/>
      <c r="D675" s="20"/>
      <c r="E675" s="60"/>
      <c r="F675" s="60"/>
      <c r="G675" s="32"/>
      <c r="H675" s="28"/>
      <c r="I675" s="28"/>
      <c r="J675" s="20"/>
      <c r="K675" s="36"/>
      <c r="L675" s="36"/>
      <c r="M675" s="20"/>
      <c r="N675" s="20"/>
      <c r="O675" s="20"/>
      <c r="P675" s="189"/>
      <c r="Q675" s="45"/>
      <c r="R675" s="20"/>
      <c r="T675" s="327">
        <f t="shared" si="340"/>
        <v>0</v>
      </c>
      <c r="U675" s="327">
        <f t="shared" si="341"/>
        <v>0</v>
      </c>
      <c r="V675" s="327">
        <f t="shared" si="342"/>
        <v>0</v>
      </c>
      <c r="W675" s="327">
        <f t="shared" si="343"/>
        <v>0</v>
      </c>
      <c r="X675" s="65">
        <f t="shared" si="345"/>
        <v>0</v>
      </c>
      <c r="Y675" s="235">
        <f t="shared" si="344"/>
        <v>0</v>
      </c>
    </row>
    <row r="676" spans="2:25" s="222" customFormat="1" ht="12.75" customHeight="1" x14ac:dyDescent="0.2">
      <c r="B676" s="32"/>
      <c r="C676" s="32"/>
      <c r="D676" s="20"/>
      <c r="E676" s="60"/>
      <c r="F676" s="60"/>
      <c r="G676" s="32"/>
      <c r="H676" s="28"/>
      <c r="I676" s="28"/>
      <c r="J676" s="20"/>
      <c r="K676" s="36"/>
      <c r="L676" s="36"/>
      <c r="M676" s="20"/>
      <c r="N676" s="20"/>
      <c r="O676" s="20"/>
      <c r="P676" s="189"/>
      <c r="Q676" s="45"/>
      <c r="R676" s="20"/>
      <c r="T676" s="327">
        <f t="shared" si="340"/>
        <v>0</v>
      </c>
      <c r="U676" s="327">
        <f t="shared" si="341"/>
        <v>0</v>
      </c>
      <c r="V676" s="327">
        <f t="shared" si="342"/>
        <v>0</v>
      </c>
      <c r="W676" s="327">
        <f t="shared" si="343"/>
        <v>0</v>
      </c>
      <c r="X676" s="65">
        <f t="shared" si="345"/>
        <v>0</v>
      </c>
      <c r="Y676" s="235">
        <f t="shared" si="344"/>
        <v>0</v>
      </c>
    </row>
    <row r="677" spans="2:25" s="222" customFormat="1" ht="12.75" customHeight="1" x14ac:dyDescent="0.2">
      <c r="B677" s="32"/>
      <c r="C677" s="32"/>
      <c r="D677" s="20"/>
      <c r="E677" s="60"/>
      <c r="F677" s="60"/>
      <c r="G677" s="32"/>
      <c r="H677" s="28"/>
      <c r="I677" s="28"/>
      <c r="J677" s="20"/>
      <c r="K677" s="36"/>
      <c r="L677" s="36"/>
      <c r="M677" s="20"/>
      <c r="N677" s="20"/>
      <c r="O677" s="20"/>
      <c r="P677" s="189"/>
      <c r="Q677" s="45"/>
      <c r="R677" s="20"/>
      <c r="T677" s="327">
        <f t="shared" si="340"/>
        <v>0</v>
      </c>
      <c r="U677" s="327">
        <f t="shared" si="341"/>
        <v>0</v>
      </c>
      <c r="V677" s="327">
        <f t="shared" si="342"/>
        <v>0</v>
      </c>
      <c r="W677" s="327">
        <f t="shared" si="343"/>
        <v>0</v>
      </c>
      <c r="X677" s="65">
        <f t="shared" si="345"/>
        <v>0</v>
      </c>
      <c r="Y677" s="235">
        <f t="shared" si="344"/>
        <v>0</v>
      </c>
    </row>
    <row r="678" spans="2:25" s="222" customFormat="1" ht="12.75" customHeight="1" x14ac:dyDescent="0.2">
      <c r="B678" s="32"/>
      <c r="C678" s="32"/>
      <c r="D678" s="20"/>
      <c r="E678" s="60"/>
      <c r="F678" s="60"/>
      <c r="G678" s="32"/>
      <c r="H678" s="28"/>
      <c r="I678" s="28"/>
      <c r="J678" s="20"/>
      <c r="K678" s="36"/>
      <c r="L678" s="36"/>
      <c r="M678" s="20"/>
      <c r="N678" s="20"/>
      <c r="O678" s="20"/>
      <c r="P678" s="189"/>
      <c r="Q678" s="45"/>
      <c r="R678" s="20"/>
      <c r="T678" s="327">
        <f t="shared" si="340"/>
        <v>0</v>
      </c>
      <c r="U678" s="327">
        <f t="shared" si="341"/>
        <v>0</v>
      </c>
      <c r="V678" s="327">
        <f t="shared" si="342"/>
        <v>0</v>
      </c>
      <c r="W678" s="327">
        <f t="shared" si="343"/>
        <v>0</v>
      </c>
      <c r="X678" s="65">
        <f t="shared" si="345"/>
        <v>0</v>
      </c>
      <c r="Y678" s="235">
        <f t="shared" si="344"/>
        <v>0</v>
      </c>
    </row>
    <row r="679" spans="2:25" s="222" customFormat="1" ht="12.75" customHeight="1" x14ac:dyDescent="0.2">
      <c r="B679" s="32"/>
      <c r="C679" s="32"/>
      <c r="D679" s="20"/>
      <c r="E679" s="60"/>
      <c r="F679" s="60"/>
      <c r="G679" s="32"/>
      <c r="H679" s="28"/>
      <c r="I679" s="28"/>
      <c r="J679" s="20"/>
      <c r="K679" s="36"/>
      <c r="L679" s="36"/>
      <c r="M679" s="20"/>
      <c r="N679" s="20"/>
      <c r="O679" s="20"/>
      <c r="P679" s="189"/>
      <c r="Q679" s="45"/>
      <c r="R679" s="20"/>
      <c r="T679" s="327">
        <f t="shared" si="340"/>
        <v>0</v>
      </c>
      <c r="U679" s="327">
        <f t="shared" si="341"/>
        <v>0</v>
      </c>
      <c r="V679" s="327">
        <f t="shared" si="342"/>
        <v>0</v>
      </c>
      <c r="W679" s="327">
        <f t="shared" si="343"/>
        <v>0</v>
      </c>
      <c r="X679" s="65">
        <f t="shared" si="345"/>
        <v>0</v>
      </c>
      <c r="Y679" s="235">
        <f t="shared" si="344"/>
        <v>0</v>
      </c>
    </row>
    <row r="680" spans="2:25" s="222" customFormat="1" ht="12.75" customHeight="1" x14ac:dyDescent="0.2">
      <c r="B680" s="32"/>
      <c r="C680" s="32"/>
      <c r="D680" s="20"/>
      <c r="E680" s="60"/>
      <c r="F680" s="60"/>
      <c r="G680" s="32"/>
      <c r="H680" s="28"/>
      <c r="I680" s="28"/>
      <c r="J680" s="20"/>
      <c r="K680" s="36"/>
      <c r="L680" s="36"/>
      <c r="M680" s="20"/>
      <c r="N680" s="20"/>
      <c r="O680" s="20"/>
      <c r="P680" s="319"/>
      <c r="Q680" s="45"/>
      <c r="R680" s="20"/>
      <c r="T680" s="327">
        <f t="shared" si="340"/>
        <v>0</v>
      </c>
      <c r="U680" s="327">
        <f t="shared" si="341"/>
        <v>0</v>
      </c>
      <c r="V680" s="327">
        <f t="shared" si="342"/>
        <v>0</v>
      </c>
      <c r="W680" s="327">
        <f t="shared" si="343"/>
        <v>0</v>
      </c>
      <c r="X680" s="65">
        <f t="shared" si="345"/>
        <v>0</v>
      </c>
      <c r="Y680" s="235">
        <f t="shared" si="344"/>
        <v>0</v>
      </c>
    </row>
    <row r="681" spans="2:25" s="222" customFormat="1" ht="12.75" customHeight="1" x14ac:dyDescent="0.2">
      <c r="B681" s="32"/>
      <c r="C681" s="32"/>
      <c r="D681" s="20"/>
      <c r="E681" s="60"/>
      <c r="F681" s="60"/>
      <c r="G681" s="32"/>
      <c r="H681" s="28"/>
      <c r="I681" s="28"/>
      <c r="J681" s="20"/>
      <c r="K681" s="36"/>
      <c r="L681" s="36"/>
      <c r="M681" s="20"/>
      <c r="N681" s="20"/>
      <c r="O681" s="20"/>
      <c r="P681" s="319"/>
      <c r="Q681" s="45"/>
      <c r="R681" s="20"/>
      <c r="T681" s="327">
        <f t="shared" si="340"/>
        <v>0</v>
      </c>
      <c r="U681" s="327">
        <f t="shared" si="341"/>
        <v>0</v>
      </c>
      <c r="V681" s="327">
        <f t="shared" si="342"/>
        <v>0</v>
      </c>
      <c r="W681" s="327">
        <f t="shared" si="343"/>
        <v>0</v>
      </c>
      <c r="X681" s="65">
        <f t="shared" si="345"/>
        <v>0</v>
      </c>
      <c r="Y681" s="235">
        <f t="shared" si="344"/>
        <v>0</v>
      </c>
    </row>
    <row r="682" spans="2:25" s="222" customFormat="1" ht="12.75" customHeight="1" x14ac:dyDescent="0.2">
      <c r="B682" s="32"/>
      <c r="C682" s="32"/>
      <c r="D682" s="20"/>
      <c r="E682" s="60"/>
      <c r="F682" s="60"/>
      <c r="G682" s="32"/>
      <c r="H682" s="28"/>
      <c r="I682" s="28"/>
      <c r="J682" s="20"/>
      <c r="K682" s="36"/>
      <c r="L682" s="36"/>
      <c r="M682" s="20"/>
      <c r="N682" s="20"/>
      <c r="O682" s="20"/>
      <c r="P682" s="49"/>
      <c r="Q682" s="45"/>
      <c r="R682" s="20"/>
      <c r="T682" s="327">
        <f t="shared" si="340"/>
        <v>0</v>
      </c>
      <c r="U682" s="327">
        <f t="shared" si="341"/>
        <v>0</v>
      </c>
      <c r="V682" s="327">
        <f t="shared" si="342"/>
        <v>0</v>
      </c>
      <c r="W682" s="327">
        <f t="shared" si="343"/>
        <v>0</v>
      </c>
      <c r="X682" s="65">
        <f t="shared" si="345"/>
        <v>0</v>
      </c>
      <c r="Y682" s="235">
        <f t="shared" si="344"/>
        <v>0</v>
      </c>
    </row>
    <row r="683" spans="2:25" s="222" customFormat="1" ht="12.75" customHeight="1" x14ac:dyDescent="0.2">
      <c r="B683" s="32"/>
      <c r="C683" s="32"/>
      <c r="D683" s="20"/>
      <c r="E683" s="60"/>
      <c r="F683" s="60"/>
      <c r="G683" s="32"/>
      <c r="H683" s="28"/>
      <c r="I683" s="28"/>
      <c r="J683" s="20"/>
      <c r="K683" s="36"/>
      <c r="L683" s="36"/>
      <c r="M683" s="20"/>
      <c r="N683" s="20"/>
      <c r="O683" s="20"/>
      <c r="P683" s="20" t="s">
        <v>788</v>
      </c>
      <c r="Q683" s="45"/>
      <c r="R683" s="20"/>
      <c r="T683" s="327">
        <f t="shared" si="340"/>
        <v>0</v>
      </c>
      <c r="U683" s="327">
        <f t="shared" si="341"/>
        <v>0</v>
      </c>
      <c r="V683" s="327">
        <f t="shared" si="342"/>
        <v>0</v>
      </c>
      <c r="W683" s="327">
        <f t="shared" si="343"/>
        <v>0</v>
      </c>
      <c r="X683" s="65">
        <f t="shared" si="345"/>
        <v>0</v>
      </c>
      <c r="Y683" s="235">
        <f t="shared" si="344"/>
        <v>0</v>
      </c>
    </row>
    <row r="684" spans="2:25" s="222" customFormat="1" ht="12.75" customHeight="1" x14ac:dyDescent="0.2">
      <c r="B684" s="32"/>
      <c r="C684" s="32"/>
      <c r="D684" s="20"/>
      <c r="E684" s="60"/>
      <c r="F684" s="60"/>
      <c r="G684" s="32"/>
      <c r="H684" s="28"/>
      <c r="I684" s="28"/>
      <c r="J684" s="20"/>
      <c r="K684" s="36"/>
      <c r="L684" s="36"/>
      <c r="M684" s="20"/>
      <c r="N684" s="20"/>
      <c r="O684" s="20"/>
      <c r="P684" s="319"/>
      <c r="Q684" s="45"/>
      <c r="R684" s="20"/>
      <c r="T684" s="327">
        <f t="shared" si="340"/>
        <v>0</v>
      </c>
      <c r="U684" s="327">
        <f t="shared" si="341"/>
        <v>0</v>
      </c>
      <c r="V684" s="327">
        <f t="shared" si="342"/>
        <v>0</v>
      </c>
      <c r="W684" s="327">
        <f t="shared" si="343"/>
        <v>0</v>
      </c>
      <c r="X684" s="65">
        <f t="shared" si="345"/>
        <v>0</v>
      </c>
      <c r="Y684" s="235">
        <f t="shared" si="344"/>
        <v>0</v>
      </c>
    </row>
    <row r="685" spans="2:25" s="222" customFormat="1" ht="12.75" customHeight="1" x14ac:dyDescent="0.2">
      <c r="B685" s="32"/>
      <c r="C685" s="32"/>
      <c r="D685" s="20"/>
      <c r="E685" s="60"/>
      <c r="F685" s="60"/>
      <c r="G685" s="32"/>
      <c r="H685" s="28"/>
      <c r="I685" s="28"/>
      <c r="J685" s="20"/>
      <c r="K685" s="36"/>
      <c r="L685" s="36"/>
      <c r="M685" s="20"/>
      <c r="N685" s="20"/>
      <c r="O685" s="20"/>
      <c r="P685" s="323"/>
      <c r="Q685" s="45"/>
      <c r="R685" s="20"/>
      <c r="T685" s="327">
        <f t="shared" si="340"/>
        <v>0</v>
      </c>
      <c r="U685" s="327">
        <f t="shared" si="341"/>
        <v>0</v>
      </c>
      <c r="V685" s="327">
        <f t="shared" si="342"/>
        <v>0</v>
      </c>
      <c r="W685" s="327">
        <f t="shared" si="343"/>
        <v>0</v>
      </c>
      <c r="X685" s="65">
        <f t="shared" si="345"/>
        <v>0</v>
      </c>
      <c r="Y685" s="235">
        <f t="shared" si="344"/>
        <v>0</v>
      </c>
    </row>
    <row r="686" spans="2:25" s="222" customFormat="1" ht="12.75" customHeight="1" x14ac:dyDescent="0.2">
      <c r="B686" s="32"/>
      <c r="C686" s="32"/>
      <c r="D686" s="20"/>
      <c r="E686" s="60"/>
      <c r="F686" s="60"/>
      <c r="G686" s="32"/>
      <c r="H686" s="28"/>
      <c r="I686" s="28"/>
      <c r="J686" s="20"/>
      <c r="K686" s="36"/>
      <c r="L686" s="36"/>
      <c r="M686" s="20"/>
      <c r="N686" s="20"/>
      <c r="O686" s="20"/>
      <c r="P686" s="319"/>
      <c r="Q686" s="45"/>
      <c r="R686" s="20"/>
      <c r="T686" s="327">
        <f t="shared" si="340"/>
        <v>0</v>
      </c>
      <c r="U686" s="327">
        <f t="shared" si="341"/>
        <v>0</v>
      </c>
      <c r="V686" s="327">
        <f t="shared" si="342"/>
        <v>0</v>
      </c>
      <c r="W686" s="327">
        <f t="shared" si="343"/>
        <v>0</v>
      </c>
      <c r="X686" s="65">
        <f t="shared" si="345"/>
        <v>0</v>
      </c>
      <c r="Y686" s="235">
        <f t="shared" si="344"/>
        <v>0</v>
      </c>
    </row>
    <row r="687" spans="2:25" s="222" customFormat="1" ht="12.75" customHeight="1" x14ac:dyDescent="0.2">
      <c r="B687" s="32"/>
      <c r="C687" s="32"/>
      <c r="D687" s="20"/>
      <c r="E687" s="60"/>
      <c r="F687" s="60"/>
      <c r="G687" s="32"/>
      <c r="H687" s="28"/>
      <c r="I687" s="28"/>
      <c r="J687" s="20"/>
      <c r="K687" s="36"/>
      <c r="L687" s="36"/>
      <c r="M687" s="20"/>
      <c r="N687" s="20"/>
      <c r="O687" s="20"/>
      <c r="P687" s="49"/>
      <c r="Q687" s="45"/>
      <c r="R687" s="20"/>
      <c r="T687" s="327">
        <f t="shared" si="340"/>
        <v>0</v>
      </c>
      <c r="U687" s="327">
        <f t="shared" si="341"/>
        <v>0</v>
      </c>
      <c r="V687" s="327">
        <f t="shared" si="342"/>
        <v>0</v>
      </c>
      <c r="W687" s="327">
        <f t="shared" si="343"/>
        <v>0</v>
      </c>
      <c r="X687" s="65">
        <f t="shared" si="345"/>
        <v>0</v>
      </c>
      <c r="Y687" s="235">
        <f t="shared" si="344"/>
        <v>0</v>
      </c>
    </row>
    <row r="688" spans="2:25" s="222" customFormat="1" ht="12.75" customHeight="1" x14ac:dyDescent="0.2">
      <c r="B688" s="32"/>
      <c r="C688" s="32"/>
      <c r="D688" s="20"/>
      <c r="E688" s="60"/>
      <c r="F688" s="60"/>
      <c r="G688" s="32"/>
      <c r="H688" s="28"/>
      <c r="I688" s="28"/>
      <c r="J688" s="20"/>
      <c r="K688" s="36"/>
      <c r="L688" s="36"/>
      <c r="M688" s="20"/>
      <c r="N688" s="20"/>
      <c r="O688" s="20"/>
      <c r="P688" s="49"/>
      <c r="Q688" s="45"/>
      <c r="R688" s="20"/>
      <c r="T688" s="327">
        <f t="shared" si="340"/>
        <v>0</v>
      </c>
      <c r="U688" s="327">
        <f t="shared" si="341"/>
        <v>0</v>
      </c>
      <c r="V688" s="327">
        <f t="shared" si="342"/>
        <v>0</v>
      </c>
      <c r="W688" s="327">
        <f t="shared" si="343"/>
        <v>0</v>
      </c>
      <c r="X688" s="65">
        <f t="shared" si="345"/>
        <v>0</v>
      </c>
      <c r="Y688" s="235">
        <f t="shared" si="344"/>
        <v>0</v>
      </c>
    </row>
    <row r="689" spans="2:25" s="222" customFormat="1" ht="12.75" customHeight="1" x14ac:dyDescent="0.2">
      <c r="B689" s="32"/>
      <c r="C689" s="32"/>
      <c r="D689" s="20"/>
      <c r="E689" s="60"/>
      <c r="F689" s="60"/>
      <c r="G689" s="32"/>
      <c r="H689" s="28"/>
      <c r="I689" s="28"/>
      <c r="J689" s="20"/>
      <c r="K689" s="36"/>
      <c r="L689" s="36"/>
      <c r="M689" s="20"/>
      <c r="N689" s="20"/>
      <c r="O689" s="20"/>
      <c r="P689" s="49"/>
      <c r="Q689" s="45"/>
      <c r="R689" s="20"/>
      <c r="T689" s="327">
        <f t="shared" si="340"/>
        <v>0</v>
      </c>
      <c r="U689" s="327">
        <f t="shared" si="341"/>
        <v>0</v>
      </c>
      <c r="V689" s="327">
        <f t="shared" si="342"/>
        <v>0</v>
      </c>
      <c r="W689" s="327">
        <f t="shared" si="343"/>
        <v>0</v>
      </c>
      <c r="X689" s="65">
        <f t="shared" si="345"/>
        <v>0</v>
      </c>
      <c r="Y689" s="235">
        <f t="shared" si="344"/>
        <v>0</v>
      </c>
    </row>
    <row r="690" spans="2:25" s="222" customFormat="1" ht="12.75" customHeight="1" x14ac:dyDescent="0.2">
      <c r="B690" s="32"/>
      <c r="C690" s="32"/>
      <c r="D690" s="20"/>
      <c r="E690" s="60"/>
      <c r="F690" s="60"/>
      <c r="G690" s="32"/>
      <c r="H690" s="28"/>
      <c r="I690" s="28"/>
      <c r="J690" s="20"/>
      <c r="K690" s="36"/>
      <c r="L690" s="36"/>
      <c r="M690" s="20"/>
      <c r="N690" s="20"/>
      <c r="O690" s="20"/>
      <c r="P690" s="49"/>
      <c r="Q690" s="45"/>
      <c r="R690" s="20"/>
      <c r="T690" s="327">
        <f t="shared" si="340"/>
        <v>0</v>
      </c>
      <c r="U690" s="327">
        <f t="shared" si="341"/>
        <v>0</v>
      </c>
      <c r="V690" s="327">
        <f t="shared" si="342"/>
        <v>0</v>
      </c>
      <c r="W690" s="327">
        <f t="shared" si="343"/>
        <v>0</v>
      </c>
      <c r="X690" s="65">
        <f t="shared" si="345"/>
        <v>0</v>
      </c>
      <c r="Y690" s="235">
        <f t="shared" si="344"/>
        <v>0</v>
      </c>
    </row>
    <row r="691" spans="2:25" s="222" customFormat="1" ht="12.75" customHeight="1" x14ac:dyDescent="0.2">
      <c r="B691" s="32"/>
      <c r="C691" s="32"/>
      <c r="D691" s="20"/>
      <c r="E691" s="60"/>
      <c r="F691" s="60"/>
      <c r="G691" s="32"/>
      <c r="H691" s="28"/>
      <c r="I691" s="28"/>
      <c r="J691" s="20"/>
      <c r="K691" s="36"/>
      <c r="L691" s="36"/>
      <c r="M691" s="20"/>
      <c r="N691" s="20"/>
      <c r="O691" s="20"/>
      <c r="P691" s="189"/>
      <c r="Q691" s="45"/>
      <c r="R691" s="20"/>
      <c r="T691" s="327">
        <f t="shared" si="340"/>
        <v>0</v>
      </c>
      <c r="U691" s="327">
        <f t="shared" si="341"/>
        <v>0</v>
      </c>
      <c r="V691" s="327">
        <f t="shared" si="342"/>
        <v>0</v>
      </c>
      <c r="W691" s="327">
        <f t="shared" si="343"/>
        <v>0</v>
      </c>
      <c r="X691" s="65">
        <f t="shared" si="345"/>
        <v>0</v>
      </c>
      <c r="Y691" s="235">
        <f t="shared" si="344"/>
        <v>0</v>
      </c>
    </row>
    <row r="692" spans="2:25" s="222" customFormat="1" ht="12.75" customHeight="1" x14ac:dyDescent="0.2">
      <c r="B692" s="32"/>
      <c r="C692" s="32"/>
      <c r="D692" s="20"/>
      <c r="E692" s="60"/>
      <c r="F692" s="60"/>
      <c r="G692" s="32"/>
      <c r="H692" s="28"/>
      <c r="I692" s="28"/>
      <c r="J692" s="20"/>
      <c r="K692" s="36"/>
      <c r="L692" s="36"/>
      <c r="M692" s="20"/>
      <c r="N692" s="20"/>
      <c r="O692" s="20"/>
      <c r="P692" s="189"/>
      <c r="Q692" s="45"/>
      <c r="R692" s="20"/>
      <c r="T692" s="327">
        <f t="shared" si="340"/>
        <v>0</v>
      </c>
      <c r="U692" s="327">
        <f t="shared" si="341"/>
        <v>0</v>
      </c>
      <c r="V692" s="327">
        <f t="shared" si="342"/>
        <v>0</v>
      </c>
      <c r="W692" s="327">
        <f t="shared" si="343"/>
        <v>0</v>
      </c>
      <c r="X692" s="65">
        <f t="shared" si="345"/>
        <v>0</v>
      </c>
      <c r="Y692" s="235">
        <f t="shared" si="344"/>
        <v>0</v>
      </c>
    </row>
    <row r="693" spans="2:25" s="222" customFormat="1" ht="12.75" customHeight="1" x14ac:dyDescent="0.2">
      <c r="B693" s="32"/>
      <c r="C693" s="32"/>
      <c r="D693" s="20"/>
      <c r="E693" s="60"/>
      <c r="F693" s="60"/>
      <c r="G693" s="32"/>
      <c r="H693" s="28"/>
      <c r="I693" s="28"/>
      <c r="J693" s="20"/>
      <c r="K693" s="36"/>
      <c r="L693" s="36"/>
      <c r="M693" s="20"/>
      <c r="N693" s="20"/>
      <c r="O693" s="20"/>
      <c r="P693" s="319"/>
      <c r="Q693" s="45"/>
      <c r="R693" s="20"/>
      <c r="T693" s="327">
        <f t="shared" si="340"/>
        <v>0</v>
      </c>
      <c r="U693" s="327">
        <f t="shared" si="341"/>
        <v>0</v>
      </c>
      <c r="V693" s="327">
        <f t="shared" si="342"/>
        <v>0</v>
      </c>
      <c r="W693" s="327">
        <f t="shared" si="343"/>
        <v>0</v>
      </c>
      <c r="X693" s="65">
        <f t="shared" si="345"/>
        <v>0</v>
      </c>
      <c r="Y693" s="235">
        <f t="shared" si="344"/>
        <v>0</v>
      </c>
    </row>
    <row r="694" spans="2:25" s="222" customFormat="1" ht="12.75" customHeight="1" x14ac:dyDescent="0.2">
      <c r="B694" s="32"/>
      <c r="C694" s="32"/>
      <c r="D694" s="20"/>
      <c r="E694" s="60"/>
      <c r="F694" s="60"/>
      <c r="G694" s="32"/>
      <c r="H694" s="28"/>
      <c r="I694" s="28"/>
      <c r="J694" s="20"/>
      <c r="K694" s="36"/>
      <c r="L694" s="36"/>
      <c r="M694" s="20"/>
      <c r="N694" s="20"/>
      <c r="O694" s="20"/>
      <c r="P694" s="319"/>
      <c r="Q694" s="45"/>
      <c r="R694" s="20"/>
      <c r="T694" s="327">
        <f t="shared" si="340"/>
        <v>0</v>
      </c>
      <c r="U694" s="327">
        <f t="shared" si="341"/>
        <v>0</v>
      </c>
      <c r="V694" s="327">
        <f t="shared" si="342"/>
        <v>0</v>
      </c>
      <c r="W694" s="327">
        <f t="shared" si="343"/>
        <v>0</v>
      </c>
      <c r="X694" s="65">
        <f t="shared" si="345"/>
        <v>0</v>
      </c>
      <c r="Y694" s="235">
        <f t="shared" si="344"/>
        <v>0</v>
      </c>
    </row>
    <row r="695" spans="2:25" s="222" customFormat="1" ht="12.75" customHeight="1" x14ac:dyDescent="0.2">
      <c r="B695" s="32"/>
      <c r="C695" s="32"/>
      <c r="D695" s="20"/>
      <c r="E695" s="60"/>
      <c r="F695" s="60"/>
      <c r="G695" s="32"/>
      <c r="H695" s="28"/>
      <c r="I695" s="28"/>
      <c r="J695" s="20"/>
      <c r="K695" s="36"/>
      <c r="L695" s="36"/>
      <c r="M695" s="20"/>
      <c r="N695" s="20"/>
      <c r="O695" s="20"/>
      <c r="P695" s="49" t="s">
        <v>789</v>
      </c>
      <c r="Q695" s="45"/>
      <c r="R695" s="20"/>
      <c r="T695" s="327">
        <f t="shared" si="340"/>
        <v>0</v>
      </c>
      <c r="U695" s="327">
        <f t="shared" si="341"/>
        <v>0</v>
      </c>
      <c r="V695" s="327">
        <f t="shared" si="342"/>
        <v>0</v>
      </c>
      <c r="W695" s="327">
        <f t="shared" si="343"/>
        <v>0</v>
      </c>
      <c r="X695" s="65">
        <f t="shared" si="345"/>
        <v>0</v>
      </c>
      <c r="Y695" s="235">
        <f t="shared" si="344"/>
        <v>0</v>
      </c>
    </row>
    <row r="696" spans="2:25" s="222" customFormat="1" ht="12.75" customHeight="1" x14ac:dyDescent="0.2">
      <c r="B696" s="32"/>
      <c r="C696" s="32"/>
      <c r="D696" s="20"/>
      <c r="E696" s="60"/>
      <c r="F696" s="60"/>
      <c r="G696" s="32"/>
      <c r="H696" s="28"/>
      <c r="I696" s="28"/>
      <c r="J696" s="20"/>
      <c r="K696" s="36"/>
      <c r="L696" s="36"/>
      <c r="M696" s="20"/>
      <c r="N696" s="20"/>
      <c r="O696" s="20"/>
      <c r="P696" s="20" t="s">
        <v>790</v>
      </c>
      <c r="Q696" s="45"/>
      <c r="R696" s="20"/>
      <c r="T696" s="327">
        <f t="shared" si="340"/>
        <v>0</v>
      </c>
      <c r="U696" s="327">
        <f t="shared" si="341"/>
        <v>0</v>
      </c>
      <c r="V696" s="327">
        <f t="shared" si="342"/>
        <v>0</v>
      </c>
      <c r="W696" s="327">
        <f t="shared" si="343"/>
        <v>0</v>
      </c>
      <c r="X696" s="65">
        <f t="shared" si="345"/>
        <v>0</v>
      </c>
      <c r="Y696" s="235">
        <f t="shared" si="344"/>
        <v>0</v>
      </c>
    </row>
    <row r="697" spans="2:25" s="222" customFormat="1" ht="12.75" customHeight="1" x14ac:dyDescent="0.2">
      <c r="B697" s="32"/>
      <c r="C697" s="32"/>
      <c r="D697" s="20"/>
      <c r="E697" s="60"/>
      <c r="F697" s="60"/>
      <c r="G697" s="32"/>
      <c r="H697" s="28"/>
      <c r="I697" s="28"/>
      <c r="J697" s="20"/>
      <c r="K697" s="36"/>
      <c r="L697" s="36"/>
      <c r="M697" s="20"/>
      <c r="N697" s="20"/>
      <c r="O697" s="20"/>
      <c r="P697" s="189"/>
      <c r="Q697" s="45"/>
      <c r="R697" s="20"/>
      <c r="T697" s="327">
        <f t="shared" si="340"/>
        <v>0</v>
      </c>
      <c r="U697" s="327">
        <f t="shared" si="341"/>
        <v>0</v>
      </c>
      <c r="V697" s="327">
        <f t="shared" si="342"/>
        <v>0</v>
      </c>
      <c r="W697" s="327">
        <f t="shared" si="343"/>
        <v>0</v>
      </c>
      <c r="X697" s="65">
        <f t="shared" si="345"/>
        <v>0</v>
      </c>
      <c r="Y697" s="235">
        <f t="shared" si="344"/>
        <v>0</v>
      </c>
    </row>
    <row r="698" spans="2:25" s="222" customFormat="1" ht="12.75" customHeight="1" x14ac:dyDescent="0.2">
      <c r="B698" s="32"/>
      <c r="C698" s="32"/>
      <c r="D698" s="20"/>
      <c r="E698" s="60"/>
      <c r="F698" s="60"/>
      <c r="G698" s="32"/>
      <c r="H698" s="28"/>
      <c r="I698" s="28"/>
      <c r="J698" s="20"/>
      <c r="K698" s="36"/>
      <c r="L698" s="36"/>
      <c r="M698" s="20"/>
      <c r="N698" s="20"/>
      <c r="O698" s="20"/>
      <c r="P698" s="189"/>
      <c r="Q698" s="45"/>
      <c r="R698" s="20"/>
      <c r="T698" s="327">
        <f t="shared" si="340"/>
        <v>0</v>
      </c>
      <c r="U698" s="327">
        <f t="shared" si="341"/>
        <v>0</v>
      </c>
      <c r="V698" s="327">
        <f t="shared" si="342"/>
        <v>0</v>
      </c>
      <c r="W698" s="327">
        <f t="shared" si="343"/>
        <v>0</v>
      </c>
      <c r="X698" s="65">
        <f t="shared" si="345"/>
        <v>0</v>
      </c>
      <c r="Y698" s="235">
        <f t="shared" si="344"/>
        <v>0</v>
      </c>
    </row>
    <row r="699" spans="2:25" s="222" customFormat="1" ht="12.75" customHeight="1" x14ac:dyDescent="0.2">
      <c r="B699" s="32"/>
      <c r="C699" s="32"/>
      <c r="D699" s="20"/>
      <c r="E699" s="60"/>
      <c r="F699" s="60"/>
      <c r="G699" s="32"/>
      <c r="H699" s="28"/>
      <c r="I699" s="28"/>
      <c r="J699" s="20"/>
      <c r="K699" s="36"/>
      <c r="L699" s="36"/>
      <c r="M699" s="20"/>
      <c r="N699" s="20"/>
      <c r="O699" s="20"/>
      <c r="P699" s="319"/>
      <c r="Q699" s="45"/>
      <c r="R699" s="20"/>
      <c r="T699" s="327">
        <f t="shared" si="340"/>
        <v>0</v>
      </c>
      <c r="U699" s="327">
        <f t="shared" si="341"/>
        <v>0</v>
      </c>
      <c r="V699" s="327">
        <f t="shared" si="342"/>
        <v>0</v>
      </c>
      <c r="W699" s="327">
        <f t="shared" si="343"/>
        <v>0</v>
      </c>
      <c r="X699" s="65">
        <f t="shared" si="345"/>
        <v>0</v>
      </c>
      <c r="Y699" s="235">
        <f t="shared" si="344"/>
        <v>0</v>
      </c>
    </row>
    <row r="700" spans="2:25" s="222" customFormat="1" ht="12.75" customHeight="1" x14ac:dyDescent="0.2">
      <c r="B700" s="32"/>
      <c r="C700" s="32"/>
      <c r="D700" s="20"/>
      <c r="E700" s="60"/>
      <c r="F700" s="60"/>
      <c r="G700" s="32"/>
      <c r="H700" s="28"/>
      <c r="I700" s="28"/>
      <c r="J700" s="20"/>
      <c r="K700" s="36"/>
      <c r="L700" s="36"/>
      <c r="M700" s="20"/>
      <c r="N700" s="20"/>
      <c r="O700" s="20"/>
      <c r="P700" s="319"/>
      <c r="Q700" s="45"/>
      <c r="R700" s="20"/>
      <c r="T700" s="327">
        <f t="shared" si="340"/>
        <v>0</v>
      </c>
      <c r="U700" s="327">
        <f t="shared" si="341"/>
        <v>0</v>
      </c>
      <c r="V700" s="327">
        <f t="shared" si="342"/>
        <v>0</v>
      </c>
      <c r="W700" s="327">
        <f t="shared" si="343"/>
        <v>0</v>
      </c>
      <c r="X700" s="65">
        <f t="shared" si="345"/>
        <v>0</v>
      </c>
      <c r="Y700" s="235">
        <f t="shared" si="344"/>
        <v>0</v>
      </c>
    </row>
    <row r="701" spans="2:25" s="222" customFormat="1" ht="12.75" customHeight="1" x14ac:dyDescent="0.2">
      <c r="B701" s="32"/>
      <c r="C701" s="32"/>
      <c r="D701" s="20"/>
      <c r="E701" s="60"/>
      <c r="F701" s="60"/>
      <c r="G701" s="32"/>
      <c r="H701" s="28"/>
      <c r="I701" s="28"/>
      <c r="J701" s="20"/>
      <c r="K701" s="36"/>
      <c r="L701" s="36"/>
      <c r="M701" s="20"/>
      <c r="N701" s="20"/>
      <c r="O701" s="20"/>
      <c r="P701" s="49" t="s">
        <v>789</v>
      </c>
      <c r="Q701" s="45"/>
      <c r="R701" s="20"/>
      <c r="T701" s="327">
        <f t="shared" si="340"/>
        <v>0</v>
      </c>
      <c r="U701" s="327">
        <f t="shared" si="341"/>
        <v>0</v>
      </c>
      <c r="V701" s="327">
        <f t="shared" si="342"/>
        <v>0</v>
      </c>
      <c r="W701" s="327">
        <f t="shared" si="343"/>
        <v>0</v>
      </c>
      <c r="X701" s="65">
        <f t="shared" si="345"/>
        <v>0</v>
      </c>
      <c r="Y701" s="235">
        <f t="shared" si="344"/>
        <v>0</v>
      </c>
    </row>
    <row r="702" spans="2:25" s="222" customFormat="1" ht="12.75" customHeight="1" x14ac:dyDescent="0.2">
      <c r="B702" s="32"/>
      <c r="C702" s="32"/>
      <c r="D702" s="20"/>
      <c r="E702" s="60"/>
      <c r="F702" s="60"/>
      <c r="G702" s="32"/>
      <c r="H702" s="28"/>
      <c r="I702" s="28"/>
      <c r="J702" s="20"/>
      <c r="K702" s="36"/>
      <c r="L702" s="36"/>
      <c r="M702" s="20"/>
      <c r="N702" s="20"/>
      <c r="O702" s="20"/>
      <c r="P702" s="20" t="s">
        <v>791</v>
      </c>
      <c r="Q702" s="45"/>
      <c r="R702" s="20"/>
      <c r="T702" s="327">
        <f t="shared" ref="T702:T765" si="346">IF(K702=$T$3,$T$5*R702/DAYS360(K702,L702),0)</f>
        <v>0</v>
      </c>
      <c r="U702" s="327">
        <f t="shared" ref="U702:U765" si="347">IF(K702=$U$3,$U$5*R702/DAYS360(K702,L702),0)+IF(K702=$T$3,IF(L702=$U$4,R702-T702,0),0)+IF(K702=$T$3,IF(L702=$V$4,(R702-T702)/2,0),0)+IF(K702=$T$3,IF(L702=$W$4,(R702-T702)/3,0),0)</f>
        <v>0</v>
      </c>
      <c r="V702" s="327">
        <f t="shared" ref="V702:V765" si="348">IF(K702=$V$3,$V$5*R702/DAYS360(K702,L702),0)+IF(K702=$T$3,IF(L702=$V$4,R702-T702-U702,0),0)+IF(K702=$T$3,IF(L702=$W$4,(R702-T702-U702)/2,0),0)+IF(K702=$U$3,IF(L702=$V$4,R702-U702,0),0)+IF(K702=$U$3,IF(L702=$W$4,(R702-U702)/2,0),0)</f>
        <v>0</v>
      </c>
      <c r="W702" s="327">
        <f t="shared" ref="W702:W765" si="349">IF(K702=$W$3,$W$5*R702/DAYS360(K702,L702),0)+IF(K702=$T$3,IF(L702=$W$4,R702-T702-U702-V702,0),0)+IF(K702=$U$3,IF(L702=$W$4,R702-U702-V702,0),0)+IF(K702=$V$3,IF(L702=$W$4,R702-V702,0),0)</f>
        <v>0</v>
      </c>
      <c r="X702" s="65">
        <f t="shared" si="345"/>
        <v>0</v>
      </c>
      <c r="Y702" s="235">
        <f t="shared" si="344"/>
        <v>0</v>
      </c>
    </row>
    <row r="703" spans="2:25" s="222" customFormat="1" ht="12.75" customHeight="1" x14ac:dyDescent="0.2">
      <c r="B703" s="32"/>
      <c r="C703" s="32"/>
      <c r="D703" s="20"/>
      <c r="E703" s="60"/>
      <c r="F703" s="60"/>
      <c r="G703" s="32"/>
      <c r="H703" s="28"/>
      <c r="I703" s="28"/>
      <c r="J703" s="20"/>
      <c r="K703" s="36"/>
      <c r="L703" s="36"/>
      <c r="M703" s="20"/>
      <c r="N703" s="20"/>
      <c r="O703" s="20"/>
      <c r="P703" s="20"/>
      <c r="Q703" s="45"/>
      <c r="R703" s="20"/>
      <c r="T703" s="327">
        <f t="shared" si="346"/>
        <v>0</v>
      </c>
      <c r="U703" s="327">
        <f t="shared" si="347"/>
        <v>0</v>
      </c>
      <c r="V703" s="327">
        <f t="shared" si="348"/>
        <v>0</v>
      </c>
      <c r="W703" s="327">
        <f t="shared" si="349"/>
        <v>0</v>
      </c>
      <c r="X703" s="65">
        <f t="shared" si="345"/>
        <v>0</v>
      </c>
      <c r="Y703" s="235">
        <f t="shared" si="344"/>
        <v>0</v>
      </c>
    </row>
    <row r="704" spans="2:25" s="222" customFormat="1" ht="12.75" customHeight="1" x14ac:dyDescent="0.2">
      <c r="B704" s="32"/>
      <c r="C704" s="32"/>
      <c r="D704" s="20"/>
      <c r="E704" s="60"/>
      <c r="F704" s="60"/>
      <c r="G704" s="32"/>
      <c r="H704" s="28"/>
      <c r="I704" s="28"/>
      <c r="J704" s="20"/>
      <c r="K704" s="36"/>
      <c r="L704" s="36"/>
      <c r="M704" s="20"/>
      <c r="N704" s="20"/>
      <c r="O704" s="20"/>
      <c r="P704" s="20"/>
      <c r="Q704" s="45"/>
      <c r="R704" s="20"/>
      <c r="T704" s="327">
        <f t="shared" si="346"/>
        <v>0</v>
      </c>
      <c r="U704" s="327">
        <f t="shared" si="347"/>
        <v>0</v>
      </c>
      <c r="V704" s="327">
        <f t="shared" si="348"/>
        <v>0</v>
      </c>
      <c r="W704" s="327">
        <f t="shared" si="349"/>
        <v>0</v>
      </c>
      <c r="X704" s="65">
        <f t="shared" si="345"/>
        <v>0</v>
      </c>
      <c r="Y704" s="235">
        <f t="shared" si="344"/>
        <v>0</v>
      </c>
    </row>
    <row r="705" spans="2:25" s="222" customFormat="1" ht="12.75" customHeight="1" x14ac:dyDescent="0.2">
      <c r="B705" s="32"/>
      <c r="C705" s="32"/>
      <c r="D705" s="20"/>
      <c r="E705" s="60"/>
      <c r="F705" s="60"/>
      <c r="G705" s="32"/>
      <c r="H705" s="28"/>
      <c r="I705" s="28"/>
      <c r="J705" s="20"/>
      <c r="K705" s="36"/>
      <c r="L705" s="36"/>
      <c r="M705" s="20"/>
      <c r="N705" s="20"/>
      <c r="O705" s="20"/>
      <c r="P705" s="20"/>
      <c r="Q705" s="45"/>
      <c r="R705" s="20"/>
      <c r="T705" s="327">
        <f t="shared" si="346"/>
        <v>0</v>
      </c>
      <c r="U705" s="327">
        <f t="shared" si="347"/>
        <v>0</v>
      </c>
      <c r="V705" s="327">
        <f t="shared" si="348"/>
        <v>0</v>
      </c>
      <c r="W705" s="327">
        <f t="shared" si="349"/>
        <v>0</v>
      </c>
      <c r="X705" s="65">
        <f t="shared" si="345"/>
        <v>0</v>
      </c>
      <c r="Y705" s="235">
        <f t="shared" si="344"/>
        <v>0</v>
      </c>
    </row>
    <row r="706" spans="2:25" s="222" customFormat="1" ht="12.75" customHeight="1" x14ac:dyDescent="0.2">
      <c r="B706" s="32"/>
      <c r="C706" s="32"/>
      <c r="D706" s="20"/>
      <c r="E706" s="60"/>
      <c r="F706" s="60"/>
      <c r="G706" s="32"/>
      <c r="H706" s="28"/>
      <c r="I706" s="28"/>
      <c r="J706" s="20"/>
      <c r="K706" s="36"/>
      <c r="L706" s="36"/>
      <c r="M706" s="20"/>
      <c r="N706" s="20"/>
      <c r="O706" s="20"/>
      <c r="P706" s="20"/>
      <c r="Q706" s="45"/>
      <c r="R706" s="20"/>
      <c r="T706" s="327">
        <f t="shared" si="346"/>
        <v>0</v>
      </c>
      <c r="U706" s="327">
        <f t="shared" si="347"/>
        <v>0</v>
      </c>
      <c r="V706" s="327">
        <f t="shared" si="348"/>
        <v>0</v>
      </c>
      <c r="W706" s="327">
        <f t="shared" si="349"/>
        <v>0</v>
      </c>
      <c r="X706" s="65">
        <f t="shared" si="345"/>
        <v>0</v>
      </c>
      <c r="Y706" s="235">
        <f t="shared" si="344"/>
        <v>0</v>
      </c>
    </row>
    <row r="707" spans="2:25" s="222" customFormat="1" ht="12.75" customHeight="1" x14ac:dyDescent="0.2">
      <c r="B707" s="32"/>
      <c r="C707" s="32"/>
      <c r="D707" s="20"/>
      <c r="E707" s="60"/>
      <c r="F707" s="60"/>
      <c r="G707" s="32"/>
      <c r="H707" s="28"/>
      <c r="I707" s="28"/>
      <c r="J707" s="20"/>
      <c r="K707" s="36"/>
      <c r="L707" s="36"/>
      <c r="M707" s="20"/>
      <c r="N707" s="20"/>
      <c r="O707" s="20"/>
      <c r="P707" s="20"/>
      <c r="Q707" s="45"/>
      <c r="R707" s="20"/>
      <c r="T707" s="327">
        <f t="shared" si="346"/>
        <v>0</v>
      </c>
      <c r="U707" s="327">
        <f t="shared" si="347"/>
        <v>0</v>
      </c>
      <c r="V707" s="327">
        <f t="shared" si="348"/>
        <v>0</v>
      </c>
      <c r="W707" s="327">
        <f t="shared" si="349"/>
        <v>0</v>
      </c>
      <c r="X707" s="65">
        <f t="shared" si="345"/>
        <v>0</v>
      </c>
      <c r="Y707" s="235">
        <f t="shared" ref="Y707:Y770" si="350">X707-R707</f>
        <v>0</v>
      </c>
    </row>
    <row r="708" spans="2:25" s="222" customFormat="1" ht="12.75" customHeight="1" x14ac:dyDescent="0.2">
      <c r="B708" s="32"/>
      <c r="C708" s="32"/>
      <c r="D708" s="20"/>
      <c r="E708" s="60"/>
      <c r="F708" s="60"/>
      <c r="G708" s="32"/>
      <c r="H708" s="28"/>
      <c r="I708" s="28"/>
      <c r="J708" s="20"/>
      <c r="K708" s="36"/>
      <c r="L708" s="36"/>
      <c r="M708" s="20"/>
      <c r="N708" s="20"/>
      <c r="O708" s="20"/>
      <c r="P708" s="20"/>
      <c r="Q708" s="45"/>
      <c r="R708" s="20"/>
      <c r="T708" s="327">
        <f t="shared" si="346"/>
        <v>0</v>
      </c>
      <c r="U708" s="327">
        <f t="shared" si="347"/>
        <v>0</v>
      </c>
      <c r="V708" s="327">
        <f t="shared" si="348"/>
        <v>0</v>
      </c>
      <c r="W708" s="327">
        <f t="shared" si="349"/>
        <v>0</v>
      </c>
      <c r="X708" s="65">
        <f t="shared" si="345"/>
        <v>0</v>
      </c>
      <c r="Y708" s="235">
        <f t="shared" si="350"/>
        <v>0</v>
      </c>
    </row>
    <row r="709" spans="2:25" s="222" customFormat="1" ht="12.75" customHeight="1" x14ac:dyDescent="0.2">
      <c r="B709" s="32"/>
      <c r="C709" s="32"/>
      <c r="D709" s="20"/>
      <c r="E709" s="60"/>
      <c r="F709" s="60"/>
      <c r="G709" s="32"/>
      <c r="H709" s="28"/>
      <c r="I709" s="28"/>
      <c r="J709" s="20"/>
      <c r="K709" s="36"/>
      <c r="L709" s="36"/>
      <c r="M709" s="20"/>
      <c r="N709" s="20"/>
      <c r="O709" s="20"/>
      <c r="P709" s="20"/>
      <c r="Q709" s="45"/>
      <c r="R709" s="20"/>
      <c r="T709" s="327">
        <f t="shared" si="346"/>
        <v>0</v>
      </c>
      <c r="U709" s="327">
        <f t="shared" si="347"/>
        <v>0</v>
      </c>
      <c r="V709" s="327">
        <f t="shared" si="348"/>
        <v>0</v>
      </c>
      <c r="W709" s="327">
        <f t="shared" si="349"/>
        <v>0</v>
      </c>
      <c r="X709" s="65">
        <f t="shared" si="345"/>
        <v>0</v>
      </c>
      <c r="Y709" s="235">
        <f t="shared" si="350"/>
        <v>0</v>
      </c>
    </row>
    <row r="710" spans="2:25" s="222" customFormat="1" ht="12.75" customHeight="1" x14ac:dyDescent="0.2">
      <c r="B710" s="32"/>
      <c r="C710" s="32"/>
      <c r="D710" s="20"/>
      <c r="E710" s="60"/>
      <c r="F710" s="60"/>
      <c r="G710" s="32"/>
      <c r="H710" s="28"/>
      <c r="I710" s="28"/>
      <c r="J710" s="20"/>
      <c r="K710" s="36"/>
      <c r="L710" s="36"/>
      <c r="M710" s="20"/>
      <c r="N710" s="20"/>
      <c r="O710" s="20"/>
      <c r="P710" s="20"/>
      <c r="Q710" s="45"/>
      <c r="R710" s="20"/>
      <c r="T710" s="327">
        <f t="shared" si="346"/>
        <v>0</v>
      </c>
      <c r="U710" s="327">
        <f t="shared" si="347"/>
        <v>0</v>
      </c>
      <c r="V710" s="327">
        <f t="shared" si="348"/>
        <v>0</v>
      </c>
      <c r="W710" s="327">
        <f t="shared" si="349"/>
        <v>0</v>
      </c>
      <c r="X710" s="65">
        <f t="shared" si="345"/>
        <v>0</v>
      </c>
      <c r="Y710" s="235">
        <f t="shared" si="350"/>
        <v>0</v>
      </c>
    </row>
    <row r="711" spans="2:25" s="222" customFormat="1" ht="12.75" customHeight="1" x14ac:dyDescent="0.2">
      <c r="B711" s="32"/>
      <c r="C711" s="32"/>
      <c r="D711" s="20"/>
      <c r="E711" s="60"/>
      <c r="F711" s="60"/>
      <c r="G711" s="32"/>
      <c r="H711" s="28"/>
      <c r="I711" s="28"/>
      <c r="J711" s="20"/>
      <c r="K711" s="36"/>
      <c r="L711" s="36"/>
      <c r="M711" s="20"/>
      <c r="N711" s="20"/>
      <c r="O711" s="20"/>
      <c r="P711" s="20"/>
      <c r="Q711" s="45"/>
      <c r="R711" s="20"/>
      <c r="T711" s="327">
        <f t="shared" si="346"/>
        <v>0</v>
      </c>
      <c r="U711" s="327">
        <f t="shared" si="347"/>
        <v>0</v>
      </c>
      <c r="V711" s="327">
        <f t="shared" si="348"/>
        <v>0</v>
      </c>
      <c r="W711" s="327">
        <f t="shared" si="349"/>
        <v>0</v>
      </c>
      <c r="X711" s="65">
        <f t="shared" si="345"/>
        <v>0</v>
      </c>
      <c r="Y711" s="235">
        <f t="shared" si="350"/>
        <v>0</v>
      </c>
    </row>
    <row r="712" spans="2:25" s="222" customFormat="1" ht="12.75" customHeight="1" x14ac:dyDescent="0.2">
      <c r="B712" s="32"/>
      <c r="C712" s="32"/>
      <c r="D712" s="20"/>
      <c r="E712" s="60"/>
      <c r="F712" s="60"/>
      <c r="G712" s="32"/>
      <c r="H712" s="28"/>
      <c r="I712" s="28"/>
      <c r="J712" s="20"/>
      <c r="K712" s="36"/>
      <c r="L712" s="36"/>
      <c r="M712" s="20"/>
      <c r="N712" s="20"/>
      <c r="O712" s="20"/>
      <c r="P712" s="20"/>
      <c r="Q712" s="45"/>
      <c r="R712" s="20"/>
      <c r="T712" s="327">
        <f t="shared" si="346"/>
        <v>0</v>
      </c>
      <c r="U712" s="327">
        <f t="shared" si="347"/>
        <v>0</v>
      </c>
      <c r="V712" s="327">
        <f t="shared" si="348"/>
        <v>0</v>
      </c>
      <c r="W712" s="327">
        <f t="shared" si="349"/>
        <v>0</v>
      </c>
      <c r="X712" s="65">
        <f t="shared" si="345"/>
        <v>0</v>
      </c>
      <c r="Y712" s="235">
        <f t="shared" si="350"/>
        <v>0</v>
      </c>
    </row>
    <row r="713" spans="2:25" s="222" customFormat="1" ht="12.75" customHeight="1" x14ac:dyDescent="0.2">
      <c r="B713" s="32"/>
      <c r="C713" s="32"/>
      <c r="D713" s="20"/>
      <c r="E713" s="60"/>
      <c r="F713" s="60"/>
      <c r="G713" s="32"/>
      <c r="H713" s="28"/>
      <c r="I713" s="28"/>
      <c r="J713" s="20"/>
      <c r="K713" s="36"/>
      <c r="L713" s="36"/>
      <c r="M713" s="20"/>
      <c r="N713" s="20"/>
      <c r="O713" s="20"/>
      <c r="P713" s="20"/>
      <c r="Q713" s="45"/>
      <c r="R713" s="20"/>
      <c r="T713" s="327">
        <f t="shared" si="346"/>
        <v>0</v>
      </c>
      <c r="U713" s="327">
        <f t="shared" si="347"/>
        <v>0</v>
      </c>
      <c r="V713" s="327">
        <f t="shared" si="348"/>
        <v>0</v>
      </c>
      <c r="W713" s="327">
        <f t="shared" si="349"/>
        <v>0</v>
      </c>
      <c r="X713" s="65">
        <f t="shared" si="345"/>
        <v>0</v>
      </c>
      <c r="Y713" s="235">
        <f t="shared" si="350"/>
        <v>0</v>
      </c>
    </row>
    <row r="714" spans="2:25" s="222" customFormat="1" ht="12.75" customHeight="1" x14ac:dyDescent="0.2">
      <c r="B714" s="32"/>
      <c r="C714" s="32"/>
      <c r="D714" s="20"/>
      <c r="E714" s="60"/>
      <c r="F714" s="60"/>
      <c r="G714" s="32"/>
      <c r="H714" s="28"/>
      <c r="I714" s="28"/>
      <c r="J714" s="20"/>
      <c r="K714" s="36"/>
      <c r="L714" s="36"/>
      <c r="M714" s="20"/>
      <c r="N714" s="20"/>
      <c r="O714" s="20"/>
      <c r="P714" s="20"/>
      <c r="Q714" s="45"/>
      <c r="R714" s="20"/>
      <c r="T714" s="327">
        <f t="shared" si="346"/>
        <v>0</v>
      </c>
      <c r="U714" s="327">
        <f t="shared" si="347"/>
        <v>0</v>
      </c>
      <c r="V714" s="327">
        <f t="shared" si="348"/>
        <v>0</v>
      </c>
      <c r="W714" s="327">
        <f t="shared" si="349"/>
        <v>0</v>
      </c>
      <c r="X714" s="65">
        <f t="shared" si="345"/>
        <v>0</v>
      </c>
      <c r="Y714" s="235">
        <f t="shared" si="350"/>
        <v>0</v>
      </c>
    </row>
    <row r="715" spans="2:25" s="222" customFormat="1" ht="12.75" customHeight="1" x14ac:dyDescent="0.2">
      <c r="B715" s="32"/>
      <c r="C715" s="32"/>
      <c r="D715" s="20"/>
      <c r="E715" s="60"/>
      <c r="F715" s="60"/>
      <c r="G715" s="32"/>
      <c r="H715" s="28"/>
      <c r="I715" s="28"/>
      <c r="J715" s="20"/>
      <c r="K715" s="36"/>
      <c r="L715" s="36"/>
      <c r="M715" s="20"/>
      <c r="N715" s="20"/>
      <c r="O715" s="20"/>
      <c r="P715" s="20"/>
      <c r="Q715" s="45"/>
      <c r="R715" s="20"/>
      <c r="T715" s="327">
        <f t="shared" si="346"/>
        <v>0</v>
      </c>
      <c r="U715" s="327">
        <f t="shared" si="347"/>
        <v>0</v>
      </c>
      <c r="V715" s="327">
        <f t="shared" si="348"/>
        <v>0</v>
      </c>
      <c r="W715" s="327">
        <f t="shared" si="349"/>
        <v>0</v>
      </c>
      <c r="X715" s="65">
        <f t="shared" si="345"/>
        <v>0</v>
      </c>
      <c r="Y715" s="235">
        <f t="shared" si="350"/>
        <v>0</v>
      </c>
    </row>
    <row r="716" spans="2:25" s="222" customFormat="1" ht="12.75" customHeight="1" x14ac:dyDescent="0.2">
      <c r="B716" s="32"/>
      <c r="C716" s="32"/>
      <c r="D716" s="20"/>
      <c r="E716" s="60"/>
      <c r="F716" s="60"/>
      <c r="G716" s="32"/>
      <c r="H716" s="28"/>
      <c r="I716" s="28"/>
      <c r="J716" s="20"/>
      <c r="K716" s="36"/>
      <c r="L716" s="36"/>
      <c r="M716" s="20"/>
      <c r="N716" s="20"/>
      <c r="O716" s="20"/>
      <c r="P716" s="20"/>
      <c r="Q716" s="45"/>
      <c r="R716" s="20"/>
      <c r="T716" s="327">
        <f t="shared" si="346"/>
        <v>0</v>
      </c>
      <c r="U716" s="327">
        <f t="shared" si="347"/>
        <v>0</v>
      </c>
      <c r="V716" s="327">
        <f t="shared" si="348"/>
        <v>0</v>
      </c>
      <c r="W716" s="327">
        <f t="shared" si="349"/>
        <v>0</v>
      </c>
      <c r="X716" s="65">
        <f t="shared" si="345"/>
        <v>0</v>
      </c>
      <c r="Y716" s="235">
        <f t="shared" si="350"/>
        <v>0</v>
      </c>
    </row>
    <row r="717" spans="2:25" s="222" customFormat="1" ht="12.75" customHeight="1" x14ac:dyDescent="0.2">
      <c r="B717" s="32"/>
      <c r="C717" s="32"/>
      <c r="D717" s="20"/>
      <c r="E717" s="60"/>
      <c r="F717" s="60"/>
      <c r="G717" s="32"/>
      <c r="H717" s="28"/>
      <c r="I717" s="28"/>
      <c r="J717" s="20"/>
      <c r="K717" s="36"/>
      <c r="L717" s="36"/>
      <c r="M717" s="20"/>
      <c r="N717" s="20"/>
      <c r="O717" s="20"/>
      <c r="P717" s="20"/>
      <c r="Q717" s="45"/>
      <c r="R717" s="20"/>
      <c r="T717" s="327">
        <f t="shared" si="346"/>
        <v>0</v>
      </c>
      <c r="U717" s="327">
        <f t="shared" si="347"/>
        <v>0</v>
      </c>
      <c r="V717" s="327">
        <f t="shared" si="348"/>
        <v>0</v>
      </c>
      <c r="W717" s="327">
        <f t="shared" si="349"/>
        <v>0</v>
      </c>
      <c r="X717" s="65">
        <f t="shared" si="345"/>
        <v>0</v>
      </c>
      <c r="Y717" s="235">
        <f t="shared" si="350"/>
        <v>0</v>
      </c>
    </row>
    <row r="718" spans="2:25" s="222" customFormat="1" ht="12.75" customHeight="1" x14ac:dyDescent="0.2">
      <c r="B718" s="32"/>
      <c r="C718" s="32"/>
      <c r="D718" s="20"/>
      <c r="E718" s="60"/>
      <c r="F718" s="60"/>
      <c r="G718" s="32"/>
      <c r="H718" s="28"/>
      <c r="I718" s="28"/>
      <c r="J718" s="20"/>
      <c r="K718" s="36"/>
      <c r="L718" s="36"/>
      <c r="M718" s="20"/>
      <c r="N718" s="20"/>
      <c r="O718" s="20"/>
      <c r="P718" s="20"/>
      <c r="Q718" s="45"/>
      <c r="R718" s="20"/>
      <c r="T718" s="327">
        <f t="shared" si="346"/>
        <v>0</v>
      </c>
      <c r="U718" s="327">
        <f t="shared" si="347"/>
        <v>0</v>
      </c>
      <c r="V718" s="327">
        <f t="shared" si="348"/>
        <v>0</v>
      </c>
      <c r="W718" s="327">
        <f t="shared" si="349"/>
        <v>0</v>
      </c>
      <c r="X718" s="65">
        <f t="shared" si="345"/>
        <v>0</v>
      </c>
      <c r="Y718" s="235">
        <f t="shared" si="350"/>
        <v>0</v>
      </c>
    </row>
    <row r="719" spans="2:25" s="222" customFormat="1" ht="12.75" customHeight="1" x14ac:dyDescent="0.2">
      <c r="B719" s="32"/>
      <c r="C719" s="32"/>
      <c r="D719" s="20"/>
      <c r="E719" s="60"/>
      <c r="F719" s="60"/>
      <c r="G719" s="32"/>
      <c r="H719" s="28"/>
      <c r="I719" s="28"/>
      <c r="J719" s="20"/>
      <c r="K719" s="36"/>
      <c r="L719" s="36"/>
      <c r="M719" s="20"/>
      <c r="N719" s="20"/>
      <c r="O719" s="20"/>
      <c r="P719" s="20"/>
      <c r="Q719" s="45"/>
      <c r="R719" s="20"/>
      <c r="T719" s="327">
        <f t="shared" si="346"/>
        <v>0</v>
      </c>
      <c r="U719" s="327">
        <f t="shared" si="347"/>
        <v>0</v>
      </c>
      <c r="V719" s="327">
        <f t="shared" si="348"/>
        <v>0</v>
      </c>
      <c r="W719" s="327">
        <f t="shared" si="349"/>
        <v>0</v>
      </c>
      <c r="X719" s="65">
        <f t="shared" si="345"/>
        <v>0</v>
      </c>
      <c r="Y719" s="235">
        <f t="shared" si="350"/>
        <v>0</v>
      </c>
    </row>
    <row r="720" spans="2:25" s="222" customFormat="1" ht="12.75" customHeight="1" x14ac:dyDescent="0.2">
      <c r="B720" s="32"/>
      <c r="C720" s="32"/>
      <c r="D720" s="20"/>
      <c r="E720" s="60"/>
      <c r="F720" s="60"/>
      <c r="G720" s="32"/>
      <c r="H720" s="28"/>
      <c r="I720" s="28"/>
      <c r="J720" s="20"/>
      <c r="K720" s="36"/>
      <c r="L720" s="36"/>
      <c r="M720" s="20"/>
      <c r="N720" s="20"/>
      <c r="O720" s="20"/>
      <c r="P720" s="20"/>
      <c r="Q720" s="45"/>
      <c r="R720" s="20"/>
      <c r="T720" s="327">
        <f t="shared" si="346"/>
        <v>0</v>
      </c>
      <c r="U720" s="327">
        <f t="shared" si="347"/>
        <v>0</v>
      </c>
      <c r="V720" s="327">
        <f t="shared" si="348"/>
        <v>0</v>
      </c>
      <c r="W720" s="327">
        <f t="shared" si="349"/>
        <v>0</v>
      </c>
      <c r="X720" s="65">
        <f t="shared" si="345"/>
        <v>0</v>
      </c>
      <c r="Y720" s="235">
        <f t="shared" si="350"/>
        <v>0</v>
      </c>
    </row>
    <row r="721" spans="2:25" s="222" customFormat="1" ht="12.75" customHeight="1" x14ac:dyDescent="0.2">
      <c r="B721" s="32"/>
      <c r="C721" s="32"/>
      <c r="D721" s="20"/>
      <c r="E721" s="60"/>
      <c r="F721" s="60"/>
      <c r="G721" s="32"/>
      <c r="H721" s="28"/>
      <c r="I721" s="28"/>
      <c r="J721" s="20"/>
      <c r="K721" s="36"/>
      <c r="L721" s="36"/>
      <c r="M721" s="20"/>
      <c r="N721" s="20"/>
      <c r="O721" s="20"/>
      <c r="P721" s="20"/>
      <c r="Q721" s="45"/>
      <c r="R721" s="20"/>
      <c r="T721" s="327">
        <f t="shared" si="346"/>
        <v>0</v>
      </c>
      <c r="U721" s="327">
        <f t="shared" si="347"/>
        <v>0</v>
      </c>
      <c r="V721" s="327">
        <f t="shared" si="348"/>
        <v>0</v>
      </c>
      <c r="W721" s="327">
        <f t="shared" si="349"/>
        <v>0</v>
      </c>
      <c r="X721" s="65">
        <f t="shared" si="345"/>
        <v>0</v>
      </c>
      <c r="Y721" s="235">
        <f t="shared" si="350"/>
        <v>0</v>
      </c>
    </row>
    <row r="722" spans="2:25" s="222" customFormat="1" ht="12.75" customHeight="1" x14ac:dyDescent="0.2">
      <c r="B722" s="32"/>
      <c r="C722" s="32"/>
      <c r="D722" s="20"/>
      <c r="E722" s="60"/>
      <c r="F722" s="60"/>
      <c r="G722" s="32"/>
      <c r="H722" s="28"/>
      <c r="I722" s="28"/>
      <c r="J722" s="20"/>
      <c r="K722" s="36"/>
      <c r="L722" s="36"/>
      <c r="M722" s="20"/>
      <c r="N722" s="20"/>
      <c r="O722" s="20"/>
      <c r="P722" s="20"/>
      <c r="Q722" s="45"/>
      <c r="R722" s="20"/>
      <c r="T722" s="327">
        <f t="shared" si="346"/>
        <v>0</v>
      </c>
      <c r="U722" s="327">
        <f t="shared" si="347"/>
        <v>0</v>
      </c>
      <c r="V722" s="327">
        <f t="shared" si="348"/>
        <v>0</v>
      </c>
      <c r="W722" s="327">
        <f t="shared" si="349"/>
        <v>0</v>
      </c>
      <c r="X722" s="65">
        <f t="shared" si="345"/>
        <v>0</v>
      </c>
      <c r="Y722" s="235">
        <f t="shared" si="350"/>
        <v>0</v>
      </c>
    </row>
    <row r="723" spans="2:25" s="222" customFormat="1" ht="12.75" customHeight="1" x14ac:dyDescent="0.2">
      <c r="B723" s="32"/>
      <c r="C723" s="32"/>
      <c r="D723" s="20"/>
      <c r="E723" s="60"/>
      <c r="F723" s="60"/>
      <c r="G723" s="32"/>
      <c r="H723" s="28"/>
      <c r="I723" s="28"/>
      <c r="J723" s="20"/>
      <c r="K723" s="36"/>
      <c r="L723" s="36"/>
      <c r="M723" s="20"/>
      <c r="N723" s="20"/>
      <c r="O723" s="20"/>
      <c r="P723" s="20"/>
      <c r="Q723" s="45"/>
      <c r="R723" s="20"/>
      <c r="T723" s="327">
        <f t="shared" si="346"/>
        <v>0</v>
      </c>
      <c r="U723" s="327">
        <f t="shared" si="347"/>
        <v>0</v>
      </c>
      <c r="V723" s="327">
        <f t="shared" si="348"/>
        <v>0</v>
      </c>
      <c r="W723" s="327">
        <f t="shared" si="349"/>
        <v>0</v>
      </c>
      <c r="X723" s="65">
        <f t="shared" si="345"/>
        <v>0</v>
      </c>
      <c r="Y723" s="235">
        <f t="shared" si="350"/>
        <v>0</v>
      </c>
    </row>
    <row r="724" spans="2:25" s="222" customFormat="1" ht="12.75" customHeight="1" x14ac:dyDescent="0.2">
      <c r="B724" s="32"/>
      <c r="C724" s="32"/>
      <c r="D724" s="20"/>
      <c r="E724" s="60"/>
      <c r="F724" s="60"/>
      <c r="G724" s="32"/>
      <c r="H724" s="28"/>
      <c r="I724" s="28"/>
      <c r="J724" s="20"/>
      <c r="K724" s="36"/>
      <c r="L724" s="36"/>
      <c r="M724" s="20"/>
      <c r="N724" s="20"/>
      <c r="O724" s="20"/>
      <c r="P724" s="20"/>
      <c r="Q724" s="45"/>
      <c r="R724" s="20"/>
      <c r="T724" s="327">
        <f t="shared" si="346"/>
        <v>0</v>
      </c>
      <c r="U724" s="327">
        <f t="shared" si="347"/>
        <v>0</v>
      </c>
      <c r="V724" s="327">
        <f t="shared" si="348"/>
        <v>0</v>
      </c>
      <c r="W724" s="327">
        <f t="shared" si="349"/>
        <v>0</v>
      </c>
      <c r="X724" s="65">
        <f t="shared" si="345"/>
        <v>0</v>
      </c>
      <c r="Y724" s="235">
        <f t="shared" si="350"/>
        <v>0</v>
      </c>
    </row>
    <row r="725" spans="2:25" s="222" customFormat="1" ht="12.75" customHeight="1" x14ac:dyDescent="0.2">
      <c r="B725" s="32"/>
      <c r="C725" s="32"/>
      <c r="D725" s="20"/>
      <c r="E725" s="60"/>
      <c r="F725" s="60"/>
      <c r="G725" s="32"/>
      <c r="H725" s="28"/>
      <c r="I725" s="28"/>
      <c r="J725" s="20"/>
      <c r="K725" s="36"/>
      <c r="L725" s="36"/>
      <c r="M725" s="20"/>
      <c r="N725" s="20"/>
      <c r="O725" s="20"/>
      <c r="P725" s="20"/>
      <c r="Q725" s="45"/>
      <c r="R725" s="20"/>
      <c r="T725" s="327">
        <f t="shared" si="346"/>
        <v>0</v>
      </c>
      <c r="U725" s="327">
        <f t="shared" si="347"/>
        <v>0</v>
      </c>
      <c r="V725" s="327">
        <f t="shared" si="348"/>
        <v>0</v>
      </c>
      <c r="W725" s="327">
        <f t="shared" si="349"/>
        <v>0</v>
      </c>
      <c r="X725" s="65">
        <f t="shared" ref="X725:X788" si="351">SUM(T725:W725)</f>
        <v>0</v>
      </c>
      <c r="Y725" s="235">
        <f t="shared" si="350"/>
        <v>0</v>
      </c>
    </row>
    <row r="726" spans="2:25" s="222" customFormat="1" ht="12.75" customHeight="1" x14ac:dyDescent="0.2">
      <c r="B726" s="32"/>
      <c r="C726" s="32"/>
      <c r="D726" s="20"/>
      <c r="E726" s="60"/>
      <c r="F726" s="60"/>
      <c r="G726" s="32"/>
      <c r="H726" s="28"/>
      <c r="I726" s="28"/>
      <c r="J726" s="20"/>
      <c r="K726" s="36"/>
      <c r="L726" s="36"/>
      <c r="M726" s="20"/>
      <c r="N726" s="20"/>
      <c r="O726" s="20"/>
      <c r="P726" s="20"/>
      <c r="Q726" s="45"/>
      <c r="R726" s="20"/>
      <c r="T726" s="327">
        <f t="shared" si="346"/>
        <v>0</v>
      </c>
      <c r="U726" s="327">
        <f t="shared" si="347"/>
        <v>0</v>
      </c>
      <c r="V726" s="327">
        <f t="shared" si="348"/>
        <v>0</v>
      </c>
      <c r="W726" s="327">
        <f t="shared" si="349"/>
        <v>0</v>
      </c>
      <c r="X726" s="65">
        <f t="shared" si="351"/>
        <v>0</v>
      </c>
      <c r="Y726" s="235">
        <f t="shared" si="350"/>
        <v>0</v>
      </c>
    </row>
    <row r="727" spans="2:25" s="222" customFormat="1" ht="12.75" customHeight="1" x14ac:dyDescent="0.2">
      <c r="B727" s="32"/>
      <c r="C727" s="32"/>
      <c r="D727" s="20"/>
      <c r="E727" s="60"/>
      <c r="F727" s="60"/>
      <c r="G727" s="32"/>
      <c r="H727" s="28"/>
      <c r="I727" s="28"/>
      <c r="J727" s="20"/>
      <c r="K727" s="36"/>
      <c r="L727" s="36"/>
      <c r="M727" s="20"/>
      <c r="N727" s="20"/>
      <c r="O727" s="20"/>
      <c r="P727" s="20"/>
      <c r="Q727" s="45"/>
      <c r="R727" s="20"/>
      <c r="T727" s="327">
        <f t="shared" si="346"/>
        <v>0</v>
      </c>
      <c r="U727" s="327">
        <f t="shared" si="347"/>
        <v>0</v>
      </c>
      <c r="V727" s="327">
        <f t="shared" si="348"/>
        <v>0</v>
      </c>
      <c r="W727" s="327">
        <f t="shared" si="349"/>
        <v>0</v>
      </c>
      <c r="X727" s="65">
        <f t="shared" si="351"/>
        <v>0</v>
      </c>
      <c r="Y727" s="235">
        <f t="shared" si="350"/>
        <v>0</v>
      </c>
    </row>
    <row r="728" spans="2:25" s="222" customFormat="1" ht="12.75" customHeight="1" x14ac:dyDescent="0.2">
      <c r="B728" s="32"/>
      <c r="C728" s="32"/>
      <c r="D728" s="20"/>
      <c r="E728" s="60"/>
      <c r="F728" s="60"/>
      <c r="G728" s="32"/>
      <c r="H728" s="28"/>
      <c r="I728" s="28"/>
      <c r="J728" s="20"/>
      <c r="K728" s="36"/>
      <c r="L728" s="36"/>
      <c r="M728" s="20"/>
      <c r="N728" s="20"/>
      <c r="O728" s="20"/>
      <c r="P728" s="20"/>
      <c r="Q728" s="45"/>
      <c r="R728" s="20"/>
      <c r="T728" s="327">
        <f t="shared" si="346"/>
        <v>0</v>
      </c>
      <c r="U728" s="327">
        <f t="shared" si="347"/>
        <v>0</v>
      </c>
      <c r="V728" s="327">
        <f t="shared" si="348"/>
        <v>0</v>
      </c>
      <c r="W728" s="327">
        <f t="shared" si="349"/>
        <v>0</v>
      </c>
      <c r="X728" s="65">
        <f t="shared" si="351"/>
        <v>0</v>
      </c>
      <c r="Y728" s="235">
        <f t="shared" si="350"/>
        <v>0</v>
      </c>
    </row>
    <row r="729" spans="2:25" s="222" customFormat="1" ht="12.75" customHeight="1" x14ac:dyDescent="0.2">
      <c r="B729" s="32"/>
      <c r="C729" s="32"/>
      <c r="D729" s="20"/>
      <c r="E729" s="60"/>
      <c r="F729" s="60"/>
      <c r="G729" s="32"/>
      <c r="H729" s="28"/>
      <c r="I729" s="28"/>
      <c r="J729" s="20"/>
      <c r="K729" s="36"/>
      <c r="L729" s="36"/>
      <c r="M729" s="20"/>
      <c r="N729" s="20"/>
      <c r="O729" s="20"/>
      <c r="P729" s="20"/>
      <c r="Q729" s="45"/>
      <c r="R729" s="20"/>
      <c r="T729" s="327">
        <f t="shared" si="346"/>
        <v>0</v>
      </c>
      <c r="U729" s="327">
        <f t="shared" si="347"/>
        <v>0</v>
      </c>
      <c r="V729" s="327">
        <f t="shared" si="348"/>
        <v>0</v>
      </c>
      <c r="W729" s="327">
        <f t="shared" si="349"/>
        <v>0</v>
      </c>
      <c r="X729" s="65">
        <f t="shared" si="351"/>
        <v>0</v>
      </c>
      <c r="Y729" s="235">
        <f t="shared" si="350"/>
        <v>0</v>
      </c>
    </row>
    <row r="730" spans="2:25" s="222" customFormat="1" ht="12.75" customHeight="1" x14ac:dyDescent="0.2">
      <c r="B730" s="32"/>
      <c r="C730" s="32"/>
      <c r="D730" s="20"/>
      <c r="E730" s="60"/>
      <c r="F730" s="60"/>
      <c r="G730" s="32"/>
      <c r="H730" s="28"/>
      <c r="I730" s="28"/>
      <c r="J730" s="20"/>
      <c r="K730" s="36"/>
      <c r="L730" s="36"/>
      <c r="M730" s="20"/>
      <c r="N730" s="20"/>
      <c r="O730" s="20"/>
      <c r="P730" s="20"/>
      <c r="Q730" s="45"/>
      <c r="R730" s="20"/>
      <c r="T730" s="327">
        <f t="shared" si="346"/>
        <v>0</v>
      </c>
      <c r="U730" s="327">
        <f t="shared" si="347"/>
        <v>0</v>
      </c>
      <c r="V730" s="327">
        <f t="shared" si="348"/>
        <v>0</v>
      </c>
      <c r="W730" s="327">
        <f t="shared" si="349"/>
        <v>0</v>
      </c>
      <c r="X730" s="65">
        <f t="shared" si="351"/>
        <v>0</v>
      </c>
      <c r="Y730" s="235">
        <f t="shared" si="350"/>
        <v>0</v>
      </c>
    </row>
    <row r="731" spans="2:25" s="222" customFormat="1" ht="12.75" customHeight="1" x14ac:dyDescent="0.2">
      <c r="B731" s="32"/>
      <c r="C731" s="32"/>
      <c r="D731" s="20"/>
      <c r="E731" s="60"/>
      <c r="F731" s="60"/>
      <c r="G731" s="32"/>
      <c r="H731" s="28"/>
      <c r="I731" s="28"/>
      <c r="J731" s="20"/>
      <c r="K731" s="36"/>
      <c r="L731" s="36"/>
      <c r="M731" s="20"/>
      <c r="N731" s="20"/>
      <c r="O731" s="20"/>
      <c r="P731" s="20"/>
      <c r="Q731" s="45"/>
      <c r="R731" s="20"/>
      <c r="T731" s="327">
        <f t="shared" si="346"/>
        <v>0</v>
      </c>
      <c r="U731" s="327">
        <f t="shared" si="347"/>
        <v>0</v>
      </c>
      <c r="V731" s="327">
        <f t="shared" si="348"/>
        <v>0</v>
      </c>
      <c r="W731" s="327">
        <f t="shared" si="349"/>
        <v>0</v>
      </c>
      <c r="X731" s="65">
        <f t="shared" si="351"/>
        <v>0</v>
      </c>
      <c r="Y731" s="235">
        <f t="shared" si="350"/>
        <v>0</v>
      </c>
    </row>
    <row r="732" spans="2:25" s="222" customFormat="1" ht="12.75" customHeight="1" x14ac:dyDescent="0.2">
      <c r="B732" s="32"/>
      <c r="C732" s="32"/>
      <c r="D732" s="20"/>
      <c r="E732" s="60"/>
      <c r="F732" s="60"/>
      <c r="G732" s="32"/>
      <c r="H732" s="28"/>
      <c r="I732" s="28"/>
      <c r="J732" s="20"/>
      <c r="K732" s="36"/>
      <c r="L732" s="36"/>
      <c r="M732" s="20"/>
      <c r="N732" s="20"/>
      <c r="O732" s="20"/>
      <c r="P732" s="20"/>
      <c r="Q732" s="45"/>
      <c r="R732" s="20"/>
      <c r="T732" s="327">
        <f t="shared" si="346"/>
        <v>0</v>
      </c>
      <c r="U732" s="327">
        <f t="shared" si="347"/>
        <v>0</v>
      </c>
      <c r="V732" s="327">
        <f t="shared" si="348"/>
        <v>0</v>
      </c>
      <c r="W732" s="327">
        <f t="shared" si="349"/>
        <v>0</v>
      </c>
      <c r="X732" s="65">
        <f t="shared" si="351"/>
        <v>0</v>
      </c>
      <c r="Y732" s="235">
        <f t="shared" si="350"/>
        <v>0</v>
      </c>
    </row>
    <row r="733" spans="2:25" s="222" customFormat="1" ht="12.75" customHeight="1" x14ac:dyDescent="0.2">
      <c r="B733" s="32"/>
      <c r="C733" s="32"/>
      <c r="D733" s="20"/>
      <c r="E733" s="60"/>
      <c r="F733" s="60"/>
      <c r="G733" s="32"/>
      <c r="H733" s="28"/>
      <c r="I733" s="28"/>
      <c r="J733" s="20"/>
      <c r="K733" s="36"/>
      <c r="L733" s="36"/>
      <c r="M733" s="20"/>
      <c r="N733" s="20"/>
      <c r="O733" s="20"/>
      <c r="P733" s="20"/>
      <c r="Q733" s="45"/>
      <c r="R733" s="20"/>
      <c r="T733" s="327">
        <f t="shared" si="346"/>
        <v>0</v>
      </c>
      <c r="U733" s="327">
        <f t="shared" si="347"/>
        <v>0</v>
      </c>
      <c r="V733" s="327">
        <f t="shared" si="348"/>
        <v>0</v>
      </c>
      <c r="W733" s="327">
        <f t="shared" si="349"/>
        <v>0</v>
      </c>
      <c r="X733" s="65">
        <f t="shared" si="351"/>
        <v>0</v>
      </c>
      <c r="Y733" s="235">
        <f t="shared" si="350"/>
        <v>0</v>
      </c>
    </row>
    <row r="734" spans="2:25" s="222" customFormat="1" ht="12.75" customHeight="1" x14ac:dyDescent="0.2">
      <c r="B734" s="32"/>
      <c r="C734" s="32"/>
      <c r="D734" s="20"/>
      <c r="E734" s="60"/>
      <c r="F734" s="60"/>
      <c r="G734" s="32"/>
      <c r="H734" s="28"/>
      <c r="I734" s="28"/>
      <c r="J734" s="20"/>
      <c r="K734" s="36"/>
      <c r="L734" s="36"/>
      <c r="M734" s="20"/>
      <c r="N734" s="20"/>
      <c r="O734" s="20"/>
      <c r="P734" s="20"/>
      <c r="Q734" s="45"/>
      <c r="R734" s="20"/>
      <c r="T734" s="327">
        <f t="shared" si="346"/>
        <v>0</v>
      </c>
      <c r="U734" s="327">
        <f t="shared" si="347"/>
        <v>0</v>
      </c>
      <c r="V734" s="327">
        <f t="shared" si="348"/>
        <v>0</v>
      </c>
      <c r="W734" s="327">
        <f t="shared" si="349"/>
        <v>0</v>
      </c>
      <c r="X734" s="65">
        <f t="shared" si="351"/>
        <v>0</v>
      </c>
      <c r="Y734" s="235">
        <f t="shared" si="350"/>
        <v>0</v>
      </c>
    </row>
    <row r="735" spans="2:25" s="222" customFormat="1" ht="12.75" customHeight="1" x14ac:dyDescent="0.2">
      <c r="B735" s="32"/>
      <c r="C735" s="32"/>
      <c r="D735" s="20"/>
      <c r="E735" s="60"/>
      <c r="F735" s="60"/>
      <c r="G735" s="32"/>
      <c r="H735" s="28"/>
      <c r="I735" s="28"/>
      <c r="J735" s="20"/>
      <c r="K735" s="36"/>
      <c r="L735" s="36"/>
      <c r="M735" s="20"/>
      <c r="N735" s="20"/>
      <c r="O735" s="20"/>
      <c r="P735" s="20"/>
      <c r="Q735" s="45"/>
      <c r="R735" s="20"/>
      <c r="T735" s="327">
        <f t="shared" si="346"/>
        <v>0</v>
      </c>
      <c r="U735" s="327">
        <f t="shared" si="347"/>
        <v>0</v>
      </c>
      <c r="V735" s="327">
        <f t="shared" si="348"/>
        <v>0</v>
      </c>
      <c r="W735" s="327">
        <f t="shared" si="349"/>
        <v>0</v>
      </c>
      <c r="X735" s="65">
        <f t="shared" si="351"/>
        <v>0</v>
      </c>
      <c r="Y735" s="235">
        <f t="shared" si="350"/>
        <v>0</v>
      </c>
    </row>
    <row r="736" spans="2:25" s="222" customFormat="1" ht="12.75" customHeight="1" x14ac:dyDescent="0.2">
      <c r="B736" s="32"/>
      <c r="C736" s="32"/>
      <c r="D736" s="20"/>
      <c r="E736" s="60"/>
      <c r="F736" s="60"/>
      <c r="G736" s="32"/>
      <c r="H736" s="28"/>
      <c r="I736" s="28"/>
      <c r="J736" s="20"/>
      <c r="K736" s="36"/>
      <c r="L736" s="36"/>
      <c r="M736" s="20"/>
      <c r="N736" s="20"/>
      <c r="O736" s="20"/>
      <c r="P736" s="20"/>
      <c r="Q736" s="45"/>
      <c r="R736" s="20"/>
      <c r="T736" s="327">
        <f t="shared" si="346"/>
        <v>0</v>
      </c>
      <c r="U736" s="327">
        <f t="shared" si="347"/>
        <v>0</v>
      </c>
      <c r="V736" s="327">
        <f t="shared" si="348"/>
        <v>0</v>
      </c>
      <c r="W736" s="327">
        <f t="shared" si="349"/>
        <v>0</v>
      </c>
      <c r="X736" s="65">
        <f t="shared" si="351"/>
        <v>0</v>
      </c>
      <c r="Y736" s="235">
        <f t="shared" si="350"/>
        <v>0</v>
      </c>
    </row>
    <row r="737" spans="2:25" s="222" customFormat="1" ht="12.75" customHeight="1" x14ac:dyDescent="0.2">
      <c r="B737" s="32"/>
      <c r="C737" s="32"/>
      <c r="D737" s="20"/>
      <c r="E737" s="60"/>
      <c r="F737" s="60"/>
      <c r="G737" s="32"/>
      <c r="H737" s="28"/>
      <c r="I737" s="28"/>
      <c r="J737" s="20"/>
      <c r="K737" s="36"/>
      <c r="L737" s="36"/>
      <c r="M737" s="20"/>
      <c r="N737" s="20"/>
      <c r="O737" s="20"/>
      <c r="P737" s="20"/>
      <c r="Q737" s="45"/>
      <c r="R737" s="20"/>
      <c r="T737" s="327">
        <f t="shared" si="346"/>
        <v>0</v>
      </c>
      <c r="U737" s="327">
        <f t="shared" si="347"/>
        <v>0</v>
      </c>
      <c r="V737" s="327">
        <f t="shared" si="348"/>
        <v>0</v>
      </c>
      <c r="W737" s="327">
        <f t="shared" si="349"/>
        <v>0</v>
      </c>
      <c r="X737" s="65">
        <f t="shared" si="351"/>
        <v>0</v>
      </c>
      <c r="Y737" s="235">
        <f t="shared" si="350"/>
        <v>0</v>
      </c>
    </row>
    <row r="738" spans="2:25" s="222" customFormat="1" ht="12.75" customHeight="1" x14ac:dyDescent="0.2">
      <c r="B738" s="32"/>
      <c r="C738" s="32"/>
      <c r="D738" s="20"/>
      <c r="E738" s="60"/>
      <c r="F738" s="60"/>
      <c r="G738" s="32"/>
      <c r="H738" s="28"/>
      <c r="I738" s="28"/>
      <c r="J738" s="20"/>
      <c r="K738" s="36"/>
      <c r="L738" s="36"/>
      <c r="M738" s="20"/>
      <c r="N738" s="20"/>
      <c r="O738" s="20"/>
      <c r="P738" s="20"/>
      <c r="Q738" s="45"/>
      <c r="R738" s="20"/>
      <c r="T738" s="327">
        <f t="shared" si="346"/>
        <v>0</v>
      </c>
      <c r="U738" s="327">
        <f t="shared" si="347"/>
        <v>0</v>
      </c>
      <c r="V738" s="327">
        <f t="shared" si="348"/>
        <v>0</v>
      </c>
      <c r="W738" s="327">
        <f t="shared" si="349"/>
        <v>0</v>
      </c>
      <c r="X738" s="65">
        <f t="shared" si="351"/>
        <v>0</v>
      </c>
      <c r="Y738" s="235">
        <f t="shared" si="350"/>
        <v>0</v>
      </c>
    </row>
    <row r="739" spans="2:25" s="222" customFormat="1" ht="12.75" customHeight="1" x14ac:dyDescent="0.2">
      <c r="B739" s="32"/>
      <c r="C739" s="32"/>
      <c r="D739" s="20"/>
      <c r="E739" s="60"/>
      <c r="F739" s="60"/>
      <c r="G739" s="32"/>
      <c r="H739" s="28"/>
      <c r="I739" s="28"/>
      <c r="J739" s="20"/>
      <c r="K739" s="36"/>
      <c r="L739" s="36"/>
      <c r="M739" s="20"/>
      <c r="N739" s="20"/>
      <c r="O739" s="20"/>
      <c r="P739" s="20"/>
      <c r="Q739" s="45"/>
      <c r="R739" s="20"/>
      <c r="T739" s="327">
        <f t="shared" si="346"/>
        <v>0</v>
      </c>
      <c r="U739" s="327">
        <f t="shared" si="347"/>
        <v>0</v>
      </c>
      <c r="V739" s="327">
        <f t="shared" si="348"/>
        <v>0</v>
      </c>
      <c r="W739" s="327">
        <f t="shared" si="349"/>
        <v>0</v>
      </c>
      <c r="X739" s="65">
        <f t="shared" si="351"/>
        <v>0</v>
      </c>
      <c r="Y739" s="235">
        <f t="shared" si="350"/>
        <v>0</v>
      </c>
    </row>
    <row r="740" spans="2:25" s="222" customFormat="1" ht="12.75" customHeight="1" x14ac:dyDescent="0.2">
      <c r="B740" s="32"/>
      <c r="C740" s="32"/>
      <c r="D740" s="20"/>
      <c r="E740" s="60"/>
      <c r="F740" s="60"/>
      <c r="G740" s="32"/>
      <c r="H740" s="28"/>
      <c r="I740" s="28"/>
      <c r="J740" s="20"/>
      <c r="K740" s="36"/>
      <c r="L740" s="36"/>
      <c r="M740" s="20"/>
      <c r="N740" s="20"/>
      <c r="O740" s="20"/>
      <c r="P740" s="20"/>
      <c r="Q740" s="45"/>
      <c r="R740" s="20"/>
      <c r="T740" s="327">
        <f t="shared" si="346"/>
        <v>0</v>
      </c>
      <c r="U740" s="327">
        <f t="shared" si="347"/>
        <v>0</v>
      </c>
      <c r="V740" s="327">
        <f t="shared" si="348"/>
        <v>0</v>
      </c>
      <c r="W740" s="327">
        <f t="shared" si="349"/>
        <v>0</v>
      </c>
      <c r="X740" s="65">
        <f t="shared" si="351"/>
        <v>0</v>
      </c>
      <c r="Y740" s="235">
        <f t="shared" si="350"/>
        <v>0</v>
      </c>
    </row>
    <row r="741" spans="2:25" s="222" customFormat="1" ht="12.75" customHeight="1" x14ac:dyDescent="0.2">
      <c r="B741" s="32"/>
      <c r="C741" s="32"/>
      <c r="D741" s="20"/>
      <c r="E741" s="60"/>
      <c r="F741" s="60"/>
      <c r="G741" s="32"/>
      <c r="H741" s="28"/>
      <c r="I741" s="28"/>
      <c r="J741" s="20"/>
      <c r="K741" s="36"/>
      <c r="L741" s="36"/>
      <c r="M741" s="20"/>
      <c r="N741" s="20"/>
      <c r="O741" s="20"/>
      <c r="P741" s="20"/>
      <c r="Q741" s="45"/>
      <c r="R741" s="20"/>
      <c r="T741" s="327">
        <f t="shared" si="346"/>
        <v>0</v>
      </c>
      <c r="U741" s="327">
        <f t="shared" si="347"/>
        <v>0</v>
      </c>
      <c r="V741" s="327">
        <f t="shared" si="348"/>
        <v>0</v>
      </c>
      <c r="W741" s="327">
        <f t="shared" si="349"/>
        <v>0</v>
      </c>
      <c r="X741" s="65">
        <f t="shared" si="351"/>
        <v>0</v>
      </c>
      <c r="Y741" s="235">
        <f t="shared" si="350"/>
        <v>0</v>
      </c>
    </row>
    <row r="742" spans="2:25" s="222" customFormat="1" ht="12.75" customHeight="1" x14ac:dyDescent="0.2">
      <c r="B742" s="32"/>
      <c r="C742" s="32"/>
      <c r="D742" s="20"/>
      <c r="E742" s="60"/>
      <c r="F742" s="60"/>
      <c r="G742" s="32"/>
      <c r="H742" s="28"/>
      <c r="I742" s="28"/>
      <c r="J742" s="20"/>
      <c r="K742" s="36"/>
      <c r="L742" s="36"/>
      <c r="M742" s="20"/>
      <c r="N742" s="20"/>
      <c r="O742" s="20"/>
      <c r="P742" s="20"/>
      <c r="Q742" s="45"/>
      <c r="R742" s="20"/>
      <c r="T742" s="327">
        <f t="shared" si="346"/>
        <v>0</v>
      </c>
      <c r="U742" s="327">
        <f t="shared" si="347"/>
        <v>0</v>
      </c>
      <c r="V742" s="327">
        <f t="shared" si="348"/>
        <v>0</v>
      </c>
      <c r="W742" s="327">
        <f t="shared" si="349"/>
        <v>0</v>
      </c>
      <c r="X742" s="65">
        <f t="shared" si="351"/>
        <v>0</v>
      </c>
      <c r="Y742" s="235">
        <f t="shared" si="350"/>
        <v>0</v>
      </c>
    </row>
    <row r="743" spans="2:25" s="222" customFormat="1" ht="12.75" customHeight="1" x14ac:dyDescent="0.2">
      <c r="B743" s="32"/>
      <c r="C743" s="32"/>
      <c r="D743" s="20"/>
      <c r="E743" s="60"/>
      <c r="F743" s="60"/>
      <c r="G743" s="32"/>
      <c r="H743" s="28"/>
      <c r="I743" s="28"/>
      <c r="J743" s="20"/>
      <c r="K743" s="36"/>
      <c r="L743" s="36"/>
      <c r="M743" s="20"/>
      <c r="N743" s="20"/>
      <c r="O743" s="20"/>
      <c r="P743" s="20"/>
      <c r="Q743" s="45"/>
      <c r="R743" s="20"/>
      <c r="T743" s="327">
        <f t="shared" si="346"/>
        <v>0</v>
      </c>
      <c r="U743" s="327">
        <f t="shared" si="347"/>
        <v>0</v>
      </c>
      <c r="V743" s="327">
        <f t="shared" si="348"/>
        <v>0</v>
      </c>
      <c r="W743" s="327">
        <f t="shared" si="349"/>
        <v>0</v>
      </c>
      <c r="X743" s="65">
        <f t="shared" si="351"/>
        <v>0</v>
      </c>
      <c r="Y743" s="235">
        <f t="shared" si="350"/>
        <v>0</v>
      </c>
    </row>
    <row r="744" spans="2:25" s="222" customFormat="1" ht="12.75" customHeight="1" x14ac:dyDescent="0.2">
      <c r="B744" s="32"/>
      <c r="C744" s="32"/>
      <c r="D744" s="20"/>
      <c r="E744" s="60"/>
      <c r="F744" s="60"/>
      <c r="G744" s="32"/>
      <c r="H744" s="28"/>
      <c r="I744" s="28"/>
      <c r="J744" s="20"/>
      <c r="K744" s="36"/>
      <c r="L744" s="36"/>
      <c r="M744" s="20"/>
      <c r="N744" s="20"/>
      <c r="O744" s="20"/>
      <c r="P744" s="20"/>
      <c r="Q744" s="45"/>
      <c r="R744" s="20"/>
      <c r="T744" s="327">
        <f t="shared" si="346"/>
        <v>0</v>
      </c>
      <c r="U744" s="327">
        <f t="shared" si="347"/>
        <v>0</v>
      </c>
      <c r="V744" s="327">
        <f t="shared" si="348"/>
        <v>0</v>
      </c>
      <c r="W744" s="327">
        <f t="shared" si="349"/>
        <v>0</v>
      </c>
      <c r="X744" s="65">
        <f t="shared" si="351"/>
        <v>0</v>
      </c>
      <c r="Y744" s="235">
        <f t="shared" si="350"/>
        <v>0</v>
      </c>
    </row>
    <row r="745" spans="2:25" s="222" customFormat="1" ht="12.75" customHeight="1" x14ac:dyDescent="0.2">
      <c r="B745" s="32"/>
      <c r="C745" s="32"/>
      <c r="D745" s="20"/>
      <c r="E745" s="60"/>
      <c r="F745" s="60"/>
      <c r="G745" s="32"/>
      <c r="H745" s="28"/>
      <c r="I745" s="28"/>
      <c r="J745" s="20"/>
      <c r="K745" s="36"/>
      <c r="L745" s="36"/>
      <c r="M745" s="20"/>
      <c r="N745" s="20"/>
      <c r="O745" s="20"/>
      <c r="P745" s="20"/>
      <c r="Q745" s="45"/>
      <c r="R745" s="20"/>
      <c r="T745" s="327">
        <f t="shared" si="346"/>
        <v>0</v>
      </c>
      <c r="U745" s="327">
        <f t="shared" si="347"/>
        <v>0</v>
      </c>
      <c r="V745" s="327">
        <f t="shared" si="348"/>
        <v>0</v>
      </c>
      <c r="W745" s="327">
        <f t="shared" si="349"/>
        <v>0</v>
      </c>
      <c r="X745" s="65">
        <f t="shared" si="351"/>
        <v>0</v>
      </c>
      <c r="Y745" s="235">
        <f t="shared" si="350"/>
        <v>0</v>
      </c>
    </row>
    <row r="746" spans="2:25" s="222" customFormat="1" ht="12.75" customHeight="1" x14ac:dyDescent="0.2">
      <c r="B746" s="32"/>
      <c r="C746" s="32"/>
      <c r="D746" s="20"/>
      <c r="E746" s="60"/>
      <c r="F746" s="60"/>
      <c r="G746" s="32"/>
      <c r="H746" s="28"/>
      <c r="I746" s="28"/>
      <c r="J746" s="20"/>
      <c r="K746" s="36"/>
      <c r="L746" s="36"/>
      <c r="M746" s="20"/>
      <c r="N746" s="20"/>
      <c r="O746" s="20"/>
      <c r="P746" s="20"/>
      <c r="Q746" s="45"/>
      <c r="R746" s="20"/>
      <c r="T746" s="327">
        <f t="shared" si="346"/>
        <v>0</v>
      </c>
      <c r="U746" s="327">
        <f t="shared" si="347"/>
        <v>0</v>
      </c>
      <c r="V746" s="327">
        <f t="shared" si="348"/>
        <v>0</v>
      </c>
      <c r="W746" s="327">
        <f t="shared" si="349"/>
        <v>0</v>
      </c>
      <c r="X746" s="65">
        <f t="shared" si="351"/>
        <v>0</v>
      </c>
      <c r="Y746" s="235">
        <f t="shared" si="350"/>
        <v>0</v>
      </c>
    </row>
    <row r="747" spans="2:25" s="222" customFormat="1" ht="12.75" customHeight="1" x14ac:dyDescent="0.2">
      <c r="B747" s="32"/>
      <c r="C747" s="32"/>
      <c r="D747" s="20"/>
      <c r="E747" s="60"/>
      <c r="F747" s="60"/>
      <c r="G747" s="32"/>
      <c r="H747" s="28"/>
      <c r="I747" s="28"/>
      <c r="J747" s="20"/>
      <c r="K747" s="36"/>
      <c r="L747" s="36"/>
      <c r="M747" s="20"/>
      <c r="N747" s="20"/>
      <c r="O747" s="20"/>
      <c r="P747" s="20"/>
      <c r="Q747" s="45"/>
      <c r="R747" s="20"/>
      <c r="T747" s="327">
        <f t="shared" si="346"/>
        <v>0</v>
      </c>
      <c r="U747" s="327">
        <f t="shared" si="347"/>
        <v>0</v>
      </c>
      <c r="V747" s="327">
        <f t="shared" si="348"/>
        <v>0</v>
      </c>
      <c r="W747" s="327">
        <f t="shared" si="349"/>
        <v>0</v>
      </c>
      <c r="X747" s="65">
        <f t="shared" si="351"/>
        <v>0</v>
      </c>
      <c r="Y747" s="235">
        <f t="shared" si="350"/>
        <v>0</v>
      </c>
    </row>
    <row r="748" spans="2:25" s="222" customFormat="1" ht="12.75" customHeight="1" x14ac:dyDescent="0.2">
      <c r="B748" s="32"/>
      <c r="C748" s="32"/>
      <c r="D748" s="20"/>
      <c r="E748" s="60"/>
      <c r="F748" s="60"/>
      <c r="G748" s="32"/>
      <c r="H748" s="28"/>
      <c r="I748" s="28"/>
      <c r="J748" s="20"/>
      <c r="K748" s="36"/>
      <c r="L748" s="36"/>
      <c r="M748" s="20"/>
      <c r="N748" s="20"/>
      <c r="O748" s="20"/>
      <c r="P748" s="20"/>
      <c r="Q748" s="45"/>
      <c r="R748" s="20"/>
      <c r="T748" s="327">
        <f t="shared" si="346"/>
        <v>0</v>
      </c>
      <c r="U748" s="327">
        <f t="shared" si="347"/>
        <v>0</v>
      </c>
      <c r="V748" s="327">
        <f t="shared" si="348"/>
        <v>0</v>
      </c>
      <c r="W748" s="327">
        <f t="shared" si="349"/>
        <v>0</v>
      </c>
      <c r="X748" s="65">
        <f t="shared" si="351"/>
        <v>0</v>
      </c>
      <c r="Y748" s="235">
        <f t="shared" si="350"/>
        <v>0</v>
      </c>
    </row>
    <row r="749" spans="2:25" s="222" customFormat="1" ht="12.75" customHeight="1" x14ac:dyDescent="0.2">
      <c r="B749" s="32"/>
      <c r="C749" s="32"/>
      <c r="D749" s="20"/>
      <c r="E749" s="60"/>
      <c r="F749" s="60"/>
      <c r="G749" s="32"/>
      <c r="H749" s="28"/>
      <c r="I749" s="28"/>
      <c r="J749" s="20"/>
      <c r="K749" s="36"/>
      <c r="L749" s="36"/>
      <c r="M749" s="20"/>
      <c r="N749" s="20"/>
      <c r="O749" s="20"/>
      <c r="P749" s="20"/>
      <c r="Q749" s="45"/>
      <c r="R749" s="20"/>
      <c r="T749" s="327">
        <f t="shared" si="346"/>
        <v>0</v>
      </c>
      <c r="U749" s="327">
        <f t="shared" si="347"/>
        <v>0</v>
      </c>
      <c r="V749" s="327">
        <f t="shared" si="348"/>
        <v>0</v>
      </c>
      <c r="W749" s="327">
        <f t="shared" si="349"/>
        <v>0</v>
      </c>
      <c r="X749" s="65">
        <f t="shared" si="351"/>
        <v>0</v>
      </c>
      <c r="Y749" s="235">
        <f t="shared" si="350"/>
        <v>0</v>
      </c>
    </row>
    <row r="750" spans="2:25" s="222" customFormat="1" ht="12.75" customHeight="1" x14ac:dyDescent="0.2">
      <c r="B750" s="32"/>
      <c r="C750" s="32"/>
      <c r="D750" s="20"/>
      <c r="E750" s="60"/>
      <c r="F750" s="60"/>
      <c r="G750" s="32"/>
      <c r="H750" s="28"/>
      <c r="I750" s="28"/>
      <c r="J750" s="20"/>
      <c r="K750" s="36"/>
      <c r="L750" s="36"/>
      <c r="M750" s="20"/>
      <c r="N750" s="20"/>
      <c r="O750" s="20"/>
      <c r="P750" s="20"/>
      <c r="Q750" s="45"/>
      <c r="R750" s="20"/>
      <c r="T750" s="327">
        <f t="shared" si="346"/>
        <v>0</v>
      </c>
      <c r="U750" s="327">
        <f t="shared" si="347"/>
        <v>0</v>
      </c>
      <c r="V750" s="327">
        <f t="shared" si="348"/>
        <v>0</v>
      </c>
      <c r="W750" s="327">
        <f t="shared" si="349"/>
        <v>0</v>
      </c>
      <c r="X750" s="65">
        <f t="shared" si="351"/>
        <v>0</v>
      </c>
      <c r="Y750" s="235">
        <f t="shared" si="350"/>
        <v>0</v>
      </c>
    </row>
    <row r="751" spans="2:25" s="222" customFormat="1" ht="12.75" customHeight="1" x14ac:dyDescent="0.2">
      <c r="B751" s="32"/>
      <c r="C751" s="54"/>
      <c r="D751" s="20"/>
      <c r="E751" s="60"/>
      <c r="F751" s="60"/>
      <c r="G751" s="32"/>
      <c r="H751" s="28"/>
      <c r="I751" s="28"/>
      <c r="J751" s="20"/>
      <c r="K751" s="36"/>
      <c r="L751" s="36"/>
      <c r="M751" s="20"/>
      <c r="N751" s="20"/>
      <c r="O751" s="20"/>
      <c r="P751" s="20"/>
      <c r="Q751" s="45"/>
      <c r="R751" s="20"/>
      <c r="T751" s="327">
        <f t="shared" si="346"/>
        <v>0</v>
      </c>
      <c r="U751" s="327">
        <f t="shared" si="347"/>
        <v>0</v>
      </c>
      <c r="V751" s="327">
        <f t="shared" si="348"/>
        <v>0</v>
      </c>
      <c r="W751" s="327">
        <f t="shared" si="349"/>
        <v>0</v>
      </c>
      <c r="X751" s="65">
        <f t="shared" si="351"/>
        <v>0</v>
      </c>
      <c r="Y751" s="235">
        <f t="shared" si="350"/>
        <v>0</v>
      </c>
    </row>
    <row r="752" spans="2:25" s="222" customFormat="1" ht="12.75" customHeight="1" x14ac:dyDescent="0.2">
      <c r="B752" s="32"/>
      <c r="C752" s="54"/>
      <c r="D752" s="20"/>
      <c r="E752" s="60"/>
      <c r="F752" s="60"/>
      <c r="G752" s="32"/>
      <c r="H752" s="28"/>
      <c r="I752" s="28"/>
      <c r="J752" s="20"/>
      <c r="K752" s="36"/>
      <c r="L752" s="36"/>
      <c r="M752" s="20"/>
      <c r="N752" s="20"/>
      <c r="O752" s="20"/>
      <c r="P752" s="20"/>
      <c r="Q752" s="45"/>
      <c r="R752" s="20"/>
      <c r="T752" s="327">
        <f t="shared" si="346"/>
        <v>0</v>
      </c>
      <c r="U752" s="327">
        <f t="shared" si="347"/>
        <v>0</v>
      </c>
      <c r="V752" s="327">
        <f t="shared" si="348"/>
        <v>0</v>
      </c>
      <c r="W752" s="327">
        <f t="shared" si="349"/>
        <v>0</v>
      </c>
      <c r="X752" s="65">
        <f t="shared" si="351"/>
        <v>0</v>
      </c>
      <c r="Y752" s="235">
        <f t="shared" si="350"/>
        <v>0</v>
      </c>
    </row>
    <row r="753" spans="2:25" s="222" customFormat="1" ht="12.75" customHeight="1" x14ac:dyDescent="0.2">
      <c r="B753" s="32"/>
      <c r="C753" s="54"/>
      <c r="D753" s="20"/>
      <c r="E753" s="60"/>
      <c r="F753" s="60"/>
      <c r="G753" s="32"/>
      <c r="H753" s="28"/>
      <c r="I753" s="28"/>
      <c r="J753" s="20"/>
      <c r="K753" s="36"/>
      <c r="L753" s="36"/>
      <c r="M753" s="20"/>
      <c r="N753" s="20"/>
      <c r="O753" s="20"/>
      <c r="P753" s="20"/>
      <c r="Q753" s="45"/>
      <c r="R753" s="20"/>
      <c r="T753" s="327">
        <f t="shared" si="346"/>
        <v>0</v>
      </c>
      <c r="U753" s="327">
        <f t="shared" si="347"/>
        <v>0</v>
      </c>
      <c r="V753" s="327">
        <f t="shared" si="348"/>
        <v>0</v>
      </c>
      <c r="W753" s="327">
        <f t="shared" si="349"/>
        <v>0</v>
      </c>
      <c r="X753" s="65">
        <f t="shared" si="351"/>
        <v>0</v>
      </c>
      <c r="Y753" s="235">
        <f t="shared" si="350"/>
        <v>0</v>
      </c>
    </row>
    <row r="754" spans="2:25" s="222" customFormat="1" ht="12.75" customHeight="1" x14ac:dyDescent="0.2">
      <c r="B754" s="32"/>
      <c r="C754" s="54"/>
      <c r="D754" s="20"/>
      <c r="E754" s="60"/>
      <c r="F754" s="60"/>
      <c r="G754" s="32"/>
      <c r="H754" s="28"/>
      <c r="I754" s="28"/>
      <c r="J754" s="20"/>
      <c r="K754" s="36"/>
      <c r="L754" s="36"/>
      <c r="M754" s="20"/>
      <c r="N754" s="20"/>
      <c r="O754" s="20"/>
      <c r="P754" s="20"/>
      <c r="Q754" s="45"/>
      <c r="R754" s="20"/>
      <c r="T754" s="327">
        <f t="shared" si="346"/>
        <v>0</v>
      </c>
      <c r="U754" s="327">
        <f t="shared" si="347"/>
        <v>0</v>
      </c>
      <c r="V754" s="327">
        <f t="shared" si="348"/>
        <v>0</v>
      </c>
      <c r="W754" s="327">
        <f t="shared" si="349"/>
        <v>0</v>
      </c>
      <c r="X754" s="65">
        <f t="shared" si="351"/>
        <v>0</v>
      </c>
      <c r="Y754" s="235">
        <f t="shared" si="350"/>
        <v>0</v>
      </c>
    </row>
    <row r="755" spans="2:25" s="222" customFormat="1" ht="12.75" customHeight="1" x14ac:dyDescent="0.2">
      <c r="B755" s="32"/>
      <c r="C755" s="54"/>
      <c r="D755" s="20"/>
      <c r="E755" s="60"/>
      <c r="F755" s="60"/>
      <c r="G755" s="32"/>
      <c r="H755" s="28"/>
      <c r="I755" s="28"/>
      <c r="J755" s="20"/>
      <c r="K755" s="36"/>
      <c r="L755" s="36"/>
      <c r="M755" s="20"/>
      <c r="N755" s="20"/>
      <c r="O755" s="20"/>
      <c r="P755" s="20"/>
      <c r="Q755" s="45"/>
      <c r="R755" s="20"/>
      <c r="T755" s="327">
        <f t="shared" si="346"/>
        <v>0</v>
      </c>
      <c r="U755" s="327">
        <f t="shared" si="347"/>
        <v>0</v>
      </c>
      <c r="V755" s="327">
        <f t="shared" si="348"/>
        <v>0</v>
      </c>
      <c r="W755" s="327">
        <f t="shared" si="349"/>
        <v>0</v>
      </c>
      <c r="X755" s="65">
        <f t="shared" si="351"/>
        <v>0</v>
      </c>
      <c r="Y755" s="235">
        <f t="shared" si="350"/>
        <v>0</v>
      </c>
    </row>
    <row r="756" spans="2:25" s="222" customFormat="1" ht="12.75" customHeight="1" x14ac:dyDescent="0.2">
      <c r="B756" s="32"/>
      <c r="C756" s="54"/>
      <c r="D756" s="20"/>
      <c r="E756" s="60"/>
      <c r="F756" s="60"/>
      <c r="G756" s="32"/>
      <c r="H756" s="28"/>
      <c r="I756" s="28"/>
      <c r="J756" s="20"/>
      <c r="K756" s="36"/>
      <c r="L756" s="36"/>
      <c r="M756" s="20"/>
      <c r="N756" s="20"/>
      <c r="O756" s="20"/>
      <c r="P756" s="20"/>
      <c r="Q756" s="45"/>
      <c r="R756" s="20"/>
      <c r="T756" s="327">
        <f t="shared" si="346"/>
        <v>0</v>
      </c>
      <c r="U756" s="327">
        <f t="shared" si="347"/>
        <v>0</v>
      </c>
      <c r="V756" s="327">
        <f t="shared" si="348"/>
        <v>0</v>
      </c>
      <c r="W756" s="327">
        <f t="shared" si="349"/>
        <v>0</v>
      </c>
      <c r="X756" s="65">
        <f t="shared" si="351"/>
        <v>0</v>
      </c>
      <c r="Y756" s="235">
        <f t="shared" si="350"/>
        <v>0</v>
      </c>
    </row>
    <row r="757" spans="2:25" s="222" customFormat="1" ht="12.75" customHeight="1" x14ac:dyDescent="0.2">
      <c r="B757" s="32"/>
      <c r="C757" s="54"/>
      <c r="D757" s="20"/>
      <c r="E757" s="60"/>
      <c r="F757" s="60"/>
      <c r="G757" s="32"/>
      <c r="H757" s="28"/>
      <c r="I757" s="28"/>
      <c r="J757" s="20"/>
      <c r="K757" s="36"/>
      <c r="L757" s="36"/>
      <c r="M757" s="20"/>
      <c r="N757" s="20"/>
      <c r="O757" s="20"/>
      <c r="P757" s="20"/>
      <c r="Q757" s="45"/>
      <c r="R757" s="20"/>
      <c r="T757" s="327">
        <f t="shared" si="346"/>
        <v>0</v>
      </c>
      <c r="U757" s="327">
        <f t="shared" si="347"/>
        <v>0</v>
      </c>
      <c r="V757" s="327">
        <f t="shared" si="348"/>
        <v>0</v>
      </c>
      <c r="W757" s="327">
        <f t="shared" si="349"/>
        <v>0</v>
      </c>
      <c r="X757" s="65">
        <f t="shared" si="351"/>
        <v>0</v>
      </c>
      <c r="Y757" s="235">
        <f t="shared" si="350"/>
        <v>0</v>
      </c>
    </row>
    <row r="758" spans="2:25" s="222" customFormat="1" ht="12.75" customHeight="1" x14ac:dyDescent="0.2">
      <c r="B758" s="20"/>
      <c r="C758" s="45"/>
      <c r="D758" s="45"/>
      <c r="E758" s="59"/>
      <c r="F758" s="59"/>
      <c r="G758" s="20"/>
      <c r="H758" s="28"/>
      <c r="I758" s="28"/>
      <c r="J758" s="20"/>
      <c r="K758" s="36"/>
      <c r="L758" s="36"/>
      <c r="M758" s="20"/>
      <c r="N758" s="20"/>
      <c r="O758" s="20"/>
      <c r="P758" s="20"/>
      <c r="Q758" s="45"/>
      <c r="R758" s="20"/>
      <c r="T758" s="327">
        <f t="shared" si="346"/>
        <v>0</v>
      </c>
      <c r="U758" s="327">
        <f t="shared" si="347"/>
        <v>0</v>
      </c>
      <c r="V758" s="327">
        <f t="shared" si="348"/>
        <v>0</v>
      </c>
      <c r="W758" s="327">
        <f t="shared" si="349"/>
        <v>0</v>
      </c>
      <c r="X758" s="65">
        <f t="shared" si="351"/>
        <v>0</v>
      </c>
      <c r="Y758" s="235">
        <f t="shared" si="350"/>
        <v>0</v>
      </c>
    </row>
    <row r="759" spans="2:25" s="222" customFormat="1" ht="12.75" customHeight="1" x14ac:dyDescent="0.2">
      <c r="B759" s="32"/>
      <c r="C759" s="32"/>
      <c r="D759" s="20"/>
      <c r="E759" s="60"/>
      <c r="F759" s="60"/>
      <c r="G759" s="32"/>
      <c r="H759" s="28"/>
      <c r="I759" s="28"/>
      <c r="J759" s="20"/>
      <c r="K759" s="36"/>
      <c r="L759" s="36"/>
      <c r="M759" s="20"/>
      <c r="N759" s="20"/>
      <c r="O759" s="20"/>
      <c r="P759" s="20"/>
      <c r="Q759" s="45"/>
      <c r="R759" s="20"/>
      <c r="T759" s="327">
        <f t="shared" si="346"/>
        <v>0</v>
      </c>
      <c r="U759" s="327">
        <f t="shared" si="347"/>
        <v>0</v>
      </c>
      <c r="V759" s="327">
        <f t="shared" si="348"/>
        <v>0</v>
      </c>
      <c r="W759" s="327">
        <f t="shared" si="349"/>
        <v>0</v>
      </c>
      <c r="X759" s="65">
        <f t="shared" si="351"/>
        <v>0</v>
      </c>
      <c r="Y759" s="235">
        <f t="shared" si="350"/>
        <v>0</v>
      </c>
    </row>
    <row r="760" spans="2:25" s="222" customFormat="1" ht="12.75" customHeight="1" x14ac:dyDescent="0.2">
      <c r="B760" s="32"/>
      <c r="C760" s="32"/>
      <c r="D760" s="20"/>
      <c r="E760" s="60"/>
      <c r="F760" s="60"/>
      <c r="G760" s="32"/>
      <c r="H760" s="28"/>
      <c r="I760" s="28"/>
      <c r="J760" s="20"/>
      <c r="K760" s="36"/>
      <c r="L760" s="36"/>
      <c r="M760" s="20"/>
      <c r="N760" s="20"/>
      <c r="O760" s="20"/>
      <c r="P760" s="20"/>
      <c r="Q760" s="45"/>
      <c r="R760" s="20"/>
      <c r="T760" s="327">
        <f t="shared" si="346"/>
        <v>0</v>
      </c>
      <c r="U760" s="327">
        <f t="shared" si="347"/>
        <v>0</v>
      </c>
      <c r="V760" s="327">
        <f t="shared" si="348"/>
        <v>0</v>
      </c>
      <c r="W760" s="327">
        <f t="shared" si="349"/>
        <v>0</v>
      </c>
      <c r="X760" s="65">
        <f t="shared" si="351"/>
        <v>0</v>
      </c>
      <c r="Y760" s="235">
        <f t="shared" si="350"/>
        <v>0</v>
      </c>
    </row>
    <row r="761" spans="2:25" s="222" customFormat="1" ht="12.75" customHeight="1" x14ac:dyDescent="0.2">
      <c r="B761" s="32"/>
      <c r="C761" s="32"/>
      <c r="D761" s="20"/>
      <c r="E761" s="60"/>
      <c r="F761" s="60"/>
      <c r="G761" s="32"/>
      <c r="H761" s="28"/>
      <c r="I761" s="28"/>
      <c r="J761" s="20"/>
      <c r="K761" s="36"/>
      <c r="L761" s="36"/>
      <c r="M761" s="20"/>
      <c r="N761" s="20"/>
      <c r="O761" s="20"/>
      <c r="P761" s="20"/>
      <c r="Q761" s="45"/>
      <c r="R761" s="20"/>
      <c r="T761" s="327">
        <f t="shared" si="346"/>
        <v>0</v>
      </c>
      <c r="U761" s="327">
        <f t="shared" si="347"/>
        <v>0</v>
      </c>
      <c r="V761" s="327">
        <f t="shared" si="348"/>
        <v>0</v>
      </c>
      <c r="W761" s="327">
        <f t="shared" si="349"/>
        <v>0</v>
      </c>
      <c r="X761" s="65">
        <f t="shared" si="351"/>
        <v>0</v>
      </c>
      <c r="Y761" s="235">
        <f t="shared" si="350"/>
        <v>0</v>
      </c>
    </row>
    <row r="762" spans="2:25" s="222" customFormat="1" ht="12.75" customHeight="1" x14ac:dyDescent="0.2">
      <c r="B762" s="32"/>
      <c r="C762" s="32"/>
      <c r="D762" s="20"/>
      <c r="E762" s="60"/>
      <c r="F762" s="60"/>
      <c r="G762" s="32"/>
      <c r="H762" s="28"/>
      <c r="I762" s="28"/>
      <c r="J762" s="20"/>
      <c r="K762" s="36"/>
      <c r="L762" s="36"/>
      <c r="M762" s="20"/>
      <c r="N762" s="20"/>
      <c r="O762" s="20"/>
      <c r="P762" s="20"/>
      <c r="Q762" s="45"/>
      <c r="R762" s="20"/>
      <c r="T762" s="327">
        <f t="shared" si="346"/>
        <v>0</v>
      </c>
      <c r="U762" s="327">
        <f t="shared" si="347"/>
        <v>0</v>
      </c>
      <c r="V762" s="327">
        <f t="shared" si="348"/>
        <v>0</v>
      </c>
      <c r="W762" s="327">
        <f t="shared" si="349"/>
        <v>0</v>
      </c>
      <c r="X762" s="65">
        <f t="shared" si="351"/>
        <v>0</v>
      </c>
      <c r="Y762" s="235">
        <f t="shared" si="350"/>
        <v>0</v>
      </c>
    </row>
    <row r="763" spans="2:25" s="222" customFormat="1" ht="12.75" customHeight="1" x14ac:dyDescent="0.2">
      <c r="B763" s="32"/>
      <c r="C763" s="32"/>
      <c r="D763" s="20"/>
      <c r="E763" s="60"/>
      <c r="F763" s="60"/>
      <c r="G763" s="32"/>
      <c r="H763" s="28"/>
      <c r="I763" s="28"/>
      <c r="J763" s="20"/>
      <c r="K763" s="36"/>
      <c r="L763" s="36"/>
      <c r="M763" s="20"/>
      <c r="N763" s="20"/>
      <c r="O763" s="20"/>
      <c r="P763" s="20"/>
      <c r="Q763" s="45"/>
      <c r="R763" s="20"/>
      <c r="T763" s="327">
        <f t="shared" si="346"/>
        <v>0</v>
      </c>
      <c r="U763" s="327">
        <f t="shared" si="347"/>
        <v>0</v>
      </c>
      <c r="V763" s="327">
        <f t="shared" si="348"/>
        <v>0</v>
      </c>
      <c r="W763" s="327">
        <f t="shared" si="349"/>
        <v>0</v>
      </c>
      <c r="X763" s="65">
        <f t="shared" si="351"/>
        <v>0</v>
      </c>
      <c r="Y763" s="235">
        <f t="shared" si="350"/>
        <v>0</v>
      </c>
    </row>
    <row r="764" spans="2:25" s="222" customFormat="1" ht="12.75" customHeight="1" x14ac:dyDescent="0.2">
      <c r="B764" s="32"/>
      <c r="C764" s="32"/>
      <c r="D764" s="20"/>
      <c r="E764" s="60"/>
      <c r="F764" s="60"/>
      <c r="G764" s="32"/>
      <c r="H764" s="28"/>
      <c r="I764" s="28"/>
      <c r="J764" s="20"/>
      <c r="K764" s="36"/>
      <c r="L764" s="36"/>
      <c r="M764" s="20"/>
      <c r="N764" s="20"/>
      <c r="O764" s="20"/>
      <c r="P764" s="20"/>
      <c r="Q764" s="45"/>
      <c r="R764" s="20"/>
      <c r="T764" s="327">
        <f t="shared" si="346"/>
        <v>0</v>
      </c>
      <c r="U764" s="327">
        <f t="shared" si="347"/>
        <v>0</v>
      </c>
      <c r="V764" s="327">
        <f t="shared" si="348"/>
        <v>0</v>
      </c>
      <c r="W764" s="327">
        <f t="shared" si="349"/>
        <v>0</v>
      </c>
      <c r="X764" s="65">
        <f t="shared" si="351"/>
        <v>0</v>
      </c>
      <c r="Y764" s="235">
        <f t="shared" si="350"/>
        <v>0</v>
      </c>
    </row>
    <row r="765" spans="2:25" s="222" customFormat="1" ht="12.75" customHeight="1" x14ac:dyDescent="0.2">
      <c r="B765" s="32"/>
      <c r="C765" s="32"/>
      <c r="D765" s="20"/>
      <c r="E765" s="60"/>
      <c r="F765" s="60"/>
      <c r="G765" s="32"/>
      <c r="H765" s="28"/>
      <c r="I765" s="28"/>
      <c r="J765" s="20"/>
      <c r="K765" s="36"/>
      <c r="L765" s="36"/>
      <c r="M765" s="20"/>
      <c r="N765" s="20"/>
      <c r="O765" s="20"/>
      <c r="P765" s="20"/>
      <c r="Q765" s="45"/>
      <c r="R765" s="20"/>
      <c r="T765" s="327">
        <f t="shared" si="346"/>
        <v>0</v>
      </c>
      <c r="U765" s="327">
        <f t="shared" si="347"/>
        <v>0</v>
      </c>
      <c r="V765" s="327">
        <f t="shared" si="348"/>
        <v>0</v>
      </c>
      <c r="W765" s="327">
        <f t="shared" si="349"/>
        <v>0</v>
      </c>
      <c r="X765" s="65">
        <f t="shared" si="351"/>
        <v>0</v>
      </c>
      <c r="Y765" s="235">
        <f t="shared" si="350"/>
        <v>0</v>
      </c>
    </row>
    <row r="766" spans="2:25" s="222" customFormat="1" ht="12.75" customHeight="1" x14ac:dyDescent="0.2">
      <c r="B766" s="32"/>
      <c r="C766" s="32"/>
      <c r="D766" s="20"/>
      <c r="E766" s="60"/>
      <c r="F766" s="60"/>
      <c r="G766" s="32"/>
      <c r="H766" s="28"/>
      <c r="I766" s="28"/>
      <c r="J766" s="20"/>
      <c r="K766" s="36"/>
      <c r="L766" s="36"/>
      <c r="M766" s="20"/>
      <c r="N766" s="20"/>
      <c r="O766" s="20"/>
      <c r="P766" s="20"/>
      <c r="Q766" s="45"/>
      <c r="R766" s="20"/>
      <c r="T766" s="327">
        <f t="shared" ref="T766:T829" si="352">IF(K766=$T$3,$T$5*R766/DAYS360(K766,L766),0)</f>
        <v>0</v>
      </c>
      <c r="U766" s="327">
        <f t="shared" ref="U766:U829" si="353">IF(K766=$U$3,$U$5*R766/DAYS360(K766,L766),0)+IF(K766=$T$3,IF(L766=$U$4,R766-T766,0),0)+IF(K766=$T$3,IF(L766=$V$4,(R766-T766)/2,0),0)+IF(K766=$T$3,IF(L766=$W$4,(R766-T766)/3,0),0)</f>
        <v>0</v>
      </c>
      <c r="V766" s="327">
        <f t="shared" ref="V766:V829" si="354">IF(K766=$V$3,$V$5*R766/DAYS360(K766,L766),0)+IF(K766=$T$3,IF(L766=$V$4,R766-T766-U766,0),0)+IF(K766=$T$3,IF(L766=$W$4,(R766-T766-U766)/2,0),0)+IF(K766=$U$3,IF(L766=$V$4,R766-U766,0),0)+IF(K766=$U$3,IF(L766=$W$4,(R766-U766)/2,0),0)</f>
        <v>0</v>
      </c>
      <c r="W766" s="327">
        <f t="shared" ref="W766:W829" si="355">IF(K766=$W$3,$W$5*R766/DAYS360(K766,L766),0)+IF(K766=$T$3,IF(L766=$W$4,R766-T766-U766-V766,0),0)+IF(K766=$U$3,IF(L766=$W$4,R766-U766-V766,0),0)+IF(K766=$V$3,IF(L766=$W$4,R766-V766,0),0)</f>
        <v>0</v>
      </c>
      <c r="X766" s="65">
        <f t="shared" si="351"/>
        <v>0</v>
      </c>
      <c r="Y766" s="235">
        <f t="shared" si="350"/>
        <v>0</v>
      </c>
    </row>
    <row r="767" spans="2:25" s="222" customFormat="1" ht="12.75" customHeight="1" x14ac:dyDescent="0.2">
      <c r="B767" s="32"/>
      <c r="C767" s="32"/>
      <c r="D767" s="20"/>
      <c r="E767" s="60"/>
      <c r="F767" s="60"/>
      <c r="G767" s="32"/>
      <c r="H767" s="28"/>
      <c r="I767" s="28"/>
      <c r="J767" s="20"/>
      <c r="K767" s="36"/>
      <c r="L767" s="36"/>
      <c r="M767" s="20"/>
      <c r="N767" s="20"/>
      <c r="O767" s="20"/>
      <c r="P767" s="20"/>
      <c r="Q767" s="45"/>
      <c r="R767" s="20"/>
      <c r="T767" s="327">
        <f t="shared" si="352"/>
        <v>0</v>
      </c>
      <c r="U767" s="327">
        <f t="shared" si="353"/>
        <v>0</v>
      </c>
      <c r="V767" s="327">
        <f t="shared" si="354"/>
        <v>0</v>
      </c>
      <c r="W767" s="327">
        <f t="shared" si="355"/>
        <v>0</v>
      </c>
      <c r="X767" s="65">
        <f t="shared" si="351"/>
        <v>0</v>
      </c>
      <c r="Y767" s="235">
        <f t="shared" si="350"/>
        <v>0</v>
      </c>
    </row>
    <row r="768" spans="2:25" s="222" customFormat="1" ht="12.75" customHeight="1" x14ac:dyDescent="0.2">
      <c r="B768" s="32"/>
      <c r="C768" s="32"/>
      <c r="D768" s="20"/>
      <c r="E768" s="60"/>
      <c r="F768" s="60"/>
      <c r="G768" s="32"/>
      <c r="H768" s="28"/>
      <c r="I768" s="28"/>
      <c r="J768" s="20"/>
      <c r="K768" s="36"/>
      <c r="L768" s="36"/>
      <c r="M768" s="20"/>
      <c r="N768" s="20"/>
      <c r="O768" s="20"/>
      <c r="P768" s="20"/>
      <c r="Q768" s="45"/>
      <c r="R768" s="20"/>
      <c r="T768" s="327">
        <f t="shared" si="352"/>
        <v>0</v>
      </c>
      <c r="U768" s="327">
        <f t="shared" si="353"/>
        <v>0</v>
      </c>
      <c r="V768" s="327">
        <f t="shared" si="354"/>
        <v>0</v>
      </c>
      <c r="W768" s="327">
        <f t="shared" si="355"/>
        <v>0</v>
      </c>
      <c r="X768" s="65">
        <f t="shared" si="351"/>
        <v>0</v>
      </c>
      <c r="Y768" s="235">
        <f t="shared" si="350"/>
        <v>0</v>
      </c>
    </row>
    <row r="769" spans="2:25" s="222" customFormat="1" ht="12.75" customHeight="1" x14ac:dyDescent="0.2">
      <c r="B769" s="32"/>
      <c r="C769" s="32"/>
      <c r="D769" s="20"/>
      <c r="E769" s="60"/>
      <c r="F769" s="60"/>
      <c r="G769" s="32"/>
      <c r="H769" s="28"/>
      <c r="I769" s="28"/>
      <c r="J769" s="20"/>
      <c r="K769" s="36"/>
      <c r="L769" s="36"/>
      <c r="M769" s="20"/>
      <c r="N769" s="20"/>
      <c r="O769" s="20"/>
      <c r="P769" s="20"/>
      <c r="Q769" s="45"/>
      <c r="R769" s="20"/>
      <c r="T769" s="327">
        <f t="shared" si="352"/>
        <v>0</v>
      </c>
      <c r="U769" s="327">
        <f t="shared" si="353"/>
        <v>0</v>
      </c>
      <c r="V769" s="327">
        <f t="shared" si="354"/>
        <v>0</v>
      </c>
      <c r="W769" s="327">
        <f t="shared" si="355"/>
        <v>0</v>
      </c>
      <c r="X769" s="65">
        <f t="shared" si="351"/>
        <v>0</v>
      </c>
      <c r="Y769" s="235">
        <f t="shared" si="350"/>
        <v>0</v>
      </c>
    </row>
    <row r="770" spans="2:25" s="222" customFormat="1" ht="12.75" customHeight="1" x14ac:dyDescent="0.2">
      <c r="B770" s="32"/>
      <c r="C770" s="32"/>
      <c r="D770" s="20"/>
      <c r="E770" s="60"/>
      <c r="F770" s="60"/>
      <c r="G770" s="32"/>
      <c r="H770" s="28"/>
      <c r="I770" s="28"/>
      <c r="J770" s="20"/>
      <c r="K770" s="36"/>
      <c r="L770" s="36"/>
      <c r="M770" s="20"/>
      <c r="N770" s="20"/>
      <c r="O770" s="20"/>
      <c r="P770" s="20"/>
      <c r="Q770" s="45"/>
      <c r="R770" s="20"/>
      <c r="T770" s="327">
        <f t="shared" si="352"/>
        <v>0</v>
      </c>
      <c r="U770" s="327">
        <f t="shared" si="353"/>
        <v>0</v>
      </c>
      <c r="V770" s="327">
        <f t="shared" si="354"/>
        <v>0</v>
      </c>
      <c r="W770" s="327">
        <f t="shared" si="355"/>
        <v>0</v>
      </c>
      <c r="X770" s="65">
        <f t="shared" si="351"/>
        <v>0</v>
      </c>
      <c r="Y770" s="235">
        <f t="shared" si="350"/>
        <v>0</v>
      </c>
    </row>
    <row r="771" spans="2:25" s="222" customFormat="1" ht="12.75" customHeight="1" x14ac:dyDescent="0.2">
      <c r="B771" s="32"/>
      <c r="C771" s="32"/>
      <c r="D771" s="20"/>
      <c r="E771" s="60"/>
      <c r="F771" s="60"/>
      <c r="G771" s="32"/>
      <c r="H771" s="28"/>
      <c r="I771" s="28"/>
      <c r="J771" s="20"/>
      <c r="K771" s="36"/>
      <c r="L771" s="36"/>
      <c r="M771" s="20"/>
      <c r="N771" s="20"/>
      <c r="O771" s="20"/>
      <c r="P771" s="20"/>
      <c r="Q771" s="45"/>
      <c r="R771" s="20"/>
      <c r="T771" s="327">
        <f t="shared" si="352"/>
        <v>0</v>
      </c>
      <c r="U771" s="327">
        <f t="shared" si="353"/>
        <v>0</v>
      </c>
      <c r="V771" s="327">
        <f t="shared" si="354"/>
        <v>0</v>
      </c>
      <c r="W771" s="327">
        <f t="shared" si="355"/>
        <v>0</v>
      </c>
      <c r="X771" s="65">
        <f t="shared" si="351"/>
        <v>0</v>
      </c>
      <c r="Y771" s="235">
        <f t="shared" ref="Y771:Y834" si="356">X771-R771</f>
        <v>0</v>
      </c>
    </row>
    <row r="772" spans="2:25" s="222" customFormat="1" ht="12.75" customHeight="1" x14ac:dyDescent="0.2">
      <c r="B772" s="32"/>
      <c r="C772" s="32"/>
      <c r="D772" s="45"/>
      <c r="E772" s="60"/>
      <c r="F772" s="60"/>
      <c r="G772" s="32"/>
      <c r="H772" s="28"/>
      <c r="I772" s="28"/>
      <c r="J772" s="20"/>
      <c r="K772" s="36"/>
      <c r="L772" s="36"/>
      <c r="M772" s="20"/>
      <c r="N772" s="20"/>
      <c r="O772" s="20"/>
      <c r="P772" s="20"/>
      <c r="Q772" s="45"/>
      <c r="R772" s="20"/>
      <c r="T772" s="327">
        <f t="shared" si="352"/>
        <v>0</v>
      </c>
      <c r="U772" s="327">
        <f t="shared" si="353"/>
        <v>0</v>
      </c>
      <c r="V772" s="327">
        <f t="shared" si="354"/>
        <v>0</v>
      </c>
      <c r="W772" s="327">
        <f t="shared" si="355"/>
        <v>0</v>
      </c>
      <c r="X772" s="65">
        <f t="shared" si="351"/>
        <v>0</v>
      </c>
      <c r="Y772" s="235">
        <f t="shared" si="356"/>
        <v>0</v>
      </c>
    </row>
    <row r="773" spans="2:25" s="222" customFormat="1" ht="12.75" customHeight="1" x14ac:dyDescent="0.2">
      <c r="B773" s="32"/>
      <c r="C773" s="32"/>
      <c r="D773" s="45"/>
      <c r="E773" s="60"/>
      <c r="F773" s="60"/>
      <c r="G773" s="32"/>
      <c r="H773" s="28"/>
      <c r="I773" s="28"/>
      <c r="J773" s="20"/>
      <c r="K773" s="36"/>
      <c r="L773" s="36"/>
      <c r="M773" s="20"/>
      <c r="N773" s="20"/>
      <c r="O773" s="20"/>
      <c r="P773" s="20"/>
      <c r="Q773" s="45"/>
      <c r="R773" s="20"/>
      <c r="T773" s="327">
        <f t="shared" si="352"/>
        <v>0</v>
      </c>
      <c r="U773" s="327">
        <f t="shared" si="353"/>
        <v>0</v>
      </c>
      <c r="V773" s="327">
        <f t="shared" si="354"/>
        <v>0</v>
      </c>
      <c r="W773" s="327">
        <f t="shared" si="355"/>
        <v>0</v>
      </c>
      <c r="X773" s="65">
        <f t="shared" si="351"/>
        <v>0</v>
      </c>
      <c r="Y773" s="235">
        <f t="shared" si="356"/>
        <v>0</v>
      </c>
    </row>
    <row r="774" spans="2:25" s="222" customFormat="1" ht="12.75" customHeight="1" x14ac:dyDescent="0.2">
      <c r="B774" s="32"/>
      <c r="C774" s="32"/>
      <c r="D774" s="45"/>
      <c r="E774" s="60"/>
      <c r="F774" s="60"/>
      <c r="G774" s="32"/>
      <c r="H774" s="28"/>
      <c r="I774" s="28"/>
      <c r="J774" s="20"/>
      <c r="K774" s="36"/>
      <c r="L774" s="36"/>
      <c r="M774" s="20"/>
      <c r="N774" s="20"/>
      <c r="O774" s="20"/>
      <c r="P774" s="20"/>
      <c r="Q774" s="45"/>
      <c r="R774" s="20"/>
      <c r="T774" s="327">
        <f t="shared" si="352"/>
        <v>0</v>
      </c>
      <c r="U774" s="327">
        <f t="shared" si="353"/>
        <v>0</v>
      </c>
      <c r="V774" s="327">
        <f t="shared" si="354"/>
        <v>0</v>
      </c>
      <c r="W774" s="327">
        <f t="shared" si="355"/>
        <v>0</v>
      </c>
      <c r="X774" s="65">
        <f t="shared" si="351"/>
        <v>0</v>
      </c>
      <c r="Y774" s="235">
        <f t="shared" si="356"/>
        <v>0</v>
      </c>
    </row>
    <row r="775" spans="2:25" s="222" customFormat="1" ht="12.75" customHeight="1" x14ac:dyDescent="0.2">
      <c r="B775" s="32"/>
      <c r="C775" s="32"/>
      <c r="D775" s="20"/>
      <c r="E775" s="60"/>
      <c r="F775" s="60"/>
      <c r="G775" s="32"/>
      <c r="H775" s="28"/>
      <c r="I775" s="28"/>
      <c r="J775" s="20"/>
      <c r="K775" s="36"/>
      <c r="L775" s="36"/>
      <c r="M775" s="20"/>
      <c r="N775" s="20"/>
      <c r="O775" s="20"/>
      <c r="P775" s="20"/>
      <c r="Q775" s="45"/>
      <c r="R775" s="20"/>
      <c r="T775" s="327">
        <f t="shared" si="352"/>
        <v>0</v>
      </c>
      <c r="U775" s="327">
        <f t="shared" si="353"/>
        <v>0</v>
      </c>
      <c r="V775" s="327">
        <f t="shared" si="354"/>
        <v>0</v>
      </c>
      <c r="W775" s="327">
        <f t="shared" si="355"/>
        <v>0</v>
      </c>
      <c r="X775" s="65">
        <f t="shared" si="351"/>
        <v>0</v>
      </c>
      <c r="Y775" s="235">
        <f t="shared" si="356"/>
        <v>0</v>
      </c>
    </row>
    <row r="776" spans="2:25" s="222" customFormat="1" ht="12.75" customHeight="1" x14ac:dyDescent="0.2">
      <c r="B776" s="32"/>
      <c r="C776" s="32"/>
      <c r="D776" s="20"/>
      <c r="E776" s="60"/>
      <c r="F776" s="60"/>
      <c r="G776" s="32"/>
      <c r="H776" s="28"/>
      <c r="I776" s="28"/>
      <c r="J776" s="20"/>
      <c r="K776" s="36"/>
      <c r="L776" s="36"/>
      <c r="M776" s="20"/>
      <c r="N776" s="20"/>
      <c r="O776" s="20"/>
      <c r="P776" s="20"/>
      <c r="Q776" s="45"/>
      <c r="R776" s="20"/>
      <c r="T776" s="327">
        <f t="shared" si="352"/>
        <v>0</v>
      </c>
      <c r="U776" s="327">
        <f t="shared" si="353"/>
        <v>0</v>
      </c>
      <c r="V776" s="327">
        <f t="shared" si="354"/>
        <v>0</v>
      </c>
      <c r="W776" s="327">
        <f t="shared" si="355"/>
        <v>0</v>
      </c>
      <c r="X776" s="65">
        <f t="shared" si="351"/>
        <v>0</v>
      </c>
      <c r="Y776" s="235">
        <f t="shared" si="356"/>
        <v>0</v>
      </c>
    </row>
    <row r="777" spans="2:25" s="222" customFormat="1" ht="12.75" customHeight="1" x14ac:dyDescent="0.2">
      <c r="B777" s="32"/>
      <c r="C777" s="32"/>
      <c r="D777" s="20"/>
      <c r="E777" s="60"/>
      <c r="F777" s="60"/>
      <c r="G777" s="32"/>
      <c r="H777" s="28"/>
      <c r="I777" s="28"/>
      <c r="J777" s="20"/>
      <c r="K777" s="36"/>
      <c r="L777" s="36"/>
      <c r="M777" s="20"/>
      <c r="N777" s="20"/>
      <c r="O777" s="20"/>
      <c r="P777" s="20"/>
      <c r="Q777" s="45"/>
      <c r="R777" s="20"/>
      <c r="T777" s="327">
        <f t="shared" si="352"/>
        <v>0</v>
      </c>
      <c r="U777" s="327">
        <f t="shared" si="353"/>
        <v>0</v>
      </c>
      <c r="V777" s="327">
        <f t="shared" si="354"/>
        <v>0</v>
      </c>
      <c r="W777" s="327">
        <f t="shared" si="355"/>
        <v>0</v>
      </c>
      <c r="X777" s="65">
        <f t="shared" si="351"/>
        <v>0</v>
      </c>
      <c r="Y777" s="235">
        <f t="shared" si="356"/>
        <v>0</v>
      </c>
    </row>
    <row r="778" spans="2:25" s="222" customFormat="1" ht="12.75" customHeight="1" x14ac:dyDescent="0.2">
      <c r="B778" s="32"/>
      <c r="C778" s="32"/>
      <c r="D778" s="20"/>
      <c r="E778" s="60"/>
      <c r="F778" s="60"/>
      <c r="G778" s="32"/>
      <c r="H778" s="28"/>
      <c r="I778" s="28"/>
      <c r="J778" s="20"/>
      <c r="K778" s="36"/>
      <c r="L778" s="36"/>
      <c r="M778" s="20"/>
      <c r="N778" s="20"/>
      <c r="O778" s="20"/>
      <c r="P778" s="20"/>
      <c r="Q778" s="45"/>
      <c r="R778" s="20"/>
      <c r="T778" s="327">
        <f t="shared" si="352"/>
        <v>0</v>
      </c>
      <c r="U778" s="327">
        <f t="shared" si="353"/>
        <v>0</v>
      </c>
      <c r="V778" s="327">
        <f t="shared" si="354"/>
        <v>0</v>
      </c>
      <c r="W778" s="327">
        <f t="shared" si="355"/>
        <v>0</v>
      </c>
      <c r="X778" s="65">
        <f t="shared" si="351"/>
        <v>0</v>
      </c>
      <c r="Y778" s="235">
        <f t="shared" si="356"/>
        <v>0</v>
      </c>
    </row>
    <row r="779" spans="2:25" s="222" customFormat="1" ht="12.75" customHeight="1" x14ac:dyDescent="0.2">
      <c r="B779" s="32"/>
      <c r="C779" s="32"/>
      <c r="D779" s="20"/>
      <c r="E779" s="63"/>
      <c r="F779" s="63"/>
      <c r="G779" s="32"/>
      <c r="H779" s="28"/>
      <c r="I779" s="28"/>
      <c r="J779" s="20"/>
      <c r="K779" s="36"/>
      <c r="L779" s="36"/>
      <c r="M779" s="20"/>
      <c r="N779" s="20"/>
      <c r="O779" s="20"/>
      <c r="P779" s="20"/>
      <c r="Q779" s="45"/>
      <c r="R779" s="20"/>
      <c r="T779" s="327">
        <f t="shared" si="352"/>
        <v>0</v>
      </c>
      <c r="U779" s="327">
        <f t="shared" si="353"/>
        <v>0</v>
      </c>
      <c r="V779" s="327">
        <f t="shared" si="354"/>
        <v>0</v>
      </c>
      <c r="W779" s="327">
        <f t="shared" si="355"/>
        <v>0</v>
      </c>
      <c r="X779" s="65">
        <f t="shared" si="351"/>
        <v>0</v>
      </c>
      <c r="Y779" s="235">
        <f t="shared" si="356"/>
        <v>0</v>
      </c>
    </row>
    <row r="780" spans="2:25" s="222" customFormat="1" ht="12.75" customHeight="1" x14ac:dyDescent="0.2">
      <c r="B780" s="32"/>
      <c r="C780" s="32"/>
      <c r="D780" s="20"/>
      <c r="E780" s="63"/>
      <c r="F780" s="63"/>
      <c r="G780" s="32"/>
      <c r="H780" s="28"/>
      <c r="I780" s="28"/>
      <c r="J780" s="20"/>
      <c r="K780" s="36"/>
      <c r="L780" s="36"/>
      <c r="M780" s="20"/>
      <c r="N780" s="20"/>
      <c r="O780" s="20"/>
      <c r="P780" s="20"/>
      <c r="Q780" s="45"/>
      <c r="R780" s="20"/>
      <c r="T780" s="327">
        <f t="shared" si="352"/>
        <v>0</v>
      </c>
      <c r="U780" s="327">
        <f t="shared" si="353"/>
        <v>0</v>
      </c>
      <c r="V780" s="327">
        <f t="shared" si="354"/>
        <v>0</v>
      </c>
      <c r="W780" s="327">
        <f t="shared" si="355"/>
        <v>0</v>
      </c>
      <c r="X780" s="65">
        <f t="shared" si="351"/>
        <v>0</v>
      </c>
      <c r="Y780" s="235">
        <f t="shared" si="356"/>
        <v>0</v>
      </c>
    </row>
    <row r="781" spans="2:25" s="222" customFormat="1" ht="12.75" customHeight="1" x14ac:dyDescent="0.2">
      <c r="B781" s="32"/>
      <c r="C781" s="32"/>
      <c r="D781" s="20"/>
      <c r="E781" s="63"/>
      <c r="F781" s="63"/>
      <c r="G781" s="32"/>
      <c r="H781" s="28"/>
      <c r="I781" s="28"/>
      <c r="J781" s="20"/>
      <c r="K781" s="36"/>
      <c r="L781" s="36"/>
      <c r="M781" s="20"/>
      <c r="N781" s="20"/>
      <c r="O781" s="20"/>
      <c r="P781" s="20"/>
      <c r="Q781" s="45"/>
      <c r="R781" s="20"/>
      <c r="T781" s="327">
        <f t="shared" si="352"/>
        <v>0</v>
      </c>
      <c r="U781" s="327">
        <f t="shared" si="353"/>
        <v>0</v>
      </c>
      <c r="V781" s="327">
        <f t="shared" si="354"/>
        <v>0</v>
      </c>
      <c r="W781" s="327">
        <f t="shared" si="355"/>
        <v>0</v>
      </c>
      <c r="X781" s="65">
        <f t="shared" si="351"/>
        <v>0</v>
      </c>
      <c r="Y781" s="235">
        <f t="shared" si="356"/>
        <v>0</v>
      </c>
    </row>
    <row r="782" spans="2:25" s="222" customFormat="1" ht="12.75" customHeight="1" x14ac:dyDescent="0.2">
      <c r="B782" s="32"/>
      <c r="C782" s="32"/>
      <c r="D782" s="20"/>
      <c r="E782" s="63"/>
      <c r="F782" s="63"/>
      <c r="G782" s="32"/>
      <c r="H782" s="28"/>
      <c r="I782" s="28"/>
      <c r="J782" s="20"/>
      <c r="K782" s="36"/>
      <c r="L782" s="36"/>
      <c r="M782" s="20"/>
      <c r="N782" s="20"/>
      <c r="O782" s="20"/>
      <c r="P782" s="20"/>
      <c r="Q782" s="45"/>
      <c r="R782" s="20"/>
      <c r="T782" s="327">
        <f t="shared" si="352"/>
        <v>0</v>
      </c>
      <c r="U782" s="327">
        <f t="shared" si="353"/>
        <v>0</v>
      </c>
      <c r="V782" s="327">
        <f t="shared" si="354"/>
        <v>0</v>
      </c>
      <c r="W782" s="327">
        <f t="shared" si="355"/>
        <v>0</v>
      </c>
      <c r="X782" s="65">
        <f t="shared" si="351"/>
        <v>0</v>
      </c>
      <c r="Y782" s="235">
        <f t="shared" si="356"/>
        <v>0</v>
      </c>
    </row>
    <row r="783" spans="2:25" s="222" customFormat="1" ht="12.75" customHeight="1" x14ac:dyDescent="0.2">
      <c r="B783" s="32"/>
      <c r="C783" s="32"/>
      <c r="D783" s="20"/>
      <c r="E783" s="63"/>
      <c r="F783" s="63"/>
      <c r="G783" s="32"/>
      <c r="H783" s="28"/>
      <c r="I783" s="28"/>
      <c r="J783" s="20"/>
      <c r="K783" s="36"/>
      <c r="L783" s="36"/>
      <c r="M783" s="20"/>
      <c r="N783" s="20"/>
      <c r="O783" s="20"/>
      <c r="P783" s="20"/>
      <c r="Q783" s="45"/>
      <c r="R783" s="20"/>
      <c r="T783" s="327">
        <f t="shared" si="352"/>
        <v>0</v>
      </c>
      <c r="U783" s="327">
        <f t="shared" si="353"/>
        <v>0</v>
      </c>
      <c r="V783" s="327">
        <f t="shared" si="354"/>
        <v>0</v>
      </c>
      <c r="W783" s="327">
        <f t="shared" si="355"/>
        <v>0</v>
      </c>
      <c r="X783" s="65">
        <f t="shared" si="351"/>
        <v>0</v>
      </c>
      <c r="Y783" s="235">
        <f t="shared" si="356"/>
        <v>0</v>
      </c>
    </row>
    <row r="784" spans="2:25" s="222" customFormat="1" ht="12.75" customHeight="1" x14ac:dyDescent="0.2">
      <c r="B784" s="32"/>
      <c r="C784" s="32"/>
      <c r="D784" s="20"/>
      <c r="E784" s="63"/>
      <c r="F784" s="63"/>
      <c r="G784" s="32"/>
      <c r="H784" s="28"/>
      <c r="I784" s="28"/>
      <c r="J784" s="20"/>
      <c r="K784" s="36"/>
      <c r="L784" s="36"/>
      <c r="M784" s="20"/>
      <c r="N784" s="20"/>
      <c r="O784" s="20"/>
      <c r="P784" s="20"/>
      <c r="Q784" s="45"/>
      <c r="R784" s="20"/>
      <c r="T784" s="327">
        <f t="shared" si="352"/>
        <v>0</v>
      </c>
      <c r="U784" s="327">
        <f t="shared" si="353"/>
        <v>0</v>
      </c>
      <c r="V784" s="327">
        <f t="shared" si="354"/>
        <v>0</v>
      </c>
      <c r="W784" s="327">
        <f t="shared" si="355"/>
        <v>0</v>
      </c>
      <c r="X784" s="65">
        <f t="shared" si="351"/>
        <v>0</v>
      </c>
      <c r="Y784" s="235">
        <f t="shared" si="356"/>
        <v>0</v>
      </c>
    </row>
    <row r="785" spans="2:25" s="222" customFormat="1" ht="12.75" customHeight="1" x14ac:dyDescent="0.2">
      <c r="B785" s="32"/>
      <c r="C785" s="32"/>
      <c r="D785" s="20"/>
      <c r="E785" s="63"/>
      <c r="F785" s="63"/>
      <c r="G785" s="32"/>
      <c r="H785" s="28"/>
      <c r="I785" s="28"/>
      <c r="J785" s="20"/>
      <c r="K785" s="36"/>
      <c r="L785" s="36"/>
      <c r="M785" s="20"/>
      <c r="N785" s="20"/>
      <c r="O785" s="20"/>
      <c r="P785" s="20"/>
      <c r="Q785" s="45"/>
      <c r="R785" s="20"/>
      <c r="T785" s="327">
        <f t="shared" si="352"/>
        <v>0</v>
      </c>
      <c r="U785" s="327">
        <f t="shared" si="353"/>
        <v>0</v>
      </c>
      <c r="V785" s="327">
        <f t="shared" si="354"/>
        <v>0</v>
      </c>
      <c r="W785" s="327">
        <f t="shared" si="355"/>
        <v>0</v>
      </c>
      <c r="X785" s="65">
        <f t="shared" si="351"/>
        <v>0</v>
      </c>
      <c r="Y785" s="235">
        <f t="shared" si="356"/>
        <v>0</v>
      </c>
    </row>
    <row r="786" spans="2:25" s="222" customFormat="1" ht="12.75" customHeight="1" x14ac:dyDescent="0.2">
      <c r="B786" s="32"/>
      <c r="C786" s="32"/>
      <c r="D786" s="20"/>
      <c r="E786" s="63"/>
      <c r="F786" s="63"/>
      <c r="G786" s="32"/>
      <c r="H786" s="28"/>
      <c r="I786" s="28"/>
      <c r="J786" s="20"/>
      <c r="K786" s="36"/>
      <c r="L786" s="36"/>
      <c r="M786" s="20"/>
      <c r="N786" s="20"/>
      <c r="O786" s="20"/>
      <c r="P786" s="20"/>
      <c r="Q786" s="45"/>
      <c r="R786" s="20"/>
      <c r="T786" s="327">
        <f t="shared" si="352"/>
        <v>0</v>
      </c>
      <c r="U786" s="327">
        <f t="shared" si="353"/>
        <v>0</v>
      </c>
      <c r="V786" s="327">
        <f t="shared" si="354"/>
        <v>0</v>
      </c>
      <c r="W786" s="327">
        <f t="shared" si="355"/>
        <v>0</v>
      </c>
      <c r="X786" s="65">
        <f t="shared" si="351"/>
        <v>0</v>
      </c>
      <c r="Y786" s="235">
        <f t="shared" si="356"/>
        <v>0</v>
      </c>
    </row>
    <row r="787" spans="2:25" s="222" customFormat="1" ht="12.75" customHeight="1" x14ac:dyDescent="0.2">
      <c r="B787" s="32"/>
      <c r="C787" s="32"/>
      <c r="D787" s="20"/>
      <c r="E787" s="63"/>
      <c r="F787" s="63"/>
      <c r="G787" s="32"/>
      <c r="H787" s="28"/>
      <c r="I787" s="28"/>
      <c r="J787" s="20"/>
      <c r="K787" s="36"/>
      <c r="L787" s="36"/>
      <c r="M787" s="20"/>
      <c r="N787" s="20"/>
      <c r="O787" s="20"/>
      <c r="P787" s="20"/>
      <c r="Q787" s="45"/>
      <c r="R787" s="20"/>
      <c r="T787" s="327">
        <f t="shared" si="352"/>
        <v>0</v>
      </c>
      <c r="U787" s="327">
        <f t="shared" si="353"/>
        <v>0</v>
      </c>
      <c r="V787" s="327">
        <f t="shared" si="354"/>
        <v>0</v>
      </c>
      <c r="W787" s="327">
        <f t="shared" si="355"/>
        <v>0</v>
      </c>
      <c r="X787" s="65">
        <f t="shared" si="351"/>
        <v>0</v>
      </c>
      <c r="Y787" s="235">
        <f t="shared" si="356"/>
        <v>0</v>
      </c>
    </row>
    <row r="788" spans="2:25" s="222" customFormat="1" ht="12.75" customHeight="1" x14ac:dyDescent="0.2">
      <c r="B788" s="32"/>
      <c r="C788" s="32"/>
      <c r="D788" s="20"/>
      <c r="E788" s="63"/>
      <c r="F788" s="63"/>
      <c r="G788" s="32"/>
      <c r="H788" s="28"/>
      <c r="I788" s="28"/>
      <c r="J788" s="20"/>
      <c r="K788" s="36"/>
      <c r="L788" s="36"/>
      <c r="M788" s="20"/>
      <c r="N788" s="20"/>
      <c r="O788" s="20"/>
      <c r="P788" s="20"/>
      <c r="Q788" s="45"/>
      <c r="R788" s="20"/>
      <c r="T788" s="327">
        <f t="shared" si="352"/>
        <v>0</v>
      </c>
      <c r="U788" s="327">
        <f t="shared" si="353"/>
        <v>0</v>
      </c>
      <c r="V788" s="327">
        <f t="shared" si="354"/>
        <v>0</v>
      </c>
      <c r="W788" s="327">
        <f t="shared" si="355"/>
        <v>0</v>
      </c>
      <c r="X788" s="65">
        <f t="shared" si="351"/>
        <v>0</v>
      </c>
      <c r="Y788" s="235">
        <f t="shared" si="356"/>
        <v>0</v>
      </c>
    </row>
    <row r="789" spans="2:25" s="222" customFormat="1" ht="12.75" customHeight="1" x14ac:dyDescent="0.2">
      <c r="B789" s="32"/>
      <c r="C789" s="32"/>
      <c r="D789" s="20"/>
      <c r="E789" s="63"/>
      <c r="F789" s="63"/>
      <c r="G789" s="32"/>
      <c r="H789" s="28"/>
      <c r="I789" s="28"/>
      <c r="J789" s="20"/>
      <c r="K789" s="36"/>
      <c r="L789" s="36"/>
      <c r="M789" s="20"/>
      <c r="N789" s="20"/>
      <c r="O789" s="20"/>
      <c r="P789" s="20"/>
      <c r="Q789" s="45"/>
      <c r="R789" s="20"/>
      <c r="T789" s="327">
        <f t="shared" si="352"/>
        <v>0</v>
      </c>
      <c r="U789" s="327">
        <f t="shared" si="353"/>
        <v>0</v>
      </c>
      <c r="V789" s="327">
        <f t="shared" si="354"/>
        <v>0</v>
      </c>
      <c r="W789" s="327">
        <f t="shared" si="355"/>
        <v>0</v>
      </c>
      <c r="X789" s="65">
        <f t="shared" ref="X789:X852" si="357">SUM(T789:W789)</f>
        <v>0</v>
      </c>
      <c r="Y789" s="235">
        <f t="shared" si="356"/>
        <v>0</v>
      </c>
    </row>
    <row r="790" spans="2:25" s="222" customFormat="1" ht="12.75" customHeight="1" x14ac:dyDescent="0.2">
      <c r="B790" s="32"/>
      <c r="C790" s="32"/>
      <c r="D790" s="20"/>
      <c r="E790" s="63"/>
      <c r="F790" s="63"/>
      <c r="G790" s="32"/>
      <c r="H790" s="28"/>
      <c r="I790" s="28"/>
      <c r="J790" s="20"/>
      <c r="K790" s="36"/>
      <c r="L790" s="36"/>
      <c r="M790" s="20"/>
      <c r="N790" s="20"/>
      <c r="O790" s="20"/>
      <c r="P790" s="20"/>
      <c r="Q790" s="45"/>
      <c r="R790" s="20"/>
      <c r="T790" s="327">
        <f t="shared" si="352"/>
        <v>0</v>
      </c>
      <c r="U790" s="327">
        <f t="shared" si="353"/>
        <v>0</v>
      </c>
      <c r="V790" s="327">
        <f t="shared" si="354"/>
        <v>0</v>
      </c>
      <c r="W790" s="327">
        <f t="shared" si="355"/>
        <v>0</v>
      </c>
      <c r="X790" s="65">
        <f t="shared" si="357"/>
        <v>0</v>
      </c>
      <c r="Y790" s="235">
        <f t="shared" si="356"/>
        <v>0</v>
      </c>
    </row>
    <row r="791" spans="2:25" s="222" customFormat="1" ht="12.75" customHeight="1" x14ac:dyDescent="0.2">
      <c r="B791" s="32"/>
      <c r="C791" s="32"/>
      <c r="D791" s="20"/>
      <c r="E791" s="63"/>
      <c r="F791" s="63"/>
      <c r="G791" s="32"/>
      <c r="H791" s="28"/>
      <c r="I791" s="28"/>
      <c r="J791" s="20"/>
      <c r="K791" s="36"/>
      <c r="L791" s="36"/>
      <c r="M791" s="20"/>
      <c r="N791" s="20"/>
      <c r="O791" s="20"/>
      <c r="P791" s="20"/>
      <c r="Q791" s="45"/>
      <c r="R791" s="20"/>
      <c r="T791" s="327">
        <f t="shared" si="352"/>
        <v>0</v>
      </c>
      <c r="U791" s="327">
        <f t="shared" si="353"/>
        <v>0</v>
      </c>
      <c r="V791" s="327">
        <f t="shared" si="354"/>
        <v>0</v>
      </c>
      <c r="W791" s="327">
        <f t="shared" si="355"/>
        <v>0</v>
      </c>
      <c r="X791" s="65">
        <f t="shared" si="357"/>
        <v>0</v>
      </c>
      <c r="Y791" s="235">
        <f t="shared" si="356"/>
        <v>0</v>
      </c>
    </row>
    <row r="792" spans="2:25" s="222" customFormat="1" ht="12.75" customHeight="1" x14ac:dyDescent="0.2">
      <c r="B792" s="32"/>
      <c r="C792" s="32"/>
      <c r="D792" s="20"/>
      <c r="E792" s="63"/>
      <c r="F792" s="63"/>
      <c r="G792" s="32"/>
      <c r="H792" s="28"/>
      <c r="I792" s="28"/>
      <c r="J792" s="20"/>
      <c r="K792" s="36"/>
      <c r="L792" s="36"/>
      <c r="M792" s="20"/>
      <c r="N792" s="20"/>
      <c r="O792" s="20"/>
      <c r="P792" s="20"/>
      <c r="Q792" s="45"/>
      <c r="R792" s="20"/>
      <c r="T792" s="327">
        <f t="shared" si="352"/>
        <v>0</v>
      </c>
      <c r="U792" s="327">
        <f t="shared" si="353"/>
        <v>0</v>
      </c>
      <c r="V792" s="327">
        <f t="shared" si="354"/>
        <v>0</v>
      </c>
      <c r="W792" s="327">
        <f t="shared" si="355"/>
        <v>0</v>
      </c>
      <c r="X792" s="65">
        <f t="shared" si="357"/>
        <v>0</v>
      </c>
      <c r="Y792" s="235">
        <f t="shared" si="356"/>
        <v>0</v>
      </c>
    </row>
    <row r="793" spans="2:25" s="222" customFormat="1" ht="12.75" customHeight="1" x14ac:dyDescent="0.2">
      <c r="B793" s="32"/>
      <c r="C793" s="32"/>
      <c r="D793" s="20"/>
      <c r="E793" s="63"/>
      <c r="F793" s="63"/>
      <c r="G793" s="32"/>
      <c r="H793" s="28"/>
      <c r="I793" s="28"/>
      <c r="J793" s="20"/>
      <c r="K793" s="36"/>
      <c r="L793" s="36"/>
      <c r="M793" s="20"/>
      <c r="N793" s="20"/>
      <c r="O793" s="20"/>
      <c r="P793" s="20"/>
      <c r="Q793" s="45"/>
      <c r="R793" s="20"/>
      <c r="T793" s="327">
        <f t="shared" si="352"/>
        <v>0</v>
      </c>
      <c r="U793" s="327">
        <f t="shared" si="353"/>
        <v>0</v>
      </c>
      <c r="V793" s="327">
        <f t="shared" si="354"/>
        <v>0</v>
      </c>
      <c r="W793" s="327">
        <f t="shared" si="355"/>
        <v>0</v>
      </c>
      <c r="X793" s="65">
        <f t="shared" si="357"/>
        <v>0</v>
      </c>
      <c r="Y793" s="235">
        <f t="shared" si="356"/>
        <v>0</v>
      </c>
    </row>
    <row r="794" spans="2:25" s="222" customFormat="1" ht="12.75" customHeight="1" x14ac:dyDescent="0.2">
      <c r="B794" s="32"/>
      <c r="C794" s="32"/>
      <c r="D794" s="20"/>
      <c r="E794" s="63"/>
      <c r="F794" s="63"/>
      <c r="G794" s="32"/>
      <c r="H794" s="28"/>
      <c r="I794" s="28"/>
      <c r="J794" s="20"/>
      <c r="K794" s="36"/>
      <c r="L794" s="36"/>
      <c r="M794" s="20"/>
      <c r="N794" s="20"/>
      <c r="O794" s="20"/>
      <c r="P794" s="20"/>
      <c r="Q794" s="45"/>
      <c r="R794" s="20"/>
      <c r="T794" s="327">
        <f t="shared" si="352"/>
        <v>0</v>
      </c>
      <c r="U794" s="327">
        <f t="shared" si="353"/>
        <v>0</v>
      </c>
      <c r="V794" s="327">
        <f t="shared" si="354"/>
        <v>0</v>
      </c>
      <c r="W794" s="327">
        <f t="shared" si="355"/>
        <v>0</v>
      </c>
      <c r="X794" s="65">
        <f t="shared" si="357"/>
        <v>0</v>
      </c>
      <c r="Y794" s="235">
        <f t="shared" si="356"/>
        <v>0</v>
      </c>
    </row>
    <row r="795" spans="2:25" s="222" customFormat="1" ht="12.75" customHeight="1" x14ac:dyDescent="0.2">
      <c r="B795" s="32"/>
      <c r="C795" s="32"/>
      <c r="D795" s="20"/>
      <c r="E795" s="63"/>
      <c r="F795" s="63"/>
      <c r="G795" s="32"/>
      <c r="H795" s="28"/>
      <c r="I795" s="28"/>
      <c r="J795" s="20"/>
      <c r="K795" s="36"/>
      <c r="L795" s="36"/>
      <c r="M795" s="20"/>
      <c r="N795" s="20"/>
      <c r="O795" s="20"/>
      <c r="P795" s="20"/>
      <c r="Q795" s="45"/>
      <c r="R795" s="20"/>
      <c r="T795" s="327">
        <f t="shared" si="352"/>
        <v>0</v>
      </c>
      <c r="U795" s="327">
        <f t="shared" si="353"/>
        <v>0</v>
      </c>
      <c r="V795" s="327">
        <f t="shared" si="354"/>
        <v>0</v>
      </c>
      <c r="W795" s="327">
        <f t="shared" si="355"/>
        <v>0</v>
      </c>
      <c r="X795" s="65">
        <f t="shared" si="357"/>
        <v>0</v>
      </c>
      <c r="Y795" s="235">
        <f t="shared" si="356"/>
        <v>0</v>
      </c>
    </row>
    <row r="796" spans="2:25" s="222" customFormat="1" ht="12.75" customHeight="1" x14ac:dyDescent="0.2">
      <c r="B796" s="32"/>
      <c r="C796" s="32"/>
      <c r="D796" s="20"/>
      <c r="E796" s="63"/>
      <c r="F796" s="63"/>
      <c r="G796" s="32"/>
      <c r="H796" s="28"/>
      <c r="I796" s="28"/>
      <c r="J796" s="20"/>
      <c r="K796" s="36"/>
      <c r="L796" s="36"/>
      <c r="M796" s="20"/>
      <c r="N796" s="20"/>
      <c r="O796" s="20"/>
      <c r="P796" s="20"/>
      <c r="Q796" s="45"/>
      <c r="R796" s="20"/>
      <c r="T796" s="327">
        <f t="shared" si="352"/>
        <v>0</v>
      </c>
      <c r="U796" s="327">
        <f t="shared" si="353"/>
        <v>0</v>
      </c>
      <c r="V796" s="327">
        <f t="shared" si="354"/>
        <v>0</v>
      </c>
      <c r="W796" s="327">
        <f t="shared" si="355"/>
        <v>0</v>
      </c>
      <c r="X796" s="65">
        <f t="shared" si="357"/>
        <v>0</v>
      </c>
      <c r="Y796" s="235">
        <f t="shared" si="356"/>
        <v>0</v>
      </c>
    </row>
    <row r="797" spans="2:25" s="222" customFormat="1" ht="12.75" customHeight="1" x14ac:dyDescent="0.2">
      <c r="B797" s="32"/>
      <c r="C797" s="32"/>
      <c r="D797" s="20"/>
      <c r="E797" s="63"/>
      <c r="F797" s="63"/>
      <c r="G797" s="32"/>
      <c r="H797" s="28"/>
      <c r="I797" s="28"/>
      <c r="J797" s="20"/>
      <c r="K797" s="36"/>
      <c r="L797" s="36"/>
      <c r="M797" s="20"/>
      <c r="N797" s="20"/>
      <c r="O797" s="20"/>
      <c r="P797" s="20"/>
      <c r="Q797" s="45"/>
      <c r="R797" s="20"/>
      <c r="T797" s="327">
        <f t="shared" si="352"/>
        <v>0</v>
      </c>
      <c r="U797" s="327">
        <f t="shared" si="353"/>
        <v>0</v>
      </c>
      <c r="V797" s="327">
        <f t="shared" si="354"/>
        <v>0</v>
      </c>
      <c r="W797" s="327">
        <f t="shared" si="355"/>
        <v>0</v>
      </c>
      <c r="X797" s="65">
        <f t="shared" si="357"/>
        <v>0</v>
      </c>
      <c r="Y797" s="235">
        <f t="shared" si="356"/>
        <v>0</v>
      </c>
    </row>
    <row r="798" spans="2:25" s="222" customFormat="1" ht="12.75" customHeight="1" x14ac:dyDescent="0.2">
      <c r="B798" s="32"/>
      <c r="C798" s="32"/>
      <c r="D798" s="20"/>
      <c r="E798" s="63"/>
      <c r="F798" s="63"/>
      <c r="G798" s="32"/>
      <c r="H798" s="28"/>
      <c r="I798" s="28"/>
      <c r="J798" s="20"/>
      <c r="K798" s="36"/>
      <c r="L798" s="36"/>
      <c r="M798" s="20"/>
      <c r="N798" s="20"/>
      <c r="O798" s="20"/>
      <c r="P798" s="20"/>
      <c r="Q798" s="45"/>
      <c r="R798" s="20"/>
      <c r="T798" s="327">
        <f t="shared" si="352"/>
        <v>0</v>
      </c>
      <c r="U798" s="327">
        <f t="shared" si="353"/>
        <v>0</v>
      </c>
      <c r="V798" s="327">
        <f t="shared" si="354"/>
        <v>0</v>
      </c>
      <c r="W798" s="327">
        <f t="shared" si="355"/>
        <v>0</v>
      </c>
      <c r="X798" s="65">
        <f t="shared" si="357"/>
        <v>0</v>
      </c>
      <c r="Y798" s="235">
        <f t="shared" si="356"/>
        <v>0</v>
      </c>
    </row>
    <row r="799" spans="2:25" s="222" customFormat="1" ht="12.75" customHeight="1" x14ac:dyDescent="0.2">
      <c r="B799" s="32"/>
      <c r="C799" s="32"/>
      <c r="D799" s="20"/>
      <c r="E799" s="63"/>
      <c r="F799" s="63"/>
      <c r="G799" s="32"/>
      <c r="H799" s="28"/>
      <c r="I799" s="28"/>
      <c r="J799" s="20"/>
      <c r="K799" s="36"/>
      <c r="L799" s="36"/>
      <c r="M799" s="20"/>
      <c r="N799" s="20"/>
      <c r="O799" s="20"/>
      <c r="P799" s="20"/>
      <c r="Q799" s="45"/>
      <c r="R799" s="20"/>
      <c r="T799" s="327">
        <f t="shared" si="352"/>
        <v>0</v>
      </c>
      <c r="U799" s="327">
        <f t="shared" si="353"/>
        <v>0</v>
      </c>
      <c r="V799" s="327">
        <f t="shared" si="354"/>
        <v>0</v>
      </c>
      <c r="W799" s="327">
        <f t="shared" si="355"/>
        <v>0</v>
      </c>
      <c r="X799" s="65">
        <f t="shared" si="357"/>
        <v>0</v>
      </c>
      <c r="Y799" s="235">
        <f t="shared" si="356"/>
        <v>0</v>
      </c>
    </row>
    <row r="800" spans="2:25" s="222" customFormat="1" ht="12.75" customHeight="1" x14ac:dyDescent="0.2">
      <c r="B800" s="32"/>
      <c r="C800" s="32"/>
      <c r="D800" s="20"/>
      <c r="E800" s="63"/>
      <c r="F800" s="63"/>
      <c r="G800" s="32"/>
      <c r="H800" s="28"/>
      <c r="I800" s="28"/>
      <c r="J800" s="20"/>
      <c r="K800" s="36"/>
      <c r="L800" s="36"/>
      <c r="M800" s="20"/>
      <c r="N800" s="20"/>
      <c r="O800" s="20"/>
      <c r="P800" s="20"/>
      <c r="Q800" s="45"/>
      <c r="R800" s="20"/>
      <c r="T800" s="327">
        <f t="shared" si="352"/>
        <v>0</v>
      </c>
      <c r="U800" s="327">
        <f t="shared" si="353"/>
        <v>0</v>
      </c>
      <c r="V800" s="327">
        <f t="shared" si="354"/>
        <v>0</v>
      </c>
      <c r="W800" s="327">
        <f t="shared" si="355"/>
        <v>0</v>
      </c>
      <c r="X800" s="65">
        <f t="shared" si="357"/>
        <v>0</v>
      </c>
      <c r="Y800" s="235">
        <f t="shared" si="356"/>
        <v>0</v>
      </c>
    </row>
    <row r="801" spans="2:25" s="222" customFormat="1" ht="12.75" customHeight="1" x14ac:dyDescent="0.2">
      <c r="B801" s="32"/>
      <c r="C801" s="32"/>
      <c r="D801" s="20"/>
      <c r="E801" s="63"/>
      <c r="F801" s="63"/>
      <c r="G801" s="32"/>
      <c r="H801" s="28"/>
      <c r="I801" s="28"/>
      <c r="J801" s="20"/>
      <c r="K801" s="36"/>
      <c r="L801" s="36"/>
      <c r="M801" s="20"/>
      <c r="N801" s="20"/>
      <c r="O801" s="20"/>
      <c r="P801" s="20"/>
      <c r="Q801" s="45"/>
      <c r="R801" s="20"/>
      <c r="T801" s="327">
        <f t="shared" si="352"/>
        <v>0</v>
      </c>
      <c r="U801" s="327">
        <f t="shared" si="353"/>
        <v>0</v>
      </c>
      <c r="V801" s="327">
        <f t="shared" si="354"/>
        <v>0</v>
      </c>
      <c r="W801" s="327">
        <f t="shared" si="355"/>
        <v>0</v>
      </c>
      <c r="X801" s="65">
        <f t="shared" si="357"/>
        <v>0</v>
      </c>
      <c r="Y801" s="235">
        <f t="shared" si="356"/>
        <v>0</v>
      </c>
    </row>
    <row r="802" spans="2:25" s="222" customFormat="1" ht="12.75" customHeight="1" x14ac:dyDescent="0.2">
      <c r="B802" s="32"/>
      <c r="C802" s="32"/>
      <c r="D802" s="20"/>
      <c r="E802" s="63"/>
      <c r="F802" s="63"/>
      <c r="G802" s="32"/>
      <c r="H802" s="28"/>
      <c r="I802" s="28"/>
      <c r="J802" s="20"/>
      <c r="K802" s="36"/>
      <c r="L802" s="36"/>
      <c r="M802" s="20"/>
      <c r="N802" s="20"/>
      <c r="O802" s="20"/>
      <c r="P802" s="20"/>
      <c r="Q802" s="45"/>
      <c r="R802" s="20"/>
      <c r="T802" s="327">
        <f t="shared" si="352"/>
        <v>0</v>
      </c>
      <c r="U802" s="327">
        <f t="shared" si="353"/>
        <v>0</v>
      </c>
      <c r="V802" s="327">
        <f t="shared" si="354"/>
        <v>0</v>
      </c>
      <c r="W802" s="327">
        <f t="shared" si="355"/>
        <v>0</v>
      </c>
      <c r="X802" s="65">
        <f t="shared" si="357"/>
        <v>0</v>
      </c>
      <c r="Y802" s="235">
        <f t="shared" si="356"/>
        <v>0</v>
      </c>
    </row>
    <row r="803" spans="2:25" s="222" customFormat="1" ht="12.75" customHeight="1" x14ac:dyDescent="0.2">
      <c r="B803" s="32"/>
      <c r="C803" s="32"/>
      <c r="D803" s="20"/>
      <c r="E803" s="63"/>
      <c r="F803" s="63"/>
      <c r="G803" s="32"/>
      <c r="H803" s="28"/>
      <c r="I803" s="28"/>
      <c r="J803" s="20"/>
      <c r="K803" s="36"/>
      <c r="L803" s="36"/>
      <c r="M803" s="20"/>
      <c r="N803" s="20"/>
      <c r="O803" s="20"/>
      <c r="P803" s="20"/>
      <c r="Q803" s="45"/>
      <c r="R803" s="20"/>
      <c r="T803" s="327">
        <f t="shared" si="352"/>
        <v>0</v>
      </c>
      <c r="U803" s="327">
        <f t="shared" si="353"/>
        <v>0</v>
      </c>
      <c r="V803" s="327">
        <f t="shared" si="354"/>
        <v>0</v>
      </c>
      <c r="W803" s="327">
        <f t="shared" si="355"/>
        <v>0</v>
      </c>
      <c r="X803" s="65">
        <f t="shared" si="357"/>
        <v>0</v>
      </c>
      <c r="Y803" s="235">
        <f t="shared" si="356"/>
        <v>0</v>
      </c>
    </row>
    <row r="804" spans="2:25" s="222" customFormat="1" ht="12.75" customHeight="1" x14ac:dyDescent="0.2">
      <c r="B804" s="32"/>
      <c r="C804" s="32"/>
      <c r="D804" s="20"/>
      <c r="E804" s="63"/>
      <c r="F804" s="63"/>
      <c r="G804" s="32"/>
      <c r="H804" s="28"/>
      <c r="I804" s="28"/>
      <c r="J804" s="20"/>
      <c r="K804" s="36"/>
      <c r="L804" s="36"/>
      <c r="M804" s="20"/>
      <c r="N804" s="20"/>
      <c r="O804" s="20"/>
      <c r="P804" s="20"/>
      <c r="Q804" s="45"/>
      <c r="R804" s="20"/>
      <c r="T804" s="327">
        <f t="shared" si="352"/>
        <v>0</v>
      </c>
      <c r="U804" s="327">
        <f t="shared" si="353"/>
        <v>0</v>
      </c>
      <c r="V804" s="327">
        <f t="shared" si="354"/>
        <v>0</v>
      </c>
      <c r="W804" s="327">
        <f t="shared" si="355"/>
        <v>0</v>
      </c>
      <c r="X804" s="65">
        <f t="shared" si="357"/>
        <v>0</v>
      </c>
      <c r="Y804" s="235">
        <f t="shared" si="356"/>
        <v>0</v>
      </c>
    </row>
    <row r="805" spans="2:25" s="222" customFormat="1" ht="12.75" customHeight="1" x14ac:dyDescent="0.2">
      <c r="B805" s="32"/>
      <c r="C805" s="32"/>
      <c r="D805" s="20"/>
      <c r="E805" s="63"/>
      <c r="F805" s="63"/>
      <c r="G805" s="32"/>
      <c r="H805" s="28"/>
      <c r="I805" s="28"/>
      <c r="J805" s="20"/>
      <c r="K805" s="36"/>
      <c r="L805" s="36"/>
      <c r="M805" s="20"/>
      <c r="N805" s="20"/>
      <c r="O805" s="20"/>
      <c r="P805" s="20"/>
      <c r="Q805" s="45"/>
      <c r="R805" s="20"/>
      <c r="T805" s="327">
        <f t="shared" si="352"/>
        <v>0</v>
      </c>
      <c r="U805" s="327">
        <f t="shared" si="353"/>
        <v>0</v>
      </c>
      <c r="V805" s="327">
        <f t="shared" si="354"/>
        <v>0</v>
      </c>
      <c r="W805" s="327">
        <f t="shared" si="355"/>
        <v>0</v>
      </c>
      <c r="X805" s="65">
        <f t="shared" si="357"/>
        <v>0</v>
      </c>
      <c r="Y805" s="235">
        <f t="shared" si="356"/>
        <v>0</v>
      </c>
    </row>
    <row r="806" spans="2:25" s="222" customFormat="1" ht="12.75" customHeight="1" x14ac:dyDescent="0.2">
      <c r="B806" s="32"/>
      <c r="C806" s="32"/>
      <c r="D806" s="20"/>
      <c r="E806" s="63"/>
      <c r="F806" s="63"/>
      <c r="G806" s="32"/>
      <c r="H806" s="28"/>
      <c r="I806" s="28"/>
      <c r="J806" s="20"/>
      <c r="K806" s="36"/>
      <c r="L806" s="36"/>
      <c r="M806" s="20"/>
      <c r="N806" s="20"/>
      <c r="O806" s="20"/>
      <c r="P806" s="20"/>
      <c r="Q806" s="45"/>
      <c r="R806" s="20"/>
      <c r="T806" s="327">
        <f t="shared" si="352"/>
        <v>0</v>
      </c>
      <c r="U806" s="327">
        <f t="shared" si="353"/>
        <v>0</v>
      </c>
      <c r="V806" s="327">
        <f t="shared" si="354"/>
        <v>0</v>
      </c>
      <c r="W806" s="327">
        <f t="shared" si="355"/>
        <v>0</v>
      </c>
      <c r="X806" s="65">
        <f t="shared" si="357"/>
        <v>0</v>
      </c>
      <c r="Y806" s="235">
        <f t="shared" si="356"/>
        <v>0</v>
      </c>
    </row>
    <row r="807" spans="2:25" s="222" customFormat="1" ht="12.75" customHeight="1" x14ac:dyDescent="0.2">
      <c r="B807" s="32"/>
      <c r="C807" s="32"/>
      <c r="D807" s="20"/>
      <c r="E807" s="63"/>
      <c r="F807" s="63"/>
      <c r="G807" s="32"/>
      <c r="H807" s="28"/>
      <c r="I807" s="28"/>
      <c r="J807" s="20"/>
      <c r="K807" s="36"/>
      <c r="L807" s="36"/>
      <c r="M807" s="20"/>
      <c r="N807" s="20"/>
      <c r="O807" s="20"/>
      <c r="P807" s="20"/>
      <c r="Q807" s="45"/>
      <c r="R807" s="20"/>
      <c r="T807" s="327">
        <f t="shared" si="352"/>
        <v>0</v>
      </c>
      <c r="U807" s="327">
        <f t="shared" si="353"/>
        <v>0</v>
      </c>
      <c r="V807" s="327">
        <f t="shared" si="354"/>
        <v>0</v>
      </c>
      <c r="W807" s="327">
        <f t="shared" si="355"/>
        <v>0</v>
      </c>
      <c r="X807" s="65">
        <f t="shared" si="357"/>
        <v>0</v>
      </c>
      <c r="Y807" s="235">
        <f t="shared" si="356"/>
        <v>0</v>
      </c>
    </row>
    <row r="808" spans="2:25" s="222" customFormat="1" ht="12.75" customHeight="1" x14ac:dyDescent="0.2">
      <c r="B808" s="32"/>
      <c r="C808" s="32"/>
      <c r="D808" s="20"/>
      <c r="E808" s="63"/>
      <c r="F808" s="63"/>
      <c r="G808" s="32"/>
      <c r="H808" s="28"/>
      <c r="I808" s="28"/>
      <c r="J808" s="20"/>
      <c r="K808" s="36"/>
      <c r="L808" s="36"/>
      <c r="M808" s="20"/>
      <c r="N808" s="20"/>
      <c r="O808" s="20"/>
      <c r="P808" s="20"/>
      <c r="Q808" s="45"/>
      <c r="R808" s="20"/>
      <c r="T808" s="327">
        <f t="shared" si="352"/>
        <v>0</v>
      </c>
      <c r="U808" s="327">
        <f t="shared" si="353"/>
        <v>0</v>
      </c>
      <c r="V808" s="327">
        <f t="shared" si="354"/>
        <v>0</v>
      </c>
      <c r="W808" s="327">
        <f t="shared" si="355"/>
        <v>0</v>
      </c>
      <c r="X808" s="65">
        <f t="shared" si="357"/>
        <v>0</v>
      </c>
      <c r="Y808" s="235">
        <f t="shared" si="356"/>
        <v>0</v>
      </c>
    </row>
    <row r="809" spans="2:25" s="222" customFormat="1" ht="12.75" customHeight="1" x14ac:dyDescent="0.2">
      <c r="B809" s="32"/>
      <c r="C809" s="32"/>
      <c r="D809" s="20"/>
      <c r="E809" s="63"/>
      <c r="F809" s="63"/>
      <c r="G809" s="32"/>
      <c r="H809" s="28"/>
      <c r="I809" s="28"/>
      <c r="J809" s="20"/>
      <c r="K809" s="36"/>
      <c r="L809" s="36"/>
      <c r="M809" s="20"/>
      <c r="N809" s="20"/>
      <c r="O809" s="20"/>
      <c r="P809" s="20"/>
      <c r="Q809" s="45"/>
      <c r="R809" s="20"/>
      <c r="T809" s="327">
        <f t="shared" si="352"/>
        <v>0</v>
      </c>
      <c r="U809" s="327">
        <f t="shared" si="353"/>
        <v>0</v>
      </c>
      <c r="V809" s="327">
        <f t="shared" si="354"/>
        <v>0</v>
      </c>
      <c r="W809" s="327">
        <f t="shared" si="355"/>
        <v>0</v>
      </c>
      <c r="X809" s="65">
        <f t="shared" si="357"/>
        <v>0</v>
      </c>
      <c r="Y809" s="235">
        <f t="shared" si="356"/>
        <v>0</v>
      </c>
    </row>
    <row r="810" spans="2:25" s="222" customFormat="1" ht="12.75" customHeight="1" x14ac:dyDescent="0.2">
      <c r="B810" s="32"/>
      <c r="C810" s="32"/>
      <c r="D810" s="20"/>
      <c r="E810" s="63"/>
      <c r="F810" s="63"/>
      <c r="G810" s="32"/>
      <c r="H810" s="28"/>
      <c r="I810" s="28"/>
      <c r="J810" s="20"/>
      <c r="K810" s="36"/>
      <c r="L810" s="36"/>
      <c r="M810" s="20"/>
      <c r="N810" s="20"/>
      <c r="O810" s="20"/>
      <c r="P810" s="20"/>
      <c r="Q810" s="45"/>
      <c r="R810" s="20"/>
      <c r="T810" s="327">
        <f t="shared" si="352"/>
        <v>0</v>
      </c>
      <c r="U810" s="327">
        <f t="shared" si="353"/>
        <v>0</v>
      </c>
      <c r="V810" s="327">
        <f t="shared" si="354"/>
        <v>0</v>
      </c>
      <c r="W810" s="327">
        <f t="shared" si="355"/>
        <v>0</v>
      </c>
      <c r="X810" s="65">
        <f t="shared" si="357"/>
        <v>0</v>
      </c>
      <c r="Y810" s="235">
        <f t="shared" si="356"/>
        <v>0</v>
      </c>
    </row>
    <row r="811" spans="2:25" s="222" customFormat="1" ht="12.75" customHeight="1" x14ac:dyDescent="0.2">
      <c r="B811" s="32"/>
      <c r="C811" s="32"/>
      <c r="D811" s="20"/>
      <c r="E811" s="63"/>
      <c r="F811" s="63"/>
      <c r="G811" s="32"/>
      <c r="H811" s="28"/>
      <c r="I811" s="28"/>
      <c r="J811" s="20"/>
      <c r="K811" s="36"/>
      <c r="L811" s="36"/>
      <c r="M811" s="20"/>
      <c r="N811" s="20"/>
      <c r="O811" s="20"/>
      <c r="P811" s="20"/>
      <c r="Q811" s="45"/>
      <c r="R811" s="20"/>
      <c r="T811" s="327">
        <f t="shared" si="352"/>
        <v>0</v>
      </c>
      <c r="U811" s="327">
        <f t="shared" si="353"/>
        <v>0</v>
      </c>
      <c r="V811" s="327">
        <f t="shared" si="354"/>
        <v>0</v>
      </c>
      <c r="W811" s="327">
        <f t="shared" si="355"/>
        <v>0</v>
      </c>
      <c r="X811" s="65">
        <f t="shared" si="357"/>
        <v>0</v>
      </c>
      <c r="Y811" s="235">
        <f t="shared" si="356"/>
        <v>0</v>
      </c>
    </row>
    <row r="812" spans="2:25" s="222" customFormat="1" ht="12.75" customHeight="1" x14ac:dyDescent="0.2">
      <c r="B812" s="32"/>
      <c r="C812" s="32"/>
      <c r="D812" s="20"/>
      <c r="E812" s="63"/>
      <c r="F812" s="63"/>
      <c r="G812" s="32"/>
      <c r="H812" s="28"/>
      <c r="I812" s="28"/>
      <c r="J812" s="20"/>
      <c r="K812" s="36"/>
      <c r="L812" s="36"/>
      <c r="M812" s="20"/>
      <c r="N812" s="20"/>
      <c r="O812" s="20"/>
      <c r="P812" s="20"/>
      <c r="Q812" s="45"/>
      <c r="R812" s="20"/>
      <c r="T812" s="327">
        <f t="shared" si="352"/>
        <v>0</v>
      </c>
      <c r="U812" s="327">
        <f t="shared" si="353"/>
        <v>0</v>
      </c>
      <c r="V812" s="327">
        <f t="shared" si="354"/>
        <v>0</v>
      </c>
      <c r="W812" s="327">
        <f t="shared" si="355"/>
        <v>0</v>
      </c>
      <c r="X812" s="65">
        <f t="shared" si="357"/>
        <v>0</v>
      </c>
      <c r="Y812" s="235">
        <f t="shared" si="356"/>
        <v>0</v>
      </c>
    </row>
    <row r="813" spans="2:25" s="222" customFormat="1" ht="12.75" customHeight="1" x14ac:dyDescent="0.2">
      <c r="B813" s="32"/>
      <c r="C813" s="32"/>
      <c r="D813" s="20"/>
      <c r="E813" s="63"/>
      <c r="F813" s="63"/>
      <c r="G813" s="32"/>
      <c r="H813" s="28"/>
      <c r="I813" s="28"/>
      <c r="J813" s="20"/>
      <c r="K813" s="36"/>
      <c r="L813" s="36"/>
      <c r="M813" s="20"/>
      <c r="N813" s="20"/>
      <c r="O813" s="20"/>
      <c r="P813" s="20"/>
      <c r="Q813" s="45"/>
      <c r="R813" s="20"/>
      <c r="T813" s="327">
        <f t="shared" si="352"/>
        <v>0</v>
      </c>
      <c r="U813" s="327">
        <f t="shared" si="353"/>
        <v>0</v>
      </c>
      <c r="V813" s="327">
        <f t="shared" si="354"/>
        <v>0</v>
      </c>
      <c r="W813" s="327">
        <f t="shared" si="355"/>
        <v>0</v>
      </c>
      <c r="X813" s="65">
        <f t="shared" si="357"/>
        <v>0</v>
      </c>
      <c r="Y813" s="235">
        <f t="shared" si="356"/>
        <v>0</v>
      </c>
    </row>
    <row r="814" spans="2:25" s="222" customFormat="1" ht="12.75" customHeight="1" x14ac:dyDescent="0.2">
      <c r="B814" s="32"/>
      <c r="C814" s="32"/>
      <c r="D814" s="20"/>
      <c r="E814" s="63"/>
      <c r="F814" s="63"/>
      <c r="G814" s="32"/>
      <c r="H814" s="28"/>
      <c r="I814" s="28"/>
      <c r="J814" s="20"/>
      <c r="K814" s="36"/>
      <c r="L814" s="36"/>
      <c r="M814" s="20"/>
      <c r="N814" s="20"/>
      <c r="O814" s="20"/>
      <c r="P814" s="20"/>
      <c r="Q814" s="45"/>
      <c r="R814" s="20"/>
      <c r="T814" s="327">
        <f t="shared" si="352"/>
        <v>0</v>
      </c>
      <c r="U814" s="327">
        <f t="shared" si="353"/>
        <v>0</v>
      </c>
      <c r="V814" s="327">
        <f t="shared" si="354"/>
        <v>0</v>
      </c>
      <c r="W814" s="327">
        <f t="shared" si="355"/>
        <v>0</v>
      </c>
      <c r="X814" s="65">
        <f t="shared" si="357"/>
        <v>0</v>
      </c>
      <c r="Y814" s="235">
        <f t="shared" si="356"/>
        <v>0</v>
      </c>
    </row>
    <row r="815" spans="2:25" s="222" customFormat="1" ht="12.75" customHeight="1" x14ac:dyDescent="0.2">
      <c r="B815" s="32"/>
      <c r="C815" s="32"/>
      <c r="D815" s="20"/>
      <c r="E815" s="63"/>
      <c r="F815" s="63"/>
      <c r="G815" s="32"/>
      <c r="H815" s="28"/>
      <c r="I815" s="28"/>
      <c r="J815" s="20"/>
      <c r="K815" s="36"/>
      <c r="L815" s="36"/>
      <c r="M815" s="20"/>
      <c r="N815" s="20"/>
      <c r="O815" s="20"/>
      <c r="P815" s="20"/>
      <c r="Q815" s="45"/>
      <c r="R815" s="20"/>
      <c r="T815" s="327">
        <f t="shared" si="352"/>
        <v>0</v>
      </c>
      <c r="U815" s="327">
        <f t="shared" si="353"/>
        <v>0</v>
      </c>
      <c r="V815" s="327">
        <f t="shared" si="354"/>
        <v>0</v>
      </c>
      <c r="W815" s="327">
        <f t="shared" si="355"/>
        <v>0</v>
      </c>
      <c r="X815" s="65">
        <f t="shared" si="357"/>
        <v>0</v>
      </c>
      <c r="Y815" s="235">
        <f t="shared" si="356"/>
        <v>0</v>
      </c>
    </row>
    <row r="816" spans="2:25" s="222" customFormat="1" ht="12.75" customHeight="1" x14ac:dyDescent="0.2">
      <c r="B816" s="32"/>
      <c r="C816" s="32"/>
      <c r="D816" s="20"/>
      <c r="E816" s="63"/>
      <c r="F816" s="63"/>
      <c r="G816" s="32"/>
      <c r="H816" s="28"/>
      <c r="I816" s="28"/>
      <c r="J816" s="20"/>
      <c r="K816" s="36"/>
      <c r="L816" s="36"/>
      <c r="M816" s="20"/>
      <c r="N816" s="20"/>
      <c r="O816" s="20"/>
      <c r="P816" s="20"/>
      <c r="Q816" s="45"/>
      <c r="R816" s="20"/>
      <c r="T816" s="327">
        <f t="shared" si="352"/>
        <v>0</v>
      </c>
      <c r="U816" s="327">
        <f t="shared" si="353"/>
        <v>0</v>
      </c>
      <c r="V816" s="327">
        <f t="shared" si="354"/>
        <v>0</v>
      </c>
      <c r="W816" s="327">
        <f t="shared" si="355"/>
        <v>0</v>
      </c>
      <c r="X816" s="65">
        <f t="shared" si="357"/>
        <v>0</v>
      </c>
      <c r="Y816" s="235">
        <f t="shared" si="356"/>
        <v>0</v>
      </c>
    </row>
    <row r="817" spans="2:25" s="222" customFormat="1" ht="12.75" customHeight="1" x14ac:dyDescent="0.2">
      <c r="B817" s="32"/>
      <c r="C817" s="32"/>
      <c r="D817" s="20"/>
      <c r="E817" s="63"/>
      <c r="F817" s="63"/>
      <c r="G817" s="32"/>
      <c r="H817" s="28"/>
      <c r="I817" s="28"/>
      <c r="J817" s="20"/>
      <c r="K817" s="36"/>
      <c r="L817" s="36"/>
      <c r="M817" s="20"/>
      <c r="N817" s="20"/>
      <c r="O817" s="20"/>
      <c r="P817" s="20"/>
      <c r="Q817" s="45"/>
      <c r="R817" s="20"/>
      <c r="T817" s="327">
        <f t="shared" si="352"/>
        <v>0</v>
      </c>
      <c r="U817" s="327">
        <f t="shared" si="353"/>
        <v>0</v>
      </c>
      <c r="V817" s="327">
        <f t="shared" si="354"/>
        <v>0</v>
      </c>
      <c r="W817" s="327">
        <f t="shared" si="355"/>
        <v>0</v>
      </c>
      <c r="X817" s="65">
        <f t="shared" si="357"/>
        <v>0</v>
      </c>
      <c r="Y817" s="235">
        <f t="shared" si="356"/>
        <v>0</v>
      </c>
    </row>
    <row r="818" spans="2:25" s="222" customFormat="1" ht="12.75" customHeight="1" x14ac:dyDescent="0.2">
      <c r="B818" s="32"/>
      <c r="C818" s="32"/>
      <c r="D818" s="20"/>
      <c r="E818" s="63"/>
      <c r="F818" s="63"/>
      <c r="G818" s="32"/>
      <c r="H818" s="28"/>
      <c r="I818" s="28"/>
      <c r="J818" s="20"/>
      <c r="K818" s="36"/>
      <c r="L818" s="36"/>
      <c r="M818" s="20"/>
      <c r="N818" s="20"/>
      <c r="O818" s="20"/>
      <c r="P818" s="20"/>
      <c r="Q818" s="45"/>
      <c r="R818" s="20"/>
      <c r="T818" s="327">
        <f t="shared" si="352"/>
        <v>0</v>
      </c>
      <c r="U818" s="327">
        <f t="shared" si="353"/>
        <v>0</v>
      </c>
      <c r="V818" s="327">
        <f t="shared" si="354"/>
        <v>0</v>
      </c>
      <c r="W818" s="327">
        <f t="shared" si="355"/>
        <v>0</v>
      </c>
      <c r="X818" s="65">
        <f t="shared" si="357"/>
        <v>0</v>
      </c>
      <c r="Y818" s="235">
        <f t="shared" si="356"/>
        <v>0</v>
      </c>
    </row>
    <row r="819" spans="2:25" s="222" customFormat="1" ht="12.75" customHeight="1" x14ac:dyDescent="0.2">
      <c r="B819" s="32"/>
      <c r="C819" s="32"/>
      <c r="D819" s="20"/>
      <c r="E819" s="63"/>
      <c r="F819" s="63"/>
      <c r="G819" s="32"/>
      <c r="H819" s="28"/>
      <c r="I819" s="28"/>
      <c r="J819" s="20"/>
      <c r="K819" s="36"/>
      <c r="L819" s="36"/>
      <c r="M819" s="20"/>
      <c r="N819" s="20"/>
      <c r="O819" s="20"/>
      <c r="P819" s="20"/>
      <c r="Q819" s="45"/>
      <c r="R819" s="20"/>
      <c r="T819" s="327">
        <f t="shared" si="352"/>
        <v>0</v>
      </c>
      <c r="U819" s="327">
        <f t="shared" si="353"/>
        <v>0</v>
      </c>
      <c r="V819" s="327">
        <f t="shared" si="354"/>
        <v>0</v>
      </c>
      <c r="W819" s="327">
        <f t="shared" si="355"/>
        <v>0</v>
      </c>
      <c r="X819" s="65">
        <f t="shared" si="357"/>
        <v>0</v>
      </c>
      <c r="Y819" s="235">
        <f t="shared" si="356"/>
        <v>0</v>
      </c>
    </row>
    <row r="820" spans="2:25" s="222" customFormat="1" ht="12.75" customHeight="1" x14ac:dyDescent="0.2">
      <c r="B820" s="32"/>
      <c r="C820" s="32"/>
      <c r="D820" s="20"/>
      <c r="E820" s="63"/>
      <c r="F820" s="63"/>
      <c r="G820" s="32"/>
      <c r="H820" s="28"/>
      <c r="I820" s="28"/>
      <c r="J820" s="20"/>
      <c r="K820" s="36"/>
      <c r="L820" s="36"/>
      <c r="M820" s="20"/>
      <c r="N820" s="20"/>
      <c r="O820" s="20"/>
      <c r="P820" s="20"/>
      <c r="Q820" s="45"/>
      <c r="R820" s="20"/>
      <c r="T820" s="327">
        <f t="shared" si="352"/>
        <v>0</v>
      </c>
      <c r="U820" s="327">
        <f t="shared" si="353"/>
        <v>0</v>
      </c>
      <c r="V820" s="327">
        <f t="shared" si="354"/>
        <v>0</v>
      </c>
      <c r="W820" s="327">
        <f t="shared" si="355"/>
        <v>0</v>
      </c>
      <c r="X820" s="65">
        <f t="shared" si="357"/>
        <v>0</v>
      </c>
      <c r="Y820" s="235">
        <f t="shared" si="356"/>
        <v>0</v>
      </c>
    </row>
    <row r="821" spans="2:25" s="222" customFormat="1" ht="12.75" customHeight="1" x14ac:dyDescent="0.2">
      <c r="B821" s="32"/>
      <c r="C821" s="32"/>
      <c r="D821" s="20"/>
      <c r="E821" s="63"/>
      <c r="F821" s="63"/>
      <c r="G821" s="32"/>
      <c r="H821" s="28"/>
      <c r="I821" s="28"/>
      <c r="J821" s="20"/>
      <c r="K821" s="36"/>
      <c r="L821" s="36"/>
      <c r="M821" s="20"/>
      <c r="N821" s="20"/>
      <c r="O821" s="20"/>
      <c r="P821" s="20"/>
      <c r="Q821" s="45"/>
      <c r="R821" s="20"/>
      <c r="T821" s="327">
        <f t="shared" si="352"/>
        <v>0</v>
      </c>
      <c r="U821" s="327">
        <f t="shared" si="353"/>
        <v>0</v>
      </c>
      <c r="V821" s="327">
        <f t="shared" si="354"/>
        <v>0</v>
      </c>
      <c r="W821" s="327">
        <f t="shared" si="355"/>
        <v>0</v>
      </c>
      <c r="X821" s="65">
        <f t="shared" si="357"/>
        <v>0</v>
      </c>
      <c r="Y821" s="235">
        <f t="shared" si="356"/>
        <v>0</v>
      </c>
    </row>
    <row r="822" spans="2:25" s="222" customFormat="1" ht="12.75" customHeight="1" x14ac:dyDescent="0.2">
      <c r="B822" s="32"/>
      <c r="C822" s="32"/>
      <c r="D822" s="20"/>
      <c r="E822" s="63"/>
      <c r="F822" s="63"/>
      <c r="G822" s="32"/>
      <c r="H822" s="28"/>
      <c r="I822" s="28"/>
      <c r="J822" s="20"/>
      <c r="K822" s="36"/>
      <c r="L822" s="36"/>
      <c r="M822" s="20"/>
      <c r="N822" s="20"/>
      <c r="O822" s="20"/>
      <c r="P822" s="20"/>
      <c r="Q822" s="45"/>
      <c r="R822" s="20"/>
      <c r="T822" s="327">
        <f t="shared" si="352"/>
        <v>0</v>
      </c>
      <c r="U822" s="327">
        <f t="shared" si="353"/>
        <v>0</v>
      </c>
      <c r="V822" s="327">
        <f t="shared" si="354"/>
        <v>0</v>
      </c>
      <c r="W822" s="327">
        <f t="shared" si="355"/>
        <v>0</v>
      </c>
      <c r="X822" s="65">
        <f t="shared" si="357"/>
        <v>0</v>
      </c>
      <c r="Y822" s="235">
        <f t="shared" si="356"/>
        <v>0</v>
      </c>
    </row>
    <row r="823" spans="2:25" s="222" customFormat="1" ht="12.75" customHeight="1" x14ac:dyDescent="0.2">
      <c r="B823" s="32"/>
      <c r="C823" s="32"/>
      <c r="D823" s="20"/>
      <c r="E823" s="63"/>
      <c r="F823" s="63"/>
      <c r="G823" s="32"/>
      <c r="H823" s="28"/>
      <c r="I823" s="28"/>
      <c r="J823" s="20"/>
      <c r="K823" s="36"/>
      <c r="L823" s="36"/>
      <c r="M823" s="20"/>
      <c r="N823" s="20"/>
      <c r="O823" s="20"/>
      <c r="P823" s="20"/>
      <c r="Q823" s="45"/>
      <c r="R823" s="20"/>
      <c r="T823" s="327">
        <f t="shared" si="352"/>
        <v>0</v>
      </c>
      <c r="U823" s="327">
        <f t="shared" si="353"/>
        <v>0</v>
      </c>
      <c r="V823" s="327">
        <f t="shared" si="354"/>
        <v>0</v>
      </c>
      <c r="W823" s="327">
        <f t="shared" si="355"/>
        <v>0</v>
      </c>
      <c r="X823" s="65">
        <f t="shared" si="357"/>
        <v>0</v>
      </c>
      <c r="Y823" s="235">
        <f t="shared" si="356"/>
        <v>0</v>
      </c>
    </row>
    <row r="824" spans="2:25" s="222" customFormat="1" ht="12.75" customHeight="1" x14ac:dyDescent="0.2">
      <c r="B824" s="32"/>
      <c r="C824" s="20"/>
      <c r="D824" s="20"/>
      <c r="E824" s="59"/>
      <c r="F824" s="59"/>
      <c r="G824" s="20"/>
      <c r="H824" s="28"/>
      <c r="I824" s="28"/>
      <c r="J824" s="20"/>
      <c r="K824" s="36"/>
      <c r="L824" s="36"/>
      <c r="M824" s="20"/>
      <c r="N824" s="20"/>
      <c r="O824" s="20"/>
      <c r="P824" s="20"/>
      <c r="Q824" s="45"/>
      <c r="R824" s="20"/>
      <c r="T824" s="327">
        <f t="shared" si="352"/>
        <v>0</v>
      </c>
      <c r="U824" s="327">
        <f t="shared" si="353"/>
        <v>0</v>
      </c>
      <c r="V824" s="327">
        <f t="shared" si="354"/>
        <v>0</v>
      </c>
      <c r="W824" s="327">
        <f t="shared" si="355"/>
        <v>0</v>
      </c>
      <c r="X824" s="65">
        <f t="shared" si="357"/>
        <v>0</v>
      </c>
      <c r="Y824" s="235">
        <f t="shared" si="356"/>
        <v>0</v>
      </c>
    </row>
    <row r="825" spans="2:25" s="222" customFormat="1" ht="12.75" customHeight="1" x14ac:dyDescent="0.2">
      <c r="B825" s="32"/>
      <c r="C825" s="20"/>
      <c r="D825" s="20"/>
      <c r="E825" s="59"/>
      <c r="F825" s="59"/>
      <c r="G825" s="20"/>
      <c r="H825" s="28"/>
      <c r="I825" s="28"/>
      <c r="J825" s="20"/>
      <c r="K825" s="36"/>
      <c r="L825" s="36"/>
      <c r="M825" s="20"/>
      <c r="N825" s="20"/>
      <c r="O825" s="20"/>
      <c r="P825" s="20"/>
      <c r="Q825" s="45"/>
      <c r="R825" s="20"/>
      <c r="T825" s="327">
        <f t="shared" si="352"/>
        <v>0</v>
      </c>
      <c r="U825" s="327">
        <f t="shared" si="353"/>
        <v>0</v>
      </c>
      <c r="V825" s="327">
        <f t="shared" si="354"/>
        <v>0</v>
      </c>
      <c r="W825" s="327">
        <f t="shared" si="355"/>
        <v>0</v>
      </c>
      <c r="X825" s="65">
        <f t="shared" si="357"/>
        <v>0</v>
      </c>
      <c r="Y825" s="235">
        <f t="shared" si="356"/>
        <v>0</v>
      </c>
    </row>
    <row r="826" spans="2:25" s="222" customFormat="1" ht="12.75" customHeight="1" x14ac:dyDescent="0.2">
      <c r="B826" s="32"/>
      <c r="C826" s="32"/>
      <c r="D826" s="20"/>
      <c r="E826" s="60"/>
      <c r="F826" s="60"/>
      <c r="G826" s="32"/>
      <c r="H826" s="28"/>
      <c r="I826" s="28"/>
      <c r="J826" s="20"/>
      <c r="K826" s="36"/>
      <c r="L826" s="36"/>
      <c r="M826" s="20"/>
      <c r="N826" s="20"/>
      <c r="O826" s="20"/>
      <c r="P826" s="20"/>
      <c r="Q826" s="45"/>
      <c r="R826" s="20"/>
      <c r="T826" s="327">
        <f t="shared" si="352"/>
        <v>0</v>
      </c>
      <c r="U826" s="327">
        <f t="shared" si="353"/>
        <v>0</v>
      </c>
      <c r="V826" s="327">
        <f t="shared" si="354"/>
        <v>0</v>
      </c>
      <c r="W826" s="327">
        <f t="shared" si="355"/>
        <v>0</v>
      </c>
      <c r="X826" s="65">
        <f t="shared" si="357"/>
        <v>0</v>
      </c>
      <c r="Y826" s="235">
        <f t="shared" si="356"/>
        <v>0</v>
      </c>
    </row>
    <row r="827" spans="2:25" s="222" customFormat="1" ht="12.75" customHeight="1" x14ac:dyDescent="0.2">
      <c r="B827" s="32"/>
      <c r="C827" s="32"/>
      <c r="D827" s="20"/>
      <c r="E827" s="60"/>
      <c r="F827" s="60"/>
      <c r="G827" s="32"/>
      <c r="H827" s="28"/>
      <c r="I827" s="28"/>
      <c r="J827" s="20"/>
      <c r="K827" s="36"/>
      <c r="L827" s="36"/>
      <c r="M827" s="20"/>
      <c r="N827" s="20"/>
      <c r="O827" s="20"/>
      <c r="P827" s="20"/>
      <c r="Q827" s="45"/>
      <c r="R827" s="20"/>
      <c r="T827" s="327">
        <f t="shared" si="352"/>
        <v>0</v>
      </c>
      <c r="U827" s="327">
        <f t="shared" si="353"/>
        <v>0</v>
      </c>
      <c r="V827" s="327">
        <f t="shared" si="354"/>
        <v>0</v>
      </c>
      <c r="W827" s="327">
        <f t="shared" si="355"/>
        <v>0</v>
      </c>
      <c r="X827" s="65">
        <f t="shared" si="357"/>
        <v>0</v>
      </c>
      <c r="Y827" s="235">
        <f t="shared" si="356"/>
        <v>0</v>
      </c>
    </row>
    <row r="828" spans="2:25" s="222" customFormat="1" ht="12.75" customHeight="1" x14ac:dyDescent="0.2">
      <c r="B828" s="32"/>
      <c r="C828" s="32"/>
      <c r="D828" s="20"/>
      <c r="E828" s="60"/>
      <c r="F828" s="60"/>
      <c r="G828" s="32"/>
      <c r="H828" s="28"/>
      <c r="I828" s="28"/>
      <c r="J828" s="20"/>
      <c r="K828" s="36"/>
      <c r="L828" s="36"/>
      <c r="M828" s="20"/>
      <c r="N828" s="20"/>
      <c r="O828" s="20"/>
      <c r="P828" s="20"/>
      <c r="Q828" s="45"/>
      <c r="R828" s="20"/>
      <c r="T828" s="327">
        <f t="shared" si="352"/>
        <v>0</v>
      </c>
      <c r="U828" s="327">
        <f t="shared" si="353"/>
        <v>0</v>
      </c>
      <c r="V828" s="327">
        <f t="shared" si="354"/>
        <v>0</v>
      </c>
      <c r="W828" s="327">
        <f t="shared" si="355"/>
        <v>0</v>
      </c>
      <c r="X828" s="65">
        <f t="shared" si="357"/>
        <v>0</v>
      </c>
      <c r="Y828" s="235">
        <f t="shared" si="356"/>
        <v>0</v>
      </c>
    </row>
    <row r="829" spans="2:25" s="222" customFormat="1" ht="12.75" customHeight="1" x14ac:dyDescent="0.2">
      <c r="B829" s="32"/>
      <c r="C829" s="32"/>
      <c r="D829" s="20"/>
      <c r="E829" s="60"/>
      <c r="F829" s="60"/>
      <c r="G829" s="32"/>
      <c r="H829" s="28"/>
      <c r="I829" s="28"/>
      <c r="J829" s="20"/>
      <c r="K829" s="36"/>
      <c r="L829" s="36"/>
      <c r="M829" s="20"/>
      <c r="N829" s="20"/>
      <c r="O829" s="20"/>
      <c r="P829" s="20"/>
      <c r="Q829" s="45"/>
      <c r="R829" s="20"/>
      <c r="T829" s="327">
        <f t="shared" si="352"/>
        <v>0</v>
      </c>
      <c r="U829" s="327">
        <f t="shared" si="353"/>
        <v>0</v>
      </c>
      <c r="V829" s="327">
        <f t="shared" si="354"/>
        <v>0</v>
      </c>
      <c r="W829" s="327">
        <f t="shared" si="355"/>
        <v>0</v>
      </c>
      <c r="X829" s="65">
        <f t="shared" si="357"/>
        <v>0</v>
      </c>
      <c r="Y829" s="235">
        <f t="shared" si="356"/>
        <v>0</v>
      </c>
    </row>
    <row r="830" spans="2:25" s="222" customFormat="1" ht="12.75" customHeight="1" x14ac:dyDescent="0.2">
      <c r="B830" s="32"/>
      <c r="C830" s="32"/>
      <c r="D830" s="20"/>
      <c r="E830" s="60"/>
      <c r="F830" s="60"/>
      <c r="G830" s="32"/>
      <c r="H830" s="28"/>
      <c r="I830" s="28"/>
      <c r="J830" s="20"/>
      <c r="K830" s="36"/>
      <c r="L830" s="36"/>
      <c r="M830" s="20"/>
      <c r="N830" s="20"/>
      <c r="O830" s="20"/>
      <c r="P830" s="20"/>
      <c r="Q830" s="45"/>
      <c r="R830" s="20"/>
      <c r="T830" s="327">
        <f t="shared" ref="T830:T872" si="358">IF(K830=$T$3,$T$5*R830/DAYS360(K830,L830),0)</f>
        <v>0</v>
      </c>
      <c r="U830" s="327">
        <f t="shared" ref="U830:U872" si="359">IF(K830=$U$3,$U$5*R830/DAYS360(K830,L830),0)+IF(K830=$T$3,IF(L830=$U$4,R830-T830,0),0)+IF(K830=$T$3,IF(L830=$V$4,(R830-T830)/2,0),0)+IF(K830=$T$3,IF(L830=$W$4,(R830-T830)/3,0),0)</f>
        <v>0</v>
      </c>
      <c r="V830" s="327">
        <f t="shared" ref="V830:V872" si="360">IF(K830=$V$3,$V$5*R830/DAYS360(K830,L830),0)+IF(K830=$T$3,IF(L830=$V$4,R830-T830-U830,0),0)+IF(K830=$T$3,IF(L830=$W$4,(R830-T830-U830)/2,0),0)+IF(K830=$U$3,IF(L830=$V$4,R830-U830,0),0)+IF(K830=$U$3,IF(L830=$W$4,(R830-U830)/2,0),0)</f>
        <v>0</v>
      </c>
      <c r="W830" s="327">
        <f t="shared" ref="W830:W872" si="361">IF(K830=$W$3,$W$5*R830/DAYS360(K830,L830),0)+IF(K830=$T$3,IF(L830=$W$4,R830-T830-U830-V830,0),0)+IF(K830=$U$3,IF(L830=$W$4,R830-U830-V830,0),0)+IF(K830=$V$3,IF(L830=$W$4,R830-V830,0),0)</f>
        <v>0</v>
      </c>
      <c r="X830" s="65">
        <f t="shared" si="357"/>
        <v>0</v>
      </c>
      <c r="Y830" s="235">
        <f t="shared" si="356"/>
        <v>0</v>
      </c>
    </row>
    <row r="831" spans="2:25" s="222" customFormat="1" ht="12.75" customHeight="1" x14ac:dyDescent="0.2">
      <c r="B831" s="32"/>
      <c r="C831" s="32"/>
      <c r="D831" s="20"/>
      <c r="E831" s="60"/>
      <c r="F831" s="60"/>
      <c r="G831" s="32"/>
      <c r="H831" s="28"/>
      <c r="I831" s="28"/>
      <c r="J831" s="20"/>
      <c r="K831" s="36"/>
      <c r="L831" s="36"/>
      <c r="M831" s="20"/>
      <c r="N831" s="20"/>
      <c r="O831" s="20"/>
      <c r="P831" s="20"/>
      <c r="Q831" s="45"/>
      <c r="R831" s="20"/>
      <c r="T831" s="327">
        <f t="shared" si="358"/>
        <v>0</v>
      </c>
      <c r="U831" s="327">
        <f t="shared" si="359"/>
        <v>0</v>
      </c>
      <c r="V831" s="327">
        <f t="shared" si="360"/>
        <v>0</v>
      </c>
      <c r="W831" s="327">
        <f t="shared" si="361"/>
        <v>0</v>
      </c>
      <c r="X831" s="65">
        <f t="shared" si="357"/>
        <v>0</v>
      </c>
      <c r="Y831" s="235">
        <f t="shared" si="356"/>
        <v>0</v>
      </c>
    </row>
    <row r="832" spans="2:25" s="222" customFormat="1" ht="12.75" customHeight="1" x14ac:dyDescent="0.2">
      <c r="B832" s="32"/>
      <c r="C832" s="32"/>
      <c r="D832" s="20"/>
      <c r="E832" s="60"/>
      <c r="F832" s="60"/>
      <c r="G832" s="32"/>
      <c r="H832" s="28"/>
      <c r="I832" s="28"/>
      <c r="J832" s="20"/>
      <c r="K832" s="36"/>
      <c r="L832" s="36"/>
      <c r="M832" s="20"/>
      <c r="N832" s="20"/>
      <c r="O832" s="20"/>
      <c r="P832" s="20"/>
      <c r="Q832" s="45"/>
      <c r="R832" s="20"/>
      <c r="T832" s="327">
        <f t="shared" si="358"/>
        <v>0</v>
      </c>
      <c r="U832" s="327">
        <f t="shared" si="359"/>
        <v>0</v>
      </c>
      <c r="V832" s="327">
        <f t="shared" si="360"/>
        <v>0</v>
      </c>
      <c r="W832" s="327">
        <f t="shared" si="361"/>
        <v>0</v>
      </c>
      <c r="X832" s="65">
        <f t="shared" si="357"/>
        <v>0</v>
      </c>
      <c r="Y832" s="235">
        <f t="shared" si="356"/>
        <v>0</v>
      </c>
    </row>
    <row r="833" spans="2:25" s="222" customFormat="1" ht="12.75" customHeight="1" x14ac:dyDescent="0.2">
      <c r="B833" s="32"/>
      <c r="C833" s="32"/>
      <c r="D833" s="20"/>
      <c r="E833" s="60"/>
      <c r="F833" s="60"/>
      <c r="G833" s="32"/>
      <c r="H833" s="28"/>
      <c r="I833" s="28"/>
      <c r="J833" s="20"/>
      <c r="K833" s="36"/>
      <c r="L833" s="36"/>
      <c r="M833" s="20"/>
      <c r="N833" s="20"/>
      <c r="O833" s="20"/>
      <c r="P833" s="20"/>
      <c r="Q833" s="45"/>
      <c r="R833" s="20"/>
      <c r="T833" s="327">
        <f t="shared" si="358"/>
        <v>0</v>
      </c>
      <c r="U833" s="327">
        <f t="shared" si="359"/>
        <v>0</v>
      </c>
      <c r="V833" s="327">
        <f t="shared" si="360"/>
        <v>0</v>
      </c>
      <c r="W833" s="327">
        <f t="shared" si="361"/>
        <v>0</v>
      </c>
      <c r="X833" s="65">
        <f t="shared" si="357"/>
        <v>0</v>
      </c>
      <c r="Y833" s="235">
        <f t="shared" si="356"/>
        <v>0</v>
      </c>
    </row>
    <row r="834" spans="2:25" s="222" customFormat="1" ht="12.75" customHeight="1" x14ac:dyDescent="0.2">
      <c r="B834" s="32"/>
      <c r="C834" s="32"/>
      <c r="D834" s="20"/>
      <c r="E834" s="60"/>
      <c r="F834" s="60"/>
      <c r="G834" s="32"/>
      <c r="H834" s="28"/>
      <c r="I834" s="28"/>
      <c r="J834" s="20"/>
      <c r="K834" s="36"/>
      <c r="L834" s="36"/>
      <c r="M834" s="20"/>
      <c r="N834" s="20"/>
      <c r="O834" s="20"/>
      <c r="P834" s="20"/>
      <c r="Q834" s="45"/>
      <c r="R834" s="20"/>
      <c r="T834" s="327">
        <f t="shared" si="358"/>
        <v>0</v>
      </c>
      <c r="U834" s="327">
        <f t="shared" si="359"/>
        <v>0</v>
      </c>
      <c r="V834" s="327">
        <f t="shared" si="360"/>
        <v>0</v>
      </c>
      <c r="W834" s="327">
        <f t="shared" si="361"/>
        <v>0</v>
      </c>
      <c r="X834" s="65">
        <f t="shared" si="357"/>
        <v>0</v>
      </c>
      <c r="Y834" s="235">
        <f t="shared" si="356"/>
        <v>0</v>
      </c>
    </row>
    <row r="835" spans="2:25" s="222" customFormat="1" ht="12.75" customHeight="1" x14ac:dyDescent="0.2">
      <c r="B835" s="32"/>
      <c r="C835" s="32"/>
      <c r="D835" s="20"/>
      <c r="E835" s="60"/>
      <c r="F835" s="60"/>
      <c r="G835" s="32"/>
      <c r="H835" s="28"/>
      <c r="I835" s="28"/>
      <c r="J835" s="20"/>
      <c r="K835" s="36"/>
      <c r="L835" s="36"/>
      <c r="M835" s="20"/>
      <c r="N835" s="20"/>
      <c r="O835" s="20"/>
      <c r="P835" s="20"/>
      <c r="Q835" s="45"/>
      <c r="R835" s="20"/>
      <c r="T835" s="327">
        <f t="shared" si="358"/>
        <v>0</v>
      </c>
      <c r="U835" s="327">
        <f t="shared" si="359"/>
        <v>0</v>
      </c>
      <c r="V835" s="327">
        <f t="shared" si="360"/>
        <v>0</v>
      </c>
      <c r="W835" s="327">
        <f t="shared" si="361"/>
        <v>0</v>
      </c>
      <c r="X835" s="65">
        <f t="shared" si="357"/>
        <v>0</v>
      </c>
      <c r="Y835" s="235">
        <f t="shared" ref="Y835:Y872" si="362">X835-R835</f>
        <v>0</v>
      </c>
    </row>
    <row r="836" spans="2:25" s="222" customFormat="1" ht="12.75" customHeight="1" x14ac:dyDescent="0.2">
      <c r="B836" s="32"/>
      <c r="C836" s="32"/>
      <c r="D836" s="20"/>
      <c r="E836" s="60"/>
      <c r="F836" s="60"/>
      <c r="G836" s="32"/>
      <c r="H836" s="28"/>
      <c r="I836" s="28"/>
      <c r="J836" s="20"/>
      <c r="K836" s="36"/>
      <c r="L836" s="36"/>
      <c r="M836" s="20"/>
      <c r="N836" s="20"/>
      <c r="O836" s="20"/>
      <c r="P836" s="20"/>
      <c r="Q836" s="45"/>
      <c r="R836" s="20"/>
      <c r="T836" s="327">
        <f t="shared" si="358"/>
        <v>0</v>
      </c>
      <c r="U836" s="327">
        <f t="shared" si="359"/>
        <v>0</v>
      </c>
      <c r="V836" s="327">
        <f t="shared" si="360"/>
        <v>0</v>
      </c>
      <c r="W836" s="327">
        <f t="shared" si="361"/>
        <v>0</v>
      </c>
      <c r="X836" s="65">
        <f t="shared" si="357"/>
        <v>0</v>
      </c>
      <c r="Y836" s="235">
        <f t="shared" si="362"/>
        <v>0</v>
      </c>
    </row>
    <row r="837" spans="2:25" s="222" customFormat="1" ht="12.75" customHeight="1" x14ac:dyDescent="0.2">
      <c r="B837" s="32"/>
      <c r="C837" s="32"/>
      <c r="D837" s="20"/>
      <c r="E837" s="60"/>
      <c r="F837" s="60"/>
      <c r="G837" s="32"/>
      <c r="H837" s="28"/>
      <c r="I837" s="28"/>
      <c r="J837" s="20"/>
      <c r="K837" s="36"/>
      <c r="L837" s="36"/>
      <c r="M837" s="20"/>
      <c r="N837" s="20"/>
      <c r="O837" s="20"/>
      <c r="P837" s="20"/>
      <c r="Q837" s="45"/>
      <c r="R837" s="20"/>
      <c r="T837" s="327">
        <f t="shared" si="358"/>
        <v>0</v>
      </c>
      <c r="U837" s="327">
        <f t="shared" si="359"/>
        <v>0</v>
      </c>
      <c r="V837" s="327">
        <f t="shared" si="360"/>
        <v>0</v>
      </c>
      <c r="W837" s="327">
        <f t="shared" si="361"/>
        <v>0</v>
      </c>
      <c r="X837" s="65">
        <f t="shared" si="357"/>
        <v>0</v>
      </c>
      <c r="Y837" s="235">
        <f t="shared" si="362"/>
        <v>0</v>
      </c>
    </row>
    <row r="838" spans="2:25" s="222" customFormat="1" ht="12.75" customHeight="1" x14ac:dyDescent="0.2">
      <c r="B838" s="32"/>
      <c r="C838" s="32"/>
      <c r="D838" s="20"/>
      <c r="E838" s="60"/>
      <c r="F838" s="60"/>
      <c r="G838" s="32"/>
      <c r="H838" s="28"/>
      <c r="I838" s="28"/>
      <c r="J838" s="20"/>
      <c r="K838" s="36"/>
      <c r="L838" s="36"/>
      <c r="M838" s="20"/>
      <c r="N838" s="20"/>
      <c r="O838" s="20"/>
      <c r="P838" s="20"/>
      <c r="Q838" s="45"/>
      <c r="R838" s="20"/>
      <c r="T838" s="327">
        <f t="shared" si="358"/>
        <v>0</v>
      </c>
      <c r="U838" s="327">
        <f t="shared" si="359"/>
        <v>0</v>
      </c>
      <c r="V838" s="327">
        <f t="shared" si="360"/>
        <v>0</v>
      </c>
      <c r="W838" s="327">
        <f t="shared" si="361"/>
        <v>0</v>
      </c>
      <c r="X838" s="65">
        <f t="shared" si="357"/>
        <v>0</v>
      </c>
      <c r="Y838" s="235">
        <f t="shared" si="362"/>
        <v>0</v>
      </c>
    </row>
    <row r="839" spans="2:25" s="222" customFormat="1" ht="12.75" customHeight="1" x14ac:dyDescent="0.2">
      <c r="B839" s="32"/>
      <c r="C839" s="32"/>
      <c r="D839" s="20"/>
      <c r="E839" s="60"/>
      <c r="F839" s="60"/>
      <c r="G839" s="32"/>
      <c r="H839" s="28"/>
      <c r="I839" s="28"/>
      <c r="J839" s="20"/>
      <c r="K839" s="36"/>
      <c r="L839" s="36"/>
      <c r="M839" s="20"/>
      <c r="N839" s="20"/>
      <c r="O839" s="20"/>
      <c r="P839" s="20"/>
      <c r="Q839" s="45"/>
      <c r="R839" s="20"/>
      <c r="T839" s="327">
        <f t="shared" si="358"/>
        <v>0</v>
      </c>
      <c r="U839" s="327">
        <f t="shared" si="359"/>
        <v>0</v>
      </c>
      <c r="V839" s="327">
        <f t="shared" si="360"/>
        <v>0</v>
      </c>
      <c r="W839" s="327">
        <f t="shared" si="361"/>
        <v>0</v>
      </c>
      <c r="X839" s="65">
        <f t="shared" si="357"/>
        <v>0</v>
      </c>
      <c r="Y839" s="235">
        <f t="shared" si="362"/>
        <v>0</v>
      </c>
    </row>
    <row r="840" spans="2:25" s="222" customFormat="1" ht="12.75" customHeight="1" x14ac:dyDescent="0.2">
      <c r="B840" s="32"/>
      <c r="C840" s="32"/>
      <c r="D840" s="20"/>
      <c r="E840" s="60"/>
      <c r="F840" s="60"/>
      <c r="G840" s="32"/>
      <c r="H840" s="28"/>
      <c r="I840" s="28"/>
      <c r="J840" s="20"/>
      <c r="K840" s="36"/>
      <c r="L840" s="36"/>
      <c r="M840" s="20"/>
      <c r="N840" s="20"/>
      <c r="O840" s="20"/>
      <c r="P840" s="20"/>
      <c r="Q840" s="45"/>
      <c r="R840" s="20"/>
      <c r="T840" s="327">
        <f t="shared" si="358"/>
        <v>0</v>
      </c>
      <c r="U840" s="327">
        <f t="shared" si="359"/>
        <v>0</v>
      </c>
      <c r="V840" s="327">
        <f t="shared" si="360"/>
        <v>0</v>
      </c>
      <c r="W840" s="327">
        <f t="shared" si="361"/>
        <v>0</v>
      </c>
      <c r="X840" s="65">
        <f t="shared" si="357"/>
        <v>0</v>
      </c>
      <c r="Y840" s="235">
        <f t="shared" si="362"/>
        <v>0</v>
      </c>
    </row>
    <row r="841" spans="2:25" s="222" customFormat="1" ht="12.75" customHeight="1" x14ac:dyDescent="0.2">
      <c r="B841" s="32"/>
      <c r="C841" s="32"/>
      <c r="D841" s="20"/>
      <c r="E841" s="60"/>
      <c r="F841" s="60"/>
      <c r="G841" s="32"/>
      <c r="H841" s="28"/>
      <c r="I841" s="28"/>
      <c r="J841" s="20"/>
      <c r="K841" s="36"/>
      <c r="L841" s="36"/>
      <c r="M841" s="20"/>
      <c r="N841" s="20"/>
      <c r="O841" s="20"/>
      <c r="P841" s="20"/>
      <c r="Q841" s="45"/>
      <c r="R841" s="20"/>
      <c r="T841" s="327">
        <f t="shared" si="358"/>
        <v>0</v>
      </c>
      <c r="U841" s="327">
        <f t="shared" si="359"/>
        <v>0</v>
      </c>
      <c r="V841" s="327">
        <f t="shared" si="360"/>
        <v>0</v>
      </c>
      <c r="W841" s="327">
        <f t="shared" si="361"/>
        <v>0</v>
      </c>
      <c r="X841" s="65">
        <f t="shared" si="357"/>
        <v>0</v>
      </c>
      <c r="Y841" s="235">
        <f t="shared" si="362"/>
        <v>0</v>
      </c>
    </row>
    <row r="842" spans="2:25" s="222" customFormat="1" ht="12.75" customHeight="1" x14ac:dyDescent="0.2">
      <c r="B842" s="32"/>
      <c r="C842" s="32"/>
      <c r="D842" s="20"/>
      <c r="E842" s="60"/>
      <c r="F842" s="60"/>
      <c r="G842" s="32"/>
      <c r="H842" s="28"/>
      <c r="I842" s="28"/>
      <c r="J842" s="20"/>
      <c r="K842" s="36"/>
      <c r="L842" s="36"/>
      <c r="M842" s="20"/>
      <c r="N842" s="20"/>
      <c r="O842" s="20"/>
      <c r="P842" s="20"/>
      <c r="Q842" s="45"/>
      <c r="R842" s="20"/>
      <c r="T842" s="327">
        <f t="shared" si="358"/>
        <v>0</v>
      </c>
      <c r="U842" s="327">
        <f t="shared" si="359"/>
        <v>0</v>
      </c>
      <c r="V842" s="327">
        <f t="shared" si="360"/>
        <v>0</v>
      </c>
      <c r="W842" s="327">
        <f t="shared" si="361"/>
        <v>0</v>
      </c>
      <c r="X842" s="65">
        <f t="shared" si="357"/>
        <v>0</v>
      </c>
      <c r="Y842" s="235">
        <f t="shared" si="362"/>
        <v>0</v>
      </c>
    </row>
    <row r="843" spans="2:25" s="222" customFormat="1" ht="12.75" customHeight="1" x14ac:dyDescent="0.2">
      <c r="B843" s="32"/>
      <c r="C843" s="32"/>
      <c r="D843" s="20"/>
      <c r="E843" s="60"/>
      <c r="F843" s="60"/>
      <c r="G843" s="32"/>
      <c r="H843" s="28"/>
      <c r="I843" s="28"/>
      <c r="J843" s="20"/>
      <c r="K843" s="36"/>
      <c r="L843" s="36"/>
      <c r="M843" s="20"/>
      <c r="N843" s="20"/>
      <c r="O843" s="20"/>
      <c r="P843" s="20"/>
      <c r="Q843" s="45"/>
      <c r="R843" s="20"/>
      <c r="T843" s="327">
        <f t="shared" si="358"/>
        <v>0</v>
      </c>
      <c r="U843" s="327">
        <f t="shared" si="359"/>
        <v>0</v>
      </c>
      <c r="V843" s="327">
        <f t="shared" si="360"/>
        <v>0</v>
      </c>
      <c r="W843" s="327">
        <f t="shared" si="361"/>
        <v>0</v>
      </c>
      <c r="X843" s="65">
        <f t="shared" si="357"/>
        <v>0</v>
      </c>
      <c r="Y843" s="235">
        <f t="shared" si="362"/>
        <v>0</v>
      </c>
    </row>
    <row r="844" spans="2:25" s="222" customFormat="1" ht="12.75" customHeight="1" x14ac:dyDescent="0.2">
      <c r="B844" s="32"/>
      <c r="C844" s="32"/>
      <c r="D844" s="20"/>
      <c r="E844" s="60"/>
      <c r="F844" s="60"/>
      <c r="G844" s="32"/>
      <c r="H844" s="28"/>
      <c r="I844" s="28"/>
      <c r="J844" s="20"/>
      <c r="K844" s="36"/>
      <c r="L844" s="36"/>
      <c r="M844" s="20"/>
      <c r="N844" s="20"/>
      <c r="O844" s="20"/>
      <c r="P844" s="20"/>
      <c r="Q844" s="45"/>
      <c r="R844" s="20"/>
      <c r="T844" s="327">
        <f t="shared" si="358"/>
        <v>0</v>
      </c>
      <c r="U844" s="327">
        <f t="shared" si="359"/>
        <v>0</v>
      </c>
      <c r="V844" s="327">
        <f t="shared" si="360"/>
        <v>0</v>
      </c>
      <c r="W844" s="327">
        <f t="shared" si="361"/>
        <v>0</v>
      </c>
      <c r="X844" s="65">
        <f t="shared" si="357"/>
        <v>0</v>
      </c>
      <c r="Y844" s="235">
        <f t="shared" si="362"/>
        <v>0</v>
      </c>
    </row>
    <row r="845" spans="2:25" s="222" customFormat="1" ht="12.75" customHeight="1" x14ac:dyDescent="0.2">
      <c r="B845" s="32"/>
      <c r="C845" s="32"/>
      <c r="D845" s="20"/>
      <c r="E845" s="60"/>
      <c r="F845" s="60"/>
      <c r="G845" s="32"/>
      <c r="H845" s="28"/>
      <c r="I845" s="28"/>
      <c r="J845" s="20"/>
      <c r="K845" s="36"/>
      <c r="L845" s="36"/>
      <c r="M845" s="20"/>
      <c r="N845" s="20"/>
      <c r="O845" s="20"/>
      <c r="P845" s="20"/>
      <c r="Q845" s="45"/>
      <c r="R845" s="20"/>
      <c r="T845" s="327">
        <f t="shared" si="358"/>
        <v>0</v>
      </c>
      <c r="U845" s="327">
        <f t="shared" si="359"/>
        <v>0</v>
      </c>
      <c r="V845" s="327">
        <f t="shared" si="360"/>
        <v>0</v>
      </c>
      <c r="W845" s="327">
        <f t="shared" si="361"/>
        <v>0</v>
      </c>
      <c r="X845" s="65">
        <f t="shared" si="357"/>
        <v>0</v>
      </c>
      <c r="Y845" s="235">
        <f t="shared" si="362"/>
        <v>0</v>
      </c>
    </row>
    <row r="846" spans="2:25" s="222" customFormat="1" ht="12.75" customHeight="1" x14ac:dyDescent="0.2">
      <c r="B846" s="32"/>
      <c r="C846" s="32"/>
      <c r="D846" s="20"/>
      <c r="E846" s="60"/>
      <c r="F846" s="60"/>
      <c r="G846" s="32"/>
      <c r="H846" s="28"/>
      <c r="I846" s="28"/>
      <c r="J846" s="20"/>
      <c r="K846" s="36"/>
      <c r="L846" s="36"/>
      <c r="M846" s="20"/>
      <c r="N846" s="20"/>
      <c r="O846" s="20"/>
      <c r="P846" s="20"/>
      <c r="Q846" s="45"/>
      <c r="R846" s="20"/>
      <c r="T846" s="327">
        <f t="shared" si="358"/>
        <v>0</v>
      </c>
      <c r="U846" s="327">
        <f t="shared" si="359"/>
        <v>0</v>
      </c>
      <c r="V846" s="327">
        <f t="shared" si="360"/>
        <v>0</v>
      </c>
      <c r="W846" s="327">
        <f t="shared" si="361"/>
        <v>0</v>
      </c>
      <c r="X846" s="65">
        <f t="shared" si="357"/>
        <v>0</v>
      </c>
      <c r="Y846" s="235">
        <f t="shared" si="362"/>
        <v>0</v>
      </c>
    </row>
    <row r="847" spans="2:25" s="222" customFormat="1" ht="12.75" customHeight="1" x14ac:dyDescent="0.2">
      <c r="B847" s="32"/>
      <c r="C847" s="32"/>
      <c r="D847" s="20"/>
      <c r="E847" s="60"/>
      <c r="F847" s="60"/>
      <c r="G847" s="32"/>
      <c r="H847" s="28"/>
      <c r="I847" s="28"/>
      <c r="J847" s="20"/>
      <c r="K847" s="36"/>
      <c r="L847" s="36"/>
      <c r="M847" s="20"/>
      <c r="N847" s="20"/>
      <c r="O847" s="20"/>
      <c r="P847" s="20"/>
      <c r="Q847" s="45"/>
      <c r="R847" s="20"/>
      <c r="T847" s="327">
        <f t="shared" si="358"/>
        <v>0</v>
      </c>
      <c r="U847" s="327">
        <f t="shared" si="359"/>
        <v>0</v>
      </c>
      <c r="V847" s="327">
        <f t="shared" si="360"/>
        <v>0</v>
      </c>
      <c r="W847" s="327">
        <f t="shared" si="361"/>
        <v>0</v>
      </c>
      <c r="X847" s="65">
        <f t="shared" si="357"/>
        <v>0</v>
      </c>
      <c r="Y847" s="235">
        <f t="shared" si="362"/>
        <v>0</v>
      </c>
    </row>
    <row r="848" spans="2:25" s="222" customFormat="1" ht="12.75" customHeight="1" x14ac:dyDescent="0.2">
      <c r="B848" s="32"/>
      <c r="C848" s="32"/>
      <c r="D848" s="20"/>
      <c r="E848" s="60"/>
      <c r="F848" s="60"/>
      <c r="G848" s="32"/>
      <c r="H848" s="28"/>
      <c r="I848" s="28"/>
      <c r="J848" s="20"/>
      <c r="K848" s="36"/>
      <c r="L848" s="36"/>
      <c r="M848" s="20"/>
      <c r="N848" s="20"/>
      <c r="O848" s="20"/>
      <c r="P848" s="20"/>
      <c r="Q848" s="45"/>
      <c r="R848" s="20"/>
      <c r="T848" s="327">
        <f t="shared" si="358"/>
        <v>0</v>
      </c>
      <c r="U848" s="327">
        <f t="shared" si="359"/>
        <v>0</v>
      </c>
      <c r="V848" s="327">
        <f t="shared" si="360"/>
        <v>0</v>
      </c>
      <c r="W848" s="327">
        <f t="shared" si="361"/>
        <v>0</v>
      </c>
      <c r="X848" s="65">
        <f t="shared" si="357"/>
        <v>0</v>
      </c>
      <c r="Y848" s="235">
        <f t="shared" si="362"/>
        <v>0</v>
      </c>
    </row>
    <row r="849" spans="2:25" s="222" customFormat="1" ht="12.75" customHeight="1" x14ac:dyDescent="0.2">
      <c r="B849" s="32"/>
      <c r="C849" s="32"/>
      <c r="D849" s="20"/>
      <c r="E849" s="60"/>
      <c r="F849" s="60"/>
      <c r="G849" s="32"/>
      <c r="H849" s="28"/>
      <c r="I849" s="28"/>
      <c r="J849" s="20"/>
      <c r="K849" s="36"/>
      <c r="L849" s="36"/>
      <c r="M849" s="20"/>
      <c r="N849" s="20"/>
      <c r="O849" s="20"/>
      <c r="P849" s="20"/>
      <c r="Q849" s="45"/>
      <c r="R849" s="20"/>
      <c r="T849" s="327">
        <f t="shared" si="358"/>
        <v>0</v>
      </c>
      <c r="U849" s="327">
        <f t="shared" si="359"/>
        <v>0</v>
      </c>
      <c r="V849" s="327">
        <f t="shared" si="360"/>
        <v>0</v>
      </c>
      <c r="W849" s="327">
        <f t="shared" si="361"/>
        <v>0</v>
      </c>
      <c r="X849" s="65">
        <f t="shared" si="357"/>
        <v>0</v>
      </c>
      <c r="Y849" s="235">
        <f t="shared" si="362"/>
        <v>0</v>
      </c>
    </row>
    <row r="850" spans="2:25" s="222" customFormat="1" ht="12.75" customHeight="1" x14ac:dyDescent="0.2">
      <c r="B850" s="32"/>
      <c r="C850" s="32"/>
      <c r="D850" s="20"/>
      <c r="E850" s="60"/>
      <c r="F850" s="60"/>
      <c r="G850" s="32"/>
      <c r="H850" s="28"/>
      <c r="I850" s="28"/>
      <c r="J850" s="20"/>
      <c r="K850" s="36"/>
      <c r="L850" s="36"/>
      <c r="M850" s="20"/>
      <c r="N850" s="20"/>
      <c r="O850" s="20"/>
      <c r="P850" s="20"/>
      <c r="Q850" s="45"/>
      <c r="R850" s="20"/>
      <c r="T850" s="327">
        <f t="shared" si="358"/>
        <v>0</v>
      </c>
      <c r="U850" s="327">
        <f t="shared" si="359"/>
        <v>0</v>
      </c>
      <c r="V850" s="327">
        <f t="shared" si="360"/>
        <v>0</v>
      </c>
      <c r="W850" s="327">
        <f t="shared" si="361"/>
        <v>0</v>
      </c>
      <c r="X850" s="65">
        <f t="shared" si="357"/>
        <v>0</v>
      </c>
      <c r="Y850" s="235">
        <f t="shared" si="362"/>
        <v>0</v>
      </c>
    </row>
    <row r="851" spans="2:25" s="222" customFormat="1" ht="12.75" customHeight="1" x14ac:dyDescent="0.2">
      <c r="B851" s="32"/>
      <c r="C851" s="32"/>
      <c r="D851" s="20"/>
      <c r="E851" s="60"/>
      <c r="F851" s="60"/>
      <c r="G851" s="32"/>
      <c r="H851" s="28"/>
      <c r="I851" s="28"/>
      <c r="J851" s="20"/>
      <c r="K851" s="36"/>
      <c r="L851" s="36"/>
      <c r="M851" s="20"/>
      <c r="N851" s="20"/>
      <c r="O851" s="20"/>
      <c r="P851" s="20"/>
      <c r="Q851" s="45"/>
      <c r="R851" s="20"/>
      <c r="T851" s="327">
        <f t="shared" si="358"/>
        <v>0</v>
      </c>
      <c r="U851" s="327">
        <f t="shared" si="359"/>
        <v>0</v>
      </c>
      <c r="V851" s="327">
        <f t="shared" si="360"/>
        <v>0</v>
      </c>
      <c r="W851" s="327">
        <f t="shared" si="361"/>
        <v>0</v>
      </c>
      <c r="X851" s="65">
        <f t="shared" si="357"/>
        <v>0</v>
      </c>
      <c r="Y851" s="235">
        <f t="shared" si="362"/>
        <v>0</v>
      </c>
    </row>
    <row r="852" spans="2:25" s="222" customFormat="1" ht="12.75" customHeight="1" x14ac:dyDescent="0.2">
      <c r="B852" s="32"/>
      <c r="C852" s="32"/>
      <c r="D852" s="20"/>
      <c r="E852" s="60"/>
      <c r="F852" s="60"/>
      <c r="G852" s="32"/>
      <c r="H852" s="28"/>
      <c r="I852" s="28"/>
      <c r="J852" s="20"/>
      <c r="K852" s="36"/>
      <c r="L852" s="36"/>
      <c r="M852" s="20"/>
      <c r="N852" s="20"/>
      <c r="O852" s="20"/>
      <c r="P852" s="20"/>
      <c r="Q852" s="45"/>
      <c r="R852" s="20"/>
      <c r="T852" s="327">
        <f t="shared" si="358"/>
        <v>0</v>
      </c>
      <c r="U852" s="327">
        <f t="shared" si="359"/>
        <v>0</v>
      </c>
      <c r="V852" s="327">
        <f t="shared" si="360"/>
        <v>0</v>
      </c>
      <c r="W852" s="327">
        <f t="shared" si="361"/>
        <v>0</v>
      </c>
      <c r="X852" s="65">
        <f t="shared" si="357"/>
        <v>0</v>
      </c>
      <c r="Y852" s="235">
        <f t="shared" si="362"/>
        <v>0</v>
      </c>
    </row>
    <row r="853" spans="2:25" s="222" customFormat="1" ht="12.75" customHeight="1" x14ac:dyDescent="0.2">
      <c r="B853" s="32"/>
      <c r="C853" s="32"/>
      <c r="D853" s="20"/>
      <c r="E853" s="60"/>
      <c r="F853" s="60"/>
      <c r="G853" s="32"/>
      <c r="H853" s="28"/>
      <c r="I853" s="28"/>
      <c r="J853" s="20"/>
      <c r="K853" s="36"/>
      <c r="L853" s="36"/>
      <c r="M853" s="20"/>
      <c r="N853" s="20"/>
      <c r="O853" s="20"/>
      <c r="P853" s="20"/>
      <c r="Q853" s="45"/>
      <c r="R853" s="20"/>
      <c r="T853" s="327">
        <f t="shared" si="358"/>
        <v>0</v>
      </c>
      <c r="U853" s="327">
        <f t="shared" si="359"/>
        <v>0</v>
      </c>
      <c r="V853" s="327">
        <f t="shared" si="360"/>
        <v>0</v>
      </c>
      <c r="W853" s="327">
        <f t="shared" si="361"/>
        <v>0</v>
      </c>
      <c r="X853" s="65">
        <f t="shared" ref="X853:X872" si="363">SUM(T853:W853)</f>
        <v>0</v>
      </c>
      <c r="Y853" s="235">
        <f t="shared" si="362"/>
        <v>0</v>
      </c>
    </row>
    <row r="854" spans="2:25" s="222" customFormat="1" ht="12.75" customHeight="1" x14ac:dyDescent="0.2">
      <c r="B854" s="32"/>
      <c r="C854" s="32"/>
      <c r="D854" s="20"/>
      <c r="E854" s="60"/>
      <c r="F854" s="60"/>
      <c r="G854" s="32"/>
      <c r="H854" s="28"/>
      <c r="I854" s="28"/>
      <c r="J854" s="20"/>
      <c r="K854" s="36"/>
      <c r="L854" s="36"/>
      <c r="M854" s="20"/>
      <c r="N854" s="20"/>
      <c r="O854" s="20"/>
      <c r="P854" s="20"/>
      <c r="Q854" s="45"/>
      <c r="R854" s="20"/>
      <c r="T854" s="327">
        <f t="shared" si="358"/>
        <v>0</v>
      </c>
      <c r="U854" s="327">
        <f t="shared" si="359"/>
        <v>0</v>
      </c>
      <c r="V854" s="327">
        <f t="shared" si="360"/>
        <v>0</v>
      </c>
      <c r="W854" s="327">
        <f t="shared" si="361"/>
        <v>0</v>
      </c>
      <c r="X854" s="65">
        <f t="shared" si="363"/>
        <v>0</v>
      </c>
      <c r="Y854" s="235">
        <f t="shared" si="362"/>
        <v>0</v>
      </c>
    </row>
    <row r="855" spans="2:25" s="222" customFormat="1" ht="12.75" customHeight="1" x14ac:dyDescent="0.2">
      <c r="B855" s="32"/>
      <c r="C855" s="32"/>
      <c r="D855" s="20"/>
      <c r="E855" s="60"/>
      <c r="F855" s="60"/>
      <c r="G855" s="32"/>
      <c r="H855" s="28"/>
      <c r="I855" s="28"/>
      <c r="J855" s="20"/>
      <c r="K855" s="36"/>
      <c r="L855" s="36"/>
      <c r="M855" s="20"/>
      <c r="N855" s="20"/>
      <c r="O855" s="20"/>
      <c r="P855" s="20"/>
      <c r="Q855" s="45"/>
      <c r="R855" s="20"/>
      <c r="T855" s="327">
        <f t="shared" si="358"/>
        <v>0</v>
      </c>
      <c r="U855" s="327">
        <f t="shared" si="359"/>
        <v>0</v>
      </c>
      <c r="V855" s="327">
        <f t="shared" si="360"/>
        <v>0</v>
      </c>
      <c r="W855" s="327">
        <f t="shared" si="361"/>
        <v>0</v>
      </c>
      <c r="X855" s="65">
        <f t="shared" si="363"/>
        <v>0</v>
      </c>
      <c r="Y855" s="235">
        <f t="shared" si="362"/>
        <v>0</v>
      </c>
    </row>
    <row r="856" spans="2:25" s="222" customFormat="1" ht="12.75" customHeight="1" x14ac:dyDescent="0.2">
      <c r="B856" s="32"/>
      <c r="C856" s="32"/>
      <c r="D856" s="20"/>
      <c r="E856" s="60"/>
      <c r="F856" s="60"/>
      <c r="G856" s="32"/>
      <c r="H856" s="28"/>
      <c r="I856" s="28"/>
      <c r="J856" s="20"/>
      <c r="K856" s="36"/>
      <c r="L856" s="36"/>
      <c r="M856" s="20"/>
      <c r="N856" s="20"/>
      <c r="O856" s="20"/>
      <c r="P856" s="20"/>
      <c r="Q856" s="45"/>
      <c r="R856" s="20"/>
      <c r="T856" s="327">
        <f t="shared" si="358"/>
        <v>0</v>
      </c>
      <c r="U856" s="327">
        <f t="shared" si="359"/>
        <v>0</v>
      </c>
      <c r="V856" s="327">
        <f t="shared" si="360"/>
        <v>0</v>
      </c>
      <c r="W856" s="327">
        <f t="shared" si="361"/>
        <v>0</v>
      </c>
      <c r="X856" s="65">
        <f t="shared" si="363"/>
        <v>0</v>
      </c>
      <c r="Y856" s="235">
        <f t="shared" si="362"/>
        <v>0</v>
      </c>
    </row>
    <row r="857" spans="2:25" s="222" customFormat="1" ht="12.75" customHeight="1" x14ac:dyDescent="0.2">
      <c r="B857" s="32"/>
      <c r="C857" s="32"/>
      <c r="D857" s="20"/>
      <c r="E857" s="60"/>
      <c r="F857" s="60"/>
      <c r="G857" s="32"/>
      <c r="H857" s="28"/>
      <c r="I857" s="28"/>
      <c r="J857" s="20"/>
      <c r="K857" s="36"/>
      <c r="L857" s="36"/>
      <c r="M857" s="20"/>
      <c r="N857" s="20"/>
      <c r="O857" s="20"/>
      <c r="P857" s="20"/>
      <c r="Q857" s="45"/>
      <c r="R857" s="20"/>
      <c r="T857" s="327">
        <f t="shared" si="358"/>
        <v>0</v>
      </c>
      <c r="U857" s="327">
        <f t="shared" si="359"/>
        <v>0</v>
      </c>
      <c r="V857" s="327">
        <f t="shared" si="360"/>
        <v>0</v>
      </c>
      <c r="W857" s="327">
        <f t="shared" si="361"/>
        <v>0</v>
      </c>
      <c r="X857" s="65">
        <f t="shared" si="363"/>
        <v>0</v>
      </c>
      <c r="Y857" s="235">
        <f t="shared" si="362"/>
        <v>0</v>
      </c>
    </row>
    <row r="858" spans="2:25" s="222" customFormat="1" ht="12.75" customHeight="1" x14ac:dyDescent="0.2">
      <c r="B858" s="32"/>
      <c r="C858" s="32"/>
      <c r="D858" s="20"/>
      <c r="E858" s="60"/>
      <c r="F858" s="60"/>
      <c r="G858" s="32"/>
      <c r="H858" s="28"/>
      <c r="I858" s="28"/>
      <c r="J858" s="20"/>
      <c r="K858" s="36"/>
      <c r="L858" s="36"/>
      <c r="M858" s="20"/>
      <c r="N858" s="20"/>
      <c r="O858" s="20"/>
      <c r="P858" s="20"/>
      <c r="Q858" s="45"/>
      <c r="R858" s="20"/>
      <c r="T858" s="327">
        <f t="shared" si="358"/>
        <v>0</v>
      </c>
      <c r="U858" s="327">
        <f t="shared" si="359"/>
        <v>0</v>
      </c>
      <c r="V858" s="327">
        <f t="shared" si="360"/>
        <v>0</v>
      </c>
      <c r="W858" s="327">
        <f t="shared" si="361"/>
        <v>0</v>
      </c>
      <c r="X858" s="65">
        <f t="shared" si="363"/>
        <v>0</v>
      </c>
      <c r="Y858" s="235">
        <f t="shared" si="362"/>
        <v>0</v>
      </c>
    </row>
    <row r="859" spans="2:25" s="222" customFormat="1" ht="12.75" customHeight="1" x14ac:dyDescent="0.2">
      <c r="B859" s="32"/>
      <c r="C859" s="32"/>
      <c r="D859" s="20"/>
      <c r="E859" s="60"/>
      <c r="F859" s="60"/>
      <c r="G859" s="32"/>
      <c r="H859" s="28"/>
      <c r="I859" s="28"/>
      <c r="J859" s="20"/>
      <c r="K859" s="36"/>
      <c r="L859" s="36"/>
      <c r="M859" s="20"/>
      <c r="N859" s="20"/>
      <c r="O859" s="20"/>
      <c r="P859" s="20"/>
      <c r="Q859" s="45"/>
      <c r="R859" s="20"/>
      <c r="T859" s="327">
        <f t="shared" si="358"/>
        <v>0</v>
      </c>
      <c r="U859" s="327">
        <f t="shared" si="359"/>
        <v>0</v>
      </c>
      <c r="V859" s="327">
        <f t="shared" si="360"/>
        <v>0</v>
      </c>
      <c r="W859" s="327">
        <f t="shared" si="361"/>
        <v>0</v>
      </c>
      <c r="X859" s="65">
        <f t="shared" si="363"/>
        <v>0</v>
      </c>
      <c r="Y859" s="235">
        <f t="shared" si="362"/>
        <v>0</v>
      </c>
    </row>
    <row r="860" spans="2:25" s="222" customFormat="1" ht="12.75" customHeight="1" x14ac:dyDescent="0.2">
      <c r="B860" s="32"/>
      <c r="C860" s="32"/>
      <c r="D860" s="20"/>
      <c r="E860" s="60"/>
      <c r="F860" s="60"/>
      <c r="G860" s="32"/>
      <c r="H860" s="28"/>
      <c r="I860" s="28"/>
      <c r="J860" s="20"/>
      <c r="K860" s="36"/>
      <c r="L860" s="36"/>
      <c r="M860" s="20"/>
      <c r="N860" s="20"/>
      <c r="O860" s="20"/>
      <c r="P860" s="20"/>
      <c r="Q860" s="45"/>
      <c r="R860" s="20"/>
      <c r="T860" s="327">
        <f t="shared" si="358"/>
        <v>0</v>
      </c>
      <c r="U860" s="327">
        <f t="shared" si="359"/>
        <v>0</v>
      </c>
      <c r="V860" s="327">
        <f t="shared" si="360"/>
        <v>0</v>
      </c>
      <c r="W860" s="327">
        <f t="shared" si="361"/>
        <v>0</v>
      </c>
      <c r="X860" s="65">
        <f t="shared" si="363"/>
        <v>0</v>
      </c>
      <c r="Y860" s="235">
        <f t="shared" si="362"/>
        <v>0</v>
      </c>
    </row>
    <row r="861" spans="2:25" s="222" customFormat="1" ht="12.75" customHeight="1" x14ac:dyDescent="0.2">
      <c r="B861" s="32"/>
      <c r="C861" s="32"/>
      <c r="D861" s="20"/>
      <c r="E861" s="60"/>
      <c r="F861" s="60"/>
      <c r="G861" s="32"/>
      <c r="H861" s="28"/>
      <c r="I861" s="28"/>
      <c r="J861" s="20"/>
      <c r="K861" s="36"/>
      <c r="L861" s="36"/>
      <c r="M861" s="20"/>
      <c r="N861" s="20"/>
      <c r="O861" s="20"/>
      <c r="P861" s="20"/>
      <c r="Q861" s="45"/>
      <c r="R861" s="20"/>
      <c r="T861" s="327">
        <f t="shared" si="358"/>
        <v>0</v>
      </c>
      <c r="U861" s="327">
        <f t="shared" si="359"/>
        <v>0</v>
      </c>
      <c r="V861" s="327">
        <f t="shared" si="360"/>
        <v>0</v>
      </c>
      <c r="W861" s="327">
        <f t="shared" si="361"/>
        <v>0</v>
      </c>
      <c r="X861" s="65">
        <f t="shared" si="363"/>
        <v>0</v>
      </c>
      <c r="Y861" s="235">
        <f t="shared" si="362"/>
        <v>0</v>
      </c>
    </row>
    <row r="862" spans="2:25" s="222" customFormat="1" ht="12.75" customHeight="1" x14ac:dyDescent="0.2">
      <c r="B862" s="32"/>
      <c r="C862" s="32"/>
      <c r="D862" s="20"/>
      <c r="E862" s="60"/>
      <c r="F862" s="60"/>
      <c r="G862" s="32"/>
      <c r="H862" s="28"/>
      <c r="I862" s="28"/>
      <c r="J862" s="20"/>
      <c r="K862" s="36"/>
      <c r="L862" s="36"/>
      <c r="M862" s="20"/>
      <c r="N862" s="20"/>
      <c r="O862" s="20"/>
      <c r="P862" s="20"/>
      <c r="Q862" s="45"/>
      <c r="R862" s="20"/>
      <c r="T862" s="327">
        <f t="shared" si="358"/>
        <v>0</v>
      </c>
      <c r="U862" s="327">
        <f t="shared" si="359"/>
        <v>0</v>
      </c>
      <c r="V862" s="327">
        <f t="shared" si="360"/>
        <v>0</v>
      </c>
      <c r="W862" s="327">
        <f t="shared" si="361"/>
        <v>0</v>
      </c>
      <c r="X862" s="65">
        <f t="shared" si="363"/>
        <v>0</v>
      </c>
      <c r="Y862" s="235">
        <f t="shared" si="362"/>
        <v>0</v>
      </c>
    </row>
    <row r="863" spans="2:25" s="222" customFormat="1" ht="12.75" customHeight="1" x14ac:dyDescent="0.2">
      <c r="B863" s="32"/>
      <c r="C863" s="32"/>
      <c r="D863" s="20"/>
      <c r="E863" s="60"/>
      <c r="F863" s="60"/>
      <c r="G863" s="32"/>
      <c r="H863" s="28"/>
      <c r="I863" s="28"/>
      <c r="J863" s="20"/>
      <c r="K863" s="36"/>
      <c r="L863" s="36"/>
      <c r="M863" s="20"/>
      <c r="N863" s="20"/>
      <c r="O863" s="20"/>
      <c r="P863" s="20"/>
      <c r="Q863" s="45"/>
      <c r="R863" s="20"/>
      <c r="T863" s="327">
        <f t="shared" si="358"/>
        <v>0</v>
      </c>
      <c r="U863" s="327">
        <f t="shared" si="359"/>
        <v>0</v>
      </c>
      <c r="V863" s="327">
        <f t="shared" si="360"/>
        <v>0</v>
      </c>
      <c r="W863" s="327">
        <f t="shared" si="361"/>
        <v>0</v>
      </c>
      <c r="X863" s="65">
        <f t="shared" si="363"/>
        <v>0</v>
      </c>
      <c r="Y863" s="235">
        <f t="shared" si="362"/>
        <v>0</v>
      </c>
    </row>
    <row r="864" spans="2:25" s="222" customFormat="1" ht="12.75" customHeight="1" x14ac:dyDescent="0.2">
      <c r="B864" s="32"/>
      <c r="C864" s="224"/>
      <c r="D864" s="20"/>
      <c r="E864" s="60"/>
      <c r="F864" s="60"/>
      <c r="G864" s="32"/>
      <c r="H864" s="28"/>
      <c r="I864" s="28"/>
      <c r="J864" s="20"/>
      <c r="K864" s="36"/>
      <c r="L864" s="36"/>
      <c r="M864" s="20"/>
      <c r="N864" s="20"/>
      <c r="O864" s="20"/>
      <c r="P864" s="20"/>
      <c r="Q864" s="45"/>
      <c r="R864" s="20"/>
      <c r="T864" s="327">
        <f t="shared" si="358"/>
        <v>0</v>
      </c>
      <c r="U864" s="327">
        <f t="shared" si="359"/>
        <v>0</v>
      </c>
      <c r="V864" s="327">
        <f t="shared" si="360"/>
        <v>0</v>
      </c>
      <c r="W864" s="327">
        <f t="shared" si="361"/>
        <v>0</v>
      </c>
      <c r="X864" s="65">
        <f t="shared" si="363"/>
        <v>0</v>
      </c>
      <c r="Y864" s="235">
        <f t="shared" si="362"/>
        <v>0</v>
      </c>
    </row>
    <row r="865" spans="2:25" s="222" customFormat="1" ht="12.75" customHeight="1" x14ac:dyDescent="0.2">
      <c r="B865" s="32"/>
      <c r="C865" s="20"/>
      <c r="D865" s="32"/>
      <c r="E865" s="59"/>
      <c r="F865" s="59"/>
      <c r="G865" s="32"/>
      <c r="H865" s="28"/>
      <c r="I865" s="28"/>
      <c r="J865" s="20"/>
      <c r="K865" s="36"/>
      <c r="L865" s="36"/>
      <c r="M865" s="20"/>
      <c r="N865" s="47"/>
      <c r="O865" s="20"/>
      <c r="P865" s="20"/>
      <c r="Q865" s="45"/>
      <c r="R865" s="20"/>
      <c r="T865" s="327">
        <f t="shared" si="358"/>
        <v>0</v>
      </c>
      <c r="U865" s="327">
        <f t="shared" si="359"/>
        <v>0</v>
      </c>
      <c r="V865" s="327">
        <f t="shared" si="360"/>
        <v>0</v>
      </c>
      <c r="W865" s="327">
        <f t="shared" si="361"/>
        <v>0</v>
      </c>
      <c r="X865" s="65">
        <f t="shared" si="363"/>
        <v>0</v>
      </c>
      <c r="Y865" s="235">
        <f t="shared" si="362"/>
        <v>0</v>
      </c>
    </row>
    <row r="866" spans="2:25" s="222" customFormat="1" ht="12.75" customHeight="1" x14ac:dyDescent="0.2">
      <c r="B866" s="32"/>
      <c r="C866" s="20"/>
      <c r="D866" s="32"/>
      <c r="E866" s="59"/>
      <c r="F866" s="59"/>
      <c r="G866" s="32"/>
      <c r="H866" s="28"/>
      <c r="I866" s="28"/>
      <c r="J866" s="20"/>
      <c r="K866" s="36"/>
      <c r="L866" s="36"/>
      <c r="M866" s="20"/>
      <c r="N866" s="47"/>
      <c r="O866" s="20"/>
      <c r="P866" s="20"/>
      <c r="Q866" s="45"/>
      <c r="R866" s="20"/>
      <c r="T866" s="327">
        <f t="shared" si="358"/>
        <v>0</v>
      </c>
      <c r="U866" s="327">
        <f t="shared" si="359"/>
        <v>0</v>
      </c>
      <c r="V866" s="327">
        <f t="shared" si="360"/>
        <v>0</v>
      </c>
      <c r="W866" s="327">
        <f t="shared" si="361"/>
        <v>0</v>
      </c>
      <c r="X866" s="65">
        <f t="shared" si="363"/>
        <v>0</v>
      </c>
      <c r="Y866" s="235">
        <f t="shared" si="362"/>
        <v>0</v>
      </c>
    </row>
    <row r="867" spans="2:25" s="222" customFormat="1" ht="12.75" customHeight="1" x14ac:dyDescent="0.2">
      <c r="B867" s="32"/>
      <c r="C867" s="20"/>
      <c r="D867" s="32"/>
      <c r="E867" s="59"/>
      <c r="F867" s="59"/>
      <c r="G867" s="32"/>
      <c r="H867" s="28"/>
      <c r="I867" s="28"/>
      <c r="J867" s="20"/>
      <c r="K867" s="36"/>
      <c r="L867" s="36"/>
      <c r="M867" s="20"/>
      <c r="N867" s="47"/>
      <c r="O867" s="20"/>
      <c r="P867" s="20"/>
      <c r="Q867" s="45"/>
      <c r="R867" s="20"/>
      <c r="T867" s="327">
        <f t="shared" si="358"/>
        <v>0</v>
      </c>
      <c r="U867" s="327">
        <f t="shared" si="359"/>
        <v>0</v>
      </c>
      <c r="V867" s="327">
        <f t="shared" si="360"/>
        <v>0</v>
      </c>
      <c r="W867" s="327">
        <f t="shared" si="361"/>
        <v>0</v>
      </c>
      <c r="X867" s="65">
        <f t="shared" si="363"/>
        <v>0</v>
      </c>
      <c r="Y867" s="235">
        <f t="shared" si="362"/>
        <v>0</v>
      </c>
    </row>
    <row r="868" spans="2:25" s="222" customFormat="1" ht="12.75" customHeight="1" x14ac:dyDescent="0.2">
      <c r="B868" s="32"/>
      <c r="C868" s="20"/>
      <c r="D868" s="32"/>
      <c r="E868" s="59"/>
      <c r="F868" s="59"/>
      <c r="G868" s="32"/>
      <c r="H868" s="28"/>
      <c r="I868" s="28"/>
      <c r="J868" s="20"/>
      <c r="K868" s="36"/>
      <c r="L868" s="36"/>
      <c r="M868" s="20"/>
      <c r="N868" s="47"/>
      <c r="O868" s="20"/>
      <c r="P868" s="20"/>
      <c r="Q868" s="45"/>
      <c r="R868" s="20"/>
      <c r="T868" s="327">
        <f t="shared" si="358"/>
        <v>0</v>
      </c>
      <c r="U868" s="327">
        <f t="shared" si="359"/>
        <v>0</v>
      </c>
      <c r="V868" s="327">
        <f t="shared" si="360"/>
        <v>0</v>
      </c>
      <c r="W868" s="327">
        <f t="shared" si="361"/>
        <v>0</v>
      </c>
      <c r="X868" s="65">
        <f t="shared" si="363"/>
        <v>0</v>
      </c>
      <c r="Y868" s="235">
        <f t="shared" si="362"/>
        <v>0</v>
      </c>
    </row>
    <row r="869" spans="2:25" s="222" customFormat="1" ht="12.75" customHeight="1" x14ac:dyDescent="0.2">
      <c r="B869" s="32"/>
      <c r="C869" s="20"/>
      <c r="D869" s="32"/>
      <c r="E869" s="59"/>
      <c r="F869" s="59"/>
      <c r="G869" s="32"/>
      <c r="H869" s="28"/>
      <c r="I869" s="28"/>
      <c r="J869" s="20"/>
      <c r="K869" s="36"/>
      <c r="L869" s="36"/>
      <c r="M869" s="20"/>
      <c r="N869" s="47"/>
      <c r="O869" s="20"/>
      <c r="P869" s="20"/>
      <c r="Q869" s="45"/>
      <c r="R869" s="20"/>
      <c r="T869" s="327">
        <f t="shared" si="358"/>
        <v>0</v>
      </c>
      <c r="U869" s="327">
        <f t="shared" si="359"/>
        <v>0</v>
      </c>
      <c r="V869" s="327">
        <f t="shared" si="360"/>
        <v>0</v>
      </c>
      <c r="W869" s="327">
        <f t="shared" si="361"/>
        <v>0</v>
      </c>
      <c r="X869" s="65">
        <f t="shared" si="363"/>
        <v>0</v>
      </c>
      <c r="Y869" s="235">
        <f t="shared" si="362"/>
        <v>0</v>
      </c>
    </row>
    <row r="870" spans="2:25" s="222" customFormat="1" ht="12.75" customHeight="1" x14ac:dyDescent="0.2">
      <c r="B870" s="32"/>
      <c r="C870" s="20"/>
      <c r="D870" s="32"/>
      <c r="E870" s="59"/>
      <c r="F870" s="59"/>
      <c r="G870" s="32"/>
      <c r="H870" s="28"/>
      <c r="I870" s="28"/>
      <c r="J870" s="20"/>
      <c r="K870" s="36"/>
      <c r="L870" s="36"/>
      <c r="M870" s="20"/>
      <c r="N870" s="47"/>
      <c r="O870" s="20"/>
      <c r="P870" s="20"/>
      <c r="Q870" s="45"/>
      <c r="R870" s="20"/>
      <c r="T870" s="327">
        <f t="shared" si="358"/>
        <v>0</v>
      </c>
      <c r="U870" s="327">
        <f t="shared" si="359"/>
        <v>0</v>
      </c>
      <c r="V870" s="327">
        <f t="shared" si="360"/>
        <v>0</v>
      </c>
      <c r="W870" s="327">
        <f t="shared" si="361"/>
        <v>0</v>
      </c>
      <c r="X870" s="65">
        <f t="shared" si="363"/>
        <v>0</v>
      </c>
      <c r="Y870" s="235">
        <f t="shared" si="362"/>
        <v>0</v>
      </c>
    </row>
    <row r="871" spans="2:25" s="222" customFormat="1" ht="12.75" customHeight="1" x14ac:dyDescent="0.2">
      <c r="B871" s="32"/>
      <c r="C871" s="20"/>
      <c r="D871" s="32"/>
      <c r="E871" s="59"/>
      <c r="F871" s="59"/>
      <c r="G871" s="32"/>
      <c r="H871" s="28"/>
      <c r="I871" s="28"/>
      <c r="J871" s="20"/>
      <c r="K871" s="36"/>
      <c r="L871" s="36"/>
      <c r="M871" s="20"/>
      <c r="N871" s="47"/>
      <c r="O871" s="20"/>
      <c r="P871" s="20"/>
      <c r="Q871" s="45"/>
      <c r="R871" s="20"/>
      <c r="T871" s="327">
        <f t="shared" si="358"/>
        <v>0</v>
      </c>
      <c r="U871" s="327">
        <f t="shared" si="359"/>
        <v>0</v>
      </c>
      <c r="V871" s="327">
        <f t="shared" si="360"/>
        <v>0</v>
      </c>
      <c r="W871" s="327">
        <f t="shared" si="361"/>
        <v>0</v>
      </c>
      <c r="X871" s="65">
        <f t="shared" si="363"/>
        <v>0</v>
      </c>
      <c r="Y871" s="235">
        <f t="shared" si="362"/>
        <v>0</v>
      </c>
    </row>
    <row r="872" spans="2:25" s="222" customFormat="1" ht="12.75" customHeight="1" x14ac:dyDescent="0.2">
      <c r="B872" s="32"/>
      <c r="C872" s="20"/>
      <c r="D872" s="32"/>
      <c r="E872" s="59"/>
      <c r="F872" s="59"/>
      <c r="G872" s="32"/>
      <c r="H872" s="28"/>
      <c r="I872" s="28"/>
      <c r="J872" s="20"/>
      <c r="K872" s="36"/>
      <c r="L872" s="36"/>
      <c r="M872" s="20"/>
      <c r="N872" s="47"/>
      <c r="O872" s="20"/>
      <c r="P872" s="20"/>
      <c r="Q872" s="45"/>
      <c r="R872" s="20"/>
      <c r="T872" s="327">
        <f t="shared" si="358"/>
        <v>0</v>
      </c>
      <c r="U872" s="327">
        <f t="shared" si="359"/>
        <v>0</v>
      </c>
      <c r="V872" s="327">
        <f t="shared" si="360"/>
        <v>0</v>
      </c>
      <c r="W872" s="327">
        <f t="shared" si="361"/>
        <v>0</v>
      </c>
      <c r="X872" s="65">
        <f t="shared" si="363"/>
        <v>0</v>
      </c>
      <c r="Y872" s="235">
        <f t="shared" si="362"/>
        <v>0</v>
      </c>
    </row>
    <row r="873" spans="2:25" s="222" customFormat="1" x14ac:dyDescent="0.2">
      <c r="B873" s="237"/>
      <c r="C873" s="20"/>
      <c r="D873" s="32"/>
      <c r="E873" s="59"/>
      <c r="F873" s="59"/>
      <c r="G873" s="32"/>
      <c r="H873" s="28"/>
      <c r="I873" s="28"/>
      <c r="J873" s="20"/>
      <c r="K873" s="36"/>
      <c r="L873" s="36"/>
      <c r="M873" s="20"/>
      <c r="N873" s="47"/>
      <c r="O873" s="20"/>
      <c r="P873" s="20"/>
      <c r="Q873" s="45"/>
      <c r="R873" s="20"/>
      <c r="T873" s="236"/>
      <c r="U873" s="236"/>
      <c r="V873" s="236"/>
      <c r="W873" s="236"/>
    </row>
    <row r="874" spans="2:25" s="222" customFormat="1" x14ac:dyDescent="0.2">
      <c r="B874" s="237"/>
      <c r="C874" s="224"/>
      <c r="D874" s="238"/>
      <c r="E874" s="239"/>
      <c r="F874" s="239"/>
      <c r="G874" s="224"/>
      <c r="H874" s="55"/>
      <c r="I874" s="240"/>
      <c r="J874" s="20"/>
      <c r="K874" s="241"/>
      <c r="L874" s="241"/>
      <c r="M874" s="224"/>
      <c r="N874" s="224"/>
      <c r="O874" s="20"/>
      <c r="P874" s="224"/>
      <c r="Q874" s="45"/>
      <c r="R874" s="224"/>
    </row>
    <row r="875" spans="2:25" s="222" customFormat="1" x14ac:dyDescent="0.2">
      <c r="B875" s="237"/>
      <c r="C875" s="224"/>
      <c r="D875" s="238"/>
      <c r="E875" s="239"/>
      <c r="F875" s="239"/>
      <c r="G875" s="224"/>
      <c r="H875" s="55"/>
      <c r="I875" s="240"/>
      <c r="J875" s="20"/>
      <c r="K875" s="241"/>
      <c r="L875" s="241"/>
      <c r="M875" s="224"/>
      <c r="N875" s="224"/>
      <c r="O875" s="20"/>
      <c r="P875" s="224"/>
      <c r="Q875" s="45"/>
      <c r="R875" s="224"/>
    </row>
    <row r="876" spans="2:25" s="222" customFormat="1" x14ac:dyDescent="0.2">
      <c r="B876" s="224"/>
      <c r="C876" s="224"/>
      <c r="D876" s="238"/>
      <c r="E876" s="239"/>
      <c r="F876" s="239"/>
      <c r="G876" s="224"/>
      <c r="H876" s="55"/>
      <c r="I876" s="240"/>
      <c r="J876" s="20"/>
      <c r="K876" s="241"/>
      <c r="L876" s="241"/>
      <c r="M876" s="224"/>
      <c r="N876" s="224"/>
      <c r="O876" s="20"/>
      <c r="P876" s="224"/>
      <c r="Q876" s="45"/>
      <c r="R876" s="224"/>
    </row>
    <row r="877" spans="2:25" s="222" customFormat="1" x14ac:dyDescent="0.2">
      <c r="B877" s="237"/>
      <c r="C877" s="224"/>
      <c r="D877" s="238"/>
      <c r="E877" s="239"/>
      <c r="F877" s="239"/>
      <c r="G877" s="224"/>
      <c r="H877" s="55"/>
      <c r="I877" s="240"/>
      <c r="J877" s="20"/>
      <c r="K877" s="241"/>
      <c r="L877" s="241"/>
      <c r="M877" s="224"/>
      <c r="N877" s="224"/>
      <c r="O877" s="20"/>
      <c r="P877" s="224"/>
      <c r="Q877" s="45"/>
      <c r="R877" s="224"/>
    </row>
    <row r="878" spans="2:25" s="222" customFormat="1" x14ac:dyDescent="0.2">
      <c r="B878" s="224"/>
      <c r="C878" s="224"/>
      <c r="D878" s="238"/>
      <c r="E878" s="239"/>
      <c r="F878" s="239"/>
      <c r="G878" s="224"/>
      <c r="H878" s="55"/>
      <c r="I878" s="240"/>
      <c r="J878" s="20"/>
      <c r="K878" s="241"/>
      <c r="L878" s="241"/>
      <c r="M878" s="224"/>
      <c r="N878" s="224"/>
      <c r="O878" s="20"/>
      <c r="P878" s="224"/>
      <c r="Q878" s="45"/>
      <c r="R878" s="224"/>
    </row>
    <row r="879" spans="2:25" s="222" customFormat="1" x14ac:dyDescent="0.2">
      <c r="B879" s="237"/>
      <c r="C879" s="224"/>
      <c r="D879" s="238"/>
      <c r="E879" s="239"/>
      <c r="F879" s="239"/>
      <c r="G879" s="224"/>
      <c r="H879" s="55"/>
      <c r="I879" s="240"/>
      <c r="J879" s="20"/>
      <c r="K879" s="241"/>
      <c r="L879" s="241"/>
      <c r="M879" s="224"/>
      <c r="N879" s="224"/>
      <c r="O879" s="20"/>
      <c r="P879" s="224"/>
      <c r="Q879" s="45"/>
      <c r="R879" s="224"/>
    </row>
    <row r="880" spans="2:25" s="222" customFormat="1" x14ac:dyDescent="0.2">
      <c r="B880" s="224"/>
      <c r="C880" s="224"/>
      <c r="D880" s="238"/>
      <c r="E880" s="239"/>
      <c r="F880" s="239"/>
      <c r="G880" s="224"/>
      <c r="H880" s="55"/>
      <c r="I880" s="240"/>
      <c r="J880" s="20"/>
      <c r="K880" s="241"/>
      <c r="L880" s="241"/>
      <c r="M880" s="224"/>
      <c r="N880" s="224"/>
      <c r="O880" s="20"/>
      <c r="P880" s="224"/>
      <c r="Q880" s="45"/>
      <c r="R880" s="224"/>
    </row>
    <row r="881" spans="2:18" s="222" customFormat="1" x14ac:dyDescent="0.2">
      <c r="B881" s="224"/>
      <c r="C881" s="224"/>
      <c r="D881" s="238"/>
      <c r="E881" s="239"/>
      <c r="F881" s="239"/>
      <c r="G881" s="224"/>
      <c r="H881" s="55"/>
      <c r="I881" s="240"/>
      <c r="J881" s="20"/>
      <c r="K881" s="241"/>
      <c r="L881" s="241"/>
      <c r="M881" s="224"/>
      <c r="N881" s="224"/>
      <c r="O881" s="20"/>
      <c r="P881" s="224"/>
      <c r="Q881" s="45"/>
      <c r="R881" s="224"/>
    </row>
    <row r="882" spans="2:18" s="222" customFormat="1" x14ac:dyDescent="0.2">
      <c r="B882" s="237"/>
      <c r="C882" s="224"/>
      <c r="D882" s="238"/>
      <c r="E882" s="239"/>
      <c r="F882" s="239"/>
      <c r="G882" s="224"/>
      <c r="H882" s="55"/>
      <c r="I882" s="240"/>
      <c r="J882" s="20"/>
      <c r="K882" s="241"/>
      <c r="L882" s="241"/>
      <c r="M882" s="224"/>
      <c r="N882" s="224"/>
      <c r="O882" s="20"/>
      <c r="P882" s="224"/>
      <c r="Q882" s="45"/>
      <c r="R882" s="224"/>
    </row>
    <row r="883" spans="2:18" s="222" customFormat="1" x14ac:dyDescent="0.2">
      <c r="B883" s="224"/>
      <c r="C883" s="224"/>
      <c r="D883" s="238"/>
      <c r="E883" s="239"/>
      <c r="F883" s="239"/>
      <c r="G883" s="224"/>
      <c r="H883" s="55"/>
      <c r="I883" s="240"/>
      <c r="J883" s="20"/>
      <c r="K883" s="241"/>
      <c r="L883" s="241"/>
      <c r="M883" s="224"/>
      <c r="N883" s="224"/>
      <c r="O883" s="20"/>
      <c r="P883" s="224"/>
      <c r="Q883" s="45"/>
      <c r="R883" s="224"/>
    </row>
    <row r="884" spans="2:18" s="222" customFormat="1" x14ac:dyDescent="0.2">
      <c r="B884" s="224"/>
      <c r="C884" s="224"/>
      <c r="D884" s="238"/>
      <c r="E884" s="239"/>
      <c r="F884" s="239"/>
      <c r="G884" s="224"/>
      <c r="H884" s="55"/>
      <c r="I884" s="240"/>
      <c r="J884" s="20"/>
      <c r="K884" s="241"/>
      <c r="L884" s="241"/>
      <c r="M884" s="224"/>
      <c r="N884" s="224"/>
      <c r="O884" s="20"/>
      <c r="P884" s="224"/>
      <c r="Q884" s="45"/>
      <c r="R884" s="224"/>
    </row>
    <row r="885" spans="2:18" s="222" customFormat="1" x14ac:dyDescent="0.2">
      <c r="B885" s="224"/>
      <c r="C885" s="224"/>
      <c r="D885" s="238"/>
      <c r="E885" s="239"/>
      <c r="F885" s="239"/>
      <c r="G885" s="224"/>
      <c r="H885" s="55"/>
      <c r="I885" s="240"/>
      <c r="J885" s="20"/>
      <c r="K885" s="241"/>
      <c r="L885" s="241"/>
      <c r="M885" s="224"/>
      <c r="N885" s="224"/>
      <c r="O885" s="20"/>
      <c r="P885" s="224"/>
      <c r="Q885" s="45"/>
      <c r="R885" s="224"/>
    </row>
    <row r="886" spans="2:18" s="222" customFormat="1" x14ac:dyDescent="0.2">
      <c r="B886" s="237"/>
      <c r="C886" s="224"/>
      <c r="D886" s="238"/>
      <c r="E886" s="239"/>
      <c r="F886" s="239"/>
      <c r="G886" s="224"/>
      <c r="H886" s="55"/>
      <c r="I886" s="240"/>
      <c r="J886" s="20"/>
      <c r="K886" s="241"/>
      <c r="L886" s="241"/>
      <c r="M886" s="224"/>
      <c r="N886" s="224"/>
      <c r="O886" s="20"/>
      <c r="P886" s="224"/>
      <c r="Q886" s="45"/>
      <c r="R886" s="224"/>
    </row>
    <row r="887" spans="2:18" s="222" customFormat="1" x14ac:dyDescent="0.2">
      <c r="B887" s="237"/>
      <c r="C887" s="224"/>
      <c r="D887" s="238"/>
      <c r="E887" s="239"/>
      <c r="F887" s="239"/>
      <c r="G887" s="224"/>
      <c r="H887" s="55"/>
      <c r="I887" s="240"/>
      <c r="J887" s="20"/>
      <c r="K887" s="241"/>
      <c r="L887" s="241"/>
      <c r="M887" s="224"/>
      <c r="N887" s="224"/>
      <c r="O887" s="20"/>
      <c r="P887" s="224"/>
      <c r="Q887" s="45"/>
      <c r="R887" s="224"/>
    </row>
    <row r="888" spans="2:18" s="222" customFormat="1" x14ac:dyDescent="0.2">
      <c r="B888" s="224"/>
      <c r="C888" s="224"/>
      <c r="D888" s="238"/>
      <c r="E888" s="239"/>
      <c r="F888" s="239"/>
      <c r="G888" s="224"/>
      <c r="H888" s="55"/>
      <c r="I888" s="240"/>
      <c r="J888" s="20"/>
      <c r="K888" s="241"/>
      <c r="L888" s="241"/>
      <c r="M888" s="224"/>
      <c r="N888" s="224"/>
      <c r="O888" s="20"/>
      <c r="P888" s="224"/>
      <c r="Q888" s="45"/>
      <c r="R888" s="224"/>
    </row>
    <row r="889" spans="2:18" s="222" customFormat="1" x14ac:dyDescent="0.2">
      <c r="B889" s="237"/>
      <c r="C889" s="224"/>
      <c r="D889" s="238"/>
      <c r="E889" s="239"/>
      <c r="F889" s="239"/>
      <c r="G889" s="224"/>
      <c r="H889" s="55"/>
      <c r="I889" s="240"/>
      <c r="J889" s="20"/>
      <c r="K889" s="241"/>
      <c r="L889" s="241"/>
      <c r="M889" s="224"/>
      <c r="N889" s="224"/>
      <c r="O889" s="20"/>
      <c r="P889" s="224"/>
      <c r="Q889" s="45"/>
      <c r="R889" s="224"/>
    </row>
    <row r="890" spans="2:18" s="222" customFormat="1" x14ac:dyDescent="0.2">
      <c r="B890" s="224"/>
      <c r="C890" s="224"/>
      <c r="D890" s="238"/>
      <c r="E890" s="239"/>
      <c r="F890" s="239"/>
      <c r="G890" s="224"/>
      <c r="H890" s="55"/>
      <c r="I890" s="240"/>
      <c r="J890" s="20"/>
      <c r="K890" s="241"/>
      <c r="L890" s="241"/>
      <c r="M890" s="224"/>
      <c r="N890" s="224"/>
      <c r="O890" s="20"/>
      <c r="P890" s="224"/>
      <c r="Q890" s="45"/>
      <c r="R890" s="224"/>
    </row>
    <row r="891" spans="2:18" s="222" customFormat="1" x14ac:dyDescent="0.2">
      <c r="B891" s="224"/>
      <c r="C891" s="224"/>
      <c r="D891" s="238"/>
      <c r="E891" s="239"/>
      <c r="F891" s="239"/>
      <c r="G891" s="224"/>
      <c r="H891" s="55"/>
      <c r="I891" s="240"/>
      <c r="J891" s="20"/>
      <c r="K891" s="241"/>
      <c r="L891" s="241"/>
      <c r="M891" s="224"/>
      <c r="N891" s="224"/>
      <c r="O891" s="20"/>
      <c r="P891" s="224"/>
      <c r="Q891" s="45"/>
      <c r="R891" s="224"/>
    </row>
    <row r="892" spans="2:18" s="222" customFormat="1" x14ac:dyDescent="0.2">
      <c r="B892" s="224"/>
      <c r="C892" s="224"/>
      <c r="D892" s="238"/>
      <c r="E892" s="239"/>
      <c r="F892" s="239"/>
      <c r="G892" s="224"/>
      <c r="H892" s="55"/>
      <c r="I892" s="240"/>
      <c r="J892" s="20"/>
      <c r="K892" s="241"/>
      <c r="L892" s="241"/>
      <c r="M892" s="224"/>
      <c r="N892" s="224"/>
      <c r="O892" s="20"/>
      <c r="P892" s="224"/>
      <c r="Q892" s="45"/>
      <c r="R892" s="224"/>
    </row>
    <row r="893" spans="2:18" s="222" customFormat="1" x14ac:dyDescent="0.2">
      <c r="B893" s="224"/>
      <c r="C893" s="224"/>
      <c r="D893" s="238"/>
      <c r="E893" s="239"/>
      <c r="F893" s="239"/>
      <c r="G893" s="224"/>
      <c r="H893" s="55"/>
      <c r="I893" s="240"/>
      <c r="J893" s="20"/>
      <c r="K893" s="241"/>
      <c r="L893" s="241"/>
      <c r="M893" s="224"/>
      <c r="N893" s="224"/>
      <c r="O893" s="20"/>
      <c r="P893" s="224"/>
      <c r="Q893" s="45"/>
      <c r="R893" s="224"/>
    </row>
    <row r="894" spans="2:18" s="222" customFormat="1" x14ac:dyDescent="0.2">
      <c r="B894" s="237"/>
      <c r="C894" s="224"/>
      <c r="D894" s="238"/>
      <c r="E894" s="239"/>
      <c r="F894" s="239"/>
      <c r="G894" s="224"/>
      <c r="H894" s="55"/>
      <c r="I894" s="240"/>
      <c r="J894" s="20"/>
      <c r="K894" s="241"/>
      <c r="L894" s="241"/>
      <c r="M894" s="224"/>
      <c r="N894" s="224"/>
      <c r="O894" s="20"/>
      <c r="P894" s="224"/>
      <c r="Q894" s="45"/>
      <c r="R894" s="224"/>
    </row>
    <row r="895" spans="2:18" s="222" customFormat="1" x14ac:dyDescent="0.2">
      <c r="B895" s="224"/>
      <c r="C895" s="224"/>
      <c r="D895" s="238"/>
      <c r="E895" s="239"/>
      <c r="F895" s="239"/>
      <c r="G895" s="224"/>
      <c r="H895" s="55"/>
      <c r="I895" s="240"/>
      <c r="J895" s="20"/>
      <c r="K895" s="241"/>
      <c r="L895" s="241"/>
      <c r="M895" s="224"/>
      <c r="N895" s="224"/>
      <c r="O895" s="20"/>
      <c r="P895" s="224"/>
      <c r="Q895" s="45"/>
      <c r="R895" s="224"/>
    </row>
    <row r="896" spans="2:18" s="222" customFormat="1" x14ac:dyDescent="0.2">
      <c r="B896" s="224"/>
      <c r="C896" s="224"/>
      <c r="D896" s="238"/>
      <c r="E896" s="239"/>
      <c r="F896" s="239"/>
      <c r="G896" s="224"/>
      <c r="H896" s="55"/>
      <c r="I896" s="240"/>
      <c r="J896" s="20"/>
      <c r="K896" s="241"/>
      <c r="L896" s="241"/>
      <c r="M896" s="224"/>
      <c r="N896" s="224"/>
      <c r="O896" s="20"/>
      <c r="P896" s="224"/>
      <c r="Q896" s="45"/>
      <c r="R896" s="224"/>
    </row>
    <row r="897" spans="2:18" s="222" customFormat="1" x14ac:dyDescent="0.2">
      <c r="B897" s="224"/>
      <c r="C897" s="224"/>
      <c r="D897" s="238"/>
      <c r="E897" s="239"/>
      <c r="F897" s="239"/>
      <c r="G897" s="224"/>
      <c r="H897" s="55"/>
      <c r="I897" s="240"/>
      <c r="J897" s="20"/>
      <c r="K897" s="241"/>
      <c r="L897" s="241"/>
      <c r="M897" s="224"/>
      <c r="N897" s="224"/>
      <c r="O897" s="20"/>
      <c r="P897" s="224"/>
      <c r="Q897" s="45"/>
      <c r="R897" s="224"/>
    </row>
    <row r="898" spans="2:18" s="222" customFormat="1" x14ac:dyDescent="0.2">
      <c r="B898" s="224"/>
      <c r="C898" s="224"/>
      <c r="D898" s="238"/>
      <c r="E898" s="239"/>
      <c r="F898" s="239"/>
      <c r="G898" s="224"/>
      <c r="H898" s="55"/>
      <c r="I898" s="240"/>
      <c r="J898" s="20"/>
      <c r="K898" s="241"/>
      <c r="L898" s="241"/>
      <c r="M898" s="224"/>
      <c r="N898" s="224"/>
      <c r="O898" s="20"/>
      <c r="P898" s="224"/>
      <c r="Q898" s="45"/>
      <c r="R898" s="224"/>
    </row>
    <row r="899" spans="2:18" s="222" customFormat="1" x14ac:dyDescent="0.2">
      <c r="B899" s="224"/>
      <c r="C899" s="224"/>
      <c r="D899" s="238"/>
      <c r="E899" s="239"/>
      <c r="F899" s="239"/>
      <c r="G899" s="224"/>
      <c r="H899" s="55"/>
      <c r="I899" s="240"/>
      <c r="J899" s="20"/>
      <c r="K899" s="241"/>
      <c r="L899" s="241"/>
      <c r="M899" s="224"/>
      <c r="N899" s="224"/>
      <c r="O899" s="20"/>
      <c r="P899" s="224"/>
      <c r="Q899" s="45"/>
      <c r="R899" s="224"/>
    </row>
    <row r="900" spans="2:18" s="222" customFormat="1" x14ac:dyDescent="0.2">
      <c r="B900" s="224"/>
      <c r="C900" s="224"/>
      <c r="D900" s="238"/>
      <c r="E900" s="239"/>
      <c r="F900" s="239"/>
      <c r="G900" s="224"/>
      <c r="H900" s="55"/>
      <c r="I900" s="240"/>
      <c r="J900" s="20"/>
      <c r="K900" s="241"/>
      <c r="L900" s="241"/>
      <c r="M900" s="224"/>
      <c r="N900" s="224"/>
      <c r="O900" s="20"/>
      <c r="P900" s="224"/>
      <c r="Q900" s="45"/>
      <c r="R900" s="224"/>
    </row>
    <row r="901" spans="2:18" s="222" customFormat="1" x14ac:dyDescent="0.2">
      <c r="B901" s="224"/>
      <c r="C901" s="224"/>
      <c r="D901" s="238"/>
      <c r="E901" s="239"/>
      <c r="F901" s="239"/>
      <c r="G901" s="224"/>
      <c r="H901" s="55"/>
      <c r="I901" s="240"/>
      <c r="J901" s="20"/>
      <c r="K901" s="241"/>
      <c r="L901" s="241"/>
      <c r="M901" s="224"/>
      <c r="N901" s="224"/>
      <c r="O901" s="20"/>
      <c r="P901" s="224"/>
      <c r="Q901" s="45"/>
      <c r="R901" s="224"/>
    </row>
    <row r="902" spans="2:18" s="222" customFormat="1" x14ac:dyDescent="0.2">
      <c r="B902" s="224"/>
      <c r="C902" s="224"/>
      <c r="D902" s="238"/>
      <c r="E902" s="239"/>
      <c r="F902" s="239"/>
      <c r="G902" s="224"/>
      <c r="H902" s="55"/>
      <c r="I902" s="240"/>
      <c r="J902" s="20"/>
      <c r="K902" s="241"/>
      <c r="L902" s="241"/>
      <c r="M902" s="224"/>
      <c r="N902" s="224"/>
      <c r="O902" s="20"/>
      <c r="P902" s="224"/>
      <c r="Q902" s="45"/>
      <c r="R902" s="224"/>
    </row>
    <row r="903" spans="2:18" s="222" customFormat="1" x14ac:dyDescent="0.2">
      <c r="B903" s="224"/>
      <c r="C903" s="224"/>
      <c r="D903" s="238"/>
      <c r="E903" s="239"/>
      <c r="F903" s="239"/>
      <c r="G903" s="224"/>
      <c r="H903" s="55"/>
      <c r="I903" s="240"/>
      <c r="J903" s="20"/>
      <c r="K903" s="241"/>
      <c r="L903" s="241"/>
      <c r="M903" s="224"/>
      <c r="N903" s="224"/>
      <c r="O903" s="20"/>
      <c r="P903" s="224"/>
      <c r="Q903" s="45"/>
      <c r="R903" s="224"/>
    </row>
    <row r="904" spans="2:18" s="222" customFormat="1" x14ac:dyDescent="0.2">
      <c r="B904" s="224"/>
      <c r="C904" s="224"/>
      <c r="D904" s="238"/>
      <c r="E904" s="239"/>
      <c r="F904" s="239"/>
      <c r="G904" s="224"/>
      <c r="H904" s="55"/>
      <c r="I904" s="240"/>
      <c r="J904" s="20"/>
      <c r="K904" s="241"/>
      <c r="L904" s="241"/>
      <c r="M904" s="224"/>
      <c r="N904" s="224"/>
      <c r="O904" s="20"/>
      <c r="P904" s="224"/>
      <c r="Q904" s="45"/>
      <c r="R904" s="224"/>
    </row>
    <row r="905" spans="2:18" s="222" customFormat="1" x14ac:dyDescent="0.2">
      <c r="B905" s="224"/>
      <c r="C905" s="224"/>
      <c r="D905" s="238"/>
      <c r="E905" s="239"/>
      <c r="F905" s="239"/>
      <c r="G905" s="224"/>
      <c r="H905" s="55"/>
      <c r="I905" s="240"/>
      <c r="J905" s="20"/>
      <c r="K905" s="241"/>
      <c r="L905" s="241"/>
      <c r="M905" s="224"/>
      <c r="N905" s="224"/>
      <c r="O905" s="20"/>
      <c r="P905" s="224"/>
      <c r="Q905" s="45"/>
      <c r="R905" s="224"/>
    </row>
    <row r="906" spans="2:18" s="222" customFormat="1" x14ac:dyDescent="0.2">
      <c r="B906" s="224"/>
      <c r="C906" s="224"/>
      <c r="D906" s="238"/>
      <c r="E906" s="239"/>
      <c r="F906" s="239"/>
      <c r="G906" s="224"/>
      <c r="H906" s="55"/>
      <c r="I906" s="240"/>
      <c r="J906" s="20"/>
      <c r="K906" s="241"/>
      <c r="L906" s="241"/>
      <c r="M906" s="224"/>
      <c r="N906" s="224"/>
      <c r="O906" s="20"/>
      <c r="P906" s="224"/>
      <c r="Q906" s="45"/>
      <c r="R906" s="224"/>
    </row>
    <row r="907" spans="2:18" s="222" customFormat="1" x14ac:dyDescent="0.2">
      <c r="B907" s="224"/>
      <c r="C907" s="224"/>
      <c r="D907" s="238"/>
      <c r="E907" s="239"/>
      <c r="F907" s="239"/>
      <c r="G907" s="224"/>
      <c r="H907" s="55"/>
      <c r="I907" s="240"/>
      <c r="J907" s="20"/>
      <c r="K907" s="241"/>
      <c r="L907" s="241"/>
      <c r="M907" s="224"/>
      <c r="N907" s="224"/>
      <c r="O907" s="20"/>
      <c r="P907" s="224"/>
      <c r="Q907" s="45"/>
      <c r="R907" s="224"/>
    </row>
    <row r="908" spans="2:18" s="222" customFormat="1" x14ac:dyDescent="0.2">
      <c r="B908" s="237"/>
      <c r="C908" s="224"/>
      <c r="D908" s="238"/>
      <c r="E908" s="239"/>
      <c r="F908" s="239"/>
      <c r="G908" s="224"/>
      <c r="H908" s="55"/>
      <c r="I908" s="240"/>
      <c r="J908" s="20"/>
      <c r="K908" s="241"/>
      <c r="L908" s="241"/>
      <c r="M908" s="224"/>
      <c r="N908" s="224"/>
      <c r="O908" s="20"/>
      <c r="P908" s="224"/>
      <c r="Q908" s="45"/>
      <c r="R908" s="224"/>
    </row>
    <row r="909" spans="2:18" s="222" customFormat="1" x14ac:dyDescent="0.2">
      <c r="B909" s="224"/>
      <c r="C909" s="224"/>
      <c r="D909" s="238"/>
      <c r="E909" s="239"/>
      <c r="F909" s="239"/>
      <c r="G909" s="224"/>
      <c r="H909" s="55"/>
      <c r="I909" s="240"/>
      <c r="J909" s="20"/>
      <c r="K909" s="241"/>
      <c r="L909" s="241"/>
      <c r="M909" s="224"/>
      <c r="N909" s="224"/>
      <c r="O909" s="20"/>
      <c r="P909" s="224"/>
      <c r="Q909" s="45"/>
      <c r="R909" s="224"/>
    </row>
    <row r="910" spans="2:18" s="222" customFormat="1" x14ac:dyDescent="0.2">
      <c r="B910" s="224"/>
      <c r="C910" s="224"/>
      <c r="D910" s="238"/>
      <c r="E910" s="239"/>
      <c r="F910" s="239"/>
      <c r="G910" s="224"/>
      <c r="H910" s="55"/>
      <c r="I910" s="240"/>
      <c r="J910" s="20"/>
      <c r="K910" s="241"/>
      <c r="L910" s="241"/>
      <c r="M910" s="224"/>
      <c r="N910" s="224"/>
      <c r="O910" s="20"/>
      <c r="P910" s="224"/>
      <c r="Q910" s="45"/>
      <c r="R910" s="224"/>
    </row>
    <row r="911" spans="2:18" s="222" customFormat="1" x14ac:dyDescent="0.2">
      <c r="B911" s="224"/>
      <c r="C911" s="224"/>
      <c r="D911" s="238"/>
      <c r="E911" s="239"/>
      <c r="F911" s="239"/>
      <c r="G911" s="224"/>
      <c r="H911" s="55"/>
      <c r="I911" s="240"/>
      <c r="J911" s="20"/>
      <c r="K911" s="241"/>
      <c r="L911" s="241"/>
      <c r="M911" s="224"/>
      <c r="N911" s="224"/>
      <c r="O911" s="20"/>
      <c r="P911" s="224"/>
      <c r="Q911" s="45"/>
      <c r="R911" s="224"/>
    </row>
    <row r="912" spans="2:18" s="222" customFormat="1" x14ac:dyDescent="0.2">
      <c r="B912" s="224"/>
      <c r="C912" s="224"/>
      <c r="D912" s="238"/>
      <c r="E912" s="239"/>
      <c r="F912" s="239"/>
      <c r="G912" s="224"/>
      <c r="H912" s="55"/>
      <c r="I912" s="240"/>
      <c r="J912" s="20"/>
      <c r="K912" s="241"/>
      <c r="L912" s="241"/>
      <c r="M912" s="224"/>
      <c r="N912" s="224"/>
      <c r="O912" s="20"/>
      <c r="P912" s="224"/>
      <c r="Q912" s="45"/>
      <c r="R912" s="224"/>
    </row>
    <row r="913" spans="2:18" s="222" customFormat="1" x14ac:dyDescent="0.2">
      <c r="B913" s="224"/>
      <c r="C913" s="224"/>
      <c r="D913" s="238"/>
      <c r="E913" s="239"/>
      <c r="F913" s="239"/>
      <c r="G913" s="224"/>
      <c r="H913" s="55"/>
      <c r="I913" s="240"/>
      <c r="J913" s="20"/>
      <c r="K913" s="241"/>
      <c r="L913" s="241"/>
      <c r="M913" s="224"/>
      <c r="N913" s="224"/>
      <c r="O913" s="20"/>
      <c r="P913" s="224"/>
      <c r="Q913" s="45"/>
      <c r="R913" s="224"/>
    </row>
    <row r="914" spans="2:18" s="222" customFormat="1" x14ac:dyDescent="0.2">
      <c r="B914" s="224"/>
      <c r="C914" s="224"/>
      <c r="D914" s="238"/>
      <c r="E914" s="239"/>
      <c r="F914" s="239"/>
      <c r="G914" s="224"/>
      <c r="H914" s="55"/>
      <c r="I914" s="240"/>
      <c r="J914" s="20"/>
      <c r="K914" s="241"/>
      <c r="L914" s="241"/>
      <c r="M914" s="224"/>
      <c r="N914" s="224"/>
      <c r="O914" s="20"/>
      <c r="P914" s="224"/>
      <c r="Q914" s="45"/>
      <c r="R914" s="224"/>
    </row>
    <row r="915" spans="2:18" s="222" customFormat="1" x14ac:dyDescent="0.2">
      <c r="B915" s="237"/>
      <c r="C915" s="224"/>
      <c r="D915" s="238"/>
      <c r="E915" s="239"/>
      <c r="F915" s="239"/>
      <c r="G915" s="224"/>
      <c r="H915" s="55"/>
      <c r="I915" s="240"/>
      <c r="J915" s="20"/>
      <c r="K915" s="241"/>
      <c r="L915" s="241"/>
      <c r="M915" s="224"/>
      <c r="N915" s="224"/>
      <c r="O915" s="20"/>
      <c r="P915" s="224"/>
      <c r="Q915" s="45"/>
      <c r="R915" s="224"/>
    </row>
    <row r="916" spans="2:18" s="222" customFormat="1" x14ac:dyDescent="0.2">
      <c r="B916" s="237"/>
      <c r="C916" s="224"/>
      <c r="D916" s="238"/>
      <c r="E916" s="239"/>
      <c r="F916" s="239"/>
      <c r="G916" s="224"/>
      <c r="H916" s="55"/>
      <c r="I916" s="240"/>
      <c r="J916" s="20"/>
      <c r="K916" s="241"/>
      <c r="L916" s="241"/>
      <c r="M916" s="224"/>
      <c r="N916" s="224"/>
      <c r="O916" s="20"/>
      <c r="P916" s="224"/>
      <c r="Q916" s="45"/>
      <c r="R916" s="224"/>
    </row>
    <row r="917" spans="2:18" s="222" customFormat="1" x14ac:dyDescent="0.2">
      <c r="B917" s="237"/>
      <c r="C917" s="224"/>
      <c r="D917" s="238"/>
      <c r="E917" s="239"/>
      <c r="F917" s="239"/>
      <c r="G917" s="224"/>
      <c r="H917" s="55"/>
      <c r="I917" s="240"/>
      <c r="J917" s="20"/>
      <c r="K917" s="241"/>
      <c r="L917" s="241"/>
      <c r="M917" s="224"/>
      <c r="N917" s="224"/>
      <c r="O917" s="20"/>
      <c r="P917" s="224"/>
      <c r="Q917" s="45"/>
      <c r="R917" s="224"/>
    </row>
    <row r="918" spans="2:18" s="222" customFormat="1" x14ac:dyDescent="0.2">
      <c r="B918" s="237"/>
      <c r="C918" s="224"/>
      <c r="D918" s="238"/>
      <c r="E918" s="239"/>
      <c r="F918" s="239"/>
      <c r="G918" s="224"/>
      <c r="H918" s="55"/>
      <c r="I918" s="240"/>
      <c r="J918" s="20"/>
      <c r="K918" s="241"/>
      <c r="L918" s="241"/>
      <c r="M918" s="224"/>
      <c r="N918" s="224"/>
      <c r="O918" s="20"/>
      <c r="P918" s="224"/>
      <c r="Q918" s="45"/>
      <c r="R918" s="224"/>
    </row>
    <row r="919" spans="2:18" s="222" customFormat="1" x14ac:dyDescent="0.2">
      <c r="B919" s="237"/>
      <c r="C919" s="224"/>
      <c r="D919" s="238"/>
      <c r="E919" s="239"/>
      <c r="F919" s="239"/>
      <c r="G919" s="224"/>
      <c r="H919" s="55"/>
      <c r="I919" s="240"/>
      <c r="J919" s="20"/>
      <c r="K919" s="241"/>
      <c r="L919" s="241"/>
      <c r="M919" s="224"/>
      <c r="N919" s="224"/>
      <c r="O919" s="20"/>
      <c r="P919" s="224"/>
      <c r="Q919" s="45"/>
      <c r="R919" s="224"/>
    </row>
    <row r="920" spans="2:18" s="222" customFormat="1" x14ac:dyDescent="0.2">
      <c r="B920" s="237"/>
      <c r="C920" s="224"/>
      <c r="D920" s="238"/>
      <c r="E920" s="239"/>
      <c r="F920" s="239"/>
      <c r="G920" s="224"/>
      <c r="H920" s="55"/>
      <c r="I920" s="240"/>
      <c r="J920" s="20"/>
      <c r="K920" s="241"/>
      <c r="L920" s="241"/>
      <c r="M920" s="224"/>
      <c r="N920" s="224"/>
      <c r="O920" s="20"/>
      <c r="P920" s="224"/>
      <c r="Q920" s="45"/>
      <c r="R920" s="224"/>
    </row>
    <row r="921" spans="2:18" s="222" customFormat="1" x14ac:dyDescent="0.2">
      <c r="B921" s="224"/>
      <c r="C921" s="224"/>
      <c r="D921" s="238"/>
      <c r="E921" s="239"/>
      <c r="F921" s="239"/>
      <c r="G921" s="224"/>
      <c r="H921" s="55"/>
      <c r="I921" s="240"/>
      <c r="J921" s="20"/>
      <c r="K921" s="241"/>
      <c r="L921" s="241"/>
      <c r="M921" s="224"/>
      <c r="N921" s="224"/>
      <c r="O921" s="20"/>
      <c r="P921" s="224"/>
      <c r="Q921" s="45"/>
      <c r="R921" s="224"/>
    </row>
    <row r="922" spans="2:18" s="222" customFormat="1" x14ac:dyDescent="0.2">
      <c r="B922" s="224"/>
      <c r="C922" s="224"/>
      <c r="D922" s="238"/>
      <c r="E922" s="239"/>
      <c r="F922" s="239"/>
      <c r="G922" s="224"/>
      <c r="H922" s="55"/>
      <c r="I922" s="240"/>
      <c r="J922" s="20"/>
      <c r="K922" s="241"/>
      <c r="L922" s="241"/>
      <c r="M922" s="224"/>
      <c r="N922" s="224"/>
      <c r="O922" s="20"/>
      <c r="P922" s="224"/>
      <c r="Q922" s="45"/>
      <c r="R922" s="224"/>
    </row>
    <row r="923" spans="2:18" s="222" customFormat="1" x14ac:dyDescent="0.2">
      <c r="B923" s="224"/>
      <c r="C923" s="224"/>
      <c r="D923" s="238"/>
      <c r="E923" s="239"/>
      <c r="F923" s="239"/>
      <c r="G923" s="224"/>
      <c r="H923" s="55"/>
      <c r="I923" s="240"/>
      <c r="J923" s="20"/>
      <c r="K923" s="241"/>
      <c r="L923" s="241"/>
      <c r="M923" s="224"/>
      <c r="N923" s="224"/>
      <c r="O923" s="20"/>
      <c r="P923" s="224"/>
      <c r="Q923" s="45"/>
      <c r="R923" s="224"/>
    </row>
    <row r="924" spans="2:18" s="222" customFormat="1" x14ac:dyDescent="0.2">
      <c r="B924" s="224"/>
      <c r="C924" s="224"/>
      <c r="D924" s="238"/>
      <c r="E924" s="239"/>
      <c r="F924" s="239"/>
      <c r="G924" s="224"/>
      <c r="H924" s="55"/>
      <c r="I924" s="240"/>
      <c r="J924" s="20"/>
      <c r="K924" s="241"/>
      <c r="L924" s="241"/>
      <c r="M924" s="224"/>
      <c r="N924" s="224"/>
      <c r="O924" s="20"/>
      <c r="P924" s="224"/>
      <c r="Q924" s="45"/>
      <c r="R924" s="224"/>
    </row>
    <row r="925" spans="2:18" s="222" customFormat="1" x14ac:dyDescent="0.2">
      <c r="B925" s="224"/>
      <c r="C925" s="224"/>
      <c r="D925" s="238"/>
      <c r="E925" s="239"/>
      <c r="F925" s="239"/>
      <c r="G925" s="224"/>
      <c r="H925" s="55"/>
      <c r="I925" s="240"/>
      <c r="J925" s="20"/>
      <c r="K925" s="241"/>
      <c r="L925" s="241"/>
      <c r="M925" s="224"/>
      <c r="N925" s="224"/>
      <c r="O925" s="20"/>
      <c r="P925" s="224"/>
      <c r="Q925" s="45"/>
      <c r="R925" s="224"/>
    </row>
    <row r="926" spans="2:18" s="222" customFormat="1" x14ac:dyDescent="0.2">
      <c r="B926" s="224"/>
      <c r="C926" s="224"/>
      <c r="D926" s="238"/>
      <c r="E926" s="239"/>
      <c r="F926" s="239"/>
      <c r="G926" s="224"/>
      <c r="H926" s="55"/>
      <c r="I926" s="240"/>
      <c r="J926" s="20"/>
      <c r="K926" s="241"/>
      <c r="L926" s="241"/>
      <c r="M926" s="224"/>
      <c r="N926" s="224"/>
      <c r="O926" s="20"/>
      <c r="P926" s="224"/>
      <c r="Q926" s="45"/>
      <c r="R926" s="224"/>
    </row>
    <row r="927" spans="2:18" s="222" customFormat="1" x14ac:dyDescent="0.2">
      <c r="B927" s="224"/>
      <c r="C927" s="224"/>
      <c r="D927" s="238"/>
      <c r="E927" s="239"/>
      <c r="F927" s="239"/>
      <c r="G927" s="224"/>
      <c r="H927" s="55"/>
      <c r="I927" s="240"/>
      <c r="J927" s="20"/>
      <c r="K927" s="241"/>
      <c r="L927" s="241"/>
      <c r="M927" s="224"/>
      <c r="N927" s="224"/>
      <c r="O927" s="20"/>
      <c r="P927" s="224"/>
      <c r="Q927" s="45"/>
      <c r="R927" s="224"/>
    </row>
    <row r="928" spans="2:18" s="222" customFormat="1" x14ac:dyDescent="0.2">
      <c r="B928" s="224"/>
      <c r="C928" s="224"/>
      <c r="D928" s="238"/>
      <c r="E928" s="239"/>
      <c r="F928" s="239"/>
      <c r="G928" s="224"/>
      <c r="H928" s="55"/>
      <c r="I928" s="240"/>
      <c r="J928" s="20"/>
      <c r="K928" s="241"/>
      <c r="L928" s="241"/>
      <c r="M928" s="224"/>
      <c r="N928" s="224"/>
      <c r="O928" s="20"/>
      <c r="P928" s="224"/>
      <c r="Q928" s="45"/>
      <c r="R928" s="224"/>
    </row>
    <row r="929" spans="2:18" s="222" customFormat="1" x14ac:dyDescent="0.2">
      <c r="B929" s="224"/>
      <c r="C929" s="224"/>
      <c r="D929" s="238"/>
      <c r="E929" s="239"/>
      <c r="F929" s="239"/>
      <c r="G929" s="224"/>
      <c r="H929" s="55"/>
      <c r="I929" s="240"/>
      <c r="J929" s="20"/>
      <c r="K929" s="241"/>
      <c r="L929" s="241"/>
      <c r="M929" s="224"/>
      <c r="N929" s="224"/>
      <c r="O929" s="20"/>
      <c r="P929" s="224"/>
      <c r="Q929" s="45"/>
      <c r="R929" s="224"/>
    </row>
    <row r="930" spans="2:18" s="222" customFormat="1" x14ac:dyDescent="0.2">
      <c r="B930" s="224"/>
      <c r="C930" s="224"/>
      <c r="D930" s="238"/>
      <c r="E930" s="239"/>
      <c r="F930" s="239"/>
      <c r="G930" s="224"/>
      <c r="H930" s="55"/>
      <c r="I930" s="240"/>
      <c r="J930" s="20"/>
      <c r="K930" s="241"/>
      <c r="L930" s="241"/>
      <c r="M930" s="224"/>
      <c r="N930" s="224"/>
      <c r="O930" s="20"/>
      <c r="P930" s="224"/>
      <c r="Q930" s="45"/>
      <c r="R930" s="224"/>
    </row>
    <row r="931" spans="2:18" s="222" customFormat="1" x14ac:dyDescent="0.2">
      <c r="B931" s="224"/>
      <c r="C931" s="224"/>
      <c r="D931" s="238"/>
      <c r="E931" s="239"/>
      <c r="F931" s="239"/>
      <c r="G931" s="224"/>
      <c r="H931" s="55"/>
      <c r="I931" s="240"/>
      <c r="J931" s="20"/>
      <c r="K931" s="241"/>
      <c r="L931" s="241"/>
      <c r="M931" s="224"/>
      <c r="N931" s="224"/>
      <c r="O931" s="20"/>
      <c r="P931" s="224"/>
      <c r="Q931" s="45"/>
      <c r="R931" s="224"/>
    </row>
    <row r="932" spans="2:18" s="222" customFormat="1" x14ac:dyDescent="0.2">
      <c r="B932" s="224"/>
      <c r="C932" s="224"/>
      <c r="D932" s="238"/>
      <c r="E932" s="239"/>
      <c r="F932" s="239"/>
      <c r="G932" s="224"/>
      <c r="H932" s="55"/>
      <c r="I932" s="240"/>
      <c r="J932" s="20"/>
      <c r="K932" s="241"/>
      <c r="L932" s="241"/>
      <c r="M932" s="224"/>
      <c r="N932" s="224"/>
      <c r="O932" s="20"/>
      <c r="P932" s="224"/>
      <c r="Q932" s="45"/>
      <c r="R932" s="224"/>
    </row>
    <row r="933" spans="2:18" s="222" customFormat="1" x14ac:dyDescent="0.2">
      <c r="B933" s="224"/>
      <c r="C933" s="224"/>
      <c r="D933" s="238"/>
      <c r="E933" s="239"/>
      <c r="F933" s="239"/>
      <c r="G933" s="224"/>
      <c r="H933" s="55"/>
      <c r="I933" s="240"/>
      <c r="J933" s="20"/>
      <c r="K933" s="241"/>
      <c r="L933" s="241"/>
      <c r="M933" s="224"/>
      <c r="N933" s="224"/>
      <c r="O933" s="20"/>
      <c r="P933" s="224"/>
      <c r="Q933" s="45"/>
      <c r="R933" s="224"/>
    </row>
    <row r="934" spans="2:18" s="222" customFormat="1" x14ac:dyDescent="0.2">
      <c r="B934" s="224"/>
      <c r="C934" s="224"/>
      <c r="D934" s="238"/>
      <c r="E934" s="239"/>
      <c r="F934" s="239"/>
      <c r="G934" s="224"/>
      <c r="H934" s="55"/>
      <c r="I934" s="240"/>
      <c r="J934" s="20"/>
      <c r="K934" s="241"/>
      <c r="L934" s="241"/>
      <c r="M934" s="224"/>
      <c r="N934" s="224"/>
      <c r="O934" s="20"/>
      <c r="P934" s="224"/>
      <c r="Q934" s="45"/>
      <c r="R934" s="224"/>
    </row>
    <row r="935" spans="2:18" s="222" customFormat="1" x14ac:dyDescent="0.2">
      <c r="B935" s="224"/>
      <c r="C935" s="224"/>
      <c r="D935" s="238"/>
      <c r="E935" s="239"/>
      <c r="F935" s="239"/>
      <c r="G935" s="224"/>
      <c r="H935" s="55"/>
      <c r="I935" s="240"/>
      <c r="J935" s="20"/>
      <c r="K935" s="241"/>
      <c r="L935" s="241"/>
      <c r="M935" s="224"/>
      <c r="N935" s="224"/>
      <c r="O935" s="20"/>
      <c r="P935" s="224"/>
      <c r="Q935" s="45"/>
      <c r="R935" s="224"/>
    </row>
    <row r="936" spans="2:18" s="222" customFormat="1" x14ac:dyDescent="0.2">
      <c r="B936" s="224"/>
      <c r="C936" s="224"/>
      <c r="D936" s="238"/>
      <c r="E936" s="239"/>
      <c r="F936" s="239"/>
      <c r="G936" s="224"/>
      <c r="H936" s="55"/>
      <c r="I936" s="240"/>
      <c r="J936" s="20"/>
      <c r="K936" s="241"/>
      <c r="L936" s="241"/>
      <c r="M936" s="224"/>
      <c r="N936" s="224"/>
      <c r="O936" s="20"/>
      <c r="P936" s="224"/>
      <c r="Q936" s="45"/>
      <c r="R936" s="224"/>
    </row>
    <row r="937" spans="2:18" s="222" customFormat="1" x14ac:dyDescent="0.2">
      <c r="B937" s="224"/>
      <c r="C937" s="224"/>
      <c r="D937" s="238"/>
      <c r="E937" s="239"/>
      <c r="F937" s="239"/>
      <c r="G937" s="224"/>
      <c r="H937" s="55"/>
      <c r="I937" s="240"/>
      <c r="J937" s="20"/>
      <c r="K937" s="241"/>
      <c r="L937" s="241"/>
      <c r="M937" s="224"/>
      <c r="N937" s="224"/>
      <c r="O937" s="20"/>
      <c r="P937" s="224"/>
      <c r="Q937" s="45"/>
      <c r="R937" s="224"/>
    </row>
    <row r="938" spans="2:18" s="222" customFormat="1" x14ac:dyDescent="0.2">
      <c r="B938" s="224"/>
      <c r="C938" s="224"/>
      <c r="D938" s="238"/>
      <c r="E938" s="239"/>
      <c r="F938" s="239"/>
      <c r="G938" s="224"/>
      <c r="H938" s="55"/>
      <c r="I938" s="240"/>
      <c r="J938" s="20"/>
      <c r="K938" s="241"/>
      <c r="L938" s="241"/>
      <c r="M938" s="224"/>
      <c r="N938" s="224"/>
      <c r="O938" s="20"/>
      <c r="P938" s="224"/>
      <c r="Q938" s="45"/>
      <c r="R938" s="224"/>
    </row>
    <row r="939" spans="2:18" s="222" customFormat="1" x14ac:dyDescent="0.2">
      <c r="B939" s="224"/>
      <c r="C939" s="224"/>
      <c r="D939" s="238"/>
      <c r="E939" s="239"/>
      <c r="F939" s="239"/>
      <c r="G939" s="224"/>
      <c r="H939" s="55"/>
      <c r="I939" s="240"/>
      <c r="J939" s="20"/>
      <c r="K939" s="241"/>
      <c r="L939" s="241"/>
      <c r="M939" s="224"/>
      <c r="N939" s="224"/>
      <c r="O939" s="20"/>
      <c r="P939" s="224"/>
      <c r="Q939" s="45"/>
      <c r="R939" s="224"/>
    </row>
    <row r="940" spans="2:18" s="222" customFormat="1" x14ac:dyDescent="0.2">
      <c r="B940" s="242"/>
      <c r="C940" s="224"/>
      <c r="D940" s="238"/>
      <c r="E940" s="239"/>
      <c r="F940" s="239"/>
      <c r="G940" s="224"/>
      <c r="H940" s="55"/>
      <c r="I940" s="240"/>
      <c r="J940" s="20"/>
      <c r="K940" s="241"/>
      <c r="L940" s="241"/>
      <c r="M940" s="224"/>
      <c r="N940" s="224"/>
      <c r="O940" s="20"/>
      <c r="P940" s="224"/>
      <c r="Q940" s="45"/>
      <c r="R940" s="224"/>
    </row>
    <row r="941" spans="2:18" s="222" customFormat="1" x14ac:dyDescent="0.2">
      <c r="B941" s="224"/>
      <c r="C941" s="224"/>
      <c r="D941" s="238"/>
      <c r="E941" s="239"/>
      <c r="F941" s="239"/>
      <c r="G941" s="224"/>
      <c r="H941" s="55"/>
      <c r="I941" s="240"/>
      <c r="J941" s="20"/>
      <c r="K941" s="241"/>
      <c r="L941" s="241"/>
      <c r="M941" s="224"/>
      <c r="N941" s="224"/>
      <c r="O941" s="20"/>
      <c r="P941" s="224"/>
      <c r="Q941" s="45"/>
      <c r="R941" s="224"/>
    </row>
    <row r="942" spans="2:18" s="222" customFormat="1" x14ac:dyDescent="0.2">
      <c r="B942" s="224"/>
      <c r="C942" s="224"/>
      <c r="D942" s="238"/>
      <c r="E942" s="239"/>
      <c r="F942" s="239"/>
      <c r="G942" s="224"/>
      <c r="H942" s="55"/>
      <c r="I942" s="240"/>
      <c r="J942" s="20"/>
      <c r="K942" s="241"/>
      <c r="L942" s="241"/>
      <c r="M942" s="224"/>
      <c r="N942" s="224"/>
      <c r="O942" s="20"/>
      <c r="P942" s="224"/>
      <c r="Q942" s="45"/>
      <c r="R942" s="224"/>
    </row>
    <row r="943" spans="2:18" s="222" customFormat="1" x14ac:dyDescent="0.2">
      <c r="B943" s="224"/>
      <c r="C943" s="224"/>
      <c r="D943" s="238"/>
      <c r="E943" s="239"/>
      <c r="F943" s="239"/>
      <c r="G943" s="224"/>
      <c r="H943" s="55"/>
      <c r="I943" s="240"/>
      <c r="J943" s="20"/>
      <c r="K943" s="241"/>
      <c r="L943" s="241"/>
      <c r="M943" s="224"/>
      <c r="N943" s="224"/>
      <c r="O943" s="20"/>
      <c r="P943" s="224"/>
      <c r="Q943" s="45"/>
      <c r="R943" s="224"/>
    </row>
    <row r="944" spans="2:18" s="222" customFormat="1" x14ac:dyDescent="0.2">
      <c r="B944" s="243"/>
      <c r="C944" s="224"/>
      <c r="D944" s="238"/>
      <c r="E944" s="239"/>
      <c r="F944" s="239"/>
      <c r="G944" s="224"/>
      <c r="H944" s="55"/>
      <c r="I944" s="240"/>
      <c r="J944" s="20"/>
      <c r="K944" s="241"/>
      <c r="L944" s="241"/>
      <c r="M944" s="224"/>
      <c r="N944" s="224"/>
      <c r="O944" s="20"/>
      <c r="P944" s="224"/>
      <c r="Q944" s="45"/>
      <c r="R944" s="224"/>
    </row>
    <row r="945" spans="2:18" s="222" customFormat="1" x14ac:dyDescent="0.2">
      <c r="B945" s="224"/>
      <c r="C945" s="224"/>
      <c r="D945" s="238"/>
      <c r="E945" s="239"/>
      <c r="F945" s="239"/>
      <c r="G945" s="224"/>
      <c r="H945" s="28"/>
      <c r="I945" s="240"/>
      <c r="J945" s="20"/>
      <c r="K945" s="241"/>
      <c r="L945" s="241"/>
      <c r="M945" s="224"/>
      <c r="N945" s="224"/>
      <c r="O945" s="20"/>
      <c r="P945" s="224"/>
      <c r="Q945" s="45"/>
      <c r="R945" s="224"/>
    </row>
    <row r="946" spans="2:18" s="222" customFormat="1" x14ac:dyDescent="0.2">
      <c r="B946" s="224"/>
      <c r="C946" s="224"/>
      <c r="D946" s="238"/>
      <c r="E946" s="239"/>
      <c r="F946" s="239"/>
      <c r="G946" s="224"/>
      <c r="H946" s="55"/>
      <c r="I946" s="240"/>
      <c r="J946" s="20"/>
      <c r="K946" s="241"/>
      <c r="L946" s="241"/>
      <c r="M946" s="224"/>
      <c r="N946" s="224"/>
      <c r="O946" s="20"/>
      <c r="P946" s="224"/>
      <c r="Q946" s="45"/>
      <c r="R946" s="224"/>
    </row>
    <row r="947" spans="2:18" s="222" customFormat="1" x14ac:dyDescent="0.2">
      <c r="B947" s="224"/>
      <c r="C947" s="224"/>
      <c r="D947" s="238"/>
      <c r="E947" s="239"/>
      <c r="F947" s="239"/>
      <c r="G947" s="224"/>
      <c r="H947" s="55"/>
      <c r="I947" s="240"/>
      <c r="J947" s="20"/>
      <c r="K947" s="241"/>
      <c r="L947" s="241"/>
      <c r="M947" s="224"/>
      <c r="N947" s="224"/>
      <c r="O947" s="20"/>
      <c r="P947" s="224"/>
      <c r="Q947" s="45"/>
      <c r="R947" s="224"/>
    </row>
    <row r="948" spans="2:18" s="222" customFormat="1" x14ac:dyDescent="0.2">
      <c r="B948" s="224"/>
      <c r="C948" s="224"/>
      <c r="D948" s="238"/>
      <c r="E948" s="239"/>
      <c r="F948" s="239"/>
      <c r="G948" s="224"/>
      <c r="H948" s="55"/>
      <c r="I948" s="240"/>
      <c r="J948" s="20"/>
      <c r="K948" s="241"/>
      <c r="L948" s="241"/>
      <c r="M948" s="224"/>
      <c r="N948" s="224"/>
      <c r="O948" s="20"/>
      <c r="P948" s="224"/>
      <c r="Q948" s="45"/>
      <c r="R948" s="224"/>
    </row>
    <row r="949" spans="2:18" s="222" customFormat="1" x14ac:dyDescent="0.2">
      <c r="B949" s="224"/>
      <c r="C949" s="224"/>
      <c r="D949" s="238"/>
      <c r="E949" s="239"/>
      <c r="F949" s="239"/>
      <c r="G949" s="224"/>
      <c r="H949" s="55"/>
      <c r="I949" s="240"/>
      <c r="J949" s="20"/>
      <c r="K949" s="241"/>
      <c r="L949" s="241"/>
      <c r="M949" s="224"/>
      <c r="N949" s="224"/>
      <c r="O949" s="20"/>
      <c r="P949" s="224"/>
      <c r="Q949" s="45"/>
      <c r="R949" s="224"/>
    </row>
    <row r="950" spans="2:18" s="222" customFormat="1" x14ac:dyDescent="0.2">
      <c r="B950" s="224"/>
      <c r="C950" s="224"/>
      <c r="D950" s="238"/>
      <c r="E950" s="239"/>
      <c r="F950" s="239"/>
      <c r="G950" s="224"/>
      <c r="H950" s="55"/>
      <c r="I950" s="240"/>
      <c r="J950" s="20"/>
      <c r="K950" s="241"/>
      <c r="L950" s="241"/>
      <c r="M950" s="224"/>
      <c r="N950" s="224"/>
      <c r="O950" s="20"/>
      <c r="P950" s="224"/>
      <c r="Q950" s="45"/>
      <c r="R950" s="224"/>
    </row>
    <row r="951" spans="2:18" s="222" customFormat="1" x14ac:dyDescent="0.2">
      <c r="B951" s="224"/>
      <c r="C951" s="224"/>
      <c r="D951" s="238"/>
      <c r="E951" s="239"/>
      <c r="F951" s="239"/>
      <c r="G951" s="224"/>
      <c r="H951" s="55"/>
      <c r="I951" s="240"/>
      <c r="J951" s="20"/>
      <c r="K951" s="241"/>
      <c r="L951" s="241"/>
      <c r="M951" s="224"/>
      <c r="N951" s="224"/>
      <c r="O951" s="20"/>
      <c r="P951" s="224"/>
      <c r="Q951" s="45"/>
      <c r="R951" s="224"/>
    </row>
    <row r="952" spans="2:18" s="222" customFormat="1" x14ac:dyDescent="0.2">
      <c r="B952" s="224"/>
      <c r="C952" s="224"/>
      <c r="D952" s="238"/>
      <c r="E952" s="239"/>
      <c r="F952" s="239"/>
      <c r="G952" s="224"/>
      <c r="H952" s="55"/>
      <c r="I952" s="240"/>
      <c r="J952" s="20"/>
      <c r="K952" s="241"/>
      <c r="L952" s="241"/>
      <c r="M952" s="224"/>
      <c r="N952" s="224"/>
      <c r="O952" s="20"/>
      <c r="P952" s="224"/>
      <c r="Q952" s="45"/>
      <c r="R952" s="224"/>
    </row>
    <row r="953" spans="2:18" s="222" customFormat="1" x14ac:dyDescent="0.2">
      <c r="B953" s="224"/>
      <c r="C953" s="224"/>
      <c r="D953" s="238"/>
      <c r="E953" s="239"/>
      <c r="F953" s="239"/>
      <c r="G953" s="224"/>
      <c r="H953" s="55"/>
      <c r="I953" s="240"/>
      <c r="J953" s="20"/>
      <c r="K953" s="241"/>
      <c r="L953" s="241"/>
      <c r="M953" s="224"/>
      <c r="N953" s="224"/>
      <c r="O953" s="20"/>
      <c r="P953" s="224"/>
      <c r="Q953" s="45"/>
      <c r="R953" s="224"/>
    </row>
    <row r="954" spans="2:18" s="222" customFormat="1" x14ac:dyDescent="0.2">
      <c r="B954" s="224"/>
      <c r="C954" s="224"/>
      <c r="D954" s="238"/>
      <c r="E954" s="239"/>
      <c r="F954" s="239"/>
      <c r="G954" s="224"/>
      <c r="H954" s="55"/>
      <c r="I954" s="240"/>
      <c r="J954" s="20"/>
      <c r="K954" s="241"/>
      <c r="L954" s="241"/>
      <c r="M954" s="224"/>
      <c r="N954" s="224"/>
      <c r="O954" s="20"/>
      <c r="P954" s="224"/>
      <c r="Q954" s="45"/>
      <c r="R954" s="224"/>
    </row>
    <row r="955" spans="2:18" s="222" customFormat="1" x14ac:dyDescent="0.2">
      <c r="B955" s="224"/>
      <c r="C955" s="224"/>
      <c r="D955" s="238"/>
      <c r="E955" s="239"/>
      <c r="F955" s="239"/>
      <c r="G955" s="224"/>
      <c r="H955" s="55"/>
      <c r="I955" s="240"/>
      <c r="J955" s="20"/>
      <c r="K955" s="241"/>
      <c r="L955" s="241"/>
      <c r="M955" s="224"/>
      <c r="N955" s="224"/>
      <c r="O955" s="20"/>
      <c r="P955" s="224"/>
      <c r="Q955" s="45"/>
      <c r="R955" s="224"/>
    </row>
    <row r="956" spans="2:18" s="222" customFormat="1" x14ac:dyDescent="0.2">
      <c r="B956" s="224"/>
      <c r="C956" s="224"/>
      <c r="D956" s="238"/>
      <c r="E956" s="239"/>
      <c r="F956" s="239"/>
      <c r="G956" s="224"/>
      <c r="H956" s="55"/>
      <c r="I956" s="240"/>
      <c r="J956" s="20"/>
      <c r="K956" s="241"/>
      <c r="L956" s="241"/>
      <c r="M956" s="224"/>
      <c r="N956" s="224"/>
      <c r="O956" s="20"/>
      <c r="P956" s="224"/>
      <c r="Q956" s="45"/>
      <c r="R956" s="224"/>
    </row>
    <row r="957" spans="2:18" s="222" customFormat="1" x14ac:dyDescent="0.2">
      <c r="B957" s="224"/>
      <c r="C957" s="224"/>
      <c r="D957" s="238"/>
      <c r="E957" s="239"/>
      <c r="F957" s="239"/>
      <c r="G957" s="224"/>
      <c r="H957" s="55"/>
      <c r="I957" s="240"/>
      <c r="J957" s="20"/>
      <c r="K957" s="241"/>
      <c r="L957" s="241"/>
      <c r="M957" s="224"/>
      <c r="N957" s="224"/>
      <c r="O957" s="20"/>
      <c r="P957" s="224"/>
      <c r="Q957" s="45"/>
      <c r="R957" s="224"/>
    </row>
    <row r="958" spans="2:18" s="222" customFormat="1" x14ac:dyDescent="0.2">
      <c r="B958" s="224"/>
      <c r="C958" s="224"/>
      <c r="D958" s="238"/>
      <c r="E958" s="239"/>
      <c r="F958" s="239"/>
      <c r="G958" s="224"/>
      <c r="H958" s="55"/>
      <c r="I958" s="240"/>
      <c r="J958" s="20"/>
      <c r="K958" s="241"/>
      <c r="L958" s="241"/>
      <c r="M958" s="224"/>
      <c r="N958" s="224"/>
      <c r="O958" s="20"/>
      <c r="P958" s="224"/>
      <c r="Q958" s="45"/>
      <c r="R958" s="224"/>
    </row>
    <row r="959" spans="2:18" s="222" customFormat="1" x14ac:dyDescent="0.2">
      <c r="B959" s="224"/>
      <c r="C959" s="224"/>
      <c r="D959" s="238"/>
      <c r="E959" s="239"/>
      <c r="F959" s="239"/>
      <c r="G959" s="224"/>
      <c r="H959" s="55"/>
      <c r="I959" s="240"/>
      <c r="J959" s="20"/>
      <c r="K959" s="241"/>
      <c r="L959" s="241"/>
      <c r="M959" s="224"/>
      <c r="N959" s="224"/>
      <c r="O959" s="20"/>
      <c r="P959" s="224"/>
      <c r="Q959" s="45"/>
      <c r="R959" s="224"/>
    </row>
    <row r="960" spans="2:18" s="222" customFormat="1" x14ac:dyDescent="0.2">
      <c r="B960" s="224"/>
      <c r="C960" s="224"/>
      <c r="D960" s="238"/>
      <c r="E960" s="239"/>
      <c r="F960" s="239"/>
      <c r="G960" s="224"/>
      <c r="H960" s="55"/>
      <c r="I960" s="240"/>
      <c r="J960" s="20"/>
      <c r="K960" s="241"/>
      <c r="L960" s="241"/>
      <c r="M960" s="224"/>
      <c r="N960" s="224"/>
      <c r="O960" s="20"/>
      <c r="P960" s="224"/>
      <c r="Q960" s="45"/>
      <c r="R960" s="224"/>
    </row>
    <row r="961" spans="2:18" s="222" customFormat="1" x14ac:dyDescent="0.2">
      <c r="B961" s="224"/>
      <c r="C961" s="224"/>
      <c r="D961" s="238"/>
      <c r="E961" s="239"/>
      <c r="F961" s="239"/>
      <c r="G961" s="224"/>
      <c r="H961" s="55"/>
      <c r="I961" s="240"/>
      <c r="J961" s="20"/>
      <c r="K961" s="241"/>
      <c r="L961" s="241"/>
      <c r="M961" s="224"/>
      <c r="N961" s="224"/>
      <c r="O961" s="20"/>
      <c r="P961" s="224"/>
      <c r="Q961" s="45"/>
      <c r="R961" s="224"/>
    </row>
    <row r="962" spans="2:18" s="222" customFormat="1" x14ac:dyDescent="0.2">
      <c r="B962" s="224"/>
      <c r="C962" s="224"/>
      <c r="D962" s="238"/>
      <c r="E962" s="239"/>
      <c r="F962" s="239"/>
      <c r="G962" s="224"/>
      <c r="H962" s="55"/>
      <c r="I962" s="240"/>
      <c r="J962" s="20"/>
      <c r="K962" s="241"/>
      <c r="L962" s="241"/>
      <c r="M962" s="224"/>
      <c r="N962" s="224"/>
      <c r="O962" s="20"/>
      <c r="P962" s="224"/>
      <c r="Q962" s="45"/>
      <c r="R962" s="224"/>
    </row>
    <row r="963" spans="2:18" s="222" customFormat="1" x14ac:dyDescent="0.2">
      <c r="B963" s="224"/>
      <c r="C963" s="224"/>
      <c r="D963" s="238"/>
      <c r="E963" s="239"/>
      <c r="F963" s="239"/>
      <c r="G963" s="224"/>
      <c r="H963" s="55"/>
      <c r="I963" s="240"/>
      <c r="J963" s="20"/>
      <c r="K963" s="241"/>
      <c r="L963" s="241"/>
      <c r="M963" s="224"/>
      <c r="N963" s="224"/>
      <c r="O963" s="20"/>
      <c r="P963" s="224"/>
      <c r="Q963" s="45"/>
      <c r="R963" s="224"/>
    </row>
    <row r="964" spans="2:18" s="222" customFormat="1" x14ac:dyDescent="0.2">
      <c r="B964" s="224"/>
      <c r="C964" s="224"/>
      <c r="D964" s="238"/>
      <c r="E964" s="239"/>
      <c r="F964" s="239"/>
      <c r="G964" s="224"/>
      <c r="H964" s="55"/>
      <c r="I964" s="240"/>
      <c r="J964" s="20"/>
      <c r="K964" s="241"/>
      <c r="L964" s="241"/>
      <c r="M964" s="224"/>
      <c r="N964" s="224"/>
      <c r="O964" s="20"/>
      <c r="P964" s="224"/>
      <c r="Q964" s="45"/>
      <c r="R964" s="224"/>
    </row>
    <row r="965" spans="2:18" s="222" customFormat="1" x14ac:dyDescent="0.2">
      <c r="B965" s="224"/>
      <c r="C965" s="224"/>
      <c r="D965" s="238"/>
      <c r="E965" s="239"/>
      <c r="F965" s="239"/>
      <c r="G965" s="224"/>
      <c r="H965" s="55"/>
      <c r="I965" s="240"/>
      <c r="J965" s="20"/>
      <c r="K965" s="241"/>
      <c r="L965" s="241"/>
      <c r="M965" s="224"/>
      <c r="N965" s="224"/>
      <c r="O965" s="20"/>
      <c r="P965" s="224"/>
      <c r="Q965" s="45"/>
      <c r="R965" s="224"/>
    </row>
    <row r="966" spans="2:18" s="222" customFormat="1" x14ac:dyDescent="0.2">
      <c r="B966" s="224"/>
      <c r="C966" s="224"/>
      <c r="D966" s="238"/>
      <c r="E966" s="239"/>
      <c r="F966" s="239"/>
      <c r="G966" s="224"/>
      <c r="H966" s="55"/>
      <c r="I966" s="240"/>
      <c r="J966" s="20"/>
      <c r="K966" s="241"/>
      <c r="L966" s="241"/>
      <c r="M966" s="224"/>
      <c r="N966" s="224"/>
      <c r="O966" s="20"/>
      <c r="P966" s="224"/>
      <c r="Q966" s="45"/>
      <c r="R966" s="224"/>
    </row>
    <row r="967" spans="2:18" s="222" customFormat="1" x14ac:dyDescent="0.2">
      <c r="B967" s="224"/>
      <c r="C967" s="224"/>
      <c r="D967" s="238"/>
      <c r="E967" s="239"/>
      <c r="F967" s="239"/>
      <c r="G967" s="224"/>
      <c r="H967" s="55"/>
      <c r="I967" s="240"/>
      <c r="J967" s="20"/>
      <c r="K967" s="241"/>
      <c r="L967" s="241"/>
      <c r="M967" s="224"/>
      <c r="N967" s="224"/>
      <c r="O967" s="20"/>
      <c r="P967" s="224"/>
      <c r="Q967" s="45"/>
      <c r="R967" s="224"/>
    </row>
    <row r="968" spans="2:18" s="222" customFormat="1" x14ac:dyDescent="0.2">
      <c r="B968" s="224"/>
      <c r="C968" s="224"/>
      <c r="D968" s="238"/>
      <c r="E968" s="239"/>
      <c r="F968" s="239"/>
      <c r="G968" s="224"/>
      <c r="H968" s="55"/>
      <c r="I968" s="240"/>
      <c r="J968" s="20"/>
      <c r="K968" s="241"/>
      <c r="L968" s="241"/>
      <c r="M968" s="224"/>
      <c r="N968" s="224"/>
      <c r="O968" s="20"/>
      <c r="P968" s="224"/>
      <c r="Q968" s="45"/>
      <c r="R968" s="224"/>
    </row>
    <row r="969" spans="2:18" s="222" customFormat="1" x14ac:dyDescent="0.2">
      <c r="B969" s="224"/>
      <c r="C969" s="224"/>
      <c r="D969" s="238"/>
      <c r="E969" s="239"/>
      <c r="F969" s="239"/>
      <c r="G969" s="224"/>
      <c r="H969" s="55"/>
      <c r="I969" s="240"/>
      <c r="J969" s="20"/>
      <c r="K969" s="241"/>
      <c r="L969" s="241"/>
      <c r="M969" s="224"/>
      <c r="N969" s="224"/>
      <c r="O969" s="20"/>
      <c r="P969" s="224"/>
      <c r="Q969" s="45"/>
      <c r="R969" s="224"/>
    </row>
    <row r="970" spans="2:18" s="222" customFormat="1" x14ac:dyDescent="0.2">
      <c r="B970" s="224"/>
      <c r="C970" s="224"/>
      <c r="D970" s="238"/>
      <c r="E970" s="239"/>
      <c r="F970" s="239"/>
      <c r="G970" s="224"/>
      <c r="H970" s="55"/>
      <c r="I970" s="240"/>
      <c r="J970" s="20"/>
      <c r="K970" s="241"/>
      <c r="L970" s="241"/>
      <c r="M970" s="224"/>
      <c r="N970" s="224"/>
      <c r="O970" s="20"/>
      <c r="P970" s="224"/>
      <c r="Q970" s="45"/>
      <c r="R970" s="224"/>
    </row>
    <row r="971" spans="2:18" s="222" customFormat="1" x14ac:dyDescent="0.2">
      <c r="B971" s="224"/>
      <c r="C971" s="224"/>
      <c r="D971" s="238"/>
      <c r="E971" s="239"/>
      <c r="F971" s="239"/>
      <c r="G971" s="224"/>
      <c r="H971" s="55"/>
      <c r="I971" s="240"/>
      <c r="J971" s="20"/>
      <c r="K971" s="241"/>
      <c r="L971" s="241"/>
      <c r="M971" s="224"/>
      <c r="N971" s="224"/>
      <c r="O971" s="20"/>
      <c r="P971" s="224"/>
      <c r="Q971" s="45"/>
      <c r="R971" s="224"/>
    </row>
    <row r="972" spans="2:18" s="222" customFormat="1" x14ac:dyDescent="0.2">
      <c r="B972" s="224"/>
      <c r="C972" s="224"/>
      <c r="D972" s="238"/>
      <c r="E972" s="239"/>
      <c r="F972" s="239"/>
      <c r="G972" s="224"/>
      <c r="H972" s="55"/>
      <c r="I972" s="240"/>
      <c r="J972" s="20"/>
      <c r="K972" s="241"/>
      <c r="L972" s="241"/>
      <c r="M972" s="224"/>
      <c r="N972" s="224"/>
      <c r="O972" s="20"/>
      <c r="P972" s="224"/>
      <c r="Q972" s="45"/>
      <c r="R972" s="224"/>
    </row>
    <row r="973" spans="2:18" s="222" customFormat="1" x14ac:dyDescent="0.2">
      <c r="B973" s="224"/>
      <c r="C973" s="224"/>
      <c r="D973" s="238"/>
      <c r="E973" s="239"/>
      <c r="F973" s="239"/>
      <c r="G973" s="224"/>
      <c r="H973" s="55"/>
      <c r="I973" s="240"/>
      <c r="J973" s="20"/>
      <c r="K973" s="241"/>
      <c r="L973" s="241"/>
      <c r="M973" s="224"/>
      <c r="N973" s="224"/>
      <c r="O973" s="20"/>
      <c r="P973" s="224"/>
      <c r="Q973" s="45"/>
      <c r="R973" s="224"/>
    </row>
    <row r="974" spans="2:18" s="222" customFormat="1" x14ac:dyDescent="0.2">
      <c r="B974" s="224"/>
      <c r="C974" s="224"/>
      <c r="D974" s="238"/>
      <c r="E974" s="239"/>
      <c r="F974" s="239"/>
      <c r="G974" s="224"/>
      <c r="H974" s="55"/>
      <c r="I974" s="240"/>
      <c r="J974" s="20"/>
      <c r="K974" s="241"/>
      <c r="L974" s="241"/>
      <c r="M974" s="224"/>
      <c r="N974" s="224"/>
      <c r="O974" s="20"/>
      <c r="P974" s="224"/>
      <c r="Q974" s="45"/>
      <c r="R974" s="224"/>
    </row>
    <row r="975" spans="2:18" s="222" customFormat="1" x14ac:dyDescent="0.2">
      <c r="B975" s="224"/>
      <c r="C975" s="224"/>
      <c r="D975" s="238"/>
      <c r="E975" s="239"/>
      <c r="F975" s="239"/>
      <c r="G975" s="224"/>
      <c r="H975" s="55"/>
      <c r="I975" s="240"/>
      <c r="J975" s="20"/>
      <c r="K975" s="241"/>
      <c r="L975" s="241"/>
      <c r="M975" s="224"/>
      <c r="N975" s="224"/>
      <c r="O975" s="20"/>
      <c r="P975" s="224"/>
      <c r="Q975" s="45"/>
      <c r="R975" s="224"/>
    </row>
    <row r="976" spans="2:18" s="222" customFormat="1" x14ac:dyDescent="0.2">
      <c r="B976" s="224"/>
      <c r="C976" s="224"/>
      <c r="D976" s="238"/>
      <c r="E976" s="239"/>
      <c r="F976" s="239"/>
      <c r="G976" s="224"/>
      <c r="H976" s="55"/>
      <c r="I976" s="240"/>
      <c r="J976" s="20"/>
      <c r="K976" s="241"/>
      <c r="L976" s="241"/>
      <c r="M976" s="224"/>
      <c r="N976" s="224"/>
      <c r="O976" s="20"/>
      <c r="P976" s="224"/>
      <c r="Q976" s="45"/>
      <c r="R976" s="224"/>
    </row>
    <row r="977" spans="2:18" s="222" customFormat="1" x14ac:dyDescent="0.2">
      <c r="B977" s="224"/>
      <c r="C977" s="224"/>
      <c r="D977" s="238"/>
      <c r="E977" s="239"/>
      <c r="F977" s="239"/>
      <c r="G977" s="224"/>
      <c r="H977" s="55"/>
      <c r="I977" s="240"/>
      <c r="J977" s="20"/>
      <c r="K977" s="241"/>
      <c r="L977" s="241"/>
      <c r="M977" s="224"/>
      <c r="N977" s="224"/>
      <c r="O977" s="20"/>
      <c r="P977" s="224"/>
      <c r="Q977" s="45"/>
      <c r="R977" s="224"/>
    </row>
    <row r="978" spans="2:18" s="222" customFormat="1" x14ac:dyDescent="0.2">
      <c r="B978" s="224"/>
      <c r="C978" s="224"/>
      <c r="D978" s="238"/>
      <c r="E978" s="239"/>
      <c r="F978" s="239"/>
      <c r="G978" s="224"/>
      <c r="H978" s="55"/>
      <c r="I978" s="240"/>
      <c r="J978" s="20"/>
      <c r="K978" s="241"/>
      <c r="L978" s="241"/>
      <c r="M978" s="224"/>
      <c r="N978" s="224"/>
      <c r="O978" s="20"/>
      <c r="P978" s="224"/>
      <c r="Q978" s="45"/>
      <c r="R978" s="224"/>
    </row>
    <row r="979" spans="2:18" s="222" customFormat="1" x14ac:dyDescent="0.2">
      <c r="B979" s="224"/>
      <c r="C979" s="224"/>
      <c r="D979" s="238"/>
      <c r="E979" s="239"/>
      <c r="F979" s="239"/>
      <c r="G979" s="224"/>
      <c r="H979" s="55"/>
      <c r="I979" s="240"/>
      <c r="J979" s="20"/>
      <c r="K979" s="241"/>
      <c r="L979" s="241"/>
      <c r="M979" s="224"/>
      <c r="N979" s="224"/>
      <c r="O979" s="20"/>
      <c r="P979" s="224"/>
      <c r="Q979" s="45"/>
      <c r="R979" s="224"/>
    </row>
    <row r="980" spans="2:18" s="222" customFormat="1" x14ac:dyDescent="0.2">
      <c r="B980" s="224"/>
      <c r="C980" s="224"/>
      <c r="D980" s="238"/>
      <c r="E980" s="239"/>
      <c r="F980" s="239"/>
      <c r="G980" s="224"/>
      <c r="H980" s="55"/>
      <c r="I980" s="240"/>
      <c r="J980" s="20"/>
      <c r="K980" s="241"/>
      <c r="L980" s="241"/>
      <c r="M980" s="224"/>
      <c r="N980" s="224"/>
      <c r="O980" s="20"/>
      <c r="P980" s="224"/>
      <c r="Q980" s="45"/>
      <c r="R980" s="224"/>
    </row>
    <row r="981" spans="2:18" s="222" customFormat="1" x14ac:dyDescent="0.2">
      <c r="B981" s="224"/>
      <c r="C981" s="224"/>
      <c r="D981" s="238"/>
      <c r="E981" s="239"/>
      <c r="F981" s="239"/>
      <c r="G981" s="224"/>
      <c r="H981" s="55"/>
      <c r="I981" s="240"/>
      <c r="J981" s="20"/>
      <c r="K981" s="241"/>
      <c r="L981" s="241"/>
      <c r="M981" s="224"/>
      <c r="N981" s="224"/>
      <c r="O981" s="20"/>
      <c r="P981" s="224"/>
      <c r="Q981" s="45"/>
      <c r="R981" s="224"/>
    </row>
    <row r="982" spans="2:18" s="222" customFormat="1" x14ac:dyDescent="0.2">
      <c r="B982" s="224"/>
      <c r="C982" s="224"/>
      <c r="D982" s="238"/>
      <c r="E982" s="239"/>
      <c r="F982" s="239"/>
      <c r="G982" s="224"/>
      <c r="H982" s="55"/>
      <c r="I982" s="240"/>
      <c r="J982" s="20"/>
      <c r="K982" s="241"/>
      <c r="L982" s="241"/>
      <c r="M982" s="224"/>
      <c r="N982" s="224"/>
      <c r="O982" s="20"/>
      <c r="P982" s="224"/>
      <c r="Q982" s="45"/>
      <c r="R982" s="224"/>
    </row>
    <row r="983" spans="2:18" s="222" customFormat="1" x14ac:dyDescent="0.2">
      <c r="B983" s="224"/>
      <c r="C983" s="224"/>
      <c r="D983" s="238"/>
      <c r="E983" s="239"/>
      <c r="F983" s="239"/>
      <c r="G983" s="224"/>
      <c r="H983" s="55"/>
      <c r="I983" s="240"/>
      <c r="J983" s="20"/>
      <c r="K983" s="241"/>
      <c r="L983" s="241"/>
      <c r="M983" s="224"/>
      <c r="N983" s="224"/>
      <c r="O983" s="20"/>
      <c r="P983" s="224"/>
      <c r="Q983" s="45"/>
      <c r="R983" s="224"/>
    </row>
    <row r="984" spans="2:18" s="222" customFormat="1" x14ac:dyDescent="0.2">
      <c r="B984" s="224"/>
      <c r="C984" s="224"/>
      <c r="D984" s="238"/>
      <c r="E984" s="239"/>
      <c r="F984" s="239"/>
      <c r="G984" s="224"/>
      <c r="H984" s="55"/>
      <c r="I984" s="240"/>
      <c r="J984" s="20"/>
      <c r="K984" s="241"/>
      <c r="L984" s="241"/>
      <c r="M984" s="224"/>
      <c r="N984" s="224"/>
      <c r="O984" s="20"/>
      <c r="P984" s="224"/>
      <c r="Q984" s="45"/>
      <c r="R984" s="224"/>
    </row>
    <row r="985" spans="2:18" s="222" customFormat="1" x14ac:dyDescent="0.2">
      <c r="B985" s="224"/>
      <c r="C985" s="224"/>
      <c r="D985" s="238"/>
      <c r="E985" s="239"/>
      <c r="F985" s="239"/>
      <c r="G985" s="224"/>
      <c r="H985" s="55"/>
      <c r="I985" s="240"/>
      <c r="J985" s="20"/>
      <c r="K985" s="241"/>
      <c r="L985" s="241"/>
      <c r="M985" s="224"/>
      <c r="N985" s="224"/>
      <c r="O985" s="20"/>
      <c r="P985" s="224"/>
      <c r="Q985" s="45"/>
      <c r="R985" s="224"/>
    </row>
    <row r="986" spans="2:18" s="222" customFormat="1" x14ac:dyDescent="0.2">
      <c r="B986" s="224"/>
      <c r="C986" s="224"/>
      <c r="D986" s="238"/>
      <c r="E986" s="239"/>
      <c r="F986" s="239"/>
      <c r="G986" s="224"/>
      <c r="H986" s="55"/>
      <c r="I986" s="240"/>
      <c r="J986" s="20"/>
      <c r="K986" s="241"/>
      <c r="L986" s="241"/>
      <c r="M986" s="224"/>
      <c r="N986" s="224"/>
      <c r="O986" s="20"/>
      <c r="P986" s="224"/>
      <c r="Q986" s="45"/>
      <c r="R986" s="224"/>
    </row>
    <row r="987" spans="2:18" s="222" customFormat="1" x14ac:dyDescent="0.2">
      <c r="B987" s="224"/>
      <c r="C987" s="224"/>
      <c r="D987" s="238"/>
      <c r="E987" s="239"/>
      <c r="F987" s="239"/>
      <c r="G987" s="224"/>
      <c r="H987" s="55"/>
      <c r="I987" s="240"/>
      <c r="J987" s="20"/>
      <c r="K987" s="241"/>
      <c r="L987" s="241"/>
      <c r="M987" s="224"/>
      <c r="N987" s="224"/>
      <c r="O987" s="20"/>
      <c r="P987" s="224"/>
      <c r="Q987" s="45"/>
      <c r="R987" s="224"/>
    </row>
    <row r="988" spans="2:18" s="222" customFormat="1" x14ac:dyDescent="0.2">
      <c r="B988" s="224"/>
      <c r="C988" s="224"/>
      <c r="D988" s="238"/>
      <c r="E988" s="239"/>
      <c r="F988" s="239"/>
      <c r="G988" s="224"/>
      <c r="H988" s="55"/>
      <c r="I988" s="240"/>
      <c r="J988" s="20"/>
      <c r="K988" s="241"/>
      <c r="L988" s="241"/>
      <c r="M988" s="224"/>
      <c r="N988" s="224"/>
      <c r="O988" s="20"/>
      <c r="P988" s="224"/>
      <c r="Q988" s="45"/>
      <c r="R988" s="224"/>
    </row>
    <row r="989" spans="2:18" s="222" customFormat="1" x14ac:dyDescent="0.2">
      <c r="B989" s="224"/>
      <c r="C989" s="224"/>
      <c r="D989" s="238"/>
      <c r="E989" s="239"/>
      <c r="F989" s="239"/>
      <c r="G989" s="224"/>
      <c r="H989" s="55"/>
      <c r="I989" s="240"/>
      <c r="J989" s="20"/>
      <c r="K989" s="241"/>
      <c r="L989" s="241"/>
      <c r="M989" s="224"/>
      <c r="N989" s="224"/>
      <c r="O989" s="20"/>
      <c r="P989" s="224"/>
      <c r="Q989" s="45"/>
      <c r="R989" s="224"/>
    </row>
    <row r="990" spans="2:18" s="222" customFormat="1" x14ac:dyDescent="0.2">
      <c r="B990" s="224"/>
      <c r="C990" s="224"/>
      <c r="D990" s="238"/>
      <c r="E990" s="239"/>
      <c r="F990" s="239"/>
      <c r="G990" s="224"/>
      <c r="H990" s="55"/>
      <c r="I990" s="240"/>
      <c r="J990" s="20"/>
      <c r="K990" s="241"/>
      <c r="L990" s="241"/>
      <c r="M990" s="224"/>
      <c r="N990" s="224"/>
      <c r="O990" s="20"/>
      <c r="P990" s="224"/>
      <c r="Q990" s="45"/>
      <c r="R990" s="224"/>
    </row>
    <row r="991" spans="2:18" s="222" customFormat="1" x14ac:dyDescent="0.2">
      <c r="B991" s="224"/>
      <c r="C991" s="224"/>
      <c r="D991" s="238"/>
      <c r="E991" s="239"/>
      <c r="F991" s="239"/>
      <c r="G991" s="224"/>
      <c r="H991" s="55"/>
      <c r="I991" s="240"/>
      <c r="J991" s="20"/>
      <c r="K991" s="241"/>
      <c r="L991" s="241"/>
      <c r="M991" s="224"/>
      <c r="N991" s="224"/>
      <c r="O991" s="20"/>
      <c r="P991" s="224"/>
      <c r="Q991" s="45"/>
      <c r="R991" s="224"/>
    </row>
    <row r="992" spans="2:18" s="222" customFormat="1" x14ac:dyDescent="0.2">
      <c r="B992" s="224"/>
      <c r="C992" s="224"/>
      <c r="D992" s="238"/>
      <c r="E992" s="239"/>
      <c r="F992" s="239"/>
      <c r="G992" s="224"/>
      <c r="H992" s="55"/>
      <c r="I992" s="240"/>
      <c r="J992" s="20"/>
      <c r="K992" s="241"/>
      <c r="L992" s="241"/>
      <c r="M992" s="224"/>
      <c r="N992" s="224"/>
      <c r="O992" s="20"/>
      <c r="P992" s="224"/>
      <c r="Q992" s="45"/>
      <c r="R992" s="224"/>
    </row>
    <row r="993" spans="2:18" s="222" customFormat="1" x14ac:dyDescent="0.2">
      <c r="B993" s="224"/>
      <c r="C993" s="224"/>
      <c r="D993" s="238"/>
      <c r="E993" s="239"/>
      <c r="F993" s="239"/>
      <c r="G993" s="224"/>
      <c r="H993" s="55"/>
      <c r="I993" s="240"/>
      <c r="J993" s="20"/>
      <c r="K993" s="241"/>
      <c r="L993" s="241"/>
      <c r="M993" s="224"/>
      <c r="N993" s="224"/>
      <c r="O993" s="20"/>
      <c r="P993" s="224"/>
      <c r="Q993" s="45"/>
      <c r="R993" s="224"/>
    </row>
    <row r="994" spans="2:18" s="222" customFormat="1" x14ac:dyDescent="0.2">
      <c r="B994" s="224"/>
      <c r="C994" s="224"/>
      <c r="D994" s="238"/>
      <c r="E994" s="239"/>
      <c r="F994" s="239"/>
      <c r="G994" s="224"/>
      <c r="H994" s="55"/>
      <c r="I994" s="240"/>
      <c r="J994" s="20"/>
      <c r="K994" s="241"/>
      <c r="L994" s="241"/>
      <c r="M994" s="224"/>
      <c r="N994" s="224"/>
      <c r="O994" s="20"/>
      <c r="P994" s="224"/>
      <c r="Q994" s="45"/>
      <c r="R994" s="224"/>
    </row>
    <row r="995" spans="2:18" s="222" customFormat="1" x14ac:dyDescent="0.2">
      <c r="B995" s="224"/>
      <c r="C995" s="224"/>
      <c r="D995" s="238"/>
      <c r="E995" s="239"/>
      <c r="F995" s="239"/>
      <c r="G995" s="224"/>
      <c r="H995" s="55"/>
      <c r="I995" s="240"/>
      <c r="J995" s="20"/>
      <c r="K995" s="241"/>
      <c r="L995" s="241"/>
      <c r="M995" s="224"/>
      <c r="N995" s="224"/>
      <c r="O995" s="20"/>
      <c r="P995" s="224"/>
      <c r="Q995" s="45"/>
      <c r="R995" s="224"/>
    </row>
    <row r="996" spans="2:18" s="222" customFormat="1" x14ac:dyDescent="0.2">
      <c r="B996" s="224"/>
      <c r="C996" s="224"/>
      <c r="D996" s="238"/>
      <c r="E996" s="239"/>
      <c r="F996" s="239"/>
      <c r="G996" s="224"/>
      <c r="H996" s="55"/>
      <c r="I996" s="240"/>
      <c r="J996" s="20"/>
      <c r="K996" s="241"/>
      <c r="L996" s="241"/>
      <c r="M996" s="224"/>
      <c r="N996" s="224"/>
      <c r="O996" s="20"/>
      <c r="P996" s="224"/>
      <c r="Q996" s="45"/>
      <c r="R996" s="224"/>
    </row>
    <row r="997" spans="2:18" s="222" customFormat="1" x14ac:dyDescent="0.2">
      <c r="B997" s="224"/>
      <c r="C997" s="224"/>
      <c r="D997" s="238"/>
      <c r="E997" s="239"/>
      <c r="F997" s="239"/>
      <c r="G997" s="224"/>
      <c r="H997" s="55"/>
      <c r="I997" s="240"/>
      <c r="J997" s="20"/>
      <c r="K997" s="241"/>
      <c r="L997" s="241"/>
      <c r="M997" s="224"/>
      <c r="N997" s="224"/>
      <c r="O997" s="20"/>
      <c r="P997" s="224"/>
      <c r="Q997" s="45"/>
      <c r="R997" s="224"/>
    </row>
    <row r="998" spans="2:18" s="222" customFormat="1" x14ac:dyDescent="0.2">
      <c r="B998" s="224"/>
      <c r="C998" s="224"/>
      <c r="D998" s="238"/>
      <c r="E998" s="239"/>
      <c r="F998" s="239"/>
      <c r="G998" s="224"/>
      <c r="H998" s="55"/>
      <c r="I998" s="240"/>
      <c r="J998" s="20"/>
      <c r="K998" s="241"/>
      <c r="L998" s="241"/>
      <c r="M998" s="224"/>
      <c r="N998" s="224"/>
      <c r="O998" s="20"/>
      <c r="P998" s="224"/>
      <c r="Q998" s="45"/>
      <c r="R998" s="224"/>
    </row>
    <row r="999" spans="2:18" s="222" customFormat="1" x14ac:dyDescent="0.2">
      <c r="B999" s="224"/>
      <c r="C999" s="224"/>
      <c r="D999" s="238"/>
      <c r="E999" s="239"/>
      <c r="F999" s="239"/>
      <c r="G999" s="224"/>
      <c r="H999" s="55"/>
      <c r="I999" s="240"/>
      <c r="J999" s="20"/>
      <c r="K999" s="241"/>
      <c r="L999" s="241"/>
      <c r="M999" s="224"/>
      <c r="N999" s="224"/>
      <c r="O999" s="20"/>
      <c r="P999" s="224"/>
      <c r="Q999" s="45"/>
      <c r="R999" s="224"/>
    </row>
    <row r="1000" spans="2:18" s="222" customFormat="1" x14ac:dyDescent="0.2">
      <c r="B1000" s="224"/>
      <c r="C1000" s="224"/>
      <c r="D1000" s="238"/>
      <c r="E1000" s="239"/>
      <c r="F1000" s="239"/>
      <c r="G1000" s="224"/>
      <c r="H1000" s="55"/>
      <c r="I1000" s="240"/>
      <c r="J1000" s="20"/>
      <c r="K1000" s="241"/>
      <c r="L1000" s="241"/>
      <c r="M1000" s="224"/>
      <c r="N1000" s="224"/>
      <c r="O1000" s="20"/>
      <c r="P1000" s="224"/>
      <c r="Q1000" s="45"/>
      <c r="R1000" s="224"/>
    </row>
    <row r="1001" spans="2:18" s="222" customFormat="1" x14ac:dyDescent="0.2">
      <c r="B1001" s="224"/>
      <c r="C1001" s="224"/>
      <c r="D1001" s="238"/>
      <c r="E1001" s="239"/>
      <c r="F1001" s="239"/>
      <c r="G1001" s="224"/>
      <c r="H1001" s="55"/>
      <c r="I1001" s="240"/>
      <c r="J1001" s="20"/>
      <c r="K1001" s="241"/>
      <c r="L1001" s="241"/>
      <c r="M1001" s="224"/>
      <c r="N1001" s="224"/>
      <c r="O1001" s="20"/>
      <c r="P1001" s="224"/>
      <c r="Q1001" s="45"/>
      <c r="R1001" s="224"/>
    </row>
    <row r="1002" spans="2:18" s="222" customFormat="1" x14ac:dyDescent="0.2">
      <c r="B1002" s="224"/>
      <c r="C1002" s="224"/>
      <c r="D1002" s="238"/>
      <c r="E1002" s="239"/>
      <c r="F1002" s="239"/>
      <c r="G1002" s="224"/>
      <c r="H1002" s="55"/>
      <c r="I1002" s="240"/>
      <c r="J1002" s="20"/>
      <c r="K1002" s="241"/>
      <c r="L1002" s="241"/>
      <c r="M1002" s="224"/>
      <c r="N1002" s="224"/>
      <c r="O1002" s="20"/>
      <c r="P1002" s="224"/>
      <c r="Q1002" s="45"/>
      <c r="R1002" s="224"/>
    </row>
    <row r="1003" spans="2:18" s="222" customFormat="1" x14ac:dyDescent="0.2">
      <c r="B1003" s="224"/>
      <c r="C1003" s="224"/>
      <c r="D1003" s="238"/>
      <c r="E1003" s="239"/>
      <c r="F1003" s="239"/>
      <c r="G1003" s="224"/>
      <c r="H1003" s="55"/>
      <c r="I1003" s="240"/>
      <c r="J1003" s="20"/>
      <c r="K1003" s="241"/>
      <c r="L1003" s="241"/>
      <c r="M1003" s="224"/>
      <c r="N1003" s="224"/>
      <c r="O1003" s="20"/>
      <c r="P1003" s="224"/>
      <c r="Q1003" s="45"/>
      <c r="R1003" s="224"/>
    </row>
    <row r="1004" spans="2:18" s="222" customFormat="1" x14ac:dyDescent="0.2">
      <c r="B1004" s="224"/>
      <c r="C1004" s="224"/>
      <c r="D1004" s="238"/>
      <c r="E1004" s="239"/>
      <c r="F1004" s="239"/>
      <c r="G1004" s="224"/>
      <c r="H1004" s="55"/>
      <c r="I1004" s="240"/>
      <c r="J1004" s="20"/>
      <c r="K1004" s="241"/>
      <c r="L1004" s="241"/>
      <c r="M1004" s="224"/>
      <c r="N1004" s="224"/>
      <c r="O1004" s="20"/>
      <c r="P1004" s="224"/>
      <c r="Q1004" s="45"/>
      <c r="R1004" s="224"/>
    </row>
    <row r="1005" spans="2:18" s="222" customFormat="1" x14ac:dyDescent="0.2">
      <c r="B1005" s="224"/>
      <c r="C1005" s="224"/>
      <c r="D1005" s="238"/>
      <c r="E1005" s="239"/>
      <c r="F1005" s="239"/>
      <c r="G1005" s="224"/>
      <c r="H1005" s="55"/>
      <c r="I1005" s="240"/>
      <c r="J1005" s="20"/>
      <c r="K1005" s="241"/>
      <c r="L1005" s="241"/>
      <c r="M1005" s="224"/>
      <c r="N1005" s="224"/>
      <c r="O1005" s="20"/>
      <c r="P1005" s="224"/>
      <c r="Q1005" s="45"/>
      <c r="R1005" s="224"/>
    </row>
    <row r="1006" spans="2:18" s="222" customFormat="1" x14ac:dyDescent="0.2">
      <c r="B1006" s="224"/>
      <c r="C1006" s="224"/>
      <c r="D1006" s="238"/>
      <c r="E1006" s="239"/>
      <c r="F1006" s="239"/>
      <c r="G1006" s="224"/>
      <c r="H1006" s="55"/>
      <c r="I1006" s="240"/>
      <c r="J1006" s="20"/>
      <c r="K1006" s="241"/>
      <c r="L1006" s="241"/>
      <c r="M1006" s="224"/>
      <c r="N1006" s="224"/>
      <c r="O1006" s="20"/>
      <c r="P1006" s="224"/>
      <c r="Q1006" s="45"/>
      <c r="R1006" s="224"/>
    </row>
    <row r="1007" spans="2:18" s="222" customFormat="1" x14ac:dyDescent="0.2">
      <c r="B1007" s="224"/>
      <c r="C1007" s="224"/>
      <c r="D1007" s="238"/>
      <c r="E1007" s="239"/>
      <c r="F1007" s="239"/>
      <c r="G1007" s="224"/>
      <c r="H1007" s="55"/>
      <c r="I1007" s="240"/>
      <c r="J1007" s="20"/>
      <c r="K1007" s="241"/>
      <c r="L1007" s="241"/>
      <c r="M1007" s="224"/>
      <c r="N1007" s="224"/>
      <c r="O1007" s="20"/>
      <c r="P1007" s="224"/>
      <c r="Q1007" s="45"/>
      <c r="R1007" s="224"/>
    </row>
    <row r="1008" spans="2:18" s="222" customFormat="1" x14ac:dyDescent="0.2">
      <c r="B1008" s="224"/>
      <c r="C1008" s="224"/>
      <c r="D1008" s="238"/>
      <c r="E1008" s="239"/>
      <c r="F1008" s="239"/>
      <c r="G1008" s="224"/>
      <c r="H1008" s="55"/>
      <c r="I1008" s="240"/>
      <c r="J1008" s="20"/>
      <c r="K1008" s="241"/>
      <c r="L1008" s="241"/>
      <c r="M1008" s="224"/>
      <c r="N1008" s="224"/>
      <c r="O1008" s="20"/>
      <c r="P1008" s="224"/>
      <c r="Q1008" s="45"/>
      <c r="R1008" s="224"/>
    </row>
    <row r="1009" spans="2:18" s="222" customFormat="1" x14ac:dyDescent="0.2">
      <c r="B1009" s="224"/>
      <c r="C1009" s="224"/>
      <c r="D1009" s="238"/>
      <c r="E1009" s="239"/>
      <c r="F1009" s="239"/>
      <c r="G1009" s="224"/>
      <c r="H1009" s="55"/>
      <c r="I1009" s="240"/>
      <c r="J1009" s="20"/>
      <c r="K1009" s="241"/>
      <c r="L1009" s="241"/>
      <c r="M1009" s="224"/>
      <c r="N1009" s="224"/>
      <c r="O1009" s="20"/>
      <c r="P1009" s="224"/>
      <c r="Q1009" s="45"/>
      <c r="R1009" s="224"/>
    </row>
    <row r="1010" spans="2:18" s="222" customFormat="1" x14ac:dyDescent="0.2">
      <c r="B1010" s="224"/>
      <c r="C1010" s="224"/>
      <c r="D1010" s="238"/>
      <c r="E1010" s="239"/>
      <c r="F1010" s="239"/>
      <c r="G1010" s="224"/>
      <c r="H1010" s="55"/>
      <c r="I1010" s="240"/>
      <c r="J1010" s="20"/>
      <c r="K1010" s="241"/>
      <c r="L1010" s="241"/>
      <c r="M1010" s="224"/>
      <c r="N1010" s="224"/>
      <c r="O1010" s="20"/>
      <c r="P1010" s="224"/>
      <c r="Q1010" s="45"/>
      <c r="R1010" s="224"/>
    </row>
    <row r="1011" spans="2:18" s="222" customFormat="1" x14ac:dyDescent="0.2">
      <c r="B1011" s="224"/>
      <c r="C1011" s="224"/>
      <c r="D1011" s="238"/>
      <c r="E1011" s="239"/>
      <c r="F1011" s="239"/>
      <c r="G1011" s="224"/>
      <c r="H1011" s="55"/>
      <c r="I1011" s="240"/>
      <c r="J1011" s="20"/>
      <c r="K1011" s="241"/>
      <c r="L1011" s="241"/>
      <c r="M1011" s="224"/>
      <c r="N1011" s="224"/>
      <c r="O1011" s="20"/>
      <c r="P1011" s="224"/>
      <c r="Q1011" s="45"/>
      <c r="R1011" s="224"/>
    </row>
    <row r="1012" spans="2:18" s="222" customFormat="1" x14ac:dyDescent="0.2">
      <c r="B1012" s="224"/>
      <c r="C1012" s="224"/>
      <c r="D1012" s="238"/>
      <c r="E1012" s="239"/>
      <c r="F1012" s="239"/>
      <c r="G1012" s="224"/>
      <c r="H1012" s="55"/>
      <c r="I1012" s="240"/>
      <c r="J1012" s="20"/>
      <c r="K1012" s="241"/>
      <c r="L1012" s="241"/>
      <c r="M1012" s="224"/>
      <c r="N1012" s="224"/>
      <c r="O1012" s="20"/>
      <c r="P1012" s="224"/>
      <c r="Q1012" s="45"/>
      <c r="R1012" s="224"/>
    </row>
    <row r="1013" spans="2:18" s="222" customFormat="1" x14ac:dyDescent="0.2">
      <c r="B1013" s="224"/>
      <c r="C1013" s="224"/>
      <c r="D1013" s="238"/>
      <c r="E1013" s="239"/>
      <c r="F1013" s="239"/>
      <c r="G1013" s="224"/>
      <c r="H1013" s="55"/>
      <c r="I1013" s="240"/>
      <c r="J1013" s="20"/>
      <c r="K1013" s="241"/>
      <c r="L1013" s="241"/>
      <c r="M1013" s="224"/>
      <c r="N1013" s="224"/>
      <c r="O1013" s="20"/>
      <c r="P1013" s="224"/>
      <c r="Q1013" s="45"/>
      <c r="R1013" s="224"/>
    </row>
    <row r="1014" spans="2:18" s="222" customFormat="1" x14ac:dyDescent="0.2">
      <c r="B1014" s="224"/>
      <c r="C1014" s="224"/>
      <c r="D1014" s="238"/>
      <c r="E1014" s="239"/>
      <c r="F1014" s="239"/>
      <c r="G1014" s="224"/>
      <c r="H1014" s="55"/>
      <c r="I1014" s="240"/>
      <c r="J1014" s="20"/>
      <c r="K1014" s="241"/>
      <c r="L1014" s="241"/>
      <c r="M1014" s="224"/>
      <c r="N1014" s="224"/>
      <c r="O1014" s="20"/>
      <c r="P1014" s="224"/>
      <c r="Q1014" s="45"/>
      <c r="R1014" s="224"/>
    </row>
    <row r="1015" spans="2:18" s="222" customFormat="1" x14ac:dyDescent="0.2">
      <c r="B1015" s="224"/>
      <c r="C1015" s="224"/>
      <c r="D1015" s="238"/>
      <c r="E1015" s="239"/>
      <c r="F1015" s="239"/>
      <c r="G1015" s="224"/>
      <c r="H1015" s="55"/>
      <c r="I1015" s="240"/>
      <c r="J1015" s="20"/>
      <c r="K1015" s="241"/>
      <c r="L1015" s="241"/>
      <c r="M1015" s="224"/>
      <c r="N1015" s="224"/>
      <c r="O1015" s="20"/>
      <c r="P1015" s="224"/>
      <c r="Q1015" s="45"/>
      <c r="R1015" s="224"/>
    </row>
    <row r="1016" spans="2:18" s="222" customFormat="1" x14ac:dyDescent="0.2">
      <c r="B1016" s="224"/>
      <c r="C1016" s="224"/>
      <c r="D1016" s="238"/>
      <c r="E1016" s="239"/>
      <c r="F1016" s="239"/>
      <c r="G1016" s="224"/>
      <c r="H1016" s="55"/>
      <c r="I1016" s="240"/>
      <c r="J1016" s="20"/>
      <c r="K1016" s="241"/>
      <c r="L1016" s="241"/>
      <c r="M1016" s="224"/>
      <c r="N1016" s="224"/>
      <c r="O1016" s="20"/>
      <c r="P1016" s="224"/>
      <c r="Q1016" s="45"/>
      <c r="R1016" s="224"/>
    </row>
    <row r="1017" spans="2:18" s="222" customFormat="1" x14ac:dyDescent="0.2">
      <c r="B1017" s="224"/>
      <c r="C1017" s="224"/>
      <c r="D1017" s="238"/>
      <c r="E1017" s="239"/>
      <c r="F1017" s="239"/>
      <c r="G1017" s="224"/>
      <c r="H1017" s="55"/>
      <c r="I1017" s="240"/>
      <c r="J1017" s="20"/>
      <c r="K1017" s="241"/>
      <c r="L1017" s="241"/>
      <c r="M1017" s="224"/>
      <c r="N1017" s="224"/>
      <c r="O1017" s="20"/>
      <c r="P1017" s="224"/>
      <c r="Q1017" s="45"/>
      <c r="R1017" s="224"/>
    </row>
    <row r="1018" spans="2:18" s="222" customFormat="1" x14ac:dyDescent="0.2">
      <c r="B1018" s="224"/>
      <c r="C1018" s="224"/>
      <c r="D1018" s="238"/>
      <c r="E1018" s="239"/>
      <c r="F1018" s="239"/>
      <c r="G1018" s="224"/>
      <c r="H1018" s="55"/>
      <c r="I1018" s="240"/>
      <c r="J1018" s="20"/>
      <c r="K1018" s="241"/>
      <c r="L1018" s="241"/>
      <c r="M1018" s="224"/>
      <c r="N1018" s="224"/>
      <c r="O1018" s="20"/>
      <c r="P1018" s="224"/>
      <c r="Q1018" s="45"/>
      <c r="R1018" s="224"/>
    </row>
    <row r="1019" spans="2:18" s="222" customFormat="1" x14ac:dyDescent="0.2">
      <c r="B1019" s="224"/>
      <c r="C1019" s="224"/>
      <c r="D1019" s="238"/>
      <c r="E1019" s="239"/>
      <c r="F1019" s="239"/>
      <c r="G1019" s="224"/>
      <c r="H1019" s="55"/>
      <c r="I1019" s="240"/>
      <c r="J1019" s="20"/>
      <c r="K1019" s="241"/>
      <c r="L1019" s="241"/>
      <c r="M1019" s="224"/>
      <c r="N1019" s="224"/>
      <c r="O1019" s="20"/>
      <c r="P1019" s="224"/>
      <c r="Q1019" s="45"/>
      <c r="R1019" s="224"/>
    </row>
    <row r="1020" spans="2:18" s="222" customFormat="1" x14ac:dyDescent="0.2">
      <c r="B1020" s="224"/>
      <c r="C1020" s="224"/>
      <c r="D1020" s="238"/>
      <c r="E1020" s="239"/>
      <c r="F1020" s="239"/>
      <c r="G1020" s="224"/>
      <c r="H1020" s="55"/>
      <c r="I1020" s="240"/>
      <c r="J1020" s="20"/>
      <c r="K1020" s="241"/>
      <c r="L1020" s="241"/>
      <c r="M1020" s="224"/>
      <c r="N1020" s="224"/>
      <c r="O1020" s="20"/>
      <c r="P1020" s="224"/>
      <c r="Q1020" s="45"/>
      <c r="R1020" s="224"/>
    </row>
    <row r="1021" spans="2:18" s="222" customFormat="1" x14ac:dyDescent="0.2">
      <c r="B1021" s="224"/>
      <c r="C1021" s="224"/>
      <c r="D1021" s="238"/>
      <c r="E1021" s="239"/>
      <c r="F1021" s="239"/>
      <c r="G1021" s="224"/>
      <c r="H1021" s="55"/>
      <c r="I1021" s="240"/>
      <c r="J1021" s="20"/>
      <c r="K1021" s="241"/>
      <c r="L1021" s="241"/>
      <c r="M1021" s="224"/>
      <c r="N1021" s="224"/>
      <c r="O1021" s="20"/>
      <c r="P1021" s="224"/>
      <c r="Q1021" s="45"/>
      <c r="R1021" s="224"/>
    </row>
    <row r="1022" spans="2:18" s="222" customFormat="1" x14ac:dyDescent="0.2">
      <c r="B1022" s="224"/>
      <c r="C1022" s="224"/>
      <c r="D1022" s="238"/>
      <c r="E1022" s="239"/>
      <c r="F1022" s="239"/>
      <c r="G1022" s="224"/>
      <c r="H1022" s="55"/>
      <c r="I1022" s="240"/>
      <c r="J1022" s="20"/>
      <c r="K1022" s="241"/>
      <c r="L1022" s="241"/>
      <c r="M1022" s="224"/>
      <c r="N1022" s="224"/>
      <c r="O1022" s="20"/>
      <c r="P1022" s="224"/>
      <c r="Q1022" s="45"/>
      <c r="R1022" s="224"/>
    </row>
    <row r="1023" spans="2:18" s="222" customFormat="1" x14ac:dyDescent="0.2">
      <c r="B1023" s="224"/>
      <c r="C1023" s="224"/>
      <c r="D1023" s="238"/>
      <c r="E1023" s="239"/>
      <c r="F1023" s="239"/>
      <c r="G1023" s="224"/>
      <c r="H1023" s="55"/>
      <c r="I1023" s="240"/>
      <c r="J1023" s="20"/>
      <c r="K1023" s="241"/>
      <c r="L1023" s="241"/>
      <c r="M1023" s="224"/>
      <c r="N1023" s="224"/>
      <c r="O1023" s="20"/>
      <c r="P1023" s="224"/>
      <c r="Q1023" s="45"/>
      <c r="R1023" s="224"/>
    </row>
    <row r="1024" spans="2:18" s="222" customFormat="1" x14ac:dyDescent="0.2">
      <c r="B1024" s="224"/>
      <c r="C1024" s="224"/>
      <c r="D1024" s="238"/>
      <c r="E1024" s="239"/>
      <c r="F1024" s="239"/>
      <c r="G1024" s="224"/>
      <c r="H1024" s="55"/>
      <c r="I1024" s="240"/>
      <c r="J1024" s="20"/>
      <c r="K1024" s="241"/>
      <c r="L1024" s="241"/>
      <c r="M1024" s="224"/>
      <c r="N1024" s="224"/>
      <c r="O1024" s="20"/>
      <c r="P1024" s="224"/>
      <c r="Q1024" s="45"/>
      <c r="R1024" s="224"/>
    </row>
    <row r="1025" spans="2:18" s="222" customFormat="1" x14ac:dyDescent="0.2">
      <c r="B1025" s="224"/>
      <c r="C1025" s="224"/>
      <c r="D1025" s="238"/>
      <c r="E1025" s="239"/>
      <c r="F1025" s="239"/>
      <c r="G1025" s="224"/>
      <c r="H1025" s="55"/>
      <c r="I1025" s="240"/>
      <c r="J1025" s="20"/>
      <c r="K1025" s="241"/>
      <c r="L1025" s="241"/>
      <c r="M1025" s="224"/>
      <c r="N1025" s="224"/>
      <c r="O1025" s="20"/>
      <c r="P1025" s="224"/>
      <c r="Q1025" s="45"/>
      <c r="R1025" s="224"/>
    </row>
    <row r="1026" spans="2:18" s="222" customFormat="1" x14ac:dyDescent="0.2">
      <c r="B1026" s="224"/>
      <c r="C1026" s="224"/>
      <c r="D1026" s="238"/>
      <c r="E1026" s="239"/>
      <c r="F1026" s="239"/>
      <c r="G1026" s="224"/>
      <c r="H1026" s="55"/>
      <c r="I1026" s="240"/>
      <c r="J1026" s="20"/>
      <c r="K1026" s="241"/>
      <c r="L1026" s="241"/>
      <c r="M1026" s="224"/>
      <c r="N1026" s="224"/>
      <c r="O1026" s="20"/>
      <c r="P1026" s="224"/>
      <c r="Q1026" s="45"/>
      <c r="R1026" s="224"/>
    </row>
    <row r="1027" spans="2:18" s="222" customFormat="1" x14ac:dyDescent="0.2">
      <c r="B1027" s="224"/>
      <c r="C1027" s="224"/>
      <c r="D1027" s="238"/>
      <c r="E1027" s="239"/>
      <c r="F1027" s="239"/>
      <c r="G1027" s="224"/>
      <c r="H1027" s="55"/>
      <c r="I1027" s="240"/>
      <c r="J1027" s="20"/>
      <c r="K1027" s="241"/>
      <c r="L1027" s="241"/>
      <c r="M1027" s="224"/>
      <c r="N1027" s="224"/>
      <c r="O1027" s="20"/>
      <c r="P1027" s="224"/>
      <c r="Q1027" s="45"/>
      <c r="R1027" s="224"/>
    </row>
    <row r="1028" spans="2:18" s="222" customFormat="1" x14ac:dyDescent="0.2">
      <c r="B1028" s="224"/>
      <c r="C1028" s="224"/>
      <c r="D1028" s="238"/>
      <c r="E1028" s="239"/>
      <c r="F1028" s="239"/>
      <c r="G1028" s="224"/>
      <c r="H1028" s="55"/>
      <c r="I1028" s="240"/>
      <c r="J1028" s="20"/>
      <c r="K1028" s="241"/>
      <c r="L1028" s="241"/>
      <c r="M1028" s="224"/>
      <c r="N1028" s="224"/>
      <c r="O1028" s="20"/>
      <c r="P1028" s="224"/>
      <c r="Q1028" s="45"/>
      <c r="R1028" s="224"/>
    </row>
    <row r="1029" spans="2:18" s="222" customFormat="1" x14ac:dyDescent="0.2">
      <c r="B1029" s="224"/>
      <c r="C1029" s="224"/>
      <c r="D1029" s="238"/>
      <c r="E1029" s="239"/>
      <c r="F1029" s="239"/>
      <c r="G1029" s="224"/>
      <c r="H1029" s="55"/>
      <c r="I1029" s="240"/>
      <c r="J1029" s="20"/>
      <c r="K1029" s="241"/>
      <c r="L1029" s="241"/>
      <c r="M1029" s="224"/>
      <c r="N1029" s="224"/>
      <c r="O1029" s="20"/>
      <c r="P1029" s="224"/>
      <c r="Q1029" s="45"/>
      <c r="R1029" s="224"/>
    </row>
    <row r="1030" spans="2:18" s="222" customFormat="1" x14ac:dyDescent="0.2">
      <c r="B1030" s="224"/>
      <c r="C1030" s="224"/>
      <c r="D1030" s="238"/>
      <c r="E1030" s="239"/>
      <c r="F1030" s="239"/>
      <c r="G1030" s="224"/>
      <c r="H1030" s="55"/>
      <c r="I1030" s="240"/>
      <c r="J1030" s="20"/>
      <c r="K1030" s="241"/>
      <c r="L1030" s="241"/>
      <c r="M1030" s="224"/>
      <c r="N1030" s="224"/>
      <c r="O1030" s="20"/>
      <c r="P1030" s="224"/>
      <c r="Q1030" s="45"/>
      <c r="R1030" s="224"/>
    </row>
    <row r="1031" spans="2:18" s="222" customFormat="1" x14ac:dyDescent="0.2">
      <c r="B1031" s="224"/>
      <c r="C1031" s="224"/>
      <c r="D1031" s="238"/>
      <c r="E1031" s="239"/>
      <c r="F1031" s="239"/>
      <c r="G1031" s="224"/>
      <c r="H1031" s="55"/>
      <c r="I1031" s="240"/>
      <c r="J1031" s="20"/>
      <c r="K1031" s="241"/>
      <c r="L1031" s="241"/>
      <c r="M1031" s="224"/>
      <c r="N1031" s="224"/>
      <c r="O1031" s="20"/>
      <c r="P1031" s="224"/>
      <c r="Q1031" s="45"/>
      <c r="R1031" s="224"/>
    </row>
    <row r="1032" spans="2:18" s="222" customFormat="1" x14ac:dyDescent="0.2">
      <c r="B1032" s="224"/>
      <c r="C1032" s="224"/>
      <c r="D1032" s="238"/>
      <c r="E1032" s="239"/>
      <c r="F1032" s="239"/>
      <c r="G1032" s="224"/>
      <c r="H1032" s="55"/>
      <c r="I1032" s="240"/>
      <c r="J1032" s="20"/>
      <c r="K1032" s="241"/>
      <c r="L1032" s="241"/>
      <c r="M1032" s="224"/>
      <c r="N1032" s="224"/>
      <c r="O1032" s="20"/>
      <c r="P1032" s="224"/>
      <c r="Q1032" s="45"/>
      <c r="R1032" s="224"/>
    </row>
    <row r="1033" spans="2:18" s="222" customFormat="1" x14ac:dyDescent="0.2">
      <c r="B1033" s="224"/>
      <c r="C1033" s="224"/>
      <c r="D1033" s="238"/>
      <c r="E1033" s="239"/>
      <c r="F1033" s="239"/>
      <c r="G1033" s="224"/>
      <c r="H1033" s="55"/>
      <c r="I1033" s="240"/>
      <c r="J1033" s="20"/>
      <c r="K1033" s="241"/>
      <c r="L1033" s="241"/>
      <c r="M1033" s="224"/>
      <c r="N1033" s="224"/>
      <c r="O1033" s="20"/>
      <c r="P1033" s="224"/>
      <c r="Q1033" s="45"/>
      <c r="R1033" s="224"/>
    </row>
    <row r="1034" spans="2:18" s="222" customFormat="1" x14ac:dyDescent="0.2">
      <c r="B1034" s="224"/>
      <c r="C1034" s="224"/>
      <c r="D1034" s="238"/>
      <c r="E1034" s="239"/>
      <c r="F1034" s="239"/>
      <c r="G1034" s="224"/>
      <c r="H1034" s="55"/>
      <c r="I1034" s="240"/>
      <c r="J1034" s="20"/>
      <c r="K1034" s="241"/>
      <c r="L1034" s="241"/>
      <c r="M1034" s="224"/>
      <c r="N1034" s="224"/>
      <c r="O1034" s="20"/>
      <c r="P1034" s="224"/>
      <c r="Q1034" s="45"/>
      <c r="R1034" s="224"/>
    </row>
    <row r="1035" spans="2:18" s="222" customFormat="1" x14ac:dyDescent="0.2">
      <c r="B1035" s="224"/>
      <c r="C1035" s="224"/>
      <c r="D1035" s="238"/>
      <c r="E1035" s="239"/>
      <c r="F1035" s="239"/>
      <c r="G1035" s="224"/>
      <c r="H1035" s="55"/>
      <c r="I1035" s="240"/>
      <c r="J1035" s="20"/>
      <c r="K1035" s="241"/>
      <c r="L1035" s="241"/>
      <c r="M1035" s="224"/>
      <c r="N1035" s="224"/>
      <c r="O1035" s="20"/>
      <c r="P1035" s="224"/>
      <c r="Q1035" s="45"/>
      <c r="R1035" s="224"/>
    </row>
    <row r="1036" spans="2:18" s="222" customFormat="1" x14ac:dyDescent="0.2">
      <c r="B1036" s="224"/>
      <c r="C1036" s="224"/>
      <c r="D1036" s="238"/>
      <c r="E1036" s="239"/>
      <c r="F1036" s="239"/>
      <c r="G1036" s="224"/>
      <c r="H1036" s="55"/>
      <c r="I1036" s="240"/>
      <c r="J1036" s="20"/>
      <c r="K1036" s="241"/>
      <c r="L1036" s="241"/>
      <c r="M1036" s="224"/>
      <c r="N1036" s="224"/>
      <c r="O1036" s="20"/>
      <c r="P1036" s="224"/>
      <c r="Q1036" s="45"/>
      <c r="R1036" s="224"/>
    </row>
    <row r="1037" spans="2:18" s="222" customFormat="1" x14ac:dyDescent="0.2">
      <c r="B1037" s="224"/>
      <c r="C1037" s="224"/>
      <c r="D1037" s="238"/>
      <c r="E1037" s="239"/>
      <c r="F1037" s="239"/>
      <c r="G1037" s="224"/>
      <c r="H1037" s="55"/>
      <c r="I1037" s="240"/>
      <c r="J1037" s="20"/>
      <c r="K1037" s="241"/>
      <c r="L1037" s="241"/>
      <c r="M1037" s="224"/>
      <c r="N1037" s="224"/>
      <c r="O1037" s="20"/>
      <c r="P1037" s="224"/>
      <c r="Q1037" s="45"/>
      <c r="R1037" s="224"/>
    </row>
    <row r="1038" spans="2:18" s="222" customFormat="1" x14ac:dyDescent="0.2">
      <c r="B1038" s="224"/>
      <c r="C1038" s="224"/>
      <c r="D1038" s="238"/>
      <c r="E1038" s="239"/>
      <c r="F1038" s="239"/>
      <c r="G1038" s="224"/>
      <c r="H1038" s="55"/>
      <c r="I1038" s="240"/>
      <c r="J1038" s="20"/>
      <c r="K1038" s="241"/>
      <c r="L1038" s="241"/>
      <c r="M1038" s="224"/>
      <c r="N1038" s="224"/>
      <c r="O1038" s="20"/>
      <c r="P1038" s="224"/>
      <c r="Q1038" s="45"/>
      <c r="R1038" s="224"/>
    </row>
    <row r="1039" spans="2:18" s="222" customFormat="1" x14ac:dyDescent="0.2">
      <c r="B1039" s="224"/>
      <c r="C1039" s="224"/>
      <c r="D1039" s="238"/>
      <c r="E1039" s="239"/>
      <c r="F1039" s="239"/>
      <c r="G1039" s="224"/>
      <c r="H1039" s="55"/>
      <c r="I1039" s="240"/>
      <c r="J1039" s="20"/>
      <c r="K1039" s="241"/>
      <c r="L1039" s="241"/>
      <c r="M1039" s="224"/>
      <c r="N1039" s="224"/>
      <c r="O1039" s="20"/>
      <c r="P1039" s="224"/>
      <c r="Q1039" s="45"/>
      <c r="R1039" s="224"/>
    </row>
    <row r="1040" spans="2:18" s="222" customFormat="1" x14ac:dyDescent="0.2">
      <c r="B1040" s="224"/>
      <c r="C1040" s="224"/>
      <c r="D1040" s="238"/>
      <c r="E1040" s="239"/>
      <c r="F1040" s="239"/>
      <c r="G1040" s="224"/>
      <c r="H1040" s="55"/>
      <c r="I1040" s="240"/>
      <c r="J1040" s="20"/>
      <c r="K1040" s="241"/>
      <c r="L1040" s="241"/>
      <c r="M1040" s="224"/>
      <c r="N1040" s="224"/>
      <c r="O1040" s="20"/>
      <c r="P1040" s="224"/>
      <c r="Q1040" s="45"/>
      <c r="R1040" s="224"/>
    </row>
    <row r="1041" spans="2:18" s="222" customFormat="1" x14ac:dyDescent="0.2">
      <c r="B1041" s="224"/>
      <c r="C1041" s="224"/>
      <c r="D1041" s="238"/>
      <c r="E1041" s="239"/>
      <c r="F1041" s="239"/>
      <c r="G1041" s="224"/>
      <c r="H1041" s="55"/>
      <c r="I1041" s="240"/>
      <c r="J1041" s="20"/>
      <c r="K1041" s="241"/>
      <c r="L1041" s="241"/>
      <c r="M1041" s="224"/>
      <c r="N1041" s="224"/>
      <c r="O1041" s="20"/>
      <c r="P1041" s="224"/>
      <c r="Q1041" s="45"/>
      <c r="R1041" s="224"/>
    </row>
    <row r="1042" spans="2:18" s="222" customFormat="1" x14ac:dyDescent="0.2">
      <c r="B1042" s="224"/>
      <c r="C1042" s="224"/>
      <c r="D1042" s="238"/>
      <c r="E1042" s="239"/>
      <c r="F1042" s="239"/>
      <c r="G1042" s="224"/>
      <c r="H1042" s="55"/>
      <c r="I1042" s="240"/>
      <c r="J1042" s="20"/>
      <c r="K1042" s="241"/>
      <c r="L1042" s="241"/>
      <c r="M1042" s="224"/>
      <c r="N1042" s="224"/>
      <c r="O1042" s="20"/>
      <c r="P1042" s="224"/>
      <c r="Q1042" s="45"/>
      <c r="R1042" s="224"/>
    </row>
    <row r="1043" spans="2:18" s="222" customFormat="1" x14ac:dyDescent="0.2">
      <c r="B1043" s="224"/>
      <c r="C1043" s="224"/>
      <c r="D1043" s="238"/>
      <c r="E1043" s="239"/>
      <c r="F1043" s="239"/>
      <c r="G1043" s="224"/>
      <c r="H1043" s="55"/>
      <c r="I1043" s="240"/>
      <c r="J1043" s="20"/>
      <c r="K1043" s="241"/>
      <c r="L1043" s="241"/>
      <c r="M1043" s="224"/>
      <c r="N1043" s="224"/>
      <c r="O1043" s="20"/>
      <c r="P1043" s="224"/>
      <c r="Q1043" s="45"/>
      <c r="R1043" s="224"/>
    </row>
    <row r="1044" spans="2:18" s="222" customFormat="1" x14ac:dyDescent="0.2">
      <c r="B1044" s="224"/>
      <c r="C1044" s="224"/>
      <c r="D1044" s="238"/>
      <c r="E1044" s="239"/>
      <c r="F1044" s="239"/>
      <c r="G1044" s="224"/>
      <c r="H1044" s="55"/>
      <c r="I1044" s="240"/>
      <c r="J1044" s="20"/>
      <c r="K1044" s="241"/>
      <c r="L1044" s="241"/>
      <c r="M1044" s="224"/>
      <c r="N1044" s="224"/>
      <c r="O1044" s="20"/>
      <c r="P1044" s="224"/>
      <c r="Q1044" s="45"/>
      <c r="R1044" s="224"/>
    </row>
    <row r="1045" spans="2:18" s="222" customFormat="1" x14ac:dyDescent="0.2">
      <c r="B1045" s="224"/>
      <c r="C1045" s="224"/>
      <c r="D1045" s="238"/>
      <c r="E1045" s="239"/>
      <c r="F1045" s="239"/>
      <c r="G1045" s="224"/>
      <c r="H1045" s="55"/>
      <c r="I1045" s="240"/>
      <c r="J1045" s="20"/>
      <c r="K1045" s="241"/>
      <c r="L1045" s="241"/>
      <c r="M1045" s="224"/>
      <c r="N1045" s="224"/>
      <c r="O1045" s="20"/>
      <c r="P1045" s="224"/>
      <c r="Q1045" s="45"/>
      <c r="R1045" s="224"/>
    </row>
    <row r="1046" spans="2:18" s="222" customFormat="1" x14ac:dyDescent="0.2">
      <c r="B1046" s="224"/>
      <c r="C1046" s="224"/>
      <c r="D1046" s="238"/>
      <c r="E1046" s="239"/>
      <c r="F1046" s="239"/>
      <c r="G1046" s="224"/>
      <c r="H1046" s="55"/>
      <c r="I1046" s="240"/>
      <c r="J1046" s="20"/>
      <c r="K1046" s="241"/>
      <c r="L1046" s="241"/>
      <c r="M1046" s="224"/>
      <c r="N1046" s="224"/>
      <c r="O1046" s="20"/>
      <c r="P1046" s="224"/>
      <c r="Q1046" s="45"/>
      <c r="R1046" s="224"/>
    </row>
    <row r="1047" spans="2:18" s="222" customFormat="1" x14ac:dyDescent="0.2">
      <c r="B1047" s="224"/>
      <c r="C1047" s="224"/>
      <c r="D1047" s="238"/>
      <c r="E1047" s="239"/>
      <c r="F1047" s="239"/>
      <c r="G1047" s="224"/>
      <c r="H1047" s="55"/>
      <c r="I1047" s="240"/>
      <c r="J1047" s="20"/>
      <c r="K1047" s="241"/>
      <c r="L1047" s="241"/>
      <c r="M1047" s="224"/>
      <c r="N1047" s="224"/>
      <c r="O1047" s="20"/>
      <c r="P1047" s="224"/>
      <c r="Q1047" s="45"/>
      <c r="R1047" s="224"/>
    </row>
    <row r="1048" spans="2:18" s="222" customFormat="1" x14ac:dyDescent="0.2">
      <c r="B1048" s="224"/>
      <c r="C1048" s="224"/>
      <c r="D1048" s="238"/>
      <c r="E1048" s="239"/>
      <c r="F1048" s="239"/>
      <c r="G1048" s="224"/>
      <c r="H1048" s="55"/>
      <c r="I1048" s="240"/>
      <c r="J1048" s="20"/>
      <c r="K1048" s="241"/>
      <c r="L1048" s="241"/>
      <c r="M1048" s="224"/>
      <c r="N1048" s="224"/>
      <c r="O1048" s="20"/>
      <c r="P1048" s="224"/>
      <c r="Q1048" s="45"/>
      <c r="R1048" s="224"/>
    </row>
    <row r="1049" spans="2:18" s="222" customFormat="1" x14ac:dyDescent="0.2">
      <c r="B1049" s="224"/>
      <c r="C1049" s="224"/>
      <c r="D1049" s="238"/>
      <c r="E1049" s="239"/>
      <c r="F1049" s="239"/>
      <c r="G1049" s="224"/>
      <c r="H1049" s="55"/>
      <c r="I1049" s="240"/>
      <c r="J1049" s="20"/>
      <c r="K1049" s="241"/>
      <c r="L1049" s="241"/>
      <c r="M1049" s="224"/>
      <c r="N1049" s="224"/>
      <c r="O1049" s="20"/>
      <c r="P1049" s="224"/>
      <c r="Q1049" s="45"/>
      <c r="R1049" s="224"/>
    </row>
    <row r="1050" spans="2:18" s="222" customFormat="1" x14ac:dyDescent="0.2">
      <c r="B1050" s="224"/>
      <c r="C1050" s="224"/>
      <c r="D1050" s="238"/>
      <c r="E1050" s="239"/>
      <c r="F1050" s="239"/>
      <c r="G1050" s="224"/>
      <c r="H1050" s="55"/>
      <c r="I1050" s="240"/>
      <c r="J1050" s="20"/>
      <c r="K1050" s="241"/>
      <c r="L1050" s="241"/>
      <c r="M1050" s="224"/>
      <c r="N1050" s="224"/>
      <c r="O1050" s="20"/>
      <c r="P1050" s="224"/>
      <c r="Q1050" s="45"/>
      <c r="R1050" s="224"/>
    </row>
    <row r="1051" spans="2:18" s="222" customFormat="1" x14ac:dyDescent="0.2">
      <c r="B1051" s="224"/>
      <c r="C1051" s="224"/>
      <c r="D1051" s="238"/>
      <c r="E1051" s="239"/>
      <c r="F1051" s="239"/>
      <c r="G1051" s="224"/>
      <c r="H1051" s="55"/>
      <c r="I1051" s="240"/>
      <c r="J1051" s="20"/>
      <c r="K1051" s="241"/>
      <c r="L1051" s="241"/>
      <c r="M1051" s="224"/>
      <c r="N1051" s="224"/>
      <c r="O1051" s="20"/>
      <c r="P1051" s="224"/>
      <c r="Q1051" s="45"/>
      <c r="R1051" s="224"/>
    </row>
    <row r="1052" spans="2:18" s="222" customFormat="1" x14ac:dyDescent="0.2">
      <c r="B1052" s="224"/>
      <c r="C1052" s="224"/>
      <c r="D1052" s="238"/>
      <c r="E1052" s="239"/>
      <c r="F1052" s="239"/>
      <c r="G1052" s="224"/>
      <c r="H1052" s="55"/>
      <c r="I1052" s="240"/>
      <c r="J1052" s="20"/>
      <c r="K1052" s="241"/>
      <c r="L1052" s="241"/>
      <c r="M1052" s="224"/>
      <c r="N1052" s="224"/>
      <c r="O1052" s="20"/>
      <c r="P1052" s="224"/>
      <c r="Q1052" s="45"/>
      <c r="R1052" s="224"/>
    </row>
    <row r="1053" spans="2:18" s="222" customFormat="1" x14ac:dyDescent="0.2">
      <c r="B1053" s="224"/>
      <c r="C1053" s="224"/>
      <c r="D1053" s="238"/>
      <c r="E1053" s="239"/>
      <c r="F1053" s="239"/>
      <c r="G1053" s="224"/>
      <c r="H1053" s="55"/>
      <c r="I1053" s="240"/>
      <c r="J1053" s="20"/>
      <c r="K1053" s="241"/>
      <c r="L1053" s="241"/>
      <c r="M1053" s="224"/>
      <c r="N1053" s="224"/>
      <c r="O1053" s="20"/>
      <c r="P1053" s="224"/>
      <c r="Q1053" s="45"/>
      <c r="R1053" s="224"/>
    </row>
    <row r="1054" spans="2:18" s="222" customFormat="1" x14ac:dyDescent="0.2">
      <c r="B1054" s="224"/>
      <c r="C1054" s="224"/>
      <c r="D1054" s="238"/>
      <c r="E1054" s="239"/>
      <c r="F1054" s="239"/>
      <c r="G1054" s="224"/>
      <c r="H1054" s="55"/>
      <c r="I1054" s="240"/>
      <c r="J1054" s="20"/>
      <c r="K1054" s="241"/>
      <c r="L1054" s="241"/>
      <c r="M1054" s="224"/>
      <c r="N1054" s="224"/>
      <c r="O1054" s="20"/>
      <c r="P1054" s="224"/>
      <c r="Q1054" s="45"/>
      <c r="R1054" s="224"/>
    </row>
    <row r="1055" spans="2:18" s="222" customFormat="1" x14ac:dyDescent="0.2">
      <c r="B1055" s="224"/>
      <c r="C1055" s="224"/>
      <c r="D1055" s="238"/>
      <c r="E1055" s="239"/>
      <c r="F1055" s="239"/>
      <c r="G1055" s="224"/>
      <c r="H1055" s="55"/>
      <c r="I1055" s="240"/>
      <c r="J1055" s="20"/>
      <c r="K1055" s="241"/>
      <c r="L1055" s="241"/>
      <c r="M1055" s="224"/>
      <c r="N1055" s="224"/>
      <c r="O1055" s="20"/>
      <c r="P1055" s="224"/>
      <c r="Q1055" s="45"/>
      <c r="R1055" s="224"/>
    </row>
    <row r="1056" spans="2:18" s="222" customFormat="1" x14ac:dyDescent="0.2">
      <c r="B1056" s="224"/>
      <c r="C1056" s="224"/>
      <c r="D1056" s="238"/>
      <c r="E1056" s="239"/>
      <c r="F1056" s="239"/>
      <c r="G1056" s="224"/>
      <c r="H1056" s="55"/>
      <c r="I1056" s="240"/>
      <c r="J1056" s="20"/>
      <c r="K1056" s="241"/>
      <c r="L1056" s="241"/>
      <c r="M1056" s="224"/>
      <c r="N1056" s="224"/>
      <c r="O1056" s="20"/>
      <c r="P1056" s="224"/>
      <c r="Q1056" s="45"/>
      <c r="R1056" s="224"/>
    </row>
    <row r="1057" spans="2:18" s="222" customFormat="1" x14ac:dyDescent="0.2">
      <c r="B1057" s="224"/>
      <c r="C1057" s="224"/>
      <c r="D1057" s="238"/>
      <c r="E1057" s="239"/>
      <c r="F1057" s="239"/>
      <c r="G1057" s="224"/>
      <c r="H1057" s="55"/>
      <c r="I1057" s="240"/>
      <c r="J1057" s="20"/>
      <c r="K1057" s="241"/>
      <c r="L1057" s="241"/>
      <c r="M1057" s="224"/>
      <c r="N1057" s="224"/>
      <c r="O1057" s="20"/>
      <c r="P1057" s="224"/>
      <c r="Q1057" s="45"/>
      <c r="R1057" s="224"/>
    </row>
    <row r="1058" spans="2:18" s="222" customFormat="1" x14ac:dyDescent="0.2">
      <c r="B1058" s="224"/>
      <c r="C1058" s="224"/>
      <c r="D1058" s="238"/>
      <c r="E1058" s="239"/>
      <c r="F1058" s="239"/>
      <c r="G1058" s="224"/>
      <c r="H1058" s="55"/>
      <c r="I1058" s="240"/>
      <c r="J1058" s="20"/>
      <c r="K1058" s="241"/>
      <c r="L1058" s="241"/>
      <c r="M1058" s="224"/>
      <c r="N1058" s="224"/>
      <c r="O1058" s="20"/>
      <c r="P1058" s="224"/>
      <c r="Q1058" s="45"/>
      <c r="R1058" s="224"/>
    </row>
    <row r="1059" spans="2:18" s="222" customFormat="1" x14ac:dyDescent="0.2">
      <c r="B1059" s="224"/>
      <c r="C1059" s="224"/>
      <c r="D1059" s="238"/>
      <c r="E1059" s="239"/>
      <c r="F1059" s="239"/>
      <c r="G1059" s="224"/>
      <c r="H1059" s="55"/>
      <c r="I1059" s="240"/>
      <c r="J1059" s="20"/>
      <c r="K1059" s="241"/>
      <c r="L1059" s="241"/>
      <c r="M1059" s="224"/>
      <c r="N1059" s="224"/>
      <c r="O1059" s="20"/>
      <c r="P1059" s="224"/>
      <c r="Q1059" s="45"/>
      <c r="R1059" s="224"/>
    </row>
    <row r="1060" spans="2:18" s="222" customFormat="1" x14ac:dyDescent="0.2">
      <c r="B1060" s="224"/>
      <c r="C1060" s="224"/>
      <c r="D1060" s="238"/>
      <c r="E1060" s="239"/>
      <c r="F1060" s="239"/>
      <c r="G1060" s="224"/>
      <c r="H1060" s="55"/>
      <c r="I1060" s="240"/>
      <c r="J1060" s="20"/>
      <c r="K1060" s="241"/>
      <c r="L1060" s="241"/>
      <c r="M1060" s="224"/>
      <c r="N1060" s="224"/>
      <c r="O1060" s="20"/>
      <c r="P1060" s="224"/>
      <c r="Q1060" s="45"/>
      <c r="R1060" s="224"/>
    </row>
    <row r="1061" spans="2:18" s="222" customFormat="1" x14ac:dyDescent="0.2">
      <c r="B1061" s="224"/>
      <c r="C1061" s="224"/>
      <c r="D1061" s="238"/>
      <c r="E1061" s="239"/>
      <c r="F1061" s="239"/>
      <c r="G1061" s="224"/>
      <c r="H1061" s="55"/>
      <c r="I1061" s="240"/>
      <c r="J1061" s="20"/>
      <c r="K1061" s="241"/>
      <c r="L1061" s="241"/>
      <c r="M1061" s="224"/>
      <c r="N1061" s="224"/>
      <c r="O1061" s="20"/>
      <c r="P1061" s="224"/>
      <c r="Q1061" s="45"/>
      <c r="R1061" s="224"/>
    </row>
    <row r="1062" spans="2:18" s="222" customFormat="1" x14ac:dyDescent="0.2">
      <c r="B1062" s="224"/>
      <c r="C1062" s="224"/>
      <c r="D1062" s="238"/>
      <c r="E1062" s="239"/>
      <c r="F1062" s="239"/>
      <c r="G1062" s="224"/>
      <c r="H1062" s="55"/>
      <c r="I1062" s="240"/>
      <c r="J1062" s="20"/>
      <c r="K1062" s="241"/>
      <c r="L1062" s="241"/>
      <c r="M1062" s="224"/>
      <c r="N1062" s="224"/>
      <c r="O1062" s="20"/>
      <c r="P1062" s="224"/>
      <c r="Q1062" s="45"/>
      <c r="R1062" s="224"/>
    </row>
    <row r="1063" spans="2:18" s="222" customFormat="1" x14ac:dyDescent="0.2">
      <c r="B1063" s="224"/>
      <c r="C1063" s="224"/>
      <c r="D1063" s="238"/>
      <c r="E1063" s="239"/>
      <c r="F1063" s="239"/>
      <c r="G1063" s="224"/>
      <c r="H1063" s="55"/>
      <c r="I1063" s="240"/>
      <c r="J1063" s="20"/>
      <c r="K1063" s="241"/>
      <c r="L1063" s="241"/>
      <c r="M1063" s="224"/>
      <c r="N1063" s="224"/>
      <c r="O1063" s="20"/>
      <c r="P1063" s="224"/>
      <c r="Q1063" s="45"/>
      <c r="R1063" s="224"/>
    </row>
    <row r="1064" spans="2:18" s="222" customFormat="1" x14ac:dyDescent="0.2">
      <c r="B1064" s="224"/>
      <c r="C1064" s="224"/>
      <c r="D1064" s="238"/>
      <c r="E1064" s="239"/>
      <c r="F1064" s="239"/>
      <c r="G1064" s="224"/>
      <c r="H1064" s="55"/>
      <c r="I1064" s="240"/>
      <c r="J1064" s="20"/>
      <c r="K1064" s="241"/>
      <c r="L1064" s="241"/>
      <c r="M1064" s="224"/>
      <c r="N1064" s="224"/>
      <c r="O1064" s="20"/>
      <c r="P1064" s="224"/>
      <c r="Q1064" s="45"/>
      <c r="R1064" s="224"/>
    </row>
    <row r="1065" spans="2:18" s="222" customFormat="1" x14ac:dyDescent="0.2">
      <c r="B1065" s="224"/>
      <c r="C1065" s="224"/>
      <c r="D1065" s="238"/>
      <c r="E1065" s="239"/>
      <c r="F1065" s="239"/>
      <c r="G1065" s="224"/>
      <c r="H1065" s="55"/>
      <c r="I1065" s="240"/>
      <c r="J1065" s="20"/>
      <c r="K1065" s="241"/>
      <c r="L1065" s="241"/>
      <c r="M1065" s="224"/>
      <c r="N1065" s="224"/>
      <c r="O1065" s="20"/>
      <c r="P1065" s="224"/>
      <c r="Q1065" s="45"/>
      <c r="R1065" s="224"/>
    </row>
    <row r="1066" spans="2:18" s="222" customFormat="1" x14ac:dyDescent="0.2">
      <c r="B1066" s="224"/>
      <c r="C1066" s="224"/>
      <c r="D1066" s="238"/>
      <c r="E1066" s="239"/>
      <c r="F1066" s="239"/>
      <c r="G1066" s="224"/>
      <c r="H1066" s="55"/>
      <c r="I1066" s="240"/>
      <c r="J1066" s="20"/>
      <c r="K1066" s="241"/>
      <c r="L1066" s="241"/>
      <c r="M1066" s="224"/>
      <c r="N1066" s="224"/>
      <c r="O1066" s="20"/>
      <c r="P1066" s="224"/>
      <c r="Q1066" s="45"/>
      <c r="R1066" s="224"/>
    </row>
    <row r="1067" spans="2:18" s="222" customFormat="1" x14ac:dyDescent="0.2">
      <c r="B1067" s="224"/>
      <c r="C1067" s="224"/>
      <c r="D1067" s="238"/>
      <c r="E1067" s="239"/>
      <c r="F1067" s="239"/>
      <c r="G1067" s="224"/>
      <c r="H1067" s="55"/>
      <c r="I1067" s="240"/>
      <c r="J1067" s="20"/>
      <c r="K1067" s="241"/>
      <c r="L1067" s="241"/>
      <c r="M1067" s="224"/>
      <c r="N1067" s="224"/>
      <c r="O1067" s="20"/>
      <c r="P1067" s="224"/>
      <c r="Q1067" s="45"/>
      <c r="R1067" s="224"/>
    </row>
    <row r="1068" spans="2:18" s="222" customFormat="1" x14ac:dyDescent="0.2">
      <c r="B1068" s="224"/>
      <c r="C1068" s="224"/>
      <c r="D1068" s="238"/>
      <c r="E1068" s="239"/>
      <c r="F1068" s="239"/>
      <c r="G1068" s="224"/>
      <c r="H1068" s="55"/>
      <c r="I1068" s="240"/>
      <c r="J1068" s="20"/>
      <c r="K1068" s="241"/>
      <c r="L1068" s="241"/>
      <c r="M1068" s="224"/>
      <c r="N1068" s="224"/>
      <c r="O1068" s="20"/>
      <c r="P1068" s="224"/>
      <c r="Q1068" s="45"/>
      <c r="R1068" s="224"/>
    </row>
    <row r="1069" spans="2:18" s="222" customFormat="1" x14ac:dyDescent="0.2">
      <c r="B1069" s="224"/>
      <c r="C1069" s="224"/>
      <c r="D1069" s="238"/>
      <c r="E1069" s="239"/>
      <c r="F1069" s="239"/>
      <c r="G1069" s="224"/>
      <c r="H1069" s="55"/>
      <c r="I1069" s="240"/>
      <c r="J1069" s="20"/>
      <c r="K1069" s="241"/>
      <c r="L1069" s="241"/>
      <c r="M1069" s="224"/>
      <c r="N1069" s="224"/>
      <c r="O1069" s="20"/>
      <c r="P1069" s="224"/>
      <c r="Q1069" s="45"/>
      <c r="R1069" s="224"/>
    </row>
    <row r="1070" spans="2:18" s="222" customFormat="1" x14ac:dyDescent="0.2">
      <c r="B1070" s="225"/>
      <c r="C1070" s="224"/>
      <c r="D1070" s="238"/>
      <c r="E1070" s="239"/>
      <c r="F1070" s="239"/>
      <c r="G1070" s="224"/>
      <c r="H1070" s="55"/>
      <c r="I1070" s="240"/>
      <c r="J1070" s="224"/>
      <c r="K1070" s="241"/>
      <c r="L1070" s="241"/>
      <c r="M1070" s="224"/>
      <c r="N1070" s="224"/>
      <c r="O1070" s="20"/>
      <c r="P1070" s="224"/>
      <c r="Q1070" s="45"/>
      <c r="R1070" s="224"/>
    </row>
  </sheetData>
  <protectedRanges>
    <protectedRange sqref="D874:D1070" name="Rango2_2"/>
    <protectedRange sqref="Q449 Q444:Q447" name="Rango2_2_2"/>
    <protectedRange sqref="Q450" name="Rango2"/>
    <protectedRange sqref="Q451" name="Rango2_1"/>
    <protectedRange sqref="Q452" name="Rango2_3"/>
    <protectedRange sqref="Q453" name="Rango2_4"/>
    <protectedRange sqref="Q454" name="Rango2_1_1"/>
    <protectedRange sqref="Q455" name="Rango2_3_1"/>
    <protectedRange sqref="Q456" name="Rango2_3_3"/>
    <protectedRange sqref="Q458" name="Rango2_5"/>
    <protectedRange sqref="Q466" name="Rango2_2_4"/>
  </protectedRanges>
  <autoFilter ref="B7:Z872"/>
  <mergeCells count="432">
    <mergeCell ref="B383:B384"/>
    <mergeCell ref="C383:C384"/>
    <mergeCell ref="E383:E384"/>
    <mergeCell ref="F383:F384"/>
    <mergeCell ref="G383:G384"/>
    <mergeCell ref="B374:B375"/>
    <mergeCell ref="C374:C375"/>
    <mergeCell ref="E374:E375"/>
    <mergeCell ref="F374:F375"/>
    <mergeCell ref="G374:G375"/>
    <mergeCell ref="B376:B380"/>
    <mergeCell ref="C376:C380"/>
    <mergeCell ref="E376:E380"/>
    <mergeCell ref="F376:F380"/>
    <mergeCell ref="G376:G380"/>
    <mergeCell ref="B268:B272"/>
    <mergeCell ref="C268:C272"/>
    <mergeCell ref="E268:E272"/>
    <mergeCell ref="F268:F272"/>
    <mergeCell ref="G268:G272"/>
    <mergeCell ref="B282:B283"/>
    <mergeCell ref="C282:C283"/>
    <mergeCell ref="E282:E283"/>
    <mergeCell ref="F282:F283"/>
    <mergeCell ref="G282:G283"/>
    <mergeCell ref="B258:B262"/>
    <mergeCell ref="C258:C262"/>
    <mergeCell ref="E258:E262"/>
    <mergeCell ref="F258:F262"/>
    <mergeCell ref="G258:G262"/>
    <mergeCell ref="B263:B267"/>
    <mergeCell ref="C263:C267"/>
    <mergeCell ref="E263:E267"/>
    <mergeCell ref="F263:F267"/>
    <mergeCell ref="G263:G267"/>
    <mergeCell ref="B248:B252"/>
    <mergeCell ref="C248:C252"/>
    <mergeCell ref="E248:E252"/>
    <mergeCell ref="F248:F252"/>
    <mergeCell ref="G248:G252"/>
    <mergeCell ref="B253:B257"/>
    <mergeCell ref="C253:C257"/>
    <mergeCell ref="E253:E257"/>
    <mergeCell ref="F253:F257"/>
    <mergeCell ref="G253:G257"/>
    <mergeCell ref="B233:B237"/>
    <mergeCell ref="C233:C237"/>
    <mergeCell ref="G233:G237"/>
    <mergeCell ref="B238:B242"/>
    <mergeCell ref="C238:C242"/>
    <mergeCell ref="G238:G242"/>
    <mergeCell ref="B243:B247"/>
    <mergeCell ref="C243:C247"/>
    <mergeCell ref="E243:E247"/>
    <mergeCell ref="F243:F247"/>
    <mergeCell ref="G243:G247"/>
    <mergeCell ref="B223:B227"/>
    <mergeCell ref="C223:C227"/>
    <mergeCell ref="E223:E227"/>
    <mergeCell ref="F223:F227"/>
    <mergeCell ref="G223:G227"/>
    <mergeCell ref="B228:B232"/>
    <mergeCell ref="C228:C232"/>
    <mergeCell ref="G228:G232"/>
    <mergeCell ref="B216:B217"/>
    <mergeCell ref="C216:C217"/>
    <mergeCell ref="E216:E217"/>
    <mergeCell ref="F216:F217"/>
    <mergeCell ref="G216:G217"/>
    <mergeCell ref="B218:B219"/>
    <mergeCell ref="C218:C219"/>
    <mergeCell ref="E218:E219"/>
    <mergeCell ref="F218:F219"/>
    <mergeCell ref="G218:G219"/>
    <mergeCell ref="B212:B213"/>
    <mergeCell ref="C212:C213"/>
    <mergeCell ref="E212:E213"/>
    <mergeCell ref="F212:F213"/>
    <mergeCell ref="G212:G213"/>
    <mergeCell ref="B214:B215"/>
    <mergeCell ref="C214:C215"/>
    <mergeCell ref="E214:E215"/>
    <mergeCell ref="F214:F215"/>
    <mergeCell ref="G214:G215"/>
    <mergeCell ref="B200:B202"/>
    <mergeCell ref="C200:C202"/>
    <mergeCell ref="E200:E202"/>
    <mergeCell ref="F200:F202"/>
    <mergeCell ref="G200:G202"/>
    <mergeCell ref="B210:B211"/>
    <mergeCell ref="C210:C211"/>
    <mergeCell ref="E210:E211"/>
    <mergeCell ref="F210:F211"/>
    <mergeCell ref="G210:G211"/>
    <mergeCell ref="B189:B191"/>
    <mergeCell ref="C189:C191"/>
    <mergeCell ref="E189:E191"/>
    <mergeCell ref="F189:F191"/>
    <mergeCell ref="G189:G191"/>
    <mergeCell ref="B192:B194"/>
    <mergeCell ref="C192:C194"/>
    <mergeCell ref="E192:E194"/>
    <mergeCell ref="F192:F194"/>
    <mergeCell ref="G192:G194"/>
    <mergeCell ref="B178:B179"/>
    <mergeCell ref="C178:C179"/>
    <mergeCell ref="E178:E179"/>
    <mergeCell ref="F178:F179"/>
    <mergeCell ref="G178:G179"/>
    <mergeCell ref="B131:B132"/>
    <mergeCell ref="C131:C132"/>
    <mergeCell ref="E131:E132"/>
    <mergeCell ref="F131:F132"/>
    <mergeCell ref="G131:G132"/>
    <mergeCell ref="B170:B171"/>
    <mergeCell ref="C170:C171"/>
    <mergeCell ref="E170:E171"/>
    <mergeCell ref="F170:F171"/>
    <mergeCell ref="G170:G171"/>
    <mergeCell ref="B172:B174"/>
    <mergeCell ref="C172:C174"/>
    <mergeCell ref="E172:E174"/>
    <mergeCell ref="F172:F174"/>
    <mergeCell ref="G172:G174"/>
    <mergeCell ref="B153:B154"/>
    <mergeCell ref="C153:C154"/>
    <mergeCell ref="E153:E154"/>
    <mergeCell ref="F153:F154"/>
    <mergeCell ref="G153:G154"/>
    <mergeCell ref="C159:C161"/>
    <mergeCell ref="B159:B161"/>
    <mergeCell ref="E159:E161"/>
    <mergeCell ref="F159:F161"/>
    <mergeCell ref="G159:G161"/>
    <mergeCell ref="B157:B158"/>
    <mergeCell ref="C157:C158"/>
    <mergeCell ref="E157:E158"/>
    <mergeCell ref="F157:F158"/>
    <mergeCell ref="G157:G158"/>
    <mergeCell ref="B155:B156"/>
    <mergeCell ref="C155:C156"/>
    <mergeCell ref="E155:E156"/>
    <mergeCell ref="F155:F156"/>
    <mergeCell ref="G155:G156"/>
    <mergeCell ref="B149:B150"/>
    <mergeCell ref="C149:C150"/>
    <mergeCell ref="E149:E150"/>
    <mergeCell ref="F149:F150"/>
    <mergeCell ref="G149:G150"/>
    <mergeCell ref="B151:B152"/>
    <mergeCell ref="C151:C152"/>
    <mergeCell ref="E151:E152"/>
    <mergeCell ref="F151:F152"/>
    <mergeCell ref="G151:G152"/>
    <mergeCell ref="B143:B145"/>
    <mergeCell ref="C143:C145"/>
    <mergeCell ref="E143:E145"/>
    <mergeCell ref="F143:F145"/>
    <mergeCell ref="G143:G145"/>
    <mergeCell ref="B146:B148"/>
    <mergeCell ref="C146:C148"/>
    <mergeCell ref="E146:E148"/>
    <mergeCell ref="F146:F148"/>
    <mergeCell ref="G146:G148"/>
    <mergeCell ref="C365:C366"/>
    <mergeCell ref="E365:E366"/>
    <mergeCell ref="F365:F366"/>
    <mergeCell ref="B70:B73"/>
    <mergeCell ref="E70:E73"/>
    <mergeCell ref="F70:F73"/>
    <mergeCell ref="G365:G366"/>
    <mergeCell ref="B346:B347"/>
    <mergeCell ref="C346:C347"/>
    <mergeCell ref="E346:E347"/>
    <mergeCell ref="F346:F347"/>
    <mergeCell ref="G346:G347"/>
    <mergeCell ref="B348:B349"/>
    <mergeCell ref="C348:C349"/>
    <mergeCell ref="E348:E349"/>
    <mergeCell ref="F348:F349"/>
    <mergeCell ref="G348:G349"/>
    <mergeCell ref="C350:C351"/>
    <mergeCell ref="B350:B351"/>
    <mergeCell ref="E350:E351"/>
    <mergeCell ref="F350:F351"/>
    <mergeCell ref="G350:G351"/>
    <mergeCell ref="B354:B356"/>
    <mergeCell ref="C354:C356"/>
    <mergeCell ref="E354:E356"/>
    <mergeCell ref="F354:F356"/>
    <mergeCell ref="B365:B366"/>
    <mergeCell ref="G70:G73"/>
    <mergeCell ref="F66:F69"/>
    <mergeCell ref="G66:G69"/>
    <mergeCell ref="B120:B121"/>
    <mergeCell ref="C120:C121"/>
    <mergeCell ref="E120:E121"/>
    <mergeCell ref="F120:F121"/>
    <mergeCell ref="G120:G121"/>
    <mergeCell ref="B117:B118"/>
    <mergeCell ref="C117:C118"/>
    <mergeCell ref="E117:E118"/>
    <mergeCell ref="F117:F118"/>
    <mergeCell ref="G117:G118"/>
    <mergeCell ref="B74:B76"/>
    <mergeCell ref="C74:C76"/>
    <mergeCell ref="E74:E76"/>
    <mergeCell ref="F74:F76"/>
    <mergeCell ref="G74:G76"/>
    <mergeCell ref="C85:C86"/>
    <mergeCell ref="B85:B86"/>
    <mergeCell ref="B66:B69"/>
    <mergeCell ref="C66:C69"/>
    <mergeCell ref="E66:E69"/>
    <mergeCell ref="C70:C73"/>
    <mergeCell ref="A13:A14"/>
    <mergeCell ref="E13:E14"/>
    <mergeCell ref="F13:F14"/>
    <mergeCell ref="G13:G14"/>
    <mergeCell ref="C13:C14"/>
    <mergeCell ref="B13:B14"/>
    <mergeCell ref="B19:B20"/>
    <mergeCell ref="C19:C20"/>
    <mergeCell ref="E19:E20"/>
    <mergeCell ref="F19:F20"/>
    <mergeCell ref="G19:G20"/>
    <mergeCell ref="B27:B28"/>
    <mergeCell ref="C27:C28"/>
    <mergeCell ref="E27:E28"/>
    <mergeCell ref="F27:F28"/>
    <mergeCell ref="G27:G28"/>
    <mergeCell ref="B30:B32"/>
    <mergeCell ref="C30:C32"/>
    <mergeCell ref="E30:E32"/>
    <mergeCell ref="F30:F32"/>
    <mergeCell ref="G30:G32"/>
    <mergeCell ref="B2:Q2"/>
    <mergeCell ref="B5:C5"/>
    <mergeCell ref="M4:R4"/>
    <mergeCell ref="B4:C4"/>
    <mergeCell ref="D4:K4"/>
    <mergeCell ref="D5:K5"/>
    <mergeCell ref="B17:B18"/>
    <mergeCell ref="C17:C18"/>
    <mergeCell ref="E17:E18"/>
    <mergeCell ref="F17:F18"/>
    <mergeCell ref="G17:G18"/>
    <mergeCell ref="B35:B36"/>
    <mergeCell ref="C35:C36"/>
    <mergeCell ref="E35:E36"/>
    <mergeCell ref="F35:F36"/>
    <mergeCell ref="G35:G36"/>
    <mergeCell ref="B37:B39"/>
    <mergeCell ref="C37:C39"/>
    <mergeCell ref="E37:E39"/>
    <mergeCell ref="F37:F39"/>
    <mergeCell ref="G37:G39"/>
    <mergeCell ref="B40:B41"/>
    <mergeCell ref="C40:C41"/>
    <mergeCell ref="E40:E41"/>
    <mergeCell ref="F40:F41"/>
    <mergeCell ref="G40:G41"/>
    <mergeCell ref="B42:B45"/>
    <mergeCell ref="C42:C45"/>
    <mergeCell ref="E42:E45"/>
    <mergeCell ref="F42:F45"/>
    <mergeCell ref="G42:G45"/>
    <mergeCell ref="B48:B49"/>
    <mergeCell ref="C48:C49"/>
    <mergeCell ref="E48:E49"/>
    <mergeCell ref="F48:F49"/>
    <mergeCell ref="G48:G49"/>
    <mergeCell ref="B50:B51"/>
    <mergeCell ref="C50:C51"/>
    <mergeCell ref="E50:E51"/>
    <mergeCell ref="F50:F51"/>
    <mergeCell ref="G50:G51"/>
    <mergeCell ref="B53:B54"/>
    <mergeCell ref="C53:C54"/>
    <mergeCell ref="E53:E54"/>
    <mergeCell ref="F53:F54"/>
    <mergeCell ref="G53:G54"/>
    <mergeCell ref="B55:B59"/>
    <mergeCell ref="C55:C59"/>
    <mergeCell ref="E55:E59"/>
    <mergeCell ref="F55:F59"/>
    <mergeCell ref="G55:G59"/>
    <mergeCell ref="B123:B124"/>
    <mergeCell ref="C123:C124"/>
    <mergeCell ref="E123:E124"/>
    <mergeCell ref="F123:F124"/>
    <mergeCell ref="G123:G124"/>
    <mergeCell ref="B125:B127"/>
    <mergeCell ref="C125:C127"/>
    <mergeCell ref="E125:E127"/>
    <mergeCell ref="F125:F127"/>
    <mergeCell ref="G125:G127"/>
    <mergeCell ref="B128:B130"/>
    <mergeCell ref="C128:C130"/>
    <mergeCell ref="E128:E130"/>
    <mergeCell ref="F128:F130"/>
    <mergeCell ref="G128:G130"/>
    <mergeCell ref="B136:B137"/>
    <mergeCell ref="C136:C137"/>
    <mergeCell ref="E136:E137"/>
    <mergeCell ref="F136:F137"/>
    <mergeCell ref="G136:G137"/>
    <mergeCell ref="B138:B140"/>
    <mergeCell ref="C138:C140"/>
    <mergeCell ref="E138:E140"/>
    <mergeCell ref="F138:F140"/>
    <mergeCell ref="G138:G140"/>
    <mergeCell ref="B141:B142"/>
    <mergeCell ref="C141:C142"/>
    <mergeCell ref="E141:E142"/>
    <mergeCell ref="F141:F142"/>
    <mergeCell ref="G141:G142"/>
    <mergeCell ref="B385:B386"/>
    <mergeCell ref="C385:C386"/>
    <mergeCell ref="E385:E386"/>
    <mergeCell ref="F385:F386"/>
    <mergeCell ref="G385:G386"/>
    <mergeCell ref="B387:B388"/>
    <mergeCell ref="C387:C388"/>
    <mergeCell ref="E387:E388"/>
    <mergeCell ref="F387:F388"/>
    <mergeCell ref="G387:G388"/>
    <mergeCell ref="G395:G396"/>
    <mergeCell ref="B389:B390"/>
    <mergeCell ref="C389:C390"/>
    <mergeCell ref="E389:E390"/>
    <mergeCell ref="F389:F390"/>
    <mergeCell ref="G389:G390"/>
    <mergeCell ref="B391:B392"/>
    <mergeCell ref="C391:C392"/>
    <mergeCell ref="E391:E392"/>
    <mergeCell ref="F391:F392"/>
    <mergeCell ref="G391:G392"/>
    <mergeCell ref="B399:B400"/>
    <mergeCell ref="C399:C400"/>
    <mergeCell ref="E399:E400"/>
    <mergeCell ref="F399:F400"/>
    <mergeCell ref="G399:G400"/>
    <mergeCell ref="B405:B407"/>
    <mergeCell ref="C405:C407"/>
    <mergeCell ref="E405:E407"/>
    <mergeCell ref="F405:F407"/>
    <mergeCell ref="G405:G407"/>
    <mergeCell ref="B408:B410"/>
    <mergeCell ref="C408:C410"/>
    <mergeCell ref="E408:E410"/>
    <mergeCell ref="F408:F410"/>
    <mergeCell ref="G408:G410"/>
    <mergeCell ref="B411:B413"/>
    <mergeCell ref="C411:C413"/>
    <mergeCell ref="E411:E413"/>
    <mergeCell ref="F411:F413"/>
    <mergeCell ref="G411:G413"/>
    <mergeCell ref="B414:B415"/>
    <mergeCell ref="C414:C415"/>
    <mergeCell ref="E414:E415"/>
    <mergeCell ref="F414:F415"/>
    <mergeCell ref="G414:G415"/>
    <mergeCell ref="B416:B418"/>
    <mergeCell ref="C416:C418"/>
    <mergeCell ref="E416:E418"/>
    <mergeCell ref="F416:F418"/>
    <mergeCell ref="G416:G418"/>
    <mergeCell ref="G423:G424"/>
    <mergeCell ref="B425:B426"/>
    <mergeCell ref="C425:C426"/>
    <mergeCell ref="E425:E426"/>
    <mergeCell ref="F425:F426"/>
    <mergeCell ref="G425:G426"/>
    <mergeCell ref="B419:B420"/>
    <mergeCell ref="C419:C420"/>
    <mergeCell ref="E419:E420"/>
    <mergeCell ref="F419:F420"/>
    <mergeCell ref="G419:G420"/>
    <mergeCell ref="B421:B422"/>
    <mergeCell ref="C421:C422"/>
    <mergeCell ref="E421:E422"/>
    <mergeCell ref="F421:F422"/>
    <mergeCell ref="G421:G422"/>
    <mergeCell ref="B431:B432"/>
    <mergeCell ref="C431:C432"/>
    <mergeCell ref="E431:E432"/>
    <mergeCell ref="F431:F432"/>
    <mergeCell ref="G431:G432"/>
    <mergeCell ref="B330:B331"/>
    <mergeCell ref="C330:C331"/>
    <mergeCell ref="E330:E331"/>
    <mergeCell ref="F330:F331"/>
    <mergeCell ref="G330:G331"/>
    <mergeCell ref="B427:B428"/>
    <mergeCell ref="C427:C428"/>
    <mergeCell ref="E427:E428"/>
    <mergeCell ref="F427:F428"/>
    <mergeCell ref="G427:G428"/>
    <mergeCell ref="B429:B430"/>
    <mergeCell ref="C429:C430"/>
    <mergeCell ref="E429:E430"/>
    <mergeCell ref="F429:F430"/>
    <mergeCell ref="G429:G430"/>
    <mergeCell ref="B423:B424"/>
    <mergeCell ref="C423:C424"/>
    <mergeCell ref="E423:E424"/>
    <mergeCell ref="F423:F424"/>
    <mergeCell ref="B397:B398"/>
    <mergeCell ref="C397:C398"/>
    <mergeCell ref="E397:E398"/>
    <mergeCell ref="F397:F398"/>
    <mergeCell ref="G397:G398"/>
    <mergeCell ref="C328:C329"/>
    <mergeCell ref="B328:B329"/>
    <mergeCell ref="E328:E329"/>
    <mergeCell ref="F328:F329"/>
    <mergeCell ref="G328:G329"/>
    <mergeCell ref="B340:B341"/>
    <mergeCell ref="C340:C341"/>
    <mergeCell ref="E340:E341"/>
    <mergeCell ref="F340:F341"/>
    <mergeCell ref="G340:G341"/>
    <mergeCell ref="B393:B394"/>
    <mergeCell ref="C393:C394"/>
    <mergeCell ref="E393:E394"/>
    <mergeCell ref="F393:F394"/>
    <mergeCell ref="G393:G394"/>
    <mergeCell ref="B395:B396"/>
    <mergeCell ref="C395:C396"/>
    <mergeCell ref="E395:E396"/>
    <mergeCell ref="F395:F396"/>
  </mergeCells>
  <phoneticPr fontId="9" type="noConversion"/>
  <dataValidations count="6">
    <dataValidation type="list" allowBlank="1" showInputMessage="1" showErrorMessage="1" sqref="O1071:O64633">
      <formula1>$B$873:$B$941</formula1>
    </dataValidation>
    <dataValidation type="list" allowBlank="1" showInputMessage="1" showErrorMessage="1" sqref="K8:K23 K30:K432">
      <formula1>$T$3:$W$3</formula1>
    </dataValidation>
    <dataValidation type="list" allowBlank="1" showInputMessage="1" showErrorMessage="1" sqref="L8:L11 L15:L23 L30:L432">
      <formula1>$T$4:$W$4</formula1>
    </dataValidation>
    <dataValidation type="list" allowBlank="1" showInputMessage="1" showErrorMessage="1" sqref="J433:J64633">
      <formula1>$Y$3:$Y$4</formula1>
    </dataValidation>
    <dataValidation type="list" allowBlank="1" showInputMessage="1" showErrorMessage="1" sqref="O433:O1070">
      <formula1>$A$433:$A$633</formula1>
    </dataValidation>
    <dataValidation type="list" allowBlank="1" showInputMessage="1" showErrorMessage="1" sqref="Q8:Q1070">
      <formula1>INSTRUCTORES</formula1>
    </dataValidation>
  </dataValidations>
  <pageMargins left="0.26" right="0.22" top="0.3" bottom="0.34" header="0" footer="0"/>
  <pageSetup scale="58" orientation="landscape" r:id="rId1"/>
  <headerFooter alignWithMargins="0"/>
  <customProperties>
    <customPr name="DVSECTIONID" r:id="rId2"/>
  </customProperties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/>
  <dimension ref="A1:AH79"/>
  <sheetViews>
    <sheetView showGridLines="0" tabSelected="1" topLeftCell="A55" zoomScaleNormal="100" workbookViewId="0">
      <selection activeCell="F73" sqref="F73"/>
    </sheetView>
  </sheetViews>
  <sheetFormatPr baseColWidth="10" defaultRowHeight="12.75" x14ac:dyDescent="0.2"/>
  <cols>
    <col min="1" max="1" width="2.5703125" customWidth="1"/>
    <col min="2" max="2" width="11.5703125" style="201" bestFit="1" customWidth="1"/>
    <col min="3" max="3" width="2.85546875" style="164" bestFit="1" customWidth="1"/>
    <col min="4" max="4" width="3.28515625" bestFit="1" customWidth="1"/>
    <col min="5" max="5" width="3.5703125" bestFit="1" customWidth="1"/>
    <col min="6" max="9" width="3.28515625" bestFit="1" customWidth="1"/>
    <col min="10" max="10" width="3.42578125" bestFit="1" customWidth="1"/>
    <col min="11" max="11" width="1.42578125" customWidth="1"/>
    <col min="12" max="12" width="5.85546875" bestFit="1" customWidth="1"/>
    <col min="13" max="13" width="2.85546875" customWidth="1"/>
    <col min="14" max="14" width="21.28515625" bestFit="1" customWidth="1"/>
    <col min="15" max="15" width="9" bestFit="1" customWidth="1"/>
    <col min="16" max="16" width="10" bestFit="1" customWidth="1"/>
    <col min="17" max="17" width="11.5703125" bestFit="1" customWidth="1"/>
    <col min="18" max="18" width="7.85546875" bestFit="1" customWidth="1"/>
    <col min="19" max="19" width="10.5703125" bestFit="1" customWidth="1"/>
    <col min="20" max="20" width="8.5703125" customWidth="1"/>
    <col min="21" max="21" width="8" bestFit="1" customWidth="1"/>
    <col min="22" max="22" width="7.85546875" style="201" customWidth="1"/>
    <col min="23" max="23" width="8.85546875" style="164" bestFit="1" customWidth="1"/>
    <col min="24" max="24" width="5" customWidth="1"/>
    <col min="25" max="25" width="4.7109375" customWidth="1"/>
    <col min="26" max="26" width="4" bestFit="1" customWidth="1"/>
    <col min="27" max="27" width="2.85546875" bestFit="1" customWidth="1"/>
    <col min="28" max="28" width="5.5703125" bestFit="1" customWidth="1"/>
    <col min="29" max="29" width="3" bestFit="1" customWidth="1"/>
    <col min="30" max="30" width="6.140625" bestFit="1" customWidth="1"/>
    <col min="31" max="31" width="22.5703125" bestFit="1" customWidth="1"/>
    <col min="32" max="32" width="8.5703125" bestFit="1" customWidth="1"/>
    <col min="33" max="33" width="9.5703125" bestFit="1" customWidth="1"/>
    <col min="34" max="34" width="33.28515625" customWidth="1"/>
    <col min="35" max="35" width="8.140625" bestFit="1" customWidth="1"/>
    <col min="36" max="36" width="9" bestFit="1" customWidth="1"/>
    <col min="37" max="37" width="8.85546875" bestFit="1" customWidth="1"/>
    <col min="38" max="38" width="23.140625" customWidth="1"/>
    <col min="42" max="42" width="24.42578125" customWidth="1"/>
    <col min="257" max="257" width="2.5703125" customWidth="1"/>
    <col min="258" max="258" width="11.5703125" bestFit="1" customWidth="1"/>
    <col min="259" max="259" width="2.85546875" bestFit="1" customWidth="1"/>
    <col min="260" max="260" width="3.28515625" bestFit="1" customWidth="1"/>
    <col min="261" max="261" width="3.5703125" bestFit="1" customWidth="1"/>
    <col min="262" max="265" width="3.28515625" bestFit="1" customWidth="1"/>
    <col min="266" max="266" width="3.42578125" bestFit="1" customWidth="1"/>
    <col min="267" max="267" width="1.42578125" customWidth="1"/>
    <col min="268" max="268" width="5.85546875" bestFit="1" customWidth="1"/>
    <col min="269" max="269" width="2.85546875" customWidth="1"/>
    <col min="270" max="270" width="21.28515625" bestFit="1" customWidth="1"/>
    <col min="271" max="271" width="9" bestFit="1" customWidth="1"/>
    <col min="272" max="272" width="10" bestFit="1" customWidth="1"/>
    <col min="273" max="273" width="6.42578125" bestFit="1" customWidth="1"/>
    <col min="274" max="274" width="7.85546875" bestFit="1" customWidth="1"/>
    <col min="275" max="275" width="10.5703125" bestFit="1" customWidth="1"/>
    <col min="276" max="276" width="8.5703125" customWidth="1"/>
    <col min="277" max="277" width="8" bestFit="1" customWidth="1"/>
    <col min="278" max="278" width="7.85546875" customWidth="1"/>
    <col min="279" max="279" width="8.85546875" bestFit="1" customWidth="1"/>
    <col min="280" max="280" width="5" customWidth="1"/>
    <col min="281" max="281" width="4.7109375" customWidth="1"/>
    <col min="282" max="282" width="3" bestFit="1" customWidth="1"/>
    <col min="283" max="283" width="2.85546875" bestFit="1" customWidth="1"/>
    <col min="284" max="284" width="5.5703125" bestFit="1" customWidth="1"/>
    <col min="285" max="285" width="3" bestFit="1" customWidth="1"/>
    <col min="286" max="286" width="6.140625" bestFit="1" customWidth="1"/>
    <col min="287" max="287" width="22.5703125" bestFit="1" customWidth="1"/>
    <col min="288" max="288" width="8.5703125" bestFit="1" customWidth="1"/>
    <col min="289" max="289" width="9.5703125" bestFit="1" customWidth="1"/>
    <col min="290" max="290" width="33.28515625" customWidth="1"/>
    <col min="291" max="291" width="8.140625" bestFit="1" customWidth="1"/>
    <col min="292" max="292" width="9" bestFit="1" customWidth="1"/>
    <col min="293" max="293" width="8.85546875" bestFit="1" customWidth="1"/>
    <col min="294" max="294" width="23.140625" customWidth="1"/>
    <col min="298" max="298" width="24.42578125" customWidth="1"/>
    <col min="513" max="513" width="2.5703125" customWidth="1"/>
    <col min="514" max="514" width="11.5703125" bestFit="1" customWidth="1"/>
    <col min="515" max="515" width="2.85546875" bestFit="1" customWidth="1"/>
    <col min="516" max="516" width="3.28515625" bestFit="1" customWidth="1"/>
    <col min="517" max="517" width="3.5703125" bestFit="1" customWidth="1"/>
    <col min="518" max="521" width="3.28515625" bestFit="1" customWidth="1"/>
    <col min="522" max="522" width="3.42578125" bestFit="1" customWidth="1"/>
    <col min="523" max="523" width="1.42578125" customWidth="1"/>
    <col min="524" max="524" width="5.85546875" bestFit="1" customWidth="1"/>
    <col min="525" max="525" width="2.85546875" customWidth="1"/>
    <col min="526" max="526" width="21.28515625" bestFit="1" customWidth="1"/>
    <col min="527" max="527" width="9" bestFit="1" customWidth="1"/>
    <col min="528" max="528" width="10" bestFit="1" customWidth="1"/>
    <col min="529" max="529" width="6.42578125" bestFit="1" customWidth="1"/>
    <col min="530" max="530" width="7.85546875" bestFit="1" customWidth="1"/>
    <col min="531" max="531" width="10.5703125" bestFit="1" customWidth="1"/>
    <col min="532" max="532" width="8.5703125" customWidth="1"/>
    <col min="533" max="533" width="8" bestFit="1" customWidth="1"/>
    <col min="534" max="534" width="7.85546875" customWidth="1"/>
    <col min="535" max="535" width="8.85546875" bestFit="1" customWidth="1"/>
    <col min="536" max="536" width="5" customWidth="1"/>
    <col min="537" max="537" width="4.7109375" customWidth="1"/>
    <col min="538" max="538" width="3" bestFit="1" customWidth="1"/>
    <col min="539" max="539" width="2.85546875" bestFit="1" customWidth="1"/>
    <col min="540" max="540" width="5.5703125" bestFit="1" customWidth="1"/>
    <col min="541" max="541" width="3" bestFit="1" customWidth="1"/>
    <col min="542" max="542" width="6.140625" bestFit="1" customWidth="1"/>
    <col min="543" max="543" width="22.5703125" bestFit="1" customWidth="1"/>
    <col min="544" max="544" width="8.5703125" bestFit="1" customWidth="1"/>
    <col min="545" max="545" width="9.5703125" bestFit="1" customWidth="1"/>
    <col min="546" max="546" width="33.28515625" customWidth="1"/>
    <col min="547" max="547" width="8.140625" bestFit="1" customWidth="1"/>
    <col min="548" max="548" width="9" bestFit="1" customWidth="1"/>
    <col min="549" max="549" width="8.85546875" bestFit="1" customWidth="1"/>
    <col min="550" max="550" width="23.140625" customWidth="1"/>
    <col min="554" max="554" width="24.42578125" customWidth="1"/>
    <col min="769" max="769" width="2.5703125" customWidth="1"/>
    <col min="770" max="770" width="11.5703125" bestFit="1" customWidth="1"/>
    <col min="771" max="771" width="2.85546875" bestFit="1" customWidth="1"/>
    <col min="772" max="772" width="3.28515625" bestFit="1" customWidth="1"/>
    <col min="773" max="773" width="3.5703125" bestFit="1" customWidth="1"/>
    <col min="774" max="777" width="3.28515625" bestFit="1" customWidth="1"/>
    <col min="778" max="778" width="3.42578125" bestFit="1" customWidth="1"/>
    <col min="779" max="779" width="1.42578125" customWidth="1"/>
    <col min="780" max="780" width="5.85546875" bestFit="1" customWidth="1"/>
    <col min="781" max="781" width="2.85546875" customWidth="1"/>
    <col min="782" max="782" width="21.28515625" bestFit="1" customWidth="1"/>
    <col min="783" max="783" width="9" bestFit="1" customWidth="1"/>
    <col min="784" max="784" width="10" bestFit="1" customWidth="1"/>
    <col min="785" max="785" width="6.42578125" bestFit="1" customWidth="1"/>
    <col min="786" max="786" width="7.85546875" bestFit="1" customWidth="1"/>
    <col min="787" max="787" width="10.5703125" bestFit="1" customWidth="1"/>
    <col min="788" max="788" width="8.5703125" customWidth="1"/>
    <col min="789" max="789" width="8" bestFit="1" customWidth="1"/>
    <col min="790" max="790" width="7.85546875" customWidth="1"/>
    <col min="791" max="791" width="8.85546875" bestFit="1" customWidth="1"/>
    <col min="792" max="792" width="5" customWidth="1"/>
    <col min="793" max="793" width="4.7109375" customWidth="1"/>
    <col min="794" max="794" width="3" bestFit="1" customWidth="1"/>
    <col min="795" max="795" width="2.85546875" bestFit="1" customWidth="1"/>
    <col min="796" max="796" width="5.5703125" bestFit="1" customWidth="1"/>
    <col min="797" max="797" width="3" bestFit="1" customWidth="1"/>
    <col min="798" max="798" width="6.140625" bestFit="1" customWidth="1"/>
    <col min="799" max="799" width="22.5703125" bestFit="1" customWidth="1"/>
    <col min="800" max="800" width="8.5703125" bestFit="1" customWidth="1"/>
    <col min="801" max="801" width="9.5703125" bestFit="1" customWidth="1"/>
    <col min="802" max="802" width="33.28515625" customWidth="1"/>
    <col min="803" max="803" width="8.140625" bestFit="1" customWidth="1"/>
    <col min="804" max="804" width="9" bestFit="1" customWidth="1"/>
    <col min="805" max="805" width="8.85546875" bestFit="1" customWidth="1"/>
    <col min="806" max="806" width="23.140625" customWidth="1"/>
    <col min="810" max="810" width="24.42578125" customWidth="1"/>
    <col min="1025" max="1025" width="2.5703125" customWidth="1"/>
    <col min="1026" max="1026" width="11.5703125" bestFit="1" customWidth="1"/>
    <col min="1027" max="1027" width="2.85546875" bestFit="1" customWidth="1"/>
    <col min="1028" max="1028" width="3.28515625" bestFit="1" customWidth="1"/>
    <col min="1029" max="1029" width="3.5703125" bestFit="1" customWidth="1"/>
    <col min="1030" max="1033" width="3.28515625" bestFit="1" customWidth="1"/>
    <col min="1034" max="1034" width="3.42578125" bestFit="1" customWidth="1"/>
    <col min="1035" max="1035" width="1.42578125" customWidth="1"/>
    <col min="1036" max="1036" width="5.85546875" bestFit="1" customWidth="1"/>
    <col min="1037" max="1037" width="2.85546875" customWidth="1"/>
    <col min="1038" max="1038" width="21.28515625" bestFit="1" customWidth="1"/>
    <col min="1039" max="1039" width="9" bestFit="1" customWidth="1"/>
    <col min="1040" max="1040" width="10" bestFit="1" customWidth="1"/>
    <col min="1041" max="1041" width="6.42578125" bestFit="1" customWidth="1"/>
    <col min="1042" max="1042" width="7.85546875" bestFit="1" customWidth="1"/>
    <col min="1043" max="1043" width="10.5703125" bestFit="1" customWidth="1"/>
    <col min="1044" max="1044" width="8.5703125" customWidth="1"/>
    <col min="1045" max="1045" width="8" bestFit="1" customWidth="1"/>
    <col min="1046" max="1046" width="7.85546875" customWidth="1"/>
    <col min="1047" max="1047" width="8.85546875" bestFit="1" customWidth="1"/>
    <col min="1048" max="1048" width="5" customWidth="1"/>
    <col min="1049" max="1049" width="4.7109375" customWidth="1"/>
    <col min="1050" max="1050" width="3" bestFit="1" customWidth="1"/>
    <col min="1051" max="1051" width="2.85546875" bestFit="1" customWidth="1"/>
    <col min="1052" max="1052" width="5.5703125" bestFit="1" customWidth="1"/>
    <col min="1053" max="1053" width="3" bestFit="1" customWidth="1"/>
    <col min="1054" max="1054" width="6.140625" bestFit="1" customWidth="1"/>
    <col min="1055" max="1055" width="22.5703125" bestFit="1" customWidth="1"/>
    <col min="1056" max="1056" width="8.5703125" bestFit="1" customWidth="1"/>
    <col min="1057" max="1057" width="9.5703125" bestFit="1" customWidth="1"/>
    <col min="1058" max="1058" width="33.28515625" customWidth="1"/>
    <col min="1059" max="1059" width="8.140625" bestFit="1" customWidth="1"/>
    <col min="1060" max="1060" width="9" bestFit="1" customWidth="1"/>
    <col min="1061" max="1061" width="8.85546875" bestFit="1" customWidth="1"/>
    <col min="1062" max="1062" width="23.140625" customWidth="1"/>
    <col min="1066" max="1066" width="24.42578125" customWidth="1"/>
    <col min="1281" max="1281" width="2.5703125" customWidth="1"/>
    <col min="1282" max="1282" width="11.5703125" bestFit="1" customWidth="1"/>
    <col min="1283" max="1283" width="2.85546875" bestFit="1" customWidth="1"/>
    <col min="1284" max="1284" width="3.28515625" bestFit="1" customWidth="1"/>
    <col min="1285" max="1285" width="3.5703125" bestFit="1" customWidth="1"/>
    <col min="1286" max="1289" width="3.28515625" bestFit="1" customWidth="1"/>
    <col min="1290" max="1290" width="3.42578125" bestFit="1" customWidth="1"/>
    <col min="1291" max="1291" width="1.42578125" customWidth="1"/>
    <col min="1292" max="1292" width="5.85546875" bestFit="1" customWidth="1"/>
    <col min="1293" max="1293" width="2.85546875" customWidth="1"/>
    <col min="1294" max="1294" width="21.28515625" bestFit="1" customWidth="1"/>
    <col min="1295" max="1295" width="9" bestFit="1" customWidth="1"/>
    <col min="1296" max="1296" width="10" bestFit="1" customWidth="1"/>
    <col min="1297" max="1297" width="6.42578125" bestFit="1" customWidth="1"/>
    <col min="1298" max="1298" width="7.85546875" bestFit="1" customWidth="1"/>
    <col min="1299" max="1299" width="10.5703125" bestFit="1" customWidth="1"/>
    <col min="1300" max="1300" width="8.5703125" customWidth="1"/>
    <col min="1301" max="1301" width="8" bestFit="1" customWidth="1"/>
    <col min="1302" max="1302" width="7.85546875" customWidth="1"/>
    <col min="1303" max="1303" width="8.85546875" bestFit="1" customWidth="1"/>
    <col min="1304" max="1304" width="5" customWidth="1"/>
    <col min="1305" max="1305" width="4.7109375" customWidth="1"/>
    <col min="1306" max="1306" width="3" bestFit="1" customWidth="1"/>
    <col min="1307" max="1307" width="2.85546875" bestFit="1" customWidth="1"/>
    <col min="1308" max="1308" width="5.5703125" bestFit="1" customWidth="1"/>
    <col min="1309" max="1309" width="3" bestFit="1" customWidth="1"/>
    <col min="1310" max="1310" width="6.140625" bestFit="1" customWidth="1"/>
    <col min="1311" max="1311" width="22.5703125" bestFit="1" customWidth="1"/>
    <col min="1312" max="1312" width="8.5703125" bestFit="1" customWidth="1"/>
    <col min="1313" max="1313" width="9.5703125" bestFit="1" customWidth="1"/>
    <col min="1314" max="1314" width="33.28515625" customWidth="1"/>
    <col min="1315" max="1315" width="8.140625" bestFit="1" customWidth="1"/>
    <col min="1316" max="1316" width="9" bestFit="1" customWidth="1"/>
    <col min="1317" max="1317" width="8.85546875" bestFit="1" customWidth="1"/>
    <col min="1318" max="1318" width="23.140625" customWidth="1"/>
    <col min="1322" max="1322" width="24.42578125" customWidth="1"/>
    <col min="1537" max="1537" width="2.5703125" customWidth="1"/>
    <col min="1538" max="1538" width="11.5703125" bestFit="1" customWidth="1"/>
    <col min="1539" max="1539" width="2.85546875" bestFit="1" customWidth="1"/>
    <col min="1540" max="1540" width="3.28515625" bestFit="1" customWidth="1"/>
    <col min="1541" max="1541" width="3.5703125" bestFit="1" customWidth="1"/>
    <col min="1542" max="1545" width="3.28515625" bestFit="1" customWidth="1"/>
    <col min="1546" max="1546" width="3.42578125" bestFit="1" customWidth="1"/>
    <col min="1547" max="1547" width="1.42578125" customWidth="1"/>
    <col min="1548" max="1548" width="5.85546875" bestFit="1" customWidth="1"/>
    <col min="1549" max="1549" width="2.85546875" customWidth="1"/>
    <col min="1550" max="1550" width="21.28515625" bestFit="1" customWidth="1"/>
    <col min="1551" max="1551" width="9" bestFit="1" customWidth="1"/>
    <col min="1552" max="1552" width="10" bestFit="1" customWidth="1"/>
    <col min="1553" max="1553" width="6.42578125" bestFit="1" customWidth="1"/>
    <col min="1554" max="1554" width="7.85546875" bestFit="1" customWidth="1"/>
    <col min="1555" max="1555" width="10.5703125" bestFit="1" customWidth="1"/>
    <col min="1556" max="1556" width="8.5703125" customWidth="1"/>
    <col min="1557" max="1557" width="8" bestFit="1" customWidth="1"/>
    <col min="1558" max="1558" width="7.85546875" customWidth="1"/>
    <col min="1559" max="1559" width="8.85546875" bestFit="1" customWidth="1"/>
    <col min="1560" max="1560" width="5" customWidth="1"/>
    <col min="1561" max="1561" width="4.7109375" customWidth="1"/>
    <col min="1562" max="1562" width="3" bestFit="1" customWidth="1"/>
    <col min="1563" max="1563" width="2.85546875" bestFit="1" customWidth="1"/>
    <col min="1564" max="1564" width="5.5703125" bestFit="1" customWidth="1"/>
    <col min="1565" max="1565" width="3" bestFit="1" customWidth="1"/>
    <col min="1566" max="1566" width="6.140625" bestFit="1" customWidth="1"/>
    <col min="1567" max="1567" width="22.5703125" bestFit="1" customWidth="1"/>
    <col min="1568" max="1568" width="8.5703125" bestFit="1" customWidth="1"/>
    <col min="1569" max="1569" width="9.5703125" bestFit="1" customWidth="1"/>
    <col min="1570" max="1570" width="33.28515625" customWidth="1"/>
    <col min="1571" max="1571" width="8.140625" bestFit="1" customWidth="1"/>
    <col min="1572" max="1572" width="9" bestFit="1" customWidth="1"/>
    <col min="1573" max="1573" width="8.85546875" bestFit="1" customWidth="1"/>
    <col min="1574" max="1574" width="23.140625" customWidth="1"/>
    <col min="1578" max="1578" width="24.42578125" customWidth="1"/>
    <col min="1793" max="1793" width="2.5703125" customWidth="1"/>
    <col min="1794" max="1794" width="11.5703125" bestFit="1" customWidth="1"/>
    <col min="1795" max="1795" width="2.85546875" bestFit="1" customWidth="1"/>
    <col min="1796" max="1796" width="3.28515625" bestFit="1" customWidth="1"/>
    <col min="1797" max="1797" width="3.5703125" bestFit="1" customWidth="1"/>
    <col min="1798" max="1801" width="3.28515625" bestFit="1" customWidth="1"/>
    <col min="1802" max="1802" width="3.42578125" bestFit="1" customWidth="1"/>
    <col min="1803" max="1803" width="1.42578125" customWidth="1"/>
    <col min="1804" max="1804" width="5.85546875" bestFit="1" customWidth="1"/>
    <col min="1805" max="1805" width="2.85546875" customWidth="1"/>
    <col min="1806" max="1806" width="21.28515625" bestFit="1" customWidth="1"/>
    <col min="1807" max="1807" width="9" bestFit="1" customWidth="1"/>
    <col min="1808" max="1808" width="10" bestFit="1" customWidth="1"/>
    <col min="1809" max="1809" width="6.42578125" bestFit="1" customWidth="1"/>
    <col min="1810" max="1810" width="7.85546875" bestFit="1" customWidth="1"/>
    <col min="1811" max="1811" width="10.5703125" bestFit="1" customWidth="1"/>
    <col min="1812" max="1812" width="8.5703125" customWidth="1"/>
    <col min="1813" max="1813" width="8" bestFit="1" customWidth="1"/>
    <col min="1814" max="1814" width="7.85546875" customWidth="1"/>
    <col min="1815" max="1815" width="8.85546875" bestFit="1" customWidth="1"/>
    <col min="1816" max="1816" width="5" customWidth="1"/>
    <col min="1817" max="1817" width="4.7109375" customWidth="1"/>
    <col min="1818" max="1818" width="3" bestFit="1" customWidth="1"/>
    <col min="1819" max="1819" width="2.85546875" bestFit="1" customWidth="1"/>
    <col min="1820" max="1820" width="5.5703125" bestFit="1" customWidth="1"/>
    <col min="1821" max="1821" width="3" bestFit="1" customWidth="1"/>
    <col min="1822" max="1822" width="6.140625" bestFit="1" customWidth="1"/>
    <col min="1823" max="1823" width="22.5703125" bestFit="1" customWidth="1"/>
    <col min="1824" max="1824" width="8.5703125" bestFit="1" customWidth="1"/>
    <col min="1825" max="1825" width="9.5703125" bestFit="1" customWidth="1"/>
    <col min="1826" max="1826" width="33.28515625" customWidth="1"/>
    <col min="1827" max="1827" width="8.140625" bestFit="1" customWidth="1"/>
    <col min="1828" max="1828" width="9" bestFit="1" customWidth="1"/>
    <col min="1829" max="1829" width="8.85546875" bestFit="1" customWidth="1"/>
    <col min="1830" max="1830" width="23.140625" customWidth="1"/>
    <col min="1834" max="1834" width="24.42578125" customWidth="1"/>
    <col min="2049" max="2049" width="2.5703125" customWidth="1"/>
    <col min="2050" max="2050" width="11.5703125" bestFit="1" customWidth="1"/>
    <col min="2051" max="2051" width="2.85546875" bestFit="1" customWidth="1"/>
    <col min="2052" max="2052" width="3.28515625" bestFit="1" customWidth="1"/>
    <col min="2053" max="2053" width="3.5703125" bestFit="1" customWidth="1"/>
    <col min="2054" max="2057" width="3.28515625" bestFit="1" customWidth="1"/>
    <col min="2058" max="2058" width="3.42578125" bestFit="1" customWidth="1"/>
    <col min="2059" max="2059" width="1.42578125" customWidth="1"/>
    <col min="2060" max="2060" width="5.85546875" bestFit="1" customWidth="1"/>
    <col min="2061" max="2061" width="2.85546875" customWidth="1"/>
    <col min="2062" max="2062" width="21.28515625" bestFit="1" customWidth="1"/>
    <col min="2063" max="2063" width="9" bestFit="1" customWidth="1"/>
    <col min="2064" max="2064" width="10" bestFit="1" customWidth="1"/>
    <col min="2065" max="2065" width="6.42578125" bestFit="1" customWidth="1"/>
    <col min="2066" max="2066" width="7.85546875" bestFit="1" customWidth="1"/>
    <col min="2067" max="2067" width="10.5703125" bestFit="1" customWidth="1"/>
    <col min="2068" max="2068" width="8.5703125" customWidth="1"/>
    <col min="2069" max="2069" width="8" bestFit="1" customWidth="1"/>
    <col min="2070" max="2070" width="7.85546875" customWidth="1"/>
    <col min="2071" max="2071" width="8.85546875" bestFit="1" customWidth="1"/>
    <col min="2072" max="2072" width="5" customWidth="1"/>
    <col min="2073" max="2073" width="4.7109375" customWidth="1"/>
    <col min="2074" max="2074" width="3" bestFit="1" customWidth="1"/>
    <col min="2075" max="2075" width="2.85546875" bestFit="1" customWidth="1"/>
    <col min="2076" max="2076" width="5.5703125" bestFit="1" customWidth="1"/>
    <col min="2077" max="2077" width="3" bestFit="1" customWidth="1"/>
    <col min="2078" max="2078" width="6.140625" bestFit="1" customWidth="1"/>
    <col min="2079" max="2079" width="22.5703125" bestFit="1" customWidth="1"/>
    <col min="2080" max="2080" width="8.5703125" bestFit="1" customWidth="1"/>
    <col min="2081" max="2081" width="9.5703125" bestFit="1" customWidth="1"/>
    <col min="2082" max="2082" width="33.28515625" customWidth="1"/>
    <col min="2083" max="2083" width="8.140625" bestFit="1" customWidth="1"/>
    <col min="2084" max="2084" width="9" bestFit="1" customWidth="1"/>
    <col min="2085" max="2085" width="8.85546875" bestFit="1" customWidth="1"/>
    <col min="2086" max="2086" width="23.140625" customWidth="1"/>
    <col min="2090" max="2090" width="24.42578125" customWidth="1"/>
    <col min="2305" max="2305" width="2.5703125" customWidth="1"/>
    <col min="2306" max="2306" width="11.5703125" bestFit="1" customWidth="1"/>
    <col min="2307" max="2307" width="2.85546875" bestFit="1" customWidth="1"/>
    <col min="2308" max="2308" width="3.28515625" bestFit="1" customWidth="1"/>
    <col min="2309" max="2309" width="3.5703125" bestFit="1" customWidth="1"/>
    <col min="2310" max="2313" width="3.28515625" bestFit="1" customWidth="1"/>
    <col min="2314" max="2314" width="3.42578125" bestFit="1" customWidth="1"/>
    <col min="2315" max="2315" width="1.42578125" customWidth="1"/>
    <col min="2316" max="2316" width="5.85546875" bestFit="1" customWidth="1"/>
    <col min="2317" max="2317" width="2.85546875" customWidth="1"/>
    <col min="2318" max="2318" width="21.28515625" bestFit="1" customWidth="1"/>
    <col min="2319" max="2319" width="9" bestFit="1" customWidth="1"/>
    <col min="2320" max="2320" width="10" bestFit="1" customWidth="1"/>
    <col min="2321" max="2321" width="6.42578125" bestFit="1" customWidth="1"/>
    <col min="2322" max="2322" width="7.85546875" bestFit="1" customWidth="1"/>
    <col min="2323" max="2323" width="10.5703125" bestFit="1" customWidth="1"/>
    <col min="2324" max="2324" width="8.5703125" customWidth="1"/>
    <col min="2325" max="2325" width="8" bestFit="1" customWidth="1"/>
    <col min="2326" max="2326" width="7.85546875" customWidth="1"/>
    <col min="2327" max="2327" width="8.85546875" bestFit="1" customWidth="1"/>
    <col min="2328" max="2328" width="5" customWidth="1"/>
    <col min="2329" max="2329" width="4.7109375" customWidth="1"/>
    <col min="2330" max="2330" width="3" bestFit="1" customWidth="1"/>
    <col min="2331" max="2331" width="2.85546875" bestFit="1" customWidth="1"/>
    <col min="2332" max="2332" width="5.5703125" bestFit="1" customWidth="1"/>
    <col min="2333" max="2333" width="3" bestFit="1" customWidth="1"/>
    <col min="2334" max="2334" width="6.140625" bestFit="1" customWidth="1"/>
    <col min="2335" max="2335" width="22.5703125" bestFit="1" customWidth="1"/>
    <col min="2336" max="2336" width="8.5703125" bestFit="1" customWidth="1"/>
    <col min="2337" max="2337" width="9.5703125" bestFit="1" customWidth="1"/>
    <col min="2338" max="2338" width="33.28515625" customWidth="1"/>
    <col min="2339" max="2339" width="8.140625" bestFit="1" customWidth="1"/>
    <col min="2340" max="2340" width="9" bestFit="1" customWidth="1"/>
    <col min="2341" max="2341" width="8.85546875" bestFit="1" customWidth="1"/>
    <col min="2342" max="2342" width="23.140625" customWidth="1"/>
    <col min="2346" max="2346" width="24.42578125" customWidth="1"/>
    <col min="2561" max="2561" width="2.5703125" customWidth="1"/>
    <col min="2562" max="2562" width="11.5703125" bestFit="1" customWidth="1"/>
    <col min="2563" max="2563" width="2.85546875" bestFit="1" customWidth="1"/>
    <col min="2564" max="2564" width="3.28515625" bestFit="1" customWidth="1"/>
    <col min="2565" max="2565" width="3.5703125" bestFit="1" customWidth="1"/>
    <col min="2566" max="2569" width="3.28515625" bestFit="1" customWidth="1"/>
    <col min="2570" max="2570" width="3.42578125" bestFit="1" customWidth="1"/>
    <col min="2571" max="2571" width="1.42578125" customWidth="1"/>
    <col min="2572" max="2572" width="5.85546875" bestFit="1" customWidth="1"/>
    <col min="2573" max="2573" width="2.85546875" customWidth="1"/>
    <col min="2574" max="2574" width="21.28515625" bestFit="1" customWidth="1"/>
    <col min="2575" max="2575" width="9" bestFit="1" customWidth="1"/>
    <col min="2576" max="2576" width="10" bestFit="1" customWidth="1"/>
    <col min="2577" max="2577" width="6.42578125" bestFit="1" customWidth="1"/>
    <col min="2578" max="2578" width="7.85546875" bestFit="1" customWidth="1"/>
    <col min="2579" max="2579" width="10.5703125" bestFit="1" customWidth="1"/>
    <col min="2580" max="2580" width="8.5703125" customWidth="1"/>
    <col min="2581" max="2581" width="8" bestFit="1" customWidth="1"/>
    <col min="2582" max="2582" width="7.85546875" customWidth="1"/>
    <col min="2583" max="2583" width="8.85546875" bestFit="1" customWidth="1"/>
    <col min="2584" max="2584" width="5" customWidth="1"/>
    <col min="2585" max="2585" width="4.7109375" customWidth="1"/>
    <col min="2586" max="2586" width="3" bestFit="1" customWidth="1"/>
    <col min="2587" max="2587" width="2.85546875" bestFit="1" customWidth="1"/>
    <col min="2588" max="2588" width="5.5703125" bestFit="1" customWidth="1"/>
    <col min="2589" max="2589" width="3" bestFit="1" customWidth="1"/>
    <col min="2590" max="2590" width="6.140625" bestFit="1" customWidth="1"/>
    <col min="2591" max="2591" width="22.5703125" bestFit="1" customWidth="1"/>
    <col min="2592" max="2592" width="8.5703125" bestFit="1" customWidth="1"/>
    <col min="2593" max="2593" width="9.5703125" bestFit="1" customWidth="1"/>
    <col min="2594" max="2594" width="33.28515625" customWidth="1"/>
    <col min="2595" max="2595" width="8.140625" bestFit="1" customWidth="1"/>
    <col min="2596" max="2596" width="9" bestFit="1" customWidth="1"/>
    <col min="2597" max="2597" width="8.85546875" bestFit="1" customWidth="1"/>
    <col min="2598" max="2598" width="23.140625" customWidth="1"/>
    <col min="2602" max="2602" width="24.42578125" customWidth="1"/>
    <col min="2817" max="2817" width="2.5703125" customWidth="1"/>
    <col min="2818" max="2818" width="11.5703125" bestFit="1" customWidth="1"/>
    <col min="2819" max="2819" width="2.85546875" bestFit="1" customWidth="1"/>
    <col min="2820" max="2820" width="3.28515625" bestFit="1" customWidth="1"/>
    <col min="2821" max="2821" width="3.5703125" bestFit="1" customWidth="1"/>
    <col min="2822" max="2825" width="3.28515625" bestFit="1" customWidth="1"/>
    <col min="2826" max="2826" width="3.42578125" bestFit="1" customWidth="1"/>
    <col min="2827" max="2827" width="1.42578125" customWidth="1"/>
    <col min="2828" max="2828" width="5.85546875" bestFit="1" customWidth="1"/>
    <col min="2829" max="2829" width="2.85546875" customWidth="1"/>
    <col min="2830" max="2830" width="21.28515625" bestFit="1" customWidth="1"/>
    <col min="2831" max="2831" width="9" bestFit="1" customWidth="1"/>
    <col min="2832" max="2832" width="10" bestFit="1" customWidth="1"/>
    <col min="2833" max="2833" width="6.42578125" bestFit="1" customWidth="1"/>
    <col min="2834" max="2834" width="7.85546875" bestFit="1" customWidth="1"/>
    <col min="2835" max="2835" width="10.5703125" bestFit="1" customWidth="1"/>
    <col min="2836" max="2836" width="8.5703125" customWidth="1"/>
    <col min="2837" max="2837" width="8" bestFit="1" customWidth="1"/>
    <col min="2838" max="2838" width="7.85546875" customWidth="1"/>
    <col min="2839" max="2839" width="8.85546875" bestFit="1" customWidth="1"/>
    <col min="2840" max="2840" width="5" customWidth="1"/>
    <col min="2841" max="2841" width="4.7109375" customWidth="1"/>
    <col min="2842" max="2842" width="3" bestFit="1" customWidth="1"/>
    <col min="2843" max="2843" width="2.85546875" bestFit="1" customWidth="1"/>
    <col min="2844" max="2844" width="5.5703125" bestFit="1" customWidth="1"/>
    <col min="2845" max="2845" width="3" bestFit="1" customWidth="1"/>
    <col min="2846" max="2846" width="6.140625" bestFit="1" customWidth="1"/>
    <col min="2847" max="2847" width="22.5703125" bestFit="1" customWidth="1"/>
    <col min="2848" max="2848" width="8.5703125" bestFit="1" customWidth="1"/>
    <col min="2849" max="2849" width="9.5703125" bestFit="1" customWidth="1"/>
    <col min="2850" max="2850" width="33.28515625" customWidth="1"/>
    <col min="2851" max="2851" width="8.140625" bestFit="1" customWidth="1"/>
    <col min="2852" max="2852" width="9" bestFit="1" customWidth="1"/>
    <col min="2853" max="2853" width="8.85546875" bestFit="1" customWidth="1"/>
    <col min="2854" max="2854" width="23.140625" customWidth="1"/>
    <col min="2858" max="2858" width="24.42578125" customWidth="1"/>
    <col min="3073" max="3073" width="2.5703125" customWidth="1"/>
    <col min="3074" max="3074" width="11.5703125" bestFit="1" customWidth="1"/>
    <col min="3075" max="3075" width="2.85546875" bestFit="1" customWidth="1"/>
    <col min="3076" max="3076" width="3.28515625" bestFit="1" customWidth="1"/>
    <col min="3077" max="3077" width="3.5703125" bestFit="1" customWidth="1"/>
    <col min="3078" max="3081" width="3.28515625" bestFit="1" customWidth="1"/>
    <col min="3082" max="3082" width="3.42578125" bestFit="1" customWidth="1"/>
    <col min="3083" max="3083" width="1.42578125" customWidth="1"/>
    <col min="3084" max="3084" width="5.85546875" bestFit="1" customWidth="1"/>
    <col min="3085" max="3085" width="2.85546875" customWidth="1"/>
    <col min="3086" max="3086" width="21.28515625" bestFit="1" customWidth="1"/>
    <col min="3087" max="3087" width="9" bestFit="1" customWidth="1"/>
    <col min="3088" max="3088" width="10" bestFit="1" customWidth="1"/>
    <col min="3089" max="3089" width="6.42578125" bestFit="1" customWidth="1"/>
    <col min="3090" max="3090" width="7.85546875" bestFit="1" customWidth="1"/>
    <col min="3091" max="3091" width="10.5703125" bestFit="1" customWidth="1"/>
    <col min="3092" max="3092" width="8.5703125" customWidth="1"/>
    <col min="3093" max="3093" width="8" bestFit="1" customWidth="1"/>
    <col min="3094" max="3094" width="7.85546875" customWidth="1"/>
    <col min="3095" max="3095" width="8.85546875" bestFit="1" customWidth="1"/>
    <col min="3096" max="3096" width="5" customWidth="1"/>
    <col min="3097" max="3097" width="4.7109375" customWidth="1"/>
    <col min="3098" max="3098" width="3" bestFit="1" customWidth="1"/>
    <col min="3099" max="3099" width="2.85546875" bestFit="1" customWidth="1"/>
    <col min="3100" max="3100" width="5.5703125" bestFit="1" customWidth="1"/>
    <col min="3101" max="3101" width="3" bestFit="1" customWidth="1"/>
    <col min="3102" max="3102" width="6.140625" bestFit="1" customWidth="1"/>
    <col min="3103" max="3103" width="22.5703125" bestFit="1" customWidth="1"/>
    <col min="3104" max="3104" width="8.5703125" bestFit="1" customWidth="1"/>
    <col min="3105" max="3105" width="9.5703125" bestFit="1" customWidth="1"/>
    <col min="3106" max="3106" width="33.28515625" customWidth="1"/>
    <col min="3107" max="3107" width="8.140625" bestFit="1" customWidth="1"/>
    <col min="3108" max="3108" width="9" bestFit="1" customWidth="1"/>
    <col min="3109" max="3109" width="8.85546875" bestFit="1" customWidth="1"/>
    <col min="3110" max="3110" width="23.140625" customWidth="1"/>
    <col min="3114" max="3114" width="24.42578125" customWidth="1"/>
    <col min="3329" max="3329" width="2.5703125" customWidth="1"/>
    <col min="3330" max="3330" width="11.5703125" bestFit="1" customWidth="1"/>
    <col min="3331" max="3331" width="2.85546875" bestFit="1" customWidth="1"/>
    <col min="3332" max="3332" width="3.28515625" bestFit="1" customWidth="1"/>
    <col min="3333" max="3333" width="3.5703125" bestFit="1" customWidth="1"/>
    <col min="3334" max="3337" width="3.28515625" bestFit="1" customWidth="1"/>
    <col min="3338" max="3338" width="3.42578125" bestFit="1" customWidth="1"/>
    <col min="3339" max="3339" width="1.42578125" customWidth="1"/>
    <col min="3340" max="3340" width="5.85546875" bestFit="1" customWidth="1"/>
    <col min="3341" max="3341" width="2.85546875" customWidth="1"/>
    <col min="3342" max="3342" width="21.28515625" bestFit="1" customWidth="1"/>
    <col min="3343" max="3343" width="9" bestFit="1" customWidth="1"/>
    <col min="3344" max="3344" width="10" bestFit="1" customWidth="1"/>
    <col min="3345" max="3345" width="6.42578125" bestFit="1" customWidth="1"/>
    <col min="3346" max="3346" width="7.85546875" bestFit="1" customWidth="1"/>
    <col min="3347" max="3347" width="10.5703125" bestFit="1" customWidth="1"/>
    <col min="3348" max="3348" width="8.5703125" customWidth="1"/>
    <col min="3349" max="3349" width="8" bestFit="1" customWidth="1"/>
    <col min="3350" max="3350" width="7.85546875" customWidth="1"/>
    <col min="3351" max="3351" width="8.85546875" bestFit="1" customWidth="1"/>
    <col min="3352" max="3352" width="5" customWidth="1"/>
    <col min="3353" max="3353" width="4.7109375" customWidth="1"/>
    <col min="3354" max="3354" width="3" bestFit="1" customWidth="1"/>
    <col min="3355" max="3355" width="2.85546875" bestFit="1" customWidth="1"/>
    <col min="3356" max="3356" width="5.5703125" bestFit="1" customWidth="1"/>
    <col min="3357" max="3357" width="3" bestFit="1" customWidth="1"/>
    <col min="3358" max="3358" width="6.140625" bestFit="1" customWidth="1"/>
    <col min="3359" max="3359" width="22.5703125" bestFit="1" customWidth="1"/>
    <col min="3360" max="3360" width="8.5703125" bestFit="1" customWidth="1"/>
    <col min="3361" max="3361" width="9.5703125" bestFit="1" customWidth="1"/>
    <col min="3362" max="3362" width="33.28515625" customWidth="1"/>
    <col min="3363" max="3363" width="8.140625" bestFit="1" customWidth="1"/>
    <col min="3364" max="3364" width="9" bestFit="1" customWidth="1"/>
    <col min="3365" max="3365" width="8.85546875" bestFit="1" customWidth="1"/>
    <col min="3366" max="3366" width="23.140625" customWidth="1"/>
    <col min="3370" max="3370" width="24.42578125" customWidth="1"/>
    <col min="3585" max="3585" width="2.5703125" customWidth="1"/>
    <col min="3586" max="3586" width="11.5703125" bestFit="1" customWidth="1"/>
    <col min="3587" max="3587" width="2.85546875" bestFit="1" customWidth="1"/>
    <col min="3588" max="3588" width="3.28515625" bestFit="1" customWidth="1"/>
    <col min="3589" max="3589" width="3.5703125" bestFit="1" customWidth="1"/>
    <col min="3590" max="3593" width="3.28515625" bestFit="1" customWidth="1"/>
    <col min="3594" max="3594" width="3.42578125" bestFit="1" customWidth="1"/>
    <col min="3595" max="3595" width="1.42578125" customWidth="1"/>
    <col min="3596" max="3596" width="5.85546875" bestFit="1" customWidth="1"/>
    <col min="3597" max="3597" width="2.85546875" customWidth="1"/>
    <col min="3598" max="3598" width="21.28515625" bestFit="1" customWidth="1"/>
    <col min="3599" max="3599" width="9" bestFit="1" customWidth="1"/>
    <col min="3600" max="3600" width="10" bestFit="1" customWidth="1"/>
    <col min="3601" max="3601" width="6.42578125" bestFit="1" customWidth="1"/>
    <col min="3602" max="3602" width="7.85546875" bestFit="1" customWidth="1"/>
    <col min="3603" max="3603" width="10.5703125" bestFit="1" customWidth="1"/>
    <col min="3604" max="3604" width="8.5703125" customWidth="1"/>
    <col min="3605" max="3605" width="8" bestFit="1" customWidth="1"/>
    <col min="3606" max="3606" width="7.85546875" customWidth="1"/>
    <col min="3607" max="3607" width="8.85546875" bestFit="1" customWidth="1"/>
    <col min="3608" max="3608" width="5" customWidth="1"/>
    <col min="3609" max="3609" width="4.7109375" customWidth="1"/>
    <col min="3610" max="3610" width="3" bestFit="1" customWidth="1"/>
    <col min="3611" max="3611" width="2.85546875" bestFit="1" customWidth="1"/>
    <col min="3612" max="3612" width="5.5703125" bestFit="1" customWidth="1"/>
    <col min="3613" max="3613" width="3" bestFit="1" customWidth="1"/>
    <col min="3614" max="3614" width="6.140625" bestFit="1" customWidth="1"/>
    <col min="3615" max="3615" width="22.5703125" bestFit="1" customWidth="1"/>
    <col min="3616" max="3616" width="8.5703125" bestFit="1" customWidth="1"/>
    <col min="3617" max="3617" width="9.5703125" bestFit="1" customWidth="1"/>
    <col min="3618" max="3618" width="33.28515625" customWidth="1"/>
    <col min="3619" max="3619" width="8.140625" bestFit="1" customWidth="1"/>
    <col min="3620" max="3620" width="9" bestFit="1" customWidth="1"/>
    <col min="3621" max="3621" width="8.85546875" bestFit="1" customWidth="1"/>
    <col min="3622" max="3622" width="23.140625" customWidth="1"/>
    <col min="3626" max="3626" width="24.42578125" customWidth="1"/>
    <col min="3841" max="3841" width="2.5703125" customWidth="1"/>
    <col min="3842" max="3842" width="11.5703125" bestFit="1" customWidth="1"/>
    <col min="3843" max="3843" width="2.85546875" bestFit="1" customWidth="1"/>
    <col min="3844" max="3844" width="3.28515625" bestFit="1" customWidth="1"/>
    <col min="3845" max="3845" width="3.5703125" bestFit="1" customWidth="1"/>
    <col min="3846" max="3849" width="3.28515625" bestFit="1" customWidth="1"/>
    <col min="3850" max="3850" width="3.42578125" bestFit="1" customWidth="1"/>
    <col min="3851" max="3851" width="1.42578125" customWidth="1"/>
    <col min="3852" max="3852" width="5.85546875" bestFit="1" customWidth="1"/>
    <col min="3853" max="3853" width="2.85546875" customWidth="1"/>
    <col min="3854" max="3854" width="21.28515625" bestFit="1" customWidth="1"/>
    <col min="3855" max="3855" width="9" bestFit="1" customWidth="1"/>
    <col min="3856" max="3856" width="10" bestFit="1" customWidth="1"/>
    <col min="3857" max="3857" width="6.42578125" bestFit="1" customWidth="1"/>
    <col min="3858" max="3858" width="7.85546875" bestFit="1" customWidth="1"/>
    <col min="3859" max="3859" width="10.5703125" bestFit="1" customWidth="1"/>
    <col min="3860" max="3860" width="8.5703125" customWidth="1"/>
    <col min="3861" max="3861" width="8" bestFit="1" customWidth="1"/>
    <col min="3862" max="3862" width="7.85546875" customWidth="1"/>
    <col min="3863" max="3863" width="8.85546875" bestFit="1" customWidth="1"/>
    <col min="3864" max="3864" width="5" customWidth="1"/>
    <col min="3865" max="3865" width="4.7109375" customWidth="1"/>
    <col min="3866" max="3866" width="3" bestFit="1" customWidth="1"/>
    <col min="3867" max="3867" width="2.85546875" bestFit="1" customWidth="1"/>
    <col min="3868" max="3868" width="5.5703125" bestFit="1" customWidth="1"/>
    <col min="3869" max="3869" width="3" bestFit="1" customWidth="1"/>
    <col min="3870" max="3870" width="6.140625" bestFit="1" customWidth="1"/>
    <col min="3871" max="3871" width="22.5703125" bestFit="1" customWidth="1"/>
    <col min="3872" max="3872" width="8.5703125" bestFit="1" customWidth="1"/>
    <col min="3873" max="3873" width="9.5703125" bestFit="1" customWidth="1"/>
    <col min="3874" max="3874" width="33.28515625" customWidth="1"/>
    <col min="3875" max="3875" width="8.140625" bestFit="1" customWidth="1"/>
    <col min="3876" max="3876" width="9" bestFit="1" customWidth="1"/>
    <col min="3877" max="3877" width="8.85546875" bestFit="1" customWidth="1"/>
    <col min="3878" max="3878" width="23.140625" customWidth="1"/>
    <col min="3882" max="3882" width="24.42578125" customWidth="1"/>
    <col min="4097" max="4097" width="2.5703125" customWidth="1"/>
    <col min="4098" max="4098" width="11.5703125" bestFit="1" customWidth="1"/>
    <col min="4099" max="4099" width="2.85546875" bestFit="1" customWidth="1"/>
    <col min="4100" max="4100" width="3.28515625" bestFit="1" customWidth="1"/>
    <col min="4101" max="4101" width="3.5703125" bestFit="1" customWidth="1"/>
    <col min="4102" max="4105" width="3.28515625" bestFit="1" customWidth="1"/>
    <col min="4106" max="4106" width="3.42578125" bestFit="1" customWidth="1"/>
    <col min="4107" max="4107" width="1.42578125" customWidth="1"/>
    <col min="4108" max="4108" width="5.85546875" bestFit="1" customWidth="1"/>
    <col min="4109" max="4109" width="2.85546875" customWidth="1"/>
    <col min="4110" max="4110" width="21.28515625" bestFit="1" customWidth="1"/>
    <col min="4111" max="4111" width="9" bestFit="1" customWidth="1"/>
    <col min="4112" max="4112" width="10" bestFit="1" customWidth="1"/>
    <col min="4113" max="4113" width="6.42578125" bestFit="1" customWidth="1"/>
    <col min="4114" max="4114" width="7.85546875" bestFit="1" customWidth="1"/>
    <col min="4115" max="4115" width="10.5703125" bestFit="1" customWidth="1"/>
    <col min="4116" max="4116" width="8.5703125" customWidth="1"/>
    <col min="4117" max="4117" width="8" bestFit="1" customWidth="1"/>
    <col min="4118" max="4118" width="7.85546875" customWidth="1"/>
    <col min="4119" max="4119" width="8.85546875" bestFit="1" customWidth="1"/>
    <col min="4120" max="4120" width="5" customWidth="1"/>
    <col min="4121" max="4121" width="4.7109375" customWidth="1"/>
    <col min="4122" max="4122" width="3" bestFit="1" customWidth="1"/>
    <col min="4123" max="4123" width="2.85546875" bestFit="1" customWidth="1"/>
    <col min="4124" max="4124" width="5.5703125" bestFit="1" customWidth="1"/>
    <col min="4125" max="4125" width="3" bestFit="1" customWidth="1"/>
    <col min="4126" max="4126" width="6.140625" bestFit="1" customWidth="1"/>
    <col min="4127" max="4127" width="22.5703125" bestFit="1" customWidth="1"/>
    <col min="4128" max="4128" width="8.5703125" bestFit="1" customWidth="1"/>
    <col min="4129" max="4129" width="9.5703125" bestFit="1" customWidth="1"/>
    <col min="4130" max="4130" width="33.28515625" customWidth="1"/>
    <col min="4131" max="4131" width="8.140625" bestFit="1" customWidth="1"/>
    <col min="4132" max="4132" width="9" bestFit="1" customWidth="1"/>
    <col min="4133" max="4133" width="8.85546875" bestFit="1" customWidth="1"/>
    <col min="4134" max="4134" width="23.140625" customWidth="1"/>
    <col min="4138" max="4138" width="24.42578125" customWidth="1"/>
    <col min="4353" max="4353" width="2.5703125" customWidth="1"/>
    <col min="4354" max="4354" width="11.5703125" bestFit="1" customWidth="1"/>
    <col min="4355" max="4355" width="2.85546875" bestFit="1" customWidth="1"/>
    <col min="4356" max="4356" width="3.28515625" bestFit="1" customWidth="1"/>
    <col min="4357" max="4357" width="3.5703125" bestFit="1" customWidth="1"/>
    <col min="4358" max="4361" width="3.28515625" bestFit="1" customWidth="1"/>
    <col min="4362" max="4362" width="3.42578125" bestFit="1" customWidth="1"/>
    <col min="4363" max="4363" width="1.42578125" customWidth="1"/>
    <col min="4364" max="4364" width="5.85546875" bestFit="1" customWidth="1"/>
    <col min="4365" max="4365" width="2.85546875" customWidth="1"/>
    <col min="4366" max="4366" width="21.28515625" bestFit="1" customWidth="1"/>
    <col min="4367" max="4367" width="9" bestFit="1" customWidth="1"/>
    <col min="4368" max="4368" width="10" bestFit="1" customWidth="1"/>
    <col min="4369" max="4369" width="6.42578125" bestFit="1" customWidth="1"/>
    <col min="4370" max="4370" width="7.85546875" bestFit="1" customWidth="1"/>
    <col min="4371" max="4371" width="10.5703125" bestFit="1" customWidth="1"/>
    <col min="4372" max="4372" width="8.5703125" customWidth="1"/>
    <col min="4373" max="4373" width="8" bestFit="1" customWidth="1"/>
    <col min="4374" max="4374" width="7.85546875" customWidth="1"/>
    <col min="4375" max="4375" width="8.85546875" bestFit="1" customWidth="1"/>
    <col min="4376" max="4376" width="5" customWidth="1"/>
    <col min="4377" max="4377" width="4.7109375" customWidth="1"/>
    <col min="4378" max="4378" width="3" bestFit="1" customWidth="1"/>
    <col min="4379" max="4379" width="2.85546875" bestFit="1" customWidth="1"/>
    <col min="4380" max="4380" width="5.5703125" bestFit="1" customWidth="1"/>
    <col min="4381" max="4381" width="3" bestFit="1" customWidth="1"/>
    <col min="4382" max="4382" width="6.140625" bestFit="1" customWidth="1"/>
    <col min="4383" max="4383" width="22.5703125" bestFit="1" customWidth="1"/>
    <col min="4384" max="4384" width="8.5703125" bestFit="1" customWidth="1"/>
    <col min="4385" max="4385" width="9.5703125" bestFit="1" customWidth="1"/>
    <col min="4386" max="4386" width="33.28515625" customWidth="1"/>
    <col min="4387" max="4387" width="8.140625" bestFit="1" customWidth="1"/>
    <col min="4388" max="4388" width="9" bestFit="1" customWidth="1"/>
    <col min="4389" max="4389" width="8.85546875" bestFit="1" customWidth="1"/>
    <col min="4390" max="4390" width="23.140625" customWidth="1"/>
    <col min="4394" max="4394" width="24.42578125" customWidth="1"/>
    <col min="4609" max="4609" width="2.5703125" customWidth="1"/>
    <col min="4610" max="4610" width="11.5703125" bestFit="1" customWidth="1"/>
    <col min="4611" max="4611" width="2.85546875" bestFit="1" customWidth="1"/>
    <col min="4612" max="4612" width="3.28515625" bestFit="1" customWidth="1"/>
    <col min="4613" max="4613" width="3.5703125" bestFit="1" customWidth="1"/>
    <col min="4614" max="4617" width="3.28515625" bestFit="1" customWidth="1"/>
    <col min="4618" max="4618" width="3.42578125" bestFit="1" customWidth="1"/>
    <col min="4619" max="4619" width="1.42578125" customWidth="1"/>
    <col min="4620" max="4620" width="5.85546875" bestFit="1" customWidth="1"/>
    <col min="4621" max="4621" width="2.85546875" customWidth="1"/>
    <col min="4622" max="4622" width="21.28515625" bestFit="1" customWidth="1"/>
    <col min="4623" max="4623" width="9" bestFit="1" customWidth="1"/>
    <col min="4624" max="4624" width="10" bestFit="1" customWidth="1"/>
    <col min="4625" max="4625" width="6.42578125" bestFit="1" customWidth="1"/>
    <col min="4626" max="4626" width="7.85546875" bestFit="1" customWidth="1"/>
    <col min="4627" max="4627" width="10.5703125" bestFit="1" customWidth="1"/>
    <col min="4628" max="4628" width="8.5703125" customWidth="1"/>
    <col min="4629" max="4629" width="8" bestFit="1" customWidth="1"/>
    <col min="4630" max="4630" width="7.85546875" customWidth="1"/>
    <col min="4631" max="4631" width="8.85546875" bestFit="1" customWidth="1"/>
    <col min="4632" max="4632" width="5" customWidth="1"/>
    <col min="4633" max="4633" width="4.7109375" customWidth="1"/>
    <col min="4634" max="4634" width="3" bestFit="1" customWidth="1"/>
    <col min="4635" max="4635" width="2.85546875" bestFit="1" customWidth="1"/>
    <col min="4636" max="4636" width="5.5703125" bestFit="1" customWidth="1"/>
    <col min="4637" max="4637" width="3" bestFit="1" customWidth="1"/>
    <col min="4638" max="4638" width="6.140625" bestFit="1" customWidth="1"/>
    <col min="4639" max="4639" width="22.5703125" bestFit="1" customWidth="1"/>
    <col min="4640" max="4640" width="8.5703125" bestFit="1" customWidth="1"/>
    <col min="4641" max="4641" width="9.5703125" bestFit="1" customWidth="1"/>
    <col min="4642" max="4642" width="33.28515625" customWidth="1"/>
    <col min="4643" max="4643" width="8.140625" bestFit="1" customWidth="1"/>
    <col min="4644" max="4644" width="9" bestFit="1" customWidth="1"/>
    <col min="4645" max="4645" width="8.85546875" bestFit="1" customWidth="1"/>
    <col min="4646" max="4646" width="23.140625" customWidth="1"/>
    <col min="4650" max="4650" width="24.42578125" customWidth="1"/>
    <col min="4865" max="4865" width="2.5703125" customWidth="1"/>
    <col min="4866" max="4866" width="11.5703125" bestFit="1" customWidth="1"/>
    <col min="4867" max="4867" width="2.85546875" bestFit="1" customWidth="1"/>
    <col min="4868" max="4868" width="3.28515625" bestFit="1" customWidth="1"/>
    <col min="4869" max="4869" width="3.5703125" bestFit="1" customWidth="1"/>
    <col min="4870" max="4873" width="3.28515625" bestFit="1" customWidth="1"/>
    <col min="4874" max="4874" width="3.42578125" bestFit="1" customWidth="1"/>
    <col min="4875" max="4875" width="1.42578125" customWidth="1"/>
    <col min="4876" max="4876" width="5.85546875" bestFit="1" customWidth="1"/>
    <col min="4877" max="4877" width="2.85546875" customWidth="1"/>
    <col min="4878" max="4878" width="21.28515625" bestFit="1" customWidth="1"/>
    <col min="4879" max="4879" width="9" bestFit="1" customWidth="1"/>
    <col min="4880" max="4880" width="10" bestFit="1" customWidth="1"/>
    <col min="4881" max="4881" width="6.42578125" bestFit="1" customWidth="1"/>
    <col min="4882" max="4882" width="7.85546875" bestFit="1" customWidth="1"/>
    <col min="4883" max="4883" width="10.5703125" bestFit="1" customWidth="1"/>
    <col min="4884" max="4884" width="8.5703125" customWidth="1"/>
    <col min="4885" max="4885" width="8" bestFit="1" customWidth="1"/>
    <col min="4886" max="4886" width="7.85546875" customWidth="1"/>
    <col min="4887" max="4887" width="8.85546875" bestFit="1" customWidth="1"/>
    <col min="4888" max="4888" width="5" customWidth="1"/>
    <col min="4889" max="4889" width="4.7109375" customWidth="1"/>
    <col min="4890" max="4890" width="3" bestFit="1" customWidth="1"/>
    <col min="4891" max="4891" width="2.85546875" bestFit="1" customWidth="1"/>
    <col min="4892" max="4892" width="5.5703125" bestFit="1" customWidth="1"/>
    <col min="4893" max="4893" width="3" bestFit="1" customWidth="1"/>
    <col min="4894" max="4894" width="6.140625" bestFit="1" customWidth="1"/>
    <col min="4895" max="4895" width="22.5703125" bestFit="1" customWidth="1"/>
    <col min="4896" max="4896" width="8.5703125" bestFit="1" customWidth="1"/>
    <col min="4897" max="4897" width="9.5703125" bestFit="1" customWidth="1"/>
    <col min="4898" max="4898" width="33.28515625" customWidth="1"/>
    <col min="4899" max="4899" width="8.140625" bestFit="1" customWidth="1"/>
    <col min="4900" max="4900" width="9" bestFit="1" customWidth="1"/>
    <col min="4901" max="4901" width="8.85546875" bestFit="1" customWidth="1"/>
    <col min="4902" max="4902" width="23.140625" customWidth="1"/>
    <col min="4906" max="4906" width="24.42578125" customWidth="1"/>
    <col min="5121" max="5121" width="2.5703125" customWidth="1"/>
    <col min="5122" max="5122" width="11.5703125" bestFit="1" customWidth="1"/>
    <col min="5123" max="5123" width="2.85546875" bestFit="1" customWidth="1"/>
    <col min="5124" max="5124" width="3.28515625" bestFit="1" customWidth="1"/>
    <col min="5125" max="5125" width="3.5703125" bestFit="1" customWidth="1"/>
    <col min="5126" max="5129" width="3.28515625" bestFit="1" customWidth="1"/>
    <col min="5130" max="5130" width="3.42578125" bestFit="1" customWidth="1"/>
    <col min="5131" max="5131" width="1.42578125" customWidth="1"/>
    <col min="5132" max="5132" width="5.85546875" bestFit="1" customWidth="1"/>
    <col min="5133" max="5133" width="2.85546875" customWidth="1"/>
    <col min="5134" max="5134" width="21.28515625" bestFit="1" customWidth="1"/>
    <col min="5135" max="5135" width="9" bestFit="1" customWidth="1"/>
    <col min="5136" max="5136" width="10" bestFit="1" customWidth="1"/>
    <col min="5137" max="5137" width="6.42578125" bestFit="1" customWidth="1"/>
    <col min="5138" max="5138" width="7.85546875" bestFit="1" customWidth="1"/>
    <col min="5139" max="5139" width="10.5703125" bestFit="1" customWidth="1"/>
    <col min="5140" max="5140" width="8.5703125" customWidth="1"/>
    <col min="5141" max="5141" width="8" bestFit="1" customWidth="1"/>
    <col min="5142" max="5142" width="7.85546875" customWidth="1"/>
    <col min="5143" max="5143" width="8.85546875" bestFit="1" customWidth="1"/>
    <col min="5144" max="5144" width="5" customWidth="1"/>
    <col min="5145" max="5145" width="4.7109375" customWidth="1"/>
    <col min="5146" max="5146" width="3" bestFit="1" customWidth="1"/>
    <col min="5147" max="5147" width="2.85546875" bestFit="1" customWidth="1"/>
    <col min="5148" max="5148" width="5.5703125" bestFit="1" customWidth="1"/>
    <col min="5149" max="5149" width="3" bestFit="1" customWidth="1"/>
    <col min="5150" max="5150" width="6.140625" bestFit="1" customWidth="1"/>
    <col min="5151" max="5151" width="22.5703125" bestFit="1" customWidth="1"/>
    <col min="5152" max="5152" width="8.5703125" bestFit="1" customWidth="1"/>
    <col min="5153" max="5153" width="9.5703125" bestFit="1" customWidth="1"/>
    <col min="5154" max="5154" width="33.28515625" customWidth="1"/>
    <col min="5155" max="5155" width="8.140625" bestFit="1" customWidth="1"/>
    <col min="5156" max="5156" width="9" bestFit="1" customWidth="1"/>
    <col min="5157" max="5157" width="8.85546875" bestFit="1" customWidth="1"/>
    <col min="5158" max="5158" width="23.140625" customWidth="1"/>
    <col min="5162" max="5162" width="24.42578125" customWidth="1"/>
    <col min="5377" max="5377" width="2.5703125" customWidth="1"/>
    <col min="5378" max="5378" width="11.5703125" bestFit="1" customWidth="1"/>
    <col min="5379" max="5379" width="2.85546875" bestFit="1" customWidth="1"/>
    <col min="5380" max="5380" width="3.28515625" bestFit="1" customWidth="1"/>
    <col min="5381" max="5381" width="3.5703125" bestFit="1" customWidth="1"/>
    <col min="5382" max="5385" width="3.28515625" bestFit="1" customWidth="1"/>
    <col min="5386" max="5386" width="3.42578125" bestFit="1" customWidth="1"/>
    <col min="5387" max="5387" width="1.42578125" customWidth="1"/>
    <col min="5388" max="5388" width="5.85546875" bestFit="1" customWidth="1"/>
    <col min="5389" max="5389" width="2.85546875" customWidth="1"/>
    <col min="5390" max="5390" width="21.28515625" bestFit="1" customWidth="1"/>
    <col min="5391" max="5391" width="9" bestFit="1" customWidth="1"/>
    <col min="5392" max="5392" width="10" bestFit="1" customWidth="1"/>
    <col min="5393" max="5393" width="6.42578125" bestFit="1" customWidth="1"/>
    <col min="5394" max="5394" width="7.85546875" bestFit="1" customWidth="1"/>
    <col min="5395" max="5395" width="10.5703125" bestFit="1" customWidth="1"/>
    <col min="5396" max="5396" width="8.5703125" customWidth="1"/>
    <col min="5397" max="5397" width="8" bestFit="1" customWidth="1"/>
    <col min="5398" max="5398" width="7.85546875" customWidth="1"/>
    <col min="5399" max="5399" width="8.85546875" bestFit="1" customWidth="1"/>
    <col min="5400" max="5400" width="5" customWidth="1"/>
    <col min="5401" max="5401" width="4.7109375" customWidth="1"/>
    <col min="5402" max="5402" width="3" bestFit="1" customWidth="1"/>
    <col min="5403" max="5403" width="2.85546875" bestFit="1" customWidth="1"/>
    <col min="5404" max="5404" width="5.5703125" bestFit="1" customWidth="1"/>
    <col min="5405" max="5405" width="3" bestFit="1" customWidth="1"/>
    <col min="5406" max="5406" width="6.140625" bestFit="1" customWidth="1"/>
    <col min="5407" max="5407" width="22.5703125" bestFit="1" customWidth="1"/>
    <col min="5408" max="5408" width="8.5703125" bestFit="1" customWidth="1"/>
    <col min="5409" max="5409" width="9.5703125" bestFit="1" customWidth="1"/>
    <col min="5410" max="5410" width="33.28515625" customWidth="1"/>
    <col min="5411" max="5411" width="8.140625" bestFit="1" customWidth="1"/>
    <col min="5412" max="5412" width="9" bestFit="1" customWidth="1"/>
    <col min="5413" max="5413" width="8.85546875" bestFit="1" customWidth="1"/>
    <col min="5414" max="5414" width="23.140625" customWidth="1"/>
    <col min="5418" max="5418" width="24.42578125" customWidth="1"/>
    <col min="5633" max="5633" width="2.5703125" customWidth="1"/>
    <col min="5634" max="5634" width="11.5703125" bestFit="1" customWidth="1"/>
    <col min="5635" max="5635" width="2.85546875" bestFit="1" customWidth="1"/>
    <col min="5636" max="5636" width="3.28515625" bestFit="1" customWidth="1"/>
    <col min="5637" max="5637" width="3.5703125" bestFit="1" customWidth="1"/>
    <col min="5638" max="5641" width="3.28515625" bestFit="1" customWidth="1"/>
    <col min="5642" max="5642" width="3.42578125" bestFit="1" customWidth="1"/>
    <col min="5643" max="5643" width="1.42578125" customWidth="1"/>
    <col min="5644" max="5644" width="5.85546875" bestFit="1" customWidth="1"/>
    <col min="5645" max="5645" width="2.85546875" customWidth="1"/>
    <col min="5646" max="5646" width="21.28515625" bestFit="1" customWidth="1"/>
    <col min="5647" max="5647" width="9" bestFit="1" customWidth="1"/>
    <col min="5648" max="5648" width="10" bestFit="1" customWidth="1"/>
    <col min="5649" max="5649" width="6.42578125" bestFit="1" customWidth="1"/>
    <col min="5650" max="5650" width="7.85546875" bestFit="1" customWidth="1"/>
    <col min="5651" max="5651" width="10.5703125" bestFit="1" customWidth="1"/>
    <col min="5652" max="5652" width="8.5703125" customWidth="1"/>
    <col min="5653" max="5653" width="8" bestFit="1" customWidth="1"/>
    <col min="5654" max="5654" width="7.85546875" customWidth="1"/>
    <col min="5655" max="5655" width="8.85546875" bestFit="1" customWidth="1"/>
    <col min="5656" max="5656" width="5" customWidth="1"/>
    <col min="5657" max="5657" width="4.7109375" customWidth="1"/>
    <col min="5658" max="5658" width="3" bestFit="1" customWidth="1"/>
    <col min="5659" max="5659" width="2.85546875" bestFit="1" customWidth="1"/>
    <col min="5660" max="5660" width="5.5703125" bestFit="1" customWidth="1"/>
    <col min="5661" max="5661" width="3" bestFit="1" customWidth="1"/>
    <col min="5662" max="5662" width="6.140625" bestFit="1" customWidth="1"/>
    <col min="5663" max="5663" width="22.5703125" bestFit="1" customWidth="1"/>
    <col min="5664" max="5664" width="8.5703125" bestFit="1" customWidth="1"/>
    <col min="5665" max="5665" width="9.5703125" bestFit="1" customWidth="1"/>
    <col min="5666" max="5666" width="33.28515625" customWidth="1"/>
    <col min="5667" max="5667" width="8.140625" bestFit="1" customWidth="1"/>
    <col min="5668" max="5668" width="9" bestFit="1" customWidth="1"/>
    <col min="5669" max="5669" width="8.85546875" bestFit="1" customWidth="1"/>
    <col min="5670" max="5670" width="23.140625" customWidth="1"/>
    <col min="5674" max="5674" width="24.42578125" customWidth="1"/>
    <col min="5889" max="5889" width="2.5703125" customWidth="1"/>
    <col min="5890" max="5890" width="11.5703125" bestFit="1" customWidth="1"/>
    <col min="5891" max="5891" width="2.85546875" bestFit="1" customWidth="1"/>
    <col min="5892" max="5892" width="3.28515625" bestFit="1" customWidth="1"/>
    <col min="5893" max="5893" width="3.5703125" bestFit="1" customWidth="1"/>
    <col min="5894" max="5897" width="3.28515625" bestFit="1" customWidth="1"/>
    <col min="5898" max="5898" width="3.42578125" bestFit="1" customWidth="1"/>
    <col min="5899" max="5899" width="1.42578125" customWidth="1"/>
    <col min="5900" max="5900" width="5.85546875" bestFit="1" customWidth="1"/>
    <col min="5901" max="5901" width="2.85546875" customWidth="1"/>
    <col min="5902" max="5902" width="21.28515625" bestFit="1" customWidth="1"/>
    <col min="5903" max="5903" width="9" bestFit="1" customWidth="1"/>
    <col min="5904" max="5904" width="10" bestFit="1" customWidth="1"/>
    <col min="5905" max="5905" width="6.42578125" bestFit="1" customWidth="1"/>
    <col min="5906" max="5906" width="7.85546875" bestFit="1" customWidth="1"/>
    <col min="5907" max="5907" width="10.5703125" bestFit="1" customWidth="1"/>
    <col min="5908" max="5908" width="8.5703125" customWidth="1"/>
    <col min="5909" max="5909" width="8" bestFit="1" customWidth="1"/>
    <col min="5910" max="5910" width="7.85546875" customWidth="1"/>
    <col min="5911" max="5911" width="8.85546875" bestFit="1" customWidth="1"/>
    <col min="5912" max="5912" width="5" customWidth="1"/>
    <col min="5913" max="5913" width="4.7109375" customWidth="1"/>
    <col min="5914" max="5914" width="3" bestFit="1" customWidth="1"/>
    <col min="5915" max="5915" width="2.85546875" bestFit="1" customWidth="1"/>
    <col min="5916" max="5916" width="5.5703125" bestFit="1" customWidth="1"/>
    <col min="5917" max="5917" width="3" bestFit="1" customWidth="1"/>
    <col min="5918" max="5918" width="6.140625" bestFit="1" customWidth="1"/>
    <col min="5919" max="5919" width="22.5703125" bestFit="1" customWidth="1"/>
    <col min="5920" max="5920" width="8.5703125" bestFit="1" customWidth="1"/>
    <col min="5921" max="5921" width="9.5703125" bestFit="1" customWidth="1"/>
    <col min="5922" max="5922" width="33.28515625" customWidth="1"/>
    <col min="5923" max="5923" width="8.140625" bestFit="1" customWidth="1"/>
    <col min="5924" max="5924" width="9" bestFit="1" customWidth="1"/>
    <col min="5925" max="5925" width="8.85546875" bestFit="1" customWidth="1"/>
    <col min="5926" max="5926" width="23.140625" customWidth="1"/>
    <col min="5930" max="5930" width="24.42578125" customWidth="1"/>
    <col min="6145" max="6145" width="2.5703125" customWidth="1"/>
    <col min="6146" max="6146" width="11.5703125" bestFit="1" customWidth="1"/>
    <col min="6147" max="6147" width="2.85546875" bestFit="1" customWidth="1"/>
    <col min="6148" max="6148" width="3.28515625" bestFit="1" customWidth="1"/>
    <col min="6149" max="6149" width="3.5703125" bestFit="1" customWidth="1"/>
    <col min="6150" max="6153" width="3.28515625" bestFit="1" customWidth="1"/>
    <col min="6154" max="6154" width="3.42578125" bestFit="1" customWidth="1"/>
    <col min="6155" max="6155" width="1.42578125" customWidth="1"/>
    <col min="6156" max="6156" width="5.85546875" bestFit="1" customWidth="1"/>
    <col min="6157" max="6157" width="2.85546875" customWidth="1"/>
    <col min="6158" max="6158" width="21.28515625" bestFit="1" customWidth="1"/>
    <col min="6159" max="6159" width="9" bestFit="1" customWidth="1"/>
    <col min="6160" max="6160" width="10" bestFit="1" customWidth="1"/>
    <col min="6161" max="6161" width="6.42578125" bestFit="1" customWidth="1"/>
    <col min="6162" max="6162" width="7.85546875" bestFit="1" customWidth="1"/>
    <col min="6163" max="6163" width="10.5703125" bestFit="1" customWidth="1"/>
    <col min="6164" max="6164" width="8.5703125" customWidth="1"/>
    <col min="6165" max="6165" width="8" bestFit="1" customWidth="1"/>
    <col min="6166" max="6166" width="7.85546875" customWidth="1"/>
    <col min="6167" max="6167" width="8.85546875" bestFit="1" customWidth="1"/>
    <col min="6168" max="6168" width="5" customWidth="1"/>
    <col min="6169" max="6169" width="4.7109375" customWidth="1"/>
    <col min="6170" max="6170" width="3" bestFit="1" customWidth="1"/>
    <col min="6171" max="6171" width="2.85546875" bestFit="1" customWidth="1"/>
    <col min="6172" max="6172" width="5.5703125" bestFit="1" customWidth="1"/>
    <col min="6173" max="6173" width="3" bestFit="1" customWidth="1"/>
    <col min="6174" max="6174" width="6.140625" bestFit="1" customWidth="1"/>
    <col min="6175" max="6175" width="22.5703125" bestFit="1" customWidth="1"/>
    <col min="6176" max="6176" width="8.5703125" bestFit="1" customWidth="1"/>
    <col min="6177" max="6177" width="9.5703125" bestFit="1" customWidth="1"/>
    <col min="6178" max="6178" width="33.28515625" customWidth="1"/>
    <col min="6179" max="6179" width="8.140625" bestFit="1" customWidth="1"/>
    <col min="6180" max="6180" width="9" bestFit="1" customWidth="1"/>
    <col min="6181" max="6181" width="8.85546875" bestFit="1" customWidth="1"/>
    <col min="6182" max="6182" width="23.140625" customWidth="1"/>
    <col min="6186" max="6186" width="24.42578125" customWidth="1"/>
    <col min="6401" max="6401" width="2.5703125" customWidth="1"/>
    <col min="6402" max="6402" width="11.5703125" bestFit="1" customWidth="1"/>
    <col min="6403" max="6403" width="2.85546875" bestFit="1" customWidth="1"/>
    <col min="6404" max="6404" width="3.28515625" bestFit="1" customWidth="1"/>
    <col min="6405" max="6405" width="3.5703125" bestFit="1" customWidth="1"/>
    <col min="6406" max="6409" width="3.28515625" bestFit="1" customWidth="1"/>
    <col min="6410" max="6410" width="3.42578125" bestFit="1" customWidth="1"/>
    <col min="6411" max="6411" width="1.42578125" customWidth="1"/>
    <col min="6412" max="6412" width="5.85546875" bestFit="1" customWidth="1"/>
    <col min="6413" max="6413" width="2.85546875" customWidth="1"/>
    <col min="6414" max="6414" width="21.28515625" bestFit="1" customWidth="1"/>
    <col min="6415" max="6415" width="9" bestFit="1" customWidth="1"/>
    <col min="6416" max="6416" width="10" bestFit="1" customWidth="1"/>
    <col min="6417" max="6417" width="6.42578125" bestFit="1" customWidth="1"/>
    <col min="6418" max="6418" width="7.85546875" bestFit="1" customWidth="1"/>
    <col min="6419" max="6419" width="10.5703125" bestFit="1" customWidth="1"/>
    <col min="6420" max="6420" width="8.5703125" customWidth="1"/>
    <col min="6421" max="6421" width="8" bestFit="1" customWidth="1"/>
    <col min="6422" max="6422" width="7.85546875" customWidth="1"/>
    <col min="6423" max="6423" width="8.85546875" bestFit="1" customWidth="1"/>
    <col min="6424" max="6424" width="5" customWidth="1"/>
    <col min="6425" max="6425" width="4.7109375" customWidth="1"/>
    <col min="6426" max="6426" width="3" bestFit="1" customWidth="1"/>
    <col min="6427" max="6427" width="2.85546875" bestFit="1" customWidth="1"/>
    <col min="6428" max="6428" width="5.5703125" bestFit="1" customWidth="1"/>
    <col min="6429" max="6429" width="3" bestFit="1" customWidth="1"/>
    <col min="6430" max="6430" width="6.140625" bestFit="1" customWidth="1"/>
    <col min="6431" max="6431" width="22.5703125" bestFit="1" customWidth="1"/>
    <col min="6432" max="6432" width="8.5703125" bestFit="1" customWidth="1"/>
    <col min="6433" max="6433" width="9.5703125" bestFit="1" customWidth="1"/>
    <col min="6434" max="6434" width="33.28515625" customWidth="1"/>
    <col min="6435" max="6435" width="8.140625" bestFit="1" customWidth="1"/>
    <col min="6436" max="6436" width="9" bestFit="1" customWidth="1"/>
    <col min="6437" max="6437" width="8.85546875" bestFit="1" customWidth="1"/>
    <col min="6438" max="6438" width="23.140625" customWidth="1"/>
    <col min="6442" max="6442" width="24.42578125" customWidth="1"/>
    <col min="6657" max="6657" width="2.5703125" customWidth="1"/>
    <col min="6658" max="6658" width="11.5703125" bestFit="1" customWidth="1"/>
    <col min="6659" max="6659" width="2.85546875" bestFit="1" customWidth="1"/>
    <col min="6660" max="6660" width="3.28515625" bestFit="1" customWidth="1"/>
    <col min="6661" max="6661" width="3.5703125" bestFit="1" customWidth="1"/>
    <col min="6662" max="6665" width="3.28515625" bestFit="1" customWidth="1"/>
    <col min="6666" max="6666" width="3.42578125" bestFit="1" customWidth="1"/>
    <col min="6667" max="6667" width="1.42578125" customWidth="1"/>
    <col min="6668" max="6668" width="5.85546875" bestFit="1" customWidth="1"/>
    <col min="6669" max="6669" width="2.85546875" customWidth="1"/>
    <col min="6670" max="6670" width="21.28515625" bestFit="1" customWidth="1"/>
    <col min="6671" max="6671" width="9" bestFit="1" customWidth="1"/>
    <col min="6672" max="6672" width="10" bestFit="1" customWidth="1"/>
    <col min="6673" max="6673" width="6.42578125" bestFit="1" customWidth="1"/>
    <col min="6674" max="6674" width="7.85546875" bestFit="1" customWidth="1"/>
    <col min="6675" max="6675" width="10.5703125" bestFit="1" customWidth="1"/>
    <col min="6676" max="6676" width="8.5703125" customWidth="1"/>
    <col min="6677" max="6677" width="8" bestFit="1" customWidth="1"/>
    <col min="6678" max="6678" width="7.85546875" customWidth="1"/>
    <col min="6679" max="6679" width="8.85546875" bestFit="1" customWidth="1"/>
    <col min="6680" max="6680" width="5" customWidth="1"/>
    <col min="6681" max="6681" width="4.7109375" customWidth="1"/>
    <col min="6682" max="6682" width="3" bestFit="1" customWidth="1"/>
    <col min="6683" max="6683" width="2.85546875" bestFit="1" customWidth="1"/>
    <col min="6684" max="6684" width="5.5703125" bestFit="1" customWidth="1"/>
    <col min="6685" max="6685" width="3" bestFit="1" customWidth="1"/>
    <col min="6686" max="6686" width="6.140625" bestFit="1" customWidth="1"/>
    <col min="6687" max="6687" width="22.5703125" bestFit="1" customWidth="1"/>
    <col min="6688" max="6688" width="8.5703125" bestFit="1" customWidth="1"/>
    <col min="6689" max="6689" width="9.5703125" bestFit="1" customWidth="1"/>
    <col min="6690" max="6690" width="33.28515625" customWidth="1"/>
    <col min="6691" max="6691" width="8.140625" bestFit="1" customWidth="1"/>
    <col min="6692" max="6692" width="9" bestFit="1" customWidth="1"/>
    <col min="6693" max="6693" width="8.85546875" bestFit="1" customWidth="1"/>
    <col min="6694" max="6694" width="23.140625" customWidth="1"/>
    <col min="6698" max="6698" width="24.42578125" customWidth="1"/>
    <col min="6913" max="6913" width="2.5703125" customWidth="1"/>
    <col min="6914" max="6914" width="11.5703125" bestFit="1" customWidth="1"/>
    <col min="6915" max="6915" width="2.85546875" bestFit="1" customWidth="1"/>
    <col min="6916" max="6916" width="3.28515625" bestFit="1" customWidth="1"/>
    <col min="6917" max="6917" width="3.5703125" bestFit="1" customWidth="1"/>
    <col min="6918" max="6921" width="3.28515625" bestFit="1" customWidth="1"/>
    <col min="6922" max="6922" width="3.42578125" bestFit="1" customWidth="1"/>
    <col min="6923" max="6923" width="1.42578125" customWidth="1"/>
    <col min="6924" max="6924" width="5.85546875" bestFit="1" customWidth="1"/>
    <col min="6925" max="6925" width="2.85546875" customWidth="1"/>
    <col min="6926" max="6926" width="21.28515625" bestFit="1" customWidth="1"/>
    <col min="6927" max="6927" width="9" bestFit="1" customWidth="1"/>
    <col min="6928" max="6928" width="10" bestFit="1" customWidth="1"/>
    <col min="6929" max="6929" width="6.42578125" bestFit="1" customWidth="1"/>
    <col min="6930" max="6930" width="7.85546875" bestFit="1" customWidth="1"/>
    <col min="6931" max="6931" width="10.5703125" bestFit="1" customWidth="1"/>
    <col min="6932" max="6932" width="8.5703125" customWidth="1"/>
    <col min="6933" max="6933" width="8" bestFit="1" customWidth="1"/>
    <col min="6934" max="6934" width="7.85546875" customWidth="1"/>
    <col min="6935" max="6935" width="8.85546875" bestFit="1" customWidth="1"/>
    <col min="6936" max="6936" width="5" customWidth="1"/>
    <col min="6937" max="6937" width="4.7109375" customWidth="1"/>
    <col min="6938" max="6938" width="3" bestFit="1" customWidth="1"/>
    <col min="6939" max="6939" width="2.85546875" bestFit="1" customWidth="1"/>
    <col min="6940" max="6940" width="5.5703125" bestFit="1" customWidth="1"/>
    <col min="6941" max="6941" width="3" bestFit="1" customWidth="1"/>
    <col min="6942" max="6942" width="6.140625" bestFit="1" customWidth="1"/>
    <col min="6943" max="6943" width="22.5703125" bestFit="1" customWidth="1"/>
    <col min="6944" max="6944" width="8.5703125" bestFit="1" customWidth="1"/>
    <col min="6945" max="6945" width="9.5703125" bestFit="1" customWidth="1"/>
    <col min="6946" max="6946" width="33.28515625" customWidth="1"/>
    <col min="6947" max="6947" width="8.140625" bestFit="1" customWidth="1"/>
    <col min="6948" max="6948" width="9" bestFit="1" customWidth="1"/>
    <col min="6949" max="6949" width="8.85546875" bestFit="1" customWidth="1"/>
    <col min="6950" max="6950" width="23.140625" customWidth="1"/>
    <col min="6954" max="6954" width="24.42578125" customWidth="1"/>
    <col min="7169" max="7169" width="2.5703125" customWidth="1"/>
    <col min="7170" max="7170" width="11.5703125" bestFit="1" customWidth="1"/>
    <col min="7171" max="7171" width="2.85546875" bestFit="1" customWidth="1"/>
    <col min="7172" max="7172" width="3.28515625" bestFit="1" customWidth="1"/>
    <col min="7173" max="7173" width="3.5703125" bestFit="1" customWidth="1"/>
    <col min="7174" max="7177" width="3.28515625" bestFit="1" customWidth="1"/>
    <col min="7178" max="7178" width="3.42578125" bestFit="1" customWidth="1"/>
    <col min="7179" max="7179" width="1.42578125" customWidth="1"/>
    <col min="7180" max="7180" width="5.85546875" bestFit="1" customWidth="1"/>
    <col min="7181" max="7181" width="2.85546875" customWidth="1"/>
    <col min="7182" max="7182" width="21.28515625" bestFit="1" customWidth="1"/>
    <col min="7183" max="7183" width="9" bestFit="1" customWidth="1"/>
    <col min="7184" max="7184" width="10" bestFit="1" customWidth="1"/>
    <col min="7185" max="7185" width="6.42578125" bestFit="1" customWidth="1"/>
    <col min="7186" max="7186" width="7.85546875" bestFit="1" customWidth="1"/>
    <col min="7187" max="7187" width="10.5703125" bestFit="1" customWidth="1"/>
    <col min="7188" max="7188" width="8.5703125" customWidth="1"/>
    <col min="7189" max="7189" width="8" bestFit="1" customWidth="1"/>
    <col min="7190" max="7190" width="7.85546875" customWidth="1"/>
    <col min="7191" max="7191" width="8.85546875" bestFit="1" customWidth="1"/>
    <col min="7192" max="7192" width="5" customWidth="1"/>
    <col min="7193" max="7193" width="4.7109375" customWidth="1"/>
    <col min="7194" max="7194" width="3" bestFit="1" customWidth="1"/>
    <col min="7195" max="7195" width="2.85546875" bestFit="1" customWidth="1"/>
    <col min="7196" max="7196" width="5.5703125" bestFit="1" customWidth="1"/>
    <col min="7197" max="7197" width="3" bestFit="1" customWidth="1"/>
    <col min="7198" max="7198" width="6.140625" bestFit="1" customWidth="1"/>
    <col min="7199" max="7199" width="22.5703125" bestFit="1" customWidth="1"/>
    <col min="7200" max="7200" width="8.5703125" bestFit="1" customWidth="1"/>
    <col min="7201" max="7201" width="9.5703125" bestFit="1" customWidth="1"/>
    <col min="7202" max="7202" width="33.28515625" customWidth="1"/>
    <col min="7203" max="7203" width="8.140625" bestFit="1" customWidth="1"/>
    <col min="7204" max="7204" width="9" bestFit="1" customWidth="1"/>
    <col min="7205" max="7205" width="8.85546875" bestFit="1" customWidth="1"/>
    <col min="7206" max="7206" width="23.140625" customWidth="1"/>
    <col min="7210" max="7210" width="24.42578125" customWidth="1"/>
    <col min="7425" max="7425" width="2.5703125" customWidth="1"/>
    <col min="7426" max="7426" width="11.5703125" bestFit="1" customWidth="1"/>
    <col min="7427" max="7427" width="2.85546875" bestFit="1" customWidth="1"/>
    <col min="7428" max="7428" width="3.28515625" bestFit="1" customWidth="1"/>
    <col min="7429" max="7429" width="3.5703125" bestFit="1" customWidth="1"/>
    <col min="7430" max="7433" width="3.28515625" bestFit="1" customWidth="1"/>
    <col min="7434" max="7434" width="3.42578125" bestFit="1" customWidth="1"/>
    <col min="7435" max="7435" width="1.42578125" customWidth="1"/>
    <col min="7436" max="7436" width="5.85546875" bestFit="1" customWidth="1"/>
    <col min="7437" max="7437" width="2.85546875" customWidth="1"/>
    <col min="7438" max="7438" width="21.28515625" bestFit="1" customWidth="1"/>
    <col min="7439" max="7439" width="9" bestFit="1" customWidth="1"/>
    <col min="7440" max="7440" width="10" bestFit="1" customWidth="1"/>
    <col min="7441" max="7441" width="6.42578125" bestFit="1" customWidth="1"/>
    <col min="7442" max="7442" width="7.85546875" bestFit="1" customWidth="1"/>
    <col min="7443" max="7443" width="10.5703125" bestFit="1" customWidth="1"/>
    <col min="7444" max="7444" width="8.5703125" customWidth="1"/>
    <col min="7445" max="7445" width="8" bestFit="1" customWidth="1"/>
    <col min="7446" max="7446" width="7.85546875" customWidth="1"/>
    <col min="7447" max="7447" width="8.85546875" bestFit="1" customWidth="1"/>
    <col min="7448" max="7448" width="5" customWidth="1"/>
    <col min="7449" max="7449" width="4.7109375" customWidth="1"/>
    <col min="7450" max="7450" width="3" bestFit="1" customWidth="1"/>
    <col min="7451" max="7451" width="2.85546875" bestFit="1" customWidth="1"/>
    <col min="7452" max="7452" width="5.5703125" bestFit="1" customWidth="1"/>
    <col min="7453" max="7453" width="3" bestFit="1" customWidth="1"/>
    <col min="7454" max="7454" width="6.140625" bestFit="1" customWidth="1"/>
    <col min="7455" max="7455" width="22.5703125" bestFit="1" customWidth="1"/>
    <col min="7456" max="7456" width="8.5703125" bestFit="1" customWidth="1"/>
    <col min="7457" max="7457" width="9.5703125" bestFit="1" customWidth="1"/>
    <col min="7458" max="7458" width="33.28515625" customWidth="1"/>
    <col min="7459" max="7459" width="8.140625" bestFit="1" customWidth="1"/>
    <col min="7460" max="7460" width="9" bestFit="1" customWidth="1"/>
    <col min="7461" max="7461" width="8.85546875" bestFit="1" customWidth="1"/>
    <col min="7462" max="7462" width="23.140625" customWidth="1"/>
    <col min="7466" max="7466" width="24.42578125" customWidth="1"/>
    <col min="7681" max="7681" width="2.5703125" customWidth="1"/>
    <col min="7682" max="7682" width="11.5703125" bestFit="1" customWidth="1"/>
    <col min="7683" max="7683" width="2.85546875" bestFit="1" customWidth="1"/>
    <col min="7684" max="7684" width="3.28515625" bestFit="1" customWidth="1"/>
    <col min="7685" max="7685" width="3.5703125" bestFit="1" customWidth="1"/>
    <col min="7686" max="7689" width="3.28515625" bestFit="1" customWidth="1"/>
    <col min="7690" max="7690" width="3.42578125" bestFit="1" customWidth="1"/>
    <col min="7691" max="7691" width="1.42578125" customWidth="1"/>
    <col min="7692" max="7692" width="5.85546875" bestFit="1" customWidth="1"/>
    <col min="7693" max="7693" width="2.85546875" customWidth="1"/>
    <col min="7694" max="7694" width="21.28515625" bestFit="1" customWidth="1"/>
    <col min="7695" max="7695" width="9" bestFit="1" customWidth="1"/>
    <col min="7696" max="7696" width="10" bestFit="1" customWidth="1"/>
    <col min="7697" max="7697" width="6.42578125" bestFit="1" customWidth="1"/>
    <col min="7698" max="7698" width="7.85546875" bestFit="1" customWidth="1"/>
    <col min="7699" max="7699" width="10.5703125" bestFit="1" customWidth="1"/>
    <col min="7700" max="7700" width="8.5703125" customWidth="1"/>
    <col min="7701" max="7701" width="8" bestFit="1" customWidth="1"/>
    <col min="7702" max="7702" width="7.85546875" customWidth="1"/>
    <col min="7703" max="7703" width="8.85546875" bestFit="1" customWidth="1"/>
    <col min="7704" max="7704" width="5" customWidth="1"/>
    <col min="7705" max="7705" width="4.7109375" customWidth="1"/>
    <col min="7706" max="7706" width="3" bestFit="1" customWidth="1"/>
    <col min="7707" max="7707" width="2.85546875" bestFit="1" customWidth="1"/>
    <col min="7708" max="7708" width="5.5703125" bestFit="1" customWidth="1"/>
    <col min="7709" max="7709" width="3" bestFit="1" customWidth="1"/>
    <col min="7710" max="7710" width="6.140625" bestFit="1" customWidth="1"/>
    <col min="7711" max="7711" width="22.5703125" bestFit="1" customWidth="1"/>
    <col min="7712" max="7712" width="8.5703125" bestFit="1" customWidth="1"/>
    <col min="7713" max="7713" width="9.5703125" bestFit="1" customWidth="1"/>
    <col min="7714" max="7714" width="33.28515625" customWidth="1"/>
    <col min="7715" max="7715" width="8.140625" bestFit="1" customWidth="1"/>
    <col min="7716" max="7716" width="9" bestFit="1" customWidth="1"/>
    <col min="7717" max="7717" width="8.85546875" bestFit="1" customWidth="1"/>
    <col min="7718" max="7718" width="23.140625" customWidth="1"/>
    <col min="7722" max="7722" width="24.42578125" customWidth="1"/>
    <col min="7937" max="7937" width="2.5703125" customWidth="1"/>
    <col min="7938" max="7938" width="11.5703125" bestFit="1" customWidth="1"/>
    <col min="7939" max="7939" width="2.85546875" bestFit="1" customWidth="1"/>
    <col min="7940" max="7940" width="3.28515625" bestFit="1" customWidth="1"/>
    <col min="7941" max="7941" width="3.5703125" bestFit="1" customWidth="1"/>
    <col min="7942" max="7945" width="3.28515625" bestFit="1" customWidth="1"/>
    <col min="7946" max="7946" width="3.42578125" bestFit="1" customWidth="1"/>
    <col min="7947" max="7947" width="1.42578125" customWidth="1"/>
    <col min="7948" max="7948" width="5.85546875" bestFit="1" customWidth="1"/>
    <col min="7949" max="7949" width="2.85546875" customWidth="1"/>
    <col min="7950" max="7950" width="21.28515625" bestFit="1" customWidth="1"/>
    <col min="7951" max="7951" width="9" bestFit="1" customWidth="1"/>
    <col min="7952" max="7952" width="10" bestFit="1" customWidth="1"/>
    <col min="7953" max="7953" width="6.42578125" bestFit="1" customWidth="1"/>
    <col min="7954" max="7954" width="7.85546875" bestFit="1" customWidth="1"/>
    <col min="7955" max="7955" width="10.5703125" bestFit="1" customWidth="1"/>
    <col min="7956" max="7956" width="8.5703125" customWidth="1"/>
    <col min="7957" max="7957" width="8" bestFit="1" customWidth="1"/>
    <col min="7958" max="7958" width="7.85546875" customWidth="1"/>
    <col min="7959" max="7959" width="8.85546875" bestFit="1" customWidth="1"/>
    <col min="7960" max="7960" width="5" customWidth="1"/>
    <col min="7961" max="7961" width="4.7109375" customWidth="1"/>
    <col min="7962" max="7962" width="3" bestFit="1" customWidth="1"/>
    <col min="7963" max="7963" width="2.85546875" bestFit="1" customWidth="1"/>
    <col min="7964" max="7964" width="5.5703125" bestFit="1" customWidth="1"/>
    <col min="7965" max="7965" width="3" bestFit="1" customWidth="1"/>
    <col min="7966" max="7966" width="6.140625" bestFit="1" customWidth="1"/>
    <col min="7967" max="7967" width="22.5703125" bestFit="1" customWidth="1"/>
    <col min="7968" max="7968" width="8.5703125" bestFit="1" customWidth="1"/>
    <col min="7969" max="7969" width="9.5703125" bestFit="1" customWidth="1"/>
    <col min="7970" max="7970" width="33.28515625" customWidth="1"/>
    <col min="7971" max="7971" width="8.140625" bestFit="1" customWidth="1"/>
    <col min="7972" max="7972" width="9" bestFit="1" customWidth="1"/>
    <col min="7973" max="7973" width="8.85546875" bestFit="1" customWidth="1"/>
    <col min="7974" max="7974" width="23.140625" customWidth="1"/>
    <col min="7978" max="7978" width="24.42578125" customWidth="1"/>
    <col min="8193" max="8193" width="2.5703125" customWidth="1"/>
    <col min="8194" max="8194" width="11.5703125" bestFit="1" customWidth="1"/>
    <col min="8195" max="8195" width="2.85546875" bestFit="1" customWidth="1"/>
    <col min="8196" max="8196" width="3.28515625" bestFit="1" customWidth="1"/>
    <col min="8197" max="8197" width="3.5703125" bestFit="1" customWidth="1"/>
    <col min="8198" max="8201" width="3.28515625" bestFit="1" customWidth="1"/>
    <col min="8202" max="8202" width="3.42578125" bestFit="1" customWidth="1"/>
    <col min="8203" max="8203" width="1.42578125" customWidth="1"/>
    <col min="8204" max="8204" width="5.85546875" bestFit="1" customWidth="1"/>
    <col min="8205" max="8205" width="2.85546875" customWidth="1"/>
    <col min="8206" max="8206" width="21.28515625" bestFit="1" customWidth="1"/>
    <col min="8207" max="8207" width="9" bestFit="1" customWidth="1"/>
    <col min="8208" max="8208" width="10" bestFit="1" customWidth="1"/>
    <col min="8209" max="8209" width="6.42578125" bestFit="1" customWidth="1"/>
    <col min="8210" max="8210" width="7.85546875" bestFit="1" customWidth="1"/>
    <col min="8211" max="8211" width="10.5703125" bestFit="1" customWidth="1"/>
    <col min="8212" max="8212" width="8.5703125" customWidth="1"/>
    <col min="8213" max="8213" width="8" bestFit="1" customWidth="1"/>
    <col min="8214" max="8214" width="7.85546875" customWidth="1"/>
    <col min="8215" max="8215" width="8.85546875" bestFit="1" customWidth="1"/>
    <col min="8216" max="8216" width="5" customWidth="1"/>
    <col min="8217" max="8217" width="4.7109375" customWidth="1"/>
    <col min="8218" max="8218" width="3" bestFit="1" customWidth="1"/>
    <col min="8219" max="8219" width="2.85546875" bestFit="1" customWidth="1"/>
    <col min="8220" max="8220" width="5.5703125" bestFit="1" customWidth="1"/>
    <col min="8221" max="8221" width="3" bestFit="1" customWidth="1"/>
    <col min="8222" max="8222" width="6.140625" bestFit="1" customWidth="1"/>
    <col min="8223" max="8223" width="22.5703125" bestFit="1" customWidth="1"/>
    <col min="8224" max="8224" width="8.5703125" bestFit="1" customWidth="1"/>
    <col min="8225" max="8225" width="9.5703125" bestFit="1" customWidth="1"/>
    <col min="8226" max="8226" width="33.28515625" customWidth="1"/>
    <col min="8227" max="8227" width="8.140625" bestFit="1" customWidth="1"/>
    <col min="8228" max="8228" width="9" bestFit="1" customWidth="1"/>
    <col min="8229" max="8229" width="8.85546875" bestFit="1" customWidth="1"/>
    <col min="8230" max="8230" width="23.140625" customWidth="1"/>
    <col min="8234" max="8234" width="24.42578125" customWidth="1"/>
    <col min="8449" max="8449" width="2.5703125" customWidth="1"/>
    <col min="8450" max="8450" width="11.5703125" bestFit="1" customWidth="1"/>
    <col min="8451" max="8451" width="2.85546875" bestFit="1" customWidth="1"/>
    <col min="8452" max="8452" width="3.28515625" bestFit="1" customWidth="1"/>
    <col min="8453" max="8453" width="3.5703125" bestFit="1" customWidth="1"/>
    <col min="8454" max="8457" width="3.28515625" bestFit="1" customWidth="1"/>
    <col min="8458" max="8458" width="3.42578125" bestFit="1" customWidth="1"/>
    <col min="8459" max="8459" width="1.42578125" customWidth="1"/>
    <col min="8460" max="8460" width="5.85546875" bestFit="1" customWidth="1"/>
    <col min="8461" max="8461" width="2.85546875" customWidth="1"/>
    <col min="8462" max="8462" width="21.28515625" bestFit="1" customWidth="1"/>
    <col min="8463" max="8463" width="9" bestFit="1" customWidth="1"/>
    <col min="8464" max="8464" width="10" bestFit="1" customWidth="1"/>
    <col min="8465" max="8465" width="6.42578125" bestFit="1" customWidth="1"/>
    <col min="8466" max="8466" width="7.85546875" bestFit="1" customWidth="1"/>
    <col min="8467" max="8467" width="10.5703125" bestFit="1" customWidth="1"/>
    <col min="8468" max="8468" width="8.5703125" customWidth="1"/>
    <col min="8469" max="8469" width="8" bestFit="1" customWidth="1"/>
    <col min="8470" max="8470" width="7.85546875" customWidth="1"/>
    <col min="8471" max="8471" width="8.85546875" bestFit="1" customWidth="1"/>
    <col min="8472" max="8472" width="5" customWidth="1"/>
    <col min="8473" max="8473" width="4.7109375" customWidth="1"/>
    <col min="8474" max="8474" width="3" bestFit="1" customWidth="1"/>
    <col min="8475" max="8475" width="2.85546875" bestFit="1" customWidth="1"/>
    <col min="8476" max="8476" width="5.5703125" bestFit="1" customWidth="1"/>
    <col min="8477" max="8477" width="3" bestFit="1" customWidth="1"/>
    <col min="8478" max="8478" width="6.140625" bestFit="1" customWidth="1"/>
    <col min="8479" max="8479" width="22.5703125" bestFit="1" customWidth="1"/>
    <col min="8480" max="8480" width="8.5703125" bestFit="1" customWidth="1"/>
    <col min="8481" max="8481" width="9.5703125" bestFit="1" customWidth="1"/>
    <col min="8482" max="8482" width="33.28515625" customWidth="1"/>
    <col min="8483" max="8483" width="8.140625" bestFit="1" customWidth="1"/>
    <col min="8484" max="8484" width="9" bestFit="1" customWidth="1"/>
    <col min="8485" max="8485" width="8.85546875" bestFit="1" customWidth="1"/>
    <col min="8486" max="8486" width="23.140625" customWidth="1"/>
    <col min="8490" max="8490" width="24.42578125" customWidth="1"/>
    <col min="8705" max="8705" width="2.5703125" customWidth="1"/>
    <col min="8706" max="8706" width="11.5703125" bestFit="1" customWidth="1"/>
    <col min="8707" max="8707" width="2.85546875" bestFit="1" customWidth="1"/>
    <col min="8708" max="8708" width="3.28515625" bestFit="1" customWidth="1"/>
    <col min="8709" max="8709" width="3.5703125" bestFit="1" customWidth="1"/>
    <col min="8710" max="8713" width="3.28515625" bestFit="1" customWidth="1"/>
    <col min="8714" max="8714" width="3.42578125" bestFit="1" customWidth="1"/>
    <col min="8715" max="8715" width="1.42578125" customWidth="1"/>
    <col min="8716" max="8716" width="5.85546875" bestFit="1" customWidth="1"/>
    <col min="8717" max="8717" width="2.85546875" customWidth="1"/>
    <col min="8718" max="8718" width="21.28515625" bestFit="1" customWidth="1"/>
    <col min="8719" max="8719" width="9" bestFit="1" customWidth="1"/>
    <col min="8720" max="8720" width="10" bestFit="1" customWidth="1"/>
    <col min="8721" max="8721" width="6.42578125" bestFit="1" customWidth="1"/>
    <col min="8722" max="8722" width="7.85546875" bestFit="1" customWidth="1"/>
    <col min="8723" max="8723" width="10.5703125" bestFit="1" customWidth="1"/>
    <col min="8724" max="8724" width="8.5703125" customWidth="1"/>
    <col min="8725" max="8725" width="8" bestFit="1" customWidth="1"/>
    <col min="8726" max="8726" width="7.85546875" customWidth="1"/>
    <col min="8727" max="8727" width="8.85546875" bestFit="1" customWidth="1"/>
    <col min="8728" max="8728" width="5" customWidth="1"/>
    <col min="8729" max="8729" width="4.7109375" customWidth="1"/>
    <col min="8730" max="8730" width="3" bestFit="1" customWidth="1"/>
    <col min="8731" max="8731" width="2.85546875" bestFit="1" customWidth="1"/>
    <col min="8732" max="8732" width="5.5703125" bestFit="1" customWidth="1"/>
    <col min="8733" max="8733" width="3" bestFit="1" customWidth="1"/>
    <col min="8734" max="8734" width="6.140625" bestFit="1" customWidth="1"/>
    <col min="8735" max="8735" width="22.5703125" bestFit="1" customWidth="1"/>
    <col min="8736" max="8736" width="8.5703125" bestFit="1" customWidth="1"/>
    <col min="8737" max="8737" width="9.5703125" bestFit="1" customWidth="1"/>
    <col min="8738" max="8738" width="33.28515625" customWidth="1"/>
    <col min="8739" max="8739" width="8.140625" bestFit="1" customWidth="1"/>
    <col min="8740" max="8740" width="9" bestFit="1" customWidth="1"/>
    <col min="8741" max="8741" width="8.85546875" bestFit="1" customWidth="1"/>
    <col min="8742" max="8742" width="23.140625" customWidth="1"/>
    <col min="8746" max="8746" width="24.42578125" customWidth="1"/>
    <col min="8961" max="8961" width="2.5703125" customWidth="1"/>
    <col min="8962" max="8962" width="11.5703125" bestFit="1" customWidth="1"/>
    <col min="8963" max="8963" width="2.85546875" bestFit="1" customWidth="1"/>
    <col min="8964" max="8964" width="3.28515625" bestFit="1" customWidth="1"/>
    <col min="8965" max="8965" width="3.5703125" bestFit="1" customWidth="1"/>
    <col min="8966" max="8969" width="3.28515625" bestFit="1" customWidth="1"/>
    <col min="8970" max="8970" width="3.42578125" bestFit="1" customWidth="1"/>
    <col min="8971" max="8971" width="1.42578125" customWidth="1"/>
    <col min="8972" max="8972" width="5.85546875" bestFit="1" customWidth="1"/>
    <col min="8973" max="8973" width="2.85546875" customWidth="1"/>
    <col min="8974" max="8974" width="21.28515625" bestFit="1" customWidth="1"/>
    <col min="8975" max="8975" width="9" bestFit="1" customWidth="1"/>
    <col min="8976" max="8976" width="10" bestFit="1" customWidth="1"/>
    <col min="8977" max="8977" width="6.42578125" bestFit="1" customWidth="1"/>
    <col min="8978" max="8978" width="7.85546875" bestFit="1" customWidth="1"/>
    <col min="8979" max="8979" width="10.5703125" bestFit="1" customWidth="1"/>
    <col min="8980" max="8980" width="8.5703125" customWidth="1"/>
    <col min="8981" max="8981" width="8" bestFit="1" customWidth="1"/>
    <col min="8982" max="8982" width="7.85546875" customWidth="1"/>
    <col min="8983" max="8983" width="8.85546875" bestFit="1" customWidth="1"/>
    <col min="8984" max="8984" width="5" customWidth="1"/>
    <col min="8985" max="8985" width="4.7109375" customWidth="1"/>
    <col min="8986" max="8986" width="3" bestFit="1" customWidth="1"/>
    <col min="8987" max="8987" width="2.85546875" bestFit="1" customWidth="1"/>
    <col min="8988" max="8988" width="5.5703125" bestFit="1" customWidth="1"/>
    <col min="8989" max="8989" width="3" bestFit="1" customWidth="1"/>
    <col min="8990" max="8990" width="6.140625" bestFit="1" customWidth="1"/>
    <col min="8991" max="8991" width="22.5703125" bestFit="1" customWidth="1"/>
    <col min="8992" max="8992" width="8.5703125" bestFit="1" customWidth="1"/>
    <col min="8993" max="8993" width="9.5703125" bestFit="1" customWidth="1"/>
    <col min="8994" max="8994" width="33.28515625" customWidth="1"/>
    <col min="8995" max="8995" width="8.140625" bestFit="1" customWidth="1"/>
    <col min="8996" max="8996" width="9" bestFit="1" customWidth="1"/>
    <col min="8997" max="8997" width="8.85546875" bestFit="1" customWidth="1"/>
    <col min="8998" max="8998" width="23.140625" customWidth="1"/>
    <col min="9002" max="9002" width="24.42578125" customWidth="1"/>
    <col min="9217" max="9217" width="2.5703125" customWidth="1"/>
    <col min="9218" max="9218" width="11.5703125" bestFit="1" customWidth="1"/>
    <col min="9219" max="9219" width="2.85546875" bestFit="1" customWidth="1"/>
    <col min="9220" max="9220" width="3.28515625" bestFit="1" customWidth="1"/>
    <col min="9221" max="9221" width="3.5703125" bestFit="1" customWidth="1"/>
    <col min="9222" max="9225" width="3.28515625" bestFit="1" customWidth="1"/>
    <col min="9226" max="9226" width="3.42578125" bestFit="1" customWidth="1"/>
    <col min="9227" max="9227" width="1.42578125" customWidth="1"/>
    <col min="9228" max="9228" width="5.85546875" bestFit="1" customWidth="1"/>
    <col min="9229" max="9229" width="2.85546875" customWidth="1"/>
    <col min="9230" max="9230" width="21.28515625" bestFit="1" customWidth="1"/>
    <col min="9231" max="9231" width="9" bestFit="1" customWidth="1"/>
    <col min="9232" max="9232" width="10" bestFit="1" customWidth="1"/>
    <col min="9233" max="9233" width="6.42578125" bestFit="1" customWidth="1"/>
    <col min="9234" max="9234" width="7.85546875" bestFit="1" customWidth="1"/>
    <col min="9235" max="9235" width="10.5703125" bestFit="1" customWidth="1"/>
    <col min="9236" max="9236" width="8.5703125" customWidth="1"/>
    <col min="9237" max="9237" width="8" bestFit="1" customWidth="1"/>
    <col min="9238" max="9238" width="7.85546875" customWidth="1"/>
    <col min="9239" max="9239" width="8.85546875" bestFit="1" customWidth="1"/>
    <col min="9240" max="9240" width="5" customWidth="1"/>
    <col min="9241" max="9241" width="4.7109375" customWidth="1"/>
    <col min="9242" max="9242" width="3" bestFit="1" customWidth="1"/>
    <col min="9243" max="9243" width="2.85546875" bestFit="1" customWidth="1"/>
    <col min="9244" max="9244" width="5.5703125" bestFit="1" customWidth="1"/>
    <col min="9245" max="9245" width="3" bestFit="1" customWidth="1"/>
    <col min="9246" max="9246" width="6.140625" bestFit="1" customWidth="1"/>
    <col min="9247" max="9247" width="22.5703125" bestFit="1" customWidth="1"/>
    <col min="9248" max="9248" width="8.5703125" bestFit="1" customWidth="1"/>
    <col min="9249" max="9249" width="9.5703125" bestFit="1" customWidth="1"/>
    <col min="9250" max="9250" width="33.28515625" customWidth="1"/>
    <col min="9251" max="9251" width="8.140625" bestFit="1" customWidth="1"/>
    <col min="9252" max="9252" width="9" bestFit="1" customWidth="1"/>
    <col min="9253" max="9253" width="8.85546875" bestFit="1" customWidth="1"/>
    <col min="9254" max="9254" width="23.140625" customWidth="1"/>
    <col min="9258" max="9258" width="24.42578125" customWidth="1"/>
    <col min="9473" max="9473" width="2.5703125" customWidth="1"/>
    <col min="9474" max="9474" width="11.5703125" bestFit="1" customWidth="1"/>
    <col min="9475" max="9475" width="2.85546875" bestFit="1" customWidth="1"/>
    <col min="9476" max="9476" width="3.28515625" bestFit="1" customWidth="1"/>
    <col min="9477" max="9477" width="3.5703125" bestFit="1" customWidth="1"/>
    <col min="9478" max="9481" width="3.28515625" bestFit="1" customWidth="1"/>
    <col min="9482" max="9482" width="3.42578125" bestFit="1" customWidth="1"/>
    <col min="9483" max="9483" width="1.42578125" customWidth="1"/>
    <col min="9484" max="9484" width="5.85546875" bestFit="1" customWidth="1"/>
    <col min="9485" max="9485" width="2.85546875" customWidth="1"/>
    <col min="9486" max="9486" width="21.28515625" bestFit="1" customWidth="1"/>
    <col min="9487" max="9487" width="9" bestFit="1" customWidth="1"/>
    <col min="9488" max="9488" width="10" bestFit="1" customWidth="1"/>
    <col min="9489" max="9489" width="6.42578125" bestFit="1" customWidth="1"/>
    <col min="9490" max="9490" width="7.85546875" bestFit="1" customWidth="1"/>
    <col min="9491" max="9491" width="10.5703125" bestFit="1" customWidth="1"/>
    <col min="9492" max="9492" width="8.5703125" customWidth="1"/>
    <col min="9493" max="9493" width="8" bestFit="1" customWidth="1"/>
    <col min="9494" max="9494" width="7.85546875" customWidth="1"/>
    <col min="9495" max="9495" width="8.85546875" bestFit="1" customWidth="1"/>
    <col min="9496" max="9496" width="5" customWidth="1"/>
    <col min="9497" max="9497" width="4.7109375" customWidth="1"/>
    <col min="9498" max="9498" width="3" bestFit="1" customWidth="1"/>
    <col min="9499" max="9499" width="2.85546875" bestFit="1" customWidth="1"/>
    <col min="9500" max="9500" width="5.5703125" bestFit="1" customWidth="1"/>
    <col min="9501" max="9501" width="3" bestFit="1" customWidth="1"/>
    <col min="9502" max="9502" width="6.140625" bestFit="1" customWidth="1"/>
    <col min="9503" max="9503" width="22.5703125" bestFit="1" customWidth="1"/>
    <col min="9504" max="9504" width="8.5703125" bestFit="1" customWidth="1"/>
    <col min="9505" max="9505" width="9.5703125" bestFit="1" customWidth="1"/>
    <col min="9506" max="9506" width="33.28515625" customWidth="1"/>
    <col min="9507" max="9507" width="8.140625" bestFit="1" customWidth="1"/>
    <col min="9508" max="9508" width="9" bestFit="1" customWidth="1"/>
    <col min="9509" max="9509" width="8.85546875" bestFit="1" customWidth="1"/>
    <col min="9510" max="9510" width="23.140625" customWidth="1"/>
    <col min="9514" max="9514" width="24.42578125" customWidth="1"/>
    <col min="9729" max="9729" width="2.5703125" customWidth="1"/>
    <col min="9730" max="9730" width="11.5703125" bestFit="1" customWidth="1"/>
    <col min="9731" max="9731" width="2.85546875" bestFit="1" customWidth="1"/>
    <col min="9732" max="9732" width="3.28515625" bestFit="1" customWidth="1"/>
    <col min="9733" max="9733" width="3.5703125" bestFit="1" customWidth="1"/>
    <col min="9734" max="9737" width="3.28515625" bestFit="1" customWidth="1"/>
    <col min="9738" max="9738" width="3.42578125" bestFit="1" customWidth="1"/>
    <col min="9739" max="9739" width="1.42578125" customWidth="1"/>
    <col min="9740" max="9740" width="5.85546875" bestFit="1" customWidth="1"/>
    <col min="9741" max="9741" width="2.85546875" customWidth="1"/>
    <col min="9742" max="9742" width="21.28515625" bestFit="1" customWidth="1"/>
    <col min="9743" max="9743" width="9" bestFit="1" customWidth="1"/>
    <col min="9744" max="9744" width="10" bestFit="1" customWidth="1"/>
    <col min="9745" max="9745" width="6.42578125" bestFit="1" customWidth="1"/>
    <col min="9746" max="9746" width="7.85546875" bestFit="1" customWidth="1"/>
    <col min="9747" max="9747" width="10.5703125" bestFit="1" customWidth="1"/>
    <col min="9748" max="9748" width="8.5703125" customWidth="1"/>
    <col min="9749" max="9749" width="8" bestFit="1" customWidth="1"/>
    <col min="9750" max="9750" width="7.85546875" customWidth="1"/>
    <col min="9751" max="9751" width="8.85546875" bestFit="1" customWidth="1"/>
    <col min="9752" max="9752" width="5" customWidth="1"/>
    <col min="9753" max="9753" width="4.7109375" customWidth="1"/>
    <col min="9754" max="9754" width="3" bestFit="1" customWidth="1"/>
    <col min="9755" max="9755" width="2.85546875" bestFit="1" customWidth="1"/>
    <col min="9756" max="9756" width="5.5703125" bestFit="1" customWidth="1"/>
    <col min="9757" max="9757" width="3" bestFit="1" customWidth="1"/>
    <col min="9758" max="9758" width="6.140625" bestFit="1" customWidth="1"/>
    <col min="9759" max="9759" width="22.5703125" bestFit="1" customWidth="1"/>
    <col min="9760" max="9760" width="8.5703125" bestFit="1" customWidth="1"/>
    <col min="9761" max="9761" width="9.5703125" bestFit="1" customWidth="1"/>
    <col min="9762" max="9762" width="33.28515625" customWidth="1"/>
    <col min="9763" max="9763" width="8.140625" bestFit="1" customWidth="1"/>
    <col min="9764" max="9764" width="9" bestFit="1" customWidth="1"/>
    <col min="9765" max="9765" width="8.85546875" bestFit="1" customWidth="1"/>
    <col min="9766" max="9766" width="23.140625" customWidth="1"/>
    <col min="9770" max="9770" width="24.42578125" customWidth="1"/>
    <col min="9985" max="9985" width="2.5703125" customWidth="1"/>
    <col min="9986" max="9986" width="11.5703125" bestFit="1" customWidth="1"/>
    <col min="9987" max="9987" width="2.85546875" bestFit="1" customWidth="1"/>
    <col min="9988" max="9988" width="3.28515625" bestFit="1" customWidth="1"/>
    <col min="9989" max="9989" width="3.5703125" bestFit="1" customWidth="1"/>
    <col min="9990" max="9993" width="3.28515625" bestFit="1" customWidth="1"/>
    <col min="9994" max="9994" width="3.42578125" bestFit="1" customWidth="1"/>
    <col min="9995" max="9995" width="1.42578125" customWidth="1"/>
    <col min="9996" max="9996" width="5.85546875" bestFit="1" customWidth="1"/>
    <col min="9997" max="9997" width="2.85546875" customWidth="1"/>
    <col min="9998" max="9998" width="21.28515625" bestFit="1" customWidth="1"/>
    <col min="9999" max="9999" width="9" bestFit="1" customWidth="1"/>
    <col min="10000" max="10000" width="10" bestFit="1" customWidth="1"/>
    <col min="10001" max="10001" width="6.42578125" bestFit="1" customWidth="1"/>
    <col min="10002" max="10002" width="7.85546875" bestFit="1" customWidth="1"/>
    <col min="10003" max="10003" width="10.5703125" bestFit="1" customWidth="1"/>
    <col min="10004" max="10004" width="8.5703125" customWidth="1"/>
    <col min="10005" max="10005" width="8" bestFit="1" customWidth="1"/>
    <col min="10006" max="10006" width="7.85546875" customWidth="1"/>
    <col min="10007" max="10007" width="8.85546875" bestFit="1" customWidth="1"/>
    <col min="10008" max="10008" width="5" customWidth="1"/>
    <col min="10009" max="10009" width="4.7109375" customWidth="1"/>
    <col min="10010" max="10010" width="3" bestFit="1" customWidth="1"/>
    <col min="10011" max="10011" width="2.85546875" bestFit="1" customWidth="1"/>
    <col min="10012" max="10012" width="5.5703125" bestFit="1" customWidth="1"/>
    <col min="10013" max="10013" width="3" bestFit="1" customWidth="1"/>
    <col min="10014" max="10014" width="6.140625" bestFit="1" customWidth="1"/>
    <col min="10015" max="10015" width="22.5703125" bestFit="1" customWidth="1"/>
    <col min="10016" max="10016" width="8.5703125" bestFit="1" customWidth="1"/>
    <col min="10017" max="10017" width="9.5703125" bestFit="1" customWidth="1"/>
    <col min="10018" max="10018" width="33.28515625" customWidth="1"/>
    <col min="10019" max="10019" width="8.140625" bestFit="1" customWidth="1"/>
    <col min="10020" max="10020" width="9" bestFit="1" customWidth="1"/>
    <col min="10021" max="10021" width="8.85546875" bestFit="1" customWidth="1"/>
    <col min="10022" max="10022" width="23.140625" customWidth="1"/>
    <col min="10026" max="10026" width="24.42578125" customWidth="1"/>
    <col min="10241" max="10241" width="2.5703125" customWidth="1"/>
    <col min="10242" max="10242" width="11.5703125" bestFit="1" customWidth="1"/>
    <col min="10243" max="10243" width="2.85546875" bestFit="1" customWidth="1"/>
    <col min="10244" max="10244" width="3.28515625" bestFit="1" customWidth="1"/>
    <col min="10245" max="10245" width="3.5703125" bestFit="1" customWidth="1"/>
    <col min="10246" max="10249" width="3.28515625" bestFit="1" customWidth="1"/>
    <col min="10250" max="10250" width="3.42578125" bestFit="1" customWidth="1"/>
    <col min="10251" max="10251" width="1.42578125" customWidth="1"/>
    <col min="10252" max="10252" width="5.85546875" bestFit="1" customWidth="1"/>
    <col min="10253" max="10253" width="2.85546875" customWidth="1"/>
    <col min="10254" max="10254" width="21.28515625" bestFit="1" customWidth="1"/>
    <col min="10255" max="10255" width="9" bestFit="1" customWidth="1"/>
    <col min="10256" max="10256" width="10" bestFit="1" customWidth="1"/>
    <col min="10257" max="10257" width="6.42578125" bestFit="1" customWidth="1"/>
    <col min="10258" max="10258" width="7.85546875" bestFit="1" customWidth="1"/>
    <col min="10259" max="10259" width="10.5703125" bestFit="1" customWidth="1"/>
    <col min="10260" max="10260" width="8.5703125" customWidth="1"/>
    <col min="10261" max="10261" width="8" bestFit="1" customWidth="1"/>
    <col min="10262" max="10262" width="7.85546875" customWidth="1"/>
    <col min="10263" max="10263" width="8.85546875" bestFit="1" customWidth="1"/>
    <col min="10264" max="10264" width="5" customWidth="1"/>
    <col min="10265" max="10265" width="4.7109375" customWidth="1"/>
    <col min="10266" max="10266" width="3" bestFit="1" customWidth="1"/>
    <col min="10267" max="10267" width="2.85546875" bestFit="1" customWidth="1"/>
    <col min="10268" max="10268" width="5.5703125" bestFit="1" customWidth="1"/>
    <col min="10269" max="10269" width="3" bestFit="1" customWidth="1"/>
    <col min="10270" max="10270" width="6.140625" bestFit="1" customWidth="1"/>
    <col min="10271" max="10271" width="22.5703125" bestFit="1" customWidth="1"/>
    <col min="10272" max="10272" width="8.5703125" bestFit="1" customWidth="1"/>
    <col min="10273" max="10273" width="9.5703125" bestFit="1" customWidth="1"/>
    <col min="10274" max="10274" width="33.28515625" customWidth="1"/>
    <col min="10275" max="10275" width="8.140625" bestFit="1" customWidth="1"/>
    <col min="10276" max="10276" width="9" bestFit="1" customWidth="1"/>
    <col min="10277" max="10277" width="8.85546875" bestFit="1" customWidth="1"/>
    <col min="10278" max="10278" width="23.140625" customWidth="1"/>
    <col min="10282" max="10282" width="24.42578125" customWidth="1"/>
    <col min="10497" max="10497" width="2.5703125" customWidth="1"/>
    <col min="10498" max="10498" width="11.5703125" bestFit="1" customWidth="1"/>
    <col min="10499" max="10499" width="2.85546875" bestFit="1" customWidth="1"/>
    <col min="10500" max="10500" width="3.28515625" bestFit="1" customWidth="1"/>
    <col min="10501" max="10501" width="3.5703125" bestFit="1" customWidth="1"/>
    <col min="10502" max="10505" width="3.28515625" bestFit="1" customWidth="1"/>
    <col min="10506" max="10506" width="3.42578125" bestFit="1" customWidth="1"/>
    <col min="10507" max="10507" width="1.42578125" customWidth="1"/>
    <col min="10508" max="10508" width="5.85546875" bestFit="1" customWidth="1"/>
    <col min="10509" max="10509" width="2.85546875" customWidth="1"/>
    <col min="10510" max="10510" width="21.28515625" bestFit="1" customWidth="1"/>
    <col min="10511" max="10511" width="9" bestFit="1" customWidth="1"/>
    <col min="10512" max="10512" width="10" bestFit="1" customWidth="1"/>
    <col min="10513" max="10513" width="6.42578125" bestFit="1" customWidth="1"/>
    <col min="10514" max="10514" width="7.85546875" bestFit="1" customWidth="1"/>
    <col min="10515" max="10515" width="10.5703125" bestFit="1" customWidth="1"/>
    <col min="10516" max="10516" width="8.5703125" customWidth="1"/>
    <col min="10517" max="10517" width="8" bestFit="1" customWidth="1"/>
    <col min="10518" max="10518" width="7.85546875" customWidth="1"/>
    <col min="10519" max="10519" width="8.85546875" bestFit="1" customWidth="1"/>
    <col min="10520" max="10520" width="5" customWidth="1"/>
    <col min="10521" max="10521" width="4.7109375" customWidth="1"/>
    <col min="10522" max="10522" width="3" bestFit="1" customWidth="1"/>
    <col min="10523" max="10523" width="2.85546875" bestFit="1" customWidth="1"/>
    <col min="10524" max="10524" width="5.5703125" bestFit="1" customWidth="1"/>
    <col min="10525" max="10525" width="3" bestFit="1" customWidth="1"/>
    <col min="10526" max="10526" width="6.140625" bestFit="1" customWidth="1"/>
    <col min="10527" max="10527" width="22.5703125" bestFit="1" customWidth="1"/>
    <col min="10528" max="10528" width="8.5703125" bestFit="1" customWidth="1"/>
    <col min="10529" max="10529" width="9.5703125" bestFit="1" customWidth="1"/>
    <col min="10530" max="10530" width="33.28515625" customWidth="1"/>
    <col min="10531" max="10531" width="8.140625" bestFit="1" customWidth="1"/>
    <col min="10532" max="10532" width="9" bestFit="1" customWidth="1"/>
    <col min="10533" max="10533" width="8.85546875" bestFit="1" customWidth="1"/>
    <col min="10534" max="10534" width="23.140625" customWidth="1"/>
    <col min="10538" max="10538" width="24.42578125" customWidth="1"/>
    <col min="10753" max="10753" width="2.5703125" customWidth="1"/>
    <col min="10754" max="10754" width="11.5703125" bestFit="1" customWidth="1"/>
    <col min="10755" max="10755" width="2.85546875" bestFit="1" customWidth="1"/>
    <col min="10756" max="10756" width="3.28515625" bestFit="1" customWidth="1"/>
    <col min="10757" max="10757" width="3.5703125" bestFit="1" customWidth="1"/>
    <col min="10758" max="10761" width="3.28515625" bestFit="1" customWidth="1"/>
    <col min="10762" max="10762" width="3.42578125" bestFit="1" customWidth="1"/>
    <col min="10763" max="10763" width="1.42578125" customWidth="1"/>
    <col min="10764" max="10764" width="5.85546875" bestFit="1" customWidth="1"/>
    <col min="10765" max="10765" width="2.85546875" customWidth="1"/>
    <col min="10766" max="10766" width="21.28515625" bestFit="1" customWidth="1"/>
    <col min="10767" max="10767" width="9" bestFit="1" customWidth="1"/>
    <col min="10768" max="10768" width="10" bestFit="1" customWidth="1"/>
    <col min="10769" max="10769" width="6.42578125" bestFit="1" customWidth="1"/>
    <col min="10770" max="10770" width="7.85546875" bestFit="1" customWidth="1"/>
    <col min="10771" max="10771" width="10.5703125" bestFit="1" customWidth="1"/>
    <col min="10772" max="10772" width="8.5703125" customWidth="1"/>
    <col min="10773" max="10773" width="8" bestFit="1" customWidth="1"/>
    <col min="10774" max="10774" width="7.85546875" customWidth="1"/>
    <col min="10775" max="10775" width="8.85546875" bestFit="1" customWidth="1"/>
    <col min="10776" max="10776" width="5" customWidth="1"/>
    <col min="10777" max="10777" width="4.7109375" customWidth="1"/>
    <col min="10778" max="10778" width="3" bestFit="1" customWidth="1"/>
    <col min="10779" max="10779" width="2.85546875" bestFit="1" customWidth="1"/>
    <col min="10780" max="10780" width="5.5703125" bestFit="1" customWidth="1"/>
    <col min="10781" max="10781" width="3" bestFit="1" customWidth="1"/>
    <col min="10782" max="10782" width="6.140625" bestFit="1" customWidth="1"/>
    <col min="10783" max="10783" width="22.5703125" bestFit="1" customWidth="1"/>
    <col min="10784" max="10784" width="8.5703125" bestFit="1" customWidth="1"/>
    <col min="10785" max="10785" width="9.5703125" bestFit="1" customWidth="1"/>
    <col min="10786" max="10786" width="33.28515625" customWidth="1"/>
    <col min="10787" max="10787" width="8.140625" bestFit="1" customWidth="1"/>
    <col min="10788" max="10788" width="9" bestFit="1" customWidth="1"/>
    <col min="10789" max="10789" width="8.85546875" bestFit="1" customWidth="1"/>
    <col min="10790" max="10790" width="23.140625" customWidth="1"/>
    <col min="10794" max="10794" width="24.42578125" customWidth="1"/>
    <col min="11009" max="11009" width="2.5703125" customWidth="1"/>
    <col min="11010" max="11010" width="11.5703125" bestFit="1" customWidth="1"/>
    <col min="11011" max="11011" width="2.85546875" bestFit="1" customWidth="1"/>
    <col min="11012" max="11012" width="3.28515625" bestFit="1" customWidth="1"/>
    <col min="11013" max="11013" width="3.5703125" bestFit="1" customWidth="1"/>
    <col min="11014" max="11017" width="3.28515625" bestFit="1" customWidth="1"/>
    <col min="11018" max="11018" width="3.42578125" bestFit="1" customWidth="1"/>
    <col min="11019" max="11019" width="1.42578125" customWidth="1"/>
    <col min="11020" max="11020" width="5.85546875" bestFit="1" customWidth="1"/>
    <col min="11021" max="11021" width="2.85546875" customWidth="1"/>
    <col min="11022" max="11022" width="21.28515625" bestFit="1" customWidth="1"/>
    <col min="11023" max="11023" width="9" bestFit="1" customWidth="1"/>
    <col min="11024" max="11024" width="10" bestFit="1" customWidth="1"/>
    <col min="11025" max="11025" width="6.42578125" bestFit="1" customWidth="1"/>
    <col min="11026" max="11026" width="7.85546875" bestFit="1" customWidth="1"/>
    <col min="11027" max="11027" width="10.5703125" bestFit="1" customWidth="1"/>
    <col min="11028" max="11028" width="8.5703125" customWidth="1"/>
    <col min="11029" max="11029" width="8" bestFit="1" customWidth="1"/>
    <col min="11030" max="11030" width="7.85546875" customWidth="1"/>
    <col min="11031" max="11031" width="8.85546875" bestFit="1" customWidth="1"/>
    <col min="11032" max="11032" width="5" customWidth="1"/>
    <col min="11033" max="11033" width="4.7109375" customWidth="1"/>
    <col min="11034" max="11034" width="3" bestFit="1" customWidth="1"/>
    <col min="11035" max="11035" width="2.85546875" bestFit="1" customWidth="1"/>
    <col min="11036" max="11036" width="5.5703125" bestFit="1" customWidth="1"/>
    <col min="11037" max="11037" width="3" bestFit="1" customWidth="1"/>
    <col min="11038" max="11038" width="6.140625" bestFit="1" customWidth="1"/>
    <col min="11039" max="11039" width="22.5703125" bestFit="1" customWidth="1"/>
    <col min="11040" max="11040" width="8.5703125" bestFit="1" customWidth="1"/>
    <col min="11041" max="11041" width="9.5703125" bestFit="1" customWidth="1"/>
    <col min="11042" max="11042" width="33.28515625" customWidth="1"/>
    <col min="11043" max="11043" width="8.140625" bestFit="1" customWidth="1"/>
    <col min="11044" max="11044" width="9" bestFit="1" customWidth="1"/>
    <col min="11045" max="11045" width="8.85546875" bestFit="1" customWidth="1"/>
    <col min="11046" max="11046" width="23.140625" customWidth="1"/>
    <col min="11050" max="11050" width="24.42578125" customWidth="1"/>
    <col min="11265" max="11265" width="2.5703125" customWidth="1"/>
    <col min="11266" max="11266" width="11.5703125" bestFit="1" customWidth="1"/>
    <col min="11267" max="11267" width="2.85546875" bestFit="1" customWidth="1"/>
    <col min="11268" max="11268" width="3.28515625" bestFit="1" customWidth="1"/>
    <col min="11269" max="11269" width="3.5703125" bestFit="1" customWidth="1"/>
    <col min="11270" max="11273" width="3.28515625" bestFit="1" customWidth="1"/>
    <col min="11274" max="11274" width="3.42578125" bestFit="1" customWidth="1"/>
    <col min="11275" max="11275" width="1.42578125" customWidth="1"/>
    <col min="11276" max="11276" width="5.85546875" bestFit="1" customWidth="1"/>
    <col min="11277" max="11277" width="2.85546875" customWidth="1"/>
    <col min="11278" max="11278" width="21.28515625" bestFit="1" customWidth="1"/>
    <col min="11279" max="11279" width="9" bestFit="1" customWidth="1"/>
    <col min="11280" max="11280" width="10" bestFit="1" customWidth="1"/>
    <col min="11281" max="11281" width="6.42578125" bestFit="1" customWidth="1"/>
    <col min="11282" max="11282" width="7.85546875" bestFit="1" customWidth="1"/>
    <col min="11283" max="11283" width="10.5703125" bestFit="1" customWidth="1"/>
    <col min="11284" max="11284" width="8.5703125" customWidth="1"/>
    <col min="11285" max="11285" width="8" bestFit="1" customWidth="1"/>
    <col min="11286" max="11286" width="7.85546875" customWidth="1"/>
    <col min="11287" max="11287" width="8.85546875" bestFit="1" customWidth="1"/>
    <col min="11288" max="11288" width="5" customWidth="1"/>
    <col min="11289" max="11289" width="4.7109375" customWidth="1"/>
    <col min="11290" max="11290" width="3" bestFit="1" customWidth="1"/>
    <col min="11291" max="11291" width="2.85546875" bestFit="1" customWidth="1"/>
    <col min="11292" max="11292" width="5.5703125" bestFit="1" customWidth="1"/>
    <col min="11293" max="11293" width="3" bestFit="1" customWidth="1"/>
    <col min="11294" max="11294" width="6.140625" bestFit="1" customWidth="1"/>
    <col min="11295" max="11295" width="22.5703125" bestFit="1" customWidth="1"/>
    <col min="11296" max="11296" width="8.5703125" bestFit="1" customWidth="1"/>
    <col min="11297" max="11297" width="9.5703125" bestFit="1" customWidth="1"/>
    <col min="11298" max="11298" width="33.28515625" customWidth="1"/>
    <col min="11299" max="11299" width="8.140625" bestFit="1" customWidth="1"/>
    <col min="11300" max="11300" width="9" bestFit="1" customWidth="1"/>
    <col min="11301" max="11301" width="8.85546875" bestFit="1" customWidth="1"/>
    <col min="11302" max="11302" width="23.140625" customWidth="1"/>
    <col min="11306" max="11306" width="24.42578125" customWidth="1"/>
    <col min="11521" max="11521" width="2.5703125" customWidth="1"/>
    <col min="11522" max="11522" width="11.5703125" bestFit="1" customWidth="1"/>
    <col min="11523" max="11523" width="2.85546875" bestFit="1" customWidth="1"/>
    <col min="11524" max="11524" width="3.28515625" bestFit="1" customWidth="1"/>
    <col min="11525" max="11525" width="3.5703125" bestFit="1" customWidth="1"/>
    <col min="11526" max="11529" width="3.28515625" bestFit="1" customWidth="1"/>
    <col min="11530" max="11530" width="3.42578125" bestFit="1" customWidth="1"/>
    <col min="11531" max="11531" width="1.42578125" customWidth="1"/>
    <col min="11532" max="11532" width="5.85546875" bestFit="1" customWidth="1"/>
    <col min="11533" max="11533" width="2.85546875" customWidth="1"/>
    <col min="11534" max="11534" width="21.28515625" bestFit="1" customWidth="1"/>
    <col min="11535" max="11535" width="9" bestFit="1" customWidth="1"/>
    <col min="11536" max="11536" width="10" bestFit="1" customWidth="1"/>
    <col min="11537" max="11537" width="6.42578125" bestFit="1" customWidth="1"/>
    <col min="11538" max="11538" width="7.85546875" bestFit="1" customWidth="1"/>
    <col min="11539" max="11539" width="10.5703125" bestFit="1" customWidth="1"/>
    <col min="11540" max="11540" width="8.5703125" customWidth="1"/>
    <col min="11541" max="11541" width="8" bestFit="1" customWidth="1"/>
    <col min="11542" max="11542" width="7.85546875" customWidth="1"/>
    <col min="11543" max="11543" width="8.85546875" bestFit="1" customWidth="1"/>
    <col min="11544" max="11544" width="5" customWidth="1"/>
    <col min="11545" max="11545" width="4.7109375" customWidth="1"/>
    <col min="11546" max="11546" width="3" bestFit="1" customWidth="1"/>
    <col min="11547" max="11547" width="2.85546875" bestFit="1" customWidth="1"/>
    <col min="11548" max="11548" width="5.5703125" bestFit="1" customWidth="1"/>
    <col min="11549" max="11549" width="3" bestFit="1" customWidth="1"/>
    <col min="11550" max="11550" width="6.140625" bestFit="1" customWidth="1"/>
    <col min="11551" max="11551" width="22.5703125" bestFit="1" customWidth="1"/>
    <col min="11552" max="11552" width="8.5703125" bestFit="1" customWidth="1"/>
    <col min="11553" max="11553" width="9.5703125" bestFit="1" customWidth="1"/>
    <col min="11554" max="11554" width="33.28515625" customWidth="1"/>
    <col min="11555" max="11555" width="8.140625" bestFit="1" customWidth="1"/>
    <col min="11556" max="11556" width="9" bestFit="1" customWidth="1"/>
    <col min="11557" max="11557" width="8.85546875" bestFit="1" customWidth="1"/>
    <col min="11558" max="11558" width="23.140625" customWidth="1"/>
    <col min="11562" max="11562" width="24.42578125" customWidth="1"/>
    <col min="11777" max="11777" width="2.5703125" customWidth="1"/>
    <col min="11778" max="11778" width="11.5703125" bestFit="1" customWidth="1"/>
    <col min="11779" max="11779" width="2.85546875" bestFit="1" customWidth="1"/>
    <col min="11780" max="11780" width="3.28515625" bestFit="1" customWidth="1"/>
    <col min="11781" max="11781" width="3.5703125" bestFit="1" customWidth="1"/>
    <col min="11782" max="11785" width="3.28515625" bestFit="1" customWidth="1"/>
    <col min="11786" max="11786" width="3.42578125" bestFit="1" customWidth="1"/>
    <col min="11787" max="11787" width="1.42578125" customWidth="1"/>
    <col min="11788" max="11788" width="5.85546875" bestFit="1" customWidth="1"/>
    <col min="11789" max="11789" width="2.85546875" customWidth="1"/>
    <col min="11790" max="11790" width="21.28515625" bestFit="1" customWidth="1"/>
    <col min="11791" max="11791" width="9" bestFit="1" customWidth="1"/>
    <col min="11792" max="11792" width="10" bestFit="1" customWidth="1"/>
    <col min="11793" max="11793" width="6.42578125" bestFit="1" customWidth="1"/>
    <col min="11794" max="11794" width="7.85546875" bestFit="1" customWidth="1"/>
    <col min="11795" max="11795" width="10.5703125" bestFit="1" customWidth="1"/>
    <col min="11796" max="11796" width="8.5703125" customWidth="1"/>
    <col min="11797" max="11797" width="8" bestFit="1" customWidth="1"/>
    <col min="11798" max="11798" width="7.85546875" customWidth="1"/>
    <col min="11799" max="11799" width="8.85546875" bestFit="1" customWidth="1"/>
    <col min="11800" max="11800" width="5" customWidth="1"/>
    <col min="11801" max="11801" width="4.7109375" customWidth="1"/>
    <col min="11802" max="11802" width="3" bestFit="1" customWidth="1"/>
    <col min="11803" max="11803" width="2.85546875" bestFit="1" customWidth="1"/>
    <col min="11804" max="11804" width="5.5703125" bestFit="1" customWidth="1"/>
    <col min="11805" max="11805" width="3" bestFit="1" customWidth="1"/>
    <col min="11806" max="11806" width="6.140625" bestFit="1" customWidth="1"/>
    <col min="11807" max="11807" width="22.5703125" bestFit="1" customWidth="1"/>
    <col min="11808" max="11808" width="8.5703125" bestFit="1" customWidth="1"/>
    <col min="11809" max="11809" width="9.5703125" bestFit="1" customWidth="1"/>
    <col min="11810" max="11810" width="33.28515625" customWidth="1"/>
    <col min="11811" max="11811" width="8.140625" bestFit="1" customWidth="1"/>
    <col min="11812" max="11812" width="9" bestFit="1" customWidth="1"/>
    <col min="11813" max="11813" width="8.85546875" bestFit="1" customWidth="1"/>
    <col min="11814" max="11814" width="23.140625" customWidth="1"/>
    <col min="11818" max="11818" width="24.42578125" customWidth="1"/>
    <col min="12033" max="12033" width="2.5703125" customWidth="1"/>
    <col min="12034" max="12034" width="11.5703125" bestFit="1" customWidth="1"/>
    <col min="12035" max="12035" width="2.85546875" bestFit="1" customWidth="1"/>
    <col min="12036" max="12036" width="3.28515625" bestFit="1" customWidth="1"/>
    <col min="12037" max="12037" width="3.5703125" bestFit="1" customWidth="1"/>
    <col min="12038" max="12041" width="3.28515625" bestFit="1" customWidth="1"/>
    <col min="12042" max="12042" width="3.42578125" bestFit="1" customWidth="1"/>
    <col min="12043" max="12043" width="1.42578125" customWidth="1"/>
    <col min="12044" max="12044" width="5.85546875" bestFit="1" customWidth="1"/>
    <col min="12045" max="12045" width="2.85546875" customWidth="1"/>
    <col min="12046" max="12046" width="21.28515625" bestFit="1" customWidth="1"/>
    <col min="12047" max="12047" width="9" bestFit="1" customWidth="1"/>
    <col min="12048" max="12048" width="10" bestFit="1" customWidth="1"/>
    <col min="12049" max="12049" width="6.42578125" bestFit="1" customWidth="1"/>
    <col min="12050" max="12050" width="7.85546875" bestFit="1" customWidth="1"/>
    <col min="12051" max="12051" width="10.5703125" bestFit="1" customWidth="1"/>
    <col min="12052" max="12052" width="8.5703125" customWidth="1"/>
    <col min="12053" max="12053" width="8" bestFit="1" customWidth="1"/>
    <col min="12054" max="12054" width="7.85546875" customWidth="1"/>
    <col min="12055" max="12055" width="8.85546875" bestFit="1" customWidth="1"/>
    <col min="12056" max="12056" width="5" customWidth="1"/>
    <col min="12057" max="12057" width="4.7109375" customWidth="1"/>
    <col min="12058" max="12058" width="3" bestFit="1" customWidth="1"/>
    <col min="12059" max="12059" width="2.85546875" bestFit="1" customWidth="1"/>
    <col min="12060" max="12060" width="5.5703125" bestFit="1" customWidth="1"/>
    <col min="12061" max="12061" width="3" bestFit="1" customWidth="1"/>
    <col min="12062" max="12062" width="6.140625" bestFit="1" customWidth="1"/>
    <col min="12063" max="12063" width="22.5703125" bestFit="1" customWidth="1"/>
    <col min="12064" max="12064" width="8.5703125" bestFit="1" customWidth="1"/>
    <col min="12065" max="12065" width="9.5703125" bestFit="1" customWidth="1"/>
    <col min="12066" max="12066" width="33.28515625" customWidth="1"/>
    <col min="12067" max="12067" width="8.140625" bestFit="1" customWidth="1"/>
    <col min="12068" max="12068" width="9" bestFit="1" customWidth="1"/>
    <col min="12069" max="12069" width="8.85546875" bestFit="1" customWidth="1"/>
    <col min="12070" max="12070" width="23.140625" customWidth="1"/>
    <col min="12074" max="12074" width="24.42578125" customWidth="1"/>
    <col min="12289" max="12289" width="2.5703125" customWidth="1"/>
    <col min="12290" max="12290" width="11.5703125" bestFit="1" customWidth="1"/>
    <col min="12291" max="12291" width="2.85546875" bestFit="1" customWidth="1"/>
    <col min="12292" max="12292" width="3.28515625" bestFit="1" customWidth="1"/>
    <col min="12293" max="12293" width="3.5703125" bestFit="1" customWidth="1"/>
    <col min="12294" max="12297" width="3.28515625" bestFit="1" customWidth="1"/>
    <col min="12298" max="12298" width="3.42578125" bestFit="1" customWidth="1"/>
    <col min="12299" max="12299" width="1.42578125" customWidth="1"/>
    <col min="12300" max="12300" width="5.85546875" bestFit="1" customWidth="1"/>
    <col min="12301" max="12301" width="2.85546875" customWidth="1"/>
    <col min="12302" max="12302" width="21.28515625" bestFit="1" customWidth="1"/>
    <col min="12303" max="12303" width="9" bestFit="1" customWidth="1"/>
    <col min="12304" max="12304" width="10" bestFit="1" customWidth="1"/>
    <col min="12305" max="12305" width="6.42578125" bestFit="1" customWidth="1"/>
    <col min="12306" max="12306" width="7.85546875" bestFit="1" customWidth="1"/>
    <col min="12307" max="12307" width="10.5703125" bestFit="1" customWidth="1"/>
    <col min="12308" max="12308" width="8.5703125" customWidth="1"/>
    <col min="12309" max="12309" width="8" bestFit="1" customWidth="1"/>
    <col min="12310" max="12310" width="7.85546875" customWidth="1"/>
    <col min="12311" max="12311" width="8.85546875" bestFit="1" customWidth="1"/>
    <col min="12312" max="12312" width="5" customWidth="1"/>
    <col min="12313" max="12313" width="4.7109375" customWidth="1"/>
    <col min="12314" max="12314" width="3" bestFit="1" customWidth="1"/>
    <col min="12315" max="12315" width="2.85546875" bestFit="1" customWidth="1"/>
    <col min="12316" max="12316" width="5.5703125" bestFit="1" customWidth="1"/>
    <col min="12317" max="12317" width="3" bestFit="1" customWidth="1"/>
    <col min="12318" max="12318" width="6.140625" bestFit="1" customWidth="1"/>
    <col min="12319" max="12319" width="22.5703125" bestFit="1" customWidth="1"/>
    <col min="12320" max="12320" width="8.5703125" bestFit="1" customWidth="1"/>
    <col min="12321" max="12321" width="9.5703125" bestFit="1" customWidth="1"/>
    <col min="12322" max="12322" width="33.28515625" customWidth="1"/>
    <col min="12323" max="12323" width="8.140625" bestFit="1" customWidth="1"/>
    <col min="12324" max="12324" width="9" bestFit="1" customWidth="1"/>
    <col min="12325" max="12325" width="8.85546875" bestFit="1" customWidth="1"/>
    <col min="12326" max="12326" width="23.140625" customWidth="1"/>
    <col min="12330" max="12330" width="24.42578125" customWidth="1"/>
    <col min="12545" max="12545" width="2.5703125" customWidth="1"/>
    <col min="12546" max="12546" width="11.5703125" bestFit="1" customWidth="1"/>
    <col min="12547" max="12547" width="2.85546875" bestFit="1" customWidth="1"/>
    <col min="12548" max="12548" width="3.28515625" bestFit="1" customWidth="1"/>
    <col min="12549" max="12549" width="3.5703125" bestFit="1" customWidth="1"/>
    <col min="12550" max="12553" width="3.28515625" bestFit="1" customWidth="1"/>
    <col min="12554" max="12554" width="3.42578125" bestFit="1" customWidth="1"/>
    <col min="12555" max="12555" width="1.42578125" customWidth="1"/>
    <col min="12556" max="12556" width="5.85546875" bestFit="1" customWidth="1"/>
    <col min="12557" max="12557" width="2.85546875" customWidth="1"/>
    <col min="12558" max="12558" width="21.28515625" bestFit="1" customWidth="1"/>
    <col min="12559" max="12559" width="9" bestFit="1" customWidth="1"/>
    <col min="12560" max="12560" width="10" bestFit="1" customWidth="1"/>
    <col min="12561" max="12561" width="6.42578125" bestFit="1" customWidth="1"/>
    <col min="12562" max="12562" width="7.85546875" bestFit="1" customWidth="1"/>
    <col min="12563" max="12563" width="10.5703125" bestFit="1" customWidth="1"/>
    <col min="12564" max="12564" width="8.5703125" customWidth="1"/>
    <col min="12565" max="12565" width="8" bestFit="1" customWidth="1"/>
    <col min="12566" max="12566" width="7.85546875" customWidth="1"/>
    <col min="12567" max="12567" width="8.85546875" bestFit="1" customWidth="1"/>
    <col min="12568" max="12568" width="5" customWidth="1"/>
    <col min="12569" max="12569" width="4.7109375" customWidth="1"/>
    <col min="12570" max="12570" width="3" bestFit="1" customWidth="1"/>
    <col min="12571" max="12571" width="2.85546875" bestFit="1" customWidth="1"/>
    <col min="12572" max="12572" width="5.5703125" bestFit="1" customWidth="1"/>
    <col min="12573" max="12573" width="3" bestFit="1" customWidth="1"/>
    <col min="12574" max="12574" width="6.140625" bestFit="1" customWidth="1"/>
    <col min="12575" max="12575" width="22.5703125" bestFit="1" customWidth="1"/>
    <col min="12576" max="12576" width="8.5703125" bestFit="1" customWidth="1"/>
    <col min="12577" max="12577" width="9.5703125" bestFit="1" customWidth="1"/>
    <col min="12578" max="12578" width="33.28515625" customWidth="1"/>
    <col min="12579" max="12579" width="8.140625" bestFit="1" customWidth="1"/>
    <col min="12580" max="12580" width="9" bestFit="1" customWidth="1"/>
    <col min="12581" max="12581" width="8.85546875" bestFit="1" customWidth="1"/>
    <col min="12582" max="12582" width="23.140625" customWidth="1"/>
    <col min="12586" max="12586" width="24.42578125" customWidth="1"/>
    <col min="12801" max="12801" width="2.5703125" customWidth="1"/>
    <col min="12802" max="12802" width="11.5703125" bestFit="1" customWidth="1"/>
    <col min="12803" max="12803" width="2.85546875" bestFit="1" customWidth="1"/>
    <col min="12804" max="12804" width="3.28515625" bestFit="1" customWidth="1"/>
    <col min="12805" max="12805" width="3.5703125" bestFit="1" customWidth="1"/>
    <col min="12806" max="12809" width="3.28515625" bestFit="1" customWidth="1"/>
    <col min="12810" max="12810" width="3.42578125" bestFit="1" customWidth="1"/>
    <col min="12811" max="12811" width="1.42578125" customWidth="1"/>
    <col min="12812" max="12812" width="5.85546875" bestFit="1" customWidth="1"/>
    <col min="12813" max="12813" width="2.85546875" customWidth="1"/>
    <col min="12814" max="12814" width="21.28515625" bestFit="1" customWidth="1"/>
    <col min="12815" max="12815" width="9" bestFit="1" customWidth="1"/>
    <col min="12816" max="12816" width="10" bestFit="1" customWidth="1"/>
    <col min="12817" max="12817" width="6.42578125" bestFit="1" customWidth="1"/>
    <col min="12818" max="12818" width="7.85546875" bestFit="1" customWidth="1"/>
    <col min="12819" max="12819" width="10.5703125" bestFit="1" customWidth="1"/>
    <col min="12820" max="12820" width="8.5703125" customWidth="1"/>
    <col min="12821" max="12821" width="8" bestFit="1" customWidth="1"/>
    <col min="12822" max="12822" width="7.85546875" customWidth="1"/>
    <col min="12823" max="12823" width="8.85546875" bestFit="1" customWidth="1"/>
    <col min="12824" max="12824" width="5" customWidth="1"/>
    <col min="12825" max="12825" width="4.7109375" customWidth="1"/>
    <col min="12826" max="12826" width="3" bestFit="1" customWidth="1"/>
    <col min="12827" max="12827" width="2.85546875" bestFit="1" customWidth="1"/>
    <col min="12828" max="12828" width="5.5703125" bestFit="1" customWidth="1"/>
    <col min="12829" max="12829" width="3" bestFit="1" customWidth="1"/>
    <col min="12830" max="12830" width="6.140625" bestFit="1" customWidth="1"/>
    <col min="12831" max="12831" width="22.5703125" bestFit="1" customWidth="1"/>
    <col min="12832" max="12832" width="8.5703125" bestFit="1" customWidth="1"/>
    <col min="12833" max="12833" width="9.5703125" bestFit="1" customWidth="1"/>
    <col min="12834" max="12834" width="33.28515625" customWidth="1"/>
    <col min="12835" max="12835" width="8.140625" bestFit="1" customWidth="1"/>
    <col min="12836" max="12836" width="9" bestFit="1" customWidth="1"/>
    <col min="12837" max="12837" width="8.85546875" bestFit="1" customWidth="1"/>
    <col min="12838" max="12838" width="23.140625" customWidth="1"/>
    <col min="12842" max="12842" width="24.42578125" customWidth="1"/>
    <col min="13057" max="13057" width="2.5703125" customWidth="1"/>
    <col min="13058" max="13058" width="11.5703125" bestFit="1" customWidth="1"/>
    <col min="13059" max="13059" width="2.85546875" bestFit="1" customWidth="1"/>
    <col min="13060" max="13060" width="3.28515625" bestFit="1" customWidth="1"/>
    <col min="13061" max="13061" width="3.5703125" bestFit="1" customWidth="1"/>
    <col min="13062" max="13065" width="3.28515625" bestFit="1" customWidth="1"/>
    <col min="13066" max="13066" width="3.42578125" bestFit="1" customWidth="1"/>
    <col min="13067" max="13067" width="1.42578125" customWidth="1"/>
    <col min="13068" max="13068" width="5.85546875" bestFit="1" customWidth="1"/>
    <col min="13069" max="13069" width="2.85546875" customWidth="1"/>
    <col min="13070" max="13070" width="21.28515625" bestFit="1" customWidth="1"/>
    <col min="13071" max="13071" width="9" bestFit="1" customWidth="1"/>
    <col min="13072" max="13072" width="10" bestFit="1" customWidth="1"/>
    <col min="13073" max="13073" width="6.42578125" bestFit="1" customWidth="1"/>
    <col min="13074" max="13074" width="7.85546875" bestFit="1" customWidth="1"/>
    <col min="13075" max="13075" width="10.5703125" bestFit="1" customWidth="1"/>
    <col min="13076" max="13076" width="8.5703125" customWidth="1"/>
    <col min="13077" max="13077" width="8" bestFit="1" customWidth="1"/>
    <col min="13078" max="13078" width="7.85546875" customWidth="1"/>
    <col min="13079" max="13079" width="8.85546875" bestFit="1" customWidth="1"/>
    <col min="13080" max="13080" width="5" customWidth="1"/>
    <col min="13081" max="13081" width="4.7109375" customWidth="1"/>
    <col min="13082" max="13082" width="3" bestFit="1" customWidth="1"/>
    <col min="13083" max="13083" width="2.85546875" bestFit="1" customWidth="1"/>
    <col min="13084" max="13084" width="5.5703125" bestFit="1" customWidth="1"/>
    <col min="13085" max="13085" width="3" bestFit="1" customWidth="1"/>
    <col min="13086" max="13086" width="6.140625" bestFit="1" customWidth="1"/>
    <col min="13087" max="13087" width="22.5703125" bestFit="1" customWidth="1"/>
    <col min="13088" max="13088" width="8.5703125" bestFit="1" customWidth="1"/>
    <col min="13089" max="13089" width="9.5703125" bestFit="1" customWidth="1"/>
    <col min="13090" max="13090" width="33.28515625" customWidth="1"/>
    <col min="13091" max="13091" width="8.140625" bestFit="1" customWidth="1"/>
    <col min="13092" max="13092" width="9" bestFit="1" customWidth="1"/>
    <col min="13093" max="13093" width="8.85546875" bestFit="1" customWidth="1"/>
    <col min="13094" max="13094" width="23.140625" customWidth="1"/>
    <col min="13098" max="13098" width="24.42578125" customWidth="1"/>
    <col min="13313" max="13313" width="2.5703125" customWidth="1"/>
    <col min="13314" max="13314" width="11.5703125" bestFit="1" customWidth="1"/>
    <col min="13315" max="13315" width="2.85546875" bestFit="1" customWidth="1"/>
    <col min="13316" max="13316" width="3.28515625" bestFit="1" customWidth="1"/>
    <col min="13317" max="13317" width="3.5703125" bestFit="1" customWidth="1"/>
    <col min="13318" max="13321" width="3.28515625" bestFit="1" customWidth="1"/>
    <col min="13322" max="13322" width="3.42578125" bestFit="1" customWidth="1"/>
    <col min="13323" max="13323" width="1.42578125" customWidth="1"/>
    <col min="13324" max="13324" width="5.85546875" bestFit="1" customWidth="1"/>
    <col min="13325" max="13325" width="2.85546875" customWidth="1"/>
    <col min="13326" max="13326" width="21.28515625" bestFit="1" customWidth="1"/>
    <col min="13327" max="13327" width="9" bestFit="1" customWidth="1"/>
    <col min="13328" max="13328" width="10" bestFit="1" customWidth="1"/>
    <col min="13329" max="13329" width="6.42578125" bestFit="1" customWidth="1"/>
    <col min="13330" max="13330" width="7.85546875" bestFit="1" customWidth="1"/>
    <col min="13331" max="13331" width="10.5703125" bestFit="1" customWidth="1"/>
    <col min="13332" max="13332" width="8.5703125" customWidth="1"/>
    <col min="13333" max="13333" width="8" bestFit="1" customWidth="1"/>
    <col min="13334" max="13334" width="7.85546875" customWidth="1"/>
    <col min="13335" max="13335" width="8.85546875" bestFit="1" customWidth="1"/>
    <col min="13336" max="13336" width="5" customWidth="1"/>
    <col min="13337" max="13337" width="4.7109375" customWidth="1"/>
    <col min="13338" max="13338" width="3" bestFit="1" customWidth="1"/>
    <col min="13339" max="13339" width="2.85546875" bestFit="1" customWidth="1"/>
    <col min="13340" max="13340" width="5.5703125" bestFit="1" customWidth="1"/>
    <col min="13341" max="13341" width="3" bestFit="1" customWidth="1"/>
    <col min="13342" max="13342" width="6.140625" bestFit="1" customWidth="1"/>
    <col min="13343" max="13343" width="22.5703125" bestFit="1" customWidth="1"/>
    <col min="13344" max="13344" width="8.5703125" bestFit="1" customWidth="1"/>
    <col min="13345" max="13345" width="9.5703125" bestFit="1" customWidth="1"/>
    <col min="13346" max="13346" width="33.28515625" customWidth="1"/>
    <col min="13347" max="13347" width="8.140625" bestFit="1" customWidth="1"/>
    <col min="13348" max="13348" width="9" bestFit="1" customWidth="1"/>
    <col min="13349" max="13349" width="8.85546875" bestFit="1" customWidth="1"/>
    <col min="13350" max="13350" width="23.140625" customWidth="1"/>
    <col min="13354" max="13354" width="24.42578125" customWidth="1"/>
    <col min="13569" max="13569" width="2.5703125" customWidth="1"/>
    <col min="13570" max="13570" width="11.5703125" bestFit="1" customWidth="1"/>
    <col min="13571" max="13571" width="2.85546875" bestFit="1" customWidth="1"/>
    <col min="13572" max="13572" width="3.28515625" bestFit="1" customWidth="1"/>
    <col min="13573" max="13573" width="3.5703125" bestFit="1" customWidth="1"/>
    <col min="13574" max="13577" width="3.28515625" bestFit="1" customWidth="1"/>
    <col min="13578" max="13578" width="3.42578125" bestFit="1" customWidth="1"/>
    <col min="13579" max="13579" width="1.42578125" customWidth="1"/>
    <col min="13580" max="13580" width="5.85546875" bestFit="1" customWidth="1"/>
    <col min="13581" max="13581" width="2.85546875" customWidth="1"/>
    <col min="13582" max="13582" width="21.28515625" bestFit="1" customWidth="1"/>
    <col min="13583" max="13583" width="9" bestFit="1" customWidth="1"/>
    <col min="13584" max="13584" width="10" bestFit="1" customWidth="1"/>
    <col min="13585" max="13585" width="6.42578125" bestFit="1" customWidth="1"/>
    <col min="13586" max="13586" width="7.85546875" bestFit="1" customWidth="1"/>
    <col min="13587" max="13587" width="10.5703125" bestFit="1" customWidth="1"/>
    <col min="13588" max="13588" width="8.5703125" customWidth="1"/>
    <col min="13589" max="13589" width="8" bestFit="1" customWidth="1"/>
    <col min="13590" max="13590" width="7.85546875" customWidth="1"/>
    <col min="13591" max="13591" width="8.85546875" bestFit="1" customWidth="1"/>
    <col min="13592" max="13592" width="5" customWidth="1"/>
    <col min="13593" max="13593" width="4.7109375" customWidth="1"/>
    <col min="13594" max="13594" width="3" bestFit="1" customWidth="1"/>
    <col min="13595" max="13595" width="2.85546875" bestFit="1" customWidth="1"/>
    <col min="13596" max="13596" width="5.5703125" bestFit="1" customWidth="1"/>
    <col min="13597" max="13597" width="3" bestFit="1" customWidth="1"/>
    <col min="13598" max="13598" width="6.140625" bestFit="1" customWidth="1"/>
    <col min="13599" max="13599" width="22.5703125" bestFit="1" customWidth="1"/>
    <col min="13600" max="13600" width="8.5703125" bestFit="1" customWidth="1"/>
    <col min="13601" max="13601" width="9.5703125" bestFit="1" customWidth="1"/>
    <col min="13602" max="13602" width="33.28515625" customWidth="1"/>
    <col min="13603" max="13603" width="8.140625" bestFit="1" customWidth="1"/>
    <col min="13604" max="13604" width="9" bestFit="1" customWidth="1"/>
    <col min="13605" max="13605" width="8.85546875" bestFit="1" customWidth="1"/>
    <col min="13606" max="13606" width="23.140625" customWidth="1"/>
    <col min="13610" max="13610" width="24.42578125" customWidth="1"/>
    <col min="13825" max="13825" width="2.5703125" customWidth="1"/>
    <col min="13826" max="13826" width="11.5703125" bestFit="1" customWidth="1"/>
    <col min="13827" max="13827" width="2.85546875" bestFit="1" customWidth="1"/>
    <col min="13828" max="13828" width="3.28515625" bestFit="1" customWidth="1"/>
    <col min="13829" max="13829" width="3.5703125" bestFit="1" customWidth="1"/>
    <col min="13830" max="13833" width="3.28515625" bestFit="1" customWidth="1"/>
    <col min="13834" max="13834" width="3.42578125" bestFit="1" customWidth="1"/>
    <col min="13835" max="13835" width="1.42578125" customWidth="1"/>
    <col min="13836" max="13836" width="5.85546875" bestFit="1" customWidth="1"/>
    <col min="13837" max="13837" width="2.85546875" customWidth="1"/>
    <col min="13838" max="13838" width="21.28515625" bestFit="1" customWidth="1"/>
    <col min="13839" max="13839" width="9" bestFit="1" customWidth="1"/>
    <col min="13840" max="13840" width="10" bestFit="1" customWidth="1"/>
    <col min="13841" max="13841" width="6.42578125" bestFit="1" customWidth="1"/>
    <col min="13842" max="13842" width="7.85546875" bestFit="1" customWidth="1"/>
    <col min="13843" max="13843" width="10.5703125" bestFit="1" customWidth="1"/>
    <col min="13844" max="13844" width="8.5703125" customWidth="1"/>
    <col min="13845" max="13845" width="8" bestFit="1" customWidth="1"/>
    <col min="13846" max="13846" width="7.85546875" customWidth="1"/>
    <col min="13847" max="13847" width="8.85546875" bestFit="1" customWidth="1"/>
    <col min="13848" max="13848" width="5" customWidth="1"/>
    <col min="13849" max="13849" width="4.7109375" customWidth="1"/>
    <col min="13850" max="13850" width="3" bestFit="1" customWidth="1"/>
    <col min="13851" max="13851" width="2.85546875" bestFit="1" customWidth="1"/>
    <col min="13852" max="13852" width="5.5703125" bestFit="1" customWidth="1"/>
    <col min="13853" max="13853" width="3" bestFit="1" customWidth="1"/>
    <col min="13854" max="13854" width="6.140625" bestFit="1" customWidth="1"/>
    <col min="13855" max="13855" width="22.5703125" bestFit="1" customWidth="1"/>
    <col min="13856" max="13856" width="8.5703125" bestFit="1" customWidth="1"/>
    <col min="13857" max="13857" width="9.5703125" bestFit="1" customWidth="1"/>
    <col min="13858" max="13858" width="33.28515625" customWidth="1"/>
    <col min="13859" max="13859" width="8.140625" bestFit="1" customWidth="1"/>
    <col min="13860" max="13860" width="9" bestFit="1" customWidth="1"/>
    <col min="13861" max="13861" width="8.85546875" bestFit="1" customWidth="1"/>
    <col min="13862" max="13862" width="23.140625" customWidth="1"/>
    <col min="13866" max="13866" width="24.42578125" customWidth="1"/>
    <col min="14081" max="14081" width="2.5703125" customWidth="1"/>
    <col min="14082" max="14082" width="11.5703125" bestFit="1" customWidth="1"/>
    <col min="14083" max="14083" width="2.85546875" bestFit="1" customWidth="1"/>
    <col min="14084" max="14084" width="3.28515625" bestFit="1" customWidth="1"/>
    <col min="14085" max="14085" width="3.5703125" bestFit="1" customWidth="1"/>
    <col min="14086" max="14089" width="3.28515625" bestFit="1" customWidth="1"/>
    <col min="14090" max="14090" width="3.42578125" bestFit="1" customWidth="1"/>
    <col min="14091" max="14091" width="1.42578125" customWidth="1"/>
    <col min="14092" max="14092" width="5.85546875" bestFit="1" customWidth="1"/>
    <col min="14093" max="14093" width="2.85546875" customWidth="1"/>
    <col min="14094" max="14094" width="21.28515625" bestFit="1" customWidth="1"/>
    <col min="14095" max="14095" width="9" bestFit="1" customWidth="1"/>
    <col min="14096" max="14096" width="10" bestFit="1" customWidth="1"/>
    <col min="14097" max="14097" width="6.42578125" bestFit="1" customWidth="1"/>
    <col min="14098" max="14098" width="7.85546875" bestFit="1" customWidth="1"/>
    <col min="14099" max="14099" width="10.5703125" bestFit="1" customWidth="1"/>
    <col min="14100" max="14100" width="8.5703125" customWidth="1"/>
    <col min="14101" max="14101" width="8" bestFit="1" customWidth="1"/>
    <col min="14102" max="14102" width="7.85546875" customWidth="1"/>
    <col min="14103" max="14103" width="8.85546875" bestFit="1" customWidth="1"/>
    <col min="14104" max="14104" width="5" customWidth="1"/>
    <col min="14105" max="14105" width="4.7109375" customWidth="1"/>
    <col min="14106" max="14106" width="3" bestFit="1" customWidth="1"/>
    <col min="14107" max="14107" width="2.85546875" bestFit="1" customWidth="1"/>
    <col min="14108" max="14108" width="5.5703125" bestFit="1" customWidth="1"/>
    <col min="14109" max="14109" width="3" bestFit="1" customWidth="1"/>
    <col min="14110" max="14110" width="6.140625" bestFit="1" customWidth="1"/>
    <col min="14111" max="14111" width="22.5703125" bestFit="1" customWidth="1"/>
    <col min="14112" max="14112" width="8.5703125" bestFit="1" customWidth="1"/>
    <col min="14113" max="14113" width="9.5703125" bestFit="1" customWidth="1"/>
    <col min="14114" max="14114" width="33.28515625" customWidth="1"/>
    <col min="14115" max="14115" width="8.140625" bestFit="1" customWidth="1"/>
    <col min="14116" max="14116" width="9" bestFit="1" customWidth="1"/>
    <col min="14117" max="14117" width="8.85546875" bestFit="1" customWidth="1"/>
    <col min="14118" max="14118" width="23.140625" customWidth="1"/>
    <col min="14122" max="14122" width="24.42578125" customWidth="1"/>
    <col min="14337" max="14337" width="2.5703125" customWidth="1"/>
    <col min="14338" max="14338" width="11.5703125" bestFit="1" customWidth="1"/>
    <col min="14339" max="14339" width="2.85546875" bestFit="1" customWidth="1"/>
    <col min="14340" max="14340" width="3.28515625" bestFit="1" customWidth="1"/>
    <col min="14341" max="14341" width="3.5703125" bestFit="1" customWidth="1"/>
    <col min="14342" max="14345" width="3.28515625" bestFit="1" customWidth="1"/>
    <col min="14346" max="14346" width="3.42578125" bestFit="1" customWidth="1"/>
    <col min="14347" max="14347" width="1.42578125" customWidth="1"/>
    <col min="14348" max="14348" width="5.85546875" bestFit="1" customWidth="1"/>
    <col min="14349" max="14349" width="2.85546875" customWidth="1"/>
    <col min="14350" max="14350" width="21.28515625" bestFit="1" customWidth="1"/>
    <col min="14351" max="14351" width="9" bestFit="1" customWidth="1"/>
    <col min="14352" max="14352" width="10" bestFit="1" customWidth="1"/>
    <col min="14353" max="14353" width="6.42578125" bestFit="1" customWidth="1"/>
    <col min="14354" max="14354" width="7.85546875" bestFit="1" customWidth="1"/>
    <col min="14355" max="14355" width="10.5703125" bestFit="1" customWidth="1"/>
    <col min="14356" max="14356" width="8.5703125" customWidth="1"/>
    <col min="14357" max="14357" width="8" bestFit="1" customWidth="1"/>
    <col min="14358" max="14358" width="7.85546875" customWidth="1"/>
    <col min="14359" max="14359" width="8.85546875" bestFit="1" customWidth="1"/>
    <col min="14360" max="14360" width="5" customWidth="1"/>
    <col min="14361" max="14361" width="4.7109375" customWidth="1"/>
    <col min="14362" max="14362" width="3" bestFit="1" customWidth="1"/>
    <col min="14363" max="14363" width="2.85546875" bestFit="1" customWidth="1"/>
    <col min="14364" max="14364" width="5.5703125" bestFit="1" customWidth="1"/>
    <col min="14365" max="14365" width="3" bestFit="1" customWidth="1"/>
    <col min="14366" max="14366" width="6.140625" bestFit="1" customWidth="1"/>
    <col min="14367" max="14367" width="22.5703125" bestFit="1" customWidth="1"/>
    <col min="14368" max="14368" width="8.5703125" bestFit="1" customWidth="1"/>
    <col min="14369" max="14369" width="9.5703125" bestFit="1" customWidth="1"/>
    <col min="14370" max="14370" width="33.28515625" customWidth="1"/>
    <col min="14371" max="14371" width="8.140625" bestFit="1" customWidth="1"/>
    <col min="14372" max="14372" width="9" bestFit="1" customWidth="1"/>
    <col min="14373" max="14373" width="8.85546875" bestFit="1" customWidth="1"/>
    <col min="14374" max="14374" width="23.140625" customWidth="1"/>
    <col min="14378" max="14378" width="24.42578125" customWidth="1"/>
    <col min="14593" max="14593" width="2.5703125" customWidth="1"/>
    <col min="14594" max="14594" width="11.5703125" bestFit="1" customWidth="1"/>
    <col min="14595" max="14595" width="2.85546875" bestFit="1" customWidth="1"/>
    <col min="14596" max="14596" width="3.28515625" bestFit="1" customWidth="1"/>
    <col min="14597" max="14597" width="3.5703125" bestFit="1" customWidth="1"/>
    <col min="14598" max="14601" width="3.28515625" bestFit="1" customWidth="1"/>
    <col min="14602" max="14602" width="3.42578125" bestFit="1" customWidth="1"/>
    <col min="14603" max="14603" width="1.42578125" customWidth="1"/>
    <col min="14604" max="14604" width="5.85546875" bestFit="1" customWidth="1"/>
    <col min="14605" max="14605" width="2.85546875" customWidth="1"/>
    <col min="14606" max="14606" width="21.28515625" bestFit="1" customWidth="1"/>
    <col min="14607" max="14607" width="9" bestFit="1" customWidth="1"/>
    <col min="14608" max="14608" width="10" bestFit="1" customWidth="1"/>
    <col min="14609" max="14609" width="6.42578125" bestFit="1" customWidth="1"/>
    <col min="14610" max="14610" width="7.85546875" bestFit="1" customWidth="1"/>
    <col min="14611" max="14611" width="10.5703125" bestFit="1" customWidth="1"/>
    <col min="14612" max="14612" width="8.5703125" customWidth="1"/>
    <col min="14613" max="14613" width="8" bestFit="1" customWidth="1"/>
    <col min="14614" max="14614" width="7.85546875" customWidth="1"/>
    <col min="14615" max="14615" width="8.85546875" bestFit="1" customWidth="1"/>
    <col min="14616" max="14616" width="5" customWidth="1"/>
    <col min="14617" max="14617" width="4.7109375" customWidth="1"/>
    <col min="14618" max="14618" width="3" bestFit="1" customWidth="1"/>
    <col min="14619" max="14619" width="2.85546875" bestFit="1" customWidth="1"/>
    <col min="14620" max="14620" width="5.5703125" bestFit="1" customWidth="1"/>
    <col min="14621" max="14621" width="3" bestFit="1" customWidth="1"/>
    <col min="14622" max="14622" width="6.140625" bestFit="1" customWidth="1"/>
    <col min="14623" max="14623" width="22.5703125" bestFit="1" customWidth="1"/>
    <col min="14624" max="14624" width="8.5703125" bestFit="1" customWidth="1"/>
    <col min="14625" max="14625" width="9.5703125" bestFit="1" customWidth="1"/>
    <col min="14626" max="14626" width="33.28515625" customWidth="1"/>
    <col min="14627" max="14627" width="8.140625" bestFit="1" customWidth="1"/>
    <col min="14628" max="14628" width="9" bestFit="1" customWidth="1"/>
    <col min="14629" max="14629" width="8.85546875" bestFit="1" customWidth="1"/>
    <col min="14630" max="14630" width="23.140625" customWidth="1"/>
    <col min="14634" max="14634" width="24.42578125" customWidth="1"/>
    <col min="14849" max="14849" width="2.5703125" customWidth="1"/>
    <col min="14850" max="14850" width="11.5703125" bestFit="1" customWidth="1"/>
    <col min="14851" max="14851" width="2.85546875" bestFit="1" customWidth="1"/>
    <col min="14852" max="14852" width="3.28515625" bestFit="1" customWidth="1"/>
    <col min="14853" max="14853" width="3.5703125" bestFit="1" customWidth="1"/>
    <col min="14854" max="14857" width="3.28515625" bestFit="1" customWidth="1"/>
    <col min="14858" max="14858" width="3.42578125" bestFit="1" customWidth="1"/>
    <col min="14859" max="14859" width="1.42578125" customWidth="1"/>
    <col min="14860" max="14860" width="5.85546875" bestFit="1" customWidth="1"/>
    <col min="14861" max="14861" width="2.85546875" customWidth="1"/>
    <col min="14862" max="14862" width="21.28515625" bestFit="1" customWidth="1"/>
    <col min="14863" max="14863" width="9" bestFit="1" customWidth="1"/>
    <col min="14864" max="14864" width="10" bestFit="1" customWidth="1"/>
    <col min="14865" max="14865" width="6.42578125" bestFit="1" customWidth="1"/>
    <col min="14866" max="14866" width="7.85546875" bestFit="1" customWidth="1"/>
    <col min="14867" max="14867" width="10.5703125" bestFit="1" customWidth="1"/>
    <col min="14868" max="14868" width="8.5703125" customWidth="1"/>
    <col min="14869" max="14869" width="8" bestFit="1" customWidth="1"/>
    <col min="14870" max="14870" width="7.85546875" customWidth="1"/>
    <col min="14871" max="14871" width="8.85546875" bestFit="1" customWidth="1"/>
    <col min="14872" max="14872" width="5" customWidth="1"/>
    <col min="14873" max="14873" width="4.7109375" customWidth="1"/>
    <col min="14874" max="14874" width="3" bestFit="1" customWidth="1"/>
    <col min="14875" max="14875" width="2.85546875" bestFit="1" customWidth="1"/>
    <col min="14876" max="14876" width="5.5703125" bestFit="1" customWidth="1"/>
    <col min="14877" max="14877" width="3" bestFit="1" customWidth="1"/>
    <col min="14878" max="14878" width="6.140625" bestFit="1" customWidth="1"/>
    <col min="14879" max="14879" width="22.5703125" bestFit="1" customWidth="1"/>
    <col min="14880" max="14880" width="8.5703125" bestFit="1" customWidth="1"/>
    <col min="14881" max="14881" width="9.5703125" bestFit="1" customWidth="1"/>
    <col min="14882" max="14882" width="33.28515625" customWidth="1"/>
    <col min="14883" max="14883" width="8.140625" bestFit="1" customWidth="1"/>
    <col min="14884" max="14884" width="9" bestFit="1" customWidth="1"/>
    <col min="14885" max="14885" width="8.85546875" bestFit="1" customWidth="1"/>
    <col min="14886" max="14886" width="23.140625" customWidth="1"/>
    <col min="14890" max="14890" width="24.42578125" customWidth="1"/>
    <col min="15105" max="15105" width="2.5703125" customWidth="1"/>
    <col min="15106" max="15106" width="11.5703125" bestFit="1" customWidth="1"/>
    <col min="15107" max="15107" width="2.85546875" bestFit="1" customWidth="1"/>
    <col min="15108" max="15108" width="3.28515625" bestFit="1" customWidth="1"/>
    <col min="15109" max="15109" width="3.5703125" bestFit="1" customWidth="1"/>
    <col min="15110" max="15113" width="3.28515625" bestFit="1" customWidth="1"/>
    <col min="15114" max="15114" width="3.42578125" bestFit="1" customWidth="1"/>
    <col min="15115" max="15115" width="1.42578125" customWidth="1"/>
    <col min="15116" max="15116" width="5.85546875" bestFit="1" customWidth="1"/>
    <col min="15117" max="15117" width="2.85546875" customWidth="1"/>
    <col min="15118" max="15118" width="21.28515625" bestFit="1" customWidth="1"/>
    <col min="15119" max="15119" width="9" bestFit="1" customWidth="1"/>
    <col min="15120" max="15120" width="10" bestFit="1" customWidth="1"/>
    <col min="15121" max="15121" width="6.42578125" bestFit="1" customWidth="1"/>
    <col min="15122" max="15122" width="7.85546875" bestFit="1" customWidth="1"/>
    <col min="15123" max="15123" width="10.5703125" bestFit="1" customWidth="1"/>
    <col min="15124" max="15124" width="8.5703125" customWidth="1"/>
    <col min="15125" max="15125" width="8" bestFit="1" customWidth="1"/>
    <col min="15126" max="15126" width="7.85546875" customWidth="1"/>
    <col min="15127" max="15127" width="8.85546875" bestFit="1" customWidth="1"/>
    <col min="15128" max="15128" width="5" customWidth="1"/>
    <col min="15129" max="15129" width="4.7109375" customWidth="1"/>
    <col min="15130" max="15130" width="3" bestFit="1" customWidth="1"/>
    <col min="15131" max="15131" width="2.85546875" bestFit="1" customWidth="1"/>
    <col min="15132" max="15132" width="5.5703125" bestFit="1" customWidth="1"/>
    <col min="15133" max="15133" width="3" bestFit="1" customWidth="1"/>
    <col min="15134" max="15134" width="6.140625" bestFit="1" customWidth="1"/>
    <col min="15135" max="15135" width="22.5703125" bestFit="1" customWidth="1"/>
    <col min="15136" max="15136" width="8.5703125" bestFit="1" customWidth="1"/>
    <col min="15137" max="15137" width="9.5703125" bestFit="1" customWidth="1"/>
    <col min="15138" max="15138" width="33.28515625" customWidth="1"/>
    <col min="15139" max="15139" width="8.140625" bestFit="1" customWidth="1"/>
    <col min="15140" max="15140" width="9" bestFit="1" customWidth="1"/>
    <col min="15141" max="15141" width="8.85546875" bestFit="1" customWidth="1"/>
    <col min="15142" max="15142" width="23.140625" customWidth="1"/>
    <col min="15146" max="15146" width="24.42578125" customWidth="1"/>
    <col min="15361" max="15361" width="2.5703125" customWidth="1"/>
    <col min="15362" max="15362" width="11.5703125" bestFit="1" customWidth="1"/>
    <col min="15363" max="15363" width="2.85546875" bestFit="1" customWidth="1"/>
    <col min="15364" max="15364" width="3.28515625" bestFit="1" customWidth="1"/>
    <col min="15365" max="15365" width="3.5703125" bestFit="1" customWidth="1"/>
    <col min="15366" max="15369" width="3.28515625" bestFit="1" customWidth="1"/>
    <col min="15370" max="15370" width="3.42578125" bestFit="1" customWidth="1"/>
    <col min="15371" max="15371" width="1.42578125" customWidth="1"/>
    <col min="15372" max="15372" width="5.85546875" bestFit="1" customWidth="1"/>
    <col min="15373" max="15373" width="2.85546875" customWidth="1"/>
    <col min="15374" max="15374" width="21.28515625" bestFit="1" customWidth="1"/>
    <col min="15375" max="15375" width="9" bestFit="1" customWidth="1"/>
    <col min="15376" max="15376" width="10" bestFit="1" customWidth="1"/>
    <col min="15377" max="15377" width="6.42578125" bestFit="1" customWidth="1"/>
    <col min="15378" max="15378" width="7.85546875" bestFit="1" customWidth="1"/>
    <col min="15379" max="15379" width="10.5703125" bestFit="1" customWidth="1"/>
    <col min="15380" max="15380" width="8.5703125" customWidth="1"/>
    <col min="15381" max="15381" width="8" bestFit="1" customWidth="1"/>
    <col min="15382" max="15382" width="7.85546875" customWidth="1"/>
    <col min="15383" max="15383" width="8.85546875" bestFit="1" customWidth="1"/>
    <col min="15384" max="15384" width="5" customWidth="1"/>
    <col min="15385" max="15385" width="4.7109375" customWidth="1"/>
    <col min="15386" max="15386" width="3" bestFit="1" customWidth="1"/>
    <col min="15387" max="15387" width="2.85546875" bestFit="1" customWidth="1"/>
    <col min="15388" max="15388" width="5.5703125" bestFit="1" customWidth="1"/>
    <col min="15389" max="15389" width="3" bestFit="1" customWidth="1"/>
    <col min="15390" max="15390" width="6.140625" bestFit="1" customWidth="1"/>
    <col min="15391" max="15391" width="22.5703125" bestFit="1" customWidth="1"/>
    <col min="15392" max="15392" width="8.5703125" bestFit="1" customWidth="1"/>
    <col min="15393" max="15393" width="9.5703125" bestFit="1" customWidth="1"/>
    <col min="15394" max="15394" width="33.28515625" customWidth="1"/>
    <col min="15395" max="15395" width="8.140625" bestFit="1" customWidth="1"/>
    <col min="15396" max="15396" width="9" bestFit="1" customWidth="1"/>
    <col min="15397" max="15397" width="8.85546875" bestFit="1" customWidth="1"/>
    <col min="15398" max="15398" width="23.140625" customWidth="1"/>
    <col min="15402" max="15402" width="24.42578125" customWidth="1"/>
    <col min="15617" max="15617" width="2.5703125" customWidth="1"/>
    <col min="15618" max="15618" width="11.5703125" bestFit="1" customWidth="1"/>
    <col min="15619" max="15619" width="2.85546875" bestFit="1" customWidth="1"/>
    <col min="15620" max="15620" width="3.28515625" bestFit="1" customWidth="1"/>
    <col min="15621" max="15621" width="3.5703125" bestFit="1" customWidth="1"/>
    <col min="15622" max="15625" width="3.28515625" bestFit="1" customWidth="1"/>
    <col min="15626" max="15626" width="3.42578125" bestFit="1" customWidth="1"/>
    <col min="15627" max="15627" width="1.42578125" customWidth="1"/>
    <col min="15628" max="15628" width="5.85546875" bestFit="1" customWidth="1"/>
    <col min="15629" max="15629" width="2.85546875" customWidth="1"/>
    <col min="15630" max="15630" width="21.28515625" bestFit="1" customWidth="1"/>
    <col min="15631" max="15631" width="9" bestFit="1" customWidth="1"/>
    <col min="15632" max="15632" width="10" bestFit="1" customWidth="1"/>
    <col min="15633" max="15633" width="6.42578125" bestFit="1" customWidth="1"/>
    <col min="15634" max="15634" width="7.85546875" bestFit="1" customWidth="1"/>
    <col min="15635" max="15635" width="10.5703125" bestFit="1" customWidth="1"/>
    <col min="15636" max="15636" width="8.5703125" customWidth="1"/>
    <col min="15637" max="15637" width="8" bestFit="1" customWidth="1"/>
    <col min="15638" max="15638" width="7.85546875" customWidth="1"/>
    <col min="15639" max="15639" width="8.85546875" bestFit="1" customWidth="1"/>
    <col min="15640" max="15640" width="5" customWidth="1"/>
    <col min="15641" max="15641" width="4.7109375" customWidth="1"/>
    <col min="15642" max="15642" width="3" bestFit="1" customWidth="1"/>
    <col min="15643" max="15643" width="2.85546875" bestFit="1" customWidth="1"/>
    <col min="15644" max="15644" width="5.5703125" bestFit="1" customWidth="1"/>
    <col min="15645" max="15645" width="3" bestFit="1" customWidth="1"/>
    <col min="15646" max="15646" width="6.140625" bestFit="1" customWidth="1"/>
    <col min="15647" max="15647" width="22.5703125" bestFit="1" customWidth="1"/>
    <col min="15648" max="15648" width="8.5703125" bestFit="1" customWidth="1"/>
    <col min="15649" max="15649" width="9.5703125" bestFit="1" customWidth="1"/>
    <col min="15650" max="15650" width="33.28515625" customWidth="1"/>
    <col min="15651" max="15651" width="8.140625" bestFit="1" customWidth="1"/>
    <col min="15652" max="15652" width="9" bestFit="1" customWidth="1"/>
    <col min="15653" max="15653" width="8.85546875" bestFit="1" customWidth="1"/>
    <col min="15654" max="15654" width="23.140625" customWidth="1"/>
    <col min="15658" max="15658" width="24.42578125" customWidth="1"/>
    <col min="15873" max="15873" width="2.5703125" customWidth="1"/>
    <col min="15874" max="15874" width="11.5703125" bestFit="1" customWidth="1"/>
    <col min="15875" max="15875" width="2.85546875" bestFit="1" customWidth="1"/>
    <col min="15876" max="15876" width="3.28515625" bestFit="1" customWidth="1"/>
    <col min="15877" max="15877" width="3.5703125" bestFit="1" customWidth="1"/>
    <col min="15878" max="15881" width="3.28515625" bestFit="1" customWidth="1"/>
    <col min="15882" max="15882" width="3.42578125" bestFit="1" customWidth="1"/>
    <col min="15883" max="15883" width="1.42578125" customWidth="1"/>
    <col min="15884" max="15884" width="5.85546875" bestFit="1" customWidth="1"/>
    <col min="15885" max="15885" width="2.85546875" customWidth="1"/>
    <col min="15886" max="15886" width="21.28515625" bestFit="1" customWidth="1"/>
    <col min="15887" max="15887" width="9" bestFit="1" customWidth="1"/>
    <col min="15888" max="15888" width="10" bestFit="1" customWidth="1"/>
    <col min="15889" max="15889" width="6.42578125" bestFit="1" customWidth="1"/>
    <col min="15890" max="15890" width="7.85546875" bestFit="1" customWidth="1"/>
    <col min="15891" max="15891" width="10.5703125" bestFit="1" customWidth="1"/>
    <col min="15892" max="15892" width="8.5703125" customWidth="1"/>
    <col min="15893" max="15893" width="8" bestFit="1" customWidth="1"/>
    <col min="15894" max="15894" width="7.85546875" customWidth="1"/>
    <col min="15895" max="15895" width="8.85546875" bestFit="1" customWidth="1"/>
    <col min="15896" max="15896" width="5" customWidth="1"/>
    <col min="15897" max="15897" width="4.7109375" customWidth="1"/>
    <col min="15898" max="15898" width="3" bestFit="1" customWidth="1"/>
    <col min="15899" max="15899" width="2.85546875" bestFit="1" customWidth="1"/>
    <col min="15900" max="15900" width="5.5703125" bestFit="1" customWidth="1"/>
    <col min="15901" max="15901" width="3" bestFit="1" customWidth="1"/>
    <col min="15902" max="15902" width="6.140625" bestFit="1" customWidth="1"/>
    <col min="15903" max="15903" width="22.5703125" bestFit="1" customWidth="1"/>
    <col min="15904" max="15904" width="8.5703125" bestFit="1" customWidth="1"/>
    <col min="15905" max="15905" width="9.5703125" bestFit="1" customWidth="1"/>
    <col min="15906" max="15906" width="33.28515625" customWidth="1"/>
    <col min="15907" max="15907" width="8.140625" bestFit="1" customWidth="1"/>
    <col min="15908" max="15908" width="9" bestFit="1" customWidth="1"/>
    <col min="15909" max="15909" width="8.85546875" bestFit="1" customWidth="1"/>
    <col min="15910" max="15910" width="23.140625" customWidth="1"/>
    <col min="15914" max="15914" width="24.42578125" customWidth="1"/>
    <col min="16129" max="16129" width="2.5703125" customWidth="1"/>
    <col min="16130" max="16130" width="11.5703125" bestFit="1" customWidth="1"/>
    <col min="16131" max="16131" width="2.85546875" bestFit="1" customWidth="1"/>
    <col min="16132" max="16132" width="3.28515625" bestFit="1" customWidth="1"/>
    <col min="16133" max="16133" width="3.5703125" bestFit="1" customWidth="1"/>
    <col min="16134" max="16137" width="3.28515625" bestFit="1" customWidth="1"/>
    <col min="16138" max="16138" width="3.42578125" bestFit="1" customWidth="1"/>
    <col min="16139" max="16139" width="1.42578125" customWidth="1"/>
    <col min="16140" max="16140" width="5.85546875" bestFit="1" customWidth="1"/>
    <col min="16141" max="16141" width="2.85546875" customWidth="1"/>
    <col min="16142" max="16142" width="21.28515625" bestFit="1" customWidth="1"/>
    <col min="16143" max="16143" width="9" bestFit="1" customWidth="1"/>
    <col min="16144" max="16144" width="10" bestFit="1" customWidth="1"/>
    <col min="16145" max="16145" width="6.42578125" bestFit="1" customWidth="1"/>
    <col min="16146" max="16146" width="7.85546875" bestFit="1" customWidth="1"/>
    <col min="16147" max="16147" width="10.5703125" bestFit="1" customWidth="1"/>
    <col min="16148" max="16148" width="8.5703125" customWidth="1"/>
    <col min="16149" max="16149" width="8" bestFit="1" customWidth="1"/>
    <col min="16150" max="16150" width="7.85546875" customWidth="1"/>
    <col min="16151" max="16151" width="8.85546875" bestFit="1" customWidth="1"/>
    <col min="16152" max="16152" width="5" customWidth="1"/>
    <col min="16153" max="16153" width="4.7109375" customWidth="1"/>
    <col min="16154" max="16154" width="3" bestFit="1" customWidth="1"/>
    <col min="16155" max="16155" width="2.85546875" bestFit="1" customWidth="1"/>
    <col min="16156" max="16156" width="5.5703125" bestFit="1" customWidth="1"/>
    <col min="16157" max="16157" width="3" bestFit="1" customWidth="1"/>
    <col min="16158" max="16158" width="6.140625" bestFit="1" customWidth="1"/>
    <col min="16159" max="16159" width="22.5703125" bestFit="1" customWidth="1"/>
    <col min="16160" max="16160" width="8.5703125" bestFit="1" customWidth="1"/>
    <col min="16161" max="16161" width="9.5703125" bestFit="1" customWidth="1"/>
    <col min="16162" max="16162" width="33.28515625" customWidth="1"/>
    <col min="16163" max="16163" width="8.140625" bestFit="1" customWidth="1"/>
    <col min="16164" max="16164" width="9" bestFit="1" customWidth="1"/>
    <col min="16165" max="16165" width="8.85546875" bestFit="1" customWidth="1"/>
    <col min="16166" max="16166" width="23.140625" customWidth="1"/>
    <col min="16170" max="16170" width="24.42578125" customWidth="1"/>
  </cols>
  <sheetData>
    <row r="1" spans="1:34" ht="13.5" thickBot="1" x14ac:dyDescent="0.25">
      <c r="A1" s="74"/>
      <c r="B1" s="481" t="s">
        <v>689</v>
      </c>
      <c r="C1" s="481"/>
      <c r="D1" s="481"/>
      <c r="E1" s="481"/>
      <c r="F1" s="481"/>
      <c r="G1" s="481"/>
      <c r="H1" s="481"/>
      <c r="I1" s="481"/>
      <c r="J1" s="481"/>
      <c r="K1" s="481"/>
      <c r="L1" s="481"/>
      <c r="M1" s="481"/>
      <c r="N1" s="481"/>
      <c r="O1" s="481"/>
      <c r="P1" s="481"/>
      <c r="Q1" s="481"/>
      <c r="R1" s="481"/>
      <c r="S1" s="481"/>
      <c r="T1" s="481"/>
      <c r="U1" s="481"/>
      <c r="V1" s="481"/>
      <c r="W1" s="481"/>
      <c r="X1" s="74"/>
      <c r="Y1" s="74"/>
    </row>
    <row r="2" spans="1:34" ht="13.5" customHeight="1" thickBot="1" x14ac:dyDescent="0.25">
      <c r="B2" s="482" t="s">
        <v>341</v>
      </c>
      <c r="C2" s="483"/>
      <c r="D2" s="483"/>
      <c r="E2" s="483"/>
      <c r="F2" s="483"/>
      <c r="G2" s="483"/>
      <c r="H2" s="483"/>
      <c r="I2" s="483"/>
      <c r="J2" s="484"/>
      <c r="M2" s="75" t="s">
        <v>342</v>
      </c>
      <c r="V2"/>
      <c r="W2"/>
      <c r="Z2" s="8"/>
      <c r="AA2" s="8"/>
      <c r="AB2" s="8"/>
      <c r="AC2" s="485" t="s">
        <v>416</v>
      </c>
      <c r="AD2" s="486"/>
      <c r="AE2" s="486"/>
      <c r="AF2" s="486"/>
      <c r="AG2" s="486"/>
      <c r="AH2" s="487"/>
    </row>
    <row r="3" spans="1:34" ht="13.5" thickBot="1" x14ac:dyDescent="0.25">
      <c r="B3" s="190" t="s">
        <v>343</v>
      </c>
      <c r="C3" s="76" t="s">
        <v>344</v>
      </c>
      <c r="D3" s="297" t="s">
        <v>417</v>
      </c>
      <c r="E3" s="298" t="s">
        <v>418</v>
      </c>
      <c r="F3" s="298" t="s">
        <v>418</v>
      </c>
      <c r="G3" s="298" t="s">
        <v>419</v>
      </c>
      <c r="H3" s="298" t="s">
        <v>420</v>
      </c>
      <c r="I3" s="298" t="s">
        <v>421</v>
      </c>
      <c r="J3" s="299" t="s">
        <v>422</v>
      </c>
      <c r="O3" s="77" t="s">
        <v>345</v>
      </c>
      <c r="P3" s="78" t="s">
        <v>346</v>
      </c>
      <c r="Q3" s="79" t="s">
        <v>347</v>
      </c>
      <c r="R3" s="80" t="s">
        <v>348</v>
      </c>
      <c r="S3" s="80" t="s">
        <v>349</v>
      </c>
      <c r="T3" s="80" t="s">
        <v>350</v>
      </c>
      <c r="U3" s="80" t="s">
        <v>351</v>
      </c>
      <c r="V3" s="80" t="s">
        <v>352</v>
      </c>
      <c r="W3" s="81" t="s">
        <v>353</v>
      </c>
      <c r="AC3" s="72">
        <v>1</v>
      </c>
      <c r="AD3" s="72" t="s">
        <v>343</v>
      </c>
      <c r="AE3" s="191" t="s">
        <v>423</v>
      </c>
      <c r="AF3" s="72">
        <v>30</v>
      </c>
      <c r="AG3" s="72" t="s">
        <v>377</v>
      </c>
      <c r="AH3" s="191" t="s">
        <v>424</v>
      </c>
    </row>
    <row r="4" spans="1:34" ht="15.75" thickBot="1" x14ac:dyDescent="0.25">
      <c r="B4" s="192"/>
      <c r="C4" s="82">
        <v>1</v>
      </c>
      <c r="D4" s="126"/>
      <c r="E4" s="126"/>
      <c r="F4" s="317">
        <v>1</v>
      </c>
      <c r="G4" s="126">
        <v>2</v>
      </c>
      <c r="H4" s="126">
        <v>3</v>
      </c>
      <c r="I4" s="126">
        <v>4</v>
      </c>
      <c r="J4" s="279">
        <v>5</v>
      </c>
      <c r="M4" s="84"/>
      <c r="N4" s="85" t="s">
        <v>354</v>
      </c>
      <c r="O4" s="86">
        <f>SUM(Q4:V4)</f>
        <v>65</v>
      </c>
      <c r="P4" s="87">
        <v>20</v>
      </c>
      <c r="Q4" s="88">
        <v>10</v>
      </c>
      <c r="R4" s="89">
        <v>11</v>
      </c>
      <c r="S4" s="89">
        <v>11</v>
      </c>
      <c r="T4" s="89">
        <v>11</v>
      </c>
      <c r="U4" s="89">
        <v>11</v>
      </c>
      <c r="V4" s="89">
        <v>11</v>
      </c>
      <c r="W4" s="90"/>
      <c r="AC4" s="72">
        <v>6</v>
      </c>
      <c r="AD4" s="72" t="s">
        <v>343</v>
      </c>
      <c r="AE4" s="191" t="s">
        <v>425</v>
      </c>
      <c r="AF4" s="72">
        <v>30</v>
      </c>
      <c r="AG4" s="72" t="s">
        <v>377</v>
      </c>
      <c r="AH4" s="191" t="s">
        <v>426</v>
      </c>
    </row>
    <row r="5" spans="1:34" ht="15.75" thickBot="1" x14ac:dyDescent="0.25">
      <c r="B5" s="192"/>
      <c r="C5" s="82">
        <v>2</v>
      </c>
      <c r="D5" s="317">
        <v>6</v>
      </c>
      <c r="E5" s="126">
        <v>7</v>
      </c>
      <c r="F5" s="126">
        <v>8</v>
      </c>
      <c r="G5" s="126">
        <v>9</v>
      </c>
      <c r="H5" s="126">
        <v>10</v>
      </c>
      <c r="I5" s="126">
        <v>11</v>
      </c>
      <c r="J5" s="279">
        <v>12</v>
      </c>
      <c r="M5" s="301"/>
      <c r="N5" s="85" t="s">
        <v>355</v>
      </c>
      <c r="O5" s="91">
        <f t="shared" ref="O5:O7" si="0">SUM(Q5:V5)</f>
        <v>62</v>
      </c>
      <c r="P5" s="92">
        <f t="shared" ref="P5:P7" si="1">SUM(Q5:U5)</f>
        <v>51</v>
      </c>
      <c r="Q5" s="93">
        <v>10</v>
      </c>
      <c r="R5" s="52">
        <v>11</v>
      </c>
      <c r="S5" s="52">
        <v>11</v>
      </c>
      <c r="T5" s="52">
        <v>9</v>
      </c>
      <c r="U5" s="52">
        <v>10</v>
      </c>
      <c r="V5" s="52">
        <v>11</v>
      </c>
      <c r="W5" s="94"/>
      <c r="AC5" s="72">
        <v>24</v>
      </c>
      <c r="AD5" s="72" t="s">
        <v>368</v>
      </c>
      <c r="AE5" s="191" t="s">
        <v>429</v>
      </c>
      <c r="AF5" s="72">
        <v>20</v>
      </c>
      <c r="AG5" s="72" t="s">
        <v>378</v>
      </c>
      <c r="AH5" s="191" t="s">
        <v>428</v>
      </c>
    </row>
    <row r="6" spans="1:34" ht="15" thickBot="1" x14ac:dyDescent="0.25">
      <c r="B6" s="192"/>
      <c r="C6" s="82">
        <v>3</v>
      </c>
      <c r="D6" s="126">
        <v>13</v>
      </c>
      <c r="E6" s="126">
        <v>14</v>
      </c>
      <c r="F6" s="126">
        <v>15</v>
      </c>
      <c r="G6" s="126">
        <v>16</v>
      </c>
      <c r="H6" s="126">
        <v>17</v>
      </c>
      <c r="I6" s="126">
        <v>18</v>
      </c>
      <c r="J6" s="279">
        <v>19</v>
      </c>
      <c r="M6" s="96"/>
      <c r="N6" s="85" t="s">
        <v>356</v>
      </c>
      <c r="O6" s="91">
        <f t="shared" si="0"/>
        <v>64</v>
      </c>
      <c r="P6" s="92">
        <f t="shared" si="1"/>
        <v>53</v>
      </c>
      <c r="Q6" s="93">
        <v>10</v>
      </c>
      <c r="R6" s="52">
        <v>11</v>
      </c>
      <c r="S6" s="52">
        <v>11</v>
      </c>
      <c r="T6" s="52">
        <v>10</v>
      </c>
      <c r="U6" s="52">
        <v>11</v>
      </c>
      <c r="V6" s="52">
        <v>11</v>
      </c>
      <c r="W6" s="94"/>
      <c r="AC6" s="72">
        <v>13</v>
      </c>
      <c r="AD6" s="72" t="s">
        <v>373</v>
      </c>
      <c r="AE6" s="191" t="s">
        <v>427</v>
      </c>
      <c r="AF6" s="72">
        <v>7</v>
      </c>
      <c r="AG6" s="72" t="s">
        <v>379</v>
      </c>
      <c r="AH6" s="191" t="s">
        <v>430</v>
      </c>
    </row>
    <row r="7" spans="1:34" ht="15" thickBot="1" x14ac:dyDescent="0.25">
      <c r="B7" s="192"/>
      <c r="C7" s="82">
        <v>4</v>
      </c>
      <c r="D7" s="103">
        <v>20</v>
      </c>
      <c r="E7" s="103">
        <v>21</v>
      </c>
      <c r="F7" s="103">
        <v>22</v>
      </c>
      <c r="G7" s="103">
        <v>23</v>
      </c>
      <c r="H7" s="103">
        <v>24</v>
      </c>
      <c r="I7" s="103">
        <v>25</v>
      </c>
      <c r="J7" s="279">
        <v>26</v>
      </c>
      <c r="M7" s="97"/>
      <c r="N7" s="85" t="s">
        <v>357</v>
      </c>
      <c r="O7" s="98">
        <f t="shared" si="0"/>
        <v>65</v>
      </c>
      <c r="P7" s="99">
        <f t="shared" si="1"/>
        <v>54</v>
      </c>
      <c r="Q7" s="100">
        <v>8</v>
      </c>
      <c r="R7" s="101">
        <v>12</v>
      </c>
      <c r="S7" s="101">
        <v>12</v>
      </c>
      <c r="T7" s="101">
        <v>11</v>
      </c>
      <c r="U7" s="101">
        <v>11</v>
      </c>
      <c r="V7" s="101">
        <v>11</v>
      </c>
      <c r="W7" s="102"/>
      <c r="AC7" s="72">
        <v>17</v>
      </c>
      <c r="AD7" s="72" t="s">
        <v>373</v>
      </c>
      <c r="AE7" s="191" t="s">
        <v>431</v>
      </c>
      <c r="AF7" s="72">
        <v>18</v>
      </c>
      <c r="AG7" s="72" t="s">
        <v>379</v>
      </c>
      <c r="AH7" s="191" t="s">
        <v>432</v>
      </c>
    </row>
    <row r="8" spans="1:34" ht="15" thickBot="1" x14ac:dyDescent="0.25">
      <c r="B8" s="192"/>
      <c r="C8" s="82">
        <v>5</v>
      </c>
      <c r="D8" s="103">
        <v>27</v>
      </c>
      <c r="E8" s="103">
        <v>28</v>
      </c>
      <c r="F8" s="103">
        <v>29</v>
      </c>
      <c r="G8" s="103">
        <v>30</v>
      </c>
      <c r="H8" s="103">
        <v>31</v>
      </c>
      <c r="I8" s="126"/>
      <c r="J8" s="279"/>
      <c r="P8" s="104"/>
      <c r="Q8" s="104"/>
      <c r="R8" s="104"/>
      <c r="S8" s="104"/>
      <c r="T8" s="104"/>
      <c r="U8" s="104"/>
      <c r="V8" s="104"/>
      <c r="W8" s="104"/>
      <c r="AC8" s="72">
        <v>18</v>
      </c>
      <c r="AD8" s="72" t="s">
        <v>373</v>
      </c>
      <c r="AE8" s="191" t="s">
        <v>433</v>
      </c>
      <c r="AF8" s="72">
        <v>13</v>
      </c>
      <c r="AG8" s="72" t="s">
        <v>381</v>
      </c>
      <c r="AH8" s="191" t="s">
        <v>434</v>
      </c>
    </row>
    <row r="9" spans="1:34" ht="13.5" thickBot="1" x14ac:dyDescent="0.25">
      <c r="B9" s="190" t="s">
        <v>361</v>
      </c>
      <c r="C9" s="193" t="s">
        <v>344</v>
      </c>
      <c r="D9" s="297" t="s">
        <v>417</v>
      </c>
      <c r="E9" s="298" t="s">
        <v>418</v>
      </c>
      <c r="F9" s="298" t="s">
        <v>418</v>
      </c>
      <c r="G9" s="298" t="s">
        <v>419</v>
      </c>
      <c r="H9" s="298" t="s">
        <v>420</v>
      </c>
      <c r="I9" s="298" t="s">
        <v>421</v>
      </c>
      <c r="J9" s="299" t="s">
        <v>422</v>
      </c>
      <c r="M9" s="107"/>
      <c r="N9" s="108" t="s">
        <v>358</v>
      </c>
      <c r="O9" s="109" t="s">
        <v>359</v>
      </c>
      <c r="P9" s="110" t="s">
        <v>360</v>
      </c>
      <c r="Q9" s="430"/>
      <c r="R9" s="430"/>
      <c r="S9" s="430"/>
      <c r="T9" s="430"/>
      <c r="U9" s="430"/>
      <c r="V9" s="430"/>
      <c r="W9" s="431"/>
      <c r="X9">
        <f>SUM(Q9:W9)</f>
        <v>0</v>
      </c>
      <c r="AC9" s="72">
        <v>20</v>
      </c>
      <c r="AD9" s="72" t="s">
        <v>373</v>
      </c>
      <c r="AE9" s="191" t="s">
        <v>435</v>
      </c>
      <c r="AF9" s="72">
        <v>3</v>
      </c>
      <c r="AG9" s="72" t="s">
        <v>382</v>
      </c>
      <c r="AH9" s="191" t="s">
        <v>436</v>
      </c>
    </row>
    <row r="10" spans="1:34" ht="15" thickBot="1" x14ac:dyDescent="0.25">
      <c r="B10" s="192"/>
      <c r="C10" s="194">
        <v>5</v>
      </c>
      <c r="D10" s="117"/>
      <c r="E10" s="117"/>
      <c r="F10" s="117"/>
      <c r="G10" s="117"/>
      <c r="H10" s="117"/>
      <c r="I10" s="118">
        <v>1</v>
      </c>
      <c r="J10" s="280">
        <v>2</v>
      </c>
      <c r="M10" s="113"/>
      <c r="N10" s="108" t="s">
        <v>362</v>
      </c>
      <c r="O10" s="114" t="s">
        <v>363</v>
      </c>
      <c r="P10" s="115" t="s">
        <v>360</v>
      </c>
      <c r="Q10" s="429"/>
      <c r="R10" s="429"/>
      <c r="S10" s="429"/>
      <c r="T10" s="429"/>
      <c r="U10" s="429"/>
      <c r="V10" s="429"/>
      <c r="W10" s="432"/>
      <c r="X10">
        <f>SUM(Q10:W10)</f>
        <v>0</v>
      </c>
      <c r="AC10" s="72">
        <v>1</v>
      </c>
      <c r="AD10" s="72" t="s">
        <v>376</v>
      </c>
      <c r="AE10" s="191" t="s">
        <v>437</v>
      </c>
      <c r="AF10" s="72">
        <v>17</v>
      </c>
      <c r="AG10" s="72" t="s">
        <v>382</v>
      </c>
      <c r="AH10" s="191" t="s">
        <v>438</v>
      </c>
    </row>
    <row r="11" spans="1:34" ht="15" thickBot="1" x14ac:dyDescent="0.25">
      <c r="B11" s="192"/>
      <c r="C11" s="194">
        <v>6</v>
      </c>
      <c r="D11" s="118">
        <v>3</v>
      </c>
      <c r="E11" s="118">
        <v>4</v>
      </c>
      <c r="F11" s="118">
        <v>5</v>
      </c>
      <c r="G11" s="118">
        <v>6</v>
      </c>
      <c r="H11" s="118">
        <v>7</v>
      </c>
      <c r="I11" s="118">
        <v>8</v>
      </c>
      <c r="J11" s="280">
        <v>9</v>
      </c>
      <c r="M11" s="119"/>
      <c r="N11" s="108" t="s">
        <v>364</v>
      </c>
      <c r="O11" s="109" t="s">
        <v>365</v>
      </c>
      <c r="P11" s="120" t="s">
        <v>360</v>
      </c>
      <c r="Q11" s="429"/>
      <c r="R11" s="429"/>
      <c r="S11" s="429"/>
      <c r="T11" s="429"/>
      <c r="U11" s="429"/>
      <c r="V11" s="429"/>
      <c r="W11" s="432"/>
      <c r="X11">
        <f>SUM(Q11:W11)</f>
        <v>0</v>
      </c>
      <c r="AC11" s="72">
        <v>2</v>
      </c>
      <c r="AD11" s="72" t="s">
        <v>377</v>
      </c>
      <c r="AE11" s="191" t="s">
        <v>439</v>
      </c>
      <c r="AF11" s="72">
        <v>8</v>
      </c>
      <c r="AG11" s="72" t="s">
        <v>383</v>
      </c>
      <c r="AH11" s="191" t="s">
        <v>440</v>
      </c>
    </row>
    <row r="12" spans="1:34" ht="15" thickBot="1" x14ac:dyDescent="0.25">
      <c r="B12" s="192"/>
      <c r="C12" s="194">
        <v>7</v>
      </c>
      <c r="D12" s="118">
        <v>10</v>
      </c>
      <c r="E12" s="118">
        <v>11</v>
      </c>
      <c r="F12" s="118">
        <v>12</v>
      </c>
      <c r="G12" s="118">
        <v>13</v>
      </c>
      <c r="H12" s="118">
        <v>14</v>
      </c>
      <c r="I12" s="118">
        <v>15</v>
      </c>
      <c r="J12" s="280">
        <v>16</v>
      </c>
      <c r="O12" s="114" t="s">
        <v>366</v>
      </c>
      <c r="P12" s="115" t="s">
        <v>360</v>
      </c>
      <c r="Q12" s="116">
        <v>5</v>
      </c>
      <c r="R12" s="116">
        <v>5</v>
      </c>
      <c r="S12" s="116">
        <v>5</v>
      </c>
      <c r="T12" s="116">
        <v>5</v>
      </c>
      <c r="U12" s="116">
        <v>5</v>
      </c>
      <c r="V12" s="116"/>
      <c r="W12" s="184"/>
      <c r="X12">
        <f>SUM(Q12:W12)</f>
        <v>25</v>
      </c>
      <c r="AC12" s="72">
        <v>23</v>
      </c>
      <c r="AD12" s="72" t="s">
        <v>377</v>
      </c>
      <c r="AE12" s="191" t="s">
        <v>441</v>
      </c>
      <c r="AF12" s="72">
        <v>25</v>
      </c>
      <c r="AG12" s="72" t="s">
        <v>383</v>
      </c>
      <c r="AH12" s="191" t="s">
        <v>367</v>
      </c>
    </row>
    <row r="13" spans="1:34" ht="15" thickBot="1" x14ac:dyDescent="0.25">
      <c r="B13" s="192"/>
      <c r="C13" s="194">
        <v>8</v>
      </c>
      <c r="D13" s="118">
        <v>17</v>
      </c>
      <c r="E13" s="118">
        <v>18</v>
      </c>
      <c r="F13" s="118">
        <v>19</v>
      </c>
      <c r="G13" s="118">
        <v>20</v>
      </c>
      <c r="H13" s="118">
        <v>21</v>
      </c>
      <c r="I13" s="118">
        <v>22</v>
      </c>
      <c r="J13" s="280">
        <v>23</v>
      </c>
      <c r="P13" s="121" t="s">
        <v>221</v>
      </c>
      <c r="Q13" s="122">
        <f>SUMPRODUCT(Q4:Q7,Q9:Q12)</f>
        <v>40</v>
      </c>
      <c r="R13" s="122">
        <f t="shared" ref="R13:W13" si="2">SUMPRODUCT(R4:R7,R9:R12)</f>
        <v>60</v>
      </c>
      <c r="S13" s="122">
        <f t="shared" si="2"/>
        <v>60</v>
      </c>
      <c r="T13" s="122">
        <f t="shared" si="2"/>
        <v>55</v>
      </c>
      <c r="U13" s="122">
        <f t="shared" si="2"/>
        <v>55</v>
      </c>
      <c r="V13" s="122">
        <f t="shared" si="2"/>
        <v>0</v>
      </c>
      <c r="W13" s="123">
        <f t="shared" si="2"/>
        <v>0</v>
      </c>
      <c r="X13" s="124">
        <f>SUM(Q13:W13)</f>
        <v>270</v>
      </c>
      <c r="Y13" s="8"/>
    </row>
    <row r="14" spans="1:34" ht="15" thickBot="1" x14ac:dyDescent="0.25">
      <c r="B14" s="195"/>
      <c r="C14" s="196">
        <v>9</v>
      </c>
      <c r="D14" s="197">
        <v>24</v>
      </c>
      <c r="E14" s="197">
        <v>25</v>
      </c>
      <c r="F14" s="197">
        <v>26</v>
      </c>
      <c r="G14" s="197">
        <v>27</v>
      </c>
      <c r="H14" s="197">
        <v>28</v>
      </c>
      <c r="I14" s="281"/>
      <c r="J14" s="282"/>
      <c r="L14">
        <f>8</f>
        <v>8</v>
      </c>
      <c r="N14">
        <f>150/5</f>
        <v>30</v>
      </c>
      <c r="V14"/>
      <c r="W14"/>
      <c r="Y14" s="198"/>
    </row>
    <row r="15" spans="1:34" ht="15" customHeight="1" x14ac:dyDescent="0.2">
      <c r="B15" s="190" t="s">
        <v>368</v>
      </c>
      <c r="C15" s="76" t="s">
        <v>344</v>
      </c>
      <c r="D15" s="297" t="s">
        <v>417</v>
      </c>
      <c r="E15" s="298" t="s">
        <v>418</v>
      </c>
      <c r="F15" s="298" t="s">
        <v>418</v>
      </c>
      <c r="G15" s="298" t="s">
        <v>419</v>
      </c>
      <c r="H15" s="298" t="s">
        <v>420</v>
      </c>
      <c r="I15" s="298" t="s">
        <v>421</v>
      </c>
      <c r="J15" s="299" t="s">
        <v>422</v>
      </c>
      <c r="M15" s="183"/>
      <c r="N15" s="183">
        <f>18*4</f>
        <v>72</v>
      </c>
      <c r="O15" s="183">
        <f>60/4</f>
        <v>15</v>
      </c>
      <c r="P15">
        <f>36/2</f>
        <v>18</v>
      </c>
      <c r="V15"/>
      <c r="W15"/>
    </row>
    <row r="16" spans="1:34" ht="15" thickBot="1" x14ac:dyDescent="0.25">
      <c r="B16" s="192"/>
      <c r="C16" s="82">
        <v>9</v>
      </c>
      <c r="D16" s="126"/>
      <c r="E16" s="126"/>
      <c r="F16" s="126"/>
      <c r="G16" s="126"/>
      <c r="H16" s="126"/>
      <c r="I16" s="103">
        <v>1</v>
      </c>
      <c r="J16" s="83">
        <v>2</v>
      </c>
      <c r="M16" s="125"/>
      <c r="N16" s="5"/>
      <c r="O16" s="5"/>
      <c r="P16" s="5"/>
      <c r="V16" s="5"/>
      <c r="W16" s="5"/>
      <c r="X16" s="5"/>
    </row>
    <row r="17" spans="2:26" ht="14.25" customHeight="1" x14ac:dyDescent="0.2">
      <c r="B17" s="192"/>
      <c r="C17" s="82">
        <v>10</v>
      </c>
      <c r="D17" s="103">
        <v>3</v>
      </c>
      <c r="E17" s="103">
        <v>4</v>
      </c>
      <c r="F17" s="103">
        <v>5</v>
      </c>
      <c r="G17" s="103">
        <v>6</v>
      </c>
      <c r="H17" s="103">
        <v>7</v>
      </c>
      <c r="I17" s="103">
        <v>8</v>
      </c>
      <c r="J17" s="83">
        <v>9</v>
      </c>
      <c r="M17" s="5"/>
      <c r="N17" s="488" t="s">
        <v>369</v>
      </c>
      <c r="O17" s="489"/>
      <c r="P17" s="127"/>
      <c r="R17" s="5"/>
      <c r="S17" s="128" t="s">
        <v>359</v>
      </c>
      <c r="T17" s="128" t="s">
        <v>363</v>
      </c>
      <c r="U17" s="129" t="s">
        <v>365</v>
      </c>
      <c r="V17" s="130" t="s">
        <v>366</v>
      </c>
      <c r="W17" s="131"/>
      <c r="X17" s="5"/>
      <c r="Z17">
        <f>X13/2</f>
        <v>135</v>
      </c>
    </row>
    <row r="18" spans="2:26" ht="14.25" customHeight="1" x14ac:dyDescent="0.2">
      <c r="B18" s="192"/>
      <c r="C18" s="82">
        <v>11</v>
      </c>
      <c r="D18" s="103">
        <v>10</v>
      </c>
      <c r="E18" s="103">
        <v>11</v>
      </c>
      <c r="F18" s="103">
        <v>12</v>
      </c>
      <c r="G18" s="103">
        <v>13</v>
      </c>
      <c r="H18" s="103">
        <v>14</v>
      </c>
      <c r="I18" s="103">
        <v>15</v>
      </c>
      <c r="J18" s="83">
        <v>16</v>
      </c>
      <c r="M18" s="199"/>
      <c r="N18" s="490" t="s">
        <v>370</v>
      </c>
      <c r="O18" s="491"/>
      <c r="P18" s="132"/>
      <c r="R18" s="133" t="s">
        <v>371</v>
      </c>
      <c r="S18" s="134">
        <v>41659</v>
      </c>
      <c r="T18" s="134">
        <v>41736</v>
      </c>
      <c r="U18" s="134">
        <v>41827</v>
      </c>
      <c r="V18" s="134">
        <v>41904</v>
      </c>
      <c r="W18" s="8"/>
      <c r="X18" s="5"/>
    </row>
    <row r="19" spans="2:26" ht="15" thickBot="1" x14ac:dyDescent="0.25">
      <c r="B19" s="192"/>
      <c r="C19" s="82">
        <v>12</v>
      </c>
      <c r="D19" s="103">
        <v>17</v>
      </c>
      <c r="E19" s="103">
        <v>18</v>
      </c>
      <c r="F19" s="103">
        <v>19</v>
      </c>
      <c r="G19" s="103">
        <v>20</v>
      </c>
      <c r="H19" s="103">
        <v>21</v>
      </c>
      <c r="I19" s="103">
        <v>22</v>
      </c>
      <c r="J19" s="83">
        <v>23</v>
      </c>
      <c r="M19" s="199"/>
      <c r="N19" s="135"/>
      <c r="O19" s="136" t="s">
        <v>221</v>
      </c>
      <c r="P19" s="137">
        <f>SUM(P17:P18)</f>
        <v>0</v>
      </c>
      <c r="Q19" s="8"/>
      <c r="R19" s="138" t="s">
        <v>372</v>
      </c>
      <c r="S19" s="134">
        <v>41734</v>
      </c>
      <c r="T19" s="134">
        <v>41811</v>
      </c>
      <c r="U19" s="134">
        <v>41902</v>
      </c>
      <c r="V19" s="134">
        <v>41983</v>
      </c>
      <c r="W19" s="8"/>
      <c r="X19" s="5"/>
    </row>
    <row r="20" spans="2:26" ht="15" customHeight="1" thickBot="1" x14ac:dyDescent="0.25">
      <c r="B20" s="192"/>
      <c r="C20" s="194">
        <v>13</v>
      </c>
      <c r="D20" s="316">
        <v>24</v>
      </c>
      <c r="E20" s="103">
        <v>25</v>
      </c>
      <c r="F20" s="103">
        <v>26</v>
      </c>
      <c r="G20" s="103">
        <v>27</v>
      </c>
      <c r="H20" s="103">
        <v>28</v>
      </c>
      <c r="I20" s="103">
        <v>29</v>
      </c>
      <c r="J20" s="83">
        <v>30</v>
      </c>
      <c r="M20" s="200"/>
      <c r="N20" s="5"/>
      <c r="O20" s="8"/>
      <c r="P20" s="8"/>
      <c r="Q20" s="8"/>
      <c r="W20" s="8"/>
      <c r="X20" s="5"/>
      <c r="Z20">
        <f>44/3</f>
        <v>14.666666666666666</v>
      </c>
    </row>
    <row r="21" spans="2:26" ht="15" thickBot="1" x14ac:dyDescent="0.25">
      <c r="B21" s="195"/>
      <c r="C21" s="286">
        <v>14</v>
      </c>
      <c r="D21" s="296">
        <v>31</v>
      </c>
      <c r="E21" s="287"/>
      <c r="F21" s="287"/>
      <c r="G21" s="287"/>
      <c r="H21" s="287"/>
      <c r="I21" s="287"/>
      <c r="J21" s="288"/>
      <c r="M21" s="199"/>
      <c r="N21" s="492" t="s">
        <v>369</v>
      </c>
      <c r="O21" s="493"/>
      <c r="P21" s="139"/>
      <c r="Q21" s="8"/>
      <c r="R21" s="8"/>
      <c r="S21" s="8"/>
      <c r="T21" s="8"/>
      <c r="U21" s="8" t="s">
        <v>965</v>
      </c>
      <c r="V21" s="8"/>
      <c r="W21" s="8"/>
      <c r="X21" s="8"/>
    </row>
    <row r="22" spans="2:26" x14ac:dyDescent="0.2">
      <c r="B22" s="192" t="s">
        <v>373</v>
      </c>
      <c r="C22" s="284" t="s">
        <v>344</v>
      </c>
      <c r="D22" s="208" t="s">
        <v>417</v>
      </c>
      <c r="E22" s="208" t="s">
        <v>418</v>
      </c>
      <c r="F22" s="208" t="s">
        <v>418</v>
      </c>
      <c r="G22" s="208" t="s">
        <v>419</v>
      </c>
      <c r="H22" s="208" t="s">
        <v>420</v>
      </c>
      <c r="I22" s="208" t="s">
        <v>421</v>
      </c>
      <c r="J22" s="209" t="s">
        <v>422</v>
      </c>
      <c r="M22" s="199"/>
      <c r="N22" s="269"/>
      <c r="O22" s="269"/>
      <c r="P22" s="285"/>
      <c r="Q22" s="8"/>
      <c r="R22" s="8"/>
      <c r="S22" s="8"/>
      <c r="T22" s="8"/>
      <c r="U22" s="8"/>
      <c r="V22" s="8"/>
      <c r="W22" s="8"/>
      <c r="X22" s="8"/>
    </row>
    <row r="23" spans="2:26" ht="15" thickBot="1" x14ac:dyDescent="0.25">
      <c r="B23" s="192"/>
      <c r="C23" s="82">
        <v>14</v>
      </c>
      <c r="D23" s="126"/>
      <c r="E23" s="103">
        <v>1</v>
      </c>
      <c r="F23" s="103">
        <v>2</v>
      </c>
      <c r="G23" s="103">
        <v>3</v>
      </c>
      <c r="H23" s="103">
        <v>4</v>
      </c>
      <c r="I23" s="103">
        <v>5</v>
      </c>
      <c r="J23" s="83">
        <v>6</v>
      </c>
      <c r="M23" s="140"/>
      <c r="N23" s="5"/>
      <c r="O23" s="8"/>
      <c r="P23" s="8"/>
      <c r="Q23" s="8"/>
      <c r="R23" s="8"/>
      <c r="S23" s="8"/>
      <c r="T23" s="8"/>
      <c r="U23" s="8"/>
      <c r="V23" s="8"/>
      <c r="W23" s="8"/>
      <c r="X23" s="5"/>
    </row>
    <row r="24" spans="2:26" ht="14.25" x14ac:dyDescent="0.2">
      <c r="B24" s="192"/>
      <c r="C24" s="82">
        <v>15</v>
      </c>
      <c r="D24" s="302">
        <v>7</v>
      </c>
      <c r="E24" s="302">
        <v>8</v>
      </c>
      <c r="F24" s="302">
        <v>9</v>
      </c>
      <c r="G24" s="302">
        <v>10</v>
      </c>
      <c r="H24" s="302">
        <v>11</v>
      </c>
      <c r="I24" s="302">
        <v>12</v>
      </c>
      <c r="J24" s="83">
        <v>13</v>
      </c>
      <c r="M24" s="141"/>
      <c r="N24" s="202" t="s">
        <v>374</v>
      </c>
      <c r="O24" s="142"/>
      <c r="P24" s="143" t="s">
        <v>359</v>
      </c>
      <c r="Q24" s="144">
        <v>346</v>
      </c>
      <c r="R24" s="145"/>
      <c r="S24" s="203" t="s">
        <v>374</v>
      </c>
      <c r="T24" s="142"/>
      <c r="U24" s="143" t="s">
        <v>359</v>
      </c>
      <c r="V24" s="146">
        <v>432</v>
      </c>
      <c r="W24" s="5"/>
      <c r="X24" s="5"/>
    </row>
    <row r="25" spans="2:26" ht="15" x14ac:dyDescent="0.2">
      <c r="B25" s="192"/>
      <c r="C25" s="82">
        <v>16</v>
      </c>
      <c r="D25" s="302">
        <v>14</v>
      </c>
      <c r="E25" s="302">
        <v>15</v>
      </c>
      <c r="F25" s="302">
        <v>16</v>
      </c>
      <c r="G25" s="315">
        <v>17</v>
      </c>
      <c r="H25" s="315">
        <v>18</v>
      </c>
      <c r="I25" s="302">
        <v>19</v>
      </c>
      <c r="J25" s="83">
        <v>20</v>
      </c>
      <c r="M25" s="5"/>
      <c r="N25" s="148" t="s">
        <v>88</v>
      </c>
      <c r="O25" s="5"/>
      <c r="P25" s="149" t="s">
        <v>363</v>
      </c>
      <c r="Q25" s="8">
        <v>328</v>
      </c>
      <c r="R25" s="8"/>
      <c r="S25" s="204" t="s">
        <v>375</v>
      </c>
      <c r="T25" s="5"/>
      <c r="U25" s="149" t="s">
        <v>363</v>
      </c>
      <c r="V25" s="150">
        <v>408</v>
      </c>
      <c r="W25" s="8"/>
      <c r="X25" s="5"/>
    </row>
    <row r="26" spans="2:26" ht="14.25" x14ac:dyDescent="0.2">
      <c r="B26" s="192"/>
      <c r="C26" s="82">
        <v>17</v>
      </c>
      <c r="D26" s="302">
        <v>21</v>
      </c>
      <c r="E26" s="302">
        <v>22</v>
      </c>
      <c r="F26" s="302">
        <v>23</v>
      </c>
      <c r="G26" s="302">
        <v>24</v>
      </c>
      <c r="H26" s="302">
        <v>25</v>
      </c>
      <c r="I26" s="302">
        <v>26</v>
      </c>
      <c r="J26" s="83">
        <v>27</v>
      </c>
      <c r="M26" s="183"/>
      <c r="N26" s="151"/>
      <c r="O26" s="183"/>
      <c r="P26" s="152" t="s">
        <v>365</v>
      </c>
      <c r="Q26" s="153">
        <v>340</v>
      </c>
      <c r="R26" s="8"/>
      <c r="S26" s="183"/>
      <c r="T26" s="183"/>
      <c r="U26" s="152" t="s">
        <v>365</v>
      </c>
      <c r="V26" s="154">
        <v>424</v>
      </c>
      <c r="W26" s="8"/>
      <c r="X26" s="5"/>
    </row>
    <row r="27" spans="2:26" ht="15.75" customHeight="1" thickBot="1" x14ac:dyDescent="0.25">
      <c r="B27" s="192"/>
      <c r="C27" s="105">
        <v>18</v>
      </c>
      <c r="D27" s="303">
        <v>28</v>
      </c>
      <c r="E27" s="303">
        <v>29</v>
      </c>
      <c r="F27" s="303">
        <v>30</v>
      </c>
      <c r="G27" s="162"/>
      <c r="H27" s="162"/>
      <c r="I27" s="162"/>
      <c r="J27" s="160"/>
      <c r="M27" s="5"/>
      <c r="N27" s="155"/>
      <c r="O27" s="156"/>
      <c r="P27" s="157" t="s">
        <v>366</v>
      </c>
      <c r="Q27" s="158">
        <v>348</v>
      </c>
      <c r="R27" s="158"/>
      <c r="S27" s="156"/>
      <c r="T27" s="156"/>
      <c r="U27" s="157" t="s">
        <v>366</v>
      </c>
      <c r="V27" s="159">
        <v>432</v>
      </c>
      <c r="W27" s="8"/>
      <c r="X27" s="5"/>
    </row>
    <row r="28" spans="2:26" x14ac:dyDescent="0.2">
      <c r="B28" s="190" t="s">
        <v>376</v>
      </c>
      <c r="C28" s="76" t="s">
        <v>344</v>
      </c>
      <c r="D28" s="111" t="s">
        <v>417</v>
      </c>
      <c r="E28" s="111" t="s">
        <v>418</v>
      </c>
      <c r="F28" s="111" t="s">
        <v>418</v>
      </c>
      <c r="G28" s="111" t="s">
        <v>419</v>
      </c>
      <c r="H28" s="111" t="s">
        <v>420</v>
      </c>
      <c r="I28" s="111" t="s">
        <v>421</v>
      </c>
      <c r="J28" s="112" t="s">
        <v>422</v>
      </c>
      <c r="M28" s="5"/>
      <c r="N28" s="5"/>
      <c r="O28" s="5"/>
      <c r="P28" s="161"/>
      <c r="Q28" s="8"/>
      <c r="R28" s="8"/>
      <c r="S28" s="8"/>
      <c r="T28" s="8"/>
      <c r="U28" s="8"/>
      <c r="V28" s="8"/>
      <c r="W28" s="8"/>
      <c r="X28" s="5"/>
    </row>
    <row r="29" spans="2:26" ht="15" x14ac:dyDescent="0.2">
      <c r="B29" s="192"/>
      <c r="C29" s="82">
        <v>18</v>
      </c>
      <c r="D29" s="126"/>
      <c r="E29" s="126"/>
      <c r="F29" s="126"/>
      <c r="G29" s="315">
        <v>1</v>
      </c>
      <c r="H29" s="302">
        <v>2</v>
      </c>
      <c r="I29" s="302">
        <v>3</v>
      </c>
      <c r="J29" s="83">
        <v>4</v>
      </c>
      <c r="M29" s="5"/>
      <c r="N29" s="5"/>
      <c r="O29" s="5"/>
      <c r="P29" s="161"/>
      <c r="Q29" s="8"/>
      <c r="R29" s="8"/>
      <c r="S29" s="8"/>
      <c r="T29" s="8"/>
      <c r="U29" s="8"/>
      <c r="V29" s="8"/>
      <c r="W29" s="8"/>
      <c r="X29" s="5"/>
    </row>
    <row r="30" spans="2:26" ht="14.25" x14ac:dyDescent="0.2">
      <c r="B30" s="192"/>
      <c r="C30" s="82">
        <v>19</v>
      </c>
      <c r="D30" s="302">
        <v>5</v>
      </c>
      <c r="E30" s="302">
        <v>6</v>
      </c>
      <c r="F30" s="302">
        <v>7</v>
      </c>
      <c r="G30" s="302">
        <v>8</v>
      </c>
      <c r="H30" s="302">
        <v>9</v>
      </c>
      <c r="I30" s="302">
        <v>10</v>
      </c>
      <c r="J30" s="83">
        <v>11</v>
      </c>
      <c r="M30" s="5"/>
      <c r="N30" s="5"/>
      <c r="O30" s="5"/>
      <c r="P30" s="161"/>
      <c r="Q30" s="8"/>
      <c r="R30" s="8"/>
      <c r="S30" s="8"/>
      <c r="T30" s="8"/>
      <c r="U30" s="8"/>
      <c r="V30" s="8"/>
      <c r="W30" s="8"/>
      <c r="X30" s="5"/>
    </row>
    <row r="31" spans="2:26" ht="14.25" x14ac:dyDescent="0.2">
      <c r="B31" s="192"/>
      <c r="C31" s="82">
        <v>20</v>
      </c>
      <c r="D31" s="302">
        <v>12</v>
      </c>
      <c r="E31" s="302">
        <v>13</v>
      </c>
      <c r="F31" s="302">
        <v>14</v>
      </c>
      <c r="G31" s="302">
        <v>15</v>
      </c>
      <c r="H31" s="302">
        <v>16</v>
      </c>
      <c r="I31" s="302">
        <v>17</v>
      </c>
      <c r="J31" s="83">
        <v>18</v>
      </c>
      <c r="M31" s="5"/>
      <c r="N31" s="5"/>
      <c r="O31" s="5"/>
      <c r="P31" s="8"/>
      <c r="Q31" s="8"/>
      <c r="R31" s="8"/>
      <c r="S31" s="8"/>
      <c r="T31" s="8"/>
      <c r="U31" s="8"/>
      <c r="V31" s="8"/>
      <c r="W31" s="8"/>
      <c r="X31" s="163"/>
    </row>
    <row r="32" spans="2:26" ht="14.25" x14ac:dyDescent="0.2">
      <c r="B32" s="192"/>
      <c r="C32" s="82">
        <v>21</v>
      </c>
      <c r="D32" s="302">
        <v>19</v>
      </c>
      <c r="E32" s="302">
        <v>20</v>
      </c>
      <c r="F32" s="302">
        <v>21</v>
      </c>
      <c r="G32" s="302">
        <v>22</v>
      </c>
      <c r="H32" s="302">
        <v>23</v>
      </c>
      <c r="I32" s="302">
        <v>24</v>
      </c>
      <c r="J32" s="83">
        <v>25</v>
      </c>
      <c r="M32" s="204"/>
      <c r="N32" s="8"/>
      <c r="O32" s="5"/>
      <c r="P32" s="5"/>
      <c r="Q32" s="5"/>
      <c r="R32" s="5"/>
      <c r="S32" s="5"/>
      <c r="T32" s="5"/>
      <c r="U32" s="5"/>
      <c r="V32" s="5"/>
      <c r="W32" s="5"/>
      <c r="X32" s="5"/>
    </row>
    <row r="33" spans="2:23" ht="15" thickBot="1" x14ac:dyDescent="0.25">
      <c r="B33" s="195"/>
      <c r="C33" s="175">
        <v>22</v>
      </c>
      <c r="D33" s="304">
        <v>26</v>
      </c>
      <c r="E33" s="304">
        <v>27</v>
      </c>
      <c r="F33" s="304">
        <v>28</v>
      </c>
      <c r="G33" s="304">
        <v>29</v>
      </c>
      <c r="H33" s="304">
        <v>30</v>
      </c>
      <c r="I33" s="304">
        <v>31</v>
      </c>
      <c r="J33" s="206"/>
      <c r="M33" s="201"/>
      <c r="N33" s="164"/>
      <c r="V33"/>
      <c r="W33"/>
    </row>
    <row r="34" spans="2:23" x14ac:dyDescent="0.2">
      <c r="B34" s="190" t="s">
        <v>377</v>
      </c>
      <c r="C34" s="193" t="s">
        <v>344</v>
      </c>
      <c r="D34" s="111" t="s">
        <v>417</v>
      </c>
      <c r="E34" s="111" t="s">
        <v>418</v>
      </c>
      <c r="F34" s="111" t="s">
        <v>418</v>
      </c>
      <c r="G34" s="111" t="s">
        <v>419</v>
      </c>
      <c r="H34" s="111" t="s">
        <v>420</v>
      </c>
      <c r="I34" s="111" t="s">
        <v>421</v>
      </c>
      <c r="J34" s="112" t="s">
        <v>422</v>
      </c>
      <c r="M34" s="201"/>
      <c r="N34" s="164"/>
      <c r="V34"/>
      <c r="W34"/>
    </row>
    <row r="35" spans="2:23" ht="16.5" customHeight="1" x14ac:dyDescent="0.2">
      <c r="B35" s="192"/>
      <c r="C35" s="194">
        <v>22</v>
      </c>
      <c r="D35" s="126"/>
      <c r="E35" s="126"/>
      <c r="F35" s="126"/>
      <c r="G35" s="126"/>
      <c r="H35" s="126"/>
      <c r="I35" s="126"/>
      <c r="J35" s="83">
        <v>1</v>
      </c>
      <c r="M35" s="201"/>
      <c r="N35" s="164"/>
      <c r="Q35" s="165"/>
      <c r="R35" s="165"/>
      <c r="S35" s="165"/>
      <c r="T35" s="165"/>
      <c r="U35" s="165"/>
      <c r="V35"/>
      <c r="W35"/>
    </row>
    <row r="36" spans="2:23" ht="15" x14ac:dyDescent="0.2">
      <c r="B36" s="192"/>
      <c r="C36" s="194">
        <v>23</v>
      </c>
      <c r="D36" s="315">
        <v>2</v>
      </c>
      <c r="E36" s="302">
        <v>3</v>
      </c>
      <c r="F36" s="302">
        <v>4</v>
      </c>
      <c r="G36" s="302">
        <v>5</v>
      </c>
      <c r="H36" s="302">
        <v>6</v>
      </c>
      <c r="I36" s="302">
        <v>7</v>
      </c>
      <c r="J36" s="83">
        <v>8</v>
      </c>
      <c r="M36" s="201"/>
      <c r="N36" s="164"/>
      <c r="Q36" s="185"/>
      <c r="R36" s="188"/>
      <c r="S36" s="166"/>
      <c r="T36" s="185"/>
      <c r="U36" s="185"/>
      <c r="V36"/>
      <c r="W36"/>
    </row>
    <row r="37" spans="2:23" ht="14.25" x14ac:dyDescent="0.2">
      <c r="B37" s="192"/>
      <c r="C37" s="194">
        <v>24</v>
      </c>
      <c r="D37" s="302">
        <v>9</v>
      </c>
      <c r="E37" s="302">
        <v>10</v>
      </c>
      <c r="F37" s="302">
        <v>11</v>
      </c>
      <c r="G37" s="302">
        <v>12</v>
      </c>
      <c r="H37" s="302">
        <v>13</v>
      </c>
      <c r="I37" s="302">
        <v>14</v>
      </c>
      <c r="J37" s="83">
        <v>15</v>
      </c>
      <c r="M37" s="201"/>
      <c r="N37" s="494"/>
      <c r="O37" s="495"/>
      <c r="P37" s="496"/>
      <c r="Q37" s="185"/>
      <c r="R37" s="188"/>
      <c r="S37" s="167"/>
      <c r="T37" s="185"/>
      <c r="U37" s="185"/>
      <c r="V37"/>
      <c r="W37"/>
    </row>
    <row r="38" spans="2:23" ht="14.25" x14ac:dyDescent="0.2">
      <c r="B38" s="192"/>
      <c r="C38" s="194">
        <v>25</v>
      </c>
      <c r="D38" s="303">
        <v>16</v>
      </c>
      <c r="E38" s="302">
        <v>17</v>
      </c>
      <c r="F38" s="302">
        <v>18</v>
      </c>
      <c r="G38" s="302">
        <v>19</v>
      </c>
      <c r="H38" s="302">
        <v>20</v>
      </c>
      <c r="I38" s="302">
        <v>21</v>
      </c>
      <c r="J38" s="83">
        <v>22</v>
      </c>
      <c r="M38" s="201"/>
      <c r="N38" s="494"/>
      <c r="O38" s="495"/>
      <c r="P38" s="479"/>
      <c r="Q38" s="185"/>
      <c r="R38" s="188"/>
      <c r="S38" s="168"/>
      <c r="T38" s="185"/>
      <c r="U38" s="185"/>
      <c r="V38"/>
      <c r="W38"/>
    </row>
    <row r="39" spans="2:23" ht="14.25" x14ac:dyDescent="0.2">
      <c r="B39" s="192"/>
      <c r="C39" s="306">
        <v>26</v>
      </c>
      <c r="D39" s="433">
        <v>23</v>
      </c>
      <c r="E39" s="307">
        <v>24</v>
      </c>
      <c r="F39" s="307">
        <v>25</v>
      </c>
      <c r="G39" s="307">
        <v>26</v>
      </c>
      <c r="H39" s="307">
        <v>27</v>
      </c>
      <c r="I39" s="307">
        <v>28</v>
      </c>
      <c r="J39" s="160">
        <v>29</v>
      </c>
      <c r="M39" s="201"/>
      <c r="N39" s="164"/>
      <c r="Q39" s="185"/>
      <c r="R39" s="188"/>
      <c r="S39" s="168"/>
      <c r="T39" s="185"/>
      <c r="U39" s="185"/>
      <c r="V39"/>
      <c r="W39"/>
    </row>
    <row r="40" spans="2:23" ht="15" thickBot="1" x14ac:dyDescent="0.25">
      <c r="B40" s="195"/>
      <c r="C40" s="207">
        <v>27</v>
      </c>
      <c r="D40" s="433">
        <v>30</v>
      </c>
      <c r="E40" s="162"/>
      <c r="F40" s="162"/>
      <c r="G40" s="162"/>
      <c r="H40" s="162"/>
      <c r="I40" s="162"/>
      <c r="J40" s="160"/>
      <c r="M40" s="201"/>
      <c r="N40" s="267"/>
      <c r="Q40" s="268"/>
      <c r="R40" s="270"/>
      <c r="S40" s="168"/>
      <c r="T40" s="268"/>
      <c r="U40" s="268"/>
      <c r="V40"/>
      <c r="W40"/>
    </row>
    <row r="41" spans="2:23" ht="14.25" x14ac:dyDescent="0.2">
      <c r="B41" s="289" t="s">
        <v>378</v>
      </c>
      <c r="C41" s="193" t="s">
        <v>344</v>
      </c>
      <c r="D41" s="293" t="s">
        <v>417</v>
      </c>
      <c r="E41" s="293" t="s">
        <v>418</v>
      </c>
      <c r="F41" s="293" t="s">
        <v>418</v>
      </c>
      <c r="G41" s="293" t="s">
        <v>419</v>
      </c>
      <c r="H41" s="293" t="s">
        <v>420</v>
      </c>
      <c r="I41" s="293" t="s">
        <v>421</v>
      </c>
      <c r="J41" s="294" t="s">
        <v>422</v>
      </c>
      <c r="M41" s="201"/>
      <c r="N41" s="188"/>
      <c r="O41" s="165"/>
      <c r="P41" s="169"/>
      <c r="Q41" s="185"/>
      <c r="R41" s="188"/>
      <c r="S41" s="168"/>
      <c r="T41" s="185"/>
      <c r="U41" s="185"/>
      <c r="V41"/>
      <c r="W41"/>
    </row>
    <row r="42" spans="2:23" ht="14.25" x14ac:dyDescent="0.2">
      <c r="B42" s="290"/>
      <c r="C42" s="194">
        <v>27</v>
      </c>
      <c r="D42" s="126"/>
      <c r="E42" s="307">
        <v>1</v>
      </c>
      <c r="F42" s="172">
        <v>2</v>
      </c>
      <c r="G42" s="172">
        <v>3</v>
      </c>
      <c r="H42" s="95">
        <v>4</v>
      </c>
      <c r="I42" s="95">
        <v>5</v>
      </c>
      <c r="J42" s="83">
        <v>6</v>
      </c>
      <c r="M42" s="201"/>
      <c r="N42" s="188"/>
      <c r="O42" s="167"/>
      <c r="P42" s="185"/>
      <c r="Q42" s="185"/>
      <c r="R42" s="188"/>
      <c r="S42" s="166"/>
      <c r="T42" s="185"/>
      <c r="U42" s="185"/>
      <c r="V42"/>
      <c r="W42"/>
    </row>
    <row r="43" spans="2:23" ht="14.25" x14ac:dyDescent="0.2">
      <c r="B43" s="290"/>
      <c r="C43" s="194">
        <v>28</v>
      </c>
      <c r="D43" s="300">
        <v>7</v>
      </c>
      <c r="E43" s="300">
        <v>8</v>
      </c>
      <c r="F43" s="300">
        <v>9</v>
      </c>
      <c r="G43" s="300">
        <v>10</v>
      </c>
      <c r="H43" s="300">
        <v>11</v>
      </c>
      <c r="I43" s="300">
        <v>12</v>
      </c>
      <c r="J43" s="83">
        <v>13</v>
      </c>
      <c r="M43" s="201"/>
      <c r="N43" s="188"/>
      <c r="O43" s="167"/>
      <c r="P43" s="185"/>
      <c r="Q43" s="170"/>
      <c r="R43" s="171"/>
      <c r="S43" s="168"/>
      <c r="T43" s="185"/>
      <c r="U43" s="170"/>
      <c r="V43"/>
      <c r="W43"/>
    </row>
    <row r="44" spans="2:23" ht="14.25" x14ac:dyDescent="0.2">
      <c r="B44" s="290"/>
      <c r="C44" s="194">
        <v>29</v>
      </c>
      <c r="D44" s="300">
        <v>14</v>
      </c>
      <c r="E44" s="300">
        <v>15</v>
      </c>
      <c r="F44" s="300">
        <v>16</v>
      </c>
      <c r="G44" s="300">
        <v>17</v>
      </c>
      <c r="H44" s="300">
        <v>18</v>
      </c>
      <c r="I44" s="300">
        <v>19</v>
      </c>
      <c r="J44" s="83">
        <v>20</v>
      </c>
      <c r="M44" s="201"/>
      <c r="N44" s="188"/>
      <c r="O44" s="173"/>
      <c r="P44" s="185"/>
      <c r="Q44" s="185"/>
      <c r="R44" s="188"/>
      <c r="S44" s="166"/>
      <c r="T44" s="185"/>
      <c r="U44" s="185"/>
      <c r="V44"/>
      <c r="W44"/>
    </row>
    <row r="45" spans="2:23" ht="14.25" x14ac:dyDescent="0.2">
      <c r="B45" s="290"/>
      <c r="C45" s="194">
        <v>30</v>
      </c>
      <c r="D45" s="300">
        <v>21</v>
      </c>
      <c r="E45" s="300">
        <v>22</v>
      </c>
      <c r="F45" s="300">
        <v>23</v>
      </c>
      <c r="G45" s="300">
        <v>24</v>
      </c>
      <c r="H45" s="300">
        <v>25</v>
      </c>
      <c r="I45" s="300">
        <v>26</v>
      </c>
      <c r="J45" s="83">
        <v>27</v>
      </c>
      <c r="M45" s="201"/>
      <c r="N45" s="174"/>
      <c r="O45" s="167"/>
      <c r="P45" s="185"/>
      <c r="Q45" s="185"/>
      <c r="R45" s="188"/>
      <c r="S45" s="166"/>
      <c r="T45" s="185"/>
      <c r="U45" s="185"/>
      <c r="V45"/>
      <c r="W45"/>
    </row>
    <row r="46" spans="2:23" ht="13.5" customHeight="1" thickBot="1" x14ac:dyDescent="0.25">
      <c r="B46" s="291"/>
      <c r="C46" s="292">
        <v>31</v>
      </c>
      <c r="D46" s="308">
        <v>28</v>
      </c>
      <c r="E46" s="308">
        <v>29</v>
      </c>
      <c r="F46" s="308">
        <v>30</v>
      </c>
      <c r="G46" s="308">
        <v>31</v>
      </c>
      <c r="H46" s="287"/>
      <c r="I46" s="287"/>
      <c r="J46" s="288"/>
      <c r="M46" s="201"/>
      <c r="N46" s="174"/>
      <c r="O46" s="167"/>
      <c r="P46" s="185"/>
      <c r="Q46" s="185"/>
      <c r="R46" s="479"/>
      <c r="S46" s="479"/>
      <c r="T46" s="479"/>
      <c r="U46" s="479"/>
      <c r="V46"/>
      <c r="W46"/>
    </row>
    <row r="47" spans="2:23" ht="14.25" x14ac:dyDescent="0.2">
      <c r="B47" s="190" t="s">
        <v>379</v>
      </c>
      <c r="C47" s="76" t="s">
        <v>344</v>
      </c>
      <c r="D47" s="293" t="s">
        <v>417</v>
      </c>
      <c r="E47" s="293" t="s">
        <v>418</v>
      </c>
      <c r="F47" s="293" t="s">
        <v>418</v>
      </c>
      <c r="G47" s="293" t="s">
        <v>419</v>
      </c>
      <c r="H47" s="293" t="s">
        <v>420</v>
      </c>
      <c r="I47" s="293" t="s">
        <v>421</v>
      </c>
      <c r="J47" s="294" t="s">
        <v>422</v>
      </c>
      <c r="M47" s="5"/>
      <c r="N47" s="479"/>
      <c r="O47" s="479"/>
      <c r="P47" s="479"/>
      <c r="Q47" s="479"/>
      <c r="R47" s="185"/>
      <c r="S47" s="480"/>
      <c r="T47" s="480"/>
      <c r="U47" s="480"/>
      <c r="V47" s="5"/>
      <c r="W47"/>
    </row>
    <row r="48" spans="2:23" ht="14.25" x14ac:dyDescent="0.2">
      <c r="B48" s="192"/>
      <c r="C48" s="82">
        <v>31</v>
      </c>
      <c r="D48" s="126"/>
      <c r="E48" s="126"/>
      <c r="F48" s="126"/>
      <c r="G48" s="126"/>
      <c r="H48" s="300">
        <v>1</v>
      </c>
      <c r="I48" s="300">
        <v>2</v>
      </c>
      <c r="J48" s="83">
        <v>3</v>
      </c>
      <c r="M48" s="5"/>
      <c r="N48" s="479"/>
      <c r="O48" s="479"/>
      <c r="P48" s="479"/>
      <c r="Q48" s="479"/>
      <c r="R48" s="185"/>
      <c r="S48" s="480"/>
      <c r="T48" s="480"/>
      <c r="U48" s="480"/>
      <c r="V48" s="5"/>
      <c r="W48"/>
    </row>
    <row r="49" spans="2:23" ht="15" x14ac:dyDescent="0.2">
      <c r="B49" s="192"/>
      <c r="C49" s="82">
        <v>32</v>
      </c>
      <c r="D49" s="300">
        <v>4</v>
      </c>
      <c r="E49" s="300">
        <v>5</v>
      </c>
      <c r="F49" s="300">
        <v>6</v>
      </c>
      <c r="G49" s="314">
        <v>7</v>
      </c>
      <c r="H49" s="300">
        <v>8</v>
      </c>
      <c r="I49" s="300">
        <v>9</v>
      </c>
      <c r="J49" s="83">
        <v>10</v>
      </c>
      <c r="M49" s="5"/>
      <c r="N49" s="173"/>
      <c r="O49" s="479"/>
      <c r="P49" s="479"/>
      <c r="Q49" s="479"/>
      <c r="R49" s="185"/>
      <c r="S49" s="480"/>
      <c r="T49" s="480"/>
      <c r="U49" s="480"/>
      <c r="V49" s="5"/>
      <c r="W49"/>
    </row>
    <row r="50" spans="2:23" ht="14.25" x14ac:dyDescent="0.2">
      <c r="B50" s="192"/>
      <c r="C50" s="82">
        <v>33</v>
      </c>
      <c r="D50" s="300">
        <v>11</v>
      </c>
      <c r="E50" s="300">
        <v>12</v>
      </c>
      <c r="F50" s="300">
        <v>13</v>
      </c>
      <c r="G50" s="300">
        <v>14</v>
      </c>
      <c r="H50" s="300">
        <v>15</v>
      </c>
      <c r="I50" s="300">
        <v>16</v>
      </c>
      <c r="J50" s="83">
        <v>17</v>
      </c>
      <c r="M50" s="5"/>
      <c r="N50" s="187"/>
      <c r="O50" s="499"/>
      <c r="P50" s="499"/>
      <c r="Q50" s="499"/>
      <c r="R50" s="186"/>
      <c r="S50" s="480"/>
      <c r="T50" s="480"/>
      <c r="U50" s="480"/>
      <c r="V50" s="5"/>
      <c r="W50"/>
    </row>
    <row r="51" spans="2:23" ht="15" x14ac:dyDescent="0.2">
      <c r="B51" s="192"/>
      <c r="C51" s="105">
        <v>34</v>
      </c>
      <c r="D51" s="313">
        <v>18</v>
      </c>
      <c r="E51" s="305">
        <v>19</v>
      </c>
      <c r="F51" s="305">
        <v>20</v>
      </c>
      <c r="G51" s="305">
        <v>21</v>
      </c>
      <c r="H51" s="305">
        <v>22</v>
      </c>
      <c r="I51" s="305">
        <v>23</v>
      </c>
      <c r="J51" s="106">
        <v>24</v>
      </c>
      <c r="M51" s="5"/>
      <c r="N51" s="497"/>
      <c r="O51" s="497"/>
      <c r="P51" s="497"/>
      <c r="Q51" s="497"/>
      <c r="R51" s="497"/>
      <c r="S51" s="497"/>
      <c r="T51" s="497"/>
      <c r="U51" s="497"/>
      <c r="V51" s="5"/>
      <c r="W51"/>
    </row>
    <row r="52" spans="2:23" ht="15" thickBot="1" x14ac:dyDescent="0.25">
      <c r="B52" s="195"/>
      <c r="C52" s="175">
        <v>35</v>
      </c>
      <c r="D52" s="309">
        <v>25</v>
      </c>
      <c r="E52" s="309">
        <v>26</v>
      </c>
      <c r="F52" s="309">
        <v>27</v>
      </c>
      <c r="G52" s="309">
        <v>28</v>
      </c>
      <c r="H52" s="309">
        <v>29</v>
      </c>
      <c r="I52" s="309">
        <v>30</v>
      </c>
      <c r="J52" s="176">
        <v>31</v>
      </c>
      <c r="M52" s="5"/>
      <c r="N52" s="497"/>
      <c r="O52" s="497"/>
      <c r="P52" s="497"/>
      <c r="Q52" s="497"/>
      <c r="R52" s="497"/>
      <c r="S52" s="497"/>
      <c r="T52" s="497"/>
      <c r="U52" s="497"/>
      <c r="V52" s="5"/>
      <c r="W52"/>
    </row>
    <row r="53" spans="2:23" ht="14.25" x14ac:dyDescent="0.2">
      <c r="B53" s="190" t="s">
        <v>380</v>
      </c>
      <c r="C53" s="193" t="s">
        <v>344</v>
      </c>
      <c r="D53" s="293" t="s">
        <v>417</v>
      </c>
      <c r="E53" s="293" t="s">
        <v>418</v>
      </c>
      <c r="F53" s="293" t="s">
        <v>418</v>
      </c>
      <c r="G53" s="293" t="s">
        <v>419</v>
      </c>
      <c r="H53" s="293" t="s">
        <v>420</v>
      </c>
      <c r="I53" s="293" t="s">
        <v>421</v>
      </c>
      <c r="J53" s="294" t="s">
        <v>422</v>
      </c>
      <c r="M53" s="8"/>
      <c r="N53" s="498"/>
      <c r="O53" s="498"/>
      <c r="P53" s="498"/>
      <c r="Q53" s="498"/>
      <c r="R53" s="498"/>
      <c r="S53" s="498"/>
      <c r="T53" s="498"/>
      <c r="U53" s="498"/>
      <c r="V53" s="5"/>
      <c r="W53"/>
    </row>
    <row r="54" spans="2:23" ht="15.75" customHeight="1" x14ac:dyDescent="0.2">
      <c r="B54" s="192"/>
      <c r="C54" s="194">
        <v>36</v>
      </c>
      <c r="D54" s="300">
        <v>1</v>
      </c>
      <c r="E54" s="300">
        <v>2</v>
      </c>
      <c r="F54" s="300">
        <v>3</v>
      </c>
      <c r="G54" s="300">
        <v>4</v>
      </c>
      <c r="H54" s="300">
        <v>5</v>
      </c>
      <c r="I54" s="300">
        <v>6</v>
      </c>
      <c r="J54" s="83">
        <v>7</v>
      </c>
      <c r="M54" s="8"/>
      <c r="N54" s="8"/>
      <c r="O54" s="8"/>
      <c r="P54" s="8"/>
      <c r="Q54" s="8"/>
      <c r="R54" s="8"/>
      <c r="S54" s="5"/>
      <c r="T54" s="5"/>
      <c r="U54" s="5"/>
      <c r="V54" s="5"/>
      <c r="W54"/>
    </row>
    <row r="55" spans="2:23" ht="14.25" x14ac:dyDescent="0.2">
      <c r="B55" s="192"/>
      <c r="C55" s="194">
        <v>37</v>
      </c>
      <c r="D55" s="300">
        <v>8</v>
      </c>
      <c r="E55" s="300">
        <v>9</v>
      </c>
      <c r="F55" s="300">
        <v>10</v>
      </c>
      <c r="G55" s="300">
        <v>11</v>
      </c>
      <c r="H55" s="300">
        <v>12</v>
      </c>
      <c r="I55" s="300">
        <v>13</v>
      </c>
      <c r="J55" s="83">
        <v>14</v>
      </c>
      <c r="M55" s="183"/>
      <c r="N55" s="183"/>
      <c r="O55" s="183"/>
      <c r="P55" s="183"/>
      <c r="Q55" s="183"/>
      <c r="R55" s="183"/>
      <c r="S55" s="5"/>
      <c r="T55" s="5"/>
      <c r="U55" s="5"/>
      <c r="V55" s="5"/>
      <c r="W55"/>
    </row>
    <row r="56" spans="2:23" ht="14.25" x14ac:dyDescent="0.2">
      <c r="B56" s="192"/>
      <c r="C56" s="194">
        <v>38</v>
      </c>
      <c r="D56" s="305">
        <v>15</v>
      </c>
      <c r="E56" s="300">
        <v>16</v>
      </c>
      <c r="F56" s="300">
        <v>17</v>
      </c>
      <c r="G56" s="300">
        <v>18</v>
      </c>
      <c r="H56" s="300">
        <v>19</v>
      </c>
      <c r="I56" s="300">
        <v>20</v>
      </c>
      <c r="J56" s="83">
        <v>21</v>
      </c>
      <c r="M56" s="5"/>
      <c r="N56" s="5"/>
      <c r="O56" s="5"/>
      <c r="P56" s="5"/>
      <c r="Q56" s="5"/>
      <c r="R56" s="5"/>
      <c r="S56" s="5"/>
      <c r="T56" s="5"/>
      <c r="U56" s="5"/>
      <c r="V56" s="5"/>
      <c r="W56"/>
    </row>
    <row r="57" spans="2:23" ht="14.25" x14ac:dyDescent="0.2">
      <c r="B57" s="192"/>
      <c r="C57" s="306">
        <v>39</v>
      </c>
      <c r="D57" s="310">
        <v>22</v>
      </c>
      <c r="E57" s="310">
        <v>23</v>
      </c>
      <c r="F57" s="310">
        <v>24</v>
      </c>
      <c r="G57" s="310">
        <v>25</v>
      </c>
      <c r="H57" s="310">
        <v>26</v>
      </c>
      <c r="I57" s="310">
        <v>27</v>
      </c>
      <c r="J57" s="160">
        <v>28</v>
      </c>
      <c r="M57" s="5"/>
      <c r="N57" s="5"/>
      <c r="O57" s="5"/>
      <c r="P57" s="5"/>
      <c r="Q57" s="5"/>
      <c r="R57" s="5"/>
      <c r="S57" s="5"/>
      <c r="T57" s="5"/>
      <c r="U57" s="5"/>
      <c r="V57" s="5"/>
      <c r="W57"/>
    </row>
    <row r="58" spans="2:23" ht="13.5" thickBot="1" x14ac:dyDescent="0.25">
      <c r="B58" s="195"/>
      <c r="C58" s="196">
        <v>40</v>
      </c>
      <c r="D58" s="311">
        <v>29</v>
      </c>
      <c r="E58" s="311">
        <v>30</v>
      </c>
      <c r="F58" s="283"/>
      <c r="G58" s="283"/>
      <c r="H58" s="283"/>
      <c r="I58" s="283"/>
      <c r="J58" s="295"/>
      <c r="M58" s="5"/>
      <c r="N58" s="5"/>
      <c r="O58" s="5"/>
      <c r="P58" s="5"/>
      <c r="Q58" s="5"/>
      <c r="R58" s="5"/>
      <c r="S58" s="5"/>
      <c r="T58" s="5"/>
      <c r="U58" s="5"/>
      <c r="V58" s="5"/>
      <c r="W58"/>
    </row>
    <row r="59" spans="2:23" x14ac:dyDescent="0.2">
      <c r="B59" s="192" t="s">
        <v>381</v>
      </c>
      <c r="C59" s="284" t="s">
        <v>344</v>
      </c>
      <c r="D59" s="208" t="s">
        <v>417</v>
      </c>
      <c r="E59" s="208" t="s">
        <v>418</v>
      </c>
      <c r="F59" s="208" t="s">
        <v>418</v>
      </c>
      <c r="G59" s="208" t="s">
        <v>419</v>
      </c>
      <c r="H59" s="208" t="s">
        <v>420</v>
      </c>
      <c r="I59" s="208" t="s">
        <v>421</v>
      </c>
      <c r="J59" s="209" t="s">
        <v>422</v>
      </c>
      <c r="M59" s="8"/>
      <c r="N59" s="8"/>
      <c r="O59" s="8"/>
      <c r="P59" s="8"/>
      <c r="Q59" s="8"/>
      <c r="R59" s="8"/>
      <c r="S59" s="8"/>
      <c r="T59" s="5"/>
      <c r="U59" s="5"/>
      <c r="V59" s="5"/>
      <c r="W59"/>
    </row>
    <row r="60" spans="2:23" ht="16.5" customHeight="1" x14ac:dyDescent="0.2">
      <c r="B60" s="192"/>
      <c r="C60" s="82">
        <v>40</v>
      </c>
      <c r="D60" s="126"/>
      <c r="E60" s="126"/>
      <c r="F60" s="310">
        <v>1</v>
      </c>
      <c r="G60" s="310">
        <v>2</v>
      </c>
      <c r="H60" s="310">
        <v>3</v>
      </c>
      <c r="I60" s="310">
        <v>4</v>
      </c>
      <c r="J60" s="83">
        <v>5</v>
      </c>
      <c r="M60" s="8"/>
      <c r="N60" s="8"/>
      <c r="O60" s="8"/>
      <c r="P60" s="8"/>
      <c r="Q60" s="8"/>
      <c r="R60" s="8"/>
      <c r="S60" s="5"/>
      <c r="T60" s="5"/>
      <c r="U60" s="5"/>
      <c r="V60" s="5"/>
      <c r="W60"/>
    </row>
    <row r="61" spans="2:23" ht="14.25" x14ac:dyDescent="0.2">
      <c r="B61" s="192"/>
      <c r="C61" s="82">
        <v>41</v>
      </c>
      <c r="D61" s="310">
        <v>6</v>
      </c>
      <c r="E61" s="310">
        <v>7</v>
      </c>
      <c r="F61" s="310">
        <v>8</v>
      </c>
      <c r="G61" s="310">
        <v>9</v>
      </c>
      <c r="H61" s="310">
        <v>10</v>
      </c>
      <c r="I61" s="310">
        <v>11</v>
      </c>
      <c r="J61" s="83">
        <v>12</v>
      </c>
      <c r="M61" s="183"/>
      <c r="N61" s="183"/>
      <c r="O61" s="183"/>
      <c r="P61" s="183"/>
      <c r="Q61" s="183"/>
      <c r="R61" s="183"/>
      <c r="S61" s="183"/>
      <c r="T61" s="5"/>
      <c r="U61" s="5"/>
      <c r="V61" s="5"/>
      <c r="W61"/>
    </row>
    <row r="62" spans="2:23" ht="14.25" x14ac:dyDescent="0.2">
      <c r="B62" s="192"/>
      <c r="C62" s="82">
        <v>42</v>
      </c>
      <c r="D62" s="312">
        <v>13</v>
      </c>
      <c r="E62" s="310">
        <v>14</v>
      </c>
      <c r="F62" s="310">
        <v>15</v>
      </c>
      <c r="G62" s="310">
        <v>16</v>
      </c>
      <c r="H62" s="310">
        <v>17</v>
      </c>
      <c r="I62" s="310">
        <v>18</v>
      </c>
      <c r="J62" s="83">
        <v>19</v>
      </c>
      <c r="M62" s="5"/>
      <c r="N62" s="5"/>
      <c r="O62" s="5"/>
      <c r="P62" s="5"/>
      <c r="Q62" s="5"/>
      <c r="R62" s="5"/>
      <c r="S62" s="5"/>
      <c r="T62" s="5"/>
      <c r="U62" s="5"/>
      <c r="V62" s="5"/>
      <c r="W62"/>
    </row>
    <row r="63" spans="2:23" ht="14.25" x14ac:dyDescent="0.2">
      <c r="B63" s="192"/>
      <c r="C63" s="82">
        <v>43</v>
      </c>
      <c r="D63" s="310">
        <v>20</v>
      </c>
      <c r="E63" s="310">
        <v>21</v>
      </c>
      <c r="F63" s="310">
        <v>22</v>
      </c>
      <c r="G63" s="310">
        <v>23</v>
      </c>
      <c r="H63" s="310">
        <v>24</v>
      </c>
      <c r="I63" s="310">
        <v>25</v>
      </c>
      <c r="J63" s="83">
        <v>26</v>
      </c>
      <c r="M63" s="5"/>
      <c r="N63" s="5"/>
      <c r="O63" s="5"/>
      <c r="P63" s="5"/>
      <c r="Q63" s="5"/>
      <c r="R63" s="5"/>
      <c r="S63" s="5"/>
      <c r="T63" s="5"/>
      <c r="U63" s="5"/>
      <c r="V63" s="5"/>
      <c r="W63"/>
    </row>
    <row r="64" spans="2:23" ht="15" thickBot="1" x14ac:dyDescent="0.25">
      <c r="B64" s="195"/>
      <c r="C64" s="82">
        <v>44</v>
      </c>
      <c r="D64" s="310">
        <v>27</v>
      </c>
      <c r="E64" s="310">
        <v>28</v>
      </c>
      <c r="F64" s="310">
        <v>29</v>
      </c>
      <c r="G64" s="310">
        <v>30</v>
      </c>
      <c r="H64" s="310">
        <v>31</v>
      </c>
      <c r="I64" s="126"/>
      <c r="J64" s="83"/>
      <c r="M64" s="5"/>
      <c r="N64" s="5"/>
      <c r="O64" s="5"/>
      <c r="P64" s="5"/>
      <c r="Q64" s="5"/>
      <c r="R64" s="5"/>
      <c r="S64" s="5"/>
      <c r="T64" s="5"/>
      <c r="U64" s="5"/>
      <c r="V64" s="5"/>
      <c r="W64"/>
    </row>
    <row r="65" spans="2:26" x14ac:dyDescent="0.2">
      <c r="B65" s="190" t="s">
        <v>382</v>
      </c>
      <c r="C65" s="76" t="s">
        <v>344</v>
      </c>
      <c r="D65" s="111" t="s">
        <v>417</v>
      </c>
      <c r="E65" s="111" t="s">
        <v>418</v>
      </c>
      <c r="F65" s="111" t="s">
        <v>418</v>
      </c>
      <c r="G65" s="111" t="s">
        <v>419</v>
      </c>
      <c r="H65" s="111" t="s">
        <v>420</v>
      </c>
      <c r="I65" s="111" t="s">
        <v>421</v>
      </c>
      <c r="J65" s="112" t="s">
        <v>422</v>
      </c>
      <c r="M65" s="5"/>
      <c r="N65" s="5"/>
      <c r="O65" s="5"/>
      <c r="P65" s="5"/>
      <c r="Q65" s="5"/>
      <c r="R65" s="5"/>
      <c r="S65" s="5"/>
      <c r="T65" s="5"/>
      <c r="U65" s="5"/>
      <c r="V65" s="5"/>
      <c r="W65"/>
    </row>
    <row r="66" spans="2:26" ht="17.25" customHeight="1" x14ac:dyDescent="0.2">
      <c r="B66" s="192"/>
      <c r="C66" s="82">
        <v>44</v>
      </c>
      <c r="D66" s="126"/>
      <c r="E66" s="126"/>
      <c r="F66" s="126"/>
      <c r="G66" s="126"/>
      <c r="H66" s="126"/>
      <c r="I66" s="310">
        <v>1</v>
      </c>
      <c r="J66" s="83">
        <v>2</v>
      </c>
      <c r="M66" s="5"/>
      <c r="N66" s="5"/>
      <c r="O66" s="5"/>
      <c r="P66" s="5"/>
      <c r="Q66" s="5"/>
      <c r="R66" s="5"/>
      <c r="S66" s="5"/>
      <c r="T66" s="5"/>
      <c r="U66" s="5"/>
      <c r="V66" s="5"/>
      <c r="W66"/>
    </row>
    <row r="67" spans="2:26" ht="14.25" x14ac:dyDescent="0.2">
      <c r="B67" s="192"/>
      <c r="C67" s="82">
        <v>45</v>
      </c>
      <c r="D67" s="312">
        <v>3</v>
      </c>
      <c r="E67" s="310">
        <v>4</v>
      </c>
      <c r="F67" s="310">
        <v>5</v>
      </c>
      <c r="G67" s="310">
        <v>6</v>
      </c>
      <c r="H67" s="310">
        <v>7</v>
      </c>
      <c r="I67" s="310">
        <v>8</v>
      </c>
      <c r="J67" s="83">
        <v>9</v>
      </c>
      <c r="V67"/>
      <c r="W67"/>
    </row>
    <row r="68" spans="2:26" ht="14.25" x14ac:dyDescent="0.2">
      <c r="B68" s="192"/>
      <c r="C68" s="82">
        <v>46</v>
      </c>
      <c r="D68" s="310">
        <v>10</v>
      </c>
      <c r="E68" s="310">
        <v>11</v>
      </c>
      <c r="F68" s="310">
        <v>12</v>
      </c>
      <c r="G68" s="310">
        <v>13</v>
      </c>
      <c r="H68" s="310">
        <v>14</v>
      </c>
      <c r="I68" s="310">
        <v>15</v>
      </c>
      <c r="J68" s="83">
        <v>16</v>
      </c>
      <c r="V68"/>
      <c r="W68"/>
    </row>
    <row r="69" spans="2:26" ht="14.25" x14ac:dyDescent="0.2">
      <c r="B69" s="192"/>
      <c r="C69" s="82">
        <v>47</v>
      </c>
      <c r="D69" s="312">
        <v>17</v>
      </c>
      <c r="E69" s="310">
        <v>18</v>
      </c>
      <c r="F69" s="310">
        <v>19</v>
      </c>
      <c r="G69" s="310">
        <v>20</v>
      </c>
      <c r="H69" s="310">
        <v>21</v>
      </c>
      <c r="I69" s="310">
        <v>22</v>
      </c>
      <c r="J69" s="83">
        <v>23</v>
      </c>
      <c r="V69"/>
      <c r="W69"/>
      <c r="Z69" s="201"/>
    </row>
    <row r="70" spans="2:26" ht="15" thickBot="1" x14ac:dyDescent="0.25">
      <c r="B70" s="195"/>
      <c r="C70" s="105">
        <v>48</v>
      </c>
      <c r="D70" s="310">
        <v>24</v>
      </c>
      <c r="E70" s="310">
        <v>25</v>
      </c>
      <c r="F70" s="310">
        <v>26</v>
      </c>
      <c r="G70" s="310">
        <v>27</v>
      </c>
      <c r="H70" s="310">
        <v>28</v>
      </c>
      <c r="I70" s="310">
        <v>29</v>
      </c>
      <c r="J70" s="106">
        <v>30</v>
      </c>
      <c r="V70"/>
      <c r="W70"/>
    </row>
    <row r="71" spans="2:26" ht="15.75" customHeight="1" x14ac:dyDescent="0.2">
      <c r="B71" s="210" t="s">
        <v>383</v>
      </c>
      <c r="C71" s="76" t="s">
        <v>344</v>
      </c>
      <c r="D71" s="111" t="s">
        <v>417</v>
      </c>
      <c r="E71" s="111" t="s">
        <v>418</v>
      </c>
      <c r="F71" s="111" t="s">
        <v>418</v>
      </c>
      <c r="G71" s="111" t="s">
        <v>419</v>
      </c>
      <c r="H71" s="111" t="s">
        <v>420</v>
      </c>
      <c r="I71" s="111" t="s">
        <v>421</v>
      </c>
      <c r="J71" s="112" t="s">
        <v>422</v>
      </c>
      <c r="V71"/>
      <c r="W71"/>
    </row>
    <row r="72" spans="2:26" ht="14.25" x14ac:dyDescent="0.2">
      <c r="B72" s="211"/>
      <c r="C72" s="82">
        <v>49</v>
      </c>
      <c r="D72" s="310">
        <v>1</v>
      </c>
      <c r="E72" s="310">
        <v>2</v>
      </c>
      <c r="F72" s="310">
        <v>3</v>
      </c>
      <c r="G72" s="310">
        <v>4</v>
      </c>
      <c r="H72" s="310">
        <v>5</v>
      </c>
      <c r="I72" s="310">
        <v>6</v>
      </c>
      <c r="J72" s="83">
        <v>7</v>
      </c>
      <c r="V72"/>
      <c r="W72"/>
    </row>
    <row r="73" spans="2:26" ht="14.25" x14ac:dyDescent="0.2">
      <c r="B73" s="211"/>
      <c r="C73" s="82">
        <v>50</v>
      </c>
      <c r="D73" s="312">
        <v>8</v>
      </c>
      <c r="E73" s="310">
        <v>9</v>
      </c>
      <c r="F73" s="310">
        <v>10</v>
      </c>
      <c r="G73" s="126">
        <v>11</v>
      </c>
      <c r="H73" s="126">
        <v>12</v>
      </c>
      <c r="I73" s="126">
        <v>13</v>
      </c>
      <c r="J73" s="83">
        <v>14</v>
      </c>
      <c r="V73"/>
      <c r="W73"/>
    </row>
    <row r="74" spans="2:26" ht="14.25" x14ac:dyDescent="0.2">
      <c r="B74" s="211"/>
      <c r="C74" s="82">
        <v>51</v>
      </c>
      <c r="D74" s="126">
        <v>15</v>
      </c>
      <c r="E74" s="126">
        <v>16</v>
      </c>
      <c r="F74" s="126">
        <v>17</v>
      </c>
      <c r="G74" s="126">
        <v>18</v>
      </c>
      <c r="H74" s="126">
        <v>19</v>
      </c>
      <c r="I74" s="126">
        <v>20</v>
      </c>
      <c r="J74" s="83">
        <v>21</v>
      </c>
      <c r="V74"/>
      <c r="W74"/>
    </row>
    <row r="75" spans="2:26" ht="14.25" x14ac:dyDescent="0.2">
      <c r="B75" s="211"/>
      <c r="C75" s="82">
        <v>52</v>
      </c>
      <c r="D75" s="126">
        <v>22</v>
      </c>
      <c r="E75" s="126">
        <v>23</v>
      </c>
      <c r="F75" s="126">
        <v>24</v>
      </c>
      <c r="G75" s="147">
        <v>25</v>
      </c>
      <c r="H75" s="126">
        <v>26</v>
      </c>
      <c r="I75" s="126">
        <v>27</v>
      </c>
      <c r="J75" s="83">
        <v>28</v>
      </c>
      <c r="V75"/>
      <c r="W75"/>
    </row>
    <row r="76" spans="2:26" ht="15" thickBot="1" x14ac:dyDescent="0.25">
      <c r="B76" s="212"/>
      <c r="C76" s="175">
        <v>1</v>
      </c>
      <c r="D76" s="205">
        <v>29</v>
      </c>
      <c r="E76" s="205">
        <v>30</v>
      </c>
      <c r="F76" s="205">
        <v>31</v>
      </c>
      <c r="G76" s="205"/>
      <c r="H76" s="205"/>
      <c r="I76" s="205"/>
      <c r="J76" s="206"/>
      <c r="V76"/>
      <c r="W76"/>
    </row>
    <row r="77" spans="2:26" x14ac:dyDescent="0.2">
      <c r="V77"/>
      <c r="W77"/>
    </row>
    <row r="78" spans="2:26" x14ac:dyDescent="0.2">
      <c r="V78"/>
      <c r="W78"/>
    </row>
    <row r="79" spans="2:26" x14ac:dyDescent="0.2">
      <c r="L79" s="201"/>
      <c r="M79" s="164"/>
    </row>
  </sheetData>
  <mergeCells count="21">
    <mergeCell ref="N51:U51"/>
    <mergeCell ref="N52:U52"/>
    <mergeCell ref="N53:U53"/>
    <mergeCell ref="N48:Q48"/>
    <mergeCell ref="S48:U48"/>
    <mergeCell ref="O49:Q49"/>
    <mergeCell ref="S49:U49"/>
    <mergeCell ref="O50:Q50"/>
    <mergeCell ref="S50:U50"/>
    <mergeCell ref="N47:Q47"/>
    <mergeCell ref="S47:U47"/>
    <mergeCell ref="B1:W1"/>
    <mergeCell ref="B2:J2"/>
    <mergeCell ref="AC2:AH2"/>
    <mergeCell ref="N17:O17"/>
    <mergeCell ref="N18:O18"/>
    <mergeCell ref="N21:O21"/>
    <mergeCell ref="N37:N38"/>
    <mergeCell ref="O37:O38"/>
    <mergeCell ref="P37:P38"/>
    <mergeCell ref="R46:U46"/>
  </mergeCells>
  <pageMargins left="0.41" right="0.37" top="0.36" bottom="0.4" header="0" footer="0"/>
  <pageSetup scale="91" orientation="portrait" horizontalDpi="300" verticalDpi="300" r:id="rId1"/>
  <headerFooter alignWithMargins="0"/>
  <colBreaks count="1" manualBreakCount="1">
    <brk id="32" max="1048575" man="1"/>
  </colBreaks>
  <customProperties>
    <customPr name="DVSECTIONID" r:id="rId2"/>
  </customProperties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>
    <pageSetUpPr fitToPage="1"/>
  </sheetPr>
  <dimension ref="A1:M48"/>
  <sheetViews>
    <sheetView zoomScale="90" zoomScaleNormal="90" workbookViewId="0">
      <selection activeCell="C5" sqref="C5"/>
    </sheetView>
  </sheetViews>
  <sheetFormatPr baseColWidth="10" defaultRowHeight="12.75" x14ac:dyDescent="0.2"/>
  <cols>
    <col min="1" max="1" width="19.42578125" customWidth="1"/>
    <col min="2" max="2" width="33.5703125" style="355" customWidth="1"/>
    <col min="3" max="3" width="13.7109375" customWidth="1"/>
    <col min="4" max="4" width="13.5703125" customWidth="1"/>
    <col min="5" max="5" width="14.7109375" customWidth="1"/>
    <col min="6" max="6" width="2.140625" customWidth="1"/>
    <col min="7" max="7" width="19.85546875" customWidth="1"/>
    <col min="8" max="8" width="20.140625" customWidth="1"/>
    <col min="9" max="9" width="15" customWidth="1"/>
    <col min="257" max="257" width="19.42578125" customWidth="1"/>
    <col min="258" max="258" width="33.5703125" customWidth="1"/>
    <col min="259" max="259" width="13.7109375" customWidth="1"/>
    <col min="260" max="260" width="13.5703125" customWidth="1"/>
    <col min="261" max="261" width="14.7109375" customWidth="1"/>
    <col min="262" max="262" width="2.140625" customWidth="1"/>
    <col min="263" max="263" width="19.85546875" customWidth="1"/>
    <col min="264" max="264" width="20.140625" customWidth="1"/>
    <col min="265" max="265" width="15" customWidth="1"/>
    <col min="513" max="513" width="19.42578125" customWidth="1"/>
    <col min="514" max="514" width="33.5703125" customWidth="1"/>
    <col min="515" max="515" width="13.7109375" customWidth="1"/>
    <col min="516" max="516" width="13.5703125" customWidth="1"/>
    <col min="517" max="517" width="14.7109375" customWidth="1"/>
    <col min="518" max="518" width="2.140625" customWidth="1"/>
    <col min="519" max="519" width="19.85546875" customWidth="1"/>
    <col min="520" max="520" width="20.140625" customWidth="1"/>
    <col min="521" max="521" width="15" customWidth="1"/>
    <col min="769" max="769" width="19.42578125" customWidth="1"/>
    <col min="770" max="770" width="33.5703125" customWidth="1"/>
    <col min="771" max="771" width="13.7109375" customWidth="1"/>
    <col min="772" max="772" width="13.5703125" customWidth="1"/>
    <col min="773" max="773" width="14.7109375" customWidth="1"/>
    <col min="774" max="774" width="2.140625" customWidth="1"/>
    <col min="775" max="775" width="19.85546875" customWidth="1"/>
    <col min="776" max="776" width="20.140625" customWidth="1"/>
    <col min="777" max="777" width="15" customWidth="1"/>
    <col min="1025" max="1025" width="19.42578125" customWidth="1"/>
    <col min="1026" max="1026" width="33.5703125" customWidth="1"/>
    <col min="1027" max="1027" width="13.7109375" customWidth="1"/>
    <col min="1028" max="1028" width="13.5703125" customWidth="1"/>
    <col min="1029" max="1029" width="14.7109375" customWidth="1"/>
    <col min="1030" max="1030" width="2.140625" customWidth="1"/>
    <col min="1031" max="1031" width="19.85546875" customWidth="1"/>
    <col min="1032" max="1032" width="20.140625" customWidth="1"/>
    <col min="1033" max="1033" width="15" customWidth="1"/>
    <col min="1281" max="1281" width="19.42578125" customWidth="1"/>
    <col min="1282" max="1282" width="33.5703125" customWidth="1"/>
    <col min="1283" max="1283" width="13.7109375" customWidth="1"/>
    <col min="1284" max="1284" width="13.5703125" customWidth="1"/>
    <col min="1285" max="1285" width="14.7109375" customWidth="1"/>
    <col min="1286" max="1286" width="2.140625" customWidth="1"/>
    <col min="1287" max="1287" width="19.85546875" customWidth="1"/>
    <col min="1288" max="1288" width="20.140625" customWidth="1"/>
    <col min="1289" max="1289" width="15" customWidth="1"/>
    <col min="1537" max="1537" width="19.42578125" customWidth="1"/>
    <col min="1538" max="1538" width="33.5703125" customWidth="1"/>
    <col min="1539" max="1539" width="13.7109375" customWidth="1"/>
    <col min="1540" max="1540" width="13.5703125" customWidth="1"/>
    <col min="1541" max="1541" width="14.7109375" customWidth="1"/>
    <col min="1542" max="1542" width="2.140625" customWidth="1"/>
    <col min="1543" max="1543" width="19.85546875" customWidth="1"/>
    <col min="1544" max="1544" width="20.140625" customWidth="1"/>
    <col min="1545" max="1545" width="15" customWidth="1"/>
    <col min="1793" max="1793" width="19.42578125" customWidth="1"/>
    <col min="1794" max="1794" width="33.5703125" customWidth="1"/>
    <col min="1795" max="1795" width="13.7109375" customWidth="1"/>
    <col min="1796" max="1796" width="13.5703125" customWidth="1"/>
    <col min="1797" max="1797" width="14.7109375" customWidth="1"/>
    <col min="1798" max="1798" width="2.140625" customWidth="1"/>
    <col min="1799" max="1799" width="19.85546875" customWidth="1"/>
    <col min="1800" max="1800" width="20.140625" customWidth="1"/>
    <col min="1801" max="1801" width="15" customWidth="1"/>
    <col min="2049" max="2049" width="19.42578125" customWidth="1"/>
    <col min="2050" max="2050" width="33.5703125" customWidth="1"/>
    <col min="2051" max="2051" width="13.7109375" customWidth="1"/>
    <col min="2052" max="2052" width="13.5703125" customWidth="1"/>
    <col min="2053" max="2053" width="14.7109375" customWidth="1"/>
    <col min="2054" max="2054" width="2.140625" customWidth="1"/>
    <col min="2055" max="2055" width="19.85546875" customWidth="1"/>
    <col min="2056" max="2056" width="20.140625" customWidth="1"/>
    <col min="2057" max="2057" width="15" customWidth="1"/>
    <col min="2305" max="2305" width="19.42578125" customWidth="1"/>
    <col min="2306" max="2306" width="33.5703125" customWidth="1"/>
    <col min="2307" max="2307" width="13.7109375" customWidth="1"/>
    <col min="2308" max="2308" width="13.5703125" customWidth="1"/>
    <col min="2309" max="2309" width="14.7109375" customWidth="1"/>
    <col min="2310" max="2310" width="2.140625" customWidth="1"/>
    <col min="2311" max="2311" width="19.85546875" customWidth="1"/>
    <col min="2312" max="2312" width="20.140625" customWidth="1"/>
    <col min="2313" max="2313" width="15" customWidth="1"/>
    <col min="2561" max="2561" width="19.42578125" customWidth="1"/>
    <col min="2562" max="2562" width="33.5703125" customWidth="1"/>
    <col min="2563" max="2563" width="13.7109375" customWidth="1"/>
    <col min="2564" max="2564" width="13.5703125" customWidth="1"/>
    <col min="2565" max="2565" width="14.7109375" customWidth="1"/>
    <col min="2566" max="2566" width="2.140625" customWidth="1"/>
    <col min="2567" max="2567" width="19.85546875" customWidth="1"/>
    <col min="2568" max="2568" width="20.140625" customWidth="1"/>
    <col min="2569" max="2569" width="15" customWidth="1"/>
    <col min="2817" max="2817" width="19.42578125" customWidth="1"/>
    <col min="2818" max="2818" width="33.5703125" customWidth="1"/>
    <col min="2819" max="2819" width="13.7109375" customWidth="1"/>
    <col min="2820" max="2820" width="13.5703125" customWidth="1"/>
    <col min="2821" max="2821" width="14.7109375" customWidth="1"/>
    <col min="2822" max="2822" width="2.140625" customWidth="1"/>
    <col min="2823" max="2823" width="19.85546875" customWidth="1"/>
    <col min="2824" max="2824" width="20.140625" customWidth="1"/>
    <col min="2825" max="2825" width="15" customWidth="1"/>
    <col min="3073" max="3073" width="19.42578125" customWidth="1"/>
    <col min="3074" max="3074" width="33.5703125" customWidth="1"/>
    <col min="3075" max="3075" width="13.7109375" customWidth="1"/>
    <col min="3076" max="3076" width="13.5703125" customWidth="1"/>
    <col min="3077" max="3077" width="14.7109375" customWidth="1"/>
    <col min="3078" max="3078" width="2.140625" customWidth="1"/>
    <col min="3079" max="3079" width="19.85546875" customWidth="1"/>
    <col min="3080" max="3080" width="20.140625" customWidth="1"/>
    <col min="3081" max="3081" width="15" customWidth="1"/>
    <col min="3329" max="3329" width="19.42578125" customWidth="1"/>
    <col min="3330" max="3330" width="33.5703125" customWidth="1"/>
    <col min="3331" max="3331" width="13.7109375" customWidth="1"/>
    <col min="3332" max="3332" width="13.5703125" customWidth="1"/>
    <col min="3333" max="3333" width="14.7109375" customWidth="1"/>
    <col min="3334" max="3334" width="2.140625" customWidth="1"/>
    <col min="3335" max="3335" width="19.85546875" customWidth="1"/>
    <col min="3336" max="3336" width="20.140625" customWidth="1"/>
    <col min="3337" max="3337" width="15" customWidth="1"/>
    <col min="3585" max="3585" width="19.42578125" customWidth="1"/>
    <col min="3586" max="3586" width="33.5703125" customWidth="1"/>
    <col min="3587" max="3587" width="13.7109375" customWidth="1"/>
    <col min="3588" max="3588" width="13.5703125" customWidth="1"/>
    <col min="3589" max="3589" width="14.7109375" customWidth="1"/>
    <col min="3590" max="3590" width="2.140625" customWidth="1"/>
    <col min="3591" max="3591" width="19.85546875" customWidth="1"/>
    <col min="3592" max="3592" width="20.140625" customWidth="1"/>
    <col min="3593" max="3593" width="15" customWidth="1"/>
    <col min="3841" max="3841" width="19.42578125" customWidth="1"/>
    <col min="3842" max="3842" width="33.5703125" customWidth="1"/>
    <col min="3843" max="3843" width="13.7109375" customWidth="1"/>
    <col min="3844" max="3844" width="13.5703125" customWidth="1"/>
    <col min="3845" max="3845" width="14.7109375" customWidth="1"/>
    <col min="3846" max="3846" width="2.140625" customWidth="1"/>
    <col min="3847" max="3847" width="19.85546875" customWidth="1"/>
    <col min="3848" max="3848" width="20.140625" customWidth="1"/>
    <col min="3849" max="3849" width="15" customWidth="1"/>
    <col min="4097" max="4097" width="19.42578125" customWidth="1"/>
    <col min="4098" max="4098" width="33.5703125" customWidth="1"/>
    <col min="4099" max="4099" width="13.7109375" customWidth="1"/>
    <col min="4100" max="4100" width="13.5703125" customWidth="1"/>
    <col min="4101" max="4101" width="14.7109375" customWidth="1"/>
    <col min="4102" max="4102" width="2.140625" customWidth="1"/>
    <col min="4103" max="4103" width="19.85546875" customWidth="1"/>
    <col min="4104" max="4104" width="20.140625" customWidth="1"/>
    <col min="4105" max="4105" width="15" customWidth="1"/>
    <col min="4353" max="4353" width="19.42578125" customWidth="1"/>
    <col min="4354" max="4354" width="33.5703125" customWidth="1"/>
    <col min="4355" max="4355" width="13.7109375" customWidth="1"/>
    <col min="4356" max="4356" width="13.5703125" customWidth="1"/>
    <col min="4357" max="4357" width="14.7109375" customWidth="1"/>
    <col min="4358" max="4358" width="2.140625" customWidth="1"/>
    <col min="4359" max="4359" width="19.85546875" customWidth="1"/>
    <col min="4360" max="4360" width="20.140625" customWidth="1"/>
    <col min="4361" max="4361" width="15" customWidth="1"/>
    <col min="4609" max="4609" width="19.42578125" customWidth="1"/>
    <col min="4610" max="4610" width="33.5703125" customWidth="1"/>
    <col min="4611" max="4611" width="13.7109375" customWidth="1"/>
    <col min="4612" max="4612" width="13.5703125" customWidth="1"/>
    <col min="4613" max="4613" width="14.7109375" customWidth="1"/>
    <col min="4614" max="4614" width="2.140625" customWidth="1"/>
    <col min="4615" max="4615" width="19.85546875" customWidth="1"/>
    <col min="4616" max="4616" width="20.140625" customWidth="1"/>
    <col min="4617" max="4617" width="15" customWidth="1"/>
    <col min="4865" max="4865" width="19.42578125" customWidth="1"/>
    <col min="4866" max="4866" width="33.5703125" customWidth="1"/>
    <col min="4867" max="4867" width="13.7109375" customWidth="1"/>
    <col min="4868" max="4868" width="13.5703125" customWidth="1"/>
    <col min="4869" max="4869" width="14.7109375" customWidth="1"/>
    <col min="4870" max="4870" width="2.140625" customWidth="1"/>
    <col min="4871" max="4871" width="19.85546875" customWidth="1"/>
    <col min="4872" max="4872" width="20.140625" customWidth="1"/>
    <col min="4873" max="4873" width="15" customWidth="1"/>
    <col min="5121" max="5121" width="19.42578125" customWidth="1"/>
    <col min="5122" max="5122" width="33.5703125" customWidth="1"/>
    <col min="5123" max="5123" width="13.7109375" customWidth="1"/>
    <col min="5124" max="5124" width="13.5703125" customWidth="1"/>
    <col min="5125" max="5125" width="14.7109375" customWidth="1"/>
    <col min="5126" max="5126" width="2.140625" customWidth="1"/>
    <col min="5127" max="5127" width="19.85546875" customWidth="1"/>
    <col min="5128" max="5128" width="20.140625" customWidth="1"/>
    <col min="5129" max="5129" width="15" customWidth="1"/>
    <col min="5377" max="5377" width="19.42578125" customWidth="1"/>
    <col min="5378" max="5378" width="33.5703125" customWidth="1"/>
    <col min="5379" max="5379" width="13.7109375" customWidth="1"/>
    <col min="5380" max="5380" width="13.5703125" customWidth="1"/>
    <col min="5381" max="5381" width="14.7109375" customWidth="1"/>
    <col min="5382" max="5382" width="2.140625" customWidth="1"/>
    <col min="5383" max="5383" width="19.85546875" customWidth="1"/>
    <col min="5384" max="5384" width="20.140625" customWidth="1"/>
    <col min="5385" max="5385" width="15" customWidth="1"/>
    <col min="5633" max="5633" width="19.42578125" customWidth="1"/>
    <col min="5634" max="5634" width="33.5703125" customWidth="1"/>
    <col min="5635" max="5635" width="13.7109375" customWidth="1"/>
    <col min="5636" max="5636" width="13.5703125" customWidth="1"/>
    <col min="5637" max="5637" width="14.7109375" customWidth="1"/>
    <col min="5638" max="5638" width="2.140625" customWidth="1"/>
    <col min="5639" max="5639" width="19.85546875" customWidth="1"/>
    <col min="5640" max="5640" width="20.140625" customWidth="1"/>
    <col min="5641" max="5641" width="15" customWidth="1"/>
    <col min="5889" max="5889" width="19.42578125" customWidth="1"/>
    <col min="5890" max="5890" width="33.5703125" customWidth="1"/>
    <col min="5891" max="5891" width="13.7109375" customWidth="1"/>
    <col min="5892" max="5892" width="13.5703125" customWidth="1"/>
    <col min="5893" max="5893" width="14.7109375" customWidth="1"/>
    <col min="5894" max="5894" width="2.140625" customWidth="1"/>
    <col min="5895" max="5895" width="19.85546875" customWidth="1"/>
    <col min="5896" max="5896" width="20.140625" customWidth="1"/>
    <col min="5897" max="5897" width="15" customWidth="1"/>
    <col min="6145" max="6145" width="19.42578125" customWidth="1"/>
    <col min="6146" max="6146" width="33.5703125" customWidth="1"/>
    <col min="6147" max="6147" width="13.7109375" customWidth="1"/>
    <col min="6148" max="6148" width="13.5703125" customWidth="1"/>
    <col min="6149" max="6149" width="14.7109375" customWidth="1"/>
    <col min="6150" max="6150" width="2.140625" customWidth="1"/>
    <col min="6151" max="6151" width="19.85546875" customWidth="1"/>
    <col min="6152" max="6152" width="20.140625" customWidth="1"/>
    <col min="6153" max="6153" width="15" customWidth="1"/>
    <col min="6401" max="6401" width="19.42578125" customWidth="1"/>
    <col min="6402" max="6402" width="33.5703125" customWidth="1"/>
    <col min="6403" max="6403" width="13.7109375" customWidth="1"/>
    <col min="6404" max="6404" width="13.5703125" customWidth="1"/>
    <col min="6405" max="6405" width="14.7109375" customWidth="1"/>
    <col min="6406" max="6406" width="2.140625" customWidth="1"/>
    <col min="6407" max="6407" width="19.85546875" customWidth="1"/>
    <col min="6408" max="6408" width="20.140625" customWidth="1"/>
    <col min="6409" max="6409" width="15" customWidth="1"/>
    <col min="6657" max="6657" width="19.42578125" customWidth="1"/>
    <col min="6658" max="6658" width="33.5703125" customWidth="1"/>
    <col min="6659" max="6659" width="13.7109375" customWidth="1"/>
    <col min="6660" max="6660" width="13.5703125" customWidth="1"/>
    <col min="6661" max="6661" width="14.7109375" customWidth="1"/>
    <col min="6662" max="6662" width="2.140625" customWidth="1"/>
    <col min="6663" max="6663" width="19.85546875" customWidth="1"/>
    <col min="6664" max="6664" width="20.140625" customWidth="1"/>
    <col min="6665" max="6665" width="15" customWidth="1"/>
    <col min="6913" max="6913" width="19.42578125" customWidth="1"/>
    <col min="6914" max="6914" width="33.5703125" customWidth="1"/>
    <col min="6915" max="6915" width="13.7109375" customWidth="1"/>
    <col min="6916" max="6916" width="13.5703125" customWidth="1"/>
    <col min="6917" max="6917" width="14.7109375" customWidth="1"/>
    <col min="6918" max="6918" width="2.140625" customWidth="1"/>
    <col min="6919" max="6919" width="19.85546875" customWidth="1"/>
    <col min="6920" max="6920" width="20.140625" customWidth="1"/>
    <col min="6921" max="6921" width="15" customWidth="1"/>
    <col min="7169" max="7169" width="19.42578125" customWidth="1"/>
    <col min="7170" max="7170" width="33.5703125" customWidth="1"/>
    <col min="7171" max="7171" width="13.7109375" customWidth="1"/>
    <col min="7172" max="7172" width="13.5703125" customWidth="1"/>
    <col min="7173" max="7173" width="14.7109375" customWidth="1"/>
    <col min="7174" max="7174" width="2.140625" customWidth="1"/>
    <col min="7175" max="7175" width="19.85546875" customWidth="1"/>
    <col min="7176" max="7176" width="20.140625" customWidth="1"/>
    <col min="7177" max="7177" width="15" customWidth="1"/>
    <col min="7425" max="7425" width="19.42578125" customWidth="1"/>
    <col min="7426" max="7426" width="33.5703125" customWidth="1"/>
    <col min="7427" max="7427" width="13.7109375" customWidth="1"/>
    <col min="7428" max="7428" width="13.5703125" customWidth="1"/>
    <col min="7429" max="7429" width="14.7109375" customWidth="1"/>
    <col min="7430" max="7430" width="2.140625" customWidth="1"/>
    <col min="7431" max="7431" width="19.85546875" customWidth="1"/>
    <col min="7432" max="7432" width="20.140625" customWidth="1"/>
    <col min="7433" max="7433" width="15" customWidth="1"/>
    <col min="7681" max="7681" width="19.42578125" customWidth="1"/>
    <col min="7682" max="7682" width="33.5703125" customWidth="1"/>
    <col min="7683" max="7683" width="13.7109375" customWidth="1"/>
    <col min="7684" max="7684" width="13.5703125" customWidth="1"/>
    <col min="7685" max="7685" width="14.7109375" customWidth="1"/>
    <col min="7686" max="7686" width="2.140625" customWidth="1"/>
    <col min="7687" max="7687" width="19.85546875" customWidth="1"/>
    <col min="7688" max="7688" width="20.140625" customWidth="1"/>
    <col min="7689" max="7689" width="15" customWidth="1"/>
    <col min="7937" max="7937" width="19.42578125" customWidth="1"/>
    <col min="7938" max="7938" width="33.5703125" customWidth="1"/>
    <col min="7939" max="7939" width="13.7109375" customWidth="1"/>
    <col min="7940" max="7940" width="13.5703125" customWidth="1"/>
    <col min="7941" max="7941" width="14.7109375" customWidth="1"/>
    <col min="7942" max="7942" width="2.140625" customWidth="1"/>
    <col min="7943" max="7943" width="19.85546875" customWidth="1"/>
    <col min="7944" max="7944" width="20.140625" customWidth="1"/>
    <col min="7945" max="7945" width="15" customWidth="1"/>
    <col min="8193" max="8193" width="19.42578125" customWidth="1"/>
    <col min="8194" max="8194" width="33.5703125" customWidth="1"/>
    <col min="8195" max="8195" width="13.7109375" customWidth="1"/>
    <col min="8196" max="8196" width="13.5703125" customWidth="1"/>
    <col min="8197" max="8197" width="14.7109375" customWidth="1"/>
    <col min="8198" max="8198" width="2.140625" customWidth="1"/>
    <col min="8199" max="8199" width="19.85546875" customWidth="1"/>
    <col min="8200" max="8200" width="20.140625" customWidth="1"/>
    <col min="8201" max="8201" width="15" customWidth="1"/>
    <col min="8449" max="8449" width="19.42578125" customWidth="1"/>
    <col min="8450" max="8450" width="33.5703125" customWidth="1"/>
    <col min="8451" max="8451" width="13.7109375" customWidth="1"/>
    <col min="8452" max="8452" width="13.5703125" customWidth="1"/>
    <col min="8453" max="8453" width="14.7109375" customWidth="1"/>
    <col min="8454" max="8454" width="2.140625" customWidth="1"/>
    <col min="8455" max="8455" width="19.85546875" customWidth="1"/>
    <col min="8456" max="8456" width="20.140625" customWidth="1"/>
    <col min="8457" max="8457" width="15" customWidth="1"/>
    <col min="8705" max="8705" width="19.42578125" customWidth="1"/>
    <col min="8706" max="8706" width="33.5703125" customWidth="1"/>
    <col min="8707" max="8707" width="13.7109375" customWidth="1"/>
    <col min="8708" max="8708" width="13.5703125" customWidth="1"/>
    <col min="8709" max="8709" width="14.7109375" customWidth="1"/>
    <col min="8710" max="8710" width="2.140625" customWidth="1"/>
    <col min="8711" max="8711" width="19.85546875" customWidth="1"/>
    <col min="8712" max="8712" width="20.140625" customWidth="1"/>
    <col min="8713" max="8713" width="15" customWidth="1"/>
    <col min="8961" max="8961" width="19.42578125" customWidth="1"/>
    <col min="8962" max="8962" width="33.5703125" customWidth="1"/>
    <col min="8963" max="8963" width="13.7109375" customWidth="1"/>
    <col min="8964" max="8964" width="13.5703125" customWidth="1"/>
    <col min="8965" max="8965" width="14.7109375" customWidth="1"/>
    <col min="8966" max="8966" width="2.140625" customWidth="1"/>
    <col min="8967" max="8967" width="19.85546875" customWidth="1"/>
    <col min="8968" max="8968" width="20.140625" customWidth="1"/>
    <col min="8969" max="8969" width="15" customWidth="1"/>
    <col min="9217" max="9217" width="19.42578125" customWidth="1"/>
    <col min="9218" max="9218" width="33.5703125" customWidth="1"/>
    <col min="9219" max="9219" width="13.7109375" customWidth="1"/>
    <col min="9220" max="9220" width="13.5703125" customWidth="1"/>
    <col min="9221" max="9221" width="14.7109375" customWidth="1"/>
    <col min="9222" max="9222" width="2.140625" customWidth="1"/>
    <col min="9223" max="9223" width="19.85546875" customWidth="1"/>
    <col min="9224" max="9224" width="20.140625" customWidth="1"/>
    <col min="9225" max="9225" width="15" customWidth="1"/>
    <col min="9473" max="9473" width="19.42578125" customWidth="1"/>
    <col min="9474" max="9474" width="33.5703125" customWidth="1"/>
    <col min="9475" max="9475" width="13.7109375" customWidth="1"/>
    <col min="9476" max="9476" width="13.5703125" customWidth="1"/>
    <col min="9477" max="9477" width="14.7109375" customWidth="1"/>
    <col min="9478" max="9478" width="2.140625" customWidth="1"/>
    <col min="9479" max="9479" width="19.85546875" customWidth="1"/>
    <col min="9480" max="9480" width="20.140625" customWidth="1"/>
    <col min="9481" max="9481" width="15" customWidth="1"/>
    <col min="9729" max="9729" width="19.42578125" customWidth="1"/>
    <col min="9730" max="9730" width="33.5703125" customWidth="1"/>
    <col min="9731" max="9731" width="13.7109375" customWidth="1"/>
    <col min="9732" max="9732" width="13.5703125" customWidth="1"/>
    <col min="9733" max="9733" width="14.7109375" customWidth="1"/>
    <col min="9734" max="9734" width="2.140625" customWidth="1"/>
    <col min="9735" max="9735" width="19.85546875" customWidth="1"/>
    <col min="9736" max="9736" width="20.140625" customWidth="1"/>
    <col min="9737" max="9737" width="15" customWidth="1"/>
    <col min="9985" max="9985" width="19.42578125" customWidth="1"/>
    <col min="9986" max="9986" width="33.5703125" customWidth="1"/>
    <col min="9987" max="9987" width="13.7109375" customWidth="1"/>
    <col min="9988" max="9988" width="13.5703125" customWidth="1"/>
    <col min="9989" max="9989" width="14.7109375" customWidth="1"/>
    <col min="9990" max="9990" width="2.140625" customWidth="1"/>
    <col min="9991" max="9991" width="19.85546875" customWidth="1"/>
    <col min="9992" max="9992" width="20.140625" customWidth="1"/>
    <col min="9993" max="9993" width="15" customWidth="1"/>
    <col min="10241" max="10241" width="19.42578125" customWidth="1"/>
    <col min="10242" max="10242" width="33.5703125" customWidth="1"/>
    <col min="10243" max="10243" width="13.7109375" customWidth="1"/>
    <col min="10244" max="10244" width="13.5703125" customWidth="1"/>
    <col min="10245" max="10245" width="14.7109375" customWidth="1"/>
    <col min="10246" max="10246" width="2.140625" customWidth="1"/>
    <col min="10247" max="10247" width="19.85546875" customWidth="1"/>
    <col min="10248" max="10248" width="20.140625" customWidth="1"/>
    <col min="10249" max="10249" width="15" customWidth="1"/>
    <col min="10497" max="10497" width="19.42578125" customWidth="1"/>
    <col min="10498" max="10498" width="33.5703125" customWidth="1"/>
    <col min="10499" max="10499" width="13.7109375" customWidth="1"/>
    <col min="10500" max="10500" width="13.5703125" customWidth="1"/>
    <col min="10501" max="10501" width="14.7109375" customWidth="1"/>
    <col min="10502" max="10502" width="2.140625" customWidth="1"/>
    <col min="10503" max="10503" width="19.85546875" customWidth="1"/>
    <col min="10504" max="10504" width="20.140625" customWidth="1"/>
    <col min="10505" max="10505" width="15" customWidth="1"/>
    <col min="10753" max="10753" width="19.42578125" customWidth="1"/>
    <col min="10754" max="10754" width="33.5703125" customWidth="1"/>
    <col min="10755" max="10755" width="13.7109375" customWidth="1"/>
    <col min="10756" max="10756" width="13.5703125" customWidth="1"/>
    <col min="10757" max="10757" width="14.7109375" customWidth="1"/>
    <col min="10758" max="10758" width="2.140625" customWidth="1"/>
    <col min="10759" max="10759" width="19.85546875" customWidth="1"/>
    <col min="10760" max="10760" width="20.140625" customWidth="1"/>
    <col min="10761" max="10761" width="15" customWidth="1"/>
    <col min="11009" max="11009" width="19.42578125" customWidth="1"/>
    <col min="11010" max="11010" width="33.5703125" customWidth="1"/>
    <col min="11011" max="11011" width="13.7109375" customWidth="1"/>
    <col min="11012" max="11012" width="13.5703125" customWidth="1"/>
    <col min="11013" max="11013" width="14.7109375" customWidth="1"/>
    <col min="11014" max="11014" width="2.140625" customWidth="1"/>
    <col min="11015" max="11015" width="19.85546875" customWidth="1"/>
    <col min="11016" max="11016" width="20.140625" customWidth="1"/>
    <col min="11017" max="11017" width="15" customWidth="1"/>
    <col min="11265" max="11265" width="19.42578125" customWidth="1"/>
    <col min="11266" max="11266" width="33.5703125" customWidth="1"/>
    <col min="11267" max="11267" width="13.7109375" customWidth="1"/>
    <col min="11268" max="11268" width="13.5703125" customWidth="1"/>
    <col min="11269" max="11269" width="14.7109375" customWidth="1"/>
    <col min="11270" max="11270" width="2.140625" customWidth="1"/>
    <col min="11271" max="11271" width="19.85546875" customWidth="1"/>
    <col min="11272" max="11272" width="20.140625" customWidth="1"/>
    <col min="11273" max="11273" width="15" customWidth="1"/>
    <col min="11521" max="11521" width="19.42578125" customWidth="1"/>
    <col min="11522" max="11522" width="33.5703125" customWidth="1"/>
    <col min="11523" max="11523" width="13.7109375" customWidth="1"/>
    <col min="11524" max="11524" width="13.5703125" customWidth="1"/>
    <col min="11525" max="11525" width="14.7109375" customWidth="1"/>
    <col min="11526" max="11526" width="2.140625" customWidth="1"/>
    <col min="11527" max="11527" width="19.85546875" customWidth="1"/>
    <col min="11528" max="11528" width="20.140625" customWidth="1"/>
    <col min="11529" max="11529" width="15" customWidth="1"/>
    <col min="11777" max="11777" width="19.42578125" customWidth="1"/>
    <col min="11778" max="11778" width="33.5703125" customWidth="1"/>
    <col min="11779" max="11779" width="13.7109375" customWidth="1"/>
    <col min="11780" max="11780" width="13.5703125" customWidth="1"/>
    <col min="11781" max="11781" width="14.7109375" customWidth="1"/>
    <col min="11782" max="11782" width="2.140625" customWidth="1"/>
    <col min="11783" max="11783" width="19.85546875" customWidth="1"/>
    <col min="11784" max="11784" width="20.140625" customWidth="1"/>
    <col min="11785" max="11785" width="15" customWidth="1"/>
    <col min="12033" max="12033" width="19.42578125" customWidth="1"/>
    <col min="12034" max="12034" width="33.5703125" customWidth="1"/>
    <col min="12035" max="12035" width="13.7109375" customWidth="1"/>
    <col min="12036" max="12036" width="13.5703125" customWidth="1"/>
    <col min="12037" max="12037" width="14.7109375" customWidth="1"/>
    <col min="12038" max="12038" width="2.140625" customWidth="1"/>
    <col min="12039" max="12039" width="19.85546875" customWidth="1"/>
    <col min="12040" max="12040" width="20.140625" customWidth="1"/>
    <col min="12041" max="12041" width="15" customWidth="1"/>
    <col min="12289" max="12289" width="19.42578125" customWidth="1"/>
    <col min="12290" max="12290" width="33.5703125" customWidth="1"/>
    <col min="12291" max="12291" width="13.7109375" customWidth="1"/>
    <col min="12292" max="12292" width="13.5703125" customWidth="1"/>
    <col min="12293" max="12293" width="14.7109375" customWidth="1"/>
    <col min="12294" max="12294" width="2.140625" customWidth="1"/>
    <col min="12295" max="12295" width="19.85546875" customWidth="1"/>
    <col min="12296" max="12296" width="20.140625" customWidth="1"/>
    <col min="12297" max="12297" width="15" customWidth="1"/>
    <col min="12545" max="12545" width="19.42578125" customWidth="1"/>
    <col min="12546" max="12546" width="33.5703125" customWidth="1"/>
    <col min="12547" max="12547" width="13.7109375" customWidth="1"/>
    <col min="12548" max="12548" width="13.5703125" customWidth="1"/>
    <col min="12549" max="12549" width="14.7109375" customWidth="1"/>
    <col min="12550" max="12550" width="2.140625" customWidth="1"/>
    <col min="12551" max="12551" width="19.85546875" customWidth="1"/>
    <col min="12552" max="12552" width="20.140625" customWidth="1"/>
    <col min="12553" max="12553" width="15" customWidth="1"/>
    <col min="12801" max="12801" width="19.42578125" customWidth="1"/>
    <col min="12802" max="12802" width="33.5703125" customWidth="1"/>
    <col min="12803" max="12803" width="13.7109375" customWidth="1"/>
    <col min="12804" max="12804" width="13.5703125" customWidth="1"/>
    <col min="12805" max="12805" width="14.7109375" customWidth="1"/>
    <col min="12806" max="12806" width="2.140625" customWidth="1"/>
    <col min="12807" max="12807" width="19.85546875" customWidth="1"/>
    <col min="12808" max="12808" width="20.140625" customWidth="1"/>
    <col min="12809" max="12809" width="15" customWidth="1"/>
    <col min="13057" max="13057" width="19.42578125" customWidth="1"/>
    <col min="13058" max="13058" width="33.5703125" customWidth="1"/>
    <col min="13059" max="13059" width="13.7109375" customWidth="1"/>
    <col min="13060" max="13060" width="13.5703125" customWidth="1"/>
    <col min="13061" max="13061" width="14.7109375" customWidth="1"/>
    <col min="13062" max="13062" width="2.140625" customWidth="1"/>
    <col min="13063" max="13063" width="19.85546875" customWidth="1"/>
    <col min="13064" max="13064" width="20.140625" customWidth="1"/>
    <col min="13065" max="13065" width="15" customWidth="1"/>
    <col min="13313" max="13313" width="19.42578125" customWidth="1"/>
    <col min="13314" max="13314" width="33.5703125" customWidth="1"/>
    <col min="13315" max="13315" width="13.7109375" customWidth="1"/>
    <col min="13316" max="13316" width="13.5703125" customWidth="1"/>
    <col min="13317" max="13317" width="14.7109375" customWidth="1"/>
    <col min="13318" max="13318" width="2.140625" customWidth="1"/>
    <col min="13319" max="13319" width="19.85546875" customWidth="1"/>
    <col min="13320" max="13320" width="20.140625" customWidth="1"/>
    <col min="13321" max="13321" width="15" customWidth="1"/>
    <col min="13569" max="13569" width="19.42578125" customWidth="1"/>
    <col min="13570" max="13570" width="33.5703125" customWidth="1"/>
    <col min="13571" max="13571" width="13.7109375" customWidth="1"/>
    <col min="13572" max="13572" width="13.5703125" customWidth="1"/>
    <col min="13573" max="13573" width="14.7109375" customWidth="1"/>
    <col min="13574" max="13574" width="2.140625" customWidth="1"/>
    <col min="13575" max="13575" width="19.85546875" customWidth="1"/>
    <col min="13576" max="13576" width="20.140625" customWidth="1"/>
    <col min="13577" max="13577" width="15" customWidth="1"/>
    <col min="13825" max="13825" width="19.42578125" customWidth="1"/>
    <col min="13826" max="13826" width="33.5703125" customWidth="1"/>
    <col min="13827" max="13827" width="13.7109375" customWidth="1"/>
    <col min="13828" max="13828" width="13.5703125" customWidth="1"/>
    <col min="13829" max="13829" width="14.7109375" customWidth="1"/>
    <col min="13830" max="13830" width="2.140625" customWidth="1"/>
    <col min="13831" max="13831" width="19.85546875" customWidth="1"/>
    <col min="13832" max="13832" width="20.140625" customWidth="1"/>
    <col min="13833" max="13833" width="15" customWidth="1"/>
    <col min="14081" max="14081" width="19.42578125" customWidth="1"/>
    <col min="14082" max="14082" width="33.5703125" customWidth="1"/>
    <col min="14083" max="14083" width="13.7109375" customWidth="1"/>
    <col min="14084" max="14084" width="13.5703125" customWidth="1"/>
    <col min="14085" max="14085" width="14.7109375" customWidth="1"/>
    <col min="14086" max="14086" width="2.140625" customWidth="1"/>
    <col min="14087" max="14087" width="19.85546875" customWidth="1"/>
    <col min="14088" max="14088" width="20.140625" customWidth="1"/>
    <col min="14089" max="14089" width="15" customWidth="1"/>
    <col min="14337" max="14337" width="19.42578125" customWidth="1"/>
    <col min="14338" max="14338" width="33.5703125" customWidth="1"/>
    <col min="14339" max="14339" width="13.7109375" customWidth="1"/>
    <col min="14340" max="14340" width="13.5703125" customWidth="1"/>
    <col min="14341" max="14341" width="14.7109375" customWidth="1"/>
    <col min="14342" max="14342" width="2.140625" customWidth="1"/>
    <col min="14343" max="14343" width="19.85546875" customWidth="1"/>
    <col min="14344" max="14344" width="20.140625" customWidth="1"/>
    <col min="14345" max="14345" width="15" customWidth="1"/>
    <col min="14593" max="14593" width="19.42578125" customWidth="1"/>
    <col min="14594" max="14594" width="33.5703125" customWidth="1"/>
    <col min="14595" max="14595" width="13.7109375" customWidth="1"/>
    <col min="14596" max="14596" width="13.5703125" customWidth="1"/>
    <col min="14597" max="14597" width="14.7109375" customWidth="1"/>
    <col min="14598" max="14598" width="2.140625" customWidth="1"/>
    <col min="14599" max="14599" width="19.85546875" customWidth="1"/>
    <col min="14600" max="14600" width="20.140625" customWidth="1"/>
    <col min="14601" max="14601" width="15" customWidth="1"/>
    <col min="14849" max="14849" width="19.42578125" customWidth="1"/>
    <col min="14850" max="14850" width="33.5703125" customWidth="1"/>
    <col min="14851" max="14851" width="13.7109375" customWidth="1"/>
    <col min="14852" max="14852" width="13.5703125" customWidth="1"/>
    <col min="14853" max="14853" width="14.7109375" customWidth="1"/>
    <col min="14854" max="14854" width="2.140625" customWidth="1"/>
    <col min="14855" max="14855" width="19.85546875" customWidth="1"/>
    <col min="14856" max="14856" width="20.140625" customWidth="1"/>
    <col min="14857" max="14857" width="15" customWidth="1"/>
    <col min="15105" max="15105" width="19.42578125" customWidth="1"/>
    <col min="15106" max="15106" width="33.5703125" customWidth="1"/>
    <col min="15107" max="15107" width="13.7109375" customWidth="1"/>
    <col min="15108" max="15108" width="13.5703125" customWidth="1"/>
    <col min="15109" max="15109" width="14.7109375" customWidth="1"/>
    <col min="15110" max="15110" width="2.140625" customWidth="1"/>
    <col min="15111" max="15111" width="19.85546875" customWidth="1"/>
    <col min="15112" max="15112" width="20.140625" customWidth="1"/>
    <col min="15113" max="15113" width="15" customWidth="1"/>
    <col min="15361" max="15361" width="19.42578125" customWidth="1"/>
    <col min="15362" max="15362" width="33.5703125" customWidth="1"/>
    <col min="15363" max="15363" width="13.7109375" customWidth="1"/>
    <col min="15364" max="15364" width="13.5703125" customWidth="1"/>
    <col min="15365" max="15365" width="14.7109375" customWidth="1"/>
    <col min="15366" max="15366" width="2.140625" customWidth="1"/>
    <col min="15367" max="15367" width="19.85546875" customWidth="1"/>
    <col min="15368" max="15368" width="20.140625" customWidth="1"/>
    <col min="15369" max="15369" width="15" customWidth="1"/>
    <col min="15617" max="15617" width="19.42578125" customWidth="1"/>
    <col min="15618" max="15618" width="33.5703125" customWidth="1"/>
    <col min="15619" max="15619" width="13.7109375" customWidth="1"/>
    <col min="15620" max="15620" width="13.5703125" customWidth="1"/>
    <col min="15621" max="15621" width="14.7109375" customWidth="1"/>
    <col min="15622" max="15622" width="2.140625" customWidth="1"/>
    <col min="15623" max="15623" width="19.85546875" customWidth="1"/>
    <col min="15624" max="15624" width="20.140625" customWidth="1"/>
    <col min="15625" max="15625" width="15" customWidth="1"/>
    <col min="15873" max="15873" width="19.42578125" customWidth="1"/>
    <col min="15874" max="15874" width="33.5703125" customWidth="1"/>
    <col min="15875" max="15875" width="13.7109375" customWidth="1"/>
    <col min="15876" max="15876" width="13.5703125" customWidth="1"/>
    <col min="15877" max="15877" width="14.7109375" customWidth="1"/>
    <col min="15878" max="15878" width="2.140625" customWidth="1"/>
    <col min="15879" max="15879" width="19.85546875" customWidth="1"/>
    <col min="15880" max="15880" width="20.140625" customWidth="1"/>
    <col min="15881" max="15881" width="15" customWidth="1"/>
    <col min="16129" max="16129" width="19.42578125" customWidth="1"/>
    <col min="16130" max="16130" width="33.5703125" customWidth="1"/>
    <col min="16131" max="16131" width="13.7109375" customWidth="1"/>
    <col min="16132" max="16132" width="13.5703125" customWidth="1"/>
    <col min="16133" max="16133" width="14.7109375" customWidth="1"/>
    <col min="16134" max="16134" width="2.140625" customWidth="1"/>
    <col min="16135" max="16135" width="19.85546875" customWidth="1"/>
    <col min="16136" max="16136" width="20.140625" customWidth="1"/>
    <col min="16137" max="16137" width="15" customWidth="1"/>
  </cols>
  <sheetData>
    <row r="1" spans="1:13" ht="13.5" thickBot="1" x14ac:dyDescent="0.25">
      <c r="C1" s="355"/>
      <c r="D1" s="355"/>
      <c r="E1" s="355"/>
      <c r="G1" s="356"/>
      <c r="H1" s="356"/>
      <c r="I1" s="355"/>
    </row>
    <row r="2" spans="1:13" ht="18.75" customHeight="1" thickBot="1" x14ac:dyDescent="0.3">
      <c r="C2" s="515" t="s">
        <v>966</v>
      </c>
      <c r="D2" s="516"/>
      <c r="E2" s="517"/>
      <c r="G2" s="515" t="s">
        <v>967</v>
      </c>
      <c r="H2" s="516"/>
      <c r="I2" s="517"/>
    </row>
    <row r="3" spans="1:13" ht="41.25" customHeight="1" thickBot="1" x14ac:dyDescent="0.25">
      <c r="A3" s="518" t="s">
        <v>968</v>
      </c>
      <c r="B3" s="519"/>
      <c r="C3" s="357" t="s">
        <v>969</v>
      </c>
      <c r="D3" s="358" t="s">
        <v>970</v>
      </c>
      <c r="E3" s="357" t="s">
        <v>971</v>
      </c>
      <c r="G3" s="359" t="s">
        <v>972</v>
      </c>
      <c r="H3" s="360" t="s">
        <v>973</v>
      </c>
      <c r="I3" s="357" t="s">
        <v>971</v>
      </c>
    </row>
    <row r="4" spans="1:13" ht="18" x14ac:dyDescent="0.2">
      <c r="A4" s="520" t="s">
        <v>974</v>
      </c>
      <c r="B4" s="361" t="s">
        <v>975</v>
      </c>
      <c r="C4" s="362">
        <v>0</v>
      </c>
      <c r="D4" s="362">
        <v>0</v>
      </c>
      <c r="E4" s="362">
        <f>D4-C4</f>
        <v>0</v>
      </c>
      <c r="G4" s="363">
        <v>0</v>
      </c>
      <c r="H4" s="363">
        <v>0</v>
      </c>
      <c r="I4" s="364">
        <f>H4-G4</f>
        <v>0</v>
      </c>
    </row>
    <row r="5" spans="1:13" ht="18" x14ac:dyDescent="0.2">
      <c r="A5" s="521"/>
      <c r="B5" s="365" t="s">
        <v>976</v>
      </c>
      <c r="C5" s="366">
        <v>17</v>
      </c>
      <c r="D5" s="366">
        <v>0</v>
      </c>
      <c r="E5" s="366">
        <v>0</v>
      </c>
      <c r="G5" s="367">
        <v>13</v>
      </c>
      <c r="H5" s="367">
        <v>0</v>
      </c>
      <c r="I5" s="368">
        <v>0</v>
      </c>
    </row>
    <row r="6" spans="1:13" ht="18" x14ac:dyDescent="0.2">
      <c r="A6" s="521"/>
      <c r="B6" s="369" t="s">
        <v>977</v>
      </c>
      <c r="C6" s="362">
        <v>319</v>
      </c>
      <c r="D6" s="507">
        <f>3569+35+35</f>
        <v>3639</v>
      </c>
      <c r="E6" s="507">
        <f>D6-C6-C7-C8</f>
        <v>204</v>
      </c>
      <c r="G6" s="363">
        <v>319</v>
      </c>
      <c r="H6" s="511">
        <f>3283+35+35</f>
        <v>3353</v>
      </c>
      <c r="I6" s="509">
        <f>H6-G6-G7-G8</f>
        <v>154</v>
      </c>
      <c r="K6" s="15"/>
    </row>
    <row r="7" spans="1:13" ht="18" x14ac:dyDescent="0.2">
      <c r="A7" s="521"/>
      <c r="B7" s="369" t="s">
        <v>978</v>
      </c>
      <c r="C7" s="362">
        <v>2800</v>
      </c>
      <c r="D7" s="523"/>
      <c r="E7" s="523"/>
      <c r="F7" s="1"/>
      <c r="G7" s="363">
        <v>2655</v>
      </c>
      <c r="H7" s="524"/>
      <c r="I7" s="525"/>
      <c r="K7" s="15"/>
    </row>
    <row r="8" spans="1:13" ht="18" x14ac:dyDescent="0.2">
      <c r="A8" s="521"/>
      <c r="B8" s="369" t="s">
        <v>979</v>
      </c>
      <c r="C8" s="362">
        <v>316</v>
      </c>
      <c r="D8" s="508"/>
      <c r="E8" s="508"/>
      <c r="G8" s="363">
        <v>225</v>
      </c>
      <c r="H8" s="512"/>
      <c r="I8" s="510"/>
      <c r="K8" s="15"/>
    </row>
    <row r="9" spans="1:13" ht="18" x14ac:dyDescent="0.2">
      <c r="A9" s="521"/>
      <c r="B9" s="365" t="s">
        <v>980</v>
      </c>
      <c r="C9" s="366">
        <v>12</v>
      </c>
      <c r="D9" s="366">
        <v>0</v>
      </c>
      <c r="E9" s="366">
        <v>0</v>
      </c>
      <c r="G9" s="367">
        <v>9</v>
      </c>
      <c r="H9" s="367">
        <v>0</v>
      </c>
      <c r="I9" s="368">
        <v>0</v>
      </c>
    </row>
    <row r="10" spans="1:13" ht="18.75" thickBot="1" x14ac:dyDescent="0.25">
      <c r="A10" s="522"/>
      <c r="B10" s="370" t="s">
        <v>981</v>
      </c>
      <c r="C10" s="371">
        <f>SUM(C4:C9)</f>
        <v>3464</v>
      </c>
      <c r="D10" s="371">
        <f>SUM(D4:D9)</f>
        <v>3639</v>
      </c>
      <c r="E10" s="371">
        <f>SUM(E4:E9)</f>
        <v>204</v>
      </c>
      <c r="G10" s="372">
        <f>SUM(G4:G9)</f>
        <v>3221</v>
      </c>
      <c r="H10" s="372">
        <f>SUM(H4:H9)</f>
        <v>3353</v>
      </c>
      <c r="I10" s="373">
        <f>SUM(I4:I9)</f>
        <v>154</v>
      </c>
      <c r="K10" s="374"/>
    </row>
    <row r="11" spans="1:13" ht="18" x14ac:dyDescent="0.2">
      <c r="A11" s="500" t="s">
        <v>982</v>
      </c>
      <c r="B11" s="361" t="s">
        <v>983</v>
      </c>
      <c r="C11" s="375">
        <v>0</v>
      </c>
      <c r="D11" s="375">
        <v>0</v>
      </c>
      <c r="E11" s="375">
        <v>0</v>
      </c>
      <c r="G11" s="376">
        <v>0</v>
      </c>
      <c r="H11" s="376">
        <v>0</v>
      </c>
      <c r="I11" s="377">
        <f>H11-G11</f>
        <v>0</v>
      </c>
      <c r="K11" s="374"/>
      <c r="M11" s="374"/>
    </row>
    <row r="12" spans="1:13" ht="18" x14ac:dyDescent="0.2">
      <c r="A12" s="501"/>
      <c r="B12" s="369" t="s">
        <v>984</v>
      </c>
      <c r="C12" s="362">
        <v>1899</v>
      </c>
      <c r="D12" s="507">
        <f>4553-100</f>
        <v>4453</v>
      </c>
      <c r="E12" s="509">
        <f>D12-C12-C13</f>
        <v>-49</v>
      </c>
      <c r="G12" s="363">
        <v>1899</v>
      </c>
      <c r="H12" s="511">
        <v>4319</v>
      </c>
      <c r="I12" s="509">
        <f>H12-G12-G13</f>
        <v>-68</v>
      </c>
    </row>
    <row r="13" spans="1:13" ht="18" x14ac:dyDescent="0.2">
      <c r="A13" s="501"/>
      <c r="B13" s="369" t="s">
        <v>341</v>
      </c>
      <c r="C13" s="362">
        <v>2603</v>
      </c>
      <c r="D13" s="508"/>
      <c r="E13" s="510"/>
      <c r="G13" s="363">
        <v>2488</v>
      </c>
      <c r="H13" s="512"/>
      <c r="I13" s="510"/>
    </row>
    <row r="14" spans="1:13" ht="18" x14ac:dyDescent="0.2">
      <c r="A14" s="501"/>
      <c r="B14" s="369" t="s">
        <v>866</v>
      </c>
      <c r="C14" s="362">
        <v>2463</v>
      </c>
      <c r="D14" s="362">
        <v>2800</v>
      </c>
      <c r="E14" s="362">
        <f>D14-C14</f>
        <v>337</v>
      </c>
      <c r="G14" s="363">
        <v>2198</v>
      </c>
      <c r="H14" s="363">
        <v>2515</v>
      </c>
      <c r="I14" s="362">
        <f>H14-G14</f>
        <v>317</v>
      </c>
      <c r="K14" s="374"/>
    </row>
    <row r="15" spans="1:13" ht="18" x14ac:dyDescent="0.2">
      <c r="A15" s="501"/>
      <c r="B15" s="369" t="s">
        <v>985</v>
      </c>
      <c r="C15" s="362">
        <v>484</v>
      </c>
      <c r="D15" s="362">
        <v>520</v>
      </c>
      <c r="E15" s="362">
        <f>D15-C15</f>
        <v>36</v>
      </c>
      <c r="G15" s="363">
        <v>484</v>
      </c>
      <c r="H15" s="363">
        <v>489</v>
      </c>
      <c r="I15" s="364">
        <f>H15-G15</f>
        <v>5</v>
      </c>
      <c r="K15" s="374"/>
    </row>
    <row r="16" spans="1:13" ht="26.25" thickBot="1" x14ac:dyDescent="0.25">
      <c r="A16" s="506"/>
      <c r="B16" s="370" t="s">
        <v>986</v>
      </c>
      <c r="C16" s="371">
        <f>SUM(C11:C15)</f>
        <v>7449</v>
      </c>
      <c r="D16" s="371">
        <f>SUM(D11:D15)</f>
        <v>7773</v>
      </c>
      <c r="E16" s="371">
        <f>SUM(E11:E15)</f>
        <v>324</v>
      </c>
      <c r="G16" s="372">
        <f>SUM(G11:G15)</f>
        <v>7069</v>
      </c>
      <c r="H16" s="372">
        <f>SUM(H11:H15)</f>
        <v>7323</v>
      </c>
      <c r="I16" s="373">
        <f>SUM(I11:I15)</f>
        <v>254</v>
      </c>
      <c r="K16" s="374"/>
    </row>
    <row r="17" spans="1:11" ht="18.75" thickBot="1" x14ac:dyDescent="0.25">
      <c r="A17" s="513" t="s">
        <v>987</v>
      </c>
      <c r="B17" s="514"/>
      <c r="C17" s="378">
        <f>C16+C10</f>
        <v>10913</v>
      </c>
      <c r="D17" s="378">
        <f>D16+D10</f>
        <v>11412</v>
      </c>
      <c r="E17" s="378">
        <f>E16+E10</f>
        <v>528</v>
      </c>
      <c r="G17" s="379">
        <f>G16+G10</f>
        <v>10290</v>
      </c>
      <c r="H17" s="379">
        <f>H16+H10</f>
        <v>10676</v>
      </c>
      <c r="I17" s="380">
        <f>I16+I10</f>
        <v>408</v>
      </c>
      <c r="K17" s="374"/>
    </row>
    <row r="18" spans="1:11" s="1" customFormat="1" ht="13.5" thickBot="1" x14ac:dyDescent="0.25">
      <c r="A18" s="318"/>
      <c r="B18" s="318"/>
      <c r="C18" s="381"/>
      <c r="D18" s="381"/>
      <c r="E18" s="381"/>
      <c r="G18" s="381"/>
      <c r="H18" s="381"/>
      <c r="I18" s="381"/>
      <c r="K18" s="374"/>
    </row>
    <row r="19" spans="1:11" ht="23.25" customHeight="1" x14ac:dyDescent="0.2">
      <c r="A19" s="500" t="s">
        <v>988</v>
      </c>
      <c r="B19" s="382" t="s">
        <v>622</v>
      </c>
      <c r="C19" s="376">
        <v>1240</v>
      </c>
      <c r="D19" s="383">
        <v>1212</v>
      </c>
      <c r="E19" s="375">
        <f t="shared" ref="E19:E25" si="0">D19-C19</f>
        <v>-28</v>
      </c>
      <c r="G19" s="376">
        <v>1148</v>
      </c>
      <c r="H19" s="384">
        <v>1123</v>
      </c>
      <c r="I19" s="375">
        <f t="shared" ref="I19:I25" si="1">H19-G19</f>
        <v>-25</v>
      </c>
      <c r="K19" s="374"/>
    </row>
    <row r="20" spans="1:11" ht="23.25" customHeight="1" x14ac:dyDescent="0.2">
      <c r="A20" s="501"/>
      <c r="B20" s="385" t="s">
        <v>989</v>
      </c>
      <c r="C20" s="363">
        <v>31756</v>
      </c>
      <c r="D20" s="386">
        <v>33219</v>
      </c>
      <c r="E20" s="362">
        <f t="shared" si="0"/>
        <v>1463</v>
      </c>
      <c r="G20" s="363">
        <v>28034</v>
      </c>
      <c r="H20" s="386">
        <v>28481</v>
      </c>
      <c r="I20" s="362">
        <f t="shared" si="1"/>
        <v>447</v>
      </c>
      <c r="K20" s="374"/>
    </row>
    <row r="21" spans="1:11" ht="23.25" customHeight="1" x14ac:dyDescent="0.2">
      <c r="A21" s="501"/>
      <c r="B21" s="385" t="s">
        <v>990</v>
      </c>
      <c r="C21" s="363">
        <v>3647</v>
      </c>
      <c r="D21" s="387">
        <v>3647</v>
      </c>
      <c r="E21" s="362">
        <f t="shared" si="0"/>
        <v>0</v>
      </c>
      <c r="G21" s="363">
        <v>2605</v>
      </c>
      <c r="H21" s="386">
        <v>2605</v>
      </c>
      <c r="I21" s="362">
        <f t="shared" si="1"/>
        <v>0</v>
      </c>
      <c r="J21" s="374"/>
      <c r="K21" s="374"/>
    </row>
    <row r="22" spans="1:11" ht="23.25" customHeight="1" x14ac:dyDescent="0.2">
      <c r="A22" s="501"/>
      <c r="B22" s="385" t="s">
        <v>991</v>
      </c>
      <c r="C22" s="363">
        <f>61199-C23</f>
        <v>47140</v>
      </c>
      <c r="D22" s="387">
        <v>58692</v>
      </c>
      <c r="E22" s="362">
        <f t="shared" si="0"/>
        <v>11552</v>
      </c>
      <c r="G22" s="363">
        <f>56408-G23</f>
        <v>45078</v>
      </c>
      <c r="H22" s="388">
        <v>55258</v>
      </c>
      <c r="I22" s="362">
        <f t="shared" si="1"/>
        <v>10180</v>
      </c>
      <c r="K22" s="374"/>
    </row>
    <row r="23" spans="1:11" ht="23.25" customHeight="1" x14ac:dyDescent="0.2">
      <c r="A23" s="501"/>
      <c r="B23" s="385" t="s">
        <v>194</v>
      </c>
      <c r="C23" s="363">
        <v>14059</v>
      </c>
      <c r="D23" s="387">
        <v>33101</v>
      </c>
      <c r="E23" s="362">
        <f t="shared" si="0"/>
        <v>19042</v>
      </c>
      <c r="G23" s="363">
        <v>11330</v>
      </c>
      <c r="H23" s="388">
        <v>26677</v>
      </c>
      <c r="I23" s="389">
        <f t="shared" si="1"/>
        <v>15347</v>
      </c>
      <c r="K23" s="374"/>
    </row>
    <row r="24" spans="1:11" ht="29.25" customHeight="1" thickBot="1" x14ac:dyDescent="0.25">
      <c r="A24" s="501"/>
      <c r="B24" s="390" t="s">
        <v>992</v>
      </c>
      <c r="C24" s="363">
        <v>2489</v>
      </c>
      <c r="D24" s="386">
        <v>3654</v>
      </c>
      <c r="E24" s="362">
        <f t="shared" si="0"/>
        <v>1165</v>
      </c>
      <c r="F24" s="1"/>
      <c r="G24" s="363">
        <v>2029</v>
      </c>
      <c r="H24" s="386">
        <v>2729</v>
      </c>
      <c r="I24" s="362">
        <f t="shared" si="1"/>
        <v>700</v>
      </c>
      <c r="J24" s="374"/>
      <c r="K24" s="374"/>
    </row>
    <row r="25" spans="1:11" ht="18.75" thickBot="1" x14ac:dyDescent="0.25">
      <c r="A25" s="502" t="s">
        <v>993</v>
      </c>
      <c r="B25" s="503"/>
      <c r="C25" s="372">
        <f>SUM(C19:C24)</f>
        <v>100331</v>
      </c>
      <c r="D25" s="391">
        <f>SUM(D19:D24)</f>
        <v>133525</v>
      </c>
      <c r="E25" s="371">
        <f t="shared" si="0"/>
        <v>33194</v>
      </c>
      <c r="G25" s="372">
        <f>SUM(G19:G24)</f>
        <v>90224</v>
      </c>
      <c r="H25" s="391">
        <f>SUM(H19:H24)</f>
        <v>116873</v>
      </c>
      <c r="I25" s="371">
        <f t="shared" si="1"/>
        <v>26649</v>
      </c>
      <c r="K25" s="374"/>
    </row>
    <row r="26" spans="1:11" ht="13.5" thickBot="1" x14ac:dyDescent="0.25"/>
    <row r="27" spans="1:11" ht="18.75" thickBot="1" x14ac:dyDescent="0.25">
      <c r="A27" s="504" t="s">
        <v>994</v>
      </c>
      <c r="B27" s="505"/>
      <c r="C27" s="392">
        <f>C25+C17</f>
        <v>111244</v>
      </c>
      <c r="D27" s="392">
        <f>D25+D17</f>
        <v>144937</v>
      </c>
      <c r="E27" s="393">
        <f>D27-C27</f>
        <v>33693</v>
      </c>
      <c r="G27" s="394">
        <f>G25+G17</f>
        <v>100514</v>
      </c>
      <c r="H27" s="392">
        <f>H25+H17</f>
        <v>127549</v>
      </c>
      <c r="I27" s="393">
        <f>H27-G27</f>
        <v>27035</v>
      </c>
      <c r="K27" s="374"/>
    </row>
    <row r="28" spans="1:11" ht="13.5" thickBot="1" x14ac:dyDescent="0.25"/>
    <row r="29" spans="1:11" ht="45.75" customHeight="1" thickBot="1" x14ac:dyDescent="0.25">
      <c r="A29" s="395" t="s">
        <v>982</v>
      </c>
      <c r="B29" s="396" t="s">
        <v>995</v>
      </c>
      <c r="C29" s="397">
        <v>360</v>
      </c>
      <c r="D29" s="397">
        <v>400</v>
      </c>
      <c r="E29" s="398">
        <f>D29-C29</f>
        <v>40</v>
      </c>
      <c r="G29" s="399">
        <v>356</v>
      </c>
      <c r="H29" s="397">
        <v>380</v>
      </c>
      <c r="I29" s="398">
        <f>H29-G29</f>
        <v>24</v>
      </c>
    </row>
    <row r="34" spans="2:10" x14ac:dyDescent="0.2">
      <c r="G34" s="400"/>
    </row>
    <row r="36" spans="2:10" ht="12.75" customHeight="1" x14ac:dyDescent="0.2">
      <c r="I36" s="401"/>
    </row>
    <row r="37" spans="2:10" x14ac:dyDescent="0.2">
      <c r="I37" s="401"/>
    </row>
    <row r="38" spans="2:10" x14ac:dyDescent="0.2">
      <c r="I38" s="401"/>
    </row>
    <row r="41" spans="2:10" x14ac:dyDescent="0.2">
      <c r="I41" s="401"/>
      <c r="J41" s="401"/>
    </row>
    <row r="42" spans="2:10" x14ac:dyDescent="0.2">
      <c r="B42"/>
    </row>
    <row r="44" spans="2:10" x14ac:dyDescent="0.2">
      <c r="I44" s="374"/>
    </row>
    <row r="48" spans="2:10" x14ac:dyDescent="0.2">
      <c r="I48" s="401"/>
    </row>
  </sheetData>
  <mergeCells count="17">
    <mergeCell ref="E12:E13"/>
    <mergeCell ref="H12:H13"/>
    <mergeCell ref="I12:I13"/>
    <mergeCell ref="A17:B17"/>
    <mergeCell ref="C2:E2"/>
    <mergeCell ref="G2:I2"/>
    <mergeCell ref="A3:B3"/>
    <mergeCell ref="A4:A10"/>
    <mergeCell ref="D6:D8"/>
    <mergeCell ref="E6:E8"/>
    <mergeCell ref="H6:H8"/>
    <mergeCell ref="I6:I8"/>
    <mergeCell ref="A19:A24"/>
    <mergeCell ref="A25:B25"/>
    <mergeCell ref="A27:B27"/>
    <mergeCell ref="A11:A16"/>
    <mergeCell ref="D12:D13"/>
  </mergeCells>
  <conditionalFormatting sqref="E27">
    <cfRule type="iconSet" priority="8">
      <iconSet iconSet="3Arrows">
        <cfvo type="percent" val="0"/>
        <cfvo type="percent" val="33"/>
        <cfvo type="percent" val="67"/>
      </iconSet>
    </cfRule>
  </conditionalFormatting>
  <conditionalFormatting sqref="I27">
    <cfRule type="iconSet" priority="7">
      <iconSet iconSet="3Arrows">
        <cfvo type="percent" val="0"/>
        <cfvo type="percent" val="33"/>
        <cfvo type="percent" val="67"/>
      </iconSet>
    </cfRule>
  </conditionalFormatting>
  <conditionalFormatting sqref="E4:E10">
    <cfRule type="iconSet" priority="9">
      <iconSet iconSet="3Arrows">
        <cfvo type="percent" val="0"/>
        <cfvo type="percent" val="0"/>
        <cfvo type="percent" val="0" gte="0"/>
      </iconSet>
    </cfRule>
  </conditionalFormatting>
  <conditionalFormatting sqref="E11 E15:E16">
    <cfRule type="iconSet" priority="10">
      <iconSet iconSet="3Arrows">
        <cfvo type="percent" val="0"/>
        <cfvo type="percent" val="0"/>
        <cfvo type="percent" val="0"/>
      </iconSet>
    </cfRule>
  </conditionalFormatting>
  <conditionalFormatting sqref="E17">
    <cfRule type="iconSet" priority="11">
      <iconSet iconSet="3Arrows">
        <cfvo type="percent" val="0"/>
        <cfvo type="percent" val="0"/>
        <cfvo type="percent" val="0"/>
      </iconSet>
    </cfRule>
  </conditionalFormatting>
  <conditionalFormatting sqref="E29">
    <cfRule type="iconSet" priority="12">
      <iconSet iconSet="3Arrows">
        <cfvo type="percent" val="0"/>
        <cfvo type="percent" val="0"/>
        <cfvo type="percent" val="0"/>
      </iconSet>
    </cfRule>
  </conditionalFormatting>
  <conditionalFormatting sqref="I4:I10">
    <cfRule type="iconSet" priority="13">
      <iconSet iconSet="3Arrows">
        <cfvo type="percent" val="0"/>
        <cfvo type="percent" val="0"/>
        <cfvo type="percent" val="0" gte="0"/>
      </iconSet>
    </cfRule>
  </conditionalFormatting>
  <conditionalFormatting sqref="I11 I15:I16">
    <cfRule type="iconSet" priority="14">
      <iconSet iconSet="3Arrows">
        <cfvo type="percent" val="0"/>
        <cfvo type="percent" val="0"/>
        <cfvo type="percent" val="0"/>
      </iconSet>
    </cfRule>
  </conditionalFormatting>
  <conditionalFormatting sqref="I17">
    <cfRule type="iconSet" priority="15">
      <iconSet iconSet="3Arrows">
        <cfvo type="percent" val="0"/>
        <cfvo type="percent" val="0"/>
        <cfvo type="percent" val="0"/>
      </iconSet>
    </cfRule>
  </conditionalFormatting>
  <conditionalFormatting sqref="I29">
    <cfRule type="iconSet" priority="16">
      <iconSet iconSet="3Arrows">
        <cfvo type="percent" val="0"/>
        <cfvo type="percent" val="0"/>
        <cfvo type="percent" val="0"/>
      </iconSet>
    </cfRule>
  </conditionalFormatting>
  <conditionalFormatting sqref="E12">
    <cfRule type="iconSet" priority="6">
      <iconSet iconSet="3Arrows">
        <cfvo type="percent" val="0"/>
        <cfvo type="percent" val="0" gte="0"/>
        <cfvo type="percent" val="0" gte="0"/>
      </iconSet>
    </cfRule>
  </conditionalFormatting>
  <conditionalFormatting sqref="I12">
    <cfRule type="iconSet" priority="5">
      <iconSet iconSet="3Arrows">
        <cfvo type="percent" val="0"/>
        <cfvo type="percent" val="0" gte="0"/>
        <cfvo type="percent" val="0" gte="0"/>
      </iconSet>
    </cfRule>
  </conditionalFormatting>
  <conditionalFormatting sqref="E19:E25">
    <cfRule type="iconSet" priority="4">
      <iconSet iconSet="3Arrows">
        <cfvo type="percent" val="0"/>
        <cfvo type="num" val="0"/>
        <cfvo type="num" val="0" gte="0"/>
      </iconSet>
    </cfRule>
  </conditionalFormatting>
  <conditionalFormatting sqref="I19:I25">
    <cfRule type="iconSet" priority="3">
      <iconSet iconSet="3Arrows">
        <cfvo type="percent" val="0"/>
        <cfvo type="num" val="0"/>
        <cfvo type="num" val="0" gte="0"/>
      </iconSet>
    </cfRule>
  </conditionalFormatting>
  <conditionalFormatting sqref="E14">
    <cfRule type="iconSet" priority="2">
      <iconSet iconSet="3Arrows">
        <cfvo type="percent" val="0"/>
        <cfvo type="num" val="0"/>
        <cfvo type="num" val="0" gte="0"/>
      </iconSet>
    </cfRule>
  </conditionalFormatting>
  <conditionalFormatting sqref="I14">
    <cfRule type="iconSet" priority="1">
      <iconSet iconSet="3Arrows">
        <cfvo type="percent" val="0"/>
        <cfvo type="num" val="0"/>
        <cfvo type="num" val="0" gte="0"/>
      </iconSet>
    </cfRule>
  </conditionalFormatting>
  <printOptions horizontalCentered="1" verticalCentered="1"/>
  <pageMargins left="0" right="0" top="0" bottom="0" header="0.31496062992125984" footer="0.31496062992125984"/>
  <pageSetup scale="90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3" filterMode="1"/>
  <dimension ref="B1:W801"/>
  <sheetViews>
    <sheetView workbookViewId="0">
      <pane xSplit="2" ySplit="8" topLeftCell="C9" activePane="bottomRight" state="frozen"/>
      <selection activeCell="C218" sqref="C218"/>
      <selection pane="topRight" activeCell="C218" sqref="C218"/>
      <selection pane="bottomLeft" activeCell="C218" sqref="C218"/>
      <selection pane="bottomRight" activeCell="E65" sqref="E65"/>
    </sheetView>
  </sheetViews>
  <sheetFormatPr baseColWidth="10" defaultRowHeight="12.75" x14ac:dyDescent="0.2"/>
  <cols>
    <col min="1" max="1" width="2.5703125" style="1" customWidth="1"/>
    <col min="2" max="2" width="27.85546875" style="1" customWidth="1"/>
    <col min="3" max="3" width="10.5703125" style="1" bestFit="1" customWidth="1"/>
    <col min="4" max="4" width="24.28515625" style="1" customWidth="1"/>
    <col min="5" max="5" width="12.85546875" style="1" bestFit="1" customWidth="1"/>
    <col min="6" max="6" width="10.42578125" style="1" customWidth="1"/>
    <col min="7" max="7" width="36.7109375" style="71" customWidth="1"/>
    <col min="8" max="8" width="10.85546875" style="1" customWidth="1"/>
    <col min="9" max="9" width="10.140625" style="1" customWidth="1"/>
    <col min="10" max="11" width="11.42578125" style="1"/>
    <col min="12" max="12" width="13.28515625" style="1" customWidth="1"/>
    <col min="13" max="16384" width="11.42578125" style="1"/>
  </cols>
  <sheetData>
    <row r="1" spans="2:23" ht="9.75" customHeight="1" x14ac:dyDescent="0.2"/>
    <row r="2" spans="2:23" ht="72.75" customHeight="1" x14ac:dyDescent="0.2">
      <c r="B2" s="466" t="s">
        <v>81</v>
      </c>
      <c r="C2" s="531"/>
      <c r="D2" s="531"/>
      <c r="E2" s="531"/>
      <c r="F2" s="531"/>
      <c r="G2" s="531"/>
      <c r="H2" s="531"/>
      <c r="I2" s="531"/>
      <c r="J2" s="531"/>
      <c r="K2" s="531"/>
      <c r="L2" s="31" t="s">
        <v>77</v>
      </c>
      <c r="M2" s="5"/>
      <c r="N2" s="68"/>
      <c r="O2" s="165"/>
      <c r="P2" s="165"/>
      <c r="Q2" s="165"/>
      <c r="R2" s="165"/>
      <c r="S2" s="165"/>
      <c r="T2" s="165"/>
      <c r="U2" s="165"/>
      <c r="V2" s="5"/>
      <c r="W2" s="5"/>
    </row>
    <row r="4" spans="2:23" x14ac:dyDescent="0.2">
      <c r="B4" s="527" t="s">
        <v>117</v>
      </c>
      <c r="C4" s="527"/>
      <c r="D4" s="528" t="s">
        <v>184</v>
      </c>
      <c r="E4" s="529"/>
      <c r="F4" s="529"/>
      <c r="G4" s="530"/>
      <c r="H4" s="18" t="s">
        <v>118</v>
      </c>
      <c r="I4" s="528" t="s">
        <v>835</v>
      </c>
      <c r="J4" s="529"/>
      <c r="K4" s="529"/>
      <c r="L4" s="530"/>
      <c r="M4" s="17"/>
      <c r="N4" s="17"/>
      <c r="O4" s="526"/>
      <c r="P4" s="526"/>
      <c r="Q4" s="8"/>
    </row>
    <row r="5" spans="2:23" x14ac:dyDescent="0.2">
      <c r="B5" s="527" t="s">
        <v>116</v>
      </c>
      <c r="C5" s="527"/>
      <c r="D5" s="528" t="s">
        <v>593</v>
      </c>
      <c r="E5" s="529"/>
      <c r="F5" s="529"/>
      <c r="G5" s="530"/>
      <c r="H5" s="16"/>
      <c r="I5" s="16"/>
      <c r="J5" s="16"/>
      <c r="K5" s="16"/>
      <c r="L5" s="16"/>
      <c r="M5" s="16"/>
      <c r="N5" s="16"/>
      <c r="O5" s="16"/>
      <c r="P5" s="16"/>
      <c r="Q5" s="16"/>
    </row>
    <row r="8" spans="2:23" ht="24.75" customHeight="1" x14ac:dyDescent="0.2">
      <c r="B8" s="30" t="s">
        <v>94</v>
      </c>
      <c r="C8" s="30" t="s">
        <v>123</v>
      </c>
      <c r="D8" s="30" t="s">
        <v>106</v>
      </c>
      <c r="E8" s="30" t="s">
        <v>107</v>
      </c>
      <c r="F8" s="30" t="s">
        <v>96</v>
      </c>
      <c r="G8" s="30" t="s">
        <v>108</v>
      </c>
      <c r="H8" s="30" t="s">
        <v>103</v>
      </c>
      <c r="I8" s="30" t="s">
        <v>104</v>
      </c>
      <c r="J8" s="30" t="s">
        <v>122</v>
      </c>
      <c r="K8" s="35" t="s">
        <v>121</v>
      </c>
      <c r="L8" s="30" t="s">
        <v>203</v>
      </c>
    </row>
    <row r="9" spans="2:23" ht="25.5" hidden="1" customHeight="1" x14ac:dyDescent="0.2">
      <c r="B9" s="20" t="s">
        <v>231</v>
      </c>
      <c r="C9" s="20" t="s">
        <v>124</v>
      </c>
      <c r="D9" s="20" t="s">
        <v>654</v>
      </c>
      <c r="E9" s="20">
        <v>4</v>
      </c>
      <c r="F9" s="20">
        <v>25</v>
      </c>
      <c r="G9" s="20" t="s">
        <v>320</v>
      </c>
      <c r="H9" s="48" t="s">
        <v>189</v>
      </c>
      <c r="I9" s="28" t="s">
        <v>190</v>
      </c>
      <c r="J9" s="20">
        <v>50</v>
      </c>
      <c r="K9" s="20">
        <f>J9*E9</f>
        <v>200</v>
      </c>
      <c r="L9" s="49">
        <f t="shared" ref="L9:L51" si="0">E9*F9</f>
        <v>100</v>
      </c>
    </row>
    <row r="10" spans="2:23" ht="12.75" hidden="1" customHeight="1" x14ac:dyDescent="0.2">
      <c r="B10" s="20" t="s">
        <v>456</v>
      </c>
      <c r="C10" s="20" t="s">
        <v>124</v>
      </c>
      <c r="D10" s="20" t="s">
        <v>73</v>
      </c>
      <c r="E10" s="20">
        <v>8</v>
      </c>
      <c r="F10" s="20">
        <v>80</v>
      </c>
      <c r="G10" s="49" t="s">
        <v>1002</v>
      </c>
      <c r="H10" s="48" t="s">
        <v>189</v>
      </c>
      <c r="I10" s="28" t="s">
        <v>190</v>
      </c>
      <c r="J10" s="181">
        <v>50</v>
      </c>
      <c r="K10" s="20">
        <f t="shared" ref="K10" si="1">J10*E10</f>
        <v>400</v>
      </c>
      <c r="L10" s="49">
        <f t="shared" ref="L10" si="2">E10*F10</f>
        <v>640</v>
      </c>
    </row>
    <row r="11" spans="2:23" ht="12.75" hidden="1" customHeight="1" x14ac:dyDescent="0.2">
      <c r="B11" s="20" t="s">
        <v>456</v>
      </c>
      <c r="C11" s="20" t="s">
        <v>124</v>
      </c>
      <c r="D11" s="20" t="s">
        <v>73</v>
      </c>
      <c r="E11" s="20">
        <v>13</v>
      </c>
      <c r="F11" s="20">
        <v>80</v>
      </c>
      <c r="G11" s="20" t="s">
        <v>613</v>
      </c>
      <c r="H11" s="48" t="s">
        <v>189</v>
      </c>
      <c r="I11" s="28" t="s">
        <v>190</v>
      </c>
      <c r="J11" s="181">
        <v>50</v>
      </c>
      <c r="K11" s="20">
        <f t="shared" ref="K11:K95" si="3">J11*E11</f>
        <v>650</v>
      </c>
      <c r="L11" s="49">
        <f t="shared" si="0"/>
        <v>1040</v>
      </c>
    </row>
    <row r="12" spans="2:23" ht="25.5" hidden="1" customHeight="1" x14ac:dyDescent="0.2">
      <c r="B12" s="20" t="s">
        <v>1023</v>
      </c>
      <c r="C12" s="20" t="s">
        <v>124</v>
      </c>
      <c r="D12" s="20" t="s">
        <v>73</v>
      </c>
      <c r="E12" s="20">
        <v>20</v>
      </c>
      <c r="F12" s="20">
        <v>80</v>
      </c>
      <c r="G12" s="20" t="s">
        <v>880</v>
      </c>
      <c r="H12" s="48" t="s">
        <v>189</v>
      </c>
      <c r="I12" s="28" t="s">
        <v>190</v>
      </c>
      <c r="J12" s="181">
        <v>40</v>
      </c>
      <c r="K12" s="20">
        <f t="shared" ref="K12" si="4">J12*E12</f>
        <v>800</v>
      </c>
      <c r="L12" s="49">
        <f t="shared" ref="L12" si="5">E12*F12</f>
        <v>1600</v>
      </c>
    </row>
    <row r="13" spans="2:23" ht="25.5" hidden="1" customHeight="1" x14ac:dyDescent="0.2">
      <c r="B13" s="20" t="s">
        <v>1023</v>
      </c>
      <c r="C13" s="20" t="s">
        <v>124</v>
      </c>
      <c r="D13" s="20" t="s">
        <v>73</v>
      </c>
      <c r="E13" s="20">
        <v>42</v>
      </c>
      <c r="F13" s="20">
        <v>80</v>
      </c>
      <c r="G13" s="20" t="s">
        <v>1022</v>
      </c>
      <c r="H13" s="48" t="s">
        <v>189</v>
      </c>
      <c r="I13" s="28" t="s">
        <v>190</v>
      </c>
      <c r="J13" s="181">
        <v>40</v>
      </c>
      <c r="K13" s="20">
        <f t="shared" si="3"/>
        <v>1680</v>
      </c>
      <c r="L13" s="49">
        <f t="shared" si="0"/>
        <v>3360</v>
      </c>
    </row>
    <row r="14" spans="2:23" ht="25.5" hidden="1" customHeight="1" x14ac:dyDescent="0.2">
      <c r="B14" s="20" t="s">
        <v>1001</v>
      </c>
      <c r="C14" s="20" t="s">
        <v>124</v>
      </c>
      <c r="D14" s="20" t="s">
        <v>73</v>
      </c>
      <c r="E14" s="20">
        <v>34</v>
      </c>
      <c r="F14" s="20">
        <v>80</v>
      </c>
      <c r="G14" s="20" t="s">
        <v>1000</v>
      </c>
      <c r="H14" s="48" t="s">
        <v>189</v>
      </c>
      <c r="I14" s="28" t="s">
        <v>190</v>
      </c>
      <c r="J14" s="181">
        <v>40</v>
      </c>
      <c r="K14" s="20">
        <f t="shared" ref="K14" si="6">J14*E14</f>
        <v>1360</v>
      </c>
      <c r="L14" s="49">
        <f t="shared" ref="L14" si="7">E14*F14</f>
        <v>2720</v>
      </c>
    </row>
    <row r="15" spans="2:23" ht="25.5" customHeight="1" x14ac:dyDescent="0.2">
      <c r="B15" s="20" t="s">
        <v>456</v>
      </c>
      <c r="C15" s="20" t="s">
        <v>124</v>
      </c>
      <c r="D15" s="20" t="s">
        <v>73</v>
      </c>
      <c r="E15" s="20">
        <v>13</v>
      </c>
      <c r="F15" s="20">
        <v>80</v>
      </c>
      <c r="G15" s="20" t="s">
        <v>262</v>
      </c>
      <c r="H15" s="48" t="s">
        <v>189</v>
      </c>
      <c r="I15" s="28" t="s">
        <v>190</v>
      </c>
      <c r="J15" s="181">
        <v>50</v>
      </c>
      <c r="K15" s="20">
        <f t="shared" si="3"/>
        <v>650</v>
      </c>
      <c r="L15" s="49">
        <f t="shared" si="0"/>
        <v>1040</v>
      </c>
    </row>
    <row r="16" spans="2:23" ht="25.5" hidden="1" customHeight="1" x14ac:dyDescent="0.2">
      <c r="B16" s="189" t="s">
        <v>447</v>
      </c>
      <c r="C16" s="20" t="s">
        <v>124</v>
      </c>
      <c r="D16" s="20" t="s">
        <v>73</v>
      </c>
      <c r="E16" s="20">
        <v>42</v>
      </c>
      <c r="F16" s="20">
        <v>25</v>
      </c>
      <c r="G16" s="220" t="s">
        <v>570</v>
      </c>
      <c r="H16" s="48" t="s">
        <v>189</v>
      </c>
      <c r="I16" s="28" t="s">
        <v>190</v>
      </c>
      <c r="J16" s="20">
        <v>40</v>
      </c>
      <c r="K16" s="20">
        <f t="shared" si="3"/>
        <v>1680</v>
      </c>
      <c r="L16" s="49">
        <f t="shared" ref="L16:L17" si="8">E16*F16</f>
        <v>1050</v>
      </c>
    </row>
    <row r="17" spans="2:12" ht="25.5" hidden="1" customHeight="1" x14ac:dyDescent="0.2">
      <c r="B17" s="189" t="s">
        <v>647</v>
      </c>
      <c r="C17" s="20" t="s">
        <v>124</v>
      </c>
      <c r="D17" s="20" t="s">
        <v>73</v>
      </c>
      <c r="E17" s="20">
        <v>5</v>
      </c>
      <c r="F17" s="20">
        <v>25</v>
      </c>
      <c r="G17" s="260" t="s">
        <v>763</v>
      </c>
      <c r="H17" s="48" t="s">
        <v>189</v>
      </c>
      <c r="I17" s="28" t="s">
        <v>190</v>
      </c>
      <c r="J17" s="20">
        <v>40</v>
      </c>
      <c r="K17" s="20">
        <f t="shared" si="3"/>
        <v>200</v>
      </c>
      <c r="L17" s="49">
        <f t="shared" si="8"/>
        <v>125</v>
      </c>
    </row>
    <row r="18" spans="2:12" ht="25.5" hidden="1" customHeight="1" x14ac:dyDescent="0.2">
      <c r="B18" s="189" t="s">
        <v>647</v>
      </c>
      <c r="C18" s="20" t="s">
        <v>124</v>
      </c>
      <c r="D18" s="20" t="s">
        <v>73</v>
      </c>
      <c r="E18" s="20">
        <v>14</v>
      </c>
      <c r="F18" s="20">
        <v>25</v>
      </c>
      <c r="G18" s="260" t="s">
        <v>150</v>
      </c>
      <c r="H18" s="48" t="s">
        <v>189</v>
      </c>
      <c r="I18" s="28" t="s">
        <v>190</v>
      </c>
      <c r="J18" s="20">
        <v>40</v>
      </c>
      <c r="K18" s="20">
        <f t="shared" ref="K18:K19" si="9">J18*E18</f>
        <v>560</v>
      </c>
      <c r="L18" s="49">
        <f t="shared" si="0"/>
        <v>350</v>
      </c>
    </row>
    <row r="19" spans="2:12" ht="25.5" hidden="1" customHeight="1" x14ac:dyDescent="0.2">
      <c r="B19" s="20" t="s">
        <v>1026</v>
      </c>
      <c r="C19" s="20" t="s">
        <v>124</v>
      </c>
      <c r="D19" s="20" t="s">
        <v>73</v>
      </c>
      <c r="E19" s="20">
        <v>21</v>
      </c>
      <c r="F19" s="20">
        <v>25</v>
      </c>
      <c r="G19" s="260" t="s">
        <v>1025</v>
      </c>
      <c r="H19" s="48" t="s">
        <v>189</v>
      </c>
      <c r="I19" s="28" t="s">
        <v>190</v>
      </c>
      <c r="J19" s="20">
        <v>40</v>
      </c>
      <c r="K19" s="20">
        <f t="shared" si="9"/>
        <v>840</v>
      </c>
      <c r="L19" s="49">
        <f t="shared" ref="L19" si="10">E19*F19</f>
        <v>525</v>
      </c>
    </row>
    <row r="20" spans="2:12" ht="25.5" hidden="1" customHeight="1" x14ac:dyDescent="0.2">
      <c r="B20" s="20" t="s">
        <v>27</v>
      </c>
      <c r="C20" s="20" t="s">
        <v>124</v>
      </c>
      <c r="D20" s="20" t="s">
        <v>73</v>
      </c>
      <c r="E20" s="20">
        <v>20</v>
      </c>
      <c r="F20" s="20">
        <v>25</v>
      </c>
      <c r="G20" s="260" t="s">
        <v>153</v>
      </c>
      <c r="H20" s="48" t="s">
        <v>189</v>
      </c>
      <c r="I20" s="28" t="s">
        <v>190</v>
      </c>
      <c r="J20" s="20">
        <v>40</v>
      </c>
      <c r="K20" s="20">
        <f t="shared" si="3"/>
        <v>800</v>
      </c>
      <c r="L20" s="49">
        <f t="shared" si="0"/>
        <v>500</v>
      </c>
    </row>
    <row r="21" spans="2:12" ht="25.5" hidden="1" customHeight="1" x14ac:dyDescent="0.2">
      <c r="B21" s="20" t="s">
        <v>39</v>
      </c>
      <c r="C21" s="20" t="s">
        <v>124</v>
      </c>
      <c r="D21" s="20" t="s">
        <v>73</v>
      </c>
      <c r="E21" s="20">
        <v>42</v>
      </c>
      <c r="F21" s="20">
        <v>25</v>
      </c>
      <c r="G21" s="220" t="s">
        <v>1027</v>
      </c>
      <c r="H21" s="48" t="s">
        <v>189</v>
      </c>
      <c r="I21" s="28" t="s">
        <v>190</v>
      </c>
      <c r="J21" s="20">
        <v>40</v>
      </c>
      <c r="K21" s="20">
        <f t="shared" si="3"/>
        <v>1680</v>
      </c>
      <c r="L21" s="49">
        <f t="shared" ref="L21" si="11">E21*F21</f>
        <v>1050</v>
      </c>
    </row>
    <row r="22" spans="2:12" ht="25.5" hidden="1" customHeight="1" x14ac:dyDescent="0.2">
      <c r="B22" s="20" t="s">
        <v>39</v>
      </c>
      <c r="C22" s="20" t="s">
        <v>124</v>
      </c>
      <c r="D22" s="20" t="s">
        <v>73</v>
      </c>
      <c r="E22" s="20">
        <v>5</v>
      </c>
      <c r="F22" s="20">
        <v>25</v>
      </c>
      <c r="G22" s="220" t="s">
        <v>882</v>
      </c>
      <c r="H22" s="48" t="s">
        <v>189</v>
      </c>
      <c r="I22" s="28" t="s">
        <v>190</v>
      </c>
      <c r="J22" s="20">
        <v>40</v>
      </c>
      <c r="K22" s="20">
        <f t="shared" ref="K22" si="12">J22*E22</f>
        <v>200</v>
      </c>
      <c r="L22" s="49">
        <f t="shared" si="0"/>
        <v>125</v>
      </c>
    </row>
    <row r="23" spans="2:12" ht="25.5" hidden="1" customHeight="1" x14ac:dyDescent="0.2">
      <c r="B23" s="20" t="s">
        <v>39</v>
      </c>
      <c r="C23" s="20" t="s">
        <v>124</v>
      </c>
      <c r="D23" s="20" t="s">
        <v>73</v>
      </c>
      <c r="E23" s="20">
        <v>6</v>
      </c>
      <c r="F23" s="20">
        <v>25</v>
      </c>
      <c r="G23" s="6" t="s">
        <v>242</v>
      </c>
      <c r="H23" s="48" t="s">
        <v>189</v>
      </c>
      <c r="I23" s="28" t="s">
        <v>190</v>
      </c>
      <c r="J23" s="20">
        <v>40</v>
      </c>
      <c r="K23" s="20">
        <f t="shared" si="3"/>
        <v>240</v>
      </c>
      <c r="L23" s="49">
        <f t="shared" ref="L23:L24" si="13">E23*F23</f>
        <v>150</v>
      </c>
    </row>
    <row r="24" spans="2:12" ht="25.5" hidden="1" customHeight="1" x14ac:dyDescent="0.2">
      <c r="B24" s="20" t="s">
        <v>1017</v>
      </c>
      <c r="C24" s="20" t="s">
        <v>124</v>
      </c>
      <c r="D24" s="20" t="s">
        <v>73</v>
      </c>
      <c r="E24" s="20">
        <v>8</v>
      </c>
      <c r="F24" s="20">
        <v>25</v>
      </c>
      <c r="G24" s="220" t="s">
        <v>922</v>
      </c>
      <c r="H24" s="48" t="s">
        <v>189</v>
      </c>
      <c r="I24" s="28" t="s">
        <v>190</v>
      </c>
      <c r="J24" s="20">
        <v>50</v>
      </c>
      <c r="K24" s="20">
        <f t="shared" si="3"/>
        <v>400</v>
      </c>
      <c r="L24" s="49">
        <f t="shared" si="13"/>
        <v>200</v>
      </c>
    </row>
    <row r="25" spans="2:12" ht="25.5" hidden="1" customHeight="1" x14ac:dyDescent="0.2">
      <c r="B25" s="20" t="s">
        <v>39</v>
      </c>
      <c r="C25" s="20" t="s">
        <v>124</v>
      </c>
      <c r="D25" s="20" t="s">
        <v>73</v>
      </c>
      <c r="E25" s="20">
        <v>4</v>
      </c>
      <c r="F25" s="20">
        <v>25</v>
      </c>
      <c r="G25" s="6" t="s">
        <v>244</v>
      </c>
      <c r="H25" s="48" t="s">
        <v>189</v>
      </c>
      <c r="I25" s="28" t="s">
        <v>190</v>
      </c>
      <c r="J25" s="20">
        <v>50</v>
      </c>
      <c r="K25" s="20">
        <f t="shared" ref="K25:K26" si="14">J25*E25</f>
        <v>200</v>
      </c>
      <c r="L25" s="49">
        <f t="shared" si="0"/>
        <v>100</v>
      </c>
    </row>
    <row r="26" spans="2:12" ht="25.5" hidden="1" customHeight="1" x14ac:dyDescent="0.2">
      <c r="B26" s="20" t="s">
        <v>39</v>
      </c>
      <c r="C26" s="20" t="s">
        <v>124</v>
      </c>
      <c r="D26" s="20" t="s">
        <v>73</v>
      </c>
      <c r="E26" s="20">
        <v>12</v>
      </c>
      <c r="F26" s="20">
        <v>25</v>
      </c>
      <c r="G26" s="20" t="s">
        <v>169</v>
      </c>
      <c r="H26" s="48" t="s">
        <v>189</v>
      </c>
      <c r="I26" s="28" t="s">
        <v>190</v>
      </c>
      <c r="J26" s="20">
        <v>50</v>
      </c>
      <c r="K26" s="20">
        <f t="shared" si="14"/>
        <v>600</v>
      </c>
      <c r="L26" s="49">
        <f t="shared" ref="L26" si="15">E26*F26</f>
        <v>300</v>
      </c>
    </row>
    <row r="27" spans="2:12" ht="25.5" hidden="1" customHeight="1" x14ac:dyDescent="0.2">
      <c r="B27" s="20" t="s">
        <v>39</v>
      </c>
      <c r="C27" s="20" t="s">
        <v>124</v>
      </c>
      <c r="D27" s="20" t="s">
        <v>73</v>
      </c>
      <c r="E27" s="20">
        <v>14</v>
      </c>
      <c r="F27" s="20">
        <v>25</v>
      </c>
      <c r="G27" s="20" t="s">
        <v>171</v>
      </c>
      <c r="H27" s="48" t="s">
        <v>189</v>
      </c>
      <c r="I27" s="28" t="s">
        <v>190</v>
      </c>
      <c r="J27" s="20">
        <v>50</v>
      </c>
      <c r="K27" s="20">
        <f t="shared" si="3"/>
        <v>700</v>
      </c>
      <c r="L27" s="49">
        <f t="shared" si="0"/>
        <v>350</v>
      </c>
    </row>
    <row r="28" spans="2:12" ht="25.5" hidden="1" customHeight="1" x14ac:dyDescent="0.2">
      <c r="B28" s="20" t="s">
        <v>389</v>
      </c>
      <c r="C28" s="20" t="s">
        <v>124</v>
      </c>
      <c r="D28" s="20" t="s">
        <v>73</v>
      </c>
      <c r="E28" s="20">
        <v>34</v>
      </c>
      <c r="F28" s="20">
        <v>25</v>
      </c>
      <c r="G28" s="20" t="s">
        <v>144</v>
      </c>
      <c r="H28" s="48" t="s">
        <v>189</v>
      </c>
      <c r="I28" s="28" t="s">
        <v>190</v>
      </c>
      <c r="J28" s="20">
        <v>40</v>
      </c>
      <c r="K28" s="20">
        <f t="shared" si="3"/>
        <v>1360</v>
      </c>
      <c r="L28" s="49">
        <f t="shared" si="0"/>
        <v>850</v>
      </c>
    </row>
    <row r="29" spans="2:12" ht="12.75" hidden="1" customHeight="1" x14ac:dyDescent="0.2">
      <c r="B29" s="189" t="s">
        <v>50</v>
      </c>
      <c r="C29" s="189" t="s">
        <v>124</v>
      </c>
      <c r="D29" s="70" t="s">
        <v>73</v>
      </c>
      <c r="E29" s="20">
        <v>1</v>
      </c>
      <c r="F29" s="20">
        <v>25</v>
      </c>
      <c r="G29" s="189" t="s">
        <v>149</v>
      </c>
      <c r="H29" s="48" t="s">
        <v>189</v>
      </c>
      <c r="I29" s="28" t="s">
        <v>190</v>
      </c>
      <c r="J29" s="20">
        <v>40</v>
      </c>
      <c r="K29" s="20">
        <f t="shared" si="3"/>
        <v>40</v>
      </c>
      <c r="L29" s="49">
        <f t="shared" si="0"/>
        <v>25</v>
      </c>
    </row>
    <row r="30" spans="2:12" ht="25.5" hidden="1" customHeight="1" x14ac:dyDescent="0.2">
      <c r="B30" s="20" t="s">
        <v>1018</v>
      </c>
      <c r="C30" s="20" t="s">
        <v>124</v>
      </c>
      <c r="D30" s="20" t="s">
        <v>655</v>
      </c>
      <c r="E30" s="20">
        <v>13</v>
      </c>
      <c r="F30" s="20">
        <v>25</v>
      </c>
      <c r="G30" s="258" t="s">
        <v>868</v>
      </c>
      <c r="H30" s="48" t="s">
        <v>189</v>
      </c>
      <c r="I30" s="28" t="s">
        <v>190</v>
      </c>
      <c r="J30" s="20">
        <v>50</v>
      </c>
      <c r="K30" s="20">
        <f t="shared" ref="K30" si="16">J30*E30</f>
        <v>650</v>
      </c>
      <c r="L30" s="49">
        <f>E30*F30</f>
        <v>325</v>
      </c>
    </row>
    <row r="31" spans="2:12" ht="25.5" hidden="1" customHeight="1" x14ac:dyDescent="0.2">
      <c r="B31" s="20" t="s">
        <v>231</v>
      </c>
      <c r="C31" s="20" t="s">
        <v>124</v>
      </c>
      <c r="D31" s="20" t="s">
        <v>655</v>
      </c>
      <c r="E31" s="20">
        <v>4</v>
      </c>
      <c r="F31" s="20">
        <v>25</v>
      </c>
      <c r="G31" s="20" t="s">
        <v>320</v>
      </c>
      <c r="H31" s="48" t="s">
        <v>189</v>
      </c>
      <c r="I31" s="28" t="s">
        <v>190</v>
      </c>
      <c r="J31" s="20">
        <v>50</v>
      </c>
      <c r="K31" s="20">
        <f t="shared" si="3"/>
        <v>200</v>
      </c>
      <c r="L31" s="49">
        <f>E31*F31</f>
        <v>100</v>
      </c>
    </row>
    <row r="32" spans="2:12" ht="38.25" hidden="1" customHeight="1" x14ac:dyDescent="0.2">
      <c r="B32" s="20" t="s">
        <v>53</v>
      </c>
      <c r="C32" s="20" t="s">
        <v>125</v>
      </c>
      <c r="D32" s="20" t="s">
        <v>194</v>
      </c>
      <c r="E32" s="20">
        <v>28</v>
      </c>
      <c r="F32" s="20">
        <v>80</v>
      </c>
      <c r="G32" s="344" t="s">
        <v>247</v>
      </c>
      <c r="H32" s="48" t="s">
        <v>189</v>
      </c>
      <c r="I32" s="28" t="s">
        <v>192</v>
      </c>
      <c r="J32" s="20">
        <v>60</v>
      </c>
      <c r="K32" s="20">
        <f t="shared" si="3"/>
        <v>1680</v>
      </c>
      <c r="L32" s="49">
        <f t="shared" si="0"/>
        <v>2240</v>
      </c>
    </row>
    <row r="33" spans="2:12" ht="38.25" hidden="1" customHeight="1" x14ac:dyDescent="0.2">
      <c r="B33" s="20" t="s">
        <v>53</v>
      </c>
      <c r="C33" s="20" t="s">
        <v>125</v>
      </c>
      <c r="D33" s="20" t="s">
        <v>194</v>
      </c>
      <c r="E33" s="20">
        <v>28</v>
      </c>
      <c r="F33" s="20">
        <v>80</v>
      </c>
      <c r="G33" s="344" t="s">
        <v>675</v>
      </c>
      <c r="H33" s="48" t="s">
        <v>189</v>
      </c>
      <c r="I33" s="28" t="s">
        <v>192</v>
      </c>
      <c r="J33" s="20">
        <v>60</v>
      </c>
      <c r="K33" s="20">
        <f t="shared" si="3"/>
        <v>1680</v>
      </c>
      <c r="L33" s="49">
        <f t="shared" si="0"/>
        <v>2240</v>
      </c>
    </row>
    <row r="34" spans="2:12" ht="25.5" hidden="1" customHeight="1" x14ac:dyDescent="0.2">
      <c r="B34" s="20" t="s">
        <v>53</v>
      </c>
      <c r="C34" s="20" t="s">
        <v>125</v>
      </c>
      <c r="D34" s="20" t="s">
        <v>194</v>
      </c>
      <c r="E34" s="20">
        <v>28</v>
      </c>
      <c r="F34" s="20">
        <v>80</v>
      </c>
      <c r="G34" s="344" t="s">
        <v>255</v>
      </c>
      <c r="H34" s="48" t="s">
        <v>189</v>
      </c>
      <c r="I34" s="28" t="s">
        <v>192</v>
      </c>
      <c r="J34" s="20">
        <v>60</v>
      </c>
      <c r="K34" s="20">
        <f t="shared" si="3"/>
        <v>1680</v>
      </c>
      <c r="L34" s="49">
        <f t="shared" si="0"/>
        <v>2240</v>
      </c>
    </row>
    <row r="35" spans="2:12" ht="25.5" hidden="1" customHeight="1" x14ac:dyDescent="0.2">
      <c r="B35" s="20" t="s">
        <v>53</v>
      </c>
      <c r="C35" s="20" t="s">
        <v>125</v>
      </c>
      <c r="D35" s="20" t="s">
        <v>194</v>
      </c>
      <c r="E35" s="20">
        <v>28</v>
      </c>
      <c r="F35" s="20">
        <v>80</v>
      </c>
      <c r="G35" s="344" t="s">
        <v>256</v>
      </c>
      <c r="H35" s="48" t="s">
        <v>189</v>
      </c>
      <c r="I35" s="28" t="s">
        <v>192</v>
      </c>
      <c r="J35" s="20">
        <v>60</v>
      </c>
      <c r="K35" s="20">
        <f t="shared" si="3"/>
        <v>1680</v>
      </c>
      <c r="L35" s="49">
        <f t="shared" si="0"/>
        <v>2240</v>
      </c>
    </row>
    <row r="36" spans="2:12" ht="12.75" hidden="1" customHeight="1" x14ac:dyDescent="0.2">
      <c r="B36" s="20" t="s">
        <v>53</v>
      </c>
      <c r="C36" s="20" t="s">
        <v>125</v>
      </c>
      <c r="D36" s="20" t="s">
        <v>194</v>
      </c>
      <c r="E36" s="20">
        <v>28</v>
      </c>
      <c r="F36" s="20">
        <v>80</v>
      </c>
      <c r="G36" s="344" t="s">
        <v>286</v>
      </c>
      <c r="H36" s="48" t="s">
        <v>189</v>
      </c>
      <c r="I36" s="28" t="s">
        <v>192</v>
      </c>
      <c r="J36" s="20">
        <v>60</v>
      </c>
      <c r="K36" s="20">
        <f t="shared" si="3"/>
        <v>1680</v>
      </c>
      <c r="L36" s="49">
        <f t="shared" si="0"/>
        <v>2240</v>
      </c>
    </row>
    <row r="37" spans="2:12" ht="38.25" hidden="1" customHeight="1" x14ac:dyDescent="0.2">
      <c r="B37" s="20" t="s">
        <v>53</v>
      </c>
      <c r="C37" s="20" t="s">
        <v>125</v>
      </c>
      <c r="D37" s="20" t="s">
        <v>194</v>
      </c>
      <c r="E37" s="20">
        <v>28</v>
      </c>
      <c r="F37" s="20">
        <v>80</v>
      </c>
      <c r="G37" s="345" t="s">
        <v>295</v>
      </c>
      <c r="H37" s="48" t="s">
        <v>189</v>
      </c>
      <c r="I37" s="28" t="s">
        <v>192</v>
      </c>
      <c r="J37" s="20">
        <v>60</v>
      </c>
      <c r="K37" s="20">
        <f t="shared" si="3"/>
        <v>1680</v>
      </c>
      <c r="L37" s="49">
        <f t="shared" si="0"/>
        <v>2240</v>
      </c>
    </row>
    <row r="38" spans="2:12" ht="38.25" hidden="1" customHeight="1" x14ac:dyDescent="0.2">
      <c r="B38" s="20" t="s">
        <v>53</v>
      </c>
      <c r="C38" s="20" t="s">
        <v>125</v>
      </c>
      <c r="D38" s="20" t="s">
        <v>194</v>
      </c>
      <c r="E38" s="20">
        <v>28</v>
      </c>
      <c r="F38" s="20">
        <v>80</v>
      </c>
      <c r="G38" s="345" t="s">
        <v>297</v>
      </c>
      <c r="H38" s="48" t="s">
        <v>189</v>
      </c>
      <c r="I38" s="28" t="s">
        <v>192</v>
      </c>
      <c r="J38" s="20">
        <v>60</v>
      </c>
      <c r="K38" s="20">
        <f t="shared" si="3"/>
        <v>1680</v>
      </c>
      <c r="L38" s="49">
        <f t="shared" si="0"/>
        <v>2240</v>
      </c>
    </row>
    <row r="39" spans="2:12" ht="25.5" hidden="1" customHeight="1" x14ac:dyDescent="0.2">
      <c r="B39" s="20" t="s">
        <v>53</v>
      </c>
      <c r="C39" s="20" t="s">
        <v>125</v>
      </c>
      <c r="D39" s="20" t="s">
        <v>194</v>
      </c>
      <c r="E39" s="20">
        <v>28</v>
      </c>
      <c r="F39" s="20">
        <v>80</v>
      </c>
      <c r="G39" s="344" t="s">
        <v>185</v>
      </c>
      <c r="H39" s="48" t="s">
        <v>189</v>
      </c>
      <c r="I39" s="28" t="s">
        <v>192</v>
      </c>
      <c r="J39" s="20">
        <v>60</v>
      </c>
      <c r="K39" s="20">
        <f t="shared" si="3"/>
        <v>1680</v>
      </c>
      <c r="L39" s="49">
        <f t="shared" si="0"/>
        <v>2240</v>
      </c>
    </row>
    <row r="40" spans="2:12" ht="12.75" hidden="1" customHeight="1" x14ac:dyDescent="0.2">
      <c r="B40" s="20" t="s">
        <v>53</v>
      </c>
      <c r="C40" s="20" t="s">
        <v>125</v>
      </c>
      <c r="D40" s="20" t="s">
        <v>194</v>
      </c>
      <c r="E40" s="20">
        <v>28</v>
      </c>
      <c r="F40" s="20">
        <v>80</v>
      </c>
      <c r="G40" s="344" t="s">
        <v>305</v>
      </c>
      <c r="H40" s="48" t="s">
        <v>189</v>
      </c>
      <c r="I40" s="28" t="s">
        <v>192</v>
      </c>
      <c r="J40" s="20">
        <v>60</v>
      </c>
      <c r="K40" s="20">
        <f t="shared" si="3"/>
        <v>1680</v>
      </c>
      <c r="L40" s="49">
        <f t="shared" si="0"/>
        <v>2240</v>
      </c>
    </row>
    <row r="41" spans="2:12" ht="25.5" hidden="1" customHeight="1" x14ac:dyDescent="0.2">
      <c r="B41" s="20" t="s">
        <v>53</v>
      </c>
      <c r="C41" s="20" t="s">
        <v>125</v>
      </c>
      <c r="D41" s="20" t="s">
        <v>194</v>
      </c>
      <c r="E41" s="20">
        <v>28</v>
      </c>
      <c r="F41" s="20">
        <v>80</v>
      </c>
      <c r="G41" s="344" t="s">
        <v>306</v>
      </c>
      <c r="H41" s="48" t="s">
        <v>189</v>
      </c>
      <c r="I41" s="28" t="s">
        <v>192</v>
      </c>
      <c r="J41" s="20">
        <v>60</v>
      </c>
      <c r="K41" s="20">
        <f t="shared" si="3"/>
        <v>1680</v>
      </c>
      <c r="L41" s="49">
        <f t="shared" si="0"/>
        <v>2240</v>
      </c>
    </row>
    <row r="42" spans="2:12" ht="25.5" hidden="1" customHeight="1" x14ac:dyDescent="0.2">
      <c r="B42" s="20" t="s">
        <v>53</v>
      </c>
      <c r="C42" s="20" t="s">
        <v>125</v>
      </c>
      <c r="D42" s="20" t="s">
        <v>194</v>
      </c>
      <c r="E42" s="20">
        <v>28</v>
      </c>
      <c r="F42" s="20">
        <v>80</v>
      </c>
      <c r="G42" s="344" t="s">
        <v>310</v>
      </c>
      <c r="H42" s="48" t="s">
        <v>189</v>
      </c>
      <c r="I42" s="28" t="s">
        <v>192</v>
      </c>
      <c r="J42" s="20">
        <v>60</v>
      </c>
      <c r="K42" s="20">
        <f t="shared" si="3"/>
        <v>1680</v>
      </c>
      <c r="L42" s="49">
        <f t="shared" si="0"/>
        <v>2240</v>
      </c>
    </row>
    <row r="43" spans="2:12" ht="25.5" hidden="1" customHeight="1" x14ac:dyDescent="0.2">
      <c r="B43" s="20" t="s">
        <v>53</v>
      </c>
      <c r="C43" s="20" t="s">
        <v>125</v>
      </c>
      <c r="D43" s="20" t="s">
        <v>194</v>
      </c>
      <c r="E43" s="20">
        <v>28</v>
      </c>
      <c r="F43" s="20">
        <v>80</v>
      </c>
      <c r="G43" s="344" t="s">
        <v>315</v>
      </c>
      <c r="H43" s="48" t="s">
        <v>189</v>
      </c>
      <c r="I43" s="28" t="s">
        <v>192</v>
      </c>
      <c r="J43" s="20">
        <v>60</v>
      </c>
      <c r="K43" s="20">
        <f t="shared" si="3"/>
        <v>1680</v>
      </c>
      <c r="L43" s="49">
        <f t="shared" si="0"/>
        <v>2240</v>
      </c>
    </row>
    <row r="44" spans="2:12" ht="25.5" hidden="1" customHeight="1" x14ac:dyDescent="0.2">
      <c r="B44" s="20" t="s">
        <v>53</v>
      </c>
      <c r="C44" s="20" t="s">
        <v>125</v>
      </c>
      <c r="D44" s="20" t="s">
        <v>194</v>
      </c>
      <c r="E44" s="20">
        <v>14</v>
      </c>
      <c r="F44" s="20">
        <v>80</v>
      </c>
      <c r="G44" s="344" t="s">
        <v>323</v>
      </c>
      <c r="H44" s="48" t="s">
        <v>189</v>
      </c>
      <c r="I44" s="28" t="s">
        <v>192</v>
      </c>
      <c r="J44" s="20">
        <v>60</v>
      </c>
      <c r="K44" s="20">
        <f t="shared" si="3"/>
        <v>840</v>
      </c>
      <c r="L44" s="49">
        <f t="shared" si="0"/>
        <v>1120</v>
      </c>
    </row>
    <row r="45" spans="2:12" ht="12.75" hidden="1" customHeight="1" x14ac:dyDescent="0.2">
      <c r="B45" s="20" t="s">
        <v>53</v>
      </c>
      <c r="C45" s="20" t="s">
        <v>125</v>
      </c>
      <c r="D45" s="20" t="s">
        <v>194</v>
      </c>
      <c r="E45" s="20">
        <v>28</v>
      </c>
      <c r="F45" s="20">
        <v>80</v>
      </c>
      <c r="G45" s="344" t="s">
        <v>332</v>
      </c>
      <c r="H45" s="48" t="s">
        <v>189</v>
      </c>
      <c r="I45" s="28" t="s">
        <v>192</v>
      </c>
      <c r="J45" s="20">
        <v>60</v>
      </c>
      <c r="K45" s="20">
        <f t="shared" si="3"/>
        <v>1680</v>
      </c>
      <c r="L45" s="49">
        <f t="shared" si="0"/>
        <v>2240</v>
      </c>
    </row>
    <row r="46" spans="2:12" ht="38.25" hidden="1" customHeight="1" x14ac:dyDescent="0.2">
      <c r="B46" s="20" t="s">
        <v>53</v>
      </c>
      <c r="C46" s="20" t="s">
        <v>125</v>
      </c>
      <c r="D46" s="20" t="s">
        <v>194</v>
      </c>
      <c r="E46" s="20">
        <v>28</v>
      </c>
      <c r="F46" s="20">
        <v>80</v>
      </c>
      <c r="G46" s="344" t="s">
        <v>952</v>
      </c>
      <c r="H46" s="48" t="s">
        <v>189</v>
      </c>
      <c r="I46" s="28" t="s">
        <v>192</v>
      </c>
      <c r="J46" s="20">
        <v>60</v>
      </c>
      <c r="K46" s="20">
        <f t="shared" ref="K46" si="17">J46*E46</f>
        <v>1680</v>
      </c>
      <c r="L46" s="49">
        <f t="shared" si="0"/>
        <v>2240</v>
      </c>
    </row>
    <row r="47" spans="2:12" ht="38.25" hidden="1" customHeight="1" x14ac:dyDescent="0.2">
      <c r="B47" s="20" t="s">
        <v>53</v>
      </c>
      <c r="C47" s="20" t="s">
        <v>125</v>
      </c>
      <c r="D47" s="20" t="s">
        <v>194</v>
      </c>
      <c r="E47" s="20">
        <v>14</v>
      </c>
      <c r="F47" s="20">
        <v>80</v>
      </c>
      <c r="G47" s="344" t="s">
        <v>951</v>
      </c>
      <c r="H47" s="48" t="s">
        <v>189</v>
      </c>
      <c r="I47" s="28" t="s">
        <v>192</v>
      </c>
      <c r="J47" s="20">
        <v>60</v>
      </c>
      <c r="K47" s="20">
        <f t="shared" si="3"/>
        <v>840</v>
      </c>
      <c r="L47" s="49">
        <f t="shared" si="0"/>
        <v>1120</v>
      </c>
    </row>
    <row r="48" spans="2:12" ht="36.75" hidden="1" customHeight="1" x14ac:dyDescent="0.2">
      <c r="B48" s="20" t="s">
        <v>55</v>
      </c>
      <c r="C48" s="20" t="s">
        <v>124</v>
      </c>
      <c r="D48" s="20" t="s">
        <v>2</v>
      </c>
      <c r="E48" s="20">
        <v>4</v>
      </c>
      <c r="F48" s="20">
        <v>33</v>
      </c>
      <c r="G48" s="20" t="s">
        <v>195</v>
      </c>
      <c r="H48" s="48" t="s">
        <v>189</v>
      </c>
      <c r="I48" s="28" t="s">
        <v>190</v>
      </c>
      <c r="J48" s="20">
        <v>40</v>
      </c>
      <c r="K48" s="20">
        <f t="shared" si="3"/>
        <v>160</v>
      </c>
      <c r="L48" s="49">
        <f t="shared" si="0"/>
        <v>132</v>
      </c>
    </row>
    <row r="49" spans="2:12" ht="36.75" hidden="1" customHeight="1" x14ac:dyDescent="0.2">
      <c r="B49" s="20" t="s">
        <v>10</v>
      </c>
      <c r="C49" s="20" t="s">
        <v>124</v>
      </c>
      <c r="D49" s="20" t="s">
        <v>2</v>
      </c>
      <c r="E49" s="20">
        <v>10</v>
      </c>
      <c r="F49" s="20">
        <v>33</v>
      </c>
      <c r="G49" s="20" t="s">
        <v>195</v>
      </c>
      <c r="H49" s="48" t="s">
        <v>189</v>
      </c>
      <c r="I49" s="28" t="s">
        <v>190</v>
      </c>
      <c r="J49" s="20">
        <v>40</v>
      </c>
      <c r="K49" s="20">
        <f t="shared" si="3"/>
        <v>400</v>
      </c>
      <c r="L49" s="49">
        <f t="shared" si="0"/>
        <v>330</v>
      </c>
    </row>
    <row r="50" spans="2:12" ht="26.25" hidden="1" customHeight="1" x14ac:dyDescent="0.2">
      <c r="B50" s="20" t="s">
        <v>39</v>
      </c>
      <c r="C50" s="20" t="s">
        <v>124</v>
      </c>
      <c r="D50" s="20" t="s">
        <v>2</v>
      </c>
      <c r="E50" s="20">
        <v>5</v>
      </c>
      <c r="F50" s="20">
        <v>33</v>
      </c>
      <c r="G50" s="20" t="s">
        <v>243</v>
      </c>
      <c r="H50" s="48" t="s">
        <v>189</v>
      </c>
      <c r="I50" s="28" t="s">
        <v>190</v>
      </c>
      <c r="J50" s="20">
        <v>40</v>
      </c>
      <c r="K50" s="20">
        <f t="shared" si="3"/>
        <v>200</v>
      </c>
      <c r="L50" s="49">
        <f t="shared" si="0"/>
        <v>165</v>
      </c>
    </row>
    <row r="51" spans="2:12" ht="26.25" hidden="1" customHeight="1" x14ac:dyDescent="0.2">
      <c r="B51" s="66" t="s">
        <v>51</v>
      </c>
      <c r="C51" s="20" t="s">
        <v>124</v>
      </c>
      <c r="D51" s="20" t="s">
        <v>2</v>
      </c>
      <c r="E51" s="20">
        <v>5</v>
      </c>
      <c r="F51" s="20">
        <v>33</v>
      </c>
      <c r="G51" s="20" t="s">
        <v>243</v>
      </c>
      <c r="H51" s="48" t="s">
        <v>189</v>
      </c>
      <c r="I51" s="28" t="s">
        <v>190</v>
      </c>
      <c r="J51" s="20">
        <v>40</v>
      </c>
      <c r="K51" s="20">
        <f t="shared" si="3"/>
        <v>200</v>
      </c>
      <c r="L51" s="49">
        <f t="shared" si="0"/>
        <v>165</v>
      </c>
    </row>
    <row r="52" spans="2:12" ht="26.25" hidden="1" customHeight="1" x14ac:dyDescent="0.2">
      <c r="B52" s="66" t="s">
        <v>52</v>
      </c>
      <c r="C52" s="20" t="s">
        <v>124</v>
      </c>
      <c r="D52" s="20" t="s">
        <v>2</v>
      </c>
      <c r="E52" s="20">
        <v>5</v>
      </c>
      <c r="F52" s="20">
        <v>33</v>
      </c>
      <c r="G52" s="20" t="s">
        <v>243</v>
      </c>
      <c r="H52" s="48" t="s">
        <v>189</v>
      </c>
      <c r="I52" s="28" t="s">
        <v>190</v>
      </c>
      <c r="J52" s="20">
        <v>40</v>
      </c>
      <c r="K52" s="20">
        <f t="shared" si="3"/>
        <v>200</v>
      </c>
      <c r="L52" s="49">
        <f t="shared" ref="L52:L95" si="18">E52*F52</f>
        <v>165</v>
      </c>
    </row>
    <row r="53" spans="2:12" ht="26.25" hidden="1" customHeight="1" x14ac:dyDescent="0.2">
      <c r="B53" s="66" t="s">
        <v>207</v>
      </c>
      <c r="C53" s="20" t="s">
        <v>124</v>
      </c>
      <c r="D53" s="20" t="s">
        <v>3</v>
      </c>
      <c r="E53" s="20">
        <v>14</v>
      </c>
      <c r="F53" s="20">
        <v>33</v>
      </c>
      <c r="G53" s="26" t="s">
        <v>148</v>
      </c>
      <c r="H53" s="48" t="s">
        <v>189</v>
      </c>
      <c r="I53" s="28" t="s">
        <v>190</v>
      </c>
      <c r="J53" s="20">
        <v>40</v>
      </c>
      <c r="K53" s="20">
        <f t="shared" ref="K53" si="19">J53*E53</f>
        <v>560</v>
      </c>
      <c r="L53" s="49">
        <f t="shared" ref="L53" si="20">E53*F53</f>
        <v>462</v>
      </c>
    </row>
    <row r="54" spans="2:12" ht="26.25" hidden="1" customHeight="1" x14ac:dyDescent="0.2">
      <c r="B54" s="66" t="s">
        <v>207</v>
      </c>
      <c r="C54" s="20" t="s">
        <v>124</v>
      </c>
      <c r="D54" s="20" t="s">
        <v>2</v>
      </c>
      <c r="E54" s="20">
        <v>3</v>
      </c>
      <c r="F54" s="20">
        <v>33</v>
      </c>
      <c r="G54" s="260" t="s">
        <v>147</v>
      </c>
      <c r="H54" s="48" t="s">
        <v>189</v>
      </c>
      <c r="I54" s="28" t="s">
        <v>190</v>
      </c>
      <c r="J54" s="20">
        <v>40</v>
      </c>
      <c r="K54" s="20">
        <f t="shared" si="3"/>
        <v>120</v>
      </c>
      <c r="L54" s="49">
        <f t="shared" si="18"/>
        <v>99</v>
      </c>
    </row>
    <row r="55" spans="2:12" ht="26.25" hidden="1" customHeight="1" x14ac:dyDescent="0.2">
      <c r="B55" s="20" t="s">
        <v>1</v>
      </c>
      <c r="C55" s="20" t="s">
        <v>124</v>
      </c>
      <c r="D55" s="20" t="s">
        <v>2</v>
      </c>
      <c r="E55" s="20">
        <v>6</v>
      </c>
      <c r="F55" s="20">
        <v>33</v>
      </c>
      <c r="G55" s="20" t="s">
        <v>261</v>
      </c>
      <c r="H55" s="48" t="s">
        <v>189</v>
      </c>
      <c r="I55" s="28" t="s">
        <v>190</v>
      </c>
      <c r="J55" s="20">
        <v>40</v>
      </c>
      <c r="K55" s="20">
        <f t="shared" si="3"/>
        <v>240</v>
      </c>
      <c r="L55" s="49">
        <f t="shared" si="18"/>
        <v>198</v>
      </c>
    </row>
    <row r="56" spans="2:12" ht="26.25" hidden="1" customHeight="1" x14ac:dyDescent="0.2">
      <c r="B56" s="20" t="s">
        <v>60</v>
      </c>
      <c r="C56" s="20" t="s">
        <v>124</v>
      </c>
      <c r="D56" s="20" t="s">
        <v>2</v>
      </c>
      <c r="E56" s="20">
        <v>7</v>
      </c>
      <c r="F56" s="20">
        <v>33</v>
      </c>
      <c r="G56" s="20" t="s">
        <v>266</v>
      </c>
      <c r="H56" s="48" t="s">
        <v>189</v>
      </c>
      <c r="I56" s="28" t="s">
        <v>190</v>
      </c>
      <c r="J56" s="20">
        <v>40</v>
      </c>
      <c r="K56" s="20">
        <f t="shared" si="3"/>
        <v>280</v>
      </c>
      <c r="L56" s="49">
        <f t="shared" si="18"/>
        <v>231</v>
      </c>
    </row>
    <row r="57" spans="2:12" ht="26.25" hidden="1" customHeight="1" x14ac:dyDescent="0.2">
      <c r="B57" s="20" t="s">
        <v>34</v>
      </c>
      <c r="C57" s="20" t="s">
        <v>124</v>
      </c>
      <c r="D57" s="20" t="s">
        <v>2</v>
      </c>
      <c r="E57" s="20">
        <v>7</v>
      </c>
      <c r="F57" s="20">
        <v>33</v>
      </c>
      <c r="G57" s="20" t="s">
        <v>266</v>
      </c>
      <c r="H57" s="48" t="s">
        <v>189</v>
      </c>
      <c r="I57" s="28" t="s">
        <v>190</v>
      </c>
      <c r="J57" s="20">
        <v>40</v>
      </c>
      <c r="K57" s="20">
        <f t="shared" si="3"/>
        <v>280</v>
      </c>
      <c r="L57" s="49">
        <f t="shared" si="18"/>
        <v>231</v>
      </c>
    </row>
    <row r="58" spans="2:12" ht="38.25" hidden="1" customHeight="1" x14ac:dyDescent="0.2">
      <c r="B58" s="66" t="s">
        <v>61</v>
      </c>
      <c r="C58" s="20" t="s">
        <v>124</v>
      </c>
      <c r="D58" s="20" t="s">
        <v>2</v>
      </c>
      <c r="E58" s="20">
        <v>24</v>
      </c>
      <c r="F58" s="20">
        <v>33</v>
      </c>
      <c r="G58" s="66" t="s">
        <v>271</v>
      </c>
      <c r="H58" s="48" t="s">
        <v>189</v>
      </c>
      <c r="I58" s="28" t="s">
        <v>190</v>
      </c>
      <c r="J58" s="20">
        <v>40</v>
      </c>
      <c r="K58" s="20">
        <f t="shared" si="3"/>
        <v>960</v>
      </c>
      <c r="L58" s="49">
        <f t="shared" si="18"/>
        <v>792</v>
      </c>
    </row>
    <row r="59" spans="2:12" ht="40.5" hidden="1" customHeight="1" x14ac:dyDescent="0.2">
      <c r="B59" s="20" t="s">
        <v>13</v>
      </c>
      <c r="C59" s="189" t="s">
        <v>124</v>
      </c>
      <c r="D59" s="20" t="s">
        <v>2</v>
      </c>
      <c r="E59" s="20">
        <v>5</v>
      </c>
      <c r="F59" s="20">
        <v>25</v>
      </c>
      <c r="G59" s="20" t="s">
        <v>146</v>
      </c>
      <c r="H59" s="48" t="s">
        <v>189</v>
      </c>
      <c r="I59" s="28" t="s">
        <v>190</v>
      </c>
      <c r="J59" s="20">
        <v>60</v>
      </c>
      <c r="K59" s="20">
        <f t="shared" ref="K59" si="21">J59*E59</f>
        <v>300</v>
      </c>
      <c r="L59" s="49">
        <f t="shared" ref="L59" si="22">E59*F59</f>
        <v>125</v>
      </c>
    </row>
    <row r="60" spans="2:12" ht="40.5" hidden="1" customHeight="1" x14ac:dyDescent="0.2">
      <c r="B60" s="20" t="s">
        <v>13</v>
      </c>
      <c r="C60" s="189" t="s">
        <v>124</v>
      </c>
      <c r="D60" s="20" t="s">
        <v>2</v>
      </c>
      <c r="E60" s="20">
        <v>7</v>
      </c>
      <c r="F60" s="20">
        <v>25</v>
      </c>
      <c r="G60" s="20" t="s">
        <v>681</v>
      </c>
      <c r="H60" s="48" t="s">
        <v>189</v>
      </c>
      <c r="I60" s="28" t="s">
        <v>190</v>
      </c>
      <c r="J60" s="20">
        <v>60</v>
      </c>
      <c r="K60" s="20">
        <f t="shared" si="3"/>
        <v>420</v>
      </c>
      <c r="L60" s="49">
        <f t="shared" si="18"/>
        <v>175</v>
      </c>
    </row>
    <row r="61" spans="2:12" ht="31.5" hidden="1" customHeight="1" x14ac:dyDescent="0.2">
      <c r="B61" s="20" t="s">
        <v>13</v>
      </c>
      <c r="C61" s="189" t="s">
        <v>124</v>
      </c>
      <c r="D61" s="20" t="s">
        <v>2</v>
      </c>
      <c r="E61" s="20">
        <v>6</v>
      </c>
      <c r="F61" s="20">
        <v>25</v>
      </c>
      <c r="G61" s="20" t="s">
        <v>272</v>
      </c>
      <c r="H61" s="48" t="s">
        <v>189</v>
      </c>
      <c r="I61" s="28" t="s">
        <v>190</v>
      </c>
      <c r="J61" s="20">
        <v>60</v>
      </c>
      <c r="K61" s="20">
        <f t="shared" si="3"/>
        <v>360</v>
      </c>
      <c r="L61" s="49">
        <f t="shared" si="18"/>
        <v>150</v>
      </c>
    </row>
    <row r="62" spans="2:12" ht="35.25" customHeight="1" x14ac:dyDescent="0.2">
      <c r="B62" s="20" t="s">
        <v>24</v>
      </c>
      <c r="C62" s="20" t="s">
        <v>124</v>
      </c>
      <c r="D62" s="20" t="s">
        <v>3</v>
      </c>
      <c r="E62" s="20">
        <v>3</v>
      </c>
      <c r="F62" s="20">
        <v>30</v>
      </c>
      <c r="G62" s="20" t="s">
        <v>267</v>
      </c>
      <c r="H62" s="48" t="s">
        <v>189</v>
      </c>
      <c r="I62" s="28" t="s">
        <v>190</v>
      </c>
      <c r="J62" s="20">
        <v>40</v>
      </c>
      <c r="K62" s="20">
        <f t="shared" si="3"/>
        <v>120</v>
      </c>
      <c r="L62" s="49">
        <f t="shared" si="18"/>
        <v>90</v>
      </c>
    </row>
    <row r="63" spans="2:12" ht="35.25" hidden="1" customHeight="1" x14ac:dyDescent="0.2">
      <c r="B63" s="20" t="s">
        <v>24</v>
      </c>
      <c r="C63" s="20" t="s">
        <v>124</v>
      </c>
      <c r="D63" s="20" t="s">
        <v>3</v>
      </c>
      <c r="E63" s="20">
        <v>23</v>
      </c>
      <c r="F63" s="20">
        <v>30</v>
      </c>
      <c r="G63" s="20" t="s">
        <v>404</v>
      </c>
      <c r="H63" s="48" t="s">
        <v>189</v>
      </c>
      <c r="I63" s="28" t="s">
        <v>190</v>
      </c>
      <c r="J63" s="20">
        <v>40</v>
      </c>
      <c r="K63" s="20">
        <f t="shared" ref="K63" si="23">J63*E63</f>
        <v>920</v>
      </c>
      <c r="L63" s="49">
        <f t="shared" ref="L63" si="24">E63*F63</f>
        <v>690</v>
      </c>
    </row>
    <row r="64" spans="2:12" ht="35.25" hidden="1" customHeight="1" x14ac:dyDescent="0.2">
      <c r="B64" s="20" t="s">
        <v>392</v>
      </c>
      <c r="C64" s="20" t="s">
        <v>124</v>
      </c>
      <c r="D64" s="20" t="s">
        <v>3</v>
      </c>
      <c r="E64" s="20">
        <v>40</v>
      </c>
      <c r="F64" s="20">
        <v>30</v>
      </c>
      <c r="G64" s="20" t="s">
        <v>814</v>
      </c>
      <c r="H64" s="48" t="s">
        <v>189</v>
      </c>
      <c r="I64" s="28" t="s">
        <v>190</v>
      </c>
      <c r="J64" s="20">
        <v>40</v>
      </c>
      <c r="K64" s="20">
        <f t="shared" si="3"/>
        <v>1600</v>
      </c>
      <c r="L64" s="49">
        <f t="shared" si="18"/>
        <v>1200</v>
      </c>
    </row>
    <row r="65" spans="2:12" ht="26.25" customHeight="1" x14ac:dyDescent="0.2">
      <c r="B65" s="20" t="s">
        <v>24</v>
      </c>
      <c r="C65" s="20" t="s">
        <v>124</v>
      </c>
      <c r="D65" s="20" t="s">
        <v>2</v>
      </c>
      <c r="E65" s="20">
        <v>29</v>
      </c>
      <c r="F65" s="20">
        <v>30</v>
      </c>
      <c r="G65" s="20" t="s">
        <v>158</v>
      </c>
      <c r="H65" s="48" t="s">
        <v>189</v>
      </c>
      <c r="I65" s="28" t="s">
        <v>190</v>
      </c>
      <c r="J65" s="20">
        <v>40</v>
      </c>
      <c r="K65" s="20">
        <f t="shared" si="3"/>
        <v>1160</v>
      </c>
      <c r="L65" s="49">
        <f t="shared" si="18"/>
        <v>870</v>
      </c>
    </row>
    <row r="66" spans="2:12" ht="26.25" hidden="1" customHeight="1" x14ac:dyDescent="0.2">
      <c r="B66" s="20" t="s">
        <v>30</v>
      </c>
      <c r="C66" s="20" t="s">
        <v>124</v>
      </c>
      <c r="D66" s="189" t="s">
        <v>2</v>
      </c>
      <c r="E66" s="20">
        <v>2</v>
      </c>
      <c r="F66" s="20">
        <v>33</v>
      </c>
      <c r="G66" s="67" t="s">
        <v>143</v>
      </c>
      <c r="H66" s="48" t="s">
        <v>189</v>
      </c>
      <c r="I66" s="28" t="s">
        <v>190</v>
      </c>
      <c r="J66" s="20">
        <v>40</v>
      </c>
      <c r="K66" s="20">
        <f t="shared" si="3"/>
        <v>80</v>
      </c>
      <c r="L66" s="49">
        <f t="shared" si="18"/>
        <v>66</v>
      </c>
    </row>
    <row r="67" spans="2:12" ht="36.75" hidden="1" customHeight="1" x14ac:dyDescent="0.2">
      <c r="B67" s="20" t="s">
        <v>1014</v>
      </c>
      <c r="C67" s="20" t="s">
        <v>124</v>
      </c>
      <c r="D67" s="189" t="s">
        <v>3</v>
      </c>
      <c r="E67" s="20">
        <v>26</v>
      </c>
      <c r="F67" s="20">
        <v>33</v>
      </c>
      <c r="G67" s="263" t="s">
        <v>166</v>
      </c>
      <c r="H67" s="48" t="s">
        <v>189</v>
      </c>
      <c r="I67" s="28" t="s">
        <v>190</v>
      </c>
      <c r="J67" s="20">
        <v>40</v>
      </c>
      <c r="K67" s="20">
        <f t="shared" ref="K67:K68" si="25">J67*E67</f>
        <v>1040</v>
      </c>
      <c r="L67" s="49">
        <f t="shared" ref="L67:L68" si="26">E67*F67</f>
        <v>858</v>
      </c>
    </row>
    <row r="68" spans="2:12" ht="36.75" hidden="1" customHeight="1" x14ac:dyDescent="0.2">
      <c r="B68" s="20" t="s">
        <v>231</v>
      </c>
      <c r="C68" s="20" t="s">
        <v>124</v>
      </c>
      <c r="D68" s="189" t="s">
        <v>3</v>
      </c>
      <c r="E68" s="20">
        <v>9</v>
      </c>
      <c r="F68" s="20">
        <v>33</v>
      </c>
      <c r="G68" s="263" t="s">
        <v>318</v>
      </c>
      <c r="H68" s="48" t="s">
        <v>189</v>
      </c>
      <c r="I68" s="28" t="s">
        <v>190</v>
      </c>
      <c r="J68" s="20">
        <v>40</v>
      </c>
      <c r="K68" s="20">
        <f t="shared" si="25"/>
        <v>360</v>
      </c>
      <c r="L68" s="49">
        <f t="shared" si="26"/>
        <v>297</v>
      </c>
    </row>
    <row r="69" spans="2:12" ht="36.75" hidden="1" customHeight="1" x14ac:dyDescent="0.2">
      <c r="B69" s="20" t="s">
        <v>231</v>
      </c>
      <c r="C69" s="20" t="s">
        <v>124</v>
      </c>
      <c r="D69" s="189" t="s">
        <v>2</v>
      </c>
      <c r="E69" s="20">
        <v>14</v>
      </c>
      <c r="F69" s="20">
        <v>33</v>
      </c>
      <c r="G69" s="263" t="s">
        <v>318</v>
      </c>
      <c r="H69" s="48" t="s">
        <v>189</v>
      </c>
      <c r="I69" s="28" t="s">
        <v>190</v>
      </c>
      <c r="J69" s="20">
        <v>40</v>
      </c>
      <c r="K69" s="20">
        <f t="shared" si="3"/>
        <v>560</v>
      </c>
      <c r="L69" s="49">
        <f t="shared" si="18"/>
        <v>462</v>
      </c>
    </row>
    <row r="70" spans="2:12" ht="27.75" hidden="1" customHeight="1" x14ac:dyDescent="0.2">
      <c r="B70" s="20" t="s">
        <v>395</v>
      </c>
      <c r="C70" s="20" t="s">
        <v>124</v>
      </c>
      <c r="D70" s="189" t="s">
        <v>70</v>
      </c>
      <c r="E70" s="20">
        <v>13</v>
      </c>
      <c r="F70" s="20">
        <v>25</v>
      </c>
      <c r="G70" s="20" t="s">
        <v>673</v>
      </c>
      <c r="H70" s="48" t="s">
        <v>189</v>
      </c>
      <c r="I70" s="28" t="s">
        <v>190</v>
      </c>
      <c r="J70" s="20">
        <v>40</v>
      </c>
      <c r="K70" s="20">
        <f t="shared" ref="K70:K72" si="27">J70*E70</f>
        <v>520</v>
      </c>
      <c r="L70" s="49">
        <f t="shared" ref="L70:L72" si="28">E70*F70</f>
        <v>325</v>
      </c>
    </row>
    <row r="71" spans="2:12" ht="27.75" hidden="1" customHeight="1" x14ac:dyDescent="0.2">
      <c r="B71" s="20" t="s">
        <v>395</v>
      </c>
      <c r="C71" s="20" t="s">
        <v>124</v>
      </c>
      <c r="D71" s="189" t="s">
        <v>70</v>
      </c>
      <c r="E71" s="20">
        <v>29</v>
      </c>
      <c r="F71" s="20">
        <v>25</v>
      </c>
      <c r="G71" s="20" t="s">
        <v>858</v>
      </c>
      <c r="H71" s="48" t="s">
        <v>189</v>
      </c>
      <c r="I71" s="28" t="s">
        <v>190</v>
      </c>
      <c r="J71" s="20">
        <v>40</v>
      </c>
      <c r="K71" s="20">
        <f t="shared" ref="K71" si="29">J71*E71</f>
        <v>1160</v>
      </c>
      <c r="L71" s="49">
        <f t="shared" ref="L71" si="30">E71*F71</f>
        <v>725</v>
      </c>
    </row>
    <row r="72" spans="2:12" ht="27.75" hidden="1" customHeight="1" x14ac:dyDescent="0.2">
      <c r="B72" s="20" t="s">
        <v>395</v>
      </c>
      <c r="C72" s="20" t="s">
        <v>124</v>
      </c>
      <c r="D72" s="189" t="s">
        <v>70</v>
      </c>
      <c r="E72" s="20">
        <v>27</v>
      </c>
      <c r="F72" s="20">
        <v>25</v>
      </c>
      <c r="G72" s="20" t="s">
        <v>750</v>
      </c>
      <c r="H72" s="48" t="s">
        <v>189</v>
      </c>
      <c r="I72" s="28" t="s">
        <v>190</v>
      </c>
      <c r="J72" s="20">
        <v>40</v>
      </c>
      <c r="K72" s="20">
        <f t="shared" si="27"/>
        <v>1080</v>
      </c>
      <c r="L72" s="49">
        <f t="shared" si="28"/>
        <v>675</v>
      </c>
    </row>
    <row r="73" spans="2:12" ht="27.75" hidden="1" customHeight="1" x14ac:dyDescent="0.2">
      <c r="B73" s="20" t="s">
        <v>395</v>
      </c>
      <c r="C73" s="20" t="s">
        <v>124</v>
      </c>
      <c r="D73" s="189" t="s">
        <v>70</v>
      </c>
      <c r="E73" s="20">
        <v>14</v>
      </c>
      <c r="F73" s="20">
        <v>25</v>
      </c>
      <c r="G73" s="20" t="s">
        <v>254</v>
      </c>
      <c r="H73" s="48" t="s">
        <v>189</v>
      </c>
      <c r="I73" s="28" t="s">
        <v>190</v>
      </c>
      <c r="J73" s="20">
        <v>40</v>
      </c>
      <c r="K73" s="20">
        <f t="shared" si="3"/>
        <v>560</v>
      </c>
      <c r="L73" s="49">
        <f t="shared" si="18"/>
        <v>350</v>
      </c>
    </row>
    <row r="74" spans="2:12" ht="27.75" hidden="1" customHeight="1" x14ac:dyDescent="0.2">
      <c r="B74" s="20" t="s">
        <v>395</v>
      </c>
      <c r="C74" s="20" t="s">
        <v>124</v>
      </c>
      <c r="D74" s="189" t="s">
        <v>70</v>
      </c>
      <c r="E74" s="20">
        <v>17</v>
      </c>
      <c r="F74" s="20">
        <v>25</v>
      </c>
      <c r="G74" s="20" t="s">
        <v>257</v>
      </c>
      <c r="H74" s="48" t="s">
        <v>189</v>
      </c>
      <c r="I74" s="28" t="s">
        <v>190</v>
      </c>
      <c r="J74" s="20">
        <v>40</v>
      </c>
      <c r="K74" s="20">
        <f t="shared" si="3"/>
        <v>680</v>
      </c>
      <c r="L74" s="49">
        <f t="shared" si="18"/>
        <v>425</v>
      </c>
    </row>
    <row r="75" spans="2:12" ht="27.75" hidden="1" customHeight="1" x14ac:dyDescent="0.2">
      <c r="B75" s="20" t="s">
        <v>39</v>
      </c>
      <c r="C75" s="20" t="s">
        <v>124</v>
      </c>
      <c r="D75" s="189" t="s">
        <v>70</v>
      </c>
      <c r="E75" s="20">
        <v>14</v>
      </c>
      <c r="F75" s="20">
        <v>25</v>
      </c>
      <c r="G75" s="20" t="s">
        <v>160</v>
      </c>
      <c r="H75" s="48" t="s">
        <v>189</v>
      </c>
      <c r="I75" s="28" t="s">
        <v>190</v>
      </c>
      <c r="J75" s="20">
        <v>40</v>
      </c>
      <c r="K75" s="20">
        <f t="shared" si="3"/>
        <v>560</v>
      </c>
      <c r="L75" s="49">
        <f t="shared" si="18"/>
        <v>350</v>
      </c>
    </row>
    <row r="76" spans="2:12" ht="25.5" hidden="1" customHeight="1" x14ac:dyDescent="0.2">
      <c r="B76" s="20" t="s">
        <v>395</v>
      </c>
      <c r="C76" s="20" t="s">
        <v>124</v>
      </c>
      <c r="D76" s="189" t="s">
        <v>70</v>
      </c>
      <c r="E76" s="20">
        <v>20</v>
      </c>
      <c r="F76" s="20">
        <v>25</v>
      </c>
      <c r="G76" s="20" t="s">
        <v>282</v>
      </c>
      <c r="H76" s="48" t="s">
        <v>189</v>
      </c>
      <c r="I76" s="28" t="s">
        <v>190</v>
      </c>
      <c r="J76" s="20">
        <v>40</v>
      </c>
      <c r="K76" s="20">
        <f t="shared" si="3"/>
        <v>800</v>
      </c>
      <c r="L76" s="49">
        <f t="shared" si="18"/>
        <v>500</v>
      </c>
    </row>
    <row r="77" spans="2:12" ht="27.75" hidden="1" customHeight="1" x14ac:dyDescent="0.2">
      <c r="B77" s="20" t="s">
        <v>395</v>
      </c>
      <c r="C77" s="20" t="s">
        <v>124</v>
      </c>
      <c r="D77" s="189" t="s">
        <v>70</v>
      </c>
      <c r="E77" s="20">
        <v>11</v>
      </c>
      <c r="F77" s="20">
        <v>25</v>
      </c>
      <c r="G77" s="20" t="s">
        <v>603</v>
      </c>
      <c r="H77" s="48" t="s">
        <v>189</v>
      </c>
      <c r="I77" s="28" t="s">
        <v>190</v>
      </c>
      <c r="J77" s="20">
        <v>40</v>
      </c>
      <c r="K77" s="20">
        <f t="shared" si="3"/>
        <v>440</v>
      </c>
      <c r="L77" s="49">
        <f t="shared" si="18"/>
        <v>275</v>
      </c>
    </row>
    <row r="78" spans="2:12" ht="27.75" hidden="1" customHeight="1" x14ac:dyDescent="0.2">
      <c r="B78" s="20" t="s">
        <v>395</v>
      </c>
      <c r="C78" s="20" t="s">
        <v>124</v>
      </c>
      <c r="D78" s="189" t="s">
        <v>70</v>
      </c>
      <c r="E78" s="20">
        <v>19</v>
      </c>
      <c r="F78" s="20">
        <v>25</v>
      </c>
      <c r="G78" s="20" t="s">
        <v>602</v>
      </c>
      <c r="H78" s="48" t="s">
        <v>189</v>
      </c>
      <c r="I78" s="28" t="s">
        <v>190</v>
      </c>
      <c r="J78" s="20">
        <v>40</v>
      </c>
      <c r="K78" s="20">
        <f t="shared" si="3"/>
        <v>760</v>
      </c>
      <c r="L78" s="49">
        <f t="shared" si="18"/>
        <v>475</v>
      </c>
    </row>
    <row r="79" spans="2:12" ht="27.75" hidden="1" customHeight="1" x14ac:dyDescent="0.2">
      <c r="B79" s="20" t="s">
        <v>395</v>
      </c>
      <c r="C79" s="20" t="s">
        <v>124</v>
      </c>
      <c r="D79" s="189" t="s">
        <v>70</v>
      </c>
      <c r="E79" s="20">
        <v>13</v>
      </c>
      <c r="F79" s="20">
        <v>25</v>
      </c>
      <c r="G79" s="20" t="s">
        <v>294</v>
      </c>
      <c r="H79" s="48" t="s">
        <v>189</v>
      </c>
      <c r="I79" s="28" t="s">
        <v>190</v>
      </c>
      <c r="J79" s="20">
        <v>40</v>
      </c>
      <c r="K79" s="20">
        <f t="shared" si="3"/>
        <v>520</v>
      </c>
      <c r="L79" s="49">
        <f t="shared" si="18"/>
        <v>325</v>
      </c>
    </row>
    <row r="80" spans="2:12" ht="27.75" hidden="1" customHeight="1" x14ac:dyDescent="0.2">
      <c r="B80" s="20" t="s">
        <v>40</v>
      </c>
      <c r="C80" s="20" t="s">
        <v>124</v>
      </c>
      <c r="D80" s="189" t="s">
        <v>70</v>
      </c>
      <c r="E80" s="20">
        <v>17</v>
      </c>
      <c r="F80" s="20">
        <v>25</v>
      </c>
      <c r="G80" s="20" t="s">
        <v>172</v>
      </c>
      <c r="H80" s="48" t="s">
        <v>189</v>
      </c>
      <c r="I80" s="28" t="s">
        <v>190</v>
      </c>
      <c r="J80" s="20">
        <v>8</v>
      </c>
      <c r="K80" s="20">
        <f t="shared" si="3"/>
        <v>136</v>
      </c>
      <c r="L80" s="49">
        <f t="shared" si="18"/>
        <v>425</v>
      </c>
    </row>
    <row r="81" spans="2:12" ht="12.75" hidden="1" customHeight="1" x14ac:dyDescent="0.2">
      <c r="B81" s="189" t="s">
        <v>41</v>
      </c>
      <c r="C81" s="189" t="s">
        <v>124</v>
      </c>
      <c r="D81" s="189" t="s">
        <v>70</v>
      </c>
      <c r="E81" s="20">
        <v>24</v>
      </c>
      <c r="F81" s="20">
        <v>25</v>
      </c>
      <c r="G81" s="20" t="s">
        <v>172</v>
      </c>
      <c r="H81" s="48" t="s">
        <v>189</v>
      </c>
      <c r="I81" s="28" t="s">
        <v>190</v>
      </c>
      <c r="J81" s="20">
        <v>40</v>
      </c>
      <c r="K81" s="20">
        <f t="shared" si="3"/>
        <v>960</v>
      </c>
      <c r="L81" s="49">
        <f t="shared" si="18"/>
        <v>600</v>
      </c>
    </row>
    <row r="82" spans="2:12" ht="24" hidden="1" customHeight="1" x14ac:dyDescent="0.2">
      <c r="B82" s="20" t="s">
        <v>395</v>
      </c>
      <c r="C82" s="20" t="s">
        <v>124</v>
      </c>
      <c r="D82" s="189" t="s">
        <v>70</v>
      </c>
      <c r="E82" s="20">
        <v>12</v>
      </c>
      <c r="F82" s="20">
        <v>25</v>
      </c>
      <c r="G82" s="20" t="s">
        <v>319</v>
      </c>
      <c r="H82" s="48" t="s">
        <v>189</v>
      </c>
      <c r="I82" s="28" t="s">
        <v>190</v>
      </c>
      <c r="J82" s="20">
        <v>40</v>
      </c>
      <c r="K82" s="20">
        <f t="shared" si="3"/>
        <v>480</v>
      </c>
      <c r="L82" s="49">
        <f t="shared" si="18"/>
        <v>300</v>
      </c>
    </row>
    <row r="83" spans="2:12" ht="28.5" hidden="1" customHeight="1" x14ac:dyDescent="0.2">
      <c r="B83" s="20" t="s">
        <v>18</v>
      </c>
      <c r="C83" s="20" t="s">
        <v>124</v>
      </c>
      <c r="D83" s="20" t="s">
        <v>19</v>
      </c>
      <c r="E83" s="20">
        <v>1</v>
      </c>
      <c r="F83" s="20">
        <v>25</v>
      </c>
      <c r="G83" s="20" t="s">
        <v>157</v>
      </c>
      <c r="H83" s="48" t="s">
        <v>189</v>
      </c>
      <c r="I83" s="28" t="s">
        <v>190</v>
      </c>
      <c r="J83" s="20">
        <v>40</v>
      </c>
      <c r="K83" s="20">
        <f t="shared" si="3"/>
        <v>40</v>
      </c>
      <c r="L83" s="49">
        <f t="shared" si="18"/>
        <v>25</v>
      </c>
    </row>
    <row r="84" spans="2:12" ht="28.5" hidden="1" customHeight="1" x14ac:dyDescent="0.2">
      <c r="B84" s="20" t="s">
        <v>65</v>
      </c>
      <c r="C84" s="20" t="s">
        <v>124</v>
      </c>
      <c r="D84" s="20" t="s">
        <v>19</v>
      </c>
      <c r="E84" s="20">
        <v>2</v>
      </c>
      <c r="F84" s="20">
        <v>25</v>
      </c>
      <c r="G84" s="20" t="s">
        <v>276</v>
      </c>
      <c r="H84" s="48" t="s">
        <v>189</v>
      </c>
      <c r="I84" s="28" t="s">
        <v>66</v>
      </c>
      <c r="J84" s="20">
        <v>100</v>
      </c>
      <c r="K84" s="20">
        <f t="shared" si="3"/>
        <v>200</v>
      </c>
      <c r="L84" s="49">
        <f t="shared" si="18"/>
        <v>50</v>
      </c>
    </row>
    <row r="85" spans="2:12" ht="28.5" hidden="1" customHeight="1" x14ac:dyDescent="0.2">
      <c r="B85" s="189" t="s">
        <v>15</v>
      </c>
      <c r="C85" s="189" t="s">
        <v>124</v>
      </c>
      <c r="D85" s="20" t="s">
        <v>19</v>
      </c>
      <c r="E85" s="20">
        <v>5</v>
      </c>
      <c r="F85" s="20">
        <v>25</v>
      </c>
      <c r="G85" s="189" t="s">
        <v>176</v>
      </c>
      <c r="H85" s="48" t="s">
        <v>189</v>
      </c>
      <c r="I85" s="28" t="s">
        <v>47</v>
      </c>
      <c r="J85" s="20">
        <v>40</v>
      </c>
      <c r="K85" s="20">
        <f t="shared" si="3"/>
        <v>200</v>
      </c>
      <c r="L85" s="49">
        <f t="shared" si="18"/>
        <v>125</v>
      </c>
    </row>
    <row r="86" spans="2:12" ht="26.25" hidden="1" customHeight="1" x14ac:dyDescent="0.2">
      <c r="B86" s="20" t="s">
        <v>394</v>
      </c>
      <c r="C86" s="20" t="s">
        <v>124</v>
      </c>
      <c r="D86" s="70" t="s">
        <v>19</v>
      </c>
      <c r="E86" s="20">
        <v>6</v>
      </c>
      <c r="F86" s="20">
        <v>25</v>
      </c>
      <c r="G86" s="20" t="s">
        <v>330</v>
      </c>
      <c r="H86" s="48" t="s">
        <v>189</v>
      </c>
      <c r="I86" s="28" t="s">
        <v>190</v>
      </c>
      <c r="J86" s="20">
        <v>40</v>
      </c>
      <c r="K86" s="20">
        <f t="shared" si="3"/>
        <v>240</v>
      </c>
      <c r="L86" s="49">
        <f t="shared" si="18"/>
        <v>150</v>
      </c>
    </row>
    <row r="87" spans="2:12" ht="26.25" hidden="1" customHeight="1" x14ac:dyDescent="0.2">
      <c r="B87" s="20" t="s">
        <v>456</v>
      </c>
      <c r="C87" s="20" t="s">
        <v>125</v>
      </c>
      <c r="D87" s="20" t="s">
        <v>8</v>
      </c>
      <c r="E87" s="20">
        <v>21</v>
      </c>
      <c r="F87" s="20">
        <v>80</v>
      </c>
      <c r="G87" s="344" t="s">
        <v>1024</v>
      </c>
      <c r="H87" s="48" t="s">
        <v>189</v>
      </c>
      <c r="I87" s="28" t="s">
        <v>192</v>
      </c>
      <c r="J87" s="20">
        <v>80</v>
      </c>
      <c r="K87" s="20">
        <f t="shared" ref="K87" si="31">J87*E87</f>
        <v>1680</v>
      </c>
      <c r="L87" s="49">
        <f t="shared" ref="L87" si="32">E87*F87</f>
        <v>1680</v>
      </c>
    </row>
    <row r="88" spans="2:12" ht="26.25" hidden="1" customHeight="1" x14ac:dyDescent="0.2">
      <c r="B88" s="20" t="s">
        <v>456</v>
      </c>
      <c r="C88" s="20" t="s">
        <v>125</v>
      </c>
      <c r="D88" s="20" t="s">
        <v>8</v>
      </c>
      <c r="E88" s="20">
        <v>16</v>
      </c>
      <c r="F88" s="20">
        <v>80</v>
      </c>
      <c r="G88" s="344" t="s">
        <v>316</v>
      </c>
      <c r="H88" s="48" t="s">
        <v>189</v>
      </c>
      <c r="I88" s="28" t="s">
        <v>192</v>
      </c>
      <c r="J88" s="20">
        <v>80</v>
      </c>
      <c r="K88" s="20">
        <f t="shared" si="3"/>
        <v>1280</v>
      </c>
      <c r="L88" s="49">
        <f t="shared" si="18"/>
        <v>1280</v>
      </c>
    </row>
    <row r="89" spans="2:12" ht="23.25" hidden="1" customHeight="1" x14ac:dyDescent="0.2">
      <c r="B89" s="20" t="s">
        <v>225</v>
      </c>
      <c r="C89" s="189" t="s">
        <v>125</v>
      </c>
      <c r="D89" s="189" t="s">
        <v>8</v>
      </c>
      <c r="E89" s="20">
        <v>28</v>
      </c>
      <c r="F89" s="20">
        <v>120</v>
      </c>
      <c r="G89" s="344" t="s">
        <v>239</v>
      </c>
      <c r="H89" s="48" t="s">
        <v>189</v>
      </c>
      <c r="I89" s="28" t="s">
        <v>192</v>
      </c>
      <c r="J89" s="20">
        <v>60</v>
      </c>
      <c r="K89" s="20">
        <f t="shared" si="3"/>
        <v>1680</v>
      </c>
      <c r="L89" s="49">
        <f t="shared" si="18"/>
        <v>3360</v>
      </c>
    </row>
    <row r="90" spans="2:12" ht="23.25" hidden="1" customHeight="1" x14ac:dyDescent="0.2">
      <c r="B90" s="20" t="s">
        <v>0</v>
      </c>
      <c r="C90" s="20" t="s">
        <v>125</v>
      </c>
      <c r="D90" s="20" t="s">
        <v>8</v>
      </c>
      <c r="E90" s="20">
        <v>23</v>
      </c>
      <c r="F90" s="20">
        <v>80</v>
      </c>
      <c r="G90" s="344" t="s">
        <v>183</v>
      </c>
      <c r="H90" s="48" t="s">
        <v>189</v>
      </c>
      <c r="I90" s="28" t="s">
        <v>192</v>
      </c>
      <c r="J90" s="20">
        <v>60</v>
      </c>
      <c r="K90" s="20">
        <f t="shared" si="3"/>
        <v>1380</v>
      </c>
      <c r="L90" s="49">
        <f t="shared" si="18"/>
        <v>1840</v>
      </c>
    </row>
    <row r="91" spans="2:12" ht="23.25" hidden="1" customHeight="1" x14ac:dyDescent="0.2">
      <c r="B91" s="20" t="s">
        <v>669</v>
      </c>
      <c r="C91" s="20" t="s">
        <v>125</v>
      </c>
      <c r="D91" s="20" t="s">
        <v>8</v>
      </c>
      <c r="E91" s="20">
        <v>28</v>
      </c>
      <c r="F91" s="20">
        <v>80</v>
      </c>
      <c r="G91" s="346" t="s">
        <v>957</v>
      </c>
      <c r="H91" s="48" t="s">
        <v>189</v>
      </c>
      <c r="I91" s="28" t="s">
        <v>192</v>
      </c>
      <c r="J91" s="181">
        <v>60</v>
      </c>
      <c r="K91" s="20">
        <f t="shared" ref="K91:K94" si="33">J91*E91</f>
        <v>1680</v>
      </c>
      <c r="L91" s="49">
        <f t="shared" si="18"/>
        <v>2240</v>
      </c>
    </row>
    <row r="92" spans="2:12" ht="23.25" hidden="1" customHeight="1" x14ac:dyDescent="0.2">
      <c r="B92" s="20" t="s">
        <v>486</v>
      </c>
      <c r="C92" s="20" t="s">
        <v>124</v>
      </c>
      <c r="D92" s="20" t="s">
        <v>3</v>
      </c>
      <c r="E92" s="20">
        <v>8</v>
      </c>
      <c r="F92" s="20">
        <v>80</v>
      </c>
      <c r="G92" s="346" t="s">
        <v>1007</v>
      </c>
      <c r="H92" s="48" t="s">
        <v>189</v>
      </c>
      <c r="I92" s="28" t="s">
        <v>190</v>
      </c>
      <c r="J92" s="181">
        <v>70</v>
      </c>
      <c r="K92" s="20">
        <f t="shared" ref="K92:K93" si="34">J92*E92</f>
        <v>560</v>
      </c>
      <c r="L92" s="49">
        <f t="shared" si="18"/>
        <v>640</v>
      </c>
    </row>
    <row r="93" spans="2:12" ht="23.25" hidden="1" customHeight="1" x14ac:dyDescent="0.2">
      <c r="B93" s="20" t="s">
        <v>669</v>
      </c>
      <c r="C93" s="20" t="s">
        <v>124</v>
      </c>
      <c r="D93" s="20" t="s">
        <v>3</v>
      </c>
      <c r="E93" s="20">
        <v>12</v>
      </c>
      <c r="F93" s="20">
        <v>80</v>
      </c>
      <c r="G93" s="346" t="s">
        <v>857</v>
      </c>
      <c r="H93" s="48" t="s">
        <v>189</v>
      </c>
      <c r="I93" s="28" t="s">
        <v>190</v>
      </c>
      <c r="J93" s="181">
        <v>40</v>
      </c>
      <c r="K93" s="20">
        <f t="shared" si="34"/>
        <v>480</v>
      </c>
      <c r="L93" s="49">
        <f t="shared" si="18"/>
        <v>960</v>
      </c>
    </row>
    <row r="94" spans="2:12" ht="23.25" hidden="1" customHeight="1" x14ac:dyDescent="0.2">
      <c r="B94" s="20" t="s">
        <v>669</v>
      </c>
      <c r="C94" s="20" t="s">
        <v>124</v>
      </c>
      <c r="D94" s="20" t="s">
        <v>3</v>
      </c>
      <c r="E94" s="20">
        <v>12</v>
      </c>
      <c r="F94" s="20">
        <v>80</v>
      </c>
      <c r="G94" s="346" t="s">
        <v>1006</v>
      </c>
      <c r="H94" s="48" t="s">
        <v>189</v>
      </c>
      <c r="I94" s="28" t="s">
        <v>192</v>
      </c>
      <c r="J94" s="181">
        <v>70</v>
      </c>
      <c r="K94" s="20">
        <f t="shared" si="33"/>
        <v>840</v>
      </c>
      <c r="L94" s="49">
        <f t="shared" ref="L94" si="35">E94*F94</f>
        <v>960</v>
      </c>
    </row>
    <row r="95" spans="2:12" ht="23.25" hidden="1" customHeight="1" x14ac:dyDescent="0.2">
      <c r="B95" s="20" t="s">
        <v>669</v>
      </c>
      <c r="C95" s="20" t="s">
        <v>125</v>
      </c>
      <c r="D95" s="20" t="s">
        <v>8</v>
      </c>
      <c r="E95" s="20">
        <v>4</v>
      </c>
      <c r="F95" s="20">
        <v>80</v>
      </c>
      <c r="G95" s="346" t="s">
        <v>258</v>
      </c>
      <c r="H95" s="48" t="s">
        <v>189</v>
      </c>
      <c r="I95" s="28" t="s">
        <v>192</v>
      </c>
      <c r="J95" s="181">
        <v>70</v>
      </c>
      <c r="K95" s="20">
        <f t="shared" si="3"/>
        <v>280</v>
      </c>
      <c r="L95" s="49">
        <f t="shared" si="18"/>
        <v>320</v>
      </c>
    </row>
    <row r="96" spans="2:12" ht="23.25" hidden="1" customHeight="1" x14ac:dyDescent="0.2">
      <c r="B96" s="20" t="s">
        <v>54</v>
      </c>
      <c r="C96" s="20" t="s">
        <v>125</v>
      </c>
      <c r="D96" s="20" t="s">
        <v>8</v>
      </c>
      <c r="E96" s="20">
        <v>24</v>
      </c>
      <c r="F96" s="20">
        <v>80</v>
      </c>
      <c r="G96" s="344" t="s">
        <v>245</v>
      </c>
      <c r="H96" s="48" t="s">
        <v>189</v>
      </c>
      <c r="I96" s="28" t="s">
        <v>192</v>
      </c>
      <c r="J96" s="181">
        <v>70</v>
      </c>
      <c r="K96" s="20">
        <f t="shared" ref="K96:K170" si="36">J96*E96</f>
        <v>1680</v>
      </c>
      <c r="L96" s="49">
        <f t="shared" ref="L96:L132" si="37">E96*F96</f>
        <v>1920</v>
      </c>
    </row>
    <row r="97" spans="2:12" ht="23.25" hidden="1" customHeight="1" x14ac:dyDescent="0.2">
      <c r="B97" s="189" t="s">
        <v>398</v>
      </c>
      <c r="C97" s="189" t="s">
        <v>125</v>
      </c>
      <c r="D97" s="189" t="s">
        <v>8</v>
      </c>
      <c r="E97" s="20">
        <v>28</v>
      </c>
      <c r="F97" s="20">
        <v>80</v>
      </c>
      <c r="G97" s="347" t="s">
        <v>953</v>
      </c>
      <c r="H97" s="48" t="s">
        <v>189</v>
      </c>
      <c r="I97" s="28" t="s">
        <v>192</v>
      </c>
      <c r="J97" s="181">
        <v>60</v>
      </c>
      <c r="K97" s="20">
        <f t="shared" ref="K97:K98" si="38">J97*E97</f>
        <v>1680</v>
      </c>
      <c r="L97" s="49">
        <f t="shared" si="37"/>
        <v>2240</v>
      </c>
    </row>
    <row r="98" spans="2:12" ht="23.25" hidden="1" customHeight="1" x14ac:dyDescent="0.2">
      <c r="B98" s="189" t="s">
        <v>398</v>
      </c>
      <c r="C98" s="189" t="s">
        <v>125</v>
      </c>
      <c r="D98" s="189" t="s">
        <v>8</v>
      </c>
      <c r="E98" s="20">
        <v>28</v>
      </c>
      <c r="F98" s="20">
        <v>80</v>
      </c>
      <c r="G98" s="347" t="s">
        <v>954</v>
      </c>
      <c r="H98" s="48" t="s">
        <v>189</v>
      </c>
      <c r="I98" s="28" t="s">
        <v>192</v>
      </c>
      <c r="J98" s="181">
        <v>60</v>
      </c>
      <c r="K98" s="20">
        <f t="shared" si="38"/>
        <v>1680</v>
      </c>
      <c r="L98" s="49">
        <f t="shared" si="37"/>
        <v>2240</v>
      </c>
    </row>
    <row r="99" spans="2:12" ht="23.25" hidden="1" customHeight="1" x14ac:dyDescent="0.2">
      <c r="B99" s="189" t="s">
        <v>398</v>
      </c>
      <c r="C99" s="189" t="s">
        <v>125</v>
      </c>
      <c r="D99" s="189" t="s">
        <v>8</v>
      </c>
      <c r="E99" s="20">
        <v>12</v>
      </c>
      <c r="F99" s="20">
        <v>80</v>
      </c>
      <c r="G99" s="49" t="s">
        <v>397</v>
      </c>
      <c r="H99" s="48" t="s">
        <v>189</v>
      </c>
      <c r="I99" s="28" t="s">
        <v>192</v>
      </c>
      <c r="J99" s="181">
        <v>60</v>
      </c>
      <c r="K99" s="20">
        <f t="shared" si="36"/>
        <v>720</v>
      </c>
      <c r="L99" s="49">
        <f t="shared" si="37"/>
        <v>960</v>
      </c>
    </row>
    <row r="100" spans="2:12" ht="23.25" hidden="1" customHeight="1" x14ac:dyDescent="0.2">
      <c r="B100" s="20" t="s">
        <v>20</v>
      </c>
      <c r="C100" s="20" t="s">
        <v>125</v>
      </c>
      <c r="D100" s="189" t="s">
        <v>8</v>
      </c>
      <c r="E100" s="20">
        <v>16</v>
      </c>
      <c r="F100" s="20">
        <v>80</v>
      </c>
      <c r="G100" s="20" t="s">
        <v>157</v>
      </c>
      <c r="H100" s="48" t="s">
        <v>189</v>
      </c>
      <c r="I100" s="28" t="s">
        <v>192</v>
      </c>
      <c r="J100" s="20">
        <v>60</v>
      </c>
      <c r="K100" s="20">
        <f t="shared" si="36"/>
        <v>960</v>
      </c>
      <c r="L100" s="49">
        <f t="shared" si="37"/>
        <v>1280</v>
      </c>
    </row>
    <row r="101" spans="2:12" ht="23.25" hidden="1" customHeight="1" x14ac:dyDescent="0.2">
      <c r="B101" s="189" t="s">
        <v>206</v>
      </c>
      <c r="C101" s="189" t="s">
        <v>125</v>
      </c>
      <c r="D101" s="189" t="s">
        <v>8</v>
      </c>
      <c r="E101" s="20">
        <v>23</v>
      </c>
      <c r="F101" s="20">
        <v>80</v>
      </c>
      <c r="G101" s="189" t="s">
        <v>212</v>
      </c>
      <c r="H101" s="48" t="s">
        <v>189</v>
      </c>
      <c r="I101" s="28" t="s">
        <v>192</v>
      </c>
      <c r="J101" s="20">
        <v>60</v>
      </c>
      <c r="K101" s="20">
        <f t="shared" si="36"/>
        <v>1380</v>
      </c>
      <c r="L101" s="49">
        <f t="shared" si="37"/>
        <v>1840</v>
      </c>
    </row>
    <row r="102" spans="2:12" ht="23.25" hidden="1" customHeight="1" x14ac:dyDescent="0.2">
      <c r="B102" s="20" t="s">
        <v>12</v>
      </c>
      <c r="C102" s="20" t="s">
        <v>125</v>
      </c>
      <c r="D102" s="20" t="s">
        <v>8</v>
      </c>
      <c r="E102" s="20">
        <v>6</v>
      </c>
      <c r="F102" s="20">
        <v>80</v>
      </c>
      <c r="G102" s="67" t="s">
        <v>237</v>
      </c>
      <c r="H102" s="48" t="s">
        <v>189</v>
      </c>
      <c r="I102" s="28" t="s">
        <v>192</v>
      </c>
      <c r="J102" s="20">
        <v>60</v>
      </c>
      <c r="K102" s="20">
        <f t="shared" si="36"/>
        <v>360</v>
      </c>
      <c r="L102" s="49">
        <f t="shared" si="37"/>
        <v>480</v>
      </c>
    </row>
    <row r="103" spans="2:12" ht="23.25" hidden="1" customHeight="1" x14ac:dyDescent="0.2">
      <c r="B103" s="20" t="s">
        <v>16</v>
      </c>
      <c r="C103" s="20" t="s">
        <v>125</v>
      </c>
      <c r="D103" s="20" t="s">
        <v>8</v>
      </c>
      <c r="E103" s="20">
        <v>19</v>
      </c>
      <c r="F103" s="20">
        <v>80</v>
      </c>
      <c r="G103" s="344" t="s">
        <v>177</v>
      </c>
      <c r="H103" s="48" t="s">
        <v>189</v>
      </c>
      <c r="I103" s="28" t="s">
        <v>192</v>
      </c>
      <c r="J103" s="181">
        <v>60</v>
      </c>
      <c r="K103" s="20">
        <f t="shared" si="36"/>
        <v>1140</v>
      </c>
      <c r="L103" s="49">
        <f t="shared" si="37"/>
        <v>1520</v>
      </c>
    </row>
    <row r="104" spans="2:12" ht="32.25" hidden="1" customHeight="1" x14ac:dyDescent="0.2">
      <c r="B104" s="20" t="s">
        <v>392</v>
      </c>
      <c r="C104" s="20" t="s">
        <v>125</v>
      </c>
      <c r="D104" s="20" t="s">
        <v>8</v>
      </c>
      <c r="E104" s="20">
        <v>28</v>
      </c>
      <c r="F104" s="20">
        <v>80</v>
      </c>
      <c r="G104" s="348" t="s">
        <v>391</v>
      </c>
      <c r="H104" s="48" t="s">
        <v>189</v>
      </c>
      <c r="I104" s="28" t="s">
        <v>192</v>
      </c>
      <c r="J104" s="20">
        <v>60</v>
      </c>
      <c r="K104" s="20">
        <f t="shared" si="36"/>
        <v>1680</v>
      </c>
      <c r="L104" s="49">
        <f t="shared" si="37"/>
        <v>2240</v>
      </c>
    </row>
    <row r="105" spans="2:12" ht="12.75" hidden="1" customHeight="1" x14ac:dyDescent="0.2">
      <c r="B105" s="20" t="s">
        <v>54</v>
      </c>
      <c r="C105" s="20" t="s">
        <v>125</v>
      </c>
      <c r="D105" s="20" t="s">
        <v>8</v>
      </c>
      <c r="E105" s="20">
        <v>6</v>
      </c>
      <c r="F105" s="20">
        <v>80</v>
      </c>
      <c r="G105" s="20" t="s">
        <v>275</v>
      </c>
      <c r="H105" s="48" t="s">
        <v>189</v>
      </c>
      <c r="I105" s="28" t="s">
        <v>192</v>
      </c>
      <c r="J105" s="20">
        <v>60</v>
      </c>
      <c r="K105" s="20">
        <f t="shared" si="36"/>
        <v>360</v>
      </c>
      <c r="L105" s="49">
        <f t="shared" si="37"/>
        <v>480</v>
      </c>
    </row>
    <row r="106" spans="2:12" ht="25.5" hidden="1" customHeight="1" x14ac:dyDescent="0.2">
      <c r="B106" s="67" t="s">
        <v>390</v>
      </c>
      <c r="C106" s="20" t="s">
        <v>125</v>
      </c>
      <c r="D106" s="20" t="s">
        <v>8</v>
      </c>
      <c r="E106" s="20">
        <v>28</v>
      </c>
      <c r="F106" s="20">
        <v>80</v>
      </c>
      <c r="G106" s="20" t="s">
        <v>290</v>
      </c>
      <c r="H106" s="48" t="s">
        <v>189</v>
      </c>
      <c r="I106" s="28" t="s">
        <v>192</v>
      </c>
      <c r="J106" s="20">
        <v>60</v>
      </c>
      <c r="K106" s="20">
        <f t="shared" si="36"/>
        <v>1680</v>
      </c>
      <c r="L106" s="49">
        <f t="shared" si="37"/>
        <v>2240</v>
      </c>
    </row>
    <row r="107" spans="2:12" ht="12.75" hidden="1" customHeight="1" x14ac:dyDescent="0.2">
      <c r="B107" s="20" t="s">
        <v>54</v>
      </c>
      <c r="C107" s="20" t="s">
        <v>124</v>
      </c>
      <c r="D107" s="20" t="s">
        <v>3</v>
      </c>
      <c r="E107" s="20">
        <v>8</v>
      </c>
      <c r="F107" s="20">
        <v>25</v>
      </c>
      <c r="G107" s="182" t="s">
        <v>299</v>
      </c>
      <c r="H107" s="48" t="s">
        <v>189</v>
      </c>
      <c r="I107" s="28" t="s">
        <v>190</v>
      </c>
      <c r="J107" s="181">
        <v>40</v>
      </c>
      <c r="K107" s="20">
        <f t="shared" ref="K107" si="39">J107*E107</f>
        <v>320</v>
      </c>
      <c r="L107" s="49">
        <f t="shared" ref="L107" si="40">E107*F107</f>
        <v>200</v>
      </c>
    </row>
    <row r="108" spans="2:12" ht="12.75" hidden="1" customHeight="1" x14ac:dyDescent="0.2">
      <c r="B108" s="20" t="s">
        <v>54</v>
      </c>
      <c r="C108" s="20" t="s">
        <v>125</v>
      </c>
      <c r="D108" s="20" t="s">
        <v>8</v>
      </c>
      <c r="E108" s="20">
        <v>5</v>
      </c>
      <c r="F108" s="20">
        <v>80</v>
      </c>
      <c r="G108" s="182" t="s">
        <v>299</v>
      </c>
      <c r="H108" s="48" t="s">
        <v>189</v>
      </c>
      <c r="I108" s="28" t="s">
        <v>192</v>
      </c>
      <c r="J108" s="181">
        <v>70</v>
      </c>
      <c r="K108" s="20">
        <f t="shared" si="36"/>
        <v>350</v>
      </c>
      <c r="L108" s="49">
        <f t="shared" si="37"/>
        <v>400</v>
      </c>
    </row>
    <row r="109" spans="2:12" ht="24.75" hidden="1" customHeight="1" x14ac:dyDescent="0.2">
      <c r="B109" s="20" t="s">
        <v>54</v>
      </c>
      <c r="C109" s="20" t="s">
        <v>125</v>
      </c>
      <c r="D109" s="20" t="s">
        <v>8</v>
      </c>
      <c r="E109" s="20">
        <v>28</v>
      </c>
      <c r="F109" s="20">
        <v>80</v>
      </c>
      <c r="G109" s="344" t="s">
        <v>301</v>
      </c>
      <c r="H109" s="48" t="s">
        <v>189</v>
      </c>
      <c r="I109" s="28" t="s">
        <v>192</v>
      </c>
      <c r="J109" s="20">
        <v>60</v>
      </c>
      <c r="K109" s="20">
        <f t="shared" si="36"/>
        <v>1680</v>
      </c>
      <c r="L109" s="49">
        <f t="shared" si="37"/>
        <v>2240</v>
      </c>
    </row>
    <row r="110" spans="2:12" ht="24.75" hidden="1" customHeight="1" x14ac:dyDescent="0.2">
      <c r="B110" s="20" t="s">
        <v>220</v>
      </c>
      <c r="C110" s="20" t="s">
        <v>125</v>
      </c>
      <c r="D110" s="20" t="s">
        <v>8</v>
      </c>
      <c r="E110" s="20">
        <v>13</v>
      </c>
      <c r="F110" s="20">
        <v>80</v>
      </c>
      <c r="G110" s="350" t="s">
        <v>180</v>
      </c>
      <c r="H110" s="48" t="s">
        <v>189</v>
      </c>
      <c r="I110" s="28" t="s">
        <v>192</v>
      </c>
      <c r="J110" s="20">
        <v>60</v>
      </c>
      <c r="K110" s="20">
        <f t="shared" si="36"/>
        <v>780</v>
      </c>
      <c r="L110" s="49">
        <f t="shared" si="37"/>
        <v>1040</v>
      </c>
    </row>
    <row r="111" spans="2:12" ht="24.75" hidden="1" customHeight="1" x14ac:dyDescent="0.2">
      <c r="B111" s="20" t="s">
        <v>25</v>
      </c>
      <c r="C111" s="20" t="s">
        <v>125</v>
      </c>
      <c r="D111" s="20" t="s">
        <v>8</v>
      </c>
      <c r="E111" s="20">
        <v>28</v>
      </c>
      <c r="F111" s="20">
        <v>80</v>
      </c>
      <c r="G111" s="349" t="s">
        <v>676</v>
      </c>
      <c r="H111" s="48" t="s">
        <v>189</v>
      </c>
      <c r="I111" s="28" t="s">
        <v>192</v>
      </c>
      <c r="J111" s="20">
        <v>60</v>
      </c>
      <c r="K111" s="20">
        <f t="shared" si="36"/>
        <v>1680</v>
      </c>
      <c r="L111" s="49">
        <f t="shared" si="37"/>
        <v>2240</v>
      </c>
    </row>
    <row r="112" spans="2:12" ht="25.5" hidden="1" customHeight="1" x14ac:dyDescent="0.2">
      <c r="B112" s="20" t="s">
        <v>25</v>
      </c>
      <c r="C112" s="20" t="s">
        <v>125</v>
      </c>
      <c r="D112" s="20" t="s">
        <v>8</v>
      </c>
      <c r="E112" s="20">
        <v>28</v>
      </c>
      <c r="F112" s="20">
        <v>80</v>
      </c>
      <c r="G112" s="344" t="s">
        <v>679</v>
      </c>
      <c r="H112" s="48" t="s">
        <v>189</v>
      </c>
      <c r="I112" s="28" t="s">
        <v>192</v>
      </c>
      <c r="J112" s="20">
        <v>60</v>
      </c>
      <c r="K112" s="20">
        <f t="shared" si="36"/>
        <v>1680</v>
      </c>
      <c r="L112" s="49">
        <f t="shared" si="37"/>
        <v>2240</v>
      </c>
    </row>
    <row r="113" spans="2:12" ht="26.25" hidden="1" customHeight="1" x14ac:dyDescent="0.2">
      <c r="B113" s="20" t="s">
        <v>54</v>
      </c>
      <c r="C113" s="20" t="s">
        <v>125</v>
      </c>
      <c r="D113" s="20" t="s">
        <v>8</v>
      </c>
      <c r="E113" s="20">
        <v>24</v>
      </c>
      <c r="F113" s="20">
        <v>80</v>
      </c>
      <c r="G113" s="221" t="s">
        <v>308</v>
      </c>
      <c r="H113" s="48" t="s">
        <v>189</v>
      </c>
      <c r="I113" s="28" t="s">
        <v>192</v>
      </c>
      <c r="J113" s="181">
        <v>70</v>
      </c>
      <c r="K113" s="20">
        <f t="shared" si="36"/>
        <v>1680</v>
      </c>
      <c r="L113" s="49">
        <f t="shared" si="37"/>
        <v>1920</v>
      </c>
    </row>
    <row r="114" spans="2:12" ht="36" hidden="1" customHeight="1" x14ac:dyDescent="0.2">
      <c r="B114" s="20" t="s">
        <v>393</v>
      </c>
      <c r="C114" s="20" t="s">
        <v>125</v>
      </c>
      <c r="D114" s="20" t="s">
        <v>8</v>
      </c>
      <c r="E114" s="20">
        <v>28</v>
      </c>
      <c r="F114" s="20">
        <v>80</v>
      </c>
      <c r="G114" s="344" t="s">
        <v>309</v>
      </c>
      <c r="H114" s="48" t="s">
        <v>189</v>
      </c>
      <c r="I114" s="28" t="s">
        <v>192</v>
      </c>
      <c r="J114" s="20">
        <v>60</v>
      </c>
      <c r="K114" s="20">
        <f t="shared" si="36"/>
        <v>1680</v>
      </c>
      <c r="L114" s="49">
        <f t="shared" si="37"/>
        <v>2240</v>
      </c>
    </row>
    <row r="115" spans="2:12" ht="27.75" hidden="1" customHeight="1" x14ac:dyDescent="0.2">
      <c r="B115" s="20" t="s">
        <v>224</v>
      </c>
      <c r="C115" s="189" t="s">
        <v>125</v>
      </c>
      <c r="D115" s="189" t="s">
        <v>8</v>
      </c>
      <c r="E115" s="20">
        <v>24</v>
      </c>
      <c r="F115" s="20">
        <v>120</v>
      </c>
      <c r="G115" s="344" t="s">
        <v>311</v>
      </c>
      <c r="H115" s="48" t="s">
        <v>189</v>
      </c>
      <c r="I115" s="28" t="s">
        <v>192</v>
      </c>
      <c r="J115" s="20">
        <v>60</v>
      </c>
      <c r="K115" s="20">
        <f t="shared" si="36"/>
        <v>1440</v>
      </c>
      <c r="L115" s="49">
        <f t="shared" si="37"/>
        <v>2880</v>
      </c>
    </row>
    <row r="116" spans="2:12" ht="36.75" hidden="1" customHeight="1" x14ac:dyDescent="0.2">
      <c r="B116" s="20" t="s">
        <v>1033</v>
      </c>
      <c r="C116" s="20" t="s">
        <v>124</v>
      </c>
      <c r="D116" s="20" t="s">
        <v>3</v>
      </c>
      <c r="E116" s="20">
        <v>42</v>
      </c>
      <c r="F116" s="20">
        <v>25</v>
      </c>
      <c r="G116" s="20" t="s">
        <v>1035</v>
      </c>
      <c r="H116" s="48" t="s">
        <v>189</v>
      </c>
      <c r="I116" s="28" t="s">
        <v>190</v>
      </c>
      <c r="J116" s="20">
        <v>40</v>
      </c>
      <c r="K116" s="20">
        <f t="shared" ref="K116" si="41">J116*E116</f>
        <v>1680</v>
      </c>
      <c r="L116" s="49">
        <f t="shared" ref="L116" si="42">E116*F116</f>
        <v>1050</v>
      </c>
    </row>
    <row r="117" spans="2:12" ht="36.75" hidden="1" customHeight="1" x14ac:dyDescent="0.2">
      <c r="B117" s="20" t="s">
        <v>1034</v>
      </c>
      <c r="C117" s="20" t="s">
        <v>124</v>
      </c>
      <c r="D117" s="20" t="s">
        <v>3</v>
      </c>
      <c r="E117" s="20">
        <v>42</v>
      </c>
      <c r="F117" s="20">
        <v>25</v>
      </c>
      <c r="G117" s="20" t="s">
        <v>680</v>
      </c>
      <c r="H117" s="48" t="s">
        <v>189</v>
      </c>
      <c r="I117" s="28" t="s">
        <v>190</v>
      </c>
      <c r="J117" s="20">
        <v>40</v>
      </c>
      <c r="K117" s="20">
        <f t="shared" si="36"/>
        <v>1680</v>
      </c>
      <c r="L117" s="49">
        <f t="shared" si="37"/>
        <v>1050</v>
      </c>
    </row>
    <row r="118" spans="2:12" ht="36.75" hidden="1" customHeight="1" x14ac:dyDescent="0.2">
      <c r="B118" s="20" t="s">
        <v>1032</v>
      </c>
      <c r="C118" s="20" t="s">
        <v>124</v>
      </c>
      <c r="D118" s="20" t="s">
        <v>3</v>
      </c>
      <c r="E118" s="20">
        <v>4</v>
      </c>
      <c r="F118" s="20">
        <v>25</v>
      </c>
      <c r="G118" s="20" t="s">
        <v>313</v>
      </c>
      <c r="H118" s="48" t="s">
        <v>189</v>
      </c>
      <c r="I118" s="28" t="s">
        <v>190</v>
      </c>
      <c r="J118" s="20">
        <v>40</v>
      </c>
      <c r="K118" s="20">
        <f t="shared" ref="K118" si="43">J118*E118</f>
        <v>160</v>
      </c>
      <c r="L118" s="49">
        <f t="shared" ref="L118" si="44">E118*F118</f>
        <v>100</v>
      </c>
    </row>
    <row r="119" spans="2:12" ht="36.75" hidden="1" customHeight="1" x14ac:dyDescent="0.2">
      <c r="B119" s="20" t="s">
        <v>54</v>
      </c>
      <c r="C119" s="20" t="s">
        <v>125</v>
      </c>
      <c r="D119" s="20" t="s">
        <v>8</v>
      </c>
      <c r="E119" s="20">
        <v>7</v>
      </c>
      <c r="F119" s="20">
        <v>80</v>
      </c>
      <c r="G119" s="20" t="s">
        <v>313</v>
      </c>
      <c r="H119" s="48" t="s">
        <v>189</v>
      </c>
      <c r="I119" s="28" t="s">
        <v>192</v>
      </c>
      <c r="J119" s="20">
        <v>60</v>
      </c>
      <c r="K119" s="20">
        <f t="shared" si="36"/>
        <v>420</v>
      </c>
      <c r="L119" s="49">
        <f t="shared" si="37"/>
        <v>560</v>
      </c>
    </row>
    <row r="120" spans="2:12" ht="29.25" hidden="1" customHeight="1" x14ac:dyDescent="0.2">
      <c r="B120" s="189" t="s">
        <v>208</v>
      </c>
      <c r="C120" s="189" t="s">
        <v>125</v>
      </c>
      <c r="D120" s="20" t="s">
        <v>8</v>
      </c>
      <c r="E120" s="20">
        <v>23</v>
      </c>
      <c r="F120" s="20">
        <v>80</v>
      </c>
      <c r="G120" s="344" t="s">
        <v>170</v>
      </c>
      <c r="H120" s="48" t="s">
        <v>189</v>
      </c>
      <c r="I120" s="28" t="s">
        <v>192</v>
      </c>
      <c r="J120" s="20">
        <v>60</v>
      </c>
      <c r="K120" s="20">
        <f t="shared" si="36"/>
        <v>1380</v>
      </c>
      <c r="L120" s="49">
        <f t="shared" si="37"/>
        <v>1840</v>
      </c>
    </row>
    <row r="121" spans="2:12" ht="39" hidden="1" customHeight="1" x14ac:dyDescent="0.2">
      <c r="B121" s="20" t="s">
        <v>54</v>
      </c>
      <c r="C121" s="20" t="s">
        <v>125</v>
      </c>
      <c r="D121" s="20" t="s">
        <v>8</v>
      </c>
      <c r="E121" s="20">
        <v>7</v>
      </c>
      <c r="F121" s="20">
        <v>80</v>
      </c>
      <c r="G121" s="189" t="s">
        <v>316</v>
      </c>
      <c r="H121" s="48" t="s">
        <v>189</v>
      </c>
      <c r="I121" s="28" t="s">
        <v>192</v>
      </c>
      <c r="J121" s="20">
        <v>60</v>
      </c>
      <c r="K121" s="20">
        <f t="shared" si="36"/>
        <v>420</v>
      </c>
      <c r="L121" s="49">
        <f t="shared" si="37"/>
        <v>560</v>
      </c>
    </row>
    <row r="122" spans="2:12" ht="39" hidden="1" customHeight="1" x14ac:dyDescent="0.2">
      <c r="B122" s="189" t="s">
        <v>20</v>
      </c>
      <c r="C122" s="189" t="s">
        <v>125</v>
      </c>
      <c r="D122" s="189" t="s">
        <v>8</v>
      </c>
      <c r="E122" s="20">
        <v>6</v>
      </c>
      <c r="F122" s="20">
        <v>80</v>
      </c>
      <c r="G122" s="189" t="s">
        <v>156</v>
      </c>
      <c r="H122" s="48" t="s">
        <v>189</v>
      </c>
      <c r="I122" s="28" t="s">
        <v>192</v>
      </c>
      <c r="J122" s="181">
        <v>70</v>
      </c>
      <c r="K122" s="20">
        <f t="shared" si="36"/>
        <v>420</v>
      </c>
      <c r="L122" s="49">
        <f t="shared" si="37"/>
        <v>480</v>
      </c>
    </row>
    <row r="123" spans="2:12" ht="25.5" hidden="1" customHeight="1" x14ac:dyDescent="0.2">
      <c r="B123" s="189" t="s">
        <v>213</v>
      </c>
      <c r="C123" s="189" t="s">
        <v>125</v>
      </c>
      <c r="D123" s="189" t="s">
        <v>8</v>
      </c>
      <c r="E123" s="20">
        <v>23</v>
      </c>
      <c r="F123" s="20">
        <v>80</v>
      </c>
      <c r="G123" s="189" t="s">
        <v>211</v>
      </c>
      <c r="H123" s="48" t="s">
        <v>189</v>
      </c>
      <c r="I123" s="28" t="s">
        <v>192</v>
      </c>
      <c r="J123" s="20">
        <v>60</v>
      </c>
      <c r="K123" s="20">
        <f t="shared" si="36"/>
        <v>1380</v>
      </c>
      <c r="L123" s="49">
        <f t="shared" si="37"/>
        <v>1840</v>
      </c>
    </row>
    <row r="124" spans="2:12" ht="25.5" hidden="1" customHeight="1" x14ac:dyDescent="0.2">
      <c r="B124" s="20" t="s">
        <v>39</v>
      </c>
      <c r="C124" s="20" t="s">
        <v>125</v>
      </c>
      <c r="D124" s="20" t="s">
        <v>8</v>
      </c>
      <c r="E124" s="20">
        <v>9</v>
      </c>
      <c r="F124" s="20">
        <v>80</v>
      </c>
      <c r="G124" s="20" t="s">
        <v>325</v>
      </c>
      <c r="H124" s="48" t="s">
        <v>189</v>
      </c>
      <c r="I124" s="28" t="s">
        <v>192</v>
      </c>
      <c r="J124" s="20">
        <v>60</v>
      </c>
      <c r="K124" s="20">
        <f t="shared" si="36"/>
        <v>540</v>
      </c>
      <c r="L124" s="49">
        <f t="shared" si="37"/>
        <v>720</v>
      </c>
    </row>
    <row r="125" spans="2:12" ht="25.5" hidden="1" customHeight="1" x14ac:dyDescent="0.2">
      <c r="B125" s="189" t="s">
        <v>36</v>
      </c>
      <c r="C125" s="189" t="s">
        <v>125</v>
      </c>
      <c r="D125" s="189" t="s">
        <v>8</v>
      </c>
      <c r="E125" s="20">
        <v>3</v>
      </c>
      <c r="F125" s="20">
        <v>80</v>
      </c>
      <c r="G125" s="189" t="s">
        <v>178</v>
      </c>
      <c r="H125" s="48" t="s">
        <v>189</v>
      </c>
      <c r="I125" s="28" t="s">
        <v>192</v>
      </c>
      <c r="J125" s="20">
        <v>60</v>
      </c>
      <c r="K125" s="20">
        <f t="shared" ref="K125" si="45">J125*E125</f>
        <v>180</v>
      </c>
      <c r="L125" s="49">
        <f t="shared" ref="L125" si="46">E125*F125</f>
        <v>240</v>
      </c>
    </row>
    <row r="126" spans="2:12" ht="25.5" hidden="1" customHeight="1" x14ac:dyDescent="0.2">
      <c r="B126" s="189" t="s">
        <v>36</v>
      </c>
      <c r="C126" s="189" t="s">
        <v>125</v>
      </c>
      <c r="D126" s="189" t="s">
        <v>8</v>
      </c>
      <c r="E126" s="20">
        <v>23</v>
      </c>
      <c r="F126" s="20">
        <v>80</v>
      </c>
      <c r="G126" s="189" t="s">
        <v>152</v>
      </c>
      <c r="H126" s="48" t="s">
        <v>189</v>
      </c>
      <c r="I126" s="28" t="s">
        <v>192</v>
      </c>
      <c r="J126" s="20">
        <v>60</v>
      </c>
      <c r="K126" s="20">
        <f t="shared" si="36"/>
        <v>1380</v>
      </c>
      <c r="L126" s="49">
        <f t="shared" si="37"/>
        <v>1840</v>
      </c>
    </row>
    <row r="127" spans="2:12" ht="24.75" hidden="1" customHeight="1" x14ac:dyDescent="0.2">
      <c r="B127" s="20" t="s">
        <v>226</v>
      </c>
      <c r="C127" s="189" t="s">
        <v>125</v>
      </c>
      <c r="D127" s="189" t="s">
        <v>8</v>
      </c>
      <c r="E127" s="20">
        <v>28</v>
      </c>
      <c r="F127" s="20">
        <v>120</v>
      </c>
      <c r="G127" s="344" t="s">
        <v>958</v>
      </c>
      <c r="H127" s="48" t="s">
        <v>189</v>
      </c>
      <c r="I127" s="28" t="s">
        <v>192</v>
      </c>
      <c r="J127" s="20">
        <v>60</v>
      </c>
      <c r="K127" s="20">
        <f t="shared" ref="K127" si="47">J127*E127</f>
        <v>1680</v>
      </c>
      <c r="L127" s="49">
        <f t="shared" si="37"/>
        <v>3360</v>
      </c>
    </row>
    <row r="128" spans="2:12" ht="24.75" hidden="1" customHeight="1" x14ac:dyDescent="0.2">
      <c r="B128" s="20" t="s">
        <v>226</v>
      </c>
      <c r="C128" s="189" t="s">
        <v>125</v>
      </c>
      <c r="D128" s="189" t="s">
        <v>8</v>
      </c>
      <c r="E128" s="20">
        <v>28</v>
      </c>
      <c r="F128" s="20">
        <v>120</v>
      </c>
      <c r="G128" s="344" t="s">
        <v>331</v>
      </c>
      <c r="H128" s="48" t="s">
        <v>189</v>
      </c>
      <c r="I128" s="28" t="s">
        <v>192</v>
      </c>
      <c r="J128" s="20">
        <v>60</v>
      </c>
      <c r="K128" s="20">
        <f t="shared" si="36"/>
        <v>1680</v>
      </c>
      <c r="L128" s="49">
        <f t="shared" si="37"/>
        <v>3360</v>
      </c>
    </row>
    <row r="129" spans="2:12" ht="24.75" hidden="1" customHeight="1" x14ac:dyDescent="0.2">
      <c r="B129" s="20" t="s">
        <v>54</v>
      </c>
      <c r="C129" s="20" t="s">
        <v>125</v>
      </c>
      <c r="D129" s="20" t="s">
        <v>8</v>
      </c>
      <c r="E129" s="20">
        <v>28</v>
      </c>
      <c r="F129" s="20">
        <v>80</v>
      </c>
      <c r="G129" s="347" t="s">
        <v>646</v>
      </c>
      <c r="H129" s="48" t="s">
        <v>189</v>
      </c>
      <c r="I129" s="28" t="s">
        <v>192</v>
      </c>
      <c r="J129" s="181">
        <v>60</v>
      </c>
      <c r="K129" s="20">
        <f t="shared" si="36"/>
        <v>1680</v>
      </c>
      <c r="L129" s="49">
        <f t="shared" si="37"/>
        <v>2240</v>
      </c>
    </row>
    <row r="130" spans="2:12" ht="24.75" hidden="1" customHeight="1" x14ac:dyDescent="0.2">
      <c r="B130" s="20" t="s">
        <v>54</v>
      </c>
      <c r="C130" s="20" t="s">
        <v>125</v>
      </c>
      <c r="D130" s="20" t="s">
        <v>8</v>
      </c>
      <c r="E130" s="20">
        <v>28</v>
      </c>
      <c r="F130" s="20">
        <v>80</v>
      </c>
      <c r="G130" s="347" t="s">
        <v>956</v>
      </c>
      <c r="H130" s="48" t="s">
        <v>189</v>
      </c>
      <c r="I130" s="28" t="s">
        <v>192</v>
      </c>
      <c r="J130" s="181">
        <v>60</v>
      </c>
      <c r="K130" s="20">
        <f t="shared" si="36"/>
        <v>1680</v>
      </c>
      <c r="L130" s="49">
        <f t="shared" si="37"/>
        <v>2240</v>
      </c>
    </row>
    <row r="131" spans="2:12" ht="24.75" hidden="1" customHeight="1" x14ac:dyDescent="0.2">
      <c r="B131" s="20" t="s">
        <v>54</v>
      </c>
      <c r="C131" s="20" t="s">
        <v>125</v>
      </c>
      <c r="D131" s="20" t="s">
        <v>8</v>
      </c>
      <c r="E131" s="20">
        <v>28</v>
      </c>
      <c r="F131" s="20">
        <v>80</v>
      </c>
      <c r="G131" s="347" t="s">
        <v>955</v>
      </c>
      <c r="H131" s="48" t="s">
        <v>189</v>
      </c>
      <c r="I131" s="28" t="s">
        <v>192</v>
      </c>
      <c r="J131" s="181">
        <v>60</v>
      </c>
      <c r="K131" s="20">
        <f t="shared" ref="K131" si="48">J131*E131</f>
        <v>1680</v>
      </c>
      <c r="L131" s="49">
        <f t="shared" si="37"/>
        <v>2240</v>
      </c>
    </row>
    <row r="132" spans="2:12" ht="24.75" hidden="1" customHeight="1" x14ac:dyDescent="0.2">
      <c r="B132" s="20" t="s">
        <v>54</v>
      </c>
      <c r="C132" s="20" t="s">
        <v>125</v>
      </c>
      <c r="D132" s="20" t="s">
        <v>8</v>
      </c>
      <c r="E132" s="20">
        <v>11</v>
      </c>
      <c r="F132" s="20">
        <v>80</v>
      </c>
      <c r="G132" s="182" t="s">
        <v>333</v>
      </c>
      <c r="H132" s="48" t="s">
        <v>189</v>
      </c>
      <c r="I132" s="28" t="s">
        <v>192</v>
      </c>
      <c r="J132" s="181">
        <v>70</v>
      </c>
      <c r="K132" s="20">
        <f t="shared" si="36"/>
        <v>770</v>
      </c>
      <c r="L132" s="49">
        <f t="shared" si="37"/>
        <v>880</v>
      </c>
    </row>
    <row r="133" spans="2:12" ht="24.75" hidden="1" customHeight="1" x14ac:dyDescent="0.2">
      <c r="B133" s="20" t="s">
        <v>54</v>
      </c>
      <c r="C133" s="20" t="s">
        <v>125</v>
      </c>
      <c r="D133" s="20" t="s">
        <v>8</v>
      </c>
      <c r="E133" s="20">
        <v>28</v>
      </c>
      <c r="F133" s="20">
        <v>80</v>
      </c>
      <c r="G133" s="344" t="s">
        <v>335</v>
      </c>
      <c r="H133" s="48" t="s">
        <v>189</v>
      </c>
      <c r="I133" s="28" t="s">
        <v>192</v>
      </c>
      <c r="J133" s="20">
        <v>60</v>
      </c>
      <c r="K133" s="20">
        <f t="shared" si="36"/>
        <v>1680</v>
      </c>
      <c r="L133" s="49">
        <f t="shared" ref="L133:L140" si="49">E133*F133</f>
        <v>2240</v>
      </c>
    </row>
    <row r="134" spans="2:12" ht="24.75" hidden="1" customHeight="1" x14ac:dyDescent="0.2">
      <c r="B134" s="189" t="s">
        <v>235</v>
      </c>
      <c r="C134" s="20" t="s">
        <v>124</v>
      </c>
      <c r="D134" s="20" t="s">
        <v>672</v>
      </c>
      <c r="E134" s="20">
        <v>5</v>
      </c>
      <c r="F134" s="20">
        <v>25</v>
      </c>
      <c r="G134" s="20" t="s">
        <v>289</v>
      </c>
      <c r="H134" s="48" t="s">
        <v>189</v>
      </c>
      <c r="I134" s="28" t="s">
        <v>190</v>
      </c>
      <c r="J134" s="20">
        <v>80</v>
      </c>
      <c r="K134" s="20">
        <f t="shared" si="36"/>
        <v>400</v>
      </c>
      <c r="L134" s="49">
        <f t="shared" si="49"/>
        <v>125</v>
      </c>
    </row>
    <row r="135" spans="2:12" ht="35.25" hidden="1" customHeight="1" x14ac:dyDescent="0.2">
      <c r="B135" s="20" t="s">
        <v>58</v>
      </c>
      <c r="C135" s="20" t="s">
        <v>124</v>
      </c>
      <c r="D135" s="20" t="s">
        <v>47</v>
      </c>
      <c r="E135" s="20">
        <v>7</v>
      </c>
      <c r="F135" s="20">
        <v>25</v>
      </c>
      <c r="G135" s="20" t="s">
        <v>266</v>
      </c>
      <c r="H135" s="48" t="s">
        <v>189</v>
      </c>
      <c r="I135" s="28" t="s">
        <v>190</v>
      </c>
      <c r="J135" s="20">
        <v>60</v>
      </c>
      <c r="K135" s="20">
        <f t="shared" si="36"/>
        <v>420</v>
      </c>
      <c r="L135" s="49">
        <f t="shared" si="49"/>
        <v>175</v>
      </c>
    </row>
    <row r="136" spans="2:12" ht="30" hidden="1" customHeight="1" x14ac:dyDescent="0.2">
      <c r="B136" s="20" t="s">
        <v>647</v>
      </c>
      <c r="C136" s="20" t="s">
        <v>124</v>
      </c>
      <c r="D136" s="189" t="s">
        <v>47</v>
      </c>
      <c r="E136" s="20">
        <v>34</v>
      </c>
      <c r="F136" s="20">
        <v>25</v>
      </c>
      <c r="G136" s="20" t="s">
        <v>1016</v>
      </c>
      <c r="H136" s="48" t="s">
        <v>189</v>
      </c>
      <c r="I136" s="28" t="s">
        <v>197</v>
      </c>
      <c r="J136" s="20">
        <v>50</v>
      </c>
      <c r="K136" s="20">
        <f t="shared" ref="K136:K137" si="50">J136*E136</f>
        <v>1700</v>
      </c>
      <c r="L136" s="49">
        <f t="shared" ref="L136:L137" si="51">E136*F136</f>
        <v>850</v>
      </c>
    </row>
    <row r="137" spans="2:12" ht="30" hidden="1" customHeight="1" x14ac:dyDescent="0.2">
      <c r="B137" s="20" t="s">
        <v>229</v>
      </c>
      <c r="C137" s="20" t="s">
        <v>124</v>
      </c>
      <c r="D137" s="189" t="s">
        <v>3</v>
      </c>
      <c r="E137" s="20">
        <v>17</v>
      </c>
      <c r="F137" s="20">
        <v>25</v>
      </c>
      <c r="G137" s="20" t="s">
        <v>737</v>
      </c>
      <c r="H137" s="48" t="s">
        <v>189</v>
      </c>
      <c r="I137" s="28" t="s">
        <v>197</v>
      </c>
      <c r="J137" s="20">
        <v>50</v>
      </c>
      <c r="K137" s="20">
        <f t="shared" si="50"/>
        <v>850</v>
      </c>
      <c r="L137" s="49">
        <f t="shared" si="51"/>
        <v>425</v>
      </c>
    </row>
    <row r="138" spans="2:12" ht="30" hidden="1" customHeight="1" x14ac:dyDescent="0.2">
      <c r="B138" s="20" t="s">
        <v>42</v>
      </c>
      <c r="C138" s="20" t="s">
        <v>124</v>
      </c>
      <c r="D138" s="189" t="s">
        <v>47</v>
      </c>
      <c r="E138" s="20">
        <v>4</v>
      </c>
      <c r="F138" s="20">
        <v>25</v>
      </c>
      <c r="G138" s="20" t="s">
        <v>161</v>
      </c>
      <c r="H138" s="48" t="s">
        <v>189</v>
      </c>
      <c r="I138" s="28" t="s">
        <v>197</v>
      </c>
      <c r="J138" s="20">
        <v>50</v>
      </c>
      <c r="K138" s="20">
        <f t="shared" si="36"/>
        <v>200</v>
      </c>
      <c r="L138" s="49">
        <f t="shared" si="49"/>
        <v>100</v>
      </c>
    </row>
    <row r="139" spans="2:12" ht="27.75" hidden="1" customHeight="1" x14ac:dyDescent="0.2">
      <c r="B139" s="20" t="s">
        <v>64</v>
      </c>
      <c r="C139" s="20" t="s">
        <v>124</v>
      </c>
      <c r="D139" s="20" t="s">
        <v>47</v>
      </c>
      <c r="E139" s="20">
        <v>10</v>
      </c>
      <c r="F139" s="20">
        <v>25</v>
      </c>
      <c r="G139" s="20" t="s">
        <v>276</v>
      </c>
      <c r="H139" s="48" t="s">
        <v>189</v>
      </c>
      <c r="I139" s="28" t="s">
        <v>47</v>
      </c>
      <c r="J139" s="20">
        <v>100</v>
      </c>
      <c r="K139" s="20">
        <f t="shared" si="36"/>
        <v>1000</v>
      </c>
      <c r="L139" s="49">
        <f t="shared" si="49"/>
        <v>250</v>
      </c>
    </row>
    <row r="140" spans="2:12" ht="30" hidden="1" customHeight="1" x14ac:dyDescent="0.2">
      <c r="B140" s="189" t="s">
        <v>635</v>
      </c>
      <c r="C140" s="20" t="s">
        <v>124</v>
      </c>
      <c r="D140" s="70" t="s">
        <v>622</v>
      </c>
      <c r="E140" s="20">
        <v>4</v>
      </c>
      <c r="F140" s="21">
        <v>32</v>
      </c>
      <c r="G140" s="189" t="s">
        <v>625</v>
      </c>
      <c r="H140" s="48" t="s">
        <v>189</v>
      </c>
      <c r="I140" s="28" t="s">
        <v>946</v>
      </c>
      <c r="J140" s="20">
        <v>422</v>
      </c>
      <c r="K140" s="20">
        <f t="shared" si="36"/>
        <v>1688</v>
      </c>
      <c r="L140" s="49">
        <f t="shared" si="49"/>
        <v>128</v>
      </c>
    </row>
    <row r="141" spans="2:12" ht="30" hidden="1" customHeight="1" x14ac:dyDescent="0.2">
      <c r="B141" s="189" t="s">
        <v>634</v>
      </c>
      <c r="C141" s="20" t="s">
        <v>124</v>
      </c>
      <c r="D141" s="70" t="s">
        <v>622</v>
      </c>
      <c r="E141" s="20">
        <v>4</v>
      </c>
      <c r="F141" s="21">
        <v>32</v>
      </c>
      <c r="G141" s="189" t="s">
        <v>624</v>
      </c>
      <c r="H141" s="48" t="s">
        <v>189</v>
      </c>
      <c r="I141" s="28" t="s">
        <v>946</v>
      </c>
      <c r="J141" s="20">
        <v>422</v>
      </c>
      <c r="K141" s="20">
        <f t="shared" si="36"/>
        <v>1688</v>
      </c>
      <c r="L141" s="49">
        <f t="shared" ref="L141:L159" si="52">E141*F141</f>
        <v>128</v>
      </c>
    </row>
    <row r="142" spans="2:12" ht="12.75" hidden="1" customHeight="1" x14ac:dyDescent="0.2">
      <c r="B142" s="189" t="s">
        <v>936</v>
      </c>
      <c r="C142" s="20" t="s">
        <v>124</v>
      </c>
      <c r="D142" s="70" t="s">
        <v>622</v>
      </c>
      <c r="E142" s="20">
        <v>2</v>
      </c>
      <c r="F142" s="21">
        <v>32</v>
      </c>
      <c r="G142" s="189" t="s">
        <v>626</v>
      </c>
      <c r="H142" s="48" t="s">
        <v>189</v>
      </c>
      <c r="I142" s="28" t="s">
        <v>946</v>
      </c>
      <c r="J142" s="20">
        <v>422</v>
      </c>
      <c r="K142" s="20">
        <f t="shared" si="36"/>
        <v>844</v>
      </c>
      <c r="L142" s="49">
        <f t="shared" si="52"/>
        <v>64</v>
      </c>
    </row>
    <row r="143" spans="2:12" ht="25.5" hidden="1" customHeight="1" x14ac:dyDescent="0.2">
      <c r="B143" s="189" t="s">
        <v>937</v>
      </c>
      <c r="C143" s="20" t="s">
        <v>124</v>
      </c>
      <c r="D143" s="70" t="s">
        <v>622</v>
      </c>
      <c r="E143" s="20">
        <v>2</v>
      </c>
      <c r="F143" s="21">
        <v>32</v>
      </c>
      <c r="G143" s="189" t="s">
        <v>629</v>
      </c>
      <c r="H143" s="48" t="s">
        <v>189</v>
      </c>
      <c r="I143" s="28" t="s">
        <v>946</v>
      </c>
      <c r="J143" s="20">
        <v>422</v>
      </c>
      <c r="K143" s="20">
        <f t="shared" si="36"/>
        <v>844</v>
      </c>
      <c r="L143" s="49">
        <f t="shared" si="52"/>
        <v>64</v>
      </c>
    </row>
    <row r="144" spans="2:12" ht="12.75" hidden="1" customHeight="1" x14ac:dyDescent="0.2">
      <c r="B144" s="337" t="s">
        <v>938</v>
      </c>
      <c r="C144" s="20" t="s">
        <v>124</v>
      </c>
      <c r="D144" s="70" t="s">
        <v>622</v>
      </c>
      <c r="E144" s="20">
        <v>1</v>
      </c>
      <c r="F144" s="21">
        <v>32</v>
      </c>
      <c r="G144" s="189" t="s">
        <v>623</v>
      </c>
      <c r="H144" s="48"/>
      <c r="I144" s="28" t="s">
        <v>946</v>
      </c>
      <c r="J144" s="20">
        <v>422</v>
      </c>
      <c r="K144" s="20">
        <f t="shared" si="36"/>
        <v>422</v>
      </c>
      <c r="L144" s="49">
        <f t="shared" si="52"/>
        <v>32</v>
      </c>
    </row>
    <row r="145" spans="2:12" ht="25.5" hidden="1" customHeight="1" x14ac:dyDescent="0.2">
      <c r="B145" s="337" t="s">
        <v>939</v>
      </c>
      <c r="C145" s="20" t="s">
        <v>124</v>
      </c>
      <c r="D145" s="70" t="s">
        <v>622</v>
      </c>
      <c r="E145" s="20">
        <v>1</v>
      </c>
      <c r="F145" s="21">
        <v>32</v>
      </c>
      <c r="G145" s="189" t="s">
        <v>623</v>
      </c>
      <c r="H145" s="48"/>
      <c r="I145" s="28" t="s">
        <v>946</v>
      </c>
      <c r="J145" s="20">
        <v>422</v>
      </c>
      <c r="K145" s="20">
        <f t="shared" si="36"/>
        <v>422</v>
      </c>
      <c r="L145" s="49">
        <f t="shared" si="52"/>
        <v>32</v>
      </c>
    </row>
    <row r="146" spans="2:12" ht="25.5" hidden="1" customHeight="1" x14ac:dyDescent="0.2">
      <c r="B146" s="338" t="s">
        <v>940</v>
      </c>
      <c r="C146" s="20" t="s">
        <v>124</v>
      </c>
      <c r="D146" s="70" t="s">
        <v>622</v>
      </c>
      <c r="E146" s="20">
        <v>4</v>
      </c>
      <c r="F146" s="21">
        <v>32</v>
      </c>
      <c r="G146" s="189" t="s">
        <v>628</v>
      </c>
      <c r="H146" s="48" t="s">
        <v>189</v>
      </c>
      <c r="I146" s="28" t="s">
        <v>946</v>
      </c>
      <c r="J146" s="20">
        <v>422</v>
      </c>
      <c r="K146" s="20">
        <f t="shared" si="36"/>
        <v>1688</v>
      </c>
      <c r="L146" s="49">
        <f t="shared" si="52"/>
        <v>128</v>
      </c>
    </row>
    <row r="147" spans="2:12" ht="38.25" hidden="1" customHeight="1" x14ac:dyDescent="0.2">
      <c r="B147" s="189" t="s">
        <v>941</v>
      </c>
      <c r="C147" s="20" t="s">
        <v>124</v>
      </c>
      <c r="D147" s="70" t="s">
        <v>622</v>
      </c>
      <c r="E147" s="20">
        <v>2</v>
      </c>
      <c r="F147" s="21">
        <v>32</v>
      </c>
      <c r="G147" s="189" t="s">
        <v>627</v>
      </c>
      <c r="H147" s="48" t="s">
        <v>189</v>
      </c>
      <c r="I147" s="28" t="s">
        <v>946</v>
      </c>
      <c r="J147" s="20">
        <v>422</v>
      </c>
      <c r="K147" s="20">
        <f t="shared" si="36"/>
        <v>844</v>
      </c>
      <c r="L147" s="49">
        <f t="shared" si="52"/>
        <v>64</v>
      </c>
    </row>
    <row r="148" spans="2:12" ht="38.25" hidden="1" customHeight="1" x14ac:dyDescent="0.2">
      <c r="B148" s="189" t="s">
        <v>632</v>
      </c>
      <c r="C148" s="20" t="s">
        <v>124</v>
      </c>
      <c r="D148" s="70" t="s">
        <v>3</v>
      </c>
      <c r="E148" s="20">
        <v>6</v>
      </c>
      <c r="F148" s="20">
        <v>32</v>
      </c>
      <c r="G148" s="189" t="s">
        <v>614</v>
      </c>
      <c r="H148" s="48" t="s">
        <v>189</v>
      </c>
      <c r="I148" s="28" t="s">
        <v>946</v>
      </c>
      <c r="J148" s="20">
        <v>40</v>
      </c>
      <c r="K148" s="20">
        <f t="shared" ref="K148" si="53">J148*E148</f>
        <v>240</v>
      </c>
      <c r="L148" s="49">
        <f t="shared" ref="L148" si="54">E148*F148</f>
        <v>192</v>
      </c>
    </row>
    <row r="149" spans="2:12" ht="38.25" hidden="1" customHeight="1" x14ac:dyDescent="0.2">
      <c r="B149" s="189" t="s">
        <v>632</v>
      </c>
      <c r="C149" s="20" t="s">
        <v>124</v>
      </c>
      <c r="D149" s="70" t="s">
        <v>622</v>
      </c>
      <c r="E149" s="20">
        <v>2</v>
      </c>
      <c r="F149" s="20">
        <v>32</v>
      </c>
      <c r="G149" s="189" t="s">
        <v>614</v>
      </c>
      <c r="H149" s="48" t="s">
        <v>189</v>
      </c>
      <c r="I149" s="28" t="s">
        <v>946</v>
      </c>
      <c r="J149" s="20">
        <v>422</v>
      </c>
      <c r="K149" s="20">
        <f t="shared" si="36"/>
        <v>844</v>
      </c>
      <c r="L149" s="49">
        <f t="shared" si="52"/>
        <v>64</v>
      </c>
    </row>
    <row r="150" spans="2:12" ht="38.25" hidden="1" customHeight="1" x14ac:dyDescent="0.2">
      <c r="B150" s="337" t="s">
        <v>938</v>
      </c>
      <c r="C150" s="20" t="s">
        <v>124</v>
      </c>
      <c r="D150" s="70" t="s">
        <v>622</v>
      </c>
      <c r="E150" s="20">
        <v>1</v>
      </c>
      <c r="F150" s="21">
        <v>32</v>
      </c>
      <c r="G150" s="189" t="s">
        <v>623</v>
      </c>
      <c r="H150" s="48" t="s">
        <v>189</v>
      </c>
      <c r="I150" s="28" t="s">
        <v>946</v>
      </c>
      <c r="J150" s="20">
        <v>422</v>
      </c>
      <c r="K150" s="20">
        <f t="shared" si="36"/>
        <v>422</v>
      </c>
      <c r="L150" s="49">
        <f t="shared" si="52"/>
        <v>32</v>
      </c>
    </row>
    <row r="151" spans="2:12" ht="25.5" hidden="1" customHeight="1" x14ac:dyDescent="0.2">
      <c r="B151" s="337" t="s">
        <v>939</v>
      </c>
      <c r="C151" s="20" t="s">
        <v>124</v>
      </c>
      <c r="D151" s="70" t="s">
        <v>622</v>
      </c>
      <c r="E151" s="20">
        <v>1</v>
      </c>
      <c r="F151" s="21">
        <v>32</v>
      </c>
      <c r="G151" s="189" t="s">
        <v>623</v>
      </c>
      <c r="H151" s="48"/>
      <c r="I151" s="28" t="s">
        <v>946</v>
      </c>
      <c r="J151" s="20">
        <v>422</v>
      </c>
      <c r="K151" s="20">
        <f t="shared" si="36"/>
        <v>422</v>
      </c>
      <c r="L151" s="49">
        <f t="shared" si="52"/>
        <v>32</v>
      </c>
    </row>
    <row r="152" spans="2:12" ht="38.25" hidden="1" customHeight="1" x14ac:dyDescent="0.2">
      <c r="B152" s="189" t="s">
        <v>633</v>
      </c>
      <c r="C152" s="20" t="s">
        <v>124</v>
      </c>
      <c r="D152" s="70" t="s">
        <v>622</v>
      </c>
      <c r="E152" s="20">
        <v>2</v>
      </c>
      <c r="F152" s="21">
        <v>32</v>
      </c>
      <c r="G152" s="189" t="s">
        <v>610</v>
      </c>
      <c r="H152" s="48"/>
      <c r="I152" s="28" t="s">
        <v>946</v>
      </c>
      <c r="J152" s="20">
        <v>422</v>
      </c>
      <c r="K152" s="20">
        <f t="shared" si="36"/>
        <v>844</v>
      </c>
      <c r="L152" s="49">
        <f t="shared" si="52"/>
        <v>64</v>
      </c>
    </row>
    <row r="153" spans="2:12" ht="38.25" hidden="1" customHeight="1" x14ac:dyDescent="0.2">
      <c r="B153" s="337" t="s">
        <v>939</v>
      </c>
      <c r="C153" s="20" t="s">
        <v>124</v>
      </c>
      <c r="D153" s="70" t="s">
        <v>622</v>
      </c>
      <c r="E153" s="20">
        <v>2</v>
      </c>
      <c r="F153" s="20">
        <v>32</v>
      </c>
      <c r="G153" s="189" t="s">
        <v>610</v>
      </c>
      <c r="H153" s="48"/>
      <c r="I153" s="28" t="s">
        <v>946</v>
      </c>
      <c r="J153" s="20">
        <v>422</v>
      </c>
      <c r="K153" s="20">
        <f t="shared" si="36"/>
        <v>844</v>
      </c>
      <c r="L153" s="49">
        <f t="shared" si="52"/>
        <v>64</v>
      </c>
    </row>
    <row r="154" spans="2:12" ht="25.5" hidden="1" customHeight="1" x14ac:dyDescent="0.2">
      <c r="B154" s="189" t="s">
        <v>636</v>
      </c>
      <c r="C154" s="20" t="s">
        <v>124</v>
      </c>
      <c r="D154" s="70" t="s">
        <v>622</v>
      </c>
      <c r="E154" s="20">
        <v>2</v>
      </c>
      <c r="F154" s="21">
        <v>32</v>
      </c>
      <c r="G154" s="189" t="s">
        <v>630</v>
      </c>
      <c r="H154" s="48" t="s">
        <v>189</v>
      </c>
      <c r="I154" s="28" t="s">
        <v>946</v>
      </c>
      <c r="J154" s="20">
        <v>422</v>
      </c>
      <c r="K154" s="20">
        <f t="shared" si="36"/>
        <v>844</v>
      </c>
      <c r="L154" s="49">
        <f t="shared" si="52"/>
        <v>64</v>
      </c>
    </row>
    <row r="155" spans="2:12" ht="25.5" hidden="1" customHeight="1" x14ac:dyDescent="0.2">
      <c r="B155" s="339" t="s">
        <v>942</v>
      </c>
      <c r="C155" s="20" t="s">
        <v>124</v>
      </c>
      <c r="D155" s="70" t="s">
        <v>622</v>
      </c>
      <c r="E155" s="20">
        <v>2</v>
      </c>
      <c r="F155" s="20">
        <v>32</v>
      </c>
      <c r="G155" s="21" t="s">
        <v>950</v>
      </c>
      <c r="H155" s="6"/>
      <c r="I155" s="28" t="s">
        <v>946</v>
      </c>
      <c r="J155" s="20">
        <v>422</v>
      </c>
      <c r="K155" s="20">
        <f t="shared" si="36"/>
        <v>844</v>
      </c>
      <c r="L155" s="49">
        <f t="shared" si="52"/>
        <v>64</v>
      </c>
    </row>
    <row r="156" spans="2:12" ht="25.5" hidden="1" customHeight="1" x14ac:dyDescent="0.2">
      <c r="B156" s="339" t="s">
        <v>943</v>
      </c>
      <c r="C156" s="20" t="s">
        <v>124</v>
      </c>
      <c r="D156" s="70" t="s">
        <v>622</v>
      </c>
      <c r="E156" s="20">
        <v>4</v>
      </c>
      <c r="F156" s="20">
        <v>32</v>
      </c>
      <c r="G156" s="342" t="s">
        <v>947</v>
      </c>
      <c r="H156" s="6"/>
      <c r="I156" s="28" t="s">
        <v>946</v>
      </c>
      <c r="J156" s="20">
        <v>422</v>
      </c>
      <c r="K156" s="20">
        <f t="shared" si="36"/>
        <v>1688</v>
      </c>
      <c r="L156" s="49">
        <f t="shared" si="52"/>
        <v>128</v>
      </c>
    </row>
    <row r="157" spans="2:12" ht="25.5" hidden="1" customHeight="1" x14ac:dyDescent="0.2">
      <c r="B157" s="339" t="s">
        <v>944</v>
      </c>
      <c r="C157" s="20" t="s">
        <v>124</v>
      </c>
      <c r="D157" s="70" t="s">
        <v>622</v>
      </c>
      <c r="E157" s="20">
        <v>4</v>
      </c>
      <c r="F157" s="20">
        <v>32</v>
      </c>
      <c r="G157" s="342" t="s">
        <v>949</v>
      </c>
      <c r="H157" s="6"/>
      <c r="I157" s="28" t="s">
        <v>946</v>
      </c>
      <c r="J157" s="20">
        <v>422</v>
      </c>
      <c r="K157" s="20">
        <f t="shared" si="36"/>
        <v>1688</v>
      </c>
      <c r="L157" s="49">
        <f t="shared" si="52"/>
        <v>128</v>
      </c>
    </row>
    <row r="158" spans="2:12" ht="25.5" hidden="1" customHeight="1" x14ac:dyDescent="0.2">
      <c r="B158" s="339" t="s">
        <v>945</v>
      </c>
      <c r="C158" s="340" t="s">
        <v>124</v>
      </c>
      <c r="D158" s="70" t="s">
        <v>622</v>
      </c>
      <c r="E158" s="49">
        <v>2</v>
      </c>
      <c r="F158" s="20">
        <v>32</v>
      </c>
      <c r="G158" s="342" t="s">
        <v>948</v>
      </c>
      <c r="H158" s="6"/>
      <c r="I158" s="28" t="s">
        <v>946</v>
      </c>
      <c r="J158" s="20">
        <v>422</v>
      </c>
      <c r="K158" s="20">
        <f t="shared" si="36"/>
        <v>844</v>
      </c>
      <c r="L158" s="49">
        <f t="shared" si="52"/>
        <v>64</v>
      </c>
    </row>
    <row r="159" spans="2:12" ht="25.5" hidden="1" customHeight="1" x14ac:dyDescent="0.2">
      <c r="B159" s="20" t="s">
        <v>656</v>
      </c>
      <c r="C159" s="20" t="s">
        <v>124</v>
      </c>
      <c r="D159" s="20" t="s">
        <v>3</v>
      </c>
      <c r="E159" s="20">
        <v>30</v>
      </c>
      <c r="F159" s="20">
        <v>33</v>
      </c>
      <c r="G159" s="20" t="s">
        <v>852</v>
      </c>
      <c r="H159" s="48" t="s">
        <v>189</v>
      </c>
      <c r="I159" s="28" t="s">
        <v>190</v>
      </c>
      <c r="J159" s="20">
        <v>40</v>
      </c>
      <c r="K159" s="20">
        <f t="shared" ref="K159" si="55">J159*E159</f>
        <v>1200</v>
      </c>
      <c r="L159" s="49">
        <f t="shared" si="52"/>
        <v>990</v>
      </c>
    </row>
    <row r="160" spans="2:12" ht="25.5" hidden="1" customHeight="1" x14ac:dyDescent="0.2">
      <c r="B160" s="20" t="s">
        <v>656</v>
      </c>
      <c r="C160" s="20" t="s">
        <v>124</v>
      </c>
      <c r="D160" s="20" t="s">
        <v>3</v>
      </c>
      <c r="E160" s="20">
        <v>18</v>
      </c>
      <c r="F160" s="20">
        <v>33</v>
      </c>
      <c r="G160" s="20" t="s">
        <v>140</v>
      </c>
      <c r="H160" s="48" t="s">
        <v>189</v>
      </c>
      <c r="I160" s="28" t="s">
        <v>190</v>
      </c>
      <c r="J160" s="20">
        <v>40</v>
      </c>
      <c r="K160" s="20">
        <f t="shared" si="36"/>
        <v>720</v>
      </c>
      <c r="L160" s="49">
        <f t="shared" ref="L160:L189" si="56">E160*F160</f>
        <v>594</v>
      </c>
    </row>
    <row r="161" spans="2:19" ht="38.25" hidden="1" customHeight="1" x14ac:dyDescent="0.2">
      <c r="B161" s="20" t="s">
        <v>4</v>
      </c>
      <c r="C161" s="20" t="s">
        <v>124</v>
      </c>
      <c r="D161" s="20" t="s">
        <v>3</v>
      </c>
      <c r="E161" s="20">
        <v>2</v>
      </c>
      <c r="F161" s="20">
        <v>25</v>
      </c>
      <c r="G161" s="20" t="s">
        <v>174</v>
      </c>
      <c r="H161" s="48" t="s">
        <v>189</v>
      </c>
      <c r="I161" s="28" t="s">
        <v>190</v>
      </c>
      <c r="J161" s="20">
        <v>60</v>
      </c>
      <c r="K161" s="20">
        <f t="shared" si="36"/>
        <v>120</v>
      </c>
      <c r="L161" s="49">
        <f t="shared" si="56"/>
        <v>50</v>
      </c>
    </row>
    <row r="162" spans="2:19" ht="25.5" hidden="1" customHeight="1" x14ac:dyDescent="0.2">
      <c r="B162" s="20" t="s">
        <v>5</v>
      </c>
      <c r="C162" s="20" t="s">
        <v>124</v>
      </c>
      <c r="D162" s="20" t="s">
        <v>3</v>
      </c>
      <c r="E162" s="20">
        <v>2</v>
      </c>
      <c r="F162" s="20">
        <v>25</v>
      </c>
      <c r="G162" s="20" t="s">
        <v>174</v>
      </c>
      <c r="H162" s="48" t="s">
        <v>189</v>
      </c>
      <c r="I162" s="28" t="s">
        <v>190</v>
      </c>
      <c r="J162" s="20">
        <v>60</v>
      </c>
      <c r="K162" s="20">
        <f t="shared" si="36"/>
        <v>120</v>
      </c>
      <c r="L162" s="49">
        <f t="shared" si="56"/>
        <v>50</v>
      </c>
    </row>
    <row r="163" spans="2:19" ht="25.5" hidden="1" customHeight="1" x14ac:dyDescent="0.2">
      <c r="B163" s="20" t="s">
        <v>14</v>
      </c>
      <c r="C163" s="20" t="s">
        <v>124</v>
      </c>
      <c r="D163" s="20" t="s">
        <v>3</v>
      </c>
      <c r="E163" s="20">
        <v>1</v>
      </c>
      <c r="F163" s="20">
        <v>25</v>
      </c>
      <c r="G163" s="20" t="s">
        <v>173</v>
      </c>
      <c r="H163" s="48" t="s">
        <v>189</v>
      </c>
      <c r="I163" s="28" t="s">
        <v>190</v>
      </c>
      <c r="J163" s="20">
        <v>50</v>
      </c>
      <c r="K163" s="20">
        <f t="shared" si="36"/>
        <v>50</v>
      </c>
      <c r="L163" s="49">
        <f t="shared" si="56"/>
        <v>25</v>
      </c>
    </row>
    <row r="164" spans="2:19" ht="12.75" hidden="1" customHeight="1" x14ac:dyDescent="0.2">
      <c r="B164" s="20" t="s">
        <v>14</v>
      </c>
      <c r="C164" s="20" t="s">
        <v>124</v>
      </c>
      <c r="D164" s="20" t="s">
        <v>3</v>
      </c>
      <c r="E164" s="20">
        <v>8</v>
      </c>
      <c r="F164" s="20">
        <v>25</v>
      </c>
      <c r="G164" s="20" t="s">
        <v>174</v>
      </c>
      <c r="H164" s="48" t="s">
        <v>189</v>
      </c>
      <c r="I164" s="28" t="s">
        <v>190</v>
      </c>
      <c r="J164" s="20">
        <v>50</v>
      </c>
      <c r="K164" s="20">
        <f t="shared" si="36"/>
        <v>400</v>
      </c>
      <c r="L164" s="49">
        <f t="shared" si="56"/>
        <v>200</v>
      </c>
    </row>
    <row r="165" spans="2:19" ht="25.5" hidden="1" customHeight="1" x14ac:dyDescent="0.2">
      <c r="B165" s="20" t="s">
        <v>9</v>
      </c>
      <c r="C165" s="20" t="s">
        <v>124</v>
      </c>
      <c r="D165" s="189" t="s">
        <v>3</v>
      </c>
      <c r="E165" s="20">
        <v>5</v>
      </c>
      <c r="F165" s="20">
        <v>25</v>
      </c>
      <c r="G165" s="20" t="s">
        <v>668</v>
      </c>
      <c r="H165" s="48" t="s">
        <v>189</v>
      </c>
      <c r="I165" s="28" t="s">
        <v>190</v>
      </c>
      <c r="J165" s="20">
        <v>50</v>
      </c>
      <c r="K165" s="20">
        <f t="shared" si="36"/>
        <v>250</v>
      </c>
      <c r="L165" s="49">
        <f t="shared" si="56"/>
        <v>125</v>
      </c>
      <c r="O165" s="1">
        <v>6</v>
      </c>
      <c r="P165" s="1">
        <v>7</v>
      </c>
      <c r="Q165" s="1">
        <v>70</v>
      </c>
      <c r="R165" s="1">
        <v>4</v>
      </c>
      <c r="S165" s="1">
        <f>R165*O165*P165*Q165</f>
        <v>11760</v>
      </c>
    </row>
    <row r="166" spans="2:19" ht="12.75" hidden="1" customHeight="1" x14ac:dyDescent="0.2">
      <c r="B166" s="20" t="s">
        <v>22</v>
      </c>
      <c r="C166" s="20" t="s">
        <v>124</v>
      </c>
      <c r="D166" s="20" t="s">
        <v>3</v>
      </c>
      <c r="E166" s="20">
        <v>4</v>
      </c>
      <c r="F166" s="20">
        <v>25</v>
      </c>
      <c r="G166" s="20" t="s">
        <v>177</v>
      </c>
      <c r="H166" s="48" t="s">
        <v>189</v>
      </c>
      <c r="I166" s="28" t="s">
        <v>190</v>
      </c>
      <c r="J166" s="20">
        <v>60</v>
      </c>
      <c r="K166" s="20">
        <f t="shared" si="36"/>
        <v>240</v>
      </c>
      <c r="L166" s="49">
        <f t="shared" si="56"/>
        <v>100</v>
      </c>
      <c r="O166" s="1">
        <v>6</v>
      </c>
      <c r="P166" s="1">
        <v>7</v>
      </c>
      <c r="Q166" s="1">
        <v>70</v>
      </c>
      <c r="R166" s="1">
        <v>4</v>
      </c>
      <c r="S166" s="1">
        <f>R166*O166*P166*Q166</f>
        <v>11760</v>
      </c>
    </row>
    <row r="167" spans="2:19" ht="25.5" hidden="1" customHeight="1" x14ac:dyDescent="0.2">
      <c r="B167" s="20" t="s">
        <v>667</v>
      </c>
      <c r="C167" s="20" t="s">
        <v>124</v>
      </c>
      <c r="D167" s="20" t="s">
        <v>3</v>
      </c>
      <c r="E167" s="20">
        <v>10</v>
      </c>
      <c r="F167" s="20">
        <v>25</v>
      </c>
      <c r="G167" s="260" t="s">
        <v>164</v>
      </c>
      <c r="H167" s="48" t="s">
        <v>189</v>
      </c>
      <c r="I167" s="28" t="s">
        <v>190</v>
      </c>
      <c r="J167" s="20">
        <v>40</v>
      </c>
      <c r="K167" s="20">
        <f t="shared" si="36"/>
        <v>400</v>
      </c>
      <c r="L167" s="49">
        <f t="shared" si="56"/>
        <v>250</v>
      </c>
    </row>
    <row r="168" spans="2:19" ht="25.5" hidden="1" customHeight="1" x14ac:dyDescent="0.2">
      <c r="B168" s="20" t="s">
        <v>227</v>
      </c>
      <c r="C168" s="20" t="s">
        <v>124</v>
      </c>
      <c r="D168" s="20" t="s">
        <v>3</v>
      </c>
      <c r="E168" s="20">
        <v>9</v>
      </c>
      <c r="F168" s="20">
        <v>25</v>
      </c>
      <c r="G168" s="260" t="s">
        <v>182</v>
      </c>
      <c r="H168" s="48" t="s">
        <v>189</v>
      </c>
      <c r="I168" s="28" t="s">
        <v>190</v>
      </c>
      <c r="J168" s="20">
        <v>40</v>
      </c>
      <c r="K168" s="20">
        <f t="shared" si="36"/>
        <v>360</v>
      </c>
      <c r="L168" s="49">
        <f t="shared" si="56"/>
        <v>225</v>
      </c>
      <c r="O168" s="1">
        <f>4*7</f>
        <v>28</v>
      </c>
    </row>
    <row r="169" spans="2:19" ht="25.5" hidden="1" customHeight="1" x14ac:dyDescent="0.2">
      <c r="B169" s="20" t="s">
        <v>39</v>
      </c>
      <c r="C169" s="20" t="s">
        <v>124</v>
      </c>
      <c r="D169" s="20" t="s">
        <v>3</v>
      </c>
      <c r="E169" s="20">
        <v>6</v>
      </c>
      <c r="F169" s="20">
        <v>25</v>
      </c>
      <c r="G169" s="20" t="s">
        <v>259</v>
      </c>
      <c r="H169" s="48" t="s">
        <v>189</v>
      </c>
      <c r="I169" s="28" t="s">
        <v>190</v>
      </c>
      <c r="J169" s="20">
        <v>50</v>
      </c>
      <c r="K169" s="20">
        <f t="shared" si="36"/>
        <v>300</v>
      </c>
      <c r="L169" s="49">
        <f t="shared" si="56"/>
        <v>150</v>
      </c>
    </row>
    <row r="170" spans="2:19" ht="25.5" hidden="1" customHeight="1" x14ac:dyDescent="0.2">
      <c r="B170" s="20" t="s">
        <v>51</v>
      </c>
      <c r="C170" s="20" t="s">
        <v>124</v>
      </c>
      <c r="D170" s="20" t="s">
        <v>3</v>
      </c>
      <c r="E170" s="20">
        <v>6</v>
      </c>
      <c r="F170" s="20">
        <v>25</v>
      </c>
      <c r="G170" s="20" t="s">
        <v>259</v>
      </c>
      <c r="H170" s="48" t="s">
        <v>189</v>
      </c>
      <c r="I170" s="28" t="s">
        <v>190</v>
      </c>
      <c r="J170" s="20">
        <v>50</v>
      </c>
      <c r="K170" s="20">
        <f t="shared" si="36"/>
        <v>300</v>
      </c>
      <c r="L170" s="49">
        <f t="shared" si="56"/>
        <v>150</v>
      </c>
    </row>
    <row r="171" spans="2:19" ht="25.5" hidden="1" customHeight="1" x14ac:dyDescent="0.2">
      <c r="B171" s="189" t="s">
        <v>209</v>
      </c>
      <c r="C171" s="20" t="s">
        <v>124</v>
      </c>
      <c r="D171" s="20" t="s">
        <v>3</v>
      </c>
      <c r="E171" s="20">
        <v>11</v>
      </c>
      <c r="F171" s="20">
        <v>25</v>
      </c>
      <c r="G171" s="6" t="s">
        <v>260</v>
      </c>
      <c r="H171" s="48" t="s">
        <v>189</v>
      </c>
      <c r="I171" s="28" t="s">
        <v>190</v>
      </c>
      <c r="J171" s="20">
        <v>40</v>
      </c>
      <c r="K171" s="20">
        <f t="shared" ref="K171:K237" si="57">J171*E171</f>
        <v>440</v>
      </c>
      <c r="L171" s="49">
        <f t="shared" si="56"/>
        <v>275</v>
      </c>
    </row>
    <row r="172" spans="2:19" ht="25.5" hidden="1" customHeight="1" x14ac:dyDescent="0.2">
      <c r="B172" s="20" t="s">
        <v>56</v>
      </c>
      <c r="C172" s="20" t="s">
        <v>124</v>
      </c>
      <c r="D172" s="20" t="s">
        <v>3</v>
      </c>
      <c r="E172" s="20">
        <v>42</v>
      </c>
      <c r="F172" s="20">
        <v>25</v>
      </c>
      <c r="G172" s="20" t="s">
        <v>329</v>
      </c>
      <c r="H172" s="48" t="s">
        <v>189</v>
      </c>
      <c r="I172" s="28" t="s">
        <v>190</v>
      </c>
      <c r="J172" s="20">
        <v>40</v>
      </c>
      <c r="K172" s="20">
        <f t="shared" si="57"/>
        <v>1680</v>
      </c>
      <c r="L172" s="49">
        <f t="shared" si="56"/>
        <v>1050</v>
      </c>
    </row>
    <row r="173" spans="2:19" ht="25.5" hidden="1" customHeight="1" x14ac:dyDescent="0.2">
      <c r="B173" s="20" t="s">
        <v>56</v>
      </c>
      <c r="C173" s="20" t="s">
        <v>124</v>
      </c>
      <c r="D173" s="20" t="s">
        <v>3</v>
      </c>
      <c r="E173" s="20">
        <v>42</v>
      </c>
      <c r="F173" s="20">
        <v>25</v>
      </c>
      <c r="G173" s="20" t="s">
        <v>263</v>
      </c>
      <c r="H173" s="48" t="s">
        <v>189</v>
      </c>
      <c r="I173" s="28" t="s">
        <v>190</v>
      </c>
      <c r="J173" s="20">
        <v>40</v>
      </c>
      <c r="K173" s="20">
        <f t="shared" si="57"/>
        <v>1680</v>
      </c>
      <c r="L173" s="49">
        <f t="shared" si="56"/>
        <v>1050</v>
      </c>
    </row>
    <row r="174" spans="2:19" ht="25.5" hidden="1" customHeight="1" x14ac:dyDescent="0.2">
      <c r="B174" s="20" t="s">
        <v>51</v>
      </c>
      <c r="C174" s="20" t="s">
        <v>124</v>
      </c>
      <c r="D174" s="20" t="s">
        <v>3</v>
      </c>
      <c r="E174" s="20">
        <v>4</v>
      </c>
      <c r="F174" s="20">
        <v>25</v>
      </c>
      <c r="G174" s="72" t="s">
        <v>264</v>
      </c>
      <c r="H174" s="48" t="s">
        <v>189</v>
      </c>
      <c r="I174" s="28" t="s">
        <v>190</v>
      </c>
      <c r="J174" s="20">
        <v>50</v>
      </c>
      <c r="K174" s="20">
        <f t="shared" si="57"/>
        <v>200</v>
      </c>
      <c r="L174" s="49">
        <f t="shared" si="56"/>
        <v>100</v>
      </c>
    </row>
    <row r="175" spans="2:19" ht="25.5" hidden="1" customHeight="1" x14ac:dyDescent="0.2">
      <c r="B175" s="20" t="s">
        <v>39</v>
      </c>
      <c r="C175" s="20" t="s">
        <v>124</v>
      </c>
      <c r="D175" s="20" t="s">
        <v>3</v>
      </c>
      <c r="E175" s="20">
        <v>7</v>
      </c>
      <c r="F175" s="20">
        <v>25</v>
      </c>
      <c r="G175" s="20" t="s">
        <v>159</v>
      </c>
      <c r="H175" s="48" t="s">
        <v>189</v>
      </c>
      <c r="I175" s="28" t="s">
        <v>190</v>
      </c>
      <c r="J175" s="20">
        <v>40</v>
      </c>
      <c r="K175" s="20">
        <f t="shared" si="57"/>
        <v>280</v>
      </c>
      <c r="L175" s="49">
        <f t="shared" si="56"/>
        <v>175</v>
      </c>
    </row>
    <row r="176" spans="2:19" ht="25.5" hidden="1" customHeight="1" x14ac:dyDescent="0.2">
      <c r="B176" s="20" t="s">
        <v>57</v>
      </c>
      <c r="C176" s="20" t="s">
        <v>124</v>
      </c>
      <c r="D176" s="20" t="s">
        <v>3</v>
      </c>
      <c r="E176" s="20">
        <v>8</v>
      </c>
      <c r="F176" s="20">
        <v>25</v>
      </c>
      <c r="G176" s="20" t="s">
        <v>159</v>
      </c>
      <c r="H176" s="48" t="s">
        <v>189</v>
      </c>
      <c r="I176" s="28" t="s">
        <v>190</v>
      </c>
      <c r="J176" s="20">
        <v>40</v>
      </c>
      <c r="K176" s="20">
        <f t="shared" si="57"/>
        <v>320</v>
      </c>
      <c r="L176" s="49">
        <f t="shared" si="56"/>
        <v>200</v>
      </c>
    </row>
    <row r="177" spans="2:12" ht="12.75" hidden="1" customHeight="1" x14ac:dyDescent="0.2">
      <c r="B177" s="20" t="s">
        <v>59</v>
      </c>
      <c r="C177" s="20" t="s">
        <v>124</v>
      </c>
      <c r="D177" s="20" t="s">
        <v>3</v>
      </c>
      <c r="E177" s="20">
        <v>7</v>
      </c>
      <c r="F177" s="20">
        <v>25</v>
      </c>
      <c r="G177" s="20" t="s">
        <v>266</v>
      </c>
      <c r="H177" s="48" t="s">
        <v>189</v>
      </c>
      <c r="I177" s="28" t="s">
        <v>190</v>
      </c>
      <c r="J177" s="20">
        <v>60</v>
      </c>
      <c r="K177" s="20">
        <f t="shared" si="57"/>
        <v>420</v>
      </c>
      <c r="L177" s="49">
        <f t="shared" si="56"/>
        <v>175</v>
      </c>
    </row>
    <row r="178" spans="2:12" ht="25.5" hidden="1" customHeight="1" x14ac:dyDescent="0.2">
      <c r="B178" s="20" t="s">
        <v>13</v>
      </c>
      <c r="C178" s="189" t="s">
        <v>124</v>
      </c>
      <c r="D178" s="20" t="s">
        <v>3</v>
      </c>
      <c r="E178" s="20">
        <v>2</v>
      </c>
      <c r="F178" s="20">
        <v>25</v>
      </c>
      <c r="G178" s="20" t="s">
        <v>719</v>
      </c>
      <c r="H178" s="48" t="s">
        <v>189</v>
      </c>
      <c r="I178" s="28" t="s">
        <v>190</v>
      </c>
      <c r="J178" s="20">
        <v>60</v>
      </c>
      <c r="K178" s="20">
        <f t="shared" ref="K178" si="58">J178*E178</f>
        <v>120</v>
      </c>
      <c r="L178" s="49">
        <f t="shared" ref="L178" si="59">E178*F178</f>
        <v>50</v>
      </c>
    </row>
    <row r="179" spans="2:12" ht="25.5" hidden="1" customHeight="1" x14ac:dyDescent="0.2">
      <c r="B179" s="20" t="s">
        <v>13</v>
      </c>
      <c r="C179" s="189" t="s">
        <v>124</v>
      </c>
      <c r="D179" s="20" t="s">
        <v>3</v>
      </c>
      <c r="E179" s="20">
        <v>3</v>
      </c>
      <c r="F179" s="20">
        <v>25</v>
      </c>
      <c r="G179" s="20" t="s">
        <v>272</v>
      </c>
      <c r="H179" s="48" t="s">
        <v>189</v>
      </c>
      <c r="I179" s="28" t="s">
        <v>190</v>
      </c>
      <c r="J179" s="20">
        <v>60</v>
      </c>
      <c r="K179" s="20">
        <f t="shared" si="57"/>
        <v>180</v>
      </c>
      <c r="L179" s="49">
        <f t="shared" si="56"/>
        <v>75</v>
      </c>
    </row>
    <row r="180" spans="2:12" ht="25.5" customHeight="1" x14ac:dyDescent="0.2">
      <c r="B180" s="20" t="s">
        <v>18</v>
      </c>
      <c r="C180" s="20" t="s">
        <v>124</v>
      </c>
      <c r="D180" s="20" t="s">
        <v>3</v>
      </c>
      <c r="E180" s="20">
        <v>20</v>
      </c>
      <c r="F180" s="20">
        <v>25</v>
      </c>
      <c r="G180" s="20" t="s">
        <v>155</v>
      </c>
      <c r="H180" s="48" t="s">
        <v>189</v>
      </c>
      <c r="I180" s="28" t="s">
        <v>190</v>
      </c>
      <c r="J180" s="20">
        <v>50</v>
      </c>
      <c r="K180" s="20">
        <f t="shared" si="57"/>
        <v>1000</v>
      </c>
      <c r="L180" s="49">
        <f t="shared" si="56"/>
        <v>500</v>
      </c>
    </row>
    <row r="181" spans="2:12" ht="25.5" hidden="1" customHeight="1" x14ac:dyDescent="0.2">
      <c r="B181" s="20" t="s">
        <v>62</v>
      </c>
      <c r="C181" s="20" t="s">
        <v>124</v>
      </c>
      <c r="D181" s="20" t="s">
        <v>3</v>
      </c>
      <c r="E181" s="20">
        <v>12</v>
      </c>
      <c r="F181" s="20">
        <v>25</v>
      </c>
      <c r="G181" s="20" t="s">
        <v>275</v>
      </c>
      <c r="H181" s="48" t="s">
        <v>189</v>
      </c>
      <c r="I181" s="28" t="s">
        <v>190</v>
      </c>
      <c r="J181" s="20">
        <v>40</v>
      </c>
      <c r="K181" s="20">
        <f t="shared" si="57"/>
        <v>480</v>
      </c>
      <c r="L181" s="49">
        <f t="shared" si="56"/>
        <v>300</v>
      </c>
    </row>
    <row r="182" spans="2:12" ht="38.25" hidden="1" customHeight="1" x14ac:dyDescent="0.2">
      <c r="B182" s="20" t="s">
        <v>28</v>
      </c>
      <c r="C182" s="20" t="s">
        <v>124</v>
      </c>
      <c r="D182" s="20" t="s">
        <v>3</v>
      </c>
      <c r="E182" s="20">
        <v>3</v>
      </c>
      <c r="F182" s="20">
        <v>25</v>
      </c>
      <c r="G182" s="20" t="s">
        <v>154</v>
      </c>
      <c r="H182" s="48" t="s">
        <v>189</v>
      </c>
      <c r="I182" s="28" t="s">
        <v>190</v>
      </c>
      <c r="J182" s="20">
        <v>40</v>
      </c>
      <c r="K182" s="20">
        <f t="shared" si="57"/>
        <v>120</v>
      </c>
      <c r="L182" s="49">
        <f t="shared" si="56"/>
        <v>75</v>
      </c>
    </row>
    <row r="183" spans="2:12" ht="25.5" hidden="1" customHeight="1" x14ac:dyDescent="0.2">
      <c r="B183" s="189" t="s">
        <v>29</v>
      </c>
      <c r="C183" s="20" t="s">
        <v>124</v>
      </c>
      <c r="D183" s="20" t="s">
        <v>3</v>
      </c>
      <c r="E183" s="20">
        <v>3</v>
      </c>
      <c r="F183" s="20">
        <v>25</v>
      </c>
      <c r="G183" s="20" t="s">
        <v>141</v>
      </c>
      <c r="H183" s="48" t="s">
        <v>189</v>
      </c>
      <c r="I183" s="28" t="s">
        <v>190</v>
      </c>
      <c r="J183" s="20">
        <v>50</v>
      </c>
      <c r="K183" s="20">
        <f t="shared" si="57"/>
        <v>150</v>
      </c>
      <c r="L183" s="49">
        <f t="shared" si="56"/>
        <v>75</v>
      </c>
    </row>
    <row r="184" spans="2:12" ht="25.5" hidden="1" customHeight="1" x14ac:dyDescent="0.2">
      <c r="B184" s="20" t="s">
        <v>31</v>
      </c>
      <c r="C184" s="20" t="s">
        <v>124</v>
      </c>
      <c r="D184" s="189" t="s">
        <v>3</v>
      </c>
      <c r="E184" s="20">
        <v>7</v>
      </c>
      <c r="F184" s="20">
        <v>25</v>
      </c>
      <c r="G184" s="20" t="s">
        <v>175</v>
      </c>
      <c r="H184" s="48" t="s">
        <v>189</v>
      </c>
      <c r="I184" s="28" t="s">
        <v>190</v>
      </c>
      <c r="J184" s="20">
        <v>40</v>
      </c>
      <c r="K184" s="20">
        <f t="shared" si="57"/>
        <v>280</v>
      </c>
      <c r="L184" s="49">
        <f t="shared" si="56"/>
        <v>175</v>
      </c>
    </row>
    <row r="185" spans="2:12" ht="25.5" hidden="1" customHeight="1" x14ac:dyDescent="0.2">
      <c r="B185" s="20" t="s">
        <v>32</v>
      </c>
      <c r="C185" s="20" t="s">
        <v>124</v>
      </c>
      <c r="D185" s="20" t="s">
        <v>3</v>
      </c>
      <c r="E185" s="20">
        <v>7</v>
      </c>
      <c r="F185" s="20">
        <v>25</v>
      </c>
      <c r="G185" s="20" t="s">
        <v>175</v>
      </c>
      <c r="H185" s="48" t="s">
        <v>189</v>
      </c>
      <c r="I185" s="28" t="s">
        <v>190</v>
      </c>
      <c r="J185" s="20">
        <v>40</v>
      </c>
      <c r="K185" s="20">
        <f t="shared" si="57"/>
        <v>280</v>
      </c>
      <c r="L185" s="49">
        <f t="shared" si="56"/>
        <v>175</v>
      </c>
    </row>
    <row r="186" spans="2:12" ht="25.5" hidden="1" customHeight="1" x14ac:dyDescent="0.2">
      <c r="B186" s="20" t="s">
        <v>34</v>
      </c>
      <c r="C186" s="20" t="s">
        <v>124</v>
      </c>
      <c r="D186" s="20" t="s">
        <v>3</v>
      </c>
      <c r="E186" s="20">
        <v>7</v>
      </c>
      <c r="F186" s="20">
        <v>25</v>
      </c>
      <c r="G186" s="20" t="s">
        <v>175</v>
      </c>
      <c r="H186" s="48" t="s">
        <v>189</v>
      </c>
      <c r="I186" s="28" t="s">
        <v>190</v>
      </c>
      <c r="J186" s="20">
        <v>40</v>
      </c>
      <c r="K186" s="20">
        <f t="shared" si="57"/>
        <v>280</v>
      </c>
      <c r="L186" s="49">
        <f t="shared" si="56"/>
        <v>175</v>
      </c>
    </row>
    <row r="187" spans="2:12" ht="25.5" hidden="1" customHeight="1" x14ac:dyDescent="0.2">
      <c r="B187" s="20" t="s">
        <v>38</v>
      </c>
      <c r="C187" s="20" t="s">
        <v>124</v>
      </c>
      <c r="D187" s="20" t="s">
        <v>3</v>
      </c>
      <c r="E187" s="20">
        <v>13</v>
      </c>
      <c r="F187" s="20">
        <v>25</v>
      </c>
      <c r="G187" s="20" t="s">
        <v>171</v>
      </c>
      <c r="H187" s="48" t="s">
        <v>189</v>
      </c>
      <c r="I187" s="28" t="s">
        <v>7</v>
      </c>
      <c r="J187" s="20">
        <v>50</v>
      </c>
      <c r="K187" s="20">
        <f t="shared" si="57"/>
        <v>650</v>
      </c>
      <c r="L187" s="49">
        <f t="shared" si="56"/>
        <v>325</v>
      </c>
    </row>
    <row r="188" spans="2:12" ht="12.75" hidden="1" customHeight="1" x14ac:dyDescent="0.2">
      <c r="B188" s="20" t="s">
        <v>456</v>
      </c>
      <c r="C188" s="20" t="s">
        <v>125</v>
      </c>
      <c r="D188" t="s">
        <v>8</v>
      </c>
      <c r="E188" s="20">
        <v>42</v>
      </c>
      <c r="F188" s="20">
        <v>25</v>
      </c>
      <c r="G188" s="220" t="s">
        <v>1031</v>
      </c>
      <c r="H188" s="48" t="s">
        <v>189</v>
      </c>
      <c r="I188" s="28" t="s">
        <v>190</v>
      </c>
      <c r="J188" s="20">
        <v>40</v>
      </c>
      <c r="K188" s="20">
        <f t="shared" ref="K188" si="60">J188*E188</f>
        <v>1680</v>
      </c>
      <c r="L188" s="49">
        <f t="shared" ref="L188" si="61">E188*F188</f>
        <v>1050</v>
      </c>
    </row>
    <row r="189" spans="2:12" ht="12.75" hidden="1" customHeight="1" x14ac:dyDescent="0.2">
      <c r="B189" s="20" t="s">
        <v>196</v>
      </c>
      <c r="C189" s="20" t="s">
        <v>124</v>
      </c>
      <c r="D189" t="s">
        <v>3</v>
      </c>
      <c r="E189" s="20">
        <v>16</v>
      </c>
      <c r="F189" s="20">
        <v>25</v>
      </c>
      <c r="G189" s="20" t="s">
        <v>682</v>
      </c>
      <c r="H189" s="48" t="s">
        <v>189</v>
      </c>
      <c r="I189" s="28" t="s">
        <v>190</v>
      </c>
      <c r="J189" s="20">
        <v>60</v>
      </c>
      <c r="K189" s="20">
        <f t="shared" si="57"/>
        <v>960</v>
      </c>
      <c r="L189" s="49">
        <f t="shared" si="56"/>
        <v>400</v>
      </c>
    </row>
    <row r="190" spans="2:12" ht="12.75" hidden="1" customHeight="1" x14ac:dyDescent="0.2">
      <c r="B190" s="20" t="s">
        <v>204</v>
      </c>
      <c r="C190" s="20" t="s">
        <v>124</v>
      </c>
      <c r="D190" s="20" t="s">
        <v>3</v>
      </c>
      <c r="E190" s="20">
        <v>5</v>
      </c>
      <c r="F190" s="20">
        <v>25</v>
      </c>
      <c r="G190" s="178" t="s">
        <v>322</v>
      </c>
      <c r="H190" s="48" t="s">
        <v>189</v>
      </c>
      <c r="I190" s="28" t="s">
        <v>190</v>
      </c>
      <c r="J190" s="20">
        <v>50</v>
      </c>
      <c r="K190" s="20">
        <f t="shared" si="57"/>
        <v>250</v>
      </c>
      <c r="L190" s="49">
        <f t="shared" ref="L190:L222" si="62">E190*F190</f>
        <v>125</v>
      </c>
    </row>
    <row r="191" spans="2:12" ht="38.25" hidden="1" customHeight="1" x14ac:dyDescent="0.2">
      <c r="B191" s="20" t="s">
        <v>196</v>
      </c>
      <c r="C191" s="20" t="s">
        <v>124</v>
      </c>
      <c r="D191" s="20" t="s">
        <v>3</v>
      </c>
      <c r="E191" s="20">
        <v>20</v>
      </c>
      <c r="F191" s="20">
        <v>25</v>
      </c>
      <c r="G191" s="20" t="s">
        <v>927</v>
      </c>
      <c r="H191" s="48" t="s">
        <v>189</v>
      </c>
      <c r="I191" s="28" t="s">
        <v>190</v>
      </c>
      <c r="J191" s="20">
        <v>50</v>
      </c>
      <c r="K191" s="20">
        <f t="shared" ref="K191" si="63">J191*E191</f>
        <v>1000</v>
      </c>
      <c r="L191" s="49">
        <f t="shared" ref="L191" si="64">E191*F191</f>
        <v>500</v>
      </c>
    </row>
    <row r="192" spans="2:12" ht="38.25" hidden="1" customHeight="1" x14ac:dyDescent="0.2">
      <c r="B192" s="20" t="s">
        <v>39</v>
      </c>
      <c r="C192" s="20" t="s">
        <v>124</v>
      </c>
      <c r="D192" s="20" t="s">
        <v>3</v>
      </c>
      <c r="E192" s="20">
        <v>6</v>
      </c>
      <c r="F192" s="20">
        <v>25</v>
      </c>
      <c r="G192" s="20" t="s">
        <v>325</v>
      </c>
      <c r="H192" s="48" t="s">
        <v>189</v>
      </c>
      <c r="I192" s="28" t="s">
        <v>190</v>
      </c>
      <c r="J192" s="20">
        <v>50</v>
      </c>
      <c r="K192" s="20">
        <f t="shared" si="57"/>
        <v>300</v>
      </c>
      <c r="L192" s="49">
        <f t="shared" si="62"/>
        <v>150</v>
      </c>
    </row>
    <row r="193" spans="2:12" ht="12.75" hidden="1" customHeight="1" x14ac:dyDescent="0.2">
      <c r="B193" s="20" t="s">
        <v>24</v>
      </c>
      <c r="C193" s="20" t="s">
        <v>124</v>
      </c>
      <c r="D193" s="20" t="s">
        <v>3</v>
      </c>
      <c r="E193" s="20">
        <v>2</v>
      </c>
      <c r="F193" s="20">
        <v>30</v>
      </c>
      <c r="G193" s="20" t="s">
        <v>333</v>
      </c>
      <c r="H193" s="48" t="s">
        <v>189</v>
      </c>
      <c r="I193" s="28" t="s">
        <v>190</v>
      </c>
      <c r="J193" s="20">
        <v>40</v>
      </c>
      <c r="K193" s="20">
        <f t="shared" si="57"/>
        <v>80</v>
      </c>
      <c r="L193" s="49">
        <f t="shared" si="62"/>
        <v>60</v>
      </c>
    </row>
    <row r="194" spans="2:12" ht="25.5" hidden="1" customHeight="1" x14ac:dyDescent="0.2">
      <c r="B194" s="20" t="s">
        <v>55</v>
      </c>
      <c r="C194" s="20" t="s">
        <v>124</v>
      </c>
      <c r="D194" s="20" t="s">
        <v>3</v>
      </c>
      <c r="E194" s="20">
        <v>5</v>
      </c>
      <c r="F194" s="20">
        <v>25</v>
      </c>
      <c r="G194" s="20" t="s">
        <v>334</v>
      </c>
      <c r="H194" s="48" t="s">
        <v>189</v>
      </c>
      <c r="I194" s="28" t="s">
        <v>190</v>
      </c>
      <c r="J194" s="20">
        <v>40</v>
      </c>
      <c r="K194" s="20">
        <f t="shared" si="57"/>
        <v>200</v>
      </c>
      <c r="L194" s="49">
        <f t="shared" si="62"/>
        <v>125</v>
      </c>
    </row>
    <row r="195" spans="2:12" ht="25.5" hidden="1" customHeight="1" x14ac:dyDescent="0.2">
      <c r="B195" s="20" t="s">
        <v>68</v>
      </c>
      <c r="C195" s="20" t="s">
        <v>124</v>
      </c>
      <c r="D195" s="20" t="s">
        <v>3</v>
      </c>
      <c r="E195" s="20">
        <v>5</v>
      </c>
      <c r="F195" s="20">
        <v>25</v>
      </c>
      <c r="G195" s="20" t="s">
        <v>334</v>
      </c>
      <c r="H195" s="48" t="s">
        <v>189</v>
      </c>
      <c r="I195" s="28" t="s">
        <v>190</v>
      </c>
      <c r="J195" s="20">
        <v>40</v>
      </c>
      <c r="K195" s="20">
        <f t="shared" si="57"/>
        <v>200</v>
      </c>
      <c r="L195" s="49">
        <f t="shared" si="62"/>
        <v>125</v>
      </c>
    </row>
    <row r="196" spans="2:12" ht="25.5" hidden="1" customHeight="1" x14ac:dyDescent="0.2">
      <c r="B196" s="20" t="s">
        <v>10</v>
      </c>
      <c r="C196" s="20" t="s">
        <v>124</v>
      </c>
      <c r="D196" s="20" t="s">
        <v>3</v>
      </c>
      <c r="E196" s="20">
        <v>4</v>
      </c>
      <c r="F196" s="20">
        <v>25</v>
      </c>
      <c r="G196" s="20" t="s">
        <v>334</v>
      </c>
      <c r="H196" s="48" t="s">
        <v>189</v>
      </c>
      <c r="I196" s="28" t="s">
        <v>190</v>
      </c>
      <c r="J196" s="20">
        <v>40</v>
      </c>
      <c r="K196" s="20">
        <f t="shared" si="57"/>
        <v>160</v>
      </c>
      <c r="L196" s="49">
        <f t="shared" si="62"/>
        <v>100</v>
      </c>
    </row>
    <row r="197" spans="2:12" ht="25.5" hidden="1" customHeight="1" x14ac:dyDescent="0.2">
      <c r="B197" s="20" t="s">
        <v>11</v>
      </c>
      <c r="C197" s="20" t="s">
        <v>124</v>
      </c>
      <c r="D197" s="20" t="s">
        <v>3</v>
      </c>
      <c r="E197" s="20">
        <v>4</v>
      </c>
      <c r="F197" s="20">
        <v>25</v>
      </c>
      <c r="G197" s="20" t="s">
        <v>334</v>
      </c>
      <c r="H197" s="48" t="s">
        <v>189</v>
      </c>
      <c r="I197" s="28" t="s">
        <v>190</v>
      </c>
      <c r="J197" s="20">
        <v>40</v>
      </c>
      <c r="K197" s="20">
        <f t="shared" si="57"/>
        <v>160</v>
      </c>
      <c r="L197" s="49">
        <f t="shared" si="62"/>
        <v>100</v>
      </c>
    </row>
    <row r="198" spans="2:12" ht="38.25" hidden="1" customHeight="1" x14ac:dyDescent="0.2">
      <c r="B198" s="20" t="s">
        <v>63</v>
      </c>
      <c r="C198" s="20" t="s">
        <v>124</v>
      </c>
      <c r="D198" s="20" t="s">
        <v>71</v>
      </c>
      <c r="E198" s="20">
        <v>4</v>
      </c>
      <c r="F198" s="20">
        <v>31</v>
      </c>
      <c r="G198" s="20" t="s">
        <v>161</v>
      </c>
      <c r="H198" s="48" t="s">
        <v>189</v>
      </c>
      <c r="I198" s="28" t="s">
        <v>197</v>
      </c>
      <c r="J198" s="20">
        <v>50</v>
      </c>
      <c r="K198" s="20">
        <f t="shared" si="57"/>
        <v>200</v>
      </c>
      <c r="L198" s="49">
        <f t="shared" si="62"/>
        <v>124</v>
      </c>
    </row>
    <row r="199" spans="2:12" ht="25.5" hidden="1" customHeight="1" x14ac:dyDescent="0.2">
      <c r="B199" s="20" t="s">
        <v>671</v>
      </c>
      <c r="C199" s="20" t="s">
        <v>124</v>
      </c>
      <c r="D199" s="20" t="s">
        <v>6</v>
      </c>
      <c r="E199" s="20">
        <v>43</v>
      </c>
      <c r="F199" s="20">
        <v>33</v>
      </c>
      <c r="G199" s="6" t="s">
        <v>281</v>
      </c>
      <c r="H199" s="48" t="s">
        <v>189</v>
      </c>
      <c r="I199" s="28" t="s">
        <v>190</v>
      </c>
      <c r="J199" s="20">
        <v>40</v>
      </c>
      <c r="K199" s="20">
        <f t="shared" si="57"/>
        <v>1720</v>
      </c>
      <c r="L199" s="49">
        <f t="shared" si="62"/>
        <v>1419</v>
      </c>
    </row>
    <row r="200" spans="2:12" ht="38.25" hidden="1" customHeight="1" x14ac:dyDescent="0.2">
      <c r="B200" s="20" t="s">
        <v>393</v>
      </c>
      <c r="C200" s="20" t="s">
        <v>124</v>
      </c>
      <c r="D200" s="20" t="s">
        <v>6</v>
      </c>
      <c r="E200" s="20">
        <v>42</v>
      </c>
      <c r="F200" s="20">
        <v>33</v>
      </c>
      <c r="G200" s="20" t="s">
        <v>241</v>
      </c>
      <c r="H200" s="48" t="s">
        <v>189</v>
      </c>
      <c r="I200" s="28" t="s">
        <v>190</v>
      </c>
      <c r="J200" s="20">
        <v>40</v>
      </c>
      <c r="K200" s="20">
        <f t="shared" si="57"/>
        <v>1680</v>
      </c>
      <c r="L200" s="49">
        <f t="shared" si="62"/>
        <v>1386</v>
      </c>
    </row>
    <row r="201" spans="2:12" ht="25.5" hidden="1" customHeight="1" x14ac:dyDescent="0.2">
      <c r="B201" s="20" t="s">
        <v>10</v>
      </c>
      <c r="C201" s="20" t="s">
        <v>124</v>
      </c>
      <c r="D201" s="20" t="s">
        <v>6</v>
      </c>
      <c r="E201" s="20">
        <v>7</v>
      </c>
      <c r="F201" s="20">
        <v>33</v>
      </c>
      <c r="G201" s="20" t="s">
        <v>284</v>
      </c>
      <c r="H201" s="48" t="s">
        <v>189</v>
      </c>
      <c r="I201" s="28" t="s">
        <v>190</v>
      </c>
      <c r="J201" s="20">
        <v>40</v>
      </c>
      <c r="K201" s="20">
        <f t="shared" si="57"/>
        <v>280</v>
      </c>
      <c r="L201" s="49">
        <f t="shared" si="62"/>
        <v>231</v>
      </c>
    </row>
    <row r="202" spans="2:12" ht="38.25" hidden="1" customHeight="1" x14ac:dyDescent="0.2">
      <c r="B202" s="20" t="s">
        <v>9</v>
      </c>
      <c r="C202" s="20" t="s">
        <v>124</v>
      </c>
      <c r="D202" s="20" t="s">
        <v>6</v>
      </c>
      <c r="E202" s="20">
        <v>25</v>
      </c>
      <c r="F202" s="20">
        <v>25</v>
      </c>
      <c r="G202" s="20" t="s">
        <v>668</v>
      </c>
      <c r="H202" s="48" t="s">
        <v>189</v>
      </c>
      <c r="I202" s="28" t="s">
        <v>190</v>
      </c>
      <c r="J202" s="20">
        <v>50</v>
      </c>
      <c r="K202" s="20">
        <f t="shared" si="57"/>
        <v>1250</v>
      </c>
      <c r="L202" s="49">
        <f t="shared" si="62"/>
        <v>625</v>
      </c>
    </row>
    <row r="203" spans="2:12" ht="25.5" hidden="1" customHeight="1" x14ac:dyDescent="0.2">
      <c r="B203" s="67" t="s">
        <v>386</v>
      </c>
      <c r="C203" s="20" t="s">
        <v>124</v>
      </c>
      <c r="D203" s="189" t="s">
        <v>6</v>
      </c>
      <c r="E203" s="20">
        <v>2</v>
      </c>
      <c r="F203" s="20">
        <v>30</v>
      </c>
      <c r="G203" s="67" t="s">
        <v>237</v>
      </c>
      <c r="H203" s="48" t="s">
        <v>189</v>
      </c>
      <c r="I203" s="28" t="s">
        <v>190</v>
      </c>
      <c r="J203" s="20">
        <v>40</v>
      </c>
      <c r="K203" s="20">
        <f t="shared" si="57"/>
        <v>80</v>
      </c>
      <c r="L203" s="49">
        <f t="shared" si="62"/>
        <v>60</v>
      </c>
    </row>
    <row r="204" spans="2:12" ht="25.5" hidden="1" customHeight="1" x14ac:dyDescent="0.2">
      <c r="B204" s="20" t="s">
        <v>11</v>
      </c>
      <c r="C204" s="20" t="s">
        <v>124</v>
      </c>
      <c r="D204" s="20" t="s">
        <v>6</v>
      </c>
      <c r="E204" s="20">
        <v>4</v>
      </c>
      <c r="F204" s="20">
        <v>30</v>
      </c>
      <c r="G204" s="67" t="s">
        <v>237</v>
      </c>
      <c r="H204" s="48" t="s">
        <v>189</v>
      </c>
      <c r="I204" s="28" t="s">
        <v>190</v>
      </c>
      <c r="J204" s="20">
        <v>40</v>
      </c>
      <c r="K204" s="20">
        <f t="shared" si="57"/>
        <v>160</v>
      </c>
      <c r="L204" s="49">
        <f t="shared" si="62"/>
        <v>120</v>
      </c>
    </row>
    <row r="205" spans="2:12" ht="13.5" hidden="1" customHeight="1" x14ac:dyDescent="0.2">
      <c r="B205" s="20" t="s">
        <v>51</v>
      </c>
      <c r="C205" s="20" t="s">
        <v>124</v>
      </c>
      <c r="D205" s="20" t="s">
        <v>6</v>
      </c>
      <c r="E205" s="20">
        <v>25</v>
      </c>
      <c r="F205" s="20">
        <v>25</v>
      </c>
      <c r="G205" s="72" t="s">
        <v>264</v>
      </c>
      <c r="H205" s="48" t="s">
        <v>189</v>
      </c>
      <c r="I205" s="28" t="s">
        <v>190</v>
      </c>
      <c r="J205" s="20">
        <v>50</v>
      </c>
      <c r="K205" s="20">
        <f t="shared" si="57"/>
        <v>1250</v>
      </c>
      <c r="L205" s="49">
        <f t="shared" si="62"/>
        <v>625</v>
      </c>
    </row>
    <row r="206" spans="2:12" ht="12.75" hidden="1" customHeight="1" x14ac:dyDescent="0.2">
      <c r="B206" s="20" t="s">
        <v>60</v>
      </c>
      <c r="C206" s="20" t="s">
        <v>124</v>
      </c>
      <c r="D206" s="189" t="s">
        <v>6</v>
      </c>
      <c r="E206" s="20">
        <v>7</v>
      </c>
      <c r="F206" s="20">
        <v>25</v>
      </c>
      <c r="G206" s="20" t="s">
        <v>266</v>
      </c>
      <c r="H206" s="48" t="s">
        <v>189</v>
      </c>
      <c r="I206" s="28" t="s">
        <v>190</v>
      </c>
      <c r="J206" s="20">
        <v>40</v>
      </c>
      <c r="K206" s="20">
        <f t="shared" si="57"/>
        <v>280</v>
      </c>
      <c r="L206" s="49">
        <f t="shared" si="62"/>
        <v>175</v>
      </c>
    </row>
    <row r="207" spans="2:12" ht="13.5" hidden="1" customHeight="1" x14ac:dyDescent="0.2">
      <c r="B207" s="20" t="s">
        <v>223</v>
      </c>
      <c r="C207" s="20" t="s">
        <v>124</v>
      </c>
      <c r="D207" s="20" t="s">
        <v>6</v>
      </c>
      <c r="E207" s="20">
        <v>14</v>
      </c>
      <c r="F207" s="20">
        <v>25</v>
      </c>
      <c r="G207" s="20" t="s">
        <v>161</v>
      </c>
      <c r="H207" s="48" t="s">
        <v>189</v>
      </c>
      <c r="I207" s="28" t="s">
        <v>197</v>
      </c>
      <c r="J207" s="20">
        <v>50</v>
      </c>
      <c r="K207" s="20">
        <f t="shared" si="57"/>
        <v>700</v>
      </c>
      <c r="L207" s="49">
        <f t="shared" si="62"/>
        <v>350</v>
      </c>
    </row>
    <row r="208" spans="2:12" ht="13.5" hidden="1" customHeight="1" x14ac:dyDescent="0.2">
      <c r="B208" s="20" t="s">
        <v>60</v>
      </c>
      <c r="C208" s="20" t="s">
        <v>124</v>
      </c>
      <c r="D208" s="20" t="s">
        <v>6</v>
      </c>
      <c r="E208" s="20">
        <v>30</v>
      </c>
      <c r="F208" s="20">
        <v>25</v>
      </c>
      <c r="G208" s="20" t="s">
        <v>279</v>
      </c>
      <c r="H208" s="48" t="s">
        <v>189</v>
      </c>
      <c r="I208" s="28" t="s">
        <v>190</v>
      </c>
      <c r="J208" s="20">
        <v>40</v>
      </c>
      <c r="K208" s="20">
        <f t="shared" si="57"/>
        <v>1200</v>
      </c>
      <c r="L208" s="49">
        <f t="shared" si="62"/>
        <v>750</v>
      </c>
    </row>
    <row r="209" spans="2:12" ht="14.25" hidden="1" customHeight="1" x14ac:dyDescent="0.2">
      <c r="B209" s="20" t="s">
        <v>25</v>
      </c>
      <c r="C209" s="20" t="s">
        <v>124</v>
      </c>
      <c r="D209" s="20" t="s">
        <v>6</v>
      </c>
      <c r="E209" s="20">
        <v>28</v>
      </c>
      <c r="F209" s="20">
        <v>25</v>
      </c>
      <c r="G209" s="20" t="s">
        <v>277</v>
      </c>
      <c r="H209" s="48" t="s">
        <v>189</v>
      </c>
      <c r="I209" s="28" t="s">
        <v>190</v>
      </c>
      <c r="J209" s="20">
        <v>40</v>
      </c>
      <c r="K209" s="20">
        <f t="shared" si="57"/>
        <v>1120</v>
      </c>
      <c r="L209" s="49">
        <f t="shared" si="62"/>
        <v>700</v>
      </c>
    </row>
    <row r="210" spans="2:12" ht="14.25" hidden="1" customHeight="1" x14ac:dyDescent="0.2">
      <c r="B210" s="20" t="s">
        <v>27</v>
      </c>
      <c r="C210" s="20" t="s">
        <v>124</v>
      </c>
      <c r="D210" s="20" t="s">
        <v>6</v>
      </c>
      <c r="E210" s="20">
        <v>8</v>
      </c>
      <c r="F210" s="20">
        <v>25</v>
      </c>
      <c r="G210" s="260" t="s">
        <v>182</v>
      </c>
      <c r="H210" s="48" t="s">
        <v>189</v>
      </c>
      <c r="I210" s="28" t="s">
        <v>190</v>
      </c>
      <c r="J210" s="20">
        <v>40</v>
      </c>
      <c r="K210" s="20">
        <f t="shared" si="57"/>
        <v>320</v>
      </c>
      <c r="L210" s="49">
        <f t="shared" si="62"/>
        <v>200</v>
      </c>
    </row>
    <row r="211" spans="2:12" ht="14.25" hidden="1" customHeight="1" x14ac:dyDescent="0.2">
      <c r="B211" s="20" t="s">
        <v>395</v>
      </c>
      <c r="C211" s="20" t="s">
        <v>124</v>
      </c>
      <c r="D211" s="189" t="s">
        <v>6</v>
      </c>
      <c r="E211" s="20">
        <v>10</v>
      </c>
      <c r="F211" s="20">
        <v>25</v>
      </c>
      <c r="G211" s="20" t="s">
        <v>603</v>
      </c>
      <c r="H211" s="48" t="s">
        <v>189</v>
      </c>
      <c r="I211" s="28" t="s">
        <v>190</v>
      </c>
      <c r="J211" s="20">
        <v>40</v>
      </c>
      <c r="K211" s="20">
        <f t="shared" si="57"/>
        <v>400</v>
      </c>
      <c r="L211" s="49">
        <f t="shared" si="62"/>
        <v>250</v>
      </c>
    </row>
    <row r="212" spans="2:12" ht="25.5" hidden="1" customHeight="1" x14ac:dyDescent="0.2">
      <c r="B212" s="20" t="s">
        <v>27</v>
      </c>
      <c r="C212" s="20" t="s">
        <v>124</v>
      </c>
      <c r="D212" s="20" t="s">
        <v>6</v>
      </c>
      <c r="E212" s="20">
        <v>8</v>
      </c>
      <c r="F212" s="20">
        <v>25</v>
      </c>
      <c r="G212" s="260" t="s">
        <v>182</v>
      </c>
      <c r="H212" s="48" t="s">
        <v>189</v>
      </c>
      <c r="I212" s="28" t="s">
        <v>190</v>
      </c>
      <c r="J212" s="20">
        <v>40</v>
      </c>
      <c r="K212" s="20">
        <f t="shared" si="57"/>
        <v>320</v>
      </c>
      <c r="L212" s="49">
        <f t="shared" si="62"/>
        <v>200</v>
      </c>
    </row>
    <row r="213" spans="2:12" ht="25.5" hidden="1" customHeight="1" x14ac:dyDescent="0.2">
      <c r="B213" s="20" t="s">
        <v>9</v>
      </c>
      <c r="C213" s="20" t="s">
        <v>124</v>
      </c>
      <c r="D213" s="20" t="s">
        <v>6</v>
      </c>
      <c r="E213" s="20">
        <v>25</v>
      </c>
      <c r="F213" s="20">
        <v>25</v>
      </c>
      <c r="G213" s="20" t="s">
        <v>314</v>
      </c>
      <c r="H213" s="48" t="s">
        <v>189</v>
      </c>
      <c r="I213" s="28" t="s">
        <v>190</v>
      </c>
      <c r="J213" s="20">
        <v>50</v>
      </c>
      <c r="K213" s="20">
        <f t="shared" si="57"/>
        <v>1250</v>
      </c>
      <c r="L213" s="49">
        <f t="shared" si="62"/>
        <v>625</v>
      </c>
    </row>
    <row r="214" spans="2:12" ht="25.5" hidden="1" customHeight="1" x14ac:dyDescent="0.2">
      <c r="B214" s="189" t="s">
        <v>456</v>
      </c>
      <c r="C214" s="189" t="s">
        <v>124</v>
      </c>
      <c r="D214" s="189" t="s">
        <v>6</v>
      </c>
      <c r="E214" s="20">
        <v>8</v>
      </c>
      <c r="F214" s="20">
        <v>25</v>
      </c>
      <c r="G214" s="189" t="s">
        <v>156</v>
      </c>
      <c r="H214" s="48" t="s">
        <v>189</v>
      </c>
      <c r="I214" s="28" t="s">
        <v>190</v>
      </c>
      <c r="J214" s="20">
        <v>40</v>
      </c>
      <c r="K214" s="20">
        <f t="shared" si="57"/>
        <v>320</v>
      </c>
      <c r="L214" s="49">
        <f t="shared" si="62"/>
        <v>200</v>
      </c>
    </row>
    <row r="215" spans="2:12" ht="13.5" hidden="1" customHeight="1" x14ac:dyDescent="0.2">
      <c r="B215" s="189" t="s">
        <v>660</v>
      </c>
      <c r="C215" s="189" t="s">
        <v>124</v>
      </c>
      <c r="D215" s="6" t="s">
        <v>6</v>
      </c>
      <c r="E215" s="20">
        <v>6</v>
      </c>
      <c r="F215" s="20">
        <v>80</v>
      </c>
      <c r="G215" s="189" t="s">
        <v>859</v>
      </c>
      <c r="H215" s="48" t="s">
        <v>189</v>
      </c>
      <c r="I215" s="28" t="s">
        <v>190</v>
      </c>
      <c r="J215" s="181">
        <v>50</v>
      </c>
      <c r="K215" s="20">
        <f t="shared" ref="K215" si="65">J215*E215</f>
        <v>300</v>
      </c>
      <c r="L215" s="49">
        <f t="shared" ref="L215" si="66">E215*F215</f>
        <v>480</v>
      </c>
    </row>
    <row r="216" spans="2:12" ht="13.5" hidden="1" customHeight="1" x14ac:dyDescent="0.2">
      <c r="B216" s="189" t="s">
        <v>660</v>
      </c>
      <c r="C216" s="189" t="s">
        <v>124</v>
      </c>
      <c r="D216" s="6" t="s">
        <v>6</v>
      </c>
      <c r="E216" s="20">
        <v>6</v>
      </c>
      <c r="F216" s="20">
        <v>80</v>
      </c>
      <c r="G216" s="189" t="s">
        <v>181</v>
      </c>
      <c r="H216" s="48" t="s">
        <v>189</v>
      </c>
      <c r="I216" s="28" t="s">
        <v>190</v>
      </c>
      <c r="J216" s="181">
        <v>50</v>
      </c>
      <c r="K216" s="20">
        <f t="shared" si="57"/>
        <v>300</v>
      </c>
      <c r="L216" s="49">
        <f t="shared" si="62"/>
        <v>480</v>
      </c>
    </row>
    <row r="217" spans="2:12" ht="25.5" hidden="1" customHeight="1" x14ac:dyDescent="0.2">
      <c r="B217" s="189" t="s">
        <v>45</v>
      </c>
      <c r="C217" s="189" t="s">
        <v>124</v>
      </c>
      <c r="D217" s="189" t="s">
        <v>6</v>
      </c>
      <c r="E217" s="20">
        <v>6</v>
      </c>
      <c r="F217" s="20">
        <v>25</v>
      </c>
      <c r="G217" s="189" t="s">
        <v>176</v>
      </c>
      <c r="H217" s="48" t="s">
        <v>189</v>
      </c>
      <c r="I217" s="28" t="s">
        <v>190</v>
      </c>
      <c r="J217" s="20">
        <v>40</v>
      </c>
      <c r="K217" s="20">
        <f t="shared" si="57"/>
        <v>240</v>
      </c>
      <c r="L217" s="49">
        <f t="shared" si="62"/>
        <v>150</v>
      </c>
    </row>
    <row r="218" spans="2:12" ht="13.5" hidden="1" customHeight="1" x14ac:dyDescent="0.2">
      <c r="B218" s="189" t="s">
        <v>44</v>
      </c>
      <c r="C218" s="189" t="s">
        <v>124</v>
      </c>
      <c r="D218" s="189" t="s">
        <v>6</v>
      </c>
      <c r="E218" s="20">
        <v>6</v>
      </c>
      <c r="F218" s="20">
        <v>25</v>
      </c>
      <c r="G218" s="189" t="s">
        <v>176</v>
      </c>
      <c r="H218" s="48" t="s">
        <v>189</v>
      </c>
      <c r="I218" s="28" t="s">
        <v>190</v>
      </c>
      <c r="J218" s="20">
        <v>40</v>
      </c>
      <c r="K218" s="20">
        <f t="shared" si="57"/>
        <v>240</v>
      </c>
      <c r="L218" s="49">
        <f t="shared" si="62"/>
        <v>150</v>
      </c>
    </row>
    <row r="219" spans="2:12" ht="13.5" hidden="1" customHeight="1" x14ac:dyDescent="0.2">
      <c r="B219" s="189" t="s">
        <v>33</v>
      </c>
      <c r="C219" s="189" t="s">
        <v>124</v>
      </c>
      <c r="D219" s="189" t="s">
        <v>6</v>
      </c>
      <c r="E219" s="20">
        <v>6</v>
      </c>
      <c r="F219" s="20">
        <v>25</v>
      </c>
      <c r="G219" s="189" t="s">
        <v>176</v>
      </c>
      <c r="H219" s="48" t="s">
        <v>189</v>
      </c>
      <c r="I219" s="28" t="s">
        <v>190</v>
      </c>
      <c r="J219" s="20">
        <v>40</v>
      </c>
      <c r="K219" s="20">
        <f t="shared" si="57"/>
        <v>240</v>
      </c>
      <c r="L219" s="49">
        <f t="shared" si="62"/>
        <v>150</v>
      </c>
    </row>
    <row r="220" spans="2:12" ht="13.5" hidden="1" customHeight="1" x14ac:dyDescent="0.2">
      <c r="B220" s="189" t="s">
        <v>46</v>
      </c>
      <c r="C220" s="189" t="s">
        <v>124</v>
      </c>
      <c r="D220" s="189" t="s">
        <v>6</v>
      </c>
      <c r="E220" s="20">
        <v>5</v>
      </c>
      <c r="F220" s="20">
        <v>25</v>
      </c>
      <c r="G220" s="189" t="s">
        <v>176</v>
      </c>
      <c r="H220" s="48" t="s">
        <v>189</v>
      </c>
      <c r="I220" s="28" t="s">
        <v>47</v>
      </c>
      <c r="J220" s="20">
        <v>40</v>
      </c>
      <c r="K220" s="20">
        <f t="shared" si="57"/>
        <v>200</v>
      </c>
      <c r="L220" s="49">
        <f t="shared" si="62"/>
        <v>125</v>
      </c>
    </row>
    <row r="221" spans="2:12" ht="25.5" hidden="1" customHeight="1" x14ac:dyDescent="0.2">
      <c r="B221" s="20" t="s">
        <v>55</v>
      </c>
      <c r="C221" s="20" t="s">
        <v>124</v>
      </c>
      <c r="D221" s="20" t="s">
        <v>6</v>
      </c>
      <c r="E221" s="20">
        <v>4</v>
      </c>
      <c r="F221" s="20">
        <v>25</v>
      </c>
      <c r="G221" s="20" t="s">
        <v>195</v>
      </c>
      <c r="H221" s="48" t="s">
        <v>189</v>
      </c>
      <c r="I221" s="28" t="s">
        <v>190</v>
      </c>
      <c r="J221" s="20">
        <v>40</v>
      </c>
      <c r="K221" s="20">
        <f t="shared" si="57"/>
        <v>160</v>
      </c>
      <c r="L221" s="49">
        <f t="shared" si="62"/>
        <v>100</v>
      </c>
    </row>
    <row r="222" spans="2:12" ht="25.5" hidden="1" customHeight="1" x14ac:dyDescent="0.2">
      <c r="B222" s="20" t="s">
        <v>25</v>
      </c>
      <c r="C222" s="20" t="s">
        <v>124</v>
      </c>
      <c r="D222" s="20" t="s">
        <v>72</v>
      </c>
      <c r="E222" s="20">
        <v>14</v>
      </c>
      <c r="F222" s="20">
        <v>25</v>
      </c>
      <c r="G222" s="20" t="s">
        <v>277</v>
      </c>
      <c r="H222" s="48" t="s">
        <v>189</v>
      </c>
      <c r="I222" s="28" t="s">
        <v>190</v>
      </c>
      <c r="J222" s="20">
        <v>40</v>
      </c>
      <c r="K222" s="20">
        <f t="shared" si="57"/>
        <v>560</v>
      </c>
      <c r="L222" s="49">
        <f t="shared" si="62"/>
        <v>350</v>
      </c>
    </row>
    <row r="223" spans="2:12" ht="28.5" hidden="1" customHeight="1" x14ac:dyDescent="0.2">
      <c r="B223" s="20" t="s">
        <v>395</v>
      </c>
      <c r="C223" s="20" t="s">
        <v>124</v>
      </c>
      <c r="D223" s="189" t="s">
        <v>72</v>
      </c>
      <c r="E223" s="20">
        <v>5</v>
      </c>
      <c r="F223" s="20">
        <v>25</v>
      </c>
      <c r="G223" s="20" t="s">
        <v>603</v>
      </c>
      <c r="H223" s="48" t="s">
        <v>189</v>
      </c>
      <c r="I223" s="28" t="s">
        <v>190</v>
      </c>
      <c r="J223" s="20">
        <v>40</v>
      </c>
      <c r="K223" s="20">
        <f t="shared" si="57"/>
        <v>200</v>
      </c>
      <c r="L223" s="49">
        <f t="shared" ref="L223:L264" si="67">E223*F223</f>
        <v>125</v>
      </c>
    </row>
    <row r="224" spans="2:12" ht="13.5" hidden="1" customHeight="1" x14ac:dyDescent="0.2">
      <c r="B224" s="20" t="s">
        <v>55</v>
      </c>
      <c r="C224" s="20" t="s">
        <v>124</v>
      </c>
      <c r="D224" s="20" t="s">
        <v>72</v>
      </c>
      <c r="E224" s="20">
        <v>4</v>
      </c>
      <c r="F224" s="20">
        <v>25</v>
      </c>
      <c r="G224" s="20" t="s">
        <v>195</v>
      </c>
      <c r="H224" s="48" t="s">
        <v>189</v>
      </c>
      <c r="I224" s="28" t="s">
        <v>190</v>
      </c>
      <c r="J224" s="20">
        <v>40</v>
      </c>
      <c r="K224" s="20">
        <f t="shared" si="57"/>
        <v>160</v>
      </c>
      <c r="L224" s="49">
        <f t="shared" si="67"/>
        <v>100</v>
      </c>
    </row>
    <row r="225" spans="2:12" ht="13.5" hidden="1" customHeight="1" x14ac:dyDescent="0.2">
      <c r="B225" s="20" t="s">
        <v>26</v>
      </c>
      <c r="C225" s="20" t="s">
        <v>124</v>
      </c>
      <c r="D225" s="70" t="s">
        <v>396</v>
      </c>
      <c r="E225" s="20">
        <v>3</v>
      </c>
      <c r="F225" s="20">
        <v>25</v>
      </c>
      <c r="G225" s="20" t="s">
        <v>154</v>
      </c>
      <c r="H225" s="48" t="s">
        <v>189</v>
      </c>
      <c r="I225" s="28" t="s">
        <v>190</v>
      </c>
      <c r="J225" s="20">
        <v>40</v>
      </c>
      <c r="K225" s="20">
        <f t="shared" si="57"/>
        <v>120</v>
      </c>
      <c r="L225" s="49">
        <f t="shared" si="67"/>
        <v>75</v>
      </c>
    </row>
    <row r="226" spans="2:12" ht="13.5" hidden="1" customHeight="1" x14ac:dyDescent="0.2">
      <c r="B226" s="20" t="s">
        <v>27</v>
      </c>
      <c r="C226" s="20" t="s">
        <v>124</v>
      </c>
      <c r="D226" s="70" t="s">
        <v>396</v>
      </c>
      <c r="E226" s="20">
        <v>8</v>
      </c>
      <c r="F226" s="20">
        <v>25</v>
      </c>
      <c r="G226" s="260" t="s">
        <v>182</v>
      </c>
      <c r="H226" s="48" t="s">
        <v>189</v>
      </c>
      <c r="I226" s="28" t="s">
        <v>190</v>
      </c>
      <c r="J226" s="20">
        <v>40</v>
      </c>
      <c r="K226" s="20">
        <f t="shared" si="57"/>
        <v>320</v>
      </c>
      <c r="L226" s="49">
        <f t="shared" si="67"/>
        <v>200</v>
      </c>
    </row>
    <row r="227" spans="2:12" ht="13.5" hidden="1" customHeight="1" x14ac:dyDescent="0.2">
      <c r="B227" s="20" t="s">
        <v>394</v>
      </c>
      <c r="C227" s="20" t="s">
        <v>124</v>
      </c>
      <c r="D227" s="70" t="s">
        <v>396</v>
      </c>
      <c r="E227" s="20">
        <v>4</v>
      </c>
      <c r="F227" s="20">
        <v>25</v>
      </c>
      <c r="G227" s="20" t="s">
        <v>330</v>
      </c>
      <c r="H227" s="48" t="s">
        <v>189</v>
      </c>
      <c r="I227" s="28" t="s">
        <v>190</v>
      </c>
      <c r="J227" s="20">
        <v>40</v>
      </c>
      <c r="K227" s="20">
        <f t="shared" si="57"/>
        <v>160</v>
      </c>
      <c r="L227" s="49">
        <f t="shared" si="67"/>
        <v>100</v>
      </c>
    </row>
    <row r="228" spans="2:12" ht="25.5" hidden="1" customHeight="1" x14ac:dyDescent="0.2">
      <c r="B228" s="20" t="s">
        <v>647</v>
      </c>
      <c r="C228" s="20" t="s">
        <v>124</v>
      </c>
      <c r="D228" s="20" t="s">
        <v>3</v>
      </c>
      <c r="E228" s="20">
        <v>10</v>
      </c>
      <c r="F228" s="20">
        <v>33</v>
      </c>
      <c r="G228" s="6" t="s">
        <v>278</v>
      </c>
      <c r="H228" s="48" t="s">
        <v>189</v>
      </c>
      <c r="I228" s="28" t="s">
        <v>190</v>
      </c>
      <c r="J228" s="20">
        <v>40</v>
      </c>
      <c r="K228" s="20">
        <f t="shared" ref="K228" si="68">J228*E228</f>
        <v>400</v>
      </c>
      <c r="L228" s="49">
        <f t="shared" ref="L228" si="69">E228*F228</f>
        <v>330</v>
      </c>
    </row>
    <row r="229" spans="2:12" ht="25.5" hidden="1" customHeight="1" x14ac:dyDescent="0.2">
      <c r="B229" s="20" t="s">
        <v>647</v>
      </c>
      <c r="C229" s="20" t="s">
        <v>124</v>
      </c>
      <c r="D229" s="20" t="s">
        <v>3</v>
      </c>
      <c r="E229" s="20">
        <v>10</v>
      </c>
      <c r="F229" s="20">
        <v>33</v>
      </c>
      <c r="G229" s="276" t="s">
        <v>844</v>
      </c>
      <c r="H229" s="48" t="s">
        <v>189</v>
      </c>
      <c r="I229" s="28" t="s">
        <v>190</v>
      </c>
      <c r="J229" s="20">
        <v>40</v>
      </c>
      <c r="K229" s="20">
        <f t="shared" si="57"/>
        <v>400</v>
      </c>
      <c r="L229" s="49">
        <f t="shared" si="67"/>
        <v>330</v>
      </c>
    </row>
    <row r="230" spans="2:12" ht="25.5" hidden="1" customHeight="1" x14ac:dyDescent="0.2">
      <c r="B230" s="20" t="s">
        <v>229</v>
      </c>
      <c r="C230" s="20" t="s">
        <v>124</v>
      </c>
      <c r="D230" s="20" t="s">
        <v>222</v>
      </c>
      <c r="E230" s="20">
        <v>21</v>
      </c>
      <c r="F230" s="20">
        <v>33</v>
      </c>
      <c r="G230" s="220" t="s">
        <v>887</v>
      </c>
      <c r="H230" s="48" t="s">
        <v>189</v>
      </c>
      <c r="I230" s="28" t="s">
        <v>190</v>
      </c>
      <c r="J230" s="20">
        <v>40</v>
      </c>
      <c r="K230" s="20">
        <f t="shared" ref="K230" si="70">J230*E230</f>
        <v>840</v>
      </c>
      <c r="L230" s="49">
        <f t="shared" ref="L230" si="71">E230*F230</f>
        <v>693</v>
      </c>
    </row>
    <row r="231" spans="2:12" ht="25.5" hidden="1" customHeight="1" x14ac:dyDescent="0.2">
      <c r="B231" s="20" t="s">
        <v>229</v>
      </c>
      <c r="C231" s="20" t="s">
        <v>124</v>
      </c>
      <c r="D231" s="20" t="s">
        <v>222</v>
      </c>
      <c r="E231" s="20">
        <v>21</v>
      </c>
      <c r="F231" s="20">
        <v>33</v>
      </c>
      <c r="G231" s="6" t="s">
        <v>288</v>
      </c>
      <c r="H231" s="48" t="s">
        <v>189</v>
      </c>
      <c r="I231" s="28" t="s">
        <v>190</v>
      </c>
      <c r="J231" s="20">
        <v>40</v>
      </c>
      <c r="K231" s="20">
        <f t="shared" si="57"/>
        <v>840</v>
      </c>
      <c r="L231" s="49">
        <f t="shared" si="67"/>
        <v>693</v>
      </c>
    </row>
    <row r="232" spans="2:12" ht="25.5" hidden="1" x14ac:dyDescent="0.2">
      <c r="B232" s="189" t="s">
        <v>41</v>
      </c>
      <c r="C232" s="189" t="s">
        <v>124</v>
      </c>
      <c r="D232" s="70" t="s">
        <v>222</v>
      </c>
      <c r="E232" s="20">
        <v>42</v>
      </c>
      <c r="F232" s="20">
        <v>25</v>
      </c>
      <c r="G232" s="341" t="s">
        <v>665</v>
      </c>
      <c r="H232" s="48" t="s">
        <v>189</v>
      </c>
      <c r="I232" s="28" t="s">
        <v>7</v>
      </c>
      <c r="J232" s="20">
        <v>40</v>
      </c>
      <c r="K232" s="20">
        <f t="shared" si="57"/>
        <v>1680</v>
      </c>
      <c r="L232" s="49">
        <f t="shared" si="67"/>
        <v>1050</v>
      </c>
    </row>
    <row r="233" spans="2:12" ht="35.25" hidden="1" customHeight="1" x14ac:dyDescent="0.2">
      <c r="B233" s="189" t="s">
        <v>666</v>
      </c>
      <c r="C233" s="189" t="s">
        <v>124</v>
      </c>
      <c r="D233" s="70" t="s">
        <v>222</v>
      </c>
      <c r="E233" s="20">
        <v>1</v>
      </c>
      <c r="F233" s="20">
        <v>25</v>
      </c>
      <c r="G233" s="341" t="s">
        <v>665</v>
      </c>
      <c r="H233" s="48" t="s">
        <v>189</v>
      </c>
      <c r="I233" s="28" t="s">
        <v>7</v>
      </c>
      <c r="J233" s="20">
        <v>8</v>
      </c>
      <c r="K233" s="20">
        <f t="shared" si="57"/>
        <v>8</v>
      </c>
      <c r="L233" s="49">
        <f t="shared" si="67"/>
        <v>25</v>
      </c>
    </row>
    <row r="234" spans="2:12" ht="14.25" hidden="1" x14ac:dyDescent="0.2">
      <c r="B234" s="20" t="s">
        <v>387</v>
      </c>
      <c r="C234" s="20" t="s">
        <v>124</v>
      </c>
      <c r="D234" s="70" t="s">
        <v>222</v>
      </c>
      <c r="E234" s="20">
        <v>27</v>
      </c>
      <c r="F234" s="20">
        <v>25</v>
      </c>
      <c r="G234" s="20" t="s">
        <v>243</v>
      </c>
      <c r="H234" s="48" t="s">
        <v>189</v>
      </c>
      <c r="I234" s="28" t="s">
        <v>190</v>
      </c>
      <c r="J234" s="20">
        <v>40</v>
      </c>
      <c r="K234" s="20">
        <f t="shared" si="57"/>
        <v>1080</v>
      </c>
      <c r="L234" s="49">
        <f t="shared" si="67"/>
        <v>675</v>
      </c>
    </row>
    <row r="235" spans="2:12" ht="25.5" hidden="1" x14ac:dyDescent="0.2">
      <c r="B235" s="189" t="s">
        <v>41</v>
      </c>
      <c r="C235" s="189" t="s">
        <v>124</v>
      </c>
      <c r="D235" s="70" t="s">
        <v>222</v>
      </c>
      <c r="E235" s="20">
        <v>42</v>
      </c>
      <c r="F235" s="20">
        <v>25</v>
      </c>
      <c r="G235" s="20" t="s">
        <v>302</v>
      </c>
      <c r="H235" s="48" t="s">
        <v>189</v>
      </c>
      <c r="I235" s="28" t="s">
        <v>7</v>
      </c>
      <c r="J235" s="20">
        <v>40</v>
      </c>
      <c r="K235" s="20">
        <f t="shared" si="57"/>
        <v>1680</v>
      </c>
      <c r="L235" s="49">
        <f t="shared" si="67"/>
        <v>1050</v>
      </c>
    </row>
    <row r="236" spans="2:12" ht="25.5" hidden="1" x14ac:dyDescent="0.2">
      <c r="B236" s="20" t="s">
        <v>40</v>
      </c>
      <c r="C236" s="20" t="s">
        <v>124</v>
      </c>
      <c r="D236" s="70" t="s">
        <v>222</v>
      </c>
      <c r="E236" s="20">
        <v>20</v>
      </c>
      <c r="F236" s="20">
        <v>25</v>
      </c>
      <c r="G236" s="20" t="s">
        <v>167</v>
      </c>
      <c r="H236" s="48" t="s">
        <v>189</v>
      </c>
      <c r="I236" s="28" t="s">
        <v>190</v>
      </c>
      <c r="J236" s="20">
        <v>8</v>
      </c>
      <c r="K236" s="20">
        <f t="shared" si="57"/>
        <v>160</v>
      </c>
      <c r="L236" s="49">
        <f t="shared" si="67"/>
        <v>500</v>
      </c>
    </row>
    <row r="237" spans="2:12" ht="25.5" hidden="1" x14ac:dyDescent="0.2">
      <c r="B237" s="189" t="s">
        <v>41</v>
      </c>
      <c r="C237" s="189" t="s">
        <v>124</v>
      </c>
      <c r="D237" s="70" t="s">
        <v>222</v>
      </c>
      <c r="E237" s="20">
        <v>30</v>
      </c>
      <c r="F237" s="20">
        <v>25</v>
      </c>
      <c r="G237" s="20" t="s">
        <v>167</v>
      </c>
      <c r="H237" s="48" t="s">
        <v>189</v>
      </c>
      <c r="I237" s="28" t="s">
        <v>190</v>
      </c>
      <c r="J237" s="20">
        <v>40</v>
      </c>
      <c r="K237" s="20">
        <f t="shared" si="57"/>
        <v>1200</v>
      </c>
      <c r="L237" s="49">
        <f t="shared" si="67"/>
        <v>750</v>
      </c>
    </row>
    <row r="238" spans="2:12" ht="14.25" hidden="1" x14ac:dyDescent="0.2">
      <c r="B238" s="189" t="s">
        <v>48</v>
      </c>
      <c r="C238" s="189" t="s">
        <v>124</v>
      </c>
      <c r="D238" s="70" t="s">
        <v>222</v>
      </c>
      <c r="E238" s="20">
        <v>1</v>
      </c>
      <c r="F238" s="20">
        <v>25</v>
      </c>
      <c r="G238" s="189" t="s">
        <v>149</v>
      </c>
      <c r="H238" s="48" t="s">
        <v>189</v>
      </c>
      <c r="I238" s="28" t="s">
        <v>190</v>
      </c>
      <c r="J238" s="20">
        <v>40</v>
      </c>
      <c r="K238" s="20">
        <f t="shared" ref="K238:K264" si="72">J238*E238</f>
        <v>40</v>
      </c>
      <c r="L238" s="49">
        <f t="shared" si="67"/>
        <v>25</v>
      </c>
    </row>
    <row r="239" spans="2:12" ht="14.25" hidden="1" x14ac:dyDescent="0.2">
      <c r="B239" s="189" t="s">
        <v>49</v>
      </c>
      <c r="C239" s="189" t="s">
        <v>124</v>
      </c>
      <c r="D239" s="70" t="s">
        <v>222</v>
      </c>
      <c r="E239" s="20">
        <v>1</v>
      </c>
      <c r="F239" s="20">
        <v>25</v>
      </c>
      <c r="G239" s="189" t="s">
        <v>149</v>
      </c>
      <c r="H239" s="48" t="s">
        <v>189</v>
      </c>
      <c r="I239" s="28" t="s">
        <v>190</v>
      </c>
      <c r="J239" s="20">
        <v>40</v>
      </c>
      <c r="K239" s="20">
        <f t="shared" si="72"/>
        <v>40</v>
      </c>
      <c r="L239" s="49">
        <f t="shared" si="67"/>
        <v>25</v>
      </c>
    </row>
    <row r="240" spans="2:12" ht="25.5" hidden="1" x14ac:dyDescent="0.2">
      <c r="B240" s="189" t="s">
        <v>218</v>
      </c>
      <c r="C240" s="20" t="s">
        <v>124</v>
      </c>
      <c r="D240" s="70" t="s">
        <v>222</v>
      </c>
      <c r="E240" s="20">
        <v>10</v>
      </c>
      <c r="F240" s="20">
        <v>25</v>
      </c>
      <c r="G240" s="67" t="s">
        <v>1009</v>
      </c>
      <c r="H240" s="48" t="s">
        <v>189</v>
      </c>
      <c r="I240" s="28" t="s">
        <v>190</v>
      </c>
      <c r="J240" s="20">
        <v>80</v>
      </c>
      <c r="K240" s="20">
        <f t="shared" ref="K240:K241" si="73">J240*E240</f>
        <v>800</v>
      </c>
      <c r="L240" s="49">
        <f t="shared" ref="L240:L241" si="74">E240*F240</f>
        <v>250</v>
      </c>
    </row>
    <row r="241" spans="2:12" ht="36" hidden="1" x14ac:dyDescent="0.2">
      <c r="B241" s="67" t="s">
        <v>219</v>
      </c>
      <c r="C241" s="20" t="s">
        <v>124</v>
      </c>
      <c r="D241" s="70" t="s">
        <v>222</v>
      </c>
      <c r="E241" s="20">
        <v>4</v>
      </c>
      <c r="F241" s="20">
        <v>25</v>
      </c>
      <c r="G241" s="67" t="s">
        <v>1009</v>
      </c>
      <c r="H241" s="48" t="s">
        <v>189</v>
      </c>
      <c r="I241" s="28" t="s">
        <v>190</v>
      </c>
      <c r="J241" s="20">
        <v>140</v>
      </c>
      <c r="K241" s="20">
        <f t="shared" si="73"/>
        <v>560</v>
      </c>
      <c r="L241" s="49">
        <f t="shared" si="74"/>
        <v>100</v>
      </c>
    </row>
    <row r="242" spans="2:12" ht="25.5" hidden="1" x14ac:dyDescent="0.2">
      <c r="B242" s="189" t="s">
        <v>218</v>
      </c>
      <c r="C242" s="20" t="s">
        <v>124</v>
      </c>
      <c r="D242" s="70" t="s">
        <v>222</v>
      </c>
      <c r="E242" s="20">
        <v>10</v>
      </c>
      <c r="F242" s="20">
        <v>25</v>
      </c>
      <c r="G242" s="67" t="s">
        <v>236</v>
      </c>
      <c r="H242" s="48" t="s">
        <v>189</v>
      </c>
      <c r="I242" s="28" t="s">
        <v>190</v>
      </c>
      <c r="J242" s="20">
        <v>80</v>
      </c>
      <c r="K242" s="20">
        <f t="shared" si="72"/>
        <v>800</v>
      </c>
      <c r="L242" s="49">
        <f t="shared" si="67"/>
        <v>250</v>
      </c>
    </row>
    <row r="243" spans="2:12" ht="36" hidden="1" x14ac:dyDescent="0.2">
      <c r="B243" s="67" t="s">
        <v>219</v>
      </c>
      <c r="C243" s="20" t="s">
        <v>124</v>
      </c>
      <c r="D243" s="70" t="s">
        <v>222</v>
      </c>
      <c r="E243" s="20">
        <v>4</v>
      </c>
      <c r="F243" s="20">
        <v>25</v>
      </c>
      <c r="G243" s="67" t="s">
        <v>236</v>
      </c>
      <c r="H243" s="48" t="s">
        <v>189</v>
      </c>
      <c r="I243" s="28" t="s">
        <v>190</v>
      </c>
      <c r="J243" s="20">
        <v>140</v>
      </c>
      <c r="K243" s="20">
        <f t="shared" si="72"/>
        <v>560</v>
      </c>
      <c r="L243" s="49">
        <f t="shared" si="67"/>
        <v>100</v>
      </c>
    </row>
    <row r="244" spans="2:12" ht="25.5" hidden="1" x14ac:dyDescent="0.2">
      <c r="B244" s="20" t="s">
        <v>17</v>
      </c>
      <c r="C244" s="20" t="s">
        <v>124</v>
      </c>
      <c r="D244" s="20" t="s">
        <v>74</v>
      </c>
      <c r="E244" s="20">
        <v>16</v>
      </c>
      <c r="F244" s="20">
        <v>25</v>
      </c>
      <c r="G244" s="26" t="s">
        <v>147</v>
      </c>
      <c r="H244" s="48" t="s">
        <v>189</v>
      </c>
      <c r="I244" s="28" t="s">
        <v>190</v>
      </c>
      <c r="J244" s="20">
        <v>40</v>
      </c>
      <c r="K244" s="20">
        <f t="shared" si="72"/>
        <v>640</v>
      </c>
      <c r="L244" s="49">
        <f t="shared" si="67"/>
        <v>400</v>
      </c>
    </row>
    <row r="245" spans="2:12" ht="25.5" hidden="1" x14ac:dyDescent="0.2">
      <c r="B245" s="20" t="s">
        <v>394</v>
      </c>
      <c r="C245" s="20" t="s">
        <v>124</v>
      </c>
      <c r="D245" s="20" t="s">
        <v>74</v>
      </c>
      <c r="E245" s="20">
        <v>8</v>
      </c>
      <c r="F245" s="20">
        <v>25</v>
      </c>
      <c r="G245" s="20" t="s">
        <v>330</v>
      </c>
      <c r="H245" s="48" t="s">
        <v>189</v>
      </c>
      <c r="I245" s="28" t="s">
        <v>190</v>
      </c>
      <c r="J245" s="20">
        <v>40</v>
      </c>
      <c r="K245" s="20">
        <f t="shared" si="72"/>
        <v>320</v>
      </c>
      <c r="L245" s="49">
        <f t="shared" si="67"/>
        <v>200</v>
      </c>
    </row>
    <row r="246" spans="2:12" ht="38.25" hidden="1" x14ac:dyDescent="0.2">
      <c r="B246" s="20" t="s">
        <v>4</v>
      </c>
      <c r="C246" s="20" t="s">
        <v>124</v>
      </c>
      <c r="D246" s="20" t="s">
        <v>232</v>
      </c>
      <c r="E246" s="20">
        <v>3</v>
      </c>
      <c r="F246" s="20">
        <v>25</v>
      </c>
      <c r="G246" s="20" t="s">
        <v>174</v>
      </c>
      <c r="H246" s="48" t="s">
        <v>189</v>
      </c>
      <c r="I246" s="28" t="s">
        <v>190</v>
      </c>
      <c r="J246" s="20">
        <v>40</v>
      </c>
      <c r="K246" s="20">
        <f t="shared" si="72"/>
        <v>120</v>
      </c>
      <c r="L246" s="49">
        <f t="shared" si="67"/>
        <v>75</v>
      </c>
    </row>
    <row r="247" spans="2:12" ht="25.5" hidden="1" x14ac:dyDescent="0.2">
      <c r="B247" s="20" t="s">
        <v>5</v>
      </c>
      <c r="C247" s="20" t="s">
        <v>124</v>
      </c>
      <c r="D247" s="20" t="s">
        <v>232</v>
      </c>
      <c r="E247" s="20">
        <v>3</v>
      </c>
      <c r="F247" s="20">
        <v>25</v>
      </c>
      <c r="G247" s="20" t="s">
        <v>174</v>
      </c>
      <c r="H247" s="48" t="s">
        <v>189</v>
      </c>
      <c r="I247" s="28" t="s">
        <v>190</v>
      </c>
      <c r="J247" s="20">
        <v>60</v>
      </c>
      <c r="K247" s="20">
        <f t="shared" si="72"/>
        <v>180</v>
      </c>
      <c r="L247" s="49">
        <f t="shared" si="67"/>
        <v>75</v>
      </c>
    </row>
    <row r="248" spans="2:12" ht="51" hidden="1" x14ac:dyDescent="0.2">
      <c r="B248" s="20" t="s">
        <v>223</v>
      </c>
      <c r="C248" s="20" t="s">
        <v>124</v>
      </c>
      <c r="D248" s="20" t="s">
        <v>232</v>
      </c>
      <c r="E248" s="20">
        <v>2</v>
      </c>
      <c r="F248" s="20">
        <v>25</v>
      </c>
      <c r="G248" s="20" t="s">
        <v>161</v>
      </c>
      <c r="H248" s="48" t="s">
        <v>189</v>
      </c>
      <c r="I248" s="28" t="s">
        <v>197</v>
      </c>
      <c r="J248" s="20">
        <v>50</v>
      </c>
      <c r="K248" s="20">
        <f t="shared" si="72"/>
        <v>100</v>
      </c>
      <c r="L248" s="49">
        <f t="shared" si="67"/>
        <v>50</v>
      </c>
    </row>
    <row r="249" spans="2:12" ht="25.5" hidden="1" x14ac:dyDescent="0.2">
      <c r="B249" s="20" t="s">
        <v>33</v>
      </c>
      <c r="C249" s="20" t="s">
        <v>124</v>
      </c>
      <c r="D249" s="189" t="s">
        <v>232</v>
      </c>
      <c r="E249" s="20">
        <v>18</v>
      </c>
      <c r="F249" s="20">
        <v>25</v>
      </c>
      <c r="G249" s="20" t="s">
        <v>588</v>
      </c>
      <c r="H249" s="48" t="s">
        <v>189</v>
      </c>
      <c r="I249" s="28" t="s">
        <v>190</v>
      </c>
      <c r="J249" s="20">
        <v>40</v>
      </c>
      <c r="K249" s="20">
        <f t="shared" si="72"/>
        <v>720</v>
      </c>
      <c r="L249" s="49">
        <f t="shared" si="67"/>
        <v>450</v>
      </c>
    </row>
    <row r="250" spans="2:12" ht="25.5" hidden="1" x14ac:dyDescent="0.2">
      <c r="B250" s="20" t="s">
        <v>33</v>
      </c>
      <c r="C250" s="20" t="s">
        <v>124</v>
      </c>
      <c r="D250" s="189" t="s">
        <v>232</v>
      </c>
      <c r="E250" s="20">
        <v>7</v>
      </c>
      <c r="F250" s="20">
        <v>25</v>
      </c>
      <c r="G250" s="20" t="s">
        <v>175</v>
      </c>
      <c r="H250" s="48" t="s">
        <v>189</v>
      </c>
      <c r="I250" s="28" t="s">
        <v>190</v>
      </c>
      <c r="J250" s="20">
        <v>40</v>
      </c>
      <c r="K250" s="20">
        <f t="shared" si="72"/>
        <v>280</v>
      </c>
      <c r="L250" s="49">
        <f t="shared" si="67"/>
        <v>175</v>
      </c>
    </row>
    <row r="251" spans="2:12" ht="25.5" hidden="1" x14ac:dyDescent="0.2">
      <c r="B251" s="20" t="s">
        <v>15</v>
      </c>
      <c r="C251" s="20" t="s">
        <v>124</v>
      </c>
      <c r="D251" s="189" t="s">
        <v>232</v>
      </c>
      <c r="E251" s="20">
        <v>6</v>
      </c>
      <c r="F251" s="20">
        <v>25</v>
      </c>
      <c r="G251" s="20" t="s">
        <v>175</v>
      </c>
      <c r="H251" s="48" t="s">
        <v>189</v>
      </c>
      <c r="I251" s="28" t="s">
        <v>190</v>
      </c>
      <c r="J251" s="20">
        <v>40</v>
      </c>
      <c r="K251" s="20">
        <f t="shared" si="72"/>
        <v>240</v>
      </c>
      <c r="L251" s="49">
        <f t="shared" si="67"/>
        <v>150</v>
      </c>
    </row>
    <row r="252" spans="2:12" ht="38.25" hidden="1" x14ac:dyDescent="0.2">
      <c r="B252" s="189" t="s">
        <v>43</v>
      </c>
      <c r="C252" s="189" t="s">
        <v>124</v>
      </c>
      <c r="D252" s="189" t="s">
        <v>232</v>
      </c>
      <c r="E252" s="20">
        <v>6</v>
      </c>
      <c r="F252" s="20">
        <v>25</v>
      </c>
      <c r="G252" s="189" t="s">
        <v>176</v>
      </c>
      <c r="H252" s="48" t="s">
        <v>189</v>
      </c>
      <c r="I252" s="28" t="s">
        <v>190</v>
      </c>
      <c r="J252" s="20">
        <v>40</v>
      </c>
      <c r="K252" s="20">
        <f t="shared" si="72"/>
        <v>240</v>
      </c>
      <c r="L252" s="49">
        <f t="shared" si="67"/>
        <v>150</v>
      </c>
    </row>
    <row r="253" spans="2:12" ht="25.5" hidden="1" customHeight="1" x14ac:dyDescent="0.2">
      <c r="B253" s="20" t="s">
        <v>394</v>
      </c>
      <c r="C253" s="20" t="s">
        <v>124</v>
      </c>
      <c r="D253" s="20" t="s">
        <v>232</v>
      </c>
      <c r="E253" s="20">
        <v>12</v>
      </c>
      <c r="F253" s="20">
        <v>25</v>
      </c>
      <c r="G253" s="20" t="s">
        <v>330</v>
      </c>
      <c r="H253" s="48" t="s">
        <v>189</v>
      </c>
      <c r="I253" s="28" t="s">
        <v>190</v>
      </c>
      <c r="J253" s="20">
        <v>40</v>
      </c>
      <c r="K253" s="20">
        <f t="shared" ref="K253:K263" si="75">J253*E253</f>
        <v>480</v>
      </c>
      <c r="L253" s="49">
        <f t="shared" ref="L253:L263" si="76">E253*F253</f>
        <v>300</v>
      </c>
    </row>
    <row r="254" spans="2:12" ht="25.5" hidden="1" customHeight="1" x14ac:dyDescent="0.2">
      <c r="B254" s="20" t="s">
        <v>476</v>
      </c>
      <c r="C254" s="20" t="s">
        <v>124</v>
      </c>
      <c r="D254" s="20" t="s">
        <v>232</v>
      </c>
      <c r="E254" s="20">
        <v>12</v>
      </c>
      <c r="F254" s="20">
        <v>25</v>
      </c>
      <c r="G254" s="20" t="s">
        <v>925</v>
      </c>
      <c r="H254" s="48" t="s">
        <v>189</v>
      </c>
      <c r="I254" s="28" t="s">
        <v>190</v>
      </c>
      <c r="J254" s="20">
        <v>40</v>
      </c>
      <c r="K254" s="20">
        <f t="shared" ref="K254:K255" si="77">J254*E254</f>
        <v>480</v>
      </c>
      <c r="L254" s="49">
        <f t="shared" ref="L254:L255" si="78">E254*F254</f>
        <v>300</v>
      </c>
    </row>
    <row r="255" spans="2:12" ht="25.5" hidden="1" customHeight="1" x14ac:dyDescent="0.2">
      <c r="B255" s="20" t="s">
        <v>476</v>
      </c>
      <c r="C255" s="20" t="s">
        <v>124</v>
      </c>
      <c r="D255" s="20" t="s">
        <v>232</v>
      </c>
      <c r="E255" s="20">
        <v>12</v>
      </c>
      <c r="F255" s="20">
        <v>25</v>
      </c>
      <c r="G255" s="20" t="s">
        <v>924</v>
      </c>
      <c r="H255" s="48" t="s">
        <v>189</v>
      </c>
      <c r="I255" s="28" t="s">
        <v>190</v>
      </c>
      <c r="J255" s="20">
        <v>40</v>
      </c>
      <c r="K255" s="20">
        <f t="shared" si="77"/>
        <v>480</v>
      </c>
      <c r="L255" s="49">
        <f t="shared" si="78"/>
        <v>300</v>
      </c>
    </row>
    <row r="256" spans="2:12" ht="25.5" hidden="1" customHeight="1" x14ac:dyDescent="0.2">
      <c r="B256" s="20" t="s">
        <v>660</v>
      </c>
      <c r="C256" s="20" t="s">
        <v>124</v>
      </c>
      <c r="D256" s="20" t="s">
        <v>232</v>
      </c>
      <c r="E256" s="20">
        <v>12</v>
      </c>
      <c r="F256" s="20">
        <v>25</v>
      </c>
      <c r="G256" s="20" t="s">
        <v>861</v>
      </c>
      <c r="H256" s="48" t="s">
        <v>189</v>
      </c>
      <c r="I256" s="28" t="s">
        <v>190</v>
      </c>
      <c r="J256" s="20">
        <v>40</v>
      </c>
      <c r="K256" s="20">
        <f t="shared" si="75"/>
        <v>480</v>
      </c>
      <c r="L256" s="49">
        <f t="shared" si="76"/>
        <v>300</v>
      </c>
    </row>
    <row r="257" spans="2:12" ht="25.5" hidden="1" customHeight="1" x14ac:dyDescent="0.2">
      <c r="B257" s="20" t="s">
        <v>660</v>
      </c>
      <c r="C257" s="20" t="s">
        <v>124</v>
      </c>
      <c r="D257" s="20" t="s">
        <v>232</v>
      </c>
      <c r="E257" s="20">
        <v>12</v>
      </c>
      <c r="F257" s="20">
        <v>25</v>
      </c>
      <c r="G257" s="20" t="s">
        <v>860</v>
      </c>
      <c r="H257" s="48" t="s">
        <v>189</v>
      </c>
      <c r="I257" s="28" t="s">
        <v>190</v>
      </c>
      <c r="J257" s="20">
        <v>40</v>
      </c>
      <c r="K257" s="20">
        <f t="shared" si="75"/>
        <v>480</v>
      </c>
      <c r="L257" s="49">
        <f t="shared" si="76"/>
        <v>300</v>
      </c>
    </row>
    <row r="258" spans="2:12" ht="25.5" hidden="1" customHeight="1" x14ac:dyDescent="0.2">
      <c r="B258" s="20" t="s">
        <v>456</v>
      </c>
      <c r="C258" s="20" t="s">
        <v>124</v>
      </c>
      <c r="D258" s="20" t="s">
        <v>232</v>
      </c>
      <c r="E258" s="20">
        <v>12</v>
      </c>
      <c r="F258" s="20">
        <v>25</v>
      </c>
      <c r="G258" s="20" t="s">
        <v>918</v>
      </c>
      <c r="H258" s="48" t="s">
        <v>189</v>
      </c>
      <c r="I258" s="28" t="s">
        <v>190</v>
      </c>
      <c r="J258" s="20">
        <v>40</v>
      </c>
      <c r="K258" s="20">
        <f t="shared" ref="K258:K259" si="79">J258*E258</f>
        <v>480</v>
      </c>
      <c r="L258" s="49">
        <f t="shared" ref="L258:L259" si="80">E258*F258</f>
        <v>300</v>
      </c>
    </row>
    <row r="259" spans="2:12" ht="25.5" hidden="1" customHeight="1" x14ac:dyDescent="0.2">
      <c r="B259" s="20" t="s">
        <v>647</v>
      </c>
      <c r="C259" s="20" t="s">
        <v>124</v>
      </c>
      <c r="D259" s="20" t="s">
        <v>232</v>
      </c>
      <c r="E259" s="20">
        <v>23</v>
      </c>
      <c r="F259" s="20">
        <v>25</v>
      </c>
      <c r="G259" s="20" t="s">
        <v>764</v>
      </c>
      <c r="H259" s="48" t="s">
        <v>189</v>
      </c>
      <c r="I259" s="28" t="s">
        <v>190</v>
      </c>
      <c r="J259" s="20">
        <v>40</v>
      </c>
      <c r="K259" s="20">
        <f t="shared" si="79"/>
        <v>920</v>
      </c>
      <c r="L259" s="49">
        <f t="shared" si="80"/>
        <v>575</v>
      </c>
    </row>
    <row r="260" spans="2:12" ht="25.5" hidden="1" customHeight="1" x14ac:dyDescent="0.2">
      <c r="B260" s="20" t="s">
        <v>11</v>
      </c>
      <c r="C260" s="20" t="s">
        <v>124</v>
      </c>
      <c r="D260" s="20" t="s">
        <v>232</v>
      </c>
      <c r="E260" s="20">
        <v>12</v>
      </c>
      <c r="F260" s="20">
        <v>25</v>
      </c>
      <c r="G260" s="20" t="s">
        <v>849</v>
      </c>
      <c r="H260" s="48" t="s">
        <v>189</v>
      </c>
      <c r="I260" s="28" t="s">
        <v>190</v>
      </c>
      <c r="J260" s="20">
        <v>40</v>
      </c>
      <c r="K260" s="20">
        <f t="shared" ref="K260:K261" si="81">J260*E260</f>
        <v>480</v>
      </c>
      <c r="L260" s="49">
        <f t="shared" ref="L260:L261" si="82">E260*F260</f>
        <v>300</v>
      </c>
    </row>
    <row r="261" spans="2:12" ht="25.5" hidden="1" customHeight="1" x14ac:dyDescent="0.2">
      <c r="B261" s="20" t="s">
        <v>476</v>
      </c>
      <c r="C261" s="20" t="s">
        <v>124</v>
      </c>
      <c r="D261" s="20" t="s">
        <v>232</v>
      </c>
      <c r="E261" s="20">
        <v>12</v>
      </c>
      <c r="F261" s="20">
        <v>25</v>
      </c>
      <c r="G261" s="20" t="s">
        <v>923</v>
      </c>
      <c r="H261" s="48" t="s">
        <v>189</v>
      </c>
      <c r="I261" s="28" t="s">
        <v>190</v>
      </c>
      <c r="J261" s="20">
        <v>40</v>
      </c>
      <c r="K261" s="20">
        <f t="shared" si="81"/>
        <v>480</v>
      </c>
      <c r="L261" s="49">
        <f t="shared" si="82"/>
        <v>300</v>
      </c>
    </row>
    <row r="262" spans="2:12" ht="25.5" hidden="1" customHeight="1" x14ac:dyDescent="0.2">
      <c r="B262" s="20" t="s">
        <v>39</v>
      </c>
      <c r="C262" s="20" t="s">
        <v>124</v>
      </c>
      <c r="D262" s="20" t="s">
        <v>232</v>
      </c>
      <c r="E262" s="20">
        <v>12</v>
      </c>
      <c r="F262" s="20">
        <v>25</v>
      </c>
      <c r="G262" s="6" t="s">
        <v>259</v>
      </c>
      <c r="H262" s="48" t="s">
        <v>189</v>
      </c>
      <c r="I262" s="28" t="s">
        <v>190</v>
      </c>
      <c r="J262" s="20">
        <v>40</v>
      </c>
      <c r="K262" s="20">
        <f t="shared" si="75"/>
        <v>480</v>
      </c>
      <c r="L262" s="49">
        <f t="shared" si="76"/>
        <v>300</v>
      </c>
    </row>
    <row r="263" spans="2:12" ht="25.5" hidden="1" customHeight="1" x14ac:dyDescent="0.2">
      <c r="B263" s="20" t="s">
        <v>39</v>
      </c>
      <c r="C263" s="20" t="s">
        <v>124</v>
      </c>
      <c r="D263" s="20" t="s">
        <v>232</v>
      </c>
      <c r="E263" s="20">
        <v>42</v>
      </c>
      <c r="F263" s="20">
        <v>25</v>
      </c>
      <c r="G263" s="20" t="s">
        <v>1021</v>
      </c>
      <c r="H263" s="48" t="s">
        <v>189</v>
      </c>
      <c r="I263" s="28" t="s">
        <v>190</v>
      </c>
      <c r="J263" s="20">
        <v>40</v>
      </c>
      <c r="K263" s="20">
        <f t="shared" si="75"/>
        <v>1680</v>
      </c>
      <c r="L263" s="49">
        <f t="shared" si="76"/>
        <v>1050</v>
      </c>
    </row>
    <row r="264" spans="2:12" ht="25.5" hidden="1" customHeight="1" x14ac:dyDescent="0.2">
      <c r="B264" s="20" t="s">
        <v>39</v>
      </c>
      <c r="C264" s="20" t="s">
        <v>124</v>
      </c>
      <c r="D264" s="20" t="s">
        <v>232</v>
      </c>
      <c r="E264" s="20">
        <v>23</v>
      </c>
      <c r="F264" s="20">
        <v>25</v>
      </c>
      <c r="G264" s="20" t="s">
        <v>324</v>
      </c>
      <c r="H264" s="48" t="s">
        <v>189</v>
      </c>
      <c r="I264" s="28" t="s">
        <v>190</v>
      </c>
      <c r="J264" s="20">
        <v>40</v>
      </c>
      <c r="K264" s="20">
        <f t="shared" si="72"/>
        <v>920</v>
      </c>
      <c r="L264" s="49">
        <f t="shared" si="67"/>
        <v>575</v>
      </c>
    </row>
    <row r="265" spans="2:12" x14ac:dyDescent="0.2">
      <c r="B265" s="247"/>
      <c r="C265" s="247"/>
      <c r="K265" s="353">
        <f>SUM(K9:K264)</f>
        <v>194148</v>
      </c>
      <c r="L265" s="412">
        <f>SUBTOTAL(9,L9:L264)</f>
        <v>2500</v>
      </c>
    </row>
    <row r="266" spans="2:12" x14ac:dyDescent="0.2">
      <c r="B266" s="247"/>
      <c r="C266" s="247"/>
    </row>
    <row r="267" spans="2:12" x14ac:dyDescent="0.2">
      <c r="B267" s="247"/>
      <c r="C267" s="247"/>
    </row>
    <row r="268" spans="2:12" x14ac:dyDescent="0.2">
      <c r="B268" s="247"/>
      <c r="C268" s="247"/>
    </row>
    <row r="269" spans="2:12" x14ac:dyDescent="0.2">
      <c r="B269" s="247"/>
      <c r="C269" s="247"/>
    </row>
    <row r="270" spans="2:12" x14ac:dyDescent="0.2">
      <c r="B270" s="247"/>
      <c r="C270" s="247"/>
    </row>
    <row r="271" spans="2:12" x14ac:dyDescent="0.2">
      <c r="B271" s="247"/>
      <c r="C271" s="247"/>
    </row>
    <row r="272" spans="2:12" x14ac:dyDescent="0.2">
      <c r="B272" s="247"/>
      <c r="C272" s="247"/>
    </row>
    <row r="273" spans="2:7" x14ac:dyDescent="0.2">
      <c r="B273" s="247"/>
      <c r="C273" s="247"/>
    </row>
    <row r="274" spans="2:7" x14ac:dyDescent="0.2">
      <c r="B274" s="247"/>
      <c r="C274" s="247"/>
    </row>
    <row r="275" spans="2:7" x14ac:dyDescent="0.2">
      <c r="B275" s="247"/>
      <c r="C275" s="247"/>
    </row>
    <row r="276" spans="2:7" x14ac:dyDescent="0.2">
      <c r="B276" s="247"/>
      <c r="C276" s="247"/>
      <c r="G276" s="1"/>
    </row>
    <row r="277" spans="2:7" x14ac:dyDescent="0.2">
      <c r="B277" s="247"/>
      <c r="C277" s="247"/>
      <c r="G277" s="1"/>
    </row>
    <row r="278" spans="2:7" x14ac:dyDescent="0.2">
      <c r="B278" s="247"/>
      <c r="C278" s="247"/>
      <c r="G278" s="1"/>
    </row>
    <row r="279" spans="2:7" x14ac:dyDescent="0.2">
      <c r="B279" s="247"/>
      <c r="C279" s="247"/>
      <c r="G279" s="1"/>
    </row>
    <row r="280" spans="2:7" x14ac:dyDescent="0.2">
      <c r="B280" s="247"/>
      <c r="C280" s="247"/>
      <c r="G280" s="1"/>
    </row>
    <row r="281" spans="2:7" x14ac:dyDescent="0.2">
      <c r="B281" s="247"/>
      <c r="C281" s="247"/>
      <c r="G281" s="1"/>
    </row>
    <row r="282" spans="2:7" x14ac:dyDescent="0.2">
      <c r="B282" s="247"/>
      <c r="C282" s="247"/>
      <c r="G282" s="1"/>
    </row>
    <row r="283" spans="2:7" x14ac:dyDescent="0.2">
      <c r="B283" s="247"/>
      <c r="C283" s="247"/>
      <c r="G283" s="1"/>
    </row>
    <row r="284" spans="2:7" x14ac:dyDescent="0.2">
      <c r="B284" s="247"/>
      <c r="C284" s="247"/>
      <c r="G284" s="1"/>
    </row>
    <row r="285" spans="2:7" x14ac:dyDescent="0.2">
      <c r="B285" s="247"/>
      <c r="C285" s="247"/>
      <c r="G285" s="1"/>
    </row>
    <row r="286" spans="2:7" x14ac:dyDescent="0.2">
      <c r="B286" s="247"/>
      <c r="C286" s="247"/>
      <c r="G286" s="1"/>
    </row>
    <row r="287" spans="2:7" x14ac:dyDescent="0.2">
      <c r="B287" s="247"/>
      <c r="C287" s="247"/>
      <c r="G287" s="1"/>
    </row>
    <row r="288" spans="2:7" x14ac:dyDescent="0.2">
      <c r="B288" s="247"/>
      <c r="C288" s="247"/>
      <c r="G288" s="1"/>
    </row>
    <row r="289" spans="2:7" x14ac:dyDescent="0.2">
      <c r="B289" s="247"/>
      <c r="C289" s="247"/>
      <c r="G289" s="1"/>
    </row>
    <row r="290" spans="2:7" x14ac:dyDescent="0.2">
      <c r="B290" s="247"/>
      <c r="C290" s="247"/>
      <c r="G290" s="1"/>
    </row>
    <row r="291" spans="2:7" x14ac:dyDescent="0.2">
      <c r="B291" s="247"/>
      <c r="C291" s="247"/>
      <c r="G291" s="1"/>
    </row>
    <row r="292" spans="2:7" x14ac:dyDescent="0.2">
      <c r="B292" s="247"/>
      <c r="C292" s="247"/>
      <c r="G292" s="1"/>
    </row>
    <row r="293" spans="2:7" x14ac:dyDescent="0.2">
      <c r="B293" s="247"/>
      <c r="C293" s="247"/>
      <c r="G293" s="1"/>
    </row>
    <row r="294" spans="2:7" x14ac:dyDescent="0.2">
      <c r="B294" s="247"/>
      <c r="C294" s="247"/>
      <c r="G294" s="1"/>
    </row>
    <row r="295" spans="2:7" x14ac:dyDescent="0.2">
      <c r="B295" s="247"/>
      <c r="C295" s="247"/>
      <c r="G295" s="1"/>
    </row>
    <row r="296" spans="2:7" x14ac:dyDescent="0.2">
      <c r="B296" s="247"/>
      <c r="C296" s="247"/>
      <c r="G296" s="1"/>
    </row>
    <row r="297" spans="2:7" x14ac:dyDescent="0.2">
      <c r="B297" s="247"/>
      <c r="C297" s="247"/>
      <c r="G297" s="1"/>
    </row>
    <row r="298" spans="2:7" x14ac:dyDescent="0.2">
      <c r="B298" s="247"/>
      <c r="C298" s="247"/>
      <c r="G298" s="1"/>
    </row>
    <row r="299" spans="2:7" x14ac:dyDescent="0.2">
      <c r="B299" s="247"/>
      <c r="C299" s="247"/>
      <c r="G299" s="1"/>
    </row>
    <row r="300" spans="2:7" x14ac:dyDescent="0.2">
      <c r="B300" s="247"/>
      <c r="C300" s="247"/>
      <c r="G300" s="1"/>
    </row>
    <row r="301" spans="2:7" x14ac:dyDescent="0.2">
      <c r="B301" s="247"/>
      <c r="C301" s="247"/>
      <c r="G301" s="1"/>
    </row>
    <row r="302" spans="2:7" x14ac:dyDescent="0.2">
      <c r="B302" s="247"/>
      <c r="C302" s="247"/>
      <c r="G302" s="1"/>
    </row>
    <row r="303" spans="2:7" x14ac:dyDescent="0.2">
      <c r="B303" s="247"/>
      <c r="C303" s="247"/>
      <c r="G303" s="1"/>
    </row>
    <row r="304" spans="2:7" x14ac:dyDescent="0.2">
      <c r="B304" s="247"/>
      <c r="C304" s="247"/>
      <c r="G304" s="1"/>
    </row>
    <row r="305" spans="2:7" x14ac:dyDescent="0.2">
      <c r="B305" s="247"/>
      <c r="C305" s="247"/>
      <c r="G305" s="1"/>
    </row>
    <row r="306" spans="2:7" x14ac:dyDescent="0.2">
      <c r="B306" s="247"/>
      <c r="C306" s="247"/>
      <c r="G306" s="1"/>
    </row>
    <row r="307" spans="2:7" x14ac:dyDescent="0.2">
      <c r="B307" s="247"/>
      <c r="C307" s="247"/>
      <c r="G307" s="1"/>
    </row>
    <row r="308" spans="2:7" x14ac:dyDescent="0.2">
      <c r="B308" s="247"/>
      <c r="C308" s="247"/>
      <c r="G308" s="1"/>
    </row>
    <row r="309" spans="2:7" x14ac:dyDescent="0.2">
      <c r="B309" s="247"/>
      <c r="C309" s="247"/>
      <c r="G309" s="1"/>
    </row>
    <row r="310" spans="2:7" x14ac:dyDescent="0.2">
      <c r="B310" s="247"/>
      <c r="C310" s="247"/>
      <c r="G310" s="1"/>
    </row>
    <row r="311" spans="2:7" x14ac:dyDescent="0.2">
      <c r="B311" s="247"/>
      <c r="C311" s="247"/>
      <c r="G311" s="1"/>
    </row>
    <row r="312" spans="2:7" x14ac:dyDescent="0.2">
      <c r="B312" s="247"/>
      <c r="C312" s="247"/>
      <c r="G312" s="1"/>
    </row>
    <row r="313" spans="2:7" x14ac:dyDescent="0.2">
      <c r="B313" s="247"/>
      <c r="C313" s="247"/>
      <c r="G313" s="1"/>
    </row>
    <row r="314" spans="2:7" x14ac:dyDescent="0.2">
      <c r="B314" s="247"/>
      <c r="C314" s="247"/>
      <c r="G314" s="1"/>
    </row>
    <row r="315" spans="2:7" x14ac:dyDescent="0.2">
      <c r="B315" s="247"/>
      <c r="C315" s="247"/>
      <c r="G315" s="1"/>
    </row>
    <row r="316" spans="2:7" x14ac:dyDescent="0.2">
      <c r="B316" s="247"/>
      <c r="C316" s="247"/>
      <c r="G316" s="1"/>
    </row>
    <row r="317" spans="2:7" x14ac:dyDescent="0.2">
      <c r="B317" s="247"/>
      <c r="C317" s="247"/>
      <c r="G317" s="1"/>
    </row>
    <row r="318" spans="2:7" x14ac:dyDescent="0.2">
      <c r="B318" s="247"/>
      <c r="C318" s="247"/>
      <c r="G318" s="1"/>
    </row>
    <row r="319" spans="2:7" x14ac:dyDescent="0.2">
      <c r="B319" s="247"/>
      <c r="C319" s="247"/>
      <c r="G319" s="1"/>
    </row>
    <row r="320" spans="2:7" x14ac:dyDescent="0.2">
      <c r="B320" s="247"/>
      <c r="C320" s="247"/>
      <c r="G320" s="1"/>
    </row>
    <row r="321" spans="2:7" x14ac:dyDescent="0.2">
      <c r="B321" s="247"/>
      <c r="C321" s="247"/>
      <c r="G321" s="1"/>
    </row>
    <row r="322" spans="2:7" x14ac:dyDescent="0.2">
      <c r="B322" s="247"/>
      <c r="C322" s="247"/>
      <c r="G322" s="1"/>
    </row>
    <row r="323" spans="2:7" x14ac:dyDescent="0.2">
      <c r="B323" s="247"/>
      <c r="C323" s="247"/>
      <c r="G323" s="1"/>
    </row>
    <row r="324" spans="2:7" x14ac:dyDescent="0.2">
      <c r="B324" s="247"/>
      <c r="C324" s="247"/>
      <c r="G324" s="1"/>
    </row>
    <row r="325" spans="2:7" x14ac:dyDescent="0.2">
      <c r="B325" s="247"/>
      <c r="C325" s="247"/>
      <c r="G325" s="1"/>
    </row>
    <row r="326" spans="2:7" x14ac:dyDescent="0.2">
      <c r="B326" s="247"/>
      <c r="C326" s="247"/>
      <c r="G326" s="1"/>
    </row>
    <row r="327" spans="2:7" x14ac:dyDescent="0.2">
      <c r="B327" s="247"/>
      <c r="C327" s="247"/>
      <c r="G327" s="1"/>
    </row>
    <row r="328" spans="2:7" x14ac:dyDescent="0.2">
      <c r="B328" s="247"/>
      <c r="C328" s="247"/>
      <c r="G328" s="1"/>
    </row>
    <row r="329" spans="2:7" x14ac:dyDescent="0.2">
      <c r="B329" s="247"/>
      <c r="C329" s="247"/>
      <c r="G329" s="1"/>
    </row>
    <row r="330" spans="2:7" x14ac:dyDescent="0.2">
      <c r="B330" s="247"/>
      <c r="C330" s="247"/>
      <c r="G330" s="1"/>
    </row>
    <row r="331" spans="2:7" x14ac:dyDescent="0.2">
      <c r="B331" s="247"/>
      <c r="C331" s="247"/>
      <c r="G331" s="1"/>
    </row>
    <row r="332" spans="2:7" x14ac:dyDescent="0.2">
      <c r="B332" s="247"/>
      <c r="C332" s="247"/>
      <c r="G332" s="1"/>
    </row>
    <row r="333" spans="2:7" x14ac:dyDescent="0.2">
      <c r="B333" s="247"/>
      <c r="C333" s="247"/>
      <c r="G333" s="1"/>
    </row>
    <row r="334" spans="2:7" x14ac:dyDescent="0.2">
      <c r="B334" s="247"/>
      <c r="C334" s="247"/>
      <c r="G334" s="1"/>
    </row>
    <row r="335" spans="2:7" x14ac:dyDescent="0.2">
      <c r="B335" s="247"/>
      <c r="C335" s="247"/>
      <c r="G335" s="1"/>
    </row>
    <row r="336" spans="2:7" x14ac:dyDescent="0.2">
      <c r="B336" s="247"/>
      <c r="C336" s="247"/>
      <c r="G336" s="1"/>
    </row>
    <row r="337" spans="2:7" x14ac:dyDescent="0.2">
      <c r="B337" s="247"/>
      <c r="C337" s="247"/>
      <c r="G337" s="1"/>
    </row>
    <row r="338" spans="2:7" x14ac:dyDescent="0.2">
      <c r="B338" s="247"/>
      <c r="C338" s="247"/>
      <c r="G338" s="1"/>
    </row>
    <row r="339" spans="2:7" x14ac:dyDescent="0.2">
      <c r="B339" s="247"/>
      <c r="C339" s="247"/>
      <c r="G339" s="1"/>
    </row>
    <row r="340" spans="2:7" x14ac:dyDescent="0.2">
      <c r="B340" s="247"/>
      <c r="C340" s="247"/>
      <c r="G340" s="1"/>
    </row>
    <row r="341" spans="2:7" x14ac:dyDescent="0.2">
      <c r="B341" s="46"/>
      <c r="C341" s="46"/>
      <c r="G341" s="1"/>
    </row>
    <row r="342" spans="2:7" x14ac:dyDescent="0.2">
      <c r="B342" s="46"/>
      <c r="C342" s="46"/>
      <c r="G342" s="1"/>
    </row>
    <row r="343" spans="2:7" x14ac:dyDescent="0.2">
      <c r="B343" s="46"/>
      <c r="C343" s="46"/>
      <c r="G343" s="1"/>
    </row>
    <row r="344" spans="2:7" x14ac:dyDescent="0.2">
      <c r="B344" s="46"/>
      <c r="C344" s="46"/>
      <c r="G344" s="1"/>
    </row>
    <row r="345" spans="2:7" x14ac:dyDescent="0.2">
      <c r="B345" s="46"/>
      <c r="C345" s="46"/>
      <c r="G345" s="1"/>
    </row>
    <row r="346" spans="2:7" x14ac:dyDescent="0.2">
      <c r="B346" s="46"/>
      <c r="C346" s="46"/>
      <c r="G346" s="1"/>
    </row>
    <row r="347" spans="2:7" x14ac:dyDescent="0.2">
      <c r="B347" s="46"/>
      <c r="C347" s="46"/>
      <c r="G347" s="1"/>
    </row>
    <row r="348" spans="2:7" x14ac:dyDescent="0.2">
      <c r="B348" s="46"/>
      <c r="C348" s="46"/>
      <c r="G348" s="1"/>
    </row>
    <row r="349" spans="2:7" x14ac:dyDescent="0.2">
      <c r="B349" s="46"/>
      <c r="C349" s="46"/>
      <c r="G349" s="1"/>
    </row>
    <row r="350" spans="2:7" x14ac:dyDescent="0.2">
      <c r="B350" s="46"/>
      <c r="C350" s="46"/>
      <c r="G350" s="1"/>
    </row>
    <row r="351" spans="2:7" x14ac:dyDescent="0.2">
      <c r="B351" s="46"/>
      <c r="C351" s="46"/>
      <c r="G351" s="1"/>
    </row>
    <row r="352" spans="2:7" x14ac:dyDescent="0.2">
      <c r="B352" s="46"/>
      <c r="C352" s="46"/>
      <c r="G352" s="1"/>
    </row>
    <row r="353" spans="2:7" x14ac:dyDescent="0.2">
      <c r="B353" s="46"/>
      <c r="C353" s="46"/>
      <c r="G353" s="1"/>
    </row>
    <row r="354" spans="2:7" x14ac:dyDescent="0.2">
      <c r="B354" s="46"/>
      <c r="C354" s="46"/>
      <c r="G354" s="1"/>
    </row>
    <row r="355" spans="2:7" x14ac:dyDescent="0.2">
      <c r="B355" s="46"/>
      <c r="C355" s="46"/>
      <c r="G355" s="1"/>
    </row>
    <row r="356" spans="2:7" x14ac:dyDescent="0.2">
      <c r="B356" s="46"/>
      <c r="C356" s="46"/>
      <c r="G356" s="1"/>
    </row>
    <row r="357" spans="2:7" x14ac:dyDescent="0.2">
      <c r="B357" s="46"/>
      <c r="C357" s="46"/>
      <c r="G357" s="1"/>
    </row>
    <row r="358" spans="2:7" x14ac:dyDescent="0.2">
      <c r="B358" s="46"/>
      <c r="C358" s="46"/>
      <c r="G358" s="1"/>
    </row>
    <row r="359" spans="2:7" x14ac:dyDescent="0.2">
      <c r="B359" s="46"/>
      <c r="C359" s="46"/>
      <c r="G359" s="1"/>
    </row>
    <row r="360" spans="2:7" x14ac:dyDescent="0.2">
      <c r="B360" s="46"/>
      <c r="C360" s="46"/>
      <c r="G360" s="1"/>
    </row>
    <row r="361" spans="2:7" x14ac:dyDescent="0.2">
      <c r="B361" s="46"/>
      <c r="C361" s="46"/>
      <c r="G361" s="1"/>
    </row>
    <row r="362" spans="2:7" x14ac:dyDescent="0.2">
      <c r="B362" s="46"/>
      <c r="C362" s="46"/>
      <c r="G362" s="1"/>
    </row>
    <row r="363" spans="2:7" x14ac:dyDescent="0.2">
      <c r="B363" s="46"/>
      <c r="C363" s="46"/>
      <c r="G363" s="1"/>
    </row>
    <row r="364" spans="2:7" x14ac:dyDescent="0.2">
      <c r="B364" s="46"/>
      <c r="C364" s="46"/>
      <c r="G364" s="1"/>
    </row>
    <row r="365" spans="2:7" x14ac:dyDescent="0.2">
      <c r="B365" s="46"/>
      <c r="C365" s="46"/>
      <c r="G365" s="1"/>
    </row>
    <row r="366" spans="2:7" x14ac:dyDescent="0.2">
      <c r="B366" s="46"/>
      <c r="C366" s="46"/>
      <c r="G366" s="1"/>
    </row>
    <row r="367" spans="2:7" x14ac:dyDescent="0.2">
      <c r="B367" s="46"/>
      <c r="C367" s="46"/>
      <c r="G367" s="1"/>
    </row>
    <row r="368" spans="2:7" x14ac:dyDescent="0.2">
      <c r="B368" s="46"/>
      <c r="C368" s="46"/>
      <c r="G368" s="1"/>
    </row>
    <row r="369" spans="2:7" x14ac:dyDescent="0.2">
      <c r="B369" s="46"/>
      <c r="C369" s="46"/>
      <c r="G369" s="1"/>
    </row>
    <row r="370" spans="2:7" x14ac:dyDescent="0.2">
      <c r="B370" s="46"/>
      <c r="C370" s="46"/>
      <c r="G370" s="1"/>
    </row>
    <row r="371" spans="2:7" x14ac:dyDescent="0.2">
      <c r="B371" s="46"/>
      <c r="C371" s="46"/>
      <c r="G371" s="1"/>
    </row>
    <row r="372" spans="2:7" x14ac:dyDescent="0.2">
      <c r="B372" s="46"/>
      <c r="C372" s="46"/>
      <c r="G372" s="1"/>
    </row>
    <row r="373" spans="2:7" x14ac:dyDescent="0.2">
      <c r="B373" s="46"/>
      <c r="C373" s="46"/>
      <c r="G373" s="1"/>
    </row>
    <row r="374" spans="2:7" x14ac:dyDescent="0.2">
      <c r="B374" s="46"/>
      <c r="C374" s="46"/>
      <c r="G374" s="1"/>
    </row>
    <row r="375" spans="2:7" x14ac:dyDescent="0.2">
      <c r="B375" s="46"/>
      <c r="C375" s="46"/>
      <c r="G375" s="1"/>
    </row>
    <row r="376" spans="2:7" x14ac:dyDescent="0.2">
      <c r="B376" s="46"/>
      <c r="C376" s="46"/>
      <c r="G376" s="1"/>
    </row>
    <row r="377" spans="2:7" x14ac:dyDescent="0.2">
      <c r="B377" s="46"/>
      <c r="C377" s="46"/>
      <c r="G377" s="1"/>
    </row>
    <row r="378" spans="2:7" x14ac:dyDescent="0.2">
      <c r="B378" s="46"/>
      <c r="C378" s="46"/>
      <c r="G378" s="1"/>
    </row>
    <row r="379" spans="2:7" x14ac:dyDescent="0.2">
      <c r="B379" s="46"/>
      <c r="C379" s="46"/>
      <c r="G379" s="1"/>
    </row>
    <row r="380" spans="2:7" x14ac:dyDescent="0.2">
      <c r="B380" s="46"/>
      <c r="C380" s="46"/>
      <c r="G380" s="1"/>
    </row>
    <row r="381" spans="2:7" x14ac:dyDescent="0.2">
      <c r="B381" s="46"/>
      <c r="C381" s="46"/>
      <c r="G381" s="1"/>
    </row>
    <row r="382" spans="2:7" x14ac:dyDescent="0.2">
      <c r="B382" s="46"/>
      <c r="C382" s="46"/>
      <c r="G382" s="1"/>
    </row>
    <row r="383" spans="2:7" x14ac:dyDescent="0.2">
      <c r="B383" s="46"/>
      <c r="C383" s="46"/>
      <c r="G383" s="1"/>
    </row>
    <row r="384" spans="2:7" x14ac:dyDescent="0.2">
      <c r="B384" s="46"/>
      <c r="C384" s="46"/>
      <c r="G384" s="1"/>
    </row>
    <row r="385" spans="2:7" x14ac:dyDescent="0.2">
      <c r="B385" s="46"/>
      <c r="C385" s="46"/>
      <c r="G385" s="1"/>
    </row>
    <row r="386" spans="2:7" x14ac:dyDescent="0.2">
      <c r="B386" s="46"/>
      <c r="C386" s="46"/>
      <c r="G386" s="1"/>
    </row>
    <row r="387" spans="2:7" x14ac:dyDescent="0.2">
      <c r="B387" s="46"/>
      <c r="C387" s="46"/>
      <c r="G387" s="1"/>
    </row>
    <row r="388" spans="2:7" x14ac:dyDescent="0.2">
      <c r="B388" s="46"/>
      <c r="C388" s="46"/>
      <c r="G388" s="1"/>
    </row>
    <row r="389" spans="2:7" x14ac:dyDescent="0.2">
      <c r="B389" s="46"/>
      <c r="C389" s="46"/>
      <c r="G389" s="1"/>
    </row>
    <row r="390" spans="2:7" x14ac:dyDescent="0.2">
      <c r="B390" s="46"/>
      <c r="C390" s="46"/>
      <c r="G390" s="1"/>
    </row>
    <row r="391" spans="2:7" x14ac:dyDescent="0.2">
      <c r="B391" s="46"/>
      <c r="C391" s="46"/>
      <c r="G391" s="1"/>
    </row>
    <row r="392" spans="2:7" x14ac:dyDescent="0.2">
      <c r="B392" s="46"/>
      <c r="C392" s="46"/>
      <c r="G392" s="1"/>
    </row>
    <row r="393" spans="2:7" x14ac:dyDescent="0.2">
      <c r="B393" s="46"/>
      <c r="C393" s="46"/>
      <c r="G393" s="1"/>
    </row>
    <row r="394" spans="2:7" x14ac:dyDescent="0.2">
      <c r="B394" s="46"/>
      <c r="C394" s="46"/>
      <c r="G394" s="1"/>
    </row>
    <row r="395" spans="2:7" x14ac:dyDescent="0.2">
      <c r="B395" s="46"/>
      <c r="C395" s="46"/>
      <c r="G395" s="1"/>
    </row>
    <row r="396" spans="2:7" x14ac:dyDescent="0.2">
      <c r="B396" s="46"/>
      <c r="C396" s="46"/>
      <c r="G396" s="1"/>
    </row>
    <row r="397" spans="2:7" x14ac:dyDescent="0.2">
      <c r="B397" s="46"/>
      <c r="C397" s="46"/>
      <c r="G397" s="1"/>
    </row>
    <row r="398" spans="2:7" x14ac:dyDescent="0.2">
      <c r="B398" s="46"/>
      <c r="C398" s="46"/>
      <c r="G398" s="1"/>
    </row>
    <row r="399" spans="2:7" x14ac:dyDescent="0.2">
      <c r="B399" s="46"/>
      <c r="C399" s="46"/>
      <c r="G399" s="1"/>
    </row>
    <row r="400" spans="2:7" x14ac:dyDescent="0.2">
      <c r="B400" s="46"/>
      <c r="C400" s="46"/>
      <c r="G400" s="1"/>
    </row>
    <row r="401" spans="2:7" x14ac:dyDescent="0.2">
      <c r="B401" s="46"/>
      <c r="C401" s="46"/>
      <c r="G401" s="1"/>
    </row>
    <row r="402" spans="2:7" x14ac:dyDescent="0.2">
      <c r="B402" s="46"/>
      <c r="C402" s="46"/>
      <c r="G402" s="1"/>
    </row>
    <row r="403" spans="2:7" x14ac:dyDescent="0.2">
      <c r="B403" s="46"/>
      <c r="C403" s="46"/>
      <c r="G403" s="1"/>
    </row>
    <row r="404" spans="2:7" x14ac:dyDescent="0.2">
      <c r="B404" s="46"/>
      <c r="C404" s="46"/>
      <c r="G404" s="1"/>
    </row>
    <row r="405" spans="2:7" x14ac:dyDescent="0.2">
      <c r="B405" s="46"/>
      <c r="C405" s="46"/>
      <c r="G405" s="1"/>
    </row>
    <row r="406" spans="2:7" x14ac:dyDescent="0.2">
      <c r="B406" s="46"/>
      <c r="C406" s="46"/>
      <c r="G406" s="1"/>
    </row>
    <row r="499" spans="2:7" x14ac:dyDescent="0.2">
      <c r="B499" s="38" t="str">
        <f>'[1]POTENCIAL HORAS'!C10</f>
        <v>ADA LUZ ROMERO</v>
      </c>
      <c r="C499" s="1" t="s">
        <v>124</v>
      </c>
      <c r="G499" s="1"/>
    </row>
    <row r="500" spans="2:7" x14ac:dyDescent="0.2">
      <c r="B500" s="38" t="str">
        <f>'[1]POTENCIAL HORAS'!C11</f>
        <v>ALCIBIADES DE LA ROSA</v>
      </c>
      <c r="C500" s="1" t="s">
        <v>125</v>
      </c>
      <c r="G500" s="1"/>
    </row>
    <row r="501" spans="2:7" x14ac:dyDescent="0.2">
      <c r="B501" s="38" t="str">
        <f>'[1]POTENCIAL HORAS'!C12</f>
        <v>ALICIA NAVARRO CASANOVA</v>
      </c>
      <c r="G501" s="1"/>
    </row>
    <row r="502" spans="2:7" x14ac:dyDescent="0.2">
      <c r="B502" s="38" t="str">
        <f>'[1]POTENCIAL HORAS'!C13</f>
        <v>ALVARO ARRAZOLA</v>
      </c>
      <c r="G502" s="1"/>
    </row>
    <row r="503" spans="2:7" x14ac:dyDescent="0.2">
      <c r="B503" s="38" t="str">
        <f>'[1]POTENCIAL HORAS'!C14</f>
        <v>ÁLVARO ESTRADA</v>
      </c>
      <c r="G503" s="1"/>
    </row>
    <row r="504" spans="2:7" x14ac:dyDescent="0.2">
      <c r="B504" s="38" t="str">
        <f>'[1]POTENCIAL HORAS'!C15</f>
        <v>ARMANDO ACEVEDO TIRIA</v>
      </c>
      <c r="G504" s="1"/>
    </row>
    <row r="505" spans="2:7" x14ac:dyDescent="0.2">
      <c r="B505" s="38" t="str">
        <f>'[1]POTENCIAL HORAS'!C16</f>
        <v>ARMANDO PABON</v>
      </c>
      <c r="G505" s="1"/>
    </row>
    <row r="506" spans="2:7" x14ac:dyDescent="0.2">
      <c r="B506" s="38" t="str">
        <f>'[1]POTENCIAL HORAS'!C17</f>
        <v>BETTY RIPOLL</v>
      </c>
      <c r="G506" s="1"/>
    </row>
    <row r="507" spans="2:7" x14ac:dyDescent="0.2">
      <c r="B507" s="38" t="str">
        <f>'[1]POTENCIAL HORAS'!C18</f>
        <v>BORIS VELILLA</v>
      </c>
      <c r="G507" s="1"/>
    </row>
    <row r="508" spans="2:7" x14ac:dyDescent="0.2">
      <c r="B508" s="38" t="str">
        <f>'[1]POTENCIAL HORAS'!C19</f>
        <v>CARLOS MURCIA</v>
      </c>
      <c r="G508" s="1"/>
    </row>
    <row r="509" spans="2:7" x14ac:dyDescent="0.2">
      <c r="B509" s="38" t="str">
        <f>'[1]POTENCIAL HORAS'!C20</f>
        <v>CARLOS RIPOLL</v>
      </c>
      <c r="G509" s="1"/>
    </row>
    <row r="510" spans="2:7" x14ac:dyDescent="0.2">
      <c r="B510" s="38" t="str">
        <f>'[1]POTENCIAL HORAS'!C21</f>
        <v>CASILDA RODRIGUEZ</v>
      </c>
      <c r="G510" s="1"/>
    </row>
    <row r="511" spans="2:7" x14ac:dyDescent="0.2">
      <c r="B511" s="38" t="str">
        <f>'[1]POTENCIAL HORAS'!C22</f>
        <v>CATALINA LOPEZ</v>
      </c>
      <c r="G511" s="1"/>
    </row>
    <row r="512" spans="2:7" x14ac:dyDescent="0.2">
      <c r="B512" s="38" t="str">
        <f>'[1]POTENCIAL HORAS'!C23</f>
        <v>CÈSAR BOLAÑO ROYERO</v>
      </c>
      <c r="G512" s="1"/>
    </row>
    <row r="513" spans="2:7" x14ac:dyDescent="0.2">
      <c r="B513" s="38" t="str">
        <f>'[1]POTENCIAL HORAS'!C24</f>
        <v>DANILO JUNCO</v>
      </c>
      <c r="G513" s="1"/>
    </row>
    <row r="514" spans="2:7" x14ac:dyDescent="0.2">
      <c r="B514" s="38" t="str">
        <f>'[1]POTENCIAL HORAS'!C25</f>
        <v>EDELBERTO LOPEZ</v>
      </c>
      <c r="G514" s="1"/>
    </row>
    <row r="515" spans="2:7" x14ac:dyDescent="0.2">
      <c r="B515" s="38" t="str">
        <f>'[1]POTENCIAL HORAS'!C26</f>
        <v>EDWIN POLO</v>
      </c>
      <c r="G515" s="1"/>
    </row>
    <row r="516" spans="2:7" x14ac:dyDescent="0.2">
      <c r="B516" s="38" t="str">
        <f>'[1]POTENCIAL HORAS'!C27</f>
        <v>ELBERTO PERTUZ DE LA HOZ</v>
      </c>
      <c r="G516" s="1"/>
    </row>
    <row r="517" spans="2:7" x14ac:dyDescent="0.2">
      <c r="B517" s="38" t="str">
        <f>'[1]POTENCIAL HORAS'!C28</f>
        <v>ENGELBERTO COBA</v>
      </c>
      <c r="G517" s="1"/>
    </row>
    <row r="518" spans="2:7" x14ac:dyDescent="0.2">
      <c r="B518" s="38" t="str">
        <f>'[1]POTENCIAL HORAS'!C29</f>
        <v>ENITH MENCO</v>
      </c>
      <c r="G518" s="1"/>
    </row>
    <row r="519" spans="2:7" x14ac:dyDescent="0.2">
      <c r="B519" s="38" t="str">
        <f>'[1]POTENCIAL HORAS'!C30</f>
        <v>FELIX AMARIS JACOME</v>
      </c>
      <c r="G519" s="1"/>
    </row>
    <row r="520" spans="2:7" x14ac:dyDescent="0.2">
      <c r="B520" s="38" t="str">
        <f>'[1]POTENCIAL HORAS'!C31</f>
        <v>FERNANDO TORRES</v>
      </c>
      <c r="G520" s="1"/>
    </row>
    <row r="521" spans="2:7" x14ac:dyDescent="0.2">
      <c r="B521" s="38" t="str">
        <f>'[1]POTENCIAL HORAS'!C32</f>
        <v>FERNEY ORTIZ</v>
      </c>
      <c r="G521" s="1"/>
    </row>
    <row r="522" spans="2:7" x14ac:dyDescent="0.2">
      <c r="B522" s="38" t="str">
        <f>'[1]POTENCIAL HORAS'!C33</f>
        <v>HEBER CASTRO</v>
      </c>
      <c r="G522" s="1"/>
    </row>
    <row r="523" spans="2:7" x14ac:dyDescent="0.2">
      <c r="B523" s="38" t="str">
        <f>'[1]POTENCIAL HORAS'!C34</f>
        <v>HENRY IBARRA RANGEL</v>
      </c>
      <c r="G523" s="1"/>
    </row>
    <row r="524" spans="2:7" x14ac:dyDescent="0.2">
      <c r="B524" s="38" t="str">
        <f>'[1]POTENCIAL HORAS'!C35</f>
        <v>IBETH TEJERA</v>
      </c>
      <c r="G524" s="1"/>
    </row>
    <row r="525" spans="2:7" x14ac:dyDescent="0.2">
      <c r="B525" s="38" t="str">
        <f>'[1]POTENCIAL HORAS'!C36</f>
        <v>IVAN FERREIRA BALLESTAS</v>
      </c>
      <c r="G525" s="1"/>
    </row>
    <row r="526" spans="2:7" x14ac:dyDescent="0.2">
      <c r="B526" s="38" t="str">
        <f>'[1]POTENCIAL HORAS'!C37</f>
        <v>IVAN GARCIA</v>
      </c>
      <c r="G526" s="1"/>
    </row>
    <row r="527" spans="2:7" x14ac:dyDescent="0.2">
      <c r="B527" s="38" t="str">
        <f>'[1]POTENCIAL HORAS'!C38</f>
        <v>JAIME VENDRIES VARGAS</v>
      </c>
      <c r="G527" s="1"/>
    </row>
    <row r="528" spans="2:7" x14ac:dyDescent="0.2">
      <c r="B528" s="38" t="str">
        <f>'[1]POTENCIAL HORAS'!C39</f>
        <v>JAVIER CALDERIN</v>
      </c>
      <c r="G528" s="1"/>
    </row>
    <row r="529" spans="2:7" x14ac:dyDescent="0.2">
      <c r="B529" s="38" t="str">
        <f>'[1]POTENCIAL HORAS'!C40</f>
        <v>JOHNNY DE LA ROSA</v>
      </c>
      <c r="G529" s="1"/>
    </row>
    <row r="530" spans="2:7" x14ac:dyDescent="0.2">
      <c r="B530" s="38" t="str">
        <f>'[1]POTENCIAL HORAS'!C41</f>
        <v>JOHNNY DITTA</v>
      </c>
      <c r="G530" s="1"/>
    </row>
    <row r="531" spans="2:7" x14ac:dyDescent="0.2">
      <c r="B531" s="38" t="str">
        <f>'[1]POTENCIAL HORAS'!C42</f>
        <v>JORGE BENAVIDES</v>
      </c>
      <c r="G531" s="1"/>
    </row>
    <row r="532" spans="2:7" x14ac:dyDescent="0.2">
      <c r="B532" s="38" t="str">
        <f>'[1]POTENCIAL HORAS'!C43</f>
        <v>JOSE GOMEZ</v>
      </c>
      <c r="G532" s="1"/>
    </row>
    <row r="533" spans="2:7" x14ac:dyDescent="0.2">
      <c r="B533" s="38" t="str">
        <f>'[1]POTENCIAL HORAS'!C44</f>
        <v>JOSE GUALDRON</v>
      </c>
      <c r="G533" s="1"/>
    </row>
    <row r="534" spans="2:7" x14ac:dyDescent="0.2">
      <c r="B534" s="38" t="str">
        <f>'[1]POTENCIAL HORAS'!C45</f>
        <v>JUAN FARELO PEÑA</v>
      </c>
      <c r="G534" s="1"/>
    </row>
    <row r="535" spans="2:7" x14ac:dyDescent="0.2">
      <c r="B535" s="38" t="str">
        <f>'[1]POTENCIAL HORAS'!C46</f>
        <v>JUAN URIBE MONSALVE</v>
      </c>
      <c r="G535" s="1"/>
    </row>
    <row r="536" spans="2:7" x14ac:dyDescent="0.2">
      <c r="B536" s="38" t="str">
        <f>'[1]POTENCIAL HORAS'!C47</f>
        <v>JUSTINIANO ARDILA</v>
      </c>
      <c r="G536" s="1"/>
    </row>
    <row r="537" spans="2:7" x14ac:dyDescent="0.2">
      <c r="B537" s="38" t="str">
        <f>'[1]POTENCIAL HORAS'!C48</f>
        <v>KENDRY PRIETO</v>
      </c>
      <c r="G537" s="1"/>
    </row>
    <row r="538" spans="2:7" x14ac:dyDescent="0.2">
      <c r="B538" s="38" t="str">
        <f>'[1]POTENCIAL HORAS'!C49</f>
        <v>LEONARDO FLOREZ</v>
      </c>
      <c r="G538" s="1"/>
    </row>
    <row r="539" spans="2:7" x14ac:dyDescent="0.2">
      <c r="B539" s="38" t="str">
        <f>'[1]POTENCIAL HORAS'!C50</f>
        <v>LINDA GARCIA ANAYA</v>
      </c>
      <c r="G539" s="1"/>
    </row>
    <row r="540" spans="2:7" x14ac:dyDescent="0.2">
      <c r="B540" s="38" t="str">
        <f>'[1]POTENCIAL HORAS'!C51</f>
        <v>LUCAS GUTIERREZ PANZA</v>
      </c>
      <c r="G540" s="1"/>
    </row>
    <row r="541" spans="2:7" x14ac:dyDescent="0.2">
      <c r="B541" s="38" t="str">
        <f>'[1]POTENCIAL HORAS'!C52</f>
        <v>LUIS ARIAS BUTRON</v>
      </c>
      <c r="G541" s="1"/>
    </row>
    <row r="542" spans="2:7" x14ac:dyDescent="0.2">
      <c r="B542" s="38" t="str">
        <f>'[1]POTENCIAL HORAS'!C53</f>
        <v>LUISA VILLAREAL</v>
      </c>
      <c r="G542" s="1"/>
    </row>
    <row r="543" spans="2:7" x14ac:dyDescent="0.2">
      <c r="B543" s="38" t="str">
        <f>'[1]POTENCIAL HORAS'!C54</f>
        <v>LUZ MARINA RODRIGUEZ</v>
      </c>
      <c r="G543" s="1"/>
    </row>
    <row r="544" spans="2:7" x14ac:dyDescent="0.2">
      <c r="B544" s="38" t="str">
        <f>'[1]POTENCIAL HORAS'!C55</f>
        <v>MANUEL ALZAMORA NIEBLES</v>
      </c>
      <c r="G544" s="1"/>
    </row>
    <row r="545" spans="2:7" x14ac:dyDescent="0.2">
      <c r="B545" s="38" t="str">
        <f>'[1]POTENCIAL HORAS'!C56</f>
        <v>MARIO MONTOYA</v>
      </c>
      <c r="G545" s="1"/>
    </row>
    <row r="546" spans="2:7" x14ac:dyDescent="0.2">
      <c r="B546" s="38" t="str">
        <f>'[1]POTENCIAL HORAS'!C57</f>
        <v>MILDRED BELTRAN</v>
      </c>
      <c r="G546" s="1"/>
    </row>
    <row r="547" spans="2:7" x14ac:dyDescent="0.2">
      <c r="B547" s="38" t="str">
        <f>'[1]POTENCIAL HORAS'!C58</f>
        <v>MILDRED ROLONG</v>
      </c>
      <c r="G547" s="1"/>
    </row>
    <row r="548" spans="2:7" x14ac:dyDescent="0.2">
      <c r="B548" s="38" t="str">
        <f>'[1]POTENCIAL HORAS'!C59</f>
        <v>MILTON ALFARO</v>
      </c>
      <c r="G548" s="1"/>
    </row>
    <row r="549" spans="2:7" x14ac:dyDescent="0.2">
      <c r="B549" s="38" t="str">
        <f>'[1]POTENCIAL HORAS'!C60</f>
        <v>NANCY FABREGAS CARRILLO</v>
      </c>
      <c r="G549" s="1"/>
    </row>
    <row r="550" spans="2:7" x14ac:dyDescent="0.2">
      <c r="B550" s="38" t="e">
        <f>'[1]POTENCIAL HORAS'!#REF!</f>
        <v>#REF!</v>
      </c>
      <c r="G550" s="1"/>
    </row>
    <row r="551" spans="2:7" x14ac:dyDescent="0.2">
      <c r="B551" s="38" t="str">
        <f>'[1]POTENCIAL HORAS'!C61</f>
        <v>NELSON COBA FERNANDEZ</v>
      </c>
      <c r="G551" s="1"/>
    </row>
    <row r="552" spans="2:7" x14ac:dyDescent="0.2">
      <c r="B552" s="38" t="str">
        <f>'[1]POTENCIAL HORAS'!C62</f>
        <v>ORLANDO MOLINARES</v>
      </c>
      <c r="G552" s="1"/>
    </row>
    <row r="553" spans="2:7" x14ac:dyDescent="0.2">
      <c r="B553" s="38" t="str">
        <f>'[1]POTENCIAL HORAS'!C63</f>
        <v>OSVALDO CASTRO MOLINA</v>
      </c>
      <c r="G553" s="1"/>
    </row>
    <row r="554" spans="2:7" x14ac:dyDescent="0.2">
      <c r="B554" s="38" t="str">
        <f>'[1]POTENCIAL HORAS'!C64</f>
        <v>PATRICIA DOVALE PEREZ</v>
      </c>
      <c r="G554" s="1"/>
    </row>
    <row r="555" spans="2:7" x14ac:dyDescent="0.2">
      <c r="B555" s="38" t="str">
        <f>'[1]POTENCIAL HORAS'!C66</f>
        <v>RAFAEL JULIAO</v>
      </c>
      <c r="G555" s="1"/>
    </row>
    <row r="556" spans="2:7" x14ac:dyDescent="0.2">
      <c r="B556" s="38" t="str">
        <f>'[1]POTENCIAL HORAS'!C90</f>
        <v>RAFAEL OLACIREGUI</v>
      </c>
      <c r="G556" s="1"/>
    </row>
    <row r="557" spans="2:7" x14ac:dyDescent="0.2">
      <c r="B557" s="38" t="str">
        <f>'[1]POTENCIAL HORAS'!C67</f>
        <v>RAMIRO SANTIAGO</v>
      </c>
      <c r="G557" s="1"/>
    </row>
    <row r="558" spans="2:7" x14ac:dyDescent="0.2">
      <c r="B558" s="38" t="str">
        <f>'[1]POTENCIAL HORAS'!C68</f>
        <v>REBECA ZAPATA</v>
      </c>
      <c r="G558" s="1"/>
    </row>
    <row r="559" spans="2:7" x14ac:dyDescent="0.2">
      <c r="B559" s="38" t="str">
        <f>'[1]POTENCIAL HORAS'!C69</f>
        <v>RICARDO SANDOVAL</v>
      </c>
      <c r="G559" s="1"/>
    </row>
    <row r="560" spans="2:7" x14ac:dyDescent="0.2">
      <c r="B560" s="38" t="str">
        <f>'[1]POTENCIAL HORAS'!C70</f>
        <v>RUBEN SAENZ PINTO</v>
      </c>
      <c r="G560" s="1"/>
    </row>
    <row r="561" spans="2:7" x14ac:dyDescent="0.2">
      <c r="B561" s="38" t="str">
        <f>'[1]POTENCIAL HORAS'!C71</f>
        <v>SILVIA VILLEGAS</v>
      </c>
      <c r="G561" s="1"/>
    </row>
    <row r="562" spans="2:7" x14ac:dyDescent="0.2">
      <c r="B562" s="38" t="str">
        <f>'[1]POTENCIAL HORAS'!C72</f>
        <v>VERA DIAZ ARROYO</v>
      </c>
      <c r="G562" s="1"/>
    </row>
    <row r="563" spans="2:7" x14ac:dyDescent="0.2">
      <c r="B563" s="38" t="str">
        <f>'[1]POTENCIAL HORAS'!C76</f>
        <v>YULI BARCELO</v>
      </c>
      <c r="G563" s="1"/>
    </row>
    <row r="564" spans="2:7" x14ac:dyDescent="0.2">
      <c r="B564" s="38">
        <f>'[1]POTENCIAL HORAS'!C77</f>
        <v>0</v>
      </c>
      <c r="G564" s="1"/>
    </row>
    <row r="565" spans="2:7" x14ac:dyDescent="0.2">
      <c r="B565" s="38">
        <f>'[1]POTENCIAL HORAS'!C78</f>
        <v>0</v>
      </c>
      <c r="G565" s="1"/>
    </row>
    <row r="566" spans="2:7" x14ac:dyDescent="0.2">
      <c r="B566" s="38" t="str">
        <f>'[1]POTENCIAL HORAS'!C79</f>
        <v>ADAN BARRIOS BARON</v>
      </c>
      <c r="G566" s="1"/>
    </row>
    <row r="567" spans="2:7" x14ac:dyDescent="0.2">
      <c r="B567" s="38" t="str">
        <f>'[1]POTENCIAL HORAS'!C81</f>
        <v>ALBA ROSA MERCADO CABRERA</v>
      </c>
      <c r="G567" s="1"/>
    </row>
    <row r="568" spans="2:7" x14ac:dyDescent="0.2">
      <c r="B568" s="38" t="str">
        <f>'[1]POTENCIAL HORAS'!C83</f>
        <v>ALBERTO ELVIS ARENAS ESPITIA</v>
      </c>
      <c r="G568" s="1"/>
    </row>
    <row r="569" spans="2:7" x14ac:dyDescent="0.2">
      <c r="B569" s="38" t="str">
        <f>'[1]POTENCIAL HORAS'!C84</f>
        <v xml:space="preserve">ALBERTO LONDOÑO BERMUDEZ </v>
      </c>
      <c r="G569" s="1"/>
    </row>
    <row r="570" spans="2:7" x14ac:dyDescent="0.2">
      <c r="B570" s="38" t="e">
        <f>'[1]POTENCIAL HORAS'!#REF!</f>
        <v>#REF!</v>
      </c>
      <c r="G570" s="1"/>
    </row>
    <row r="571" spans="2:7" x14ac:dyDescent="0.2">
      <c r="B571" s="38" t="str">
        <f>'[1]POTENCIAL HORAS'!C85</f>
        <v xml:space="preserve">ALEJANDRO RAFAEL GAMEZ SERNA </v>
      </c>
      <c r="G571" s="1"/>
    </row>
    <row r="572" spans="2:7" x14ac:dyDescent="0.2">
      <c r="B572" s="38" t="str">
        <f>'[1]POTENCIAL HORAS'!C86</f>
        <v xml:space="preserve">ALEX DAVID BARRANCO GÓMEZ </v>
      </c>
      <c r="G572" s="1"/>
    </row>
    <row r="573" spans="2:7" x14ac:dyDescent="0.2">
      <c r="B573" s="38" t="str">
        <f>'[1]POTENCIAL HORAS'!C87</f>
        <v>ALEXANDER RAFAEL ROJANO POLO</v>
      </c>
      <c r="G573" s="1"/>
    </row>
    <row r="574" spans="2:7" x14ac:dyDescent="0.2">
      <c r="B574" s="38" t="str">
        <f>'[1]POTENCIAL HORAS'!C88</f>
        <v>ALFREDO ALCOCER CORVACHO</v>
      </c>
      <c r="G574" s="1"/>
    </row>
    <row r="575" spans="2:7" x14ac:dyDescent="0.2">
      <c r="B575" s="38" t="str">
        <f>'[1]POTENCIAL HORAS'!C89</f>
        <v>ALFREDO MARIO DE LA ROSA PAREJO</v>
      </c>
      <c r="G575" s="1"/>
    </row>
    <row r="576" spans="2:7" x14ac:dyDescent="0.2">
      <c r="B576" s="38" t="e">
        <f>'[1]POTENCIAL HORAS'!#REF!</f>
        <v>#REF!</v>
      </c>
      <c r="G576" s="1"/>
    </row>
    <row r="577" spans="2:7" x14ac:dyDescent="0.2">
      <c r="B577" s="38" t="str">
        <f>'[1]POTENCIAL HORAS'!C91</f>
        <v xml:space="preserve">ALVARO CARBONELL CUENTAS </v>
      </c>
      <c r="G577" s="1"/>
    </row>
    <row r="578" spans="2:7" x14ac:dyDescent="0.2">
      <c r="B578" s="38" t="str">
        <f>'[1]POTENCIAL HORAS'!C92</f>
        <v xml:space="preserve">ALVARO HUGO ATENCIA PRINS </v>
      </c>
      <c r="G578" s="1"/>
    </row>
    <row r="579" spans="2:7" x14ac:dyDescent="0.2">
      <c r="B579" s="38" t="str">
        <f>'[1]POTENCIAL HORAS'!C93</f>
        <v>ALVARO SALAS INFANTE</v>
      </c>
      <c r="G579" s="1"/>
    </row>
    <row r="580" spans="2:7" x14ac:dyDescent="0.2">
      <c r="B580" s="38" t="str">
        <f>'[1]POTENCIAL HORAS'!C94</f>
        <v xml:space="preserve">ANA MARÍA GARCÍA SÁNCHEZ </v>
      </c>
      <c r="G580" s="1"/>
    </row>
    <row r="581" spans="2:7" x14ac:dyDescent="0.2">
      <c r="B581" s="38" t="str">
        <f>'[1]POTENCIAL HORAS'!C95</f>
        <v>ANA SOFIA ROCHA IGUARAN</v>
      </c>
      <c r="G581" s="1"/>
    </row>
    <row r="582" spans="2:7" x14ac:dyDescent="0.2">
      <c r="B582" s="38" t="str">
        <f>'[1]POTENCIAL HORAS'!C96</f>
        <v>ANDERSSON ANTONIO OLIVO CANTILLO</v>
      </c>
      <c r="G582" s="1"/>
    </row>
    <row r="583" spans="2:7" x14ac:dyDescent="0.2">
      <c r="B583" s="38" t="str">
        <f>'[1]POTENCIAL HORAS'!C98</f>
        <v>ANGELICA LLINAS</v>
      </c>
      <c r="G583" s="1"/>
    </row>
    <row r="584" spans="2:7" x14ac:dyDescent="0.2">
      <c r="B584" s="38" t="str">
        <f>'[1]POTENCIAL HORAS'!C99</f>
        <v>ARCENIO MANUEL   PUERTA RODRÍGUEZ</v>
      </c>
      <c r="G584" s="1"/>
    </row>
    <row r="585" spans="2:7" x14ac:dyDescent="0.2">
      <c r="B585" s="38" t="e">
        <f>'[1]POTENCIAL HORAS'!#REF!</f>
        <v>#REF!</v>
      </c>
      <c r="G585" s="1"/>
    </row>
    <row r="586" spans="2:7" x14ac:dyDescent="0.2">
      <c r="B586" s="38" t="str">
        <f>'[1]POTENCIAL HORAS'!C100</f>
        <v xml:space="preserve">ARISTIDES ALBERTO POLO PERALTA </v>
      </c>
      <c r="G586" s="1"/>
    </row>
    <row r="587" spans="2:7" x14ac:dyDescent="0.2">
      <c r="B587" s="38" t="str">
        <f>'[1]POTENCIAL HORAS'!C101</f>
        <v>ASTRIID DEL CARMEN NADER ROMANOS</v>
      </c>
      <c r="G587" s="1"/>
    </row>
    <row r="588" spans="2:7" x14ac:dyDescent="0.2">
      <c r="B588" s="38" t="str">
        <f>'[1]POTENCIAL HORAS'!C102</f>
        <v>AURA PATRICIA OJEDA POLO</v>
      </c>
      <c r="G588" s="1"/>
    </row>
    <row r="589" spans="2:7" x14ac:dyDescent="0.2">
      <c r="B589" s="38" t="str">
        <f>'[1]POTENCIAL HORAS'!C103</f>
        <v xml:space="preserve">BELEMIR BLANCO BARBOSA </v>
      </c>
      <c r="G589" s="1"/>
    </row>
    <row r="590" spans="2:7" x14ac:dyDescent="0.2">
      <c r="B590" s="38" t="str">
        <f>'[1]POTENCIAL HORAS'!C104</f>
        <v>BENJAMIN FIDEL GARCIA VILLALBA</v>
      </c>
      <c r="G590" s="1"/>
    </row>
    <row r="591" spans="2:7" x14ac:dyDescent="0.2">
      <c r="B591" s="38" t="str">
        <f>'[1]POTENCIAL HORAS'!C105</f>
        <v>CAMILO MORENO PRENS</v>
      </c>
      <c r="G591" s="1"/>
    </row>
    <row r="592" spans="2:7" x14ac:dyDescent="0.2">
      <c r="B592" s="38" t="str">
        <f>'[1]POTENCIAL HORAS'!C106</f>
        <v>CARLOS ALBERTO SALAMANCA HIGUERA</v>
      </c>
      <c r="G592" s="1"/>
    </row>
    <row r="593" spans="2:7" x14ac:dyDescent="0.2">
      <c r="B593" s="38" t="e">
        <f>'[1]POTENCIAL HORAS'!#REF!</f>
        <v>#REF!</v>
      </c>
      <c r="G593" s="1"/>
    </row>
    <row r="594" spans="2:7" x14ac:dyDescent="0.2">
      <c r="B594" s="38" t="str">
        <f>'[1]POTENCIAL HORAS'!C107</f>
        <v xml:space="preserve">CARLOS ANDRÉS URIBE DE LA CRUZ </v>
      </c>
      <c r="G594" s="1"/>
    </row>
    <row r="595" spans="2:7" x14ac:dyDescent="0.2">
      <c r="B595" s="38" t="str">
        <f>'[1]POTENCIAL HORAS'!C108</f>
        <v>CARLOS EDUARDO VENGOECHEA CARRILLO</v>
      </c>
      <c r="G595" s="1"/>
    </row>
    <row r="596" spans="2:7" x14ac:dyDescent="0.2">
      <c r="B596" s="38" t="str">
        <f>'[1]POTENCIAL HORAS'!C109</f>
        <v xml:space="preserve">CARLOS FAJARDO MOVILLA </v>
      </c>
      <c r="G596" s="1"/>
    </row>
    <row r="597" spans="2:7" x14ac:dyDescent="0.2">
      <c r="B597" s="38" t="str">
        <f>'[1]POTENCIAL HORAS'!C110</f>
        <v xml:space="preserve">CARMEN ALICIA ARENAS DE GARCÍA </v>
      </c>
      <c r="G597" s="1"/>
    </row>
    <row r="598" spans="2:7" x14ac:dyDescent="0.2">
      <c r="B598" s="38" t="str">
        <f>'[1]POTENCIAL HORAS'!C111</f>
        <v xml:space="preserve">CATALINO JESUS SUAREZ RUIZ </v>
      </c>
      <c r="G598" s="1"/>
    </row>
    <row r="599" spans="2:7" x14ac:dyDescent="0.2">
      <c r="B599" s="38" t="str">
        <f>'[1]POTENCIAL HORAS'!C112</f>
        <v>CENIA ELENA CASTRO CANTILLO</v>
      </c>
      <c r="G599" s="1"/>
    </row>
    <row r="600" spans="2:7" x14ac:dyDescent="0.2">
      <c r="B600" s="38" t="str">
        <f>'[1]POTENCIAL HORAS'!C113</f>
        <v>CESAR DAVID AVENDAÑO ARREGOCES</v>
      </c>
      <c r="G600" s="1"/>
    </row>
    <row r="601" spans="2:7" x14ac:dyDescent="0.2">
      <c r="B601" s="38" t="str">
        <f>'[1]POTENCIAL HORAS'!C118</f>
        <v>CONTRATISTA  PRODUCCIÓN DE MULTIMEDIA VIRTUAL 1</v>
      </c>
      <c r="G601" s="1"/>
    </row>
    <row r="602" spans="2:7" x14ac:dyDescent="0.2">
      <c r="B602" s="38" t="str">
        <f>'[1]POTENCIAL HORAS'!C119</f>
        <v>CONTRATISTA  PRODUCCIÓN DE MULTIMEDIA VIRTUAL 2</v>
      </c>
      <c r="G602" s="1"/>
    </row>
    <row r="603" spans="2:7" x14ac:dyDescent="0.2">
      <c r="B603" s="38" t="e">
        <f>'[1]POTENCIAL HORAS'!#REF!</f>
        <v>#REF!</v>
      </c>
      <c r="G603" s="1"/>
    </row>
    <row r="604" spans="2:7" x14ac:dyDescent="0.2">
      <c r="B604" s="38" t="str">
        <f>'[1]POTENCIAL HORAS'!C136</f>
        <v>CONTRATISTA RECURRENTES</v>
      </c>
      <c r="G604" s="1"/>
    </row>
    <row r="605" spans="2:7" x14ac:dyDescent="0.2">
      <c r="B605" s="38" t="str">
        <f>'[1]POTENCIAL HORAS'!C141</f>
        <v>CONTRATISTA TSA EVALUADOR 1</v>
      </c>
      <c r="G605" s="1"/>
    </row>
    <row r="606" spans="2:7" x14ac:dyDescent="0.2">
      <c r="B606" s="38" t="e">
        <f>'[1]POTENCIAL HORAS'!#REF!</f>
        <v>#REF!</v>
      </c>
      <c r="G606" s="1"/>
    </row>
    <row r="607" spans="2:7" x14ac:dyDescent="0.2">
      <c r="B607" s="38" t="str">
        <f>'[1]POTENCIAL HORAS'!C143</f>
        <v>CONTRATISTA TTUTOR EDO</v>
      </c>
      <c r="G607" s="1"/>
    </row>
    <row r="608" spans="2:7" x14ac:dyDescent="0.2">
      <c r="B608" s="38" t="str">
        <f>'[1]POTENCIAL HORAS'!C144</f>
        <v>DANIEL EDUARDO CARBONELL PEREZ</v>
      </c>
      <c r="G608" s="1"/>
    </row>
    <row r="609" spans="2:7" x14ac:dyDescent="0.2">
      <c r="B609" s="38" t="str">
        <f>'[1]POTENCIAL HORAS'!C145</f>
        <v xml:space="preserve">DANIEL ENRIQUE CABARCAS MARÍN </v>
      </c>
      <c r="G609" s="1"/>
    </row>
    <row r="610" spans="2:7" x14ac:dyDescent="0.2">
      <c r="B610" s="38" t="str">
        <f>'[1]POTENCIAL HORAS'!C146</f>
        <v>DANIS ALBERTO MONTAÑA BASTIDAS</v>
      </c>
      <c r="G610" s="1"/>
    </row>
    <row r="611" spans="2:7" x14ac:dyDescent="0.2">
      <c r="B611" s="38" t="str">
        <f>'[1]POTENCIAL HORAS'!C147</f>
        <v xml:space="preserve">DAVID ANDRÉS OCHOA MIRANDA </v>
      </c>
      <c r="G611" s="1"/>
    </row>
    <row r="612" spans="2:7" x14ac:dyDescent="0.2">
      <c r="B612" s="38" t="str">
        <f>'[1]POTENCIAL HORAS'!C148</f>
        <v>DAVID FERNANDO ARZUZA TORRADO</v>
      </c>
      <c r="G612" s="1"/>
    </row>
    <row r="613" spans="2:7" x14ac:dyDescent="0.2">
      <c r="B613" s="38" t="str">
        <f>'[1]POTENCIAL HORAS'!C150</f>
        <v>DIANA LUZ DE LEON OBREGON</v>
      </c>
      <c r="G613" s="1"/>
    </row>
    <row r="614" spans="2:7" x14ac:dyDescent="0.2">
      <c r="B614" s="38" t="str">
        <f>'[1]POTENCIAL HORAS'!C151</f>
        <v>EDGAR BULA ESPINOZA</v>
      </c>
      <c r="G614" s="1"/>
    </row>
    <row r="615" spans="2:7" x14ac:dyDescent="0.2">
      <c r="B615" s="38" t="str">
        <f>'[1]POTENCIAL HORAS'!C152</f>
        <v xml:space="preserve">EDINSON JESÚS ARIZA ROCHA </v>
      </c>
      <c r="G615" s="1"/>
    </row>
    <row r="616" spans="2:7" x14ac:dyDescent="0.2">
      <c r="B616" s="38" t="e">
        <f>'[1]POTENCIAL HORAS'!#REF!</f>
        <v>#REF!</v>
      </c>
      <c r="G616" s="1"/>
    </row>
    <row r="617" spans="2:7" x14ac:dyDescent="0.2">
      <c r="B617" s="38" t="str">
        <f>'[1]POTENCIAL HORAS'!C153</f>
        <v>EDUARDO DEL REAL JARABA</v>
      </c>
      <c r="G617" s="1"/>
    </row>
    <row r="618" spans="2:7" x14ac:dyDescent="0.2">
      <c r="B618" s="38" t="str">
        <f>'[1]POTENCIAL HORAS'!C154</f>
        <v xml:space="preserve">ELIAS MOISES PATIÑO HURTADO </v>
      </c>
      <c r="G618" s="1"/>
    </row>
    <row r="619" spans="2:7" x14ac:dyDescent="0.2">
      <c r="B619" s="38" t="str">
        <f>'[1]POTENCIAL HORAS'!C155</f>
        <v xml:space="preserve">ELISEO ANGEL RODRIGUEZ SANABRIA </v>
      </c>
      <c r="G619" s="1"/>
    </row>
    <row r="620" spans="2:7" x14ac:dyDescent="0.2">
      <c r="B620" s="38" t="str">
        <f>'[1]POTENCIAL HORAS'!C156</f>
        <v>ELVIS XAVIER RODRIGUEZ BARRIOS</v>
      </c>
      <c r="G620" s="1"/>
    </row>
    <row r="621" spans="2:7" x14ac:dyDescent="0.2">
      <c r="B621" s="38" t="str">
        <f>'[1]POTENCIAL HORAS'!C157</f>
        <v xml:space="preserve">ERICK WILSON BUENAVENTURA MEDINA </v>
      </c>
      <c r="G621" s="1"/>
    </row>
    <row r="622" spans="2:7" x14ac:dyDescent="0.2">
      <c r="B622" s="38" t="str">
        <f>'[1]POTENCIAL HORAS'!C158</f>
        <v xml:space="preserve">ERIKA MARIA VELASQUEZ CARRILLO </v>
      </c>
      <c r="G622" s="1"/>
    </row>
    <row r="623" spans="2:7" x14ac:dyDescent="0.2">
      <c r="B623" s="38" t="str">
        <f>'[1]POTENCIAL HORAS'!C159</f>
        <v xml:space="preserve">EUCLIDES DE LA CRUZ PEREZ </v>
      </c>
      <c r="G623" s="1"/>
    </row>
    <row r="624" spans="2:7" x14ac:dyDescent="0.2">
      <c r="B624" s="38" t="str">
        <f>'[1]POTENCIAL HORAS'!C160</f>
        <v>EUGENIO NELSON REY CELI</v>
      </c>
      <c r="G624" s="1"/>
    </row>
    <row r="625" spans="2:7" x14ac:dyDescent="0.2">
      <c r="B625" s="38" t="str">
        <f>'[1]POTENCIAL HORAS'!C161</f>
        <v xml:space="preserve">EVERALDO DE LA HOZ MERCADO </v>
      </c>
      <c r="G625" s="1"/>
    </row>
    <row r="626" spans="2:7" x14ac:dyDescent="0.2">
      <c r="B626" s="38" t="str">
        <f>'[1]POTENCIAL HORAS'!C162</f>
        <v>FELIPE ANTONIO  GALVEZ NOVOA</v>
      </c>
      <c r="G626" s="1"/>
    </row>
    <row r="627" spans="2:7" x14ac:dyDescent="0.2">
      <c r="B627" s="38" t="str">
        <f>'[1]POTENCIAL HORAS'!C163</f>
        <v>FELIX ALBERTO BERRIO BERRIO</v>
      </c>
      <c r="G627" s="1"/>
    </row>
    <row r="628" spans="2:7" x14ac:dyDescent="0.2">
      <c r="B628" s="38" t="e">
        <f>'[1]POTENCIAL HORAS'!#REF!</f>
        <v>#REF!</v>
      </c>
      <c r="G628" s="1"/>
    </row>
    <row r="629" spans="2:7" x14ac:dyDescent="0.2">
      <c r="B629" s="38" t="e">
        <f>'[1]POTENCIAL HORAS'!#REF!</f>
        <v>#REF!</v>
      </c>
      <c r="G629" s="1"/>
    </row>
    <row r="630" spans="2:7" x14ac:dyDescent="0.2">
      <c r="B630" s="38" t="str">
        <f>'[1]POTENCIAL HORAS'!C164</f>
        <v xml:space="preserve">FRANCISCO JAVIER GARCÍA PADILLA </v>
      </c>
      <c r="G630" s="1"/>
    </row>
    <row r="631" spans="2:7" x14ac:dyDescent="0.2">
      <c r="B631" s="38" t="str">
        <f>'[1]POTENCIAL HORAS'!C165</f>
        <v>FREDDY ADOLFO ACOSTA AGUILAR</v>
      </c>
      <c r="G631" s="1"/>
    </row>
    <row r="632" spans="2:7" x14ac:dyDescent="0.2">
      <c r="B632" s="38" t="str">
        <f>'[1]POTENCIAL HORAS'!C166</f>
        <v>GRACIELA ANGARITA POLO</v>
      </c>
      <c r="G632" s="1"/>
    </row>
    <row r="633" spans="2:7" x14ac:dyDescent="0.2">
      <c r="B633" s="38" t="str">
        <f>'[1]POTENCIAL HORAS'!C167</f>
        <v>GUILLERMO MAESTRE ARAQUE.</v>
      </c>
      <c r="G633" s="1"/>
    </row>
    <row r="634" spans="2:7" x14ac:dyDescent="0.2">
      <c r="B634" s="38" t="str">
        <f>'[1]POTENCIAL HORAS'!C168</f>
        <v>GUSTAVO ADOLFO BLANCO CARBONELL</v>
      </c>
      <c r="G634" s="1"/>
    </row>
    <row r="635" spans="2:7" x14ac:dyDescent="0.2">
      <c r="B635" s="38" t="str">
        <f>'[1]POTENCIAL HORAS'!C169</f>
        <v>GUSTAVO JOSE CALDERON BERMEJO</v>
      </c>
      <c r="G635" s="1"/>
    </row>
    <row r="636" spans="2:7" x14ac:dyDescent="0.2">
      <c r="B636" s="38" t="str">
        <f>'[1]POTENCIAL HORAS'!C170</f>
        <v>HAROLD FLOREZ BUELVAS</v>
      </c>
      <c r="G636" s="1"/>
    </row>
    <row r="637" spans="2:7" x14ac:dyDescent="0.2">
      <c r="B637" s="38" t="e">
        <f>'[1]POTENCIAL HORAS'!#REF!</f>
        <v>#REF!</v>
      </c>
      <c r="G637" s="1"/>
    </row>
    <row r="638" spans="2:7" x14ac:dyDescent="0.2">
      <c r="B638" s="38" t="e">
        <f>'[1]POTENCIAL HORAS'!#REF!</f>
        <v>#REF!</v>
      </c>
      <c r="G638" s="1"/>
    </row>
    <row r="639" spans="2:7" x14ac:dyDescent="0.2">
      <c r="B639" s="38" t="str">
        <f>'[1]POTENCIAL HORAS'!C171</f>
        <v xml:space="preserve">HEINER ENRIQUE CABARCAS BONILLA </v>
      </c>
      <c r="G639" s="1"/>
    </row>
    <row r="640" spans="2:7" x14ac:dyDescent="0.2">
      <c r="B640" s="38" t="e">
        <f>'[1]POTENCIAL HORAS'!#REF!</f>
        <v>#REF!</v>
      </c>
      <c r="G640" s="1"/>
    </row>
    <row r="641" spans="2:7" x14ac:dyDescent="0.2">
      <c r="B641" s="38" t="str">
        <f>'[1]POTENCIAL HORAS'!C172</f>
        <v xml:space="preserve">HERNANDO LUÍS ESTARITA TAPIAS </v>
      </c>
      <c r="G641" s="1"/>
    </row>
    <row r="642" spans="2:7" x14ac:dyDescent="0.2">
      <c r="B642" s="38" t="str">
        <f>'[1]POTENCIAL HORAS'!C173</f>
        <v xml:space="preserve">HUGO ARMANDO NAVARRO RIVERO </v>
      </c>
      <c r="G642" s="1"/>
    </row>
    <row r="643" spans="2:7" x14ac:dyDescent="0.2">
      <c r="B643" s="38" t="str">
        <f>'[1]POTENCIAL HORAS'!C174</f>
        <v>HUMBERTO VARELA VILLA</v>
      </c>
      <c r="G643" s="1"/>
    </row>
    <row r="644" spans="2:7" x14ac:dyDescent="0.2">
      <c r="B644" s="38" t="str">
        <f>'[1]POTENCIAL HORAS'!C175</f>
        <v>INGRID DEL CARMEN BERDUGO CERA</v>
      </c>
      <c r="G644" s="1"/>
    </row>
    <row r="645" spans="2:7" x14ac:dyDescent="0.2">
      <c r="B645" s="38" t="str">
        <f>'[1]POTENCIAL HORAS'!C176</f>
        <v>IRINA ISABEL ROGET VILORIA</v>
      </c>
      <c r="G645" s="1"/>
    </row>
    <row r="646" spans="2:7" x14ac:dyDescent="0.2">
      <c r="B646" s="38" t="str">
        <f>'[1]POTENCIAL HORAS'!C177</f>
        <v xml:space="preserve">IVAN ALONSO VARGAS ACOSTA </v>
      </c>
      <c r="G646" s="1"/>
    </row>
    <row r="647" spans="2:7" x14ac:dyDescent="0.2">
      <c r="B647" s="38" t="str">
        <f>'[1]POTENCIAL HORAS'!C178</f>
        <v>JACKELINE DEL ROSARIO VIZCAINO VILLAFAÑE</v>
      </c>
      <c r="G647" s="1"/>
    </row>
    <row r="648" spans="2:7" x14ac:dyDescent="0.2">
      <c r="B648" s="38" t="str">
        <f>'[1]POTENCIAL HORAS'!C179</f>
        <v>JAIRO ENRIQUE BARRIOS DONADO</v>
      </c>
      <c r="G648" s="1"/>
    </row>
    <row r="649" spans="2:7" x14ac:dyDescent="0.2">
      <c r="B649" s="38" t="str">
        <f>'[1]POTENCIAL HORAS'!C180</f>
        <v>JESUS MARIA PEREZ GONZALEZ</v>
      </c>
      <c r="G649" s="1"/>
    </row>
    <row r="650" spans="2:7" x14ac:dyDescent="0.2">
      <c r="B650" s="38" t="str">
        <f>'[1]POTENCIAL HORAS'!C181</f>
        <v xml:space="preserve">JHON JAIRO JIMENEZ SERPA </v>
      </c>
      <c r="G650" s="1"/>
    </row>
    <row r="651" spans="2:7" x14ac:dyDescent="0.2">
      <c r="B651" s="38" t="e">
        <f>'[1]POTENCIAL HORAS'!#REF!</f>
        <v>#REF!</v>
      </c>
      <c r="G651" s="1"/>
    </row>
    <row r="652" spans="2:7" x14ac:dyDescent="0.2">
      <c r="B652" s="38" t="str">
        <f>'[1]POTENCIAL HORAS'!C182</f>
        <v>JONATHAN ADIE VILLAFAÑE</v>
      </c>
      <c r="G652" s="1"/>
    </row>
    <row r="653" spans="2:7" x14ac:dyDescent="0.2">
      <c r="B653" s="38" t="str">
        <f>'[1]POTENCIAL HORAS'!C183</f>
        <v xml:space="preserve">JORGE ALBERTO GONZALEZ MOSCARELLA </v>
      </c>
      <c r="G653" s="1"/>
    </row>
    <row r="654" spans="2:7" x14ac:dyDescent="0.2">
      <c r="B654" s="38" t="str">
        <f>'[1]POTENCIAL HORAS'!C185</f>
        <v xml:space="preserve">JOSÉ ALBERTO COLONNA PERTUZ </v>
      </c>
      <c r="G654" s="1"/>
    </row>
    <row r="655" spans="2:7" x14ac:dyDescent="0.2">
      <c r="B655" s="38" t="str">
        <f>'[1]POTENCIAL HORAS'!C186</f>
        <v>JOSE DEL CARMEN GONZALEZ GUTIERREZ</v>
      </c>
      <c r="G655" s="1"/>
    </row>
    <row r="656" spans="2:7" x14ac:dyDescent="0.2">
      <c r="B656" s="38" t="str">
        <f>'[1]POTENCIAL HORAS'!C187</f>
        <v>JOSE MIGUEL NARVAEZ PEREZ</v>
      </c>
      <c r="G656" s="1"/>
    </row>
    <row r="657" spans="2:7" x14ac:dyDescent="0.2">
      <c r="B657" s="38" t="e">
        <f>'[1]POTENCIAL HORAS'!#REF!</f>
        <v>#REF!</v>
      </c>
      <c r="G657" s="1"/>
    </row>
    <row r="658" spans="2:7" x14ac:dyDescent="0.2">
      <c r="B658" s="38" t="str">
        <f>'[1]POTENCIAL HORAS'!C188</f>
        <v xml:space="preserve">JOSÉ NELSÓN DÍAZ FIGUEROA </v>
      </c>
      <c r="G658" s="1"/>
    </row>
    <row r="659" spans="2:7" x14ac:dyDescent="0.2">
      <c r="B659" s="38" t="str">
        <f>'[1]POTENCIAL HORAS'!C189</f>
        <v xml:space="preserve">JULIAN ALBERTO  RIVAS SANTIAGO </v>
      </c>
      <c r="G659" s="1"/>
    </row>
    <row r="660" spans="2:7" x14ac:dyDescent="0.2">
      <c r="B660" s="38" t="str">
        <f>'[1]POTENCIAL HORAS'!C190</f>
        <v>KATIA MILENA VILLARREAL ARTETA</v>
      </c>
      <c r="G660" s="1"/>
    </row>
    <row r="661" spans="2:7" x14ac:dyDescent="0.2">
      <c r="B661" s="38" t="str">
        <f>'[1]POTENCIAL HORAS'!C191</f>
        <v>KELLY PATRICIA SUAREZ CONSUEGRA</v>
      </c>
      <c r="G661" s="1"/>
    </row>
    <row r="662" spans="2:7" x14ac:dyDescent="0.2">
      <c r="B662" s="38" t="e">
        <f>'[1]POTENCIAL HORAS'!#REF!</f>
        <v>#REF!</v>
      </c>
      <c r="G662" s="1"/>
    </row>
    <row r="663" spans="2:7" x14ac:dyDescent="0.2">
      <c r="B663" s="38" t="str">
        <f>'[1]POTENCIAL HORAS'!C192</f>
        <v>LEDYS ESTHER PATIÑO BARRIOS</v>
      </c>
      <c r="G663" s="1"/>
    </row>
    <row r="664" spans="2:7" x14ac:dyDescent="0.2">
      <c r="B664" s="38" t="e">
        <f>'[1]POTENCIAL HORAS'!#REF!</f>
        <v>#REF!</v>
      </c>
      <c r="G664" s="1"/>
    </row>
    <row r="665" spans="2:7" x14ac:dyDescent="0.2">
      <c r="B665" s="38" t="str">
        <f>'[1]POTENCIAL HORAS'!C193</f>
        <v>LEINER JOSE ALVAREZ URECHE</v>
      </c>
      <c r="G665" s="1"/>
    </row>
    <row r="666" spans="2:7" x14ac:dyDescent="0.2">
      <c r="B666" s="38" t="str">
        <f>'[1]POTENCIAL HORAS'!C194</f>
        <v>LICETH MILENA DE LA TORRE CASTILLO</v>
      </c>
      <c r="G666" s="1"/>
    </row>
    <row r="667" spans="2:7" x14ac:dyDescent="0.2">
      <c r="B667" s="38" t="str">
        <f>'[1]POTENCIAL HORAS'!C195</f>
        <v xml:space="preserve">LILIANA PATRICIA MARTÍNEZ FERNÁNDEZ </v>
      </c>
      <c r="G667" s="1"/>
    </row>
    <row r="668" spans="2:7" x14ac:dyDescent="0.2">
      <c r="B668" s="38" t="str">
        <f>'[1]POTENCIAL HORAS'!C196</f>
        <v>LINA MARIA NADER VILLA</v>
      </c>
      <c r="G668" s="1"/>
    </row>
    <row r="669" spans="2:7" x14ac:dyDescent="0.2">
      <c r="B669" s="38" t="str">
        <f>'[1]POTENCIAL HORAS'!C197</f>
        <v>LINA MARIA PÉREZ MAESTRE</v>
      </c>
      <c r="G669" s="1"/>
    </row>
    <row r="670" spans="2:7" x14ac:dyDescent="0.2">
      <c r="B670" s="38" t="str">
        <f>'[1]POTENCIAL HORAS'!C198</f>
        <v xml:space="preserve">LIOJANIS LINETH ALVARADO CASTILLO </v>
      </c>
      <c r="G670" s="1"/>
    </row>
    <row r="671" spans="2:7" x14ac:dyDescent="0.2">
      <c r="B671" s="38" t="str">
        <f>'[1]POTENCIAL HORAS'!C199</f>
        <v>LUIS ALBERTO GRANADOS VEGA</v>
      </c>
      <c r="G671" s="1"/>
    </row>
    <row r="672" spans="2:7" x14ac:dyDescent="0.2">
      <c r="B672" s="38" t="e">
        <f>'[1]POTENCIAL HORAS'!#REF!</f>
        <v>#REF!</v>
      </c>
      <c r="G672" s="1"/>
    </row>
    <row r="673" spans="2:7" x14ac:dyDescent="0.2">
      <c r="B673" s="38" t="e">
        <f>'[1]POTENCIAL HORAS'!#REF!</f>
        <v>#REF!</v>
      </c>
      <c r="G673" s="1"/>
    </row>
    <row r="674" spans="2:7" x14ac:dyDescent="0.2">
      <c r="B674" s="38" t="str">
        <f>'[1]POTENCIAL HORAS'!C200</f>
        <v>LUIS FERNANDO VILORIA GOMEZ</v>
      </c>
      <c r="G674" s="1"/>
    </row>
    <row r="675" spans="2:7" x14ac:dyDescent="0.2">
      <c r="B675" s="38" t="e">
        <f>'[1]POTENCIAL HORAS'!#REF!</f>
        <v>#REF!</v>
      </c>
      <c r="G675" s="1"/>
    </row>
    <row r="676" spans="2:7" x14ac:dyDescent="0.2">
      <c r="B676" s="38" t="str">
        <f>'[1]POTENCIAL HORAS'!C201</f>
        <v>LUZ ESTELLA LEON CORONADO</v>
      </c>
      <c r="G676" s="1"/>
    </row>
    <row r="677" spans="2:7" x14ac:dyDescent="0.2">
      <c r="B677" s="38" t="str">
        <f>'[1]POTENCIAL HORAS'!C202</f>
        <v>LUZ MARINA CUELLO CUELLO</v>
      </c>
      <c r="G677" s="1"/>
    </row>
    <row r="678" spans="2:7" x14ac:dyDescent="0.2">
      <c r="B678" s="38" t="str">
        <f>'[1]POTENCIAL HORAS'!C203</f>
        <v xml:space="preserve">LUZ MARINA OLIVEROS MATUTE </v>
      </c>
      <c r="G678" s="1"/>
    </row>
    <row r="679" spans="2:7" x14ac:dyDescent="0.2">
      <c r="B679" s="38" t="str">
        <f>'[1]POTENCIAL HORAS'!C204</f>
        <v xml:space="preserve">MAGALY ANDRADE RIVALDO </v>
      </c>
      <c r="G679" s="1"/>
    </row>
    <row r="680" spans="2:7" x14ac:dyDescent="0.2">
      <c r="B680" s="38" t="str">
        <f>'[1]POTENCIAL HORAS'!C205</f>
        <v>MARGARITA MARIA CERVANTES PATERNINA</v>
      </c>
      <c r="G680" s="1"/>
    </row>
    <row r="681" spans="2:7" x14ac:dyDescent="0.2">
      <c r="B681" s="38" t="e">
        <f>'[1]POTENCIAL HORAS'!#REF!</f>
        <v>#REF!</v>
      </c>
      <c r="G681" s="1"/>
    </row>
    <row r="682" spans="2:7" x14ac:dyDescent="0.2">
      <c r="B682" s="38" t="str">
        <f>'[1]POTENCIAL HORAS'!C206</f>
        <v>MARIA ELENA YEPEZ DE ORO</v>
      </c>
      <c r="G682" s="1"/>
    </row>
    <row r="683" spans="2:7" x14ac:dyDescent="0.2">
      <c r="B683" s="38" t="str">
        <f>'[1]POTENCIAL HORAS'!C207</f>
        <v>MARLON AFRICANO</v>
      </c>
      <c r="G683" s="1"/>
    </row>
    <row r="684" spans="2:7" x14ac:dyDescent="0.2">
      <c r="B684" s="38" t="e">
        <f>'[1]POTENCIAL HORAS'!#REF!</f>
        <v>#REF!</v>
      </c>
      <c r="G684" s="1"/>
    </row>
    <row r="685" spans="2:7" x14ac:dyDescent="0.2">
      <c r="B685" s="38" t="e">
        <f>'[1]POTENCIAL HORAS'!#REF!</f>
        <v>#REF!</v>
      </c>
      <c r="G685" s="1"/>
    </row>
    <row r="686" spans="2:7" x14ac:dyDescent="0.2">
      <c r="B686" s="38" t="str">
        <f>'[1]POTENCIAL HORAS'!C208</f>
        <v>MARTHA BEATRIZ ESTARITA TAPIAS</v>
      </c>
      <c r="G686" s="1"/>
    </row>
    <row r="687" spans="2:7" x14ac:dyDescent="0.2">
      <c r="B687" s="38" t="str">
        <f>'[1]POTENCIAL HORAS'!C210</f>
        <v>MICHELLE DURAN MEDINA</v>
      </c>
      <c r="G687" s="1"/>
    </row>
    <row r="688" spans="2:7" x14ac:dyDescent="0.2">
      <c r="B688" s="38" t="str">
        <f>'[1]POTENCIAL HORAS'!C211</f>
        <v>MIGUEL ELIAS BENDECK FLOREZ</v>
      </c>
      <c r="G688" s="1"/>
    </row>
    <row r="689" spans="2:7" x14ac:dyDescent="0.2">
      <c r="B689" s="38" t="str">
        <f>'[1]POTENCIAL HORAS'!C212</f>
        <v xml:space="preserve">MILENA HERNANDEZ CORDERO </v>
      </c>
      <c r="G689" s="1"/>
    </row>
    <row r="690" spans="2:7" x14ac:dyDescent="0.2">
      <c r="B690" s="38" t="str">
        <f>'[1]POTENCIAL HORAS'!C213</f>
        <v>MONICA MARIA BUCHARD DE LA HOZ.</v>
      </c>
      <c r="G690" s="1"/>
    </row>
    <row r="691" spans="2:7" x14ac:dyDescent="0.2">
      <c r="B691" s="38" t="str">
        <f>'[1]POTENCIAL HORAS'!C214</f>
        <v xml:space="preserve">NINA PAOLA DE  LA CRUZ SANDOVAL </v>
      </c>
      <c r="G691" s="1"/>
    </row>
    <row r="692" spans="2:7" x14ac:dyDescent="0.2">
      <c r="B692" s="38" t="str">
        <f>'[1]POTENCIAL HORAS'!C215</f>
        <v xml:space="preserve">NOE ANTONIO PEÑA HERAZO </v>
      </c>
      <c r="G692" s="1"/>
    </row>
    <row r="693" spans="2:7" x14ac:dyDescent="0.2">
      <c r="B693" s="38" t="str">
        <f>'[1]POTENCIAL HORAS'!C216</f>
        <v>NOHORA ISABEL PUENTES LOPEZ</v>
      </c>
      <c r="G693" s="1"/>
    </row>
    <row r="694" spans="2:7" x14ac:dyDescent="0.2">
      <c r="B694" s="38" t="str">
        <f>'[1]POTENCIAL HORAS'!C217</f>
        <v>NORLY DE JESUS CALVO ARCHBOLD</v>
      </c>
      <c r="G694" s="1"/>
    </row>
    <row r="695" spans="2:7" x14ac:dyDescent="0.2">
      <c r="B695" s="38" t="e">
        <f>'[1]POTENCIAL HORAS'!#REF!</f>
        <v>#REF!</v>
      </c>
      <c r="G695" s="1"/>
    </row>
    <row r="696" spans="2:7" x14ac:dyDescent="0.2">
      <c r="B696" s="38" t="str">
        <f>'[1]POTENCIAL HORAS'!C218</f>
        <v xml:space="preserve">NORYS MILENA ORTIZ SALAZAR </v>
      </c>
      <c r="G696" s="1"/>
    </row>
    <row r="697" spans="2:7" x14ac:dyDescent="0.2">
      <c r="B697" s="38" t="str">
        <f>'[1]POTENCIAL HORAS'!C219</f>
        <v>OSVALDO MANUEL TUIRAN MIRANDA</v>
      </c>
      <c r="G697" s="1"/>
    </row>
    <row r="698" spans="2:7" x14ac:dyDescent="0.2">
      <c r="B698" s="38" t="e">
        <f>'[1]POTENCIAL HORAS'!#REF!</f>
        <v>#REF!</v>
      </c>
      <c r="G698" s="1"/>
    </row>
    <row r="699" spans="2:7" x14ac:dyDescent="0.2">
      <c r="B699" s="38" t="str">
        <f>'[1]POTENCIAL HORAS'!C220</f>
        <v>PAOLA MERCEDES PEDROZA CAMARGO</v>
      </c>
      <c r="G699" s="1"/>
    </row>
    <row r="700" spans="2:7" x14ac:dyDescent="0.2">
      <c r="B700" s="38" t="str">
        <f>'[1]POTENCIAL HORAS'!C221</f>
        <v xml:space="preserve">PAOLA PATRICIA MAESTRE BUJATO </v>
      </c>
      <c r="G700" s="1"/>
    </row>
    <row r="701" spans="2:7" x14ac:dyDescent="0.2">
      <c r="B701" s="38" t="str">
        <f>'[1]POTENCIAL HORAS'!C222</f>
        <v xml:space="preserve">PATRICIA ELENA MENDOZA SALAZAR  </v>
      </c>
      <c r="G701" s="1"/>
    </row>
    <row r="702" spans="2:7" x14ac:dyDescent="0.2">
      <c r="B702" s="38" t="str">
        <f>'[1]POTENCIAL HORAS'!C223</f>
        <v xml:space="preserve">PEDRO VERGEL ORTEGA </v>
      </c>
      <c r="G702" s="1"/>
    </row>
    <row r="703" spans="2:7" x14ac:dyDescent="0.2">
      <c r="B703" s="38" t="str">
        <f>'[1]POTENCIAL HORAS'!C224</f>
        <v>RAMON ELIAS JARAMILLO GOMEZ</v>
      </c>
      <c r="G703" s="1"/>
    </row>
    <row r="704" spans="2:7" x14ac:dyDescent="0.2">
      <c r="B704" s="38" t="e">
        <f>'[1]POTENCIAL HORAS'!#REF!</f>
        <v>#REF!</v>
      </c>
      <c r="G704" s="1"/>
    </row>
    <row r="705" spans="2:7" x14ac:dyDescent="0.2">
      <c r="B705" s="38" t="str">
        <f>'[1]POTENCIAL HORAS'!C225</f>
        <v>RICARDO ANTONIO CALIXTO BARRIOS</v>
      </c>
      <c r="G705" s="1"/>
    </row>
    <row r="706" spans="2:7" x14ac:dyDescent="0.2">
      <c r="B706" s="38" t="str">
        <f>'[1]POTENCIAL HORAS'!C226</f>
        <v>RICARDO LEON MEJIA MIRANDA</v>
      </c>
      <c r="G706" s="1"/>
    </row>
    <row r="707" spans="2:7" x14ac:dyDescent="0.2">
      <c r="B707" s="38" t="str">
        <f>'[1]POTENCIAL HORAS'!C227</f>
        <v xml:space="preserve">ROBERTO DE JESÚS RODRÍGUEZ VANEGAS </v>
      </c>
      <c r="G707" s="1"/>
    </row>
    <row r="708" spans="2:7" x14ac:dyDescent="0.2">
      <c r="B708" s="38" t="str">
        <f>'[1]POTENCIAL HORAS'!C228</f>
        <v>RODOLFO DE JESUS NUÑEZ CAMPO</v>
      </c>
      <c r="G708" s="1"/>
    </row>
    <row r="709" spans="2:7" x14ac:dyDescent="0.2">
      <c r="B709" s="38" t="str">
        <f>'[1]POTENCIAL HORAS'!C230</f>
        <v>RONALD ANDRES GUTIERREZ ACOSTA</v>
      </c>
      <c r="G709" s="1"/>
    </row>
    <row r="710" spans="2:7" x14ac:dyDescent="0.2">
      <c r="B710" s="38" t="e">
        <f>'[1]POTENCIAL HORAS'!#REF!</f>
        <v>#REF!</v>
      </c>
      <c r="G710" s="1"/>
    </row>
    <row r="711" spans="2:7" x14ac:dyDescent="0.2">
      <c r="B711" s="38" t="str">
        <f>'[1]POTENCIAL HORAS'!C231</f>
        <v>ROQUE AUGUSTO BUENO ARCHBOLD</v>
      </c>
      <c r="G711" s="1"/>
    </row>
    <row r="712" spans="2:7" x14ac:dyDescent="0.2">
      <c r="B712" s="38" t="str">
        <f>'[1]POTENCIAL HORAS'!C233</f>
        <v xml:space="preserve">RUBIEL JOSE  MUÑOZ ALMARIO </v>
      </c>
      <c r="G712" s="1"/>
    </row>
    <row r="713" spans="2:7" x14ac:dyDescent="0.2">
      <c r="B713" s="38" t="str">
        <f>'[1]POTENCIAL HORAS'!C234</f>
        <v xml:space="preserve">SANTANDER ALFONSO OLIVERO  MARQUEZ </v>
      </c>
      <c r="G713" s="1"/>
    </row>
    <row r="714" spans="2:7" x14ac:dyDescent="0.2">
      <c r="B714" s="38" t="e">
        <f>'[1]POTENCIAL HORAS'!#REF!</f>
        <v>#REF!</v>
      </c>
      <c r="G714" s="1"/>
    </row>
    <row r="715" spans="2:7" x14ac:dyDescent="0.2">
      <c r="B715" s="38" t="str">
        <f>'[1]POTENCIAL HORAS'!C235</f>
        <v xml:space="preserve">SONIA ESTHER MANTILLA CASTELLAR </v>
      </c>
      <c r="G715" s="1"/>
    </row>
    <row r="716" spans="2:7" x14ac:dyDescent="0.2">
      <c r="B716" s="38" t="str">
        <f>'[1]POTENCIAL HORAS'!C236</f>
        <v xml:space="preserve">SOVEIDA SANTOS ALARCON </v>
      </c>
      <c r="G716" s="1"/>
    </row>
    <row r="717" spans="2:7" x14ac:dyDescent="0.2">
      <c r="B717" s="38" t="str">
        <f>'[1]POTENCIAL HORAS'!C237</f>
        <v>TERESA DE JESUS RODRIGUEZ ROMERO</v>
      </c>
      <c r="G717" s="1"/>
    </row>
    <row r="718" spans="2:7" x14ac:dyDescent="0.2">
      <c r="B718" s="38" t="e">
        <f>'[1]POTENCIAL HORAS'!#REF!</f>
        <v>#REF!</v>
      </c>
      <c r="G718" s="1"/>
    </row>
    <row r="719" spans="2:7" x14ac:dyDescent="0.2">
      <c r="B719" s="38" t="e">
        <f>'[1]POTENCIAL HORAS'!#REF!</f>
        <v>#REF!</v>
      </c>
      <c r="G719" s="1"/>
    </row>
    <row r="720" spans="2:7" x14ac:dyDescent="0.2">
      <c r="B720" s="38" t="str">
        <f>'[1]POTENCIAL HORAS'!C238</f>
        <v xml:space="preserve">TOMAS BRU VILLA </v>
      </c>
      <c r="G720" s="1"/>
    </row>
    <row r="721" spans="2:7" x14ac:dyDescent="0.2">
      <c r="B721" s="38" t="e">
        <f>'[1]POTENCIAL HORAS'!#REF!</f>
        <v>#REF!</v>
      </c>
      <c r="G721" s="1"/>
    </row>
    <row r="722" spans="2:7" x14ac:dyDescent="0.2">
      <c r="B722" s="38" t="e">
        <f>'[1]POTENCIAL HORAS'!#REF!</f>
        <v>#REF!</v>
      </c>
      <c r="G722" s="1"/>
    </row>
    <row r="723" spans="2:7" x14ac:dyDescent="0.2">
      <c r="B723" s="38" t="str">
        <f>'[1]POTENCIAL HORAS'!C239</f>
        <v>VICTOR ENRIQUE CEPEDA BERRIO</v>
      </c>
      <c r="G723" s="1"/>
    </row>
    <row r="724" spans="2:7" x14ac:dyDescent="0.2">
      <c r="B724" s="38" t="str">
        <f>'[1]POTENCIAL HORAS'!C240</f>
        <v>VICTOR GABRIEL ALTAHONA ACOSTA</v>
      </c>
      <c r="G724" s="1"/>
    </row>
    <row r="725" spans="2:7" x14ac:dyDescent="0.2">
      <c r="B725" s="38" t="str">
        <f>'[1]POTENCIAL HORAS'!C241</f>
        <v>VICTOR MANUEL DE LIMA VARGAS</v>
      </c>
      <c r="G725" s="1"/>
    </row>
    <row r="726" spans="2:7" x14ac:dyDescent="0.2">
      <c r="B726" s="38" t="str">
        <f>'[1]POTENCIAL HORAS'!C244</f>
        <v>YESENIA DE LOS ANGELES MARCHENA PEÑA</v>
      </c>
      <c r="G726" s="1"/>
    </row>
    <row r="727" spans="2:7" x14ac:dyDescent="0.2">
      <c r="B727" s="38" t="e">
        <f>'[1]POTENCIAL HORAS'!#REF!</f>
        <v>#REF!</v>
      </c>
      <c r="G727" s="1"/>
    </row>
    <row r="728" spans="2:7" x14ac:dyDescent="0.2">
      <c r="B728" s="38" t="str">
        <f>'[1]POTENCIAL HORAS'!C245</f>
        <v xml:space="preserve">YONIS JAVIER FONTALVO GUETTE </v>
      </c>
      <c r="G728" s="1"/>
    </row>
    <row r="729" spans="2:7" x14ac:dyDescent="0.2">
      <c r="B729" s="38" t="str">
        <f>'[1]POTENCIAL HORAS'!C246</f>
        <v xml:space="preserve">YOVELIS YANETH ROMERO REDONDO </v>
      </c>
      <c r="G729" s="1"/>
    </row>
    <row r="730" spans="2:7" x14ac:dyDescent="0.2">
      <c r="B730" s="38" t="str">
        <f>'[1]POTENCIAL HORAS'!C247</f>
        <v>YURANIS ESTHER VIZCAINO CABARCAS</v>
      </c>
      <c r="G730" s="1"/>
    </row>
    <row r="731" spans="2:7" x14ac:dyDescent="0.2">
      <c r="B731" s="38" t="str">
        <f>'[1]POTENCIAL HORAS'!C249</f>
        <v>ZUHANNY MILENA CANO CHAMORRO</v>
      </c>
      <c r="G731" s="1"/>
    </row>
    <row r="732" spans="2:7" x14ac:dyDescent="0.2">
      <c r="B732" s="38" t="str">
        <f>'[1]POTENCIAL HORAS'!C250</f>
        <v>ZULLY DEL SOCORRO CABALLERO ARRIETA</v>
      </c>
      <c r="G732" s="1"/>
    </row>
    <row r="733" spans="2:7" x14ac:dyDescent="0.2">
      <c r="B733" s="38" t="e">
        <f>'[1]POTENCIAL HORAS'!#REF!</f>
        <v>#REF!</v>
      </c>
      <c r="G733" s="1"/>
    </row>
    <row r="734" spans="2:7" x14ac:dyDescent="0.2">
      <c r="B734" s="38" t="e">
        <f>'[1]POTENCIAL HORAS'!#REF!</f>
        <v>#REF!</v>
      </c>
      <c r="G734" s="1"/>
    </row>
    <row r="735" spans="2:7" x14ac:dyDescent="0.2">
      <c r="B735" s="38" t="e">
        <f>'[1]POTENCIAL HORAS'!#REF!</f>
        <v>#REF!</v>
      </c>
      <c r="G735" s="1"/>
    </row>
    <row r="736" spans="2:7" x14ac:dyDescent="0.2">
      <c r="B736" s="38" t="e">
        <f>'[1]POTENCIAL HORAS'!#REF!</f>
        <v>#REF!</v>
      </c>
      <c r="G736" s="1"/>
    </row>
    <row r="737" spans="2:7" x14ac:dyDescent="0.2">
      <c r="B737" s="38" t="e">
        <f>'[1]POTENCIAL HORAS'!#REF!</f>
        <v>#REF!</v>
      </c>
      <c r="G737" s="1"/>
    </row>
    <row r="738" spans="2:7" x14ac:dyDescent="0.2">
      <c r="B738" s="38" t="e">
        <f>'[1]POTENCIAL HORAS'!#REF!</f>
        <v>#REF!</v>
      </c>
      <c r="G738" s="1"/>
    </row>
    <row r="739" spans="2:7" x14ac:dyDescent="0.2">
      <c r="B739" s="38" t="e">
        <f>'[1]POTENCIAL HORAS'!#REF!</f>
        <v>#REF!</v>
      </c>
      <c r="G739" s="1"/>
    </row>
    <row r="740" spans="2:7" x14ac:dyDescent="0.2">
      <c r="B740" s="38" t="e">
        <f>'[1]POTENCIAL HORAS'!#REF!</f>
        <v>#REF!</v>
      </c>
      <c r="G740" s="1"/>
    </row>
    <row r="741" spans="2:7" x14ac:dyDescent="0.2">
      <c r="B741" s="38" t="e">
        <f>'[1]POTENCIAL HORAS'!#REF!</f>
        <v>#REF!</v>
      </c>
      <c r="G741" s="1"/>
    </row>
    <row r="742" spans="2:7" x14ac:dyDescent="0.2">
      <c r="B742" s="38" t="e">
        <f>'[1]POTENCIAL HORAS'!#REF!</f>
        <v>#REF!</v>
      </c>
      <c r="G742" s="1"/>
    </row>
    <row r="743" spans="2:7" x14ac:dyDescent="0.2">
      <c r="B743" s="38" t="str">
        <f>'[1]POTENCIAL HORAS'!C251</f>
        <v>Subtotal Contratistas</v>
      </c>
      <c r="G743" s="1"/>
    </row>
    <row r="744" spans="2:7" x14ac:dyDescent="0.2">
      <c r="B744" s="38">
        <f>'[1]POTENCIAL HORAS'!C252</f>
        <v>0</v>
      </c>
      <c r="G744" s="1"/>
    </row>
    <row r="745" spans="2:7" x14ac:dyDescent="0.2">
      <c r="B745" s="38">
        <f>'[1]POTENCIAL HORAS'!C253</f>
        <v>0</v>
      </c>
      <c r="G745" s="1"/>
    </row>
    <row r="746" spans="2:7" x14ac:dyDescent="0.2">
      <c r="B746" s="38">
        <f>'[1]POTENCIAL HORAS'!C254</f>
        <v>0</v>
      </c>
      <c r="G746" s="1"/>
    </row>
    <row r="747" spans="2:7" x14ac:dyDescent="0.2">
      <c r="B747" s="38">
        <f>'[1]POTENCIAL HORAS'!C255</f>
        <v>0</v>
      </c>
      <c r="G747" s="1"/>
    </row>
    <row r="748" spans="2:7" x14ac:dyDescent="0.2">
      <c r="B748" s="38">
        <f>'[1]POTENCIAL HORAS'!C256</f>
        <v>0</v>
      </c>
      <c r="G748" s="1"/>
    </row>
    <row r="749" spans="2:7" x14ac:dyDescent="0.2">
      <c r="B749" s="38">
        <f>'[1]POTENCIAL HORAS'!C257</f>
        <v>0</v>
      </c>
      <c r="G749" s="1"/>
    </row>
    <row r="750" spans="2:7" x14ac:dyDescent="0.2">
      <c r="B750" s="38">
        <f>'[1]POTENCIAL HORAS'!C258</f>
        <v>0</v>
      </c>
      <c r="G750" s="1"/>
    </row>
    <row r="751" spans="2:7" x14ac:dyDescent="0.2">
      <c r="B751" s="38">
        <f>'[1]POTENCIAL HORAS'!C259</f>
        <v>0</v>
      </c>
      <c r="G751" s="1"/>
    </row>
    <row r="752" spans="2:7" x14ac:dyDescent="0.2">
      <c r="B752" s="38">
        <f>'[1]POTENCIAL HORAS'!C260</f>
        <v>0</v>
      </c>
      <c r="G752" s="1"/>
    </row>
    <row r="753" spans="2:7" x14ac:dyDescent="0.2">
      <c r="B753" s="38">
        <f>'[1]POTENCIAL HORAS'!C261</f>
        <v>0</v>
      </c>
      <c r="G753" s="1"/>
    </row>
    <row r="754" spans="2:7" x14ac:dyDescent="0.2">
      <c r="B754" s="38">
        <f>'[1]POTENCIAL HORAS'!C262</f>
        <v>0</v>
      </c>
      <c r="G754" s="1"/>
    </row>
    <row r="755" spans="2:7" x14ac:dyDescent="0.2">
      <c r="B755" s="38">
        <f>'[1]POTENCIAL HORAS'!C263</f>
        <v>0</v>
      </c>
      <c r="G755" s="1"/>
    </row>
    <row r="756" spans="2:7" x14ac:dyDescent="0.2">
      <c r="B756" s="38">
        <f>'[1]POTENCIAL HORAS'!C264</f>
        <v>0</v>
      </c>
      <c r="G756" s="1"/>
    </row>
    <row r="757" spans="2:7" x14ac:dyDescent="0.2">
      <c r="B757" s="38">
        <f>'[1]POTENCIAL HORAS'!C265</f>
        <v>0</v>
      </c>
      <c r="G757" s="1"/>
    </row>
    <row r="758" spans="2:7" x14ac:dyDescent="0.2">
      <c r="B758" s="38">
        <f>'[1]POTENCIAL HORAS'!C266</f>
        <v>0</v>
      </c>
      <c r="G758" s="1"/>
    </row>
    <row r="759" spans="2:7" x14ac:dyDescent="0.2">
      <c r="B759" s="38">
        <f>'[1]POTENCIAL HORAS'!C267</f>
        <v>0</v>
      </c>
      <c r="G759" s="1"/>
    </row>
    <row r="760" spans="2:7" x14ac:dyDescent="0.2">
      <c r="B760" s="38">
        <f>'[1]POTENCIAL HORAS'!C268</f>
        <v>0</v>
      </c>
      <c r="G760" s="1"/>
    </row>
    <row r="761" spans="2:7" x14ac:dyDescent="0.2">
      <c r="B761" s="38">
        <f>'[1]POTENCIAL HORAS'!C269</f>
        <v>0</v>
      </c>
      <c r="G761" s="1"/>
    </row>
    <row r="762" spans="2:7" x14ac:dyDescent="0.2">
      <c r="B762" s="38">
        <f>'[1]POTENCIAL HORAS'!C270</f>
        <v>0</v>
      </c>
      <c r="G762" s="1"/>
    </row>
    <row r="763" spans="2:7" x14ac:dyDescent="0.2">
      <c r="B763" s="38">
        <f>'[1]POTENCIAL HORAS'!C271</f>
        <v>0</v>
      </c>
      <c r="G763" s="1"/>
    </row>
    <row r="764" spans="2:7" x14ac:dyDescent="0.2">
      <c r="B764" s="38">
        <f>'[1]POTENCIAL HORAS'!C272</f>
        <v>0</v>
      </c>
      <c r="G764" s="1"/>
    </row>
    <row r="765" spans="2:7" x14ac:dyDescent="0.2">
      <c r="B765" s="38">
        <f>'[1]POTENCIAL HORAS'!C273</f>
        <v>0</v>
      </c>
      <c r="G765" s="1"/>
    </row>
    <row r="766" spans="2:7" x14ac:dyDescent="0.2">
      <c r="B766" s="38">
        <f>'[1]POTENCIAL HORAS'!C274</f>
        <v>0</v>
      </c>
      <c r="G766" s="1"/>
    </row>
    <row r="767" spans="2:7" x14ac:dyDescent="0.2">
      <c r="B767" s="38">
        <f>'[1]POTENCIAL HORAS'!C275</f>
        <v>0</v>
      </c>
      <c r="G767" s="1"/>
    </row>
    <row r="768" spans="2:7" x14ac:dyDescent="0.2">
      <c r="B768" s="38">
        <f>'[1]POTENCIAL HORAS'!C276</f>
        <v>0</v>
      </c>
      <c r="G768" s="1"/>
    </row>
    <row r="769" spans="2:7" x14ac:dyDescent="0.2">
      <c r="B769" s="38">
        <f>'[1]POTENCIAL HORAS'!C277</f>
        <v>0</v>
      </c>
      <c r="G769" s="1"/>
    </row>
    <row r="770" spans="2:7" x14ac:dyDescent="0.2">
      <c r="B770" s="38">
        <f>'[1]POTENCIAL HORAS'!C278</f>
        <v>0</v>
      </c>
      <c r="G770" s="1"/>
    </row>
    <row r="771" spans="2:7" x14ac:dyDescent="0.2">
      <c r="B771" s="38">
        <f>'[1]POTENCIAL HORAS'!C279</f>
        <v>0</v>
      </c>
      <c r="G771" s="1"/>
    </row>
    <row r="772" spans="2:7" x14ac:dyDescent="0.2">
      <c r="B772" s="38">
        <f>'[1]POTENCIAL HORAS'!C280</f>
        <v>0</v>
      </c>
      <c r="G772" s="1"/>
    </row>
    <row r="773" spans="2:7" x14ac:dyDescent="0.2">
      <c r="B773" s="38">
        <f>'[1]POTENCIAL HORAS'!C281</f>
        <v>0</v>
      </c>
      <c r="G773" s="1"/>
    </row>
    <row r="774" spans="2:7" x14ac:dyDescent="0.2">
      <c r="B774" s="38">
        <f>'[1]POTENCIAL HORAS'!C282</f>
        <v>0</v>
      </c>
      <c r="G774" s="1"/>
    </row>
    <row r="775" spans="2:7" x14ac:dyDescent="0.2">
      <c r="B775" s="38">
        <f>'[1]POTENCIAL HORAS'!C283</f>
        <v>0</v>
      </c>
      <c r="G775" s="1"/>
    </row>
    <row r="776" spans="2:7" x14ac:dyDescent="0.2">
      <c r="B776" s="38">
        <f>'[1]POTENCIAL HORAS'!C284</f>
        <v>0</v>
      </c>
      <c r="G776" s="1"/>
    </row>
    <row r="777" spans="2:7" x14ac:dyDescent="0.2">
      <c r="B777" s="38">
        <f>'[1]POTENCIAL HORAS'!C285</f>
        <v>0</v>
      </c>
      <c r="G777" s="1"/>
    </row>
    <row r="778" spans="2:7" x14ac:dyDescent="0.2">
      <c r="B778" s="38">
        <f>'[1]POTENCIAL HORAS'!C286</f>
        <v>0</v>
      </c>
      <c r="G778" s="1"/>
    </row>
    <row r="779" spans="2:7" x14ac:dyDescent="0.2">
      <c r="B779" s="38">
        <f>'[1]POTENCIAL HORAS'!C287</f>
        <v>0</v>
      </c>
      <c r="G779" s="1"/>
    </row>
    <row r="780" spans="2:7" x14ac:dyDescent="0.2">
      <c r="B780" s="38">
        <f>'[1]POTENCIAL HORAS'!C288</f>
        <v>0</v>
      </c>
      <c r="G780" s="1"/>
    </row>
    <row r="781" spans="2:7" x14ac:dyDescent="0.2">
      <c r="B781" s="38">
        <f>'[1]POTENCIAL HORAS'!C289</f>
        <v>0</v>
      </c>
      <c r="G781" s="1"/>
    </row>
    <row r="782" spans="2:7" x14ac:dyDescent="0.2">
      <c r="B782" s="38">
        <f>'[1]POTENCIAL HORAS'!C290</f>
        <v>0</v>
      </c>
      <c r="G782" s="1"/>
    </row>
    <row r="783" spans="2:7" x14ac:dyDescent="0.2">
      <c r="B783" s="38">
        <f>'[1]POTENCIAL HORAS'!C291</f>
        <v>0</v>
      </c>
      <c r="G783" s="1"/>
    </row>
    <row r="784" spans="2:7" x14ac:dyDescent="0.2">
      <c r="B784" s="38">
        <f>'[1]POTENCIAL HORAS'!C280</f>
        <v>0</v>
      </c>
      <c r="G784" s="1"/>
    </row>
    <row r="785" spans="2:7" x14ac:dyDescent="0.2">
      <c r="B785" s="38">
        <f>'[1]POTENCIAL HORAS'!C281</f>
        <v>0</v>
      </c>
      <c r="G785" s="1"/>
    </row>
    <row r="786" spans="2:7" x14ac:dyDescent="0.2">
      <c r="B786" s="38">
        <f>'[1]POTENCIAL HORAS'!C282</f>
        <v>0</v>
      </c>
      <c r="G786" s="1"/>
    </row>
    <row r="787" spans="2:7" x14ac:dyDescent="0.2">
      <c r="B787" s="38">
        <f>'[1]POTENCIAL HORAS'!C283</f>
        <v>0</v>
      </c>
      <c r="G787" s="1"/>
    </row>
    <row r="788" spans="2:7" x14ac:dyDescent="0.2">
      <c r="B788" s="38">
        <f>'[1]POTENCIAL HORAS'!C284</f>
        <v>0</v>
      </c>
      <c r="G788" s="1"/>
    </row>
    <row r="789" spans="2:7" x14ac:dyDescent="0.2">
      <c r="B789" s="38">
        <f>'[1]POTENCIAL HORAS'!C285</f>
        <v>0</v>
      </c>
      <c r="G789" s="1"/>
    </row>
    <row r="790" spans="2:7" x14ac:dyDescent="0.2">
      <c r="B790" s="38">
        <f>'[1]POTENCIAL HORAS'!C286</f>
        <v>0</v>
      </c>
      <c r="G790" s="1"/>
    </row>
    <row r="791" spans="2:7" x14ac:dyDescent="0.2">
      <c r="B791" s="38">
        <f>'[1]POTENCIAL HORAS'!C287</f>
        <v>0</v>
      </c>
      <c r="G791" s="1"/>
    </row>
    <row r="792" spans="2:7" x14ac:dyDescent="0.2">
      <c r="B792" s="38">
        <f>'[1]POTENCIAL HORAS'!C288</f>
        <v>0</v>
      </c>
      <c r="G792" s="1"/>
    </row>
    <row r="793" spans="2:7" x14ac:dyDescent="0.2">
      <c r="B793" s="38">
        <f>'[1]POTENCIAL HORAS'!C289</f>
        <v>0</v>
      </c>
      <c r="G793" s="1"/>
    </row>
    <row r="794" spans="2:7" x14ac:dyDescent="0.2">
      <c r="B794" s="38">
        <f>'[1]POTENCIAL HORAS'!C290</f>
        <v>0</v>
      </c>
      <c r="G794" s="1"/>
    </row>
    <row r="795" spans="2:7" x14ac:dyDescent="0.2">
      <c r="B795" s="38">
        <f>'[1]POTENCIAL HORAS'!C291</f>
        <v>0</v>
      </c>
      <c r="G795" s="1"/>
    </row>
    <row r="796" spans="2:7" x14ac:dyDescent="0.2">
      <c r="B796" s="38">
        <f>'[1]POTENCIAL HORAS'!C292</f>
        <v>0</v>
      </c>
      <c r="G796" s="1"/>
    </row>
    <row r="797" spans="2:7" x14ac:dyDescent="0.2">
      <c r="B797" s="38">
        <f>'[1]POTENCIAL HORAS'!C293</f>
        <v>0</v>
      </c>
      <c r="G797" s="1"/>
    </row>
    <row r="798" spans="2:7" x14ac:dyDescent="0.2">
      <c r="B798" s="38">
        <f>'[1]POTENCIAL HORAS'!C294</f>
        <v>0</v>
      </c>
      <c r="G798" s="1"/>
    </row>
    <row r="799" spans="2:7" x14ac:dyDescent="0.2">
      <c r="B799" s="38">
        <f>'[1]POTENCIAL HORAS'!C295</f>
        <v>0</v>
      </c>
      <c r="G799" s="1"/>
    </row>
    <row r="800" spans="2:7" x14ac:dyDescent="0.2">
      <c r="B800" s="38">
        <f>'[1]POTENCIAL HORAS'!C296</f>
        <v>0</v>
      </c>
      <c r="G800" s="1"/>
    </row>
    <row r="801" spans="2:7" x14ac:dyDescent="0.2">
      <c r="B801" s="38">
        <f>'[1]POTENCIAL HORAS'!C297</f>
        <v>0</v>
      </c>
      <c r="G801" s="1"/>
    </row>
  </sheetData>
  <protectedRanges>
    <protectedRange sqref="B499:B801" name="Rango2_2"/>
    <protectedRange sqref="G89" name="Rango2_2_6_2"/>
    <protectedRange sqref="G49" name="Rango2_5_1_2"/>
    <protectedRange sqref="G81" name="Rango2_6_14"/>
    <protectedRange sqref="G90:G95" name="Rango2_2_10_2"/>
    <protectedRange sqref="G82" name="Rango2_2_15_2"/>
    <protectedRange sqref="G102" name="Rango2_2_18_2"/>
    <protectedRange sqref="G111" name="Rango2_2_22_2"/>
    <protectedRange sqref="G127:G128" name="Rango2_2_23_2"/>
    <protectedRange sqref="G135:G139" name="Rango2_2_24_2"/>
    <protectedRange sqref="G141" name="Rango2_2_25_2"/>
    <protectedRange sqref="G167" name="Rango2_2_26_2"/>
    <protectedRange sqref="G150:G151 G144" name="Rango2_2_28_2"/>
    <protectedRange sqref="G152:G153" name="Rango2_2_29_2"/>
    <protectedRange sqref="G162" name="Rango2_2_31_2"/>
    <protectedRange sqref="G170" name="Rango2_12_2"/>
    <protectedRange sqref="G176" name="Rango2_4_4_2"/>
    <protectedRange sqref="G177" name="Rango2_4_5_2"/>
    <protectedRange sqref="G193" name="Rango2_4_6_2"/>
    <protectedRange sqref="G204" name="Rango2_6_1_2"/>
    <protectedRange sqref="G209:G211" name="Rango2_6_3_2"/>
    <protectedRange sqref="G222:G224" name="Rango2_6_5_2"/>
    <protectedRange sqref="G212" name="Rango2_2_4_2"/>
    <protectedRange sqref="G213:G214" name="Rango2_2_11_1_2"/>
    <protectedRange sqref="G58:G60" name="Rango2_14_2"/>
    <protectedRange sqref="G74:G76" name="Rango2_15_2"/>
    <protectedRange sqref="G79" name="Rango2_16_2"/>
    <protectedRange sqref="G83" name="Rango2_4_1_2"/>
    <protectedRange sqref="G85" name="Rango2_2_8_2"/>
    <protectedRange sqref="G87:G88" name="Rango2_6_7_2"/>
    <protectedRange sqref="G96:G100 G129:G131" name="Rango2_2_17_2"/>
    <protectedRange sqref="G107:G108" name="Rango2_2_37_2"/>
    <protectedRange sqref="G120:G122" name="Rango2_2_38_2"/>
    <protectedRange sqref="G156:G158" name="Rango2_6_8_2"/>
    <protectedRange sqref="G190" name="Rango2_4_7_2"/>
    <protectedRange sqref="G194:G195" name="Rango2_4_8_2"/>
    <protectedRange sqref="G201" name="Rango2_6_9_2"/>
    <protectedRange sqref="G203" name="Rango2_6_10_2"/>
    <protectedRange sqref="G215:G216" name="Rango2_2_2_2"/>
    <protectedRange sqref="G52 G54" name="Rango2_2_12_2"/>
    <protectedRange sqref="G263:G264 G253:G261" name="Rango2_2_42_2"/>
    <protectedRange sqref="G56" name="Rango2_4_9_2"/>
    <protectedRange sqref="G125:G126" name="Rango2_2_45_2"/>
    <protectedRange sqref="G65:G66" name="Rango2_2_48_2"/>
    <protectedRange sqref="G101" name="Rango2_8_2"/>
    <protectedRange sqref="G39" name="Rango2_2_52_2"/>
    <protectedRange sqref="G40" name="Rango2_2_53_2"/>
    <protectedRange sqref="G43" name="Rango2_4_3_2"/>
    <protectedRange sqref="G44" name="Rango2_6_13_2"/>
    <protectedRange sqref="G77:G78" name="Rango2_1_1_2"/>
    <protectedRange sqref="G206" name="Rango2_10_1"/>
    <protectedRange sqref="G51" name="Rango2_2_55_1"/>
    <protectedRange sqref="G42" name="Rango2_2_1"/>
    <protectedRange sqref="G41" name="Rango2_2_2"/>
    <protectedRange sqref="G143" name="Rango2"/>
    <protectedRange sqref="G36" name="Rango2_4"/>
    <protectedRange sqref="G189" name="Rango2_2_5"/>
    <protectedRange sqref="G142 G169 G134 G80" name="Rango2_3"/>
    <protectedRange sqref="G17:G20" name="Rango2_1"/>
    <protectedRange sqref="G55" name="Rango2_2_6"/>
    <protectedRange sqref="G12:G15" name="Rango2_2_8"/>
    <protectedRange sqref="G181:G182" name="Rango2_4_2"/>
    <protectedRange sqref="G234" name="Rango2_2_28_2_1"/>
    <protectedRange sqref="G236" name="Rango2_2_32_2_1"/>
    <protectedRange sqref="G232" name="Rango2_2_54_2_1"/>
    <protectedRange sqref="G243" name="Rango2_8_1"/>
    <protectedRange sqref="G25" name="Rango2_5"/>
    <protectedRange sqref="G16" name="Rango2_2_3"/>
    <protectedRange sqref="G10" name="Rango2_2_7"/>
    <protectedRange sqref="G53" name="Rango2_1_2"/>
    <protectedRange sqref="G23" name="Rango2_7"/>
    <protectedRange sqref="G21:G22" name="Rango2_2_9"/>
    <protectedRange sqref="G30" name="Rango2_2_16"/>
  </protectedRanges>
  <autoFilter ref="B8:L264">
    <filterColumn colId="5">
      <filters>
        <filter val="DAVID ANDRÉS OCHOA MIRANDA"/>
        <filter val="ELISEO ANGEL RODRIGUEZ SANABRIA"/>
        <filter val="FERNANDO TORRES"/>
        <filter val="JOHNNY DE LA ROSA"/>
      </filters>
    </filterColumn>
    <sortState ref="B9:L216">
      <sortCondition ref="D8:D216"/>
    </sortState>
  </autoFilter>
  <mergeCells count="7">
    <mergeCell ref="O4:P4"/>
    <mergeCell ref="B5:C5"/>
    <mergeCell ref="D5:G5"/>
    <mergeCell ref="B2:K2"/>
    <mergeCell ref="B4:C4"/>
    <mergeCell ref="D4:G4"/>
    <mergeCell ref="I4:L4"/>
  </mergeCells>
  <printOptions horizontalCentered="1"/>
  <pageMargins left="0.28000000000000003" right="0.27" top="0.3" bottom="0.43307086614173229" header="0" footer="0"/>
  <pageSetup scale="98" orientation="landscape" r:id="rId1"/>
  <headerFooter alignWithMargins="0"/>
  <colBreaks count="1" manualBreakCount="1">
    <brk id="12" max="1048575" man="1"/>
  </colBreaks>
  <customProperties>
    <customPr name="DVSECTIONID" r:id="rId2"/>
  </customProperties>
  <drawing r:id="rId3"/>
  <legacy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B1:R368"/>
  <sheetViews>
    <sheetView topLeftCell="A61" workbookViewId="0">
      <selection activeCell="D84" sqref="D84:D89"/>
    </sheetView>
  </sheetViews>
  <sheetFormatPr baseColWidth="10" defaultRowHeight="12.75" x14ac:dyDescent="0.2"/>
  <cols>
    <col min="1" max="1" width="2.140625" customWidth="1"/>
    <col min="2" max="2" width="53.28515625" customWidth="1"/>
    <col min="3" max="3" width="36.7109375" customWidth="1"/>
    <col min="4" max="4" width="16" customWidth="1"/>
    <col min="6" max="6" width="11.5703125" bestFit="1" customWidth="1"/>
  </cols>
  <sheetData>
    <row r="1" spans="2:13" ht="9" customHeight="1" x14ac:dyDescent="0.2"/>
    <row r="2" spans="2:13" ht="76.5" customHeight="1" x14ac:dyDescent="0.2">
      <c r="B2" s="536" t="s">
        <v>82</v>
      </c>
      <c r="C2" s="537"/>
      <c r="D2" s="25" t="s">
        <v>77</v>
      </c>
      <c r="E2" s="27"/>
      <c r="G2" s="9"/>
      <c r="H2" s="9"/>
      <c r="I2" s="9"/>
      <c r="J2" s="9"/>
      <c r="K2" s="9"/>
      <c r="L2" s="10"/>
      <c r="M2" s="10"/>
    </row>
    <row r="3" spans="2:13" x14ac:dyDescent="0.2">
      <c r="E3" s="9"/>
      <c r="F3" s="9"/>
      <c r="G3" s="9"/>
      <c r="H3" s="9"/>
      <c r="I3" s="9"/>
      <c r="J3" s="9"/>
    </row>
    <row r="4" spans="2:13" x14ac:dyDescent="0.2">
      <c r="E4" s="9"/>
      <c r="F4" s="9"/>
      <c r="G4" s="9"/>
      <c r="H4" s="9"/>
      <c r="I4" s="9"/>
      <c r="J4" s="9"/>
    </row>
    <row r="5" spans="2:13" x14ac:dyDescent="0.2">
      <c r="B5" s="14" t="s">
        <v>117</v>
      </c>
      <c r="C5" s="539" t="s">
        <v>184</v>
      </c>
      <c r="D5" s="539"/>
      <c r="E5" s="9"/>
      <c r="F5" s="9"/>
      <c r="G5" s="9"/>
      <c r="H5" s="9"/>
      <c r="I5" s="9"/>
      <c r="J5" s="9"/>
      <c r="K5" s="8"/>
      <c r="L5" s="1"/>
    </row>
    <row r="6" spans="2:13" x14ac:dyDescent="0.2">
      <c r="B6" s="22" t="s">
        <v>116</v>
      </c>
      <c r="C6" s="538" t="s">
        <v>415</v>
      </c>
      <c r="D6" s="539"/>
      <c r="E6" s="9"/>
      <c r="F6" s="9"/>
      <c r="G6" s="9"/>
      <c r="H6" s="9"/>
      <c r="I6" s="9"/>
      <c r="J6" s="9"/>
      <c r="K6" s="16"/>
      <c r="L6" s="1"/>
    </row>
    <row r="7" spans="2:13" x14ac:dyDescent="0.2">
      <c r="B7" s="22" t="s">
        <v>118</v>
      </c>
      <c r="C7" s="538" t="s">
        <v>442</v>
      </c>
      <c r="D7" s="539"/>
      <c r="E7" s="9"/>
      <c r="F7" s="9"/>
      <c r="G7" s="9"/>
      <c r="H7" s="9"/>
      <c r="I7" s="9"/>
      <c r="J7" s="9"/>
      <c r="K7" s="16"/>
      <c r="L7" s="1"/>
    </row>
    <row r="8" spans="2:13" x14ac:dyDescent="0.2">
      <c r="E8" s="9"/>
      <c r="F8" s="9"/>
      <c r="G8" s="9"/>
      <c r="H8" s="9"/>
      <c r="I8" s="9"/>
      <c r="J8" s="9"/>
    </row>
    <row r="9" spans="2:13" x14ac:dyDescent="0.2">
      <c r="E9" s="9"/>
      <c r="F9" s="9"/>
      <c r="G9" s="9"/>
      <c r="H9" s="9"/>
      <c r="I9" s="9"/>
      <c r="J9" s="9"/>
    </row>
    <row r="10" spans="2:13" ht="51" customHeight="1" x14ac:dyDescent="0.2">
      <c r="B10" s="24" t="s">
        <v>113</v>
      </c>
      <c r="C10" s="12" t="s">
        <v>104</v>
      </c>
      <c r="D10" s="13" t="s">
        <v>98</v>
      </c>
      <c r="E10" s="9"/>
      <c r="F10" s="9"/>
      <c r="G10" s="9"/>
      <c r="H10" s="9"/>
      <c r="I10" s="9"/>
      <c r="J10" s="9"/>
    </row>
    <row r="11" spans="2:13" ht="12" customHeight="1" x14ac:dyDescent="0.2">
      <c r="B11" s="540" t="s">
        <v>112</v>
      </c>
      <c r="C11" s="541"/>
      <c r="D11" s="542"/>
      <c r="E11" s="9"/>
      <c r="F11" s="9"/>
      <c r="G11" s="9"/>
      <c r="H11" s="9"/>
      <c r="I11" s="9"/>
      <c r="J11" s="9"/>
    </row>
    <row r="12" spans="2:13" ht="23.25" customHeight="1" x14ac:dyDescent="0.2">
      <c r="B12" s="6" t="s">
        <v>319</v>
      </c>
      <c r="C12" s="249" t="s">
        <v>658</v>
      </c>
      <c r="D12" s="19">
        <v>573</v>
      </c>
      <c r="E12" s="9"/>
      <c r="F12" s="9"/>
      <c r="G12" s="9"/>
      <c r="H12" s="9"/>
      <c r="I12" s="9"/>
      <c r="J12" s="9"/>
    </row>
    <row r="13" spans="2:13" ht="23.25" customHeight="1" x14ac:dyDescent="0.2">
      <c r="B13" s="6" t="s">
        <v>673</v>
      </c>
      <c r="C13" s="249" t="s">
        <v>658</v>
      </c>
      <c r="D13" s="19">
        <v>573</v>
      </c>
      <c r="E13" s="9"/>
      <c r="F13" s="9"/>
      <c r="G13" s="9"/>
      <c r="H13" s="9"/>
      <c r="I13" s="9"/>
      <c r="J13" s="9"/>
    </row>
    <row r="14" spans="2:13" ht="12.75" customHeight="1" x14ac:dyDescent="0.2">
      <c r="B14" s="26" t="s">
        <v>141</v>
      </c>
      <c r="C14" s="29"/>
      <c r="D14" s="21">
        <v>1207</v>
      </c>
      <c r="E14" s="9"/>
      <c r="F14" s="9"/>
      <c r="G14" s="9"/>
      <c r="H14" s="9"/>
      <c r="I14" s="9"/>
      <c r="J14" s="9"/>
    </row>
    <row r="15" spans="2:13" ht="12.75" customHeight="1" x14ac:dyDescent="0.2">
      <c r="B15" s="56" t="s">
        <v>397</v>
      </c>
      <c r="C15" s="29" t="s">
        <v>196</v>
      </c>
      <c r="D15" s="21">
        <v>968</v>
      </c>
      <c r="E15" s="9"/>
      <c r="F15" s="9"/>
      <c r="G15" s="9"/>
      <c r="H15" s="9"/>
      <c r="I15" s="9"/>
      <c r="J15" s="9"/>
    </row>
    <row r="16" spans="2:13" ht="12.75" customHeight="1" x14ac:dyDescent="0.2">
      <c r="B16" s="262" t="s">
        <v>686</v>
      </c>
      <c r="C16" s="249" t="s">
        <v>670</v>
      </c>
      <c r="D16" s="21">
        <v>1696</v>
      </c>
      <c r="E16" s="9"/>
      <c r="F16" s="9"/>
      <c r="G16" s="9"/>
      <c r="H16" s="9"/>
      <c r="I16" s="9"/>
      <c r="J16" s="9"/>
    </row>
    <row r="17" spans="2:10" x14ac:dyDescent="0.2">
      <c r="B17" s="6" t="s">
        <v>180</v>
      </c>
      <c r="C17" s="249" t="s">
        <v>1015</v>
      </c>
      <c r="D17" s="21">
        <v>577</v>
      </c>
      <c r="E17" s="9"/>
      <c r="F17" s="9"/>
      <c r="G17" s="9"/>
      <c r="H17" s="9"/>
      <c r="I17" s="9"/>
      <c r="J17" s="9"/>
    </row>
    <row r="18" spans="2:10" x14ac:dyDescent="0.2">
      <c r="B18" s="6" t="s">
        <v>151</v>
      </c>
      <c r="C18" s="249" t="s">
        <v>650</v>
      </c>
      <c r="D18" s="21">
        <v>1350</v>
      </c>
      <c r="E18" s="9"/>
      <c r="F18" s="9"/>
      <c r="G18" s="9"/>
      <c r="H18" s="9"/>
      <c r="I18" s="9"/>
      <c r="J18" s="9"/>
    </row>
    <row r="19" spans="2:10" x14ac:dyDescent="0.2">
      <c r="B19" s="262" t="s">
        <v>677</v>
      </c>
      <c r="C19" s="29" t="s">
        <v>67</v>
      </c>
      <c r="D19" s="21">
        <v>1696</v>
      </c>
      <c r="E19" s="9"/>
      <c r="F19" s="9"/>
      <c r="G19" s="9"/>
      <c r="H19" s="9"/>
      <c r="I19" s="9"/>
      <c r="J19" s="9"/>
    </row>
    <row r="20" spans="2:10" x14ac:dyDescent="0.2">
      <c r="B20" s="6" t="s">
        <v>1028</v>
      </c>
      <c r="C20" s="29" t="s">
        <v>67</v>
      </c>
      <c r="D20" s="21">
        <v>1696</v>
      </c>
      <c r="E20" s="9"/>
      <c r="F20" s="9"/>
      <c r="G20" s="9"/>
      <c r="H20" s="9"/>
      <c r="I20" s="9"/>
      <c r="J20" s="9"/>
    </row>
    <row r="21" spans="2:10" x14ac:dyDescent="0.2">
      <c r="B21" s="6" t="s">
        <v>1029</v>
      </c>
      <c r="C21" s="29" t="s">
        <v>67</v>
      </c>
      <c r="D21" s="21">
        <v>1696</v>
      </c>
      <c r="E21" s="9"/>
      <c r="F21" s="9"/>
      <c r="G21" s="9"/>
      <c r="H21" s="9"/>
      <c r="I21" s="9"/>
      <c r="J21" s="9"/>
    </row>
    <row r="22" spans="2:10" x14ac:dyDescent="0.2">
      <c r="B22" s="6" t="s">
        <v>1030</v>
      </c>
      <c r="C22" s="29" t="s">
        <v>67</v>
      </c>
      <c r="D22" s="21">
        <v>1696</v>
      </c>
      <c r="E22" s="9"/>
      <c r="F22" s="9"/>
      <c r="G22" s="9"/>
      <c r="H22" s="9"/>
      <c r="I22" s="9"/>
      <c r="J22" s="9"/>
    </row>
    <row r="23" spans="2:10" x14ac:dyDescent="0.2">
      <c r="B23" s="6" t="s">
        <v>283</v>
      </c>
      <c r="C23" s="29" t="s">
        <v>67</v>
      </c>
      <c r="D23" s="21">
        <v>1696</v>
      </c>
      <c r="E23" s="9"/>
      <c r="F23" s="9"/>
      <c r="G23" s="9"/>
      <c r="H23" s="9"/>
      <c r="I23" s="9"/>
      <c r="J23" s="9"/>
    </row>
    <row r="24" spans="2:10" x14ac:dyDescent="0.2">
      <c r="B24" s="6" t="s">
        <v>154</v>
      </c>
      <c r="C24" s="29" t="s">
        <v>21</v>
      </c>
      <c r="D24" s="21">
        <v>1110</v>
      </c>
      <c r="E24" s="9"/>
      <c r="F24" s="9"/>
      <c r="G24" s="9"/>
      <c r="H24" s="9"/>
      <c r="I24" s="9"/>
      <c r="J24" s="9"/>
    </row>
    <row r="25" spans="2:10" ht="25.5" x14ac:dyDescent="0.2">
      <c r="B25" s="26" t="s">
        <v>168</v>
      </c>
      <c r="C25" s="249" t="s">
        <v>651</v>
      </c>
      <c r="D25" s="21">
        <v>1350</v>
      </c>
      <c r="E25" s="9"/>
      <c r="F25" s="9"/>
      <c r="G25" s="9"/>
      <c r="H25" s="9"/>
      <c r="I25" s="9"/>
      <c r="J25" s="9"/>
    </row>
    <row r="26" spans="2:10" x14ac:dyDescent="0.2">
      <c r="B26" s="6" t="s">
        <v>293</v>
      </c>
      <c r="C26" s="29" t="s">
        <v>67</v>
      </c>
      <c r="D26" s="21">
        <v>1688</v>
      </c>
      <c r="E26" s="9"/>
      <c r="F26" s="9"/>
      <c r="G26" s="9"/>
      <c r="H26" s="9"/>
      <c r="I26" s="9"/>
      <c r="J26" s="9"/>
    </row>
    <row r="27" spans="2:10" ht="12.75" customHeight="1" x14ac:dyDescent="0.2">
      <c r="B27" s="6" t="s">
        <v>165</v>
      </c>
      <c r="C27" s="177" t="s">
        <v>189</v>
      </c>
      <c r="D27" s="21">
        <v>277</v>
      </c>
      <c r="E27" s="9"/>
      <c r="F27" s="9"/>
      <c r="G27" s="9"/>
      <c r="H27" s="9"/>
      <c r="I27" s="9"/>
      <c r="J27" s="9"/>
    </row>
    <row r="28" spans="2:10" ht="12.75" customHeight="1" x14ac:dyDescent="0.2">
      <c r="B28" s="6" t="s">
        <v>145</v>
      </c>
      <c r="C28" s="177" t="s">
        <v>189</v>
      </c>
      <c r="D28" s="21">
        <v>822</v>
      </c>
      <c r="E28" s="9"/>
      <c r="F28" s="9"/>
      <c r="G28" s="9"/>
      <c r="H28" s="9"/>
      <c r="I28" s="9"/>
      <c r="J28" s="9"/>
    </row>
    <row r="29" spans="2:10" ht="12.75" customHeight="1" x14ac:dyDescent="0.2">
      <c r="B29" s="6" t="s">
        <v>678</v>
      </c>
      <c r="C29" s="29" t="s">
        <v>388</v>
      </c>
      <c r="D29" s="21">
        <v>407</v>
      </c>
      <c r="E29" s="9"/>
      <c r="F29" s="9"/>
      <c r="G29" s="9"/>
      <c r="H29" s="9"/>
      <c r="I29" s="9"/>
      <c r="J29" s="9"/>
    </row>
    <row r="30" spans="2:10" ht="12.75" customHeight="1" x14ac:dyDescent="0.2">
      <c r="B30" s="26" t="s">
        <v>135</v>
      </c>
      <c r="C30" s="249" t="s">
        <v>35</v>
      </c>
      <c r="D30" s="21">
        <v>1350</v>
      </c>
      <c r="E30" s="9"/>
      <c r="F30" s="9"/>
      <c r="G30" s="9"/>
      <c r="H30" s="9"/>
      <c r="I30" s="9"/>
      <c r="J30" s="9"/>
    </row>
    <row r="31" spans="2:10" x14ac:dyDescent="0.2">
      <c r="B31" s="26" t="s">
        <v>178</v>
      </c>
      <c r="C31" s="249" t="s">
        <v>661</v>
      </c>
      <c r="D31" s="21">
        <v>245</v>
      </c>
      <c r="E31" s="9"/>
      <c r="F31" s="9"/>
      <c r="G31" s="9"/>
      <c r="H31" s="9"/>
      <c r="I31" s="9"/>
      <c r="J31" s="9"/>
    </row>
    <row r="32" spans="2:10" ht="12.75" customHeight="1" x14ac:dyDescent="0.2">
      <c r="B32" s="26" t="s">
        <v>163</v>
      </c>
      <c r="C32" s="249" t="s">
        <v>659</v>
      </c>
      <c r="D32" s="21">
        <v>297</v>
      </c>
      <c r="E32" s="9"/>
      <c r="F32" s="9"/>
      <c r="G32" s="9"/>
      <c r="H32" s="9"/>
      <c r="I32" s="9"/>
      <c r="J32" s="9"/>
    </row>
    <row r="33" spans="2:10" ht="12.75" customHeight="1" x14ac:dyDescent="0.2">
      <c r="B33" s="23" t="s">
        <v>137</v>
      </c>
      <c r="C33" s="29" t="s">
        <v>37</v>
      </c>
      <c r="D33" s="21">
        <v>1357</v>
      </c>
      <c r="E33" s="9"/>
      <c r="F33" s="9"/>
      <c r="G33" s="9"/>
      <c r="H33" s="9"/>
      <c r="I33" s="9"/>
      <c r="J33" s="9"/>
    </row>
    <row r="34" spans="2:10" ht="12.75" customHeight="1" x14ac:dyDescent="0.2">
      <c r="B34" s="26" t="s">
        <v>153</v>
      </c>
      <c r="C34" s="249" t="s">
        <v>21</v>
      </c>
      <c r="D34" s="21">
        <v>550</v>
      </c>
      <c r="E34" s="9"/>
      <c r="F34" s="9"/>
      <c r="G34" s="9"/>
      <c r="H34" s="9"/>
      <c r="I34" s="9"/>
      <c r="J34" s="9"/>
    </row>
    <row r="35" spans="2:10" ht="12.75" customHeight="1" x14ac:dyDescent="0.2">
      <c r="B35" s="26" t="s">
        <v>149</v>
      </c>
      <c r="C35" s="29" t="s">
        <v>23</v>
      </c>
      <c r="D35" s="21">
        <v>163</v>
      </c>
      <c r="E35" s="9"/>
      <c r="F35" s="9"/>
      <c r="G35" s="9"/>
      <c r="H35" s="9"/>
      <c r="I35" s="9"/>
      <c r="J35" s="9"/>
    </row>
    <row r="36" spans="2:10" ht="12.75" customHeight="1" x14ac:dyDescent="0.2">
      <c r="B36" s="26" t="s">
        <v>169</v>
      </c>
      <c r="C36" s="249" t="s">
        <v>658</v>
      </c>
      <c r="D36" s="21">
        <v>580</v>
      </c>
      <c r="E36" s="9"/>
      <c r="F36" s="9"/>
      <c r="G36" s="9"/>
      <c r="H36" s="9"/>
      <c r="I36" s="9"/>
      <c r="J36" s="9"/>
    </row>
    <row r="37" spans="2:10" ht="12.75" customHeight="1" x14ac:dyDescent="0.2">
      <c r="B37" s="26" t="s">
        <v>140</v>
      </c>
      <c r="C37" s="249" t="s">
        <v>657</v>
      </c>
      <c r="D37" s="21">
        <v>637</v>
      </c>
      <c r="E37" s="9"/>
      <c r="F37" s="9"/>
      <c r="G37" s="9"/>
      <c r="H37" s="9"/>
      <c r="I37" s="9"/>
      <c r="J37" s="9"/>
    </row>
    <row r="38" spans="2:10" ht="38.25" customHeight="1" x14ac:dyDescent="0.2">
      <c r="B38" s="251" t="s">
        <v>631</v>
      </c>
      <c r="C38" s="249" t="s">
        <v>637</v>
      </c>
      <c r="D38" s="21">
        <v>1688</v>
      </c>
      <c r="E38" s="9"/>
      <c r="F38" s="9"/>
      <c r="G38" s="9"/>
      <c r="H38" s="9"/>
      <c r="I38" s="9"/>
      <c r="J38" s="9"/>
    </row>
    <row r="39" spans="2:10" ht="12.75" customHeight="1" x14ac:dyDescent="0.2">
      <c r="B39" s="251" t="s">
        <v>674</v>
      </c>
      <c r="C39" s="249" t="s">
        <v>637</v>
      </c>
      <c r="D39" s="21">
        <v>1688</v>
      </c>
      <c r="E39" s="9"/>
      <c r="F39" s="9"/>
      <c r="G39" s="9"/>
      <c r="H39" s="9"/>
      <c r="I39" s="9"/>
      <c r="J39" s="9"/>
    </row>
    <row r="40" spans="2:10" x14ac:dyDescent="0.2">
      <c r="B40" s="26" t="s">
        <v>1010</v>
      </c>
      <c r="C40" s="249" t="s">
        <v>1012</v>
      </c>
      <c r="D40" s="21">
        <v>1357</v>
      </c>
      <c r="E40" s="9"/>
      <c r="F40" s="9"/>
      <c r="G40" s="9"/>
      <c r="H40" s="9"/>
      <c r="I40" s="9"/>
      <c r="J40" s="9"/>
    </row>
    <row r="41" spans="2:10" x14ac:dyDescent="0.2">
      <c r="B41" s="6" t="s">
        <v>1011</v>
      </c>
      <c r="C41" s="249" t="s">
        <v>1012</v>
      </c>
      <c r="D41" s="21">
        <v>1357</v>
      </c>
      <c r="E41" s="9"/>
      <c r="F41" s="9"/>
      <c r="G41" s="9"/>
      <c r="H41" s="9"/>
      <c r="I41" s="9"/>
      <c r="J41" s="9"/>
    </row>
    <row r="42" spans="2:10" x14ac:dyDescent="0.2">
      <c r="B42" s="6" t="s">
        <v>1008</v>
      </c>
      <c r="C42" s="249" t="s">
        <v>1012</v>
      </c>
      <c r="D42" s="21">
        <v>1357</v>
      </c>
      <c r="E42" s="9"/>
      <c r="F42" s="9"/>
      <c r="G42" s="9"/>
      <c r="H42" s="9"/>
      <c r="I42" s="9"/>
      <c r="J42" s="9"/>
    </row>
    <row r="43" spans="2:10" x14ac:dyDescent="0.2">
      <c r="B43" s="6" t="s">
        <v>138</v>
      </c>
      <c r="C43" s="249" t="s">
        <v>1012</v>
      </c>
      <c r="D43" s="21">
        <v>1357</v>
      </c>
      <c r="E43" s="9"/>
      <c r="F43" s="9"/>
      <c r="G43" s="9"/>
      <c r="H43" s="9"/>
      <c r="I43" s="9"/>
      <c r="J43" s="9"/>
    </row>
    <row r="44" spans="2:10" x14ac:dyDescent="0.2">
      <c r="B44" s="26" t="s">
        <v>837</v>
      </c>
      <c r="C44" s="29"/>
      <c r="D44" s="21">
        <v>1357</v>
      </c>
      <c r="E44" s="9"/>
      <c r="F44" s="9"/>
      <c r="G44" s="9"/>
      <c r="H44" s="9"/>
      <c r="I44" s="9"/>
      <c r="J44" s="9"/>
    </row>
    <row r="45" spans="2:10" x14ac:dyDescent="0.2">
      <c r="B45" s="532" t="s">
        <v>131</v>
      </c>
      <c r="C45" s="533"/>
      <c r="D45" s="534"/>
      <c r="E45" s="9"/>
      <c r="F45" s="9"/>
      <c r="G45" s="9"/>
      <c r="H45" s="9"/>
      <c r="I45" s="9"/>
      <c r="J45" s="9"/>
    </row>
    <row r="46" spans="2:10" ht="12.75" customHeight="1" x14ac:dyDescent="0.2">
      <c r="B46" s="6" t="s">
        <v>244</v>
      </c>
      <c r="C46" s="21" t="s">
        <v>69</v>
      </c>
      <c r="D46" s="21">
        <v>295</v>
      </c>
      <c r="E46" s="9"/>
      <c r="F46" s="9"/>
      <c r="G46" s="9"/>
      <c r="H46" s="9"/>
      <c r="I46" s="9"/>
      <c r="J46" s="9"/>
    </row>
    <row r="47" spans="2:10" ht="12.75" customHeight="1" x14ac:dyDescent="0.2">
      <c r="B47" s="6" t="s">
        <v>240</v>
      </c>
      <c r="C47" s="21"/>
      <c r="D47" s="21">
        <v>1696</v>
      </c>
      <c r="E47" s="9"/>
      <c r="F47" s="9"/>
      <c r="G47" s="9"/>
      <c r="H47" s="9"/>
      <c r="I47" s="9"/>
      <c r="J47" s="9"/>
    </row>
    <row r="48" spans="2:10" ht="12.75" customHeight="1" x14ac:dyDescent="0.2">
      <c r="B48" s="6" t="s">
        <v>589</v>
      </c>
      <c r="C48" s="21"/>
      <c r="D48" s="21">
        <v>1272</v>
      </c>
      <c r="E48" s="9"/>
      <c r="F48" s="9"/>
      <c r="G48" s="9"/>
      <c r="H48" s="9"/>
      <c r="I48" s="9"/>
      <c r="J48" s="9"/>
    </row>
    <row r="49" spans="2:10" ht="12.75" customHeight="1" x14ac:dyDescent="0.2">
      <c r="B49" s="6" t="s">
        <v>248</v>
      </c>
      <c r="C49" s="21"/>
      <c r="D49" s="21">
        <v>1696</v>
      </c>
      <c r="E49" s="9"/>
      <c r="F49" s="9"/>
      <c r="G49" s="9"/>
      <c r="H49" s="9"/>
      <c r="I49" s="9"/>
      <c r="J49" s="9"/>
    </row>
    <row r="50" spans="2:10" ht="12.75" customHeight="1" x14ac:dyDescent="0.2">
      <c r="B50" s="273" t="s">
        <v>251</v>
      </c>
      <c r="C50" s="21"/>
      <c r="D50" s="21">
        <v>1696</v>
      </c>
      <c r="E50" s="9"/>
      <c r="F50" s="9"/>
      <c r="G50" s="9"/>
      <c r="H50" s="9"/>
      <c r="I50" s="9"/>
      <c r="J50" s="9"/>
    </row>
    <row r="51" spans="2:10" ht="12.75" customHeight="1" x14ac:dyDescent="0.2">
      <c r="B51" s="273" t="s">
        <v>337</v>
      </c>
      <c r="C51" s="21"/>
      <c r="D51" s="21">
        <v>1696</v>
      </c>
      <c r="E51" s="9"/>
      <c r="F51" s="9"/>
      <c r="G51" s="9"/>
      <c r="H51" s="9"/>
      <c r="I51" s="9"/>
      <c r="J51" s="9"/>
    </row>
    <row r="52" spans="2:10" ht="12.75" customHeight="1" x14ac:dyDescent="0.2">
      <c r="B52" s="406" t="s">
        <v>998</v>
      </c>
      <c r="C52" s="21"/>
      <c r="D52" s="21">
        <v>1696</v>
      </c>
      <c r="E52" s="9"/>
      <c r="F52" s="9"/>
      <c r="G52" s="9"/>
      <c r="H52" s="9"/>
      <c r="I52" s="9"/>
      <c r="J52" s="9"/>
    </row>
    <row r="53" spans="2:10" ht="12.75" customHeight="1" x14ac:dyDescent="0.2">
      <c r="B53" s="6" t="s">
        <v>265</v>
      </c>
      <c r="C53" s="21"/>
      <c r="D53" s="21">
        <v>1696</v>
      </c>
      <c r="E53" s="9"/>
      <c r="F53" s="9"/>
      <c r="G53" s="9"/>
      <c r="H53" s="9"/>
      <c r="I53" s="9"/>
      <c r="J53" s="9"/>
    </row>
    <row r="54" spans="2:10" ht="12.75" customHeight="1" x14ac:dyDescent="0.2">
      <c r="B54" s="6" t="s">
        <v>268</v>
      </c>
      <c r="C54" s="21"/>
      <c r="D54" s="21">
        <v>1696</v>
      </c>
      <c r="E54" s="9"/>
      <c r="F54" s="9"/>
      <c r="G54" s="9"/>
      <c r="H54" s="9"/>
      <c r="I54" s="9"/>
      <c r="J54" s="9"/>
    </row>
    <row r="55" spans="2:10" ht="12.75" customHeight="1" x14ac:dyDescent="0.2">
      <c r="B55" s="6" t="s">
        <v>269</v>
      </c>
      <c r="C55" s="21"/>
      <c r="D55" s="21">
        <v>1696</v>
      </c>
      <c r="E55" s="9"/>
      <c r="F55" s="9"/>
      <c r="G55" s="9"/>
      <c r="H55" s="9"/>
      <c r="I55" s="9"/>
      <c r="J55" s="9"/>
    </row>
    <row r="56" spans="2:10" ht="12.75" customHeight="1" x14ac:dyDescent="0.2">
      <c r="B56" s="6" t="s">
        <v>590</v>
      </c>
      <c r="C56" s="21"/>
      <c r="D56" s="21">
        <v>1696</v>
      </c>
      <c r="E56" s="9"/>
      <c r="F56" s="9"/>
      <c r="G56" s="9"/>
      <c r="H56" s="9"/>
      <c r="I56" s="9"/>
      <c r="J56" s="9"/>
    </row>
    <row r="57" spans="2:10" ht="12.75" customHeight="1" x14ac:dyDescent="0.2">
      <c r="B57" s="6" t="s">
        <v>273</v>
      </c>
      <c r="C57" s="21"/>
      <c r="D57" s="21">
        <v>1696</v>
      </c>
      <c r="E57" s="9"/>
      <c r="F57" s="9"/>
      <c r="G57" s="9"/>
      <c r="H57" s="9"/>
      <c r="I57" s="9"/>
      <c r="J57" s="9"/>
    </row>
    <row r="58" spans="2:10" ht="12.75" customHeight="1" x14ac:dyDescent="0.2">
      <c r="B58" s="6" t="s">
        <v>285</v>
      </c>
      <c r="C58" s="21"/>
      <c r="D58" s="21">
        <v>1696</v>
      </c>
      <c r="E58" s="9"/>
      <c r="F58" s="9"/>
      <c r="G58" s="9"/>
      <c r="H58" s="9"/>
      <c r="I58" s="9"/>
      <c r="J58" s="9"/>
    </row>
    <row r="59" spans="2:10" ht="12.75" customHeight="1" x14ac:dyDescent="0.2">
      <c r="B59" s="6" t="s">
        <v>591</v>
      </c>
      <c r="C59" s="21"/>
      <c r="D59" s="21">
        <v>1696</v>
      </c>
      <c r="E59" s="9"/>
      <c r="F59" s="9"/>
      <c r="G59" s="9"/>
      <c r="H59" s="9"/>
      <c r="I59" s="9"/>
      <c r="J59" s="9"/>
    </row>
    <row r="60" spans="2:10" ht="12.75" customHeight="1" x14ac:dyDescent="0.2">
      <c r="B60" s="6" t="s">
        <v>296</v>
      </c>
      <c r="C60" s="21"/>
      <c r="D60" s="21">
        <v>1696</v>
      </c>
      <c r="E60" s="9"/>
      <c r="F60" s="9"/>
      <c r="G60" s="9"/>
      <c r="H60" s="9"/>
      <c r="I60" s="9"/>
      <c r="J60" s="9"/>
    </row>
    <row r="61" spans="2:10" ht="12.75" customHeight="1" x14ac:dyDescent="0.2">
      <c r="B61" s="6" t="s">
        <v>303</v>
      </c>
      <c r="C61" s="21"/>
      <c r="D61" s="21">
        <v>1696</v>
      </c>
      <c r="E61" s="9"/>
      <c r="F61" s="9"/>
      <c r="G61" s="9"/>
      <c r="H61" s="9"/>
      <c r="I61" s="9"/>
      <c r="J61" s="9"/>
    </row>
    <row r="62" spans="2:10" ht="12.75" customHeight="1" x14ac:dyDescent="0.2">
      <c r="B62" s="406" t="s">
        <v>999</v>
      </c>
      <c r="C62" s="21"/>
      <c r="D62" s="21">
        <v>1696</v>
      </c>
      <c r="E62" s="9"/>
      <c r="F62" s="9"/>
      <c r="G62" s="9"/>
      <c r="H62" s="9"/>
      <c r="I62" s="9"/>
      <c r="J62" s="9"/>
    </row>
    <row r="63" spans="2:10" ht="12.75" customHeight="1" x14ac:dyDescent="0.2">
      <c r="B63" s="406" t="s">
        <v>1019</v>
      </c>
      <c r="C63" s="21"/>
      <c r="D63" s="21">
        <v>1696</v>
      </c>
      <c r="E63" s="9"/>
      <c r="F63" s="9"/>
      <c r="G63" s="9"/>
      <c r="H63" s="9"/>
      <c r="I63" s="9"/>
      <c r="J63" s="9"/>
    </row>
    <row r="64" spans="2:10" ht="12.75" customHeight="1" x14ac:dyDescent="0.2">
      <c r="B64" s="414" t="s">
        <v>1020</v>
      </c>
      <c r="C64" s="21"/>
      <c r="D64" s="21">
        <v>1696</v>
      </c>
      <c r="E64" s="9"/>
      <c r="F64" s="9"/>
      <c r="G64" s="9"/>
      <c r="H64" s="9"/>
      <c r="I64" s="9"/>
      <c r="J64" s="9"/>
    </row>
    <row r="65" spans="2:10" ht="12.75" customHeight="1" x14ac:dyDescent="0.2">
      <c r="B65" s="6" t="s">
        <v>336</v>
      </c>
      <c r="C65" s="21"/>
      <c r="D65" s="21">
        <v>1696</v>
      </c>
      <c r="E65" s="9"/>
      <c r="F65" s="9"/>
      <c r="G65" s="9"/>
      <c r="H65" s="9"/>
      <c r="I65" s="9"/>
      <c r="J65" s="9"/>
    </row>
    <row r="66" spans="2:10" ht="12.75" customHeight="1" x14ac:dyDescent="0.2">
      <c r="B66" s="6" t="s">
        <v>592</v>
      </c>
      <c r="C66" s="21"/>
      <c r="D66" s="21">
        <v>1696</v>
      </c>
      <c r="E66" s="9"/>
      <c r="F66" s="9"/>
      <c r="G66" s="9"/>
      <c r="H66" s="9"/>
      <c r="I66" s="9"/>
      <c r="J66" s="9"/>
    </row>
    <row r="67" spans="2:10" ht="12.75" customHeight="1" x14ac:dyDescent="0.2">
      <c r="B67" s="23" t="s">
        <v>179</v>
      </c>
      <c r="C67" s="21" t="s">
        <v>69</v>
      </c>
      <c r="D67" s="21">
        <v>831</v>
      </c>
      <c r="E67" s="9"/>
      <c r="F67" s="9"/>
      <c r="G67" s="9"/>
      <c r="H67" s="9"/>
      <c r="I67" s="9"/>
      <c r="J67" s="9"/>
    </row>
    <row r="68" spans="2:10" x14ac:dyDescent="0.2">
      <c r="B68" s="23" t="s">
        <v>143</v>
      </c>
      <c r="C68" s="21" t="s">
        <v>69</v>
      </c>
      <c r="D68" s="21">
        <v>664</v>
      </c>
      <c r="E68" s="9"/>
      <c r="F68" s="9"/>
      <c r="G68" s="9"/>
      <c r="H68" s="9"/>
      <c r="I68" s="9"/>
      <c r="J68" s="9"/>
    </row>
    <row r="69" spans="2:10" x14ac:dyDescent="0.2">
      <c r="B69" s="535" t="s">
        <v>205</v>
      </c>
      <c r="C69" s="533"/>
      <c r="D69" s="534"/>
      <c r="E69" s="9"/>
      <c r="F69" s="9"/>
      <c r="H69" s="9"/>
      <c r="I69" s="9"/>
      <c r="J69" s="9"/>
    </row>
    <row r="70" spans="2:10" x14ac:dyDescent="0.2">
      <c r="B70" s="259" t="s">
        <v>139</v>
      </c>
      <c r="C70" s="21" t="s">
        <v>23</v>
      </c>
      <c r="D70" s="21">
        <v>368</v>
      </c>
      <c r="E70" s="9"/>
      <c r="F70" s="9"/>
      <c r="G70" s="9"/>
      <c r="H70" s="9"/>
      <c r="I70" s="9"/>
      <c r="J70" s="9"/>
    </row>
    <row r="71" spans="2:10" x14ac:dyDescent="0.2">
      <c r="B71" s="26" t="s">
        <v>198</v>
      </c>
      <c r="C71" s="21" t="s">
        <v>23</v>
      </c>
      <c r="D71" s="21">
        <v>428</v>
      </c>
      <c r="E71" s="9"/>
      <c r="F71" s="9"/>
      <c r="G71" s="9"/>
      <c r="H71" s="9"/>
      <c r="I71" s="9"/>
      <c r="J71" s="9"/>
    </row>
    <row r="72" spans="2:10" x14ac:dyDescent="0.2">
      <c r="B72" s="26" t="s">
        <v>132</v>
      </c>
      <c r="C72" s="21" t="s">
        <v>23</v>
      </c>
      <c r="D72" s="21">
        <v>1357</v>
      </c>
      <c r="E72" s="9"/>
      <c r="F72" s="9"/>
      <c r="G72" s="9"/>
      <c r="H72" s="9"/>
      <c r="I72" s="9"/>
      <c r="J72" s="9"/>
    </row>
    <row r="73" spans="2:10" x14ac:dyDescent="0.2">
      <c r="B73" s="26" t="s">
        <v>133</v>
      </c>
      <c r="C73" s="21" t="s">
        <v>23</v>
      </c>
      <c r="D73" s="21">
        <v>315</v>
      </c>
      <c r="E73" s="9"/>
      <c r="F73" s="9"/>
      <c r="G73" s="9"/>
      <c r="H73" s="9"/>
      <c r="I73" s="9"/>
      <c r="J73" s="9"/>
    </row>
    <row r="74" spans="2:10" x14ac:dyDescent="0.2">
      <c r="B74" s="26" t="s">
        <v>193</v>
      </c>
      <c r="C74" s="21" t="s">
        <v>23</v>
      </c>
      <c r="D74" s="21">
        <v>364</v>
      </c>
      <c r="E74" s="9"/>
      <c r="F74" s="9"/>
      <c r="G74" s="9"/>
      <c r="H74" s="9"/>
      <c r="I74" s="9"/>
      <c r="J74" s="9"/>
    </row>
    <row r="75" spans="2:10" x14ac:dyDescent="0.2">
      <c r="B75" s="26" t="s">
        <v>75</v>
      </c>
      <c r="C75" s="21" t="s">
        <v>23</v>
      </c>
      <c r="D75" s="21">
        <v>68</v>
      </c>
      <c r="E75" s="9"/>
      <c r="F75" s="9"/>
      <c r="G75" s="9"/>
      <c r="H75" s="9"/>
      <c r="I75" s="9"/>
      <c r="J75" s="9"/>
    </row>
    <row r="76" spans="2:10" x14ac:dyDescent="0.2">
      <c r="B76" s="26" t="s">
        <v>134</v>
      </c>
      <c r="C76" s="21" t="s">
        <v>23</v>
      </c>
      <c r="D76" s="21">
        <v>513</v>
      </c>
      <c r="E76" s="9"/>
      <c r="F76" s="9"/>
      <c r="G76" s="9"/>
      <c r="H76" s="9"/>
      <c r="I76" s="9"/>
      <c r="J76" s="9"/>
    </row>
    <row r="77" spans="2:10" ht="22.5" customHeight="1" x14ac:dyDescent="0.2">
      <c r="B77" s="26" t="s">
        <v>136</v>
      </c>
      <c r="C77" s="21" t="s">
        <v>23</v>
      </c>
      <c r="D77" s="21">
        <v>368</v>
      </c>
      <c r="E77" s="9"/>
      <c r="F77" s="9"/>
      <c r="G77" s="9"/>
      <c r="H77" s="9"/>
      <c r="I77" s="9"/>
      <c r="J77" s="9"/>
    </row>
    <row r="78" spans="2:10" ht="22.5" customHeight="1" x14ac:dyDescent="0.2">
      <c r="B78" s="26" t="s">
        <v>186</v>
      </c>
      <c r="C78" s="21" t="s">
        <v>23</v>
      </c>
      <c r="D78" s="21">
        <v>332</v>
      </c>
      <c r="E78" s="9"/>
      <c r="F78" s="9"/>
      <c r="G78" s="9"/>
      <c r="H78" s="9"/>
      <c r="I78" s="9"/>
      <c r="J78" s="9"/>
    </row>
    <row r="79" spans="2:10" ht="22.5" customHeight="1" x14ac:dyDescent="0.2">
      <c r="B79" s="6" t="s">
        <v>619</v>
      </c>
      <c r="C79" s="21" t="s">
        <v>23</v>
      </c>
      <c r="D79" s="21">
        <v>181</v>
      </c>
      <c r="E79" s="9"/>
      <c r="F79" s="9"/>
      <c r="G79" s="9"/>
      <c r="H79" s="9"/>
      <c r="I79" s="9"/>
      <c r="J79" s="9"/>
    </row>
    <row r="80" spans="2:10" ht="22.5" customHeight="1" x14ac:dyDescent="0.2">
      <c r="B80" s="6" t="s">
        <v>618</v>
      </c>
      <c r="C80" s="21" t="s">
        <v>23</v>
      </c>
      <c r="D80" s="21">
        <v>225</v>
      </c>
      <c r="E80" s="9"/>
      <c r="F80" s="9"/>
      <c r="G80" s="9"/>
      <c r="H80" s="9"/>
      <c r="I80" s="9"/>
      <c r="J80" s="9"/>
    </row>
    <row r="81" spans="2:18" ht="22.5" customHeight="1" x14ac:dyDescent="0.2">
      <c r="B81" s="26" t="s">
        <v>384</v>
      </c>
      <c r="C81" s="21" t="s">
        <v>23</v>
      </c>
      <c r="D81" s="21">
        <v>381</v>
      </c>
      <c r="E81" s="9"/>
      <c r="F81" s="9"/>
      <c r="G81" s="9"/>
      <c r="H81" s="9"/>
      <c r="I81" s="9"/>
      <c r="J81" s="9"/>
    </row>
    <row r="82" spans="2:18" ht="22.5" customHeight="1" x14ac:dyDescent="0.2">
      <c r="B82" s="6" t="s">
        <v>307</v>
      </c>
      <c r="C82" s="21" t="s">
        <v>23</v>
      </c>
      <c r="D82" s="21">
        <v>1688</v>
      </c>
      <c r="E82" s="9"/>
      <c r="F82" s="9"/>
      <c r="G82" s="9"/>
      <c r="H82" s="9"/>
      <c r="I82" s="9"/>
      <c r="J82" s="9"/>
    </row>
    <row r="83" spans="2:18" x14ac:dyDescent="0.2">
      <c r="B83" s="532" t="s">
        <v>114</v>
      </c>
      <c r="C83" s="533"/>
      <c r="D83" s="534"/>
      <c r="E83" s="9"/>
      <c r="F83" s="9"/>
      <c r="G83" s="9"/>
      <c r="H83" s="9"/>
      <c r="I83" s="9"/>
      <c r="J83" s="9"/>
    </row>
    <row r="84" spans="2:18" ht="12.75" customHeight="1" x14ac:dyDescent="0.2">
      <c r="B84" s="6" t="s">
        <v>638</v>
      </c>
      <c r="C84" s="249" t="s">
        <v>228</v>
      </c>
      <c r="D84" s="21">
        <v>1688</v>
      </c>
      <c r="E84" s="9"/>
      <c r="F84" s="5"/>
      <c r="G84" s="9"/>
      <c r="H84" s="9"/>
      <c r="I84" s="9"/>
      <c r="J84" s="9"/>
    </row>
    <row r="85" spans="2:18" ht="12.75" customHeight="1" x14ac:dyDescent="0.2">
      <c r="B85" s="6" t="s">
        <v>639</v>
      </c>
      <c r="C85" s="249" t="s">
        <v>643</v>
      </c>
      <c r="D85" s="21">
        <v>1688</v>
      </c>
      <c r="E85" s="9"/>
      <c r="F85" s="5"/>
      <c r="G85" s="9"/>
      <c r="H85" s="9"/>
      <c r="I85" s="9"/>
      <c r="J85" s="9"/>
    </row>
    <row r="86" spans="2:18" ht="12.75" customHeight="1" x14ac:dyDescent="0.2">
      <c r="B86" s="44" t="s">
        <v>300</v>
      </c>
      <c r="C86" s="249" t="s">
        <v>230</v>
      </c>
      <c r="D86" s="21">
        <v>1266</v>
      </c>
      <c r="E86" s="9"/>
      <c r="F86" s="427"/>
      <c r="G86" s="9"/>
      <c r="H86" s="9"/>
      <c r="I86" s="9"/>
      <c r="J86" s="9"/>
    </row>
    <row r="87" spans="2:18" ht="12.75" customHeight="1" x14ac:dyDescent="0.2">
      <c r="B87" s="44" t="s">
        <v>640</v>
      </c>
      <c r="C87" s="249" t="s">
        <v>644</v>
      </c>
      <c r="D87" s="21">
        <v>1688</v>
      </c>
      <c r="E87" s="9"/>
      <c r="F87" s="5"/>
      <c r="G87" s="9"/>
      <c r="H87" s="9"/>
      <c r="I87" s="9"/>
      <c r="J87" s="9"/>
    </row>
    <row r="88" spans="2:18" ht="12.75" customHeight="1" x14ac:dyDescent="0.2">
      <c r="B88" s="6" t="s">
        <v>641</v>
      </c>
      <c r="C88" s="249" t="s">
        <v>228</v>
      </c>
      <c r="D88" s="21">
        <v>1688</v>
      </c>
      <c r="E88" s="9"/>
      <c r="F88" s="427"/>
      <c r="G88" s="9"/>
      <c r="H88" s="9"/>
      <c r="I88" s="9"/>
      <c r="J88" s="9"/>
    </row>
    <row r="89" spans="2:18" ht="12.75" customHeight="1" x14ac:dyDescent="0.2">
      <c r="B89" s="6" t="s">
        <v>642</v>
      </c>
      <c r="C89" s="249" t="s">
        <v>645</v>
      </c>
      <c r="D89" s="21">
        <v>1688</v>
      </c>
      <c r="E89" s="9"/>
      <c r="F89" s="5"/>
      <c r="G89" s="9"/>
      <c r="H89" s="9"/>
      <c r="I89" s="9"/>
      <c r="J89" s="9"/>
    </row>
    <row r="90" spans="2:18" x14ac:dyDescent="0.2">
      <c r="B90" s="15"/>
      <c r="C90" s="15"/>
      <c r="D90" s="180">
        <f>SUM(D12:D89)</f>
        <v>87998</v>
      </c>
      <c r="E90" s="15"/>
      <c r="F90" s="428"/>
      <c r="G90" s="15"/>
      <c r="H90" s="15"/>
      <c r="I90" s="15"/>
      <c r="J90" s="15"/>
    </row>
    <row r="91" spans="2:18" x14ac:dyDescent="0.2">
      <c r="B91" s="15"/>
      <c r="C91" s="15"/>
      <c r="D91" s="15"/>
      <c r="E91" s="15"/>
      <c r="F91" s="428"/>
      <c r="G91" s="15"/>
      <c r="H91" s="15"/>
      <c r="I91" s="15"/>
      <c r="J91" s="15"/>
    </row>
    <row r="92" spans="2:18" x14ac:dyDescent="0.2">
      <c r="B92" s="15"/>
      <c r="C92" s="15"/>
      <c r="D92" s="15"/>
      <c r="E92" s="15"/>
      <c r="F92" s="15"/>
      <c r="G92" s="15"/>
      <c r="H92" s="15"/>
      <c r="I92" s="15"/>
      <c r="J92" s="15"/>
    </row>
    <row r="93" spans="2:18" x14ac:dyDescent="0.2">
      <c r="B93" s="255"/>
      <c r="C93" s="15"/>
      <c r="D93" s="15"/>
      <c r="E93" s="15"/>
      <c r="F93" s="15"/>
      <c r="G93" s="15"/>
      <c r="H93" s="15"/>
      <c r="I93" s="15"/>
      <c r="J93" s="15"/>
      <c r="R93" t="str">
        <f>'POTENCIAL HORAS'!C12</f>
        <v>ARTURO LOPEZ</v>
      </c>
    </row>
    <row r="94" spans="2:18" x14ac:dyDescent="0.2">
      <c r="B94" s="255"/>
      <c r="C94" s="15"/>
      <c r="D94" s="15"/>
      <c r="E94" s="15"/>
      <c r="F94" s="15"/>
      <c r="G94" s="15"/>
      <c r="H94" s="15"/>
      <c r="I94" s="15"/>
      <c r="J94" s="15"/>
      <c r="R94" t="str">
        <f>'POTENCIAL HORAS'!C14</f>
        <v>ALFREDO ALCOCER CORVACHO</v>
      </c>
    </row>
    <row r="95" spans="2:18" x14ac:dyDescent="0.2">
      <c r="B95" s="255"/>
      <c r="C95" s="15"/>
      <c r="D95" s="15"/>
      <c r="E95" s="15"/>
      <c r="F95" s="15"/>
      <c r="G95" s="15"/>
      <c r="H95" s="15"/>
      <c r="I95" s="15"/>
      <c r="J95" s="15"/>
      <c r="R95" t="str">
        <f>'POTENCIAL HORAS'!C16</f>
        <v>ALVARO ARRAZOLA</v>
      </c>
    </row>
    <row r="96" spans="2:18" x14ac:dyDescent="0.2">
      <c r="B96" s="15"/>
      <c r="C96" s="15"/>
      <c r="D96" s="15"/>
      <c r="E96" s="15"/>
      <c r="F96" s="15"/>
      <c r="G96" s="15"/>
      <c r="H96" s="15"/>
      <c r="I96" s="15"/>
      <c r="J96" s="15"/>
      <c r="R96" t="str">
        <f>'POTENCIAL HORAS'!C18</f>
        <v>ARMANDO ACEVEDO TIRIA</v>
      </c>
    </row>
    <row r="97" spans="2:18" x14ac:dyDescent="0.2">
      <c r="B97" s="15"/>
      <c r="C97" s="15"/>
      <c r="D97" s="15"/>
      <c r="E97" s="15"/>
      <c r="F97" s="15"/>
      <c r="G97" s="15"/>
      <c r="H97" s="15"/>
      <c r="I97" s="15"/>
      <c r="J97" s="15"/>
      <c r="R97" t="str">
        <f>'POTENCIAL HORAS'!C19</f>
        <v>ARMANDO PABON</v>
      </c>
    </row>
    <row r="98" spans="2:18" x14ac:dyDescent="0.2">
      <c r="B98" s="15"/>
      <c r="C98" s="15"/>
      <c r="D98" s="15"/>
      <c r="E98" s="15"/>
      <c r="F98" s="15"/>
      <c r="G98" s="15"/>
      <c r="H98" s="15"/>
      <c r="I98" s="15"/>
      <c r="J98" s="15"/>
      <c r="R98" t="str">
        <f>'POTENCIAL HORAS'!C20</f>
        <v>BORIS VELILLA</v>
      </c>
    </row>
    <row r="99" spans="2:18" x14ac:dyDescent="0.2">
      <c r="B99" s="15"/>
      <c r="C99" s="15"/>
      <c r="D99" s="15"/>
      <c r="E99" s="15"/>
      <c r="F99" s="15"/>
      <c r="G99" s="15"/>
      <c r="H99" s="15"/>
      <c r="I99" s="15"/>
      <c r="J99" s="15"/>
      <c r="R99" t="str">
        <f>'POTENCIAL HORAS'!C21</f>
        <v>CARLOS MURCIA</v>
      </c>
    </row>
    <row r="100" spans="2:18" x14ac:dyDescent="0.2">
      <c r="B100" s="15"/>
      <c r="C100" s="15"/>
      <c r="D100" s="15"/>
      <c r="E100" s="15"/>
      <c r="F100" s="15"/>
      <c r="G100" s="15"/>
      <c r="H100" s="15"/>
      <c r="I100" s="15"/>
      <c r="J100" s="15"/>
      <c r="R100" t="e">
        <f>'POTENCIAL HORAS'!#REF!</f>
        <v>#REF!</v>
      </c>
    </row>
    <row r="101" spans="2:18" x14ac:dyDescent="0.2">
      <c r="B101" s="15"/>
      <c r="C101" s="15"/>
      <c r="D101" s="15"/>
      <c r="E101" s="15"/>
      <c r="F101" s="15"/>
      <c r="G101" s="15"/>
      <c r="H101" s="15"/>
      <c r="I101" s="15"/>
      <c r="J101" s="15"/>
      <c r="R101" t="str">
        <f>'POTENCIAL HORAS'!C22</f>
        <v>CARLOS RIPOLL</v>
      </c>
    </row>
    <row r="102" spans="2:18" x14ac:dyDescent="0.2">
      <c r="B102" s="15"/>
      <c r="C102" s="15"/>
      <c r="D102" s="15"/>
      <c r="E102" s="15"/>
      <c r="F102" s="15"/>
      <c r="G102" s="15"/>
      <c r="H102" s="15"/>
      <c r="I102" s="15"/>
      <c r="J102" s="15"/>
      <c r="R102" t="str">
        <f>'POTENCIAL HORAS'!C23</f>
        <v>CASILDA RODRIGUEZ</v>
      </c>
    </row>
    <row r="103" spans="2:18" x14ac:dyDescent="0.2">
      <c r="B103" s="15"/>
      <c r="C103" s="15"/>
      <c r="D103" s="15"/>
      <c r="E103" s="15"/>
      <c r="F103" s="15"/>
      <c r="G103" s="15"/>
      <c r="H103" s="15"/>
      <c r="I103" s="15"/>
      <c r="J103" s="15"/>
      <c r="R103" t="str">
        <f>'POTENCIAL HORAS'!C24</f>
        <v>CATALINA LOPEZ</v>
      </c>
    </row>
    <row r="104" spans="2:18" x14ac:dyDescent="0.2">
      <c r="B104" s="15"/>
      <c r="C104" s="15"/>
      <c r="D104" s="15"/>
      <c r="E104" s="15"/>
      <c r="F104" s="15"/>
      <c r="G104" s="15"/>
      <c r="H104" s="15"/>
      <c r="I104" s="15"/>
      <c r="J104" s="15"/>
      <c r="R104" t="str">
        <f>'POTENCIAL HORAS'!C25</f>
        <v>CÈSAR BOLAÑO ROYERO</v>
      </c>
    </row>
    <row r="105" spans="2:18" x14ac:dyDescent="0.2">
      <c r="B105" s="15"/>
      <c r="C105" s="15"/>
      <c r="D105" s="15"/>
      <c r="E105" s="15"/>
      <c r="F105" s="15"/>
      <c r="G105" s="15"/>
      <c r="H105" s="15"/>
      <c r="I105" s="15"/>
      <c r="J105" s="15"/>
      <c r="R105" t="str">
        <f>'POTENCIAL HORAS'!C27</f>
        <v>EDELBERTO LOPEZ</v>
      </c>
    </row>
    <row r="106" spans="2:18" x14ac:dyDescent="0.2">
      <c r="B106" s="15"/>
      <c r="C106" s="15"/>
      <c r="D106" s="15"/>
      <c r="E106" s="15"/>
      <c r="F106" s="15"/>
      <c r="G106" s="15"/>
      <c r="H106" s="15"/>
      <c r="I106" s="15"/>
      <c r="J106" s="15"/>
      <c r="R106" t="str">
        <f>'POTENCIAL HORAS'!C28</f>
        <v>EDWIN POLO</v>
      </c>
    </row>
    <row r="107" spans="2:18" x14ac:dyDescent="0.2">
      <c r="B107" s="15"/>
      <c r="C107" s="15"/>
      <c r="D107" s="15"/>
      <c r="E107" s="15"/>
      <c r="F107" s="15"/>
      <c r="G107" s="15"/>
      <c r="H107" s="15"/>
      <c r="I107" s="15"/>
      <c r="J107" s="15"/>
      <c r="R107" t="e">
        <f>'POTENCIAL HORAS'!#REF!</f>
        <v>#REF!</v>
      </c>
    </row>
    <row r="108" spans="2:18" x14ac:dyDescent="0.2">
      <c r="B108" s="15"/>
      <c r="C108" s="15"/>
      <c r="D108" s="15"/>
      <c r="E108" s="15"/>
      <c r="F108" s="15"/>
      <c r="R108" t="str">
        <f>'POTENCIAL HORAS'!C29</f>
        <v>ELBERTO PERTUZ DE LA HOZ</v>
      </c>
    </row>
    <row r="109" spans="2:18" x14ac:dyDescent="0.2">
      <c r="B109" s="15"/>
      <c r="C109" s="15"/>
      <c r="D109" s="15"/>
      <c r="E109" s="15"/>
      <c r="F109" s="15"/>
      <c r="R109" t="str">
        <f>'POTENCIAL HORAS'!C30</f>
        <v>ENGELBERTO COBA</v>
      </c>
    </row>
    <row r="110" spans="2:18" x14ac:dyDescent="0.2">
      <c r="B110" s="15"/>
      <c r="C110" s="15"/>
      <c r="D110" s="15"/>
      <c r="E110" s="15"/>
      <c r="F110" s="15"/>
      <c r="R110" t="str">
        <f>'POTENCIAL HORAS'!C31</f>
        <v>ENITH MENCO</v>
      </c>
    </row>
    <row r="111" spans="2:18" x14ac:dyDescent="0.2">
      <c r="B111" s="15"/>
      <c r="C111" s="15"/>
      <c r="D111" s="15"/>
      <c r="E111" s="15"/>
      <c r="F111" s="15"/>
      <c r="R111" t="str">
        <f>'POTENCIAL HORAS'!C32</f>
        <v>FELIX AMARIS JACOME</v>
      </c>
    </row>
    <row r="112" spans="2:18" x14ac:dyDescent="0.2">
      <c r="B112" s="15"/>
      <c r="C112" s="15"/>
      <c r="D112" s="15"/>
      <c r="E112" s="15"/>
      <c r="F112" s="15"/>
      <c r="R112" t="str">
        <f>'POTENCIAL HORAS'!C33</f>
        <v>FERNANDO TORRES</v>
      </c>
    </row>
    <row r="113" spans="2:18" x14ac:dyDescent="0.2">
      <c r="B113" s="15"/>
      <c r="C113" s="15"/>
      <c r="D113" s="15"/>
      <c r="E113" s="15"/>
      <c r="F113" s="15"/>
      <c r="R113" t="str">
        <f>'POTENCIAL HORAS'!C34</f>
        <v>HARVEY ENRIQUE PEREZ GONZALEZ</v>
      </c>
    </row>
    <row r="114" spans="2:18" x14ac:dyDescent="0.2">
      <c r="B114" s="15"/>
      <c r="C114" s="15"/>
      <c r="D114" s="15"/>
      <c r="E114" s="15"/>
      <c r="F114" s="15"/>
      <c r="R114" t="str">
        <f>'POTENCIAL HORAS'!C35</f>
        <v>HEBER CASTRO</v>
      </c>
    </row>
    <row r="115" spans="2:18" x14ac:dyDescent="0.2">
      <c r="B115" s="15"/>
      <c r="C115" s="15"/>
      <c r="D115" s="15"/>
      <c r="E115" s="15"/>
      <c r="F115" s="15"/>
      <c r="R115" t="e">
        <f>'POTENCIAL HORAS'!#REF!</f>
        <v>#REF!</v>
      </c>
    </row>
    <row r="116" spans="2:18" x14ac:dyDescent="0.2">
      <c r="B116" s="15"/>
      <c r="C116" s="15"/>
      <c r="D116" s="15"/>
      <c r="E116" s="15"/>
      <c r="F116" s="15"/>
      <c r="R116" t="str">
        <f>'POTENCIAL HORAS'!C36</f>
        <v>HENRY IBARRA RANGEL</v>
      </c>
    </row>
    <row r="117" spans="2:18" x14ac:dyDescent="0.2">
      <c r="B117" s="15"/>
      <c r="C117" s="15"/>
      <c r="D117" s="15"/>
      <c r="E117" s="15"/>
      <c r="F117" s="15"/>
      <c r="R117" t="str">
        <f>'POTENCIAL HORAS'!C37</f>
        <v>IBETH TEJERA</v>
      </c>
    </row>
    <row r="118" spans="2:18" x14ac:dyDescent="0.2">
      <c r="B118" s="15"/>
      <c r="C118" s="15"/>
      <c r="D118" s="15"/>
      <c r="E118" s="15"/>
      <c r="F118" s="15"/>
      <c r="R118" t="str">
        <f>'POTENCIAL HORAS'!C38</f>
        <v>IRINA ISABEL ROGET VILORIA</v>
      </c>
    </row>
    <row r="119" spans="2:18" x14ac:dyDescent="0.2">
      <c r="B119" s="15"/>
      <c r="C119" s="15"/>
      <c r="D119" s="15"/>
      <c r="E119" s="15"/>
      <c r="F119" s="15"/>
      <c r="R119" t="e">
        <f>'POTENCIAL HORAS'!#REF!</f>
        <v>#REF!</v>
      </c>
    </row>
    <row r="120" spans="2:18" x14ac:dyDescent="0.2">
      <c r="B120" s="15"/>
      <c r="C120" s="15"/>
      <c r="D120" s="15"/>
      <c r="E120" s="15"/>
      <c r="F120" s="15"/>
      <c r="R120" t="str">
        <f>'POTENCIAL HORAS'!C41</f>
        <v>JAVIER CALDERIN</v>
      </c>
    </row>
    <row r="121" spans="2:18" x14ac:dyDescent="0.2">
      <c r="B121" s="15"/>
      <c r="C121" s="15"/>
      <c r="D121" s="15"/>
      <c r="E121" s="15"/>
      <c r="F121" s="15"/>
      <c r="R121" t="str">
        <f>'POTENCIAL HORAS'!C42</f>
        <v>JOHNNY DE LA ROSA</v>
      </c>
    </row>
    <row r="122" spans="2:18" x14ac:dyDescent="0.2">
      <c r="B122" s="15"/>
      <c r="C122" s="15"/>
      <c r="D122" s="15"/>
      <c r="E122" s="15"/>
      <c r="F122" s="15"/>
      <c r="R122" t="e">
        <f>'POTENCIAL HORAS'!#REF!</f>
        <v>#REF!</v>
      </c>
    </row>
    <row r="123" spans="2:18" x14ac:dyDescent="0.2">
      <c r="B123" s="15"/>
      <c r="C123" s="15"/>
      <c r="D123" s="15"/>
      <c r="E123" s="15"/>
      <c r="F123" s="15"/>
      <c r="R123" t="str">
        <f>'POTENCIAL HORAS'!C43</f>
        <v>JORGE BENAVIDES</v>
      </c>
    </row>
    <row r="124" spans="2:18" x14ac:dyDescent="0.2">
      <c r="B124" s="15"/>
      <c r="C124" s="15"/>
      <c r="D124" s="15"/>
      <c r="E124" s="15"/>
      <c r="F124" s="15"/>
      <c r="R124" t="str">
        <f>'POTENCIAL HORAS'!C44</f>
        <v>JOSE GOMEZ</v>
      </c>
    </row>
    <row r="125" spans="2:18" x14ac:dyDescent="0.2">
      <c r="B125" s="15"/>
      <c r="C125" s="15"/>
      <c r="D125" s="15"/>
      <c r="E125" s="15"/>
      <c r="F125" s="15"/>
      <c r="R125" t="str">
        <f>'POTENCIAL HORAS'!C45</f>
        <v>JOSE GUALDRON</v>
      </c>
    </row>
    <row r="126" spans="2:18" x14ac:dyDescent="0.2">
      <c r="B126" s="15"/>
      <c r="C126" s="15"/>
      <c r="D126" s="15"/>
      <c r="E126" s="15"/>
      <c r="F126" s="15"/>
      <c r="R126" t="str">
        <f>'POTENCIAL HORAS'!C46</f>
        <v>JUAN FARELO PEÑA</v>
      </c>
    </row>
    <row r="127" spans="2:18" x14ac:dyDescent="0.2">
      <c r="B127" s="15"/>
      <c r="C127" s="15"/>
      <c r="D127" s="15"/>
      <c r="E127" s="15"/>
      <c r="F127" s="15"/>
      <c r="R127" t="str">
        <f>'POTENCIAL HORAS'!C47</f>
        <v>JUAN URIBE MONSALVE</v>
      </c>
    </row>
    <row r="128" spans="2:18" x14ac:dyDescent="0.2">
      <c r="B128" s="15"/>
      <c r="C128" s="15"/>
      <c r="D128" s="15"/>
      <c r="E128" s="15"/>
      <c r="F128" s="15"/>
      <c r="R128" t="str">
        <f>'POTENCIAL HORAS'!C48</f>
        <v>JUSTINIANO ARDILA</v>
      </c>
    </row>
    <row r="129" spans="2:18" x14ac:dyDescent="0.2">
      <c r="B129" s="15"/>
      <c r="C129" s="15"/>
      <c r="D129" s="15"/>
      <c r="E129" s="15"/>
      <c r="F129" s="15"/>
      <c r="R129" t="str">
        <f>'POTENCIAL HORAS'!C50</f>
        <v>KATHERIN HERRERA</v>
      </c>
    </row>
    <row r="130" spans="2:18" x14ac:dyDescent="0.2">
      <c r="B130" s="15"/>
      <c r="C130" s="15"/>
      <c r="D130" s="15"/>
      <c r="E130" s="15"/>
      <c r="F130" s="15"/>
      <c r="R130" t="str">
        <f>'POTENCIAL HORAS'!C51</f>
        <v>KENDRY PRIETO</v>
      </c>
    </row>
    <row r="131" spans="2:18" x14ac:dyDescent="0.2">
      <c r="B131" s="15"/>
      <c r="C131" s="15"/>
      <c r="D131" s="15"/>
      <c r="E131" s="15"/>
      <c r="F131" s="15"/>
      <c r="R131" t="str">
        <f>'POTENCIAL HORAS'!C53</f>
        <v>LINDA GARCIA</v>
      </c>
    </row>
    <row r="132" spans="2:18" x14ac:dyDescent="0.2">
      <c r="B132" s="15"/>
      <c r="C132" s="15"/>
      <c r="D132" s="15"/>
      <c r="E132" s="15"/>
      <c r="F132" s="15"/>
      <c r="R132" t="str">
        <f>'POTENCIAL HORAS'!C54</f>
        <v>LUCAS GUTIERREZ PANZA</v>
      </c>
    </row>
    <row r="133" spans="2:18" x14ac:dyDescent="0.2">
      <c r="B133" s="15"/>
      <c r="C133" s="15"/>
      <c r="D133" s="15"/>
      <c r="E133" s="15"/>
      <c r="F133" s="15"/>
      <c r="R133" t="e">
        <f>'POTENCIAL HORAS'!#REF!</f>
        <v>#REF!</v>
      </c>
    </row>
    <row r="134" spans="2:18" x14ac:dyDescent="0.2">
      <c r="B134" s="15"/>
      <c r="C134" s="15"/>
      <c r="D134" s="15"/>
      <c r="E134" s="15"/>
      <c r="F134" s="15"/>
      <c r="R134" t="str">
        <f>'POTENCIAL HORAS'!C56</f>
        <v>LUISA VILLAREAL</v>
      </c>
    </row>
    <row r="135" spans="2:18" x14ac:dyDescent="0.2">
      <c r="B135" s="15"/>
      <c r="C135" s="15"/>
      <c r="D135" s="15"/>
      <c r="E135" s="15"/>
      <c r="F135" s="15"/>
      <c r="R135" t="e">
        <f>'POTENCIAL HORAS'!#REF!</f>
        <v>#REF!</v>
      </c>
    </row>
    <row r="136" spans="2:18" x14ac:dyDescent="0.2">
      <c r="B136" s="15"/>
      <c r="C136" s="15"/>
      <c r="D136" s="15"/>
      <c r="E136" s="15"/>
      <c r="F136" s="15"/>
      <c r="R136" t="str">
        <f>'POTENCIAL HORAS'!C57</f>
        <v>LUZ MARINA RODRIGUEZ</v>
      </c>
    </row>
    <row r="137" spans="2:18" x14ac:dyDescent="0.2">
      <c r="B137" s="15"/>
      <c r="C137" s="15"/>
      <c r="D137" s="15"/>
      <c r="E137" s="15"/>
      <c r="F137" s="15"/>
      <c r="R137" t="str">
        <f>'POTENCIAL HORAS'!C58</f>
        <v>MANUEL ALZAMORA NIEBLES</v>
      </c>
    </row>
    <row r="138" spans="2:18" x14ac:dyDescent="0.2">
      <c r="B138" s="15"/>
      <c r="C138" s="15"/>
      <c r="D138" s="15"/>
      <c r="E138" s="15"/>
      <c r="F138" s="15"/>
      <c r="R138" t="str">
        <f>'POTENCIAL HORAS'!C59</f>
        <v>MARIO MONTOYA</v>
      </c>
    </row>
    <row r="139" spans="2:18" x14ac:dyDescent="0.2">
      <c r="B139" s="15"/>
      <c r="C139" s="15"/>
      <c r="D139" s="15"/>
      <c r="E139" s="15"/>
      <c r="F139" s="15"/>
      <c r="R139" t="str">
        <f>'POTENCIAL HORAS'!C60</f>
        <v>MILDRED BELTRAN</v>
      </c>
    </row>
    <row r="140" spans="2:18" x14ac:dyDescent="0.2">
      <c r="B140" s="15"/>
      <c r="C140" s="15"/>
      <c r="D140" s="15"/>
      <c r="E140" s="15"/>
      <c r="F140" s="15"/>
      <c r="R140" t="str">
        <f>'POTENCIAL HORAS'!C61</f>
        <v>MILDRED ROLONG</v>
      </c>
    </row>
    <row r="141" spans="2:18" x14ac:dyDescent="0.2">
      <c r="B141" s="15"/>
      <c r="C141" s="15"/>
      <c r="D141" s="15"/>
      <c r="E141" s="15"/>
      <c r="F141" s="15"/>
      <c r="R141" t="str">
        <f>'POTENCIAL HORAS'!C62</f>
        <v>NANCY FABREGAS CARRILLO</v>
      </c>
    </row>
    <row r="142" spans="2:18" x14ac:dyDescent="0.2">
      <c r="B142" s="15"/>
      <c r="C142" s="15"/>
      <c r="D142" s="15"/>
      <c r="E142" s="15"/>
      <c r="F142" s="15"/>
      <c r="R142" t="e">
        <f>'POTENCIAL HORAS'!#REF!</f>
        <v>#REF!</v>
      </c>
    </row>
    <row r="143" spans="2:18" x14ac:dyDescent="0.2">
      <c r="B143" s="15"/>
      <c r="C143" s="15"/>
      <c r="D143" s="15"/>
      <c r="E143" s="15"/>
      <c r="F143" s="15"/>
      <c r="R143" t="str">
        <f>'POTENCIAL HORAS'!C64</f>
        <v>ORLANDO MOLINARES</v>
      </c>
    </row>
    <row r="144" spans="2:18" x14ac:dyDescent="0.2">
      <c r="B144" s="15"/>
      <c r="C144" s="15"/>
      <c r="D144" s="15"/>
      <c r="E144" s="15"/>
      <c r="F144" s="15"/>
      <c r="R144" t="e">
        <f>'POTENCIAL HORAS'!#REF!</f>
        <v>#REF!</v>
      </c>
    </row>
    <row r="145" spans="2:18" x14ac:dyDescent="0.2">
      <c r="B145" s="15"/>
      <c r="C145" s="15"/>
      <c r="D145" s="15"/>
      <c r="E145" s="15"/>
      <c r="F145" s="15"/>
      <c r="R145" t="e">
        <f>'POTENCIAL HORAS'!#REF!</f>
        <v>#REF!</v>
      </c>
    </row>
    <row r="146" spans="2:18" x14ac:dyDescent="0.2">
      <c r="B146" s="15"/>
      <c r="C146" s="15"/>
      <c r="D146" s="15"/>
      <c r="E146" s="15"/>
      <c r="F146" s="15"/>
      <c r="R146" t="str">
        <f>'POTENCIAL HORAS'!C65</f>
        <v>OSVALDO CASTRO MOLINA</v>
      </c>
    </row>
    <row r="147" spans="2:18" x14ac:dyDescent="0.2">
      <c r="B147" s="15"/>
      <c r="C147" s="15"/>
      <c r="D147" s="15"/>
      <c r="E147" s="15"/>
      <c r="F147" s="15"/>
      <c r="R147" t="str">
        <f>'POTENCIAL HORAS'!C67</f>
        <v>RAFAEL JULIAO</v>
      </c>
    </row>
    <row r="148" spans="2:18" x14ac:dyDescent="0.2">
      <c r="B148" s="15"/>
      <c r="C148" s="15"/>
      <c r="D148" s="15"/>
      <c r="E148" s="15"/>
      <c r="F148" s="15"/>
      <c r="R148" t="str">
        <f>'POTENCIAL HORAS'!C68</f>
        <v>REBECA ZAPATA</v>
      </c>
    </row>
    <row r="149" spans="2:18" x14ac:dyDescent="0.2">
      <c r="B149" s="15"/>
      <c r="C149" s="15"/>
      <c r="D149" s="15"/>
      <c r="E149" s="15"/>
      <c r="F149" s="15"/>
      <c r="R149" t="e">
        <f>'POTENCIAL HORAS'!#REF!</f>
        <v>#REF!</v>
      </c>
    </row>
    <row r="150" spans="2:18" x14ac:dyDescent="0.2">
      <c r="B150" s="15"/>
      <c r="C150" s="15"/>
      <c r="D150" s="15"/>
      <c r="E150" s="15"/>
      <c r="F150" s="15"/>
      <c r="R150" t="e">
        <f>'POTENCIAL HORAS'!#REF!</f>
        <v>#REF!</v>
      </c>
    </row>
    <row r="151" spans="2:18" x14ac:dyDescent="0.2">
      <c r="B151" s="15"/>
      <c r="C151" s="15"/>
      <c r="D151" s="15"/>
      <c r="E151" s="15"/>
      <c r="F151" s="15"/>
      <c r="R151" t="str">
        <f>'POTENCIAL HORAS'!C69</f>
        <v>RICARDO SANDOVAL</v>
      </c>
    </row>
    <row r="152" spans="2:18" x14ac:dyDescent="0.2">
      <c r="B152" s="15"/>
      <c r="C152" s="15"/>
      <c r="D152" s="15"/>
      <c r="E152" s="15"/>
      <c r="F152" s="15"/>
      <c r="R152" t="str">
        <f>'POTENCIAL HORAS'!C70</f>
        <v>RUBEN SAENZ PINTO</v>
      </c>
    </row>
    <row r="153" spans="2:18" x14ac:dyDescent="0.2">
      <c r="B153" s="15"/>
      <c r="C153" s="15"/>
      <c r="D153" s="15"/>
      <c r="E153" s="15"/>
      <c r="F153" s="15"/>
      <c r="R153" t="str">
        <f>'POTENCIAL HORAS'!C71</f>
        <v>SILVIA VILLEGAS</v>
      </c>
    </row>
    <row r="154" spans="2:18" x14ac:dyDescent="0.2">
      <c r="B154" s="15"/>
      <c r="C154" s="15"/>
      <c r="D154" s="15"/>
      <c r="E154" s="15"/>
      <c r="F154" s="15"/>
      <c r="R154" t="str">
        <f>'POTENCIAL HORAS'!C72</f>
        <v>VERA DIAZ ARROYO</v>
      </c>
    </row>
    <row r="155" spans="2:18" x14ac:dyDescent="0.2">
      <c r="B155" s="15"/>
      <c r="C155" s="15"/>
      <c r="D155" s="15"/>
      <c r="E155" s="15"/>
      <c r="F155" s="15"/>
      <c r="R155" t="str">
        <f>'POTENCIAL HORAS'!C73</f>
        <v>VIOLET HANI</v>
      </c>
    </row>
    <row r="156" spans="2:18" x14ac:dyDescent="0.2">
      <c r="B156" s="15"/>
      <c r="C156" s="15"/>
      <c r="D156" s="15"/>
      <c r="E156" s="15"/>
      <c r="F156" s="15"/>
      <c r="R156" t="e">
        <f>'POTENCIAL HORAS'!#REF!</f>
        <v>#REF!</v>
      </c>
    </row>
    <row r="157" spans="2:18" x14ac:dyDescent="0.2">
      <c r="B157" s="15"/>
      <c r="C157" s="15"/>
      <c r="D157" s="15"/>
      <c r="E157" s="15"/>
      <c r="F157" s="15"/>
      <c r="R157">
        <f>'POTENCIAL HORAS'!C79</f>
        <v>0</v>
      </c>
    </row>
    <row r="158" spans="2:18" x14ac:dyDescent="0.2">
      <c r="B158" s="15"/>
      <c r="C158" s="15"/>
      <c r="D158" s="15"/>
      <c r="E158" s="15"/>
      <c r="F158" s="15"/>
      <c r="R158">
        <f>'POTENCIAL HORAS'!C80</f>
        <v>0</v>
      </c>
    </row>
    <row r="159" spans="2:18" x14ac:dyDescent="0.2">
      <c r="B159" s="15"/>
      <c r="C159" s="15"/>
      <c r="D159" s="15"/>
      <c r="E159" s="15"/>
      <c r="F159" s="15"/>
      <c r="R159" t="str">
        <f>'POTENCIAL HORAS'!C81</f>
        <v>ADAN BARRIOS BARON</v>
      </c>
    </row>
    <row r="160" spans="2:18" x14ac:dyDescent="0.2">
      <c r="B160" s="15"/>
      <c r="C160" s="15"/>
      <c r="D160" s="15"/>
      <c r="E160" s="15"/>
      <c r="F160" s="15"/>
      <c r="R160" t="e">
        <f>'POTENCIAL HORAS'!#REF!</f>
        <v>#REF!</v>
      </c>
    </row>
    <row r="161" spans="18:18" x14ac:dyDescent="0.2">
      <c r="R161" t="str">
        <f>'POTENCIAL HORAS'!C84</f>
        <v>ALBEIRO ERAZO</v>
      </c>
    </row>
    <row r="162" spans="18:18" x14ac:dyDescent="0.2">
      <c r="R162" t="str">
        <f>'POTENCIAL HORAS'!C85</f>
        <v>ALBERTO ELVIS ARENAS ESPITIA</v>
      </c>
    </row>
    <row r="163" spans="18:18" x14ac:dyDescent="0.2">
      <c r="R163" t="e">
        <f>'POTENCIAL HORAS'!#REF!</f>
        <v>#REF!</v>
      </c>
    </row>
    <row r="164" spans="18:18" x14ac:dyDescent="0.2">
      <c r="R164" t="e">
        <f>'POTENCIAL HORAS'!#REF!</f>
        <v>#REF!</v>
      </c>
    </row>
    <row r="165" spans="18:18" x14ac:dyDescent="0.2">
      <c r="R165" t="str">
        <f>'POTENCIAL HORAS'!C86</f>
        <v xml:space="preserve">ALBERTO LONDOÑO BERMUDEZ </v>
      </c>
    </row>
    <row r="166" spans="18:18" x14ac:dyDescent="0.2">
      <c r="R166" t="str">
        <f>'POTENCIAL HORAS'!C87</f>
        <v>ALCIDES DAVID  MONTALVO PATERNINA</v>
      </c>
    </row>
    <row r="167" spans="18:18" x14ac:dyDescent="0.2">
      <c r="R167" t="str">
        <f>'POTENCIAL HORAS'!C88</f>
        <v xml:space="preserve">ALCIDES GONZALEZ ARIAS </v>
      </c>
    </row>
    <row r="168" spans="18:18" x14ac:dyDescent="0.2">
      <c r="R168" t="e">
        <f>'POTENCIAL HORAS'!#REF!</f>
        <v>#REF!</v>
      </c>
    </row>
    <row r="169" spans="18:18" x14ac:dyDescent="0.2">
      <c r="R169" t="str">
        <f>'POTENCIAL HORAS'!C89</f>
        <v>ALDO ROJAS</v>
      </c>
    </row>
    <row r="170" spans="18:18" x14ac:dyDescent="0.2">
      <c r="R170" t="e">
        <f>'POTENCIAL HORAS'!#REF!</f>
        <v>#REF!</v>
      </c>
    </row>
    <row r="171" spans="18:18" x14ac:dyDescent="0.2">
      <c r="R171" t="str">
        <f>'POTENCIAL HORAS'!C90</f>
        <v>ALEJANDRO JIMENEZ</v>
      </c>
    </row>
    <row r="172" spans="18:18" x14ac:dyDescent="0.2">
      <c r="R172" t="str">
        <f>'POTENCIAL HORAS'!C91</f>
        <v xml:space="preserve">ALEJANDRO RAFAEL GAMEZ SERNA </v>
      </c>
    </row>
    <row r="173" spans="18:18" x14ac:dyDescent="0.2">
      <c r="R173" t="e">
        <f>'POTENCIAL HORAS'!#REF!</f>
        <v>#REF!</v>
      </c>
    </row>
    <row r="174" spans="18:18" x14ac:dyDescent="0.2">
      <c r="R174" t="str">
        <f>'POTENCIAL HORAS'!C92</f>
        <v xml:space="preserve">ALEX DAVID BARRANCO GÓMEZ </v>
      </c>
    </row>
    <row r="175" spans="18:18" x14ac:dyDescent="0.2">
      <c r="R175" t="str">
        <f>'POTENCIAL HORAS'!C93</f>
        <v>ALEXANDER MERCADO RAMIREZ</v>
      </c>
    </row>
    <row r="176" spans="18:18" x14ac:dyDescent="0.2">
      <c r="R176" t="str">
        <f>'POTENCIAL HORAS'!C94</f>
        <v>ALEXANDER RAFAEL ROJANO POLO</v>
      </c>
    </row>
    <row r="177" spans="18:18" x14ac:dyDescent="0.2">
      <c r="R177" t="str">
        <f>'POTENCIAL HORAS'!C96</f>
        <v>ALFREDO MARIO DE LA ROSA PAREJO</v>
      </c>
    </row>
    <row r="178" spans="18:18" x14ac:dyDescent="0.2">
      <c r="R178" t="str">
        <f>'POTENCIAL HORAS'!C97</f>
        <v>ALFREDO SARMIENTO</v>
      </c>
    </row>
    <row r="179" spans="18:18" x14ac:dyDescent="0.2">
      <c r="R179" t="e">
        <f>'POTENCIAL HORAS'!#REF!</f>
        <v>#REF!</v>
      </c>
    </row>
    <row r="180" spans="18:18" x14ac:dyDescent="0.2">
      <c r="R180" t="e">
        <f>'POTENCIAL HORAS'!#REF!</f>
        <v>#REF!</v>
      </c>
    </row>
    <row r="181" spans="18:18" x14ac:dyDescent="0.2">
      <c r="R181" t="str">
        <f>'POTENCIAL HORAS'!C99</f>
        <v>ALVARO LEONES</v>
      </c>
    </row>
    <row r="182" spans="18:18" x14ac:dyDescent="0.2">
      <c r="R182" t="e">
        <f>'POTENCIAL HORAS'!#REF!</f>
        <v>#REF!</v>
      </c>
    </row>
    <row r="183" spans="18:18" x14ac:dyDescent="0.2">
      <c r="R183" t="e">
        <f>'POTENCIAL HORAS'!#REF!</f>
        <v>#REF!</v>
      </c>
    </row>
    <row r="184" spans="18:18" x14ac:dyDescent="0.2">
      <c r="R184" t="str">
        <f>'POTENCIAL HORAS'!C100</f>
        <v>ALVARO SALAS INFANTE</v>
      </c>
    </row>
    <row r="185" spans="18:18" x14ac:dyDescent="0.2">
      <c r="R185" t="str">
        <f>'POTENCIAL HORAS'!C101</f>
        <v xml:space="preserve">ANA MARÍA GARCÍA SÁNCHEZ </v>
      </c>
    </row>
    <row r="186" spans="18:18" x14ac:dyDescent="0.2">
      <c r="R186" t="str">
        <f>'POTENCIAL HORAS'!C102</f>
        <v>ANA SOFIA ROCHA IGUARAN</v>
      </c>
    </row>
    <row r="187" spans="18:18" x14ac:dyDescent="0.2">
      <c r="R187" t="str">
        <f>'POTENCIAL HORAS'!C103</f>
        <v>ANDERSSON ANTONIO OLIVO CANTILLO</v>
      </c>
    </row>
    <row r="188" spans="18:18" x14ac:dyDescent="0.2">
      <c r="R188" t="e">
        <f>'POTENCIAL HORAS'!#REF!</f>
        <v>#REF!</v>
      </c>
    </row>
    <row r="189" spans="18:18" x14ac:dyDescent="0.2">
      <c r="R189" t="e">
        <f>'POTENCIAL HORAS'!#REF!</f>
        <v>#REF!</v>
      </c>
    </row>
    <row r="190" spans="18:18" x14ac:dyDescent="0.2">
      <c r="R190" t="str">
        <f>'POTENCIAL HORAS'!C104</f>
        <v>ANGELICA AMPARO RAMOS BOLAÑOS</v>
      </c>
    </row>
    <row r="191" spans="18:18" x14ac:dyDescent="0.2">
      <c r="R191" t="str">
        <f>'POTENCIAL HORAS'!C107</f>
        <v>ARCENIO MANUEL   PUERTA RODRÍGUEZ</v>
      </c>
    </row>
    <row r="192" spans="18:18" x14ac:dyDescent="0.2">
      <c r="R192" t="str">
        <f>'POTENCIAL HORAS'!C108</f>
        <v>ASTRIID DEL CARMEN NADER ROMANOS</v>
      </c>
    </row>
    <row r="193" spans="18:18" x14ac:dyDescent="0.2">
      <c r="R193" t="str">
        <f>'POTENCIAL HORAS'!C109</f>
        <v>AURA PATRICIA OJEDA POLO</v>
      </c>
    </row>
    <row r="194" spans="18:18" x14ac:dyDescent="0.2">
      <c r="R194" t="e">
        <f>'POTENCIAL HORAS'!#REF!</f>
        <v>#REF!</v>
      </c>
    </row>
    <row r="195" spans="18:18" x14ac:dyDescent="0.2">
      <c r="R195" t="e">
        <f>'POTENCIAL HORAS'!#REF!</f>
        <v>#REF!</v>
      </c>
    </row>
    <row r="196" spans="18:18" x14ac:dyDescent="0.2">
      <c r="R196" t="e">
        <f>'POTENCIAL HORAS'!#REF!</f>
        <v>#REF!</v>
      </c>
    </row>
    <row r="197" spans="18:18" x14ac:dyDescent="0.2">
      <c r="R197" t="e">
        <f>'POTENCIAL HORAS'!#REF!</f>
        <v>#REF!</v>
      </c>
    </row>
    <row r="198" spans="18:18" x14ac:dyDescent="0.2">
      <c r="R198" t="e">
        <f>'POTENCIAL HORAS'!#REF!</f>
        <v>#REF!</v>
      </c>
    </row>
    <row r="199" spans="18:18" x14ac:dyDescent="0.2">
      <c r="R199" t="str">
        <f>'POTENCIAL HORAS'!C110</f>
        <v xml:space="preserve">BELEMIR BLANCO BARBOSA </v>
      </c>
    </row>
    <row r="200" spans="18:18" x14ac:dyDescent="0.2">
      <c r="R200" t="e">
        <f>'POTENCIAL HORAS'!#REF!</f>
        <v>#REF!</v>
      </c>
    </row>
    <row r="201" spans="18:18" x14ac:dyDescent="0.2">
      <c r="R201" t="e">
        <f>'POTENCIAL HORAS'!#REF!</f>
        <v>#REF!</v>
      </c>
    </row>
    <row r="202" spans="18:18" x14ac:dyDescent="0.2">
      <c r="R202" t="str">
        <f>'POTENCIAL HORAS'!C274</f>
        <v>MARTHA ROSA GARCIA  ETICA 1 - 100 MIL</v>
      </c>
    </row>
    <row r="203" spans="18:18" x14ac:dyDescent="0.2">
      <c r="R203" t="e">
        <f>'POTENCIAL HORAS'!#REF!</f>
        <v>#REF!</v>
      </c>
    </row>
    <row r="204" spans="18:18" x14ac:dyDescent="0.2">
      <c r="R204" t="str">
        <f>'POTENCIAL HORAS'!C276</f>
        <v xml:space="preserve">MIGUEL ANGEL PEÑALOZA ORTEGA </v>
      </c>
    </row>
    <row r="205" spans="18:18" x14ac:dyDescent="0.2">
      <c r="R205" t="e">
        <f>'POTENCIAL HORAS'!#REF!</f>
        <v>#REF!</v>
      </c>
    </row>
    <row r="206" spans="18:18" x14ac:dyDescent="0.2">
      <c r="R206" t="e">
        <f>'POTENCIAL HORAS'!#REF!</f>
        <v>#REF!</v>
      </c>
    </row>
    <row r="207" spans="18:18" x14ac:dyDescent="0.2">
      <c r="R207" t="e">
        <f>'POTENCIAL HORAS'!#REF!</f>
        <v>#REF!</v>
      </c>
    </row>
    <row r="208" spans="18:18" x14ac:dyDescent="0.2">
      <c r="R208" t="str">
        <f>'POTENCIAL HORAS'!C278</f>
        <v>MIGUEL PAREDES MAESTRE</v>
      </c>
    </row>
    <row r="209" spans="18:18" x14ac:dyDescent="0.2">
      <c r="R209" t="e">
        <f>'POTENCIAL HORAS'!#REF!</f>
        <v>#REF!</v>
      </c>
    </row>
    <row r="210" spans="18:18" x14ac:dyDescent="0.2">
      <c r="R210" t="str">
        <f>'POTENCIAL HORAS'!C280</f>
        <v>MIRIAN OSORIO GARIZABAL</v>
      </c>
    </row>
    <row r="211" spans="18:18" x14ac:dyDescent="0.2">
      <c r="R211" t="str">
        <f>'POTENCIAL HORAS'!C281</f>
        <v>MONICA MARIA BUCHARD DE LA HOZ</v>
      </c>
    </row>
    <row r="212" spans="18:18" x14ac:dyDescent="0.2">
      <c r="R212" t="str">
        <f>'POTENCIAL HORAS'!C282</f>
        <v>NELSON COBA FERNANDEZ</v>
      </c>
    </row>
    <row r="213" spans="18:18" x14ac:dyDescent="0.2">
      <c r="R213" t="e">
        <f>'POTENCIAL HORAS'!#REF!</f>
        <v>#REF!</v>
      </c>
    </row>
    <row r="214" spans="18:18" x14ac:dyDescent="0.2">
      <c r="R214" t="str">
        <f>'POTENCIAL HORAS'!C284</f>
        <v xml:space="preserve">NINA PAOLA DE  LA CRUZ SANDOVAL </v>
      </c>
    </row>
    <row r="215" spans="18:18" x14ac:dyDescent="0.2">
      <c r="R215" t="str">
        <f>'POTENCIAL HORAS'!C287</f>
        <v>NOHORA ISABEL  PUENTES LOPEZ</v>
      </c>
    </row>
    <row r="216" spans="18:18" x14ac:dyDescent="0.2">
      <c r="R216" t="e">
        <f>'POTENCIAL HORAS'!#REF!</f>
        <v>#REF!</v>
      </c>
    </row>
    <row r="217" spans="18:18" x14ac:dyDescent="0.2">
      <c r="R217" t="str">
        <f>'POTENCIAL HORAS'!C288</f>
        <v>NORLY DE JESUS CALVO ARCHBOLD</v>
      </c>
    </row>
    <row r="218" spans="18:18" x14ac:dyDescent="0.2">
      <c r="R218" t="str">
        <f>'POTENCIAL HORAS'!C289</f>
        <v xml:space="preserve">NORYS MILENA ORTIZ SALAZAR </v>
      </c>
    </row>
    <row r="219" spans="18:18" x14ac:dyDescent="0.2">
      <c r="R219" t="str">
        <f>'POTENCIAL HORAS'!C291</f>
        <v>ORLANDO JESUS PEREZ PATIÑO</v>
      </c>
    </row>
    <row r="220" spans="18:18" x14ac:dyDescent="0.2">
      <c r="R220" t="str">
        <f>'POTENCIAL HORAS'!C292</f>
        <v>OSVALDO MANUEL TUIRAN MIRANDA</v>
      </c>
    </row>
    <row r="221" spans="18:18" x14ac:dyDescent="0.2">
      <c r="R221" t="str">
        <f>'POTENCIAL HORAS'!C293</f>
        <v>PAOLA MERCEDES PEDROZA CAMARGO</v>
      </c>
    </row>
    <row r="222" spans="18:18" x14ac:dyDescent="0.2">
      <c r="R222" t="str">
        <f>'POTENCIAL HORAS'!C294</f>
        <v xml:space="preserve">PAOLA PATRICIA MAESTRE BUJATO </v>
      </c>
    </row>
    <row r="223" spans="18:18" x14ac:dyDescent="0.2">
      <c r="R223" t="str">
        <f>'POTENCIAL HORAS'!C295</f>
        <v xml:space="preserve">PATRICIA ELENA MENDOZA SALAZAR  </v>
      </c>
    </row>
    <row r="224" spans="18:18" x14ac:dyDescent="0.2">
      <c r="R224" t="e">
        <f>'POTENCIAL HORAS'!#REF!</f>
        <v>#REF!</v>
      </c>
    </row>
    <row r="225" spans="18:18" x14ac:dyDescent="0.2">
      <c r="R225" t="e">
        <f>'POTENCIAL HORAS'!#REF!</f>
        <v>#REF!</v>
      </c>
    </row>
    <row r="226" spans="18:18" x14ac:dyDescent="0.2">
      <c r="R226" t="str">
        <f>'POTENCIAL HORAS'!C304</f>
        <v>ROBERTO BENAVIDES EMPRENDIMIENTO</v>
      </c>
    </row>
    <row r="227" spans="18:18" x14ac:dyDescent="0.2">
      <c r="R227" t="e">
        <f>'POTENCIAL HORAS'!#REF!</f>
        <v>#REF!</v>
      </c>
    </row>
    <row r="228" spans="18:18" x14ac:dyDescent="0.2">
      <c r="R228" t="e">
        <f>'POTENCIAL HORAS'!#REF!</f>
        <v>#REF!</v>
      </c>
    </row>
    <row r="229" spans="18:18" x14ac:dyDescent="0.2">
      <c r="R229" t="e">
        <f>'POTENCIAL HORAS'!#REF!</f>
        <v>#REF!</v>
      </c>
    </row>
    <row r="230" spans="18:18" x14ac:dyDescent="0.2">
      <c r="R230" t="str">
        <f>'POTENCIAL HORAS'!C305</f>
        <v xml:space="preserve">ROBERTO DE JESÚS RODRÍGUEZ VANEGAS </v>
      </c>
    </row>
    <row r="231" spans="18:18" x14ac:dyDescent="0.2">
      <c r="R231" t="str">
        <f>'POTENCIAL HORAS'!C306</f>
        <v>ROBERTO MARQUEZ MARQUEZ</v>
      </c>
    </row>
    <row r="232" spans="18:18" x14ac:dyDescent="0.2">
      <c r="R232" t="e">
        <f>'POTENCIAL HORAS'!#REF!</f>
        <v>#REF!</v>
      </c>
    </row>
    <row r="233" spans="18:18" x14ac:dyDescent="0.2">
      <c r="R233" t="str">
        <f>'POTENCIAL HORAS'!C308</f>
        <v>RODOLFO DE JESUS NUÑEZ CAMPO</v>
      </c>
    </row>
    <row r="234" spans="18:18" x14ac:dyDescent="0.2">
      <c r="R234" t="str">
        <f>'POTENCIAL HORAS'!C309</f>
        <v>ROLANDO PEREZ</v>
      </c>
    </row>
    <row r="235" spans="18:18" x14ac:dyDescent="0.2">
      <c r="R235" t="str">
        <f>'POTENCIAL HORAS'!C310</f>
        <v>RONALD ANDRES GUTIERREZ ACOSTA</v>
      </c>
    </row>
    <row r="236" spans="18:18" x14ac:dyDescent="0.2">
      <c r="R236" t="str">
        <f>'POTENCIAL HORAS'!C312</f>
        <v>ROSIRIS DE LA TORRE</v>
      </c>
    </row>
    <row r="237" spans="18:18" x14ac:dyDescent="0.2">
      <c r="R237" t="e">
        <f>'POTENCIAL HORAS'!#REF!</f>
        <v>#REF!</v>
      </c>
    </row>
    <row r="238" spans="18:18" x14ac:dyDescent="0.2">
      <c r="R238" t="e">
        <f>'POTENCIAL HORAS'!#REF!</f>
        <v>#REF!</v>
      </c>
    </row>
    <row r="239" spans="18:18" x14ac:dyDescent="0.2">
      <c r="R239" t="str">
        <f>'POTENCIAL HORAS'!C313</f>
        <v>ROY CANEDO QUINTERO</v>
      </c>
    </row>
    <row r="240" spans="18:18" x14ac:dyDescent="0.2">
      <c r="R240" t="e">
        <f>'POTENCIAL HORAS'!#REF!</f>
        <v>#REF!</v>
      </c>
    </row>
    <row r="241" spans="18:18" x14ac:dyDescent="0.2">
      <c r="R241" t="e">
        <f>'POTENCIAL HORAS'!#REF!</f>
        <v>#REF!</v>
      </c>
    </row>
    <row r="242" spans="18:18" x14ac:dyDescent="0.2">
      <c r="R242" t="str">
        <f>'POTENCIAL HORAS'!C314</f>
        <v>RUBEN DARIO YANCE</v>
      </c>
    </row>
    <row r="243" spans="18:18" x14ac:dyDescent="0.2">
      <c r="R243" t="e">
        <f>'POTENCIAL HORAS'!#REF!</f>
        <v>#REF!</v>
      </c>
    </row>
    <row r="244" spans="18:18" x14ac:dyDescent="0.2">
      <c r="R244" t="str">
        <f>'POTENCIAL HORAS'!C316</f>
        <v>SANDRA SIERRA</v>
      </c>
    </row>
    <row r="245" spans="18:18" x14ac:dyDescent="0.2">
      <c r="R245" t="str">
        <f>'POTENCIAL HORAS'!C317</f>
        <v xml:space="preserve">SANTANDER ALFONSO OLIVERO  MARQUEZ </v>
      </c>
    </row>
    <row r="246" spans="18:18" x14ac:dyDescent="0.2">
      <c r="R246" t="str">
        <f>'POTENCIAL HORAS'!C318</f>
        <v>SERGIO ALFONSO MEJIA GIL</v>
      </c>
    </row>
    <row r="247" spans="18:18" x14ac:dyDescent="0.2">
      <c r="R247" t="e">
        <f>'POTENCIAL HORAS'!#REF!</f>
        <v>#REF!</v>
      </c>
    </row>
    <row r="248" spans="18:18" x14ac:dyDescent="0.2">
      <c r="R248" t="e">
        <f>'POTENCIAL HORAS'!#REF!</f>
        <v>#REF!</v>
      </c>
    </row>
    <row r="249" spans="18:18" x14ac:dyDescent="0.2">
      <c r="R249" t="str">
        <f>'POTENCIAL HORAS'!C320</f>
        <v>STIVENSON GARCIA</v>
      </c>
    </row>
    <row r="250" spans="18:18" x14ac:dyDescent="0.2">
      <c r="R250" t="str">
        <f>'POTENCIAL HORAS'!C321</f>
        <v>TERESA DE JESUS RODRIGUEZ ROMERO</v>
      </c>
    </row>
    <row r="251" spans="18:18" x14ac:dyDescent="0.2">
      <c r="R251" t="e">
        <f>'POTENCIAL HORAS'!#REF!</f>
        <v>#REF!</v>
      </c>
    </row>
    <row r="252" spans="18:18" x14ac:dyDescent="0.2">
      <c r="R252" t="str">
        <f>'POTENCIAL HORAS'!C322</f>
        <v xml:space="preserve">TOMAS BRU VILLA </v>
      </c>
    </row>
    <row r="253" spans="18:18" x14ac:dyDescent="0.2">
      <c r="R253" t="str">
        <f>'POTENCIAL HORAS'!C323</f>
        <v>VANESSA OSUNA</v>
      </c>
    </row>
    <row r="254" spans="18:18" x14ac:dyDescent="0.2">
      <c r="R254" t="str">
        <f>'POTENCIAL HORAS'!C325</f>
        <v>VICTOR MANUEL DE LIMA VARGAS</v>
      </c>
    </row>
    <row r="255" spans="18:18" x14ac:dyDescent="0.2">
      <c r="R255" t="str">
        <f>'POTENCIAL HORAS'!C326</f>
        <v xml:space="preserve">VICTOR NARAIREA M. </v>
      </c>
    </row>
    <row r="256" spans="18:18" x14ac:dyDescent="0.2">
      <c r="R256" t="e">
        <f>'POTENCIAL HORAS'!#REF!</f>
        <v>#REF!</v>
      </c>
    </row>
    <row r="257" spans="18:18" x14ac:dyDescent="0.2">
      <c r="R257" t="e">
        <f>'POTENCIAL HORAS'!#REF!</f>
        <v>#REF!</v>
      </c>
    </row>
    <row r="258" spans="18:18" x14ac:dyDescent="0.2">
      <c r="R258" t="e">
        <f>'POTENCIAL HORAS'!#REF!</f>
        <v>#REF!</v>
      </c>
    </row>
    <row r="259" spans="18:18" x14ac:dyDescent="0.2">
      <c r="R259" t="str">
        <f>'POTENCIAL HORAS'!C327</f>
        <v>VICTOR OROZCO CAICEDO</v>
      </c>
    </row>
    <row r="260" spans="18:18" x14ac:dyDescent="0.2">
      <c r="R260" t="str">
        <f>'POTENCIAL HORAS'!C329</f>
        <v>WALTER EDINSON GUETTE EMPRENDIMIENTO</v>
      </c>
    </row>
    <row r="261" spans="18:18" x14ac:dyDescent="0.2">
      <c r="R261" t="str">
        <f>'POTENCIAL HORAS'!C330</f>
        <v>WENDY ANDRADE SEGUIMIENTO</v>
      </c>
    </row>
    <row r="262" spans="18:18" x14ac:dyDescent="0.2">
      <c r="R262" t="e">
        <f>'POTENCIAL HORAS'!#REF!</f>
        <v>#REF!</v>
      </c>
    </row>
    <row r="263" spans="18:18" x14ac:dyDescent="0.2">
      <c r="R263" t="e">
        <f>'POTENCIAL HORAS'!#REF!</f>
        <v>#REF!</v>
      </c>
    </row>
    <row r="264" spans="18:18" x14ac:dyDescent="0.2">
      <c r="R264" t="e">
        <f>'POTENCIAL HORAS'!#REF!</f>
        <v>#REF!</v>
      </c>
    </row>
    <row r="265" spans="18:18" x14ac:dyDescent="0.2">
      <c r="R265" t="e">
        <f>'POTENCIAL HORAS'!#REF!</f>
        <v>#REF!</v>
      </c>
    </row>
    <row r="266" spans="18:18" x14ac:dyDescent="0.2">
      <c r="R266" t="str">
        <f>'POTENCIAL HORAS'!C331</f>
        <v xml:space="preserve">WENDY BARRIOS </v>
      </c>
    </row>
    <row r="267" spans="18:18" x14ac:dyDescent="0.2">
      <c r="R267" t="str">
        <f>'POTENCIAL HORAS'!C337</f>
        <v>YENNY MOISES VILLA</v>
      </c>
    </row>
    <row r="268" spans="18:18" x14ac:dyDescent="0.2">
      <c r="R268" t="e">
        <f>'POTENCIAL HORAS'!#REF!</f>
        <v>#REF!</v>
      </c>
    </row>
    <row r="269" spans="18:18" x14ac:dyDescent="0.2">
      <c r="R269" t="e">
        <f>'POTENCIAL HORAS'!#REF!</f>
        <v>#REF!</v>
      </c>
    </row>
    <row r="270" spans="18:18" x14ac:dyDescent="0.2">
      <c r="R270" t="e">
        <f>'POTENCIAL HORAS'!#REF!</f>
        <v>#REF!</v>
      </c>
    </row>
    <row r="271" spans="18:18" x14ac:dyDescent="0.2">
      <c r="R271" t="e">
        <f>'POTENCIAL HORAS'!#REF!</f>
        <v>#REF!</v>
      </c>
    </row>
    <row r="272" spans="18:18" x14ac:dyDescent="0.2">
      <c r="R272" t="e">
        <f>'POTENCIAL HORAS'!#REF!</f>
        <v>#REF!</v>
      </c>
    </row>
    <row r="273" spans="18:18" x14ac:dyDescent="0.2">
      <c r="R273" t="e">
        <f>'POTENCIAL HORAS'!#REF!</f>
        <v>#REF!</v>
      </c>
    </row>
    <row r="274" spans="18:18" x14ac:dyDescent="0.2">
      <c r="R274" t="e">
        <f>'POTENCIAL HORAS'!#REF!</f>
        <v>#REF!</v>
      </c>
    </row>
    <row r="275" spans="18:18" x14ac:dyDescent="0.2">
      <c r="R275" t="e">
        <f>'POTENCIAL HORAS'!#REF!</f>
        <v>#REF!</v>
      </c>
    </row>
    <row r="276" spans="18:18" x14ac:dyDescent="0.2">
      <c r="R276" t="e">
        <f>'POTENCIAL HORAS'!#REF!</f>
        <v>#REF!</v>
      </c>
    </row>
    <row r="277" spans="18:18" x14ac:dyDescent="0.2">
      <c r="R277" t="e">
        <f>'POTENCIAL HORAS'!#REF!</f>
        <v>#REF!</v>
      </c>
    </row>
    <row r="278" spans="18:18" x14ac:dyDescent="0.2">
      <c r="R278" t="e">
        <f>'POTENCIAL HORAS'!#REF!</f>
        <v>#REF!</v>
      </c>
    </row>
    <row r="279" spans="18:18" x14ac:dyDescent="0.2">
      <c r="R279" t="e">
        <f>'POTENCIAL HORAS'!#REF!</f>
        <v>#REF!</v>
      </c>
    </row>
    <row r="280" spans="18:18" x14ac:dyDescent="0.2">
      <c r="R280" t="e">
        <f>'POTENCIAL HORAS'!#REF!</f>
        <v>#REF!</v>
      </c>
    </row>
    <row r="281" spans="18:18" x14ac:dyDescent="0.2">
      <c r="R281" t="e">
        <f>'POTENCIAL HORAS'!#REF!</f>
        <v>#REF!</v>
      </c>
    </row>
    <row r="282" spans="18:18" x14ac:dyDescent="0.2">
      <c r="R282" t="e">
        <f>'POTENCIAL HORAS'!#REF!</f>
        <v>#REF!</v>
      </c>
    </row>
    <row r="283" spans="18:18" x14ac:dyDescent="0.2">
      <c r="R283" t="e">
        <f>'POTENCIAL HORAS'!#REF!</f>
        <v>#REF!</v>
      </c>
    </row>
    <row r="284" spans="18:18" x14ac:dyDescent="0.2">
      <c r="R284" t="e">
        <f>'POTENCIAL HORAS'!#REF!</f>
        <v>#REF!</v>
      </c>
    </row>
    <row r="285" spans="18:18" x14ac:dyDescent="0.2">
      <c r="R285" t="e">
        <f>'POTENCIAL HORAS'!#REF!</f>
        <v>#REF!</v>
      </c>
    </row>
    <row r="286" spans="18:18" x14ac:dyDescent="0.2">
      <c r="R286" t="e">
        <f>'POTENCIAL HORAS'!#REF!</f>
        <v>#REF!</v>
      </c>
    </row>
    <row r="287" spans="18:18" x14ac:dyDescent="0.2">
      <c r="R287" t="e">
        <f>'POTENCIAL HORAS'!#REF!</f>
        <v>#REF!</v>
      </c>
    </row>
    <row r="288" spans="18:18" x14ac:dyDescent="0.2">
      <c r="R288" t="e">
        <f>'POTENCIAL HORAS'!#REF!</f>
        <v>#REF!</v>
      </c>
    </row>
    <row r="289" spans="18:18" x14ac:dyDescent="0.2">
      <c r="R289" t="e">
        <f>'POTENCIAL HORAS'!#REF!</f>
        <v>#REF!</v>
      </c>
    </row>
    <row r="290" spans="18:18" x14ac:dyDescent="0.2">
      <c r="R290" t="e">
        <f>'POTENCIAL HORAS'!#REF!</f>
        <v>#REF!</v>
      </c>
    </row>
    <row r="291" spans="18:18" x14ac:dyDescent="0.2">
      <c r="R291" t="e">
        <f>'POTENCIAL HORAS'!#REF!</f>
        <v>#REF!</v>
      </c>
    </row>
    <row r="292" spans="18:18" x14ac:dyDescent="0.2">
      <c r="R292" t="e">
        <f>'POTENCIAL HORAS'!#REF!</f>
        <v>#REF!</v>
      </c>
    </row>
    <row r="293" spans="18:18" x14ac:dyDescent="0.2">
      <c r="R293" t="e">
        <f>'POTENCIAL HORAS'!#REF!</f>
        <v>#REF!</v>
      </c>
    </row>
    <row r="294" spans="18:18" x14ac:dyDescent="0.2">
      <c r="R294" t="e">
        <f>'POTENCIAL HORAS'!#REF!</f>
        <v>#REF!</v>
      </c>
    </row>
    <row r="295" spans="18:18" x14ac:dyDescent="0.2">
      <c r="R295" t="e">
        <f>'POTENCIAL HORAS'!#REF!</f>
        <v>#REF!</v>
      </c>
    </row>
    <row r="296" spans="18:18" x14ac:dyDescent="0.2">
      <c r="R296" t="e">
        <f>'POTENCIAL HORAS'!#REF!</f>
        <v>#REF!</v>
      </c>
    </row>
    <row r="297" spans="18:18" x14ac:dyDescent="0.2">
      <c r="R297" t="e">
        <f>'POTENCIAL HORAS'!#REF!</f>
        <v>#REF!</v>
      </c>
    </row>
    <row r="298" spans="18:18" x14ac:dyDescent="0.2">
      <c r="R298" t="e">
        <f>'POTENCIAL HORAS'!#REF!</f>
        <v>#REF!</v>
      </c>
    </row>
    <row r="299" spans="18:18" x14ac:dyDescent="0.2">
      <c r="R299" t="e">
        <f>'POTENCIAL HORAS'!#REF!</f>
        <v>#REF!</v>
      </c>
    </row>
    <row r="300" spans="18:18" x14ac:dyDescent="0.2">
      <c r="R300" t="e">
        <f>'POTENCIAL HORAS'!#REF!</f>
        <v>#REF!</v>
      </c>
    </row>
    <row r="301" spans="18:18" x14ac:dyDescent="0.2">
      <c r="R301" t="e">
        <f>'POTENCIAL HORAS'!#REF!</f>
        <v>#REF!</v>
      </c>
    </row>
    <row r="302" spans="18:18" x14ac:dyDescent="0.2">
      <c r="R302" t="e">
        <f>'POTENCIAL HORAS'!#REF!</f>
        <v>#REF!</v>
      </c>
    </row>
    <row r="303" spans="18:18" x14ac:dyDescent="0.2">
      <c r="R303" t="e">
        <f>'POTENCIAL HORAS'!#REF!</f>
        <v>#REF!</v>
      </c>
    </row>
    <row r="304" spans="18:18" x14ac:dyDescent="0.2">
      <c r="R304" t="e">
        <f>'POTENCIAL HORAS'!#REF!</f>
        <v>#REF!</v>
      </c>
    </row>
    <row r="305" spans="18:18" x14ac:dyDescent="0.2">
      <c r="R305" t="e">
        <f>'POTENCIAL HORAS'!#REF!</f>
        <v>#REF!</v>
      </c>
    </row>
    <row r="306" spans="18:18" x14ac:dyDescent="0.2">
      <c r="R306" t="e">
        <f>'POTENCIAL HORAS'!#REF!</f>
        <v>#REF!</v>
      </c>
    </row>
    <row r="307" spans="18:18" x14ac:dyDescent="0.2">
      <c r="R307" t="e">
        <f>'POTENCIAL HORAS'!#REF!</f>
        <v>#REF!</v>
      </c>
    </row>
    <row r="308" spans="18:18" x14ac:dyDescent="0.2">
      <c r="R308" t="e">
        <f>'POTENCIAL HORAS'!#REF!</f>
        <v>#REF!</v>
      </c>
    </row>
    <row r="309" spans="18:18" x14ac:dyDescent="0.2">
      <c r="R309" t="e">
        <f>'POTENCIAL HORAS'!#REF!</f>
        <v>#REF!</v>
      </c>
    </row>
    <row r="310" spans="18:18" x14ac:dyDescent="0.2">
      <c r="R310" t="e">
        <f>'POTENCIAL HORAS'!#REF!</f>
        <v>#REF!</v>
      </c>
    </row>
    <row r="311" spans="18:18" x14ac:dyDescent="0.2">
      <c r="R311" t="e">
        <f>'POTENCIAL HORAS'!#REF!</f>
        <v>#REF!</v>
      </c>
    </row>
    <row r="312" spans="18:18" x14ac:dyDescent="0.2">
      <c r="R312" t="e">
        <f>'POTENCIAL HORAS'!#REF!</f>
        <v>#REF!</v>
      </c>
    </row>
    <row r="313" spans="18:18" x14ac:dyDescent="0.2">
      <c r="R313" t="e">
        <f>'POTENCIAL HORAS'!#REF!</f>
        <v>#REF!</v>
      </c>
    </row>
    <row r="314" spans="18:18" x14ac:dyDescent="0.2">
      <c r="R314" t="e">
        <f>'POTENCIAL HORAS'!#REF!</f>
        <v>#REF!</v>
      </c>
    </row>
    <row r="315" spans="18:18" x14ac:dyDescent="0.2">
      <c r="R315" t="e">
        <f>'POTENCIAL HORAS'!#REF!</f>
        <v>#REF!</v>
      </c>
    </row>
    <row r="316" spans="18:18" x14ac:dyDescent="0.2">
      <c r="R316" t="e">
        <f>'POTENCIAL HORAS'!#REF!</f>
        <v>#REF!</v>
      </c>
    </row>
    <row r="317" spans="18:18" x14ac:dyDescent="0.2">
      <c r="R317" t="e">
        <f>'POTENCIAL HORAS'!#REF!</f>
        <v>#REF!</v>
      </c>
    </row>
    <row r="318" spans="18:18" x14ac:dyDescent="0.2">
      <c r="R318" t="e">
        <f>'POTENCIAL HORAS'!#REF!</f>
        <v>#REF!</v>
      </c>
    </row>
    <row r="319" spans="18:18" x14ac:dyDescent="0.2">
      <c r="R319" t="e">
        <f>'POTENCIAL HORAS'!#REF!</f>
        <v>#REF!</v>
      </c>
    </row>
    <row r="320" spans="18:18" x14ac:dyDescent="0.2">
      <c r="R320" t="e">
        <f>'POTENCIAL HORAS'!#REF!</f>
        <v>#REF!</v>
      </c>
    </row>
    <row r="321" spans="18:18" x14ac:dyDescent="0.2">
      <c r="R321" t="e">
        <f>'POTENCIAL HORAS'!#REF!</f>
        <v>#REF!</v>
      </c>
    </row>
    <row r="322" spans="18:18" x14ac:dyDescent="0.2">
      <c r="R322" t="e">
        <f>'POTENCIAL HORAS'!#REF!</f>
        <v>#REF!</v>
      </c>
    </row>
    <row r="323" spans="18:18" x14ac:dyDescent="0.2">
      <c r="R323" t="e">
        <f>'POTENCIAL HORAS'!#REF!</f>
        <v>#REF!</v>
      </c>
    </row>
    <row r="324" spans="18:18" x14ac:dyDescent="0.2">
      <c r="R324" t="e">
        <f>'POTENCIAL HORAS'!#REF!</f>
        <v>#REF!</v>
      </c>
    </row>
    <row r="325" spans="18:18" x14ac:dyDescent="0.2">
      <c r="R325" t="e">
        <f>'POTENCIAL HORAS'!#REF!</f>
        <v>#REF!</v>
      </c>
    </row>
    <row r="326" spans="18:18" x14ac:dyDescent="0.2">
      <c r="R326" t="e">
        <f>'POTENCIAL HORAS'!#REF!</f>
        <v>#REF!</v>
      </c>
    </row>
    <row r="327" spans="18:18" x14ac:dyDescent="0.2">
      <c r="R327" t="e">
        <f>'POTENCIAL HORAS'!#REF!</f>
        <v>#REF!</v>
      </c>
    </row>
    <row r="328" spans="18:18" x14ac:dyDescent="0.2">
      <c r="R328" t="e">
        <f>'POTENCIAL HORAS'!#REF!</f>
        <v>#REF!</v>
      </c>
    </row>
    <row r="329" spans="18:18" x14ac:dyDescent="0.2">
      <c r="R329" t="e">
        <f>'POTENCIAL HORAS'!#REF!</f>
        <v>#REF!</v>
      </c>
    </row>
    <row r="330" spans="18:18" x14ac:dyDescent="0.2">
      <c r="R330" t="e">
        <f>'POTENCIAL HORAS'!#REF!</f>
        <v>#REF!</v>
      </c>
    </row>
    <row r="331" spans="18:18" x14ac:dyDescent="0.2">
      <c r="R331" t="e">
        <f>'POTENCIAL HORAS'!#REF!</f>
        <v>#REF!</v>
      </c>
    </row>
    <row r="332" spans="18:18" x14ac:dyDescent="0.2">
      <c r="R332" t="e">
        <f>'POTENCIAL HORAS'!#REF!</f>
        <v>#REF!</v>
      </c>
    </row>
    <row r="333" spans="18:18" x14ac:dyDescent="0.2">
      <c r="R333" t="e">
        <f>'POTENCIAL HORAS'!#REF!</f>
        <v>#REF!</v>
      </c>
    </row>
    <row r="334" spans="18:18" x14ac:dyDescent="0.2">
      <c r="R334" t="e">
        <f>'POTENCIAL HORAS'!#REF!</f>
        <v>#REF!</v>
      </c>
    </row>
    <row r="335" spans="18:18" x14ac:dyDescent="0.2">
      <c r="R335" t="e">
        <f>'POTENCIAL HORAS'!#REF!</f>
        <v>#REF!</v>
      </c>
    </row>
    <row r="336" spans="18:18" x14ac:dyDescent="0.2">
      <c r="R336" t="e">
        <f>'POTENCIAL HORAS'!#REF!</f>
        <v>#REF!</v>
      </c>
    </row>
    <row r="337" spans="18:18" x14ac:dyDescent="0.2">
      <c r="R337" t="e">
        <f>'POTENCIAL HORAS'!#REF!</f>
        <v>#REF!</v>
      </c>
    </row>
    <row r="338" spans="18:18" x14ac:dyDescent="0.2">
      <c r="R338" t="e">
        <f>'POTENCIAL HORAS'!#REF!</f>
        <v>#REF!</v>
      </c>
    </row>
    <row r="339" spans="18:18" x14ac:dyDescent="0.2">
      <c r="R339" t="e">
        <f>'POTENCIAL HORAS'!#REF!</f>
        <v>#REF!</v>
      </c>
    </row>
    <row r="340" spans="18:18" x14ac:dyDescent="0.2">
      <c r="R340" t="e">
        <f>'POTENCIAL HORAS'!#REF!</f>
        <v>#REF!</v>
      </c>
    </row>
    <row r="341" spans="18:18" x14ac:dyDescent="0.2">
      <c r="R341" t="e">
        <f>'POTENCIAL HORAS'!#REF!</f>
        <v>#REF!</v>
      </c>
    </row>
    <row r="342" spans="18:18" x14ac:dyDescent="0.2">
      <c r="R342" t="e">
        <f>'POTENCIAL HORAS'!#REF!</f>
        <v>#REF!</v>
      </c>
    </row>
    <row r="343" spans="18:18" x14ac:dyDescent="0.2">
      <c r="R343" t="e">
        <f>'POTENCIAL HORAS'!#REF!</f>
        <v>#REF!</v>
      </c>
    </row>
    <row r="344" spans="18:18" x14ac:dyDescent="0.2">
      <c r="R344" t="e">
        <f>'POTENCIAL HORAS'!#REF!</f>
        <v>#REF!</v>
      </c>
    </row>
    <row r="345" spans="18:18" x14ac:dyDescent="0.2">
      <c r="R345" t="e">
        <f>'POTENCIAL HORAS'!#REF!</f>
        <v>#REF!</v>
      </c>
    </row>
    <row r="346" spans="18:18" x14ac:dyDescent="0.2">
      <c r="R346" t="e">
        <f>'POTENCIAL HORAS'!#REF!</f>
        <v>#REF!</v>
      </c>
    </row>
    <row r="347" spans="18:18" x14ac:dyDescent="0.2">
      <c r="R347" t="e">
        <f>'POTENCIAL HORAS'!#REF!</f>
        <v>#REF!</v>
      </c>
    </row>
    <row r="348" spans="18:18" x14ac:dyDescent="0.2">
      <c r="R348" t="e">
        <f>'POTENCIAL HORAS'!#REF!</f>
        <v>#REF!</v>
      </c>
    </row>
    <row r="349" spans="18:18" x14ac:dyDescent="0.2">
      <c r="R349" t="e">
        <f>'POTENCIAL HORAS'!#REF!</f>
        <v>#REF!</v>
      </c>
    </row>
    <row r="350" spans="18:18" x14ac:dyDescent="0.2">
      <c r="R350" t="str">
        <f>'POTENCIAL HORAS'!C346</f>
        <v>Subtotal Contratistas</v>
      </c>
    </row>
    <row r="351" spans="18:18" x14ac:dyDescent="0.2">
      <c r="R351" t="e">
        <f>'POTENCIAL HORAS'!#REF!</f>
        <v>#REF!</v>
      </c>
    </row>
    <row r="352" spans="18:18" x14ac:dyDescent="0.2">
      <c r="R352">
        <f>'POTENCIAL HORAS'!C348</f>
        <v>0</v>
      </c>
    </row>
    <row r="353" spans="18:18" x14ac:dyDescent="0.2">
      <c r="R353">
        <f>'POTENCIAL HORAS'!C349</f>
        <v>0</v>
      </c>
    </row>
    <row r="354" spans="18:18" x14ac:dyDescent="0.2">
      <c r="R354">
        <f>'POTENCIAL HORAS'!C350</f>
        <v>0</v>
      </c>
    </row>
    <row r="355" spans="18:18" x14ac:dyDescent="0.2">
      <c r="R355">
        <f>'POTENCIAL HORAS'!C351</f>
        <v>0</v>
      </c>
    </row>
    <row r="356" spans="18:18" x14ac:dyDescent="0.2">
      <c r="R356">
        <f>'POTENCIAL HORAS'!C352</f>
        <v>0</v>
      </c>
    </row>
    <row r="357" spans="18:18" x14ac:dyDescent="0.2">
      <c r="R357">
        <f>'POTENCIAL HORAS'!C353</f>
        <v>0</v>
      </c>
    </row>
    <row r="358" spans="18:18" x14ac:dyDescent="0.2">
      <c r="R358">
        <f>'POTENCIAL HORAS'!C354</f>
        <v>0</v>
      </c>
    </row>
    <row r="359" spans="18:18" x14ac:dyDescent="0.2">
      <c r="R359">
        <f>'POTENCIAL HORAS'!C355</f>
        <v>0</v>
      </c>
    </row>
    <row r="360" spans="18:18" x14ac:dyDescent="0.2">
      <c r="R360">
        <f>'POTENCIAL HORAS'!C356</f>
        <v>0</v>
      </c>
    </row>
    <row r="361" spans="18:18" x14ac:dyDescent="0.2">
      <c r="R361">
        <f>'POTENCIAL HORAS'!C357</f>
        <v>0</v>
      </c>
    </row>
    <row r="362" spans="18:18" x14ac:dyDescent="0.2">
      <c r="R362">
        <f>'POTENCIAL HORAS'!C358</f>
        <v>0</v>
      </c>
    </row>
    <row r="363" spans="18:18" x14ac:dyDescent="0.2">
      <c r="R363">
        <f>'POTENCIAL HORAS'!C359</f>
        <v>0</v>
      </c>
    </row>
    <row r="364" spans="18:18" x14ac:dyDescent="0.2">
      <c r="R364">
        <f>'POTENCIAL HORAS'!C360</f>
        <v>0</v>
      </c>
    </row>
    <row r="365" spans="18:18" x14ac:dyDescent="0.2">
      <c r="R365">
        <f>'POTENCIAL HORAS'!C361</f>
        <v>0</v>
      </c>
    </row>
    <row r="366" spans="18:18" x14ac:dyDescent="0.2">
      <c r="R366">
        <f>'POTENCIAL HORAS'!C362</f>
        <v>0</v>
      </c>
    </row>
    <row r="367" spans="18:18" x14ac:dyDescent="0.2">
      <c r="R367">
        <f>'POTENCIAL HORAS'!C363</f>
        <v>0</v>
      </c>
    </row>
    <row r="368" spans="18:18" x14ac:dyDescent="0.2">
      <c r="R368">
        <f>'POTENCIAL HORAS'!C364</f>
        <v>0</v>
      </c>
    </row>
  </sheetData>
  <protectedRanges>
    <protectedRange sqref="B15" name="Rango2_5_1"/>
    <protectedRange sqref="B26 B17:B18 B20:B24" name="Rango2_5"/>
    <protectedRange sqref="B28" name="Rango2_2_6"/>
    <protectedRange sqref="B29" name="Rango2_8"/>
    <protectedRange sqref="B25" name="Rango2_1_1"/>
    <protectedRange sqref="B30" name="Rango2_3"/>
    <protectedRange sqref="B46" name="Rango2_1_1_2"/>
    <protectedRange sqref="B70" name="Rango2"/>
    <protectedRange sqref="B71" name="Rango2_6"/>
    <protectedRange sqref="B72" name="Rango2_7"/>
    <protectedRange sqref="B73" name="Rango2_9"/>
    <protectedRange sqref="B74" name="Rango2_1_3"/>
    <protectedRange sqref="B75" name="Rango2_1_4"/>
    <protectedRange sqref="B37" name="Rango2_3_2"/>
    <protectedRange sqref="B76" name="Rango2_3_3"/>
    <protectedRange sqref="B32" name="Rango2_3_5"/>
    <protectedRange sqref="B77" name="Rango2_5_2"/>
    <protectedRange sqref="B34" name="Rango2_5_3"/>
    <protectedRange sqref="B36" name="Rango2_5_4"/>
    <protectedRange sqref="B35" name="Rango2_1_1_3"/>
    <protectedRange sqref="B31" name="Rango2_2_5"/>
    <protectedRange sqref="B78" name="Rango2_2_2"/>
    <protectedRange sqref="B79" name="Rango2_2_8"/>
    <protectedRange sqref="B80" name="Rango2_2_10"/>
    <protectedRange sqref="B82" name="Rango2_2_12"/>
    <protectedRange sqref="B81" name="Rango2_4"/>
    <protectedRange sqref="B12" name="Rango2_4_2"/>
    <protectedRange sqref="B16" name="Rango2_2_13"/>
    <protectedRange sqref="B50" name="Rango2_2"/>
    <protectedRange sqref="B51" name="Rango2_2_1"/>
    <protectedRange sqref="B52" name="Rango2_2_3"/>
    <protectedRange sqref="B62" name="Rango2_2_4"/>
    <protectedRange sqref="B65" name="Rango2_2_7"/>
    <protectedRange sqref="B66" name="Rango2_2_9"/>
    <protectedRange sqref="B44" name="Rango2_3_1"/>
    <protectedRange sqref="B40" name="Rango2_1"/>
    <protectedRange sqref="B14" name="Rango2_5_5"/>
    <protectedRange sqref="G65 B63" name="Rango2_2_11"/>
    <protectedRange sqref="F62 B64" name="Rango2_2_14"/>
    <protectedRange sqref="F88" name="Rango2_2_15"/>
    <protectedRange sqref="F89" name="Rango2_2_16"/>
  </protectedRanges>
  <autoFilter ref="B10:D89"/>
  <sortState ref="B13:D59">
    <sortCondition ref="B12"/>
  </sortState>
  <mergeCells count="8">
    <mergeCell ref="B83:D83"/>
    <mergeCell ref="B69:D69"/>
    <mergeCell ref="B2:C2"/>
    <mergeCell ref="C6:D6"/>
    <mergeCell ref="C7:D7"/>
    <mergeCell ref="C5:D5"/>
    <mergeCell ref="B11:D11"/>
    <mergeCell ref="B45:D45"/>
  </mergeCells>
  <phoneticPr fontId="9" type="noConversion"/>
  <dataValidations count="4">
    <dataValidation type="list" allowBlank="1" showInputMessage="1" showErrorMessage="1" sqref="B68 B14:B15 B17:B18 B20:B24 B26:B29 B38:B44">
      <formula1>$R$93:$R$368</formula1>
    </dataValidation>
    <dataValidation type="list" allowBlank="1" showInputMessage="1" showErrorMessage="1" sqref="B67">
      <formula1>$R$93:$R$294</formula1>
    </dataValidation>
    <dataValidation type="list" allowBlank="1" showInputMessage="1" showErrorMessage="1" sqref="B33">
      <formula1>$R$93:$R$277</formula1>
    </dataValidation>
    <dataValidation type="list" allowBlank="1" showInputMessage="1" showErrorMessage="1" sqref="B84:B89">
      <formula1>$R$93:$R$341</formula1>
    </dataValidation>
  </dataValidations>
  <printOptions horizontalCentered="1"/>
  <pageMargins left="0.78740157480314965" right="0.78740157480314965" top="0.55118110236220474" bottom="0.98425196850393704" header="0" footer="0"/>
  <pageSetup scale="110" orientation="portrait" r:id="rId1"/>
  <headerFooter alignWithMargins="0"/>
  <customProperties>
    <customPr name="DVSECTIONID" r:id="rId2"/>
  </customProperties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/>
  <dimension ref="A1:IV434"/>
  <sheetViews>
    <sheetView workbookViewId="0">
      <selection activeCell="DE434" sqref="DE434"/>
    </sheetView>
  </sheetViews>
  <sheetFormatPr baseColWidth="10" defaultRowHeight="12.75" x14ac:dyDescent="0.2"/>
  <sheetData>
    <row r="1" spans="1:256" x14ac:dyDescent="0.2">
      <c r="A1">
        <f>IF('POTENCIAL HORAS'!1:1,"AAAAAD/3+QA=",0)</f>
        <v>0</v>
      </c>
      <c r="B1" t="e">
        <f>AND('POTENCIAL HORAS'!A1,"AAAAAD/3+QE=")</f>
        <v>#VALUE!</v>
      </c>
      <c r="C1" t="e">
        <f>AND('POTENCIAL HORAS'!B1,"AAAAAD/3+QI=")</f>
        <v>#VALUE!</v>
      </c>
      <c r="D1" t="e">
        <f>AND('POTENCIAL HORAS'!C1,"AAAAAD/3+QM=")</f>
        <v>#VALUE!</v>
      </c>
      <c r="E1" t="e">
        <f>AND('POTENCIAL HORAS'!D1,"AAAAAD/3+QQ=")</f>
        <v>#VALUE!</v>
      </c>
      <c r="F1" t="e">
        <f>AND('POTENCIAL HORAS'!E1,"AAAAAD/3+QU=")</f>
        <v>#VALUE!</v>
      </c>
      <c r="G1" t="e">
        <f>AND('POTENCIAL HORAS'!F1,"AAAAAD/3+QY=")</f>
        <v>#VALUE!</v>
      </c>
      <c r="H1" t="e">
        <f>AND('POTENCIAL HORAS'!G1,"AAAAAD/3+Qc=")</f>
        <v>#VALUE!</v>
      </c>
      <c r="I1" t="e">
        <f>AND('POTENCIAL HORAS'!H1,"AAAAAD/3+Qg=")</f>
        <v>#VALUE!</v>
      </c>
      <c r="J1" t="e">
        <f>AND('POTENCIAL HORAS'!I1,"AAAAAD/3+Qk=")</f>
        <v>#VALUE!</v>
      </c>
      <c r="K1" t="e">
        <f>AND('POTENCIAL HORAS'!J1,"AAAAAD/3+Qo=")</f>
        <v>#VALUE!</v>
      </c>
      <c r="L1" t="e">
        <f>AND('POTENCIAL HORAS'!K1,"AAAAAD/3+Qs=")</f>
        <v>#VALUE!</v>
      </c>
      <c r="M1" t="e">
        <f>AND('POTENCIAL HORAS'!L1,"AAAAAD/3+Qw=")</f>
        <v>#VALUE!</v>
      </c>
      <c r="N1" t="e">
        <f>AND('POTENCIAL HORAS'!M1,"AAAAAD/3+Q0=")</f>
        <v>#VALUE!</v>
      </c>
      <c r="O1" t="e">
        <f>AND('POTENCIAL HORAS'!N1,"AAAAAD/3+Q4=")</f>
        <v>#VALUE!</v>
      </c>
      <c r="P1" t="e">
        <f>AND('POTENCIAL HORAS'!O1,"AAAAAD/3+Q8=")</f>
        <v>#VALUE!</v>
      </c>
      <c r="Q1" t="e">
        <f>AND('POTENCIAL HORAS'!P1,"AAAAAD/3+RA=")</f>
        <v>#VALUE!</v>
      </c>
      <c r="R1" t="e">
        <f>AND('POTENCIAL HORAS'!#REF!,"AAAAAD/3+RE=")</f>
        <v>#REF!</v>
      </c>
      <c r="S1" t="e">
        <f>AND('POTENCIAL HORAS'!#REF!,"AAAAAD/3+RI=")</f>
        <v>#REF!</v>
      </c>
      <c r="T1" t="e">
        <f>AND('POTENCIAL HORAS'!#REF!,"AAAAAD/3+RM=")</f>
        <v>#REF!</v>
      </c>
      <c r="U1" t="e">
        <f>AND('POTENCIAL HORAS'!#REF!,"AAAAAD/3+RQ=")</f>
        <v>#REF!</v>
      </c>
      <c r="V1" t="e">
        <f>AND('POTENCIAL HORAS'!#REF!,"AAAAAD/3+RU=")</f>
        <v>#REF!</v>
      </c>
      <c r="W1" t="e">
        <f>AND('POTENCIAL HORAS'!#REF!,"AAAAAD/3+RY=")</f>
        <v>#REF!</v>
      </c>
      <c r="X1" t="e">
        <f>AND('POTENCIAL HORAS'!#REF!,"AAAAAD/3+Rc=")</f>
        <v>#REF!</v>
      </c>
      <c r="Y1" t="e">
        <f>AND('POTENCIAL HORAS'!#REF!,"AAAAAD/3+Rg=")</f>
        <v>#REF!</v>
      </c>
      <c r="Z1" t="e">
        <f>AND('POTENCIAL HORAS'!#REF!,"AAAAAD/3+Rk=")</f>
        <v>#REF!</v>
      </c>
      <c r="AA1" t="e">
        <f>AND('POTENCIAL HORAS'!#REF!,"AAAAAD/3+Ro=")</f>
        <v>#REF!</v>
      </c>
      <c r="AB1" t="e">
        <f>AND('POTENCIAL HORAS'!#REF!,"AAAAAD/3+Rs=")</f>
        <v>#REF!</v>
      </c>
      <c r="AC1" t="e">
        <f>AND('POTENCIAL HORAS'!#REF!,"AAAAAD/3+Rw=")</f>
        <v>#REF!</v>
      </c>
      <c r="AD1" t="e">
        <f>AND('POTENCIAL HORAS'!#REF!,"AAAAAD/3+R0=")</f>
        <v>#REF!</v>
      </c>
      <c r="AE1" t="e">
        <f>AND('POTENCIAL HORAS'!#REF!,"AAAAAD/3+R4=")</f>
        <v>#REF!</v>
      </c>
      <c r="AF1" t="e">
        <f>AND('POTENCIAL HORAS'!#REF!,"AAAAAD/3+R8=")</f>
        <v>#REF!</v>
      </c>
      <c r="AG1" t="e">
        <f>AND('POTENCIAL HORAS'!#REF!,"AAAAAD/3+SA=")</f>
        <v>#REF!</v>
      </c>
      <c r="AH1" t="e">
        <f>AND('POTENCIAL HORAS'!#REF!,"AAAAAD/3+SE=")</f>
        <v>#REF!</v>
      </c>
      <c r="AI1" t="e">
        <f>AND('POTENCIAL HORAS'!#REF!,"AAAAAD/3+SI=")</f>
        <v>#REF!</v>
      </c>
      <c r="AJ1" t="e">
        <f>AND('POTENCIAL HORAS'!#REF!,"AAAAAD/3+SM=")</f>
        <v>#REF!</v>
      </c>
      <c r="AK1" t="e">
        <f>AND('POTENCIAL HORAS'!#REF!,"AAAAAD/3+SQ=")</f>
        <v>#REF!</v>
      </c>
      <c r="AL1" t="e">
        <f>AND('POTENCIAL HORAS'!Q1,"AAAAAD/3+SU=")</f>
        <v>#VALUE!</v>
      </c>
      <c r="AM1" t="e">
        <f>AND('POTENCIAL HORAS'!R1,"AAAAAD/3+SY=")</f>
        <v>#VALUE!</v>
      </c>
      <c r="AN1">
        <f>IF('POTENCIAL HORAS'!2:2,"AAAAAD/3+Sc=",0)</f>
        <v>0</v>
      </c>
      <c r="AO1" t="e">
        <f>AND('POTENCIAL HORAS'!A2,"AAAAAD/3+Sg=")</f>
        <v>#VALUE!</v>
      </c>
      <c r="AP1" t="e">
        <f>AND('POTENCIAL HORAS'!B2,"AAAAAD/3+Sk=")</f>
        <v>#VALUE!</v>
      </c>
      <c r="AQ1" t="e">
        <f>AND('POTENCIAL HORAS'!C2,"AAAAAD/3+So=")</f>
        <v>#VALUE!</v>
      </c>
      <c r="AR1" t="e">
        <f>AND('POTENCIAL HORAS'!D2,"AAAAAD/3+Ss=")</f>
        <v>#VALUE!</v>
      </c>
      <c r="AS1" t="e">
        <f>AND('POTENCIAL HORAS'!E2,"AAAAAD/3+Sw=")</f>
        <v>#VALUE!</v>
      </c>
      <c r="AT1" t="e">
        <f>AND('POTENCIAL HORAS'!F2,"AAAAAD/3+S0=")</f>
        <v>#VALUE!</v>
      </c>
      <c r="AU1" t="e">
        <f>AND('POTENCIAL HORAS'!G2,"AAAAAD/3+S4=")</f>
        <v>#VALUE!</v>
      </c>
      <c r="AV1" t="e">
        <f>AND('POTENCIAL HORAS'!H2,"AAAAAD/3+S8=")</f>
        <v>#VALUE!</v>
      </c>
      <c r="AW1" t="e">
        <f>AND('POTENCIAL HORAS'!I2,"AAAAAD/3+TA=")</f>
        <v>#VALUE!</v>
      </c>
      <c r="AX1" t="e">
        <f>AND('POTENCIAL HORAS'!J2,"AAAAAD/3+TE=")</f>
        <v>#VALUE!</v>
      </c>
      <c r="AY1" t="e">
        <f>AND('POTENCIAL HORAS'!K2,"AAAAAD/3+TI=")</f>
        <v>#VALUE!</v>
      </c>
      <c r="AZ1" t="e">
        <f>AND('POTENCIAL HORAS'!L2,"AAAAAD/3+TM=")</f>
        <v>#VALUE!</v>
      </c>
      <c r="BA1" t="e">
        <f>AND('POTENCIAL HORAS'!M2,"AAAAAD/3+TQ=")</f>
        <v>#VALUE!</v>
      </c>
      <c r="BB1" t="e">
        <f>AND('POTENCIAL HORAS'!N2,"AAAAAD/3+TU=")</f>
        <v>#VALUE!</v>
      </c>
      <c r="BC1" t="e">
        <f>AND('POTENCIAL HORAS'!O2,"AAAAAD/3+TY=")</f>
        <v>#VALUE!</v>
      </c>
      <c r="BD1" t="e">
        <f>AND('POTENCIAL HORAS'!P2,"AAAAAD/3+Tc=")</f>
        <v>#VALUE!</v>
      </c>
      <c r="BE1" t="e">
        <f>AND('POTENCIAL HORAS'!#REF!,"AAAAAD/3+Tg=")</f>
        <v>#REF!</v>
      </c>
      <c r="BF1" t="e">
        <f>AND('POTENCIAL HORAS'!#REF!,"AAAAAD/3+Tk=")</f>
        <v>#REF!</v>
      </c>
      <c r="BG1" t="e">
        <f>AND('POTENCIAL HORAS'!#REF!,"AAAAAD/3+To=")</f>
        <v>#REF!</v>
      </c>
      <c r="BH1" t="e">
        <f>AND('POTENCIAL HORAS'!#REF!,"AAAAAD/3+Ts=")</f>
        <v>#REF!</v>
      </c>
      <c r="BI1" t="e">
        <f>AND('POTENCIAL HORAS'!#REF!,"AAAAAD/3+Tw=")</f>
        <v>#REF!</v>
      </c>
      <c r="BJ1" t="e">
        <f>AND('POTENCIAL HORAS'!#REF!,"AAAAAD/3+T0=")</f>
        <v>#REF!</v>
      </c>
      <c r="BK1" t="e">
        <f>AND('POTENCIAL HORAS'!#REF!,"AAAAAD/3+T4=")</f>
        <v>#REF!</v>
      </c>
      <c r="BL1" t="e">
        <f>AND('POTENCIAL HORAS'!#REF!,"AAAAAD/3+T8=")</f>
        <v>#REF!</v>
      </c>
      <c r="BM1" t="e">
        <f>AND('POTENCIAL HORAS'!#REF!,"AAAAAD/3+UA=")</f>
        <v>#REF!</v>
      </c>
      <c r="BN1" t="e">
        <f>AND('POTENCIAL HORAS'!#REF!,"AAAAAD/3+UE=")</f>
        <v>#REF!</v>
      </c>
      <c r="BO1" t="e">
        <f>AND('POTENCIAL HORAS'!#REF!,"AAAAAD/3+UI=")</f>
        <v>#REF!</v>
      </c>
      <c r="BP1" t="e">
        <f>AND('POTENCIAL HORAS'!#REF!,"AAAAAD/3+UM=")</f>
        <v>#REF!</v>
      </c>
      <c r="BQ1" t="e">
        <f>AND('POTENCIAL HORAS'!#REF!,"AAAAAD/3+UQ=")</f>
        <v>#REF!</v>
      </c>
      <c r="BR1" t="e">
        <f>AND('POTENCIAL HORAS'!#REF!,"AAAAAD/3+UU=")</f>
        <v>#REF!</v>
      </c>
      <c r="BS1" t="e">
        <f>AND('POTENCIAL HORAS'!#REF!,"AAAAAD/3+UY=")</f>
        <v>#REF!</v>
      </c>
      <c r="BT1" t="e">
        <f>AND('POTENCIAL HORAS'!#REF!,"AAAAAD/3+Uc=")</f>
        <v>#REF!</v>
      </c>
      <c r="BU1" t="e">
        <f>AND('POTENCIAL HORAS'!#REF!,"AAAAAD/3+Ug=")</f>
        <v>#REF!</v>
      </c>
      <c r="BV1" t="e">
        <f>AND('POTENCIAL HORAS'!#REF!,"AAAAAD/3+Uk=")</f>
        <v>#REF!</v>
      </c>
      <c r="BW1" t="e">
        <f>AND('POTENCIAL HORAS'!#REF!,"AAAAAD/3+Uo=")</f>
        <v>#REF!</v>
      </c>
      <c r="BX1" t="e">
        <f>AND('POTENCIAL HORAS'!#REF!,"AAAAAD/3+Us=")</f>
        <v>#REF!</v>
      </c>
      <c r="BY1" t="e">
        <f>AND('POTENCIAL HORAS'!Q2,"AAAAAD/3+Uw=")</f>
        <v>#VALUE!</v>
      </c>
      <c r="BZ1" t="e">
        <f>AND('POTENCIAL HORAS'!R2,"AAAAAD/3+U0=")</f>
        <v>#VALUE!</v>
      </c>
      <c r="CA1">
        <f>IF('POTENCIAL HORAS'!3:3,"AAAAAD/3+U4=",0)</f>
        <v>0</v>
      </c>
      <c r="CB1" t="e">
        <f>AND('POTENCIAL HORAS'!A3,"AAAAAD/3+U8=")</f>
        <v>#VALUE!</v>
      </c>
      <c r="CC1" t="e">
        <f>AND('POTENCIAL HORAS'!B3,"AAAAAD/3+VA=")</f>
        <v>#VALUE!</v>
      </c>
      <c r="CD1" t="e">
        <f>AND('POTENCIAL HORAS'!C3,"AAAAAD/3+VE=")</f>
        <v>#VALUE!</v>
      </c>
      <c r="CE1" t="e">
        <f>AND('POTENCIAL HORAS'!D3,"AAAAAD/3+VI=")</f>
        <v>#VALUE!</v>
      </c>
      <c r="CF1" t="e">
        <f>AND('POTENCIAL HORAS'!E3,"AAAAAD/3+VM=")</f>
        <v>#VALUE!</v>
      </c>
      <c r="CG1" t="e">
        <f>AND('POTENCIAL HORAS'!F3,"AAAAAD/3+VQ=")</f>
        <v>#VALUE!</v>
      </c>
      <c r="CH1" t="e">
        <f>AND('POTENCIAL HORAS'!G3,"AAAAAD/3+VU=")</f>
        <v>#VALUE!</v>
      </c>
      <c r="CI1" t="e">
        <f>AND('POTENCIAL HORAS'!H3,"AAAAAD/3+VY=")</f>
        <v>#VALUE!</v>
      </c>
      <c r="CJ1" t="e">
        <f>AND('POTENCIAL HORAS'!I3,"AAAAAD/3+Vc=")</f>
        <v>#VALUE!</v>
      </c>
      <c r="CK1" t="e">
        <f>AND('POTENCIAL HORAS'!J3,"AAAAAD/3+Vg=")</f>
        <v>#VALUE!</v>
      </c>
      <c r="CL1" t="e">
        <f>AND('POTENCIAL HORAS'!K3,"AAAAAD/3+Vk=")</f>
        <v>#VALUE!</v>
      </c>
      <c r="CM1" t="e">
        <f>AND('POTENCIAL HORAS'!L3,"AAAAAD/3+Vo=")</f>
        <v>#VALUE!</v>
      </c>
      <c r="CN1" t="e">
        <f>AND('POTENCIAL HORAS'!M3,"AAAAAD/3+Vs=")</f>
        <v>#VALUE!</v>
      </c>
      <c r="CO1" t="e">
        <f>AND('POTENCIAL HORAS'!N3,"AAAAAD/3+Vw=")</f>
        <v>#VALUE!</v>
      </c>
      <c r="CP1" t="e">
        <f>AND('POTENCIAL HORAS'!O3,"AAAAAD/3+V0=")</f>
        <v>#VALUE!</v>
      </c>
      <c r="CQ1" t="e">
        <f>AND('POTENCIAL HORAS'!P3,"AAAAAD/3+V4=")</f>
        <v>#VALUE!</v>
      </c>
      <c r="CR1" t="e">
        <f>AND('POTENCIAL HORAS'!#REF!,"AAAAAD/3+V8=")</f>
        <v>#REF!</v>
      </c>
      <c r="CS1" t="e">
        <f>AND('POTENCIAL HORAS'!#REF!,"AAAAAD/3+WA=")</f>
        <v>#REF!</v>
      </c>
      <c r="CT1" t="e">
        <f>AND('POTENCIAL HORAS'!#REF!,"AAAAAD/3+WE=")</f>
        <v>#REF!</v>
      </c>
      <c r="CU1" t="e">
        <f>AND('POTENCIAL HORAS'!#REF!,"AAAAAD/3+WI=")</f>
        <v>#REF!</v>
      </c>
      <c r="CV1" t="e">
        <f>AND('POTENCIAL HORAS'!#REF!,"AAAAAD/3+WM=")</f>
        <v>#REF!</v>
      </c>
      <c r="CW1" t="e">
        <f>AND('POTENCIAL HORAS'!#REF!,"AAAAAD/3+WQ=")</f>
        <v>#REF!</v>
      </c>
      <c r="CX1" t="e">
        <f>AND('POTENCIAL HORAS'!#REF!,"AAAAAD/3+WU=")</f>
        <v>#REF!</v>
      </c>
      <c r="CY1" t="e">
        <f>AND('POTENCIAL HORAS'!#REF!,"AAAAAD/3+WY=")</f>
        <v>#REF!</v>
      </c>
      <c r="CZ1" t="e">
        <f>AND('POTENCIAL HORAS'!#REF!,"AAAAAD/3+Wc=")</f>
        <v>#REF!</v>
      </c>
      <c r="DA1" t="e">
        <f>AND('POTENCIAL HORAS'!#REF!,"AAAAAD/3+Wg=")</f>
        <v>#REF!</v>
      </c>
      <c r="DB1" t="e">
        <f>AND('POTENCIAL HORAS'!#REF!,"AAAAAD/3+Wk=")</f>
        <v>#REF!</v>
      </c>
      <c r="DC1" t="e">
        <f>AND('POTENCIAL HORAS'!#REF!,"AAAAAD/3+Wo=")</f>
        <v>#REF!</v>
      </c>
      <c r="DD1" t="e">
        <f>AND('POTENCIAL HORAS'!#REF!,"AAAAAD/3+Ws=")</f>
        <v>#REF!</v>
      </c>
      <c r="DE1" t="e">
        <f>AND('POTENCIAL HORAS'!#REF!,"AAAAAD/3+Ww=")</f>
        <v>#REF!</v>
      </c>
      <c r="DF1" t="e">
        <f>AND('POTENCIAL HORAS'!#REF!,"AAAAAD/3+W0=")</f>
        <v>#REF!</v>
      </c>
      <c r="DG1" t="e">
        <f>AND('POTENCIAL HORAS'!#REF!,"AAAAAD/3+W4=")</f>
        <v>#REF!</v>
      </c>
      <c r="DH1" t="e">
        <f>AND('POTENCIAL HORAS'!#REF!,"AAAAAD/3+W8=")</f>
        <v>#REF!</v>
      </c>
      <c r="DI1" t="e">
        <f>AND('POTENCIAL HORAS'!#REF!,"AAAAAD/3+XA=")</f>
        <v>#REF!</v>
      </c>
      <c r="DJ1" t="e">
        <f>AND('POTENCIAL HORAS'!#REF!,"AAAAAD/3+XE=")</f>
        <v>#REF!</v>
      </c>
      <c r="DK1" t="e">
        <f>AND('POTENCIAL HORAS'!#REF!,"AAAAAD/3+XI=")</f>
        <v>#REF!</v>
      </c>
      <c r="DL1" t="e">
        <f>AND('POTENCIAL HORAS'!Q3,"AAAAAD/3+XM=")</f>
        <v>#VALUE!</v>
      </c>
      <c r="DM1" t="e">
        <f>AND('POTENCIAL HORAS'!R3,"AAAAAD/3+XQ=")</f>
        <v>#VALUE!</v>
      </c>
      <c r="DN1">
        <f>IF('POTENCIAL HORAS'!4:4,"AAAAAD/3+XU=",0)</f>
        <v>0</v>
      </c>
      <c r="DO1" t="e">
        <f>AND('POTENCIAL HORAS'!A4,"AAAAAD/3+XY=")</f>
        <v>#VALUE!</v>
      </c>
      <c r="DP1" t="e">
        <f>AND('POTENCIAL HORAS'!B4,"AAAAAD/3+Xc=")</f>
        <v>#VALUE!</v>
      </c>
      <c r="DQ1" t="e">
        <f>AND('POTENCIAL HORAS'!C4,"AAAAAD/3+Xg=")</f>
        <v>#VALUE!</v>
      </c>
      <c r="DR1" t="e">
        <f>AND('POTENCIAL HORAS'!D4,"AAAAAD/3+Xk=")</f>
        <v>#VALUE!</v>
      </c>
      <c r="DS1" t="e">
        <f>AND('POTENCIAL HORAS'!E4,"AAAAAD/3+Xo=")</f>
        <v>#VALUE!</v>
      </c>
      <c r="DT1" t="e">
        <f>AND('POTENCIAL HORAS'!F4,"AAAAAD/3+Xs=")</f>
        <v>#VALUE!</v>
      </c>
      <c r="DU1" t="e">
        <f>AND('POTENCIAL HORAS'!G4,"AAAAAD/3+Xw=")</f>
        <v>#VALUE!</v>
      </c>
      <c r="DV1" t="e">
        <f>AND('POTENCIAL HORAS'!H4,"AAAAAD/3+X0=")</f>
        <v>#VALUE!</v>
      </c>
      <c r="DW1" t="e">
        <f>AND('POTENCIAL HORAS'!I4,"AAAAAD/3+X4=")</f>
        <v>#VALUE!</v>
      </c>
      <c r="DX1" t="e">
        <f>AND('POTENCIAL HORAS'!J4,"AAAAAD/3+X8=")</f>
        <v>#VALUE!</v>
      </c>
      <c r="DY1" t="e">
        <f>AND('POTENCIAL HORAS'!K4,"AAAAAD/3+YA=")</f>
        <v>#VALUE!</v>
      </c>
      <c r="DZ1" t="e">
        <f>AND('POTENCIAL HORAS'!L4,"AAAAAD/3+YE=")</f>
        <v>#VALUE!</v>
      </c>
      <c r="EA1" t="e">
        <f>AND('POTENCIAL HORAS'!M4,"AAAAAD/3+YI=")</f>
        <v>#VALUE!</v>
      </c>
      <c r="EB1" t="e">
        <f>AND('POTENCIAL HORAS'!N4,"AAAAAD/3+YM=")</f>
        <v>#VALUE!</v>
      </c>
      <c r="EC1" t="e">
        <f>AND('POTENCIAL HORAS'!O4,"AAAAAD/3+YQ=")</f>
        <v>#VALUE!</v>
      </c>
      <c r="ED1" t="e">
        <f>AND('POTENCIAL HORAS'!P4,"AAAAAD/3+YU=")</f>
        <v>#VALUE!</v>
      </c>
      <c r="EE1" t="e">
        <f>AND('POTENCIAL HORAS'!#REF!,"AAAAAD/3+YY=")</f>
        <v>#REF!</v>
      </c>
      <c r="EF1" t="e">
        <f>AND('POTENCIAL HORAS'!#REF!,"AAAAAD/3+Yc=")</f>
        <v>#REF!</v>
      </c>
      <c r="EG1" t="e">
        <f>AND('POTENCIAL HORAS'!#REF!,"AAAAAD/3+Yg=")</f>
        <v>#REF!</v>
      </c>
      <c r="EH1" t="e">
        <f>AND('POTENCIAL HORAS'!#REF!,"AAAAAD/3+Yk=")</f>
        <v>#REF!</v>
      </c>
      <c r="EI1" t="e">
        <f>AND('POTENCIAL HORAS'!#REF!,"AAAAAD/3+Yo=")</f>
        <v>#REF!</v>
      </c>
      <c r="EJ1" t="e">
        <f>AND('POTENCIAL HORAS'!#REF!,"AAAAAD/3+Ys=")</f>
        <v>#REF!</v>
      </c>
      <c r="EK1" t="e">
        <f>AND('POTENCIAL HORAS'!#REF!,"AAAAAD/3+Yw=")</f>
        <v>#REF!</v>
      </c>
      <c r="EL1" t="e">
        <f>AND('POTENCIAL HORAS'!#REF!,"AAAAAD/3+Y0=")</f>
        <v>#REF!</v>
      </c>
      <c r="EM1" t="e">
        <f>AND('POTENCIAL HORAS'!#REF!,"AAAAAD/3+Y4=")</f>
        <v>#REF!</v>
      </c>
      <c r="EN1" t="e">
        <f>AND('POTENCIAL HORAS'!#REF!,"AAAAAD/3+Y8=")</f>
        <v>#REF!</v>
      </c>
      <c r="EO1" t="e">
        <f>AND('POTENCIAL HORAS'!#REF!,"AAAAAD/3+ZA=")</f>
        <v>#REF!</v>
      </c>
      <c r="EP1" t="e">
        <f>AND('POTENCIAL HORAS'!#REF!,"AAAAAD/3+ZE=")</f>
        <v>#REF!</v>
      </c>
      <c r="EQ1" t="e">
        <f>AND('POTENCIAL HORAS'!#REF!,"AAAAAD/3+ZI=")</f>
        <v>#REF!</v>
      </c>
      <c r="ER1" t="e">
        <f>AND('POTENCIAL HORAS'!#REF!,"AAAAAD/3+ZM=")</f>
        <v>#REF!</v>
      </c>
      <c r="ES1" t="e">
        <f>AND('POTENCIAL HORAS'!#REF!,"AAAAAD/3+ZQ=")</f>
        <v>#REF!</v>
      </c>
      <c r="ET1" t="e">
        <f>AND('POTENCIAL HORAS'!#REF!,"AAAAAD/3+ZU=")</f>
        <v>#REF!</v>
      </c>
      <c r="EU1" t="e">
        <f>AND('POTENCIAL HORAS'!#REF!,"AAAAAD/3+ZY=")</f>
        <v>#REF!</v>
      </c>
      <c r="EV1" t="e">
        <f>AND('POTENCIAL HORAS'!#REF!,"AAAAAD/3+Zc=")</f>
        <v>#REF!</v>
      </c>
      <c r="EW1" t="e">
        <f>AND('POTENCIAL HORAS'!#REF!,"AAAAAD/3+Zg=")</f>
        <v>#REF!</v>
      </c>
      <c r="EX1" t="e">
        <f>AND('POTENCIAL HORAS'!#REF!,"AAAAAD/3+Zk=")</f>
        <v>#REF!</v>
      </c>
      <c r="EY1" t="e">
        <f>AND('POTENCIAL HORAS'!Q4,"AAAAAD/3+Zo=")</f>
        <v>#VALUE!</v>
      </c>
      <c r="EZ1" t="e">
        <f>AND('POTENCIAL HORAS'!R4,"AAAAAD/3+Zs=")</f>
        <v>#VALUE!</v>
      </c>
      <c r="FA1">
        <f>IF('POTENCIAL HORAS'!5:5,"AAAAAD/3+Zw=",0)</f>
        <v>0</v>
      </c>
      <c r="FB1" t="e">
        <f>AND('POTENCIAL HORAS'!A5,"AAAAAD/3+Z0=")</f>
        <v>#VALUE!</v>
      </c>
      <c r="FC1" t="e">
        <f>AND('POTENCIAL HORAS'!B5,"AAAAAD/3+Z4=")</f>
        <v>#VALUE!</v>
      </c>
      <c r="FD1" t="e">
        <f>AND('POTENCIAL HORAS'!C5,"AAAAAD/3+Z8=")</f>
        <v>#VALUE!</v>
      </c>
      <c r="FE1" t="e">
        <f>AND('POTENCIAL HORAS'!D5,"AAAAAD/3+aA=")</f>
        <v>#VALUE!</v>
      </c>
      <c r="FF1" t="e">
        <f>AND('POTENCIAL HORAS'!E5,"AAAAAD/3+aE=")</f>
        <v>#VALUE!</v>
      </c>
      <c r="FG1" t="e">
        <f>AND('POTENCIAL HORAS'!F5,"AAAAAD/3+aI=")</f>
        <v>#VALUE!</v>
      </c>
      <c r="FH1" t="e">
        <f>AND('POTENCIAL HORAS'!G5,"AAAAAD/3+aM=")</f>
        <v>#VALUE!</v>
      </c>
      <c r="FI1" t="e">
        <f>AND('POTENCIAL HORAS'!H5,"AAAAAD/3+aQ=")</f>
        <v>#VALUE!</v>
      </c>
      <c r="FJ1" t="e">
        <f>AND('POTENCIAL HORAS'!I5,"AAAAAD/3+aU=")</f>
        <v>#VALUE!</v>
      </c>
      <c r="FK1" t="e">
        <f>AND('POTENCIAL HORAS'!J5,"AAAAAD/3+aY=")</f>
        <v>#VALUE!</v>
      </c>
      <c r="FL1" t="e">
        <f>AND('POTENCIAL HORAS'!K5,"AAAAAD/3+ac=")</f>
        <v>#VALUE!</v>
      </c>
      <c r="FM1" t="e">
        <f>AND('POTENCIAL HORAS'!L5,"AAAAAD/3+ag=")</f>
        <v>#VALUE!</v>
      </c>
      <c r="FN1" t="e">
        <f>AND('POTENCIAL HORAS'!M5,"AAAAAD/3+ak=")</f>
        <v>#VALUE!</v>
      </c>
      <c r="FO1" t="e">
        <f>AND('POTENCIAL HORAS'!N5,"AAAAAD/3+ao=")</f>
        <v>#VALUE!</v>
      </c>
      <c r="FP1" t="e">
        <f>AND('POTENCIAL HORAS'!O5,"AAAAAD/3+as=")</f>
        <v>#VALUE!</v>
      </c>
      <c r="FQ1" t="e">
        <f>AND('POTENCIAL HORAS'!P5,"AAAAAD/3+aw=")</f>
        <v>#VALUE!</v>
      </c>
      <c r="FR1" t="e">
        <f>AND('POTENCIAL HORAS'!#REF!,"AAAAAD/3+a0=")</f>
        <v>#REF!</v>
      </c>
      <c r="FS1" t="e">
        <f>AND('POTENCIAL HORAS'!#REF!,"AAAAAD/3+a4=")</f>
        <v>#REF!</v>
      </c>
      <c r="FT1" t="e">
        <f>AND('POTENCIAL HORAS'!#REF!,"AAAAAD/3+a8=")</f>
        <v>#REF!</v>
      </c>
      <c r="FU1" t="e">
        <f>AND('POTENCIAL HORAS'!#REF!,"AAAAAD/3+bA=")</f>
        <v>#REF!</v>
      </c>
      <c r="FV1" t="e">
        <f>AND('POTENCIAL HORAS'!#REF!,"AAAAAD/3+bE=")</f>
        <v>#REF!</v>
      </c>
      <c r="FW1" t="e">
        <f>AND('POTENCIAL HORAS'!#REF!,"AAAAAD/3+bI=")</f>
        <v>#REF!</v>
      </c>
      <c r="FX1" t="e">
        <f>AND('POTENCIAL HORAS'!#REF!,"AAAAAD/3+bM=")</f>
        <v>#REF!</v>
      </c>
      <c r="FY1" t="e">
        <f>AND('POTENCIAL HORAS'!#REF!,"AAAAAD/3+bQ=")</f>
        <v>#REF!</v>
      </c>
      <c r="FZ1" t="e">
        <f>AND('POTENCIAL HORAS'!#REF!,"AAAAAD/3+bU=")</f>
        <v>#REF!</v>
      </c>
      <c r="GA1" t="e">
        <f>AND('POTENCIAL HORAS'!#REF!,"AAAAAD/3+bY=")</f>
        <v>#REF!</v>
      </c>
      <c r="GB1" t="e">
        <f>AND('POTENCIAL HORAS'!#REF!,"AAAAAD/3+bc=")</f>
        <v>#REF!</v>
      </c>
      <c r="GC1" t="e">
        <f>AND('POTENCIAL HORAS'!#REF!,"AAAAAD/3+bg=")</f>
        <v>#REF!</v>
      </c>
      <c r="GD1" t="e">
        <f>AND('POTENCIAL HORAS'!#REF!,"AAAAAD/3+bk=")</f>
        <v>#REF!</v>
      </c>
      <c r="GE1" t="e">
        <f>AND('POTENCIAL HORAS'!#REF!,"AAAAAD/3+bo=")</f>
        <v>#REF!</v>
      </c>
      <c r="GF1" t="e">
        <f>AND('POTENCIAL HORAS'!#REF!,"AAAAAD/3+bs=")</f>
        <v>#REF!</v>
      </c>
      <c r="GG1" t="e">
        <f>AND('POTENCIAL HORAS'!#REF!,"AAAAAD/3+bw=")</f>
        <v>#REF!</v>
      </c>
      <c r="GH1" t="e">
        <f>AND('POTENCIAL HORAS'!#REF!,"AAAAAD/3+b0=")</f>
        <v>#REF!</v>
      </c>
      <c r="GI1" t="e">
        <f>AND('POTENCIAL HORAS'!#REF!,"AAAAAD/3+b4=")</f>
        <v>#REF!</v>
      </c>
      <c r="GJ1" t="e">
        <f>AND('POTENCIAL HORAS'!#REF!,"AAAAAD/3+b8=")</f>
        <v>#REF!</v>
      </c>
      <c r="GK1" t="e">
        <f>AND('POTENCIAL HORAS'!#REF!,"AAAAAD/3+cA=")</f>
        <v>#REF!</v>
      </c>
      <c r="GL1" t="e">
        <f>AND('POTENCIAL HORAS'!Q5,"AAAAAD/3+cE=")</f>
        <v>#VALUE!</v>
      </c>
      <c r="GM1" t="e">
        <f>AND('POTENCIAL HORAS'!R5,"AAAAAD/3+cI=")</f>
        <v>#VALUE!</v>
      </c>
      <c r="GN1">
        <f>IF('POTENCIAL HORAS'!6:6,"AAAAAD/3+cM=",0)</f>
        <v>0</v>
      </c>
      <c r="GO1" t="e">
        <f>AND('POTENCIAL HORAS'!A6,"AAAAAD/3+cQ=")</f>
        <v>#VALUE!</v>
      </c>
      <c r="GP1" t="e">
        <f>AND('POTENCIAL HORAS'!B6,"AAAAAD/3+cU=")</f>
        <v>#VALUE!</v>
      </c>
      <c r="GQ1" t="e">
        <f>AND('POTENCIAL HORAS'!C6,"AAAAAD/3+cY=")</f>
        <v>#VALUE!</v>
      </c>
      <c r="GR1" t="e">
        <f>AND('POTENCIAL HORAS'!D6,"AAAAAD/3+cc=")</f>
        <v>#VALUE!</v>
      </c>
      <c r="GS1" t="e">
        <f>AND('POTENCIAL HORAS'!E6,"AAAAAD/3+cg=")</f>
        <v>#VALUE!</v>
      </c>
      <c r="GT1" t="e">
        <f>AND('POTENCIAL HORAS'!F6,"AAAAAD/3+ck=")</f>
        <v>#VALUE!</v>
      </c>
      <c r="GU1" t="e">
        <f>AND('POTENCIAL HORAS'!G6,"AAAAAD/3+co=")</f>
        <v>#VALUE!</v>
      </c>
      <c r="GV1" t="e">
        <f>AND('POTENCIAL HORAS'!H6,"AAAAAD/3+cs=")</f>
        <v>#VALUE!</v>
      </c>
      <c r="GW1" t="e">
        <f>AND('POTENCIAL HORAS'!I6,"AAAAAD/3+cw=")</f>
        <v>#VALUE!</v>
      </c>
      <c r="GX1" t="e">
        <f>AND('POTENCIAL HORAS'!J6,"AAAAAD/3+c0=")</f>
        <v>#VALUE!</v>
      </c>
      <c r="GY1" t="e">
        <f>AND('POTENCIAL HORAS'!K6,"AAAAAD/3+c4=")</f>
        <v>#VALUE!</v>
      </c>
      <c r="GZ1" t="e">
        <f>AND('POTENCIAL HORAS'!L6,"AAAAAD/3+c8=")</f>
        <v>#VALUE!</v>
      </c>
      <c r="HA1" t="e">
        <f>AND('POTENCIAL HORAS'!M6,"AAAAAD/3+dA=")</f>
        <v>#VALUE!</v>
      </c>
      <c r="HB1" t="e">
        <f>AND('POTENCIAL HORAS'!N6,"AAAAAD/3+dE=")</f>
        <v>#VALUE!</v>
      </c>
      <c r="HC1" t="e">
        <f>AND('POTENCIAL HORAS'!O6,"AAAAAD/3+dI=")</f>
        <v>#VALUE!</v>
      </c>
      <c r="HD1" t="e">
        <f>AND('POTENCIAL HORAS'!P6,"AAAAAD/3+dM=")</f>
        <v>#VALUE!</v>
      </c>
      <c r="HE1" t="e">
        <f>AND('POTENCIAL HORAS'!#REF!,"AAAAAD/3+dQ=")</f>
        <v>#REF!</v>
      </c>
      <c r="HF1" t="e">
        <f>AND('POTENCIAL HORAS'!#REF!,"AAAAAD/3+dU=")</f>
        <v>#REF!</v>
      </c>
      <c r="HG1" t="e">
        <f>AND('POTENCIAL HORAS'!#REF!,"AAAAAD/3+dY=")</f>
        <v>#REF!</v>
      </c>
      <c r="HH1" t="e">
        <f>AND('POTENCIAL HORAS'!#REF!,"AAAAAD/3+dc=")</f>
        <v>#REF!</v>
      </c>
      <c r="HI1" t="e">
        <f>AND('POTENCIAL HORAS'!#REF!,"AAAAAD/3+dg=")</f>
        <v>#REF!</v>
      </c>
      <c r="HJ1" t="e">
        <f>AND('POTENCIAL HORAS'!#REF!,"AAAAAD/3+dk=")</f>
        <v>#REF!</v>
      </c>
      <c r="HK1" t="e">
        <f>AND('POTENCIAL HORAS'!#REF!,"AAAAAD/3+do=")</f>
        <v>#REF!</v>
      </c>
      <c r="HL1" t="e">
        <f>AND('POTENCIAL HORAS'!#REF!,"AAAAAD/3+ds=")</f>
        <v>#REF!</v>
      </c>
      <c r="HM1" t="e">
        <f>AND('POTENCIAL HORAS'!#REF!,"AAAAAD/3+dw=")</f>
        <v>#REF!</v>
      </c>
      <c r="HN1" t="e">
        <f>AND('POTENCIAL HORAS'!#REF!,"AAAAAD/3+d0=")</f>
        <v>#REF!</v>
      </c>
      <c r="HO1" t="e">
        <f>AND('POTENCIAL HORAS'!#REF!,"AAAAAD/3+d4=")</f>
        <v>#REF!</v>
      </c>
      <c r="HP1" t="e">
        <f>AND('POTENCIAL HORAS'!#REF!,"AAAAAD/3+d8=")</f>
        <v>#REF!</v>
      </c>
      <c r="HQ1" t="e">
        <f>AND('POTENCIAL HORAS'!#REF!,"AAAAAD/3+eA=")</f>
        <v>#REF!</v>
      </c>
      <c r="HR1" t="e">
        <f>AND('POTENCIAL HORAS'!#REF!,"AAAAAD/3+eE=")</f>
        <v>#REF!</v>
      </c>
      <c r="HS1" t="e">
        <f>AND('POTENCIAL HORAS'!#REF!,"AAAAAD/3+eI=")</f>
        <v>#REF!</v>
      </c>
      <c r="HT1" t="e">
        <f>AND('POTENCIAL HORAS'!#REF!,"AAAAAD/3+eM=")</f>
        <v>#REF!</v>
      </c>
      <c r="HU1" t="e">
        <f>AND('POTENCIAL HORAS'!#REF!,"AAAAAD/3+eQ=")</f>
        <v>#REF!</v>
      </c>
      <c r="HV1" t="e">
        <f>AND('POTENCIAL HORAS'!#REF!,"AAAAAD/3+eU=")</f>
        <v>#REF!</v>
      </c>
      <c r="HW1" t="e">
        <f>AND('POTENCIAL HORAS'!#REF!,"AAAAAD/3+eY=")</f>
        <v>#REF!</v>
      </c>
      <c r="HX1" t="e">
        <f>AND('POTENCIAL HORAS'!#REF!,"AAAAAD/3+ec=")</f>
        <v>#REF!</v>
      </c>
      <c r="HY1" t="e">
        <f>AND('POTENCIAL HORAS'!Q6,"AAAAAD/3+eg=")</f>
        <v>#VALUE!</v>
      </c>
      <c r="HZ1" t="e">
        <f>AND('POTENCIAL HORAS'!R6,"AAAAAD/3+ek=")</f>
        <v>#VALUE!</v>
      </c>
      <c r="IA1">
        <f>IF('POTENCIAL HORAS'!7:7,"AAAAAD/3+eo=",0)</f>
        <v>0</v>
      </c>
      <c r="IB1" t="e">
        <f>AND('POTENCIAL HORAS'!A7,"AAAAAD/3+es=")</f>
        <v>#VALUE!</v>
      </c>
      <c r="IC1" t="e">
        <f>AND('POTENCIAL HORAS'!B7,"AAAAAD/3+ew=")</f>
        <v>#VALUE!</v>
      </c>
      <c r="ID1" t="e">
        <f>AND('POTENCIAL HORAS'!C7,"AAAAAD/3+e0=")</f>
        <v>#VALUE!</v>
      </c>
      <c r="IE1" t="e">
        <f>AND('POTENCIAL HORAS'!D7,"AAAAAD/3+e4=")</f>
        <v>#VALUE!</v>
      </c>
      <c r="IF1" t="e">
        <f>AND('POTENCIAL HORAS'!E7,"AAAAAD/3+e8=")</f>
        <v>#VALUE!</v>
      </c>
      <c r="IG1" t="e">
        <f>AND('POTENCIAL HORAS'!F7,"AAAAAD/3+fA=")</f>
        <v>#VALUE!</v>
      </c>
      <c r="IH1" t="e">
        <f>AND('POTENCIAL HORAS'!G7,"AAAAAD/3+fE=")</f>
        <v>#VALUE!</v>
      </c>
      <c r="II1" t="e">
        <f>AND('POTENCIAL HORAS'!H7,"AAAAAD/3+fI=")</f>
        <v>#VALUE!</v>
      </c>
      <c r="IJ1" t="e">
        <f>AND('POTENCIAL HORAS'!I7,"AAAAAD/3+fM=")</f>
        <v>#VALUE!</v>
      </c>
      <c r="IK1" t="e">
        <f>AND('POTENCIAL HORAS'!J7,"AAAAAD/3+fQ=")</f>
        <v>#VALUE!</v>
      </c>
      <c r="IL1" t="e">
        <f>AND('POTENCIAL HORAS'!K7,"AAAAAD/3+fU=")</f>
        <v>#VALUE!</v>
      </c>
      <c r="IM1" t="e">
        <f>AND('POTENCIAL HORAS'!L7,"AAAAAD/3+fY=")</f>
        <v>#VALUE!</v>
      </c>
      <c r="IN1" t="e">
        <f>AND('POTENCIAL HORAS'!M7,"AAAAAD/3+fc=")</f>
        <v>#VALUE!</v>
      </c>
      <c r="IO1" t="e">
        <f>AND('POTENCIAL HORAS'!N7,"AAAAAD/3+fg=")</f>
        <v>#VALUE!</v>
      </c>
      <c r="IP1" t="e">
        <f>AND('POTENCIAL HORAS'!O7,"AAAAAD/3+fk=")</f>
        <v>#VALUE!</v>
      </c>
      <c r="IQ1" t="e">
        <f>AND('POTENCIAL HORAS'!P7,"AAAAAD/3+fo=")</f>
        <v>#VALUE!</v>
      </c>
      <c r="IR1" t="e">
        <f>AND('POTENCIAL HORAS'!#REF!,"AAAAAD/3+fs=")</f>
        <v>#REF!</v>
      </c>
      <c r="IS1" t="e">
        <f>AND('POTENCIAL HORAS'!#REF!,"AAAAAD/3+fw=")</f>
        <v>#REF!</v>
      </c>
      <c r="IT1" t="e">
        <f>AND('POTENCIAL HORAS'!#REF!,"AAAAAD/3+f0=")</f>
        <v>#REF!</v>
      </c>
      <c r="IU1" t="e">
        <f>AND('POTENCIAL HORAS'!#REF!,"AAAAAD/3+f4=")</f>
        <v>#REF!</v>
      </c>
      <c r="IV1" t="e">
        <f>AND('POTENCIAL HORAS'!#REF!,"AAAAAD/3+f8=")</f>
        <v>#REF!</v>
      </c>
    </row>
    <row r="2" spans="1:256" x14ac:dyDescent="0.2">
      <c r="A2" t="e">
        <f>AND('POTENCIAL HORAS'!#REF!,"AAAAAG/P+QA=")</f>
        <v>#REF!</v>
      </c>
      <c r="B2" t="e">
        <f>AND('POTENCIAL HORAS'!#REF!,"AAAAAG/P+QE=")</f>
        <v>#REF!</v>
      </c>
      <c r="C2" t="e">
        <f>AND('POTENCIAL HORAS'!#REF!,"AAAAAG/P+QI=")</f>
        <v>#REF!</v>
      </c>
      <c r="D2" t="e">
        <f>AND('POTENCIAL HORAS'!#REF!,"AAAAAG/P+QM=")</f>
        <v>#REF!</v>
      </c>
      <c r="E2" t="e">
        <f>AND('POTENCIAL HORAS'!#REF!,"AAAAAG/P+QQ=")</f>
        <v>#REF!</v>
      </c>
      <c r="F2" t="e">
        <f>AND('POTENCIAL HORAS'!#REF!,"AAAAAG/P+QU=")</f>
        <v>#REF!</v>
      </c>
      <c r="G2" t="e">
        <f>AND('POTENCIAL HORAS'!#REF!,"AAAAAG/P+QY=")</f>
        <v>#REF!</v>
      </c>
      <c r="H2" t="e">
        <f>AND('POTENCIAL HORAS'!#REF!,"AAAAAG/P+Qc=")</f>
        <v>#REF!</v>
      </c>
      <c r="I2" t="e">
        <f>AND('POTENCIAL HORAS'!#REF!,"AAAAAG/P+Qg=")</f>
        <v>#REF!</v>
      </c>
      <c r="J2" t="e">
        <f>AND('POTENCIAL HORAS'!#REF!,"AAAAAG/P+Qk=")</f>
        <v>#REF!</v>
      </c>
      <c r="K2" t="e">
        <f>AND('POTENCIAL HORAS'!#REF!,"AAAAAG/P+Qo=")</f>
        <v>#REF!</v>
      </c>
      <c r="L2" t="e">
        <f>AND('POTENCIAL HORAS'!#REF!,"AAAAAG/P+Qs=")</f>
        <v>#REF!</v>
      </c>
      <c r="M2" t="e">
        <f>AND('POTENCIAL HORAS'!#REF!,"AAAAAG/P+Qw=")</f>
        <v>#REF!</v>
      </c>
      <c r="N2" t="e">
        <f>AND('POTENCIAL HORAS'!#REF!,"AAAAAG/P+Q0=")</f>
        <v>#REF!</v>
      </c>
      <c r="O2" t="e">
        <f>AND('POTENCIAL HORAS'!#REF!,"AAAAAG/P+Q4=")</f>
        <v>#REF!</v>
      </c>
      <c r="P2" t="e">
        <f>AND('POTENCIAL HORAS'!Q7,"AAAAAG/P+Q8=")</f>
        <v>#VALUE!</v>
      </c>
      <c r="Q2" t="e">
        <f>AND('POTENCIAL HORAS'!R7,"AAAAAG/P+RA=")</f>
        <v>#VALUE!</v>
      </c>
      <c r="R2">
        <f>IF('POTENCIAL HORAS'!8:8,"AAAAAG/P+RE=",0)</f>
        <v>0</v>
      </c>
      <c r="S2" t="e">
        <f>AND('POTENCIAL HORAS'!A8,"AAAAAG/P+RI=")</f>
        <v>#VALUE!</v>
      </c>
      <c r="T2" t="e">
        <f>AND('POTENCIAL HORAS'!B8,"AAAAAG/P+RM=")</f>
        <v>#VALUE!</v>
      </c>
      <c r="U2" t="e">
        <f>AND('POTENCIAL HORAS'!C8,"AAAAAG/P+RQ=")</f>
        <v>#VALUE!</v>
      </c>
      <c r="V2" t="e">
        <f>AND('POTENCIAL HORAS'!D8,"AAAAAG/P+RU=")</f>
        <v>#VALUE!</v>
      </c>
      <c r="W2" t="e">
        <f>AND('POTENCIAL HORAS'!E8,"AAAAAG/P+RY=")</f>
        <v>#VALUE!</v>
      </c>
      <c r="X2" t="e">
        <f>AND('POTENCIAL HORAS'!F8,"AAAAAG/P+Rc=")</f>
        <v>#VALUE!</v>
      </c>
      <c r="Y2" t="e">
        <f>AND('POTENCIAL HORAS'!G8,"AAAAAG/P+Rg=")</f>
        <v>#VALUE!</v>
      </c>
      <c r="Z2" t="e">
        <f>AND('POTENCIAL HORAS'!H8,"AAAAAG/P+Rk=")</f>
        <v>#VALUE!</v>
      </c>
      <c r="AA2" t="e">
        <f>AND('POTENCIAL HORAS'!I8,"AAAAAG/P+Ro=")</f>
        <v>#VALUE!</v>
      </c>
      <c r="AB2" t="e">
        <f>AND('POTENCIAL HORAS'!J8,"AAAAAG/P+Rs=")</f>
        <v>#VALUE!</v>
      </c>
      <c r="AC2" t="e">
        <f>AND('POTENCIAL HORAS'!K8,"AAAAAG/P+Rw=")</f>
        <v>#VALUE!</v>
      </c>
      <c r="AD2" t="e">
        <f>AND('POTENCIAL HORAS'!L8,"AAAAAG/P+R0=")</f>
        <v>#VALUE!</v>
      </c>
      <c r="AE2" t="e">
        <f>AND('POTENCIAL HORAS'!M8,"AAAAAG/P+R4=")</f>
        <v>#VALUE!</v>
      </c>
      <c r="AF2" t="e">
        <f>AND('POTENCIAL HORAS'!N8,"AAAAAG/P+R8=")</f>
        <v>#VALUE!</v>
      </c>
      <c r="AG2" t="e">
        <f>AND('POTENCIAL HORAS'!O8,"AAAAAG/P+SA=")</f>
        <v>#VALUE!</v>
      </c>
      <c r="AH2" t="e">
        <f>AND('POTENCIAL HORAS'!P8,"AAAAAG/P+SE=")</f>
        <v>#VALUE!</v>
      </c>
      <c r="AI2" t="e">
        <f>AND('POTENCIAL HORAS'!#REF!,"AAAAAG/P+SI=")</f>
        <v>#REF!</v>
      </c>
      <c r="AJ2" t="e">
        <f>AND('POTENCIAL HORAS'!#REF!,"AAAAAG/P+SM=")</f>
        <v>#REF!</v>
      </c>
      <c r="AK2" t="e">
        <f>AND('POTENCIAL HORAS'!#REF!,"AAAAAG/P+SQ=")</f>
        <v>#REF!</v>
      </c>
      <c r="AL2" t="e">
        <f>AND('POTENCIAL HORAS'!#REF!,"AAAAAG/P+SU=")</f>
        <v>#REF!</v>
      </c>
      <c r="AM2" t="e">
        <f>AND('POTENCIAL HORAS'!#REF!,"AAAAAG/P+SY=")</f>
        <v>#REF!</v>
      </c>
      <c r="AN2" t="e">
        <f>AND('POTENCIAL HORAS'!#REF!,"AAAAAG/P+Sc=")</f>
        <v>#REF!</v>
      </c>
      <c r="AO2" t="e">
        <f>AND('POTENCIAL HORAS'!#REF!,"AAAAAG/P+Sg=")</f>
        <v>#REF!</v>
      </c>
      <c r="AP2" t="e">
        <f>AND('POTENCIAL HORAS'!#REF!,"AAAAAG/P+Sk=")</f>
        <v>#REF!</v>
      </c>
      <c r="AQ2" t="e">
        <f>AND('POTENCIAL HORAS'!#REF!,"AAAAAG/P+So=")</f>
        <v>#REF!</v>
      </c>
      <c r="AR2" t="e">
        <f>AND('POTENCIAL HORAS'!#REF!,"AAAAAG/P+Ss=")</f>
        <v>#REF!</v>
      </c>
      <c r="AS2" t="e">
        <f>AND('POTENCIAL HORAS'!#REF!,"AAAAAG/P+Sw=")</f>
        <v>#REF!</v>
      </c>
      <c r="AT2" t="e">
        <f>AND('POTENCIAL HORAS'!#REF!,"AAAAAG/P+S0=")</f>
        <v>#REF!</v>
      </c>
      <c r="AU2" t="e">
        <f>AND('POTENCIAL HORAS'!#REF!,"AAAAAG/P+S4=")</f>
        <v>#REF!</v>
      </c>
      <c r="AV2" t="e">
        <f>AND('POTENCIAL HORAS'!#REF!,"AAAAAG/P+S8=")</f>
        <v>#REF!</v>
      </c>
      <c r="AW2" t="e">
        <f>AND('POTENCIAL HORAS'!#REF!,"AAAAAG/P+TA=")</f>
        <v>#REF!</v>
      </c>
      <c r="AX2" t="e">
        <f>AND('POTENCIAL HORAS'!#REF!,"AAAAAG/P+TE=")</f>
        <v>#REF!</v>
      </c>
      <c r="AY2" t="e">
        <f>AND('POTENCIAL HORAS'!#REF!,"AAAAAG/P+TI=")</f>
        <v>#REF!</v>
      </c>
      <c r="AZ2" t="e">
        <f>AND('POTENCIAL HORAS'!#REF!,"AAAAAG/P+TM=")</f>
        <v>#REF!</v>
      </c>
      <c r="BA2" t="e">
        <f>AND('POTENCIAL HORAS'!#REF!,"AAAAAG/P+TQ=")</f>
        <v>#REF!</v>
      </c>
      <c r="BB2" t="e">
        <f>AND('POTENCIAL HORAS'!#REF!,"AAAAAG/P+TU=")</f>
        <v>#REF!</v>
      </c>
      <c r="BC2" t="e">
        <f>AND('POTENCIAL HORAS'!Q8,"AAAAAG/P+TY=")</f>
        <v>#VALUE!</v>
      </c>
      <c r="BD2" t="e">
        <f>AND('POTENCIAL HORAS'!R8,"AAAAAG/P+Tc=")</f>
        <v>#VALUE!</v>
      </c>
      <c r="BE2">
        <f>IF('POTENCIAL HORAS'!9:9,"AAAAAG/P+Tg=",0)</f>
        <v>0</v>
      </c>
      <c r="BF2" t="e">
        <f>AND('POTENCIAL HORAS'!A9,"AAAAAG/P+Tk=")</f>
        <v>#VALUE!</v>
      </c>
      <c r="BG2" t="e">
        <f>AND('POTENCIAL HORAS'!B9,"AAAAAG/P+To=")</f>
        <v>#VALUE!</v>
      </c>
      <c r="BH2" t="e">
        <f>AND('POTENCIAL HORAS'!C9,"AAAAAG/P+Ts=")</f>
        <v>#VALUE!</v>
      </c>
      <c r="BI2" t="e">
        <f>AND('POTENCIAL HORAS'!D9,"AAAAAG/P+Tw=")</f>
        <v>#VALUE!</v>
      </c>
      <c r="BJ2" t="e">
        <f>AND('POTENCIAL HORAS'!E9,"AAAAAG/P+T0=")</f>
        <v>#VALUE!</v>
      </c>
      <c r="BK2" t="e">
        <f>AND('POTENCIAL HORAS'!F9,"AAAAAG/P+T4=")</f>
        <v>#VALUE!</v>
      </c>
      <c r="BL2" t="e">
        <f>AND('POTENCIAL HORAS'!G9,"AAAAAG/P+T8=")</f>
        <v>#VALUE!</v>
      </c>
      <c r="BM2" t="e">
        <f>AND('POTENCIAL HORAS'!H9,"AAAAAG/P+UA=")</f>
        <v>#VALUE!</v>
      </c>
      <c r="BN2" t="e">
        <f>AND('POTENCIAL HORAS'!I9,"AAAAAG/P+UE=")</f>
        <v>#VALUE!</v>
      </c>
      <c r="BO2" t="e">
        <f>AND('POTENCIAL HORAS'!J9,"AAAAAG/P+UI=")</f>
        <v>#VALUE!</v>
      </c>
      <c r="BP2" t="e">
        <f>AND('POTENCIAL HORAS'!K9,"AAAAAG/P+UM=")</f>
        <v>#VALUE!</v>
      </c>
      <c r="BQ2" t="e">
        <f>AND('POTENCIAL HORAS'!L9,"AAAAAG/P+UQ=")</f>
        <v>#VALUE!</v>
      </c>
      <c r="BR2" t="e">
        <f>AND('POTENCIAL HORAS'!M9,"AAAAAG/P+UU=")</f>
        <v>#VALUE!</v>
      </c>
      <c r="BS2" t="e">
        <f>AND('POTENCIAL HORAS'!N9,"AAAAAG/P+UY=")</f>
        <v>#VALUE!</v>
      </c>
      <c r="BT2" t="e">
        <f>AND('POTENCIAL HORAS'!O9,"AAAAAG/P+Uc=")</f>
        <v>#VALUE!</v>
      </c>
      <c r="BU2" t="e">
        <f>AND('POTENCIAL HORAS'!P9,"AAAAAG/P+Ug=")</f>
        <v>#VALUE!</v>
      </c>
      <c r="BV2" t="e">
        <f>AND('POTENCIAL HORAS'!#REF!,"AAAAAG/P+Uk=")</f>
        <v>#REF!</v>
      </c>
      <c r="BW2" t="e">
        <f>AND('POTENCIAL HORAS'!#REF!,"AAAAAG/P+Uo=")</f>
        <v>#REF!</v>
      </c>
      <c r="BX2" t="e">
        <f>AND('POTENCIAL HORAS'!#REF!,"AAAAAG/P+Us=")</f>
        <v>#REF!</v>
      </c>
      <c r="BY2" t="e">
        <f>AND('POTENCIAL HORAS'!#REF!,"AAAAAG/P+Uw=")</f>
        <v>#REF!</v>
      </c>
      <c r="BZ2" t="e">
        <f>AND('POTENCIAL HORAS'!#REF!,"AAAAAG/P+U0=")</f>
        <v>#REF!</v>
      </c>
      <c r="CA2" t="e">
        <f>AND('POTENCIAL HORAS'!#REF!,"AAAAAG/P+U4=")</f>
        <v>#REF!</v>
      </c>
      <c r="CB2" t="e">
        <f>AND('POTENCIAL HORAS'!#REF!,"AAAAAG/P+U8=")</f>
        <v>#REF!</v>
      </c>
      <c r="CC2" t="e">
        <f>AND('POTENCIAL HORAS'!#REF!,"AAAAAG/P+VA=")</f>
        <v>#REF!</v>
      </c>
      <c r="CD2" t="e">
        <f>AND('POTENCIAL HORAS'!#REF!,"AAAAAG/P+VE=")</f>
        <v>#REF!</v>
      </c>
      <c r="CE2" t="e">
        <f>AND('POTENCIAL HORAS'!#REF!,"AAAAAG/P+VI=")</f>
        <v>#REF!</v>
      </c>
      <c r="CF2" t="e">
        <f>AND('POTENCIAL HORAS'!#REF!,"AAAAAG/P+VM=")</f>
        <v>#REF!</v>
      </c>
      <c r="CG2" t="e">
        <f>AND('POTENCIAL HORAS'!#REF!,"AAAAAG/P+VQ=")</f>
        <v>#REF!</v>
      </c>
      <c r="CH2" t="e">
        <f>AND('POTENCIAL HORAS'!#REF!,"AAAAAG/P+VU=")</f>
        <v>#REF!</v>
      </c>
      <c r="CI2" t="e">
        <f>AND('POTENCIAL HORAS'!#REF!,"AAAAAG/P+VY=")</f>
        <v>#REF!</v>
      </c>
      <c r="CJ2" t="e">
        <f>AND('POTENCIAL HORAS'!#REF!,"AAAAAG/P+Vc=")</f>
        <v>#REF!</v>
      </c>
      <c r="CK2" t="e">
        <f>AND('POTENCIAL HORAS'!#REF!,"AAAAAG/P+Vg=")</f>
        <v>#REF!</v>
      </c>
      <c r="CL2" t="e">
        <f>AND('POTENCIAL HORAS'!#REF!,"AAAAAG/P+Vk=")</f>
        <v>#REF!</v>
      </c>
      <c r="CM2" t="e">
        <f>AND('POTENCIAL HORAS'!#REF!,"AAAAAG/P+Vo=")</f>
        <v>#REF!</v>
      </c>
      <c r="CN2" t="e">
        <f>AND('POTENCIAL HORAS'!#REF!,"AAAAAG/P+Vs=")</f>
        <v>#REF!</v>
      </c>
      <c r="CO2" t="e">
        <f>AND('POTENCIAL HORAS'!#REF!,"AAAAAG/P+Vw=")</f>
        <v>#REF!</v>
      </c>
      <c r="CP2" t="e">
        <f>AND('POTENCIAL HORAS'!Q9,"AAAAAG/P+V0=")</f>
        <v>#VALUE!</v>
      </c>
      <c r="CQ2" t="e">
        <f>AND('POTENCIAL HORAS'!R9,"AAAAAG/P+V4=")</f>
        <v>#VALUE!</v>
      </c>
      <c r="CR2">
        <f>IF('POTENCIAL HORAS'!12:12,"AAAAAG/P+V8=",0)</f>
        <v>0</v>
      </c>
      <c r="CS2" t="e">
        <f>AND('POTENCIAL HORAS'!A12,"AAAAAG/P+WA=")</f>
        <v>#VALUE!</v>
      </c>
      <c r="CT2" t="e">
        <f>AND('POTENCIAL HORAS'!B12,"AAAAAG/P+WE=")</f>
        <v>#VALUE!</v>
      </c>
      <c r="CU2" t="e">
        <f>AND('POTENCIAL HORAS'!C12,"AAAAAG/P+WI=")</f>
        <v>#VALUE!</v>
      </c>
      <c r="CV2" t="e">
        <f>AND('POTENCIAL HORAS'!D12,"AAAAAG/P+WM=")</f>
        <v>#VALUE!</v>
      </c>
      <c r="CW2" t="e">
        <f>AND('POTENCIAL HORAS'!E12,"AAAAAG/P+WQ=")</f>
        <v>#VALUE!</v>
      </c>
      <c r="CX2" t="e">
        <f>AND('POTENCIAL HORAS'!F12,"AAAAAG/P+WU=")</f>
        <v>#VALUE!</v>
      </c>
      <c r="CY2" t="e">
        <f>AND('POTENCIAL HORAS'!G12,"AAAAAG/P+WY=")</f>
        <v>#VALUE!</v>
      </c>
      <c r="CZ2" t="e">
        <f>AND('POTENCIAL HORAS'!H12,"AAAAAG/P+Wc=")</f>
        <v>#VALUE!</v>
      </c>
      <c r="DA2" t="e">
        <f>AND('POTENCIAL HORAS'!I12,"AAAAAG/P+Wg=")</f>
        <v>#VALUE!</v>
      </c>
      <c r="DB2" t="e">
        <f>AND('POTENCIAL HORAS'!J12,"AAAAAG/P+Wk=")</f>
        <v>#VALUE!</v>
      </c>
      <c r="DC2" t="e">
        <f>AND('POTENCIAL HORAS'!K12,"AAAAAG/P+Wo=")</f>
        <v>#VALUE!</v>
      </c>
      <c r="DD2" t="e">
        <f>AND('POTENCIAL HORAS'!L12,"AAAAAG/P+Ws=")</f>
        <v>#VALUE!</v>
      </c>
      <c r="DE2" t="e">
        <f>AND('POTENCIAL HORAS'!M12,"AAAAAG/P+Ww=")</f>
        <v>#VALUE!</v>
      </c>
      <c r="DF2" t="e">
        <f>AND('POTENCIAL HORAS'!N12,"AAAAAG/P+W0=")</f>
        <v>#VALUE!</v>
      </c>
      <c r="DG2" t="e">
        <f>AND('POTENCIAL HORAS'!O12,"AAAAAG/P+W4=")</f>
        <v>#VALUE!</v>
      </c>
      <c r="DH2" t="e">
        <f>AND('POTENCIAL HORAS'!P12,"AAAAAG/P+W8=")</f>
        <v>#VALUE!</v>
      </c>
      <c r="DI2" t="e">
        <f>AND('POTENCIAL HORAS'!#REF!,"AAAAAG/P+XA=")</f>
        <v>#REF!</v>
      </c>
      <c r="DJ2" t="e">
        <f>AND('POTENCIAL HORAS'!#REF!,"AAAAAG/P+XE=")</f>
        <v>#REF!</v>
      </c>
      <c r="DK2" t="e">
        <f>AND('POTENCIAL HORAS'!#REF!,"AAAAAG/P+XI=")</f>
        <v>#REF!</v>
      </c>
      <c r="DL2" t="e">
        <f>AND('POTENCIAL HORAS'!#REF!,"AAAAAG/P+XM=")</f>
        <v>#REF!</v>
      </c>
      <c r="DM2" t="e">
        <f>AND('POTENCIAL HORAS'!#REF!,"AAAAAG/P+XQ=")</f>
        <v>#REF!</v>
      </c>
      <c r="DN2" t="e">
        <f>AND('POTENCIAL HORAS'!#REF!,"AAAAAG/P+XU=")</f>
        <v>#REF!</v>
      </c>
      <c r="DO2" t="e">
        <f>AND('POTENCIAL HORAS'!#REF!,"AAAAAG/P+XY=")</f>
        <v>#REF!</v>
      </c>
      <c r="DP2" t="e">
        <f>AND('POTENCIAL HORAS'!#REF!,"AAAAAG/P+Xc=")</f>
        <v>#REF!</v>
      </c>
      <c r="DQ2" t="e">
        <f>AND('POTENCIAL HORAS'!#REF!,"AAAAAG/P+Xg=")</f>
        <v>#REF!</v>
      </c>
      <c r="DR2" t="e">
        <f>AND('POTENCIAL HORAS'!#REF!,"AAAAAG/P+Xk=")</f>
        <v>#REF!</v>
      </c>
      <c r="DS2" t="e">
        <f>AND('POTENCIAL HORAS'!#REF!,"AAAAAG/P+Xo=")</f>
        <v>#REF!</v>
      </c>
      <c r="DT2" t="e">
        <f>AND('POTENCIAL HORAS'!#REF!,"AAAAAG/P+Xs=")</f>
        <v>#REF!</v>
      </c>
      <c r="DU2" t="e">
        <f>AND('POTENCIAL HORAS'!#REF!,"AAAAAG/P+Xw=")</f>
        <v>#REF!</v>
      </c>
      <c r="DV2" t="e">
        <f>AND('POTENCIAL HORAS'!#REF!,"AAAAAG/P+X0=")</f>
        <v>#REF!</v>
      </c>
      <c r="DW2" t="e">
        <f>AND('POTENCIAL HORAS'!#REF!,"AAAAAG/P+X4=")</f>
        <v>#REF!</v>
      </c>
      <c r="DX2" t="e">
        <f>AND('POTENCIAL HORAS'!#REF!,"AAAAAG/P+X8=")</f>
        <v>#REF!</v>
      </c>
      <c r="DY2" t="e">
        <f>AND('POTENCIAL HORAS'!#REF!,"AAAAAG/P+YA=")</f>
        <v>#REF!</v>
      </c>
      <c r="DZ2" t="e">
        <f>AND('POTENCIAL HORAS'!#REF!,"AAAAAG/P+YE=")</f>
        <v>#REF!</v>
      </c>
      <c r="EA2" t="e">
        <f>AND('POTENCIAL HORAS'!#REF!,"AAAAAG/P+YI=")</f>
        <v>#REF!</v>
      </c>
      <c r="EB2" t="e">
        <f>AND('POTENCIAL HORAS'!#REF!,"AAAAAG/P+YM=")</f>
        <v>#REF!</v>
      </c>
      <c r="EC2" t="e">
        <f>AND('POTENCIAL HORAS'!Q12,"AAAAAG/P+YQ=")</f>
        <v>#VALUE!</v>
      </c>
      <c r="ED2" t="e">
        <f>AND('POTENCIAL HORAS'!R12,"AAAAAG/P+YU=")</f>
        <v>#VALUE!</v>
      </c>
      <c r="EE2">
        <f>IF('POTENCIAL HORAS'!14:14,"AAAAAG/P+YY=",0)</f>
        <v>0</v>
      </c>
      <c r="EF2" t="e">
        <f>AND('POTENCIAL HORAS'!A14,"AAAAAG/P+Yc=")</f>
        <v>#VALUE!</v>
      </c>
      <c r="EG2" t="e">
        <f>AND('POTENCIAL HORAS'!B14,"AAAAAG/P+Yg=")</f>
        <v>#VALUE!</v>
      </c>
      <c r="EH2" t="e">
        <f>AND('POTENCIAL HORAS'!C14,"AAAAAG/P+Yk=")</f>
        <v>#VALUE!</v>
      </c>
      <c r="EI2" t="e">
        <f>AND('POTENCIAL HORAS'!D14,"AAAAAG/P+Yo=")</f>
        <v>#VALUE!</v>
      </c>
      <c r="EJ2" t="e">
        <f>AND('POTENCIAL HORAS'!E14,"AAAAAG/P+Ys=")</f>
        <v>#VALUE!</v>
      </c>
      <c r="EK2" t="e">
        <f>AND('POTENCIAL HORAS'!F14,"AAAAAG/P+Yw=")</f>
        <v>#VALUE!</v>
      </c>
      <c r="EL2" t="e">
        <f>AND('POTENCIAL HORAS'!G14,"AAAAAG/P+Y0=")</f>
        <v>#VALUE!</v>
      </c>
      <c r="EM2" t="e">
        <f>AND('POTENCIAL HORAS'!H14,"AAAAAG/P+Y4=")</f>
        <v>#VALUE!</v>
      </c>
      <c r="EN2" t="e">
        <f>AND('POTENCIAL HORAS'!I14,"AAAAAG/P+Y8=")</f>
        <v>#VALUE!</v>
      </c>
      <c r="EO2" t="e">
        <f>AND('POTENCIAL HORAS'!J14,"AAAAAG/P+ZA=")</f>
        <v>#VALUE!</v>
      </c>
      <c r="EP2" t="e">
        <f>AND('POTENCIAL HORAS'!K14,"AAAAAG/P+ZE=")</f>
        <v>#VALUE!</v>
      </c>
      <c r="EQ2" t="e">
        <f>AND('POTENCIAL HORAS'!L14,"AAAAAG/P+ZI=")</f>
        <v>#VALUE!</v>
      </c>
      <c r="ER2" t="e">
        <f>AND('POTENCIAL HORAS'!M14,"AAAAAG/P+ZM=")</f>
        <v>#VALUE!</v>
      </c>
      <c r="ES2" t="e">
        <f>AND('POTENCIAL HORAS'!N14,"AAAAAG/P+ZQ=")</f>
        <v>#VALUE!</v>
      </c>
      <c r="ET2" t="e">
        <f>AND('POTENCIAL HORAS'!O14,"AAAAAG/P+ZU=")</f>
        <v>#VALUE!</v>
      </c>
      <c r="EU2" t="e">
        <f>AND('POTENCIAL HORAS'!P14,"AAAAAG/P+ZY=")</f>
        <v>#VALUE!</v>
      </c>
      <c r="EV2" t="e">
        <f>AND('POTENCIAL HORAS'!#REF!,"AAAAAG/P+Zc=")</f>
        <v>#REF!</v>
      </c>
      <c r="EW2" t="e">
        <f>AND('POTENCIAL HORAS'!#REF!,"AAAAAG/P+Zg=")</f>
        <v>#REF!</v>
      </c>
      <c r="EX2" t="e">
        <f>AND('POTENCIAL HORAS'!#REF!,"AAAAAG/P+Zk=")</f>
        <v>#REF!</v>
      </c>
      <c r="EY2" t="e">
        <f>AND('POTENCIAL HORAS'!#REF!,"AAAAAG/P+Zo=")</f>
        <v>#REF!</v>
      </c>
      <c r="EZ2" t="e">
        <f>AND('POTENCIAL HORAS'!#REF!,"AAAAAG/P+Zs=")</f>
        <v>#REF!</v>
      </c>
      <c r="FA2" t="e">
        <f>AND('POTENCIAL HORAS'!#REF!,"AAAAAG/P+Zw=")</f>
        <v>#REF!</v>
      </c>
      <c r="FB2" t="e">
        <f>AND('POTENCIAL HORAS'!#REF!,"AAAAAG/P+Z0=")</f>
        <v>#REF!</v>
      </c>
      <c r="FC2" t="e">
        <f>AND('POTENCIAL HORAS'!#REF!,"AAAAAG/P+Z4=")</f>
        <v>#REF!</v>
      </c>
      <c r="FD2" t="e">
        <f>AND('POTENCIAL HORAS'!#REF!,"AAAAAG/P+Z8=")</f>
        <v>#REF!</v>
      </c>
      <c r="FE2" t="e">
        <f>AND('POTENCIAL HORAS'!#REF!,"AAAAAG/P+aA=")</f>
        <v>#REF!</v>
      </c>
      <c r="FF2" t="e">
        <f>AND('POTENCIAL HORAS'!#REF!,"AAAAAG/P+aE=")</f>
        <v>#REF!</v>
      </c>
      <c r="FG2" t="e">
        <f>AND('POTENCIAL HORAS'!#REF!,"AAAAAG/P+aI=")</f>
        <v>#REF!</v>
      </c>
      <c r="FH2" t="e">
        <f>AND('POTENCIAL HORAS'!#REF!,"AAAAAG/P+aM=")</f>
        <v>#REF!</v>
      </c>
      <c r="FI2" t="e">
        <f>AND('POTENCIAL HORAS'!#REF!,"AAAAAG/P+aQ=")</f>
        <v>#REF!</v>
      </c>
      <c r="FJ2" t="e">
        <f>AND('POTENCIAL HORAS'!#REF!,"AAAAAG/P+aU=")</f>
        <v>#REF!</v>
      </c>
      <c r="FK2" t="e">
        <f>AND('POTENCIAL HORAS'!#REF!,"AAAAAG/P+aY=")</f>
        <v>#REF!</v>
      </c>
      <c r="FL2" t="e">
        <f>AND('POTENCIAL HORAS'!#REF!,"AAAAAG/P+ac=")</f>
        <v>#REF!</v>
      </c>
      <c r="FM2" t="e">
        <f>AND('POTENCIAL HORAS'!#REF!,"AAAAAG/P+ag=")</f>
        <v>#REF!</v>
      </c>
      <c r="FN2" t="e">
        <f>AND('POTENCIAL HORAS'!#REF!,"AAAAAG/P+ak=")</f>
        <v>#REF!</v>
      </c>
      <c r="FO2" t="e">
        <f>AND('POTENCIAL HORAS'!#REF!,"AAAAAG/P+ao=")</f>
        <v>#REF!</v>
      </c>
      <c r="FP2" t="e">
        <f>AND('POTENCIAL HORAS'!Q14,"AAAAAG/P+as=")</f>
        <v>#VALUE!</v>
      </c>
      <c r="FQ2" t="e">
        <f>AND('POTENCIAL HORAS'!R14,"AAAAAG/P+aw=")</f>
        <v>#VALUE!</v>
      </c>
      <c r="FR2">
        <f>IF('POTENCIAL HORAS'!16:16,"AAAAAG/P+a0=",0)</f>
        <v>0</v>
      </c>
      <c r="FS2" t="e">
        <f>AND('POTENCIAL HORAS'!A16,"AAAAAG/P+a4=")</f>
        <v>#VALUE!</v>
      </c>
      <c r="FT2" t="e">
        <f>AND('POTENCIAL HORAS'!B16,"AAAAAG/P+a8=")</f>
        <v>#VALUE!</v>
      </c>
      <c r="FU2" t="e">
        <f>AND('POTENCIAL HORAS'!C16,"AAAAAG/P+bA=")</f>
        <v>#VALUE!</v>
      </c>
      <c r="FV2" t="e">
        <f>AND('POTENCIAL HORAS'!D16,"AAAAAG/P+bE=")</f>
        <v>#VALUE!</v>
      </c>
      <c r="FW2" t="e">
        <f>AND('POTENCIAL HORAS'!E16,"AAAAAG/P+bI=")</f>
        <v>#VALUE!</v>
      </c>
      <c r="FX2" t="e">
        <f>AND('POTENCIAL HORAS'!F16,"AAAAAG/P+bM=")</f>
        <v>#VALUE!</v>
      </c>
      <c r="FY2" t="e">
        <f>AND('POTENCIAL HORAS'!G16,"AAAAAG/P+bQ=")</f>
        <v>#VALUE!</v>
      </c>
      <c r="FZ2" t="e">
        <f>AND('POTENCIAL HORAS'!H16,"AAAAAG/P+bU=")</f>
        <v>#VALUE!</v>
      </c>
      <c r="GA2" t="e">
        <f>AND('POTENCIAL HORAS'!I16,"AAAAAG/P+bY=")</f>
        <v>#VALUE!</v>
      </c>
      <c r="GB2" t="e">
        <f>AND('POTENCIAL HORAS'!J16,"AAAAAG/P+bc=")</f>
        <v>#VALUE!</v>
      </c>
      <c r="GC2" t="e">
        <f>AND('POTENCIAL HORAS'!K16,"AAAAAG/P+bg=")</f>
        <v>#VALUE!</v>
      </c>
      <c r="GD2" t="e">
        <f>AND('POTENCIAL HORAS'!L16,"AAAAAG/P+bk=")</f>
        <v>#VALUE!</v>
      </c>
      <c r="GE2" t="e">
        <f>AND('POTENCIAL HORAS'!M16,"AAAAAG/P+bo=")</f>
        <v>#VALUE!</v>
      </c>
      <c r="GF2" t="e">
        <f>AND('POTENCIAL HORAS'!N16,"AAAAAG/P+bs=")</f>
        <v>#VALUE!</v>
      </c>
      <c r="GG2" t="e">
        <f>AND('POTENCIAL HORAS'!O16,"AAAAAG/P+bw=")</f>
        <v>#VALUE!</v>
      </c>
      <c r="GH2" t="e">
        <f>AND('POTENCIAL HORAS'!P16,"AAAAAG/P+b0=")</f>
        <v>#VALUE!</v>
      </c>
      <c r="GI2" t="e">
        <f>AND('POTENCIAL HORAS'!#REF!,"AAAAAG/P+b4=")</f>
        <v>#REF!</v>
      </c>
      <c r="GJ2" t="e">
        <f>AND('POTENCIAL HORAS'!#REF!,"AAAAAG/P+b8=")</f>
        <v>#REF!</v>
      </c>
      <c r="GK2" t="e">
        <f>AND('POTENCIAL HORAS'!#REF!,"AAAAAG/P+cA=")</f>
        <v>#REF!</v>
      </c>
      <c r="GL2" t="e">
        <f>AND('POTENCIAL HORAS'!#REF!,"AAAAAG/P+cE=")</f>
        <v>#REF!</v>
      </c>
      <c r="GM2" t="e">
        <f>AND('POTENCIAL HORAS'!#REF!,"AAAAAG/P+cI=")</f>
        <v>#REF!</v>
      </c>
      <c r="GN2" t="e">
        <f>AND('POTENCIAL HORAS'!#REF!,"AAAAAG/P+cM=")</f>
        <v>#REF!</v>
      </c>
      <c r="GO2" t="e">
        <f>AND('POTENCIAL HORAS'!#REF!,"AAAAAG/P+cQ=")</f>
        <v>#REF!</v>
      </c>
      <c r="GP2" t="e">
        <f>AND('POTENCIAL HORAS'!#REF!,"AAAAAG/P+cU=")</f>
        <v>#REF!</v>
      </c>
      <c r="GQ2" t="e">
        <f>AND('POTENCIAL HORAS'!#REF!,"AAAAAG/P+cY=")</f>
        <v>#REF!</v>
      </c>
      <c r="GR2" t="e">
        <f>AND('POTENCIAL HORAS'!#REF!,"AAAAAG/P+cc=")</f>
        <v>#REF!</v>
      </c>
      <c r="GS2" t="e">
        <f>AND('POTENCIAL HORAS'!#REF!,"AAAAAG/P+cg=")</f>
        <v>#REF!</v>
      </c>
      <c r="GT2" t="e">
        <f>AND('POTENCIAL HORAS'!#REF!,"AAAAAG/P+ck=")</f>
        <v>#REF!</v>
      </c>
      <c r="GU2" t="e">
        <f>AND('POTENCIAL HORAS'!#REF!,"AAAAAG/P+co=")</f>
        <v>#REF!</v>
      </c>
      <c r="GV2" t="e">
        <f>AND('POTENCIAL HORAS'!#REF!,"AAAAAG/P+cs=")</f>
        <v>#REF!</v>
      </c>
      <c r="GW2" t="e">
        <f>AND('POTENCIAL HORAS'!#REF!,"AAAAAG/P+cw=")</f>
        <v>#REF!</v>
      </c>
      <c r="GX2" t="e">
        <f>AND('POTENCIAL HORAS'!#REF!,"AAAAAG/P+c0=")</f>
        <v>#REF!</v>
      </c>
      <c r="GY2" t="e">
        <f>AND('POTENCIAL HORAS'!#REF!,"AAAAAG/P+c4=")</f>
        <v>#REF!</v>
      </c>
      <c r="GZ2" t="e">
        <f>AND('POTENCIAL HORAS'!#REF!,"AAAAAG/P+c8=")</f>
        <v>#REF!</v>
      </c>
      <c r="HA2" t="e">
        <f>AND('POTENCIAL HORAS'!#REF!,"AAAAAG/P+dA=")</f>
        <v>#REF!</v>
      </c>
      <c r="HB2" t="e">
        <f>AND('POTENCIAL HORAS'!#REF!,"AAAAAG/P+dE=")</f>
        <v>#REF!</v>
      </c>
      <c r="HC2" t="e">
        <f>AND('POTENCIAL HORAS'!Q16,"AAAAAG/P+dI=")</f>
        <v>#VALUE!</v>
      </c>
      <c r="HD2" t="e">
        <f>AND('POTENCIAL HORAS'!R16,"AAAAAG/P+dM=")</f>
        <v>#VALUE!</v>
      </c>
      <c r="HE2">
        <f>IF('POTENCIAL HORAS'!18:18,"AAAAAG/P+dQ=",0)</f>
        <v>0</v>
      </c>
      <c r="HF2" t="e">
        <f>AND('POTENCIAL HORAS'!A18,"AAAAAG/P+dU=")</f>
        <v>#VALUE!</v>
      </c>
      <c r="HG2" t="e">
        <f>AND('POTENCIAL HORAS'!B18,"AAAAAG/P+dY=")</f>
        <v>#VALUE!</v>
      </c>
      <c r="HH2" t="e">
        <f>AND('POTENCIAL HORAS'!C18,"AAAAAG/P+dc=")</f>
        <v>#VALUE!</v>
      </c>
      <c r="HI2" t="e">
        <f>AND('POTENCIAL HORAS'!D18,"AAAAAG/P+dg=")</f>
        <v>#VALUE!</v>
      </c>
      <c r="HJ2" t="e">
        <f>AND('POTENCIAL HORAS'!E18,"AAAAAG/P+dk=")</f>
        <v>#VALUE!</v>
      </c>
      <c r="HK2" t="e">
        <f>AND('POTENCIAL HORAS'!F18,"AAAAAG/P+do=")</f>
        <v>#VALUE!</v>
      </c>
      <c r="HL2" t="e">
        <f>AND('POTENCIAL HORAS'!G18,"AAAAAG/P+ds=")</f>
        <v>#VALUE!</v>
      </c>
      <c r="HM2" t="e">
        <f>AND('POTENCIAL HORAS'!H18,"AAAAAG/P+dw=")</f>
        <v>#VALUE!</v>
      </c>
      <c r="HN2" t="e">
        <f>AND('POTENCIAL HORAS'!I18,"AAAAAG/P+d0=")</f>
        <v>#VALUE!</v>
      </c>
      <c r="HO2" t="e">
        <f>AND('POTENCIAL HORAS'!J18,"AAAAAG/P+d4=")</f>
        <v>#VALUE!</v>
      </c>
      <c r="HP2" t="e">
        <f>AND('POTENCIAL HORAS'!K18,"AAAAAG/P+d8=")</f>
        <v>#VALUE!</v>
      </c>
      <c r="HQ2" t="e">
        <f>AND('POTENCIAL HORAS'!L18,"AAAAAG/P+eA=")</f>
        <v>#VALUE!</v>
      </c>
      <c r="HR2" t="e">
        <f>AND('POTENCIAL HORAS'!M18,"AAAAAG/P+eE=")</f>
        <v>#VALUE!</v>
      </c>
      <c r="HS2" t="e">
        <f>AND('POTENCIAL HORAS'!N18,"AAAAAG/P+eI=")</f>
        <v>#VALUE!</v>
      </c>
      <c r="HT2" t="e">
        <f>AND('POTENCIAL HORAS'!O18,"AAAAAG/P+eM=")</f>
        <v>#VALUE!</v>
      </c>
      <c r="HU2" t="e">
        <f>AND('POTENCIAL HORAS'!P18,"AAAAAG/P+eQ=")</f>
        <v>#VALUE!</v>
      </c>
      <c r="HV2" t="e">
        <f>AND('POTENCIAL HORAS'!#REF!,"AAAAAG/P+eU=")</f>
        <v>#REF!</v>
      </c>
      <c r="HW2" t="e">
        <f>AND('POTENCIAL HORAS'!#REF!,"AAAAAG/P+eY=")</f>
        <v>#REF!</v>
      </c>
      <c r="HX2" t="e">
        <f>AND('POTENCIAL HORAS'!#REF!,"AAAAAG/P+ec=")</f>
        <v>#REF!</v>
      </c>
      <c r="HY2" t="e">
        <f>AND('POTENCIAL HORAS'!#REF!,"AAAAAG/P+eg=")</f>
        <v>#REF!</v>
      </c>
      <c r="HZ2" t="e">
        <f>AND('POTENCIAL HORAS'!#REF!,"AAAAAG/P+ek=")</f>
        <v>#REF!</v>
      </c>
      <c r="IA2" t="e">
        <f>AND('POTENCIAL HORAS'!#REF!,"AAAAAG/P+eo=")</f>
        <v>#REF!</v>
      </c>
      <c r="IB2" t="e">
        <f>AND('POTENCIAL HORAS'!#REF!,"AAAAAG/P+es=")</f>
        <v>#REF!</v>
      </c>
      <c r="IC2" t="e">
        <f>AND('POTENCIAL HORAS'!#REF!,"AAAAAG/P+ew=")</f>
        <v>#REF!</v>
      </c>
      <c r="ID2" t="e">
        <f>AND('POTENCIAL HORAS'!#REF!,"AAAAAG/P+e0=")</f>
        <v>#REF!</v>
      </c>
      <c r="IE2" t="e">
        <f>AND('POTENCIAL HORAS'!#REF!,"AAAAAG/P+e4=")</f>
        <v>#REF!</v>
      </c>
      <c r="IF2" t="e">
        <f>AND('POTENCIAL HORAS'!#REF!,"AAAAAG/P+e8=")</f>
        <v>#REF!</v>
      </c>
      <c r="IG2" t="e">
        <f>AND('POTENCIAL HORAS'!#REF!,"AAAAAG/P+fA=")</f>
        <v>#REF!</v>
      </c>
      <c r="IH2" t="e">
        <f>AND('POTENCIAL HORAS'!#REF!,"AAAAAG/P+fE=")</f>
        <v>#REF!</v>
      </c>
      <c r="II2" t="e">
        <f>AND('POTENCIAL HORAS'!#REF!,"AAAAAG/P+fI=")</f>
        <v>#REF!</v>
      </c>
      <c r="IJ2" t="e">
        <f>AND('POTENCIAL HORAS'!#REF!,"AAAAAG/P+fM=")</f>
        <v>#REF!</v>
      </c>
      <c r="IK2" t="e">
        <f>AND('POTENCIAL HORAS'!#REF!,"AAAAAG/P+fQ=")</f>
        <v>#REF!</v>
      </c>
      <c r="IL2" t="e">
        <f>AND('POTENCIAL HORAS'!#REF!,"AAAAAG/P+fU=")</f>
        <v>#REF!</v>
      </c>
      <c r="IM2" t="e">
        <f>AND('POTENCIAL HORAS'!#REF!,"AAAAAG/P+fY=")</f>
        <v>#REF!</v>
      </c>
      <c r="IN2" t="e">
        <f>AND('POTENCIAL HORAS'!#REF!,"AAAAAG/P+fc=")</f>
        <v>#REF!</v>
      </c>
      <c r="IO2" t="e">
        <f>AND('POTENCIAL HORAS'!#REF!,"AAAAAG/P+fg=")</f>
        <v>#REF!</v>
      </c>
      <c r="IP2" t="e">
        <f>AND('POTENCIAL HORAS'!Q18,"AAAAAG/P+fk=")</f>
        <v>#VALUE!</v>
      </c>
      <c r="IQ2" t="e">
        <f>AND('POTENCIAL HORAS'!R18,"AAAAAG/P+fo=")</f>
        <v>#VALUE!</v>
      </c>
      <c r="IR2">
        <f>IF('POTENCIAL HORAS'!19:19,"AAAAAG/P+fs=",0)</f>
        <v>0</v>
      </c>
      <c r="IS2" t="e">
        <f>AND('POTENCIAL HORAS'!A19,"AAAAAG/P+fw=")</f>
        <v>#VALUE!</v>
      </c>
      <c r="IT2" t="e">
        <f>AND('POTENCIAL HORAS'!B19,"AAAAAG/P+f0=")</f>
        <v>#VALUE!</v>
      </c>
      <c r="IU2" t="e">
        <f>AND('POTENCIAL HORAS'!C19,"AAAAAG/P+f4=")</f>
        <v>#VALUE!</v>
      </c>
      <c r="IV2" t="e">
        <f>AND('POTENCIAL HORAS'!D19,"AAAAAG/P+f8=")</f>
        <v>#VALUE!</v>
      </c>
    </row>
    <row r="3" spans="1:256" x14ac:dyDescent="0.2">
      <c r="A3" t="e">
        <f>AND('POTENCIAL HORAS'!E19,"AAAAAF74dwA=")</f>
        <v>#VALUE!</v>
      </c>
      <c r="B3" t="e">
        <f>AND('POTENCIAL HORAS'!F19,"AAAAAF74dwE=")</f>
        <v>#VALUE!</v>
      </c>
      <c r="C3" t="e">
        <f>AND('POTENCIAL HORAS'!G19,"AAAAAF74dwI=")</f>
        <v>#VALUE!</v>
      </c>
      <c r="D3" t="e">
        <f>AND('POTENCIAL HORAS'!H19,"AAAAAF74dwM=")</f>
        <v>#VALUE!</v>
      </c>
      <c r="E3" t="e">
        <f>AND('POTENCIAL HORAS'!I19,"AAAAAF74dwQ=")</f>
        <v>#VALUE!</v>
      </c>
      <c r="F3" t="e">
        <f>AND('POTENCIAL HORAS'!J19,"AAAAAF74dwU=")</f>
        <v>#VALUE!</v>
      </c>
      <c r="G3" t="e">
        <f>AND('POTENCIAL HORAS'!K19,"AAAAAF74dwY=")</f>
        <v>#VALUE!</v>
      </c>
      <c r="H3" t="e">
        <f>AND('POTENCIAL HORAS'!L19,"AAAAAF74dwc=")</f>
        <v>#VALUE!</v>
      </c>
      <c r="I3" t="e">
        <f>AND('POTENCIAL HORAS'!M19,"AAAAAF74dwg=")</f>
        <v>#VALUE!</v>
      </c>
      <c r="J3" t="e">
        <f>AND('POTENCIAL HORAS'!N19,"AAAAAF74dwk=")</f>
        <v>#VALUE!</v>
      </c>
      <c r="K3" t="e">
        <f>AND('POTENCIAL HORAS'!O19,"AAAAAF74dwo=")</f>
        <v>#VALUE!</v>
      </c>
      <c r="L3" t="e">
        <f>AND('POTENCIAL HORAS'!P19,"AAAAAF74dws=")</f>
        <v>#VALUE!</v>
      </c>
      <c r="M3" t="e">
        <f>AND('POTENCIAL HORAS'!#REF!,"AAAAAF74dww=")</f>
        <v>#REF!</v>
      </c>
      <c r="N3" t="e">
        <f>AND('POTENCIAL HORAS'!#REF!,"AAAAAF74dw0=")</f>
        <v>#REF!</v>
      </c>
      <c r="O3" t="e">
        <f>AND('POTENCIAL HORAS'!#REF!,"AAAAAF74dw4=")</f>
        <v>#REF!</v>
      </c>
      <c r="P3" t="e">
        <f>AND('POTENCIAL HORAS'!#REF!,"AAAAAF74dw8=")</f>
        <v>#REF!</v>
      </c>
      <c r="Q3" t="e">
        <f>AND('POTENCIAL HORAS'!#REF!,"AAAAAF74dxA=")</f>
        <v>#REF!</v>
      </c>
      <c r="R3" t="e">
        <f>AND('POTENCIAL HORAS'!#REF!,"AAAAAF74dxE=")</f>
        <v>#REF!</v>
      </c>
      <c r="S3" t="e">
        <f>AND('POTENCIAL HORAS'!#REF!,"AAAAAF74dxI=")</f>
        <v>#REF!</v>
      </c>
      <c r="T3" t="e">
        <f>AND('POTENCIAL HORAS'!#REF!,"AAAAAF74dxM=")</f>
        <v>#REF!</v>
      </c>
      <c r="U3" t="e">
        <f>AND('POTENCIAL HORAS'!#REF!,"AAAAAF74dxQ=")</f>
        <v>#REF!</v>
      </c>
      <c r="V3" t="e">
        <f>AND('POTENCIAL HORAS'!#REF!,"AAAAAF74dxU=")</f>
        <v>#REF!</v>
      </c>
      <c r="W3" t="e">
        <f>AND('POTENCIAL HORAS'!#REF!,"AAAAAF74dxY=")</f>
        <v>#REF!</v>
      </c>
      <c r="X3" t="e">
        <f>AND('POTENCIAL HORAS'!#REF!,"AAAAAF74dxc=")</f>
        <v>#REF!</v>
      </c>
      <c r="Y3" t="e">
        <f>AND('POTENCIAL HORAS'!#REF!,"AAAAAF74dxg=")</f>
        <v>#REF!</v>
      </c>
      <c r="Z3" t="e">
        <f>AND('POTENCIAL HORAS'!#REF!,"AAAAAF74dxk=")</f>
        <v>#REF!</v>
      </c>
      <c r="AA3" t="e">
        <f>AND('POTENCIAL HORAS'!#REF!,"AAAAAF74dxo=")</f>
        <v>#REF!</v>
      </c>
      <c r="AB3" t="e">
        <f>AND('POTENCIAL HORAS'!#REF!,"AAAAAF74dxs=")</f>
        <v>#REF!</v>
      </c>
      <c r="AC3" t="e">
        <f>AND('POTENCIAL HORAS'!#REF!,"AAAAAF74dxw=")</f>
        <v>#REF!</v>
      </c>
      <c r="AD3" t="e">
        <f>AND('POTENCIAL HORAS'!#REF!,"AAAAAF74dx0=")</f>
        <v>#REF!</v>
      </c>
      <c r="AE3" t="e">
        <f>AND('POTENCIAL HORAS'!#REF!,"AAAAAF74dx4=")</f>
        <v>#REF!</v>
      </c>
      <c r="AF3" t="e">
        <f>AND('POTENCIAL HORAS'!#REF!,"AAAAAF74dx8=")</f>
        <v>#REF!</v>
      </c>
      <c r="AG3" t="e">
        <f>AND('POTENCIAL HORAS'!Q19,"AAAAAF74dyA=")</f>
        <v>#VALUE!</v>
      </c>
      <c r="AH3" t="e">
        <f>AND('POTENCIAL HORAS'!R19,"AAAAAF74dyE=")</f>
        <v>#VALUE!</v>
      </c>
      <c r="AI3">
        <f>IF('POTENCIAL HORAS'!20:20,"AAAAAF74dyI=",0)</f>
        <v>0</v>
      </c>
      <c r="AJ3" t="e">
        <f>AND('POTENCIAL HORAS'!A20,"AAAAAF74dyM=")</f>
        <v>#VALUE!</v>
      </c>
      <c r="AK3" t="e">
        <f>AND('POTENCIAL HORAS'!B20,"AAAAAF74dyQ=")</f>
        <v>#VALUE!</v>
      </c>
      <c r="AL3" t="e">
        <f>AND('POTENCIAL HORAS'!C20,"AAAAAF74dyU=")</f>
        <v>#VALUE!</v>
      </c>
      <c r="AM3" t="e">
        <f>AND('POTENCIAL HORAS'!D20,"AAAAAF74dyY=")</f>
        <v>#VALUE!</v>
      </c>
      <c r="AN3" t="e">
        <f>AND('POTENCIAL HORAS'!E20,"AAAAAF74dyc=")</f>
        <v>#VALUE!</v>
      </c>
      <c r="AO3" t="e">
        <f>AND('POTENCIAL HORAS'!F20,"AAAAAF74dyg=")</f>
        <v>#VALUE!</v>
      </c>
      <c r="AP3" t="e">
        <f>AND('POTENCIAL HORAS'!G20,"AAAAAF74dyk=")</f>
        <v>#VALUE!</v>
      </c>
      <c r="AQ3" t="e">
        <f>AND('POTENCIAL HORAS'!H20,"AAAAAF74dyo=")</f>
        <v>#VALUE!</v>
      </c>
      <c r="AR3" t="e">
        <f>AND('POTENCIAL HORAS'!I20,"AAAAAF74dys=")</f>
        <v>#VALUE!</v>
      </c>
      <c r="AS3" t="e">
        <f>AND('POTENCIAL HORAS'!J20,"AAAAAF74dyw=")</f>
        <v>#VALUE!</v>
      </c>
      <c r="AT3" t="e">
        <f>AND('POTENCIAL HORAS'!K20,"AAAAAF74dy0=")</f>
        <v>#VALUE!</v>
      </c>
      <c r="AU3" t="e">
        <f>AND('POTENCIAL HORAS'!L20,"AAAAAF74dy4=")</f>
        <v>#VALUE!</v>
      </c>
      <c r="AV3" t="e">
        <f>AND('POTENCIAL HORAS'!M20,"AAAAAF74dy8=")</f>
        <v>#VALUE!</v>
      </c>
      <c r="AW3" t="e">
        <f>AND('POTENCIAL HORAS'!N20,"AAAAAF74dzA=")</f>
        <v>#VALUE!</v>
      </c>
      <c r="AX3" t="e">
        <f>AND('POTENCIAL HORAS'!O20,"AAAAAF74dzE=")</f>
        <v>#VALUE!</v>
      </c>
      <c r="AY3" t="e">
        <f>AND('POTENCIAL HORAS'!P20,"AAAAAF74dzI=")</f>
        <v>#VALUE!</v>
      </c>
      <c r="AZ3" t="e">
        <f>AND('POTENCIAL HORAS'!#REF!,"AAAAAF74dzM=")</f>
        <v>#REF!</v>
      </c>
      <c r="BA3" t="e">
        <f>AND('POTENCIAL HORAS'!#REF!,"AAAAAF74dzQ=")</f>
        <v>#REF!</v>
      </c>
      <c r="BB3" t="e">
        <f>AND('POTENCIAL HORAS'!#REF!,"AAAAAF74dzU=")</f>
        <v>#REF!</v>
      </c>
      <c r="BC3" t="e">
        <f>AND('POTENCIAL HORAS'!#REF!,"AAAAAF74dzY=")</f>
        <v>#REF!</v>
      </c>
      <c r="BD3" t="e">
        <f>AND('POTENCIAL HORAS'!#REF!,"AAAAAF74dzc=")</f>
        <v>#REF!</v>
      </c>
      <c r="BE3" t="e">
        <f>AND('POTENCIAL HORAS'!#REF!,"AAAAAF74dzg=")</f>
        <v>#REF!</v>
      </c>
      <c r="BF3" t="e">
        <f>AND('POTENCIAL HORAS'!#REF!,"AAAAAF74dzk=")</f>
        <v>#REF!</v>
      </c>
      <c r="BG3" t="e">
        <f>AND('POTENCIAL HORAS'!#REF!,"AAAAAF74dzo=")</f>
        <v>#REF!</v>
      </c>
      <c r="BH3" t="e">
        <f>AND('POTENCIAL HORAS'!#REF!,"AAAAAF74dzs=")</f>
        <v>#REF!</v>
      </c>
      <c r="BI3" t="e">
        <f>AND('POTENCIAL HORAS'!#REF!,"AAAAAF74dzw=")</f>
        <v>#REF!</v>
      </c>
      <c r="BJ3" t="e">
        <f>AND('POTENCIAL HORAS'!#REF!,"AAAAAF74dz0=")</f>
        <v>#REF!</v>
      </c>
      <c r="BK3" t="e">
        <f>AND('POTENCIAL HORAS'!#REF!,"AAAAAF74dz4=")</f>
        <v>#REF!</v>
      </c>
      <c r="BL3" t="e">
        <f>AND('POTENCIAL HORAS'!#REF!,"AAAAAF74dz8=")</f>
        <v>#REF!</v>
      </c>
      <c r="BM3" t="e">
        <f>AND('POTENCIAL HORAS'!#REF!,"AAAAAF74d0A=")</f>
        <v>#REF!</v>
      </c>
      <c r="BN3" t="e">
        <f>AND('POTENCIAL HORAS'!#REF!,"AAAAAF74d0E=")</f>
        <v>#REF!</v>
      </c>
      <c r="BO3" t="e">
        <f>AND('POTENCIAL HORAS'!#REF!,"AAAAAF74d0I=")</f>
        <v>#REF!</v>
      </c>
      <c r="BP3" t="e">
        <f>AND('POTENCIAL HORAS'!#REF!,"AAAAAF74d0M=")</f>
        <v>#REF!</v>
      </c>
      <c r="BQ3" t="e">
        <f>AND('POTENCIAL HORAS'!#REF!,"AAAAAF74d0Q=")</f>
        <v>#REF!</v>
      </c>
      <c r="BR3" t="e">
        <f>AND('POTENCIAL HORAS'!#REF!,"AAAAAF74d0U=")</f>
        <v>#REF!</v>
      </c>
      <c r="BS3" t="e">
        <f>AND('POTENCIAL HORAS'!#REF!,"AAAAAF74d0Y=")</f>
        <v>#REF!</v>
      </c>
      <c r="BT3" t="e">
        <f>AND('POTENCIAL HORAS'!Q20,"AAAAAF74d0c=")</f>
        <v>#VALUE!</v>
      </c>
      <c r="BU3" t="e">
        <f>AND('POTENCIAL HORAS'!R20,"AAAAAF74d0g=")</f>
        <v>#VALUE!</v>
      </c>
      <c r="BV3">
        <f>IF('POTENCIAL HORAS'!21:21,"AAAAAF74d0k=",0)</f>
        <v>0</v>
      </c>
      <c r="BW3" t="e">
        <f>AND('POTENCIAL HORAS'!A21,"AAAAAF74d0o=")</f>
        <v>#VALUE!</v>
      </c>
      <c r="BX3" t="e">
        <f>AND('POTENCIAL HORAS'!B21,"AAAAAF74d0s=")</f>
        <v>#VALUE!</v>
      </c>
      <c r="BY3" t="e">
        <f>AND('POTENCIAL HORAS'!C21,"AAAAAF74d0w=")</f>
        <v>#VALUE!</v>
      </c>
      <c r="BZ3" t="e">
        <f>AND('POTENCIAL HORAS'!D21,"AAAAAF74d00=")</f>
        <v>#VALUE!</v>
      </c>
      <c r="CA3" t="e">
        <f>AND('POTENCIAL HORAS'!E21,"AAAAAF74d04=")</f>
        <v>#VALUE!</v>
      </c>
      <c r="CB3" t="e">
        <f>AND('POTENCIAL HORAS'!F21,"AAAAAF74d08=")</f>
        <v>#VALUE!</v>
      </c>
      <c r="CC3" t="e">
        <f>AND('POTENCIAL HORAS'!G21,"AAAAAF74d1A=")</f>
        <v>#VALUE!</v>
      </c>
      <c r="CD3" t="e">
        <f>AND('POTENCIAL HORAS'!H21,"AAAAAF74d1E=")</f>
        <v>#VALUE!</v>
      </c>
      <c r="CE3" t="e">
        <f>AND('POTENCIAL HORAS'!I21,"AAAAAF74d1I=")</f>
        <v>#VALUE!</v>
      </c>
      <c r="CF3" t="e">
        <f>AND('POTENCIAL HORAS'!J21,"AAAAAF74d1M=")</f>
        <v>#VALUE!</v>
      </c>
      <c r="CG3" t="e">
        <f>AND('POTENCIAL HORAS'!K21,"AAAAAF74d1Q=")</f>
        <v>#VALUE!</v>
      </c>
      <c r="CH3" t="e">
        <f>AND('POTENCIAL HORAS'!L21,"AAAAAF74d1U=")</f>
        <v>#VALUE!</v>
      </c>
      <c r="CI3" t="e">
        <f>AND('POTENCIAL HORAS'!M21,"AAAAAF74d1Y=")</f>
        <v>#VALUE!</v>
      </c>
      <c r="CJ3" t="e">
        <f>AND('POTENCIAL HORAS'!N21,"AAAAAF74d1c=")</f>
        <v>#VALUE!</v>
      </c>
      <c r="CK3" t="e">
        <f>AND('POTENCIAL HORAS'!O21,"AAAAAF74d1g=")</f>
        <v>#VALUE!</v>
      </c>
      <c r="CL3" t="e">
        <f>AND('POTENCIAL HORAS'!P21,"AAAAAF74d1k=")</f>
        <v>#VALUE!</v>
      </c>
      <c r="CM3" t="e">
        <f>AND('POTENCIAL HORAS'!#REF!,"AAAAAF74d1o=")</f>
        <v>#REF!</v>
      </c>
      <c r="CN3" t="e">
        <f>AND('POTENCIAL HORAS'!#REF!,"AAAAAF74d1s=")</f>
        <v>#REF!</v>
      </c>
      <c r="CO3" t="e">
        <f>AND('POTENCIAL HORAS'!#REF!,"AAAAAF74d1w=")</f>
        <v>#REF!</v>
      </c>
      <c r="CP3" t="e">
        <f>AND('POTENCIAL HORAS'!#REF!,"AAAAAF74d10=")</f>
        <v>#REF!</v>
      </c>
      <c r="CQ3" t="e">
        <f>AND('POTENCIAL HORAS'!#REF!,"AAAAAF74d14=")</f>
        <v>#REF!</v>
      </c>
      <c r="CR3" t="e">
        <f>AND('POTENCIAL HORAS'!#REF!,"AAAAAF74d18=")</f>
        <v>#REF!</v>
      </c>
      <c r="CS3" t="e">
        <f>AND('POTENCIAL HORAS'!#REF!,"AAAAAF74d2A=")</f>
        <v>#REF!</v>
      </c>
      <c r="CT3" t="e">
        <f>AND('POTENCIAL HORAS'!#REF!,"AAAAAF74d2E=")</f>
        <v>#REF!</v>
      </c>
      <c r="CU3" t="e">
        <f>AND('POTENCIAL HORAS'!#REF!,"AAAAAF74d2I=")</f>
        <v>#REF!</v>
      </c>
      <c r="CV3" t="e">
        <f>AND('POTENCIAL HORAS'!#REF!,"AAAAAF74d2M=")</f>
        <v>#REF!</v>
      </c>
      <c r="CW3" t="e">
        <f>AND('POTENCIAL HORAS'!#REF!,"AAAAAF74d2Q=")</f>
        <v>#REF!</v>
      </c>
      <c r="CX3" t="e">
        <f>AND('POTENCIAL HORAS'!#REF!,"AAAAAF74d2U=")</f>
        <v>#REF!</v>
      </c>
      <c r="CY3" t="e">
        <f>AND('POTENCIAL HORAS'!#REF!,"AAAAAF74d2Y=")</f>
        <v>#REF!</v>
      </c>
      <c r="CZ3" t="e">
        <f>AND('POTENCIAL HORAS'!#REF!,"AAAAAF74d2c=")</f>
        <v>#REF!</v>
      </c>
      <c r="DA3" t="e">
        <f>AND('POTENCIAL HORAS'!#REF!,"AAAAAF74d2g=")</f>
        <v>#REF!</v>
      </c>
      <c r="DB3" t="e">
        <f>AND('POTENCIAL HORAS'!#REF!,"AAAAAF74d2k=")</f>
        <v>#REF!</v>
      </c>
      <c r="DC3" t="e">
        <f>AND('POTENCIAL HORAS'!#REF!,"AAAAAF74d2o=")</f>
        <v>#REF!</v>
      </c>
      <c r="DD3" t="e">
        <f>AND('POTENCIAL HORAS'!#REF!,"AAAAAF74d2s=")</f>
        <v>#REF!</v>
      </c>
      <c r="DE3" t="e">
        <f>AND('POTENCIAL HORAS'!#REF!,"AAAAAF74d2w=")</f>
        <v>#REF!</v>
      </c>
      <c r="DF3" t="e">
        <f>AND('POTENCIAL HORAS'!#REF!,"AAAAAF74d20=")</f>
        <v>#REF!</v>
      </c>
      <c r="DG3" t="e">
        <f>AND('POTENCIAL HORAS'!Q21,"AAAAAF74d24=")</f>
        <v>#VALUE!</v>
      </c>
      <c r="DH3" t="e">
        <f>AND('POTENCIAL HORAS'!R21,"AAAAAF74d28=")</f>
        <v>#VALUE!</v>
      </c>
      <c r="DI3" t="e">
        <f>IF('POTENCIAL HORAS'!#REF!,"AAAAAF74d3A=",0)</f>
        <v>#REF!</v>
      </c>
      <c r="DJ3" t="e">
        <f>AND('POTENCIAL HORAS'!#REF!,"AAAAAF74d3E=")</f>
        <v>#REF!</v>
      </c>
      <c r="DK3" t="e">
        <f>AND('POTENCIAL HORAS'!#REF!,"AAAAAF74d3I=")</f>
        <v>#REF!</v>
      </c>
      <c r="DL3" t="e">
        <f>AND('POTENCIAL HORAS'!#REF!,"AAAAAF74d3M=")</f>
        <v>#REF!</v>
      </c>
      <c r="DM3" t="e">
        <f>AND('POTENCIAL HORAS'!#REF!,"AAAAAF74d3Q=")</f>
        <v>#REF!</v>
      </c>
      <c r="DN3" t="e">
        <f>AND('POTENCIAL HORAS'!#REF!,"AAAAAF74d3U=")</f>
        <v>#REF!</v>
      </c>
      <c r="DO3" t="e">
        <f>AND('POTENCIAL HORAS'!#REF!,"AAAAAF74d3Y=")</f>
        <v>#REF!</v>
      </c>
      <c r="DP3" t="e">
        <f>AND('POTENCIAL HORAS'!#REF!,"AAAAAF74d3c=")</f>
        <v>#REF!</v>
      </c>
      <c r="DQ3" t="e">
        <f>AND('POTENCIAL HORAS'!#REF!,"AAAAAF74d3g=")</f>
        <v>#REF!</v>
      </c>
      <c r="DR3" t="e">
        <f>AND('POTENCIAL HORAS'!#REF!,"AAAAAF74d3k=")</f>
        <v>#REF!</v>
      </c>
      <c r="DS3" t="e">
        <f>AND('POTENCIAL HORAS'!#REF!,"AAAAAF74d3o=")</f>
        <v>#REF!</v>
      </c>
      <c r="DT3" t="e">
        <f>AND('POTENCIAL HORAS'!#REF!,"AAAAAF74d3s=")</f>
        <v>#REF!</v>
      </c>
      <c r="DU3" t="e">
        <f>AND('POTENCIAL HORAS'!#REF!,"AAAAAF74d3w=")</f>
        <v>#REF!</v>
      </c>
      <c r="DV3" t="e">
        <f>AND('POTENCIAL HORAS'!#REF!,"AAAAAF74d30=")</f>
        <v>#REF!</v>
      </c>
      <c r="DW3" t="e">
        <f>AND('POTENCIAL HORAS'!#REF!,"AAAAAF74d34=")</f>
        <v>#REF!</v>
      </c>
      <c r="DX3" t="e">
        <f>AND('POTENCIAL HORAS'!#REF!,"AAAAAF74d38=")</f>
        <v>#REF!</v>
      </c>
      <c r="DY3" t="e">
        <f>AND('POTENCIAL HORAS'!#REF!,"AAAAAF74d4A=")</f>
        <v>#REF!</v>
      </c>
      <c r="DZ3" t="e">
        <f>AND('POTENCIAL HORAS'!#REF!,"AAAAAF74d4E=")</f>
        <v>#REF!</v>
      </c>
      <c r="EA3" t="e">
        <f>AND('POTENCIAL HORAS'!#REF!,"AAAAAF74d4I=")</f>
        <v>#REF!</v>
      </c>
      <c r="EB3" t="e">
        <f>AND('POTENCIAL HORAS'!#REF!,"AAAAAF74d4M=")</f>
        <v>#REF!</v>
      </c>
      <c r="EC3" t="e">
        <f>AND('POTENCIAL HORAS'!#REF!,"AAAAAF74d4Q=")</f>
        <v>#REF!</v>
      </c>
      <c r="ED3" t="e">
        <f>AND('POTENCIAL HORAS'!#REF!,"AAAAAF74d4U=")</f>
        <v>#REF!</v>
      </c>
      <c r="EE3" t="e">
        <f>AND('POTENCIAL HORAS'!#REF!,"AAAAAF74d4Y=")</f>
        <v>#REF!</v>
      </c>
      <c r="EF3" t="e">
        <f>AND('POTENCIAL HORAS'!#REF!,"AAAAAF74d4c=")</f>
        <v>#REF!</v>
      </c>
      <c r="EG3" t="e">
        <f>AND('POTENCIAL HORAS'!#REF!,"AAAAAF74d4g=")</f>
        <v>#REF!</v>
      </c>
      <c r="EH3" t="e">
        <f>AND('POTENCIAL HORAS'!#REF!,"AAAAAF74d4k=")</f>
        <v>#REF!</v>
      </c>
      <c r="EI3" t="e">
        <f>AND('POTENCIAL HORAS'!#REF!,"AAAAAF74d4o=")</f>
        <v>#REF!</v>
      </c>
      <c r="EJ3" t="e">
        <f>AND('POTENCIAL HORAS'!#REF!,"AAAAAF74d4s=")</f>
        <v>#REF!</v>
      </c>
      <c r="EK3" t="e">
        <f>AND('POTENCIAL HORAS'!#REF!,"AAAAAF74d4w=")</f>
        <v>#REF!</v>
      </c>
      <c r="EL3" t="e">
        <f>AND('POTENCIAL HORAS'!#REF!,"AAAAAF74d40=")</f>
        <v>#REF!</v>
      </c>
      <c r="EM3" t="e">
        <f>AND('POTENCIAL HORAS'!#REF!,"AAAAAF74d44=")</f>
        <v>#REF!</v>
      </c>
      <c r="EN3" t="e">
        <f>AND('POTENCIAL HORAS'!#REF!,"AAAAAF74d48=")</f>
        <v>#REF!</v>
      </c>
      <c r="EO3" t="e">
        <f>AND('POTENCIAL HORAS'!#REF!,"AAAAAF74d5A=")</f>
        <v>#REF!</v>
      </c>
      <c r="EP3" t="e">
        <f>AND('POTENCIAL HORAS'!#REF!,"AAAAAF74d5E=")</f>
        <v>#REF!</v>
      </c>
      <c r="EQ3" t="e">
        <f>AND('POTENCIAL HORAS'!#REF!,"AAAAAF74d5I=")</f>
        <v>#REF!</v>
      </c>
      <c r="ER3" t="e">
        <f>AND('POTENCIAL HORAS'!#REF!,"AAAAAF74d5M=")</f>
        <v>#REF!</v>
      </c>
      <c r="ES3" t="e">
        <f>AND('POTENCIAL HORAS'!#REF!,"AAAAAF74d5Q=")</f>
        <v>#REF!</v>
      </c>
      <c r="ET3" t="e">
        <f>AND('POTENCIAL HORAS'!#REF!,"AAAAAF74d5U=")</f>
        <v>#REF!</v>
      </c>
      <c r="EU3" t="e">
        <f>AND('POTENCIAL HORAS'!#REF!,"AAAAAF74d5Y=")</f>
        <v>#REF!</v>
      </c>
      <c r="EV3">
        <f>IF('POTENCIAL HORAS'!22:22,"AAAAAF74d5c=",0)</f>
        <v>0</v>
      </c>
      <c r="EW3" t="e">
        <f>AND('POTENCIAL HORAS'!A22,"AAAAAF74d5g=")</f>
        <v>#VALUE!</v>
      </c>
      <c r="EX3" t="e">
        <f>AND('POTENCIAL HORAS'!B22,"AAAAAF74d5k=")</f>
        <v>#VALUE!</v>
      </c>
      <c r="EY3" t="e">
        <f>AND('POTENCIAL HORAS'!C22,"AAAAAF74d5o=")</f>
        <v>#VALUE!</v>
      </c>
      <c r="EZ3" t="e">
        <f>AND('POTENCIAL HORAS'!D22,"AAAAAF74d5s=")</f>
        <v>#VALUE!</v>
      </c>
      <c r="FA3" t="e">
        <f>AND('POTENCIAL HORAS'!E22,"AAAAAF74d5w=")</f>
        <v>#VALUE!</v>
      </c>
      <c r="FB3" t="e">
        <f>AND('POTENCIAL HORAS'!F22,"AAAAAF74d50=")</f>
        <v>#VALUE!</v>
      </c>
      <c r="FC3" t="e">
        <f>AND('POTENCIAL HORAS'!G22,"AAAAAF74d54=")</f>
        <v>#VALUE!</v>
      </c>
      <c r="FD3" t="e">
        <f>AND('POTENCIAL HORAS'!H22,"AAAAAF74d58=")</f>
        <v>#VALUE!</v>
      </c>
      <c r="FE3" t="e">
        <f>AND('POTENCIAL HORAS'!I22,"AAAAAF74d6A=")</f>
        <v>#VALUE!</v>
      </c>
      <c r="FF3" t="e">
        <f>AND('POTENCIAL HORAS'!J22,"AAAAAF74d6E=")</f>
        <v>#VALUE!</v>
      </c>
      <c r="FG3" t="e">
        <f>AND('POTENCIAL HORAS'!K22,"AAAAAF74d6I=")</f>
        <v>#VALUE!</v>
      </c>
      <c r="FH3" t="e">
        <f>AND('POTENCIAL HORAS'!L22,"AAAAAF74d6M=")</f>
        <v>#VALUE!</v>
      </c>
      <c r="FI3" t="e">
        <f>AND('POTENCIAL HORAS'!M22,"AAAAAF74d6Q=")</f>
        <v>#VALUE!</v>
      </c>
      <c r="FJ3" t="e">
        <f>AND('POTENCIAL HORAS'!N22,"AAAAAF74d6U=")</f>
        <v>#VALUE!</v>
      </c>
      <c r="FK3" t="e">
        <f>AND('POTENCIAL HORAS'!O22,"AAAAAF74d6Y=")</f>
        <v>#VALUE!</v>
      </c>
      <c r="FL3" t="e">
        <f>AND('POTENCIAL HORAS'!P22,"AAAAAF74d6c=")</f>
        <v>#VALUE!</v>
      </c>
      <c r="FM3" t="e">
        <f>AND('POTENCIAL HORAS'!#REF!,"AAAAAF74d6g=")</f>
        <v>#REF!</v>
      </c>
      <c r="FN3" t="e">
        <f>AND('POTENCIAL HORAS'!#REF!,"AAAAAF74d6k=")</f>
        <v>#REF!</v>
      </c>
      <c r="FO3" t="e">
        <f>AND('POTENCIAL HORAS'!#REF!,"AAAAAF74d6o=")</f>
        <v>#REF!</v>
      </c>
      <c r="FP3" t="e">
        <f>AND('POTENCIAL HORAS'!#REF!,"AAAAAF74d6s=")</f>
        <v>#REF!</v>
      </c>
      <c r="FQ3" t="e">
        <f>AND('POTENCIAL HORAS'!#REF!,"AAAAAF74d6w=")</f>
        <v>#REF!</v>
      </c>
      <c r="FR3" t="e">
        <f>AND('POTENCIAL HORAS'!#REF!,"AAAAAF74d60=")</f>
        <v>#REF!</v>
      </c>
      <c r="FS3" t="e">
        <f>AND('POTENCIAL HORAS'!#REF!,"AAAAAF74d64=")</f>
        <v>#REF!</v>
      </c>
      <c r="FT3" t="e">
        <f>AND('POTENCIAL HORAS'!#REF!,"AAAAAF74d68=")</f>
        <v>#REF!</v>
      </c>
      <c r="FU3" t="e">
        <f>AND('POTENCIAL HORAS'!#REF!,"AAAAAF74d7A=")</f>
        <v>#REF!</v>
      </c>
      <c r="FV3" t="e">
        <f>AND('POTENCIAL HORAS'!#REF!,"AAAAAF74d7E=")</f>
        <v>#REF!</v>
      </c>
      <c r="FW3" t="e">
        <f>AND('POTENCIAL HORAS'!#REF!,"AAAAAF74d7I=")</f>
        <v>#REF!</v>
      </c>
      <c r="FX3" t="e">
        <f>AND('POTENCIAL HORAS'!#REF!,"AAAAAF74d7M=")</f>
        <v>#REF!</v>
      </c>
      <c r="FY3" t="e">
        <f>AND('POTENCIAL HORAS'!#REF!,"AAAAAF74d7Q=")</f>
        <v>#REF!</v>
      </c>
      <c r="FZ3" t="e">
        <f>AND('POTENCIAL HORAS'!#REF!,"AAAAAF74d7U=")</f>
        <v>#REF!</v>
      </c>
      <c r="GA3" t="e">
        <f>AND('POTENCIAL HORAS'!#REF!,"AAAAAF74d7Y=")</f>
        <v>#REF!</v>
      </c>
      <c r="GB3" t="e">
        <f>AND('POTENCIAL HORAS'!#REF!,"AAAAAF74d7c=")</f>
        <v>#REF!</v>
      </c>
      <c r="GC3" t="e">
        <f>AND('POTENCIAL HORAS'!#REF!,"AAAAAF74d7g=")</f>
        <v>#REF!</v>
      </c>
      <c r="GD3" t="e">
        <f>AND('POTENCIAL HORAS'!#REF!,"AAAAAF74d7k=")</f>
        <v>#REF!</v>
      </c>
      <c r="GE3" t="e">
        <f>AND('POTENCIAL HORAS'!#REF!,"AAAAAF74d7o=")</f>
        <v>#REF!</v>
      </c>
      <c r="GF3" t="e">
        <f>AND('POTENCIAL HORAS'!#REF!,"AAAAAF74d7s=")</f>
        <v>#REF!</v>
      </c>
      <c r="GG3" t="e">
        <f>AND('POTENCIAL HORAS'!Q22,"AAAAAF74d7w=")</f>
        <v>#VALUE!</v>
      </c>
      <c r="GH3" t="e">
        <f>AND('POTENCIAL HORAS'!R22,"AAAAAF74d70=")</f>
        <v>#VALUE!</v>
      </c>
      <c r="GI3">
        <f>IF('POTENCIAL HORAS'!23:23,"AAAAAF74d74=",0)</f>
        <v>0</v>
      </c>
      <c r="GJ3" t="e">
        <f>AND('POTENCIAL HORAS'!A23,"AAAAAF74d78=")</f>
        <v>#VALUE!</v>
      </c>
      <c r="GK3" t="e">
        <f>AND('POTENCIAL HORAS'!B23,"AAAAAF74d8A=")</f>
        <v>#VALUE!</v>
      </c>
      <c r="GL3" t="e">
        <f>AND('POTENCIAL HORAS'!C23,"AAAAAF74d8E=")</f>
        <v>#VALUE!</v>
      </c>
      <c r="GM3" t="e">
        <f>AND('POTENCIAL HORAS'!D23,"AAAAAF74d8I=")</f>
        <v>#VALUE!</v>
      </c>
      <c r="GN3" t="e">
        <f>AND('POTENCIAL HORAS'!E23,"AAAAAF74d8M=")</f>
        <v>#VALUE!</v>
      </c>
      <c r="GO3" t="e">
        <f>AND('POTENCIAL HORAS'!F23,"AAAAAF74d8Q=")</f>
        <v>#VALUE!</v>
      </c>
      <c r="GP3" t="e">
        <f>AND('POTENCIAL HORAS'!G23,"AAAAAF74d8U=")</f>
        <v>#VALUE!</v>
      </c>
      <c r="GQ3" t="e">
        <f>AND('POTENCIAL HORAS'!H23,"AAAAAF74d8Y=")</f>
        <v>#VALUE!</v>
      </c>
      <c r="GR3" t="e">
        <f>AND('POTENCIAL HORAS'!I23,"AAAAAF74d8c=")</f>
        <v>#VALUE!</v>
      </c>
      <c r="GS3" t="e">
        <f>AND('POTENCIAL HORAS'!J23,"AAAAAF74d8g=")</f>
        <v>#VALUE!</v>
      </c>
      <c r="GT3" t="e">
        <f>AND('POTENCIAL HORAS'!K23,"AAAAAF74d8k=")</f>
        <v>#VALUE!</v>
      </c>
      <c r="GU3" t="e">
        <f>AND('POTENCIAL HORAS'!L23,"AAAAAF74d8o=")</f>
        <v>#VALUE!</v>
      </c>
      <c r="GV3" t="e">
        <f>AND('POTENCIAL HORAS'!M23,"AAAAAF74d8s=")</f>
        <v>#VALUE!</v>
      </c>
      <c r="GW3" t="e">
        <f>AND('POTENCIAL HORAS'!N23,"AAAAAF74d8w=")</f>
        <v>#VALUE!</v>
      </c>
      <c r="GX3" t="e">
        <f>AND('POTENCIAL HORAS'!O23,"AAAAAF74d80=")</f>
        <v>#VALUE!</v>
      </c>
      <c r="GY3" t="e">
        <f>AND('POTENCIAL HORAS'!P23,"AAAAAF74d84=")</f>
        <v>#VALUE!</v>
      </c>
      <c r="GZ3" t="e">
        <f>AND('POTENCIAL HORAS'!#REF!,"AAAAAF74d88=")</f>
        <v>#REF!</v>
      </c>
      <c r="HA3" t="e">
        <f>AND('POTENCIAL HORAS'!#REF!,"AAAAAF74d9A=")</f>
        <v>#REF!</v>
      </c>
      <c r="HB3" t="e">
        <f>AND('POTENCIAL HORAS'!#REF!,"AAAAAF74d9E=")</f>
        <v>#REF!</v>
      </c>
      <c r="HC3" t="e">
        <f>AND('POTENCIAL HORAS'!#REF!,"AAAAAF74d9I=")</f>
        <v>#REF!</v>
      </c>
      <c r="HD3" t="e">
        <f>AND('POTENCIAL HORAS'!#REF!,"AAAAAF74d9M=")</f>
        <v>#REF!</v>
      </c>
      <c r="HE3" t="e">
        <f>AND('POTENCIAL HORAS'!#REF!,"AAAAAF74d9Q=")</f>
        <v>#REF!</v>
      </c>
      <c r="HF3" t="e">
        <f>AND('POTENCIAL HORAS'!#REF!,"AAAAAF74d9U=")</f>
        <v>#REF!</v>
      </c>
      <c r="HG3" t="e">
        <f>AND('POTENCIAL HORAS'!#REF!,"AAAAAF74d9Y=")</f>
        <v>#REF!</v>
      </c>
      <c r="HH3" t="e">
        <f>AND('POTENCIAL HORAS'!#REF!,"AAAAAF74d9c=")</f>
        <v>#REF!</v>
      </c>
      <c r="HI3" t="e">
        <f>AND('POTENCIAL HORAS'!#REF!,"AAAAAF74d9g=")</f>
        <v>#REF!</v>
      </c>
      <c r="HJ3" t="e">
        <f>AND('POTENCIAL HORAS'!#REF!,"AAAAAF74d9k=")</f>
        <v>#REF!</v>
      </c>
      <c r="HK3" t="e">
        <f>AND('POTENCIAL HORAS'!#REF!,"AAAAAF74d9o=")</f>
        <v>#REF!</v>
      </c>
      <c r="HL3" t="e">
        <f>AND('POTENCIAL HORAS'!#REF!,"AAAAAF74d9s=")</f>
        <v>#REF!</v>
      </c>
      <c r="HM3" t="e">
        <f>AND('POTENCIAL HORAS'!#REF!,"AAAAAF74d9w=")</f>
        <v>#REF!</v>
      </c>
      <c r="HN3" t="e">
        <f>AND('POTENCIAL HORAS'!#REF!,"AAAAAF74d90=")</f>
        <v>#REF!</v>
      </c>
      <c r="HO3" t="e">
        <f>AND('POTENCIAL HORAS'!#REF!,"AAAAAF74d94=")</f>
        <v>#REF!</v>
      </c>
      <c r="HP3" t="e">
        <f>AND('POTENCIAL HORAS'!#REF!,"AAAAAF74d98=")</f>
        <v>#REF!</v>
      </c>
      <c r="HQ3" t="e">
        <f>AND('POTENCIAL HORAS'!#REF!,"AAAAAF74d+A=")</f>
        <v>#REF!</v>
      </c>
      <c r="HR3" t="e">
        <f>AND('POTENCIAL HORAS'!#REF!,"AAAAAF74d+E=")</f>
        <v>#REF!</v>
      </c>
      <c r="HS3" t="e">
        <f>AND('POTENCIAL HORAS'!#REF!,"AAAAAF74d+I=")</f>
        <v>#REF!</v>
      </c>
      <c r="HT3" t="e">
        <f>AND('POTENCIAL HORAS'!Q23,"AAAAAF74d+M=")</f>
        <v>#VALUE!</v>
      </c>
      <c r="HU3" t="e">
        <f>AND('POTENCIAL HORAS'!R23,"AAAAAF74d+Q=")</f>
        <v>#VALUE!</v>
      </c>
      <c r="HV3">
        <f>IF('POTENCIAL HORAS'!24:24,"AAAAAF74d+U=",0)</f>
        <v>0</v>
      </c>
      <c r="HW3" t="e">
        <f>AND('POTENCIAL HORAS'!A24,"AAAAAF74d+Y=")</f>
        <v>#VALUE!</v>
      </c>
      <c r="HX3" t="e">
        <f>AND('POTENCIAL HORAS'!B24,"AAAAAF74d+c=")</f>
        <v>#VALUE!</v>
      </c>
      <c r="HY3" t="e">
        <f>AND('POTENCIAL HORAS'!C24,"AAAAAF74d+g=")</f>
        <v>#VALUE!</v>
      </c>
      <c r="HZ3" t="e">
        <f>AND('POTENCIAL HORAS'!D24,"AAAAAF74d+k=")</f>
        <v>#VALUE!</v>
      </c>
      <c r="IA3" t="e">
        <f>AND('POTENCIAL HORAS'!E24,"AAAAAF74d+o=")</f>
        <v>#VALUE!</v>
      </c>
      <c r="IB3" t="e">
        <f>AND('POTENCIAL HORAS'!F24,"AAAAAF74d+s=")</f>
        <v>#VALUE!</v>
      </c>
      <c r="IC3" t="e">
        <f>AND('POTENCIAL HORAS'!G24,"AAAAAF74d+w=")</f>
        <v>#VALUE!</v>
      </c>
      <c r="ID3" t="e">
        <f>AND('POTENCIAL HORAS'!H24,"AAAAAF74d+0=")</f>
        <v>#VALUE!</v>
      </c>
      <c r="IE3" t="e">
        <f>AND('POTENCIAL HORAS'!I24,"AAAAAF74d+4=")</f>
        <v>#VALUE!</v>
      </c>
      <c r="IF3" t="e">
        <f>AND('POTENCIAL HORAS'!J24,"AAAAAF74d+8=")</f>
        <v>#VALUE!</v>
      </c>
      <c r="IG3" t="e">
        <f>AND('POTENCIAL HORAS'!K24,"AAAAAF74d/A=")</f>
        <v>#VALUE!</v>
      </c>
      <c r="IH3" t="e">
        <f>AND('POTENCIAL HORAS'!L24,"AAAAAF74d/E=")</f>
        <v>#VALUE!</v>
      </c>
      <c r="II3" t="e">
        <f>AND('POTENCIAL HORAS'!M24,"AAAAAF74d/I=")</f>
        <v>#VALUE!</v>
      </c>
      <c r="IJ3" t="e">
        <f>AND('POTENCIAL HORAS'!N24,"AAAAAF74d/M=")</f>
        <v>#VALUE!</v>
      </c>
      <c r="IK3" t="e">
        <f>AND('POTENCIAL HORAS'!O24,"AAAAAF74d/Q=")</f>
        <v>#VALUE!</v>
      </c>
      <c r="IL3" t="e">
        <f>AND('POTENCIAL HORAS'!P24,"AAAAAF74d/U=")</f>
        <v>#VALUE!</v>
      </c>
      <c r="IM3" t="e">
        <f>AND('POTENCIAL HORAS'!#REF!,"AAAAAF74d/Y=")</f>
        <v>#REF!</v>
      </c>
      <c r="IN3" t="e">
        <f>AND('POTENCIAL HORAS'!#REF!,"AAAAAF74d/c=")</f>
        <v>#REF!</v>
      </c>
      <c r="IO3" t="e">
        <f>AND('POTENCIAL HORAS'!#REF!,"AAAAAF74d/g=")</f>
        <v>#REF!</v>
      </c>
      <c r="IP3" t="e">
        <f>AND('POTENCIAL HORAS'!#REF!,"AAAAAF74d/k=")</f>
        <v>#REF!</v>
      </c>
      <c r="IQ3" t="e">
        <f>AND('POTENCIAL HORAS'!#REF!,"AAAAAF74d/o=")</f>
        <v>#REF!</v>
      </c>
      <c r="IR3" t="e">
        <f>AND('POTENCIAL HORAS'!#REF!,"AAAAAF74d/s=")</f>
        <v>#REF!</v>
      </c>
      <c r="IS3" t="e">
        <f>AND('POTENCIAL HORAS'!#REF!,"AAAAAF74d/w=")</f>
        <v>#REF!</v>
      </c>
      <c r="IT3" t="e">
        <f>AND('POTENCIAL HORAS'!#REF!,"AAAAAF74d/0=")</f>
        <v>#REF!</v>
      </c>
      <c r="IU3" t="e">
        <f>AND('POTENCIAL HORAS'!#REF!,"AAAAAF74d/4=")</f>
        <v>#REF!</v>
      </c>
      <c r="IV3" t="e">
        <f>AND('POTENCIAL HORAS'!#REF!,"AAAAAF74d/8=")</f>
        <v>#REF!</v>
      </c>
    </row>
    <row r="4" spans="1:256" x14ac:dyDescent="0.2">
      <c r="A4" t="e">
        <f>AND('POTENCIAL HORAS'!#REF!,"AAAAAE0f9gA=")</f>
        <v>#REF!</v>
      </c>
      <c r="B4" t="e">
        <f>AND('POTENCIAL HORAS'!#REF!,"AAAAAE0f9gE=")</f>
        <v>#REF!</v>
      </c>
      <c r="C4" t="e">
        <f>AND('POTENCIAL HORAS'!#REF!,"AAAAAE0f9gI=")</f>
        <v>#REF!</v>
      </c>
      <c r="D4" t="e">
        <f>AND('POTENCIAL HORAS'!#REF!,"AAAAAE0f9gM=")</f>
        <v>#REF!</v>
      </c>
      <c r="E4" t="e">
        <f>AND('POTENCIAL HORAS'!#REF!,"AAAAAE0f9gQ=")</f>
        <v>#REF!</v>
      </c>
      <c r="F4" t="e">
        <f>AND('POTENCIAL HORAS'!#REF!,"AAAAAE0f9gU=")</f>
        <v>#REF!</v>
      </c>
      <c r="G4" t="e">
        <f>AND('POTENCIAL HORAS'!#REF!,"AAAAAE0f9gY=")</f>
        <v>#REF!</v>
      </c>
      <c r="H4" t="e">
        <f>AND('POTENCIAL HORAS'!#REF!,"AAAAAE0f9gc=")</f>
        <v>#REF!</v>
      </c>
      <c r="I4" t="e">
        <f>AND('POTENCIAL HORAS'!#REF!,"AAAAAE0f9gg=")</f>
        <v>#REF!</v>
      </c>
      <c r="J4" t="e">
        <f>AND('POTENCIAL HORAS'!#REF!,"AAAAAE0f9gk=")</f>
        <v>#REF!</v>
      </c>
      <c r="K4" t="e">
        <f>AND('POTENCIAL HORAS'!Q24,"AAAAAE0f9go=")</f>
        <v>#VALUE!</v>
      </c>
      <c r="L4" t="e">
        <f>AND('POTENCIAL HORAS'!R24,"AAAAAE0f9gs=")</f>
        <v>#VALUE!</v>
      </c>
      <c r="M4" t="str">
        <f>IF('POTENCIAL HORAS'!25:25,"AAAAAE0f9gw=",0)</f>
        <v>AAAAAE0f9gw=</v>
      </c>
      <c r="N4" t="e">
        <f>AND('POTENCIAL HORAS'!A25,"AAAAAE0f9g0=")</f>
        <v>#VALUE!</v>
      </c>
      <c r="O4" t="e">
        <f>AND('POTENCIAL HORAS'!B25,"AAAAAE0f9g4=")</f>
        <v>#VALUE!</v>
      </c>
      <c r="P4" t="e">
        <f>AND('POTENCIAL HORAS'!C25,"AAAAAE0f9g8=")</f>
        <v>#VALUE!</v>
      </c>
      <c r="Q4" t="e">
        <f>AND('POTENCIAL HORAS'!D25,"AAAAAE0f9hA=")</f>
        <v>#VALUE!</v>
      </c>
      <c r="R4" t="e">
        <f>AND('POTENCIAL HORAS'!E25,"AAAAAE0f9hE=")</f>
        <v>#VALUE!</v>
      </c>
      <c r="S4" t="e">
        <f>AND('POTENCIAL HORAS'!F25,"AAAAAE0f9hI=")</f>
        <v>#VALUE!</v>
      </c>
      <c r="T4" t="e">
        <f>AND('POTENCIAL HORAS'!G25,"AAAAAE0f9hM=")</f>
        <v>#VALUE!</v>
      </c>
      <c r="U4" t="e">
        <f>AND('POTENCIAL HORAS'!H25,"AAAAAE0f9hQ=")</f>
        <v>#VALUE!</v>
      </c>
      <c r="V4" t="e">
        <f>AND('POTENCIAL HORAS'!I25,"AAAAAE0f9hU=")</f>
        <v>#VALUE!</v>
      </c>
      <c r="W4" t="e">
        <f>AND('POTENCIAL HORAS'!J25,"AAAAAE0f9hY=")</f>
        <v>#VALUE!</v>
      </c>
      <c r="X4" t="e">
        <f>AND('POTENCIAL HORAS'!K25,"AAAAAE0f9hc=")</f>
        <v>#VALUE!</v>
      </c>
      <c r="Y4" t="e">
        <f>AND('POTENCIAL HORAS'!L25,"AAAAAE0f9hg=")</f>
        <v>#VALUE!</v>
      </c>
      <c r="Z4" t="e">
        <f>AND('POTENCIAL HORAS'!M25,"AAAAAE0f9hk=")</f>
        <v>#VALUE!</v>
      </c>
      <c r="AA4" t="e">
        <f>AND('POTENCIAL HORAS'!N25,"AAAAAE0f9ho=")</f>
        <v>#VALUE!</v>
      </c>
      <c r="AB4" t="e">
        <f>AND('POTENCIAL HORAS'!O25,"AAAAAE0f9hs=")</f>
        <v>#VALUE!</v>
      </c>
      <c r="AC4" t="e">
        <f>AND('POTENCIAL HORAS'!P25,"AAAAAE0f9hw=")</f>
        <v>#VALUE!</v>
      </c>
      <c r="AD4" t="e">
        <f>AND('POTENCIAL HORAS'!#REF!,"AAAAAE0f9h0=")</f>
        <v>#REF!</v>
      </c>
      <c r="AE4" t="e">
        <f>AND('POTENCIAL HORAS'!#REF!,"AAAAAE0f9h4=")</f>
        <v>#REF!</v>
      </c>
      <c r="AF4" t="e">
        <f>AND('POTENCIAL HORAS'!#REF!,"AAAAAE0f9h8=")</f>
        <v>#REF!</v>
      </c>
      <c r="AG4" t="e">
        <f>AND('POTENCIAL HORAS'!#REF!,"AAAAAE0f9iA=")</f>
        <v>#REF!</v>
      </c>
      <c r="AH4" t="e">
        <f>AND('POTENCIAL HORAS'!#REF!,"AAAAAE0f9iE=")</f>
        <v>#REF!</v>
      </c>
      <c r="AI4" t="e">
        <f>AND('POTENCIAL HORAS'!#REF!,"AAAAAE0f9iI=")</f>
        <v>#REF!</v>
      </c>
      <c r="AJ4" t="e">
        <f>AND('POTENCIAL HORAS'!#REF!,"AAAAAE0f9iM=")</f>
        <v>#REF!</v>
      </c>
      <c r="AK4" t="e">
        <f>AND('POTENCIAL HORAS'!#REF!,"AAAAAE0f9iQ=")</f>
        <v>#REF!</v>
      </c>
      <c r="AL4" t="e">
        <f>AND('POTENCIAL HORAS'!#REF!,"AAAAAE0f9iU=")</f>
        <v>#REF!</v>
      </c>
      <c r="AM4" t="e">
        <f>AND('POTENCIAL HORAS'!#REF!,"AAAAAE0f9iY=")</f>
        <v>#REF!</v>
      </c>
      <c r="AN4" t="e">
        <f>AND('POTENCIAL HORAS'!#REF!,"AAAAAE0f9ic=")</f>
        <v>#REF!</v>
      </c>
      <c r="AO4" t="e">
        <f>AND('POTENCIAL HORAS'!#REF!,"AAAAAE0f9ig=")</f>
        <v>#REF!</v>
      </c>
      <c r="AP4" t="e">
        <f>AND('POTENCIAL HORAS'!#REF!,"AAAAAE0f9ik=")</f>
        <v>#REF!</v>
      </c>
      <c r="AQ4" t="e">
        <f>AND('POTENCIAL HORAS'!#REF!,"AAAAAE0f9io=")</f>
        <v>#REF!</v>
      </c>
      <c r="AR4" t="e">
        <f>AND('POTENCIAL HORAS'!#REF!,"AAAAAE0f9is=")</f>
        <v>#REF!</v>
      </c>
      <c r="AS4" t="e">
        <f>AND('POTENCIAL HORAS'!#REF!,"AAAAAE0f9iw=")</f>
        <v>#REF!</v>
      </c>
      <c r="AT4" t="e">
        <f>AND('POTENCIAL HORAS'!#REF!,"AAAAAE0f9i0=")</f>
        <v>#REF!</v>
      </c>
      <c r="AU4" t="e">
        <f>AND('POTENCIAL HORAS'!#REF!,"AAAAAE0f9i4=")</f>
        <v>#REF!</v>
      </c>
      <c r="AV4" t="e">
        <f>AND('POTENCIAL HORAS'!#REF!,"AAAAAE0f9i8=")</f>
        <v>#REF!</v>
      </c>
      <c r="AW4" t="e">
        <f>AND('POTENCIAL HORAS'!#REF!,"AAAAAE0f9jA=")</f>
        <v>#REF!</v>
      </c>
      <c r="AX4" t="e">
        <f>AND('POTENCIAL HORAS'!Q25,"AAAAAE0f9jE=")</f>
        <v>#VALUE!</v>
      </c>
      <c r="AY4" t="e">
        <f>AND('POTENCIAL HORAS'!R25,"AAAAAE0f9jI=")</f>
        <v>#VALUE!</v>
      </c>
      <c r="AZ4">
        <f>IF('POTENCIAL HORAS'!27:27,"AAAAAE0f9jM=",0)</f>
        <v>0</v>
      </c>
      <c r="BA4" t="e">
        <f>AND('POTENCIAL HORAS'!A27,"AAAAAE0f9jQ=")</f>
        <v>#VALUE!</v>
      </c>
      <c r="BB4" t="e">
        <f>AND('POTENCIAL HORAS'!B27,"AAAAAE0f9jU=")</f>
        <v>#VALUE!</v>
      </c>
      <c r="BC4" t="e">
        <f>AND('POTENCIAL HORAS'!C27,"AAAAAE0f9jY=")</f>
        <v>#VALUE!</v>
      </c>
      <c r="BD4" t="e">
        <f>AND('POTENCIAL HORAS'!D27,"AAAAAE0f9jc=")</f>
        <v>#VALUE!</v>
      </c>
      <c r="BE4" t="e">
        <f>AND('POTENCIAL HORAS'!E27,"AAAAAE0f9jg=")</f>
        <v>#VALUE!</v>
      </c>
      <c r="BF4" t="e">
        <f>AND('POTENCIAL HORAS'!F27,"AAAAAE0f9jk=")</f>
        <v>#VALUE!</v>
      </c>
      <c r="BG4" t="e">
        <f>AND('POTENCIAL HORAS'!G27,"AAAAAE0f9jo=")</f>
        <v>#VALUE!</v>
      </c>
      <c r="BH4" t="e">
        <f>AND('POTENCIAL HORAS'!H27,"AAAAAE0f9js=")</f>
        <v>#VALUE!</v>
      </c>
      <c r="BI4" t="e">
        <f>AND('POTENCIAL HORAS'!I27,"AAAAAE0f9jw=")</f>
        <v>#VALUE!</v>
      </c>
      <c r="BJ4" t="e">
        <f>AND('POTENCIAL HORAS'!J27,"AAAAAE0f9j0=")</f>
        <v>#VALUE!</v>
      </c>
      <c r="BK4" t="e">
        <f>AND('POTENCIAL HORAS'!K27,"AAAAAE0f9j4=")</f>
        <v>#VALUE!</v>
      </c>
      <c r="BL4" t="e">
        <f>AND('POTENCIAL HORAS'!L27,"AAAAAE0f9j8=")</f>
        <v>#VALUE!</v>
      </c>
      <c r="BM4" t="e">
        <f>AND('POTENCIAL HORAS'!M27,"AAAAAE0f9kA=")</f>
        <v>#VALUE!</v>
      </c>
      <c r="BN4" t="e">
        <f>AND('POTENCIAL HORAS'!N27,"AAAAAE0f9kE=")</f>
        <v>#VALUE!</v>
      </c>
      <c r="BO4" t="e">
        <f>AND('POTENCIAL HORAS'!O27,"AAAAAE0f9kI=")</f>
        <v>#VALUE!</v>
      </c>
      <c r="BP4" t="e">
        <f>AND('POTENCIAL HORAS'!P27,"AAAAAE0f9kM=")</f>
        <v>#VALUE!</v>
      </c>
      <c r="BQ4" t="e">
        <f>AND('POTENCIAL HORAS'!#REF!,"AAAAAE0f9kQ=")</f>
        <v>#REF!</v>
      </c>
      <c r="BR4" t="e">
        <f>AND('POTENCIAL HORAS'!#REF!,"AAAAAE0f9kU=")</f>
        <v>#REF!</v>
      </c>
      <c r="BS4" t="e">
        <f>AND('POTENCIAL HORAS'!#REF!,"AAAAAE0f9kY=")</f>
        <v>#REF!</v>
      </c>
      <c r="BT4" t="e">
        <f>AND('POTENCIAL HORAS'!#REF!,"AAAAAE0f9kc=")</f>
        <v>#REF!</v>
      </c>
      <c r="BU4" t="e">
        <f>AND('POTENCIAL HORAS'!#REF!,"AAAAAE0f9kg=")</f>
        <v>#REF!</v>
      </c>
      <c r="BV4" t="e">
        <f>AND('POTENCIAL HORAS'!#REF!,"AAAAAE0f9kk=")</f>
        <v>#REF!</v>
      </c>
      <c r="BW4" t="e">
        <f>AND('POTENCIAL HORAS'!#REF!,"AAAAAE0f9ko=")</f>
        <v>#REF!</v>
      </c>
      <c r="BX4" t="e">
        <f>AND('POTENCIAL HORAS'!#REF!,"AAAAAE0f9ks=")</f>
        <v>#REF!</v>
      </c>
      <c r="BY4" t="e">
        <f>AND('POTENCIAL HORAS'!#REF!,"AAAAAE0f9kw=")</f>
        <v>#REF!</v>
      </c>
      <c r="BZ4" t="e">
        <f>AND('POTENCIAL HORAS'!#REF!,"AAAAAE0f9k0=")</f>
        <v>#REF!</v>
      </c>
      <c r="CA4" t="e">
        <f>AND('POTENCIAL HORAS'!#REF!,"AAAAAE0f9k4=")</f>
        <v>#REF!</v>
      </c>
      <c r="CB4" t="e">
        <f>AND('POTENCIAL HORAS'!#REF!,"AAAAAE0f9k8=")</f>
        <v>#REF!</v>
      </c>
      <c r="CC4" t="e">
        <f>AND('POTENCIAL HORAS'!#REF!,"AAAAAE0f9lA=")</f>
        <v>#REF!</v>
      </c>
      <c r="CD4" t="e">
        <f>AND('POTENCIAL HORAS'!#REF!,"AAAAAE0f9lE=")</f>
        <v>#REF!</v>
      </c>
      <c r="CE4" t="e">
        <f>AND('POTENCIAL HORAS'!#REF!,"AAAAAE0f9lI=")</f>
        <v>#REF!</v>
      </c>
      <c r="CF4" t="e">
        <f>AND('POTENCIAL HORAS'!#REF!,"AAAAAE0f9lM=")</f>
        <v>#REF!</v>
      </c>
      <c r="CG4" t="e">
        <f>AND('POTENCIAL HORAS'!#REF!,"AAAAAE0f9lQ=")</f>
        <v>#REF!</v>
      </c>
      <c r="CH4" t="e">
        <f>AND('POTENCIAL HORAS'!#REF!,"AAAAAE0f9lU=")</f>
        <v>#REF!</v>
      </c>
      <c r="CI4" t="e">
        <f>AND('POTENCIAL HORAS'!#REF!,"AAAAAE0f9lY=")</f>
        <v>#REF!</v>
      </c>
      <c r="CJ4" t="e">
        <f>AND('POTENCIAL HORAS'!#REF!,"AAAAAE0f9lc=")</f>
        <v>#REF!</v>
      </c>
      <c r="CK4" t="e">
        <f>AND('POTENCIAL HORAS'!Q27,"AAAAAE0f9lg=")</f>
        <v>#VALUE!</v>
      </c>
      <c r="CL4" t="e">
        <f>AND('POTENCIAL HORAS'!R27,"AAAAAE0f9lk=")</f>
        <v>#VALUE!</v>
      </c>
      <c r="CM4">
        <f>IF('POTENCIAL HORAS'!28:28,"AAAAAE0f9lo=",0)</f>
        <v>0</v>
      </c>
      <c r="CN4" t="e">
        <f>AND('POTENCIAL HORAS'!A28,"AAAAAE0f9ls=")</f>
        <v>#VALUE!</v>
      </c>
      <c r="CO4" t="e">
        <f>AND('POTENCIAL HORAS'!B28,"AAAAAE0f9lw=")</f>
        <v>#VALUE!</v>
      </c>
      <c r="CP4" t="e">
        <f>AND('POTENCIAL HORAS'!C28,"AAAAAE0f9l0=")</f>
        <v>#VALUE!</v>
      </c>
      <c r="CQ4" t="e">
        <f>AND('POTENCIAL HORAS'!D28,"AAAAAE0f9l4=")</f>
        <v>#VALUE!</v>
      </c>
      <c r="CR4" t="e">
        <f>AND('POTENCIAL HORAS'!E28,"AAAAAE0f9l8=")</f>
        <v>#VALUE!</v>
      </c>
      <c r="CS4" t="e">
        <f>AND('POTENCIAL HORAS'!F28,"AAAAAE0f9mA=")</f>
        <v>#VALUE!</v>
      </c>
      <c r="CT4" t="e">
        <f>AND('POTENCIAL HORAS'!G28,"AAAAAE0f9mE=")</f>
        <v>#VALUE!</v>
      </c>
      <c r="CU4" t="e">
        <f>AND('POTENCIAL HORAS'!H28,"AAAAAE0f9mI=")</f>
        <v>#VALUE!</v>
      </c>
      <c r="CV4" t="e">
        <f>AND('POTENCIAL HORAS'!I28,"AAAAAE0f9mM=")</f>
        <v>#VALUE!</v>
      </c>
      <c r="CW4" t="e">
        <f>AND('POTENCIAL HORAS'!J28,"AAAAAE0f9mQ=")</f>
        <v>#VALUE!</v>
      </c>
      <c r="CX4" t="e">
        <f>AND('POTENCIAL HORAS'!K28,"AAAAAE0f9mU=")</f>
        <v>#VALUE!</v>
      </c>
      <c r="CY4" t="e">
        <f>AND('POTENCIAL HORAS'!L28,"AAAAAE0f9mY=")</f>
        <v>#VALUE!</v>
      </c>
      <c r="CZ4" t="e">
        <f>AND('POTENCIAL HORAS'!M28,"AAAAAE0f9mc=")</f>
        <v>#VALUE!</v>
      </c>
      <c r="DA4" t="e">
        <f>AND('POTENCIAL HORAS'!N28,"AAAAAE0f9mg=")</f>
        <v>#VALUE!</v>
      </c>
      <c r="DB4" t="e">
        <f>AND('POTENCIAL HORAS'!O28,"AAAAAE0f9mk=")</f>
        <v>#VALUE!</v>
      </c>
      <c r="DC4" t="e">
        <f>AND('POTENCIAL HORAS'!P28,"AAAAAE0f9mo=")</f>
        <v>#VALUE!</v>
      </c>
      <c r="DD4" t="e">
        <f>AND('POTENCIAL HORAS'!#REF!,"AAAAAE0f9ms=")</f>
        <v>#REF!</v>
      </c>
      <c r="DE4" t="e">
        <f>AND('POTENCIAL HORAS'!#REF!,"AAAAAE0f9mw=")</f>
        <v>#REF!</v>
      </c>
      <c r="DF4" t="e">
        <f>AND('POTENCIAL HORAS'!#REF!,"AAAAAE0f9m0=")</f>
        <v>#REF!</v>
      </c>
      <c r="DG4" t="e">
        <f>AND('POTENCIAL HORAS'!#REF!,"AAAAAE0f9m4=")</f>
        <v>#REF!</v>
      </c>
      <c r="DH4" t="e">
        <f>AND('POTENCIAL HORAS'!#REF!,"AAAAAE0f9m8=")</f>
        <v>#REF!</v>
      </c>
      <c r="DI4" t="e">
        <f>AND('POTENCIAL HORAS'!#REF!,"AAAAAE0f9nA=")</f>
        <v>#REF!</v>
      </c>
      <c r="DJ4" t="e">
        <f>AND('POTENCIAL HORAS'!#REF!,"AAAAAE0f9nE=")</f>
        <v>#REF!</v>
      </c>
      <c r="DK4" t="e">
        <f>AND('POTENCIAL HORAS'!#REF!,"AAAAAE0f9nI=")</f>
        <v>#REF!</v>
      </c>
      <c r="DL4" t="e">
        <f>AND('POTENCIAL HORAS'!#REF!,"AAAAAE0f9nM=")</f>
        <v>#REF!</v>
      </c>
      <c r="DM4" t="e">
        <f>AND('POTENCIAL HORAS'!#REF!,"AAAAAE0f9nQ=")</f>
        <v>#REF!</v>
      </c>
      <c r="DN4" t="e">
        <f>AND('POTENCIAL HORAS'!#REF!,"AAAAAE0f9nU=")</f>
        <v>#REF!</v>
      </c>
      <c r="DO4" t="e">
        <f>AND('POTENCIAL HORAS'!#REF!,"AAAAAE0f9nY=")</f>
        <v>#REF!</v>
      </c>
      <c r="DP4" t="e">
        <f>AND('POTENCIAL HORAS'!#REF!,"AAAAAE0f9nc=")</f>
        <v>#REF!</v>
      </c>
      <c r="DQ4" t="e">
        <f>AND('POTENCIAL HORAS'!#REF!,"AAAAAE0f9ng=")</f>
        <v>#REF!</v>
      </c>
      <c r="DR4" t="e">
        <f>AND('POTENCIAL HORAS'!#REF!,"AAAAAE0f9nk=")</f>
        <v>#REF!</v>
      </c>
      <c r="DS4" t="e">
        <f>AND('POTENCIAL HORAS'!#REF!,"AAAAAE0f9no=")</f>
        <v>#REF!</v>
      </c>
      <c r="DT4" t="e">
        <f>AND('POTENCIAL HORAS'!#REF!,"AAAAAE0f9ns=")</f>
        <v>#REF!</v>
      </c>
      <c r="DU4" t="e">
        <f>AND('POTENCIAL HORAS'!#REF!,"AAAAAE0f9nw=")</f>
        <v>#REF!</v>
      </c>
      <c r="DV4" t="e">
        <f>AND('POTENCIAL HORAS'!#REF!,"AAAAAE0f9n0=")</f>
        <v>#REF!</v>
      </c>
      <c r="DW4" t="e">
        <f>AND('POTENCIAL HORAS'!#REF!,"AAAAAE0f9n4=")</f>
        <v>#REF!</v>
      </c>
      <c r="DX4" t="e">
        <f>AND('POTENCIAL HORAS'!Q28,"AAAAAE0f9n8=")</f>
        <v>#VALUE!</v>
      </c>
      <c r="DY4" t="e">
        <f>AND('POTENCIAL HORAS'!R28,"AAAAAE0f9oA=")</f>
        <v>#VALUE!</v>
      </c>
      <c r="DZ4">
        <f>IF('POTENCIAL HORAS'!29:29,"AAAAAE0f9oE=",0)</f>
        <v>0</v>
      </c>
      <c r="EA4" t="e">
        <f>AND('POTENCIAL HORAS'!A29,"AAAAAE0f9oI=")</f>
        <v>#VALUE!</v>
      </c>
      <c r="EB4" t="e">
        <f>AND('POTENCIAL HORAS'!B29,"AAAAAE0f9oM=")</f>
        <v>#VALUE!</v>
      </c>
      <c r="EC4" t="e">
        <f>AND('POTENCIAL HORAS'!C29,"AAAAAE0f9oQ=")</f>
        <v>#VALUE!</v>
      </c>
      <c r="ED4" t="e">
        <f>AND('POTENCIAL HORAS'!D29,"AAAAAE0f9oU=")</f>
        <v>#VALUE!</v>
      </c>
      <c r="EE4" t="e">
        <f>AND('POTENCIAL HORAS'!E29,"AAAAAE0f9oY=")</f>
        <v>#VALUE!</v>
      </c>
      <c r="EF4" t="e">
        <f>AND('POTENCIAL HORAS'!F29,"AAAAAE0f9oc=")</f>
        <v>#VALUE!</v>
      </c>
      <c r="EG4" t="e">
        <f>AND('POTENCIAL HORAS'!G29,"AAAAAE0f9og=")</f>
        <v>#VALUE!</v>
      </c>
      <c r="EH4" t="e">
        <f>AND('POTENCIAL HORAS'!H29,"AAAAAE0f9ok=")</f>
        <v>#VALUE!</v>
      </c>
      <c r="EI4" t="e">
        <f>AND('POTENCIAL HORAS'!I29,"AAAAAE0f9oo=")</f>
        <v>#VALUE!</v>
      </c>
      <c r="EJ4" t="e">
        <f>AND('POTENCIAL HORAS'!J29,"AAAAAE0f9os=")</f>
        <v>#VALUE!</v>
      </c>
      <c r="EK4" t="e">
        <f>AND('POTENCIAL HORAS'!K29,"AAAAAE0f9ow=")</f>
        <v>#VALUE!</v>
      </c>
      <c r="EL4" t="e">
        <f>AND('POTENCIAL HORAS'!L29,"AAAAAE0f9o0=")</f>
        <v>#VALUE!</v>
      </c>
      <c r="EM4" t="e">
        <f>AND('POTENCIAL HORAS'!M29,"AAAAAE0f9o4=")</f>
        <v>#VALUE!</v>
      </c>
      <c r="EN4" t="e">
        <f>AND('POTENCIAL HORAS'!N29,"AAAAAE0f9o8=")</f>
        <v>#VALUE!</v>
      </c>
      <c r="EO4" t="e">
        <f>AND('POTENCIAL HORAS'!O29,"AAAAAE0f9pA=")</f>
        <v>#VALUE!</v>
      </c>
      <c r="EP4" t="e">
        <f>AND('POTENCIAL HORAS'!P29,"AAAAAE0f9pE=")</f>
        <v>#VALUE!</v>
      </c>
      <c r="EQ4" t="e">
        <f>AND('POTENCIAL HORAS'!#REF!,"AAAAAE0f9pI=")</f>
        <v>#REF!</v>
      </c>
      <c r="ER4" t="e">
        <f>AND('POTENCIAL HORAS'!#REF!,"AAAAAE0f9pM=")</f>
        <v>#REF!</v>
      </c>
      <c r="ES4" t="e">
        <f>AND('POTENCIAL HORAS'!#REF!,"AAAAAE0f9pQ=")</f>
        <v>#REF!</v>
      </c>
      <c r="ET4" t="e">
        <f>AND('POTENCIAL HORAS'!#REF!,"AAAAAE0f9pU=")</f>
        <v>#REF!</v>
      </c>
      <c r="EU4" t="e">
        <f>AND('POTENCIAL HORAS'!#REF!,"AAAAAE0f9pY=")</f>
        <v>#REF!</v>
      </c>
      <c r="EV4" t="e">
        <f>AND('POTENCIAL HORAS'!#REF!,"AAAAAE0f9pc=")</f>
        <v>#REF!</v>
      </c>
      <c r="EW4" t="e">
        <f>AND('POTENCIAL HORAS'!#REF!,"AAAAAE0f9pg=")</f>
        <v>#REF!</v>
      </c>
      <c r="EX4" t="e">
        <f>AND('POTENCIAL HORAS'!#REF!,"AAAAAE0f9pk=")</f>
        <v>#REF!</v>
      </c>
      <c r="EY4" t="e">
        <f>AND('POTENCIAL HORAS'!#REF!,"AAAAAE0f9po=")</f>
        <v>#REF!</v>
      </c>
      <c r="EZ4" t="e">
        <f>AND('POTENCIAL HORAS'!#REF!,"AAAAAE0f9ps=")</f>
        <v>#REF!</v>
      </c>
      <c r="FA4" t="e">
        <f>AND('POTENCIAL HORAS'!#REF!,"AAAAAE0f9pw=")</f>
        <v>#REF!</v>
      </c>
      <c r="FB4" t="e">
        <f>AND('POTENCIAL HORAS'!#REF!,"AAAAAE0f9p0=")</f>
        <v>#REF!</v>
      </c>
      <c r="FC4" t="e">
        <f>AND('POTENCIAL HORAS'!#REF!,"AAAAAE0f9p4=")</f>
        <v>#REF!</v>
      </c>
      <c r="FD4" t="e">
        <f>AND('POTENCIAL HORAS'!#REF!,"AAAAAE0f9p8=")</f>
        <v>#REF!</v>
      </c>
      <c r="FE4" t="e">
        <f>AND('POTENCIAL HORAS'!#REF!,"AAAAAE0f9qA=")</f>
        <v>#REF!</v>
      </c>
      <c r="FF4" t="e">
        <f>AND('POTENCIAL HORAS'!#REF!,"AAAAAE0f9qE=")</f>
        <v>#REF!</v>
      </c>
      <c r="FG4" t="e">
        <f>AND('POTENCIAL HORAS'!#REF!,"AAAAAE0f9qI=")</f>
        <v>#REF!</v>
      </c>
      <c r="FH4" t="e">
        <f>AND('POTENCIAL HORAS'!#REF!,"AAAAAE0f9qM=")</f>
        <v>#REF!</v>
      </c>
      <c r="FI4" t="e">
        <f>AND('POTENCIAL HORAS'!#REF!,"AAAAAE0f9qQ=")</f>
        <v>#REF!</v>
      </c>
      <c r="FJ4" t="e">
        <f>AND('POTENCIAL HORAS'!#REF!,"AAAAAE0f9qU=")</f>
        <v>#REF!</v>
      </c>
      <c r="FK4" t="e">
        <f>AND('POTENCIAL HORAS'!Q29,"AAAAAE0f9qY=")</f>
        <v>#VALUE!</v>
      </c>
      <c r="FL4" t="e">
        <f>AND('POTENCIAL HORAS'!R29,"AAAAAE0f9qc=")</f>
        <v>#VALUE!</v>
      </c>
      <c r="FM4">
        <f>IF('POTENCIAL HORAS'!30:30,"AAAAAE0f9qg=",0)</f>
        <v>0</v>
      </c>
      <c r="FN4" t="e">
        <f>AND('POTENCIAL HORAS'!A30,"AAAAAE0f9qk=")</f>
        <v>#VALUE!</v>
      </c>
      <c r="FO4" t="e">
        <f>AND('POTENCIAL HORAS'!B30,"AAAAAE0f9qo=")</f>
        <v>#VALUE!</v>
      </c>
      <c r="FP4" t="e">
        <f>AND('POTENCIAL HORAS'!C30,"AAAAAE0f9qs=")</f>
        <v>#VALUE!</v>
      </c>
      <c r="FQ4" t="e">
        <f>AND('POTENCIAL HORAS'!D30,"AAAAAE0f9qw=")</f>
        <v>#VALUE!</v>
      </c>
      <c r="FR4" t="e">
        <f>AND('POTENCIAL HORAS'!E30,"AAAAAE0f9q0=")</f>
        <v>#VALUE!</v>
      </c>
      <c r="FS4" t="e">
        <f>AND('POTENCIAL HORAS'!F30,"AAAAAE0f9q4=")</f>
        <v>#VALUE!</v>
      </c>
      <c r="FT4" t="e">
        <f>AND('POTENCIAL HORAS'!G30,"AAAAAE0f9q8=")</f>
        <v>#VALUE!</v>
      </c>
      <c r="FU4" t="e">
        <f>AND('POTENCIAL HORAS'!H30,"AAAAAE0f9rA=")</f>
        <v>#VALUE!</v>
      </c>
      <c r="FV4" t="e">
        <f>AND('POTENCIAL HORAS'!I30,"AAAAAE0f9rE=")</f>
        <v>#VALUE!</v>
      </c>
      <c r="FW4" t="e">
        <f>AND('POTENCIAL HORAS'!J30,"AAAAAE0f9rI=")</f>
        <v>#VALUE!</v>
      </c>
      <c r="FX4" t="e">
        <f>AND('POTENCIAL HORAS'!K30,"AAAAAE0f9rM=")</f>
        <v>#VALUE!</v>
      </c>
      <c r="FY4" t="e">
        <f>AND('POTENCIAL HORAS'!L30,"AAAAAE0f9rQ=")</f>
        <v>#VALUE!</v>
      </c>
      <c r="FZ4" t="e">
        <f>AND('POTENCIAL HORAS'!M30,"AAAAAE0f9rU=")</f>
        <v>#VALUE!</v>
      </c>
      <c r="GA4" t="e">
        <f>AND('POTENCIAL HORAS'!N30,"AAAAAE0f9rY=")</f>
        <v>#VALUE!</v>
      </c>
      <c r="GB4" t="e">
        <f>AND('POTENCIAL HORAS'!O30,"AAAAAE0f9rc=")</f>
        <v>#VALUE!</v>
      </c>
      <c r="GC4" t="e">
        <f>AND('POTENCIAL HORAS'!P30,"AAAAAE0f9rg=")</f>
        <v>#VALUE!</v>
      </c>
      <c r="GD4" t="e">
        <f>AND('POTENCIAL HORAS'!#REF!,"AAAAAE0f9rk=")</f>
        <v>#REF!</v>
      </c>
      <c r="GE4" t="e">
        <f>AND('POTENCIAL HORAS'!#REF!,"AAAAAE0f9ro=")</f>
        <v>#REF!</v>
      </c>
      <c r="GF4" t="e">
        <f>AND('POTENCIAL HORAS'!#REF!,"AAAAAE0f9rs=")</f>
        <v>#REF!</v>
      </c>
      <c r="GG4" t="e">
        <f>AND('POTENCIAL HORAS'!#REF!,"AAAAAE0f9rw=")</f>
        <v>#REF!</v>
      </c>
      <c r="GH4" t="e">
        <f>AND('POTENCIAL HORAS'!#REF!,"AAAAAE0f9r0=")</f>
        <v>#REF!</v>
      </c>
      <c r="GI4" t="e">
        <f>AND('POTENCIAL HORAS'!#REF!,"AAAAAE0f9r4=")</f>
        <v>#REF!</v>
      </c>
      <c r="GJ4" t="e">
        <f>AND('POTENCIAL HORAS'!#REF!,"AAAAAE0f9r8=")</f>
        <v>#REF!</v>
      </c>
      <c r="GK4" t="e">
        <f>AND('POTENCIAL HORAS'!#REF!,"AAAAAE0f9sA=")</f>
        <v>#REF!</v>
      </c>
      <c r="GL4" t="e">
        <f>AND('POTENCIAL HORAS'!#REF!,"AAAAAE0f9sE=")</f>
        <v>#REF!</v>
      </c>
      <c r="GM4" t="e">
        <f>AND('POTENCIAL HORAS'!#REF!,"AAAAAE0f9sI=")</f>
        <v>#REF!</v>
      </c>
      <c r="GN4" t="e">
        <f>AND('POTENCIAL HORAS'!#REF!,"AAAAAE0f9sM=")</f>
        <v>#REF!</v>
      </c>
      <c r="GO4" t="e">
        <f>AND('POTENCIAL HORAS'!#REF!,"AAAAAE0f9sQ=")</f>
        <v>#REF!</v>
      </c>
      <c r="GP4" t="e">
        <f>AND('POTENCIAL HORAS'!#REF!,"AAAAAE0f9sU=")</f>
        <v>#REF!</v>
      </c>
      <c r="GQ4" t="e">
        <f>AND('POTENCIAL HORAS'!#REF!,"AAAAAE0f9sY=")</f>
        <v>#REF!</v>
      </c>
      <c r="GR4" t="e">
        <f>AND('POTENCIAL HORAS'!#REF!,"AAAAAE0f9sc=")</f>
        <v>#REF!</v>
      </c>
      <c r="GS4" t="e">
        <f>AND('POTENCIAL HORAS'!#REF!,"AAAAAE0f9sg=")</f>
        <v>#REF!</v>
      </c>
      <c r="GT4" t="e">
        <f>AND('POTENCIAL HORAS'!#REF!,"AAAAAE0f9sk=")</f>
        <v>#REF!</v>
      </c>
      <c r="GU4" t="e">
        <f>AND('POTENCIAL HORAS'!#REF!,"AAAAAE0f9so=")</f>
        <v>#REF!</v>
      </c>
      <c r="GV4" t="e">
        <f>AND('POTENCIAL HORAS'!#REF!,"AAAAAE0f9ss=")</f>
        <v>#REF!</v>
      </c>
      <c r="GW4" t="e">
        <f>AND('POTENCIAL HORAS'!#REF!,"AAAAAE0f9sw=")</f>
        <v>#REF!</v>
      </c>
      <c r="GX4" t="e">
        <f>AND('POTENCIAL HORAS'!Q30,"AAAAAE0f9s0=")</f>
        <v>#VALUE!</v>
      </c>
      <c r="GY4" t="e">
        <f>AND('POTENCIAL HORAS'!R30,"AAAAAE0f9s4=")</f>
        <v>#VALUE!</v>
      </c>
      <c r="GZ4">
        <f>IF('POTENCIAL HORAS'!31:31,"AAAAAE0f9s8=",0)</f>
        <v>0</v>
      </c>
      <c r="HA4" t="e">
        <f>AND('POTENCIAL HORAS'!A31,"AAAAAE0f9tA=")</f>
        <v>#VALUE!</v>
      </c>
      <c r="HB4" t="e">
        <f>AND('POTENCIAL HORAS'!B31,"AAAAAE0f9tE=")</f>
        <v>#VALUE!</v>
      </c>
      <c r="HC4" t="e">
        <f>AND('POTENCIAL HORAS'!C31,"AAAAAE0f9tI=")</f>
        <v>#VALUE!</v>
      </c>
      <c r="HD4" t="e">
        <f>AND('POTENCIAL HORAS'!D31,"AAAAAE0f9tM=")</f>
        <v>#VALUE!</v>
      </c>
      <c r="HE4" t="e">
        <f>AND('POTENCIAL HORAS'!E31,"AAAAAE0f9tQ=")</f>
        <v>#VALUE!</v>
      </c>
      <c r="HF4" t="e">
        <f>AND('POTENCIAL HORAS'!F31,"AAAAAE0f9tU=")</f>
        <v>#VALUE!</v>
      </c>
      <c r="HG4" t="e">
        <f>AND('POTENCIAL HORAS'!G31,"AAAAAE0f9tY=")</f>
        <v>#VALUE!</v>
      </c>
      <c r="HH4" t="e">
        <f>AND('POTENCIAL HORAS'!H31,"AAAAAE0f9tc=")</f>
        <v>#VALUE!</v>
      </c>
      <c r="HI4" t="e">
        <f>AND('POTENCIAL HORAS'!I31,"AAAAAE0f9tg=")</f>
        <v>#VALUE!</v>
      </c>
      <c r="HJ4" t="e">
        <f>AND('POTENCIAL HORAS'!J31,"AAAAAE0f9tk=")</f>
        <v>#VALUE!</v>
      </c>
      <c r="HK4" t="e">
        <f>AND('POTENCIAL HORAS'!K31,"AAAAAE0f9to=")</f>
        <v>#VALUE!</v>
      </c>
      <c r="HL4" t="e">
        <f>AND('POTENCIAL HORAS'!L31,"AAAAAE0f9ts=")</f>
        <v>#VALUE!</v>
      </c>
      <c r="HM4" t="e">
        <f>AND('POTENCIAL HORAS'!M31,"AAAAAE0f9tw=")</f>
        <v>#VALUE!</v>
      </c>
      <c r="HN4" t="e">
        <f>AND('POTENCIAL HORAS'!N31,"AAAAAE0f9t0=")</f>
        <v>#VALUE!</v>
      </c>
      <c r="HO4" t="e">
        <f>AND('POTENCIAL HORAS'!O31,"AAAAAE0f9t4=")</f>
        <v>#VALUE!</v>
      </c>
      <c r="HP4" t="e">
        <f>AND('POTENCIAL HORAS'!P31,"AAAAAE0f9t8=")</f>
        <v>#VALUE!</v>
      </c>
      <c r="HQ4" t="e">
        <f>AND('POTENCIAL HORAS'!#REF!,"AAAAAE0f9uA=")</f>
        <v>#REF!</v>
      </c>
      <c r="HR4" t="e">
        <f>AND('POTENCIAL HORAS'!#REF!,"AAAAAE0f9uE=")</f>
        <v>#REF!</v>
      </c>
      <c r="HS4" t="e">
        <f>AND('POTENCIAL HORAS'!#REF!,"AAAAAE0f9uI=")</f>
        <v>#REF!</v>
      </c>
      <c r="HT4" t="e">
        <f>AND('POTENCIAL HORAS'!#REF!,"AAAAAE0f9uM=")</f>
        <v>#REF!</v>
      </c>
      <c r="HU4" t="e">
        <f>AND('POTENCIAL HORAS'!#REF!,"AAAAAE0f9uQ=")</f>
        <v>#REF!</v>
      </c>
      <c r="HV4" t="e">
        <f>AND('POTENCIAL HORAS'!#REF!,"AAAAAE0f9uU=")</f>
        <v>#REF!</v>
      </c>
      <c r="HW4" t="e">
        <f>AND('POTENCIAL HORAS'!#REF!,"AAAAAE0f9uY=")</f>
        <v>#REF!</v>
      </c>
      <c r="HX4" t="e">
        <f>AND('POTENCIAL HORAS'!#REF!,"AAAAAE0f9uc=")</f>
        <v>#REF!</v>
      </c>
      <c r="HY4" t="e">
        <f>AND('POTENCIAL HORAS'!#REF!,"AAAAAE0f9ug=")</f>
        <v>#REF!</v>
      </c>
      <c r="HZ4" t="e">
        <f>AND('POTENCIAL HORAS'!#REF!,"AAAAAE0f9uk=")</f>
        <v>#REF!</v>
      </c>
      <c r="IA4" t="e">
        <f>AND('POTENCIAL HORAS'!#REF!,"AAAAAE0f9uo=")</f>
        <v>#REF!</v>
      </c>
      <c r="IB4" t="e">
        <f>AND('POTENCIAL HORAS'!#REF!,"AAAAAE0f9us=")</f>
        <v>#REF!</v>
      </c>
      <c r="IC4" t="e">
        <f>AND('POTENCIAL HORAS'!#REF!,"AAAAAE0f9uw=")</f>
        <v>#REF!</v>
      </c>
      <c r="ID4" t="e">
        <f>AND('POTENCIAL HORAS'!#REF!,"AAAAAE0f9u0=")</f>
        <v>#REF!</v>
      </c>
      <c r="IE4" t="e">
        <f>AND('POTENCIAL HORAS'!#REF!,"AAAAAE0f9u4=")</f>
        <v>#REF!</v>
      </c>
      <c r="IF4" t="e">
        <f>AND('POTENCIAL HORAS'!#REF!,"AAAAAE0f9u8=")</f>
        <v>#REF!</v>
      </c>
      <c r="IG4" t="e">
        <f>AND('POTENCIAL HORAS'!#REF!,"AAAAAE0f9vA=")</f>
        <v>#REF!</v>
      </c>
      <c r="IH4" t="e">
        <f>AND('POTENCIAL HORAS'!#REF!,"AAAAAE0f9vE=")</f>
        <v>#REF!</v>
      </c>
      <c r="II4" t="e">
        <f>AND('POTENCIAL HORAS'!#REF!,"AAAAAE0f9vI=")</f>
        <v>#REF!</v>
      </c>
      <c r="IJ4" t="e">
        <f>AND('POTENCIAL HORAS'!#REF!,"AAAAAE0f9vM=")</f>
        <v>#REF!</v>
      </c>
      <c r="IK4" t="e">
        <f>AND('POTENCIAL HORAS'!Q31,"AAAAAE0f9vQ=")</f>
        <v>#VALUE!</v>
      </c>
      <c r="IL4" t="e">
        <f>AND('POTENCIAL HORAS'!R31,"AAAAAE0f9vU=")</f>
        <v>#VALUE!</v>
      </c>
      <c r="IM4">
        <f>IF('POTENCIAL HORAS'!32:32,"AAAAAE0f9vY=",0)</f>
        <v>0</v>
      </c>
      <c r="IN4" t="e">
        <f>AND('POTENCIAL HORAS'!A32,"AAAAAE0f9vc=")</f>
        <v>#VALUE!</v>
      </c>
      <c r="IO4" t="e">
        <f>AND('POTENCIAL HORAS'!B32,"AAAAAE0f9vg=")</f>
        <v>#VALUE!</v>
      </c>
      <c r="IP4" t="e">
        <f>AND('POTENCIAL HORAS'!C32,"AAAAAE0f9vk=")</f>
        <v>#VALUE!</v>
      </c>
      <c r="IQ4" t="e">
        <f>AND('POTENCIAL HORAS'!D32,"AAAAAE0f9vo=")</f>
        <v>#VALUE!</v>
      </c>
      <c r="IR4" t="e">
        <f>AND('POTENCIAL HORAS'!E32,"AAAAAE0f9vs=")</f>
        <v>#VALUE!</v>
      </c>
      <c r="IS4" t="e">
        <f>AND('POTENCIAL HORAS'!F32,"AAAAAE0f9vw=")</f>
        <v>#VALUE!</v>
      </c>
      <c r="IT4" t="e">
        <f>AND('POTENCIAL HORAS'!G32,"AAAAAE0f9v0=")</f>
        <v>#VALUE!</v>
      </c>
      <c r="IU4" t="e">
        <f>AND('POTENCIAL HORAS'!H32,"AAAAAE0f9v4=")</f>
        <v>#VALUE!</v>
      </c>
      <c r="IV4" t="e">
        <f>AND('POTENCIAL HORAS'!I32,"AAAAAE0f9v8=")</f>
        <v>#VALUE!</v>
      </c>
    </row>
    <row r="5" spans="1:256" x14ac:dyDescent="0.2">
      <c r="A5" t="e">
        <f>AND('POTENCIAL HORAS'!J32,"AAAAAH7P/wA=")</f>
        <v>#VALUE!</v>
      </c>
      <c r="B5" t="e">
        <f>AND('POTENCIAL HORAS'!K32,"AAAAAH7P/wE=")</f>
        <v>#VALUE!</v>
      </c>
      <c r="C5" t="e">
        <f>AND('POTENCIAL HORAS'!L32,"AAAAAH7P/wI=")</f>
        <v>#VALUE!</v>
      </c>
      <c r="D5" t="e">
        <f>AND('POTENCIAL HORAS'!M32,"AAAAAH7P/wM=")</f>
        <v>#VALUE!</v>
      </c>
      <c r="E5" t="e">
        <f>AND('POTENCIAL HORAS'!N32,"AAAAAH7P/wQ=")</f>
        <v>#VALUE!</v>
      </c>
      <c r="F5" t="e">
        <f>AND('POTENCIAL HORAS'!O32,"AAAAAH7P/wU=")</f>
        <v>#VALUE!</v>
      </c>
      <c r="G5" t="e">
        <f>AND('POTENCIAL HORAS'!P32,"AAAAAH7P/wY=")</f>
        <v>#VALUE!</v>
      </c>
      <c r="H5" t="e">
        <f>AND('POTENCIAL HORAS'!#REF!,"AAAAAH7P/wc=")</f>
        <v>#REF!</v>
      </c>
      <c r="I5" t="e">
        <f>AND('POTENCIAL HORAS'!#REF!,"AAAAAH7P/wg=")</f>
        <v>#REF!</v>
      </c>
      <c r="J5" t="e">
        <f>AND('POTENCIAL HORAS'!#REF!,"AAAAAH7P/wk=")</f>
        <v>#REF!</v>
      </c>
      <c r="K5" t="e">
        <f>AND('POTENCIAL HORAS'!#REF!,"AAAAAH7P/wo=")</f>
        <v>#REF!</v>
      </c>
      <c r="L5" t="e">
        <f>AND('POTENCIAL HORAS'!#REF!,"AAAAAH7P/ws=")</f>
        <v>#REF!</v>
      </c>
      <c r="M5" t="e">
        <f>AND('POTENCIAL HORAS'!#REF!,"AAAAAH7P/ww=")</f>
        <v>#REF!</v>
      </c>
      <c r="N5" t="e">
        <f>AND('POTENCIAL HORAS'!#REF!,"AAAAAH7P/w0=")</f>
        <v>#REF!</v>
      </c>
      <c r="O5" t="e">
        <f>AND('POTENCIAL HORAS'!#REF!,"AAAAAH7P/w4=")</f>
        <v>#REF!</v>
      </c>
      <c r="P5" t="e">
        <f>AND('POTENCIAL HORAS'!#REF!,"AAAAAH7P/w8=")</f>
        <v>#REF!</v>
      </c>
      <c r="Q5" t="e">
        <f>AND('POTENCIAL HORAS'!#REF!,"AAAAAH7P/xA=")</f>
        <v>#REF!</v>
      </c>
      <c r="R5" t="e">
        <f>AND('POTENCIAL HORAS'!#REF!,"AAAAAH7P/xE=")</f>
        <v>#REF!</v>
      </c>
      <c r="S5" t="e">
        <f>AND('POTENCIAL HORAS'!#REF!,"AAAAAH7P/xI=")</f>
        <v>#REF!</v>
      </c>
      <c r="T5" t="e">
        <f>AND('POTENCIAL HORAS'!#REF!,"AAAAAH7P/xM=")</f>
        <v>#REF!</v>
      </c>
      <c r="U5" t="e">
        <f>AND('POTENCIAL HORAS'!#REF!,"AAAAAH7P/xQ=")</f>
        <v>#REF!</v>
      </c>
      <c r="V5" t="e">
        <f>AND('POTENCIAL HORAS'!#REF!,"AAAAAH7P/xU=")</f>
        <v>#REF!</v>
      </c>
      <c r="W5" t="e">
        <f>AND('POTENCIAL HORAS'!#REF!,"AAAAAH7P/xY=")</f>
        <v>#REF!</v>
      </c>
      <c r="X5" t="e">
        <f>AND('POTENCIAL HORAS'!#REF!,"AAAAAH7P/xc=")</f>
        <v>#REF!</v>
      </c>
      <c r="Y5" t="e">
        <f>AND('POTENCIAL HORAS'!#REF!,"AAAAAH7P/xg=")</f>
        <v>#REF!</v>
      </c>
      <c r="Z5" t="e">
        <f>AND('POTENCIAL HORAS'!#REF!,"AAAAAH7P/xk=")</f>
        <v>#REF!</v>
      </c>
      <c r="AA5" t="e">
        <f>AND('POTENCIAL HORAS'!#REF!,"AAAAAH7P/xo=")</f>
        <v>#REF!</v>
      </c>
      <c r="AB5" t="e">
        <f>AND('POTENCIAL HORAS'!Q32,"AAAAAH7P/xs=")</f>
        <v>#VALUE!</v>
      </c>
      <c r="AC5" t="e">
        <f>AND('POTENCIAL HORAS'!R32,"AAAAAH7P/xw=")</f>
        <v>#VALUE!</v>
      </c>
      <c r="AD5">
        <f>IF('POTENCIAL HORAS'!33:33,"AAAAAH7P/x0=",0)</f>
        <v>0</v>
      </c>
      <c r="AE5" t="e">
        <f>AND('POTENCIAL HORAS'!A33,"AAAAAH7P/x4=")</f>
        <v>#VALUE!</v>
      </c>
      <c r="AF5" t="e">
        <f>AND('POTENCIAL HORAS'!B33,"AAAAAH7P/x8=")</f>
        <v>#VALUE!</v>
      </c>
      <c r="AG5" t="e">
        <f>AND('POTENCIAL HORAS'!C33,"AAAAAH7P/yA=")</f>
        <v>#VALUE!</v>
      </c>
      <c r="AH5" t="e">
        <f>AND('POTENCIAL HORAS'!D33,"AAAAAH7P/yE=")</f>
        <v>#VALUE!</v>
      </c>
      <c r="AI5" t="e">
        <f>AND('POTENCIAL HORAS'!E33,"AAAAAH7P/yI=")</f>
        <v>#VALUE!</v>
      </c>
      <c r="AJ5" t="e">
        <f>AND('POTENCIAL HORAS'!F33,"AAAAAH7P/yM=")</f>
        <v>#VALUE!</v>
      </c>
      <c r="AK5" t="e">
        <f>AND('POTENCIAL HORAS'!G33,"AAAAAH7P/yQ=")</f>
        <v>#VALUE!</v>
      </c>
      <c r="AL5" t="e">
        <f>AND('POTENCIAL HORAS'!H33,"AAAAAH7P/yU=")</f>
        <v>#VALUE!</v>
      </c>
      <c r="AM5" t="e">
        <f>AND('POTENCIAL HORAS'!I33,"AAAAAH7P/yY=")</f>
        <v>#VALUE!</v>
      </c>
      <c r="AN5" t="e">
        <f>AND('POTENCIAL HORAS'!J33,"AAAAAH7P/yc=")</f>
        <v>#VALUE!</v>
      </c>
      <c r="AO5" t="e">
        <f>AND('POTENCIAL HORAS'!K33,"AAAAAH7P/yg=")</f>
        <v>#VALUE!</v>
      </c>
      <c r="AP5" t="e">
        <f>AND('POTENCIAL HORAS'!L33,"AAAAAH7P/yk=")</f>
        <v>#VALUE!</v>
      </c>
      <c r="AQ5" t="e">
        <f>AND('POTENCIAL HORAS'!M33,"AAAAAH7P/yo=")</f>
        <v>#VALUE!</v>
      </c>
      <c r="AR5" t="e">
        <f>AND('POTENCIAL HORAS'!N33,"AAAAAH7P/ys=")</f>
        <v>#VALUE!</v>
      </c>
      <c r="AS5" t="e">
        <f>AND('POTENCIAL HORAS'!O33,"AAAAAH7P/yw=")</f>
        <v>#VALUE!</v>
      </c>
      <c r="AT5" t="e">
        <f>AND('POTENCIAL HORAS'!P33,"AAAAAH7P/y0=")</f>
        <v>#VALUE!</v>
      </c>
      <c r="AU5" t="e">
        <f>AND('POTENCIAL HORAS'!#REF!,"AAAAAH7P/y4=")</f>
        <v>#REF!</v>
      </c>
      <c r="AV5" t="e">
        <f>AND('POTENCIAL HORAS'!#REF!,"AAAAAH7P/y8=")</f>
        <v>#REF!</v>
      </c>
      <c r="AW5" t="e">
        <f>AND('POTENCIAL HORAS'!#REF!,"AAAAAH7P/zA=")</f>
        <v>#REF!</v>
      </c>
      <c r="AX5" t="e">
        <f>AND('POTENCIAL HORAS'!#REF!,"AAAAAH7P/zE=")</f>
        <v>#REF!</v>
      </c>
      <c r="AY5" t="e">
        <f>AND('POTENCIAL HORAS'!#REF!,"AAAAAH7P/zI=")</f>
        <v>#REF!</v>
      </c>
      <c r="AZ5" t="e">
        <f>AND('POTENCIAL HORAS'!#REF!,"AAAAAH7P/zM=")</f>
        <v>#REF!</v>
      </c>
      <c r="BA5" t="e">
        <f>AND('POTENCIAL HORAS'!#REF!,"AAAAAH7P/zQ=")</f>
        <v>#REF!</v>
      </c>
      <c r="BB5" t="e">
        <f>AND('POTENCIAL HORAS'!#REF!,"AAAAAH7P/zU=")</f>
        <v>#REF!</v>
      </c>
      <c r="BC5" t="e">
        <f>AND('POTENCIAL HORAS'!#REF!,"AAAAAH7P/zY=")</f>
        <v>#REF!</v>
      </c>
      <c r="BD5" t="e">
        <f>AND('POTENCIAL HORAS'!#REF!,"AAAAAH7P/zc=")</f>
        <v>#REF!</v>
      </c>
      <c r="BE5" t="e">
        <f>AND('POTENCIAL HORAS'!#REF!,"AAAAAH7P/zg=")</f>
        <v>#REF!</v>
      </c>
      <c r="BF5" t="e">
        <f>AND('POTENCIAL HORAS'!#REF!,"AAAAAH7P/zk=")</f>
        <v>#REF!</v>
      </c>
      <c r="BG5" t="e">
        <f>AND('POTENCIAL HORAS'!#REF!,"AAAAAH7P/zo=")</f>
        <v>#REF!</v>
      </c>
      <c r="BH5" t="e">
        <f>AND('POTENCIAL HORAS'!#REF!,"AAAAAH7P/zs=")</f>
        <v>#REF!</v>
      </c>
      <c r="BI5" t="e">
        <f>AND('POTENCIAL HORAS'!#REF!,"AAAAAH7P/zw=")</f>
        <v>#REF!</v>
      </c>
      <c r="BJ5" t="e">
        <f>AND('POTENCIAL HORAS'!#REF!,"AAAAAH7P/z0=")</f>
        <v>#REF!</v>
      </c>
      <c r="BK5" t="e">
        <f>AND('POTENCIAL HORAS'!#REF!,"AAAAAH7P/z4=")</f>
        <v>#REF!</v>
      </c>
      <c r="BL5" t="e">
        <f>AND('POTENCIAL HORAS'!#REF!,"AAAAAH7P/z8=")</f>
        <v>#REF!</v>
      </c>
      <c r="BM5" t="e">
        <f>AND('POTENCIAL HORAS'!#REF!,"AAAAAH7P/0A=")</f>
        <v>#REF!</v>
      </c>
      <c r="BN5" t="e">
        <f>AND('POTENCIAL HORAS'!#REF!,"AAAAAH7P/0E=")</f>
        <v>#REF!</v>
      </c>
      <c r="BO5" t="e">
        <f>AND('POTENCIAL HORAS'!Q33,"AAAAAH7P/0I=")</f>
        <v>#VALUE!</v>
      </c>
      <c r="BP5" t="e">
        <f>AND('POTENCIAL HORAS'!R33,"AAAAAH7P/0M=")</f>
        <v>#VALUE!</v>
      </c>
      <c r="BQ5">
        <f>IF('POTENCIAL HORAS'!34:34,"AAAAAH7P/0Q=",0)</f>
        <v>0</v>
      </c>
      <c r="BR5" t="e">
        <f>AND('POTENCIAL HORAS'!A34,"AAAAAH7P/0U=")</f>
        <v>#VALUE!</v>
      </c>
      <c r="BS5" t="e">
        <f>AND('POTENCIAL HORAS'!B34,"AAAAAH7P/0Y=")</f>
        <v>#VALUE!</v>
      </c>
      <c r="BT5" t="e">
        <f>AND('POTENCIAL HORAS'!C34,"AAAAAH7P/0c=")</f>
        <v>#VALUE!</v>
      </c>
      <c r="BU5" t="e">
        <f>AND('POTENCIAL HORAS'!D34,"AAAAAH7P/0g=")</f>
        <v>#VALUE!</v>
      </c>
      <c r="BV5" t="e">
        <f>AND('POTENCIAL HORAS'!E34,"AAAAAH7P/0k=")</f>
        <v>#VALUE!</v>
      </c>
      <c r="BW5" t="e">
        <f>AND('POTENCIAL HORAS'!F34,"AAAAAH7P/0o=")</f>
        <v>#VALUE!</v>
      </c>
      <c r="BX5" t="e">
        <f>AND('POTENCIAL HORAS'!G34,"AAAAAH7P/0s=")</f>
        <v>#VALUE!</v>
      </c>
      <c r="BY5" t="e">
        <f>AND('POTENCIAL HORAS'!H34,"AAAAAH7P/0w=")</f>
        <v>#VALUE!</v>
      </c>
      <c r="BZ5" t="e">
        <f>AND('POTENCIAL HORAS'!I34,"AAAAAH7P/00=")</f>
        <v>#VALUE!</v>
      </c>
      <c r="CA5" t="e">
        <f>AND('POTENCIAL HORAS'!J34,"AAAAAH7P/04=")</f>
        <v>#VALUE!</v>
      </c>
      <c r="CB5" t="e">
        <f>AND('POTENCIAL HORAS'!K34,"AAAAAH7P/08=")</f>
        <v>#VALUE!</v>
      </c>
      <c r="CC5" t="e">
        <f>AND('POTENCIAL HORAS'!L34,"AAAAAH7P/1A=")</f>
        <v>#VALUE!</v>
      </c>
      <c r="CD5" t="e">
        <f>AND('POTENCIAL HORAS'!M34,"AAAAAH7P/1E=")</f>
        <v>#VALUE!</v>
      </c>
      <c r="CE5" t="e">
        <f>AND('POTENCIAL HORAS'!N34,"AAAAAH7P/1I=")</f>
        <v>#VALUE!</v>
      </c>
      <c r="CF5" t="e">
        <f>AND('POTENCIAL HORAS'!O34,"AAAAAH7P/1M=")</f>
        <v>#VALUE!</v>
      </c>
      <c r="CG5" t="e">
        <f>AND('POTENCIAL HORAS'!P34,"AAAAAH7P/1Q=")</f>
        <v>#VALUE!</v>
      </c>
      <c r="CH5" t="e">
        <f>AND('POTENCIAL HORAS'!#REF!,"AAAAAH7P/1U=")</f>
        <v>#REF!</v>
      </c>
      <c r="CI5" t="e">
        <f>AND('POTENCIAL HORAS'!#REF!,"AAAAAH7P/1Y=")</f>
        <v>#REF!</v>
      </c>
      <c r="CJ5" t="e">
        <f>AND('POTENCIAL HORAS'!#REF!,"AAAAAH7P/1c=")</f>
        <v>#REF!</v>
      </c>
      <c r="CK5" t="e">
        <f>AND('POTENCIAL HORAS'!#REF!,"AAAAAH7P/1g=")</f>
        <v>#REF!</v>
      </c>
      <c r="CL5" t="e">
        <f>AND('POTENCIAL HORAS'!#REF!,"AAAAAH7P/1k=")</f>
        <v>#REF!</v>
      </c>
      <c r="CM5" t="e">
        <f>AND('POTENCIAL HORAS'!#REF!,"AAAAAH7P/1o=")</f>
        <v>#REF!</v>
      </c>
      <c r="CN5" t="e">
        <f>AND('POTENCIAL HORAS'!#REF!,"AAAAAH7P/1s=")</f>
        <v>#REF!</v>
      </c>
      <c r="CO5" t="e">
        <f>AND('POTENCIAL HORAS'!#REF!,"AAAAAH7P/1w=")</f>
        <v>#REF!</v>
      </c>
      <c r="CP5" t="e">
        <f>AND('POTENCIAL HORAS'!#REF!,"AAAAAH7P/10=")</f>
        <v>#REF!</v>
      </c>
      <c r="CQ5" t="e">
        <f>AND('POTENCIAL HORAS'!#REF!,"AAAAAH7P/14=")</f>
        <v>#REF!</v>
      </c>
      <c r="CR5" t="e">
        <f>AND('POTENCIAL HORAS'!#REF!,"AAAAAH7P/18=")</f>
        <v>#REF!</v>
      </c>
      <c r="CS5" t="e">
        <f>AND('POTENCIAL HORAS'!#REF!,"AAAAAH7P/2A=")</f>
        <v>#REF!</v>
      </c>
      <c r="CT5" t="e">
        <f>AND('POTENCIAL HORAS'!#REF!,"AAAAAH7P/2E=")</f>
        <v>#REF!</v>
      </c>
      <c r="CU5" t="e">
        <f>AND('POTENCIAL HORAS'!#REF!,"AAAAAH7P/2I=")</f>
        <v>#REF!</v>
      </c>
      <c r="CV5" t="e">
        <f>AND('POTENCIAL HORAS'!#REF!,"AAAAAH7P/2M=")</f>
        <v>#REF!</v>
      </c>
      <c r="CW5" t="e">
        <f>AND('POTENCIAL HORAS'!#REF!,"AAAAAH7P/2Q=")</f>
        <v>#REF!</v>
      </c>
      <c r="CX5" t="e">
        <f>AND('POTENCIAL HORAS'!#REF!,"AAAAAH7P/2U=")</f>
        <v>#REF!</v>
      </c>
      <c r="CY5" t="e">
        <f>AND('POTENCIAL HORAS'!#REF!,"AAAAAH7P/2Y=")</f>
        <v>#REF!</v>
      </c>
      <c r="CZ5" t="e">
        <f>AND('POTENCIAL HORAS'!#REF!,"AAAAAH7P/2c=")</f>
        <v>#REF!</v>
      </c>
      <c r="DA5" t="e">
        <f>AND('POTENCIAL HORAS'!#REF!,"AAAAAH7P/2g=")</f>
        <v>#REF!</v>
      </c>
      <c r="DB5" t="e">
        <f>AND('POTENCIAL HORAS'!Q34,"AAAAAH7P/2k=")</f>
        <v>#VALUE!</v>
      </c>
      <c r="DC5" t="e">
        <f>AND('POTENCIAL HORAS'!R34,"AAAAAH7P/2o=")</f>
        <v>#VALUE!</v>
      </c>
      <c r="DD5">
        <f>IF('POTENCIAL HORAS'!35:35,"AAAAAH7P/2s=",0)</f>
        <v>0</v>
      </c>
      <c r="DE5" t="e">
        <f>AND('POTENCIAL HORAS'!A35,"AAAAAH7P/2w=")</f>
        <v>#VALUE!</v>
      </c>
      <c r="DF5" t="e">
        <f>AND('POTENCIAL HORAS'!B35,"AAAAAH7P/20=")</f>
        <v>#VALUE!</v>
      </c>
      <c r="DG5" t="e">
        <f>AND('POTENCIAL HORAS'!C35,"AAAAAH7P/24=")</f>
        <v>#VALUE!</v>
      </c>
      <c r="DH5" t="e">
        <f>AND('POTENCIAL HORAS'!D35,"AAAAAH7P/28=")</f>
        <v>#VALUE!</v>
      </c>
      <c r="DI5" t="e">
        <f>AND('POTENCIAL HORAS'!E35,"AAAAAH7P/3A=")</f>
        <v>#VALUE!</v>
      </c>
      <c r="DJ5" t="e">
        <f>AND('POTENCIAL HORAS'!F35,"AAAAAH7P/3E=")</f>
        <v>#VALUE!</v>
      </c>
      <c r="DK5" t="e">
        <f>AND('POTENCIAL HORAS'!G35,"AAAAAH7P/3I=")</f>
        <v>#VALUE!</v>
      </c>
      <c r="DL5" t="e">
        <f>AND('POTENCIAL HORAS'!H35,"AAAAAH7P/3M=")</f>
        <v>#VALUE!</v>
      </c>
      <c r="DM5" t="e">
        <f>AND('POTENCIAL HORAS'!I35,"AAAAAH7P/3Q=")</f>
        <v>#VALUE!</v>
      </c>
      <c r="DN5" t="e">
        <f>AND('POTENCIAL HORAS'!J35,"AAAAAH7P/3U=")</f>
        <v>#VALUE!</v>
      </c>
      <c r="DO5" t="e">
        <f>AND('POTENCIAL HORAS'!K35,"AAAAAH7P/3Y=")</f>
        <v>#VALUE!</v>
      </c>
      <c r="DP5" t="e">
        <f>AND('POTENCIAL HORAS'!L35,"AAAAAH7P/3c=")</f>
        <v>#VALUE!</v>
      </c>
      <c r="DQ5" t="e">
        <f>AND('POTENCIAL HORAS'!M35,"AAAAAH7P/3g=")</f>
        <v>#VALUE!</v>
      </c>
      <c r="DR5" t="e">
        <f>AND('POTENCIAL HORAS'!N35,"AAAAAH7P/3k=")</f>
        <v>#VALUE!</v>
      </c>
      <c r="DS5" t="e">
        <f>AND('POTENCIAL HORAS'!O35,"AAAAAH7P/3o=")</f>
        <v>#VALUE!</v>
      </c>
      <c r="DT5" t="e">
        <f>AND('POTENCIAL HORAS'!P35,"AAAAAH7P/3s=")</f>
        <v>#VALUE!</v>
      </c>
      <c r="DU5" t="e">
        <f>AND('POTENCIAL HORAS'!#REF!,"AAAAAH7P/3w=")</f>
        <v>#REF!</v>
      </c>
      <c r="DV5" t="e">
        <f>AND('POTENCIAL HORAS'!#REF!,"AAAAAH7P/30=")</f>
        <v>#REF!</v>
      </c>
      <c r="DW5" t="e">
        <f>AND('POTENCIAL HORAS'!#REF!,"AAAAAH7P/34=")</f>
        <v>#REF!</v>
      </c>
      <c r="DX5" t="e">
        <f>AND('POTENCIAL HORAS'!#REF!,"AAAAAH7P/38=")</f>
        <v>#REF!</v>
      </c>
      <c r="DY5" t="e">
        <f>AND('POTENCIAL HORAS'!#REF!,"AAAAAH7P/4A=")</f>
        <v>#REF!</v>
      </c>
      <c r="DZ5" t="e">
        <f>AND('POTENCIAL HORAS'!#REF!,"AAAAAH7P/4E=")</f>
        <v>#REF!</v>
      </c>
      <c r="EA5" t="e">
        <f>AND('POTENCIAL HORAS'!#REF!,"AAAAAH7P/4I=")</f>
        <v>#REF!</v>
      </c>
      <c r="EB5" t="e">
        <f>AND('POTENCIAL HORAS'!#REF!,"AAAAAH7P/4M=")</f>
        <v>#REF!</v>
      </c>
      <c r="EC5" t="e">
        <f>AND('POTENCIAL HORAS'!#REF!,"AAAAAH7P/4Q=")</f>
        <v>#REF!</v>
      </c>
      <c r="ED5" t="e">
        <f>AND('POTENCIAL HORAS'!#REF!,"AAAAAH7P/4U=")</f>
        <v>#REF!</v>
      </c>
      <c r="EE5" t="e">
        <f>AND('POTENCIAL HORAS'!#REF!,"AAAAAH7P/4Y=")</f>
        <v>#REF!</v>
      </c>
      <c r="EF5" t="e">
        <f>AND('POTENCIAL HORAS'!#REF!,"AAAAAH7P/4c=")</f>
        <v>#REF!</v>
      </c>
      <c r="EG5" t="e">
        <f>AND('POTENCIAL HORAS'!#REF!,"AAAAAH7P/4g=")</f>
        <v>#REF!</v>
      </c>
      <c r="EH5" t="e">
        <f>AND('POTENCIAL HORAS'!#REF!,"AAAAAH7P/4k=")</f>
        <v>#REF!</v>
      </c>
      <c r="EI5" t="e">
        <f>AND('POTENCIAL HORAS'!#REF!,"AAAAAH7P/4o=")</f>
        <v>#REF!</v>
      </c>
      <c r="EJ5" t="e">
        <f>AND('POTENCIAL HORAS'!#REF!,"AAAAAH7P/4s=")</f>
        <v>#REF!</v>
      </c>
      <c r="EK5" t="e">
        <f>AND('POTENCIAL HORAS'!#REF!,"AAAAAH7P/4w=")</f>
        <v>#REF!</v>
      </c>
      <c r="EL5" t="e">
        <f>AND('POTENCIAL HORAS'!#REF!,"AAAAAH7P/40=")</f>
        <v>#REF!</v>
      </c>
      <c r="EM5" t="e">
        <f>AND('POTENCIAL HORAS'!#REF!,"AAAAAH7P/44=")</f>
        <v>#REF!</v>
      </c>
      <c r="EN5" t="e">
        <f>AND('POTENCIAL HORAS'!#REF!,"AAAAAH7P/48=")</f>
        <v>#REF!</v>
      </c>
      <c r="EO5" t="e">
        <f>AND('POTENCIAL HORAS'!Q35,"AAAAAH7P/5A=")</f>
        <v>#VALUE!</v>
      </c>
      <c r="EP5" t="e">
        <f>AND('POTENCIAL HORAS'!R35,"AAAAAH7P/5E=")</f>
        <v>#VALUE!</v>
      </c>
      <c r="EQ5">
        <f>IF('POTENCIAL HORAS'!36:36,"AAAAAH7P/5I=",0)</f>
        <v>0</v>
      </c>
      <c r="ER5" t="e">
        <f>AND('POTENCIAL HORAS'!A36,"AAAAAH7P/5M=")</f>
        <v>#VALUE!</v>
      </c>
      <c r="ES5" t="e">
        <f>AND('POTENCIAL HORAS'!B36,"AAAAAH7P/5Q=")</f>
        <v>#VALUE!</v>
      </c>
      <c r="ET5" t="e">
        <f>AND('POTENCIAL HORAS'!C36,"AAAAAH7P/5U=")</f>
        <v>#VALUE!</v>
      </c>
      <c r="EU5" t="e">
        <f>AND('POTENCIAL HORAS'!D36,"AAAAAH7P/5Y=")</f>
        <v>#VALUE!</v>
      </c>
      <c r="EV5" t="e">
        <f>AND('POTENCIAL HORAS'!E36,"AAAAAH7P/5c=")</f>
        <v>#VALUE!</v>
      </c>
      <c r="EW5" t="e">
        <f>AND('POTENCIAL HORAS'!F36,"AAAAAH7P/5g=")</f>
        <v>#VALUE!</v>
      </c>
      <c r="EX5" t="e">
        <f>AND('POTENCIAL HORAS'!G36,"AAAAAH7P/5k=")</f>
        <v>#VALUE!</v>
      </c>
      <c r="EY5" t="e">
        <f>AND('POTENCIAL HORAS'!H36,"AAAAAH7P/5o=")</f>
        <v>#VALUE!</v>
      </c>
      <c r="EZ5" t="e">
        <f>AND('POTENCIAL HORAS'!I36,"AAAAAH7P/5s=")</f>
        <v>#VALUE!</v>
      </c>
      <c r="FA5" t="e">
        <f>AND('POTENCIAL HORAS'!J36,"AAAAAH7P/5w=")</f>
        <v>#VALUE!</v>
      </c>
      <c r="FB5" t="e">
        <f>AND('POTENCIAL HORAS'!K36,"AAAAAH7P/50=")</f>
        <v>#VALUE!</v>
      </c>
      <c r="FC5" t="e">
        <f>AND('POTENCIAL HORAS'!L36,"AAAAAH7P/54=")</f>
        <v>#VALUE!</v>
      </c>
      <c r="FD5" t="e">
        <f>AND('POTENCIAL HORAS'!M36,"AAAAAH7P/58=")</f>
        <v>#VALUE!</v>
      </c>
      <c r="FE5" t="e">
        <f>AND('POTENCIAL HORAS'!N36,"AAAAAH7P/6A=")</f>
        <v>#VALUE!</v>
      </c>
      <c r="FF5" t="e">
        <f>AND('POTENCIAL HORAS'!O36,"AAAAAH7P/6E=")</f>
        <v>#VALUE!</v>
      </c>
      <c r="FG5" t="e">
        <f>AND('POTENCIAL HORAS'!P36,"AAAAAH7P/6I=")</f>
        <v>#VALUE!</v>
      </c>
      <c r="FH5" t="e">
        <f>AND('POTENCIAL HORAS'!#REF!,"AAAAAH7P/6M=")</f>
        <v>#REF!</v>
      </c>
      <c r="FI5" t="e">
        <f>AND('POTENCIAL HORAS'!#REF!,"AAAAAH7P/6Q=")</f>
        <v>#REF!</v>
      </c>
      <c r="FJ5" t="e">
        <f>AND('POTENCIAL HORAS'!#REF!,"AAAAAH7P/6U=")</f>
        <v>#REF!</v>
      </c>
      <c r="FK5" t="e">
        <f>AND('POTENCIAL HORAS'!#REF!,"AAAAAH7P/6Y=")</f>
        <v>#REF!</v>
      </c>
      <c r="FL5" t="e">
        <f>AND('POTENCIAL HORAS'!#REF!,"AAAAAH7P/6c=")</f>
        <v>#REF!</v>
      </c>
      <c r="FM5" t="e">
        <f>AND('POTENCIAL HORAS'!#REF!,"AAAAAH7P/6g=")</f>
        <v>#REF!</v>
      </c>
      <c r="FN5" t="e">
        <f>AND('POTENCIAL HORAS'!#REF!,"AAAAAH7P/6k=")</f>
        <v>#REF!</v>
      </c>
      <c r="FO5" t="e">
        <f>AND('POTENCIAL HORAS'!#REF!,"AAAAAH7P/6o=")</f>
        <v>#REF!</v>
      </c>
      <c r="FP5" t="e">
        <f>AND('POTENCIAL HORAS'!#REF!,"AAAAAH7P/6s=")</f>
        <v>#REF!</v>
      </c>
      <c r="FQ5" t="e">
        <f>AND('POTENCIAL HORAS'!#REF!,"AAAAAH7P/6w=")</f>
        <v>#REF!</v>
      </c>
      <c r="FR5" t="e">
        <f>AND('POTENCIAL HORAS'!#REF!,"AAAAAH7P/60=")</f>
        <v>#REF!</v>
      </c>
      <c r="FS5" t="e">
        <f>AND('POTENCIAL HORAS'!#REF!,"AAAAAH7P/64=")</f>
        <v>#REF!</v>
      </c>
      <c r="FT5" t="e">
        <f>AND('POTENCIAL HORAS'!#REF!,"AAAAAH7P/68=")</f>
        <v>#REF!</v>
      </c>
      <c r="FU5" t="e">
        <f>AND('POTENCIAL HORAS'!#REF!,"AAAAAH7P/7A=")</f>
        <v>#REF!</v>
      </c>
      <c r="FV5" t="e">
        <f>AND('POTENCIAL HORAS'!#REF!,"AAAAAH7P/7E=")</f>
        <v>#REF!</v>
      </c>
      <c r="FW5" t="e">
        <f>AND('POTENCIAL HORAS'!#REF!,"AAAAAH7P/7I=")</f>
        <v>#REF!</v>
      </c>
      <c r="FX5" t="e">
        <f>AND('POTENCIAL HORAS'!#REF!,"AAAAAH7P/7M=")</f>
        <v>#REF!</v>
      </c>
      <c r="FY5" t="e">
        <f>AND('POTENCIAL HORAS'!#REF!,"AAAAAH7P/7Q=")</f>
        <v>#REF!</v>
      </c>
      <c r="FZ5" t="e">
        <f>AND('POTENCIAL HORAS'!#REF!,"AAAAAH7P/7U=")</f>
        <v>#REF!</v>
      </c>
      <c r="GA5" t="e">
        <f>AND('POTENCIAL HORAS'!#REF!,"AAAAAH7P/7Y=")</f>
        <v>#REF!</v>
      </c>
      <c r="GB5" t="e">
        <f>AND('POTENCIAL HORAS'!Q36,"AAAAAH7P/7c=")</f>
        <v>#VALUE!</v>
      </c>
      <c r="GC5" t="e">
        <f>AND('POTENCIAL HORAS'!R36,"AAAAAH7P/7g=")</f>
        <v>#VALUE!</v>
      </c>
      <c r="GD5">
        <f>IF('POTENCIAL HORAS'!37:37,"AAAAAH7P/7k=",0)</f>
        <v>0</v>
      </c>
      <c r="GE5" t="e">
        <f>AND('POTENCIAL HORAS'!A37,"AAAAAH7P/7o=")</f>
        <v>#VALUE!</v>
      </c>
      <c r="GF5" t="e">
        <f>AND('POTENCIAL HORAS'!B37,"AAAAAH7P/7s=")</f>
        <v>#VALUE!</v>
      </c>
      <c r="GG5" t="e">
        <f>AND('POTENCIAL HORAS'!C37,"AAAAAH7P/7w=")</f>
        <v>#VALUE!</v>
      </c>
      <c r="GH5" t="e">
        <f>AND('POTENCIAL HORAS'!D37,"AAAAAH7P/70=")</f>
        <v>#VALUE!</v>
      </c>
      <c r="GI5" t="e">
        <f>AND('POTENCIAL HORAS'!E37,"AAAAAH7P/74=")</f>
        <v>#VALUE!</v>
      </c>
      <c r="GJ5" t="e">
        <f>AND('POTENCIAL HORAS'!F37,"AAAAAH7P/78=")</f>
        <v>#VALUE!</v>
      </c>
      <c r="GK5" t="e">
        <f>AND('POTENCIAL HORAS'!G37,"AAAAAH7P/8A=")</f>
        <v>#VALUE!</v>
      </c>
      <c r="GL5" t="e">
        <f>AND('POTENCIAL HORAS'!H37,"AAAAAH7P/8E=")</f>
        <v>#VALUE!</v>
      </c>
      <c r="GM5" t="e">
        <f>AND('POTENCIAL HORAS'!I37,"AAAAAH7P/8I=")</f>
        <v>#VALUE!</v>
      </c>
      <c r="GN5" t="e">
        <f>AND('POTENCIAL HORAS'!J37,"AAAAAH7P/8M=")</f>
        <v>#VALUE!</v>
      </c>
      <c r="GO5" t="e">
        <f>AND('POTENCIAL HORAS'!K37,"AAAAAH7P/8Q=")</f>
        <v>#VALUE!</v>
      </c>
      <c r="GP5" t="e">
        <f>AND('POTENCIAL HORAS'!L37,"AAAAAH7P/8U=")</f>
        <v>#VALUE!</v>
      </c>
      <c r="GQ5" t="e">
        <f>AND('POTENCIAL HORAS'!M37,"AAAAAH7P/8Y=")</f>
        <v>#VALUE!</v>
      </c>
      <c r="GR5" t="e">
        <f>AND('POTENCIAL HORAS'!N37,"AAAAAH7P/8c=")</f>
        <v>#VALUE!</v>
      </c>
      <c r="GS5" t="e">
        <f>AND('POTENCIAL HORAS'!O37,"AAAAAH7P/8g=")</f>
        <v>#VALUE!</v>
      </c>
      <c r="GT5" t="e">
        <f>AND('POTENCIAL HORAS'!P37,"AAAAAH7P/8k=")</f>
        <v>#VALUE!</v>
      </c>
      <c r="GU5" t="e">
        <f>AND('POTENCIAL HORAS'!#REF!,"AAAAAH7P/8o=")</f>
        <v>#REF!</v>
      </c>
      <c r="GV5" t="e">
        <f>AND('POTENCIAL HORAS'!#REF!,"AAAAAH7P/8s=")</f>
        <v>#REF!</v>
      </c>
      <c r="GW5" t="e">
        <f>AND('POTENCIAL HORAS'!#REF!,"AAAAAH7P/8w=")</f>
        <v>#REF!</v>
      </c>
      <c r="GX5" t="e">
        <f>AND('POTENCIAL HORAS'!#REF!,"AAAAAH7P/80=")</f>
        <v>#REF!</v>
      </c>
      <c r="GY5" t="e">
        <f>AND('POTENCIAL HORAS'!#REF!,"AAAAAH7P/84=")</f>
        <v>#REF!</v>
      </c>
      <c r="GZ5" t="e">
        <f>AND('POTENCIAL HORAS'!#REF!,"AAAAAH7P/88=")</f>
        <v>#REF!</v>
      </c>
      <c r="HA5" t="e">
        <f>AND('POTENCIAL HORAS'!#REF!,"AAAAAH7P/9A=")</f>
        <v>#REF!</v>
      </c>
      <c r="HB5" t="e">
        <f>AND('POTENCIAL HORAS'!#REF!,"AAAAAH7P/9E=")</f>
        <v>#REF!</v>
      </c>
      <c r="HC5" t="e">
        <f>AND('POTENCIAL HORAS'!#REF!,"AAAAAH7P/9I=")</f>
        <v>#REF!</v>
      </c>
      <c r="HD5" t="e">
        <f>AND('POTENCIAL HORAS'!#REF!,"AAAAAH7P/9M=")</f>
        <v>#REF!</v>
      </c>
      <c r="HE5" t="e">
        <f>AND('POTENCIAL HORAS'!#REF!,"AAAAAH7P/9Q=")</f>
        <v>#REF!</v>
      </c>
      <c r="HF5" t="e">
        <f>AND('POTENCIAL HORAS'!#REF!,"AAAAAH7P/9U=")</f>
        <v>#REF!</v>
      </c>
      <c r="HG5" t="e">
        <f>AND('POTENCIAL HORAS'!#REF!,"AAAAAH7P/9Y=")</f>
        <v>#REF!</v>
      </c>
      <c r="HH5" t="e">
        <f>AND('POTENCIAL HORAS'!#REF!,"AAAAAH7P/9c=")</f>
        <v>#REF!</v>
      </c>
      <c r="HI5" t="e">
        <f>AND('POTENCIAL HORAS'!#REF!,"AAAAAH7P/9g=")</f>
        <v>#REF!</v>
      </c>
      <c r="HJ5" t="e">
        <f>AND('POTENCIAL HORAS'!#REF!,"AAAAAH7P/9k=")</f>
        <v>#REF!</v>
      </c>
      <c r="HK5" t="e">
        <f>AND('POTENCIAL HORAS'!#REF!,"AAAAAH7P/9o=")</f>
        <v>#REF!</v>
      </c>
      <c r="HL5" t="e">
        <f>AND('POTENCIAL HORAS'!#REF!,"AAAAAH7P/9s=")</f>
        <v>#REF!</v>
      </c>
      <c r="HM5" t="e">
        <f>AND('POTENCIAL HORAS'!#REF!,"AAAAAH7P/9w=")</f>
        <v>#REF!</v>
      </c>
      <c r="HN5" t="e">
        <f>AND('POTENCIAL HORAS'!#REF!,"AAAAAH7P/90=")</f>
        <v>#REF!</v>
      </c>
      <c r="HO5" t="e">
        <f>AND('POTENCIAL HORAS'!Q37,"AAAAAH7P/94=")</f>
        <v>#VALUE!</v>
      </c>
      <c r="HP5" t="e">
        <f>AND('POTENCIAL HORAS'!R37,"AAAAAH7P/98=")</f>
        <v>#VALUE!</v>
      </c>
      <c r="HQ5">
        <f>IF('POTENCIAL HORAS'!38:38,"AAAAAH7P/+A=",0)</f>
        <v>0</v>
      </c>
      <c r="HR5" t="e">
        <f>AND('POTENCIAL HORAS'!A38,"AAAAAH7P/+E=")</f>
        <v>#VALUE!</v>
      </c>
      <c r="HS5" t="e">
        <f>AND('POTENCIAL HORAS'!B38,"AAAAAH7P/+I=")</f>
        <v>#VALUE!</v>
      </c>
      <c r="HT5" t="e">
        <f>AND('POTENCIAL HORAS'!C38,"AAAAAH7P/+M=")</f>
        <v>#VALUE!</v>
      </c>
      <c r="HU5" t="e">
        <f>AND('POTENCIAL HORAS'!D38,"AAAAAH7P/+Q=")</f>
        <v>#VALUE!</v>
      </c>
      <c r="HV5" t="e">
        <f>AND('POTENCIAL HORAS'!E38,"AAAAAH7P/+U=")</f>
        <v>#VALUE!</v>
      </c>
      <c r="HW5" t="e">
        <f>AND('POTENCIAL HORAS'!F38,"AAAAAH7P/+Y=")</f>
        <v>#VALUE!</v>
      </c>
      <c r="HX5" t="e">
        <f>AND('POTENCIAL HORAS'!G38,"AAAAAH7P/+c=")</f>
        <v>#VALUE!</v>
      </c>
      <c r="HY5" t="e">
        <f>AND('POTENCIAL HORAS'!H38,"AAAAAH7P/+g=")</f>
        <v>#VALUE!</v>
      </c>
      <c r="HZ5" t="e">
        <f>AND('POTENCIAL HORAS'!I38,"AAAAAH7P/+k=")</f>
        <v>#VALUE!</v>
      </c>
      <c r="IA5" t="e">
        <f>AND('POTENCIAL HORAS'!J38,"AAAAAH7P/+o=")</f>
        <v>#VALUE!</v>
      </c>
      <c r="IB5" t="e">
        <f>AND('POTENCIAL HORAS'!K38,"AAAAAH7P/+s=")</f>
        <v>#VALUE!</v>
      </c>
      <c r="IC5" t="e">
        <f>AND('POTENCIAL HORAS'!L38,"AAAAAH7P/+w=")</f>
        <v>#VALUE!</v>
      </c>
      <c r="ID5" t="e">
        <f>AND('POTENCIAL HORAS'!M38,"AAAAAH7P/+0=")</f>
        <v>#VALUE!</v>
      </c>
      <c r="IE5" t="e">
        <f>AND('POTENCIAL HORAS'!N38,"AAAAAH7P/+4=")</f>
        <v>#VALUE!</v>
      </c>
      <c r="IF5" t="e">
        <f>AND('POTENCIAL HORAS'!O38,"AAAAAH7P/+8=")</f>
        <v>#VALUE!</v>
      </c>
      <c r="IG5" t="e">
        <f>AND('POTENCIAL HORAS'!P38,"AAAAAH7P//A=")</f>
        <v>#VALUE!</v>
      </c>
      <c r="IH5" t="e">
        <f>AND('POTENCIAL HORAS'!#REF!,"AAAAAH7P//E=")</f>
        <v>#REF!</v>
      </c>
      <c r="II5" t="e">
        <f>AND('POTENCIAL HORAS'!#REF!,"AAAAAH7P//I=")</f>
        <v>#REF!</v>
      </c>
      <c r="IJ5" t="e">
        <f>AND('POTENCIAL HORAS'!#REF!,"AAAAAH7P//M=")</f>
        <v>#REF!</v>
      </c>
      <c r="IK5" t="e">
        <f>AND('POTENCIAL HORAS'!#REF!,"AAAAAH7P//Q=")</f>
        <v>#REF!</v>
      </c>
      <c r="IL5" t="e">
        <f>AND('POTENCIAL HORAS'!#REF!,"AAAAAH7P//U=")</f>
        <v>#REF!</v>
      </c>
      <c r="IM5" t="e">
        <f>AND('POTENCIAL HORAS'!#REF!,"AAAAAH7P//Y=")</f>
        <v>#REF!</v>
      </c>
      <c r="IN5" t="e">
        <f>AND('POTENCIAL HORAS'!#REF!,"AAAAAH7P//c=")</f>
        <v>#REF!</v>
      </c>
      <c r="IO5" t="e">
        <f>AND('POTENCIAL HORAS'!#REF!,"AAAAAH7P//g=")</f>
        <v>#REF!</v>
      </c>
      <c r="IP5" t="e">
        <f>AND('POTENCIAL HORAS'!#REF!,"AAAAAH7P//k=")</f>
        <v>#REF!</v>
      </c>
      <c r="IQ5" t="e">
        <f>AND('POTENCIAL HORAS'!#REF!,"AAAAAH7P//o=")</f>
        <v>#REF!</v>
      </c>
      <c r="IR5" t="e">
        <f>AND('POTENCIAL HORAS'!#REF!,"AAAAAH7P//s=")</f>
        <v>#REF!</v>
      </c>
      <c r="IS5" t="e">
        <f>AND('POTENCIAL HORAS'!#REF!,"AAAAAH7P//w=")</f>
        <v>#REF!</v>
      </c>
      <c r="IT5" t="e">
        <f>AND('POTENCIAL HORAS'!#REF!,"AAAAAH7P//0=")</f>
        <v>#REF!</v>
      </c>
      <c r="IU5" t="e">
        <f>AND('POTENCIAL HORAS'!#REF!,"AAAAAH7P//4=")</f>
        <v>#REF!</v>
      </c>
      <c r="IV5" t="e">
        <f>AND('POTENCIAL HORAS'!#REF!,"AAAAAH7P//8=")</f>
        <v>#REF!</v>
      </c>
    </row>
    <row r="6" spans="1:256" x14ac:dyDescent="0.2">
      <c r="A6" t="e">
        <f>AND('POTENCIAL HORAS'!#REF!,"AAAAAHvX1wA=")</f>
        <v>#REF!</v>
      </c>
      <c r="B6" t="e">
        <f>AND('POTENCIAL HORAS'!#REF!,"AAAAAHvX1wE=")</f>
        <v>#REF!</v>
      </c>
      <c r="C6" t="e">
        <f>AND('POTENCIAL HORAS'!#REF!,"AAAAAHvX1wI=")</f>
        <v>#REF!</v>
      </c>
      <c r="D6" t="e">
        <f>AND('POTENCIAL HORAS'!#REF!,"AAAAAHvX1wM=")</f>
        <v>#REF!</v>
      </c>
      <c r="E6" t="e">
        <f>AND('POTENCIAL HORAS'!#REF!,"AAAAAHvX1wQ=")</f>
        <v>#REF!</v>
      </c>
      <c r="F6" t="e">
        <f>AND('POTENCIAL HORAS'!Q38,"AAAAAHvX1wU=")</f>
        <v>#VALUE!</v>
      </c>
      <c r="G6" t="e">
        <f>AND('POTENCIAL HORAS'!R38,"AAAAAHvX1wY=")</f>
        <v>#VALUE!</v>
      </c>
      <c r="H6" t="str">
        <f>IF('POTENCIAL HORAS'!41:41,"AAAAAHvX1wc=",0)</f>
        <v>AAAAAHvX1wc=</v>
      </c>
      <c r="I6" t="e">
        <f>AND('POTENCIAL HORAS'!A41,"AAAAAHvX1wg=")</f>
        <v>#VALUE!</v>
      </c>
      <c r="J6" t="e">
        <f>AND('POTENCIAL HORAS'!B41,"AAAAAHvX1wk=")</f>
        <v>#VALUE!</v>
      </c>
      <c r="K6" t="e">
        <f>AND('POTENCIAL HORAS'!C41,"AAAAAHvX1wo=")</f>
        <v>#VALUE!</v>
      </c>
      <c r="L6" t="e">
        <f>AND('POTENCIAL HORAS'!D41,"AAAAAHvX1ws=")</f>
        <v>#VALUE!</v>
      </c>
      <c r="M6" t="e">
        <f>AND('POTENCIAL HORAS'!E41,"AAAAAHvX1ww=")</f>
        <v>#VALUE!</v>
      </c>
      <c r="N6" t="e">
        <f>AND('POTENCIAL HORAS'!F41,"AAAAAHvX1w0=")</f>
        <v>#VALUE!</v>
      </c>
      <c r="O6" t="e">
        <f>AND('POTENCIAL HORAS'!G41,"AAAAAHvX1w4=")</f>
        <v>#VALUE!</v>
      </c>
      <c r="P6" t="e">
        <f>AND('POTENCIAL HORAS'!H41,"AAAAAHvX1w8=")</f>
        <v>#VALUE!</v>
      </c>
      <c r="Q6" t="e">
        <f>AND('POTENCIAL HORAS'!I41,"AAAAAHvX1xA=")</f>
        <v>#VALUE!</v>
      </c>
      <c r="R6" t="e">
        <f>AND('POTENCIAL HORAS'!J41,"AAAAAHvX1xE=")</f>
        <v>#VALUE!</v>
      </c>
      <c r="S6" t="e">
        <f>AND('POTENCIAL HORAS'!K41,"AAAAAHvX1xI=")</f>
        <v>#VALUE!</v>
      </c>
      <c r="T6" t="e">
        <f>AND('POTENCIAL HORAS'!L41,"AAAAAHvX1xM=")</f>
        <v>#VALUE!</v>
      </c>
      <c r="U6" t="e">
        <f>AND('POTENCIAL HORAS'!M41,"AAAAAHvX1xQ=")</f>
        <v>#VALUE!</v>
      </c>
      <c r="V6" t="e">
        <f>AND('POTENCIAL HORAS'!N41,"AAAAAHvX1xU=")</f>
        <v>#VALUE!</v>
      </c>
      <c r="W6" t="e">
        <f>AND('POTENCIAL HORAS'!O41,"AAAAAHvX1xY=")</f>
        <v>#VALUE!</v>
      </c>
      <c r="X6" t="e">
        <f>AND('POTENCIAL HORAS'!P41,"AAAAAHvX1xc=")</f>
        <v>#VALUE!</v>
      </c>
      <c r="Y6" t="e">
        <f>AND('POTENCIAL HORAS'!#REF!,"AAAAAHvX1xg=")</f>
        <v>#REF!</v>
      </c>
      <c r="Z6" t="e">
        <f>AND('POTENCIAL HORAS'!#REF!,"AAAAAHvX1xk=")</f>
        <v>#REF!</v>
      </c>
      <c r="AA6" t="e">
        <f>AND('POTENCIAL HORAS'!#REF!,"AAAAAHvX1xo=")</f>
        <v>#REF!</v>
      </c>
      <c r="AB6" t="e">
        <f>AND('POTENCIAL HORAS'!#REF!,"AAAAAHvX1xs=")</f>
        <v>#REF!</v>
      </c>
      <c r="AC6" t="e">
        <f>AND('POTENCIAL HORAS'!#REF!,"AAAAAHvX1xw=")</f>
        <v>#REF!</v>
      </c>
      <c r="AD6" t="e">
        <f>AND('POTENCIAL HORAS'!#REF!,"AAAAAHvX1x0=")</f>
        <v>#REF!</v>
      </c>
      <c r="AE6" t="e">
        <f>AND('POTENCIAL HORAS'!#REF!,"AAAAAHvX1x4=")</f>
        <v>#REF!</v>
      </c>
      <c r="AF6" t="e">
        <f>AND('POTENCIAL HORAS'!#REF!,"AAAAAHvX1x8=")</f>
        <v>#REF!</v>
      </c>
      <c r="AG6" t="e">
        <f>AND('POTENCIAL HORAS'!#REF!,"AAAAAHvX1yA=")</f>
        <v>#REF!</v>
      </c>
      <c r="AH6" t="e">
        <f>AND('POTENCIAL HORAS'!#REF!,"AAAAAHvX1yE=")</f>
        <v>#REF!</v>
      </c>
      <c r="AI6" t="e">
        <f>AND('POTENCIAL HORAS'!#REF!,"AAAAAHvX1yI=")</f>
        <v>#REF!</v>
      </c>
      <c r="AJ6" t="e">
        <f>AND('POTENCIAL HORAS'!#REF!,"AAAAAHvX1yM=")</f>
        <v>#REF!</v>
      </c>
      <c r="AK6" t="e">
        <f>AND('POTENCIAL HORAS'!#REF!,"AAAAAHvX1yQ=")</f>
        <v>#REF!</v>
      </c>
      <c r="AL6" t="e">
        <f>AND('POTENCIAL HORAS'!#REF!,"AAAAAHvX1yU=")</f>
        <v>#REF!</v>
      </c>
      <c r="AM6" t="e">
        <f>AND('POTENCIAL HORAS'!#REF!,"AAAAAHvX1yY=")</f>
        <v>#REF!</v>
      </c>
      <c r="AN6" t="e">
        <f>AND('POTENCIAL HORAS'!#REF!,"AAAAAHvX1yc=")</f>
        <v>#REF!</v>
      </c>
      <c r="AO6" t="e">
        <f>AND('POTENCIAL HORAS'!#REF!,"AAAAAHvX1yg=")</f>
        <v>#REF!</v>
      </c>
      <c r="AP6" t="e">
        <f>AND('POTENCIAL HORAS'!#REF!,"AAAAAHvX1yk=")</f>
        <v>#REF!</v>
      </c>
      <c r="AQ6" t="e">
        <f>AND('POTENCIAL HORAS'!#REF!,"AAAAAHvX1yo=")</f>
        <v>#REF!</v>
      </c>
      <c r="AR6" t="e">
        <f>AND('POTENCIAL HORAS'!#REF!,"AAAAAHvX1ys=")</f>
        <v>#REF!</v>
      </c>
      <c r="AS6" t="e">
        <f>AND('POTENCIAL HORAS'!Q41,"AAAAAHvX1yw=")</f>
        <v>#VALUE!</v>
      </c>
      <c r="AT6" t="e">
        <f>AND('POTENCIAL HORAS'!R41,"AAAAAHvX1y0=")</f>
        <v>#VALUE!</v>
      </c>
      <c r="AU6">
        <f>IF('POTENCIAL HORAS'!42:42,"AAAAAHvX1y4=",0)</f>
        <v>0</v>
      </c>
      <c r="AV6" t="e">
        <f>AND('POTENCIAL HORAS'!A42,"AAAAAHvX1y8=")</f>
        <v>#VALUE!</v>
      </c>
      <c r="AW6" t="e">
        <f>AND('POTENCIAL HORAS'!B42,"AAAAAHvX1zA=")</f>
        <v>#VALUE!</v>
      </c>
      <c r="AX6" t="e">
        <f>AND('POTENCIAL HORAS'!C42,"AAAAAHvX1zE=")</f>
        <v>#VALUE!</v>
      </c>
      <c r="AY6" t="e">
        <f>AND('POTENCIAL HORAS'!D42,"AAAAAHvX1zI=")</f>
        <v>#VALUE!</v>
      </c>
      <c r="AZ6" t="e">
        <f>AND('POTENCIAL HORAS'!E42,"AAAAAHvX1zM=")</f>
        <v>#VALUE!</v>
      </c>
      <c r="BA6" t="e">
        <f>AND('POTENCIAL HORAS'!F42,"AAAAAHvX1zQ=")</f>
        <v>#VALUE!</v>
      </c>
      <c r="BB6" t="e">
        <f>AND('POTENCIAL HORAS'!G42,"AAAAAHvX1zU=")</f>
        <v>#VALUE!</v>
      </c>
      <c r="BC6" t="e">
        <f>AND('POTENCIAL HORAS'!H42,"AAAAAHvX1zY=")</f>
        <v>#VALUE!</v>
      </c>
      <c r="BD6" t="e">
        <f>AND('POTENCIAL HORAS'!I42,"AAAAAHvX1zc=")</f>
        <v>#VALUE!</v>
      </c>
      <c r="BE6" t="e">
        <f>AND('POTENCIAL HORAS'!J42,"AAAAAHvX1zg=")</f>
        <v>#VALUE!</v>
      </c>
      <c r="BF6" t="e">
        <f>AND('POTENCIAL HORAS'!K42,"AAAAAHvX1zk=")</f>
        <v>#VALUE!</v>
      </c>
      <c r="BG6" t="e">
        <f>AND('POTENCIAL HORAS'!L42,"AAAAAHvX1zo=")</f>
        <v>#VALUE!</v>
      </c>
      <c r="BH6" t="e">
        <f>AND('POTENCIAL HORAS'!M42,"AAAAAHvX1zs=")</f>
        <v>#VALUE!</v>
      </c>
      <c r="BI6" t="e">
        <f>AND('POTENCIAL HORAS'!N42,"AAAAAHvX1zw=")</f>
        <v>#VALUE!</v>
      </c>
      <c r="BJ6" t="e">
        <f>AND('POTENCIAL HORAS'!O42,"AAAAAHvX1z0=")</f>
        <v>#VALUE!</v>
      </c>
      <c r="BK6" t="e">
        <f>AND('POTENCIAL HORAS'!P42,"AAAAAHvX1z4=")</f>
        <v>#VALUE!</v>
      </c>
      <c r="BL6" t="e">
        <f>AND('POTENCIAL HORAS'!#REF!,"AAAAAHvX1z8=")</f>
        <v>#REF!</v>
      </c>
      <c r="BM6" t="e">
        <f>AND('POTENCIAL HORAS'!#REF!,"AAAAAHvX10A=")</f>
        <v>#REF!</v>
      </c>
      <c r="BN6" t="e">
        <f>AND('POTENCIAL HORAS'!#REF!,"AAAAAHvX10E=")</f>
        <v>#REF!</v>
      </c>
      <c r="BO6" t="e">
        <f>AND('POTENCIAL HORAS'!#REF!,"AAAAAHvX10I=")</f>
        <v>#REF!</v>
      </c>
      <c r="BP6" t="e">
        <f>AND('POTENCIAL HORAS'!#REF!,"AAAAAHvX10M=")</f>
        <v>#REF!</v>
      </c>
      <c r="BQ6" t="e">
        <f>AND('POTENCIAL HORAS'!#REF!,"AAAAAHvX10Q=")</f>
        <v>#REF!</v>
      </c>
      <c r="BR6" t="e">
        <f>AND('POTENCIAL HORAS'!#REF!,"AAAAAHvX10U=")</f>
        <v>#REF!</v>
      </c>
      <c r="BS6" t="e">
        <f>AND('POTENCIAL HORAS'!#REF!,"AAAAAHvX10Y=")</f>
        <v>#REF!</v>
      </c>
      <c r="BT6" t="e">
        <f>AND('POTENCIAL HORAS'!#REF!,"AAAAAHvX10c=")</f>
        <v>#REF!</v>
      </c>
      <c r="BU6" t="e">
        <f>AND('POTENCIAL HORAS'!#REF!,"AAAAAHvX10g=")</f>
        <v>#REF!</v>
      </c>
      <c r="BV6" t="e">
        <f>AND('POTENCIAL HORAS'!#REF!,"AAAAAHvX10k=")</f>
        <v>#REF!</v>
      </c>
      <c r="BW6" t="e">
        <f>AND('POTENCIAL HORAS'!#REF!,"AAAAAHvX10o=")</f>
        <v>#REF!</v>
      </c>
      <c r="BX6" t="e">
        <f>AND('POTENCIAL HORAS'!#REF!,"AAAAAHvX10s=")</f>
        <v>#REF!</v>
      </c>
      <c r="BY6" t="e">
        <f>AND('POTENCIAL HORAS'!#REF!,"AAAAAHvX10w=")</f>
        <v>#REF!</v>
      </c>
      <c r="BZ6" t="e">
        <f>AND('POTENCIAL HORAS'!#REF!,"AAAAAHvX100=")</f>
        <v>#REF!</v>
      </c>
      <c r="CA6" t="e">
        <f>AND('POTENCIAL HORAS'!#REF!,"AAAAAHvX104=")</f>
        <v>#REF!</v>
      </c>
      <c r="CB6" t="e">
        <f>AND('POTENCIAL HORAS'!#REF!,"AAAAAHvX108=")</f>
        <v>#REF!</v>
      </c>
      <c r="CC6" t="e">
        <f>AND('POTENCIAL HORAS'!#REF!,"AAAAAHvX11A=")</f>
        <v>#REF!</v>
      </c>
      <c r="CD6" t="e">
        <f>AND('POTENCIAL HORAS'!#REF!,"AAAAAHvX11E=")</f>
        <v>#REF!</v>
      </c>
      <c r="CE6" t="e">
        <f>AND('POTENCIAL HORAS'!#REF!,"AAAAAHvX11I=")</f>
        <v>#REF!</v>
      </c>
      <c r="CF6" t="e">
        <f>AND('POTENCIAL HORAS'!Q42,"AAAAAHvX11M=")</f>
        <v>#VALUE!</v>
      </c>
      <c r="CG6" t="e">
        <f>AND('POTENCIAL HORAS'!R42,"AAAAAHvX11Q=")</f>
        <v>#VALUE!</v>
      </c>
      <c r="CH6" t="e">
        <f>IF('POTENCIAL HORAS'!#REF!,"AAAAAHvX11U=",0)</f>
        <v>#REF!</v>
      </c>
      <c r="CI6" t="e">
        <f>AND('POTENCIAL HORAS'!#REF!,"AAAAAHvX11Y=")</f>
        <v>#REF!</v>
      </c>
      <c r="CJ6" t="e">
        <f>AND('POTENCIAL HORAS'!#REF!,"AAAAAHvX11c=")</f>
        <v>#REF!</v>
      </c>
      <c r="CK6" t="e">
        <f>AND('POTENCIAL HORAS'!#REF!,"AAAAAHvX11g=")</f>
        <v>#REF!</v>
      </c>
      <c r="CL6" t="e">
        <f>AND('POTENCIAL HORAS'!#REF!,"AAAAAHvX11k=")</f>
        <v>#REF!</v>
      </c>
      <c r="CM6" t="e">
        <f>AND('POTENCIAL HORAS'!#REF!,"AAAAAHvX11o=")</f>
        <v>#REF!</v>
      </c>
      <c r="CN6" t="e">
        <f>AND('POTENCIAL HORAS'!#REF!,"AAAAAHvX11s=")</f>
        <v>#REF!</v>
      </c>
      <c r="CO6" t="e">
        <f>AND('POTENCIAL HORAS'!#REF!,"AAAAAHvX11w=")</f>
        <v>#REF!</v>
      </c>
      <c r="CP6" t="e">
        <f>AND('POTENCIAL HORAS'!#REF!,"AAAAAHvX110=")</f>
        <v>#REF!</v>
      </c>
      <c r="CQ6" t="e">
        <f>AND('POTENCIAL HORAS'!#REF!,"AAAAAHvX114=")</f>
        <v>#REF!</v>
      </c>
      <c r="CR6" t="e">
        <f>AND('POTENCIAL HORAS'!#REF!,"AAAAAHvX118=")</f>
        <v>#REF!</v>
      </c>
      <c r="CS6" t="e">
        <f>AND('POTENCIAL HORAS'!#REF!,"AAAAAHvX12A=")</f>
        <v>#REF!</v>
      </c>
      <c r="CT6" t="e">
        <f>AND('POTENCIAL HORAS'!#REF!,"AAAAAHvX12E=")</f>
        <v>#REF!</v>
      </c>
      <c r="CU6" t="e">
        <f>AND('POTENCIAL HORAS'!#REF!,"AAAAAHvX12I=")</f>
        <v>#REF!</v>
      </c>
      <c r="CV6" t="e">
        <f>AND('POTENCIAL HORAS'!#REF!,"AAAAAHvX12M=")</f>
        <v>#REF!</v>
      </c>
      <c r="CW6" t="e">
        <f>AND('POTENCIAL HORAS'!#REF!,"AAAAAHvX12Q=")</f>
        <v>#REF!</v>
      </c>
      <c r="CX6" t="e">
        <f>AND('POTENCIAL HORAS'!#REF!,"AAAAAHvX12U=")</f>
        <v>#REF!</v>
      </c>
      <c r="CY6" t="e">
        <f>AND('POTENCIAL HORAS'!#REF!,"AAAAAHvX12Y=")</f>
        <v>#REF!</v>
      </c>
      <c r="CZ6" t="e">
        <f>AND('POTENCIAL HORAS'!#REF!,"AAAAAHvX12c=")</f>
        <v>#REF!</v>
      </c>
      <c r="DA6" t="e">
        <f>AND('POTENCIAL HORAS'!#REF!,"AAAAAHvX12g=")</f>
        <v>#REF!</v>
      </c>
      <c r="DB6" t="e">
        <f>AND('POTENCIAL HORAS'!#REF!,"AAAAAHvX12k=")</f>
        <v>#REF!</v>
      </c>
      <c r="DC6" t="e">
        <f>AND('POTENCIAL HORAS'!#REF!,"AAAAAHvX12o=")</f>
        <v>#REF!</v>
      </c>
      <c r="DD6" t="e">
        <f>AND('POTENCIAL HORAS'!#REF!,"AAAAAHvX12s=")</f>
        <v>#REF!</v>
      </c>
      <c r="DE6" t="e">
        <f>AND('POTENCIAL HORAS'!#REF!,"AAAAAHvX12w=")</f>
        <v>#REF!</v>
      </c>
      <c r="DF6" t="e">
        <f>AND('POTENCIAL HORAS'!#REF!,"AAAAAHvX120=")</f>
        <v>#REF!</v>
      </c>
      <c r="DG6" t="e">
        <f>AND('POTENCIAL HORAS'!#REF!,"AAAAAHvX124=")</f>
        <v>#REF!</v>
      </c>
      <c r="DH6" t="e">
        <f>AND('POTENCIAL HORAS'!#REF!,"AAAAAHvX128=")</f>
        <v>#REF!</v>
      </c>
      <c r="DI6" t="e">
        <f>AND('POTENCIAL HORAS'!#REF!,"AAAAAHvX13A=")</f>
        <v>#REF!</v>
      </c>
      <c r="DJ6" t="e">
        <f>AND('POTENCIAL HORAS'!#REF!,"AAAAAHvX13E=")</f>
        <v>#REF!</v>
      </c>
      <c r="DK6" t="e">
        <f>AND('POTENCIAL HORAS'!#REF!,"AAAAAHvX13I=")</f>
        <v>#REF!</v>
      </c>
      <c r="DL6" t="e">
        <f>AND('POTENCIAL HORAS'!#REF!,"AAAAAHvX13M=")</f>
        <v>#REF!</v>
      </c>
      <c r="DM6" t="e">
        <f>AND('POTENCIAL HORAS'!#REF!,"AAAAAHvX13Q=")</f>
        <v>#REF!</v>
      </c>
      <c r="DN6" t="e">
        <f>AND('POTENCIAL HORAS'!#REF!,"AAAAAHvX13U=")</f>
        <v>#REF!</v>
      </c>
      <c r="DO6" t="e">
        <f>AND('POTENCIAL HORAS'!#REF!,"AAAAAHvX13Y=")</f>
        <v>#REF!</v>
      </c>
      <c r="DP6" t="e">
        <f>AND('POTENCIAL HORAS'!#REF!,"AAAAAHvX13c=")</f>
        <v>#REF!</v>
      </c>
      <c r="DQ6" t="e">
        <f>AND('POTENCIAL HORAS'!#REF!,"AAAAAHvX13g=")</f>
        <v>#REF!</v>
      </c>
      <c r="DR6" t="e">
        <f>AND('POTENCIAL HORAS'!#REF!,"AAAAAHvX13k=")</f>
        <v>#REF!</v>
      </c>
      <c r="DS6" t="e">
        <f>AND('POTENCIAL HORAS'!#REF!,"AAAAAHvX13o=")</f>
        <v>#REF!</v>
      </c>
      <c r="DT6" t="e">
        <f>AND('POTENCIAL HORAS'!#REF!,"AAAAAHvX13s=")</f>
        <v>#REF!</v>
      </c>
      <c r="DU6">
        <f>IF('POTENCIAL HORAS'!43:43,"AAAAAHvX13w=",0)</f>
        <v>0</v>
      </c>
      <c r="DV6" t="e">
        <f>AND('POTENCIAL HORAS'!A43,"AAAAAHvX130=")</f>
        <v>#VALUE!</v>
      </c>
      <c r="DW6" t="e">
        <f>AND('POTENCIAL HORAS'!B43,"AAAAAHvX134=")</f>
        <v>#VALUE!</v>
      </c>
      <c r="DX6" t="e">
        <f>AND('POTENCIAL HORAS'!C43,"AAAAAHvX138=")</f>
        <v>#VALUE!</v>
      </c>
      <c r="DY6" t="e">
        <f>AND('POTENCIAL HORAS'!D43,"AAAAAHvX14A=")</f>
        <v>#VALUE!</v>
      </c>
      <c r="DZ6" t="e">
        <f>AND('POTENCIAL HORAS'!E43,"AAAAAHvX14E=")</f>
        <v>#VALUE!</v>
      </c>
      <c r="EA6" t="e">
        <f>AND('POTENCIAL HORAS'!F43,"AAAAAHvX14I=")</f>
        <v>#VALUE!</v>
      </c>
      <c r="EB6" t="e">
        <f>AND('POTENCIAL HORAS'!G43,"AAAAAHvX14M=")</f>
        <v>#VALUE!</v>
      </c>
      <c r="EC6" t="e">
        <f>AND('POTENCIAL HORAS'!H43,"AAAAAHvX14Q=")</f>
        <v>#VALUE!</v>
      </c>
      <c r="ED6" t="e">
        <f>AND('POTENCIAL HORAS'!I43,"AAAAAHvX14U=")</f>
        <v>#VALUE!</v>
      </c>
      <c r="EE6" t="e">
        <f>AND('POTENCIAL HORAS'!J43,"AAAAAHvX14Y=")</f>
        <v>#VALUE!</v>
      </c>
      <c r="EF6" t="e">
        <f>AND('POTENCIAL HORAS'!K43,"AAAAAHvX14c=")</f>
        <v>#VALUE!</v>
      </c>
      <c r="EG6" t="e">
        <f>AND('POTENCIAL HORAS'!L43,"AAAAAHvX14g=")</f>
        <v>#VALUE!</v>
      </c>
      <c r="EH6" t="e">
        <f>AND('POTENCIAL HORAS'!M43,"AAAAAHvX14k=")</f>
        <v>#VALUE!</v>
      </c>
      <c r="EI6" t="e">
        <f>AND('POTENCIAL HORAS'!N43,"AAAAAHvX14o=")</f>
        <v>#VALUE!</v>
      </c>
      <c r="EJ6" t="e">
        <f>AND('POTENCIAL HORAS'!O43,"AAAAAHvX14s=")</f>
        <v>#VALUE!</v>
      </c>
      <c r="EK6" t="e">
        <f>AND('POTENCIAL HORAS'!P43,"AAAAAHvX14w=")</f>
        <v>#VALUE!</v>
      </c>
      <c r="EL6" t="e">
        <f>AND('POTENCIAL HORAS'!#REF!,"AAAAAHvX140=")</f>
        <v>#REF!</v>
      </c>
      <c r="EM6" t="e">
        <f>AND('POTENCIAL HORAS'!#REF!,"AAAAAHvX144=")</f>
        <v>#REF!</v>
      </c>
      <c r="EN6" t="e">
        <f>AND('POTENCIAL HORAS'!#REF!,"AAAAAHvX148=")</f>
        <v>#REF!</v>
      </c>
      <c r="EO6" t="e">
        <f>AND('POTENCIAL HORAS'!#REF!,"AAAAAHvX15A=")</f>
        <v>#REF!</v>
      </c>
      <c r="EP6" t="e">
        <f>AND('POTENCIAL HORAS'!#REF!,"AAAAAHvX15E=")</f>
        <v>#REF!</v>
      </c>
      <c r="EQ6" t="e">
        <f>AND('POTENCIAL HORAS'!#REF!,"AAAAAHvX15I=")</f>
        <v>#REF!</v>
      </c>
      <c r="ER6" t="e">
        <f>AND('POTENCIAL HORAS'!#REF!,"AAAAAHvX15M=")</f>
        <v>#REF!</v>
      </c>
      <c r="ES6" t="e">
        <f>AND('POTENCIAL HORAS'!#REF!,"AAAAAHvX15Q=")</f>
        <v>#REF!</v>
      </c>
      <c r="ET6" t="e">
        <f>AND('POTENCIAL HORAS'!#REF!,"AAAAAHvX15U=")</f>
        <v>#REF!</v>
      </c>
      <c r="EU6" t="e">
        <f>AND('POTENCIAL HORAS'!#REF!,"AAAAAHvX15Y=")</f>
        <v>#REF!</v>
      </c>
      <c r="EV6" t="e">
        <f>AND('POTENCIAL HORAS'!#REF!,"AAAAAHvX15c=")</f>
        <v>#REF!</v>
      </c>
      <c r="EW6" t="e">
        <f>AND('POTENCIAL HORAS'!#REF!,"AAAAAHvX15g=")</f>
        <v>#REF!</v>
      </c>
      <c r="EX6" t="e">
        <f>AND('POTENCIAL HORAS'!#REF!,"AAAAAHvX15k=")</f>
        <v>#REF!</v>
      </c>
      <c r="EY6" t="e">
        <f>AND('POTENCIAL HORAS'!#REF!,"AAAAAHvX15o=")</f>
        <v>#REF!</v>
      </c>
      <c r="EZ6" t="e">
        <f>AND('POTENCIAL HORAS'!#REF!,"AAAAAHvX15s=")</f>
        <v>#REF!</v>
      </c>
      <c r="FA6" t="e">
        <f>AND('POTENCIAL HORAS'!#REF!,"AAAAAHvX15w=")</f>
        <v>#REF!</v>
      </c>
      <c r="FB6" t="e">
        <f>AND('POTENCIAL HORAS'!#REF!,"AAAAAHvX150=")</f>
        <v>#REF!</v>
      </c>
      <c r="FC6" t="e">
        <f>AND('POTENCIAL HORAS'!#REF!,"AAAAAHvX154=")</f>
        <v>#REF!</v>
      </c>
      <c r="FD6" t="e">
        <f>AND('POTENCIAL HORAS'!#REF!,"AAAAAHvX158=")</f>
        <v>#REF!</v>
      </c>
      <c r="FE6" t="e">
        <f>AND('POTENCIAL HORAS'!#REF!,"AAAAAHvX16A=")</f>
        <v>#REF!</v>
      </c>
      <c r="FF6" t="e">
        <f>AND('POTENCIAL HORAS'!Q43,"AAAAAHvX16E=")</f>
        <v>#VALUE!</v>
      </c>
      <c r="FG6" t="e">
        <f>AND('POTENCIAL HORAS'!R43,"AAAAAHvX16I=")</f>
        <v>#VALUE!</v>
      </c>
      <c r="FH6">
        <f>IF('POTENCIAL HORAS'!44:44,"AAAAAHvX16M=",0)</f>
        <v>0</v>
      </c>
      <c r="FI6" t="e">
        <f>AND('POTENCIAL HORAS'!A44,"AAAAAHvX16Q=")</f>
        <v>#VALUE!</v>
      </c>
      <c r="FJ6" t="e">
        <f>AND('POTENCIAL HORAS'!B44,"AAAAAHvX16U=")</f>
        <v>#VALUE!</v>
      </c>
      <c r="FK6" t="e">
        <f>AND('POTENCIAL HORAS'!C44,"AAAAAHvX16Y=")</f>
        <v>#VALUE!</v>
      </c>
      <c r="FL6" t="e">
        <f>AND('POTENCIAL HORAS'!D44,"AAAAAHvX16c=")</f>
        <v>#VALUE!</v>
      </c>
      <c r="FM6" t="e">
        <f>AND('POTENCIAL HORAS'!E44,"AAAAAHvX16g=")</f>
        <v>#VALUE!</v>
      </c>
      <c r="FN6" t="e">
        <f>AND('POTENCIAL HORAS'!F44,"AAAAAHvX16k=")</f>
        <v>#VALUE!</v>
      </c>
      <c r="FO6" t="e">
        <f>AND('POTENCIAL HORAS'!G44,"AAAAAHvX16o=")</f>
        <v>#VALUE!</v>
      </c>
      <c r="FP6" t="e">
        <f>AND('POTENCIAL HORAS'!H44,"AAAAAHvX16s=")</f>
        <v>#VALUE!</v>
      </c>
      <c r="FQ6" t="e">
        <f>AND('POTENCIAL HORAS'!I44,"AAAAAHvX16w=")</f>
        <v>#VALUE!</v>
      </c>
      <c r="FR6" t="e">
        <f>AND('POTENCIAL HORAS'!J44,"AAAAAHvX160=")</f>
        <v>#VALUE!</v>
      </c>
      <c r="FS6" t="e">
        <f>AND('POTENCIAL HORAS'!K44,"AAAAAHvX164=")</f>
        <v>#VALUE!</v>
      </c>
      <c r="FT6" t="e">
        <f>AND('POTENCIAL HORAS'!L44,"AAAAAHvX168=")</f>
        <v>#VALUE!</v>
      </c>
      <c r="FU6" t="e">
        <f>AND('POTENCIAL HORAS'!M44,"AAAAAHvX17A=")</f>
        <v>#VALUE!</v>
      </c>
      <c r="FV6" t="e">
        <f>AND('POTENCIAL HORAS'!N44,"AAAAAHvX17E=")</f>
        <v>#VALUE!</v>
      </c>
      <c r="FW6" t="e">
        <f>AND('POTENCIAL HORAS'!O44,"AAAAAHvX17I=")</f>
        <v>#VALUE!</v>
      </c>
      <c r="FX6" t="e">
        <f>AND('POTENCIAL HORAS'!P44,"AAAAAHvX17M=")</f>
        <v>#VALUE!</v>
      </c>
      <c r="FY6" t="e">
        <f>AND('POTENCIAL HORAS'!#REF!,"AAAAAHvX17Q=")</f>
        <v>#REF!</v>
      </c>
      <c r="FZ6" t="e">
        <f>AND('POTENCIAL HORAS'!#REF!,"AAAAAHvX17U=")</f>
        <v>#REF!</v>
      </c>
      <c r="GA6" t="e">
        <f>AND('POTENCIAL HORAS'!#REF!,"AAAAAHvX17Y=")</f>
        <v>#REF!</v>
      </c>
      <c r="GB6" t="e">
        <f>AND('POTENCIAL HORAS'!#REF!,"AAAAAHvX17c=")</f>
        <v>#REF!</v>
      </c>
      <c r="GC6" t="e">
        <f>AND('POTENCIAL HORAS'!#REF!,"AAAAAHvX17g=")</f>
        <v>#REF!</v>
      </c>
      <c r="GD6" t="e">
        <f>AND('POTENCIAL HORAS'!#REF!,"AAAAAHvX17k=")</f>
        <v>#REF!</v>
      </c>
      <c r="GE6" t="e">
        <f>AND('POTENCIAL HORAS'!#REF!,"AAAAAHvX17o=")</f>
        <v>#REF!</v>
      </c>
      <c r="GF6" t="e">
        <f>AND('POTENCIAL HORAS'!#REF!,"AAAAAHvX17s=")</f>
        <v>#REF!</v>
      </c>
      <c r="GG6" t="e">
        <f>AND('POTENCIAL HORAS'!#REF!,"AAAAAHvX17w=")</f>
        <v>#REF!</v>
      </c>
      <c r="GH6" t="e">
        <f>AND('POTENCIAL HORAS'!#REF!,"AAAAAHvX170=")</f>
        <v>#REF!</v>
      </c>
      <c r="GI6" t="e">
        <f>AND('POTENCIAL HORAS'!#REF!,"AAAAAHvX174=")</f>
        <v>#REF!</v>
      </c>
      <c r="GJ6" t="e">
        <f>AND('POTENCIAL HORAS'!#REF!,"AAAAAHvX178=")</f>
        <v>#REF!</v>
      </c>
      <c r="GK6" t="e">
        <f>AND('POTENCIAL HORAS'!#REF!,"AAAAAHvX18A=")</f>
        <v>#REF!</v>
      </c>
      <c r="GL6" t="e">
        <f>AND('POTENCIAL HORAS'!#REF!,"AAAAAHvX18E=")</f>
        <v>#REF!</v>
      </c>
      <c r="GM6" t="e">
        <f>AND('POTENCIAL HORAS'!#REF!,"AAAAAHvX18I=")</f>
        <v>#REF!</v>
      </c>
      <c r="GN6" t="e">
        <f>AND('POTENCIAL HORAS'!#REF!,"AAAAAHvX18M=")</f>
        <v>#REF!</v>
      </c>
      <c r="GO6" t="e">
        <f>AND('POTENCIAL HORAS'!#REF!,"AAAAAHvX18Q=")</f>
        <v>#REF!</v>
      </c>
      <c r="GP6" t="e">
        <f>AND('POTENCIAL HORAS'!#REF!,"AAAAAHvX18U=")</f>
        <v>#REF!</v>
      </c>
      <c r="GQ6" t="e">
        <f>AND('POTENCIAL HORAS'!#REF!,"AAAAAHvX18Y=")</f>
        <v>#REF!</v>
      </c>
      <c r="GR6" t="e">
        <f>AND('POTENCIAL HORAS'!#REF!,"AAAAAHvX18c=")</f>
        <v>#REF!</v>
      </c>
      <c r="GS6" t="e">
        <f>AND('POTENCIAL HORAS'!Q44,"AAAAAHvX18g=")</f>
        <v>#VALUE!</v>
      </c>
      <c r="GT6" t="e">
        <f>AND('POTENCIAL HORAS'!R44,"AAAAAHvX18k=")</f>
        <v>#VALUE!</v>
      </c>
      <c r="GU6">
        <f>IF('POTENCIAL HORAS'!45:45,"AAAAAHvX18o=",0)</f>
        <v>0</v>
      </c>
      <c r="GV6" t="e">
        <f>AND('POTENCIAL HORAS'!A45,"AAAAAHvX18s=")</f>
        <v>#VALUE!</v>
      </c>
      <c r="GW6" t="e">
        <f>AND('POTENCIAL HORAS'!B45,"AAAAAHvX18w=")</f>
        <v>#VALUE!</v>
      </c>
      <c r="GX6" t="e">
        <f>AND('POTENCIAL HORAS'!C45,"AAAAAHvX180=")</f>
        <v>#VALUE!</v>
      </c>
      <c r="GY6" t="e">
        <f>AND('POTENCIAL HORAS'!D45,"AAAAAHvX184=")</f>
        <v>#VALUE!</v>
      </c>
      <c r="GZ6" t="e">
        <f>AND('POTENCIAL HORAS'!E45,"AAAAAHvX188=")</f>
        <v>#VALUE!</v>
      </c>
      <c r="HA6" t="e">
        <f>AND('POTENCIAL HORAS'!F45,"AAAAAHvX19A=")</f>
        <v>#VALUE!</v>
      </c>
      <c r="HB6" t="e">
        <f>AND('POTENCIAL HORAS'!G45,"AAAAAHvX19E=")</f>
        <v>#VALUE!</v>
      </c>
      <c r="HC6" t="e">
        <f>AND('POTENCIAL HORAS'!H45,"AAAAAHvX19I=")</f>
        <v>#VALUE!</v>
      </c>
      <c r="HD6" t="e">
        <f>AND('POTENCIAL HORAS'!I45,"AAAAAHvX19M=")</f>
        <v>#VALUE!</v>
      </c>
      <c r="HE6" t="e">
        <f>AND('POTENCIAL HORAS'!J45,"AAAAAHvX19Q=")</f>
        <v>#VALUE!</v>
      </c>
      <c r="HF6" t="e">
        <f>AND('POTENCIAL HORAS'!K45,"AAAAAHvX19U=")</f>
        <v>#VALUE!</v>
      </c>
      <c r="HG6" t="e">
        <f>AND('POTENCIAL HORAS'!L45,"AAAAAHvX19Y=")</f>
        <v>#VALUE!</v>
      </c>
      <c r="HH6" t="e">
        <f>AND('POTENCIAL HORAS'!M45,"AAAAAHvX19c=")</f>
        <v>#VALUE!</v>
      </c>
      <c r="HI6" t="e">
        <f>AND('POTENCIAL HORAS'!N45,"AAAAAHvX19g=")</f>
        <v>#VALUE!</v>
      </c>
      <c r="HJ6" t="e">
        <f>AND('POTENCIAL HORAS'!O45,"AAAAAHvX19k=")</f>
        <v>#VALUE!</v>
      </c>
      <c r="HK6" t="e">
        <f>AND('POTENCIAL HORAS'!P45,"AAAAAHvX19o=")</f>
        <v>#VALUE!</v>
      </c>
      <c r="HL6" t="e">
        <f>AND('POTENCIAL HORAS'!#REF!,"AAAAAHvX19s=")</f>
        <v>#REF!</v>
      </c>
      <c r="HM6" t="e">
        <f>AND('POTENCIAL HORAS'!#REF!,"AAAAAHvX19w=")</f>
        <v>#REF!</v>
      </c>
      <c r="HN6" t="e">
        <f>AND('POTENCIAL HORAS'!#REF!,"AAAAAHvX190=")</f>
        <v>#REF!</v>
      </c>
      <c r="HO6" t="e">
        <f>AND('POTENCIAL HORAS'!#REF!,"AAAAAHvX194=")</f>
        <v>#REF!</v>
      </c>
      <c r="HP6" t="e">
        <f>AND('POTENCIAL HORAS'!#REF!,"AAAAAHvX198=")</f>
        <v>#REF!</v>
      </c>
      <c r="HQ6" t="e">
        <f>AND('POTENCIAL HORAS'!#REF!,"AAAAAHvX1+A=")</f>
        <v>#REF!</v>
      </c>
      <c r="HR6" t="e">
        <f>AND('POTENCIAL HORAS'!#REF!,"AAAAAHvX1+E=")</f>
        <v>#REF!</v>
      </c>
      <c r="HS6" t="e">
        <f>AND('POTENCIAL HORAS'!#REF!,"AAAAAHvX1+I=")</f>
        <v>#REF!</v>
      </c>
      <c r="HT6" t="e">
        <f>AND('POTENCIAL HORAS'!#REF!,"AAAAAHvX1+M=")</f>
        <v>#REF!</v>
      </c>
      <c r="HU6" t="e">
        <f>AND('POTENCIAL HORAS'!#REF!,"AAAAAHvX1+Q=")</f>
        <v>#REF!</v>
      </c>
      <c r="HV6" t="e">
        <f>AND('POTENCIAL HORAS'!#REF!,"AAAAAHvX1+U=")</f>
        <v>#REF!</v>
      </c>
      <c r="HW6" t="e">
        <f>AND('POTENCIAL HORAS'!#REF!,"AAAAAHvX1+Y=")</f>
        <v>#REF!</v>
      </c>
      <c r="HX6" t="e">
        <f>AND('POTENCIAL HORAS'!#REF!,"AAAAAHvX1+c=")</f>
        <v>#REF!</v>
      </c>
      <c r="HY6" t="e">
        <f>AND('POTENCIAL HORAS'!#REF!,"AAAAAHvX1+g=")</f>
        <v>#REF!</v>
      </c>
      <c r="HZ6" t="e">
        <f>AND('POTENCIAL HORAS'!#REF!,"AAAAAHvX1+k=")</f>
        <v>#REF!</v>
      </c>
      <c r="IA6" t="e">
        <f>AND('POTENCIAL HORAS'!#REF!,"AAAAAHvX1+o=")</f>
        <v>#REF!</v>
      </c>
      <c r="IB6" t="e">
        <f>AND('POTENCIAL HORAS'!#REF!,"AAAAAHvX1+s=")</f>
        <v>#REF!</v>
      </c>
      <c r="IC6" t="e">
        <f>AND('POTENCIAL HORAS'!#REF!,"AAAAAHvX1+w=")</f>
        <v>#REF!</v>
      </c>
      <c r="ID6" t="e">
        <f>AND('POTENCIAL HORAS'!#REF!,"AAAAAHvX1+0=")</f>
        <v>#REF!</v>
      </c>
      <c r="IE6" t="e">
        <f>AND('POTENCIAL HORAS'!#REF!,"AAAAAHvX1+4=")</f>
        <v>#REF!</v>
      </c>
      <c r="IF6" t="e">
        <f>AND('POTENCIAL HORAS'!Q45,"AAAAAHvX1+8=")</f>
        <v>#VALUE!</v>
      </c>
      <c r="IG6" t="e">
        <f>AND('POTENCIAL HORAS'!R45,"AAAAAHvX1/A=")</f>
        <v>#VALUE!</v>
      </c>
      <c r="IH6">
        <f>IF('POTENCIAL HORAS'!46:46,"AAAAAHvX1/E=",0)</f>
        <v>0</v>
      </c>
      <c r="II6" t="e">
        <f>AND('POTENCIAL HORAS'!A46,"AAAAAHvX1/I=")</f>
        <v>#VALUE!</v>
      </c>
      <c r="IJ6" t="e">
        <f>AND('POTENCIAL HORAS'!B46,"AAAAAHvX1/M=")</f>
        <v>#VALUE!</v>
      </c>
      <c r="IK6" t="e">
        <f>AND('POTENCIAL HORAS'!C46,"AAAAAHvX1/Q=")</f>
        <v>#VALUE!</v>
      </c>
      <c r="IL6" t="e">
        <f>AND('POTENCIAL HORAS'!D46,"AAAAAHvX1/U=")</f>
        <v>#VALUE!</v>
      </c>
      <c r="IM6" t="e">
        <f>AND('POTENCIAL HORAS'!E46,"AAAAAHvX1/Y=")</f>
        <v>#VALUE!</v>
      </c>
      <c r="IN6" t="e">
        <f>AND('POTENCIAL HORAS'!F46,"AAAAAHvX1/c=")</f>
        <v>#VALUE!</v>
      </c>
      <c r="IO6" t="e">
        <f>AND('POTENCIAL HORAS'!G46,"AAAAAHvX1/g=")</f>
        <v>#VALUE!</v>
      </c>
      <c r="IP6" t="e">
        <f>AND('POTENCIAL HORAS'!H46,"AAAAAHvX1/k=")</f>
        <v>#VALUE!</v>
      </c>
      <c r="IQ6" t="e">
        <f>AND('POTENCIAL HORAS'!I46,"AAAAAHvX1/o=")</f>
        <v>#VALUE!</v>
      </c>
      <c r="IR6" t="e">
        <f>AND('POTENCIAL HORAS'!J46,"AAAAAHvX1/s=")</f>
        <v>#VALUE!</v>
      </c>
      <c r="IS6" t="e">
        <f>AND('POTENCIAL HORAS'!K46,"AAAAAHvX1/w=")</f>
        <v>#VALUE!</v>
      </c>
      <c r="IT6" t="e">
        <f>AND('POTENCIAL HORAS'!L46,"AAAAAHvX1/0=")</f>
        <v>#VALUE!</v>
      </c>
      <c r="IU6" t="e">
        <f>AND('POTENCIAL HORAS'!M46,"AAAAAHvX1/4=")</f>
        <v>#VALUE!</v>
      </c>
      <c r="IV6" t="e">
        <f>AND('POTENCIAL HORAS'!N46,"AAAAAHvX1/8=")</f>
        <v>#VALUE!</v>
      </c>
    </row>
    <row r="7" spans="1:256" x14ac:dyDescent="0.2">
      <c r="A7" t="e">
        <f>AND('POTENCIAL HORAS'!O46,"AAAAAD3r1wA=")</f>
        <v>#VALUE!</v>
      </c>
      <c r="B7" t="e">
        <f>AND('POTENCIAL HORAS'!P46,"AAAAAD3r1wE=")</f>
        <v>#VALUE!</v>
      </c>
      <c r="C7" t="e">
        <f>AND('POTENCIAL HORAS'!#REF!,"AAAAAD3r1wI=")</f>
        <v>#REF!</v>
      </c>
      <c r="D7" t="e">
        <f>AND('POTENCIAL HORAS'!#REF!,"AAAAAD3r1wM=")</f>
        <v>#REF!</v>
      </c>
      <c r="E7" t="e">
        <f>AND('POTENCIAL HORAS'!#REF!,"AAAAAD3r1wQ=")</f>
        <v>#REF!</v>
      </c>
      <c r="F7" t="e">
        <f>AND('POTENCIAL HORAS'!#REF!,"AAAAAD3r1wU=")</f>
        <v>#REF!</v>
      </c>
      <c r="G7" t="e">
        <f>AND('POTENCIAL HORAS'!#REF!,"AAAAAD3r1wY=")</f>
        <v>#REF!</v>
      </c>
      <c r="H7" t="e">
        <f>AND('POTENCIAL HORAS'!#REF!,"AAAAAD3r1wc=")</f>
        <v>#REF!</v>
      </c>
      <c r="I7" t="e">
        <f>AND('POTENCIAL HORAS'!#REF!,"AAAAAD3r1wg=")</f>
        <v>#REF!</v>
      </c>
      <c r="J7" t="e">
        <f>AND('POTENCIAL HORAS'!#REF!,"AAAAAD3r1wk=")</f>
        <v>#REF!</v>
      </c>
      <c r="K7" t="e">
        <f>AND('POTENCIAL HORAS'!#REF!,"AAAAAD3r1wo=")</f>
        <v>#REF!</v>
      </c>
      <c r="L7" t="e">
        <f>AND('POTENCIAL HORAS'!#REF!,"AAAAAD3r1ws=")</f>
        <v>#REF!</v>
      </c>
      <c r="M7" t="e">
        <f>AND('POTENCIAL HORAS'!#REF!,"AAAAAD3r1ww=")</f>
        <v>#REF!</v>
      </c>
      <c r="N7" t="e">
        <f>AND('POTENCIAL HORAS'!#REF!,"AAAAAD3r1w0=")</f>
        <v>#REF!</v>
      </c>
      <c r="O7" t="e">
        <f>AND('POTENCIAL HORAS'!#REF!,"AAAAAD3r1w4=")</f>
        <v>#REF!</v>
      </c>
      <c r="P7" t="e">
        <f>AND('POTENCIAL HORAS'!#REF!,"AAAAAD3r1w8=")</f>
        <v>#REF!</v>
      </c>
      <c r="Q7" t="e">
        <f>AND('POTENCIAL HORAS'!#REF!,"AAAAAD3r1xA=")</f>
        <v>#REF!</v>
      </c>
      <c r="R7" t="e">
        <f>AND('POTENCIAL HORAS'!#REF!,"AAAAAD3r1xE=")</f>
        <v>#REF!</v>
      </c>
      <c r="S7" t="e">
        <f>AND('POTENCIAL HORAS'!#REF!,"AAAAAD3r1xI=")</f>
        <v>#REF!</v>
      </c>
      <c r="T7" t="e">
        <f>AND('POTENCIAL HORAS'!#REF!,"AAAAAD3r1xM=")</f>
        <v>#REF!</v>
      </c>
      <c r="U7" t="e">
        <f>AND('POTENCIAL HORAS'!#REF!,"AAAAAD3r1xQ=")</f>
        <v>#REF!</v>
      </c>
      <c r="V7" t="e">
        <f>AND('POTENCIAL HORAS'!#REF!,"AAAAAD3r1xU=")</f>
        <v>#REF!</v>
      </c>
      <c r="W7" t="e">
        <f>AND('POTENCIAL HORAS'!Q46,"AAAAAD3r1xY=")</f>
        <v>#VALUE!</v>
      </c>
      <c r="X7" t="e">
        <f>AND('POTENCIAL HORAS'!R46,"AAAAAD3r1xc=")</f>
        <v>#VALUE!</v>
      </c>
      <c r="Y7">
        <f>IF('POTENCIAL HORAS'!47:47,"AAAAAD3r1xg=",0)</f>
        <v>0</v>
      </c>
      <c r="Z7" t="e">
        <f>AND('POTENCIAL HORAS'!A47,"AAAAAD3r1xk=")</f>
        <v>#VALUE!</v>
      </c>
      <c r="AA7" t="e">
        <f>AND('POTENCIAL HORAS'!B47,"AAAAAD3r1xo=")</f>
        <v>#VALUE!</v>
      </c>
      <c r="AB7" t="e">
        <f>AND('POTENCIAL HORAS'!C47,"AAAAAD3r1xs=")</f>
        <v>#VALUE!</v>
      </c>
      <c r="AC7" t="e">
        <f>AND('POTENCIAL HORAS'!D47,"AAAAAD3r1xw=")</f>
        <v>#VALUE!</v>
      </c>
      <c r="AD7" t="e">
        <f>AND('POTENCIAL HORAS'!E47,"AAAAAD3r1x0=")</f>
        <v>#VALUE!</v>
      </c>
      <c r="AE7" t="e">
        <f>AND('POTENCIAL HORAS'!F47,"AAAAAD3r1x4=")</f>
        <v>#VALUE!</v>
      </c>
      <c r="AF7" t="e">
        <f>AND('POTENCIAL HORAS'!G47,"AAAAAD3r1x8=")</f>
        <v>#VALUE!</v>
      </c>
      <c r="AG7" t="e">
        <f>AND('POTENCIAL HORAS'!H47,"AAAAAD3r1yA=")</f>
        <v>#VALUE!</v>
      </c>
      <c r="AH7" t="e">
        <f>AND('POTENCIAL HORAS'!I47,"AAAAAD3r1yE=")</f>
        <v>#VALUE!</v>
      </c>
      <c r="AI7" t="e">
        <f>AND('POTENCIAL HORAS'!J47,"AAAAAD3r1yI=")</f>
        <v>#VALUE!</v>
      </c>
      <c r="AJ7" t="e">
        <f>AND('POTENCIAL HORAS'!K47,"AAAAAD3r1yM=")</f>
        <v>#VALUE!</v>
      </c>
      <c r="AK7" t="e">
        <f>AND('POTENCIAL HORAS'!L47,"AAAAAD3r1yQ=")</f>
        <v>#VALUE!</v>
      </c>
      <c r="AL7" t="e">
        <f>AND('POTENCIAL HORAS'!M47,"AAAAAD3r1yU=")</f>
        <v>#VALUE!</v>
      </c>
      <c r="AM7" t="e">
        <f>AND('POTENCIAL HORAS'!N47,"AAAAAD3r1yY=")</f>
        <v>#VALUE!</v>
      </c>
      <c r="AN7" t="e">
        <f>AND('POTENCIAL HORAS'!O47,"AAAAAD3r1yc=")</f>
        <v>#VALUE!</v>
      </c>
      <c r="AO7" t="e">
        <f>AND('POTENCIAL HORAS'!P47,"AAAAAD3r1yg=")</f>
        <v>#VALUE!</v>
      </c>
      <c r="AP7" t="e">
        <f>AND('POTENCIAL HORAS'!#REF!,"AAAAAD3r1yk=")</f>
        <v>#REF!</v>
      </c>
      <c r="AQ7" t="e">
        <f>AND('POTENCIAL HORAS'!#REF!,"AAAAAD3r1yo=")</f>
        <v>#REF!</v>
      </c>
      <c r="AR7" t="e">
        <f>AND('POTENCIAL HORAS'!#REF!,"AAAAAD3r1ys=")</f>
        <v>#REF!</v>
      </c>
      <c r="AS7" t="e">
        <f>AND('POTENCIAL HORAS'!#REF!,"AAAAAD3r1yw=")</f>
        <v>#REF!</v>
      </c>
      <c r="AT7" t="e">
        <f>AND('POTENCIAL HORAS'!#REF!,"AAAAAD3r1y0=")</f>
        <v>#REF!</v>
      </c>
      <c r="AU7" t="e">
        <f>AND('POTENCIAL HORAS'!#REF!,"AAAAAD3r1y4=")</f>
        <v>#REF!</v>
      </c>
      <c r="AV7" t="e">
        <f>AND('POTENCIAL HORAS'!#REF!,"AAAAAD3r1y8=")</f>
        <v>#REF!</v>
      </c>
      <c r="AW7" t="e">
        <f>AND('POTENCIAL HORAS'!#REF!,"AAAAAD3r1zA=")</f>
        <v>#REF!</v>
      </c>
      <c r="AX7" t="e">
        <f>AND('POTENCIAL HORAS'!#REF!,"AAAAAD3r1zE=")</f>
        <v>#REF!</v>
      </c>
      <c r="AY7" t="e">
        <f>AND('POTENCIAL HORAS'!#REF!,"AAAAAD3r1zI=")</f>
        <v>#REF!</v>
      </c>
      <c r="AZ7" t="e">
        <f>AND('POTENCIAL HORAS'!#REF!,"AAAAAD3r1zM=")</f>
        <v>#REF!</v>
      </c>
      <c r="BA7" t="e">
        <f>AND('POTENCIAL HORAS'!#REF!,"AAAAAD3r1zQ=")</f>
        <v>#REF!</v>
      </c>
      <c r="BB7" t="e">
        <f>AND('POTENCIAL HORAS'!#REF!,"AAAAAD3r1zU=")</f>
        <v>#REF!</v>
      </c>
      <c r="BC7" t="e">
        <f>AND('POTENCIAL HORAS'!#REF!,"AAAAAD3r1zY=")</f>
        <v>#REF!</v>
      </c>
      <c r="BD7" t="e">
        <f>AND('POTENCIAL HORAS'!#REF!,"AAAAAD3r1zc=")</f>
        <v>#REF!</v>
      </c>
      <c r="BE7" t="e">
        <f>AND('POTENCIAL HORAS'!#REF!,"AAAAAD3r1zg=")</f>
        <v>#REF!</v>
      </c>
      <c r="BF7" t="e">
        <f>AND('POTENCIAL HORAS'!#REF!,"AAAAAD3r1zk=")</f>
        <v>#REF!</v>
      </c>
      <c r="BG7" t="e">
        <f>AND('POTENCIAL HORAS'!#REF!,"AAAAAD3r1zo=")</f>
        <v>#REF!</v>
      </c>
      <c r="BH7" t="e">
        <f>AND('POTENCIAL HORAS'!#REF!,"AAAAAD3r1zs=")</f>
        <v>#REF!</v>
      </c>
      <c r="BI7" t="e">
        <f>AND('POTENCIAL HORAS'!#REF!,"AAAAAD3r1zw=")</f>
        <v>#REF!</v>
      </c>
      <c r="BJ7" t="e">
        <f>AND('POTENCIAL HORAS'!Q47,"AAAAAD3r1z0=")</f>
        <v>#VALUE!</v>
      </c>
      <c r="BK7" t="e">
        <f>AND('POTENCIAL HORAS'!R47,"AAAAAD3r1z4=")</f>
        <v>#VALUE!</v>
      </c>
      <c r="BL7">
        <f>IF('POTENCIAL HORAS'!48:48,"AAAAAD3r1z8=",0)</f>
        <v>0</v>
      </c>
      <c r="BM7" t="e">
        <f>AND('POTENCIAL HORAS'!A48,"AAAAAD3r10A=")</f>
        <v>#VALUE!</v>
      </c>
      <c r="BN7" t="e">
        <f>AND('POTENCIAL HORAS'!B48,"AAAAAD3r10E=")</f>
        <v>#VALUE!</v>
      </c>
      <c r="BO7" t="e">
        <f>AND('POTENCIAL HORAS'!C48,"AAAAAD3r10I=")</f>
        <v>#VALUE!</v>
      </c>
      <c r="BP7" t="e">
        <f>AND('POTENCIAL HORAS'!D48,"AAAAAD3r10M=")</f>
        <v>#VALUE!</v>
      </c>
      <c r="BQ7" t="e">
        <f>AND('POTENCIAL HORAS'!E48,"AAAAAD3r10Q=")</f>
        <v>#VALUE!</v>
      </c>
      <c r="BR7" t="e">
        <f>AND('POTENCIAL HORAS'!F48,"AAAAAD3r10U=")</f>
        <v>#VALUE!</v>
      </c>
      <c r="BS7" t="e">
        <f>AND('POTENCIAL HORAS'!G48,"AAAAAD3r10Y=")</f>
        <v>#VALUE!</v>
      </c>
      <c r="BT7" t="e">
        <f>AND('POTENCIAL HORAS'!H48,"AAAAAD3r10c=")</f>
        <v>#VALUE!</v>
      </c>
      <c r="BU7" t="e">
        <f>AND('POTENCIAL HORAS'!I48,"AAAAAD3r10g=")</f>
        <v>#VALUE!</v>
      </c>
      <c r="BV7" t="e">
        <f>AND('POTENCIAL HORAS'!J48,"AAAAAD3r10k=")</f>
        <v>#VALUE!</v>
      </c>
      <c r="BW7" t="e">
        <f>AND('POTENCIAL HORAS'!K48,"AAAAAD3r10o=")</f>
        <v>#VALUE!</v>
      </c>
      <c r="BX7" t="e">
        <f>AND('POTENCIAL HORAS'!L48,"AAAAAD3r10s=")</f>
        <v>#VALUE!</v>
      </c>
      <c r="BY7" t="e">
        <f>AND('POTENCIAL HORAS'!M48,"AAAAAD3r10w=")</f>
        <v>#VALUE!</v>
      </c>
      <c r="BZ7" t="e">
        <f>AND('POTENCIAL HORAS'!N48,"AAAAAD3r100=")</f>
        <v>#VALUE!</v>
      </c>
      <c r="CA7" t="e">
        <f>AND('POTENCIAL HORAS'!O48,"AAAAAD3r104=")</f>
        <v>#VALUE!</v>
      </c>
      <c r="CB7" t="e">
        <f>AND('POTENCIAL HORAS'!P48,"AAAAAD3r108=")</f>
        <v>#VALUE!</v>
      </c>
      <c r="CC7" t="e">
        <f>AND('POTENCIAL HORAS'!#REF!,"AAAAAD3r11A=")</f>
        <v>#REF!</v>
      </c>
      <c r="CD7" t="e">
        <f>AND('POTENCIAL HORAS'!#REF!,"AAAAAD3r11E=")</f>
        <v>#REF!</v>
      </c>
      <c r="CE7" t="e">
        <f>AND('POTENCIAL HORAS'!#REF!,"AAAAAD3r11I=")</f>
        <v>#REF!</v>
      </c>
      <c r="CF7" t="e">
        <f>AND('POTENCIAL HORAS'!#REF!,"AAAAAD3r11M=")</f>
        <v>#REF!</v>
      </c>
      <c r="CG7" t="e">
        <f>AND('POTENCIAL HORAS'!#REF!,"AAAAAD3r11Q=")</f>
        <v>#REF!</v>
      </c>
      <c r="CH7" t="e">
        <f>AND('POTENCIAL HORAS'!#REF!,"AAAAAD3r11U=")</f>
        <v>#REF!</v>
      </c>
      <c r="CI7" t="e">
        <f>AND('POTENCIAL HORAS'!#REF!,"AAAAAD3r11Y=")</f>
        <v>#REF!</v>
      </c>
      <c r="CJ7" t="e">
        <f>AND('POTENCIAL HORAS'!#REF!,"AAAAAD3r11c=")</f>
        <v>#REF!</v>
      </c>
      <c r="CK7" t="e">
        <f>AND('POTENCIAL HORAS'!#REF!,"AAAAAD3r11g=")</f>
        <v>#REF!</v>
      </c>
      <c r="CL7" t="e">
        <f>AND('POTENCIAL HORAS'!#REF!,"AAAAAD3r11k=")</f>
        <v>#REF!</v>
      </c>
      <c r="CM7" t="e">
        <f>AND('POTENCIAL HORAS'!#REF!,"AAAAAD3r11o=")</f>
        <v>#REF!</v>
      </c>
      <c r="CN7" t="e">
        <f>AND('POTENCIAL HORAS'!#REF!,"AAAAAD3r11s=")</f>
        <v>#REF!</v>
      </c>
      <c r="CO7" t="e">
        <f>AND('POTENCIAL HORAS'!#REF!,"AAAAAD3r11w=")</f>
        <v>#REF!</v>
      </c>
      <c r="CP7" t="e">
        <f>AND('POTENCIAL HORAS'!#REF!,"AAAAAD3r110=")</f>
        <v>#REF!</v>
      </c>
      <c r="CQ7" t="e">
        <f>AND('POTENCIAL HORAS'!#REF!,"AAAAAD3r114=")</f>
        <v>#REF!</v>
      </c>
      <c r="CR7" t="e">
        <f>AND('POTENCIAL HORAS'!#REF!,"AAAAAD3r118=")</f>
        <v>#REF!</v>
      </c>
      <c r="CS7" t="e">
        <f>AND('POTENCIAL HORAS'!#REF!,"AAAAAD3r12A=")</f>
        <v>#REF!</v>
      </c>
      <c r="CT7" t="e">
        <f>AND('POTENCIAL HORAS'!#REF!,"AAAAAD3r12E=")</f>
        <v>#REF!</v>
      </c>
      <c r="CU7" t="e">
        <f>AND('POTENCIAL HORAS'!#REF!,"AAAAAD3r12I=")</f>
        <v>#REF!</v>
      </c>
      <c r="CV7" t="e">
        <f>AND('POTENCIAL HORAS'!#REF!,"AAAAAD3r12M=")</f>
        <v>#REF!</v>
      </c>
      <c r="CW7" t="e">
        <f>AND('POTENCIAL HORAS'!Q48,"AAAAAD3r12Q=")</f>
        <v>#VALUE!</v>
      </c>
      <c r="CX7" t="e">
        <f>AND('POTENCIAL HORAS'!R48,"AAAAAD3r12U=")</f>
        <v>#VALUE!</v>
      </c>
      <c r="CY7">
        <f>IF('POTENCIAL HORAS'!50:50,"AAAAAD3r12Y=",0)</f>
        <v>0</v>
      </c>
      <c r="CZ7" t="e">
        <f>AND('POTENCIAL HORAS'!A50,"AAAAAD3r12c=")</f>
        <v>#VALUE!</v>
      </c>
      <c r="DA7" t="e">
        <f>AND('POTENCIAL HORAS'!B50,"AAAAAD3r12g=")</f>
        <v>#VALUE!</v>
      </c>
      <c r="DB7" t="e">
        <f>AND('POTENCIAL HORAS'!C50,"AAAAAD3r12k=")</f>
        <v>#VALUE!</v>
      </c>
      <c r="DC7" t="e">
        <f>AND('POTENCIAL HORAS'!D50,"AAAAAD3r12o=")</f>
        <v>#VALUE!</v>
      </c>
      <c r="DD7" t="e">
        <f>AND('POTENCIAL HORAS'!E50,"AAAAAD3r12s=")</f>
        <v>#VALUE!</v>
      </c>
      <c r="DE7" t="e">
        <f>AND('POTENCIAL HORAS'!F50,"AAAAAD3r12w=")</f>
        <v>#VALUE!</v>
      </c>
      <c r="DF7" t="e">
        <f>AND('POTENCIAL HORAS'!G50,"AAAAAD3r120=")</f>
        <v>#VALUE!</v>
      </c>
      <c r="DG7" t="e">
        <f>AND('POTENCIAL HORAS'!H50,"AAAAAD3r124=")</f>
        <v>#VALUE!</v>
      </c>
      <c r="DH7" t="e">
        <f>AND('POTENCIAL HORAS'!I50,"AAAAAD3r128=")</f>
        <v>#VALUE!</v>
      </c>
      <c r="DI7" t="e">
        <f>AND('POTENCIAL HORAS'!J50,"AAAAAD3r13A=")</f>
        <v>#VALUE!</v>
      </c>
      <c r="DJ7" t="e">
        <f>AND('POTENCIAL HORAS'!K50,"AAAAAD3r13E=")</f>
        <v>#VALUE!</v>
      </c>
      <c r="DK7" t="e">
        <f>AND('POTENCIAL HORAS'!L50,"AAAAAD3r13I=")</f>
        <v>#VALUE!</v>
      </c>
      <c r="DL7" t="e">
        <f>AND('POTENCIAL HORAS'!M50,"AAAAAD3r13M=")</f>
        <v>#VALUE!</v>
      </c>
      <c r="DM7" t="e">
        <f>AND('POTENCIAL HORAS'!N50,"AAAAAD3r13Q=")</f>
        <v>#VALUE!</v>
      </c>
      <c r="DN7" t="e">
        <f>AND('POTENCIAL HORAS'!O50,"AAAAAD3r13U=")</f>
        <v>#VALUE!</v>
      </c>
      <c r="DO7" t="e">
        <f>AND('POTENCIAL HORAS'!P50,"AAAAAD3r13Y=")</f>
        <v>#VALUE!</v>
      </c>
      <c r="DP7" t="e">
        <f>AND('POTENCIAL HORAS'!#REF!,"AAAAAD3r13c=")</f>
        <v>#REF!</v>
      </c>
      <c r="DQ7" t="e">
        <f>AND('POTENCIAL HORAS'!#REF!,"AAAAAD3r13g=")</f>
        <v>#REF!</v>
      </c>
      <c r="DR7" t="e">
        <f>AND('POTENCIAL HORAS'!#REF!,"AAAAAD3r13k=")</f>
        <v>#REF!</v>
      </c>
      <c r="DS7" t="e">
        <f>AND('POTENCIAL HORAS'!#REF!,"AAAAAD3r13o=")</f>
        <v>#REF!</v>
      </c>
      <c r="DT7" t="e">
        <f>AND('POTENCIAL HORAS'!#REF!,"AAAAAD3r13s=")</f>
        <v>#REF!</v>
      </c>
      <c r="DU7" t="e">
        <f>AND('POTENCIAL HORAS'!#REF!,"AAAAAD3r13w=")</f>
        <v>#REF!</v>
      </c>
      <c r="DV7" t="e">
        <f>AND('POTENCIAL HORAS'!#REF!,"AAAAAD3r130=")</f>
        <v>#REF!</v>
      </c>
      <c r="DW7" t="e">
        <f>AND('POTENCIAL HORAS'!#REF!,"AAAAAD3r134=")</f>
        <v>#REF!</v>
      </c>
      <c r="DX7" t="e">
        <f>AND('POTENCIAL HORAS'!#REF!,"AAAAAD3r138=")</f>
        <v>#REF!</v>
      </c>
      <c r="DY7" t="e">
        <f>AND('POTENCIAL HORAS'!#REF!,"AAAAAD3r14A=")</f>
        <v>#REF!</v>
      </c>
      <c r="DZ7" t="e">
        <f>AND('POTENCIAL HORAS'!#REF!,"AAAAAD3r14E=")</f>
        <v>#REF!</v>
      </c>
      <c r="EA7" t="e">
        <f>AND('POTENCIAL HORAS'!#REF!,"AAAAAD3r14I=")</f>
        <v>#REF!</v>
      </c>
      <c r="EB7" t="e">
        <f>AND('POTENCIAL HORAS'!#REF!,"AAAAAD3r14M=")</f>
        <v>#REF!</v>
      </c>
      <c r="EC7" t="e">
        <f>AND('POTENCIAL HORAS'!#REF!,"AAAAAD3r14Q=")</f>
        <v>#REF!</v>
      </c>
      <c r="ED7" t="e">
        <f>AND('POTENCIAL HORAS'!#REF!,"AAAAAD3r14U=")</f>
        <v>#REF!</v>
      </c>
      <c r="EE7" t="e">
        <f>AND('POTENCIAL HORAS'!#REF!,"AAAAAD3r14Y=")</f>
        <v>#REF!</v>
      </c>
      <c r="EF7" t="e">
        <f>AND('POTENCIAL HORAS'!#REF!,"AAAAAD3r14c=")</f>
        <v>#REF!</v>
      </c>
      <c r="EG7" t="e">
        <f>AND('POTENCIAL HORAS'!#REF!,"AAAAAD3r14g=")</f>
        <v>#REF!</v>
      </c>
      <c r="EH7" t="e">
        <f>AND('POTENCIAL HORAS'!#REF!,"AAAAAD3r14k=")</f>
        <v>#REF!</v>
      </c>
      <c r="EI7" t="e">
        <f>AND('POTENCIAL HORAS'!#REF!,"AAAAAD3r14o=")</f>
        <v>#REF!</v>
      </c>
      <c r="EJ7" t="e">
        <f>AND('POTENCIAL HORAS'!Q50,"AAAAAD3r14s=")</f>
        <v>#VALUE!</v>
      </c>
      <c r="EK7" t="e">
        <f>AND('POTENCIAL HORAS'!R50,"AAAAAD3r14w=")</f>
        <v>#VALUE!</v>
      </c>
      <c r="EL7">
        <f>IF('POTENCIAL HORAS'!51:51,"AAAAAD3r140=",0)</f>
        <v>0</v>
      </c>
      <c r="EM7" t="e">
        <f>AND('POTENCIAL HORAS'!A51,"AAAAAD3r144=")</f>
        <v>#VALUE!</v>
      </c>
      <c r="EN7" t="e">
        <f>AND('POTENCIAL HORAS'!B51,"AAAAAD3r148=")</f>
        <v>#VALUE!</v>
      </c>
      <c r="EO7" t="e">
        <f>AND('POTENCIAL HORAS'!C51,"AAAAAD3r15A=")</f>
        <v>#VALUE!</v>
      </c>
      <c r="EP7" t="e">
        <f>AND('POTENCIAL HORAS'!D51,"AAAAAD3r15E=")</f>
        <v>#VALUE!</v>
      </c>
      <c r="EQ7" t="e">
        <f>AND('POTENCIAL HORAS'!E51,"AAAAAD3r15I=")</f>
        <v>#VALUE!</v>
      </c>
      <c r="ER7" t="e">
        <f>AND('POTENCIAL HORAS'!F51,"AAAAAD3r15M=")</f>
        <v>#VALUE!</v>
      </c>
      <c r="ES7" t="e">
        <f>AND('POTENCIAL HORAS'!G51,"AAAAAD3r15Q=")</f>
        <v>#VALUE!</v>
      </c>
      <c r="ET7" t="e">
        <f>AND('POTENCIAL HORAS'!H51,"AAAAAD3r15U=")</f>
        <v>#VALUE!</v>
      </c>
      <c r="EU7" t="e">
        <f>AND('POTENCIAL HORAS'!I51,"AAAAAD3r15Y=")</f>
        <v>#VALUE!</v>
      </c>
      <c r="EV7" t="e">
        <f>AND('POTENCIAL HORAS'!J51,"AAAAAD3r15c=")</f>
        <v>#VALUE!</v>
      </c>
      <c r="EW7" t="e">
        <f>AND('POTENCIAL HORAS'!K51,"AAAAAD3r15g=")</f>
        <v>#VALUE!</v>
      </c>
      <c r="EX7" t="e">
        <f>AND('POTENCIAL HORAS'!L51,"AAAAAD3r15k=")</f>
        <v>#VALUE!</v>
      </c>
      <c r="EY7" t="e">
        <f>AND('POTENCIAL HORAS'!M51,"AAAAAD3r15o=")</f>
        <v>#VALUE!</v>
      </c>
      <c r="EZ7" t="e">
        <f>AND('POTENCIAL HORAS'!N51,"AAAAAD3r15s=")</f>
        <v>#VALUE!</v>
      </c>
      <c r="FA7" t="e">
        <f>AND('POTENCIAL HORAS'!O51,"AAAAAD3r15w=")</f>
        <v>#VALUE!</v>
      </c>
      <c r="FB7" t="e">
        <f>AND('POTENCIAL HORAS'!P51,"AAAAAD3r150=")</f>
        <v>#VALUE!</v>
      </c>
      <c r="FC7" t="e">
        <f>AND('POTENCIAL HORAS'!#REF!,"AAAAAD3r154=")</f>
        <v>#REF!</v>
      </c>
      <c r="FD7" t="e">
        <f>AND('POTENCIAL HORAS'!#REF!,"AAAAAD3r158=")</f>
        <v>#REF!</v>
      </c>
      <c r="FE7" t="e">
        <f>AND('POTENCIAL HORAS'!#REF!,"AAAAAD3r16A=")</f>
        <v>#REF!</v>
      </c>
      <c r="FF7" t="e">
        <f>AND('POTENCIAL HORAS'!#REF!,"AAAAAD3r16E=")</f>
        <v>#REF!</v>
      </c>
      <c r="FG7" t="e">
        <f>AND('POTENCIAL HORAS'!#REF!,"AAAAAD3r16I=")</f>
        <v>#REF!</v>
      </c>
      <c r="FH7" t="e">
        <f>AND('POTENCIAL HORAS'!#REF!,"AAAAAD3r16M=")</f>
        <v>#REF!</v>
      </c>
      <c r="FI7" t="e">
        <f>AND('POTENCIAL HORAS'!#REF!,"AAAAAD3r16Q=")</f>
        <v>#REF!</v>
      </c>
      <c r="FJ7" t="e">
        <f>AND('POTENCIAL HORAS'!#REF!,"AAAAAD3r16U=")</f>
        <v>#REF!</v>
      </c>
      <c r="FK7" t="e">
        <f>AND('POTENCIAL HORAS'!#REF!,"AAAAAD3r16Y=")</f>
        <v>#REF!</v>
      </c>
      <c r="FL7" t="e">
        <f>AND('POTENCIAL HORAS'!#REF!,"AAAAAD3r16c=")</f>
        <v>#REF!</v>
      </c>
      <c r="FM7" t="e">
        <f>AND('POTENCIAL HORAS'!#REF!,"AAAAAD3r16g=")</f>
        <v>#REF!</v>
      </c>
      <c r="FN7" t="e">
        <f>AND('POTENCIAL HORAS'!#REF!,"AAAAAD3r16k=")</f>
        <v>#REF!</v>
      </c>
      <c r="FO7" t="e">
        <f>AND('POTENCIAL HORAS'!#REF!,"AAAAAD3r16o=")</f>
        <v>#REF!</v>
      </c>
      <c r="FP7" t="e">
        <f>AND('POTENCIAL HORAS'!#REF!,"AAAAAD3r16s=")</f>
        <v>#REF!</v>
      </c>
      <c r="FQ7" t="e">
        <f>AND('POTENCIAL HORAS'!#REF!,"AAAAAD3r16w=")</f>
        <v>#REF!</v>
      </c>
      <c r="FR7" t="e">
        <f>AND('POTENCIAL HORAS'!#REF!,"AAAAAD3r160=")</f>
        <v>#REF!</v>
      </c>
      <c r="FS7" t="e">
        <f>AND('POTENCIAL HORAS'!#REF!,"AAAAAD3r164=")</f>
        <v>#REF!</v>
      </c>
      <c r="FT7" t="e">
        <f>AND('POTENCIAL HORAS'!#REF!,"AAAAAD3r168=")</f>
        <v>#REF!</v>
      </c>
      <c r="FU7" t="e">
        <f>AND('POTENCIAL HORAS'!#REF!,"AAAAAD3r17A=")</f>
        <v>#REF!</v>
      </c>
      <c r="FV7" t="e">
        <f>AND('POTENCIAL HORAS'!#REF!,"AAAAAD3r17E=")</f>
        <v>#REF!</v>
      </c>
      <c r="FW7" t="e">
        <f>AND('POTENCIAL HORAS'!Q51,"AAAAAD3r17I=")</f>
        <v>#VALUE!</v>
      </c>
      <c r="FX7" t="e">
        <f>AND('POTENCIAL HORAS'!R51,"AAAAAD3r17M=")</f>
        <v>#VALUE!</v>
      </c>
      <c r="FY7">
        <f>IF('POTENCIAL HORAS'!53:53,"AAAAAD3r17Q=",0)</f>
        <v>0</v>
      </c>
      <c r="FZ7" t="e">
        <f>AND('POTENCIAL HORAS'!A53,"AAAAAD3r17U=")</f>
        <v>#VALUE!</v>
      </c>
      <c r="GA7" t="e">
        <f>AND('POTENCIAL HORAS'!B53,"AAAAAD3r17Y=")</f>
        <v>#VALUE!</v>
      </c>
      <c r="GB7" t="e">
        <f>AND('POTENCIAL HORAS'!C53,"AAAAAD3r17c=")</f>
        <v>#VALUE!</v>
      </c>
      <c r="GC7" t="e">
        <f>AND('POTENCIAL HORAS'!D53,"AAAAAD3r17g=")</f>
        <v>#VALUE!</v>
      </c>
      <c r="GD7" t="e">
        <f>AND('POTENCIAL HORAS'!E53,"AAAAAD3r17k=")</f>
        <v>#VALUE!</v>
      </c>
      <c r="GE7" t="e">
        <f>AND('POTENCIAL HORAS'!F53,"AAAAAD3r17o=")</f>
        <v>#VALUE!</v>
      </c>
      <c r="GF7" t="e">
        <f>AND('POTENCIAL HORAS'!G53,"AAAAAD3r17s=")</f>
        <v>#VALUE!</v>
      </c>
      <c r="GG7" t="e">
        <f>AND('POTENCIAL HORAS'!H53,"AAAAAD3r17w=")</f>
        <v>#VALUE!</v>
      </c>
      <c r="GH7" t="e">
        <f>AND('POTENCIAL HORAS'!I53,"AAAAAD3r170=")</f>
        <v>#VALUE!</v>
      </c>
      <c r="GI7" t="e">
        <f>AND('POTENCIAL HORAS'!J53,"AAAAAD3r174=")</f>
        <v>#VALUE!</v>
      </c>
      <c r="GJ7" t="e">
        <f>AND('POTENCIAL HORAS'!K53,"AAAAAD3r178=")</f>
        <v>#VALUE!</v>
      </c>
      <c r="GK7" t="e">
        <f>AND('POTENCIAL HORAS'!L53,"AAAAAD3r18A=")</f>
        <v>#VALUE!</v>
      </c>
      <c r="GL7" t="e">
        <f>AND('POTENCIAL HORAS'!M53,"AAAAAD3r18E=")</f>
        <v>#VALUE!</v>
      </c>
      <c r="GM7" t="e">
        <f>AND('POTENCIAL HORAS'!N53,"AAAAAD3r18I=")</f>
        <v>#VALUE!</v>
      </c>
      <c r="GN7" t="e">
        <f>AND('POTENCIAL HORAS'!O53,"AAAAAD3r18M=")</f>
        <v>#VALUE!</v>
      </c>
      <c r="GO7" t="e">
        <f>AND('POTENCIAL HORAS'!P53,"AAAAAD3r18Q=")</f>
        <v>#VALUE!</v>
      </c>
      <c r="GP7" t="e">
        <f>AND('POTENCIAL HORAS'!#REF!,"AAAAAD3r18U=")</f>
        <v>#REF!</v>
      </c>
      <c r="GQ7" t="e">
        <f>AND('POTENCIAL HORAS'!#REF!,"AAAAAD3r18Y=")</f>
        <v>#REF!</v>
      </c>
      <c r="GR7" t="e">
        <f>AND('POTENCIAL HORAS'!#REF!,"AAAAAD3r18c=")</f>
        <v>#REF!</v>
      </c>
      <c r="GS7" t="e">
        <f>AND('POTENCIAL HORAS'!#REF!,"AAAAAD3r18g=")</f>
        <v>#REF!</v>
      </c>
      <c r="GT7" t="e">
        <f>AND('POTENCIAL HORAS'!#REF!,"AAAAAD3r18k=")</f>
        <v>#REF!</v>
      </c>
      <c r="GU7" t="e">
        <f>AND('POTENCIAL HORAS'!#REF!,"AAAAAD3r18o=")</f>
        <v>#REF!</v>
      </c>
      <c r="GV7" t="e">
        <f>AND('POTENCIAL HORAS'!#REF!,"AAAAAD3r18s=")</f>
        <v>#REF!</v>
      </c>
      <c r="GW7" t="e">
        <f>AND('POTENCIAL HORAS'!#REF!,"AAAAAD3r18w=")</f>
        <v>#REF!</v>
      </c>
      <c r="GX7" t="e">
        <f>AND('POTENCIAL HORAS'!#REF!,"AAAAAD3r180=")</f>
        <v>#REF!</v>
      </c>
      <c r="GY7" t="e">
        <f>AND('POTENCIAL HORAS'!#REF!,"AAAAAD3r184=")</f>
        <v>#REF!</v>
      </c>
      <c r="GZ7" t="e">
        <f>AND('POTENCIAL HORAS'!#REF!,"AAAAAD3r188=")</f>
        <v>#REF!</v>
      </c>
      <c r="HA7" t="e">
        <f>AND('POTENCIAL HORAS'!#REF!,"AAAAAD3r19A=")</f>
        <v>#REF!</v>
      </c>
      <c r="HB7" t="e">
        <f>AND('POTENCIAL HORAS'!#REF!,"AAAAAD3r19E=")</f>
        <v>#REF!</v>
      </c>
      <c r="HC7" t="e">
        <f>AND('POTENCIAL HORAS'!#REF!,"AAAAAD3r19I=")</f>
        <v>#REF!</v>
      </c>
      <c r="HD7" t="e">
        <f>AND('POTENCIAL HORAS'!#REF!,"AAAAAD3r19M=")</f>
        <v>#REF!</v>
      </c>
      <c r="HE7" t="e">
        <f>AND('POTENCIAL HORAS'!#REF!,"AAAAAD3r19Q=")</f>
        <v>#REF!</v>
      </c>
      <c r="HF7" t="e">
        <f>AND('POTENCIAL HORAS'!#REF!,"AAAAAD3r19U=")</f>
        <v>#REF!</v>
      </c>
      <c r="HG7" t="e">
        <f>AND('POTENCIAL HORAS'!#REF!,"AAAAAD3r19Y=")</f>
        <v>#REF!</v>
      </c>
      <c r="HH7" t="e">
        <f>AND('POTENCIAL HORAS'!#REF!,"AAAAAD3r19c=")</f>
        <v>#REF!</v>
      </c>
      <c r="HI7" t="e">
        <f>AND('POTENCIAL HORAS'!#REF!,"AAAAAD3r19g=")</f>
        <v>#REF!</v>
      </c>
      <c r="HJ7" t="e">
        <f>AND('POTENCIAL HORAS'!Q53,"AAAAAD3r19k=")</f>
        <v>#VALUE!</v>
      </c>
      <c r="HK7" t="e">
        <f>AND('POTENCIAL HORAS'!R53,"AAAAAD3r19o=")</f>
        <v>#VALUE!</v>
      </c>
      <c r="HL7">
        <f>IF('POTENCIAL HORAS'!54:54,"AAAAAD3r19s=",0)</f>
        <v>0</v>
      </c>
      <c r="HM7" t="e">
        <f>AND('POTENCIAL HORAS'!A54,"AAAAAD3r19w=")</f>
        <v>#VALUE!</v>
      </c>
      <c r="HN7" t="e">
        <f>AND('POTENCIAL HORAS'!B54,"AAAAAD3r190=")</f>
        <v>#VALUE!</v>
      </c>
      <c r="HO7" t="e">
        <f>AND('POTENCIAL HORAS'!C54,"AAAAAD3r194=")</f>
        <v>#VALUE!</v>
      </c>
      <c r="HP7" t="e">
        <f>AND('POTENCIAL HORAS'!D54,"AAAAAD3r198=")</f>
        <v>#VALUE!</v>
      </c>
      <c r="HQ7" t="e">
        <f>AND('POTENCIAL HORAS'!E54,"AAAAAD3r1+A=")</f>
        <v>#VALUE!</v>
      </c>
      <c r="HR7" t="e">
        <f>AND('POTENCIAL HORAS'!F54,"AAAAAD3r1+E=")</f>
        <v>#VALUE!</v>
      </c>
      <c r="HS7" t="e">
        <f>AND('POTENCIAL HORAS'!G54,"AAAAAD3r1+I=")</f>
        <v>#VALUE!</v>
      </c>
      <c r="HT7" t="e">
        <f>AND('POTENCIAL HORAS'!H54,"AAAAAD3r1+M=")</f>
        <v>#VALUE!</v>
      </c>
      <c r="HU7" t="e">
        <f>AND('POTENCIAL HORAS'!I54,"AAAAAD3r1+Q=")</f>
        <v>#VALUE!</v>
      </c>
      <c r="HV7" t="e">
        <f>AND('POTENCIAL HORAS'!J54,"AAAAAD3r1+U=")</f>
        <v>#VALUE!</v>
      </c>
      <c r="HW7" t="e">
        <f>AND('POTENCIAL HORAS'!K54,"AAAAAD3r1+Y=")</f>
        <v>#VALUE!</v>
      </c>
      <c r="HX7" t="e">
        <f>AND('POTENCIAL HORAS'!L54,"AAAAAD3r1+c=")</f>
        <v>#VALUE!</v>
      </c>
      <c r="HY7" t="e">
        <f>AND('POTENCIAL HORAS'!M54,"AAAAAD3r1+g=")</f>
        <v>#VALUE!</v>
      </c>
      <c r="HZ7" t="e">
        <f>AND('POTENCIAL HORAS'!N54,"AAAAAD3r1+k=")</f>
        <v>#VALUE!</v>
      </c>
      <c r="IA7" t="e">
        <f>AND('POTENCIAL HORAS'!O54,"AAAAAD3r1+o=")</f>
        <v>#VALUE!</v>
      </c>
      <c r="IB7" t="e">
        <f>AND('POTENCIAL HORAS'!P54,"AAAAAD3r1+s=")</f>
        <v>#VALUE!</v>
      </c>
      <c r="IC7" t="e">
        <f>AND('POTENCIAL HORAS'!#REF!,"AAAAAD3r1+w=")</f>
        <v>#REF!</v>
      </c>
      <c r="ID7" t="e">
        <f>AND('POTENCIAL HORAS'!#REF!,"AAAAAD3r1+0=")</f>
        <v>#REF!</v>
      </c>
      <c r="IE7" t="e">
        <f>AND('POTENCIAL HORAS'!#REF!,"AAAAAD3r1+4=")</f>
        <v>#REF!</v>
      </c>
      <c r="IF7" t="e">
        <f>AND('POTENCIAL HORAS'!#REF!,"AAAAAD3r1+8=")</f>
        <v>#REF!</v>
      </c>
      <c r="IG7" t="e">
        <f>AND('POTENCIAL HORAS'!#REF!,"AAAAAD3r1/A=")</f>
        <v>#REF!</v>
      </c>
      <c r="IH7" t="e">
        <f>AND('POTENCIAL HORAS'!#REF!,"AAAAAD3r1/E=")</f>
        <v>#REF!</v>
      </c>
      <c r="II7" t="e">
        <f>AND('POTENCIAL HORAS'!#REF!,"AAAAAD3r1/I=")</f>
        <v>#REF!</v>
      </c>
      <c r="IJ7" t="e">
        <f>AND('POTENCIAL HORAS'!#REF!,"AAAAAD3r1/M=")</f>
        <v>#REF!</v>
      </c>
      <c r="IK7" t="e">
        <f>AND('POTENCIAL HORAS'!#REF!,"AAAAAD3r1/Q=")</f>
        <v>#REF!</v>
      </c>
      <c r="IL7" t="e">
        <f>AND('POTENCIAL HORAS'!#REF!,"AAAAAD3r1/U=")</f>
        <v>#REF!</v>
      </c>
      <c r="IM7" t="e">
        <f>AND('POTENCIAL HORAS'!#REF!,"AAAAAD3r1/Y=")</f>
        <v>#REF!</v>
      </c>
      <c r="IN7" t="e">
        <f>AND('POTENCIAL HORAS'!#REF!,"AAAAAD3r1/c=")</f>
        <v>#REF!</v>
      </c>
      <c r="IO7" t="e">
        <f>AND('POTENCIAL HORAS'!#REF!,"AAAAAD3r1/g=")</f>
        <v>#REF!</v>
      </c>
      <c r="IP7" t="e">
        <f>AND('POTENCIAL HORAS'!#REF!,"AAAAAD3r1/k=")</f>
        <v>#REF!</v>
      </c>
      <c r="IQ7" t="e">
        <f>AND('POTENCIAL HORAS'!#REF!,"AAAAAD3r1/o=")</f>
        <v>#REF!</v>
      </c>
      <c r="IR7" t="e">
        <f>AND('POTENCIAL HORAS'!#REF!,"AAAAAD3r1/s=")</f>
        <v>#REF!</v>
      </c>
      <c r="IS7" t="e">
        <f>AND('POTENCIAL HORAS'!#REF!,"AAAAAD3r1/w=")</f>
        <v>#REF!</v>
      </c>
      <c r="IT7" t="e">
        <f>AND('POTENCIAL HORAS'!#REF!,"AAAAAD3r1/0=")</f>
        <v>#REF!</v>
      </c>
      <c r="IU7" t="e">
        <f>AND('POTENCIAL HORAS'!#REF!,"AAAAAD3r1/4=")</f>
        <v>#REF!</v>
      </c>
      <c r="IV7" t="e">
        <f>AND('POTENCIAL HORAS'!#REF!,"AAAAAD3r1/8=")</f>
        <v>#REF!</v>
      </c>
    </row>
    <row r="8" spans="1:256" x14ac:dyDescent="0.2">
      <c r="A8" t="e">
        <f>AND('POTENCIAL HORAS'!Q54,"AAAAABPV/wA=")</f>
        <v>#VALUE!</v>
      </c>
      <c r="B8" t="e">
        <f>AND('POTENCIAL HORAS'!R54,"AAAAABPV/wE=")</f>
        <v>#VALUE!</v>
      </c>
      <c r="C8" t="e">
        <f>IF('POTENCIAL HORAS'!56:56,"AAAAABPV/wI=",0)</f>
        <v>#VALUE!</v>
      </c>
      <c r="D8" t="e">
        <f>AND('POTENCIAL HORAS'!A56,"AAAAABPV/wM=")</f>
        <v>#VALUE!</v>
      </c>
      <c r="E8" t="e">
        <f>AND('POTENCIAL HORAS'!B56,"AAAAABPV/wQ=")</f>
        <v>#VALUE!</v>
      </c>
      <c r="F8" t="e">
        <f>AND('POTENCIAL HORAS'!C56,"AAAAABPV/wU=")</f>
        <v>#VALUE!</v>
      </c>
      <c r="G8" t="e">
        <f>AND('POTENCIAL HORAS'!D56,"AAAAABPV/wY=")</f>
        <v>#VALUE!</v>
      </c>
      <c r="H8" t="e">
        <f>AND('POTENCIAL HORAS'!E56,"AAAAABPV/wc=")</f>
        <v>#VALUE!</v>
      </c>
      <c r="I8" t="e">
        <f>AND('POTENCIAL HORAS'!F56,"AAAAABPV/wg=")</f>
        <v>#VALUE!</v>
      </c>
      <c r="J8" t="e">
        <f>AND('POTENCIAL HORAS'!G56,"AAAAABPV/wk=")</f>
        <v>#VALUE!</v>
      </c>
      <c r="K8" t="e">
        <f>AND('POTENCIAL HORAS'!H56,"AAAAABPV/wo=")</f>
        <v>#VALUE!</v>
      </c>
      <c r="L8" t="e">
        <f>AND('POTENCIAL HORAS'!I56,"AAAAABPV/ws=")</f>
        <v>#VALUE!</v>
      </c>
      <c r="M8" t="e">
        <f>AND('POTENCIAL HORAS'!J56,"AAAAABPV/ww=")</f>
        <v>#VALUE!</v>
      </c>
      <c r="N8" t="e">
        <f>AND('POTENCIAL HORAS'!K56,"AAAAABPV/w0=")</f>
        <v>#VALUE!</v>
      </c>
      <c r="O8" t="e">
        <f>AND('POTENCIAL HORAS'!L56,"AAAAABPV/w4=")</f>
        <v>#VALUE!</v>
      </c>
      <c r="P8" t="e">
        <f>AND('POTENCIAL HORAS'!M56,"AAAAABPV/w8=")</f>
        <v>#VALUE!</v>
      </c>
      <c r="Q8" t="e">
        <f>AND('POTENCIAL HORAS'!N56,"AAAAABPV/xA=")</f>
        <v>#VALUE!</v>
      </c>
      <c r="R8" t="e">
        <f>AND('POTENCIAL HORAS'!O56,"AAAAABPV/xE=")</f>
        <v>#VALUE!</v>
      </c>
      <c r="S8" t="e">
        <f>AND('POTENCIAL HORAS'!P56,"AAAAABPV/xI=")</f>
        <v>#VALUE!</v>
      </c>
      <c r="T8" t="e">
        <f>AND('POTENCIAL HORAS'!#REF!,"AAAAABPV/xM=")</f>
        <v>#REF!</v>
      </c>
      <c r="U8" t="e">
        <f>AND('POTENCIAL HORAS'!#REF!,"AAAAABPV/xQ=")</f>
        <v>#REF!</v>
      </c>
      <c r="V8" t="e">
        <f>AND('POTENCIAL HORAS'!#REF!,"AAAAABPV/xU=")</f>
        <v>#REF!</v>
      </c>
      <c r="W8" t="e">
        <f>AND('POTENCIAL HORAS'!#REF!,"AAAAABPV/xY=")</f>
        <v>#REF!</v>
      </c>
      <c r="X8" t="e">
        <f>AND('POTENCIAL HORAS'!#REF!,"AAAAABPV/xc=")</f>
        <v>#REF!</v>
      </c>
      <c r="Y8" t="e">
        <f>AND('POTENCIAL HORAS'!#REF!,"AAAAABPV/xg=")</f>
        <v>#REF!</v>
      </c>
      <c r="Z8" t="e">
        <f>AND('POTENCIAL HORAS'!#REF!,"AAAAABPV/xk=")</f>
        <v>#REF!</v>
      </c>
      <c r="AA8" t="e">
        <f>AND('POTENCIAL HORAS'!#REF!,"AAAAABPV/xo=")</f>
        <v>#REF!</v>
      </c>
      <c r="AB8" t="e">
        <f>AND('POTENCIAL HORAS'!#REF!,"AAAAABPV/xs=")</f>
        <v>#REF!</v>
      </c>
      <c r="AC8" t="e">
        <f>AND('POTENCIAL HORAS'!#REF!,"AAAAABPV/xw=")</f>
        <v>#REF!</v>
      </c>
      <c r="AD8" t="e">
        <f>AND('POTENCIAL HORAS'!#REF!,"AAAAABPV/x0=")</f>
        <v>#REF!</v>
      </c>
      <c r="AE8" t="e">
        <f>AND('POTENCIAL HORAS'!#REF!,"AAAAABPV/x4=")</f>
        <v>#REF!</v>
      </c>
      <c r="AF8" t="e">
        <f>AND('POTENCIAL HORAS'!#REF!,"AAAAABPV/x8=")</f>
        <v>#REF!</v>
      </c>
      <c r="AG8" t="e">
        <f>AND('POTENCIAL HORAS'!#REF!,"AAAAABPV/yA=")</f>
        <v>#REF!</v>
      </c>
      <c r="AH8" t="e">
        <f>AND('POTENCIAL HORAS'!#REF!,"AAAAABPV/yE=")</f>
        <v>#REF!</v>
      </c>
      <c r="AI8" t="e">
        <f>AND('POTENCIAL HORAS'!#REF!,"AAAAABPV/yI=")</f>
        <v>#REF!</v>
      </c>
      <c r="AJ8" t="e">
        <f>AND('POTENCIAL HORAS'!#REF!,"AAAAABPV/yM=")</f>
        <v>#REF!</v>
      </c>
      <c r="AK8" t="e">
        <f>AND('POTENCIAL HORAS'!#REF!,"AAAAABPV/yQ=")</f>
        <v>#REF!</v>
      </c>
      <c r="AL8" t="e">
        <f>AND('POTENCIAL HORAS'!#REF!,"AAAAABPV/yU=")</f>
        <v>#REF!</v>
      </c>
      <c r="AM8" t="e">
        <f>AND('POTENCIAL HORAS'!#REF!,"AAAAABPV/yY=")</f>
        <v>#REF!</v>
      </c>
      <c r="AN8" t="e">
        <f>AND('POTENCIAL HORAS'!Q56,"AAAAABPV/yc=")</f>
        <v>#VALUE!</v>
      </c>
      <c r="AO8" t="e">
        <f>AND('POTENCIAL HORAS'!R56,"AAAAABPV/yg=")</f>
        <v>#VALUE!</v>
      </c>
      <c r="AP8">
        <f>IF('POTENCIAL HORAS'!57:57,"AAAAABPV/yk=",0)</f>
        <v>0</v>
      </c>
      <c r="AQ8" t="e">
        <f>AND('POTENCIAL HORAS'!A57,"AAAAABPV/yo=")</f>
        <v>#VALUE!</v>
      </c>
      <c r="AR8" t="e">
        <f>AND('POTENCIAL HORAS'!B57,"AAAAABPV/ys=")</f>
        <v>#VALUE!</v>
      </c>
      <c r="AS8" t="e">
        <f>AND('POTENCIAL HORAS'!C57,"AAAAABPV/yw=")</f>
        <v>#VALUE!</v>
      </c>
      <c r="AT8" t="e">
        <f>AND('POTENCIAL HORAS'!D57,"AAAAABPV/y0=")</f>
        <v>#VALUE!</v>
      </c>
      <c r="AU8" t="e">
        <f>AND('POTENCIAL HORAS'!E57,"AAAAABPV/y4=")</f>
        <v>#VALUE!</v>
      </c>
      <c r="AV8" t="e">
        <f>AND('POTENCIAL HORAS'!F57,"AAAAABPV/y8=")</f>
        <v>#VALUE!</v>
      </c>
      <c r="AW8" t="e">
        <f>AND('POTENCIAL HORAS'!G57,"AAAAABPV/zA=")</f>
        <v>#VALUE!</v>
      </c>
      <c r="AX8" t="e">
        <f>AND('POTENCIAL HORAS'!H57,"AAAAABPV/zE=")</f>
        <v>#VALUE!</v>
      </c>
      <c r="AY8" t="e">
        <f>AND('POTENCIAL HORAS'!I57,"AAAAABPV/zI=")</f>
        <v>#VALUE!</v>
      </c>
      <c r="AZ8" t="e">
        <f>AND('POTENCIAL HORAS'!J57,"AAAAABPV/zM=")</f>
        <v>#VALUE!</v>
      </c>
      <c r="BA8" t="e">
        <f>AND('POTENCIAL HORAS'!K57,"AAAAABPV/zQ=")</f>
        <v>#VALUE!</v>
      </c>
      <c r="BB8" t="e">
        <f>AND('POTENCIAL HORAS'!L57,"AAAAABPV/zU=")</f>
        <v>#VALUE!</v>
      </c>
      <c r="BC8" t="e">
        <f>AND('POTENCIAL HORAS'!M57,"AAAAABPV/zY=")</f>
        <v>#VALUE!</v>
      </c>
      <c r="BD8" t="e">
        <f>AND('POTENCIAL HORAS'!N57,"AAAAABPV/zc=")</f>
        <v>#VALUE!</v>
      </c>
      <c r="BE8" t="e">
        <f>AND('POTENCIAL HORAS'!O57,"AAAAABPV/zg=")</f>
        <v>#VALUE!</v>
      </c>
      <c r="BF8" t="e">
        <f>AND('POTENCIAL HORAS'!P57,"AAAAABPV/zk=")</f>
        <v>#VALUE!</v>
      </c>
      <c r="BG8" t="e">
        <f>AND('POTENCIAL HORAS'!#REF!,"AAAAABPV/zo=")</f>
        <v>#REF!</v>
      </c>
      <c r="BH8" t="e">
        <f>AND('POTENCIAL HORAS'!#REF!,"AAAAABPV/zs=")</f>
        <v>#REF!</v>
      </c>
      <c r="BI8" t="e">
        <f>AND('POTENCIAL HORAS'!#REF!,"AAAAABPV/zw=")</f>
        <v>#REF!</v>
      </c>
      <c r="BJ8" t="e">
        <f>AND('POTENCIAL HORAS'!#REF!,"AAAAABPV/z0=")</f>
        <v>#REF!</v>
      </c>
      <c r="BK8" t="e">
        <f>AND('POTENCIAL HORAS'!#REF!,"AAAAABPV/z4=")</f>
        <v>#REF!</v>
      </c>
      <c r="BL8" t="e">
        <f>AND('POTENCIAL HORAS'!#REF!,"AAAAABPV/z8=")</f>
        <v>#REF!</v>
      </c>
      <c r="BM8" t="e">
        <f>AND('POTENCIAL HORAS'!#REF!,"AAAAABPV/0A=")</f>
        <v>#REF!</v>
      </c>
      <c r="BN8" t="e">
        <f>AND('POTENCIAL HORAS'!#REF!,"AAAAABPV/0E=")</f>
        <v>#REF!</v>
      </c>
      <c r="BO8" t="e">
        <f>AND('POTENCIAL HORAS'!#REF!,"AAAAABPV/0I=")</f>
        <v>#REF!</v>
      </c>
      <c r="BP8" t="e">
        <f>AND('POTENCIAL HORAS'!#REF!,"AAAAABPV/0M=")</f>
        <v>#REF!</v>
      </c>
      <c r="BQ8" t="e">
        <f>AND('POTENCIAL HORAS'!#REF!,"AAAAABPV/0Q=")</f>
        <v>#REF!</v>
      </c>
      <c r="BR8" t="e">
        <f>AND('POTENCIAL HORAS'!#REF!,"AAAAABPV/0U=")</f>
        <v>#REF!</v>
      </c>
      <c r="BS8" t="e">
        <f>AND('POTENCIAL HORAS'!#REF!,"AAAAABPV/0Y=")</f>
        <v>#REF!</v>
      </c>
      <c r="BT8" t="e">
        <f>AND('POTENCIAL HORAS'!#REF!,"AAAAABPV/0c=")</f>
        <v>#REF!</v>
      </c>
      <c r="BU8" t="e">
        <f>AND('POTENCIAL HORAS'!#REF!,"AAAAABPV/0g=")</f>
        <v>#REF!</v>
      </c>
      <c r="BV8" t="e">
        <f>AND('POTENCIAL HORAS'!#REF!,"AAAAABPV/0k=")</f>
        <v>#REF!</v>
      </c>
      <c r="BW8" t="e">
        <f>AND('POTENCIAL HORAS'!#REF!,"AAAAABPV/0o=")</f>
        <v>#REF!</v>
      </c>
      <c r="BX8" t="e">
        <f>AND('POTENCIAL HORAS'!#REF!,"AAAAABPV/0s=")</f>
        <v>#REF!</v>
      </c>
      <c r="BY8" t="e">
        <f>AND('POTENCIAL HORAS'!#REF!,"AAAAABPV/0w=")</f>
        <v>#REF!</v>
      </c>
      <c r="BZ8" t="e">
        <f>AND('POTENCIAL HORAS'!#REF!,"AAAAABPV/00=")</f>
        <v>#REF!</v>
      </c>
      <c r="CA8" t="e">
        <f>AND('POTENCIAL HORAS'!Q57,"AAAAABPV/04=")</f>
        <v>#VALUE!</v>
      </c>
      <c r="CB8" t="e">
        <f>AND('POTENCIAL HORAS'!R57,"AAAAABPV/08=")</f>
        <v>#VALUE!</v>
      </c>
      <c r="CC8">
        <f>IF('POTENCIAL HORAS'!58:58,"AAAAABPV/1A=",0)</f>
        <v>0</v>
      </c>
      <c r="CD8" t="e">
        <f>AND('POTENCIAL HORAS'!A58,"AAAAABPV/1E=")</f>
        <v>#VALUE!</v>
      </c>
      <c r="CE8" t="e">
        <f>AND('POTENCIAL HORAS'!B58,"AAAAABPV/1I=")</f>
        <v>#VALUE!</v>
      </c>
      <c r="CF8" t="e">
        <f>AND('POTENCIAL HORAS'!C58,"AAAAABPV/1M=")</f>
        <v>#VALUE!</v>
      </c>
      <c r="CG8" t="e">
        <f>AND('POTENCIAL HORAS'!D58,"AAAAABPV/1Q=")</f>
        <v>#VALUE!</v>
      </c>
      <c r="CH8" t="e">
        <f>AND('POTENCIAL HORAS'!E58,"AAAAABPV/1U=")</f>
        <v>#VALUE!</v>
      </c>
      <c r="CI8" t="e">
        <f>AND('POTENCIAL HORAS'!F58,"AAAAABPV/1Y=")</f>
        <v>#VALUE!</v>
      </c>
      <c r="CJ8" t="e">
        <f>AND('POTENCIAL HORAS'!G58,"AAAAABPV/1c=")</f>
        <v>#VALUE!</v>
      </c>
      <c r="CK8" t="e">
        <f>AND('POTENCIAL HORAS'!H58,"AAAAABPV/1g=")</f>
        <v>#VALUE!</v>
      </c>
      <c r="CL8" t="e">
        <f>AND('POTENCIAL HORAS'!I58,"AAAAABPV/1k=")</f>
        <v>#VALUE!</v>
      </c>
      <c r="CM8" t="e">
        <f>AND('POTENCIAL HORAS'!J58,"AAAAABPV/1o=")</f>
        <v>#VALUE!</v>
      </c>
      <c r="CN8" t="e">
        <f>AND('POTENCIAL HORAS'!K58,"AAAAABPV/1s=")</f>
        <v>#VALUE!</v>
      </c>
      <c r="CO8" t="e">
        <f>AND('POTENCIAL HORAS'!L58,"AAAAABPV/1w=")</f>
        <v>#VALUE!</v>
      </c>
      <c r="CP8" t="e">
        <f>AND('POTENCIAL HORAS'!M58,"AAAAABPV/10=")</f>
        <v>#VALUE!</v>
      </c>
      <c r="CQ8" t="e">
        <f>AND('POTENCIAL HORAS'!N58,"AAAAABPV/14=")</f>
        <v>#VALUE!</v>
      </c>
      <c r="CR8" t="e">
        <f>AND('POTENCIAL HORAS'!O58,"AAAAABPV/18=")</f>
        <v>#VALUE!</v>
      </c>
      <c r="CS8" t="e">
        <f>AND('POTENCIAL HORAS'!P58,"AAAAABPV/2A=")</f>
        <v>#VALUE!</v>
      </c>
      <c r="CT8" t="e">
        <f>AND('POTENCIAL HORAS'!#REF!,"AAAAABPV/2E=")</f>
        <v>#REF!</v>
      </c>
      <c r="CU8" t="e">
        <f>AND('POTENCIAL HORAS'!#REF!,"AAAAABPV/2I=")</f>
        <v>#REF!</v>
      </c>
      <c r="CV8" t="e">
        <f>AND('POTENCIAL HORAS'!#REF!,"AAAAABPV/2M=")</f>
        <v>#REF!</v>
      </c>
      <c r="CW8" t="e">
        <f>AND('POTENCIAL HORAS'!#REF!,"AAAAABPV/2Q=")</f>
        <v>#REF!</v>
      </c>
      <c r="CX8" t="e">
        <f>AND('POTENCIAL HORAS'!#REF!,"AAAAABPV/2U=")</f>
        <v>#REF!</v>
      </c>
      <c r="CY8" t="e">
        <f>AND('POTENCIAL HORAS'!#REF!,"AAAAABPV/2Y=")</f>
        <v>#REF!</v>
      </c>
      <c r="CZ8" t="e">
        <f>AND('POTENCIAL HORAS'!#REF!,"AAAAABPV/2c=")</f>
        <v>#REF!</v>
      </c>
      <c r="DA8" t="e">
        <f>AND('POTENCIAL HORAS'!#REF!,"AAAAABPV/2g=")</f>
        <v>#REF!</v>
      </c>
      <c r="DB8" t="e">
        <f>AND('POTENCIAL HORAS'!#REF!,"AAAAABPV/2k=")</f>
        <v>#REF!</v>
      </c>
      <c r="DC8" t="e">
        <f>AND('POTENCIAL HORAS'!#REF!,"AAAAABPV/2o=")</f>
        <v>#REF!</v>
      </c>
      <c r="DD8" t="e">
        <f>AND('POTENCIAL HORAS'!#REF!,"AAAAABPV/2s=")</f>
        <v>#REF!</v>
      </c>
      <c r="DE8" t="e">
        <f>AND('POTENCIAL HORAS'!#REF!,"AAAAABPV/2w=")</f>
        <v>#REF!</v>
      </c>
      <c r="DF8" t="e">
        <f>AND('POTENCIAL HORAS'!#REF!,"AAAAABPV/20=")</f>
        <v>#REF!</v>
      </c>
      <c r="DG8" t="e">
        <f>AND('POTENCIAL HORAS'!#REF!,"AAAAABPV/24=")</f>
        <v>#REF!</v>
      </c>
      <c r="DH8" t="e">
        <f>AND('POTENCIAL HORAS'!#REF!,"AAAAABPV/28=")</f>
        <v>#REF!</v>
      </c>
      <c r="DI8" t="e">
        <f>AND('POTENCIAL HORAS'!#REF!,"AAAAABPV/3A=")</f>
        <v>#REF!</v>
      </c>
      <c r="DJ8" t="e">
        <f>AND('POTENCIAL HORAS'!#REF!,"AAAAABPV/3E=")</f>
        <v>#REF!</v>
      </c>
      <c r="DK8" t="e">
        <f>AND('POTENCIAL HORAS'!#REF!,"AAAAABPV/3I=")</f>
        <v>#REF!</v>
      </c>
      <c r="DL8" t="e">
        <f>AND('POTENCIAL HORAS'!#REF!,"AAAAABPV/3M=")</f>
        <v>#REF!</v>
      </c>
      <c r="DM8" t="e">
        <f>AND('POTENCIAL HORAS'!#REF!,"AAAAABPV/3Q=")</f>
        <v>#REF!</v>
      </c>
      <c r="DN8" t="e">
        <f>AND('POTENCIAL HORAS'!Q58,"AAAAABPV/3U=")</f>
        <v>#VALUE!</v>
      </c>
      <c r="DO8" t="e">
        <f>AND('POTENCIAL HORAS'!R58,"AAAAABPV/3Y=")</f>
        <v>#VALUE!</v>
      </c>
      <c r="DP8">
        <f>IF('POTENCIAL HORAS'!59:59,"AAAAABPV/3c=",0)</f>
        <v>0</v>
      </c>
      <c r="DQ8" t="e">
        <f>AND('POTENCIAL HORAS'!A59,"AAAAABPV/3g=")</f>
        <v>#VALUE!</v>
      </c>
      <c r="DR8" t="e">
        <f>AND('POTENCIAL HORAS'!B59,"AAAAABPV/3k=")</f>
        <v>#VALUE!</v>
      </c>
      <c r="DS8" t="e">
        <f>AND('POTENCIAL HORAS'!C59,"AAAAABPV/3o=")</f>
        <v>#VALUE!</v>
      </c>
      <c r="DT8" t="e">
        <f>AND('POTENCIAL HORAS'!D59,"AAAAABPV/3s=")</f>
        <v>#VALUE!</v>
      </c>
      <c r="DU8" t="e">
        <f>AND('POTENCIAL HORAS'!E59,"AAAAABPV/3w=")</f>
        <v>#VALUE!</v>
      </c>
      <c r="DV8" t="e">
        <f>AND('POTENCIAL HORAS'!F59,"AAAAABPV/30=")</f>
        <v>#VALUE!</v>
      </c>
      <c r="DW8" t="e">
        <f>AND('POTENCIAL HORAS'!G59,"AAAAABPV/34=")</f>
        <v>#VALUE!</v>
      </c>
      <c r="DX8" t="e">
        <f>AND('POTENCIAL HORAS'!H59,"AAAAABPV/38=")</f>
        <v>#VALUE!</v>
      </c>
      <c r="DY8" t="e">
        <f>AND('POTENCIAL HORAS'!I59,"AAAAABPV/4A=")</f>
        <v>#VALUE!</v>
      </c>
      <c r="DZ8" t="e">
        <f>AND('POTENCIAL HORAS'!J59,"AAAAABPV/4E=")</f>
        <v>#VALUE!</v>
      </c>
      <c r="EA8" t="e">
        <f>AND('POTENCIAL HORAS'!K59,"AAAAABPV/4I=")</f>
        <v>#VALUE!</v>
      </c>
      <c r="EB8" t="e">
        <f>AND('POTENCIAL HORAS'!L59,"AAAAABPV/4M=")</f>
        <v>#VALUE!</v>
      </c>
      <c r="EC8" t="e">
        <f>AND('POTENCIAL HORAS'!M59,"AAAAABPV/4Q=")</f>
        <v>#VALUE!</v>
      </c>
      <c r="ED8" t="e">
        <f>AND('POTENCIAL HORAS'!N59,"AAAAABPV/4U=")</f>
        <v>#VALUE!</v>
      </c>
      <c r="EE8" t="e">
        <f>AND('POTENCIAL HORAS'!O59,"AAAAABPV/4Y=")</f>
        <v>#VALUE!</v>
      </c>
      <c r="EF8" t="e">
        <f>AND('POTENCIAL HORAS'!P59,"AAAAABPV/4c=")</f>
        <v>#VALUE!</v>
      </c>
      <c r="EG8" t="e">
        <f>AND('POTENCIAL HORAS'!#REF!,"AAAAABPV/4g=")</f>
        <v>#REF!</v>
      </c>
      <c r="EH8" t="e">
        <f>AND('POTENCIAL HORAS'!#REF!,"AAAAABPV/4k=")</f>
        <v>#REF!</v>
      </c>
      <c r="EI8" t="e">
        <f>AND('POTENCIAL HORAS'!#REF!,"AAAAABPV/4o=")</f>
        <v>#REF!</v>
      </c>
      <c r="EJ8" t="e">
        <f>AND('POTENCIAL HORAS'!#REF!,"AAAAABPV/4s=")</f>
        <v>#REF!</v>
      </c>
      <c r="EK8" t="e">
        <f>AND('POTENCIAL HORAS'!#REF!,"AAAAABPV/4w=")</f>
        <v>#REF!</v>
      </c>
      <c r="EL8" t="e">
        <f>AND('POTENCIAL HORAS'!#REF!,"AAAAABPV/40=")</f>
        <v>#REF!</v>
      </c>
      <c r="EM8" t="e">
        <f>AND('POTENCIAL HORAS'!#REF!,"AAAAABPV/44=")</f>
        <v>#REF!</v>
      </c>
      <c r="EN8" t="e">
        <f>AND('POTENCIAL HORAS'!#REF!,"AAAAABPV/48=")</f>
        <v>#REF!</v>
      </c>
      <c r="EO8" t="e">
        <f>AND('POTENCIAL HORAS'!#REF!,"AAAAABPV/5A=")</f>
        <v>#REF!</v>
      </c>
      <c r="EP8" t="e">
        <f>AND('POTENCIAL HORAS'!#REF!,"AAAAABPV/5E=")</f>
        <v>#REF!</v>
      </c>
      <c r="EQ8" t="e">
        <f>AND('POTENCIAL HORAS'!#REF!,"AAAAABPV/5I=")</f>
        <v>#REF!</v>
      </c>
      <c r="ER8" t="e">
        <f>AND('POTENCIAL HORAS'!#REF!,"AAAAABPV/5M=")</f>
        <v>#REF!</v>
      </c>
      <c r="ES8" t="e">
        <f>AND('POTENCIAL HORAS'!#REF!,"AAAAABPV/5Q=")</f>
        <v>#REF!</v>
      </c>
      <c r="ET8" t="e">
        <f>AND('POTENCIAL HORAS'!#REF!,"AAAAABPV/5U=")</f>
        <v>#REF!</v>
      </c>
      <c r="EU8" t="e">
        <f>AND('POTENCIAL HORAS'!#REF!,"AAAAABPV/5Y=")</f>
        <v>#REF!</v>
      </c>
      <c r="EV8" t="e">
        <f>AND('POTENCIAL HORAS'!#REF!,"AAAAABPV/5c=")</f>
        <v>#REF!</v>
      </c>
      <c r="EW8" t="e">
        <f>AND('POTENCIAL HORAS'!#REF!,"AAAAABPV/5g=")</f>
        <v>#REF!</v>
      </c>
      <c r="EX8" t="e">
        <f>AND('POTENCIAL HORAS'!#REF!,"AAAAABPV/5k=")</f>
        <v>#REF!</v>
      </c>
      <c r="EY8" t="e">
        <f>AND('POTENCIAL HORAS'!#REF!,"AAAAABPV/5o=")</f>
        <v>#REF!</v>
      </c>
      <c r="EZ8" t="e">
        <f>AND('POTENCIAL HORAS'!#REF!,"AAAAABPV/5s=")</f>
        <v>#REF!</v>
      </c>
      <c r="FA8" t="e">
        <f>AND('POTENCIAL HORAS'!Q59,"AAAAABPV/5w=")</f>
        <v>#VALUE!</v>
      </c>
      <c r="FB8" t="e">
        <f>AND('POTENCIAL HORAS'!R59,"AAAAABPV/50=")</f>
        <v>#VALUE!</v>
      </c>
      <c r="FC8">
        <f>IF('POTENCIAL HORAS'!60:60,"AAAAABPV/54=",0)</f>
        <v>0</v>
      </c>
      <c r="FD8" t="e">
        <f>AND('POTENCIAL HORAS'!A60,"AAAAABPV/58=")</f>
        <v>#VALUE!</v>
      </c>
      <c r="FE8" t="e">
        <f>AND('POTENCIAL HORAS'!B60,"AAAAABPV/6A=")</f>
        <v>#VALUE!</v>
      </c>
      <c r="FF8" t="e">
        <f>AND('POTENCIAL HORAS'!C60,"AAAAABPV/6E=")</f>
        <v>#VALUE!</v>
      </c>
      <c r="FG8" t="e">
        <f>AND('POTENCIAL HORAS'!D60,"AAAAABPV/6I=")</f>
        <v>#VALUE!</v>
      </c>
      <c r="FH8" t="e">
        <f>AND('POTENCIAL HORAS'!E60,"AAAAABPV/6M=")</f>
        <v>#VALUE!</v>
      </c>
      <c r="FI8" t="e">
        <f>AND('POTENCIAL HORAS'!F60,"AAAAABPV/6Q=")</f>
        <v>#VALUE!</v>
      </c>
      <c r="FJ8" t="e">
        <f>AND('POTENCIAL HORAS'!G60,"AAAAABPV/6U=")</f>
        <v>#VALUE!</v>
      </c>
      <c r="FK8" t="e">
        <f>AND('POTENCIAL HORAS'!H60,"AAAAABPV/6Y=")</f>
        <v>#VALUE!</v>
      </c>
      <c r="FL8" t="e">
        <f>AND('POTENCIAL HORAS'!I60,"AAAAABPV/6c=")</f>
        <v>#VALUE!</v>
      </c>
      <c r="FM8" t="e">
        <f>AND('POTENCIAL HORAS'!J60,"AAAAABPV/6g=")</f>
        <v>#VALUE!</v>
      </c>
      <c r="FN8" t="e">
        <f>AND('POTENCIAL HORAS'!K60,"AAAAABPV/6k=")</f>
        <v>#VALUE!</v>
      </c>
      <c r="FO8" t="e">
        <f>AND('POTENCIAL HORAS'!L60,"AAAAABPV/6o=")</f>
        <v>#VALUE!</v>
      </c>
      <c r="FP8" t="e">
        <f>AND('POTENCIAL HORAS'!M60,"AAAAABPV/6s=")</f>
        <v>#VALUE!</v>
      </c>
      <c r="FQ8" t="e">
        <f>AND('POTENCIAL HORAS'!N60,"AAAAABPV/6w=")</f>
        <v>#VALUE!</v>
      </c>
      <c r="FR8" t="e">
        <f>AND('POTENCIAL HORAS'!O60,"AAAAABPV/60=")</f>
        <v>#VALUE!</v>
      </c>
      <c r="FS8" t="e">
        <f>AND('POTENCIAL HORAS'!P60,"AAAAABPV/64=")</f>
        <v>#VALUE!</v>
      </c>
      <c r="FT8" t="e">
        <f>AND('POTENCIAL HORAS'!#REF!,"AAAAABPV/68=")</f>
        <v>#REF!</v>
      </c>
      <c r="FU8" t="e">
        <f>AND('POTENCIAL HORAS'!#REF!,"AAAAABPV/7A=")</f>
        <v>#REF!</v>
      </c>
      <c r="FV8" t="e">
        <f>AND('POTENCIAL HORAS'!#REF!,"AAAAABPV/7E=")</f>
        <v>#REF!</v>
      </c>
      <c r="FW8" t="e">
        <f>AND('POTENCIAL HORAS'!#REF!,"AAAAABPV/7I=")</f>
        <v>#REF!</v>
      </c>
      <c r="FX8" t="e">
        <f>AND('POTENCIAL HORAS'!#REF!,"AAAAABPV/7M=")</f>
        <v>#REF!</v>
      </c>
      <c r="FY8" t="e">
        <f>AND('POTENCIAL HORAS'!#REF!,"AAAAABPV/7Q=")</f>
        <v>#REF!</v>
      </c>
      <c r="FZ8" t="e">
        <f>AND('POTENCIAL HORAS'!#REF!,"AAAAABPV/7U=")</f>
        <v>#REF!</v>
      </c>
      <c r="GA8" t="e">
        <f>AND('POTENCIAL HORAS'!#REF!,"AAAAABPV/7Y=")</f>
        <v>#REF!</v>
      </c>
      <c r="GB8" t="e">
        <f>AND('POTENCIAL HORAS'!#REF!,"AAAAABPV/7c=")</f>
        <v>#REF!</v>
      </c>
      <c r="GC8" t="e">
        <f>AND('POTENCIAL HORAS'!#REF!,"AAAAABPV/7g=")</f>
        <v>#REF!</v>
      </c>
      <c r="GD8" t="e">
        <f>AND('POTENCIAL HORAS'!#REF!,"AAAAABPV/7k=")</f>
        <v>#REF!</v>
      </c>
      <c r="GE8" t="e">
        <f>AND('POTENCIAL HORAS'!#REF!,"AAAAABPV/7o=")</f>
        <v>#REF!</v>
      </c>
      <c r="GF8" t="e">
        <f>AND('POTENCIAL HORAS'!#REF!,"AAAAABPV/7s=")</f>
        <v>#REF!</v>
      </c>
      <c r="GG8" t="e">
        <f>AND('POTENCIAL HORAS'!#REF!,"AAAAABPV/7w=")</f>
        <v>#REF!</v>
      </c>
      <c r="GH8" t="e">
        <f>AND('POTENCIAL HORAS'!#REF!,"AAAAABPV/70=")</f>
        <v>#REF!</v>
      </c>
      <c r="GI8" t="e">
        <f>AND('POTENCIAL HORAS'!#REF!,"AAAAABPV/74=")</f>
        <v>#REF!</v>
      </c>
      <c r="GJ8" t="e">
        <f>AND('POTENCIAL HORAS'!#REF!,"AAAAABPV/78=")</f>
        <v>#REF!</v>
      </c>
      <c r="GK8" t="e">
        <f>AND('POTENCIAL HORAS'!#REF!,"AAAAABPV/8A=")</f>
        <v>#REF!</v>
      </c>
      <c r="GL8" t="e">
        <f>AND('POTENCIAL HORAS'!#REF!,"AAAAABPV/8E=")</f>
        <v>#REF!</v>
      </c>
      <c r="GM8" t="e">
        <f>AND('POTENCIAL HORAS'!#REF!,"AAAAABPV/8I=")</f>
        <v>#REF!</v>
      </c>
      <c r="GN8" t="e">
        <f>AND('POTENCIAL HORAS'!Q60,"AAAAABPV/8M=")</f>
        <v>#VALUE!</v>
      </c>
      <c r="GO8" t="e">
        <f>AND('POTENCIAL HORAS'!R60,"AAAAABPV/8Q=")</f>
        <v>#VALUE!</v>
      </c>
      <c r="GP8">
        <f>IF('POTENCIAL HORAS'!61:61,"AAAAABPV/8U=",0)</f>
        <v>0</v>
      </c>
      <c r="GQ8" t="e">
        <f>AND('POTENCIAL HORAS'!A61,"AAAAABPV/8Y=")</f>
        <v>#VALUE!</v>
      </c>
      <c r="GR8" t="e">
        <f>AND('POTENCIAL HORAS'!B61,"AAAAABPV/8c=")</f>
        <v>#VALUE!</v>
      </c>
      <c r="GS8" t="e">
        <f>AND('POTENCIAL HORAS'!C61,"AAAAABPV/8g=")</f>
        <v>#VALUE!</v>
      </c>
      <c r="GT8" t="e">
        <f>AND('POTENCIAL HORAS'!D61,"AAAAABPV/8k=")</f>
        <v>#VALUE!</v>
      </c>
      <c r="GU8" t="e">
        <f>AND('POTENCIAL HORAS'!E61,"AAAAABPV/8o=")</f>
        <v>#VALUE!</v>
      </c>
      <c r="GV8" t="e">
        <f>AND('POTENCIAL HORAS'!F61,"AAAAABPV/8s=")</f>
        <v>#VALUE!</v>
      </c>
      <c r="GW8" t="e">
        <f>AND('POTENCIAL HORAS'!G61,"AAAAABPV/8w=")</f>
        <v>#VALUE!</v>
      </c>
      <c r="GX8" t="e">
        <f>AND('POTENCIAL HORAS'!H61,"AAAAABPV/80=")</f>
        <v>#VALUE!</v>
      </c>
      <c r="GY8" t="e">
        <f>AND('POTENCIAL HORAS'!I61,"AAAAABPV/84=")</f>
        <v>#VALUE!</v>
      </c>
      <c r="GZ8" t="e">
        <f>AND('POTENCIAL HORAS'!J61,"AAAAABPV/88=")</f>
        <v>#VALUE!</v>
      </c>
      <c r="HA8" t="e">
        <f>AND('POTENCIAL HORAS'!K61,"AAAAABPV/9A=")</f>
        <v>#VALUE!</v>
      </c>
      <c r="HB8" t="e">
        <f>AND('POTENCIAL HORAS'!L61,"AAAAABPV/9E=")</f>
        <v>#VALUE!</v>
      </c>
      <c r="HC8" t="e">
        <f>AND('POTENCIAL HORAS'!M61,"AAAAABPV/9I=")</f>
        <v>#VALUE!</v>
      </c>
      <c r="HD8" t="e">
        <f>AND('POTENCIAL HORAS'!N61,"AAAAABPV/9M=")</f>
        <v>#VALUE!</v>
      </c>
      <c r="HE8" t="e">
        <f>AND('POTENCIAL HORAS'!O61,"AAAAABPV/9Q=")</f>
        <v>#VALUE!</v>
      </c>
      <c r="HF8" t="e">
        <f>AND('POTENCIAL HORAS'!P61,"AAAAABPV/9U=")</f>
        <v>#VALUE!</v>
      </c>
      <c r="HG8" t="e">
        <f>AND('POTENCIAL HORAS'!#REF!,"AAAAABPV/9Y=")</f>
        <v>#REF!</v>
      </c>
      <c r="HH8" t="e">
        <f>AND('POTENCIAL HORAS'!#REF!,"AAAAABPV/9c=")</f>
        <v>#REF!</v>
      </c>
      <c r="HI8" t="e">
        <f>AND('POTENCIAL HORAS'!#REF!,"AAAAABPV/9g=")</f>
        <v>#REF!</v>
      </c>
      <c r="HJ8" t="e">
        <f>AND('POTENCIAL HORAS'!#REF!,"AAAAABPV/9k=")</f>
        <v>#REF!</v>
      </c>
      <c r="HK8" t="e">
        <f>AND('POTENCIAL HORAS'!#REF!,"AAAAABPV/9o=")</f>
        <v>#REF!</v>
      </c>
      <c r="HL8" t="e">
        <f>AND('POTENCIAL HORAS'!#REF!,"AAAAABPV/9s=")</f>
        <v>#REF!</v>
      </c>
      <c r="HM8" t="e">
        <f>AND('POTENCIAL HORAS'!#REF!,"AAAAABPV/9w=")</f>
        <v>#REF!</v>
      </c>
      <c r="HN8" t="e">
        <f>AND('POTENCIAL HORAS'!#REF!,"AAAAABPV/90=")</f>
        <v>#REF!</v>
      </c>
      <c r="HO8" t="e">
        <f>AND('POTENCIAL HORAS'!#REF!,"AAAAABPV/94=")</f>
        <v>#REF!</v>
      </c>
      <c r="HP8" t="e">
        <f>AND('POTENCIAL HORAS'!#REF!,"AAAAABPV/98=")</f>
        <v>#REF!</v>
      </c>
      <c r="HQ8" t="e">
        <f>AND('POTENCIAL HORAS'!#REF!,"AAAAABPV/+A=")</f>
        <v>#REF!</v>
      </c>
      <c r="HR8" t="e">
        <f>AND('POTENCIAL HORAS'!#REF!,"AAAAABPV/+E=")</f>
        <v>#REF!</v>
      </c>
      <c r="HS8" t="e">
        <f>AND('POTENCIAL HORAS'!#REF!,"AAAAABPV/+I=")</f>
        <v>#REF!</v>
      </c>
      <c r="HT8" t="e">
        <f>AND('POTENCIAL HORAS'!#REF!,"AAAAABPV/+M=")</f>
        <v>#REF!</v>
      </c>
      <c r="HU8" t="e">
        <f>AND('POTENCIAL HORAS'!#REF!,"AAAAABPV/+Q=")</f>
        <v>#REF!</v>
      </c>
      <c r="HV8" t="e">
        <f>AND('POTENCIAL HORAS'!#REF!,"AAAAABPV/+U=")</f>
        <v>#REF!</v>
      </c>
      <c r="HW8" t="e">
        <f>AND('POTENCIAL HORAS'!#REF!,"AAAAABPV/+Y=")</f>
        <v>#REF!</v>
      </c>
      <c r="HX8" t="e">
        <f>AND('POTENCIAL HORAS'!#REF!,"AAAAABPV/+c=")</f>
        <v>#REF!</v>
      </c>
      <c r="HY8" t="e">
        <f>AND('POTENCIAL HORAS'!#REF!,"AAAAABPV/+g=")</f>
        <v>#REF!</v>
      </c>
      <c r="HZ8" t="e">
        <f>AND('POTENCIAL HORAS'!#REF!,"AAAAABPV/+k=")</f>
        <v>#REF!</v>
      </c>
      <c r="IA8" t="e">
        <f>AND('POTENCIAL HORAS'!Q61,"AAAAABPV/+o=")</f>
        <v>#VALUE!</v>
      </c>
      <c r="IB8" t="e">
        <f>AND('POTENCIAL HORAS'!R61,"AAAAABPV/+s=")</f>
        <v>#VALUE!</v>
      </c>
      <c r="IC8">
        <f>IF('POTENCIAL HORAS'!62:62,"AAAAABPV/+w=",0)</f>
        <v>0</v>
      </c>
      <c r="ID8" t="e">
        <f>AND('POTENCIAL HORAS'!A62,"AAAAABPV/+0=")</f>
        <v>#VALUE!</v>
      </c>
      <c r="IE8" t="e">
        <f>AND('POTENCIAL HORAS'!B62,"AAAAABPV/+4=")</f>
        <v>#VALUE!</v>
      </c>
      <c r="IF8" t="e">
        <f>AND('POTENCIAL HORAS'!C62,"AAAAABPV/+8=")</f>
        <v>#VALUE!</v>
      </c>
      <c r="IG8" t="e">
        <f>AND('POTENCIAL HORAS'!D62,"AAAAABPV//A=")</f>
        <v>#VALUE!</v>
      </c>
      <c r="IH8" t="e">
        <f>AND('POTENCIAL HORAS'!E62,"AAAAABPV//E=")</f>
        <v>#VALUE!</v>
      </c>
      <c r="II8" t="e">
        <f>AND('POTENCIAL HORAS'!F62,"AAAAABPV//I=")</f>
        <v>#VALUE!</v>
      </c>
      <c r="IJ8" t="e">
        <f>AND('POTENCIAL HORAS'!G62,"AAAAABPV//M=")</f>
        <v>#VALUE!</v>
      </c>
      <c r="IK8" t="e">
        <f>AND('POTENCIAL HORAS'!H62,"AAAAABPV//Q=")</f>
        <v>#VALUE!</v>
      </c>
      <c r="IL8" t="e">
        <f>AND('POTENCIAL HORAS'!I62,"AAAAABPV//U=")</f>
        <v>#VALUE!</v>
      </c>
      <c r="IM8" t="e">
        <f>AND('POTENCIAL HORAS'!J62,"AAAAABPV//Y=")</f>
        <v>#VALUE!</v>
      </c>
      <c r="IN8" t="e">
        <f>AND('POTENCIAL HORAS'!K62,"AAAAABPV//c=")</f>
        <v>#VALUE!</v>
      </c>
      <c r="IO8" t="e">
        <f>AND('POTENCIAL HORAS'!L62,"AAAAABPV//g=")</f>
        <v>#VALUE!</v>
      </c>
      <c r="IP8" t="e">
        <f>AND('POTENCIAL HORAS'!M62,"AAAAABPV//k=")</f>
        <v>#VALUE!</v>
      </c>
      <c r="IQ8" t="e">
        <f>AND('POTENCIAL HORAS'!N62,"AAAAABPV//o=")</f>
        <v>#VALUE!</v>
      </c>
      <c r="IR8" t="e">
        <f>AND('POTENCIAL HORAS'!O62,"AAAAABPV//s=")</f>
        <v>#VALUE!</v>
      </c>
      <c r="IS8" t="e">
        <f>AND('POTENCIAL HORAS'!P62,"AAAAABPV//w=")</f>
        <v>#VALUE!</v>
      </c>
      <c r="IT8" t="e">
        <f>AND('POTENCIAL HORAS'!#REF!,"AAAAABPV//0=")</f>
        <v>#REF!</v>
      </c>
      <c r="IU8" t="e">
        <f>AND('POTENCIAL HORAS'!#REF!,"AAAAABPV//4=")</f>
        <v>#REF!</v>
      </c>
      <c r="IV8" t="e">
        <f>AND('POTENCIAL HORAS'!#REF!,"AAAAABPV//8=")</f>
        <v>#REF!</v>
      </c>
    </row>
    <row r="9" spans="1:256" x14ac:dyDescent="0.2">
      <c r="A9" t="e">
        <f>AND('POTENCIAL HORAS'!#REF!,"AAAAAHj++gA=")</f>
        <v>#REF!</v>
      </c>
      <c r="B9" t="e">
        <f>AND('POTENCIAL HORAS'!#REF!,"AAAAAHj++gE=")</f>
        <v>#REF!</v>
      </c>
      <c r="C9" t="e">
        <f>AND('POTENCIAL HORAS'!#REF!,"AAAAAHj++gI=")</f>
        <v>#REF!</v>
      </c>
      <c r="D9" t="e">
        <f>AND('POTENCIAL HORAS'!#REF!,"AAAAAHj++gM=")</f>
        <v>#REF!</v>
      </c>
      <c r="E9" t="e">
        <f>AND('POTENCIAL HORAS'!#REF!,"AAAAAHj++gQ=")</f>
        <v>#REF!</v>
      </c>
      <c r="F9" t="e">
        <f>AND('POTENCIAL HORAS'!#REF!,"AAAAAHj++gU=")</f>
        <v>#REF!</v>
      </c>
      <c r="G9" t="e">
        <f>AND('POTENCIAL HORAS'!#REF!,"AAAAAHj++gY=")</f>
        <v>#REF!</v>
      </c>
      <c r="H9" t="e">
        <f>AND('POTENCIAL HORAS'!#REF!,"AAAAAHj++gc=")</f>
        <v>#REF!</v>
      </c>
      <c r="I9" t="e">
        <f>AND('POTENCIAL HORAS'!#REF!,"AAAAAHj++gg=")</f>
        <v>#REF!</v>
      </c>
      <c r="J9" t="e">
        <f>AND('POTENCIAL HORAS'!#REF!,"AAAAAHj++gk=")</f>
        <v>#REF!</v>
      </c>
      <c r="K9" t="e">
        <f>AND('POTENCIAL HORAS'!#REF!,"AAAAAHj++go=")</f>
        <v>#REF!</v>
      </c>
      <c r="L9" t="e">
        <f>AND('POTENCIAL HORAS'!#REF!,"AAAAAHj++gs=")</f>
        <v>#REF!</v>
      </c>
      <c r="M9" t="e">
        <f>AND('POTENCIAL HORAS'!#REF!,"AAAAAHj++gw=")</f>
        <v>#REF!</v>
      </c>
      <c r="N9" t="e">
        <f>AND('POTENCIAL HORAS'!#REF!,"AAAAAHj++g0=")</f>
        <v>#REF!</v>
      </c>
      <c r="O9" t="e">
        <f>AND('POTENCIAL HORAS'!#REF!,"AAAAAHj++g4=")</f>
        <v>#REF!</v>
      </c>
      <c r="P9" t="e">
        <f>AND('POTENCIAL HORAS'!#REF!,"AAAAAHj++g8=")</f>
        <v>#REF!</v>
      </c>
      <c r="Q9" t="e">
        <f>AND('POTENCIAL HORAS'!#REF!,"AAAAAHj++hA=")</f>
        <v>#REF!</v>
      </c>
      <c r="R9" t="e">
        <f>AND('POTENCIAL HORAS'!Q62,"AAAAAHj++hE=")</f>
        <v>#VALUE!</v>
      </c>
      <c r="S9" t="e">
        <f>AND('POTENCIAL HORAS'!R62,"AAAAAHj++hI=")</f>
        <v>#VALUE!</v>
      </c>
      <c r="T9">
        <f>IF('POTENCIAL HORAS'!64:64,"AAAAAHj++hM=",0)</f>
        <v>0</v>
      </c>
      <c r="U9" t="e">
        <f>AND('POTENCIAL HORAS'!A64,"AAAAAHj++hQ=")</f>
        <v>#VALUE!</v>
      </c>
      <c r="V9" t="e">
        <f>AND('POTENCIAL HORAS'!B64,"AAAAAHj++hU=")</f>
        <v>#VALUE!</v>
      </c>
      <c r="W9" t="e">
        <f>AND('POTENCIAL HORAS'!C64,"AAAAAHj++hY=")</f>
        <v>#VALUE!</v>
      </c>
      <c r="X9" t="e">
        <f>AND('POTENCIAL HORAS'!D64,"AAAAAHj++hc=")</f>
        <v>#VALUE!</v>
      </c>
      <c r="Y9" t="e">
        <f>AND('POTENCIAL HORAS'!E64,"AAAAAHj++hg=")</f>
        <v>#VALUE!</v>
      </c>
      <c r="Z9" t="e">
        <f>AND('POTENCIAL HORAS'!F64,"AAAAAHj++hk=")</f>
        <v>#VALUE!</v>
      </c>
      <c r="AA9" t="e">
        <f>AND('POTENCIAL HORAS'!G64,"AAAAAHj++ho=")</f>
        <v>#VALUE!</v>
      </c>
      <c r="AB9" t="e">
        <f>AND('POTENCIAL HORAS'!H64,"AAAAAHj++hs=")</f>
        <v>#VALUE!</v>
      </c>
      <c r="AC9" t="e">
        <f>AND('POTENCIAL HORAS'!I64,"AAAAAHj++hw=")</f>
        <v>#VALUE!</v>
      </c>
      <c r="AD9" t="e">
        <f>AND('POTENCIAL HORAS'!J64,"AAAAAHj++h0=")</f>
        <v>#VALUE!</v>
      </c>
      <c r="AE9" t="e">
        <f>AND('POTENCIAL HORAS'!K64,"AAAAAHj++h4=")</f>
        <v>#VALUE!</v>
      </c>
      <c r="AF9" t="e">
        <f>AND('POTENCIAL HORAS'!L64,"AAAAAHj++h8=")</f>
        <v>#VALUE!</v>
      </c>
      <c r="AG9" t="e">
        <f>AND('POTENCIAL HORAS'!M64,"AAAAAHj++iA=")</f>
        <v>#VALUE!</v>
      </c>
      <c r="AH9" t="e">
        <f>AND('POTENCIAL HORAS'!N64,"AAAAAHj++iE=")</f>
        <v>#VALUE!</v>
      </c>
      <c r="AI9" t="e">
        <f>AND('POTENCIAL HORAS'!O64,"AAAAAHj++iI=")</f>
        <v>#VALUE!</v>
      </c>
      <c r="AJ9" t="e">
        <f>AND('POTENCIAL HORAS'!P64,"AAAAAHj++iM=")</f>
        <v>#VALUE!</v>
      </c>
      <c r="AK9" t="e">
        <f>AND('POTENCIAL HORAS'!#REF!,"AAAAAHj++iQ=")</f>
        <v>#REF!</v>
      </c>
      <c r="AL9" t="e">
        <f>AND('POTENCIAL HORAS'!#REF!,"AAAAAHj++iU=")</f>
        <v>#REF!</v>
      </c>
      <c r="AM9" t="e">
        <f>AND('POTENCIAL HORAS'!#REF!,"AAAAAHj++iY=")</f>
        <v>#REF!</v>
      </c>
      <c r="AN9" t="e">
        <f>AND('POTENCIAL HORAS'!#REF!,"AAAAAHj++ic=")</f>
        <v>#REF!</v>
      </c>
      <c r="AO9" t="e">
        <f>AND('POTENCIAL HORAS'!#REF!,"AAAAAHj++ig=")</f>
        <v>#REF!</v>
      </c>
      <c r="AP9" t="e">
        <f>AND('POTENCIAL HORAS'!#REF!,"AAAAAHj++ik=")</f>
        <v>#REF!</v>
      </c>
      <c r="AQ9" t="e">
        <f>AND('POTENCIAL HORAS'!#REF!,"AAAAAHj++io=")</f>
        <v>#REF!</v>
      </c>
      <c r="AR9" t="e">
        <f>AND('POTENCIAL HORAS'!#REF!,"AAAAAHj++is=")</f>
        <v>#REF!</v>
      </c>
      <c r="AS9" t="e">
        <f>AND('POTENCIAL HORAS'!#REF!,"AAAAAHj++iw=")</f>
        <v>#REF!</v>
      </c>
      <c r="AT9" t="e">
        <f>AND('POTENCIAL HORAS'!#REF!,"AAAAAHj++i0=")</f>
        <v>#REF!</v>
      </c>
      <c r="AU9" t="e">
        <f>AND('POTENCIAL HORAS'!#REF!,"AAAAAHj++i4=")</f>
        <v>#REF!</v>
      </c>
      <c r="AV9" t="e">
        <f>AND('POTENCIAL HORAS'!#REF!,"AAAAAHj++i8=")</f>
        <v>#REF!</v>
      </c>
      <c r="AW9" t="e">
        <f>AND('POTENCIAL HORAS'!#REF!,"AAAAAHj++jA=")</f>
        <v>#REF!</v>
      </c>
      <c r="AX9" t="e">
        <f>AND('POTENCIAL HORAS'!#REF!,"AAAAAHj++jE=")</f>
        <v>#REF!</v>
      </c>
      <c r="AY9" t="e">
        <f>AND('POTENCIAL HORAS'!#REF!,"AAAAAHj++jI=")</f>
        <v>#REF!</v>
      </c>
      <c r="AZ9" t="e">
        <f>AND('POTENCIAL HORAS'!#REF!,"AAAAAHj++jM=")</f>
        <v>#REF!</v>
      </c>
      <c r="BA9" t="e">
        <f>AND('POTENCIAL HORAS'!#REF!,"AAAAAHj++jQ=")</f>
        <v>#REF!</v>
      </c>
      <c r="BB9" t="e">
        <f>AND('POTENCIAL HORAS'!#REF!,"AAAAAHj++jU=")</f>
        <v>#REF!</v>
      </c>
      <c r="BC9" t="e">
        <f>AND('POTENCIAL HORAS'!#REF!,"AAAAAHj++jY=")</f>
        <v>#REF!</v>
      </c>
      <c r="BD9" t="e">
        <f>AND('POTENCIAL HORAS'!#REF!,"AAAAAHj++jc=")</f>
        <v>#REF!</v>
      </c>
      <c r="BE9" t="e">
        <f>AND('POTENCIAL HORAS'!Q64,"AAAAAHj++jg=")</f>
        <v>#VALUE!</v>
      </c>
      <c r="BF9" t="e">
        <f>AND('POTENCIAL HORAS'!R64,"AAAAAHj++jk=")</f>
        <v>#VALUE!</v>
      </c>
      <c r="BG9">
        <f>IF('POTENCIAL HORAS'!65:65,"AAAAAHj++jo=",0)</f>
        <v>0</v>
      </c>
      <c r="BH9" t="e">
        <f>AND('POTENCIAL HORAS'!A65,"AAAAAHj++js=")</f>
        <v>#VALUE!</v>
      </c>
      <c r="BI9" t="e">
        <f>AND('POTENCIAL HORAS'!B65,"AAAAAHj++jw=")</f>
        <v>#VALUE!</v>
      </c>
      <c r="BJ9" t="e">
        <f>AND('POTENCIAL HORAS'!C65,"AAAAAHj++j0=")</f>
        <v>#VALUE!</v>
      </c>
      <c r="BK9" t="e">
        <f>AND('POTENCIAL HORAS'!D65,"AAAAAHj++j4=")</f>
        <v>#VALUE!</v>
      </c>
      <c r="BL9" t="e">
        <f>AND('POTENCIAL HORAS'!E65,"AAAAAHj++j8=")</f>
        <v>#VALUE!</v>
      </c>
      <c r="BM9" t="e">
        <f>AND('POTENCIAL HORAS'!F65,"AAAAAHj++kA=")</f>
        <v>#VALUE!</v>
      </c>
      <c r="BN9" t="e">
        <f>AND('POTENCIAL HORAS'!G65,"AAAAAHj++kE=")</f>
        <v>#VALUE!</v>
      </c>
      <c r="BO9" t="e">
        <f>AND('POTENCIAL HORAS'!H65,"AAAAAHj++kI=")</f>
        <v>#VALUE!</v>
      </c>
      <c r="BP9" t="e">
        <f>AND('POTENCIAL HORAS'!I65,"AAAAAHj++kM=")</f>
        <v>#VALUE!</v>
      </c>
      <c r="BQ9" t="e">
        <f>AND('POTENCIAL HORAS'!J65,"AAAAAHj++kQ=")</f>
        <v>#VALUE!</v>
      </c>
      <c r="BR9" t="e">
        <f>AND('POTENCIAL HORAS'!K65,"AAAAAHj++kU=")</f>
        <v>#VALUE!</v>
      </c>
      <c r="BS9" t="e">
        <f>AND('POTENCIAL HORAS'!L65,"AAAAAHj++kY=")</f>
        <v>#VALUE!</v>
      </c>
      <c r="BT9" t="e">
        <f>AND('POTENCIAL HORAS'!M65,"AAAAAHj++kc=")</f>
        <v>#VALUE!</v>
      </c>
      <c r="BU9" t="e">
        <f>AND('POTENCIAL HORAS'!N65,"AAAAAHj++kg=")</f>
        <v>#VALUE!</v>
      </c>
      <c r="BV9" t="e">
        <f>AND('POTENCIAL HORAS'!O65,"AAAAAHj++kk=")</f>
        <v>#VALUE!</v>
      </c>
      <c r="BW9" t="e">
        <f>AND('POTENCIAL HORAS'!P65,"AAAAAHj++ko=")</f>
        <v>#VALUE!</v>
      </c>
      <c r="BX9" t="e">
        <f>AND('POTENCIAL HORAS'!#REF!,"AAAAAHj++ks=")</f>
        <v>#REF!</v>
      </c>
      <c r="BY9" t="e">
        <f>AND('POTENCIAL HORAS'!#REF!,"AAAAAHj++kw=")</f>
        <v>#REF!</v>
      </c>
      <c r="BZ9" t="e">
        <f>AND('POTENCIAL HORAS'!#REF!,"AAAAAHj++k0=")</f>
        <v>#REF!</v>
      </c>
      <c r="CA9" t="e">
        <f>AND('POTENCIAL HORAS'!#REF!,"AAAAAHj++k4=")</f>
        <v>#REF!</v>
      </c>
      <c r="CB9" t="e">
        <f>AND('POTENCIAL HORAS'!#REF!,"AAAAAHj++k8=")</f>
        <v>#REF!</v>
      </c>
      <c r="CC9" t="e">
        <f>AND('POTENCIAL HORAS'!#REF!,"AAAAAHj++lA=")</f>
        <v>#REF!</v>
      </c>
      <c r="CD9" t="e">
        <f>AND('POTENCIAL HORAS'!#REF!,"AAAAAHj++lE=")</f>
        <v>#REF!</v>
      </c>
      <c r="CE9" t="e">
        <f>AND('POTENCIAL HORAS'!#REF!,"AAAAAHj++lI=")</f>
        <v>#REF!</v>
      </c>
      <c r="CF9" t="e">
        <f>AND('POTENCIAL HORAS'!#REF!,"AAAAAHj++lM=")</f>
        <v>#REF!</v>
      </c>
      <c r="CG9" t="e">
        <f>AND('POTENCIAL HORAS'!#REF!,"AAAAAHj++lQ=")</f>
        <v>#REF!</v>
      </c>
      <c r="CH9" t="e">
        <f>AND('POTENCIAL HORAS'!#REF!,"AAAAAHj++lU=")</f>
        <v>#REF!</v>
      </c>
      <c r="CI9" t="e">
        <f>AND('POTENCIAL HORAS'!#REF!,"AAAAAHj++lY=")</f>
        <v>#REF!</v>
      </c>
      <c r="CJ9" t="e">
        <f>AND('POTENCIAL HORAS'!#REF!,"AAAAAHj++lc=")</f>
        <v>#REF!</v>
      </c>
      <c r="CK9" t="e">
        <f>AND('POTENCIAL HORAS'!#REF!,"AAAAAHj++lg=")</f>
        <v>#REF!</v>
      </c>
      <c r="CL9" t="e">
        <f>AND('POTENCIAL HORAS'!#REF!,"AAAAAHj++lk=")</f>
        <v>#REF!</v>
      </c>
      <c r="CM9" t="e">
        <f>AND('POTENCIAL HORAS'!#REF!,"AAAAAHj++lo=")</f>
        <v>#REF!</v>
      </c>
      <c r="CN9" t="e">
        <f>AND('POTENCIAL HORAS'!#REF!,"AAAAAHj++ls=")</f>
        <v>#REF!</v>
      </c>
      <c r="CO9" t="e">
        <f>AND('POTENCIAL HORAS'!#REF!,"AAAAAHj++lw=")</f>
        <v>#REF!</v>
      </c>
      <c r="CP9" t="e">
        <f>AND('POTENCIAL HORAS'!#REF!,"AAAAAHj++l0=")</f>
        <v>#REF!</v>
      </c>
      <c r="CQ9" t="e">
        <f>AND('POTENCIAL HORAS'!#REF!,"AAAAAHj++l4=")</f>
        <v>#REF!</v>
      </c>
      <c r="CR9" t="e">
        <f>AND('POTENCIAL HORAS'!Q65,"AAAAAHj++l8=")</f>
        <v>#VALUE!</v>
      </c>
      <c r="CS9" t="e">
        <f>AND('POTENCIAL HORAS'!R65,"AAAAAHj++mA=")</f>
        <v>#VALUE!</v>
      </c>
      <c r="CT9">
        <f>IF('POTENCIAL HORAS'!66:66,"AAAAAHj++mE=",0)</f>
        <v>0</v>
      </c>
      <c r="CU9" t="e">
        <f>AND('POTENCIAL HORAS'!A66,"AAAAAHj++mI=")</f>
        <v>#VALUE!</v>
      </c>
      <c r="CV9" t="e">
        <f>AND('POTENCIAL HORAS'!B66,"AAAAAHj++mM=")</f>
        <v>#VALUE!</v>
      </c>
      <c r="CW9" t="e">
        <f>AND('POTENCIAL HORAS'!C66,"AAAAAHj++mQ=")</f>
        <v>#VALUE!</v>
      </c>
      <c r="CX9" t="e">
        <f>AND('POTENCIAL HORAS'!D66,"AAAAAHj++mU=")</f>
        <v>#VALUE!</v>
      </c>
      <c r="CY9" t="e">
        <f>AND('POTENCIAL HORAS'!E66,"AAAAAHj++mY=")</f>
        <v>#VALUE!</v>
      </c>
      <c r="CZ9" t="e">
        <f>AND('POTENCIAL HORAS'!F66,"AAAAAHj++mc=")</f>
        <v>#VALUE!</v>
      </c>
      <c r="DA9" t="e">
        <f>AND('POTENCIAL HORAS'!G66,"AAAAAHj++mg=")</f>
        <v>#VALUE!</v>
      </c>
      <c r="DB9" t="e">
        <f>AND('POTENCIAL HORAS'!H66,"AAAAAHj++mk=")</f>
        <v>#VALUE!</v>
      </c>
      <c r="DC9" t="e">
        <f>AND('POTENCIAL HORAS'!I66,"AAAAAHj++mo=")</f>
        <v>#VALUE!</v>
      </c>
      <c r="DD9" t="e">
        <f>AND('POTENCIAL HORAS'!J66,"AAAAAHj++ms=")</f>
        <v>#VALUE!</v>
      </c>
      <c r="DE9" t="e">
        <f>AND('POTENCIAL HORAS'!K66,"AAAAAHj++mw=")</f>
        <v>#VALUE!</v>
      </c>
      <c r="DF9" t="e">
        <f>AND('POTENCIAL HORAS'!L66,"AAAAAHj++m0=")</f>
        <v>#VALUE!</v>
      </c>
      <c r="DG9" t="e">
        <f>AND('POTENCIAL HORAS'!M66,"AAAAAHj++m4=")</f>
        <v>#VALUE!</v>
      </c>
      <c r="DH9" t="e">
        <f>AND('POTENCIAL HORAS'!N66,"AAAAAHj++m8=")</f>
        <v>#VALUE!</v>
      </c>
      <c r="DI9" t="e">
        <f>AND('POTENCIAL HORAS'!O66,"AAAAAHj++nA=")</f>
        <v>#VALUE!</v>
      </c>
      <c r="DJ9" t="e">
        <f>AND('POTENCIAL HORAS'!P66,"AAAAAHj++nE=")</f>
        <v>#VALUE!</v>
      </c>
      <c r="DK9" t="e">
        <f>AND('POTENCIAL HORAS'!#REF!,"AAAAAHj++nI=")</f>
        <v>#REF!</v>
      </c>
      <c r="DL9" t="e">
        <f>AND('POTENCIAL HORAS'!#REF!,"AAAAAHj++nM=")</f>
        <v>#REF!</v>
      </c>
      <c r="DM9" t="e">
        <f>AND('POTENCIAL HORAS'!#REF!,"AAAAAHj++nQ=")</f>
        <v>#REF!</v>
      </c>
      <c r="DN9" t="e">
        <f>AND('POTENCIAL HORAS'!#REF!,"AAAAAHj++nU=")</f>
        <v>#REF!</v>
      </c>
      <c r="DO9" t="e">
        <f>AND('POTENCIAL HORAS'!#REF!,"AAAAAHj++nY=")</f>
        <v>#REF!</v>
      </c>
      <c r="DP9" t="e">
        <f>AND('POTENCIAL HORAS'!#REF!,"AAAAAHj++nc=")</f>
        <v>#REF!</v>
      </c>
      <c r="DQ9" t="e">
        <f>AND('POTENCIAL HORAS'!#REF!,"AAAAAHj++ng=")</f>
        <v>#REF!</v>
      </c>
      <c r="DR9" t="e">
        <f>AND('POTENCIAL HORAS'!#REF!,"AAAAAHj++nk=")</f>
        <v>#REF!</v>
      </c>
      <c r="DS9" t="e">
        <f>AND('POTENCIAL HORAS'!#REF!,"AAAAAHj++no=")</f>
        <v>#REF!</v>
      </c>
      <c r="DT9" t="e">
        <f>AND('POTENCIAL HORAS'!#REF!,"AAAAAHj++ns=")</f>
        <v>#REF!</v>
      </c>
      <c r="DU9" t="e">
        <f>AND('POTENCIAL HORAS'!#REF!,"AAAAAHj++nw=")</f>
        <v>#REF!</v>
      </c>
      <c r="DV9" t="e">
        <f>AND('POTENCIAL HORAS'!#REF!,"AAAAAHj++n0=")</f>
        <v>#REF!</v>
      </c>
      <c r="DW9" t="e">
        <f>AND('POTENCIAL HORAS'!#REF!,"AAAAAHj++n4=")</f>
        <v>#REF!</v>
      </c>
      <c r="DX9" t="e">
        <f>AND('POTENCIAL HORAS'!#REF!,"AAAAAHj++n8=")</f>
        <v>#REF!</v>
      </c>
      <c r="DY9" t="e">
        <f>AND('POTENCIAL HORAS'!#REF!,"AAAAAHj++oA=")</f>
        <v>#REF!</v>
      </c>
      <c r="DZ9" t="e">
        <f>AND('POTENCIAL HORAS'!#REF!,"AAAAAHj++oE=")</f>
        <v>#REF!</v>
      </c>
      <c r="EA9" t="e">
        <f>AND('POTENCIAL HORAS'!#REF!,"AAAAAHj++oI=")</f>
        <v>#REF!</v>
      </c>
      <c r="EB9" t="e">
        <f>AND('POTENCIAL HORAS'!#REF!,"AAAAAHj++oM=")</f>
        <v>#REF!</v>
      </c>
      <c r="EC9" t="e">
        <f>AND('POTENCIAL HORAS'!#REF!,"AAAAAHj++oQ=")</f>
        <v>#REF!</v>
      </c>
      <c r="ED9" t="e">
        <f>AND('POTENCIAL HORAS'!#REF!,"AAAAAHj++oU=")</f>
        <v>#REF!</v>
      </c>
      <c r="EE9" t="e">
        <f>AND('POTENCIAL HORAS'!Q66,"AAAAAHj++oY=")</f>
        <v>#VALUE!</v>
      </c>
      <c r="EF9" t="e">
        <f>AND('POTENCIAL HORAS'!R66,"AAAAAHj++oc=")</f>
        <v>#VALUE!</v>
      </c>
      <c r="EG9">
        <f>IF('POTENCIAL HORAS'!67:67,"AAAAAHj++og=",0)</f>
        <v>0</v>
      </c>
      <c r="EH9" t="e">
        <f>AND('POTENCIAL HORAS'!A67,"AAAAAHj++ok=")</f>
        <v>#VALUE!</v>
      </c>
      <c r="EI9" t="e">
        <f>AND('POTENCIAL HORAS'!B67,"AAAAAHj++oo=")</f>
        <v>#VALUE!</v>
      </c>
      <c r="EJ9" t="e">
        <f>AND('POTENCIAL HORAS'!C67,"AAAAAHj++os=")</f>
        <v>#VALUE!</v>
      </c>
      <c r="EK9" t="e">
        <f>AND('POTENCIAL HORAS'!D67,"AAAAAHj++ow=")</f>
        <v>#VALUE!</v>
      </c>
      <c r="EL9" t="e">
        <f>AND('POTENCIAL HORAS'!E67,"AAAAAHj++o0=")</f>
        <v>#VALUE!</v>
      </c>
      <c r="EM9" t="e">
        <f>AND('POTENCIAL HORAS'!F67,"AAAAAHj++o4=")</f>
        <v>#VALUE!</v>
      </c>
      <c r="EN9" t="e">
        <f>AND('POTENCIAL HORAS'!G67,"AAAAAHj++o8=")</f>
        <v>#VALUE!</v>
      </c>
      <c r="EO9" t="e">
        <f>AND('POTENCIAL HORAS'!H67,"AAAAAHj++pA=")</f>
        <v>#VALUE!</v>
      </c>
      <c r="EP9" t="e">
        <f>AND('POTENCIAL HORAS'!I67,"AAAAAHj++pE=")</f>
        <v>#VALUE!</v>
      </c>
      <c r="EQ9" t="e">
        <f>AND('POTENCIAL HORAS'!J67,"AAAAAHj++pI=")</f>
        <v>#VALUE!</v>
      </c>
      <c r="ER9" t="e">
        <f>AND('POTENCIAL HORAS'!K67,"AAAAAHj++pM=")</f>
        <v>#VALUE!</v>
      </c>
      <c r="ES9" t="e">
        <f>AND('POTENCIAL HORAS'!L67,"AAAAAHj++pQ=")</f>
        <v>#VALUE!</v>
      </c>
      <c r="ET9" t="e">
        <f>AND('POTENCIAL HORAS'!M67,"AAAAAHj++pU=")</f>
        <v>#VALUE!</v>
      </c>
      <c r="EU9" t="e">
        <f>AND('POTENCIAL HORAS'!N67,"AAAAAHj++pY=")</f>
        <v>#VALUE!</v>
      </c>
      <c r="EV9" t="e">
        <f>AND('POTENCIAL HORAS'!O67,"AAAAAHj++pc=")</f>
        <v>#VALUE!</v>
      </c>
      <c r="EW9" t="e">
        <f>AND('POTENCIAL HORAS'!P67,"AAAAAHj++pg=")</f>
        <v>#VALUE!</v>
      </c>
      <c r="EX9" t="e">
        <f>AND('POTENCIAL HORAS'!#REF!,"AAAAAHj++pk=")</f>
        <v>#REF!</v>
      </c>
      <c r="EY9" t="e">
        <f>AND('POTENCIAL HORAS'!#REF!,"AAAAAHj++po=")</f>
        <v>#REF!</v>
      </c>
      <c r="EZ9" t="e">
        <f>AND('POTENCIAL HORAS'!#REF!,"AAAAAHj++ps=")</f>
        <v>#REF!</v>
      </c>
      <c r="FA9" t="e">
        <f>AND('POTENCIAL HORAS'!#REF!,"AAAAAHj++pw=")</f>
        <v>#REF!</v>
      </c>
      <c r="FB9" t="e">
        <f>AND('POTENCIAL HORAS'!#REF!,"AAAAAHj++p0=")</f>
        <v>#REF!</v>
      </c>
      <c r="FC9" t="e">
        <f>AND('POTENCIAL HORAS'!#REF!,"AAAAAHj++p4=")</f>
        <v>#REF!</v>
      </c>
      <c r="FD9" t="e">
        <f>AND('POTENCIAL HORAS'!#REF!,"AAAAAHj++p8=")</f>
        <v>#REF!</v>
      </c>
      <c r="FE9" t="e">
        <f>AND('POTENCIAL HORAS'!#REF!,"AAAAAHj++qA=")</f>
        <v>#REF!</v>
      </c>
      <c r="FF9" t="e">
        <f>AND('POTENCIAL HORAS'!#REF!,"AAAAAHj++qE=")</f>
        <v>#REF!</v>
      </c>
      <c r="FG9" t="e">
        <f>AND('POTENCIAL HORAS'!#REF!,"AAAAAHj++qI=")</f>
        <v>#REF!</v>
      </c>
      <c r="FH9" t="e">
        <f>AND('POTENCIAL HORAS'!#REF!,"AAAAAHj++qM=")</f>
        <v>#REF!</v>
      </c>
      <c r="FI9" t="e">
        <f>AND('POTENCIAL HORAS'!#REF!,"AAAAAHj++qQ=")</f>
        <v>#REF!</v>
      </c>
      <c r="FJ9" t="e">
        <f>AND('POTENCIAL HORAS'!#REF!,"AAAAAHj++qU=")</f>
        <v>#REF!</v>
      </c>
      <c r="FK9" t="e">
        <f>AND('POTENCIAL HORAS'!#REF!,"AAAAAHj++qY=")</f>
        <v>#REF!</v>
      </c>
      <c r="FL9" t="e">
        <f>AND('POTENCIAL HORAS'!#REF!,"AAAAAHj++qc=")</f>
        <v>#REF!</v>
      </c>
      <c r="FM9" t="e">
        <f>AND('POTENCIAL HORAS'!#REF!,"AAAAAHj++qg=")</f>
        <v>#REF!</v>
      </c>
      <c r="FN9" t="e">
        <f>AND('POTENCIAL HORAS'!#REF!,"AAAAAHj++qk=")</f>
        <v>#REF!</v>
      </c>
      <c r="FO9" t="e">
        <f>AND('POTENCIAL HORAS'!#REF!,"AAAAAHj++qo=")</f>
        <v>#REF!</v>
      </c>
      <c r="FP9" t="e">
        <f>AND('POTENCIAL HORAS'!#REF!,"AAAAAHj++qs=")</f>
        <v>#REF!</v>
      </c>
      <c r="FQ9" t="e">
        <f>AND('POTENCIAL HORAS'!#REF!,"AAAAAHj++qw=")</f>
        <v>#REF!</v>
      </c>
      <c r="FR9" t="e">
        <f>AND('POTENCIAL HORAS'!Q67,"AAAAAHj++q0=")</f>
        <v>#VALUE!</v>
      </c>
      <c r="FS9" t="e">
        <f>AND('POTENCIAL HORAS'!R67,"AAAAAHj++q4=")</f>
        <v>#VALUE!</v>
      </c>
      <c r="FT9">
        <f>IF('POTENCIAL HORAS'!68:68,"AAAAAHj++q8=",0)</f>
        <v>0</v>
      </c>
      <c r="FU9" t="e">
        <f>AND('POTENCIAL HORAS'!A68,"AAAAAHj++rA=")</f>
        <v>#VALUE!</v>
      </c>
      <c r="FV9" t="e">
        <f>AND('POTENCIAL HORAS'!B68,"AAAAAHj++rE=")</f>
        <v>#VALUE!</v>
      </c>
      <c r="FW9" t="e">
        <f>AND('POTENCIAL HORAS'!C68,"AAAAAHj++rI=")</f>
        <v>#VALUE!</v>
      </c>
      <c r="FX9" t="e">
        <f>AND('POTENCIAL HORAS'!D68,"AAAAAHj++rM=")</f>
        <v>#VALUE!</v>
      </c>
      <c r="FY9" t="e">
        <f>AND('POTENCIAL HORAS'!E68,"AAAAAHj++rQ=")</f>
        <v>#VALUE!</v>
      </c>
      <c r="FZ9" t="e">
        <f>AND('POTENCIAL HORAS'!F68,"AAAAAHj++rU=")</f>
        <v>#VALUE!</v>
      </c>
      <c r="GA9" t="e">
        <f>AND('POTENCIAL HORAS'!G68,"AAAAAHj++rY=")</f>
        <v>#VALUE!</v>
      </c>
      <c r="GB9" t="e">
        <f>AND('POTENCIAL HORAS'!H68,"AAAAAHj++rc=")</f>
        <v>#VALUE!</v>
      </c>
      <c r="GC9" t="e">
        <f>AND('POTENCIAL HORAS'!I68,"AAAAAHj++rg=")</f>
        <v>#VALUE!</v>
      </c>
      <c r="GD9" t="e">
        <f>AND('POTENCIAL HORAS'!J68,"AAAAAHj++rk=")</f>
        <v>#VALUE!</v>
      </c>
      <c r="GE9" t="e">
        <f>AND('POTENCIAL HORAS'!K68,"AAAAAHj++ro=")</f>
        <v>#VALUE!</v>
      </c>
      <c r="GF9" t="e">
        <f>AND('POTENCIAL HORAS'!L68,"AAAAAHj++rs=")</f>
        <v>#VALUE!</v>
      </c>
      <c r="GG9" t="e">
        <f>AND('POTENCIAL HORAS'!M68,"AAAAAHj++rw=")</f>
        <v>#VALUE!</v>
      </c>
      <c r="GH9" t="e">
        <f>AND('POTENCIAL HORAS'!N68,"AAAAAHj++r0=")</f>
        <v>#VALUE!</v>
      </c>
      <c r="GI9" t="e">
        <f>AND('POTENCIAL HORAS'!O68,"AAAAAHj++r4=")</f>
        <v>#VALUE!</v>
      </c>
      <c r="GJ9" t="e">
        <f>AND('POTENCIAL HORAS'!P68,"AAAAAHj++r8=")</f>
        <v>#VALUE!</v>
      </c>
      <c r="GK9" t="e">
        <f>AND('POTENCIAL HORAS'!#REF!,"AAAAAHj++sA=")</f>
        <v>#REF!</v>
      </c>
      <c r="GL9" t="e">
        <f>AND('POTENCIAL HORAS'!#REF!,"AAAAAHj++sE=")</f>
        <v>#REF!</v>
      </c>
      <c r="GM9" t="e">
        <f>AND('POTENCIAL HORAS'!#REF!,"AAAAAHj++sI=")</f>
        <v>#REF!</v>
      </c>
      <c r="GN9" t="e">
        <f>AND('POTENCIAL HORAS'!#REF!,"AAAAAHj++sM=")</f>
        <v>#REF!</v>
      </c>
      <c r="GO9" t="e">
        <f>AND('POTENCIAL HORAS'!#REF!,"AAAAAHj++sQ=")</f>
        <v>#REF!</v>
      </c>
      <c r="GP9" t="e">
        <f>AND('POTENCIAL HORAS'!#REF!,"AAAAAHj++sU=")</f>
        <v>#REF!</v>
      </c>
      <c r="GQ9" t="e">
        <f>AND('POTENCIAL HORAS'!#REF!,"AAAAAHj++sY=")</f>
        <v>#REF!</v>
      </c>
      <c r="GR9" t="e">
        <f>AND('POTENCIAL HORAS'!#REF!,"AAAAAHj++sc=")</f>
        <v>#REF!</v>
      </c>
      <c r="GS9" t="e">
        <f>AND('POTENCIAL HORAS'!#REF!,"AAAAAHj++sg=")</f>
        <v>#REF!</v>
      </c>
      <c r="GT9" t="e">
        <f>AND('POTENCIAL HORAS'!#REF!,"AAAAAHj++sk=")</f>
        <v>#REF!</v>
      </c>
      <c r="GU9" t="e">
        <f>AND('POTENCIAL HORAS'!#REF!,"AAAAAHj++so=")</f>
        <v>#REF!</v>
      </c>
      <c r="GV9" t="e">
        <f>AND('POTENCIAL HORAS'!#REF!,"AAAAAHj++ss=")</f>
        <v>#REF!</v>
      </c>
      <c r="GW9" t="e">
        <f>AND('POTENCIAL HORAS'!#REF!,"AAAAAHj++sw=")</f>
        <v>#REF!</v>
      </c>
      <c r="GX9" t="e">
        <f>AND('POTENCIAL HORAS'!#REF!,"AAAAAHj++s0=")</f>
        <v>#REF!</v>
      </c>
      <c r="GY9" t="e">
        <f>AND('POTENCIAL HORAS'!#REF!,"AAAAAHj++s4=")</f>
        <v>#REF!</v>
      </c>
      <c r="GZ9" t="e">
        <f>AND('POTENCIAL HORAS'!#REF!,"AAAAAHj++s8=")</f>
        <v>#REF!</v>
      </c>
      <c r="HA9" t="e">
        <f>AND('POTENCIAL HORAS'!#REF!,"AAAAAHj++tA=")</f>
        <v>#REF!</v>
      </c>
      <c r="HB9" t="e">
        <f>AND('POTENCIAL HORAS'!#REF!,"AAAAAHj++tE=")</f>
        <v>#REF!</v>
      </c>
      <c r="HC9" t="e">
        <f>AND('POTENCIAL HORAS'!#REF!,"AAAAAHj++tI=")</f>
        <v>#REF!</v>
      </c>
      <c r="HD9" t="e">
        <f>AND('POTENCIAL HORAS'!#REF!,"AAAAAHj++tM=")</f>
        <v>#REF!</v>
      </c>
      <c r="HE9" t="e">
        <f>AND('POTENCIAL HORAS'!Q68,"AAAAAHj++tQ=")</f>
        <v>#VALUE!</v>
      </c>
      <c r="HF9" t="e">
        <f>AND('POTENCIAL HORAS'!R68,"AAAAAHj++tU=")</f>
        <v>#VALUE!</v>
      </c>
      <c r="HG9" t="e">
        <f>IF('POTENCIAL HORAS'!#REF!,"AAAAAHj++tY=",0)</f>
        <v>#REF!</v>
      </c>
      <c r="HH9" t="e">
        <f>AND('POTENCIAL HORAS'!#REF!,"AAAAAHj++tc=")</f>
        <v>#REF!</v>
      </c>
      <c r="HI9" t="e">
        <f>AND('POTENCIAL HORAS'!#REF!,"AAAAAHj++tg=")</f>
        <v>#REF!</v>
      </c>
      <c r="HJ9" t="e">
        <f>AND('POTENCIAL HORAS'!#REF!,"AAAAAHj++tk=")</f>
        <v>#REF!</v>
      </c>
      <c r="HK9" t="e">
        <f>AND('POTENCIAL HORAS'!#REF!,"AAAAAHj++to=")</f>
        <v>#REF!</v>
      </c>
      <c r="HL9" t="e">
        <f>AND('POTENCIAL HORAS'!#REF!,"AAAAAHj++ts=")</f>
        <v>#REF!</v>
      </c>
      <c r="HM9" t="e">
        <f>AND('POTENCIAL HORAS'!#REF!,"AAAAAHj++tw=")</f>
        <v>#REF!</v>
      </c>
      <c r="HN9" t="e">
        <f>AND('POTENCIAL HORAS'!#REF!,"AAAAAHj++t0=")</f>
        <v>#REF!</v>
      </c>
      <c r="HO9" t="e">
        <f>AND('POTENCIAL HORAS'!#REF!,"AAAAAHj++t4=")</f>
        <v>#REF!</v>
      </c>
      <c r="HP9" t="e">
        <f>AND('POTENCIAL HORAS'!#REF!,"AAAAAHj++t8=")</f>
        <v>#REF!</v>
      </c>
      <c r="HQ9" t="e">
        <f>AND('POTENCIAL HORAS'!#REF!,"AAAAAHj++uA=")</f>
        <v>#REF!</v>
      </c>
      <c r="HR9" t="e">
        <f>AND('POTENCIAL HORAS'!#REF!,"AAAAAHj++uE=")</f>
        <v>#REF!</v>
      </c>
      <c r="HS9" t="e">
        <f>AND('POTENCIAL HORAS'!#REF!,"AAAAAHj++uI=")</f>
        <v>#REF!</v>
      </c>
      <c r="HT9" t="e">
        <f>AND('POTENCIAL HORAS'!#REF!,"AAAAAHj++uM=")</f>
        <v>#REF!</v>
      </c>
      <c r="HU9" t="e">
        <f>AND('POTENCIAL HORAS'!#REF!,"AAAAAHj++uQ=")</f>
        <v>#REF!</v>
      </c>
      <c r="HV9" t="e">
        <f>AND('POTENCIAL HORAS'!#REF!,"AAAAAHj++uU=")</f>
        <v>#REF!</v>
      </c>
      <c r="HW9" t="e">
        <f>AND('POTENCIAL HORAS'!#REF!,"AAAAAHj++uY=")</f>
        <v>#REF!</v>
      </c>
      <c r="HX9" t="e">
        <f>AND('POTENCIAL HORAS'!#REF!,"AAAAAHj++uc=")</f>
        <v>#REF!</v>
      </c>
      <c r="HY9" t="e">
        <f>AND('POTENCIAL HORAS'!#REF!,"AAAAAHj++ug=")</f>
        <v>#REF!</v>
      </c>
      <c r="HZ9" t="e">
        <f>AND('POTENCIAL HORAS'!#REF!,"AAAAAHj++uk=")</f>
        <v>#REF!</v>
      </c>
      <c r="IA9" t="e">
        <f>AND('POTENCIAL HORAS'!#REF!,"AAAAAHj++uo=")</f>
        <v>#REF!</v>
      </c>
      <c r="IB9" t="e">
        <f>AND('POTENCIAL HORAS'!#REF!,"AAAAAHj++us=")</f>
        <v>#REF!</v>
      </c>
      <c r="IC9" t="e">
        <f>AND('POTENCIAL HORAS'!#REF!,"AAAAAHj++uw=")</f>
        <v>#REF!</v>
      </c>
      <c r="ID9" t="e">
        <f>AND('POTENCIAL HORAS'!#REF!,"AAAAAHj++u0=")</f>
        <v>#REF!</v>
      </c>
      <c r="IE9" t="e">
        <f>AND('POTENCIAL HORAS'!#REF!,"AAAAAHj++u4=")</f>
        <v>#REF!</v>
      </c>
      <c r="IF9" t="e">
        <f>AND('POTENCIAL HORAS'!#REF!,"AAAAAHj++u8=")</f>
        <v>#REF!</v>
      </c>
      <c r="IG9" t="e">
        <f>AND('POTENCIAL HORAS'!#REF!,"AAAAAHj++vA=")</f>
        <v>#REF!</v>
      </c>
      <c r="IH9" t="e">
        <f>AND('POTENCIAL HORAS'!#REF!,"AAAAAHj++vE=")</f>
        <v>#REF!</v>
      </c>
      <c r="II9" t="e">
        <f>AND('POTENCIAL HORAS'!#REF!,"AAAAAHj++vI=")</f>
        <v>#REF!</v>
      </c>
      <c r="IJ9" t="e">
        <f>AND('POTENCIAL HORAS'!#REF!,"AAAAAHj++vM=")</f>
        <v>#REF!</v>
      </c>
      <c r="IK9" t="e">
        <f>AND('POTENCIAL HORAS'!#REF!,"AAAAAHj++vQ=")</f>
        <v>#REF!</v>
      </c>
      <c r="IL9" t="e">
        <f>AND('POTENCIAL HORAS'!#REF!,"AAAAAHj++vU=")</f>
        <v>#REF!</v>
      </c>
      <c r="IM9" t="e">
        <f>AND('POTENCIAL HORAS'!#REF!,"AAAAAHj++vY=")</f>
        <v>#REF!</v>
      </c>
      <c r="IN9" t="e">
        <f>AND('POTENCIAL HORAS'!#REF!,"AAAAAHj++vc=")</f>
        <v>#REF!</v>
      </c>
      <c r="IO9" t="e">
        <f>AND('POTENCIAL HORAS'!#REF!,"AAAAAHj++vg=")</f>
        <v>#REF!</v>
      </c>
      <c r="IP9" t="e">
        <f>AND('POTENCIAL HORAS'!#REF!,"AAAAAHj++vk=")</f>
        <v>#REF!</v>
      </c>
      <c r="IQ9" t="e">
        <f>AND('POTENCIAL HORAS'!#REF!,"AAAAAHj++vo=")</f>
        <v>#REF!</v>
      </c>
      <c r="IR9" t="e">
        <f>AND('POTENCIAL HORAS'!#REF!,"AAAAAHj++vs=")</f>
        <v>#REF!</v>
      </c>
      <c r="IS9" t="e">
        <f>AND('POTENCIAL HORAS'!#REF!,"AAAAAHj++vw=")</f>
        <v>#REF!</v>
      </c>
      <c r="IT9">
        <f>IF('POTENCIAL HORAS'!69:69,"AAAAAHj++v0=",0)</f>
        <v>0</v>
      </c>
      <c r="IU9" t="e">
        <f>AND('POTENCIAL HORAS'!A69,"AAAAAHj++v4=")</f>
        <v>#VALUE!</v>
      </c>
      <c r="IV9" t="e">
        <f>AND('POTENCIAL HORAS'!B69,"AAAAAHj++v8=")</f>
        <v>#VALUE!</v>
      </c>
    </row>
    <row r="10" spans="1:256" x14ac:dyDescent="0.2">
      <c r="A10" t="e">
        <f>AND('POTENCIAL HORAS'!C69,"AAAAAHj+7wA=")</f>
        <v>#VALUE!</v>
      </c>
      <c r="B10" t="e">
        <f>AND('POTENCIAL HORAS'!D69,"AAAAAHj+7wE=")</f>
        <v>#VALUE!</v>
      </c>
      <c r="C10" t="e">
        <f>AND('POTENCIAL HORAS'!E69,"AAAAAHj+7wI=")</f>
        <v>#VALUE!</v>
      </c>
      <c r="D10" t="e">
        <f>AND('POTENCIAL HORAS'!F69,"AAAAAHj+7wM=")</f>
        <v>#VALUE!</v>
      </c>
      <c r="E10" t="e">
        <f>AND('POTENCIAL HORAS'!G69,"AAAAAHj+7wQ=")</f>
        <v>#VALUE!</v>
      </c>
      <c r="F10" t="e">
        <f>AND('POTENCIAL HORAS'!H69,"AAAAAHj+7wU=")</f>
        <v>#VALUE!</v>
      </c>
      <c r="G10" t="e">
        <f>AND('POTENCIAL HORAS'!I69,"AAAAAHj+7wY=")</f>
        <v>#VALUE!</v>
      </c>
      <c r="H10" t="e">
        <f>AND('POTENCIAL HORAS'!J69,"AAAAAHj+7wc=")</f>
        <v>#VALUE!</v>
      </c>
      <c r="I10" t="e">
        <f>AND('POTENCIAL HORAS'!K69,"AAAAAHj+7wg=")</f>
        <v>#VALUE!</v>
      </c>
      <c r="J10" t="e">
        <f>AND('POTENCIAL HORAS'!L69,"AAAAAHj+7wk=")</f>
        <v>#VALUE!</v>
      </c>
      <c r="K10" t="e">
        <f>AND('POTENCIAL HORAS'!M69,"AAAAAHj+7wo=")</f>
        <v>#VALUE!</v>
      </c>
      <c r="L10" t="e">
        <f>AND('POTENCIAL HORAS'!N69,"AAAAAHj+7ws=")</f>
        <v>#VALUE!</v>
      </c>
      <c r="M10" t="e">
        <f>AND('POTENCIAL HORAS'!O69,"AAAAAHj+7ww=")</f>
        <v>#VALUE!</v>
      </c>
      <c r="N10" t="e">
        <f>AND('POTENCIAL HORAS'!P69,"AAAAAHj+7w0=")</f>
        <v>#VALUE!</v>
      </c>
      <c r="O10" t="e">
        <f>AND('POTENCIAL HORAS'!#REF!,"AAAAAHj+7w4=")</f>
        <v>#REF!</v>
      </c>
      <c r="P10" t="e">
        <f>AND('POTENCIAL HORAS'!#REF!,"AAAAAHj+7w8=")</f>
        <v>#REF!</v>
      </c>
      <c r="Q10" t="e">
        <f>AND('POTENCIAL HORAS'!#REF!,"AAAAAHj+7xA=")</f>
        <v>#REF!</v>
      </c>
      <c r="R10" t="e">
        <f>AND('POTENCIAL HORAS'!#REF!,"AAAAAHj+7xE=")</f>
        <v>#REF!</v>
      </c>
      <c r="S10" t="e">
        <f>AND('POTENCIAL HORAS'!#REF!,"AAAAAHj+7xI=")</f>
        <v>#REF!</v>
      </c>
      <c r="T10" t="e">
        <f>AND('POTENCIAL HORAS'!#REF!,"AAAAAHj+7xM=")</f>
        <v>#REF!</v>
      </c>
      <c r="U10" t="e">
        <f>AND('POTENCIAL HORAS'!#REF!,"AAAAAHj+7xQ=")</f>
        <v>#REF!</v>
      </c>
      <c r="V10" t="e">
        <f>AND('POTENCIAL HORAS'!#REF!,"AAAAAHj+7xU=")</f>
        <v>#REF!</v>
      </c>
      <c r="W10" t="e">
        <f>AND('POTENCIAL HORAS'!#REF!,"AAAAAHj+7xY=")</f>
        <v>#REF!</v>
      </c>
      <c r="X10" t="e">
        <f>AND('POTENCIAL HORAS'!#REF!,"AAAAAHj+7xc=")</f>
        <v>#REF!</v>
      </c>
      <c r="Y10" t="e">
        <f>AND('POTENCIAL HORAS'!#REF!,"AAAAAHj+7xg=")</f>
        <v>#REF!</v>
      </c>
      <c r="Z10" t="e">
        <f>AND('POTENCIAL HORAS'!#REF!,"AAAAAHj+7xk=")</f>
        <v>#REF!</v>
      </c>
      <c r="AA10" t="e">
        <f>AND('POTENCIAL HORAS'!#REF!,"AAAAAHj+7xo=")</f>
        <v>#REF!</v>
      </c>
      <c r="AB10" t="e">
        <f>AND('POTENCIAL HORAS'!#REF!,"AAAAAHj+7xs=")</f>
        <v>#REF!</v>
      </c>
      <c r="AC10" t="e">
        <f>AND('POTENCIAL HORAS'!#REF!,"AAAAAHj+7xw=")</f>
        <v>#REF!</v>
      </c>
      <c r="AD10" t="e">
        <f>AND('POTENCIAL HORAS'!#REF!,"AAAAAHj+7x0=")</f>
        <v>#REF!</v>
      </c>
      <c r="AE10" t="e">
        <f>AND('POTENCIAL HORAS'!#REF!,"AAAAAHj+7x4=")</f>
        <v>#REF!</v>
      </c>
      <c r="AF10" t="e">
        <f>AND('POTENCIAL HORAS'!#REF!,"AAAAAHj+7x8=")</f>
        <v>#REF!</v>
      </c>
      <c r="AG10" t="e">
        <f>AND('POTENCIAL HORAS'!#REF!,"AAAAAHj+7yA=")</f>
        <v>#REF!</v>
      </c>
      <c r="AH10" t="e">
        <f>AND('POTENCIAL HORAS'!#REF!,"AAAAAHj+7yE=")</f>
        <v>#REF!</v>
      </c>
      <c r="AI10" t="e">
        <f>AND('POTENCIAL HORAS'!Q69,"AAAAAHj+7yI=")</f>
        <v>#VALUE!</v>
      </c>
      <c r="AJ10" t="e">
        <f>AND('POTENCIAL HORAS'!R69,"AAAAAHj+7yM=")</f>
        <v>#VALUE!</v>
      </c>
      <c r="AK10">
        <f>IF('POTENCIAL HORAS'!70:70,"AAAAAHj+7yQ=",0)</f>
        <v>0</v>
      </c>
      <c r="AL10" t="e">
        <f>AND('POTENCIAL HORAS'!A70,"AAAAAHj+7yU=")</f>
        <v>#VALUE!</v>
      </c>
      <c r="AM10" t="e">
        <f>AND('POTENCIAL HORAS'!B70,"AAAAAHj+7yY=")</f>
        <v>#VALUE!</v>
      </c>
      <c r="AN10" t="e">
        <f>AND('POTENCIAL HORAS'!C70,"AAAAAHj+7yc=")</f>
        <v>#VALUE!</v>
      </c>
      <c r="AO10" t="e">
        <f>AND('POTENCIAL HORAS'!D70,"AAAAAHj+7yg=")</f>
        <v>#VALUE!</v>
      </c>
      <c r="AP10" t="e">
        <f>AND('POTENCIAL HORAS'!E70,"AAAAAHj+7yk=")</f>
        <v>#VALUE!</v>
      </c>
      <c r="AQ10" t="e">
        <f>AND('POTENCIAL HORAS'!F70,"AAAAAHj+7yo=")</f>
        <v>#VALUE!</v>
      </c>
      <c r="AR10" t="e">
        <f>AND('POTENCIAL HORAS'!G70,"AAAAAHj+7ys=")</f>
        <v>#VALUE!</v>
      </c>
      <c r="AS10" t="e">
        <f>AND('POTENCIAL HORAS'!H70,"AAAAAHj+7yw=")</f>
        <v>#VALUE!</v>
      </c>
      <c r="AT10" t="e">
        <f>AND('POTENCIAL HORAS'!I70,"AAAAAHj+7y0=")</f>
        <v>#VALUE!</v>
      </c>
      <c r="AU10" t="e">
        <f>AND('POTENCIAL HORAS'!J70,"AAAAAHj+7y4=")</f>
        <v>#VALUE!</v>
      </c>
      <c r="AV10" t="e">
        <f>AND('POTENCIAL HORAS'!K70,"AAAAAHj+7y8=")</f>
        <v>#VALUE!</v>
      </c>
      <c r="AW10" t="e">
        <f>AND('POTENCIAL HORAS'!L70,"AAAAAHj+7zA=")</f>
        <v>#VALUE!</v>
      </c>
      <c r="AX10" t="e">
        <f>AND('POTENCIAL HORAS'!M70,"AAAAAHj+7zE=")</f>
        <v>#VALUE!</v>
      </c>
      <c r="AY10" t="e">
        <f>AND('POTENCIAL HORAS'!N70,"AAAAAHj+7zI=")</f>
        <v>#VALUE!</v>
      </c>
      <c r="AZ10" t="e">
        <f>AND('POTENCIAL HORAS'!O70,"AAAAAHj+7zM=")</f>
        <v>#VALUE!</v>
      </c>
      <c r="BA10" t="e">
        <f>AND('POTENCIAL HORAS'!P70,"AAAAAHj+7zQ=")</f>
        <v>#VALUE!</v>
      </c>
      <c r="BB10" t="e">
        <f>AND('POTENCIAL HORAS'!#REF!,"AAAAAHj+7zU=")</f>
        <v>#REF!</v>
      </c>
      <c r="BC10" t="e">
        <f>AND('POTENCIAL HORAS'!#REF!,"AAAAAHj+7zY=")</f>
        <v>#REF!</v>
      </c>
      <c r="BD10" t="e">
        <f>AND('POTENCIAL HORAS'!#REF!,"AAAAAHj+7zc=")</f>
        <v>#REF!</v>
      </c>
      <c r="BE10" t="e">
        <f>AND('POTENCIAL HORAS'!#REF!,"AAAAAHj+7zg=")</f>
        <v>#REF!</v>
      </c>
      <c r="BF10" t="e">
        <f>AND('POTENCIAL HORAS'!#REF!,"AAAAAHj+7zk=")</f>
        <v>#REF!</v>
      </c>
      <c r="BG10" t="e">
        <f>AND('POTENCIAL HORAS'!#REF!,"AAAAAHj+7zo=")</f>
        <v>#REF!</v>
      </c>
      <c r="BH10" t="e">
        <f>AND('POTENCIAL HORAS'!#REF!,"AAAAAHj+7zs=")</f>
        <v>#REF!</v>
      </c>
      <c r="BI10" t="e">
        <f>AND('POTENCIAL HORAS'!#REF!,"AAAAAHj+7zw=")</f>
        <v>#REF!</v>
      </c>
      <c r="BJ10" t="e">
        <f>AND('POTENCIAL HORAS'!#REF!,"AAAAAHj+7z0=")</f>
        <v>#REF!</v>
      </c>
      <c r="BK10" t="e">
        <f>AND('POTENCIAL HORAS'!#REF!,"AAAAAHj+7z4=")</f>
        <v>#REF!</v>
      </c>
      <c r="BL10" t="e">
        <f>AND('POTENCIAL HORAS'!#REF!,"AAAAAHj+7z8=")</f>
        <v>#REF!</v>
      </c>
      <c r="BM10" t="e">
        <f>AND('POTENCIAL HORAS'!#REF!,"AAAAAHj+70A=")</f>
        <v>#REF!</v>
      </c>
      <c r="BN10" t="e">
        <f>AND('POTENCIAL HORAS'!#REF!,"AAAAAHj+70E=")</f>
        <v>#REF!</v>
      </c>
      <c r="BO10" t="e">
        <f>AND('POTENCIAL HORAS'!#REF!,"AAAAAHj+70I=")</f>
        <v>#REF!</v>
      </c>
      <c r="BP10" t="e">
        <f>AND('POTENCIAL HORAS'!#REF!,"AAAAAHj+70M=")</f>
        <v>#REF!</v>
      </c>
      <c r="BQ10" t="e">
        <f>AND('POTENCIAL HORAS'!#REF!,"AAAAAHj+70Q=")</f>
        <v>#REF!</v>
      </c>
      <c r="BR10" t="e">
        <f>AND('POTENCIAL HORAS'!#REF!,"AAAAAHj+70U=")</f>
        <v>#REF!</v>
      </c>
      <c r="BS10" t="e">
        <f>AND('POTENCIAL HORAS'!#REF!,"AAAAAHj+70Y=")</f>
        <v>#REF!</v>
      </c>
      <c r="BT10" t="e">
        <f>AND('POTENCIAL HORAS'!#REF!,"AAAAAHj+70c=")</f>
        <v>#REF!</v>
      </c>
      <c r="BU10" t="e">
        <f>AND('POTENCIAL HORAS'!#REF!,"AAAAAHj+70g=")</f>
        <v>#REF!</v>
      </c>
      <c r="BV10" t="e">
        <f>AND('POTENCIAL HORAS'!Q70,"AAAAAHj+70k=")</f>
        <v>#VALUE!</v>
      </c>
      <c r="BW10" t="e">
        <f>AND('POTENCIAL HORAS'!R70,"AAAAAHj+70o=")</f>
        <v>#VALUE!</v>
      </c>
      <c r="BX10">
        <f>IF('POTENCIAL HORAS'!71:71,"AAAAAHj+70s=",0)</f>
        <v>0</v>
      </c>
      <c r="BY10" t="e">
        <f>AND('POTENCIAL HORAS'!A71,"AAAAAHj+70w=")</f>
        <v>#VALUE!</v>
      </c>
      <c r="BZ10" t="e">
        <f>AND('POTENCIAL HORAS'!B71,"AAAAAHj+700=")</f>
        <v>#VALUE!</v>
      </c>
      <c r="CA10" t="e">
        <f>AND('POTENCIAL HORAS'!C71,"AAAAAHj+704=")</f>
        <v>#VALUE!</v>
      </c>
      <c r="CB10" t="e">
        <f>AND('POTENCIAL HORAS'!D71,"AAAAAHj+708=")</f>
        <v>#VALUE!</v>
      </c>
      <c r="CC10" t="e">
        <f>AND('POTENCIAL HORAS'!E71,"AAAAAHj+71A=")</f>
        <v>#VALUE!</v>
      </c>
      <c r="CD10" t="e">
        <f>AND('POTENCIAL HORAS'!F71,"AAAAAHj+71E=")</f>
        <v>#VALUE!</v>
      </c>
      <c r="CE10" t="e">
        <f>AND('POTENCIAL HORAS'!G71,"AAAAAHj+71I=")</f>
        <v>#VALUE!</v>
      </c>
      <c r="CF10" t="e">
        <f>AND('POTENCIAL HORAS'!H71,"AAAAAHj+71M=")</f>
        <v>#VALUE!</v>
      </c>
      <c r="CG10" t="e">
        <f>AND('POTENCIAL HORAS'!I71,"AAAAAHj+71Q=")</f>
        <v>#VALUE!</v>
      </c>
      <c r="CH10" t="e">
        <f>AND('POTENCIAL HORAS'!J71,"AAAAAHj+71U=")</f>
        <v>#VALUE!</v>
      </c>
      <c r="CI10" t="e">
        <f>AND('POTENCIAL HORAS'!K71,"AAAAAHj+71Y=")</f>
        <v>#VALUE!</v>
      </c>
      <c r="CJ10" t="e">
        <f>AND('POTENCIAL HORAS'!L71,"AAAAAHj+71c=")</f>
        <v>#VALUE!</v>
      </c>
      <c r="CK10" t="e">
        <f>AND('POTENCIAL HORAS'!M71,"AAAAAHj+71g=")</f>
        <v>#VALUE!</v>
      </c>
      <c r="CL10" t="e">
        <f>AND('POTENCIAL HORAS'!N71,"AAAAAHj+71k=")</f>
        <v>#VALUE!</v>
      </c>
      <c r="CM10" t="e">
        <f>AND('POTENCIAL HORAS'!O71,"AAAAAHj+71o=")</f>
        <v>#VALUE!</v>
      </c>
      <c r="CN10" t="e">
        <f>AND('POTENCIAL HORAS'!P71,"AAAAAHj+71s=")</f>
        <v>#VALUE!</v>
      </c>
      <c r="CO10" t="e">
        <f>AND('POTENCIAL HORAS'!#REF!,"AAAAAHj+71w=")</f>
        <v>#REF!</v>
      </c>
      <c r="CP10" t="e">
        <f>AND('POTENCIAL HORAS'!#REF!,"AAAAAHj+710=")</f>
        <v>#REF!</v>
      </c>
      <c r="CQ10" t="e">
        <f>AND('POTENCIAL HORAS'!#REF!,"AAAAAHj+714=")</f>
        <v>#REF!</v>
      </c>
      <c r="CR10" t="e">
        <f>AND('POTENCIAL HORAS'!#REF!,"AAAAAHj+718=")</f>
        <v>#REF!</v>
      </c>
      <c r="CS10" t="e">
        <f>AND('POTENCIAL HORAS'!#REF!,"AAAAAHj+72A=")</f>
        <v>#REF!</v>
      </c>
      <c r="CT10" t="e">
        <f>AND('POTENCIAL HORAS'!#REF!,"AAAAAHj+72E=")</f>
        <v>#REF!</v>
      </c>
      <c r="CU10" t="e">
        <f>AND('POTENCIAL HORAS'!#REF!,"AAAAAHj+72I=")</f>
        <v>#REF!</v>
      </c>
      <c r="CV10" t="e">
        <f>AND('POTENCIAL HORAS'!#REF!,"AAAAAHj+72M=")</f>
        <v>#REF!</v>
      </c>
      <c r="CW10" t="e">
        <f>AND('POTENCIAL HORAS'!#REF!,"AAAAAHj+72Q=")</f>
        <v>#REF!</v>
      </c>
      <c r="CX10" t="e">
        <f>AND('POTENCIAL HORAS'!#REF!,"AAAAAHj+72U=")</f>
        <v>#REF!</v>
      </c>
      <c r="CY10" t="e">
        <f>AND('POTENCIAL HORAS'!#REF!,"AAAAAHj+72Y=")</f>
        <v>#REF!</v>
      </c>
      <c r="CZ10" t="e">
        <f>AND('POTENCIAL HORAS'!#REF!,"AAAAAHj+72c=")</f>
        <v>#REF!</v>
      </c>
      <c r="DA10" t="e">
        <f>AND('POTENCIAL HORAS'!#REF!,"AAAAAHj+72g=")</f>
        <v>#REF!</v>
      </c>
      <c r="DB10" t="e">
        <f>AND('POTENCIAL HORAS'!#REF!,"AAAAAHj+72k=")</f>
        <v>#REF!</v>
      </c>
      <c r="DC10" t="e">
        <f>AND('POTENCIAL HORAS'!#REF!,"AAAAAHj+72o=")</f>
        <v>#REF!</v>
      </c>
      <c r="DD10" t="e">
        <f>AND('POTENCIAL HORAS'!#REF!,"AAAAAHj+72s=")</f>
        <v>#REF!</v>
      </c>
      <c r="DE10" t="e">
        <f>AND('POTENCIAL HORAS'!#REF!,"AAAAAHj+72w=")</f>
        <v>#REF!</v>
      </c>
      <c r="DF10" t="e">
        <f>AND('POTENCIAL HORAS'!#REF!,"AAAAAHj+720=")</f>
        <v>#REF!</v>
      </c>
      <c r="DG10" t="e">
        <f>AND('POTENCIAL HORAS'!#REF!,"AAAAAHj+724=")</f>
        <v>#REF!</v>
      </c>
      <c r="DH10" t="e">
        <f>AND('POTENCIAL HORAS'!#REF!,"AAAAAHj+728=")</f>
        <v>#REF!</v>
      </c>
      <c r="DI10" t="e">
        <f>AND('POTENCIAL HORAS'!Q71,"AAAAAHj+73A=")</f>
        <v>#VALUE!</v>
      </c>
      <c r="DJ10" t="e">
        <f>AND('POTENCIAL HORAS'!R71,"AAAAAHj+73E=")</f>
        <v>#VALUE!</v>
      </c>
      <c r="DK10">
        <f>IF('POTENCIAL HORAS'!72:72,"AAAAAHj+73I=",0)</f>
        <v>0</v>
      </c>
      <c r="DL10" t="e">
        <f>AND('POTENCIAL HORAS'!A72,"AAAAAHj+73M=")</f>
        <v>#VALUE!</v>
      </c>
      <c r="DM10" t="e">
        <f>AND('POTENCIAL HORAS'!B72,"AAAAAHj+73Q=")</f>
        <v>#VALUE!</v>
      </c>
      <c r="DN10" t="e">
        <f>AND('POTENCIAL HORAS'!C72,"AAAAAHj+73U=")</f>
        <v>#VALUE!</v>
      </c>
      <c r="DO10" t="e">
        <f>AND('POTENCIAL HORAS'!D72,"AAAAAHj+73Y=")</f>
        <v>#VALUE!</v>
      </c>
      <c r="DP10" t="e">
        <f>AND('POTENCIAL HORAS'!E72,"AAAAAHj+73c=")</f>
        <v>#VALUE!</v>
      </c>
      <c r="DQ10" t="e">
        <f>AND('POTENCIAL HORAS'!F72,"AAAAAHj+73g=")</f>
        <v>#VALUE!</v>
      </c>
      <c r="DR10" t="e">
        <f>AND('POTENCIAL HORAS'!G72,"AAAAAHj+73k=")</f>
        <v>#VALUE!</v>
      </c>
      <c r="DS10" t="e">
        <f>AND('POTENCIAL HORAS'!H72,"AAAAAHj+73o=")</f>
        <v>#VALUE!</v>
      </c>
      <c r="DT10" t="e">
        <f>AND('POTENCIAL HORAS'!I72,"AAAAAHj+73s=")</f>
        <v>#VALUE!</v>
      </c>
      <c r="DU10" t="e">
        <f>AND('POTENCIAL HORAS'!J72,"AAAAAHj+73w=")</f>
        <v>#VALUE!</v>
      </c>
      <c r="DV10" t="e">
        <f>AND('POTENCIAL HORAS'!K72,"AAAAAHj+730=")</f>
        <v>#VALUE!</v>
      </c>
      <c r="DW10" t="e">
        <f>AND('POTENCIAL HORAS'!L72,"AAAAAHj+734=")</f>
        <v>#VALUE!</v>
      </c>
      <c r="DX10" t="e">
        <f>AND('POTENCIAL HORAS'!M72,"AAAAAHj+738=")</f>
        <v>#VALUE!</v>
      </c>
      <c r="DY10" t="e">
        <f>AND('POTENCIAL HORAS'!N72,"AAAAAHj+74A=")</f>
        <v>#VALUE!</v>
      </c>
      <c r="DZ10" t="e">
        <f>AND('POTENCIAL HORAS'!O72,"AAAAAHj+74E=")</f>
        <v>#VALUE!</v>
      </c>
      <c r="EA10" t="e">
        <f>AND('POTENCIAL HORAS'!P72,"AAAAAHj+74I=")</f>
        <v>#VALUE!</v>
      </c>
      <c r="EB10" t="e">
        <f>AND('POTENCIAL HORAS'!#REF!,"AAAAAHj+74M=")</f>
        <v>#REF!</v>
      </c>
      <c r="EC10" t="e">
        <f>AND('POTENCIAL HORAS'!#REF!,"AAAAAHj+74Q=")</f>
        <v>#REF!</v>
      </c>
      <c r="ED10" t="e">
        <f>AND('POTENCIAL HORAS'!#REF!,"AAAAAHj+74U=")</f>
        <v>#REF!</v>
      </c>
      <c r="EE10" t="e">
        <f>AND('POTENCIAL HORAS'!#REF!,"AAAAAHj+74Y=")</f>
        <v>#REF!</v>
      </c>
      <c r="EF10" t="e">
        <f>AND('POTENCIAL HORAS'!#REF!,"AAAAAHj+74c=")</f>
        <v>#REF!</v>
      </c>
      <c r="EG10" t="e">
        <f>AND('POTENCIAL HORAS'!#REF!,"AAAAAHj+74g=")</f>
        <v>#REF!</v>
      </c>
      <c r="EH10" t="e">
        <f>AND('POTENCIAL HORAS'!#REF!,"AAAAAHj+74k=")</f>
        <v>#REF!</v>
      </c>
      <c r="EI10" t="e">
        <f>AND('POTENCIAL HORAS'!#REF!,"AAAAAHj+74o=")</f>
        <v>#REF!</v>
      </c>
      <c r="EJ10" t="e">
        <f>AND('POTENCIAL HORAS'!#REF!,"AAAAAHj+74s=")</f>
        <v>#REF!</v>
      </c>
      <c r="EK10" t="e">
        <f>AND('POTENCIAL HORAS'!#REF!,"AAAAAHj+74w=")</f>
        <v>#REF!</v>
      </c>
      <c r="EL10" t="e">
        <f>AND('POTENCIAL HORAS'!#REF!,"AAAAAHj+740=")</f>
        <v>#REF!</v>
      </c>
      <c r="EM10" t="e">
        <f>AND('POTENCIAL HORAS'!#REF!,"AAAAAHj+744=")</f>
        <v>#REF!</v>
      </c>
      <c r="EN10" t="e">
        <f>AND('POTENCIAL HORAS'!#REF!,"AAAAAHj+748=")</f>
        <v>#REF!</v>
      </c>
      <c r="EO10" t="e">
        <f>AND('POTENCIAL HORAS'!#REF!,"AAAAAHj+75A=")</f>
        <v>#REF!</v>
      </c>
      <c r="EP10" t="e">
        <f>AND('POTENCIAL HORAS'!#REF!,"AAAAAHj+75E=")</f>
        <v>#REF!</v>
      </c>
      <c r="EQ10" t="e">
        <f>AND('POTENCIAL HORAS'!#REF!,"AAAAAHj+75I=")</f>
        <v>#REF!</v>
      </c>
      <c r="ER10" t="e">
        <f>AND('POTENCIAL HORAS'!#REF!,"AAAAAHj+75M=")</f>
        <v>#REF!</v>
      </c>
      <c r="ES10" t="e">
        <f>AND('POTENCIAL HORAS'!#REF!,"AAAAAHj+75Q=")</f>
        <v>#REF!</v>
      </c>
      <c r="ET10" t="e">
        <f>AND('POTENCIAL HORAS'!#REF!,"AAAAAHj+75U=")</f>
        <v>#REF!</v>
      </c>
      <c r="EU10" t="e">
        <f>AND('POTENCIAL HORAS'!#REF!,"AAAAAHj+75Y=")</f>
        <v>#REF!</v>
      </c>
      <c r="EV10" t="e">
        <f>AND('POTENCIAL HORAS'!Q72,"AAAAAHj+75c=")</f>
        <v>#VALUE!</v>
      </c>
      <c r="EW10" t="e">
        <f>AND('POTENCIAL HORAS'!R72,"AAAAAHj+75g=")</f>
        <v>#VALUE!</v>
      </c>
      <c r="EX10">
        <f>IF('POTENCIAL HORAS'!73:73,"AAAAAHj+75k=",0)</f>
        <v>0</v>
      </c>
      <c r="EY10" t="e">
        <f>AND('POTENCIAL HORAS'!A73,"AAAAAHj+75o=")</f>
        <v>#VALUE!</v>
      </c>
      <c r="EZ10" t="e">
        <f>AND('POTENCIAL HORAS'!B73,"AAAAAHj+75s=")</f>
        <v>#VALUE!</v>
      </c>
      <c r="FA10" t="e">
        <f>AND('POTENCIAL HORAS'!C73,"AAAAAHj+75w=")</f>
        <v>#VALUE!</v>
      </c>
      <c r="FB10" t="e">
        <f>AND('POTENCIAL HORAS'!D73,"AAAAAHj+750=")</f>
        <v>#VALUE!</v>
      </c>
      <c r="FC10" t="e">
        <f>AND('POTENCIAL HORAS'!E73,"AAAAAHj+754=")</f>
        <v>#VALUE!</v>
      </c>
      <c r="FD10" t="e">
        <f>AND('POTENCIAL HORAS'!F73,"AAAAAHj+758=")</f>
        <v>#VALUE!</v>
      </c>
      <c r="FE10" t="e">
        <f>AND('POTENCIAL HORAS'!G73,"AAAAAHj+76A=")</f>
        <v>#VALUE!</v>
      </c>
      <c r="FF10" t="e">
        <f>AND('POTENCIAL HORAS'!H73,"AAAAAHj+76E=")</f>
        <v>#VALUE!</v>
      </c>
      <c r="FG10" t="e">
        <f>AND('POTENCIAL HORAS'!I73,"AAAAAHj+76I=")</f>
        <v>#VALUE!</v>
      </c>
      <c r="FH10" t="e">
        <f>AND('POTENCIAL HORAS'!J73,"AAAAAHj+76M=")</f>
        <v>#VALUE!</v>
      </c>
      <c r="FI10" t="e">
        <f>AND('POTENCIAL HORAS'!K73,"AAAAAHj+76Q=")</f>
        <v>#VALUE!</v>
      </c>
      <c r="FJ10" t="e">
        <f>AND('POTENCIAL HORAS'!L73,"AAAAAHj+76U=")</f>
        <v>#VALUE!</v>
      </c>
      <c r="FK10" t="e">
        <f>AND('POTENCIAL HORAS'!M73,"AAAAAHj+76Y=")</f>
        <v>#VALUE!</v>
      </c>
      <c r="FL10" t="e">
        <f>AND('POTENCIAL HORAS'!N73,"AAAAAHj+76c=")</f>
        <v>#VALUE!</v>
      </c>
      <c r="FM10" t="e">
        <f>AND('POTENCIAL HORAS'!O73,"AAAAAHj+76g=")</f>
        <v>#VALUE!</v>
      </c>
      <c r="FN10" t="e">
        <f>AND('POTENCIAL HORAS'!P73,"AAAAAHj+76k=")</f>
        <v>#VALUE!</v>
      </c>
      <c r="FO10" t="e">
        <f>AND('POTENCIAL HORAS'!#REF!,"AAAAAHj+76o=")</f>
        <v>#REF!</v>
      </c>
      <c r="FP10" t="e">
        <f>AND('POTENCIAL HORAS'!#REF!,"AAAAAHj+76s=")</f>
        <v>#REF!</v>
      </c>
      <c r="FQ10" t="e">
        <f>AND('POTENCIAL HORAS'!#REF!,"AAAAAHj+76w=")</f>
        <v>#REF!</v>
      </c>
      <c r="FR10" t="e">
        <f>AND('POTENCIAL HORAS'!#REF!,"AAAAAHj+760=")</f>
        <v>#REF!</v>
      </c>
      <c r="FS10" t="e">
        <f>AND('POTENCIAL HORAS'!#REF!,"AAAAAHj+764=")</f>
        <v>#REF!</v>
      </c>
      <c r="FT10" t="e">
        <f>AND('POTENCIAL HORAS'!#REF!,"AAAAAHj+768=")</f>
        <v>#REF!</v>
      </c>
      <c r="FU10" t="e">
        <f>AND('POTENCIAL HORAS'!#REF!,"AAAAAHj+77A=")</f>
        <v>#REF!</v>
      </c>
      <c r="FV10" t="e">
        <f>AND('POTENCIAL HORAS'!#REF!,"AAAAAHj+77E=")</f>
        <v>#REF!</v>
      </c>
      <c r="FW10" t="e">
        <f>AND('POTENCIAL HORAS'!#REF!,"AAAAAHj+77I=")</f>
        <v>#REF!</v>
      </c>
      <c r="FX10" t="e">
        <f>AND('POTENCIAL HORAS'!#REF!,"AAAAAHj+77M=")</f>
        <v>#REF!</v>
      </c>
      <c r="FY10" t="e">
        <f>AND('POTENCIAL HORAS'!#REF!,"AAAAAHj+77Q=")</f>
        <v>#REF!</v>
      </c>
      <c r="FZ10" t="e">
        <f>AND('POTENCIAL HORAS'!#REF!,"AAAAAHj+77U=")</f>
        <v>#REF!</v>
      </c>
      <c r="GA10" t="e">
        <f>AND('POTENCIAL HORAS'!#REF!,"AAAAAHj+77Y=")</f>
        <v>#REF!</v>
      </c>
      <c r="GB10" t="e">
        <f>AND('POTENCIAL HORAS'!#REF!,"AAAAAHj+77c=")</f>
        <v>#REF!</v>
      </c>
      <c r="GC10" t="e">
        <f>AND('POTENCIAL HORAS'!#REF!,"AAAAAHj+77g=")</f>
        <v>#REF!</v>
      </c>
      <c r="GD10" t="e">
        <f>AND('POTENCIAL HORAS'!#REF!,"AAAAAHj+77k=")</f>
        <v>#REF!</v>
      </c>
      <c r="GE10" t="e">
        <f>AND('POTENCIAL HORAS'!#REF!,"AAAAAHj+77o=")</f>
        <v>#REF!</v>
      </c>
      <c r="GF10" t="e">
        <f>AND('POTENCIAL HORAS'!#REF!,"AAAAAHj+77s=")</f>
        <v>#REF!</v>
      </c>
      <c r="GG10" t="e">
        <f>AND('POTENCIAL HORAS'!#REF!,"AAAAAHj+77w=")</f>
        <v>#REF!</v>
      </c>
      <c r="GH10" t="e">
        <f>AND('POTENCIAL HORAS'!#REF!,"AAAAAHj+770=")</f>
        <v>#REF!</v>
      </c>
      <c r="GI10" t="e">
        <f>AND('POTENCIAL HORAS'!Q73,"AAAAAHj+774=")</f>
        <v>#VALUE!</v>
      </c>
      <c r="GJ10" t="e">
        <f>AND('POTENCIAL HORAS'!R73,"AAAAAHj+778=")</f>
        <v>#VALUE!</v>
      </c>
      <c r="GK10">
        <f>IF('POTENCIAL HORAS'!76:76,"AAAAAHj+78A=",0)</f>
        <v>0</v>
      </c>
      <c r="GL10" t="e">
        <f>AND('POTENCIAL HORAS'!A76,"AAAAAHj+78E=")</f>
        <v>#VALUE!</v>
      </c>
      <c r="GM10" t="e">
        <f>AND('POTENCIAL HORAS'!B76,"AAAAAHj+78I=")</f>
        <v>#VALUE!</v>
      </c>
      <c r="GN10" t="e">
        <f>AND('POTENCIAL HORAS'!C76,"AAAAAHj+78M=")</f>
        <v>#VALUE!</v>
      </c>
      <c r="GO10" t="e">
        <f>AND('POTENCIAL HORAS'!D76,"AAAAAHj+78Q=")</f>
        <v>#VALUE!</v>
      </c>
      <c r="GP10" t="e">
        <f>AND('POTENCIAL HORAS'!E76,"AAAAAHj+78U=")</f>
        <v>#VALUE!</v>
      </c>
      <c r="GQ10" t="e">
        <f>AND('POTENCIAL HORAS'!F76,"AAAAAHj+78Y=")</f>
        <v>#VALUE!</v>
      </c>
      <c r="GR10" t="e">
        <f>AND('POTENCIAL HORAS'!G76,"AAAAAHj+78c=")</f>
        <v>#VALUE!</v>
      </c>
      <c r="GS10" t="e">
        <f>AND('POTENCIAL HORAS'!H76,"AAAAAHj+78g=")</f>
        <v>#VALUE!</v>
      </c>
      <c r="GT10" t="e">
        <f>AND('POTENCIAL HORAS'!I76,"AAAAAHj+78k=")</f>
        <v>#VALUE!</v>
      </c>
      <c r="GU10" t="e">
        <f>AND('POTENCIAL HORAS'!J76,"AAAAAHj+78o=")</f>
        <v>#VALUE!</v>
      </c>
      <c r="GV10" t="e">
        <f>AND('POTENCIAL HORAS'!K76,"AAAAAHj+78s=")</f>
        <v>#VALUE!</v>
      </c>
      <c r="GW10" t="e">
        <f>AND('POTENCIAL HORAS'!L76,"AAAAAHj+78w=")</f>
        <v>#VALUE!</v>
      </c>
      <c r="GX10" t="e">
        <f>AND('POTENCIAL HORAS'!M76,"AAAAAHj+780=")</f>
        <v>#VALUE!</v>
      </c>
      <c r="GY10" t="e">
        <f>AND('POTENCIAL HORAS'!N76,"AAAAAHj+784=")</f>
        <v>#VALUE!</v>
      </c>
      <c r="GZ10" t="e">
        <f>AND('POTENCIAL HORAS'!O76,"AAAAAHj+788=")</f>
        <v>#VALUE!</v>
      </c>
      <c r="HA10" t="e">
        <f>AND('POTENCIAL HORAS'!P76,"AAAAAHj+79A=")</f>
        <v>#VALUE!</v>
      </c>
      <c r="HB10" t="e">
        <f>AND('POTENCIAL HORAS'!#REF!,"AAAAAHj+79E=")</f>
        <v>#REF!</v>
      </c>
      <c r="HC10" t="e">
        <f>AND('POTENCIAL HORAS'!#REF!,"AAAAAHj+79I=")</f>
        <v>#REF!</v>
      </c>
      <c r="HD10" t="e">
        <f>AND('POTENCIAL HORAS'!#REF!,"AAAAAHj+79M=")</f>
        <v>#REF!</v>
      </c>
      <c r="HE10" t="e">
        <f>AND('POTENCIAL HORAS'!#REF!,"AAAAAHj+79Q=")</f>
        <v>#REF!</v>
      </c>
      <c r="HF10" t="e">
        <f>AND('POTENCIAL HORAS'!#REF!,"AAAAAHj+79U=")</f>
        <v>#REF!</v>
      </c>
      <c r="HG10" t="e">
        <f>AND('POTENCIAL HORAS'!#REF!,"AAAAAHj+79Y=")</f>
        <v>#REF!</v>
      </c>
      <c r="HH10" t="e">
        <f>AND('POTENCIAL HORAS'!#REF!,"AAAAAHj+79c=")</f>
        <v>#REF!</v>
      </c>
      <c r="HI10" t="e">
        <f>AND('POTENCIAL HORAS'!#REF!,"AAAAAHj+79g=")</f>
        <v>#REF!</v>
      </c>
      <c r="HJ10" t="e">
        <f>AND('POTENCIAL HORAS'!#REF!,"AAAAAHj+79k=")</f>
        <v>#REF!</v>
      </c>
      <c r="HK10" t="e">
        <f>AND('POTENCIAL HORAS'!#REF!,"AAAAAHj+79o=")</f>
        <v>#REF!</v>
      </c>
      <c r="HL10" t="e">
        <f>AND('POTENCIAL HORAS'!#REF!,"AAAAAHj+79s=")</f>
        <v>#REF!</v>
      </c>
      <c r="HM10" t="e">
        <f>AND('POTENCIAL HORAS'!#REF!,"AAAAAHj+79w=")</f>
        <v>#REF!</v>
      </c>
      <c r="HN10" t="e">
        <f>AND('POTENCIAL HORAS'!#REF!,"AAAAAHj+790=")</f>
        <v>#REF!</v>
      </c>
      <c r="HO10" t="e">
        <f>AND('POTENCIAL HORAS'!#REF!,"AAAAAHj+794=")</f>
        <v>#REF!</v>
      </c>
      <c r="HP10" t="e">
        <f>AND('POTENCIAL HORAS'!#REF!,"AAAAAHj+798=")</f>
        <v>#REF!</v>
      </c>
      <c r="HQ10" t="e">
        <f>AND('POTENCIAL HORAS'!#REF!,"AAAAAHj+7+A=")</f>
        <v>#REF!</v>
      </c>
      <c r="HR10" t="e">
        <f>AND('POTENCIAL HORAS'!#REF!,"AAAAAHj+7+E=")</f>
        <v>#REF!</v>
      </c>
      <c r="HS10" t="e">
        <f>AND('POTENCIAL HORAS'!#REF!,"AAAAAHj+7+I=")</f>
        <v>#REF!</v>
      </c>
      <c r="HT10" t="e">
        <f>AND('POTENCIAL HORAS'!#REF!,"AAAAAHj+7+M=")</f>
        <v>#REF!</v>
      </c>
      <c r="HU10" t="e">
        <f>AND('POTENCIAL HORAS'!#REF!,"AAAAAHj+7+Q=")</f>
        <v>#REF!</v>
      </c>
      <c r="HV10" t="e">
        <f>AND('POTENCIAL HORAS'!Q76,"AAAAAHj+7+U=")</f>
        <v>#VALUE!</v>
      </c>
      <c r="HW10" t="e">
        <f>AND('POTENCIAL HORAS'!R76,"AAAAAHj+7+Y=")</f>
        <v>#VALUE!</v>
      </c>
      <c r="HX10">
        <f>IF('POTENCIAL HORAS'!77:77,"AAAAAHj+7+c=",0)</f>
        <v>0</v>
      </c>
      <c r="HY10" t="e">
        <f>AND('POTENCIAL HORAS'!A77,"AAAAAHj+7+g=")</f>
        <v>#VALUE!</v>
      </c>
      <c r="HZ10" t="e">
        <f>AND('POTENCIAL HORAS'!B77,"AAAAAHj+7+k=")</f>
        <v>#VALUE!</v>
      </c>
      <c r="IA10" t="e">
        <f>AND('POTENCIAL HORAS'!C77,"AAAAAHj+7+o=")</f>
        <v>#VALUE!</v>
      </c>
      <c r="IB10" t="e">
        <f>AND('POTENCIAL HORAS'!D77,"AAAAAHj+7+s=")</f>
        <v>#VALUE!</v>
      </c>
      <c r="IC10" t="e">
        <f>AND('POTENCIAL HORAS'!E77,"AAAAAHj+7+w=")</f>
        <v>#VALUE!</v>
      </c>
      <c r="ID10" t="e">
        <f>AND('POTENCIAL HORAS'!F77,"AAAAAHj+7+0=")</f>
        <v>#VALUE!</v>
      </c>
      <c r="IE10" t="e">
        <f>AND('POTENCIAL HORAS'!G77,"AAAAAHj+7+4=")</f>
        <v>#VALUE!</v>
      </c>
      <c r="IF10" t="e">
        <f>AND('POTENCIAL HORAS'!H77,"AAAAAHj+7+8=")</f>
        <v>#VALUE!</v>
      </c>
      <c r="IG10" t="e">
        <f>AND('POTENCIAL HORAS'!I77,"AAAAAHj+7/A=")</f>
        <v>#VALUE!</v>
      </c>
      <c r="IH10" t="e">
        <f>AND('POTENCIAL HORAS'!J77,"AAAAAHj+7/E=")</f>
        <v>#VALUE!</v>
      </c>
      <c r="II10" t="e">
        <f>AND('POTENCIAL HORAS'!K77,"AAAAAHj+7/I=")</f>
        <v>#VALUE!</v>
      </c>
      <c r="IJ10" t="e">
        <f>AND('POTENCIAL HORAS'!L77,"AAAAAHj+7/M=")</f>
        <v>#VALUE!</v>
      </c>
      <c r="IK10" t="e">
        <f>AND('POTENCIAL HORAS'!M77,"AAAAAHj+7/Q=")</f>
        <v>#VALUE!</v>
      </c>
      <c r="IL10" t="e">
        <f>AND('POTENCIAL HORAS'!N77,"AAAAAHj+7/U=")</f>
        <v>#VALUE!</v>
      </c>
      <c r="IM10" t="e">
        <f>AND('POTENCIAL HORAS'!O77,"AAAAAHj+7/Y=")</f>
        <v>#VALUE!</v>
      </c>
      <c r="IN10" t="e">
        <f>AND('POTENCIAL HORAS'!P77,"AAAAAHj+7/c=")</f>
        <v>#VALUE!</v>
      </c>
      <c r="IO10" t="e">
        <f>AND('POTENCIAL HORAS'!#REF!,"AAAAAHj+7/g=")</f>
        <v>#REF!</v>
      </c>
      <c r="IP10" t="e">
        <f>AND('POTENCIAL HORAS'!#REF!,"AAAAAHj+7/k=")</f>
        <v>#REF!</v>
      </c>
      <c r="IQ10" t="e">
        <f>AND('POTENCIAL HORAS'!#REF!,"AAAAAHj+7/o=")</f>
        <v>#REF!</v>
      </c>
      <c r="IR10" t="e">
        <f>AND('POTENCIAL HORAS'!#REF!,"AAAAAHj+7/s=")</f>
        <v>#REF!</v>
      </c>
      <c r="IS10" t="e">
        <f>AND('POTENCIAL HORAS'!#REF!,"AAAAAHj+7/w=")</f>
        <v>#REF!</v>
      </c>
      <c r="IT10" t="e">
        <f>AND('POTENCIAL HORAS'!#REF!,"AAAAAHj+7/0=")</f>
        <v>#REF!</v>
      </c>
      <c r="IU10" t="e">
        <f>AND('POTENCIAL HORAS'!#REF!,"AAAAAHj+7/4=")</f>
        <v>#REF!</v>
      </c>
      <c r="IV10" t="e">
        <f>AND('POTENCIAL HORAS'!#REF!,"AAAAAHj+7/8=")</f>
        <v>#REF!</v>
      </c>
    </row>
    <row r="11" spans="1:256" x14ac:dyDescent="0.2">
      <c r="A11" t="e">
        <f>AND('POTENCIAL HORAS'!#REF!,"AAAAAD//owA=")</f>
        <v>#REF!</v>
      </c>
      <c r="B11" t="e">
        <f>AND('POTENCIAL HORAS'!#REF!,"AAAAAD//owE=")</f>
        <v>#REF!</v>
      </c>
      <c r="C11" t="e">
        <f>AND('POTENCIAL HORAS'!#REF!,"AAAAAD//owI=")</f>
        <v>#REF!</v>
      </c>
      <c r="D11" t="e">
        <f>AND('POTENCIAL HORAS'!#REF!,"AAAAAD//owM=")</f>
        <v>#REF!</v>
      </c>
      <c r="E11" t="e">
        <f>AND('POTENCIAL HORAS'!#REF!,"AAAAAD//owQ=")</f>
        <v>#REF!</v>
      </c>
      <c r="F11" t="e">
        <f>AND('POTENCIAL HORAS'!#REF!,"AAAAAD//owU=")</f>
        <v>#REF!</v>
      </c>
      <c r="G11" t="e">
        <f>AND('POTENCIAL HORAS'!#REF!,"AAAAAD//owY=")</f>
        <v>#REF!</v>
      </c>
      <c r="H11" t="e">
        <f>AND('POTENCIAL HORAS'!#REF!,"AAAAAD//owc=")</f>
        <v>#REF!</v>
      </c>
      <c r="I11" t="e">
        <f>AND('POTENCIAL HORAS'!#REF!,"AAAAAD//owg=")</f>
        <v>#REF!</v>
      </c>
      <c r="J11" t="e">
        <f>AND('POTENCIAL HORAS'!#REF!,"AAAAAD//owk=")</f>
        <v>#REF!</v>
      </c>
      <c r="K11" t="e">
        <f>AND('POTENCIAL HORAS'!#REF!,"AAAAAD//owo=")</f>
        <v>#REF!</v>
      </c>
      <c r="L11" t="e">
        <f>AND('POTENCIAL HORAS'!#REF!,"AAAAAD//ows=")</f>
        <v>#REF!</v>
      </c>
      <c r="M11" t="e">
        <f>AND('POTENCIAL HORAS'!Q77,"AAAAAD//oww=")</f>
        <v>#VALUE!</v>
      </c>
      <c r="N11" t="e">
        <f>AND('POTENCIAL HORAS'!R77,"AAAAAD//ow0=")</f>
        <v>#VALUE!</v>
      </c>
      <c r="O11">
        <f>IF('POTENCIAL HORAS'!78:78,"AAAAAD//ow4=",0)</f>
        <v>0</v>
      </c>
      <c r="P11" t="e">
        <f>AND('POTENCIAL HORAS'!A78,"AAAAAD//ow8=")</f>
        <v>#VALUE!</v>
      </c>
      <c r="Q11" t="e">
        <f>AND('POTENCIAL HORAS'!B78,"AAAAAD//oxA=")</f>
        <v>#VALUE!</v>
      </c>
      <c r="R11" t="e">
        <f>AND('POTENCIAL HORAS'!C78,"AAAAAD//oxE=")</f>
        <v>#VALUE!</v>
      </c>
      <c r="S11" t="e">
        <f>AND('POTENCIAL HORAS'!D78,"AAAAAD//oxI=")</f>
        <v>#VALUE!</v>
      </c>
      <c r="T11" t="e">
        <f>AND('POTENCIAL HORAS'!E78,"AAAAAD//oxM=")</f>
        <v>#VALUE!</v>
      </c>
      <c r="U11" t="e">
        <f>AND('POTENCIAL HORAS'!F78,"AAAAAD//oxQ=")</f>
        <v>#VALUE!</v>
      </c>
      <c r="V11" t="e">
        <f>AND('POTENCIAL HORAS'!G78,"AAAAAD//oxU=")</f>
        <v>#VALUE!</v>
      </c>
      <c r="W11" t="e">
        <f>AND('POTENCIAL HORAS'!H78,"AAAAAD//oxY=")</f>
        <v>#VALUE!</v>
      </c>
      <c r="X11" t="e">
        <f>AND('POTENCIAL HORAS'!I78,"AAAAAD//oxc=")</f>
        <v>#VALUE!</v>
      </c>
      <c r="Y11" t="e">
        <f>AND('POTENCIAL HORAS'!J78,"AAAAAD//oxg=")</f>
        <v>#VALUE!</v>
      </c>
      <c r="Z11" t="e">
        <f>AND('POTENCIAL HORAS'!K78,"AAAAAD//oxk=")</f>
        <v>#VALUE!</v>
      </c>
      <c r="AA11" t="e">
        <f>AND('POTENCIAL HORAS'!L78,"AAAAAD//oxo=")</f>
        <v>#VALUE!</v>
      </c>
      <c r="AB11" t="e">
        <f>AND('POTENCIAL HORAS'!M78,"AAAAAD//oxs=")</f>
        <v>#VALUE!</v>
      </c>
      <c r="AC11" t="e">
        <f>AND('POTENCIAL HORAS'!N78,"AAAAAD//oxw=")</f>
        <v>#VALUE!</v>
      </c>
      <c r="AD11" t="e">
        <f>AND('POTENCIAL HORAS'!O78,"AAAAAD//ox0=")</f>
        <v>#VALUE!</v>
      </c>
      <c r="AE11" t="e">
        <f>AND('POTENCIAL HORAS'!P78,"AAAAAD//ox4=")</f>
        <v>#VALUE!</v>
      </c>
      <c r="AF11" t="e">
        <f>AND('POTENCIAL HORAS'!#REF!,"AAAAAD//ox8=")</f>
        <v>#REF!</v>
      </c>
      <c r="AG11" t="e">
        <f>AND('POTENCIAL HORAS'!#REF!,"AAAAAD//oyA=")</f>
        <v>#REF!</v>
      </c>
      <c r="AH11" t="e">
        <f>AND('POTENCIAL HORAS'!#REF!,"AAAAAD//oyE=")</f>
        <v>#REF!</v>
      </c>
      <c r="AI11" t="e">
        <f>AND('POTENCIAL HORAS'!#REF!,"AAAAAD//oyI=")</f>
        <v>#REF!</v>
      </c>
      <c r="AJ11" t="e">
        <f>AND('POTENCIAL HORAS'!#REF!,"AAAAAD//oyM=")</f>
        <v>#REF!</v>
      </c>
      <c r="AK11" t="e">
        <f>AND('POTENCIAL HORAS'!#REF!,"AAAAAD//oyQ=")</f>
        <v>#REF!</v>
      </c>
      <c r="AL11" t="e">
        <f>AND('POTENCIAL HORAS'!#REF!,"AAAAAD//oyU=")</f>
        <v>#REF!</v>
      </c>
      <c r="AM11" t="e">
        <f>AND('POTENCIAL HORAS'!#REF!,"AAAAAD//oyY=")</f>
        <v>#REF!</v>
      </c>
      <c r="AN11" t="e">
        <f>AND('POTENCIAL HORAS'!#REF!,"AAAAAD//oyc=")</f>
        <v>#REF!</v>
      </c>
      <c r="AO11" t="e">
        <f>AND('POTENCIAL HORAS'!#REF!,"AAAAAD//oyg=")</f>
        <v>#REF!</v>
      </c>
      <c r="AP11" t="e">
        <f>AND('POTENCIAL HORAS'!#REF!,"AAAAAD//oyk=")</f>
        <v>#REF!</v>
      </c>
      <c r="AQ11" t="e">
        <f>AND('POTENCIAL HORAS'!#REF!,"AAAAAD//oyo=")</f>
        <v>#REF!</v>
      </c>
      <c r="AR11" t="e">
        <f>AND('POTENCIAL HORAS'!#REF!,"AAAAAD//oys=")</f>
        <v>#REF!</v>
      </c>
      <c r="AS11" t="e">
        <f>AND('POTENCIAL HORAS'!#REF!,"AAAAAD//oyw=")</f>
        <v>#REF!</v>
      </c>
      <c r="AT11" t="e">
        <f>AND('POTENCIAL HORAS'!#REF!,"AAAAAD//oy0=")</f>
        <v>#REF!</v>
      </c>
      <c r="AU11" t="e">
        <f>AND('POTENCIAL HORAS'!#REF!,"AAAAAD//oy4=")</f>
        <v>#REF!</v>
      </c>
      <c r="AV11" t="e">
        <f>AND('POTENCIAL HORAS'!#REF!,"AAAAAD//oy8=")</f>
        <v>#REF!</v>
      </c>
      <c r="AW11" t="e">
        <f>AND('POTENCIAL HORAS'!#REF!,"AAAAAD//ozA=")</f>
        <v>#REF!</v>
      </c>
      <c r="AX11" t="e">
        <f>AND('POTENCIAL HORAS'!#REF!,"AAAAAD//ozE=")</f>
        <v>#REF!</v>
      </c>
      <c r="AY11" t="e">
        <f>AND('POTENCIAL HORAS'!#REF!,"AAAAAD//ozI=")</f>
        <v>#REF!</v>
      </c>
      <c r="AZ11" t="e">
        <f>AND('POTENCIAL HORAS'!Q78,"AAAAAD//ozM=")</f>
        <v>#VALUE!</v>
      </c>
      <c r="BA11" t="e">
        <f>AND('POTENCIAL HORAS'!R78,"AAAAAD//ozQ=")</f>
        <v>#VALUE!</v>
      </c>
      <c r="BB11" t="e">
        <f>IF('POTENCIAL HORAS'!#REF!,"AAAAAD//ozU=",0)</f>
        <v>#REF!</v>
      </c>
      <c r="BC11" t="e">
        <f>AND('POTENCIAL HORAS'!#REF!,"AAAAAD//ozY=")</f>
        <v>#REF!</v>
      </c>
      <c r="BD11" t="e">
        <f>AND('POTENCIAL HORAS'!#REF!,"AAAAAD//ozc=")</f>
        <v>#REF!</v>
      </c>
      <c r="BE11" t="e">
        <f>AND('POTENCIAL HORAS'!#REF!,"AAAAAD//ozg=")</f>
        <v>#REF!</v>
      </c>
      <c r="BF11" t="e">
        <f>AND('POTENCIAL HORAS'!#REF!,"AAAAAD//ozk=")</f>
        <v>#REF!</v>
      </c>
      <c r="BG11" t="e">
        <f>AND('POTENCIAL HORAS'!#REF!,"AAAAAD//ozo=")</f>
        <v>#REF!</v>
      </c>
      <c r="BH11" t="e">
        <f>AND('POTENCIAL HORAS'!#REF!,"AAAAAD//ozs=")</f>
        <v>#REF!</v>
      </c>
      <c r="BI11" t="e">
        <f>AND('POTENCIAL HORAS'!#REF!,"AAAAAD//ozw=")</f>
        <v>#REF!</v>
      </c>
      <c r="BJ11" t="e">
        <f>AND('POTENCIAL HORAS'!#REF!,"AAAAAD//oz0=")</f>
        <v>#REF!</v>
      </c>
      <c r="BK11" t="e">
        <f>AND('POTENCIAL HORAS'!#REF!,"AAAAAD//oz4=")</f>
        <v>#REF!</v>
      </c>
      <c r="BL11" t="e">
        <f>AND('POTENCIAL HORAS'!#REF!,"AAAAAD//oz8=")</f>
        <v>#REF!</v>
      </c>
      <c r="BM11" t="e">
        <f>AND('POTENCIAL HORAS'!#REF!,"AAAAAD//o0A=")</f>
        <v>#REF!</v>
      </c>
      <c r="BN11" t="e">
        <f>AND('POTENCIAL HORAS'!#REF!,"AAAAAD//o0E=")</f>
        <v>#REF!</v>
      </c>
      <c r="BO11" t="e">
        <f>AND('POTENCIAL HORAS'!#REF!,"AAAAAD//o0I=")</f>
        <v>#REF!</v>
      </c>
      <c r="BP11" t="e">
        <f>AND('POTENCIAL HORAS'!#REF!,"AAAAAD//o0M=")</f>
        <v>#REF!</v>
      </c>
      <c r="BQ11" t="e">
        <f>AND('POTENCIAL HORAS'!#REF!,"AAAAAD//o0Q=")</f>
        <v>#REF!</v>
      </c>
      <c r="BR11" t="e">
        <f>AND('POTENCIAL HORAS'!#REF!,"AAAAAD//o0U=")</f>
        <v>#REF!</v>
      </c>
      <c r="BS11" t="e">
        <f>AND('POTENCIAL HORAS'!#REF!,"AAAAAD//o0Y=")</f>
        <v>#REF!</v>
      </c>
      <c r="BT11" t="e">
        <f>AND('POTENCIAL HORAS'!#REF!,"AAAAAD//o0c=")</f>
        <v>#REF!</v>
      </c>
      <c r="BU11" t="e">
        <f>AND('POTENCIAL HORAS'!#REF!,"AAAAAD//o0g=")</f>
        <v>#REF!</v>
      </c>
      <c r="BV11" t="e">
        <f>AND('POTENCIAL HORAS'!#REF!,"AAAAAD//o0k=")</f>
        <v>#REF!</v>
      </c>
      <c r="BW11" t="e">
        <f>AND('POTENCIAL HORAS'!#REF!,"AAAAAD//o0o=")</f>
        <v>#REF!</v>
      </c>
      <c r="BX11" t="e">
        <f>AND('POTENCIAL HORAS'!#REF!,"AAAAAD//o0s=")</f>
        <v>#REF!</v>
      </c>
      <c r="BY11" t="e">
        <f>AND('POTENCIAL HORAS'!#REF!,"AAAAAD//o0w=")</f>
        <v>#REF!</v>
      </c>
      <c r="BZ11" t="e">
        <f>AND('POTENCIAL HORAS'!#REF!,"AAAAAD//o00=")</f>
        <v>#REF!</v>
      </c>
      <c r="CA11" t="e">
        <f>AND('POTENCIAL HORAS'!#REF!,"AAAAAD//o04=")</f>
        <v>#REF!</v>
      </c>
      <c r="CB11" t="e">
        <f>AND('POTENCIAL HORAS'!#REF!,"AAAAAD//o08=")</f>
        <v>#REF!</v>
      </c>
      <c r="CC11" t="e">
        <f>AND('POTENCIAL HORAS'!#REF!,"AAAAAD//o1A=")</f>
        <v>#REF!</v>
      </c>
      <c r="CD11" t="e">
        <f>AND('POTENCIAL HORAS'!#REF!,"AAAAAD//o1E=")</f>
        <v>#REF!</v>
      </c>
      <c r="CE11" t="e">
        <f>AND('POTENCIAL HORAS'!#REF!,"AAAAAD//o1I=")</f>
        <v>#REF!</v>
      </c>
      <c r="CF11" t="e">
        <f>AND('POTENCIAL HORAS'!#REF!,"AAAAAD//o1M=")</f>
        <v>#REF!</v>
      </c>
      <c r="CG11" t="e">
        <f>AND('POTENCIAL HORAS'!#REF!,"AAAAAD//o1Q=")</f>
        <v>#REF!</v>
      </c>
      <c r="CH11" t="e">
        <f>AND('POTENCIAL HORAS'!#REF!,"AAAAAD//o1U=")</f>
        <v>#REF!</v>
      </c>
      <c r="CI11" t="e">
        <f>AND('POTENCIAL HORAS'!#REF!,"AAAAAD//o1Y=")</f>
        <v>#REF!</v>
      </c>
      <c r="CJ11" t="e">
        <f>AND('POTENCIAL HORAS'!#REF!,"AAAAAD//o1c=")</f>
        <v>#REF!</v>
      </c>
      <c r="CK11" t="e">
        <f>AND('POTENCIAL HORAS'!#REF!,"AAAAAD//o1g=")</f>
        <v>#REF!</v>
      </c>
      <c r="CL11" t="e">
        <f>AND('POTENCIAL HORAS'!#REF!,"AAAAAD//o1k=")</f>
        <v>#REF!</v>
      </c>
      <c r="CM11" t="e">
        <f>AND('POTENCIAL HORAS'!#REF!,"AAAAAD//o1o=")</f>
        <v>#REF!</v>
      </c>
      <c r="CN11" t="e">
        <f>AND('POTENCIAL HORAS'!#REF!,"AAAAAD//o1s=")</f>
        <v>#REF!</v>
      </c>
      <c r="CO11">
        <f>IF('POTENCIAL HORAS'!79:79,"AAAAAD//o1w=",0)</f>
        <v>0</v>
      </c>
      <c r="CP11" t="e">
        <f>AND('POTENCIAL HORAS'!A79,"AAAAAD//o10=")</f>
        <v>#VALUE!</v>
      </c>
      <c r="CQ11" t="e">
        <f>AND('POTENCIAL HORAS'!B79,"AAAAAD//o14=")</f>
        <v>#VALUE!</v>
      </c>
      <c r="CR11" t="e">
        <f>AND('POTENCIAL HORAS'!C79,"AAAAAD//o18=")</f>
        <v>#VALUE!</v>
      </c>
      <c r="CS11" t="e">
        <f>AND('POTENCIAL HORAS'!D79,"AAAAAD//o2A=")</f>
        <v>#VALUE!</v>
      </c>
      <c r="CT11" t="e">
        <f>AND('POTENCIAL HORAS'!E79,"AAAAAD//o2E=")</f>
        <v>#VALUE!</v>
      </c>
      <c r="CU11" t="e">
        <f>AND('POTENCIAL HORAS'!F79,"AAAAAD//o2I=")</f>
        <v>#VALUE!</v>
      </c>
      <c r="CV11" t="e">
        <f>AND('POTENCIAL HORAS'!G79,"AAAAAD//o2M=")</f>
        <v>#VALUE!</v>
      </c>
      <c r="CW11" t="e">
        <f>AND('POTENCIAL HORAS'!H79,"AAAAAD//o2Q=")</f>
        <v>#VALUE!</v>
      </c>
      <c r="CX11" t="e">
        <f>AND('POTENCIAL HORAS'!I79,"AAAAAD//o2U=")</f>
        <v>#VALUE!</v>
      </c>
      <c r="CY11" t="e">
        <f>AND('POTENCIAL HORAS'!J79,"AAAAAD//o2Y=")</f>
        <v>#VALUE!</v>
      </c>
      <c r="CZ11" t="e">
        <f>AND('POTENCIAL HORAS'!K79,"AAAAAD//o2c=")</f>
        <v>#VALUE!</v>
      </c>
      <c r="DA11" t="e">
        <f>AND('POTENCIAL HORAS'!L79,"AAAAAD//o2g=")</f>
        <v>#VALUE!</v>
      </c>
      <c r="DB11" t="e">
        <f>AND('POTENCIAL HORAS'!M79,"AAAAAD//o2k=")</f>
        <v>#VALUE!</v>
      </c>
      <c r="DC11" t="e">
        <f>AND('POTENCIAL HORAS'!N79,"AAAAAD//o2o=")</f>
        <v>#VALUE!</v>
      </c>
      <c r="DD11" t="e">
        <f>AND('POTENCIAL HORAS'!O79,"AAAAAD//o2s=")</f>
        <v>#VALUE!</v>
      </c>
      <c r="DE11" t="e">
        <f>AND('POTENCIAL HORAS'!P79,"AAAAAD//o2w=")</f>
        <v>#VALUE!</v>
      </c>
      <c r="DF11" t="e">
        <f>AND('POTENCIAL HORAS'!#REF!,"AAAAAD//o20=")</f>
        <v>#REF!</v>
      </c>
      <c r="DG11" t="e">
        <f>AND('POTENCIAL HORAS'!#REF!,"AAAAAD//o24=")</f>
        <v>#REF!</v>
      </c>
      <c r="DH11" t="e">
        <f>AND('POTENCIAL HORAS'!#REF!,"AAAAAD//o28=")</f>
        <v>#REF!</v>
      </c>
      <c r="DI11" t="e">
        <f>AND('POTENCIAL HORAS'!#REF!,"AAAAAD//o3A=")</f>
        <v>#REF!</v>
      </c>
      <c r="DJ11" t="e">
        <f>AND('POTENCIAL HORAS'!#REF!,"AAAAAD//o3E=")</f>
        <v>#REF!</v>
      </c>
      <c r="DK11" t="e">
        <f>AND('POTENCIAL HORAS'!#REF!,"AAAAAD//o3I=")</f>
        <v>#REF!</v>
      </c>
      <c r="DL11" t="e">
        <f>AND('POTENCIAL HORAS'!#REF!,"AAAAAD//o3M=")</f>
        <v>#REF!</v>
      </c>
      <c r="DM11" t="e">
        <f>AND('POTENCIAL HORAS'!#REF!,"AAAAAD//o3Q=")</f>
        <v>#REF!</v>
      </c>
      <c r="DN11" t="e">
        <f>AND('POTENCIAL HORAS'!#REF!,"AAAAAD//o3U=")</f>
        <v>#REF!</v>
      </c>
      <c r="DO11" t="e">
        <f>AND('POTENCIAL HORAS'!#REF!,"AAAAAD//o3Y=")</f>
        <v>#REF!</v>
      </c>
      <c r="DP11" t="e">
        <f>AND('POTENCIAL HORAS'!#REF!,"AAAAAD//o3c=")</f>
        <v>#REF!</v>
      </c>
      <c r="DQ11" t="e">
        <f>AND('POTENCIAL HORAS'!#REF!,"AAAAAD//o3g=")</f>
        <v>#REF!</v>
      </c>
      <c r="DR11" t="e">
        <f>AND('POTENCIAL HORAS'!#REF!,"AAAAAD//o3k=")</f>
        <v>#REF!</v>
      </c>
      <c r="DS11" t="e">
        <f>AND('POTENCIAL HORAS'!#REF!,"AAAAAD//o3o=")</f>
        <v>#REF!</v>
      </c>
      <c r="DT11" t="e">
        <f>AND('POTENCIAL HORAS'!#REF!,"AAAAAD//o3s=")</f>
        <v>#REF!</v>
      </c>
      <c r="DU11" t="e">
        <f>AND('POTENCIAL HORAS'!#REF!,"AAAAAD//o3w=")</f>
        <v>#REF!</v>
      </c>
      <c r="DV11" t="e">
        <f>AND('POTENCIAL HORAS'!#REF!,"AAAAAD//o30=")</f>
        <v>#REF!</v>
      </c>
      <c r="DW11" t="e">
        <f>AND('POTENCIAL HORAS'!#REF!,"AAAAAD//o34=")</f>
        <v>#REF!</v>
      </c>
      <c r="DX11" t="e">
        <f>AND('POTENCIAL HORAS'!#REF!,"AAAAAD//o38=")</f>
        <v>#REF!</v>
      </c>
      <c r="DY11" t="e">
        <f>AND('POTENCIAL HORAS'!#REF!,"AAAAAD//o4A=")</f>
        <v>#REF!</v>
      </c>
      <c r="DZ11" t="e">
        <f>AND('POTENCIAL HORAS'!Q79,"AAAAAD//o4E=")</f>
        <v>#VALUE!</v>
      </c>
      <c r="EA11" t="e">
        <f>AND('POTENCIAL HORAS'!R79,"AAAAAD//o4I=")</f>
        <v>#VALUE!</v>
      </c>
      <c r="EB11">
        <f>IF('POTENCIAL HORAS'!80:80,"AAAAAD//o4M=",0)</f>
        <v>0</v>
      </c>
      <c r="EC11" t="e">
        <f>AND('POTENCIAL HORAS'!A80,"AAAAAD//o4Q=")</f>
        <v>#VALUE!</v>
      </c>
      <c r="ED11" t="e">
        <f>AND('POTENCIAL HORAS'!B80,"AAAAAD//o4U=")</f>
        <v>#VALUE!</v>
      </c>
      <c r="EE11" t="e">
        <f>AND('POTENCIAL HORAS'!C80,"AAAAAD//o4Y=")</f>
        <v>#VALUE!</v>
      </c>
      <c r="EF11" t="e">
        <f>AND('POTENCIAL HORAS'!D80,"AAAAAD//o4c=")</f>
        <v>#VALUE!</v>
      </c>
      <c r="EG11" t="e">
        <f>AND('POTENCIAL HORAS'!E80,"AAAAAD//o4g=")</f>
        <v>#VALUE!</v>
      </c>
      <c r="EH11" t="e">
        <f>AND('POTENCIAL HORAS'!F80,"AAAAAD//o4k=")</f>
        <v>#VALUE!</v>
      </c>
      <c r="EI11" t="e">
        <f>AND('POTENCIAL HORAS'!G80,"AAAAAD//o4o=")</f>
        <v>#VALUE!</v>
      </c>
      <c r="EJ11" t="e">
        <f>AND('POTENCIAL HORAS'!H80,"AAAAAD//o4s=")</f>
        <v>#VALUE!</v>
      </c>
      <c r="EK11" t="e">
        <f>AND('POTENCIAL HORAS'!I80,"AAAAAD//o4w=")</f>
        <v>#VALUE!</v>
      </c>
      <c r="EL11" t="e">
        <f>AND('POTENCIAL HORAS'!J80,"AAAAAD//o40=")</f>
        <v>#VALUE!</v>
      </c>
      <c r="EM11" t="e">
        <f>AND('POTENCIAL HORAS'!K80,"AAAAAD//o44=")</f>
        <v>#VALUE!</v>
      </c>
      <c r="EN11" t="e">
        <f>AND('POTENCIAL HORAS'!L80,"AAAAAD//o48=")</f>
        <v>#VALUE!</v>
      </c>
      <c r="EO11" t="e">
        <f>AND('POTENCIAL HORAS'!M80,"AAAAAD//o5A=")</f>
        <v>#VALUE!</v>
      </c>
      <c r="EP11" t="e">
        <f>AND('POTENCIAL HORAS'!N80,"AAAAAD//o5E=")</f>
        <v>#VALUE!</v>
      </c>
      <c r="EQ11" t="e">
        <f>AND('POTENCIAL HORAS'!O80,"AAAAAD//o5I=")</f>
        <v>#VALUE!</v>
      </c>
      <c r="ER11" t="e">
        <f>AND('POTENCIAL HORAS'!P80,"AAAAAD//o5M=")</f>
        <v>#VALUE!</v>
      </c>
      <c r="ES11" t="e">
        <f>AND('POTENCIAL HORAS'!#REF!,"AAAAAD//o5Q=")</f>
        <v>#REF!</v>
      </c>
      <c r="ET11" t="e">
        <f>AND('POTENCIAL HORAS'!#REF!,"AAAAAD//o5U=")</f>
        <v>#REF!</v>
      </c>
      <c r="EU11" t="e">
        <f>AND('POTENCIAL HORAS'!#REF!,"AAAAAD//o5Y=")</f>
        <v>#REF!</v>
      </c>
      <c r="EV11" t="e">
        <f>AND('POTENCIAL HORAS'!#REF!,"AAAAAD//o5c=")</f>
        <v>#REF!</v>
      </c>
      <c r="EW11" t="e">
        <f>AND('POTENCIAL HORAS'!#REF!,"AAAAAD//o5g=")</f>
        <v>#REF!</v>
      </c>
      <c r="EX11" t="e">
        <f>AND('POTENCIAL HORAS'!#REF!,"AAAAAD//o5k=")</f>
        <v>#REF!</v>
      </c>
      <c r="EY11" t="e">
        <f>AND('POTENCIAL HORAS'!#REF!,"AAAAAD//o5o=")</f>
        <v>#REF!</v>
      </c>
      <c r="EZ11" t="e">
        <f>AND('POTENCIAL HORAS'!#REF!,"AAAAAD//o5s=")</f>
        <v>#REF!</v>
      </c>
      <c r="FA11" t="e">
        <f>AND('POTENCIAL HORAS'!#REF!,"AAAAAD//o5w=")</f>
        <v>#REF!</v>
      </c>
      <c r="FB11" t="e">
        <f>AND('POTENCIAL HORAS'!#REF!,"AAAAAD//o50=")</f>
        <v>#REF!</v>
      </c>
      <c r="FC11" t="e">
        <f>AND('POTENCIAL HORAS'!#REF!,"AAAAAD//o54=")</f>
        <v>#REF!</v>
      </c>
      <c r="FD11" t="e">
        <f>AND('POTENCIAL HORAS'!#REF!,"AAAAAD//o58=")</f>
        <v>#REF!</v>
      </c>
      <c r="FE11" t="e">
        <f>AND('POTENCIAL HORAS'!#REF!,"AAAAAD//o6A=")</f>
        <v>#REF!</v>
      </c>
      <c r="FF11" t="e">
        <f>AND('POTENCIAL HORAS'!#REF!,"AAAAAD//o6E=")</f>
        <v>#REF!</v>
      </c>
      <c r="FG11" t="e">
        <f>AND('POTENCIAL HORAS'!#REF!,"AAAAAD//o6I=")</f>
        <v>#REF!</v>
      </c>
      <c r="FH11" t="e">
        <f>AND('POTENCIAL HORAS'!#REF!,"AAAAAD//o6M=")</f>
        <v>#REF!</v>
      </c>
      <c r="FI11" t="e">
        <f>AND('POTENCIAL HORAS'!#REF!,"AAAAAD//o6Q=")</f>
        <v>#REF!</v>
      </c>
      <c r="FJ11" t="e">
        <f>AND('POTENCIAL HORAS'!#REF!,"AAAAAD//o6U=")</f>
        <v>#REF!</v>
      </c>
      <c r="FK11" t="e">
        <f>AND('POTENCIAL HORAS'!#REF!,"AAAAAD//o6Y=")</f>
        <v>#REF!</v>
      </c>
      <c r="FL11" t="e">
        <f>AND('POTENCIAL HORAS'!#REF!,"AAAAAD//o6c=")</f>
        <v>#REF!</v>
      </c>
      <c r="FM11" t="e">
        <f>AND('POTENCIAL HORAS'!Q80,"AAAAAD//o6g=")</f>
        <v>#VALUE!</v>
      </c>
      <c r="FN11" t="e">
        <f>AND('POTENCIAL HORAS'!R80,"AAAAAD//o6k=")</f>
        <v>#VALUE!</v>
      </c>
      <c r="FO11">
        <f>IF('POTENCIAL HORAS'!81:81,"AAAAAD//o6o=",0)</f>
        <v>0</v>
      </c>
      <c r="FP11" t="e">
        <f>AND('POTENCIAL HORAS'!A81,"AAAAAD//o6s=")</f>
        <v>#VALUE!</v>
      </c>
      <c r="FQ11" t="e">
        <f>AND('POTENCIAL HORAS'!B81,"AAAAAD//o6w=")</f>
        <v>#VALUE!</v>
      </c>
      <c r="FR11" t="e">
        <f>AND('POTENCIAL HORAS'!C81,"AAAAAD//o60=")</f>
        <v>#VALUE!</v>
      </c>
      <c r="FS11" t="e">
        <f>AND('POTENCIAL HORAS'!D81,"AAAAAD//o64=")</f>
        <v>#VALUE!</v>
      </c>
      <c r="FT11" t="e">
        <f>AND('POTENCIAL HORAS'!E81,"AAAAAD//o68=")</f>
        <v>#VALUE!</v>
      </c>
      <c r="FU11" t="e">
        <f>AND('POTENCIAL HORAS'!F81,"AAAAAD//o7A=")</f>
        <v>#VALUE!</v>
      </c>
      <c r="FV11" t="e">
        <f>AND('POTENCIAL HORAS'!G81,"AAAAAD//o7E=")</f>
        <v>#VALUE!</v>
      </c>
      <c r="FW11" t="e">
        <f>AND('POTENCIAL HORAS'!H81,"AAAAAD//o7I=")</f>
        <v>#VALUE!</v>
      </c>
      <c r="FX11" t="e">
        <f>AND('POTENCIAL HORAS'!I81,"AAAAAD//o7M=")</f>
        <v>#VALUE!</v>
      </c>
      <c r="FY11" t="e">
        <f>AND('POTENCIAL HORAS'!J81,"AAAAAD//o7Q=")</f>
        <v>#VALUE!</v>
      </c>
      <c r="FZ11" t="e">
        <f>AND('POTENCIAL HORAS'!K81,"AAAAAD//o7U=")</f>
        <v>#VALUE!</v>
      </c>
      <c r="GA11" t="e">
        <f>AND('POTENCIAL HORAS'!L81,"AAAAAD//o7Y=")</f>
        <v>#VALUE!</v>
      </c>
      <c r="GB11" t="e">
        <f>AND('POTENCIAL HORAS'!M81,"AAAAAD//o7c=")</f>
        <v>#VALUE!</v>
      </c>
      <c r="GC11" t="e">
        <f>AND('POTENCIAL HORAS'!N81,"AAAAAD//o7g=")</f>
        <v>#VALUE!</v>
      </c>
      <c r="GD11" t="e">
        <f>AND('POTENCIAL HORAS'!O81,"AAAAAD//o7k=")</f>
        <v>#VALUE!</v>
      </c>
      <c r="GE11" t="e">
        <f>AND('POTENCIAL HORAS'!P81,"AAAAAD//o7o=")</f>
        <v>#VALUE!</v>
      </c>
      <c r="GF11" t="e">
        <f>AND('POTENCIAL HORAS'!#REF!,"AAAAAD//o7s=")</f>
        <v>#REF!</v>
      </c>
      <c r="GG11" t="e">
        <f>AND('POTENCIAL HORAS'!#REF!,"AAAAAD//o7w=")</f>
        <v>#REF!</v>
      </c>
      <c r="GH11" t="e">
        <f>AND('POTENCIAL HORAS'!#REF!,"AAAAAD//o70=")</f>
        <v>#REF!</v>
      </c>
      <c r="GI11" t="e">
        <f>AND('POTENCIAL HORAS'!#REF!,"AAAAAD//o74=")</f>
        <v>#REF!</v>
      </c>
      <c r="GJ11" t="e">
        <f>AND('POTENCIAL HORAS'!#REF!,"AAAAAD//o78=")</f>
        <v>#REF!</v>
      </c>
      <c r="GK11" t="e">
        <f>AND('POTENCIAL HORAS'!#REF!,"AAAAAD//o8A=")</f>
        <v>#REF!</v>
      </c>
      <c r="GL11" t="e">
        <f>AND('POTENCIAL HORAS'!#REF!,"AAAAAD//o8E=")</f>
        <v>#REF!</v>
      </c>
      <c r="GM11" t="e">
        <f>AND('POTENCIAL HORAS'!#REF!,"AAAAAD//o8I=")</f>
        <v>#REF!</v>
      </c>
      <c r="GN11" t="e">
        <f>AND('POTENCIAL HORAS'!#REF!,"AAAAAD//o8M=")</f>
        <v>#REF!</v>
      </c>
      <c r="GO11" t="e">
        <f>AND('POTENCIAL HORAS'!#REF!,"AAAAAD//o8Q=")</f>
        <v>#REF!</v>
      </c>
      <c r="GP11" t="e">
        <f>AND('POTENCIAL HORAS'!#REF!,"AAAAAD//o8U=")</f>
        <v>#REF!</v>
      </c>
      <c r="GQ11" t="e">
        <f>AND('POTENCIAL HORAS'!#REF!,"AAAAAD//o8Y=")</f>
        <v>#REF!</v>
      </c>
      <c r="GR11" t="e">
        <f>AND('POTENCIAL HORAS'!#REF!,"AAAAAD//o8c=")</f>
        <v>#REF!</v>
      </c>
      <c r="GS11" t="e">
        <f>AND('POTENCIAL HORAS'!#REF!,"AAAAAD//o8g=")</f>
        <v>#REF!</v>
      </c>
      <c r="GT11" t="e">
        <f>AND('POTENCIAL HORAS'!#REF!,"AAAAAD//o8k=")</f>
        <v>#REF!</v>
      </c>
      <c r="GU11" t="e">
        <f>AND('POTENCIAL HORAS'!#REF!,"AAAAAD//o8o=")</f>
        <v>#REF!</v>
      </c>
      <c r="GV11" t="e">
        <f>AND('POTENCIAL HORAS'!#REF!,"AAAAAD//o8s=")</f>
        <v>#REF!</v>
      </c>
      <c r="GW11" t="e">
        <f>AND('POTENCIAL HORAS'!#REF!,"AAAAAD//o8w=")</f>
        <v>#REF!</v>
      </c>
      <c r="GX11" t="e">
        <f>AND('POTENCIAL HORAS'!#REF!,"AAAAAD//o80=")</f>
        <v>#REF!</v>
      </c>
      <c r="GY11" t="e">
        <f>AND('POTENCIAL HORAS'!#REF!,"AAAAAD//o84=")</f>
        <v>#REF!</v>
      </c>
      <c r="GZ11" t="e">
        <f>AND('POTENCIAL HORAS'!Q81,"AAAAAD//o88=")</f>
        <v>#VALUE!</v>
      </c>
      <c r="HA11" t="e">
        <f>AND('POTENCIAL HORAS'!R81,"AAAAAD//o9A=")</f>
        <v>#VALUE!</v>
      </c>
      <c r="HB11">
        <f>IF('POTENCIAL HORAS'!82:82,"AAAAAD//o9E=",0)</f>
        <v>0</v>
      </c>
      <c r="HC11" t="e">
        <f>AND('POTENCIAL HORAS'!A82,"AAAAAD//o9I=")</f>
        <v>#VALUE!</v>
      </c>
      <c r="HD11" t="e">
        <f>AND('POTENCIAL HORAS'!B82,"AAAAAD//o9M=")</f>
        <v>#VALUE!</v>
      </c>
      <c r="HE11" t="e">
        <f>AND('POTENCIAL HORAS'!C82,"AAAAAD//o9Q=")</f>
        <v>#VALUE!</v>
      </c>
      <c r="HF11" t="e">
        <f>AND('POTENCIAL HORAS'!D82,"AAAAAD//o9U=")</f>
        <v>#VALUE!</v>
      </c>
      <c r="HG11" t="e">
        <f>AND('POTENCIAL HORAS'!E82,"AAAAAD//o9Y=")</f>
        <v>#VALUE!</v>
      </c>
      <c r="HH11" t="e">
        <f>AND('POTENCIAL HORAS'!F82,"AAAAAD//o9c=")</f>
        <v>#VALUE!</v>
      </c>
      <c r="HI11" t="e">
        <f>AND('POTENCIAL HORAS'!G82,"AAAAAD//o9g=")</f>
        <v>#VALUE!</v>
      </c>
      <c r="HJ11" t="e">
        <f>AND('POTENCIAL HORAS'!H82,"AAAAAD//o9k=")</f>
        <v>#VALUE!</v>
      </c>
      <c r="HK11" t="e">
        <f>AND('POTENCIAL HORAS'!I82,"AAAAAD//o9o=")</f>
        <v>#VALUE!</v>
      </c>
      <c r="HL11" t="e">
        <f>AND('POTENCIAL HORAS'!J82,"AAAAAD//o9s=")</f>
        <v>#VALUE!</v>
      </c>
      <c r="HM11" t="e">
        <f>AND('POTENCIAL HORAS'!K82,"AAAAAD//o9w=")</f>
        <v>#VALUE!</v>
      </c>
      <c r="HN11" t="e">
        <f>AND('POTENCIAL HORAS'!L82,"AAAAAD//o90=")</f>
        <v>#VALUE!</v>
      </c>
      <c r="HO11" t="e">
        <f>AND('POTENCIAL HORAS'!M82,"AAAAAD//o94=")</f>
        <v>#VALUE!</v>
      </c>
      <c r="HP11" t="e">
        <f>AND('POTENCIAL HORAS'!N82,"AAAAAD//o98=")</f>
        <v>#VALUE!</v>
      </c>
      <c r="HQ11" t="e">
        <f>AND('POTENCIAL HORAS'!O82,"AAAAAD//o+A=")</f>
        <v>#VALUE!</v>
      </c>
      <c r="HR11" t="e">
        <f>AND('POTENCIAL HORAS'!P82,"AAAAAD//o+E=")</f>
        <v>#VALUE!</v>
      </c>
      <c r="HS11" t="e">
        <f>AND('POTENCIAL HORAS'!#REF!,"AAAAAD//o+I=")</f>
        <v>#REF!</v>
      </c>
      <c r="HT11" t="e">
        <f>AND('POTENCIAL HORAS'!#REF!,"AAAAAD//o+M=")</f>
        <v>#REF!</v>
      </c>
      <c r="HU11" t="e">
        <f>AND('POTENCIAL HORAS'!#REF!,"AAAAAD//o+Q=")</f>
        <v>#REF!</v>
      </c>
      <c r="HV11" t="e">
        <f>AND('POTENCIAL HORAS'!#REF!,"AAAAAD//o+U=")</f>
        <v>#REF!</v>
      </c>
      <c r="HW11" t="e">
        <f>AND('POTENCIAL HORAS'!#REF!,"AAAAAD//o+Y=")</f>
        <v>#REF!</v>
      </c>
      <c r="HX11" t="e">
        <f>AND('POTENCIAL HORAS'!#REF!,"AAAAAD//o+c=")</f>
        <v>#REF!</v>
      </c>
      <c r="HY11" t="e">
        <f>AND('POTENCIAL HORAS'!#REF!,"AAAAAD//o+g=")</f>
        <v>#REF!</v>
      </c>
      <c r="HZ11" t="e">
        <f>AND('POTENCIAL HORAS'!#REF!,"AAAAAD//o+k=")</f>
        <v>#REF!</v>
      </c>
      <c r="IA11" t="e">
        <f>AND('POTENCIAL HORAS'!#REF!,"AAAAAD//o+o=")</f>
        <v>#REF!</v>
      </c>
      <c r="IB11" t="e">
        <f>AND('POTENCIAL HORAS'!#REF!,"AAAAAD//o+s=")</f>
        <v>#REF!</v>
      </c>
      <c r="IC11" t="e">
        <f>AND('POTENCIAL HORAS'!#REF!,"AAAAAD//o+w=")</f>
        <v>#REF!</v>
      </c>
      <c r="ID11" t="e">
        <f>AND('POTENCIAL HORAS'!#REF!,"AAAAAD//o+0=")</f>
        <v>#REF!</v>
      </c>
      <c r="IE11" t="e">
        <f>AND('POTENCIAL HORAS'!#REF!,"AAAAAD//o+4=")</f>
        <v>#REF!</v>
      </c>
      <c r="IF11" t="e">
        <f>AND('POTENCIAL HORAS'!#REF!,"AAAAAD//o+8=")</f>
        <v>#REF!</v>
      </c>
      <c r="IG11" t="e">
        <f>AND('POTENCIAL HORAS'!#REF!,"AAAAAD//o/A=")</f>
        <v>#REF!</v>
      </c>
      <c r="IH11" t="e">
        <f>AND('POTENCIAL HORAS'!#REF!,"AAAAAD//o/E=")</f>
        <v>#REF!</v>
      </c>
      <c r="II11" t="e">
        <f>AND('POTENCIAL HORAS'!#REF!,"AAAAAD//o/I=")</f>
        <v>#REF!</v>
      </c>
      <c r="IJ11" t="e">
        <f>AND('POTENCIAL HORAS'!#REF!,"AAAAAD//o/M=")</f>
        <v>#REF!</v>
      </c>
      <c r="IK11" t="e">
        <f>AND('POTENCIAL HORAS'!#REF!,"AAAAAD//o/Q=")</f>
        <v>#REF!</v>
      </c>
      <c r="IL11" t="e">
        <f>AND('POTENCIAL HORAS'!#REF!,"AAAAAD//o/U=")</f>
        <v>#REF!</v>
      </c>
      <c r="IM11" t="e">
        <f>AND('POTENCIAL HORAS'!Q82,"AAAAAD//o/Y=")</f>
        <v>#VALUE!</v>
      </c>
      <c r="IN11" t="e">
        <f>AND('POTENCIAL HORAS'!R82,"AAAAAD//o/c=")</f>
        <v>#VALUE!</v>
      </c>
      <c r="IO11" t="e">
        <f>IF('POTENCIAL HORAS'!#REF!,"AAAAAD//o/g=",0)</f>
        <v>#REF!</v>
      </c>
      <c r="IP11" t="e">
        <f>AND('POTENCIAL HORAS'!#REF!,"AAAAAD//o/k=")</f>
        <v>#REF!</v>
      </c>
      <c r="IQ11" t="e">
        <f>AND('POTENCIAL HORAS'!#REF!,"AAAAAD//o/o=")</f>
        <v>#REF!</v>
      </c>
      <c r="IR11" t="e">
        <f>AND('POTENCIAL HORAS'!#REF!,"AAAAAD//o/s=")</f>
        <v>#REF!</v>
      </c>
      <c r="IS11" t="e">
        <f>AND('POTENCIAL HORAS'!#REF!,"AAAAAD//o/w=")</f>
        <v>#REF!</v>
      </c>
      <c r="IT11" t="e">
        <f>AND('POTENCIAL HORAS'!#REF!,"AAAAAD//o/0=")</f>
        <v>#REF!</v>
      </c>
      <c r="IU11" t="e">
        <f>AND('POTENCIAL HORAS'!#REF!,"AAAAAD//o/4=")</f>
        <v>#REF!</v>
      </c>
      <c r="IV11" t="e">
        <f>AND('POTENCIAL HORAS'!#REF!,"AAAAAD//o/8=")</f>
        <v>#REF!</v>
      </c>
    </row>
    <row r="12" spans="1:256" x14ac:dyDescent="0.2">
      <c r="A12" t="e">
        <f>AND('POTENCIAL HORAS'!#REF!,"AAAAAHZx7wA=")</f>
        <v>#REF!</v>
      </c>
      <c r="B12" t="e">
        <f>AND('POTENCIAL HORAS'!#REF!,"AAAAAHZx7wE=")</f>
        <v>#REF!</v>
      </c>
      <c r="C12" t="e">
        <f>AND('POTENCIAL HORAS'!#REF!,"AAAAAHZx7wI=")</f>
        <v>#REF!</v>
      </c>
      <c r="D12" t="e">
        <f>AND('POTENCIAL HORAS'!#REF!,"AAAAAHZx7wM=")</f>
        <v>#REF!</v>
      </c>
      <c r="E12" t="e">
        <f>AND('POTENCIAL HORAS'!#REF!,"AAAAAHZx7wQ=")</f>
        <v>#REF!</v>
      </c>
      <c r="F12" t="e">
        <f>AND('POTENCIAL HORAS'!#REF!,"AAAAAHZx7wU=")</f>
        <v>#REF!</v>
      </c>
      <c r="G12" t="e">
        <f>AND('POTENCIAL HORAS'!#REF!,"AAAAAHZx7wY=")</f>
        <v>#REF!</v>
      </c>
      <c r="H12" t="e">
        <f>AND('POTENCIAL HORAS'!#REF!,"AAAAAHZx7wc=")</f>
        <v>#REF!</v>
      </c>
      <c r="I12" t="e">
        <f>AND('POTENCIAL HORAS'!#REF!,"AAAAAHZx7wg=")</f>
        <v>#REF!</v>
      </c>
      <c r="J12" t="e">
        <f>AND('POTENCIAL HORAS'!#REF!,"AAAAAHZx7wk=")</f>
        <v>#REF!</v>
      </c>
      <c r="K12" t="e">
        <f>AND('POTENCIAL HORAS'!#REF!,"AAAAAHZx7wo=")</f>
        <v>#REF!</v>
      </c>
      <c r="L12" t="e">
        <f>AND('POTENCIAL HORAS'!#REF!,"AAAAAHZx7ws=")</f>
        <v>#REF!</v>
      </c>
      <c r="M12" t="e">
        <f>AND('POTENCIAL HORAS'!#REF!,"AAAAAHZx7ww=")</f>
        <v>#REF!</v>
      </c>
      <c r="N12" t="e">
        <f>AND('POTENCIAL HORAS'!#REF!,"AAAAAHZx7w0=")</f>
        <v>#REF!</v>
      </c>
      <c r="O12" t="e">
        <f>AND('POTENCIAL HORAS'!#REF!,"AAAAAHZx7w4=")</f>
        <v>#REF!</v>
      </c>
      <c r="P12" t="e">
        <f>AND('POTENCIAL HORAS'!#REF!,"AAAAAHZx7w8=")</f>
        <v>#REF!</v>
      </c>
      <c r="Q12" t="e">
        <f>AND('POTENCIAL HORAS'!#REF!,"AAAAAHZx7xA=")</f>
        <v>#REF!</v>
      </c>
      <c r="R12" t="e">
        <f>AND('POTENCIAL HORAS'!#REF!,"AAAAAHZx7xE=")</f>
        <v>#REF!</v>
      </c>
      <c r="S12" t="e">
        <f>AND('POTENCIAL HORAS'!#REF!,"AAAAAHZx7xI=")</f>
        <v>#REF!</v>
      </c>
      <c r="T12" t="e">
        <f>AND('POTENCIAL HORAS'!#REF!,"AAAAAHZx7xM=")</f>
        <v>#REF!</v>
      </c>
      <c r="U12" t="e">
        <f>AND('POTENCIAL HORAS'!#REF!,"AAAAAHZx7xQ=")</f>
        <v>#REF!</v>
      </c>
      <c r="V12" t="e">
        <f>AND('POTENCIAL HORAS'!#REF!,"AAAAAHZx7xU=")</f>
        <v>#REF!</v>
      </c>
      <c r="W12" t="e">
        <f>AND('POTENCIAL HORAS'!#REF!,"AAAAAHZx7xY=")</f>
        <v>#REF!</v>
      </c>
      <c r="X12" t="e">
        <f>AND('POTENCIAL HORAS'!#REF!,"AAAAAHZx7xc=")</f>
        <v>#REF!</v>
      </c>
      <c r="Y12" t="e">
        <f>AND('POTENCIAL HORAS'!#REF!,"AAAAAHZx7xg=")</f>
        <v>#REF!</v>
      </c>
      <c r="Z12" t="e">
        <f>AND('POTENCIAL HORAS'!#REF!,"AAAAAHZx7xk=")</f>
        <v>#REF!</v>
      </c>
      <c r="AA12" t="e">
        <f>AND('POTENCIAL HORAS'!#REF!,"AAAAAHZx7xo=")</f>
        <v>#REF!</v>
      </c>
      <c r="AB12" t="e">
        <f>AND('POTENCIAL HORAS'!#REF!,"AAAAAHZx7xs=")</f>
        <v>#REF!</v>
      </c>
      <c r="AC12" t="e">
        <f>AND('POTENCIAL HORAS'!#REF!,"AAAAAHZx7xw=")</f>
        <v>#REF!</v>
      </c>
      <c r="AD12" t="e">
        <f>AND('POTENCIAL HORAS'!#REF!,"AAAAAHZx7x0=")</f>
        <v>#REF!</v>
      </c>
      <c r="AE12" t="e">
        <f>AND('POTENCIAL HORAS'!#REF!,"AAAAAHZx7x4=")</f>
        <v>#REF!</v>
      </c>
      <c r="AF12">
        <f>IF('POTENCIAL HORAS'!83:83,"AAAAAHZx7x8=",0)</f>
        <v>0</v>
      </c>
      <c r="AG12" t="e">
        <f>AND('POTENCIAL HORAS'!A83,"AAAAAHZx7yA=")</f>
        <v>#VALUE!</v>
      </c>
      <c r="AH12" t="e">
        <f>AND('POTENCIAL HORAS'!B83,"AAAAAHZx7yE=")</f>
        <v>#VALUE!</v>
      </c>
      <c r="AI12" t="e">
        <f>AND('POTENCIAL HORAS'!C83,"AAAAAHZx7yI=")</f>
        <v>#VALUE!</v>
      </c>
      <c r="AJ12" t="e">
        <f>AND('POTENCIAL HORAS'!D83,"AAAAAHZx7yM=")</f>
        <v>#VALUE!</v>
      </c>
      <c r="AK12" t="e">
        <f>AND('POTENCIAL HORAS'!E83,"AAAAAHZx7yQ=")</f>
        <v>#VALUE!</v>
      </c>
      <c r="AL12" t="e">
        <f>AND('POTENCIAL HORAS'!F83,"AAAAAHZx7yU=")</f>
        <v>#VALUE!</v>
      </c>
      <c r="AM12" t="e">
        <f>AND('POTENCIAL HORAS'!G83,"AAAAAHZx7yY=")</f>
        <v>#VALUE!</v>
      </c>
      <c r="AN12" t="e">
        <f>AND('POTENCIAL HORAS'!H83,"AAAAAHZx7yc=")</f>
        <v>#VALUE!</v>
      </c>
      <c r="AO12" t="e">
        <f>AND('POTENCIAL HORAS'!I83,"AAAAAHZx7yg=")</f>
        <v>#VALUE!</v>
      </c>
      <c r="AP12" t="e">
        <f>AND('POTENCIAL HORAS'!J83,"AAAAAHZx7yk=")</f>
        <v>#VALUE!</v>
      </c>
      <c r="AQ12" t="e">
        <f>AND('POTENCIAL HORAS'!K83,"AAAAAHZx7yo=")</f>
        <v>#VALUE!</v>
      </c>
      <c r="AR12" t="e">
        <f>AND('POTENCIAL HORAS'!L83,"AAAAAHZx7ys=")</f>
        <v>#VALUE!</v>
      </c>
      <c r="AS12" t="e">
        <f>AND('POTENCIAL HORAS'!M83,"AAAAAHZx7yw=")</f>
        <v>#VALUE!</v>
      </c>
      <c r="AT12" t="e">
        <f>AND('POTENCIAL HORAS'!N83,"AAAAAHZx7y0=")</f>
        <v>#VALUE!</v>
      </c>
      <c r="AU12" t="e">
        <f>AND('POTENCIAL HORAS'!O83,"AAAAAHZx7y4=")</f>
        <v>#VALUE!</v>
      </c>
      <c r="AV12" t="e">
        <f>AND('POTENCIAL HORAS'!P83,"AAAAAHZx7y8=")</f>
        <v>#VALUE!</v>
      </c>
      <c r="AW12" t="e">
        <f>AND('POTENCIAL HORAS'!#REF!,"AAAAAHZx7zA=")</f>
        <v>#REF!</v>
      </c>
      <c r="AX12" t="e">
        <f>AND('POTENCIAL HORAS'!#REF!,"AAAAAHZx7zE=")</f>
        <v>#REF!</v>
      </c>
      <c r="AY12" t="e">
        <f>AND('POTENCIAL HORAS'!#REF!,"AAAAAHZx7zI=")</f>
        <v>#REF!</v>
      </c>
      <c r="AZ12" t="e">
        <f>AND('POTENCIAL HORAS'!#REF!,"AAAAAHZx7zM=")</f>
        <v>#REF!</v>
      </c>
      <c r="BA12" t="e">
        <f>AND('POTENCIAL HORAS'!#REF!,"AAAAAHZx7zQ=")</f>
        <v>#REF!</v>
      </c>
      <c r="BB12" t="e">
        <f>AND('POTENCIAL HORAS'!#REF!,"AAAAAHZx7zU=")</f>
        <v>#REF!</v>
      </c>
      <c r="BC12" t="e">
        <f>AND('POTENCIAL HORAS'!#REF!,"AAAAAHZx7zY=")</f>
        <v>#REF!</v>
      </c>
      <c r="BD12" t="e">
        <f>AND('POTENCIAL HORAS'!#REF!,"AAAAAHZx7zc=")</f>
        <v>#REF!</v>
      </c>
      <c r="BE12" t="e">
        <f>AND('POTENCIAL HORAS'!#REF!,"AAAAAHZx7zg=")</f>
        <v>#REF!</v>
      </c>
      <c r="BF12" t="e">
        <f>AND('POTENCIAL HORAS'!#REF!,"AAAAAHZx7zk=")</f>
        <v>#REF!</v>
      </c>
      <c r="BG12" t="e">
        <f>AND('POTENCIAL HORAS'!#REF!,"AAAAAHZx7zo=")</f>
        <v>#REF!</v>
      </c>
      <c r="BH12" t="e">
        <f>AND('POTENCIAL HORAS'!#REF!,"AAAAAHZx7zs=")</f>
        <v>#REF!</v>
      </c>
      <c r="BI12" t="e">
        <f>AND('POTENCIAL HORAS'!#REF!,"AAAAAHZx7zw=")</f>
        <v>#REF!</v>
      </c>
      <c r="BJ12" t="e">
        <f>AND('POTENCIAL HORAS'!#REF!,"AAAAAHZx7z0=")</f>
        <v>#REF!</v>
      </c>
      <c r="BK12" t="e">
        <f>AND('POTENCIAL HORAS'!#REF!,"AAAAAHZx7z4=")</f>
        <v>#REF!</v>
      </c>
      <c r="BL12" t="e">
        <f>AND('POTENCIAL HORAS'!#REF!,"AAAAAHZx7z8=")</f>
        <v>#REF!</v>
      </c>
      <c r="BM12" t="e">
        <f>AND('POTENCIAL HORAS'!#REF!,"AAAAAHZx70A=")</f>
        <v>#REF!</v>
      </c>
      <c r="BN12" t="e">
        <f>AND('POTENCIAL HORAS'!#REF!,"AAAAAHZx70E=")</f>
        <v>#REF!</v>
      </c>
      <c r="BO12" t="e">
        <f>AND('POTENCIAL HORAS'!#REF!,"AAAAAHZx70I=")</f>
        <v>#REF!</v>
      </c>
      <c r="BP12" t="e">
        <f>AND('POTENCIAL HORAS'!#REF!,"AAAAAHZx70M=")</f>
        <v>#REF!</v>
      </c>
      <c r="BQ12" t="e">
        <f>AND('POTENCIAL HORAS'!Q83,"AAAAAHZx70Q=")</f>
        <v>#VALUE!</v>
      </c>
      <c r="BR12" t="e">
        <f>AND('POTENCIAL HORAS'!R83,"AAAAAHZx70U=")</f>
        <v>#VALUE!</v>
      </c>
      <c r="BS12">
        <f>IF('POTENCIAL HORAS'!84:84,"AAAAAHZx70Y=",0)</f>
        <v>0</v>
      </c>
      <c r="BT12" t="e">
        <f>AND('POTENCIAL HORAS'!A84,"AAAAAHZx70c=")</f>
        <v>#VALUE!</v>
      </c>
      <c r="BU12" t="e">
        <f>AND('POTENCIAL HORAS'!B84,"AAAAAHZx70g=")</f>
        <v>#VALUE!</v>
      </c>
      <c r="BV12" t="e">
        <f>AND('POTENCIAL HORAS'!C84,"AAAAAHZx70k=")</f>
        <v>#VALUE!</v>
      </c>
      <c r="BW12" t="e">
        <f>AND('POTENCIAL HORAS'!D84,"AAAAAHZx70o=")</f>
        <v>#VALUE!</v>
      </c>
      <c r="BX12" t="e">
        <f>AND('POTENCIAL HORAS'!E84,"AAAAAHZx70s=")</f>
        <v>#VALUE!</v>
      </c>
      <c r="BY12" t="e">
        <f>AND('POTENCIAL HORAS'!F84,"AAAAAHZx70w=")</f>
        <v>#VALUE!</v>
      </c>
      <c r="BZ12" t="e">
        <f>AND('POTENCIAL HORAS'!G84,"AAAAAHZx700=")</f>
        <v>#VALUE!</v>
      </c>
      <c r="CA12" t="e">
        <f>AND('POTENCIAL HORAS'!H84,"AAAAAHZx704=")</f>
        <v>#VALUE!</v>
      </c>
      <c r="CB12" t="e">
        <f>AND('POTENCIAL HORAS'!I84,"AAAAAHZx708=")</f>
        <v>#VALUE!</v>
      </c>
      <c r="CC12" t="e">
        <f>AND('POTENCIAL HORAS'!J84,"AAAAAHZx71A=")</f>
        <v>#VALUE!</v>
      </c>
      <c r="CD12" t="e">
        <f>AND('POTENCIAL HORAS'!K84,"AAAAAHZx71E=")</f>
        <v>#VALUE!</v>
      </c>
      <c r="CE12" t="e">
        <f>AND('POTENCIAL HORAS'!L84,"AAAAAHZx71I=")</f>
        <v>#VALUE!</v>
      </c>
      <c r="CF12" t="e">
        <f>AND('POTENCIAL HORAS'!M84,"AAAAAHZx71M=")</f>
        <v>#VALUE!</v>
      </c>
      <c r="CG12" t="e">
        <f>AND('POTENCIAL HORAS'!N84,"AAAAAHZx71Q=")</f>
        <v>#VALUE!</v>
      </c>
      <c r="CH12" t="e">
        <f>AND('POTENCIAL HORAS'!O84,"AAAAAHZx71U=")</f>
        <v>#VALUE!</v>
      </c>
      <c r="CI12" t="e">
        <f>AND('POTENCIAL HORAS'!P84,"AAAAAHZx71Y=")</f>
        <v>#VALUE!</v>
      </c>
      <c r="CJ12" t="e">
        <f>AND('POTENCIAL HORAS'!#REF!,"AAAAAHZx71c=")</f>
        <v>#REF!</v>
      </c>
      <c r="CK12" t="e">
        <f>AND('POTENCIAL HORAS'!#REF!,"AAAAAHZx71g=")</f>
        <v>#REF!</v>
      </c>
      <c r="CL12" t="e">
        <f>AND('POTENCIAL HORAS'!#REF!,"AAAAAHZx71k=")</f>
        <v>#REF!</v>
      </c>
      <c r="CM12" t="e">
        <f>AND('POTENCIAL HORAS'!#REF!,"AAAAAHZx71o=")</f>
        <v>#REF!</v>
      </c>
      <c r="CN12" t="e">
        <f>AND('POTENCIAL HORAS'!#REF!,"AAAAAHZx71s=")</f>
        <v>#REF!</v>
      </c>
      <c r="CO12" t="e">
        <f>AND('POTENCIAL HORAS'!#REF!,"AAAAAHZx71w=")</f>
        <v>#REF!</v>
      </c>
      <c r="CP12" t="e">
        <f>AND('POTENCIAL HORAS'!#REF!,"AAAAAHZx710=")</f>
        <v>#REF!</v>
      </c>
      <c r="CQ12" t="e">
        <f>AND('POTENCIAL HORAS'!#REF!,"AAAAAHZx714=")</f>
        <v>#REF!</v>
      </c>
      <c r="CR12" t="e">
        <f>AND('POTENCIAL HORAS'!#REF!,"AAAAAHZx718=")</f>
        <v>#REF!</v>
      </c>
      <c r="CS12" t="e">
        <f>AND('POTENCIAL HORAS'!#REF!,"AAAAAHZx72A=")</f>
        <v>#REF!</v>
      </c>
      <c r="CT12" t="e">
        <f>AND('POTENCIAL HORAS'!#REF!,"AAAAAHZx72E=")</f>
        <v>#REF!</v>
      </c>
      <c r="CU12" t="e">
        <f>AND('POTENCIAL HORAS'!#REF!,"AAAAAHZx72I=")</f>
        <v>#REF!</v>
      </c>
      <c r="CV12" t="e">
        <f>AND('POTENCIAL HORAS'!#REF!,"AAAAAHZx72M=")</f>
        <v>#REF!</v>
      </c>
      <c r="CW12" t="e">
        <f>AND('POTENCIAL HORAS'!#REF!,"AAAAAHZx72Q=")</f>
        <v>#REF!</v>
      </c>
      <c r="CX12" t="e">
        <f>AND('POTENCIAL HORAS'!#REF!,"AAAAAHZx72U=")</f>
        <v>#REF!</v>
      </c>
      <c r="CY12" t="e">
        <f>AND('POTENCIAL HORAS'!#REF!,"AAAAAHZx72Y=")</f>
        <v>#REF!</v>
      </c>
      <c r="CZ12" t="e">
        <f>AND('POTENCIAL HORAS'!#REF!,"AAAAAHZx72c=")</f>
        <v>#REF!</v>
      </c>
      <c r="DA12" t="e">
        <f>AND('POTENCIAL HORAS'!#REF!,"AAAAAHZx72g=")</f>
        <v>#REF!</v>
      </c>
      <c r="DB12" t="e">
        <f>AND('POTENCIAL HORAS'!#REF!,"AAAAAHZx72k=")</f>
        <v>#REF!</v>
      </c>
      <c r="DC12" t="e">
        <f>AND('POTENCIAL HORAS'!#REF!,"AAAAAHZx72o=")</f>
        <v>#REF!</v>
      </c>
      <c r="DD12" t="e">
        <f>AND('POTENCIAL HORAS'!Q84,"AAAAAHZx72s=")</f>
        <v>#VALUE!</v>
      </c>
      <c r="DE12" t="e">
        <f>AND('POTENCIAL HORAS'!R84,"AAAAAHZx72w=")</f>
        <v>#VALUE!</v>
      </c>
      <c r="DF12">
        <f>IF('POTENCIAL HORAS'!85:85,"AAAAAHZx720=",0)</f>
        <v>0</v>
      </c>
      <c r="DG12" t="e">
        <f>AND('POTENCIAL HORAS'!A85,"AAAAAHZx724=")</f>
        <v>#VALUE!</v>
      </c>
      <c r="DH12" t="e">
        <f>AND('POTENCIAL HORAS'!B85,"AAAAAHZx728=")</f>
        <v>#VALUE!</v>
      </c>
      <c r="DI12" t="e">
        <f>AND('POTENCIAL HORAS'!C85,"AAAAAHZx73A=")</f>
        <v>#VALUE!</v>
      </c>
      <c r="DJ12" t="e">
        <f>AND('POTENCIAL HORAS'!D85,"AAAAAHZx73E=")</f>
        <v>#VALUE!</v>
      </c>
      <c r="DK12" t="e">
        <f>AND('POTENCIAL HORAS'!E85,"AAAAAHZx73I=")</f>
        <v>#VALUE!</v>
      </c>
      <c r="DL12" t="e">
        <f>AND('POTENCIAL HORAS'!F85,"AAAAAHZx73M=")</f>
        <v>#VALUE!</v>
      </c>
      <c r="DM12" t="e">
        <f>AND('POTENCIAL HORAS'!G85,"AAAAAHZx73Q=")</f>
        <v>#VALUE!</v>
      </c>
      <c r="DN12" t="e">
        <f>AND('POTENCIAL HORAS'!H85,"AAAAAHZx73U=")</f>
        <v>#VALUE!</v>
      </c>
      <c r="DO12" t="e">
        <f>AND('POTENCIAL HORAS'!I85,"AAAAAHZx73Y=")</f>
        <v>#VALUE!</v>
      </c>
      <c r="DP12" t="e">
        <f>AND('POTENCIAL HORAS'!J85,"AAAAAHZx73c=")</f>
        <v>#VALUE!</v>
      </c>
      <c r="DQ12" t="e">
        <f>AND('POTENCIAL HORAS'!K85,"AAAAAHZx73g=")</f>
        <v>#VALUE!</v>
      </c>
      <c r="DR12" t="e">
        <f>AND('POTENCIAL HORAS'!L85,"AAAAAHZx73k=")</f>
        <v>#VALUE!</v>
      </c>
      <c r="DS12" t="e">
        <f>AND('POTENCIAL HORAS'!M85,"AAAAAHZx73o=")</f>
        <v>#VALUE!</v>
      </c>
      <c r="DT12" t="e">
        <f>AND('POTENCIAL HORAS'!N85,"AAAAAHZx73s=")</f>
        <v>#VALUE!</v>
      </c>
      <c r="DU12" t="e">
        <f>AND('POTENCIAL HORAS'!O85,"AAAAAHZx73w=")</f>
        <v>#VALUE!</v>
      </c>
      <c r="DV12" t="e">
        <f>AND('POTENCIAL HORAS'!P85,"AAAAAHZx730=")</f>
        <v>#VALUE!</v>
      </c>
      <c r="DW12" t="e">
        <f>AND('POTENCIAL HORAS'!#REF!,"AAAAAHZx734=")</f>
        <v>#REF!</v>
      </c>
      <c r="DX12" t="e">
        <f>AND('POTENCIAL HORAS'!#REF!,"AAAAAHZx738=")</f>
        <v>#REF!</v>
      </c>
      <c r="DY12" t="e">
        <f>AND('POTENCIAL HORAS'!#REF!,"AAAAAHZx74A=")</f>
        <v>#REF!</v>
      </c>
      <c r="DZ12" t="e">
        <f>AND('POTENCIAL HORAS'!#REF!,"AAAAAHZx74E=")</f>
        <v>#REF!</v>
      </c>
      <c r="EA12" t="e">
        <f>AND('POTENCIAL HORAS'!#REF!,"AAAAAHZx74I=")</f>
        <v>#REF!</v>
      </c>
      <c r="EB12" t="e">
        <f>AND('POTENCIAL HORAS'!#REF!,"AAAAAHZx74M=")</f>
        <v>#REF!</v>
      </c>
      <c r="EC12" t="e">
        <f>AND('POTENCIAL HORAS'!#REF!,"AAAAAHZx74Q=")</f>
        <v>#REF!</v>
      </c>
      <c r="ED12" t="e">
        <f>AND('POTENCIAL HORAS'!#REF!,"AAAAAHZx74U=")</f>
        <v>#REF!</v>
      </c>
      <c r="EE12" t="e">
        <f>AND('POTENCIAL HORAS'!#REF!,"AAAAAHZx74Y=")</f>
        <v>#REF!</v>
      </c>
      <c r="EF12" t="e">
        <f>AND('POTENCIAL HORAS'!#REF!,"AAAAAHZx74c=")</f>
        <v>#REF!</v>
      </c>
      <c r="EG12" t="e">
        <f>AND('POTENCIAL HORAS'!#REF!,"AAAAAHZx74g=")</f>
        <v>#REF!</v>
      </c>
      <c r="EH12" t="e">
        <f>AND('POTENCIAL HORAS'!#REF!,"AAAAAHZx74k=")</f>
        <v>#REF!</v>
      </c>
      <c r="EI12" t="e">
        <f>AND('POTENCIAL HORAS'!#REF!,"AAAAAHZx74o=")</f>
        <v>#REF!</v>
      </c>
      <c r="EJ12" t="e">
        <f>AND('POTENCIAL HORAS'!#REF!,"AAAAAHZx74s=")</f>
        <v>#REF!</v>
      </c>
      <c r="EK12" t="e">
        <f>AND('POTENCIAL HORAS'!#REF!,"AAAAAHZx74w=")</f>
        <v>#REF!</v>
      </c>
      <c r="EL12" t="e">
        <f>AND('POTENCIAL HORAS'!#REF!,"AAAAAHZx740=")</f>
        <v>#REF!</v>
      </c>
      <c r="EM12" t="e">
        <f>AND('POTENCIAL HORAS'!#REF!,"AAAAAHZx744=")</f>
        <v>#REF!</v>
      </c>
      <c r="EN12" t="e">
        <f>AND('POTENCIAL HORAS'!#REF!,"AAAAAHZx748=")</f>
        <v>#REF!</v>
      </c>
      <c r="EO12" t="e">
        <f>AND('POTENCIAL HORAS'!#REF!,"AAAAAHZx75A=")</f>
        <v>#REF!</v>
      </c>
      <c r="EP12" t="e">
        <f>AND('POTENCIAL HORAS'!#REF!,"AAAAAHZx75E=")</f>
        <v>#REF!</v>
      </c>
      <c r="EQ12" t="e">
        <f>AND('POTENCIAL HORAS'!Q85,"AAAAAHZx75I=")</f>
        <v>#VALUE!</v>
      </c>
      <c r="ER12" t="e">
        <f>AND('POTENCIAL HORAS'!R85,"AAAAAHZx75M=")</f>
        <v>#VALUE!</v>
      </c>
      <c r="ES12">
        <f>IF('POTENCIAL HORAS'!86:86,"AAAAAHZx75Q=",0)</f>
        <v>0</v>
      </c>
      <c r="ET12" t="e">
        <f>AND('POTENCIAL HORAS'!A86,"AAAAAHZx75U=")</f>
        <v>#VALUE!</v>
      </c>
      <c r="EU12" t="e">
        <f>AND('POTENCIAL HORAS'!B86,"AAAAAHZx75Y=")</f>
        <v>#VALUE!</v>
      </c>
      <c r="EV12" t="e">
        <f>AND('POTENCIAL HORAS'!C86,"AAAAAHZx75c=")</f>
        <v>#VALUE!</v>
      </c>
      <c r="EW12" t="e">
        <f>AND('POTENCIAL HORAS'!D86,"AAAAAHZx75g=")</f>
        <v>#VALUE!</v>
      </c>
      <c r="EX12" t="e">
        <f>AND('POTENCIAL HORAS'!E86,"AAAAAHZx75k=")</f>
        <v>#VALUE!</v>
      </c>
      <c r="EY12" t="e">
        <f>AND('POTENCIAL HORAS'!F86,"AAAAAHZx75o=")</f>
        <v>#VALUE!</v>
      </c>
      <c r="EZ12" t="e">
        <f>AND('POTENCIAL HORAS'!G86,"AAAAAHZx75s=")</f>
        <v>#VALUE!</v>
      </c>
      <c r="FA12" t="e">
        <f>AND('POTENCIAL HORAS'!H86,"AAAAAHZx75w=")</f>
        <v>#VALUE!</v>
      </c>
      <c r="FB12" t="e">
        <f>AND('POTENCIAL HORAS'!I86,"AAAAAHZx750=")</f>
        <v>#VALUE!</v>
      </c>
      <c r="FC12" t="e">
        <f>AND('POTENCIAL HORAS'!J86,"AAAAAHZx754=")</f>
        <v>#VALUE!</v>
      </c>
      <c r="FD12" t="e">
        <f>AND('POTENCIAL HORAS'!K86,"AAAAAHZx758=")</f>
        <v>#VALUE!</v>
      </c>
      <c r="FE12" t="e">
        <f>AND('POTENCIAL HORAS'!L86,"AAAAAHZx76A=")</f>
        <v>#VALUE!</v>
      </c>
      <c r="FF12" t="e">
        <f>AND('POTENCIAL HORAS'!M86,"AAAAAHZx76E=")</f>
        <v>#VALUE!</v>
      </c>
      <c r="FG12" t="e">
        <f>AND('POTENCIAL HORAS'!N86,"AAAAAHZx76I=")</f>
        <v>#VALUE!</v>
      </c>
      <c r="FH12" t="e">
        <f>AND('POTENCIAL HORAS'!O86,"AAAAAHZx76M=")</f>
        <v>#VALUE!</v>
      </c>
      <c r="FI12" t="e">
        <f>AND('POTENCIAL HORAS'!P86,"AAAAAHZx76Q=")</f>
        <v>#VALUE!</v>
      </c>
      <c r="FJ12" t="e">
        <f>AND('POTENCIAL HORAS'!#REF!,"AAAAAHZx76U=")</f>
        <v>#REF!</v>
      </c>
      <c r="FK12" t="e">
        <f>AND('POTENCIAL HORAS'!#REF!,"AAAAAHZx76Y=")</f>
        <v>#REF!</v>
      </c>
      <c r="FL12" t="e">
        <f>AND('POTENCIAL HORAS'!#REF!,"AAAAAHZx76c=")</f>
        <v>#REF!</v>
      </c>
      <c r="FM12" t="e">
        <f>AND('POTENCIAL HORAS'!#REF!,"AAAAAHZx76g=")</f>
        <v>#REF!</v>
      </c>
      <c r="FN12" t="e">
        <f>AND('POTENCIAL HORAS'!#REF!,"AAAAAHZx76k=")</f>
        <v>#REF!</v>
      </c>
      <c r="FO12" t="e">
        <f>AND('POTENCIAL HORAS'!#REF!,"AAAAAHZx76o=")</f>
        <v>#REF!</v>
      </c>
      <c r="FP12" t="e">
        <f>AND('POTENCIAL HORAS'!#REF!,"AAAAAHZx76s=")</f>
        <v>#REF!</v>
      </c>
      <c r="FQ12" t="e">
        <f>AND('POTENCIAL HORAS'!#REF!,"AAAAAHZx76w=")</f>
        <v>#REF!</v>
      </c>
      <c r="FR12" t="e">
        <f>AND('POTENCIAL HORAS'!#REF!,"AAAAAHZx760=")</f>
        <v>#REF!</v>
      </c>
      <c r="FS12" t="e">
        <f>AND('POTENCIAL HORAS'!#REF!,"AAAAAHZx764=")</f>
        <v>#REF!</v>
      </c>
      <c r="FT12" t="e">
        <f>AND('POTENCIAL HORAS'!#REF!,"AAAAAHZx768=")</f>
        <v>#REF!</v>
      </c>
      <c r="FU12" t="e">
        <f>AND('POTENCIAL HORAS'!#REF!,"AAAAAHZx77A=")</f>
        <v>#REF!</v>
      </c>
      <c r="FV12" t="e">
        <f>AND('POTENCIAL HORAS'!#REF!,"AAAAAHZx77E=")</f>
        <v>#REF!</v>
      </c>
      <c r="FW12" t="e">
        <f>AND('POTENCIAL HORAS'!#REF!,"AAAAAHZx77I=")</f>
        <v>#REF!</v>
      </c>
      <c r="FX12" t="e">
        <f>AND('POTENCIAL HORAS'!#REF!,"AAAAAHZx77M=")</f>
        <v>#REF!</v>
      </c>
      <c r="FY12" t="e">
        <f>AND('POTENCIAL HORAS'!#REF!,"AAAAAHZx77Q=")</f>
        <v>#REF!</v>
      </c>
      <c r="FZ12" t="e">
        <f>AND('POTENCIAL HORAS'!#REF!,"AAAAAHZx77U=")</f>
        <v>#REF!</v>
      </c>
      <c r="GA12" t="e">
        <f>AND('POTENCIAL HORAS'!#REF!,"AAAAAHZx77Y=")</f>
        <v>#REF!</v>
      </c>
      <c r="GB12" t="e">
        <f>AND('POTENCIAL HORAS'!#REF!,"AAAAAHZx77c=")</f>
        <v>#REF!</v>
      </c>
      <c r="GC12" t="e">
        <f>AND('POTENCIAL HORAS'!#REF!,"AAAAAHZx77g=")</f>
        <v>#REF!</v>
      </c>
      <c r="GD12" t="e">
        <f>AND('POTENCIAL HORAS'!Q86,"AAAAAHZx77k=")</f>
        <v>#VALUE!</v>
      </c>
      <c r="GE12" t="e">
        <f>AND('POTENCIAL HORAS'!R86,"AAAAAHZx77o=")</f>
        <v>#VALUE!</v>
      </c>
      <c r="GF12">
        <f>IF('POTENCIAL HORAS'!87:87,"AAAAAHZx77s=",0)</f>
        <v>0</v>
      </c>
      <c r="GG12" t="e">
        <f>AND('POTENCIAL HORAS'!A87,"AAAAAHZx77w=")</f>
        <v>#VALUE!</v>
      </c>
      <c r="GH12" t="e">
        <f>AND('POTENCIAL HORAS'!B87,"AAAAAHZx770=")</f>
        <v>#VALUE!</v>
      </c>
      <c r="GI12" t="e">
        <f>AND('POTENCIAL HORAS'!C87,"AAAAAHZx774=")</f>
        <v>#VALUE!</v>
      </c>
      <c r="GJ12" t="e">
        <f>AND('POTENCIAL HORAS'!D87,"AAAAAHZx778=")</f>
        <v>#VALUE!</v>
      </c>
      <c r="GK12" t="e">
        <f>AND('POTENCIAL HORAS'!E87,"AAAAAHZx78A=")</f>
        <v>#VALUE!</v>
      </c>
      <c r="GL12" t="e">
        <f>AND('POTENCIAL HORAS'!F87,"AAAAAHZx78E=")</f>
        <v>#VALUE!</v>
      </c>
      <c r="GM12" t="e">
        <f>AND('POTENCIAL HORAS'!G87,"AAAAAHZx78I=")</f>
        <v>#VALUE!</v>
      </c>
      <c r="GN12" t="e">
        <f>AND('POTENCIAL HORAS'!H87,"AAAAAHZx78M=")</f>
        <v>#VALUE!</v>
      </c>
      <c r="GO12" t="e">
        <f>AND('POTENCIAL HORAS'!I87,"AAAAAHZx78Q=")</f>
        <v>#VALUE!</v>
      </c>
      <c r="GP12" t="e">
        <f>AND('POTENCIAL HORAS'!J87,"AAAAAHZx78U=")</f>
        <v>#VALUE!</v>
      </c>
      <c r="GQ12" t="e">
        <f>AND('POTENCIAL HORAS'!K87,"AAAAAHZx78Y=")</f>
        <v>#VALUE!</v>
      </c>
      <c r="GR12" t="e">
        <f>AND('POTENCIAL HORAS'!L87,"AAAAAHZx78c=")</f>
        <v>#VALUE!</v>
      </c>
      <c r="GS12" t="e">
        <f>AND('POTENCIAL HORAS'!M87,"AAAAAHZx78g=")</f>
        <v>#VALUE!</v>
      </c>
      <c r="GT12" t="e">
        <f>AND('POTENCIAL HORAS'!N87,"AAAAAHZx78k=")</f>
        <v>#VALUE!</v>
      </c>
      <c r="GU12" t="e">
        <f>AND('POTENCIAL HORAS'!O87,"AAAAAHZx78o=")</f>
        <v>#VALUE!</v>
      </c>
      <c r="GV12" t="e">
        <f>AND('POTENCIAL HORAS'!P87,"AAAAAHZx78s=")</f>
        <v>#VALUE!</v>
      </c>
      <c r="GW12" t="e">
        <f>AND('POTENCIAL HORAS'!#REF!,"AAAAAHZx78w=")</f>
        <v>#REF!</v>
      </c>
      <c r="GX12" t="e">
        <f>AND('POTENCIAL HORAS'!#REF!,"AAAAAHZx780=")</f>
        <v>#REF!</v>
      </c>
      <c r="GY12" t="e">
        <f>AND('POTENCIAL HORAS'!#REF!,"AAAAAHZx784=")</f>
        <v>#REF!</v>
      </c>
      <c r="GZ12" t="e">
        <f>AND('POTENCIAL HORAS'!#REF!,"AAAAAHZx788=")</f>
        <v>#REF!</v>
      </c>
      <c r="HA12" t="e">
        <f>AND('POTENCIAL HORAS'!#REF!,"AAAAAHZx79A=")</f>
        <v>#REF!</v>
      </c>
      <c r="HB12" t="e">
        <f>AND('POTENCIAL HORAS'!#REF!,"AAAAAHZx79E=")</f>
        <v>#REF!</v>
      </c>
      <c r="HC12" t="e">
        <f>AND('POTENCIAL HORAS'!#REF!,"AAAAAHZx79I=")</f>
        <v>#REF!</v>
      </c>
      <c r="HD12" t="e">
        <f>AND('POTENCIAL HORAS'!#REF!,"AAAAAHZx79M=")</f>
        <v>#REF!</v>
      </c>
      <c r="HE12" t="e">
        <f>AND('POTENCIAL HORAS'!#REF!,"AAAAAHZx79Q=")</f>
        <v>#REF!</v>
      </c>
      <c r="HF12" t="e">
        <f>AND('POTENCIAL HORAS'!#REF!,"AAAAAHZx79U=")</f>
        <v>#REF!</v>
      </c>
      <c r="HG12" t="e">
        <f>AND('POTENCIAL HORAS'!#REF!,"AAAAAHZx79Y=")</f>
        <v>#REF!</v>
      </c>
      <c r="HH12" t="e">
        <f>AND('POTENCIAL HORAS'!#REF!,"AAAAAHZx79c=")</f>
        <v>#REF!</v>
      </c>
      <c r="HI12" t="e">
        <f>AND('POTENCIAL HORAS'!#REF!,"AAAAAHZx79g=")</f>
        <v>#REF!</v>
      </c>
      <c r="HJ12" t="e">
        <f>AND('POTENCIAL HORAS'!#REF!,"AAAAAHZx79k=")</f>
        <v>#REF!</v>
      </c>
      <c r="HK12" t="e">
        <f>AND('POTENCIAL HORAS'!#REF!,"AAAAAHZx79o=")</f>
        <v>#REF!</v>
      </c>
      <c r="HL12" t="e">
        <f>AND('POTENCIAL HORAS'!#REF!,"AAAAAHZx79s=")</f>
        <v>#REF!</v>
      </c>
      <c r="HM12" t="e">
        <f>AND('POTENCIAL HORAS'!#REF!,"AAAAAHZx79w=")</f>
        <v>#REF!</v>
      </c>
      <c r="HN12" t="e">
        <f>AND('POTENCIAL HORAS'!#REF!,"AAAAAHZx790=")</f>
        <v>#REF!</v>
      </c>
      <c r="HO12" t="e">
        <f>AND('POTENCIAL HORAS'!#REF!,"AAAAAHZx794=")</f>
        <v>#REF!</v>
      </c>
      <c r="HP12" t="e">
        <f>AND('POTENCIAL HORAS'!#REF!,"AAAAAHZx798=")</f>
        <v>#REF!</v>
      </c>
      <c r="HQ12" t="e">
        <f>AND('POTENCIAL HORAS'!Q87,"AAAAAHZx7+A=")</f>
        <v>#VALUE!</v>
      </c>
      <c r="HR12" t="e">
        <f>AND('POTENCIAL HORAS'!R87,"AAAAAHZx7+E=")</f>
        <v>#VALUE!</v>
      </c>
      <c r="HS12">
        <f>IF('POTENCIAL HORAS'!88:88,"AAAAAHZx7+I=",0)</f>
        <v>0</v>
      </c>
      <c r="HT12" t="e">
        <f>AND('POTENCIAL HORAS'!A88,"AAAAAHZx7+M=")</f>
        <v>#VALUE!</v>
      </c>
      <c r="HU12" t="e">
        <f>AND('POTENCIAL HORAS'!B88,"AAAAAHZx7+Q=")</f>
        <v>#VALUE!</v>
      </c>
      <c r="HV12" t="e">
        <f>AND('POTENCIAL HORAS'!C88,"AAAAAHZx7+U=")</f>
        <v>#VALUE!</v>
      </c>
      <c r="HW12" t="e">
        <f>AND('POTENCIAL HORAS'!D88,"AAAAAHZx7+Y=")</f>
        <v>#VALUE!</v>
      </c>
      <c r="HX12" t="e">
        <f>AND('POTENCIAL HORAS'!E88,"AAAAAHZx7+c=")</f>
        <v>#VALUE!</v>
      </c>
      <c r="HY12" t="e">
        <f>AND('POTENCIAL HORAS'!F88,"AAAAAHZx7+g=")</f>
        <v>#VALUE!</v>
      </c>
      <c r="HZ12" t="e">
        <f>AND('POTENCIAL HORAS'!G88,"AAAAAHZx7+k=")</f>
        <v>#VALUE!</v>
      </c>
      <c r="IA12" t="e">
        <f>AND('POTENCIAL HORAS'!H88,"AAAAAHZx7+o=")</f>
        <v>#VALUE!</v>
      </c>
      <c r="IB12" t="e">
        <f>AND('POTENCIAL HORAS'!I88,"AAAAAHZx7+s=")</f>
        <v>#VALUE!</v>
      </c>
      <c r="IC12" t="e">
        <f>AND('POTENCIAL HORAS'!J88,"AAAAAHZx7+w=")</f>
        <v>#VALUE!</v>
      </c>
      <c r="ID12" t="e">
        <f>AND('POTENCIAL HORAS'!K88,"AAAAAHZx7+0=")</f>
        <v>#VALUE!</v>
      </c>
      <c r="IE12" t="e">
        <f>AND('POTENCIAL HORAS'!L88,"AAAAAHZx7+4=")</f>
        <v>#VALUE!</v>
      </c>
      <c r="IF12" t="e">
        <f>AND('POTENCIAL HORAS'!M88,"AAAAAHZx7+8=")</f>
        <v>#VALUE!</v>
      </c>
      <c r="IG12" t="e">
        <f>AND('POTENCIAL HORAS'!N88,"AAAAAHZx7/A=")</f>
        <v>#VALUE!</v>
      </c>
      <c r="IH12" t="e">
        <f>AND('POTENCIAL HORAS'!O88,"AAAAAHZx7/E=")</f>
        <v>#VALUE!</v>
      </c>
      <c r="II12" t="e">
        <f>AND('POTENCIAL HORAS'!P88,"AAAAAHZx7/I=")</f>
        <v>#VALUE!</v>
      </c>
      <c r="IJ12" t="e">
        <f>AND('POTENCIAL HORAS'!#REF!,"AAAAAHZx7/M=")</f>
        <v>#REF!</v>
      </c>
      <c r="IK12" t="e">
        <f>AND('POTENCIAL HORAS'!#REF!,"AAAAAHZx7/Q=")</f>
        <v>#REF!</v>
      </c>
      <c r="IL12" t="e">
        <f>AND('POTENCIAL HORAS'!#REF!,"AAAAAHZx7/U=")</f>
        <v>#REF!</v>
      </c>
      <c r="IM12" t="e">
        <f>AND('POTENCIAL HORAS'!#REF!,"AAAAAHZx7/Y=")</f>
        <v>#REF!</v>
      </c>
      <c r="IN12" t="e">
        <f>AND('POTENCIAL HORAS'!#REF!,"AAAAAHZx7/c=")</f>
        <v>#REF!</v>
      </c>
      <c r="IO12" t="e">
        <f>AND('POTENCIAL HORAS'!#REF!,"AAAAAHZx7/g=")</f>
        <v>#REF!</v>
      </c>
      <c r="IP12" t="e">
        <f>AND('POTENCIAL HORAS'!#REF!,"AAAAAHZx7/k=")</f>
        <v>#REF!</v>
      </c>
      <c r="IQ12" t="e">
        <f>AND('POTENCIAL HORAS'!#REF!,"AAAAAHZx7/o=")</f>
        <v>#REF!</v>
      </c>
      <c r="IR12" t="e">
        <f>AND('POTENCIAL HORAS'!#REF!,"AAAAAHZx7/s=")</f>
        <v>#REF!</v>
      </c>
      <c r="IS12" t="e">
        <f>AND('POTENCIAL HORAS'!#REF!,"AAAAAHZx7/w=")</f>
        <v>#REF!</v>
      </c>
      <c r="IT12" t="e">
        <f>AND('POTENCIAL HORAS'!#REF!,"AAAAAHZx7/0=")</f>
        <v>#REF!</v>
      </c>
      <c r="IU12" t="e">
        <f>AND('POTENCIAL HORAS'!#REF!,"AAAAAHZx7/4=")</f>
        <v>#REF!</v>
      </c>
      <c r="IV12" t="e">
        <f>AND('POTENCIAL HORAS'!#REF!,"AAAAAHZx7/8=")</f>
        <v>#REF!</v>
      </c>
    </row>
    <row r="13" spans="1:256" x14ac:dyDescent="0.2">
      <c r="A13" t="e">
        <f>AND('POTENCIAL HORAS'!#REF!,"AAAAAD8/OwA=")</f>
        <v>#REF!</v>
      </c>
      <c r="B13" t="e">
        <f>AND('POTENCIAL HORAS'!#REF!,"AAAAAD8/OwE=")</f>
        <v>#REF!</v>
      </c>
      <c r="C13" t="e">
        <f>AND('POTENCIAL HORAS'!#REF!,"AAAAAD8/OwI=")</f>
        <v>#REF!</v>
      </c>
      <c r="D13" t="e">
        <f>AND('POTENCIAL HORAS'!#REF!,"AAAAAD8/OwM=")</f>
        <v>#REF!</v>
      </c>
      <c r="E13" t="e">
        <f>AND('POTENCIAL HORAS'!#REF!,"AAAAAD8/OwQ=")</f>
        <v>#REF!</v>
      </c>
      <c r="F13" t="e">
        <f>AND('POTENCIAL HORAS'!#REF!,"AAAAAD8/OwU=")</f>
        <v>#REF!</v>
      </c>
      <c r="G13" t="e">
        <f>AND('POTENCIAL HORAS'!#REF!,"AAAAAD8/OwY=")</f>
        <v>#REF!</v>
      </c>
      <c r="H13" t="e">
        <f>AND('POTENCIAL HORAS'!Q88,"AAAAAD8/Owc=")</f>
        <v>#VALUE!</v>
      </c>
      <c r="I13" t="e">
        <f>AND('POTENCIAL HORAS'!R88,"AAAAAD8/Owg=")</f>
        <v>#VALUE!</v>
      </c>
      <c r="J13" t="e">
        <f>IF('POTENCIAL HORAS'!#REF!,"AAAAAD8/Owk=",0)</f>
        <v>#REF!</v>
      </c>
      <c r="K13" t="e">
        <f>AND('POTENCIAL HORAS'!#REF!,"AAAAAD8/Owo=")</f>
        <v>#REF!</v>
      </c>
      <c r="L13" t="e">
        <f>AND('POTENCIAL HORAS'!#REF!,"AAAAAD8/Ows=")</f>
        <v>#REF!</v>
      </c>
      <c r="M13" t="e">
        <f>AND('POTENCIAL HORAS'!#REF!,"AAAAAD8/Oww=")</f>
        <v>#REF!</v>
      </c>
      <c r="N13" t="e">
        <f>AND('POTENCIAL HORAS'!#REF!,"AAAAAD8/Ow0=")</f>
        <v>#REF!</v>
      </c>
      <c r="O13" t="e">
        <f>AND('POTENCIAL HORAS'!#REF!,"AAAAAD8/Ow4=")</f>
        <v>#REF!</v>
      </c>
      <c r="P13" t="e">
        <f>AND('POTENCIAL HORAS'!#REF!,"AAAAAD8/Ow8=")</f>
        <v>#REF!</v>
      </c>
      <c r="Q13" t="e">
        <f>AND('POTENCIAL HORAS'!#REF!,"AAAAAD8/OxA=")</f>
        <v>#REF!</v>
      </c>
      <c r="R13" t="e">
        <f>AND('POTENCIAL HORAS'!#REF!,"AAAAAD8/OxE=")</f>
        <v>#REF!</v>
      </c>
      <c r="S13" t="e">
        <f>AND('POTENCIAL HORAS'!#REF!,"AAAAAD8/OxI=")</f>
        <v>#REF!</v>
      </c>
      <c r="T13" t="e">
        <f>AND('POTENCIAL HORAS'!#REF!,"AAAAAD8/OxM=")</f>
        <v>#REF!</v>
      </c>
      <c r="U13" t="e">
        <f>AND('POTENCIAL HORAS'!#REF!,"AAAAAD8/OxQ=")</f>
        <v>#REF!</v>
      </c>
      <c r="V13" t="e">
        <f>AND('POTENCIAL HORAS'!#REF!,"AAAAAD8/OxU=")</f>
        <v>#REF!</v>
      </c>
      <c r="W13" t="e">
        <f>AND('POTENCIAL HORAS'!#REF!,"AAAAAD8/OxY=")</f>
        <v>#REF!</v>
      </c>
      <c r="X13" t="e">
        <f>AND('POTENCIAL HORAS'!#REF!,"AAAAAD8/Oxc=")</f>
        <v>#REF!</v>
      </c>
      <c r="Y13" t="e">
        <f>AND('POTENCIAL HORAS'!#REF!,"AAAAAD8/Oxg=")</f>
        <v>#REF!</v>
      </c>
      <c r="Z13" t="e">
        <f>AND('POTENCIAL HORAS'!#REF!,"AAAAAD8/Oxk=")</f>
        <v>#REF!</v>
      </c>
      <c r="AA13" t="e">
        <f>AND('POTENCIAL HORAS'!#REF!,"AAAAAD8/Oxo=")</f>
        <v>#REF!</v>
      </c>
      <c r="AB13" t="e">
        <f>AND('POTENCIAL HORAS'!#REF!,"AAAAAD8/Oxs=")</f>
        <v>#REF!</v>
      </c>
      <c r="AC13" t="e">
        <f>AND('POTENCIAL HORAS'!#REF!,"AAAAAD8/Oxw=")</f>
        <v>#REF!</v>
      </c>
      <c r="AD13" t="e">
        <f>AND('POTENCIAL HORAS'!#REF!,"AAAAAD8/Ox0=")</f>
        <v>#REF!</v>
      </c>
      <c r="AE13" t="e">
        <f>AND('POTENCIAL HORAS'!#REF!,"AAAAAD8/Ox4=")</f>
        <v>#REF!</v>
      </c>
      <c r="AF13" t="e">
        <f>AND('POTENCIAL HORAS'!#REF!,"AAAAAD8/Ox8=")</f>
        <v>#REF!</v>
      </c>
      <c r="AG13" t="e">
        <f>AND('POTENCIAL HORAS'!#REF!,"AAAAAD8/OyA=")</f>
        <v>#REF!</v>
      </c>
      <c r="AH13" t="e">
        <f>AND('POTENCIAL HORAS'!#REF!,"AAAAAD8/OyE=")</f>
        <v>#REF!</v>
      </c>
      <c r="AI13" t="e">
        <f>AND('POTENCIAL HORAS'!#REF!,"AAAAAD8/OyI=")</f>
        <v>#REF!</v>
      </c>
      <c r="AJ13" t="e">
        <f>AND('POTENCIAL HORAS'!#REF!,"AAAAAD8/OyM=")</f>
        <v>#REF!</v>
      </c>
      <c r="AK13" t="e">
        <f>AND('POTENCIAL HORAS'!#REF!,"AAAAAD8/OyQ=")</f>
        <v>#REF!</v>
      </c>
      <c r="AL13" t="e">
        <f>AND('POTENCIAL HORAS'!#REF!,"AAAAAD8/OyU=")</f>
        <v>#REF!</v>
      </c>
      <c r="AM13" t="e">
        <f>AND('POTENCIAL HORAS'!#REF!,"AAAAAD8/OyY=")</f>
        <v>#REF!</v>
      </c>
      <c r="AN13" t="e">
        <f>AND('POTENCIAL HORAS'!#REF!,"AAAAAD8/Oyc=")</f>
        <v>#REF!</v>
      </c>
      <c r="AO13" t="e">
        <f>AND('POTENCIAL HORAS'!#REF!,"AAAAAD8/Oyg=")</f>
        <v>#REF!</v>
      </c>
      <c r="AP13" t="e">
        <f>AND('POTENCIAL HORAS'!#REF!,"AAAAAD8/Oyk=")</f>
        <v>#REF!</v>
      </c>
      <c r="AQ13" t="e">
        <f>AND('POTENCIAL HORAS'!#REF!,"AAAAAD8/Oyo=")</f>
        <v>#REF!</v>
      </c>
      <c r="AR13" t="e">
        <f>AND('POTENCIAL HORAS'!#REF!,"AAAAAD8/Oys=")</f>
        <v>#REF!</v>
      </c>
      <c r="AS13" t="e">
        <f>AND('POTENCIAL HORAS'!#REF!,"AAAAAD8/Oyw=")</f>
        <v>#REF!</v>
      </c>
      <c r="AT13" t="e">
        <f>AND('POTENCIAL HORAS'!#REF!,"AAAAAD8/Oy0=")</f>
        <v>#REF!</v>
      </c>
      <c r="AU13" t="e">
        <f>AND('POTENCIAL HORAS'!#REF!,"AAAAAD8/Oy4=")</f>
        <v>#REF!</v>
      </c>
      <c r="AV13" t="e">
        <f>AND('POTENCIAL HORAS'!#REF!,"AAAAAD8/Oy8=")</f>
        <v>#REF!</v>
      </c>
      <c r="AW13">
        <f>IF('POTENCIAL HORAS'!89:89,"AAAAAD8/OzA=",0)</f>
        <v>0</v>
      </c>
      <c r="AX13" t="e">
        <f>AND('POTENCIAL HORAS'!A89,"AAAAAD8/OzE=")</f>
        <v>#VALUE!</v>
      </c>
      <c r="AY13" t="e">
        <f>AND('POTENCIAL HORAS'!B89,"AAAAAD8/OzI=")</f>
        <v>#VALUE!</v>
      </c>
      <c r="AZ13" t="e">
        <f>AND('POTENCIAL HORAS'!C89,"AAAAAD8/OzM=")</f>
        <v>#VALUE!</v>
      </c>
      <c r="BA13" t="e">
        <f>AND('POTENCIAL HORAS'!D89,"AAAAAD8/OzQ=")</f>
        <v>#VALUE!</v>
      </c>
      <c r="BB13" t="e">
        <f>AND('POTENCIAL HORAS'!E89,"AAAAAD8/OzU=")</f>
        <v>#VALUE!</v>
      </c>
      <c r="BC13" t="e">
        <f>AND('POTENCIAL HORAS'!F89,"AAAAAD8/OzY=")</f>
        <v>#VALUE!</v>
      </c>
      <c r="BD13" t="e">
        <f>AND('POTENCIAL HORAS'!G89,"AAAAAD8/Ozc=")</f>
        <v>#VALUE!</v>
      </c>
      <c r="BE13" t="e">
        <f>AND('POTENCIAL HORAS'!H89,"AAAAAD8/Ozg=")</f>
        <v>#VALUE!</v>
      </c>
      <c r="BF13" t="e">
        <f>AND('POTENCIAL HORAS'!I89,"AAAAAD8/Ozk=")</f>
        <v>#VALUE!</v>
      </c>
      <c r="BG13" t="e">
        <f>AND('POTENCIAL HORAS'!J89,"AAAAAD8/Ozo=")</f>
        <v>#VALUE!</v>
      </c>
      <c r="BH13" t="e">
        <f>AND('POTENCIAL HORAS'!K89,"AAAAAD8/Ozs=")</f>
        <v>#VALUE!</v>
      </c>
      <c r="BI13" t="e">
        <f>AND('POTENCIAL HORAS'!L89,"AAAAAD8/Ozw=")</f>
        <v>#VALUE!</v>
      </c>
      <c r="BJ13" t="e">
        <f>AND('POTENCIAL HORAS'!M89,"AAAAAD8/Oz0=")</f>
        <v>#VALUE!</v>
      </c>
      <c r="BK13" t="e">
        <f>AND('POTENCIAL HORAS'!N89,"AAAAAD8/Oz4=")</f>
        <v>#VALUE!</v>
      </c>
      <c r="BL13" t="e">
        <f>AND('POTENCIAL HORAS'!O89,"AAAAAD8/Oz8=")</f>
        <v>#VALUE!</v>
      </c>
      <c r="BM13" t="e">
        <f>AND('POTENCIAL HORAS'!P89,"AAAAAD8/O0A=")</f>
        <v>#VALUE!</v>
      </c>
      <c r="BN13" t="e">
        <f>AND('POTENCIAL HORAS'!#REF!,"AAAAAD8/O0E=")</f>
        <v>#REF!</v>
      </c>
      <c r="BO13" t="e">
        <f>AND('POTENCIAL HORAS'!#REF!,"AAAAAD8/O0I=")</f>
        <v>#REF!</v>
      </c>
      <c r="BP13" t="e">
        <f>AND('POTENCIAL HORAS'!#REF!,"AAAAAD8/O0M=")</f>
        <v>#REF!</v>
      </c>
      <c r="BQ13" t="e">
        <f>AND('POTENCIAL HORAS'!#REF!,"AAAAAD8/O0Q=")</f>
        <v>#REF!</v>
      </c>
      <c r="BR13" t="e">
        <f>AND('POTENCIAL HORAS'!#REF!,"AAAAAD8/O0U=")</f>
        <v>#REF!</v>
      </c>
      <c r="BS13" t="e">
        <f>AND('POTENCIAL HORAS'!#REF!,"AAAAAD8/O0Y=")</f>
        <v>#REF!</v>
      </c>
      <c r="BT13" t="e">
        <f>AND('POTENCIAL HORAS'!#REF!,"AAAAAD8/O0c=")</f>
        <v>#REF!</v>
      </c>
      <c r="BU13" t="e">
        <f>AND('POTENCIAL HORAS'!#REF!,"AAAAAD8/O0g=")</f>
        <v>#REF!</v>
      </c>
      <c r="BV13" t="e">
        <f>AND('POTENCIAL HORAS'!#REF!,"AAAAAD8/O0k=")</f>
        <v>#REF!</v>
      </c>
      <c r="BW13" t="e">
        <f>AND('POTENCIAL HORAS'!#REF!,"AAAAAD8/O0o=")</f>
        <v>#REF!</v>
      </c>
      <c r="BX13" t="e">
        <f>AND('POTENCIAL HORAS'!#REF!,"AAAAAD8/O0s=")</f>
        <v>#REF!</v>
      </c>
      <c r="BY13" t="e">
        <f>AND('POTENCIAL HORAS'!#REF!,"AAAAAD8/O0w=")</f>
        <v>#REF!</v>
      </c>
      <c r="BZ13" t="e">
        <f>AND('POTENCIAL HORAS'!#REF!,"AAAAAD8/O00=")</f>
        <v>#REF!</v>
      </c>
      <c r="CA13" t="e">
        <f>AND('POTENCIAL HORAS'!#REF!,"AAAAAD8/O04=")</f>
        <v>#REF!</v>
      </c>
      <c r="CB13" t="e">
        <f>AND('POTENCIAL HORAS'!#REF!,"AAAAAD8/O08=")</f>
        <v>#REF!</v>
      </c>
      <c r="CC13" t="e">
        <f>AND('POTENCIAL HORAS'!#REF!,"AAAAAD8/O1A=")</f>
        <v>#REF!</v>
      </c>
      <c r="CD13" t="e">
        <f>AND('POTENCIAL HORAS'!#REF!,"AAAAAD8/O1E=")</f>
        <v>#REF!</v>
      </c>
      <c r="CE13" t="e">
        <f>AND('POTENCIAL HORAS'!#REF!,"AAAAAD8/O1I=")</f>
        <v>#REF!</v>
      </c>
      <c r="CF13" t="e">
        <f>AND('POTENCIAL HORAS'!#REF!,"AAAAAD8/O1M=")</f>
        <v>#REF!</v>
      </c>
      <c r="CG13" t="e">
        <f>AND('POTENCIAL HORAS'!#REF!,"AAAAAD8/O1Q=")</f>
        <v>#REF!</v>
      </c>
      <c r="CH13" t="e">
        <f>AND('POTENCIAL HORAS'!Q89,"AAAAAD8/O1U=")</f>
        <v>#VALUE!</v>
      </c>
      <c r="CI13" t="e">
        <f>AND('POTENCIAL HORAS'!R89,"AAAAAD8/O1Y=")</f>
        <v>#VALUE!</v>
      </c>
      <c r="CJ13" t="e">
        <f>IF('POTENCIAL HORAS'!#REF!,"AAAAAD8/O1c=",0)</f>
        <v>#REF!</v>
      </c>
      <c r="CK13" t="e">
        <f>AND('POTENCIAL HORAS'!#REF!,"AAAAAD8/O1g=")</f>
        <v>#REF!</v>
      </c>
      <c r="CL13" t="e">
        <f>AND('POTENCIAL HORAS'!#REF!,"AAAAAD8/O1k=")</f>
        <v>#REF!</v>
      </c>
      <c r="CM13" t="e">
        <f>AND('POTENCIAL HORAS'!#REF!,"AAAAAD8/O1o=")</f>
        <v>#REF!</v>
      </c>
      <c r="CN13" t="e">
        <f>AND('POTENCIAL HORAS'!#REF!,"AAAAAD8/O1s=")</f>
        <v>#REF!</v>
      </c>
      <c r="CO13" t="e">
        <f>AND('POTENCIAL HORAS'!#REF!,"AAAAAD8/O1w=")</f>
        <v>#REF!</v>
      </c>
      <c r="CP13" t="e">
        <f>AND('POTENCIAL HORAS'!#REF!,"AAAAAD8/O10=")</f>
        <v>#REF!</v>
      </c>
      <c r="CQ13" t="e">
        <f>AND('POTENCIAL HORAS'!#REF!,"AAAAAD8/O14=")</f>
        <v>#REF!</v>
      </c>
      <c r="CR13" t="e">
        <f>AND('POTENCIAL HORAS'!#REF!,"AAAAAD8/O18=")</f>
        <v>#REF!</v>
      </c>
      <c r="CS13" t="e">
        <f>AND('POTENCIAL HORAS'!#REF!,"AAAAAD8/O2A=")</f>
        <v>#REF!</v>
      </c>
      <c r="CT13" t="e">
        <f>AND('POTENCIAL HORAS'!#REF!,"AAAAAD8/O2E=")</f>
        <v>#REF!</v>
      </c>
      <c r="CU13" t="e">
        <f>AND('POTENCIAL HORAS'!#REF!,"AAAAAD8/O2I=")</f>
        <v>#REF!</v>
      </c>
      <c r="CV13" t="e">
        <f>AND('POTENCIAL HORAS'!#REF!,"AAAAAD8/O2M=")</f>
        <v>#REF!</v>
      </c>
      <c r="CW13" t="e">
        <f>AND('POTENCIAL HORAS'!#REF!,"AAAAAD8/O2Q=")</f>
        <v>#REF!</v>
      </c>
      <c r="CX13" t="e">
        <f>AND('POTENCIAL HORAS'!#REF!,"AAAAAD8/O2U=")</f>
        <v>#REF!</v>
      </c>
      <c r="CY13" t="e">
        <f>AND('POTENCIAL HORAS'!#REF!,"AAAAAD8/O2Y=")</f>
        <v>#REF!</v>
      </c>
      <c r="CZ13" t="e">
        <f>AND('POTENCIAL HORAS'!#REF!,"AAAAAD8/O2c=")</f>
        <v>#REF!</v>
      </c>
      <c r="DA13" t="e">
        <f>AND('POTENCIAL HORAS'!#REF!,"AAAAAD8/O2g=")</f>
        <v>#REF!</v>
      </c>
      <c r="DB13" t="e">
        <f>AND('POTENCIAL HORAS'!#REF!,"AAAAAD8/O2k=")</f>
        <v>#REF!</v>
      </c>
      <c r="DC13" t="e">
        <f>AND('POTENCIAL HORAS'!#REF!,"AAAAAD8/O2o=")</f>
        <v>#REF!</v>
      </c>
      <c r="DD13" t="e">
        <f>AND('POTENCIAL HORAS'!#REF!,"AAAAAD8/O2s=")</f>
        <v>#REF!</v>
      </c>
      <c r="DE13" t="e">
        <f>AND('POTENCIAL HORAS'!#REF!,"AAAAAD8/O2w=")</f>
        <v>#REF!</v>
      </c>
      <c r="DF13" t="e">
        <f>AND('POTENCIAL HORAS'!#REF!,"AAAAAD8/O20=")</f>
        <v>#REF!</v>
      </c>
      <c r="DG13" t="e">
        <f>AND('POTENCIAL HORAS'!#REF!,"AAAAAD8/O24=")</f>
        <v>#REF!</v>
      </c>
      <c r="DH13" t="e">
        <f>AND('POTENCIAL HORAS'!#REF!,"AAAAAD8/O28=")</f>
        <v>#REF!</v>
      </c>
      <c r="DI13" t="e">
        <f>AND('POTENCIAL HORAS'!#REF!,"AAAAAD8/O3A=")</f>
        <v>#REF!</v>
      </c>
      <c r="DJ13" t="e">
        <f>AND('POTENCIAL HORAS'!#REF!,"AAAAAD8/O3E=")</f>
        <v>#REF!</v>
      </c>
      <c r="DK13" t="e">
        <f>AND('POTENCIAL HORAS'!#REF!,"AAAAAD8/O3I=")</f>
        <v>#REF!</v>
      </c>
      <c r="DL13" t="e">
        <f>AND('POTENCIAL HORAS'!#REF!,"AAAAAD8/O3M=")</f>
        <v>#REF!</v>
      </c>
      <c r="DM13" t="e">
        <f>AND('POTENCIAL HORAS'!#REF!,"AAAAAD8/O3Q=")</f>
        <v>#REF!</v>
      </c>
      <c r="DN13" t="e">
        <f>AND('POTENCIAL HORAS'!#REF!,"AAAAAD8/O3U=")</f>
        <v>#REF!</v>
      </c>
      <c r="DO13" t="e">
        <f>AND('POTENCIAL HORAS'!#REF!,"AAAAAD8/O3Y=")</f>
        <v>#REF!</v>
      </c>
      <c r="DP13" t="e">
        <f>AND('POTENCIAL HORAS'!#REF!,"AAAAAD8/O3c=")</f>
        <v>#REF!</v>
      </c>
      <c r="DQ13" t="e">
        <f>AND('POTENCIAL HORAS'!#REF!,"AAAAAD8/O3g=")</f>
        <v>#REF!</v>
      </c>
      <c r="DR13" t="e">
        <f>AND('POTENCIAL HORAS'!#REF!,"AAAAAD8/O3k=")</f>
        <v>#REF!</v>
      </c>
      <c r="DS13" t="e">
        <f>AND('POTENCIAL HORAS'!#REF!,"AAAAAD8/O3o=")</f>
        <v>#REF!</v>
      </c>
      <c r="DT13" t="e">
        <f>AND('POTENCIAL HORAS'!#REF!,"AAAAAD8/O3s=")</f>
        <v>#REF!</v>
      </c>
      <c r="DU13" t="e">
        <f>AND('POTENCIAL HORAS'!#REF!,"AAAAAD8/O3w=")</f>
        <v>#REF!</v>
      </c>
      <c r="DV13" t="e">
        <f>AND('POTENCIAL HORAS'!#REF!,"AAAAAD8/O30=")</f>
        <v>#REF!</v>
      </c>
      <c r="DW13">
        <f>IF('POTENCIAL HORAS'!90:90,"AAAAAD8/O34=",0)</f>
        <v>0</v>
      </c>
      <c r="DX13" t="e">
        <f>AND('POTENCIAL HORAS'!A90,"AAAAAD8/O38=")</f>
        <v>#VALUE!</v>
      </c>
      <c r="DY13" t="e">
        <f>AND('POTENCIAL HORAS'!B90,"AAAAAD8/O4A=")</f>
        <v>#VALUE!</v>
      </c>
      <c r="DZ13" t="e">
        <f>AND('POTENCIAL HORAS'!C90,"AAAAAD8/O4E=")</f>
        <v>#VALUE!</v>
      </c>
      <c r="EA13" t="e">
        <f>AND('POTENCIAL HORAS'!D90,"AAAAAD8/O4I=")</f>
        <v>#VALUE!</v>
      </c>
      <c r="EB13" t="e">
        <f>AND('POTENCIAL HORAS'!E90,"AAAAAD8/O4M=")</f>
        <v>#VALUE!</v>
      </c>
      <c r="EC13" t="e">
        <f>AND('POTENCIAL HORAS'!F90,"AAAAAD8/O4Q=")</f>
        <v>#VALUE!</v>
      </c>
      <c r="ED13" t="e">
        <f>AND('POTENCIAL HORAS'!G90,"AAAAAD8/O4U=")</f>
        <v>#VALUE!</v>
      </c>
      <c r="EE13" t="e">
        <f>AND('POTENCIAL HORAS'!H90,"AAAAAD8/O4Y=")</f>
        <v>#VALUE!</v>
      </c>
      <c r="EF13" t="e">
        <f>AND('POTENCIAL HORAS'!I90,"AAAAAD8/O4c=")</f>
        <v>#VALUE!</v>
      </c>
      <c r="EG13" t="e">
        <f>AND('POTENCIAL HORAS'!J90,"AAAAAD8/O4g=")</f>
        <v>#VALUE!</v>
      </c>
      <c r="EH13" t="e">
        <f>AND('POTENCIAL HORAS'!K90,"AAAAAD8/O4k=")</f>
        <v>#VALUE!</v>
      </c>
      <c r="EI13" t="e">
        <f>AND('POTENCIAL HORAS'!L90,"AAAAAD8/O4o=")</f>
        <v>#VALUE!</v>
      </c>
      <c r="EJ13" t="e">
        <f>AND('POTENCIAL HORAS'!M90,"AAAAAD8/O4s=")</f>
        <v>#VALUE!</v>
      </c>
      <c r="EK13" t="e">
        <f>AND('POTENCIAL HORAS'!N90,"AAAAAD8/O4w=")</f>
        <v>#VALUE!</v>
      </c>
      <c r="EL13" t="e">
        <f>AND('POTENCIAL HORAS'!O90,"AAAAAD8/O40=")</f>
        <v>#VALUE!</v>
      </c>
      <c r="EM13" t="e">
        <f>AND('POTENCIAL HORAS'!P90,"AAAAAD8/O44=")</f>
        <v>#VALUE!</v>
      </c>
      <c r="EN13" t="e">
        <f>AND('POTENCIAL HORAS'!#REF!,"AAAAAD8/O48=")</f>
        <v>#REF!</v>
      </c>
      <c r="EO13" t="e">
        <f>AND('POTENCIAL HORAS'!#REF!,"AAAAAD8/O5A=")</f>
        <v>#REF!</v>
      </c>
      <c r="EP13" t="e">
        <f>AND('POTENCIAL HORAS'!#REF!,"AAAAAD8/O5E=")</f>
        <v>#REF!</v>
      </c>
      <c r="EQ13" t="e">
        <f>AND('POTENCIAL HORAS'!#REF!,"AAAAAD8/O5I=")</f>
        <v>#REF!</v>
      </c>
      <c r="ER13" t="e">
        <f>AND('POTENCIAL HORAS'!#REF!,"AAAAAD8/O5M=")</f>
        <v>#REF!</v>
      </c>
      <c r="ES13" t="e">
        <f>AND('POTENCIAL HORAS'!#REF!,"AAAAAD8/O5Q=")</f>
        <v>#REF!</v>
      </c>
      <c r="ET13" t="e">
        <f>AND('POTENCIAL HORAS'!#REF!,"AAAAAD8/O5U=")</f>
        <v>#REF!</v>
      </c>
      <c r="EU13" t="e">
        <f>AND('POTENCIAL HORAS'!#REF!,"AAAAAD8/O5Y=")</f>
        <v>#REF!</v>
      </c>
      <c r="EV13" t="e">
        <f>AND('POTENCIAL HORAS'!#REF!,"AAAAAD8/O5c=")</f>
        <v>#REF!</v>
      </c>
      <c r="EW13" t="e">
        <f>AND('POTENCIAL HORAS'!#REF!,"AAAAAD8/O5g=")</f>
        <v>#REF!</v>
      </c>
      <c r="EX13" t="e">
        <f>AND('POTENCIAL HORAS'!#REF!,"AAAAAD8/O5k=")</f>
        <v>#REF!</v>
      </c>
      <c r="EY13" t="e">
        <f>AND('POTENCIAL HORAS'!#REF!,"AAAAAD8/O5o=")</f>
        <v>#REF!</v>
      </c>
      <c r="EZ13" t="e">
        <f>AND('POTENCIAL HORAS'!#REF!,"AAAAAD8/O5s=")</f>
        <v>#REF!</v>
      </c>
      <c r="FA13" t="e">
        <f>AND('POTENCIAL HORAS'!#REF!,"AAAAAD8/O5w=")</f>
        <v>#REF!</v>
      </c>
      <c r="FB13" t="e">
        <f>AND('POTENCIAL HORAS'!#REF!,"AAAAAD8/O50=")</f>
        <v>#REF!</v>
      </c>
      <c r="FC13" t="e">
        <f>AND('POTENCIAL HORAS'!#REF!,"AAAAAD8/O54=")</f>
        <v>#REF!</v>
      </c>
      <c r="FD13" t="e">
        <f>AND('POTENCIAL HORAS'!#REF!,"AAAAAD8/O58=")</f>
        <v>#REF!</v>
      </c>
      <c r="FE13" t="e">
        <f>AND('POTENCIAL HORAS'!#REF!,"AAAAAD8/O6A=")</f>
        <v>#REF!</v>
      </c>
      <c r="FF13" t="e">
        <f>AND('POTENCIAL HORAS'!#REF!,"AAAAAD8/O6E=")</f>
        <v>#REF!</v>
      </c>
      <c r="FG13" t="e">
        <f>AND('POTENCIAL HORAS'!#REF!,"AAAAAD8/O6I=")</f>
        <v>#REF!</v>
      </c>
      <c r="FH13" t="e">
        <f>AND('POTENCIAL HORAS'!Q90,"AAAAAD8/O6M=")</f>
        <v>#VALUE!</v>
      </c>
      <c r="FI13" t="e">
        <f>AND('POTENCIAL HORAS'!R90,"AAAAAD8/O6Q=")</f>
        <v>#VALUE!</v>
      </c>
      <c r="FJ13">
        <f>IF('POTENCIAL HORAS'!91:91,"AAAAAD8/O6U=",0)</f>
        <v>0</v>
      </c>
      <c r="FK13" t="e">
        <f>AND('POTENCIAL HORAS'!A91,"AAAAAD8/O6Y=")</f>
        <v>#VALUE!</v>
      </c>
      <c r="FL13" t="e">
        <f>AND('POTENCIAL HORAS'!B91,"AAAAAD8/O6c=")</f>
        <v>#VALUE!</v>
      </c>
      <c r="FM13" t="e">
        <f>AND('POTENCIAL HORAS'!C91,"AAAAAD8/O6g=")</f>
        <v>#VALUE!</v>
      </c>
      <c r="FN13" t="e">
        <f>AND('POTENCIAL HORAS'!D91,"AAAAAD8/O6k=")</f>
        <v>#VALUE!</v>
      </c>
      <c r="FO13" t="e">
        <f>AND('POTENCIAL HORAS'!E91,"AAAAAD8/O6o=")</f>
        <v>#VALUE!</v>
      </c>
      <c r="FP13" t="e">
        <f>AND('POTENCIAL HORAS'!F91,"AAAAAD8/O6s=")</f>
        <v>#VALUE!</v>
      </c>
      <c r="FQ13" t="e">
        <f>AND('POTENCIAL HORAS'!G91,"AAAAAD8/O6w=")</f>
        <v>#VALUE!</v>
      </c>
      <c r="FR13" t="e">
        <f>AND('POTENCIAL HORAS'!H91,"AAAAAD8/O60=")</f>
        <v>#VALUE!</v>
      </c>
      <c r="FS13" t="e">
        <f>AND('POTENCIAL HORAS'!I91,"AAAAAD8/O64=")</f>
        <v>#VALUE!</v>
      </c>
      <c r="FT13" t="e">
        <f>AND('POTENCIAL HORAS'!J91,"AAAAAD8/O68=")</f>
        <v>#VALUE!</v>
      </c>
      <c r="FU13" t="e">
        <f>AND('POTENCIAL HORAS'!K91,"AAAAAD8/O7A=")</f>
        <v>#VALUE!</v>
      </c>
      <c r="FV13" t="e">
        <f>AND('POTENCIAL HORAS'!L91,"AAAAAD8/O7E=")</f>
        <v>#VALUE!</v>
      </c>
      <c r="FW13" t="e">
        <f>AND('POTENCIAL HORAS'!M91,"AAAAAD8/O7I=")</f>
        <v>#VALUE!</v>
      </c>
      <c r="FX13" t="e">
        <f>AND('POTENCIAL HORAS'!N91,"AAAAAD8/O7M=")</f>
        <v>#VALUE!</v>
      </c>
      <c r="FY13" t="e">
        <f>AND('POTENCIAL HORAS'!O91,"AAAAAD8/O7Q=")</f>
        <v>#VALUE!</v>
      </c>
      <c r="FZ13" t="e">
        <f>AND('POTENCIAL HORAS'!P91,"AAAAAD8/O7U=")</f>
        <v>#VALUE!</v>
      </c>
      <c r="GA13" t="e">
        <f>AND('POTENCIAL HORAS'!#REF!,"AAAAAD8/O7Y=")</f>
        <v>#REF!</v>
      </c>
      <c r="GB13" t="e">
        <f>AND('POTENCIAL HORAS'!#REF!,"AAAAAD8/O7c=")</f>
        <v>#REF!</v>
      </c>
      <c r="GC13" t="e">
        <f>AND('POTENCIAL HORAS'!#REF!,"AAAAAD8/O7g=")</f>
        <v>#REF!</v>
      </c>
      <c r="GD13" t="e">
        <f>AND('POTENCIAL HORAS'!#REF!,"AAAAAD8/O7k=")</f>
        <v>#REF!</v>
      </c>
      <c r="GE13" t="e">
        <f>AND('POTENCIAL HORAS'!#REF!,"AAAAAD8/O7o=")</f>
        <v>#REF!</v>
      </c>
      <c r="GF13" t="e">
        <f>AND('POTENCIAL HORAS'!#REF!,"AAAAAD8/O7s=")</f>
        <v>#REF!</v>
      </c>
      <c r="GG13" t="e">
        <f>AND('POTENCIAL HORAS'!#REF!,"AAAAAD8/O7w=")</f>
        <v>#REF!</v>
      </c>
      <c r="GH13" t="e">
        <f>AND('POTENCIAL HORAS'!#REF!,"AAAAAD8/O70=")</f>
        <v>#REF!</v>
      </c>
      <c r="GI13" t="e">
        <f>AND('POTENCIAL HORAS'!#REF!,"AAAAAD8/O74=")</f>
        <v>#REF!</v>
      </c>
      <c r="GJ13" t="e">
        <f>AND('POTENCIAL HORAS'!#REF!,"AAAAAD8/O78=")</f>
        <v>#REF!</v>
      </c>
      <c r="GK13" t="e">
        <f>AND('POTENCIAL HORAS'!#REF!,"AAAAAD8/O8A=")</f>
        <v>#REF!</v>
      </c>
      <c r="GL13" t="e">
        <f>AND('POTENCIAL HORAS'!#REF!,"AAAAAD8/O8E=")</f>
        <v>#REF!</v>
      </c>
      <c r="GM13" t="e">
        <f>AND('POTENCIAL HORAS'!#REF!,"AAAAAD8/O8I=")</f>
        <v>#REF!</v>
      </c>
      <c r="GN13" t="e">
        <f>AND('POTENCIAL HORAS'!#REF!,"AAAAAD8/O8M=")</f>
        <v>#REF!</v>
      </c>
      <c r="GO13" t="e">
        <f>AND('POTENCIAL HORAS'!#REF!,"AAAAAD8/O8Q=")</f>
        <v>#REF!</v>
      </c>
      <c r="GP13" t="e">
        <f>AND('POTENCIAL HORAS'!#REF!,"AAAAAD8/O8U=")</f>
        <v>#REF!</v>
      </c>
      <c r="GQ13" t="e">
        <f>AND('POTENCIAL HORAS'!#REF!,"AAAAAD8/O8Y=")</f>
        <v>#REF!</v>
      </c>
      <c r="GR13" t="e">
        <f>AND('POTENCIAL HORAS'!#REF!,"AAAAAD8/O8c=")</f>
        <v>#REF!</v>
      </c>
      <c r="GS13" t="e">
        <f>AND('POTENCIAL HORAS'!#REF!,"AAAAAD8/O8g=")</f>
        <v>#REF!</v>
      </c>
      <c r="GT13" t="e">
        <f>AND('POTENCIAL HORAS'!#REF!,"AAAAAD8/O8k=")</f>
        <v>#REF!</v>
      </c>
      <c r="GU13" t="e">
        <f>AND('POTENCIAL HORAS'!Q91,"AAAAAD8/O8o=")</f>
        <v>#VALUE!</v>
      </c>
      <c r="GV13" t="e">
        <f>AND('POTENCIAL HORAS'!R91,"AAAAAD8/O8s=")</f>
        <v>#VALUE!</v>
      </c>
      <c r="GW13" t="e">
        <f>IF('POTENCIAL HORAS'!#REF!,"AAAAAD8/O8w=",0)</f>
        <v>#REF!</v>
      </c>
      <c r="GX13" t="e">
        <f>AND('POTENCIAL HORAS'!#REF!,"AAAAAD8/O80=")</f>
        <v>#REF!</v>
      </c>
      <c r="GY13" t="e">
        <f>AND('POTENCIAL HORAS'!#REF!,"AAAAAD8/O84=")</f>
        <v>#REF!</v>
      </c>
      <c r="GZ13" t="e">
        <f>AND('POTENCIAL HORAS'!#REF!,"AAAAAD8/O88=")</f>
        <v>#REF!</v>
      </c>
      <c r="HA13" t="e">
        <f>AND('POTENCIAL HORAS'!#REF!,"AAAAAD8/O9A=")</f>
        <v>#REF!</v>
      </c>
      <c r="HB13" t="e">
        <f>AND('POTENCIAL HORAS'!#REF!,"AAAAAD8/O9E=")</f>
        <v>#REF!</v>
      </c>
      <c r="HC13" t="e">
        <f>AND('POTENCIAL HORAS'!#REF!,"AAAAAD8/O9I=")</f>
        <v>#REF!</v>
      </c>
      <c r="HD13" t="e">
        <f>AND('POTENCIAL HORAS'!#REF!,"AAAAAD8/O9M=")</f>
        <v>#REF!</v>
      </c>
      <c r="HE13" t="e">
        <f>AND('POTENCIAL HORAS'!#REF!,"AAAAAD8/O9Q=")</f>
        <v>#REF!</v>
      </c>
      <c r="HF13" t="e">
        <f>AND('POTENCIAL HORAS'!#REF!,"AAAAAD8/O9U=")</f>
        <v>#REF!</v>
      </c>
      <c r="HG13" t="e">
        <f>AND('POTENCIAL HORAS'!#REF!,"AAAAAD8/O9Y=")</f>
        <v>#REF!</v>
      </c>
      <c r="HH13" t="e">
        <f>AND('POTENCIAL HORAS'!#REF!,"AAAAAD8/O9c=")</f>
        <v>#REF!</v>
      </c>
      <c r="HI13" t="e">
        <f>AND('POTENCIAL HORAS'!#REF!,"AAAAAD8/O9g=")</f>
        <v>#REF!</v>
      </c>
      <c r="HJ13" t="e">
        <f>AND('POTENCIAL HORAS'!#REF!,"AAAAAD8/O9k=")</f>
        <v>#REF!</v>
      </c>
      <c r="HK13" t="e">
        <f>AND('POTENCIAL HORAS'!#REF!,"AAAAAD8/O9o=")</f>
        <v>#REF!</v>
      </c>
      <c r="HL13" t="e">
        <f>AND('POTENCIAL HORAS'!#REF!,"AAAAAD8/O9s=")</f>
        <v>#REF!</v>
      </c>
      <c r="HM13" t="e">
        <f>AND('POTENCIAL HORAS'!#REF!,"AAAAAD8/O9w=")</f>
        <v>#REF!</v>
      </c>
      <c r="HN13" t="e">
        <f>AND('POTENCIAL HORAS'!#REF!,"AAAAAD8/O90=")</f>
        <v>#REF!</v>
      </c>
      <c r="HO13" t="e">
        <f>AND('POTENCIAL HORAS'!#REF!,"AAAAAD8/O94=")</f>
        <v>#REF!</v>
      </c>
      <c r="HP13" t="e">
        <f>AND('POTENCIAL HORAS'!#REF!,"AAAAAD8/O98=")</f>
        <v>#REF!</v>
      </c>
      <c r="HQ13" t="e">
        <f>AND('POTENCIAL HORAS'!#REF!,"AAAAAD8/O+A=")</f>
        <v>#REF!</v>
      </c>
      <c r="HR13" t="e">
        <f>AND('POTENCIAL HORAS'!#REF!,"AAAAAD8/O+E=")</f>
        <v>#REF!</v>
      </c>
      <c r="HS13" t="e">
        <f>AND('POTENCIAL HORAS'!#REF!,"AAAAAD8/O+I=")</f>
        <v>#REF!</v>
      </c>
      <c r="HT13" t="e">
        <f>AND('POTENCIAL HORAS'!#REF!,"AAAAAD8/O+M=")</f>
        <v>#REF!</v>
      </c>
      <c r="HU13" t="e">
        <f>AND('POTENCIAL HORAS'!#REF!,"AAAAAD8/O+Q=")</f>
        <v>#REF!</v>
      </c>
      <c r="HV13" t="e">
        <f>AND('POTENCIAL HORAS'!#REF!,"AAAAAD8/O+U=")</f>
        <v>#REF!</v>
      </c>
      <c r="HW13" t="e">
        <f>AND('POTENCIAL HORAS'!#REF!,"AAAAAD8/O+Y=")</f>
        <v>#REF!</v>
      </c>
      <c r="HX13" t="e">
        <f>AND('POTENCIAL HORAS'!#REF!,"AAAAAD8/O+c=")</f>
        <v>#REF!</v>
      </c>
      <c r="HY13" t="e">
        <f>AND('POTENCIAL HORAS'!#REF!,"AAAAAD8/O+g=")</f>
        <v>#REF!</v>
      </c>
      <c r="HZ13" t="e">
        <f>AND('POTENCIAL HORAS'!#REF!,"AAAAAD8/O+k=")</f>
        <v>#REF!</v>
      </c>
      <c r="IA13" t="e">
        <f>AND('POTENCIAL HORAS'!#REF!,"AAAAAD8/O+o=")</f>
        <v>#REF!</v>
      </c>
      <c r="IB13" t="e">
        <f>AND('POTENCIAL HORAS'!#REF!,"AAAAAD8/O+s=")</f>
        <v>#REF!</v>
      </c>
      <c r="IC13" t="e">
        <f>AND('POTENCIAL HORAS'!#REF!,"AAAAAD8/O+w=")</f>
        <v>#REF!</v>
      </c>
      <c r="ID13" t="e">
        <f>AND('POTENCIAL HORAS'!#REF!,"AAAAAD8/O+0=")</f>
        <v>#REF!</v>
      </c>
      <c r="IE13" t="e">
        <f>AND('POTENCIAL HORAS'!#REF!,"AAAAAD8/O+4=")</f>
        <v>#REF!</v>
      </c>
      <c r="IF13" t="e">
        <f>AND('POTENCIAL HORAS'!#REF!,"AAAAAD8/O+8=")</f>
        <v>#REF!</v>
      </c>
      <c r="IG13" t="e">
        <f>AND('POTENCIAL HORAS'!#REF!,"AAAAAD8/O/A=")</f>
        <v>#REF!</v>
      </c>
      <c r="IH13" t="e">
        <f>AND('POTENCIAL HORAS'!#REF!,"AAAAAD8/O/E=")</f>
        <v>#REF!</v>
      </c>
      <c r="II13" t="e">
        <f>AND('POTENCIAL HORAS'!#REF!,"AAAAAD8/O/I=")</f>
        <v>#REF!</v>
      </c>
      <c r="IJ13">
        <f>IF('POTENCIAL HORAS'!92:92,"AAAAAD8/O/M=",0)</f>
        <v>0</v>
      </c>
      <c r="IK13" t="e">
        <f>AND('POTENCIAL HORAS'!A92,"AAAAAD8/O/Q=")</f>
        <v>#VALUE!</v>
      </c>
      <c r="IL13" t="e">
        <f>AND('POTENCIAL HORAS'!B92,"AAAAAD8/O/U=")</f>
        <v>#VALUE!</v>
      </c>
      <c r="IM13" t="e">
        <f>AND('POTENCIAL HORAS'!C92,"AAAAAD8/O/Y=")</f>
        <v>#VALUE!</v>
      </c>
      <c r="IN13" t="e">
        <f>AND('POTENCIAL HORAS'!D92,"AAAAAD8/O/c=")</f>
        <v>#VALUE!</v>
      </c>
      <c r="IO13" t="e">
        <f>AND('POTENCIAL HORAS'!E92,"AAAAAD8/O/g=")</f>
        <v>#VALUE!</v>
      </c>
      <c r="IP13" t="e">
        <f>AND('POTENCIAL HORAS'!F92,"AAAAAD8/O/k=")</f>
        <v>#VALUE!</v>
      </c>
      <c r="IQ13" t="e">
        <f>AND('POTENCIAL HORAS'!G92,"AAAAAD8/O/o=")</f>
        <v>#VALUE!</v>
      </c>
      <c r="IR13" t="e">
        <f>AND('POTENCIAL HORAS'!H92,"AAAAAD8/O/s=")</f>
        <v>#VALUE!</v>
      </c>
      <c r="IS13" t="e">
        <f>AND('POTENCIAL HORAS'!I92,"AAAAAD8/O/w=")</f>
        <v>#VALUE!</v>
      </c>
      <c r="IT13" t="e">
        <f>AND('POTENCIAL HORAS'!J92,"AAAAAD8/O/0=")</f>
        <v>#VALUE!</v>
      </c>
      <c r="IU13" t="e">
        <f>AND('POTENCIAL HORAS'!K92,"AAAAAD8/O/4=")</f>
        <v>#VALUE!</v>
      </c>
      <c r="IV13" t="e">
        <f>AND('POTENCIAL HORAS'!L92,"AAAAAD8/O/8=")</f>
        <v>#VALUE!</v>
      </c>
    </row>
    <row r="14" spans="1:256" x14ac:dyDescent="0.2">
      <c r="A14" t="e">
        <f>AND('POTENCIAL HORAS'!M92,"AAAAAHy+0QA=")</f>
        <v>#VALUE!</v>
      </c>
      <c r="B14" t="e">
        <f>AND('POTENCIAL HORAS'!N92,"AAAAAHy+0QE=")</f>
        <v>#VALUE!</v>
      </c>
      <c r="C14" t="e">
        <f>AND('POTENCIAL HORAS'!O92,"AAAAAHy+0QI=")</f>
        <v>#VALUE!</v>
      </c>
      <c r="D14" t="e">
        <f>AND('POTENCIAL HORAS'!P92,"AAAAAHy+0QM=")</f>
        <v>#VALUE!</v>
      </c>
      <c r="E14" t="e">
        <f>AND('POTENCIAL HORAS'!#REF!,"AAAAAHy+0QQ=")</f>
        <v>#REF!</v>
      </c>
      <c r="F14" t="e">
        <f>AND('POTENCIAL HORAS'!#REF!,"AAAAAHy+0QU=")</f>
        <v>#REF!</v>
      </c>
      <c r="G14" t="e">
        <f>AND('POTENCIAL HORAS'!#REF!,"AAAAAHy+0QY=")</f>
        <v>#REF!</v>
      </c>
      <c r="H14" t="e">
        <f>AND('POTENCIAL HORAS'!#REF!,"AAAAAHy+0Qc=")</f>
        <v>#REF!</v>
      </c>
      <c r="I14" t="e">
        <f>AND('POTENCIAL HORAS'!#REF!,"AAAAAHy+0Qg=")</f>
        <v>#REF!</v>
      </c>
      <c r="J14" t="e">
        <f>AND('POTENCIAL HORAS'!#REF!,"AAAAAHy+0Qk=")</f>
        <v>#REF!</v>
      </c>
      <c r="K14" t="e">
        <f>AND('POTENCIAL HORAS'!#REF!,"AAAAAHy+0Qo=")</f>
        <v>#REF!</v>
      </c>
      <c r="L14" t="e">
        <f>AND('POTENCIAL HORAS'!#REF!,"AAAAAHy+0Qs=")</f>
        <v>#REF!</v>
      </c>
      <c r="M14" t="e">
        <f>AND('POTENCIAL HORAS'!#REF!,"AAAAAHy+0Qw=")</f>
        <v>#REF!</v>
      </c>
      <c r="N14" t="e">
        <f>AND('POTENCIAL HORAS'!#REF!,"AAAAAHy+0Q0=")</f>
        <v>#REF!</v>
      </c>
      <c r="O14" t="e">
        <f>AND('POTENCIAL HORAS'!#REF!,"AAAAAHy+0Q4=")</f>
        <v>#REF!</v>
      </c>
      <c r="P14" t="e">
        <f>AND('POTENCIAL HORAS'!#REF!,"AAAAAHy+0Q8=")</f>
        <v>#REF!</v>
      </c>
      <c r="Q14" t="e">
        <f>AND('POTENCIAL HORAS'!#REF!,"AAAAAHy+0RA=")</f>
        <v>#REF!</v>
      </c>
      <c r="R14" t="e">
        <f>AND('POTENCIAL HORAS'!#REF!,"AAAAAHy+0RE=")</f>
        <v>#REF!</v>
      </c>
      <c r="S14" t="e">
        <f>AND('POTENCIAL HORAS'!#REF!,"AAAAAHy+0RI=")</f>
        <v>#REF!</v>
      </c>
      <c r="T14" t="e">
        <f>AND('POTENCIAL HORAS'!#REF!,"AAAAAHy+0RM=")</f>
        <v>#REF!</v>
      </c>
      <c r="U14" t="e">
        <f>AND('POTENCIAL HORAS'!#REF!,"AAAAAHy+0RQ=")</f>
        <v>#REF!</v>
      </c>
      <c r="V14" t="e">
        <f>AND('POTENCIAL HORAS'!#REF!,"AAAAAHy+0RU=")</f>
        <v>#REF!</v>
      </c>
      <c r="W14" t="e">
        <f>AND('POTENCIAL HORAS'!#REF!,"AAAAAHy+0RY=")</f>
        <v>#REF!</v>
      </c>
      <c r="X14" t="e">
        <f>AND('POTENCIAL HORAS'!#REF!,"AAAAAHy+0Rc=")</f>
        <v>#REF!</v>
      </c>
      <c r="Y14" t="e">
        <f>AND('POTENCIAL HORAS'!Q92,"AAAAAHy+0Rg=")</f>
        <v>#VALUE!</v>
      </c>
      <c r="Z14" t="e">
        <f>AND('POTENCIAL HORAS'!R92,"AAAAAHy+0Rk=")</f>
        <v>#VALUE!</v>
      </c>
      <c r="AA14">
        <f>IF('POTENCIAL HORAS'!93:93,"AAAAAHy+0Ro=",0)</f>
        <v>0</v>
      </c>
      <c r="AB14" t="e">
        <f>AND('POTENCIAL HORAS'!A93,"AAAAAHy+0Rs=")</f>
        <v>#VALUE!</v>
      </c>
      <c r="AC14" t="e">
        <f>AND('POTENCIAL HORAS'!B93,"AAAAAHy+0Rw=")</f>
        <v>#VALUE!</v>
      </c>
      <c r="AD14" t="e">
        <f>AND('POTENCIAL HORAS'!C93,"AAAAAHy+0R0=")</f>
        <v>#VALUE!</v>
      </c>
      <c r="AE14" t="e">
        <f>AND('POTENCIAL HORAS'!D93,"AAAAAHy+0R4=")</f>
        <v>#VALUE!</v>
      </c>
      <c r="AF14" t="e">
        <f>AND('POTENCIAL HORAS'!E93,"AAAAAHy+0R8=")</f>
        <v>#VALUE!</v>
      </c>
      <c r="AG14" t="e">
        <f>AND('POTENCIAL HORAS'!F93,"AAAAAHy+0SA=")</f>
        <v>#VALUE!</v>
      </c>
      <c r="AH14" t="e">
        <f>AND('POTENCIAL HORAS'!G93,"AAAAAHy+0SE=")</f>
        <v>#VALUE!</v>
      </c>
      <c r="AI14" t="e">
        <f>AND('POTENCIAL HORAS'!H93,"AAAAAHy+0SI=")</f>
        <v>#VALUE!</v>
      </c>
      <c r="AJ14" t="e">
        <f>AND('POTENCIAL HORAS'!I93,"AAAAAHy+0SM=")</f>
        <v>#VALUE!</v>
      </c>
      <c r="AK14" t="e">
        <f>AND('POTENCIAL HORAS'!J93,"AAAAAHy+0SQ=")</f>
        <v>#VALUE!</v>
      </c>
      <c r="AL14" t="e">
        <f>AND('POTENCIAL HORAS'!K93,"AAAAAHy+0SU=")</f>
        <v>#VALUE!</v>
      </c>
      <c r="AM14" t="e">
        <f>AND('POTENCIAL HORAS'!L93,"AAAAAHy+0SY=")</f>
        <v>#VALUE!</v>
      </c>
      <c r="AN14" t="e">
        <f>AND('POTENCIAL HORAS'!M93,"AAAAAHy+0Sc=")</f>
        <v>#VALUE!</v>
      </c>
      <c r="AO14" t="e">
        <f>AND('POTENCIAL HORAS'!N93,"AAAAAHy+0Sg=")</f>
        <v>#VALUE!</v>
      </c>
      <c r="AP14" t="e">
        <f>AND('POTENCIAL HORAS'!O93,"AAAAAHy+0Sk=")</f>
        <v>#VALUE!</v>
      </c>
      <c r="AQ14" t="e">
        <f>AND('POTENCIAL HORAS'!P93,"AAAAAHy+0So=")</f>
        <v>#VALUE!</v>
      </c>
      <c r="AR14" t="e">
        <f>AND('POTENCIAL HORAS'!#REF!,"AAAAAHy+0Ss=")</f>
        <v>#REF!</v>
      </c>
      <c r="AS14" t="e">
        <f>AND('POTENCIAL HORAS'!#REF!,"AAAAAHy+0Sw=")</f>
        <v>#REF!</v>
      </c>
      <c r="AT14" t="e">
        <f>AND('POTENCIAL HORAS'!#REF!,"AAAAAHy+0S0=")</f>
        <v>#REF!</v>
      </c>
      <c r="AU14" t="e">
        <f>AND('POTENCIAL HORAS'!#REF!,"AAAAAHy+0S4=")</f>
        <v>#REF!</v>
      </c>
      <c r="AV14" t="e">
        <f>AND('POTENCIAL HORAS'!#REF!,"AAAAAHy+0S8=")</f>
        <v>#REF!</v>
      </c>
      <c r="AW14" t="e">
        <f>AND('POTENCIAL HORAS'!#REF!,"AAAAAHy+0TA=")</f>
        <v>#REF!</v>
      </c>
      <c r="AX14" t="e">
        <f>AND('POTENCIAL HORAS'!#REF!,"AAAAAHy+0TE=")</f>
        <v>#REF!</v>
      </c>
      <c r="AY14" t="e">
        <f>AND('POTENCIAL HORAS'!#REF!,"AAAAAHy+0TI=")</f>
        <v>#REF!</v>
      </c>
      <c r="AZ14" t="e">
        <f>AND('POTENCIAL HORAS'!#REF!,"AAAAAHy+0TM=")</f>
        <v>#REF!</v>
      </c>
      <c r="BA14" t="e">
        <f>AND('POTENCIAL HORAS'!#REF!,"AAAAAHy+0TQ=")</f>
        <v>#REF!</v>
      </c>
      <c r="BB14" t="e">
        <f>AND('POTENCIAL HORAS'!#REF!,"AAAAAHy+0TU=")</f>
        <v>#REF!</v>
      </c>
      <c r="BC14" t="e">
        <f>AND('POTENCIAL HORAS'!#REF!,"AAAAAHy+0TY=")</f>
        <v>#REF!</v>
      </c>
      <c r="BD14" t="e">
        <f>AND('POTENCIAL HORAS'!#REF!,"AAAAAHy+0Tc=")</f>
        <v>#REF!</v>
      </c>
      <c r="BE14" t="e">
        <f>AND('POTENCIAL HORAS'!#REF!,"AAAAAHy+0Tg=")</f>
        <v>#REF!</v>
      </c>
      <c r="BF14" t="e">
        <f>AND('POTENCIAL HORAS'!#REF!,"AAAAAHy+0Tk=")</f>
        <v>#REF!</v>
      </c>
      <c r="BG14" t="e">
        <f>AND('POTENCIAL HORAS'!#REF!,"AAAAAHy+0To=")</f>
        <v>#REF!</v>
      </c>
      <c r="BH14" t="e">
        <f>AND('POTENCIAL HORAS'!#REF!,"AAAAAHy+0Ts=")</f>
        <v>#REF!</v>
      </c>
      <c r="BI14" t="e">
        <f>AND('POTENCIAL HORAS'!#REF!,"AAAAAHy+0Tw=")</f>
        <v>#REF!</v>
      </c>
      <c r="BJ14" t="e">
        <f>AND('POTENCIAL HORAS'!#REF!,"AAAAAHy+0T0=")</f>
        <v>#REF!</v>
      </c>
      <c r="BK14" t="e">
        <f>AND('POTENCIAL HORAS'!#REF!,"AAAAAHy+0T4=")</f>
        <v>#REF!</v>
      </c>
      <c r="BL14" t="e">
        <f>AND('POTENCIAL HORAS'!Q93,"AAAAAHy+0T8=")</f>
        <v>#VALUE!</v>
      </c>
      <c r="BM14" t="e">
        <f>AND('POTENCIAL HORAS'!R93,"AAAAAHy+0UA=")</f>
        <v>#VALUE!</v>
      </c>
      <c r="BN14">
        <f>IF('POTENCIAL HORAS'!94:94,"AAAAAHy+0UE=",0)</f>
        <v>0</v>
      </c>
      <c r="BO14" t="e">
        <f>AND('POTENCIAL HORAS'!A94,"AAAAAHy+0UI=")</f>
        <v>#VALUE!</v>
      </c>
      <c r="BP14" t="e">
        <f>AND('POTENCIAL HORAS'!B94,"AAAAAHy+0UM=")</f>
        <v>#VALUE!</v>
      </c>
      <c r="BQ14" t="e">
        <f>AND('POTENCIAL HORAS'!C94,"AAAAAHy+0UQ=")</f>
        <v>#VALUE!</v>
      </c>
      <c r="BR14" t="e">
        <f>AND('POTENCIAL HORAS'!D94,"AAAAAHy+0UU=")</f>
        <v>#VALUE!</v>
      </c>
      <c r="BS14" t="e">
        <f>AND('POTENCIAL HORAS'!E94,"AAAAAHy+0UY=")</f>
        <v>#VALUE!</v>
      </c>
      <c r="BT14" t="e">
        <f>AND('POTENCIAL HORAS'!F94,"AAAAAHy+0Uc=")</f>
        <v>#VALUE!</v>
      </c>
      <c r="BU14" t="e">
        <f>AND('POTENCIAL HORAS'!G94,"AAAAAHy+0Ug=")</f>
        <v>#VALUE!</v>
      </c>
      <c r="BV14" t="e">
        <f>AND('POTENCIAL HORAS'!H94,"AAAAAHy+0Uk=")</f>
        <v>#VALUE!</v>
      </c>
      <c r="BW14" t="e">
        <f>AND('POTENCIAL HORAS'!I94,"AAAAAHy+0Uo=")</f>
        <v>#VALUE!</v>
      </c>
      <c r="BX14" t="e">
        <f>AND('POTENCIAL HORAS'!J94,"AAAAAHy+0Us=")</f>
        <v>#VALUE!</v>
      </c>
      <c r="BY14" t="e">
        <f>AND('POTENCIAL HORAS'!K94,"AAAAAHy+0Uw=")</f>
        <v>#VALUE!</v>
      </c>
      <c r="BZ14" t="e">
        <f>AND('POTENCIAL HORAS'!L94,"AAAAAHy+0U0=")</f>
        <v>#VALUE!</v>
      </c>
      <c r="CA14" t="e">
        <f>AND('POTENCIAL HORAS'!M94,"AAAAAHy+0U4=")</f>
        <v>#VALUE!</v>
      </c>
      <c r="CB14" t="e">
        <f>AND('POTENCIAL HORAS'!N94,"AAAAAHy+0U8=")</f>
        <v>#VALUE!</v>
      </c>
      <c r="CC14" t="e">
        <f>AND('POTENCIAL HORAS'!O94,"AAAAAHy+0VA=")</f>
        <v>#VALUE!</v>
      </c>
      <c r="CD14" t="e">
        <f>AND('POTENCIAL HORAS'!P94,"AAAAAHy+0VE=")</f>
        <v>#VALUE!</v>
      </c>
      <c r="CE14" t="e">
        <f>AND('POTENCIAL HORAS'!#REF!,"AAAAAHy+0VI=")</f>
        <v>#REF!</v>
      </c>
      <c r="CF14" t="e">
        <f>AND('POTENCIAL HORAS'!#REF!,"AAAAAHy+0VM=")</f>
        <v>#REF!</v>
      </c>
      <c r="CG14" t="e">
        <f>AND('POTENCIAL HORAS'!#REF!,"AAAAAHy+0VQ=")</f>
        <v>#REF!</v>
      </c>
      <c r="CH14" t="e">
        <f>AND('POTENCIAL HORAS'!#REF!,"AAAAAHy+0VU=")</f>
        <v>#REF!</v>
      </c>
      <c r="CI14" t="e">
        <f>AND('POTENCIAL HORAS'!#REF!,"AAAAAHy+0VY=")</f>
        <v>#REF!</v>
      </c>
      <c r="CJ14" t="e">
        <f>AND('POTENCIAL HORAS'!#REF!,"AAAAAHy+0Vc=")</f>
        <v>#REF!</v>
      </c>
      <c r="CK14" t="e">
        <f>AND('POTENCIAL HORAS'!#REF!,"AAAAAHy+0Vg=")</f>
        <v>#REF!</v>
      </c>
      <c r="CL14" t="e">
        <f>AND('POTENCIAL HORAS'!#REF!,"AAAAAHy+0Vk=")</f>
        <v>#REF!</v>
      </c>
      <c r="CM14" t="e">
        <f>AND('POTENCIAL HORAS'!#REF!,"AAAAAHy+0Vo=")</f>
        <v>#REF!</v>
      </c>
      <c r="CN14" t="e">
        <f>AND('POTENCIAL HORAS'!#REF!,"AAAAAHy+0Vs=")</f>
        <v>#REF!</v>
      </c>
      <c r="CO14" t="e">
        <f>AND('POTENCIAL HORAS'!#REF!,"AAAAAHy+0Vw=")</f>
        <v>#REF!</v>
      </c>
      <c r="CP14" t="e">
        <f>AND('POTENCIAL HORAS'!#REF!,"AAAAAHy+0V0=")</f>
        <v>#REF!</v>
      </c>
      <c r="CQ14" t="e">
        <f>AND('POTENCIAL HORAS'!#REF!,"AAAAAHy+0V4=")</f>
        <v>#REF!</v>
      </c>
      <c r="CR14" t="e">
        <f>AND('POTENCIAL HORAS'!#REF!,"AAAAAHy+0V8=")</f>
        <v>#REF!</v>
      </c>
      <c r="CS14" t="e">
        <f>AND('POTENCIAL HORAS'!#REF!,"AAAAAHy+0WA=")</f>
        <v>#REF!</v>
      </c>
      <c r="CT14" t="e">
        <f>AND('POTENCIAL HORAS'!#REF!,"AAAAAHy+0WE=")</f>
        <v>#REF!</v>
      </c>
      <c r="CU14" t="e">
        <f>AND('POTENCIAL HORAS'!#REF!,"AAAAAHy+0WI=")</f>
        <v>#REF!</v>
      </c>
      <c r="CV14" t="e">
        <f>AND('POTENCIAL HORAS'!#REF!,"AAAAAHy+0WM=")</f>
        <v>#REF!</v>
      </c>
      <c r="CW14" t="e">
        <f>AND('POTENCIAL HORAS'!#REF!,"AAAAAHy+0WQ=")</f>
        <v>#REF!</v>
      </c>
      <c r="CX14" t="e">
        <f>AND('POTENCIAL HORAS'!#REF!,"AAAAAHy+0WU=")</f>
        <v>#REF!</v>
      </c>
      <c r="CY14" t="e">
        <f>AND('POTENCIAL HORAS'!Q94,"AAAAAHy+0WY=")</f>
        <v>#VALUE!</v>
      </c>
      <c r="CZ14" t="e">
        <f>AND('POTENCIAL HORAS'!R94,"AAAAAHy+0Wc=")</f>
        <v>#VALUE!</v>
      </c>
      <c r="DA14">
        <f>IF('POTENCIAL HORAS'!95:95,"AAAAAHy+0Wg=",0)</f>
        <v>0</v>
      </c>
      <c r="DB14" t="e">
        <f>AND('POTENCIAL HORAS'!A95,"AAAAAHy+0Wk=")</f>
        <v>#VALUE!</v>
      </c>
      <c r="DC14" t="e">
        <f>AND('POTENCIAL HORAS'!B95,"AAAAAHy+0Wo=")</f>
        <v>#VALUE!</v>
      </c>
      <c r="DD14" t="e">
        <f>AND('POTENCIAL HORAS'!C95,"AAAAAHy+0Ws=")</f>
        <v>#VALUE!</v>
      </c>
      <c r="DE14" t="e">
        <f>AND('POTENCIAL HORAS'!D95,"AAAAAHy+0Ww=")</f>
        <v>#VALUE!</v>
      </c>
      <c r="DF14" t="e">
        <f>AND('POTENCIAL HORAS'!E95,"AAAAAHy+0W0=")</f>
        <v>#VALUE!</v>
      </c>
      <c r="DG14" t="e">
        <f>AND('POTENCIAL HORAS'!F95,"AAAAAHy+0W4=")</f>
        <v>#VALUE!</v>
      </c>
      <c r="DH14" t="e">
        <f>AND('POTENCIAL HORAS'!G95,"AAAAAHy+0W8=")</f>
        <v>#VALUE!</v>
      </c>
      <c r="DI14" t="e">
        <f>AND('POTENCIAL HORAS'!H95,"AAAAAHy+0XA=")</f>
        <v>#VALUE!</v>
      </c>
      <c r="DJ14" t="e">
        <f>AND('POTENCIAL HORAS'!I95,"AAAAAHy+0XE=")</f>
        <v>#VALUE!</v>
      </c>
      <c r="DK14" t="e">
        <f>AND('POTENCIAL HORAS'!J95,"AAAAAHy+0XI=")</f>
        <v>#VALUE!</v>
      </c>
      <c r="DL14" t="e">
        <f>AND('POTENCIAL HORAS'!K95,"AAAAAHy+0XM=")</f>
        <v>#VALUE!</v>
      </c>
      <c r="DM14" t="e">
        <f>AND('POTENCIAL HORAS'!L95,"AAAAAHy+0XQ=")</f>
        <v>#VALUE!</v>
      </c>
      <c r="DN14" t="e">
        <f>AND('POTENCIAL HORAS'!M95,"AAAAAHy+0XU=")</f>
        <v>#VALUE!</v>
      </c>
      <c r="DO14" t="e">
        <f>AND('POTENCIAL HORAS'!N95,"AAAAAHy+0XY=")</f>
        <v>#VALUE!</v>
      </c>
      <c r="DP14" t="e">
        <f>AND('POTENCIAL HORAS'!O95,"AAAAAHy+0Xc=")</f>
        <v>#VALUE!</v>
      </c>
      <c r="DQ14" t="e">
        <f>AND('POTENCIAL HORAS'!P95,"AAAAAHy+0Xg=")</f>
        <v>#VALUE!</v>
      </c>
      <c r="DR14" t="e">
        <f>AND('POTENCIAL HORAS'!#REF!,"AAAAAHy+0Xk=")</f>
        <v>#REF!</v>
      </c>
      <c r="DS14" t="e">
        <f>AND('POTENCIAL HORAS'!#REF!,"AAAAAHy+0Xo=")</f>
        <v>#REF!</v>
      </c>
      <c r="DT14" t="e">
        <f>AND('POTENCIAL HORAS'!#REF!,"AAAAAHy+0Xs=")</f>
        <v>#REF!</v>
      </c>
      <c r="DU14" t="e">
        <f>AND('POTENCIAL HORAS'!#REF!,"AAAAAHy+0Xw=")</f>
        <v>#REF!</v>
      </c>
      <c r="DV14" t="e">
        <f>AND('POTENCIAL HORAS'!#REF!,"AAAAAHy+0X0=")</f>
        <v>#REF!</v>
      </c>
      <c r="DW14" t="e">
        <f>AND('POTENCIAL HORAS'!#REF!,"AAAAAHy+0X4=")</f>
        <v>#REF!</v>
      </c>
      <c r="DX14" t="e">
        <f>AND('POTENCIAL HORAS'!#REF!,"AAAAAHy+0X8=")</f>
        <v>#REF!</v>
      </c>
      <c r="DY14" t="e">
        <f>AND('POTENCIAL HORAS'!#REF!,"AAAAAHy+0YA=")</f>
        <v>#REF!</v>
      </c>
      <c r="DZ14" t="e">
        <f>AND('POTENCIAL HORAS'!#REF!,"AAAAAHy+0YE=")</f>
        <v>#REF!</v>
      </c>
      <c r="EA14" t="e">
        <f>AND('POTENCIAL HORAS'!#REF!,"AAAAAHy+0YI=")</f>
        <v>#REF!</v>
      </c>
      <c r="EB14" t="e">
        <f>AND('POTENCIAL HORAS'!#REF!,"AAAAAHy+0YM=")</f>
        <v>#REF!</v>
      </c>
      <c r="EC14" t="e">
        <f>AND('POTENCIAL HORAS'!#REF!,"AAAAAHy+0YQ=")</f>
        <v>#REF!</v>
      </c>
      <c r="ED14" t="e">
        <f>AND('POTENCIAL HORAS'!#REF!,"AAAAAHy+0YU=")</f>
        <v>#REF!</v>
      </c>
      <c r="EE14" t="e">
        <f>AND('POTENCIAL HORAS'!#REF!,"AAAAAHy+0YY=")</f>
        <v>#REF!</v>
      </c>
      <c r="EF14" t="e">
        <f>AND('POTENCIAL HORAS'!#REF!,"AAAAAHy+0Yc=")</f>
        <v>#REF!</v>
      </c>
      <c r="EG14" t="e">
        <f>AND('POTENCIAL HORAS'!#REF!,"AAAAAHy+0Yg=")</f>
        <v>#REF!</v>
      </c>
      <c r="EH14" t="e">
        <f>AND('POTENCIAL HORAS'!#REF!,"AAAAAHy+0Yk=")</f>
        <v>#REF!</v>
      </c>
      <c r="EI14" t="e">
        <f>AND('POTENCIAL HORAS'!#REF!,"AAAAAHy+0Yo=")</f>
        <v>#REF!</v>
      </c>
      <c r="EJ14" t="e">
        <f>AND('POTENCIAL HORAS'!#REF!,"AAAAAHy+0Ys=")</f>
        <v>#REF!</v>
      </c>
      <c r="EK14" t="e">
        <f>AND('POTENCIAL HORAS'!#REF!,"AAAAAHy+0Yw=")</f>
        <v>#REF!</v>
      </c>
      <c r="EL14" t="e">
        <f>AND('POTENCIAL HORAS'!Q95,"AAAAAHy+0Y0=")</f>
        <v>#VALUE!</v>
      </c>
      <c r="EM14" t="e">
        <f>AND('POTENCIAL HORAS'!R95,"AAAAAHy+0Y4=")</f>
        <v>#VALUE!</v>
      </c>
      <c r="EN14">
        <f>IF('POTENCIAL HORAS'!96:96,"AAAAAHy+0Y8=",0)</f>
        <v>0</v>
      </c>
      <c r="EO14" t="e">
        <f>AND('POTENCIAL HORAS'!A96,"AAAAAHy+0ZA=")</f>
        <v>#VALUE!</v>
      </c>
      <c r="EP14" t="e">
        <f>AND('POTENCIAL HORAS'!B96,"AAAAAHy+0ZE=")</f>
        <v>#VALUE!</v>
      </c>
      <c r="EQ14" t="e">
        <f>AND('POTENCIAL HORAS'!C96,"AAAAAHy+0ZI=")</f>
        <v>#VALUE!</v>
      </c>
      <c r="ER14" t="e">
        <f>AND('POTENCIAL HORAS'!D96,"AAAAAHy+0ZM=")</f>
        <v>#VALUE!</v>
      </c>
      <c r="ES14" t="e">
        <f>AND('POTENCIAL HORAS'!E96,"AAAAAHy+0ZQ=")</f>
        <v>#VALUE!</v>
      </c>
      <c r="ET14" t="e">
        <f>AND('POTENCIAL HORAS'!F96,"AAAAAHy+0ZU=")</f>
        <v>#VALUE!</v>
      </c>
      <c r="EU14" t="e">
        <f>AND('POTENCIAL HORAS'!G96,"AAAAAHy+0ZY=")</f>
        <v>#VALUE!</v>
      </c>
      <c r="EV14" t="e">
        <f>AND('POTENCIAL HORAS'!H96,"AAAAAHy+0Zc=")</f>
        <v>#VALUE!</v>
      </c>
      <c r="EW14" t="e">
        <f>AND('POTENCIAL HORAS'!I96,"AAAAAHy+0Zg=")</f>
        <v>#VALUE!</v>
      </c>
      <c r="EX14" t="e">
        <f>AND('POTENCIAL HORAS'!J96,"AAAAAHy+0Zk=")</f>
        <v>#VALUE!</v>
      </c>
      <c r="EY14" t="e">
        <f>AND('POTENCIAL HORAS'!K96,"AAAAAHy+0Zo=")</f>
        <v>#VALUE!</v>
      </c>
      <c r="EZ14" t="e">
        <f>AND('POTENCIAL HORAS'!L96,"AAAAAHy+0Zs=")</f>
        <v>#VALUE!</v>
      </c>
      <c r="FA14" t="e">
        <f>AND('POTENCIAL HORAS'!M96,"AAAAAHy+0Zw=")</f>
        <v>#VALUE!</v>
      </c>
      <c r="FB14" t="e">
        <f>AND('POTENCIAL HORAS'!N96,"AAAAAHy+0Z0=")</f>
        <v>#VALUE!</v>
      </c>
      <c r="FC14" t="e">
        <f>AND('POTENCIAL HORAS'!O96,"AAAAAHy+0Z4=")</f>
        <v>#VALUE!</v>
      </c>
      <c r="FD14" t="e">
        <f>AND('POTENCIAL HORAS'!P96,"AAAAAHy+0Z8=")</f>
        <v>#VALUE!</v>
      </c>
      <c r="FE14" t="e">
        <f>AND('POTENCIAL HORAS'!#REF!,"AAAAAHy+0aA=")</f>
        <v>#REF!</v>
      </c>
      <c r="FF14" t="e">
        <f>AND('POTENCIAL HORAS'!#REF!,"AAAAAHy+0aE=")</f>
        <v>#REF!</v>
      </c>
      <c r="FG14" t="e">
        <f>AND('POTENCIAL HORAS'!#REF!,"AAAAAHy+0aI=")</f>
        <v>#REF!</v>
      </c>
      <c r="FH14" t="e">
        <f>AND('POTENCIAL HORAS'!#REF!,"AAAAAHy+0aM=")</f>
        <v>#REF!</v>
      </c>
      <c r="FI14" t="e">
        <f>AND('POTENCIAL HORAS'!#REF!,"AAAAAHy+0aQ=")</f>
        <v>#REF!</v>
      </c>
      <c r="FJ14" t="e">
        <f>AND('POTENCIAL HORAS'!#REF!,"AAAAAHy+0aU=")</f>
        <v>#REF!</v>
      </c>
      <c r="FK14" t="e">
        <f>AND('POTENCIAL HORAS'!#REF!,"AAAAAHy+0aY=")</f>
        <v>#REF!</v>
      </c>
      <c r="FL14" t="e">
        <f>AND('POTENCIAL HORAS'!#REF!,"AAAAAHy+0ac=")</f>
        <v>#REF!</v>
      </c>
      <c r="FM14" t="e">
        <f>AND('POTENCIAL HORAS'!#REF!,"AAAAAHy+0ag=")</f>
        <v>#REF!</v>
      </c>
      <c r="FN14" t="e">
        <f>AND('POTENCIAL HORAS'!#REF!,"AAAAAHy+0ak=")</f>
        <v>#REF!</v>
      </c>
      <c r="FO14" t="e">
        <f>AND('POTENCIAL HORAS'!#REF!,"AAAAAHy+0ao=")</f>
        <v>#REF!</v>
      </c>
      <c r="FP14" t="e">
        <f>AND('POTENCIAL HORAS'!#REF!,"AAAAAHy+0as=")</f>
        <v>#REF!</v>
      </c>
      <c r="FQ14" t="e">
        <f>AND('POTENCIAL HORAS'!#REF!,"AAAAAHy+0aw=")</f>
        <v>#REF!</v>
      </c>
      <c r="FR14" t="e">
        <f>AND('POTENCIAL HORAS'!#REF!,"AAAAAHy+0a0=")</f>
        <v>#REF!</v>
      </c>
      <c r="FS14" t="e">
        <f>AND('POTENCIAL HORAS'!#REF!,"AAAAAHy+0a4=")</f>
        <v>#REF!</v>
      </c>
      <c r="FT14" t="e">
        <f>AND('POTENCIAL HORAS'!#REF!,"AAAAAHy+0a8=")</f>
        <v>#REF!</v>
      </c>
      <c r="FU14" t="e">
        <f>AND('POTENCIAL HORAS'!#REF!,"AAAAAHy+0bA=")</f>
        <v>#REF!</v>
      </c>
      <c r="FV14" t="e">
        <f>AND('POTENCIAL HORAS'!#REF!,"AAAAAHy+0bE=")</f>
        <v>#REF!</v>
      </c>
      <c r="FW14" t="e">
        <f>AND('POTENCIAL HORAS'!#REF!,"AAAAAHy+0bI=")</f>
        <v>#REF!</v>
      </c>
      <c r="FX14" t="e">
        <f>AND('POTENCIAL HORAS'!#REF!,"AAAAAHy+0bM=")</f>
        <v>#REF!</v>
      </c>
      <c r="FY14" t="e">
        <f>AND('POTENCIAL HORAS'!Q96,"AAAAAHy+0bQ=")</f>
        <v>#VALUE!</v>
      </c>
      <c r="FZ14" t="e">
        <f>AND('POTENCIAL HORAS'!R96,"AAAAAHy+0bU=")</f>
        <v>#VALUE!</v>
      </c>
      <c r="GA14">
        <f>IF('POTENCIAL HORAS'!97:97,"AAAAAHy+0bY=",0)</f>
        <v>0</v>
      </c>
      <c r="GB14" t="e">
        <f>AND('POTENCIAL HORAS'!A97,"AAAAAHy+0bc=")</f>
        <v>#VALUE!</v>
      </c>
      <c r="GC14" t="e">
        <f>AND('POTENCIAL HORAS'!B97,"AAAAAHy+0bg=")</f>
        <v>#VALUE!</v>
      </c>
      <c r="GD14" t="e">
        <f>AND('POTENCIAL HORAS'!C97,"AAAAAHy+0bk=")</f>
        <v>#VALUE!</v>
      </c>
      <c r="GE14" t="e">
        <f>AND('POTENCIAL HORAS'!D97,"AAAAAHy+0bo=")</f>
        <v>#VALUE!</v>
      </c>
      <c r="GF14" t="e">
        <f>AND('POTENCIAL HORAS'!E97,"AAAAAHy+0bs=")</f>
        <v>#VALUE!</v>
      </c>
      <c r="GG14" t="e">
        <f>AND('POTENCIAL HORAS'!F97,"AAAAAHy+0bw=")</f>
        <v>#VALUE!</v>
      </c>
      <c r="GH14" t="e">
        <f>AND('POTENCIAL HORAS'!G97,"AAAAAHy+0b0=")</f>
        <v>#VALUE!</v>
      </c>
      <c r="GI14" t="e">
        <f>AND('POTENCIAL HORAS'!H97,"AAAAAHy+0b4=")</f>
        <v>#VALUE!</v>
      </c>
      <c r="GJ14" t="e">
        <f>AND('POTENCIAL HORAS'!I97,"AAAAAHy+0b8=")</f>
        <v>#VALUE!</v>
      </c>
      <c r="GK14" t="e">
        <f>AND('POTENCIAL HORAS'!J97,"AAAAAHy+0cA=")</f>
        <v>#VALUE!</v>
      </c>
      <c r="GL14" t="e">
        <f>AND('POTENCIAL HORAS'!K97,"AAAAAHy+0cE=")</f>
        <v>#VALUE!</v>
      </c>
      <c r="GM14" t="e">
        <f>AND('POTENCIAL HORAS'!L97,"AAAAAHy+0cI=")</f>
        <v>#VALUE!</v>
      </c>
      <c r="GN14" t="e">
        <f>AND('POTENCIAL HORAS'!M97,"AAAAAHy+0cM=")</f>
        <v>#VALUE!</v>
      </c>
      <c r="GO14" t="e">
        <f>AND('POTENCIAL HORAS'!N97,"AAAAAHy+0cQ=")</f>
        <v>#VALUE!</v>
      </c>
      <c r="GP14" t="e">
        <f>AND('POTENCIAL HORAS'!O97,"AAAAAHy+0cU=")</f>
        <v>#VALUE!</v>
      </c>
      <c r="GQ14" t="e">
        <f>AND('POTENCIAL HORAS'!P97,"AAAAAHy+0cY=")</f>
        <v>#VALUE!</v>
      </c>
      <c r="GR14" t="e">
        <f>AND('POTENCIAL HORAS'!#REF!,"AAAAAHy+0cc=")</f>
        <v>#REF!</v>
      </c>
      <c r="GS14" t="e">
        <f>AND('POTENCIAL HORAS'!#REF!,"AAAAAHy+0cg=")</f>
        <v>#REF!</v>
      </c>
      <c r="GT14" t="e">
        <f>AND('POTENCIAL HORAS'!#REF!,"AAAAAHy+0ck=")</f>
        <v>#REF!</v>
      </c>
      <c r="GU14" t="e">
        <f>AND('POTENCIAL HORAS'!#REF!,"AAAAAHy+0co=")</f>
        <v>#REF!</v>
      </c>
      <c r="GV14" t="e">
        <f>AND('POTENCIAL HORAS'!#REF!,"AAAAAHy+0cs=")</f>
        <v>#REF!</v>
      </c>
      <c r="GW14" t="e">
        <f>AND('POTENCIAL HORAS'!#REF!,"AAAAAHy+0cw=")</f>
        <v>#REF!</v>
      </c>
      <c r="GX14" t="e">
        <f>AND('POTENCIAL HORAS'!#REF!,"AAAAAHy+0c0=")</f>
        <v>#REF!</v>
      </c>
      <c r="GY14" t="e">
        <f>AND('POTENCIAL HORAS'!#REF!,"AAAAAHy+0c4=")</f>
        <v>#REF!</v>
      </c>
      <c r="GZ14" t="e">
        <f>AND('POTENCIAL HORAS'!#REF!,"AAAAAHy+0c8=")</f>
        <v>#REF!</v>
      </c>
      <c r="HA14" t="e">
        <f>AND('POTENCIAL HORAS'!#REF!,"AAAAAHy+0dA=")</f>
        <v>#REF!</v>
      </c>
      <c r="HB14" t="e">
        <f>AND('POTENCIAL HORAS'!#REF!,"AAAAAHy+0dE=")</f>
        <v>#REF!</v>
      </c>
      <c r="HC14" t="e">
        <f>AND('POTENCIAL HORAS'!#REF!,"AAAAAHy+0dI=")</f>
        <v>#REF!</v>
      </c>
      <c r="HD14" t="e">
        <f>AND('POTENCIAL HORAS'!#REF!,"AAAAAHy+0dM=")</f>
        <v>#REF!</v>
      </c>
      <c r="HE14" t="e">
        <f>AND('POTENCIAL HORAS'!#REF!,"AAAAAHy+0dQ=")</f>
        <v>#REF!</v>
      </c>
      <c r="HF14" t="e">
        <f>AND('POTENCIAL HORAS'!#REF!,"AAAAAHy+0dU=")</f>
        <v>#REF!</v>
      </c>
      <c r="HG14" t="e">
        <f>AND('POTENCIAL HORAS'!#REF!,"AAAAAHy+0dY=")</f>
        <v>#REF!</v>
      </c>
      <c r="HH14" t="e">
        <f>AND('POTENCIAL HORAS'!#REF!,"AAAAAHy+0dc=")</f>
        <v>#REF!</v>
      </c>
      <c r="HI14" t="e">
        <f>AND('POTENCIAL HORAS'!#REF!,"AAAAAHy+0dg=")</f>
        <v>#REF!</v>
      </c>
      <c r="HJ14" t="e">
        <f>AND('POTENCIAL HORAS'!#REF!,"AAAAAHy+0dk=")</f>
        <v>#REF!</v>
      </c>
      <c r="HK14" t="e">
        <f>AND('POTENCIAL HORAS'!#REF!,"AAAAAHy+0do=")</f>
        <v>#REF!</v>
      </c>
      <c r="HL14" t="e">
        <f>AND('POTENCIAL HORAS'!Q97,"AAAAAHy+0ds=")</f>
        <v>#VALUE!</v>
      </c>
      <c r="HM14" t="e">
        <f>AND('POTENCIAL HORAS'!R97,"AAAAAHy+0dw=")</f>
        <v>#VALUE!</v>
      </c>
      <c r="HN14">
        <f>IF('POTENCIAL HORAS'!99:99,"AAAAAHy+0d0=",0)</f>
        <v>0</v>
      </c>
      <c r="HO14" t="e">
        <f>AND('POTENCIAL HORAS'!A99,"AAAAAHy+0d4=")</f>
        <v>#VALUE!</v>
      </c>
      <c r="HP14" t="e">
        <f>AND('POTENCIAL HORAS'!B99,"AAAAAHy+0d8=")</f>
        <v>#VALUE!</v>
      </c>
      <c r="HQ14" t="e">
        <f>AND('POTENCIAL HORAS'!C99,"AAAAAHy+0eA=")</f>
        <v>#VALUE!</v>
      </c>
      <c r="HR14" t="e">
        <f>AND('POTENCIAL HORAS'!D99,"AAAAAHy+0eE=")</f>
        <v>#VALUE!</v>
      </c>
      <c r="HS14" t="e">
        <f>AND('POTENCIAL HORAS'!E99,"AAAAAHy+0eI=")</f>
        <v>#VALUE!</v>
      </c>
      <c r="HT14" t="e">
        <f>AND('POTENCIAL HORAS'!F99,"AAAAAHy+0eM=")</f>
        <v>#VALUE!</v>
      </c>
      <c r="HU14" t="e">
        <f>AND('POTENCIAL HORAS'!G99,"AAAAAHy+0eQ=")</f>
        <v>#VALUE!</v>
      </c>
      <c r="HV14" t="e">
        <f>AND('POTENCIAL HORAS'!H99,"AAAAAHy+0eU=")</f>
        <v>#VALUE!</v>
      </c>
      <c r="HW14" t="e">
        <f>AND('POTENCIAL HORAS'!I99,"AAAAAHy+0eY=")</f>
        <v>#VALUE!</v>
      </c>
      <c r="HX14" t="e">
        <f>AND('POTENCIAL HORAS'!J99,"AAAAAHy+0ec=")</f>
        <v>#VALUE!</v>
      </c>
      <c r="HY14" t="e">
        <f>AND('POTENCIAL HORAS'!K99,"AAAAAHy+0eg=")</f>
        <v>#VALUE!</v>
      </c>
      <c r="HZ14" t="e">
        <f>AND('POTENCIAL HORAS'!L99,"AAAAAHy+0ek=")</f>
        <v>#VALUE!</v>
      </c>
      <c r="IA14" t="e">
        <f>AND('POTENCIAL HORAS'!M99,"AAAAAHy+0eo=")</f>
        <v>#VALUE!</v>
      </c>
      <c r="IB14" t="e">
        <f>AND('POTENCIAL HORAS'!N99,"AAAAAHy+0es=")</f>
        <v>#VALUE!</v>
      </c>
      <c r="IC14" t="e">
        <f>AND('POTENCIAL HORAS'!O99,"AAAAAHy+0ew=")</f>
        <v>#VALUE!</v>
      </c>
      <c r="ID14" t="e">
        <f>AND('POTENCIAL HORAS'!P99,"AAAAAHy+0e0=")</f>
        <v>#VALUE!</v>
      </c>
      <c r="IE14" t="e">
        <f>AND('POTENCIAL HORAS'!#REF!,"AAAAAHy+0e4=")</f>
        <v>#REF!</v>
      </c>
      <c r="IF14" t="e">
        <f>AND('POTENCIAL HORAS'!#REF!,"AAAAAHy+0e8=")</f>
        <v>#REF!</v>
      </c>
      <c r="IG14" t="e">
        <f>AND('POTENCIAL HORAS'!#REF!,"AAAAAHy+0fA=")</f>
        <v>#REF!</v>
      </c>
      <c r="IH14" t="e">
        <f>AND('POTENCIAL HORAS'!#REF!,"AAAAAHy+0fE=")</f>
        <v>#REF!</v>
      </c>
      <c r="II14" t="e">
        <f>AND('POTENCIAL HORAS'!#REF!,"AAAAAHy+0fI=")</f>
        <v>#REF!</v>
      </c>
      <c r="IJ14" t="e">
        <f>AND('POTENCIAL HORAS'!#REF!,"AAAAAHy+0fM=")</f>
        <v>#REF!</v>
      </c>
      <c r="IK14" t="e">
        <f>AND('POTENCIAL HORAS'!#REF!,"AAAAAHy+0fQ=")</f>
        <v>#REF!</v>
      </c>
      <c r="IL14" t="e">
        <f>AND('POTENCIAL HORAS'!#REF!,"AAAAAHy+0fU=")</f>
        <v>#REF!</v>
      </c>
      <c r="IM14" t="e">
        <f>AND('POTENCIAL HORAS'!#REF!,"AAAAAHy+0fY=")</f>
        <v>#REF!</v>
      </c>
      <c r="IN14" t="e">
        <f>AND('POTENCIAL HORAS'!#REF!,"AAAAAHy+0fc=")</f>
        <v>#REF!</v>
      </c>
      <c r="IO14" t="e">
        <f>AND('POTENCIAL HORAS'!#REF!,"AAAAAHy+0fg=")</f>
        <v>#REF!</v>
      </c>
      <c r="IP14" t="e">
        <f>AND('POTENCIAL HORAS'!#REF!,"AAAAAHy+0fk=")</f>
        <v>#REF!</v>
      </c>
      <c r="IQ14" t="e">
        <f>AND('POTENCIAL HORAS'!#REF!,"AAAAAHy+0fo=")</f>
        <v>#REF!</v>
      </c>
      <c r="IR14" t="e">
        <f>AND('POTENCIAL HORAS'!#REF!,"AAAAAHy+0fs=")</f>
        <v>#REF!</v>
      </c>
      <c r="IS14" t="e">
        <f>AND('POTENCIAL HORAS'!#REF!,"AAAAAHy+0fw=")</f>
        <v>#REF!</v>
      </c>
      <c r="IT14" t="e">
        <f>AND('POTENCIAL HORAS'!#REF!,"AAAAAHy+0f0=")</f>
        <v>#REF!</v>
      </c>
      <c r="IU14" t="e">
        <f>AND('POTENCIAL HORAS'!#REF!,"AAAAAHy+0f4=")</f>
        <v>#REF!</v>
      </c>
      <c r="IV14" t="e">
        <f>AND('POTENCIAL HORAS'!#REF!,"AAAAAHy+0f8=")</f>
        <v>#REF!</v>
      </c>
    </row>
    <row r="15" spans="1:256" x14ac:dyDescent="0.2">
      <c r="A15" t="e">
        <f>AND('POTENCIAL HORAS'!#REF!,"AAAAAA7/3QA=")</f>
        <v>#REF!</v>
      </c>
      <c r="B15" t="e">
        <f>AND('POTENCIAL HORAS'!#REF!,"AAAAAA7/3QE=")</f>
        <v>#REF!</v>
      </c>
      <c r="C15" t="e">
        <f>AND('POTENCIAL HORAS'!Q99,"AAAAAA7/3QI=")</f>
        <v>#VALUE!</v>
      </c>
      <c r="D15" t="e">
        <f>AND('POTENCIAL HORAS'!R99,"AAAAAA7/3QM=")</f>
        <v>#VALUE!</v>
      </c>
      <c r="E15" t="e">
        <f>IF('POTENCIAL HORAS'!#REF!,"AAAAAA7/3QQ=",0)</f>
        <v>#REF!</v>
      </c>
      <c r="F15" t="e">
        <f>AND('POTENCIAL HORAS'!#REF!,"AAAAAA7/3QU=")</f>
        <v>#REF!</v>
      </c>
      <c r="G15" t="e">
        <f>AND('POTENCIAL HORAS'!#REF!,"AAAAAA7/3QY=")</f>
        <v>#REF!</v>
      </c>
      <c r="H15" t="e">
        <f>AND('POTENCIAL HORAS'!#REF!,"AAAAAA7/3Qc=")</f>
        <v>#REF!</v>
      </c>
      <c r="I15" t="e">
        <f>AND('POTENCIAL HORAS'!#REF!,"AAAAAA7/3Qg=")</f>
        <v>#REF!</v>
      </c>
      <c r="J15" t="e">
        <f>AND('POTENCIAL HORAS'!#REF!,"AAAAAA7/3Qk=")</f>
        <v>#REF!</v>
      </c>
      <c r="K15" t="e">
        <f>AND('POTENCIAL HORAS'!#REF!,"AAAAAA7/3Qo=")</f>
        <v>#REF!</v>
      </c>
      <c r="L15" t="e">
        <f>AND('POTENCIAL HORAS'!#REF!,"AAAAAA7/3Qs=")</f>
        <v>#REF!</v>
      </c>
      <c r="M15" t="e">
        <f>AND('POTENCIAL HORAS'!#REF!,"AAAAAA7/3Qw=")</f>
        <v>#REF!</v>
      </c>
      <c r="N15" t="e">
        <f>AND('POTENCIAL HORAS'!#REF!,"AAAAAA7/3Q0=")</f>
        <v>#REF!</v>
      </c>
      <c r="O15" t="e">
        <f>AND('POTENCIAL HORAS'!#REF!,"AAAAAA7/3Q4=")</f>
        <v>#REF!</v>
      </c>
      <c r="P15" t="e">
        <f>AND('POTENCIAL HORAS'!#REF!,"AAAAAA7/3Q8=")</f>
        <v>#REF!</v>
      </c>
      <c r="Q15" t="e">
        <f>AND('POTENCIAL HORAS'!#REF!,"AAAAAA7/3RA=")</f>
        <v>#REF!</v>
      </c>
      <c r="R15" t="e">
        <f>AND('POTENCIAL HORAS'!#REF!,"AAAAAA7/3RE=")</f>
        <v>#REF!</v>
      </c>
      <c r="S15" t="e">
        <f>AND('POTENCIAL HORAS'!#REF!,"AAAAAA7/3RI=")</f>
        <v>#REF!</v>
      </c>
      <c r="T15" t="e">
        <f>AND('POTENCIAL HORAS'!#REF!,"AAAAAA7/3RM=")</f>
        <v>#REF!</v>
      </c>
      <c r="U15" t="e">
        <f>AND('POTENCIAL HORAS'!#REF!,"AAAAAA7/3RQ=")</f>
        <v>#REF!</v>
      </c>
      <c r="V15" t="e">
        <f>AND('POTENCIAL HORAS'!#REF!,"AAAAAA7/3RU=")</f>
        <v>#REF!</v>
      </c>
      <c r="W15" t="e">
        <f>AND('POTENCIAL HORAS'!#REF!,"AAAAAA7/3RY=")</f>
        <v>#REF!</v>
      </c>
      <c r="X15" t="e">
        <f>AND('POTENCIAL HORAS'!#REF!,"AAAAAA7/3Rc=")</f>
        <v>#REF!</v>
      </c>
      <c r="Y15" t="e">
        <f>AND('POTENCIAL HORAS'!#REF!,"AAAAAA7/3Rg=")</f>
        <v>#REF!</v>
      </c>
      <c r="Z15" t="e">
        <f>AND('POTENCIAL HORAS'!#REF!,"AAAAAA7/3Rk=")</f>
        <v>#REF!</v>
      </c>
      <c r="AA15" t="e">
        <f>AND('POTENCIAL HORAS'!#REF!,"AAAAAA7/3Ro=")</f>
        <v>#REF!</v>
      </c>
      <c r="AB15" t="e">
        <f>AND('POTENCIAL HORAS'!#REF!,"AAAAAA7/3Rs=")</f>
        <v>#REF!</v>
      </c>
      <c r="AC15" t="e">
        <f>AND('POTENCIAL HORAS'!#REF!,"AAAAAA7/3Rw=")</f>
        <v>#REF!</v>
      </c>
      <c r="AD15" t="e">
        <f>AND('POTENCIAL HORAS'!#REF!,"AAAAAA7/3R0=")</f>
        <v>#REF!</v>
      </c>
      <c r="AE15" t="e">
        <f>AND('POTENCIAL HORAS'!#REF!,"AAAAAA7/3R4=")</f>
        <v>#REF!</v>
      </c>
      <c r="AF15" t="e">
        <f>AND('POTENCIAL HORAS'!#REF!,"AAAAAA7/3R8=")</f>
        <v>#REF!</v>
      </c>
      <c r="AG15" t="e">
        <f>AND('POTENCIAL HORAS'!#REF!,"AAAAAA7/3SA=")</f>
        <v>#REF!</v>
      </c>
      <c r="AH15" t="e">
        <f>AND('POTENCIAL HORAS'!#REF!,"AAAAAA7/3SE=")</f>
        <v>#REF!</v>
      </c>
      <c r="AI15" t="e">
        <f>AND('POTENCIAL HORAS'!#REF!,"AAAAAA7/3SI=")</f>
        <v>#REF!</v>
      </c>
      <c r="AJ15" t="e">
        <f>AND('POTENCIAL HORAS'!#REF!,"AAAAAA7/3SM=")</f>
        <v>#REF!</v>
      </c>
      <c r="AK15" t="e">
        <f>AND('POTENCIAL HORAS'!#REF!,"AAAAAA7/3SQ=")</f>
        <v>#REF!</v>
      </c>
      <c r="AL15" t="e">
        <f>AND('POTENCIAL HORAS'!#REF!,"AAAAAA7/3SU=")</f>
        <v>#REF!</v>
      </c>
      <c r="AM15" t="e">
        <f>AND('POTENCIAL HORAS'!#REF!,"AAAAAA7/3SY=")</f>
        <v>#REF!</v>
      </c>
      <c r="AN15" t="e">
        <f>AND('POTENCIAL HORAS'!#REF!,"AAAAAA7/3Sc=")</f>
        <v>#REF!</v>
      </c>
      <c r="AO15" t="e">
        <f>AND('POTENCIAL HORAS'!#REF!,"AAAAAA7/3Sg=")</f>
        <v>#REF!</v>
      </c>
      <c r="AP15" t="e">
        <f>AND('POTENCIAL HORAS'!#REF!,"AAAAAA7/3Sk=")</f>
        <v>#REF!</v>
      </c>
      <c r="AQ15" t="e">
        <f>AND('POTENCIAL HORAS'!#REF!,"AAAAAA7/3So=")</f>
        <v>#REF!</v>
      </c>
      <c r="AR15">
        <f>IF('POTENCIAL HORAS'!100:100,"AAAAAA7/3Ss=",0)</f>
        <v>0</v>
      </c>
      <c r="AS15" t="e">
        <f>AND('POTENCIAL HORAS'!A100,"AAAAAA7/3Sw=")</f>
        <v>#VALUE!</v>
      </c>
      <c r="AT15" t="e">
        <f>AND('POTENCIAL HORAS'!B100,"AAAAAA7/3S0=")</f>
        <v>#VALUE!</v>
      </c>
      <c r="AU15" t="e">
        <f>AND('POTENCIAL HORAS'!C100,"AAAAAA7/3S4=")</f>
        <v>#VALUE!</v>
      </c>
      <c r="AV15" t="e">
        <f>AND('POTENCIAL HORAS'!D100,"AAAAAA7/3S8=")</f>
        <v>#VALUE!</v>
      </c>
      <c r="AW15" t="e">
        <f>AND('POTENCIAL HORAS'!E100,"AAAAAA7/3TA=")</f>
        <v>#VALUE!</v>
      </c>
      <c r="AX15" t="e">
        <f>AND('POTENCIAL HORAS'!F100,"AAAAAA7/3TE=")</f>
        <v>#VALUE!</v>
      </c>
      <c r="AY15" t="e">
        <f>AND('POTENCIAL HORAS'!G100,"AAAAAA7/3TI=")</f>
        <v>#VALUE!</v>
      </c>
      <c r="AZ15" t="e">
        <f>AND('POTENCIAL HORAS'!H100,"AAAAAA7/3TM=")</f>
        <v>#VALUE!</v>
      </c>
      <c r="BA15" t="e">
        <f>AND('POTENCIAL HORAS'!I100,"AAAAAA7/3TQ=")</f>
        <v>#VALUE!</v>
      </c>
      <c r="BB15" t="e">
        <f>AND('POTENCIAL HORAS'!J100,"AAAAAA7/3TU=")</f>
        <v>#VALUE!</v>
      </c>
      <c r="BC15" t="e">
        <f>AND('POTENCIAL HORAS'!K100,"AAAAAA7/3TY=")</f>
        <v>#VALUE!</v>
      </c>
      <c r="BD15" t="e">
        <f>AND('POTENCIAL HORAS'!L100,"AAAAAA7/3Tc=")</f>
        <v>#VALUE!</v>
      </c>
      <c r="BE15" t="e">
        <f>AND('POTENCIAL HORAS'!M100,"AAAAAA7/3Tg=")</f>
        <v>#VALUE!</v>
      </c>
      <c r="BF15" t="e">
        <f>AND('POTENCIAL HORAS'!N100,"AAAAAA7/3Tk=")</f>
        <v>#VALUE!</v>
      </c>
      <c r="BG15" t="e">
        <f>AND('POTENCIAL HORAS'!O100,"AAAAAA7/3To=")</f>
        <v>#VALUE!</v>
      </c>
      <c r="BH15" t="e">
        <f>AND('POTENCIAL HORAS'!P100,"AAAAAA7/3Ts=")</f>
        <v>#VALUE!</v>
      </c>
      <c r="BI15" t="e">
        <f>AND('POTENCIAL HORAS'!#REF!,"AAAAAA7/3Tw=")</f>
        <v>#REF!</v>
      </c>
      <c r="BJ15" t="e">
        <f>AND('POTENCIAL HORAS'!#REF!,"AAAAAA7/3T0=")</f>
        <v>#REF!</v>
      </c>
      <c r="BK15" t="e">
        <f>AND('POTENCIAL HORAS'!#REF!,"AAAAAA7/3T4=")</f>
        <v>#REF!</v>
      </c>
      <c r="BL15" t="e">
        <f>AND('POTENCIAL HORAS'!#REF!,"AAAAAA7/3T8=")</f>
        <v>#REF!</v>
      </c>
      <c r="BM15" t="e">
        <f>AND('POTENCIAL HORAS'!#REF!,"AAAAAA7/3UA=")</f>
        <v>#REF!</v>
      </c>
      <c r="BN15" t="e">
        <f>AND('POTENCIAL HORAS'!#REF!,"AAAAAA7/3UE=")</f>
        <v>#REF!</v>
      </c>
      <c r="BO15" t="e">
        <f>AND('POTENCIAL HORAS'!#REF!,"AAAAAA7/3UI=")</f>
        <v>#REF!</v>
      </c>
      <c r="BP15" t="e">
        <f>AND('POTENCIAL HORAS'!#REF!,"AAAAAA7/3UM=")</f>
        <v>#REF!</v>
      </c>
      <c r="BQ15" t="e">
        <f>AND('POTENCIAL HORAS'!#REF!,"AAAAAA7/3UQ=")</f>
        <v>#REF!</v>
      </c>
      <c r="BR15" t="e">
        <f>AND('POTENCIAL HORAS'!#REF!,"AAAAAA7/3UU=")</f>
        <v>#REF!</v>
      </c>
      <c r="BS15" t="e">
        <f>AND('POTENCIAL HORAS'!#REF!,"AAAAAA7/3UY=")</f>
        <v>#REF!</v>
      </c>
      <c r="BT15" t="e">
        <f>AND('POTENCIAL HORAS'!#REF!,"AAAAAA7/3Uc=")</f>
        <v>#REF!</v>
      </c>
      <c r="BU15" t="e">
        <f>AND('POTENCIAL HORAS'!#REF!,"AAAAAA7/3Ug=")</f>
        <v>#REF!</v>
      </c>
      <c r="BV15" t="e">
        <f>AND('POTENCIAL HORAS'!#REF!,"AAAAAA7/3Uk=")</f>
        <v>#REF!</v>
      </c>
      <c r="BW15" t="e">
        <f>AND('POTENCIAL HORAS'!#REF!,"AAAAAA7/3Uo=")</f>
        <v>#REF!</v>
      </c>
      <c r="BX15" t="e">
        <f>AND('POTENCIAL HORAS'!#REF!,"AAAAAA7/3Us=")</f>
        <v>#REF!</v>
      </c>
      <c r="BY15" t="e">
        <f>AND('POTENCIAL HORAS'!#REF!,"AAAAAA7/3Uw=")</f>
        <v>#REF!</v>
      </c>
      <c r="BZ15" t="e">
        <f>AND('POTENCIAL HORAS'!#REF!,"AAAAAA7/3U0=")</f>
        <v>#REF!</v>
      </c>
      <c r="CA15" t="e">
        <f>AND('POTENCIAL HORAS'!#REF!,"AAAAAA7/3U4=")</f>
        <v>#REF!</v>
      </c>
      <c r="CB15" t="e">
        <f>AND('POTENCIAL HORAS'!#REF!,"AAAAAA7/3U8=")</f>
        <v>#REF!</v>
      </c>
      <c r="CC15" t="e">
        <f>AND('POTENCIAL HORAS'!Q100,"AAAAAA7/3VA=")</f>
        <v>#VALUE!</v>
      </c>
      <c r="CD15" t="e">
        <f>AND('POTENCIAL HORAS'!R100,"AAAAAA7/3VE=")</f>
        <v>#VALUE!</v>
      </c>
      <c r="CE15">
        <f>IF('POTENCIAL HORAS'!101:101,"AAAAAA7/3VI=",0)</f>
        <v>0</v>
      </c>
      <c r="CF15" t="e">
        <f>AND('POTENCIAL HORAS'!A101,"AAAAAA7/3VM=")</f>
        <v>#VALUE!</v>
      </c>
      <c r="CG15" t="e">
        <f>AND('POTENCIAL HORAS'!B101,"AAAAAA7/3VQ=")</f>
        <v>#VALUE!</v>
      </c>
      <c r="CH15" t="e">
        <f>AND('POTENCIAL HORAS'!C101,"AAAAAA7/3VU=")</f>
        <v>#VALUE!</v>
      </c>
      <c r="CI15" t="e">
        <f>AND('POTENCIAL HORAS'!D101,"AAAAAA7/3VY=")</f>
        <v>#VALUE!</v>
      </c>
      <c r="CJ15" t="e">
        <f>AND('POTENCIAL HORAS'!E101,"AAAAAA7/3Vc=")</f>
        <v>#VALUE!</v>
      </c>
      <c r="CK15" t="e">
        <f>AND('POTENCIAL HORAS'!F101,"AAAAAA7/3Vg=")</f>
        <v>#VALUE!</v>
      </c>
      <c r="CL15" t="e">
        <f>AND('POTENCIAL HORAS'!G101,"AAAAAA7/3Vk=")</f>
        <v>#VALUE!</v>
      </c>
      <c r="CM15" t="e">
        <f>AND('POTENCIAL HORAS'!H101,"AAAAAA7/3Vo=")</f>
        <v>#VALUE!</v>
      </c>
      <c r="CN15" t="e">
        <f>AND('POTENCIAL HORAS'!I101,"AAAAAA7/3Vs=")</f>
        <v>#VALUE!</v>
      </c>
      <c r="CO15" t="e">
        <f>AND('POTENCIAL HORAS'!J101,"AAAAAA7/3Vw=")</f>
        <v>#VALUE!</v>
      </c>
      <c r="CP15" t="e">
        <f>AND('POTENCIAL HORAS'!K101,"AAAAAA7/3V0=")</f>
        <v>#VALUE!</v>
      </c>
      <c r="CQ15" t="e">
        <f>AND('POTENCIAL HORAS'!L101,"AAAAAA7/3V4=")</f>
        <v>#VALUE!</v>
      </c>
      <c r="CR15" t="e">
        <f>AND('POTENCIAL HORAS'!M101,"AAAAAA7/3V8=")</f>
        <v>#VALUE!</v>
      </c>
      <c r="CS15" t="e">
        <f>AND('POTENCIAL HORAS'!N101,"AAAAAA7/3WA=")</f>
        <v>#VALUE!</v>
      </c>
      <c r="CT15" t="e">
        <f>AND('POTENCIAL HORAS'!O101,"AAAAAA7/3WE=")</f>
        <v>#VALUE!</v>
      </c>
      <c r="CU15" t="e">
        <f>AND('POTENCIAL HORAS'!P101,"AAAAAA7/3WI=")</f>
        <v>#VALUE!</v>
      </c>
      <c r="CV15" t="e">
        <f>AND('POTENCIAL HORAS'!#REF!,"AAAAAA7/3WM=")</f>
        <v>#REF!</v>
      </c>
      <c r="CW15" t="e">
        <f>AND('POTENCIAL HORAS'!#REF!,"AAAAAA7/3WQ=")</f>
        <v>#REF!</v>
      </c>
      <c r="CX15" t="e">
        <f>AND('POTENCIAL HORAS'!#REF!,"AAAAAA7/3WU=")</f>
        <v>#REF!</v>
      </c>
      <c r="CY15" t="e">
        <f>AND('POTENCIAL HORAS'!#REF!,"AAAAAA7/3WY=")</f>
        <v>#REF!</v>
      </c>
      <c r="CZ15" t="e">
        <f>AND('POTENCIAL HORAS'!#REF!,"AAAAAA7/3Wc=")</f>
        <v>#REF!</v>
      </c>
      <c r="DA15" t="e">
        <f>AND('POTENCIAL HORAS'!#REF!,"AAAAAA7/3Wg=")</f>
        <v>#REF!</v>
      </c>
      <c r="DB15" t="e">
        <f>AND('POTENCIAL HORAS'!#REF!,"AAAAAA7/3Wk=")</f>
        <v>#REF!</v>
      </c>
      <c r="DC15" t="e">
        <f>AND('POTENCIAL HORAS'!#REF!,"AAAAAA7/3Wo=")</f>
        <v>#REF!</v>
      </c>
      <c r="DD15" t="e">
        <f>AND('POTENCIAL HORAS'!#REF!,"AAAAAA7/3Ws=")</f>
        <v>#REF!</v>
      </c>
      <c r="DE15" t="e">
        <f>AND('POTENCIAL HORAS'!#REF!,"AAAAAA7/3Ww=")</f>
        <v>#REF!</v>
      </c>
      <c r="DF15" t="e">
        <f>AND('POTENCIAL HORAS'!#REF!,"AAAAAA7/3W0=")</f>
        <v>#REF!</v>
      </c>
      <c r="DG15" t="e">
        <f>AND('POTENCIAL HORAS'!#REF!,"AAAAAA7/3W4=")</f>
        <v>#REF!</v>
      </c>
      <c r="DH15" t="e">
        <f>AND('POTENCIAL HORAS'!#REF!,"AAAAAA7/3W8=")</f>
        <v>#REF!</v>
      </c>
      <c r="DI15" t="e">
        <f>AND('POTENCIAL HORAS'!#REF!,"AAAAAA7/3XA=")</f>
        <v>#REF!</v>
      </c>
      <c r="DJ15" t="e">
        <f>AND('POTENCIAL HORAS'!#REF!,"AAAAAA7/3XE=")</f>
        <v>#REF!</v>
      </c>
      <c r="DK15" t="e">
        <f>AND('POTENCIAL HORAS'!#REF!,"AAAAAA7/3XI=")</f>
        <v>#REF!</v>
      </c>
      <c r="DL15" t="e">
        <f>AND('POTENCIAL HORAS'!#REF!,"AAAAAA7/3XM=")</f>
        <v>#REF!</v>
      </c>
      <c r="DM15" t="e">
        <f>AND('POTENCIAL HORAS'!#REF!,"AAAAAA7/3XQ=")</f>
        <v>#REF!</v>
      </c>
      <c r="DN15" t="e">
        <f>AND('POTENCIAL HORAS'!#REF!,"AAAAAA7/3XU=")</f>
        <v>#REF!</v>
      </c>
      <c r="DO15" t="e">
        <f>AND('POTENCIAL HORAS'!#REF!,"AAAAAA7/3XY=")</f>
        <v>#REF!</v>
      </c>
      <c r="DP15" t="e">
        <f>AND('POTENCIAL HORAS'!Q101,"AAAAAA7/3Xc=")</f>
        <v>#VALUE!</v>
      </c>
      <c r="DQ15" t="e">
        <f>AND('POTENCIAL HORAS'!R101,"AAAAAA7/3Xg=")</f>
        <v>#VALUE!</v>
      </c>
      <c r="DR15">
        <f>IF('POTENCIAL HORAS'!102:102,"AAAAAA7/3Xk=",0)</f>
        <v>0</v>
      </c>
      <c r="DS15" t="e">
        <f>AND('POTENCIAL HORAS'!A102,"AAAAAA7/3Xo=")</f>
        <v>#VALUE!</v>
      </c>
      <c r="DT15" t="e">
        <f>AND('POTENCIAL HORAS'!B102,"AAAAAA7/3Xs=")</f>
        <v>#VALUE!</v>
      </c>
      <c r="DU15" t="e">
        <f>AND('POTENCIAL HORAS'!C102,"AAAAAA7/3Xw=")</f>
        <v>#VALUE!</v>
      </c>
      <c r="DV15" t="e">
        <f>AND('POTENCIAL HORAS'!D102,"AAAAAA7/3X0=")</f>
        <v>#VALUE!</v>
      </c>
      <c r="DW15" t="e">
        <f>AND('POTENCIAL HORAS'!E102,"AAAAAA7/3X4=")</f>
        <v>#VALUE!</v>
      </c>
      <c r="DX15" t="e">
        <f>AND('POTENCIAL HORAS'!F102,"AAAAAA7/3X8=")</f>
        <v>#VALUE!</v>
      </c>
      <c r="DY15" t="e">
        <f>AND('POTENCIAL HORAS'!G102,"AAAAAA7/3YA=")</f>
        <v>#VALUE!</v>
      </c>
      <c r="DZ15" t="e">
        <f>AND('POTENCIAL HORAS'!H102,"AAAAAA7/3YE=")</f>
        <v>#VALUE!</v>
      </c>
      <c r="EA15" t="e">
        <f>AND('POTENCIAL HORAS'!I102,"AAAAAA7/3YI=")</f>
        <v>#VALUE!</v>
      </c>
      <c r="EB15" t="e">
        <f>AND('POTENCIAL HORAS'!J102,"AAAAAA7/3YM=")</f>
        <v>#VALUE!</v>
      </c>
      <c r="EC15" t="e">
        <f>AND('POTENCIAL HORAS'!K102,"AAAAAA7/3YQ=")</f>
        <v>#VALUE!</v>
      </c>
      <c r="ED15" t="e">
        <f>AND('POTENCIAL HORAS'!L102,"AAAAAA7/3YU=")</f>
        <v>#VALUE!</v>
      </c>
      <c r="EE15" t="e">
        <f>AND('POTENCIAL HORAS'!M102,"AAAAAA7/3YY=")</f>
        <v>#VALUE!</v>
      </c>
      <c r="EF15" t="e">
        <f>AND('POTENCIAL HORAS'!N102,"AAAAAA7/3Yc=")</f>
        <v>#VALUE!</v>
      </c>
      <c r="EG15" t="e">
        <f>AND('POTENCIAL HORAS'!O102,"AAAAAA7/3Yg=")</f>
        <v>#VALUE!</v>
      </c>
      <c r="EH15" t="e">
        <f>AND('POTENCIAL HORAS'!P102,"AAAAAA7/3Yk=")</f>
        <v>#VALUE!</v>
      </c>
      <c r="EI15" t="e">
        <f>AND('POTENCIAL HORAS'!#REF!,"AAAAAA7/3Yo=")</f>
        <v>#REF!</v>
      </c>
      <c r="EJ15" t="e">
        <f>AND('POTENCIAL HORAS'!#REF!,"AAAAAA7/3Ys=")</f>
        <v>#REF!</v>
      </c>
      <c r="EK15" t="e">
        <f>AND('POTENCIAL HORAS'!#REF!,"AAAAAA7/3Yw=")</f>
        <v>#REF!</v>
      </c>
      <c r="EL15" t="e">
        <f>AND('POTENCIAL HORAS'!#REF!,"AAAAAA7/3Y0=")</f>
        <v>#REF!</v>
      </c>
      <c r="EM15" t="e">
        <f>AND('POTENCIAL HORAS'!#REF!,"AAAAAA7/3Y4=")</f>
        <v>#REF!</v>
      </c>
      <c r="EN15" t="e">
        <f>AND('POTENCIAL HORAS'!#REF!,"AAAAAA7/3Y8=")</f>
        <v>#REF!</v>
      </c>
      <c r="EO15" t="e">
        <f>AND('POTENCIAL HORAS'!#REF!,"AAAAAA7/3ZA=")</f>
        <v>#REF!</v>
      </c>
      <c r="EP15" t="e">
        <f>AND('POTENCIAL HORAS'!#REF!,"AAAAAA7/3ZE=")</f>
        <v>#REF!</v>
      </c>
      <c r="EQ15" t="e">
        <f>AND('POTENCIAL HORAS'!#REF!,"AAAAAA7/3ZI=")</f>
        <v>#REF!</v>
      </c>
      <c r="ER15" t="e">
        <f>AND('POTENCIAL HORAS'!#REF!,"AAAAAA7/3ZM=")</f>
        <v>#REF!</v>
      </c>
      <c r="ES15" t="e">
        <f>AND('POTENCIAL HORAS'!#REF!,"AAAAAA7/3ZQ=")</f>
        <v>#REF!</v>
      </c>
      <c r="ET15" t="e">
        <f>AND('POTENCIAL HORAS'!#REF!,"AAAAAA7/3ZU=")</f>
        <v>#REF!</v>
      </c>
      <c r="EU15" t="e">
        <f>AND('POTENCIAL HORAS'!#REF!,"AAAAAA7/3ZY=")</f>
        <v>#REF!</v>
      </c>
      <c r="EV15" t="e">
        <f>AND('POTENCIAL HORAS'!#REF!,"AAAAAA7/3Zc=")</f>
        <v>#REF!</v>
      </c>
      <c r="EW15" t="e">
        <f>AND('POTENCIAL HORAS'!#REF!,"AAAAAA7/3Zg=")</f>
        <v>#REF!</v>
      </c>
      <c r="EX15" t="e">
        <f>AND('POTENCIAL HORAS'!#REF!,"AAAAAA7/3Zk=")</f>
        <v>#REF!</v>
      </c>
      <c r="EY15" t="e">
        <f>AND('POTENCIAL HORAS'!#REF!,"AAAAAA7/3Zo=")</f>
        <v>#REF!</v>
      </c>
      <c r="EZ15" t="e">
        <f>AND('POTENCIAL HORAS'!#REF!,"AAAAAA7/3Zs=")</f>
        <v>#REF!</v>
      </c>
      <c r="FA15" t="e">
        <f>AND('POTENCIAL HORAS'!#REF!,"AAAAAA7/3Zw=")</f>
        <v>#REF!</v>
      </c>
      <c r="FB15" t="e">
        <f>AND('POTENCIAL HORAS'!#REF!,"AAAAAA7/3Z0=")</f>
        <v>#REF!</v>
      </c>
      <c r="FC15" t="e">
        <f>AND('POTENCIAL HORAS'!Q102,"AAAAAA7/3Z4=")</f>
        <v>#VALUE!</v>
      </c>
      <c r="FD15" t="e">
        <f>AND('POTENCIAL HORAS'!R102,"AAAAAA7/3Z8=")</f>
        <v>#VALUE!</v>
      </c>
      <c r="FE15">
        <f>IF('POTENCIAL HORAS'!103:103,"AAAAAA7/3aA=",0)</f>
        <v>0</v>
      </c>
      <c r="FF15" t="e">
        <f>AND('POTENCIAL HORAS'!A103,"AAAAAA7/3aE=")</f>
        <v>#VALUE!</v>
      </c>
      <c r="FG15" t="e">
        <f>AND('POTENCIAL HORAS'!B103,"AAAAAA7/3aI=")</f>
        <v>#VALUE!</v>
      </c>
      <c r="FH15" t="e">
        <f>AND('POTENCIAL HORAS'!C103,"AAAAAA7/3aM=")</f>
        <v>#VALUE!</v>
      </c>
      <c r="FI15" t="e">
        <f>AND('POTENCIAL HORAS'!D103,"AAAAAA7/3aQ=")</f>
        <v>#VALUE!</v>
      </c>
      <c r="FJ15" t="e">
        <f>AND('POTENCIAL HORAS'!E103,"AAAAAA7/3aU=")</f>
        <v>#VALUE!</v>
      </c>
      <c r="FK15" t="e">
        <f>AND('POTENCIAL HORAS'!F103,"AAAAAA7/3aY=")</f>
        <v>#VALUE!</v>
      </c>
      <c r="FL15" t="e">
        <f>AND('POTENCIAL HORAS'!G103,"AAAAAA7/3ac=")</f>
        <v>#VALUE!</v>
      </c>
      <c r="FM15" t="e">
        <f>AND('POTENCIAL HORAS'!H103,"AAAAAA7/3ag=")</f>
        <v>#VALUE!</v>
      </c>
      <c r="FN15" t="e">
        <f>AND('POTENCIAL HORAS'!I103,"AAAAAA7/3ak=")</f>
        <v>#VALUE!</v>
      </c>
      <c r="FO15" t="e">
        <f>AND('POTENCIAL HORAS'!J103,"AAAAAA7/3ao=")</f>
        <v>#VALUE!</v>
      </c>
      <c r="FP15" t="e">
        <f>AND('POTENCIAL HORAS'!K103,"AAAAAA7/3as=")</f>
        <v>#VALUE!</v>
      </c>
      <c r="FQ15" t="e">
        <f>AND('POTENCIAL HORAS'!L103,"AAAAAA7/3aw=")</f>
        <v>#VALUE!</v>
      </c>
      <c r="FR15" t="e">
        <f>AND('POTENCIAL HORAS'!M103,"AAAAAA7/3a0=")</f>
        <v>#VALUE!</v>
      </c>
      <c r="FS15" t="e">
        <f>AND('POTENCIAL HORAS'!N103,"AAAAAA7/3a4=")</f>
        <v>#VALUE!</v>
      </c>
      <c r="FT15" t="e">
        <f>AND('POTENCIAL HORAS'!O103,"AAAAAA7/3a8=")</f>
        <v>#VALUE!</v>
      </c>
      <c r="FU15" t="e">
        <f>AND('POTENCIAL HORAS'!P103,"AAAAAA7/3bA=")</f>
        <v>#VALUE!</v>
      </c>
      <c r="FV15" t="e">
        <f>AND('POTENCIAL HORAS'!#REF!,"AAAAAA7/3bE=")</f>
        <v>#REF!</v>
      </c>
      <c r="FW15" t="e">
        <f>AND('POTENCIAL HORAS'!#REF!,"AAAAAA7/3bI=")</f>
        <v>#REF!</v>
      </c>
      <c r="FX15" t="e">
        <f>AND('POTENCIAL HORAS'!#REF!,"AAAAAA7/3bM=")</f>
        <v>#REF!</v>
      </c>
      <c r="FY15" t="e">
        <f>AND('POTENCIAL HORAS'!#REF!,"AAAAAA7/3bQ=")</f>
        <v>#REF!</v>
      </c>
      <c r="FZ15" t="e">
        <f>AND('POTENCIAL HORAS'!#REF!,"AAAAAA7/3bU=")</f>
        <v>#REF!</v>
      </c>
      <c r="GA15" t="e">
        <f>AND('POTENCIAL HORAS'!#REF!,"AAAAAA7/3bY=")</f>
        <v>#REF!</v>
      </c>
      <c r="GB15" t="e">
        <f>AND('POTENCIAL HORAS'!#REF!,"AAAAAA7/3bc=")</f>
        <v>#REF!</v>
      </c>
      <c r="GC15" t="e">
        <f>AND('POTENCIAL HORAS'!#REF!,"AAAAAA7/3bg=")</f>
        <v>#REF!</v>
      </c>
      <c r="GD15" t="e">
        <f>AND('POTENCIAL HORAS'!#REF!,"AAAAAA7/3bk=")</f>
        <v>#REF!</v>
      </c>
      <c r="GE15" t="e">
        <f>AND('POTENCIAL HORAS'!#REF!,"AAAAAA7/3bo=")</f>
        <v>#REF!</v>
      </c>
      <c r="GF15" t="e">
        <f>AND('POTENCIAL HORAS'!#REF!,"AAAAAA7/3bs=")</f>
        <v>#REF!</v>
      </c>
      <c r="GG15" t="e">
        <f>AND('POTENCIAL HORAS'!#REF!,"AAAAAA7/3bw=")</f>
        <v>#REF!</v>
      </c>
      <c r="GH15" t="e">
        <f>AND('POTENCIAL HORAS'!#REF!,"AAAAAA7/3b0=")</f>
        <v>#REF!</v>
      </c>
      <c r="GI15" t="e">
        <f>AND('POTENCIAL HORAS'!#REF!,"AAAAAA7/3b4=")</f>
        <v>#REF!</v>
      </c>
      <c r="GJ15" t="e">
        <f>AND('POTENCIAL HORAS'!#REF!,"AAAAAA7/3b8=")</f>
        <v>#REF!</v>
      </c>
      <c r="GK15" t="e">
        <f>AND('POTENCIAL HORAS'!#REF!,"AAAAAA7/3cA=")</f>
        <v>#REF!</v>
      </c>
      <c r="GL15" t="e">
        <f>AND('POTENCIAL HORAS'!#REF!,"AAAAAA7/3cE=")</f>
        <v>#REF!</v>
      </c>
      <c r="GM15" t="e">
        <f>AND('POTENCIAL HORAS'!#REF!,"AAAAAA7/3cI=")</f>
        <v>#REF!</v>
      </c>
      <c r="GN15" t="e">
        <f>AND('POTENCIAL HORAS'!#REF!,"AAAAAA7/3cM=")</f>
        <v>#REF!</v>
      </c>
      <c r="GO15" t="e">
        <f>AND('POTENCIAL HORAS'!#REF!,"AAAAAA7/3cQ=")</f>
        <v>#REF!</v>
      </c>
      <c r="GP15" t="e">
        <f>AND('POTENCIAL HORAS'!Q103,"AAAAAA7/3cU=")</f>
        <v>#VALUE!</v>
      </c>
      <c r="GQ15" t="e">
        <f>AND('POTENCIAL HORAS'!R103,"AAAAAA7/3cY=")</f>
        <v>#VALUE!</v>
      </c>
      <c r="GR15" t="e">
        <f>IF('POTENCIAL HORAS'!#REF!,"AAAAAA7/3cc=",0)</f>
        <v>#REF!</v>
      </c>
      <c r="GS15" t="e">
        <f>AND('POTENCIAL HORAS'!#REF!,"AAAAAA7/3cg=")</f>
        <v>#REF!</v>
      </c>
      <c r="GT15" t="e">
        <f>AND('POTENCIAL HORAS'!#REF!,"AAAAAA7/3ck=")</f>
        <v>#REF!</v>
      </c>
      <c r="GU15" t="e">
        <f>AND('POTENCIAL HORAS'!#REF!,"AAAAAA7/3co=")</f>
        <v>#REF!</v>
      </c>
      <c r="GV15" t="e">
        <f>AND('POTENCIAL HORAS'!#REF!,"AAAAAA7/3cs=")</f>
        <v>#REF!</v>
      </c>
      <c r="GW15" t="e">
        <f>AND('POTENCIAL HORAS'!#REF!,"AAAAAA7/3cw=")</f>
        <v>#REF!</v>
      </c>
      <c r="GX15" t="e">
        <f>AND('POTENCIAL HORAS'!#REF!,"AAAAAA7/3c0=")</f>
        <v>#REF!</v>
      </c>
      <c r="GY15" t="e">
        <f>AND('POTENCIAL HORAS'!#REF!,"AAAAAA7/3c4=")</f>
        <v>#REF!</v>
      </c>
      <c r="GZ15" t="e">
        <f>AND('POTENCIAL HORAS'!#REF!,"AAAAAA7/3c8=")</f>
        <v>#REF!</v>
      </c>
      <c r="HA15" t="e">
        <f>AND('POTENCIAL HORAS'!#REF!,"AAAAAA7/3dA=")</f>
        <v>#REF!</v>
      </c>
      <c r="HB15" t="e">
        <f>AND('POTENCIAL HORAS'!#REF!,"AAAAAA7/3dE=")</f>
        <v>#REF!</v>
      </c>
      <c r="HC15" t="e">
        <f>AND('POTENCIAL HORAS'!#REF!,"AAAAAA7/3dI=")</f>
        <v>#REF!</v>
      </c>
      <c r="HD15" t="e">
        <f>AND('POTENCIAL HORAS'!#REF!,"AAAAAA7/3dM=")</f>
        <v>#REF!</v>
      </c>
      <c r="HE15" t="e">
        <f>AND('POTENCIAL HORAS'!#REF!,"AAAAAA7/3dQ=")</f>
        <v>#REF!</v>
      </c>
      <c r="HF15" t="e">
        <f>AND('POTENCIAL HORAS'!#REF!,"AAAAAA7/3dU=")</f>
        <v>#REF!</v>
      </c>
      <c r="HG15" t="e">
        <f>AND('POTENCIAL HORAS'!#REF!,"AAAAAA7/3dY=")</f>
        <v>#REF!</v>
      </c>
      <c r="HH15" t="e">
        <f>AND('POTENCIAL HORAS'!#REF!,"AAAAAA7/3dc=")</f>
        <v>#REF!</v>
      </c>
      <c r="HI15" t="e">
        <f>AND('POTENCIAL HORAS'!#REF!,"AAAAAA7/3dg=")</f>
        <v>#REF!</v>
      </c>
      <c r="HJ15" t="e">
        <f>AND('POTENCIAL HORAS'!#REF!,"AAAAAA7/3dk=")</f>
        <v>#REF!</v>
      </c>
      <c r="HK15" t="e">
        <f>AND('POTENCIAL HORAS'!#REF!,"AAAAAA7/3do=")</f>
        <v>#REF!</v>
      </c>
      <c r="HL15" t="e">
        <f>AND('POTENCIAL HORAS'!#REF!,"AAAAAA7/3ds=")</f>
        <v>#REF!</v>
      </c>
      <c r="HM15" t="e">
        <f>AND('POTENCIAL HORAS'!#REF!,"AAAAAA7/3dw=")</f>
        <v>#REF!</v>
      </c>
      <c r="HN15" t="e">
        <f>AND('POTENCIAL HORAS'!#REF!,"AAAAAA7/3d0=")</f>
        <v>#REF!</v>
      </c>
      <c r="HO15" t="e">
        <f>AND('POTENCIAL HORAS'!#REF!,"AAAAAA7/3d4=")</f>
        <v>#REF!</v>
      </c>
      <c r="HP15" t="e">
        <f>AND('POTENCIAL HORAS'!#REF!,"AAAAAA7/3d8=")</f>
        <v>#REF!</v>
      </c>
      <c r="HQ15" t="e">
        <f>AND('POTENCIAL HORAS'!#REF!,"AAAAAA7/3eA=")</f>
        <v>#REF!</v>
      </c>
      <c r="HR15" t="e">
        <f>AND('POTENCIAL HORAS'!#REF!,"AAAAAA7/3eE=")</f>
        <v>#REF!</v>
      </c>
      <c r="HS15" t="e">
        <f>AND('POTENCIAL HORAS'!#REF!,"AAAAAA7/3eI=")</f>
        <v>#REF!</v>
      </c>
      <c r="HT15" t="e">
        <f>AND('POTENCIAL HORAS'!#REF!,"AAAAAA7/3eM=")</f>
        <v>#REF!</v>
      </c>
      <c r="HU15" t="e">
        <f>AND('POTENCIAL HORAS'!#REF!,"AAAAAA7/3eQ=")</f>
        <v>#REF!</v>
      </c>
      <c r="HV15" t="e">
        <f>AND('POTENCIAL HORAS'!#REF!,"AAAAAA7/3eU=")</f>
        <v>#REF!</v>
      </c>
      <c r="HW15" t="e">
        <f>AND('POTENCIAL HORAS'!#REF!,"AAAAAA7/3eY=")</f>
        <v>#REF!</v>
      </c>
      <c r="HX15" t="e">
        <f>AND('POTENCIAL HORAS'!#REF!,"AAAAAA7/3ec=")</f>
        <v>#REF!</v>
      </c>
      <c r="HY15" t="e">
        <f>AND('POTENCIAL HORAS'!#REF!,"AAAAAA7/3eg=")</f>
        <v>#REF!</v>
      </c>
      <c r="HZ15" t="e">
        <f>AND('POTENCIAL HORAS'!#REF!,"AAAAAA7/3ek=")</f>
        <v>#REF!</v>
      </c>
      <c r="IA15" t="e">
        <f>AND('POTENCIAL HORAS'!#REF!,"AAAAAA7/3eo=")</f>
        <v>#REF!</v>
      </c>
      <c r="IB15" t="e">
        <f>AND('POTENCIAL HORAS'!#REF!,"AAAAAA7/3es=")</f>
        <v>#REF!</v>
      </c>
      <c r="IC15" t="e">
        <f>AND('POTENCIAL HORAS'!#REF!,"AAAAAA7/3ew=")</f>
        <v>#REF!</v>
      </c>
      <c r="ID15" t="e">
        <f>AND('POTENCIAL HORAS'!#REF!,"AAAAAA7/3e0=")</f>
        <v>#REF!</v>
      </c>
      <c r="IE15">
        <f>IF('POTENCIAL HORAS'!104:104,"AAAAAA7/3e4=",0)</f>
        <v>0</v>
      </c>
      <c r="IF15" t="e">
        <f>AND('POTENCIAL HORAS'!A104,"AAAAAA7/3e8=")</f>
        <v>#VALUE!</v>
      </c>
      <c r="IG15" t="e">
        <f>AND('POTENCIAL HORAS'!B104,"AAAAAA7/3fA=")</f>
        <v>#VALUE!</v>
      </c>
      <c r="IH15" t="e">
        <f>AND('POTENCIAL HORAS'!C104,"AAAAAA7/3fE=")</f>
        <v>#VALUE!</v>
      </c>
      <c r="II15" t="e">
        <f>AND('POTENCIAL HORAS'!D104,"AAAAAA7/3fI=")</f>
        <v>#VALUE!</v>
      </c>
      <c r="IJ15" t="e">
        <f>AND('POTENCIAL HORAS'!E104,"AAAAAA7/3fM=")</f>
        <v>#VALUE!</v>
      </c>
      <c r="IK15" t="e">
        <f>AND('POTENCIAL HORAS'!F104,"AAAAAA7/3fQ=")</f>
        <v>#VALUE!</v>
      </c>
      <c r="IL15" t="e">
        <f>AND('POTENCIAL HORAS'!G104,"AAAAAA7/3fU=")</f>
        <v>#VALUE!</v>
      </c>
      <c r="IM15" t="e">
        <f>AND('POTENCIAL HORAS'!H104,"AAAAAA7/3fY=")</f>
        <v>#VALUE!</v>
      </c>
      <c r="IN15" t="e">
        <f>AND('POTENCIAL HORAS'!I104,"AAAAAA7/3fc=")</f>
        <v>#VALUE!</v>
      </c>
      <c r="IO15" t="e">
        <f>AND('POTENCIAL HORAS'!J104,"AAAAAA7/3fg=")</f>
        <v>#VALUE!</v>
      </c>
      <c r="IP15" t="e">
        <f>AND('POTENCIAL HORAS'!K104,"AAAAAA7/3fk=")</f>
        <v>#VALUE!</v>
      </c>
      <c r="IQ15" t="e">
        <f>AND('POTENCIAL HORAS'!L104,"AAAAAA7/3fo=")</f>
        <v>#VALUE!</v>
      </c>
      <c r="IR15" t="e">
        <f>AND('POTENCIAL HORAS'!M104,"AAAAAA7/3fs=")</f>
        <v>#VALUE!</v>
      </c>
      <c r="IS15" t="e">
        <f>AND('POTENCIAL HORAS'!N104,"AAAAAA7/3fw=")</f>
        <v>#VALUE!</v>
      </c>
      <c r="IT15" t="e">
        <f>AND('POTENCIAL HORAS'!O104,"AAAAAA7/3f0=")</f>
        <v>#VALUE!</v>
      </c>
      <c r="IU15" t="e">
        <f>AND('POTENCIAL HORAS'!P104,"AAAAAA7/3f4=")</f>
        <v>#VALUE!</v>
      </c>
      <c r="IV15" t="e">
        <f>AND('POTENCIAL HORAS'!#REF!,"AAAAAA7/3f8=")</f>
        <v>#REF!</v>
      </c>
    </row>
    <row r="16" spans="1:256" x14ac:dyDescent="0.2">
      <c r="A16" t="e">
        <f>AND('POTENCIAL HORAS'!#REF!,"AAAAADrb9QA=")</f>
        <v>#REF!</v>
      </c>
      <c r="B16" t="e">
        <f>AND('POTENCIAL HORAS'!#REF!,"AAAAADrb9QE=")</f>
        <v>#REF!</v>
      </c>
      <c r="C16" t="e">
        <f>AND('POTENCIAL HORAS'!#REF!,"AAAAADrb9QI=")</f>
        <v>#REF!</v>
      </c>
      <c r="D16" t="e">
        <f>AND('POTENCIAL HORAS'!#REF!,"AAAAADrb9QM=")</f>
        <v>#REF!</v>
      </c>
      <c r="E16" t="e">
        <f>AND('POTENCIAL HORAS'!#REF!,"AAAAADrb9QQ=")</f>
        <v>#REF!</v>
      </c>
      <c r="F16" t="e">
        <f>AND('POTENCIAL HORAS'!#REF!,"AAAAADrb9QU=")</f>
        <v>#REF!</v>
      </c>
      <c r="G16" t="e">
        <f>AND('POTENCIAL HORAS'!#REF!,"AAAAADrb9QY=")</f>
        <v>#REF!</v>
      </c>
      <c r="H16" t="e">
        <f>AND('POTENCIAL HORAS'!#REF!,"AAAAADrb9Qc=")</f>
        <v>#REF!</v>
      </c>
      <c r="I16" t="e">
        <f>AND('POTENCIAL HORAS'!#REF!,"AAAAADrb9Qg=")</f>
        <v>#REF!</v>
      </c>
      <c r="J16" t="e">
        <f>AND('POTENCIAL HORAS'!#REF!,"AAAAADrb9Qk=")</f>
        <v>#REF!</v>
      </c>
      <c r="K16" t="e">
        <f>AND('POTENCIAL HORAS'!#REF!,"AAAAADrb9Qo=")</f>
        <v>#REF!</v>
      </c>
      <c r="L16" t="e">
        <f>AND('POTENCIAL HORAS'!#REF!,"AAAAADrb9Qs=")</f>
        <v>#REF!</v>
      </c>
      <c r="M16" t="e">
        <f>AND('POTENCIAL HORAS'!#REF!,"AAAAADrb9Qw=")</f>
        <v>#REF!</v>
      </c>
      <c r="N16" t="e">
        <f>AND('POTENCIAL HORAS'!#REF!,"AAAAADrb9Q0=")</f>
        <v>#REF!</v>
      </c>
      <c r="O16" t="e">
        <f>AND('POTENCIAL HORAS'!#REF!,"AAAAADrb9Q4=")</f>
        <v>#REF!</v>
      </c>
      <c r="P16" t="e">
        <f>AND('POTENCIAL HORAS'!#REF!,"AAAAADrb9Q8=")</f>
        <v>#REF!</v>
      </c>
      <c r="Q16" t="e">
        <f>AND('POTENCIAL HORAS'!#REF!,"AAAAADrb9RA=")</f>
        <v>#REF!</v>
      </c>
      <c r="R16" t="e">
        <f>AND('POTENCIAL HORAS'!#REF!,"AAAAADrb9RE=")</f>
        <v>#REF!</v>
      </c>
      <c r="S16" t="e">
        <f>AND('POTENCIAL HORAS'!#REF!,"AAAAADrb9RI=")</f>
        <v>#REF!</v>
      </c>
      <c r="T16" t="e">
        <f>AND('POTENCIAL HORAS'!Q104,"AAAAADrb9RM=")</f>
        <v>#VALUE!</v>
      </c>
      <c r="U16" t="e">
        <f>AND('POTENCIAL HORAS'!R104,"AAAAADrb9RQ=")</f>
        <v>#VALUE!</v>
      </c>
      <c r="V16" t="e">
        <f>IF('POTENCIAL HORAS'!#REF!,"AAAAADrb9RU=",0)</f>
        <v>#REF!</v>
      </c>
      <c r="W16" t="e">
        <f>AND('POTENCIAL HORAS'!#REF!,"AAAAADrb9RY=")</f>
        <v>#REF!</v>
      </c>
      <c r="X16" t="e">
        <f>AND('POTENCIAL HORAS'!#REF!,"AAAAADrb9Rc=")</f>
        <v>#REF!</v>
      </c>
      <c r="Y16" t="e">
        <f>AND('POTENCIAL HORAS'!#REF!,"AAAAADrb9Rg=")</f>
        <v>#REF!</v>
      </c>
      <c r="Z16" t="e">
        <f>AND('POTENCIAL HORAS'!#REF!,"AAAAADrb9Rk=")</f>
        <v>#REF!</v>
      </c>
      <c r="AA16" t="e">
        <f>AND('POTENCIAL HORAS'!#REF!,"AAAAADrb9Ro=")</f>
        <v>#REF!</v>
      </c>
      <c r="AB16" t="e">
        <f>AND('POTENCIAL HORAS'!#REF!,"AAAAADrb9Rs=")</f>
        <v>#REF!</v>
      </c>
      <c r="AC16" t="e">
        <f>AND('POTENCIAL HORAS'!#REF!,"AAAAADrb9Rw=")</f>
        <v>#REF!</v>
      </c>
      <c r="AD16" t="e">
        <f>AND('POTENCIAL HORAS'!#REF!,"AAAAADrb9R0=")</f>
        <v>#REF!</v>
      </c>
      <c r="AE16" t="e">
        <f>AND('POTENCIAL HORAS'!#REF!,"AAAAADrb9R4=")</f>
        <v>#REF!</v>
      </c>
      <c r="AF16" t="e">
        <f>AND('POTENCIAL HORAS'!#REF!,"AAAAADrb9R8=")</f>
        <v>#REF!</v>
      </c>
      <c r="AG16" t="e">
        <f>AND('POTENCIAL HORAS'!#REF!,"AAAAADrb9SA=")</f>
        <v>#REF!</v>
      </c>
      <c r="AH16" t="e">
        <f>AND('POTENCIAL HORAS'!#REF!,"AAAAADrb9SE=")</f>
        <v>#REF!</v>
      </c>
      <c r="AI16" t="e">
        <f>AND('POTENCIAL HORAS'!#REF!,"AAAAADrb9SI=")</f>
        <v>#REF!</v>
      </c>
      <c r="AJ16" t="e">
        <f>AND('POTENCIAL HORAS'!#REF!,"AAAAADrb9SM=")</f>
        <v>#REF!</v>
      </c>
      <c r="AK16" t="e">
        <f>AND('POTENCIAL HORAS'!#REF!,"AAAAADrb9SQ=")</f>
        <v>#REF!</v>
      </c>
      <c r="AL16" t="e">
        <f>AND('POTENCIAL HORAS'!#REF!,"AAAAADrb9SU=")</f>
        <v>#REF!</v>
      </c>
      <c r="AM16" t="e">
        <f>AND('POTENCIAL HORAS'!#REF!,"AAAAADrb9SY=")</f>
        <v>#REF!</v>
      </c>
      <c r="AN16" t="e">
        <f>AND('POTENCIAL HORAS'!#REF!,"AAAAADrb9Sc=")</f>
        <v>#REF!</v>
      </c>
      <c r="AO16" t="e">
        <f>AND('POTENCIAL HORAS'!#REF!,"AAAAADrb9Sg=")</f>
        <v>#REF!</v>
      </c>
      <c r="AP16" t="e">
        <f>AND('POTENCIAL HORAS'!#REF!,"AAAAADrb9Sk=")</f>
        <v>#REF!</v>
      </c>
      <c r="AQ16" t="e">
        <f>AND('POTENCIAL HORAS'!#REF!,"AAAAADrb9So=")</f>
        <v>#REF!</v>
      </c>
      <c r="AR16" t="e">
        <f>AND('POTENCIAL HORAS'!#REF!,"AAAAADrb9Ss=")</f>
        <v>#REF!</v>
      </c>
      <c r="AS16" t="e">
        <f>AND('POTENCIAL HORAS'!#REF!,"AAAAADrb9Sw=")</f>
        <v>#REF!</v>
      </c>
      <c r="AT16" t="e">
        <f>AND('POTENCIAL HORAS'!#REF!,"AAAAADrb9S0=")</f>
        <v>#REF!</v>
      </c>
      <c r="AU16" t="e">
        <f>AND('POTENCIAL HORAS'!#REF!,"AAAAADrb9S4=")</f>
        <v>#REF!</v>
      </c>
      <c r="AV16" t="e">
        <f>AND('POTENCIAL HORAS'!#REF!,"AAAAADrb9S8=")</f>
        <v>#REF!</v>
      </c>
      <c r="AW16" t="e">
        <f>AND('POTENCIAL HORAS'!#REF!,"AAAAADrb9TA=")</f>
        <v>#REF!</v>
      </c>
      <c r="AX16" t="e">
        <f>AND('POTENCIAL HORAS'!#REF!,"AAAAADrb9TE=")</f>
        <v>#REF!</v>
      </c>
      <c r="AY16" t="e">
        <f>AND('POTENCIAL HORAS'!#REF!,"AAAAADrb9TI=")</f>
        <v>#REF!</v>
      </c>
      <c r="AZ16" t="e">
        <f>AND('POTENCIAL HORAS'!#REF!,"AAAAADrb9TM=")</f>
        <v>#REF!</v>
      </c>
      <c r="BA16" t="e">
        <f>AND('POTENCIAL HORAS'!#REF!,"AAAAADrb9TQ=")</f>
        <v>#REF!</v>
      </c>
      <c r="BB16" t="e">
        <f>AND('POTENCIAL HORAS'!#REF!,"AAAAADrb9TU=")</f>
        <v>#REF!</v>
      </c>
      <c r="BC16" t="e">
        <f>AND('POTENCIAL HORAS'!#REF!,"AAAAADrb9TY=")</f>
        <v>#REF!</v>
      </c>
      <c r="BD16" t="e">
        <f>AND('POTENCIAL HORAS'!#REF!,"AAAAADrb9Tc=")</f>
        <v>#REF!</v>
      </c>
      <c r="BE16" t="e">
        <f>AND('POTENCIAL HORAS'!#REF!,"AAAAADrb9Tg=")</f>
        <v>#REF!</v>
      </c>
      <c r="BF16" t="e">
        <f>AND('POTENCIAL HORAS'!#REF!,"AAAAADrb9Tk=")</f>
        <v>#REF!</v>
      </c>
      <c r="BG16" t="e">
        <f>AND('POTENCIAL HORAS'!#REF!,"AAAAADrb9To=")</f>
        <v>#REF!</v>
      </c>
      <c r="BH16" t="e">
        <f>AND('POTENCIAL HORAS'!#REF!,"AAAAADrb9Ts=")</f>
        <v>#REF!</v>
      </c>
      <c r="BI16">
        <f>IF('POTENCIAL HORAS'!106:106,"AAAAADrb9Tw=",0)</f>
        <v>0</v>
      </c>
      <c r="BJ16" t="e">
        <f>AND('POTENCIAL HORAS'!A106,"AAAAADrb9T0=")</f>
        <v>#VALUE!</v>
      </c>
      <c r="BK16" t="e">
        <f>AND('POTENCIAL HORAS'!B106,"AAAAADrb9T4=")</f>
        <v>#VALUE!</v>
      </c>
      <c r="BL16" t="e">
        <f>AND('POTENCIAL HORAS'!C106,"AAAAADrb9T8=")</f>
        <v>#VALUE!</v>
      </c>
      <c r="BM16" t="e">
        <f>AND('POTENCIAL HORAS'!D106,"AAAAADrb9UA=")</f>
        <v>#VALUE!</v>
      </c>
      <c r="BN16" t="e">
        <f>AND('POTENCIAL HORAS'!E106,"AAAAADrb9UE=")</f>
        <v>#VALUE!</v>
      </c>
      <c r="BO16" t="e">
        <f>AND('POTENCIAL HORAS'!F106,"AAAAADrb9UI=")</f>
        <v>#VALUE!</v>
      </c>
      <c r="BP16" t="e">
        <f>AND('POTENCIAL HORAS'!G106,"AAAAADrb9UM=")</f>
        <v>#VALUE!</v>
      </c>
      <c r="BQ16" t="e">
        <f>AND('POTENCIAL HORAS'!H106,"AAAAADrb9UQ=")</f>
        <v>#VALUE!</v>
      </c>
      <c r="BR16" t="e">
        <f>AND('POTENCIAL HORAS'!I106,"AAAAADrb9UU=")</f>
        <v>#VALUE!</v>
      </c>
      <c r="BS16" t="e">
        <f>AND('POTENCIAL HORAS'!J106,"AAAAADrb9UY=")</f>
        <v>#VALUE!</v>
      </c>
      <c r="BT16" t="e">
        <f>AND('POTENCIAL HORAS'!K106,"AAAAADrb9Uc=")</f>
        <v>#VALUE!</v>
      </c>
      <c r="BU16" t="e">
        <f>AND('POTENCIAL HORAS'!L106,"AAAAADrb9Ug=")</f>
        <v>#VALUE!</v>
      </c>
      <c r="BV16" t="e">
        <f>AND('POTENCIAL HORAS'!M106,"AAAAADrb9Uk=")</f>
        <v>#VALUE!</v>
      </c>
      <c r="BW16" t="e">
        <f>AND('POTENCIAL HORAS'!N106,"AAAAADrb9Uo=")</f>
        <v>#VALUE!</v>
      </c>
      <c r="BX16" t="e">
        <f>AND('POTENCIAL HORAS'!O106,"AAAAADrb9Us=")</f>
        <v>#VALUE!</v>
      </c>
      <c r="BY16" t="e">
        <f>AND('POTENCIAL HORAS'!P106,"AAAAADrb9Uw=")</f>
        <v>#VALUE!</v>
      </c>
      <c r="BZ16" t="e">
        <f>AND('POTENCIAL HORAS'!#REF!,"AAAAADrb9U0=")</f>
        <v>#REF!</v>
      </c>
      <c r="CA16" t="e">
        <f>AND('POTENCIAL HORAS'!#REF!,"AAAAADrb9U4=")</f>
        <v>#REF!</v>
      </c>
      <c r="CB16" t="e">
        <f>AND('POTENCIAL HORAS'!#REF!,"AAAAADrb9U8=")</f>
        <v>#REF!</v>
      </c>
      <c r="CC16" t="e">
        <f>AND('POTENCIAL HORAS'!#REF!,"AAAAADrb9VA=")</f>
        <v>#REF!</v>
      </c>
      <c r="CD16" t="e">
        <f>AND('POTENCIAL HORAS'!#REF!,"AAAAADrb9VE=")</f>
        <v>#REF!</v>
      </c>
      <c r="CE16" t="e">
        <f>AND('POTENCIAL HORAS'!#REF!,"AAAAADrb9VI=")</f>
        <v>#REF!</v>
      </c>
      <c r="CF16" t="e">
        <f>AND('POTENCIAL HORAS'!#REF!,"AAAAADrb9VM=")</f>
        <v>#REF!</v>
      </c>
      <c r="CG16" t="e">
        <f>AND('POTENCIAL HORAS'!#REF!,"AAAAADrb9VQ=")</f>
        <v>#REF!</v>
      </c>
      <c r="CH16" t="e">
        <f>AND('POTENCIAL HORAS'!#REF!,"AAAAADrb9VU=")</f>
        <v>#REF!</v>
      </c>
      <c r="CI16" t="e">
        <f>AND('POTENCIAL HORAS'!#REF!,"AAAAADrb9VY=")</f>
        <v>#REF!</v>
      </c>
      <c r="CJ16" t="e">
        <f>AND('POTENCIAL HORAS'!#REF!,"AAAAADrb9Vc=")</f>
        <v>#REF!</v>
      </c>
      <c r="CK16" t="e">
        <f>AND('POTENCIAL HORAS'!#REF!,"AAAAADrb9Vg=")</f>
        <v>#REF!</v>
      </c>
      <c r="CL16" t="e">
        <f>AND('POTENCIAL HORAS'!#REF!,"AAAAADrb9Vk=")</f>
        <v>#REF!</v>
      </c>
      <c r="CM16" t="e">
        <f>AND('POTENCIAL HORAS'!#REF!,"AAAAADrb9Vo=")</f>
        <v>#REF!</v>
      </c>
      <c r="CN16" t="e">
        <f>AND('POTENCIAL HORAS'!#REF!,"AAAAADrb9Vs=")</f>
        <v>#REF!</v>
      </c>
      <c r="CO16" t="e">
        <f>AND('POTENCIAL HORAS'!#REF!,"AAAAADrb9Vw=")</f>
        <v>#REF!</v>
      </c>
      <c r="CP16" t="e">
        <f>AND('POTENCIAL HORAS'!#REF!,"AAAAADrb9V0=")</f>
        <v>#REF!</v>
      </c>
      <c r="CQ16" t="e">
        <f>AND('POTENCIAL HORAS'!#REF!,"AAAAADrb9V4=")</f>
        <v>#REF!</v>
      </c>
      <c r="CR16" t="e">
        <f>AND('POTENCIAL HORAS'!#REF!,"AAAAADrb9V8=")</f>
        <v>#REF!</v>
      </c>
      <c r="CS16" t="e">
        <f>AND('POTENCIAL HORAS'!#REF!,"AAAAADrb9WA=")</f>
        <v>#REF!</v>
      </c>
      <c r="CT16" t="e">
        <f>AND('POTENCIAL HORAS'!Q106,"AAAAADrb9WE=")</f>
        <v>#VALUE!</v>
      </c>
      <c r="CU16" t="e">
        <f>AND('POTENCIAL HORAS'!R106,"AAAAADrb9WI=")</f>
        <v>#VALUE!</v>
      </c>
      <c r="CV16">
        <f>IF('POTENCIAL HORAS'!107:107,"AAAAADrb9WM=",0)</f>
        <v>0</v>
      </c>
      <c r="CW16" t="e">
        <f>AND('POTENCIAL HORAS'!A107,"AAAAADrb9WQ=")</f>
        <v>#VALUE!</v>
      </c>
      <c r="CX16" t="e">
        <f>AND('POTENCIAL HORAS'!B107,"AAAAADrb9WU=")</f>
        <v>#VALUE!</v>
      </c>
      <c r="CY16" t="e">
        <f>AND('POTENCIAL HORAS'!C107,"AAAAADrb9WY=")</f>
        <v>#VALUE!</v>
      </c>
      <c r="CZ16" t="e">
        <f>AND('POTENCIAL HORAS'!D107,"AAAAADrb9Wc=")</f>
        <v>#VALUE!</v>
      </c>
      <c r="DA16" t="e">
        <f>AND('POTENCIAL HORAS'!E107,"AAAAADrb9Wg=")</f>
        <v>#VALUE!</v>
      </c>
      <c r="DB16" t="e">
        <f>AND('POTENCIAL HORAS'!F107,"AAAAADrb9Wk=")</f>
        <v>#VALUE!</v>
      </c>
      <c r="DC16" t="e">
        <f>AND('POTENCIAL HORAS'!G107,"AAAAADrb9Wo=")</f>
        <v>#VALUE!</v>
      </c>
      <c r="DD16" t="e">
        <f>AND('POTENCIAL HORAS'!H107,"AAAAADrb9Ws=")</f>
        <v>#VALUE!</v>
      </c>
      <c r="DE16" t="e">
        <f>AND('POTENCIAL HORAS'!I107,"AAAAADrb9Ww=")</f>
        <v>#VALUE!</v>
      </c>
      <c r="DF16" t="e">
        <f>AND('POTENCIAL HORAS'!J107,"AAAAADrb9W0=")</f>
        <v>#VALUE!</v>
      </c>
      <c r="DG16" t="e">
        <f>AND('POTENCIAL HORAS'!K107,"AAAAADrb9W4=")</f>
        <v>#VALUE!</v>
      </c>
      <c r="DH16" t="e">
        <f>AND('POTENCIAL HORAS'!L107,"AAAAADrb9W8=")</f>
        <v>#VALUE!</v>
      </c>
      <c r="DI16" t="e">
        <f>AND('POTENCIAL HORAS'!M107,"AAAAADrb9XA=")</f>
        <v>#VALUE!</v>
      </c>
      <c r="DJ16" t="e">
        <f>AND('POTENCIAL HORAS'!N107,"AAAAADrb9XE=")</f>
        <v>#VALUE!</v>
      </c>
      <c r="DK16" t="e">
        <f>AND('POTENCIAL HORAS'!O107,"AAAAADrb9XI=")</f>
        <v>#VALUE!</v>
      </c>
      <c r="DL16" t="e">
        <f>AND('POTENCIAL HORAS'!P107,"AAAAADrb9XM=")</f>
        <v>#VALUE!</v>
      </c>
      <c r="DM16" t="e">
        <f>AND('POTENCIAL HORAS'!#REF!,"AAAAADrb9XQ=")</f>
        <v>#REF!</v>
      </c>
      <c r="DN16" t="e">
        <f>AND('POTENCIAL HORAS'!#REF!,"AAAAADrb9XU=")</f>
        <v>#REF!</v>
      </c>
      <c r="DO16" t="e">
        <f>AND('POTENCIAL HORAS'!#REF!,"AAAAADrb9XY=")</f>
        <v>#REF!</v>
      </c>
      <c r="DP16" t="e">
        <f>AND('POTENCIAL HORAS'!#REF!,"AAAAADrb9Xc=")</f>
        <v>#REF!</v>
      </c>
      <c r="DQ16" t="e">
        <f>AND('POTENCIAL HORAS'!#REF!,"AAAAADrb9Xg=")</f>
        <v>#REF!</v>
      </c>
      <c r="DR16" t="e">
        <f>AND('POTENCIAL HORAS'!#REF!,"AAAAADrb9Xk=")</f>
        <v>#REF!</v>
      </c>
      <c r="DS16" t="e">
        <f>AND('POTENCIAL HORAS'!#REF!,"AAAAADrb9Xo=")</f>
        <v>#REF!</v>
      </c>
      <c r="DT16" t="e">
        <f>AND('POTENCIAL HORAS'!#REF!,"AAAAADrb9Xs=")</f>
        <v>#REF!</v>
      </c>
      <c r="DU16" t="e">
        <f>AND('POTENCIAL HORAS'!#REF!,"AAAAADrb9Xw=")</f>
        <v>#REF!</v>
      </c>
      <c r="DV16" t="e">
        <f>AND('POTENCIAL HORAS'!#REF!,"AAAAADrb9X0=")</f>
        <v>#REF!</v>
      </c>
      <c r="DW16" t="e">
        <f>AND('POTENCIAL HORAS'!#REF!,"AAAAADrb9X4=")</f>
        <v>#REF!</v>
      </c>
      <c r="DX16" t="e">
        <f>AND('POTENCIAL HORAS'!#REF!,"AAAAADrb9X8=")</f>
        <v>#REF!</v>
      </c>
      <c r="DY16" t="e">
        <f>AND('POTENCIAL HORAS'!#REF!,"AAAAADrb9YA=")</f>
        <v>#REF!</v>
      </c>
      <c r="DZ16" t="e">
        <f>AND('POTENCIAL HORAS'!#REF!,"AAAAADrb9YE=")</f>
        <v>#REF!</v>
      </c>
      <c r="EA16" t="e">
        <f>AND('POTENCIAL HORAS'!#REF!,"AAAAADrb9YI=")</f>
        <v>#REF!</v>
      </c>
      <c r="EB16" t="e">
        <f>AND('POTENCIAL HORAS'!#REF!,"AAAAADrb9YM=")</f>
        <v>#REF!</v>
      </c>
      <c r="EC16" t="e">
        <f>AND('POTENCIAL HORAS'!#REF!,"AAAAADrb9YQ=")</f>
        <v>#REF!</v>
      </c>
      <c r="ED16" t="e">
        <f>AND('POTENCIAL HORAS'!#REF!,"AAAAADrb9YU=")</f>
        <v>#REF!</v>
      </c>
      <c r="EE16" t="e">
        <f>AND('POTENCIAL HORAS'!#REF!,"AAAAADrb9YY=")</f>
        <v>#REF!</v>
      </c>
      <c r="EF16" t="e">
        <f>AND('POTENCIAL HORAS'!#REF!,"AAAAADrb9Yc=")</f>
        <v>#REF!</v>
      </c>
      <c r="EG16" t="e">
        <f>AND('POTENCIAL HORAS'!Q107,"AAAAADrb9Yg=")</f>
        <v>#VALUE!</v>
      </c>
      <c r="EH16" t="e">
        <f>AND('POTENCIAL HORAS'!R107,"AAAAADrb9Yk=")</f>
        <v>#VALUE!</v>
      </c>
      <c r="EI16">
        <f>IF('POTENCIAL HORAS'!108:108,"AAAAADrb9Yo=",0)</f>
        <v>0</v>
      </c>
      <c r="EJ16" t="e">
        <f>AND('POTENCIAL HORAS'!A108,"AAAAADrb9Ys=")</f>
        <v>#VALUE!</v>
      </c>
      <c r="EK16" t="e">
        <f>AND('POTENCIAL HORAS'!B108,"AAAAADrb9Yw=")</f>
        <v>#VALUE!</v>
      </c>
      <c r="EL16" t="e">
        <f>AND('POTENCIAL HORAS'!C108,"AAAAADrb9Y0=")</f>
        <v>#VALUE!</v>
      </c>
      <c r="EM16" t="e">
        <f>AND('POTENCIAL HORAS'!D108,"AAAAADrb9Y4=")</f>
        <v>#VALUE!</v>
      </c>
      <c r="EN16" t="e">
        <f>AND('POTENCIAL HORAS'!E108,"AAAAADrb9Y8=")</f>
        <v>#VALUE!</v>
      </c>
      <c r="EO16" t="e">
        <f>AND('POTENCIAL HORAS'!F108,"AAAAADrb9ZA=")</f>
        <v>#VALUE!</v>
      </c>
      <c r="EP16" t="e">
        <f>AND('POTENCIAL HORAS'!G108,"AAAAADrb9ZE=")</f>
        <v>#VALUE!</v>
      </c>
      <c r="EQ16" t="e">
        <f>AND('POTENCIAL HORAS'!H108,"AAAAADrb9ZI=")</f>
        <v>#VALUE!</v>
      </c>
      <c r="ER16" t="e">
        <f>AND('POTENCIAL HORAS'!I108,"AAAAADrb9ZM=")</f>
        <v>#VALUE!</v>
      </c>
      <c r="ES16" t="e">
        <f>AND('POTENCIAL HORAS'!J108,"AAAAADrb9ZQ=")</f>
        <v>#VALUE!</v>
      </c>
      <c r="ET16" t="e">
        <f>AND('POTENCIAL HORAS'!K108,"AAAAADrb9ZU=")</f>
        <v>#VALUE!</v>
      </c>
      <c r="EU16" t="e">
        <f>AND('POTENCIAL HORAS'!L108,"AAAAADrb9ZY=")</f>
        <v>#VALUE!</v>
      </c>
      <c r="EV16" t="e">
        <f>AND('POTENCIAL HORAS'!M108,"AAAAADrb9Zc=")</f>
        <v>#VALUE!</v>
      </c>
      <c r="EW16" t="e">
        <f>AND('POTENCIAL HORAS'!N108,"AAAAADrb9Zg=")</f>
        <v>#VALUE!</v>
      </c>
      <c r="EX16" t="e">
        <f>AND('POTENCIAL HORAS'!O108,"AAAAADrb9Zk=")</f>
        <v>#VALUE!</v>
      </c>
      <c r="EY16" t="e">
        <f>AND('POTENCIAL HORAS'!P108,"AAAAADrb9Zo=")</f>
        <v>#VALUE!</v>
      </c>
      <c r="EZ16" t="e">
        <f>AND('POTENCIAL HORAS'!#REF!,"AAAAADrb9Zs=")</f>
        <v>#REF!</v>
      </c>
      <c r="FA16" t="e">
        <f>AND('POTENCIAL HORAS'!#REF!,"AAAAADrb9Zw=")</f>
        <v>#REF!</v>
      </c>
      <c r="FB16" t="e">
        <f>AND('POTENCIAL HORAS'!#REF!,"AAAAADrb9Z0=")</f>
        <v>#REF!</v>
      </c>
      <c r="FC16" t="e">
        <f>AND('POTENCIAL HORAS'!#REF!,"AAAAADrb9Z4=")</f>
        <v>#REF!</v>
      </c>
      <c r="FD16" t="e">
        <f>AND('POTENCIAL HORAS'!#REF!,"AAAAADrb9Z8=")</f>
        <v>#REF!</v>
      </c>
      <c r="FE16" t="e">
        <f>AND('POTENCIAL HORAS'!#REF!,"AAAAADrb9aA=")</f>
        <v>#REF!</v>
      </c>
      <c r="FF16" t="e">
        <f>AND('POTENCIAL HORAS'!#REF!,"AAAAADrb9aE=")</f>
        <v>#REF!</v>
      </c>
      <c r="FG16" t="e">
        <f>AND('POTENCIAL HORAS'!#REF!,"AAAAADrb9aI=")</f>
        <v>#REF!</v>
      </c>
      <c r="FH16" t="e">
        <f>AND('POTENCIAL HORAS'!#REF!,"AAAAADrb9aM=")</f>
        <v>#REF!</v>
      </c>
      <c r="FI16" t="e">
        <f>AND('POTENCIAL HORAS'!#REF!,"AAAAADrb9aQ=")</f>
        <v>#REF!</v>
      </c>
      <c r="FJ16" t="e">
        <f>AND('POTENCIAL HORAS'!#REF!,"AAAAADrb9aU=")</f>
        <v>#REF!</v>
      </c>
      <c r="FK16" t="e">
        <f>AND('POTENCIAL HORAS'!#REF!,"AAAAADrb9aY=")</f>
        <v>#REF!</v>
      </c>
      <c r="FL16" t="e">
        <f>AND('POTENCIAL HORAS'!#REF!,"AAAAADrb9ac=")</f>
        <v>#REF!</v>
      </c>
      <c r="FM16" t="e">
        <f>AND('POTENCIAL HORAS'!#REF!,"AAAAADrb9ag=")</f>
        <v>#REF!</v>
      </c>
      <c r="FN16" t="e">
        <f>AND('POTENCIAL HORAS'!#REF!,"AAAAADrb9ak=")</f>
        <v>#REF!</v>
      </c>
      <c r="FO16" t="e">
        <f>AND('POTENCIAL HORAS'!#REF!,"AAAAADrb9ao=")</f>
        <v>#REF!</v>
      </c>
      <c r="FP16" t="e">
        <f>AND('POTENCIAL HORAS'!#REF!,"AAAAADrb9as=")</f>
        <v>#REF!</v>
      </c>
      <c r="FQ16" t="e">
        <f>AND('POTENCIAL HORAS'!#REF!,"AAAAADrb9aw=")</f>
        <v>#REF!</v>
      </c>
      <c r="FR16" t="e">
        <f>AND('POTENCIAL HORAS'!#REF!,"AAAAADrb9a0=")</f>
        <v>#REF!</v>
      </c>
      <c r="FS16" t="e">
        <f>AND('POTENCIAL HORAS'!#REF!,"AAAAADrb9a4=")</f>
        <v>#REF!</v>
      </c>
      <c r="FT16" t="e">
        <f>AND('POTENCIAL HORAS'!Q108,"AAAAADrb9a8=")</f>
        <v>#VALUE!</v>
      </c>
      <c r="FU16" t="e">
        <f>AND('POTENCIAL HORAS'!R108,"AAAAADrb9bA=")</f>
        <v>#VALUE!</v>
      </c>
      <c r="FV16">
        <f>IF('POTENCIAL HORAS'!109:109,"AAAAADrb9bE=",0)</f>
        <v>0</v>
      </c>
      <c r="FW16" t="e">
        <f>AND('POTENCIAL HORAS'!A109,"AAAAADrb9bI=")</f>
        <v>#VALUE!</v>
      </c>
      <c r="FX16" t="e">
        <f>AND('POTENCIAL HORAS'!B109,"AAAAADrb9bM=")</f>
        <v>#VALUE!</v>
      </c>
      <c r="FY16" t="e">
        <f>AND('POTENCIAL HORAS'!C109,"AAAAADrb9bQ=")</f>
        <v>#VALUE!</v>
      </c>
      <c r="FZ16" t="e">
        <f>AND('POTENCIAL HORAS'!D109,"AAAAADrb9bU=")</f>
        <v>#VALUE!</v>
      </c>
      <c r="GA16" t="e">
        <f>AND('POTENCIAL HORAS'!E109,"AAAAADrb9bY=")</f>
        <v>#VALUE!</v>
      </c>
      <c r="GB16" t="e">
        <f>AND('POTENCIAL HORAS'!F109,"AAAAADrb9bc=")</f>
        <v>#VALUE!</v>
      </c>
      <c r="GC16" t="e">
        <f>AND('POTENCIAL HORAS'!G109,"AAAAADrb9bg=")</f>
        <v>#VALUE!</v>
      </c>
      <c r="GD16" t="e">
        <f>AND('POTENCIAL HORAS'!H109,"AAAAADrb9bk=")</f>
        <v>#VALUE!</v>
      </c>
      <c r="GE16" t="e">
        <f>AND('POTENCIAL HORAS'!I109,"AAAAADrb9bo=")</f>
        <v>#VALUE!</v>
      </c>
      <c r="GF16" t="e">
        <f>AND('POTENCIAL HORAS'!J109,"AAAAADrb9bs=")</f>
        <v>#VALUE!</v>
      </c>
      <c r="GG16" t="e">
        <f>AND('POTENCIAL HORAS'!K109,"AAAAADrb9bw=")</f>
        <v>#VALUE!</v>
      </c>
      <c r="GH16" t="e">
        <f>AND('POTENCIAL HORAS'!L109,"AAAAADrb9b0=")</f>
        <v>#VALUE!</v>
      </c>
      <c r="GI16" t="e">
        <f>AND('POTENCIAL HORAS'!M109,"AAAAADrb9b4=")</f>
        <v>#VALUE!</v>
      </c>
      <c r="GJ16" t="e">
        <f>AND('POTENCIAL HORAS'!N109,"AAAAADrb9b8=")</f>
        <v>#VALUE!</v>
      </c>
      <c r="GK16" t="e">
        <f>AND('POTENCIAL HORAS'!O109,"AAAAADrb9cA=")</f>
        <v>#VALUE!</v>
      </c>
      <c r="GL16" t="e">
        <f>AND('POTENCIAL HORAS'!P109,"AAAAADrb9cE=")</f>
        <v>#VALUE!</v>
      </c>
      <c r="GM16" t="e">
        <f>AND('POTENCIAL HORAS'!#REF!,"AAAAADrb9cI=")</f>
        <v>#REF!</v>
      </c>
      <c r="GN16" t="e">
        <f>AND('POTENCIAL HORAS'!#REF!,"AAAAADrb9cM=")</f>
        <v>#REF!</v>
      </c>
      <c r="GO16" t="e">
        <f>AND('POTENCIAL HORAS'!#REF!,"AAAAADrb9cQ=")</f>
        <v>#REF!</v>
      </c>
      <c r="GP16" t="e">
        <f>AND('POTENCIAL HORAS'!#REF!,"AAAAADrb9cU=")</f>
        <v>#REF!</v>
      </c>
      <c r="GQ16" t="e">
        <f>AND('POTENCIAL HORAS'!#REF!,"AAAAADrb9cY=")</f>
        <v>#REF!</v>
      </c>
      <c r="GR16" t="e">
        <f>AND('POTENCIAL HORAS'!#REF!,"AAAAADrb9cc=")</f>
        <v>#REF!</v>
      </c>
      <c r="GS16" t="e">
        <f>AND('POTENCIAL HORAS'!#REF!,"AAAAADrb9cg=")</f>
        <v>#REF!</v>
      </c>
      <c r="GT16" t="e">
        <f>AND('POTENCIAL HORAS'!#REF!,"AAAAADrb9ck=")</f>
        <v>#REF!</v>
      </c>
      <c r="GU16" t="e">
        <f>AND('POTENCIAL HORAS'!#REF!,"AAAAADrb9co=")</f>
        <v>#REF!</v>
      </c>
      <c r="GV16" t="e">
        <f>AND('POTENCIAL HORAS'!#REF!,"AAAAADrb9cs=")</f>
        <v>#REF!</v>
      </c>
      <c r="GW16" t="e">
        <f>AND('POTENCIAL HORAS'!#REF!,"AAAAADrb9cw=")</f>
        <v>#REF!</v>
      </c>
      <c r="GX16" t="e">
        <f>AND('POTENCIAL HORAS'!#REF!,"AAAAADrb9c0=")</f>
        <v>#REF!</v>
      </c>
      <c r="GY16" t="e">
        <f>AND('POTENCIAL HORAS'!#REF!,"AAAAADrb9c4=")</f>
        <v>#REF!</v>
      </c>
      <c r="GZ16" t="e">
        <f>AND('POTENCIAL HORAS'!#REF!,"AAAAADrb9c8=")</f>
        <v>#REF!</v>
      </c>
      <c r="HA16" t="e">
        <f>AND('POTENCIAL HORAS'!#REF!,"AAAAADrb9dA=")</f>
        <v>#REF!</v>
      </c>
      <c r="HB16" t="e">
        <f>AND('POTENCIAL HORAS'!#REF!,"AAAAADrb9dE=")</f>
        <v>#REF!</v>
      </c>
      <c r="HC16" t="e">
        <f>AND('POTENCIAL HORAS'!#REF!,"AAAAADrb9dI=")</f>
        <v>#REF!</v>
      </c>
      <c r="HD16" t="e">
        <f>AND('POTENCIAL HORAS'!#REF!,"AAAAADrb9dM=")</f>
        <v>#REF!</v>
      </c>
      <c r="HE16" t="e">
        <f>AND('POTENCIAL HORAS'!#REF!,"AAAAADrb9dQ=")</f>
        <v>#REF!</v>
      </c>
      <c r="HF16" t="e">
        <f>AND('POTENCIAL HORAS'!#REF!,"AAAAADrb9dU=")</f>
        <v>#REF!</v>
      </c>
      <c r="HG16" t="e">
        <f>AND('POTENCIAL HORAS'!Q109,"AAAAADrb9dY=")</f>
        <v>#VALUE!</v>
      </c>
      <c r="HH16" t="e">
        <f>AND('POTENCIAL HORAS'!R109,"AAAAADrb9dc=")</f>
        <v>#VALUE!</v>
      </c>
      <c r="HI16">
        <f>IF('POTENCIAL HORAS'!110:110,"AAAAADrb9dg=",0)</f>
        <v>0</v>
      </c>
      <c r="HJ16" t="e">
        <f>AND('POTENCIAL HORAS'!A110,"AAAAADrb9dk=")</f>
        <v>#VALUE!</v>
      </c>
      <c r="HK16" t="e">
        <f>AND('POTENCIAL HORAS'!B110,"AAAAADrb9do=")</f>
        <v>#VALUE!</v>
      </c>
      <c r="HL16" t="e">
        <f>AND('POTENCIAL HORAS'!C110,"AAAAADrb9ds=")</f>
        <v>#VALUE!</v>
      </c>
      <c r="HM16" t="e">
        <f>AND('POTENCIAL HORAS'!D110,"AAAAADrb9dw=")</f>
        <v>#VALUE!</v>
      </c>
      <c r="HN16" t="e">
        <f>AND('POTENCIAL HORAS'!E110,"AAAAADrb9d0=")</f>
        <v>#VALUE!</v>
      </c>
      <c r="HO16" t="e">
        <f>AND('POTENCIAL HORAS'!F110,"AAAAADrb9d4=")</f>
        <v>#VALUE!</v>
      </c>
      <c r="HP16" t="e">
        <f>AND('POTENCIAL HORAS'!G110,"AAAAADrb9d8=")</f>
        <v>#VALUE!</v>
      </c>
      <c r="HQ16" t="e">
        <f>AND('POTENCIAL HORAS'!H110,"AAAAADrb9eA=")</f>
        <v>#VALUE!</v>
      </c>
      <c r="HR16" t="e">
        <f>AND('POTENCIAL HORAS'!I110,"AAAAADrb9eE=")</f>
        <v>#VALUE!</v>
      </c>
      <c r="HS16" t="e">
        <f>AND('POTENCIAL HORAS'!J110,"AAAAADrb9eI=")</f>
        <v>#VALUE!</v>
      </c>
      <c r="HT16" t="e">
        <f>AND('POTENCIAL HORAS'!K110,"AAAAADrb9eM=")</f>
        <v>#VALUE!</v>
      </c>
      <c r="HU16" t="e">
        <f>AND('POTENCIAL HORAS'!L110,"AAAAADrb9eQ=")</f>
        <v>#VALUE!</v>
      </c>
      <c r="HV16" t="e">
        <f>AND('POTENCIAL HORAS'!M110,"AAAAADrb9eU=")</f>
        <v>#VALUE!</v>
      </c>
      <c r="HW16" t="e">
        <f>AND('POTENCIAL HORAS'!N110,"AAAAADrb9eY=")</f>
        <v>#VALUE!</v>
      </c>
      <c r="HX16" t="e">
        <f>AND('POTENCIAL HORAS'!O110,"AAAAADrb9ec=")</f>
        <v>#VALUE!</v>
      </c>
      <c r="HY16" t="e">
        <f>AND('POTENCIAL HORAS'!P110,"AAAAADrb9eg=")</f>
        <v>#VALUE!</v>
      </c>
      <c r="HZ16" t="e">
        <f>AND('POTENCIAL HORAS'!#REF!,"AAAAADrb9ek=")</f>
        <v>#REF!</v>
      </c>
      <c r="IA16" t="e">
        <f>AND('POTENCIAL HORAS'!#REF!,"AAAAADrb9eo=")</f>
        <v>#REF!</v>
      </c>
      <c r="IB16" t="e">
        <f>AND('POTENCIAL HORAS'!#REF!,"AAAAADrb9es=")</f>
        <v>#REF!</v>
      </c>
      <c r="IC16" t="e">
        <f>AND('POTENCIAL HORAS'!#REF!,"AAAAADrb9ew=")</f>
        <v>#REF!</v>
      </c>
      <c r="ID16" t="e">
        <f>AND('POTENCIAL HORAS'!#REF!,"AAAAADrb9e0=")</f>
        <v>#REF!</v>
      </c>
      <c r="IE16" t="e">
        <f>AND('POTENCIAL HORAS'!#REF!,"AAAAADrb9e4=")</f>
        <v>#REF!</v>
      </c>
      <c r="IF16" t="e">
        <f>AND('POTENCIAL HORAS'!#REF!,"AAAAADrb9e8=")</f>
        <v>#REF!</v>
      </c>
      <c r="IG16" t="e">
        <f>AND('POTENCIAL HORAS'!#REF!,"AAAAADrb9fA=")</f>
        <v>#REF!</v>
      </c>
      <c r="IH16" t="e">
        <f>AND('POTENCIAL HORAS'!#REF!,"AAAAADrb9fE=")</f>
        <v>#REF!</v>
      </c>
      <c r="II16" t="e">
        <f>AND('POTENCIAL HORAS'!#REF!,"AAAAADrb9fI=")</f>
        <v>#REF!</v>
      </c>
      <c r="IJ16" t="e">
        <f>AND('POTENCIAL HORAS'!#REF!,"AAAAADrb9fM=")</f>
        <v>#REF!</v>
      </c>
      <c r="IK16" t="e">
        <f>AND('POTENCIAL HORAS'!#REF!,"AAAAADrb9fQ=")</f>
        <v>#REF!</v>
      </c>
      <c r="IL16" t="e">
        <f>AND('POTENCIAL HORAS'!#REF!,"AAAAADrb9fU=")</f>
        <v>#REF!</v>
      </c>
      <c r="IM16" t="e">
        <f>AND('POTENCIAL HORAS'!#REF!,"AAAAADrb9fY=")</f>
        <v>#REF!</v>
      </c>
      <c r="IN16" t="e">
        <f>AND('POTENCIAL HORAS'!#REF!,"AAAAADrb9fc=")</f>
        <v>#REF!</v>
      </c>
      <c r="IO16" t="e">
        <f>AND('POTENCIAL HORAS'!#REF!,"AAAAADrb9fg=")</f>
        <v>#REF!</v>
      </c>
      <c r="IP16" t="e">
        <f>AND('POTENCIAL HORAS'!#REF!,"AAAAADrb9fk=")</f>
        <v>#REF!</v>
      </c>
      <c r="IQ16" t="e">
        <f>AND('POTENCIAL HORAS'!#REF!,"AAAAADrb9fo=")</f>
        <v>#REF!</v>
      </c>
      <c r="IR16" t="e">
        <f>AND('POTENCIAL HORAS'!#REF!,"AAAAADrb9fs=")</f>
        <v>#REF!</v>
      </c>
      <c r="IS16" t="e">
        <f>AND('POTENCIAL HORAS'!#REF!,"AAAAADrb9fw=")</f>
        <v>#REF!</v>
      </c>
      <c r="IT16" t="e">
        <f>AND('POTENCIAL HORAS'!Q110,"AAAAADrb9f0=")</f>
        <v>#VALUE!</v>
      </c>
      <c r="IU16" t="e">
        <f>AND('POTENCIAL HORAS'!R110,"AAAAADrb9f4=")</f>
        <v>#VALUE!</v>
      </c>
      <c r="IV16">
        <f>IF('POTENCIAL HORAS'!113:113,"AAAAADrb9f8=",0)</f>
        <v>0</v>
      </c>
    </row>
    <row r="17" spans="1:256" x14ac:dyDescent="0.2">
      <c r="A17" t="e">
        <f>AND('POTENCIAL HORAS'!A113,"AAAAAHbbtgA=")</f>
        <v>#VALUE!</v>
      </c>
      <c r="B17" t="e">
        <f>AND('POTENCIAL HORAS'!B113,"AAAAAHbbtgE=")</f>
        <v>#VALUE!</v>
      </c>
      <c r="C17" t="e">
        <f>AND('POTENCIAL HORAS'!C113,"AAAAAHbbtgI=")</f>
        <v>#VALUE!</v>
      </c>
      <c r="D17" t="e">
        <f>AND('POTENCIAL HORAS'!D113,"AAAAAHbbtgM=")</f>
        <v>#VALUE!</v>
      </c>
      <c r="E17" t="e">
        <f>AND('POTENCIAL HORAS'!E113,"AAAAAHbbtgQ=")</f>
        <v>#VALUE!</v>
      </c>
      <c r="F17" t="e">
        <f>AND('POTENCIAL HORAS'!F113,"AAAAAHbbtgU=")</f>
        <v>#VALUE!</v>
      </c>
      <c r="G17" t="e">
        <f>AND('POTENCIAL HORAS'!G113,"AAAAAHbbtgY=")</f>
        <v>#VALUE!</v>
      </c>
      <c r="H17" t="e">
        <f>AND('POTENCIAL HORAS'!H113,"AAAAAHbbtgc=")</f>
        <v>#VALUE!</v>
      </c>
      <c r="I17" t="e">
        <f>AND('POTENCIAL HORAS'!I113,"AAAAAHbbtgg=")</f>
        <v>#VALUE!</v>
      </c>
      <c r="J17" t="e">
        <f>AND('POTENCIAL HORAS'!J113,"AAAAAHbbtgk=")</f>
        <v>#VALUE!</v>
      </c>
      <c r="K17" t="e">
        <f>AND('POTENCIAL HORAS'!K113,"AAAAAHbbtgo=")</f>
        <v>#VALUE!</v>
      </c>
      <c r="L17" t="e">
        <f>AND('POTENCIAL HORAS'!L113,"AAAAAHbbtgs=")</f>
        <v>#VALUE!</v>
      </c>
      <c r="M17" t="e">
        <f>AND('POTENCIAL HORAS'!M113,"AAAAAHbbtgw=")</f>
        <v>#VALUE!</v>
      </c>
      <c r="N17" t="e">
        <f>AND('POTENCIAL HORAS'!N113,"AAAAAHbbtg0=")</f>
        <v>#VALUE!</v>
      </c>
      <c r="O17" t="e">
        <f>AND('POTENCIAL HORAS'!O113,"AAAAAHbbtg4=")</f>
        <v>#VALUE!</v>
      </c>
      <c r="P17" t="e">
        <f>AND('POTENCIAL HORAS'!P113,"AAAAAHbbtg8=")</f>
        <v>#VALUE!</v>
      </c>
      <c r="Q17" t="e">
        <f>AND('POTENCIAL HORAS'!#REF!,"AAAAAHbbthA=")</f>
        <v>#REF!</v>
      </c>
      <c r="R17" t="e">
        <f>AND('POTENCIAL HORAS'!#REF!,"AAAAAHbbthE=")</f>
        <v>#REF!</v>
      </c>
      <c r="S17" t="e">
        <f>AND('POTENCIAL HORAS'!#REF!,"AAAAAHbbthI=")</f>
        <v>#REF!</v>
      </c>
      <c r="T17" t="e">
        <f>AND('POTENCIAL HORAS'!#REF!,"AAAAAHbbthM=")</f>
        <v>#REF!</v>
      </c>
      <c r="U17" t="e">
        <f>AND('POTENCIAL HORAS'!#REF!,"AAAAAHbbthQ=")</f>
        <v>#REF!</v>
      </c>
      <c r="V17" t="e">
        <f>AND('POTENCIAL HORAS'!#REF!,"AAAAAHbbthU=")</f>
        <v>#REF!</v>
      </c>
      <c r="W17" t="e">
        <f>AND('POTENCIAL HORAS'!#REF!,"AAAAAHbbthY=")</f>
        <v>#REF!</v>
      </c>
      <c r="X17" t="e">
        <f>AND('POTENCIAL HORAS'!#REF!,"AAAAAHbbthc=")</f>
        <v>#REF!</v>
      </c>
      <c r="Y17" t="e">
        <f>AND('POTENCIAL HORAS'!#REF!,"AAAAAHbbthg=")</f>
        <v>#REF!</v>
      </c>
      <c r="Z17" t="e">
        <f>AND('POTENCIAL HORAS'!#REF!,"AAAAAHbbthk=")</f>
        <v>#REF!</v>
      </c>
      <c r="AA17" t="e">
        <f>AND('POTENCIAL HORAS'!#REF!,"AAAAAHbbtho=")</f>
        <v>#REF!</v>
      </c>
      <c r="AB17" t="e">
        <f>AND('POTENCIAL HORAS'!#REF!,"AAAAAHbbths=")</f>
        <v>#REF!</v>
      </c>
      <c r="AC17" t="e">
        <f>AND('POTENCIAL HORAS'!#REF!,"AAAAAHbbthw=")</f>
        <v>#REF!</v>
      </c>
      <c r="AD17" t="e">
        <f>AND('POTENCIAL HORAS'!#REF!,"AAAAAHbbth0=")</f>
        <v>#REF!</v>
      </c>
      <c r="AE17" t="e">
        <f>AND('POTENCIAL HORAS'!#REF!,"AAAAAHbbth4=")</f>
        <v>#REF!</v>
      </c>
      <c r="AF17" t="e">
        <f>AND('POTENCIAL HORAS'!#REF!,"AAAAAHbbth8=")</f>
        <v>#REF!</v>
      </c>
      <c r="AG17" t="e">
        <f>AND('POTENCIAL HORAS'!#REF!,"AAAAAHbbtiA=")</f>
        <v>#REF!</v>
      </c>
      <c r="AH17" t="e">
        <f>AND('POTENCIAL HORAS'!#REF!,"AAAAAHbbtiE=")</f>
        <v>#REF!</v>
      </c>
      <c r="AI17" t="e">
        <f>AND('POTENCIAL HORAS'!#REF!,"AAAAAHbbtiI=")</f>
        <v>#REF!</v>
      </c>
      <c r="AJ17" t="e">
        <f>AND('POTENCIAL HORAS'!#REF!,"AAAAAHbbtiM=")</f>
        <v>#REF!</v>
      </c>
      <c r="AK17" t="e">
        <f>AND('POTENCIAL HORAS'!Q113,"AAAAAHbbtiQ=")</f>
        <v>#VALUE!</v>
      </c>
      <c r="AL17" t="e">
        <f>AND('POTENCIAL HORAS'!R113,"AAAAAHbbtiU=")</f>
        <v>#VALUE!</v>
      </c>
      <c r="AM17" t="e">
        <f>IF('POTENCIAL HORAS'!#REF!,"AAAAAHbbtiY=",0)</f>
        <v>#REF!</v>
      </c>
      <c r="AN17" t="e">
        <f>AND('POTENCIAL HORAS'!#REF!,"AAAAAHbbtic=")</f>
        <v>#REF!</v>
      </c>
      <c r="AO17" t="e">
        <f>AND('POTENCIAL HORAS'!#REF!,"AAAAAHbbtig=")</f>
        <v>#REF!</v>
      </c>
      <c r="AP17" t="e">
        <f>AND('POTENCIAL HORAS'!#REF!,"AAAAAHbbtik=")</f>
        <v>#REF!</v>
      </c>
      <c r="AQ17" t="e">
        <f>AND('POTENCIAL HORAS'!#REF!,"AAAAAHbbtio=")</f>
        <v>#REF!</v>
      </c>
      <c r="AR17" t="e">
        <f>AND('POTENCIAL HORAS'!#REF!,"AAAAAHbbtis=")</f>
        <v>#REF!</v>
      </c>
      <c r="AS17" t="e">
        <f>AND('POTENCIAL HORAS'!#REF!,"AAAAAHbbtiw=")</f>
        <v>#REF!</v>
      </c>
      <c r="AT17" t="e">
        <f>AND('POTENCIAL HORAS'!#REF!,"AAAAAHbbti0=")</f>
        <v>#REF!</v>
      </c>
      <c r="AU17" t="e">
        <f>AND('POTENCIAL HORAS'!#REF!,"AAAAAHbbti4=")</f>
        <v>#REF!</v>
      </c>
      <c r="AV17" t="e">
        <f>AND('POTENCIAL HORAS'!#REF!,"AAAAAHbbti8=")</f>
        <v>#REF!</v>
      </c>
      <c r="AW17" t="e">
        <f>AND('POTENCIAL HORAS'!#REF!,"AAAAAHbbtjA=")</f>
        <v>#REF!</v>
      </c>
      <c r="AX17" t="e">
        <f>AND('POTENCIAL HORAS'!#REF!,"AAAAAHbbtjE=")</f>
        <v>#REF!</v>
      </c>
      <c r="AY17" t="e">
        <f>AND('POTENCIAL HORAS'!#REF!,"AAAAAHbbtjI=")</f>
        <v>#REF!</v>
      </c>
      <c r="AZ17" t="e">
        <f>AND('POTENCIAL HORAS'!#REF!,"AAAAAHbbtjM=")</f>
        <v>#REF!</v>
      </c>
      <c r="BA17" t="e">
        <f>AND('POTENCIAL HORAS'!#REF!,"AAAAAHbbtjQ=")</f>
        <v>#REF!</v>
      </c>
      <c r="BB17" t="e">
        <f>AND('POTENCIAL HORAS'!#REF!,"AAAAAHbbtjU=")</f>
        <v>#REF!</v>
      </c>
      <c r="BC17" t="e">
        <f>AND('POTENCIAL HORAS'!#REF!,"AAAAAHbbtjY=")</f>
        <v>#REF!</v>
      </c>
      <c r="BD17" t="e">
        <f>AND('POTENCIAL HORAS'!#REF!,"AAAAAHbbtjc=")</f>
        <v>#REF!</v>
      </c>
      <c r="BE17" t="e">
        <f>AND('POTENCIAL HORAS'!#REF!,"AAAAAHbbtjg=")</f>
        <v>#REF!</v>
      </c>
      <c r="BF17" t="e">
        <f>AND('POTENCIAL HORAS'!#REF!,"AAAAAHbbtjk=")</f>
        <v>#REF!</v>
      </c>
      <c r="BG17" t="e">
        <f>AND('POTENCIAL HORAS'!#REF!,"AAAAAHbbtjo=")</f>
        <v>#REF!</v>
      </c>
      <c r="BH17" t="e">
        <f>AND('POTENCIAL HORAS'!#REF!,"AAAAAHbbtjs=")</f>
        <v>#REF!</v>
      </c>
      <c r="BI17" t="e">
        <f>AND('POTENCIAL HORAS'!#REF!,"AAAAAHbbtjw=")</f>
        <v>#REF!</v>
      </c>
      <c r="BJ17" t="e">
        <f>AND('POTENCIAL HORAS'!#REF!,"AAAAAHbbtj0=")</f>
        <v>#REF!</v>
      </c>
      <c r="BK17" t="e">
        <f>AND('POTENCIAL HORAS'!#REF!,"AAAAAHbbtj4=")</f>
        <v>#REF!</v>
      </c>
      <c r="BL17" t="e">
        <f>AND('POTENCIAL HORAS'!#REF!,"AAAAAHbbtj8=")</f>
        <v>#REF!</v>
      </c>
      <c r="BM17" t="e">
        <f>AND('POTENCIAL HORAS'!#REF!,"AAAAAHbbtkA=")</f>
        <v>#REF!</v>
      </c>
      <c r="BN17" t="e">
        <f>AND('POTENCIAL HORAS'!#REF!,"AAAAAHbbtkE=")</f>
        <v>#REF!</v>
      </c>
      <c r="BO17" t="e">
        <f>AND('POTENCIAL HORAS'!#REF!,"AAAAAHbbtkI=")</f>
        <v>#REF!</v>
      </c>
      <c r="BP17" t="e">
        <f>AND('POTENCIAL HORAS'!#REF!,"AAAAAHbbtkM=")</f>
        <v>#REF!</v>
      </c>
      <c r="BQ17" t="e">
        <f>AND('POTENCIAL HORAS'!#REF!,"AAAAAHbbtkQ=")</f>
        <v>#REF!</v>
      </c>
      <c r="BR17" t="e">
        <f>AND('POTENCIAL HORAS'!#REF!,"AAAAAHbbtkU=")</f>
        <v>#REF!</v>
      </c>
      <c r="BS17" t="e">
        <f>AND('POTENCIAL HORAS'!#REF!,"AAAAAHbbtkY=")</f>
        <v>#REF!</v>
      </c>
      <c r="BT17" t="e">
        <f>AND('POTENCIAL HORAS'!#REF!,"AAAAAHbbtkc=")</f>
        <v>#REF!</v>
      </c>
      <c r="BU17" t="e">
        <f>AND('POTENCIAL HORAS'!#REF!,"AAAAAHbbtkg=")</f>
        <v>#REF!</v>
      </c>
      <c r="BV17" t="e">
        <f>AND('POTENCIAL HORAS'!#REF!,"AAAAAHbbtkk=")</f>
        <v>#REF!</v>
      </c>
      <c r="BW17" t="e">
        <f>AND('POTENCIAL HORAS'!#REF!,"AAAAAHbbtko=")</f>
        <v>#REF!</v>
      </c>
      <c r="BX17" t="e">
        <f>AND('POTENCIAL HORAS'!#REF!,"AAAAAHbbtks=")</f>
        <v>#REF!</v>
      </c>
      <c r="BY17" t="e">
        <f>AND('POTENCIAL HORAS'!#REF!,"AAAAAHbbtkw=")</f>
        <v>#REF!</v>
      </c>
      <c r="BZ17" t="e">
        <f>IF('POTENCIAL HORAS'!#REF!,"AAAAAHbbtk0=",0)</f>
        <v>#REF!</v>
      </c>
      <c r="CA17" t="e">
        <f>AND('POTENCIAL HORAS'!#REF!,"AAAAAHbbtk4=")</f>
        <v>#REF!</v>
      </c>
      <c r="CB17" t="e">
        <f>AND('POTENCIAL HORAS'!#REF!,"AAAAAHbbtk8=")</f>
        <v>#REF!</v>
      </c>
      <c r="CC17" t="e">
        <f>AND('POTENCIAL HORAS'!#REF!,"AAAAAHbbtlA=")</f>
        <v>#REF!</v>
      </c>
      <c r="CD17" t="e">
        <f>AND('POTENCIAL HORAS'!#REF!,"AAAAAHbbtlE=")</f>
        <v>#REF!</v>
      </c>
      <c r="CE17" t="e">
        <f>AND('POTENCIAL HORAS'!#REF!,"AAAAAHbbtlI=")</f>
        <v>#REF!</v>
      </c>
      <c r="CF17" t="e">
        <f>AND('POTENCIAL HORAS'!#REF!,"AAAAAHbbtlM=")</f>
        <v>#REF!</v>
      </c>
      <c r="CG17" t="e">
        <f>AND('POTENCIAL HORAS'!#REF!,"AAAAAHbbtlQ=")</f>
        <v>#REF!</v>
      </c>
      <c r="CH17" t="e">
        <f>AND('POTENCIAL HORAS'!#REF!,"AAAAAHbbtlU=")</f>
        <v>#REF!</v>
      </c>
      <c r="CI17" t="e">
        <f>AND('POTENCIAL HORAS'!#REF!,"AAAAAHbbtlY=")</f>
        <v>#REF!</v>
      </c>
      <c r="CJ17" t="e">
        <f>AND('POTENCIAL HORAS'!#REF!,"AAAAAHbbtlc=")</f>
        <v>#REF!</v>
      </c>
      <c r="CK17" t="e">
        <f>AND('POTENCIAL HORAS'!#REF!,"AAAAAHbbtlg=")</f>
        <v>#REF!</v>
      </c>
      <c r="CL17" t="e">
        <f>AND('POTENCIAL HORAS'!#REF!,"AAAAAHbbtlk=")</f>
        <v>#REF!</v>
      </c>
      <c r="CM17" t="e">
        <f>AND('POTENCIAL HORAS'!#REF!,"AAAAAHbbtlo=")</f>
        <v>#REF!</v>
      </c>
      <c r="CN17" t="e">
        <f>AND('POTENCIAL HORAS'!#REF!,"AAAAAHbbtls=")</f>
        <v>#REF!</v>
      </c>
      <c r="CO17" t="e">
        <f>AND('POTENCIAL HORAS'!#REF!,"AAAAAHbbtlw=")</f>
        <v>#REF!</v>
      </c>
      <c r="CP17" t="e">
        <f>AND('POTENCIAL HORAS'!#REF!,"AAAAAHbbtl0=")</f>
        <v>#REF!</v>
      </c>
      <c r="CQ17" t="e">
        <f>AND('POTENCIAL HORAS'!#REF!,"AAAAAHbbtl4=")</f>
        <v>#REF!</v>
      </c>
      <c r="CR17" t="e">
        <f>AND('POTENCIAL HORAS'!#REF!,"AAAAAHbbtl8=")</f>
        <v>#REF!</v>
      </c>
      <c r="CS17" t="e">
        <f>AND('POTENCIAL HORAS'!#REF!,"AAAAAHbbtmA=")</f>
        <v>#REF!</v>
      </c>
      <c r="CT17" t="e">
        <f>AND('POTENCIAL HORAS'!#REF!,"AAAAAHbbtmE=")</f>
        <v>#REF!</v>
      </c>
      <c r="CU17" t="e">
        <f>AND('POTENCIAL HORAS'!#REF!,"AAAAAHbbtmI=")</f>
        <v>#REF!</v>
      </c>
      <c r="CV17" t="e">
        <f>AND('POTENCIAL HORAS'!#REF!,"AAAAAHbbtmM=")</f>
        <v>#REF!</v>
      </c>
      <c r="CW17" t="e">
        <f>AND('POTENCIAL HORAS'!#REF!,"AAAAAHbbtmQ=")</f>
        <v>#REF!</v>
      </c>
      <c r="CX17" t="e">
        <f>AND('POTENCIAL HORAS'!#REF!,"AAAAAHbbtmU=")</f>
        <v>#REF!</v>
      </c>
      <c r="CY17" t="e">
        <f>AND('POTENCIAL HORAS'!#REF!,"AAAAAHbbtmY=")</f>
        <v>#REF!</v>
      </c>
      <c r="CZ17" t="e">
        <f>AND('POTENCIAL HORAS'!#REF!,"AAAAAHbbtmc=")</f>
        <v>#REF!</v>
      </c>
      <c r="DA17" t="e">
        <f>AND('POTENCIAL HORAS'!#REF!,"AAAAAHbbtmg=")</f>
        <v>#REF!</v>
      </c>
      <c r="DB17" t="e">
        <f>AND('POTENCIAL HORAS'!#REF!,"AAAAAHbbtmk=")</f>
        <v>#REF!</v>
      </c>
      <c r="DC17" t="e">
        <f>AND('POTENCIAL HORAS'!#REF!,"AAAAAHbbtmo=")</f>
        <v>#REF!</v>
      </c>
      <c r="DD17" t="e">
        <f>AND('POTENCIAL HORAS'!#REF!,"AAAAAHbbtms=")</f>
        <v>#REF!</v>
      </c>
      <c r="DE17" t="e">
        <f>AND('POTENCIAL HORAS'!#REF!,"AAAAAHbbtmw=")</f>
        <v>#REF!</v>
      </c>
      <c r="DF17" t="e">
        <f>AND('POTENCIAL HORAS'!#REF!,"AAAAAHbbtm0=")</f>
        <v>#REF!</v>
      </c>
      <c r="DG17" t="e">
        <f>AND('POTENCIAL HORAS'!#REF!,"AAAAAHbbtm4=")</f>
        <v>#REF!</v>
      </c>
      <c r="DH17" t="e">
        <f>AND('POTENCIAL HORAS'!#REF!,"AAAAAHbbtm8=")</f>
        <v>#REF!</v>
      </c>
      <c r="DI17" t="e">
        <f>AND('POTENCIAL HORAS'!#REF!,"AAAAAHbbtnA=")</f>
        <v>#REF!</v>
      </c>
      <c r="DJ17" t="e">
        <f>AND('POTENCIAL HORAS'!#REF!,"AAAAAHbbtnE=")</f>
        <v>#REF!</v>
      </c>
      <c r="DK17" t="e">
        <f>AND('POTENCIAL HORAS'!#REF!,"AAAAAHbbtnI=")</f>
        <v>#REF!</v>
      </c>
      <c r="DL17" t="e">
        <f>AND('POTENCIAL HORAS'!#REF!,"AAAAAHbbtnM=")</f>
        <v>#REF!</v>
      </c>
      <c r="DM17" t="e">
        <f>IF('POTENCIAL HORAS'!#REF!,"AAAAAHbbtnQ=",0)</f>
        <v>#REF!</v>
      </c>
      <c r="DN17" t="e">
        <f>AND('POTENCIAL HORAS'!#REF!,"AAAAAHbbtnU=")</f>
        <v>#REF!</v>
      </c>
      <c r="DO17" t="e">
        <f>AND('POTENCIAL HORAS'!#REF!,"AAAAAHbbtnY=")</f>
        <v>#REF!</v>
      </c>
      <c r="DP17" t="e">
        <f>AND('POTENCIAL HORAS'!#REF!,"AAAAAHbbtnc=")</f>
        <v>#REF!</v>
      </c>
      <c r="DQ17" t="e">
        <f>AND('POTENCIAL HORAS'!#REF!,"AAAAAHbbtng=")</f>
        <v>#REF!</v>
      </c>
      <c r="DR17" t="e">
        <f>AND('POTENCIAL HORAS'!#REF!,"AAAAAHbbtnk=")</f>
        <v>#REF!</v>
      </c>
      <c r="DS17" t="e">
        <f>AND('POTENCIAL HORAS'!#REF!,"AAAAAHbbtno=")</f>
        <v>#REF!</v>
      </c>
      <c r="DT17" t="e">
        <f>AND('POTENCIAL HORAS'!#REF!,"AAAAAHbbtns=")</f>
        <v>#REF!</v>
      </c>
      <c r="DU17" t="e">
        <f>AND('POTENCIAL HORAS'!#REF!,"AAAAAHbbtnw=")</f>
        <v>#REF!</v>
      </c>
      <c r="DV17" t="e">
        <f>AND('POTENCIAL HORAS'!#REF!,"AAAAAHbbtn0=")</f>
        <v>#REF!</v>
      </c>
      <c r="DW17" t="e">
        <f>AND('POTENCIAL HORAS'!#REF!,"AAAAAHbbtn4=")</f>
        <v>#REF!</v>
      </c>
      <c r="DX17" t="e">
        <f>AND('POTENCIAL HORAS'!#REF!,"AAAAAHbbtn8=")</f>
        <v>#REF!</v>
      </c>
      <c r="DY17" t="e">
        <f>AND('POTENCIAL HORAS'!#REF!,"AAAAAHbbtoA=")</f>
        <v>#REF!</v>
      </c>
      <c r="DZ17" t="e">
        <f>AND('POTENCIAL HORAS'!#REF!,"AAAAAHbbtoE=")</f>
        <v>#REF!</v>
      </c>
      <c r="EA17" t="e">
        <f>AND('POTENCIAL HORAS'!#REF!,"AAAAAHbbtoI=")</f>
        <v>#REF!</v>
      </c>
      <c r="EB17" t="e">
        <f>AND('POTENCIAL HORAS'!#REF!,"AAAAAHbbtoM=")</f>
        <v>#REF!</v>
      </c>
      <c r="EC17" t="e">
        <f>AND('POTENCIAL HORAS'!#REF!,"AAAAAHbbtoQ=")</f>
        <v>#REF!</v>
      </c>
      <c r="ED17" t="e">
        <f>AND('POTENCIAL HORAS'!#REF!,"AAAAAHbbtoU=")</f>
        <v>#REF!</v>
      </c>
      <c r="EE17" t="e">
        <f>AND('POTENCIAL HORAS'!#REF!,"AAAAAHbbtoY=")</f>
        <v>#REF!</v>
      </c>
      <c r="EF17" t="e">
        <f>AND('POTENCIAL HORAS'!#REF!,"AAAAAHbbtoc=")</f>
        <v>#REF!</v>
      </c>
      <c r="EG17" t="e">
        <f>AND('POTENCIAL HORAS'!#REF!,"AAAAAHbbtog=")</f>
        <v>#REF!</v>
      </c>
      <c r="EH17" t="e">
        <f>AND('POTENCIAL HORAS'!#REF!,"AAAAAHbbtok=")</f>
        <v>#REF!</v>
      </c>
      <c r="EI17" t="e">
        <f>AND('POTENCIAL HORAS'!#REF!,"AAAAAHbbtoo=")</f>
        <v>#REF!</v>
      </c>
      <c r="EJ17" t="e">
        <f>AND('POTENCIAL HORAS'!#REF!,"AAAAAHbbtos=")</f>
        <v>#REF!</v>
      </c>
      <c r="EK17" t="e">
        <f>AND('POTENCIAL HORAS'!#REF!,"AAAAAHbbtow=")</f>
        <v>#REF!</v>
      </c>
      <c r="EL17" t="e">
        <f>AND('POTENCIAL HORAS'!#REF!,"AAAAAHbbto0=")</f>
        <v>#REF!</v>
      </c>
      <c r="EM17" t="e">
        <f>AND('POTENCIAL HORAS'!#REF!,"AAAAAHbbto4=")</f>
        <v>#REF!</v>
      </c>
      <c r="EN17" t="e">
        <f>AND('POTENCIAL HORAS'!#REF!,"AAAAAHbbto8=")</f>
        <v>#REF!</v>
      </c>
      <c r="EO17" t="e">
        <f>AND('POTENCIAL HORAS'!#REF!,"AAAAAHbbtpA=")</f>
        <v>#REF!</v>
      </c>
      <c r="EP17" t="e">
        <f>AND('POTENCIAL HORAS'!#REF!,"AAAAAHbbtpE=")</f>
        <v>#REF!</v>
      </c>
      <c r="EQ17" t="e">
        <f>AND('POTENCIAL HORAS'!#REF!,"AAAAAHbbtpI=")</f>
        <v>#REF!</v>
      </c>
      <c r="ER17" t="e">
        <f>AND('POTENCIAL HORAS'!#REF!,"AAAAAHbbtpM=")</f>
        <v>#REF!</v>
      </c>
      <c r="ES17" t="e">
        <f>AND('POTENCIAL HORAS'!#REF!,"AAAAAHbbtpQ=")</f>
        <v>#REF!</v>
      </c>
      <c r="ET17" t="e">
        <f>AND('POTENCIAL HORAS'!#REF!,"AAAAAHbbtpU=")</f>
        <v>#REF!</v>
      </c>
      <c r="EU17" t="e">
        <f>AND('POTENCIAL HORAS'!#REF!,"AAAAAHbbtpY=")</f>
        <v>#REF!</v>
      </c>
      <c r="EV17" t="e">
        <f>AND('POTENCIAL HORAS'!#REF!,"AAAAAHbbtpc=")</f>
        <v>#REF!</v>
      </c>
      <c r="EW17" t="e">
        <f>AND('POTENCIAL HORAS'!#REF!,"AAAAAHbbtpg=")</f>
        <v>#REF!</v>
      </c>
      <c r="EX17" t="e">
        <f>AND('POTENCIAL HORAS'!#REF!,"AAAAAHbbtpk=")</f>
        <v>#REF!</v>
      </c>
      <c r="EY17" t="e">
        <f>AND('POTENCIAL HORAS'!#REF!,"AAAAAHbbtpo=")</f>
        <v>#REF!</v>
      </c>
      <c r="EZ17" t="e">
        <f>IF('POTENCIAL HORAS'!#REF!,"AAAAAHbbtps=",0)</f>
        <v>#REF!</v>
      </c>
      <c r="FA17" t="e">
        <f>AND('POTENCIAL HORAS'!#REF!,"AAAAAHbbtpw=")</f>
        <v>#REF!</v>
      </c>
      <c r="FB17" t="e">
        <f>AND('POTENCIAL HORAS'!#REF!,"AAAAAHbbtp0=")</f>
        <v>#REF!</v>
      </c>
      <c r="FC17" t="e">
        <f>AND('POTENCIAL HORAS'!#REF!,"AAAAAHbbtp4=")</f>
        <v>#REF!</v>
      </c>
      <c r="FD17" t="e">
        <f>AND('POTENCIAL HORAS'!#REF!,"AAAAAHbbtp8=")</f>
        <v>#REF!</v>
      </c>
      <c r="FE17" t="e">
        <f>AND('POTENCIAL HORAS'!#REF!,"AAAAAHbbtqA=")</f>
        <v>#REF!</v>
      </c>
      <c r="FF17" t="e">
        <f>AND('POTENCIAL HORAS'!#REF!,"AAAAAHbbtqE=")</f>
        <v>#REF!</v>
      </c>
      <c r="FG17" t="e">
        <f>AND('POTENCIAL HORAS'!#REF!,"AAAAAHbbtqI=")</f>
        <v>#REF!</v>
      </c>
      <c r="FH17" t="e">
        <f>AND('POTENCIAL HORAS'!#REF!,"AAAAAHbbtqM=")</f>
        <v>#REF!</v>
      </c>
      <c r="FI17" t="e">
        <f>AND('POTENCIAL HORAS'!#REF!,"AAAAAHbbtqQ=")</f>
        <v>#REF!</v>
      </c>
      <c r="FJ17" t="e">
        <f>AND('POTENCIAL HORAS'!#REF!,"AAAAAHbbtqU=")</f>
        <v>#REF!</v>
      </c>
      <c r="FK17" t="e">
        <f>AND('POTENCIAL HORAS'!#REF!,"AAAAAHbbtqY=")</f>
        <v>#REF!</v>
      </c>
      <c r="FL17" t="e">
        <f>AND('POTENCIAL HORAS'!#REF!,"AAAAAHbbtqc=")</f>
        <v>#REF!</v>
      </c>
      <c r="FM17" t="e">
        <f>AND('POTENCIAL HORAS'!#REF!,"AAAAAHbbtqg=")</f>
        <v>#REF!</v>
      </c>
      <c r="FN17" t="e">
        <f>AND('POTENCIAL HORAS'!#REF!,"AAAAAHbbtqk=")</f>
        <v>#REF!</v>
      </c>
      <c r="FO17" t="e">
        <f>AND('POTENCIAL HORAS'!#REF!,"AAAAAHbbtqo=")</f>
        <v>#REF!</v>
      </c>
      <c r="FP17" t="e">
        <f>AND('POTENCIAL HORAS'!#REF!,"AAAAAHbbtqs=")</f>
        <v>#REF!</v>
      </c>
      <c r="FQ17" t="e">
        <f>AND('POTENCIAL HORAS'!#REF!,"AAAAAHbbtqw=")</f>
        <v>#REF!</v>
      </c>
      <c r="FR17" t="e">
        <f>AND('POTENCIAL HORAS'!#REF!,"AAAAAHbbtq0=")</f>
        <v>#REF!</v>
      </c>
      <c r="FS17" t="e">
        <f>AND('POTENCIAL HORAS'!#REF!,"AAAAAHbbtq4=")</f>
        <v>#REF!</v>
      </c>
      <c r="FT17" t="e">
        <f>AND('POTENCIAL HORAS'!#REF!,"AAAAAHbbtq8=")</f>
        <v>#REF!</v>
      </c>
      <c r="FU17" t="e">
        <f>AND('POTENCIAL HORAS'!#REF!,"AAAAAHbbtrA=")</f>
        <v>#REF!</v>
      </c>
      <c r="FV17" t="e">
        <f>AND('POTENCIAL HORAS'!#REF!,"AAAAAHbbtrE=")</f>
        <v>#REF!</v>
      </c>
      <c r="FW17" t="e">
        <f>AND('POTENCIAL HORAS'!#REF!,"AAAAAHbbtrI=")</f>
        <v>#REF!</v>
      </c>
      <c r="FX17" t="e">
        <f>AND('POTENCIAL HORAS'!#REF!,"AAAAAHbbtrM=")</f>
        <v>#REF!</v>
      </c>
      <c r="FY17" t="e">
        <f>AND('POTENCIAL HORAS'!#REF!,"AAAAAHbbtrQ=")</f>
        <v>#REF!</v>
      </c>
      <c r="FZ17" t="e">
        <f>AND('POTENCIAL HORAS'!#REF!,"AAAAAHbbtrU=")</f>
        <v>#REF!</v>
      </c>
      <c r="GA17" t="e">
        <f>AND('POTENCIAL HORAS'!#REF!,"AAAAAHbbtrY=")</f>
        <v>#REF!</v>
      </c>
      <c r="GB17" t="e">
        <f>AND('POTENCIAL HORAS'!#REF!,"AAAAAHbbtrc=")</f>
        <v>#REF!</v>
      </c>
      <c r="GC17" t="e">
        <f>AND('POTENCIAL HORAS'!#REF!,"AAAAAHbbtrg=")</f>
        <v>#REF!</v>
      </c>
      <c r="GD17" t="e">
        <f>AND('POTENCIAL HORAS'!#REF!,"AAAAAHbbtrk=")</f>
        <v>#REF!</v>
      </c>
      <c r="GE17" t="e">
        <f>AND('POTENCIAL HORAS'!#REF!,"AAAAAHbbtro=")</f>
        <v>#REF!</v>
      </c>
      <c r="GF17" t="e">
        <f>AND('POTENCIAL HORAS'!#REF!,"AAAAAHbbtrs=")</f>
        <v>#REF!</v>
      </c>
      <c r="GG17" t="e">
        <f>AND('POTENCIAL HORAS'!#REF!,"AAAAAHbbtrw=")</f>
        <v>#REF!</v>
      </c>
      <c r="GH17" t="e">
        <f>AND('POTENCIAL HORAS'!#REF!,"AAAAAHbbtr0=")</f>
        <v>#REF!</v>
      </c>
      <c r="GI17" t="e">
        <f>AND('POTENCIAL HORAS'!#REF!,"AAAAAHbbtr4=")</f>
        <v>#REF!</v>
      </c>
      <c r="GJ17" t="e">
        <f>AND('POTENCIAL HORAS'!#REF!,"AAAAAHbbtr8=")</f>
        <v>#REF!</v>
      </c>
      <c r="GK17" t="e">
        <f>AND('POTENCIAL HORAS'!#REF!,"AAAAAHbbtsA=")</f>
        <v>#REF!</v>
      </c>
      <c r="GL17" t="e">
        <f>AND('POTENCIAL HORAS'!#REF!,"AAAAAHbbtsE=")</f>
        <v>#REF!</v>
      </c>
      <c r="GM17" t="e">
        <f>IF('POTENCIAL HORAS'!#REF!,"AAAAAHbbtsI=",0)</f>
        <v>#REF!</v>
      </c>
      <c r="GN17" t="e">
        <f>AND('POTENCIAL HORAS'!#REF!,"AAAAAHbbtsM=")</f>
        <v>#REF!</v>
      </c>
      <c r="GO17" t="e">
        <f>AND('POTENCIAL HORAS'!#REF!,"AAAAAHbbtsQ=")</f>
        <v>#REF!</v>
      </c>
      <c r="GP17" t="e">
        <f>AND('POTENCIAL HORAS'!#REF!,"AAAAAHbbtsU=")</f>
        <v>#REF!</v>
      </c>
      <c r="GQ17" t="e">
        <f>AND('POTENCIAL HORAS'!#REF!,"AAAAAHbbtsY=")</f>
        <v>#REF!</v>
      </c>
      <c r="GR17" t="e">
        <f>AND('POTENCIAL HORAS'!#REF!,"AAAAAHbbtsc=")</f>
        <v>#REF!</v>
      </c>
      <c r="GS17" t="e">
        <f>AND('POTENCIAL HORAS'!#REF!,"AAAAAHbbtsg=")</f>
        <v>#REF!</v>
      </c>
      <c r="GT17" t="e">
        <f>AND('POTENCIAL HORAS'!#REF!,"AAAAAHbbtsk=")</f>
        <v>#REF!</v>
      </c>
      <c r="GU17" t="e">
        <f>AND('POTENCIAL HORAS'!#REF!,"AAAAAHbbtso=")</f>
        <v>#REF!</v>
      </c>
      <c r="GV17" t="e">
        <f>AND('POTENCIAL HORAS'!#REF!,"AAAAAHbbtss=")</f>
        <v>#REF!</v>
      </c>
      <c r="GW17" t="e">
        <f>AND('POTENCIAL HORAS'!#REF!,"AAAAAHbbtsw=")</f>
        <v>#REF!</v>
      </c>
      <c r="GX17" t="e">
        <f>AND('POTENCIAL HORAS'!#REF!,"AAAAAHbbts0=")</f>
        <v>#REF!</v>
      </c>
      <c r="GY17" t="e">
        <f>AND('POTENCIAL HORAS'!#REF!,"AAAAAHbbts4=")</f>
        <v>#REF!</v>
      </c>
      <c r="GZ17" t="e">
        <f>AND('POTENCIAL HORAS'!#REF!,"AAAAAHbbts8=")</f>
        <v>#REF!</v>
      </c>
      <c r="HA17" t="e">
        <f>AND('POTENCIAL HORAS'!#REF!,"AAAAAHbbttA=")</f>
        <v>#REF!</v>
      </c>
      <c r="HB17" t="e">
        <f>AND('POTENCIAL HORAS'!#REF!,"AAAAAHbbttE=")</f>
        <v>#REF!</v>
      </c>
      <c r="HC17" t="e">
        <f>AND('POTENCIAL HORAS'!#REF!,"AAAAAHbbttI=")</f>
        <v>#REF!</v>
      </c>
      <c r="HD17" t="e">
        <f>AND('POTENCIAL HORAS'!#REF!,"AAAAAHbbttM=")</f>
        <v>#REF!</v>
      </c>
      <c r="HE17" t="e">
        <f>AND('POTENCIAL HORAS'!#REF!,"AAAAAHbbttQ=")</f>
        <v>#REF!</v>
      </c>
      <c r="HF17" t="e">
        <f>AND('POTENCIAL HORAS'!#REF!,"AAAAAHbbttU=")</f>
        <v>#REF!</v>
      </c>
      <c r="HG17" t="e">
        <f>AND('POTENCIAL HORAS'!#REF!,"AAAAAHbbttY=")</f>
        <v>#REF!</v>
      </c>
      <c r="HH17" t="e">
        <f>AND('POTENCIAL HORAS'!#REF!,"AAAAAHbbttc=")</f>
        <v>#REF!</v>
      </c>
      <c r="HI17" t="e">
        <f>AND('POTENCIAL HORAS'!#REF!,"AAAAAHbbttg=")</f>
        <v>#REF!</v>
      </c>
      <c r="HJ17" t="e">
        <f>AND('POTENCIAL HORAS'!#REF!,"AAAAAHbbttk=")</f>
        <v>#REF!</v>
      </c>
      <c r="HK17" t="e">
        <f>AND('POTENCIAL HORAS'!#REF!,"AAAAAHbbtto=")</f>
        <v>#REF!</v>
      </c>
      <c r="HL17" t="e">
        <f>AND('POTENCIAL HORAS'!#REF!,"AAAAAHbbtts=")</f>
        <v>#REF!</v>
      </c>
      <c r="HM17" t="e">
        <f>AND('POTENCIAL HORAS'!#REF!,"AAAAAHbbttw=")</f>
        <v>#REF!</v>
      </c>
      <c r="HN17" t="e">
        <f>AND('POTENCIAL HORAS'!#REF!,"AAAAAHbbtt0=")</f>
        <v>#REF!</v>
      </c>
      <c r="HO17" t="e">
        <f>AND('POTENCIAL HORAS'!#REF!,"AAAAAHbbtt4=")</f>
        <v>#REF!</v>
      </c>
      <c r="HP17" t="e">
        <f>AND('POTENCIAL HORAS'!#REF!,"AAAAAHbbtt8=")</f>
        <v>#REF!</v>
      </c>
      <c r="HQ17" t="e">
        <f>AND('POTENCIAL HORAS'!#REF!,"AAAAAHbbtuA=")</f>
        <v>#REF!</v>
      </c>
      <c r="HR17" t="e">
        <f>AND('POTENCIAL HORAS'!#REF!,"AAAAAHbbtuE=")</f>
        <v>#REF!</v>
      </c>
      <c r="HS17" t="e">
        <f>AND('POTENCIAL HORAS'!#REF!,"AAAAAHbbtuI=")</f>
        <v>#REF!</v>
      </c>
      <c r="HT17" t="e">
        <f>AND('POTENCIAL HORAS'!#REF!,"AAAAAHbbtuM=")</f>
        <v>#REF!</v>
      </c>
      <c r="HU17" t="e">
        <f>AND('POTENCIAL HORAS'!#REF!,"AAAAAHbbtuQ=")</f>
        <v>#REF!</v>
      </c>
      <c r="HV17" t="e">
        <f>AND('POTENCIAL HORAS'!#REF!,"AAAAAHbbtuU=")</f>
        <v>#REF!</v>
      </c>
      <c r="HW17" t="e">
        <f>AND('POTENCIAL HORAS'!#REF!,"AAAAAHbbtuY=")</f>
        <v>#REF!</v>
      </c>
      <c r="HX17" t="e">
        <f>AND('POTENCIAL HORAS'!#REF!,"AAAAAHbbtuc=")</f>
        <v>#REF!</v>
      </c>
      <c r="HY17" t="e">
        <f>AND('POTENCIAL HORAS'!#REF!,"AAAAAHbbtug=")</f>
        <v>#REF!</v>
      </c>
      <c r="HZ17" t="e">
        <f>IF('POTENCIAL HORAS'!#REF!,"AAAAAHbbtuk=",0)</f>
        <v>#REF!</v>
      </c>
      <c r="IA17" t="e">
        <f>AND('POTENCIAL HORAS'!#REF!,"AAAAAHbbtuo=")</f>
        <v>#REF!</v>
      </c>
      <c r="IB17" t="e">
        <f>AND('POTENCIAL HORAS'!#REF!,"AAAAAHbbtus=")</f>
        <v>#REF!</v>
      </c>
      <c r="IC17" t="e">
        <f>AND('POTENCIAL HORAS'!#REF!,"AAAAAHbbtuw=")</f>
        <v>#REF!</v>
      </c>
      <c r="ID17" t="e">
        <f>AND('POTENCIAL HORAS'!#REF!,"AAAAAHbbtu0=")</f>
        <v>#REF!</v>
      </c>
      <c r="IE17" t="e">
        <f>AND('POTENCIAL HORAS'!#REF!,"AAAAAHbbtu4=")</f>
        <v>#REF!</v>
      </c>
      <c r="IF17" t="e">
        <f>AND('POTENCIAL HORAS'!#REF!,"AAAAAHbbtu8=")</f>
        <v>#REF!</v>
      </c>
      <c r="IG17" t="e">
        <f>AND('POTENCIAL HORAS'!#REF!,"AAAAAHbbtvA=")</f>
        <v>#REF!</v>
      </c>
      <c r="IH17" t="e">
        <f>AND('POTENCIAL HORAS'!#REF!,"AAAAAHbbtvE=")</f>
        <v>#REF!</v>
      </c>
      <c r="II17" t="e">
        <f>AND('POTENCIAL HORAS'!#REF!,"AAAAAHbbtvI=")</f>
        <v>#REF!</v>
      </c>
      <c r="IJ17" t="e">
        <f>AND('POTENCIAL HORAS'!#REF!,"AAAAAHbbtvM=")</f>
        <v>#REF!</v>
      </c>
      <c r="IK17" t="e">
        <f>AND('POTENCIAL HORAS'!#REF!,"AAAAAHbbtvQ=")</f>
        <v>#REF!</v>
      </c>
      <c r="IL17" t="e">
        <f>AND('POTENCIAL HORAS'!#REF!,"AAAAAHbbtvU=")</f>
        <v>#REF!</v>
      </c>
      <c r="IM17" t="e">
        <f>AND('POTENCIAL HORAS'!#REF!,"AAAAAHbbtvY=")</f>
        <v>#REF!</v>
      </c>
      <c r="IN17" t="e">
        <f>AND('POTENCIAL HORAS'!#REF!,"AAAAAHbbtvc=")</f>
        <v>#REF!</v>
      </c>
      <c r="IO17" t="e">
        <f>AND('POTENCIAL HORAS'!#REF!,"AAAAAHbbtvg=")</f>
        <v>#REF!</v>
      </c>
      <c r="IP17" t="e">
        <f>AND('POTENCIAL HORAS'!#REF!,"AAAAAHbbtvk=")</f>
        <v>#REF!</v>
      </c>
      <c r="IQ17" t="e">
        <f>AND('POTENCIAL HORAS'!#REF!,"AAAAAHbbtvo=")</f>
        <v>#REF!</v>
      </c>
      <c r="IR17" t="e">
        <f>AND('POTENCIAL HORAS'!#REF!,"AAAAAHbbtvs=")</f>
        <v>#REF!</v>
      </c>
      <c r="IS17" t="e">
        <f>AND('POTENCIAL HORAS'!#REF!,"AAAAAHbbtvw=")</f>
        <v>#REF!</v>
      </c>
      <c r="IT17" t="e">
        <f>AND('POTENCIAL HORAS'!#REF!,"AAAAAHbbtv0=")</f>
        <v>#REF!</v>
      </c>
      <c r="IU17" t="e">
        <f>AND('POTENCIAL HORAS'!#REF!,"AAAAAHbbtv4=")</f>
        <v>#REF!</v>
      </c>
      <c r="IV17" t="e">
        <f>AND('POTENCIAL HORAS'!#REF!,"AAAAAHbbtv8=")</f>
        <v>#REF!</v>
      </c>
    </row>
    <row r="18" spans="1:256" x14ac:dyDescent="0.2">
      <c r="A18" t="e">
        <f>AND('POTENCIAL HORAS'!#REF!,"AAAAAF17nwA=")</f>
        <v>#REF!</v>
      </c>
      <c r="B18" t="e">
        <f>AND('POTENCIAL HORAS'!#REF!,"AAAAAF17nwE=")</f>
        <v>#REF!</v>
      </c>
      <c r="C18" t="e">
        <f>AND('POTENCIAL HORAS'!#REF!,"AAAAAF17nwI=")</f>
        <v>#REF!</v>
      </c>
      <c r="D18" t="e">
        <f>AND('POTENCIAL HORAS'!#REF!,"AAAAAF17nwM=")</f>
        <v>#REF!</v>
      </c>
      <c r="E18" t="e">
        <f>AND('POTENCIAL HORAS'!#REF!,"AAAAAF17nwQ=")</f>
        <v>#REF!</v>
      </c>
      <c r="F18" t="e">
        <f>AND('POTENCIAL HORAS'!#REF!,"AAAAAF17nwU=")</f>
        <v>#REF!</v>
      </c>
      <c r="G18" t="e">
        <f>AND('POTENCIAL HORAS'!#REF!,"AAAAAF17nwY=")</f>
        <v>#REF!</v>
      </c>
      <c r="H18" t="e">
        <f>AND('POTENCIAL HORAS'!#REF!,"AAAAAF17nwc=")</f>
        <v>#REF!</v>
      </c>
      <c r="I18" t="e">
        <f>AND('POTENCIAL HORAS'!#REF!,"AAAAAF17nwg=")</f>
        <v>#REF!</v>
      </c>
      <c r="J18" t="e">
        <f>AND('POTENCIAL HORAS'!#REF!,"AAAAAF17nwk=")</f>
        <v>#REF!</v>
      </c>
      <c r="K18" t="e">
        <f>AND('POTENCIAL HORAS'!#REF!,"AAAAAF17nwo=")</f>
        <v>#REF!</v>
      </c>
      <c r="L18" t="e">
        <f>AND('POTENCIAL HORAS'!#REF!,"AAAAAF17nws=")</f>
        <v>#REF!</v>
      </c>
      <c r="M18" t="e">
        <f>AND('POTENCIAL HORAS'!#REF!,"AAAAAF17nww=")</f>
        <v>#REF!</v>
      </c>
      <c r="N18" t="e">
        <f>AND('POTENCIAL HORAS'!#REF!,"AAAAAF17nw0=")</f>
        <v>#REF!</v>
      </c>
      <c r="O18" t="e">
        <f>AND('POTENCIAL HORAS'!#REF!,"AAAAAF17nw4=")</f>
        <v>#REF!</v>
      </c>
      <c r="P18" t="e">
        <f>AND('POTENCIAL HORAS'!#REF!,"AAAAAF17nw8=")</f>
        <v>#REF!</v>
      </c>
      <c r="Q18" t="e">
        <f>IF('POTENCIAL HORAS'!#REF!,"AAAAAF17nxA=",0)</f>
        <v>#REF!</v>
      </c>
      <c r="R18" t="e">
        <f>AND('POTENCIAL HORAS'!#REF!,"AAAAAF17nxE=")</f>
        <v>#REF!</v>
      </c>
      <c r="S18" t="e">
        <f>AND('POTENCIAL HORAS'!#REF!,"AAAAAF17nxI=")</f>
        <v>#REF!</v>
      </c>
      <c r="T18" t="e">
        <f>AND('POTENCIAL HORAS'!#REF!,"AAAAAF17nxM=")</f>
        <v>#REF!</v>
      </c>
      <c r="U18" t="e">
        <f>AND('POTENCIAL HORAS'!#REF!,"AAAAAF17nxQ=")</f>
        <v>#REF!</v>
      </c>
      <c r="V18" t="e">
        <f>AND('POTENCIAL HORAS'!#REF!,"AAAAAF17nxU=")</f>
        <v>#REF!</v>
      </c>
      <c r="W18" t="e">
        <f>AND('POTENCIAL HORAS'!#REF!,"AAAAAF17nxY=")</f>
        <v>#REF!</v>
      </c>
      <c r="X18" t="e">
        <f>AND('POTENCIAL HORAS'!#REF!,"AAAAAF17nxc=")</f>
        <v>#REF!</v>
      </c>
      <c r="Y18" t="e">
        <f>AND('POTENCIAL HORAS'!#REF!,"AAAAAF17nxg=")</f>
        <v>#REF!</v>
      </c>
      <c r="Z18" t="e">
        <f>AND('POTENCIAL HORAS'!#REF!,"AAAAAF17nxk=")</f>
        <v>#REF!</v>
      </c>
      <c r="AA18" t="e">
        <f>AND('POTENCIAL HORAS'!#REF!,"AAAAAF17nxo=")</f>
        <v>#REF!</v>
      </c>
      <c r="AB18" t="e">
        <f>AND('POTENCIAL HORAS'!#REF!,"AAAAAF17nxs=")</f>
        <v>#REF!</v>
      </c>
      <c r="AC18" t="e">
        <f>AND('POTENCIAL HORAS'!#REF!,"AAAAAF17nxw=")</f>
        <v>#REF!</v>
      </c>
      <c r="AD18" t="e">
        <f>AND('POTENCIAL HORAS'!#REF!,"AAAAAF17nx0=")</f>
        <v>#REF!</v>
      </c>
      <c r="AE18" t="e">
        <f>AND('POTENCIAL HORAS'!#REF!,"AAAAAF17nx4=")</f>
        <v>#REF!</v>
      </c>
      <c r="AF18" t="e">
        <f>AND('POTENCIAL HORAS'!#REF!,"AAAAAF17nx8=")</f>
        <v>#REF!</v>
      </c>
      <c r="AG18" t="e">
        <f>AND('POTENCIAL HORAS'!#REF!,"AAAAAF17nyA=")</f>
        <v>#REF!</v>
      </c>
      <c r="AH18" t="e">
        <f>AND('POTENCIAL HORAS'!#REF!,"AAAAAF17nyE=")</f>
        <v>#REF!</v>
      </c>
      <c r="AI18" t="e">
        <f>AND('POTENCIAL HORAS'!#REF!,"AAAAAF17nyI=")</f>
        <v>#REF!</v>
      </c>
      <c r="AJ18" t="e">
        <f>AND('POTENCIAL HORAS'!#REF!,"AAAAAF17nyM=")</f>
        <v>#REF!</v>
      </c>
      <c r="AK18" t="e">
        <f>AND('POTENCIAL HORAS'!#REF!,"AAAAAF17nyQ=")</f>
        <v>#REF!</v>
      </c>
      <c r="AL18" t="e">
        <f>AND('POTENCIAL HORAS'!#REF!,"AAAAAF17nyU=")</f>
        <v>#REF!</v>
      </c>
      <c r="AM18" t="e">
        <f>AND('POTENCIAL HORAS'!#REF!,"AAAAAF17nyY=")</f>
        <v>#REF!</v>
      </c>
      <c r="AN18" t="e">
        <f>AND('POTENCIAL HORAS'!#REF!,"AAAAAF17nyc=")</f>
        <v>#REF!</v>
      </c>
      <c r="AO18" t="e">
        <f>AND('POTENCIAL HORAS'!#REF!,"AAAAAF17nyg=")</f>
        <v>#REF!</v>
      </c>
      <c r="AP18" t="e">
        <f>AND('POTENCIAL HORAS'!#REF!,"AAAAAF17nyk=")</f>
        <v>#REF!</v>
      </c>
      <c r="AQ18" t="e">
        <f>AND('POTENCIAL HORAS'!#REF!,"AAAAAF17nyo=")</f>
        <v>#REF!</v>
      </c>
      <c r="AR18" t="e">
        <f>AND('POTENCIAL HORAS'!#REF!,"AAAAAF17nys=")</f>
        <v>#REF!</v>
      </c>
      <c r="AS18" t="e">
        <f>AND('POTENCIAL HORAS'!#REF!,"AAAAAF17nyw=")</f>
        <v>#REF!</v>
      </c>
      <c r="AT18" t="e">
        <f>AND('POTENCIAL HORAS'!#REF!,"AAAAAF17ny0=")</f>
        <v>#REF!</v>
      </c>
      <c r="AU18" t="e">
        <f>AND('POTENCIAL HORAS'!#REF!,"AAAAAF17ny4=")</f>
        <v>#REF!</v>
      </c>
      <c r="AV18" t="e">
        <f>AND('POTENCIAL HORAS'!#REF!,"AAAAAF17ny8=")</f>
        <v>#REF!</v>
      </c>
      <c r="AW18" t="e">
        <f>AND('POTENCIAL HORAS'!#REF!,"AAAAAF17nzA=")</f>
        <v>#REF!</v>
      </c>
      <c r="AX18" t="e">
        <f>AND('POTENCIAL HORAS'!#REF!,"AAAAAF17nzE=")</f>
        <v>#REF!</v>
      </c>
      <c r="AY18" t="e">
        <f>AND('POTENCIAL HORAS'!#REF!,"AAAAAF17nzI=")</f>
        <v>#REF!</v>
      </c>
      <c r="AZ18" t="e">
        <f>AND('POTENCIAL HORAS'!#REF!,"AAAAAF17nzM=")</f>
        <v>#REF!</v>
      </c>
      <c r="BA18" t="e">
        <f>AND('POTENCIAL HORAS'!#REF!,"AAAAAF17nzQ=")</f>
        <v>#REF!</v>
      </c>
      <c r="BB18" t="e">
        <f>AND('POTENCIAL HORAS'!#REF!,"AAAAAF17nzU=")</f>
        <v>#REF!</v>
      </c>
      <c r="BC18" t="e">
        <f>AND('POTENCIAL HORAS'!#REF!,"AAAAAF17nzY=")</f>
        <v>#REF!</v>
      </c>
      <c r="BD18" t="e">
        <f>IF('POTENCIAL HORAS'!#REF!,"AAAAAF17nzc=",0)</f>
        <v>#REF!</v>
      </c>
      <c r="BE18" t="e">
        <f>AND('POTENCIAL HORAS'!#REF!,"AAAAAF17nzg=")</f>
        <v>#REF!</v>
      </c>
      <c r="BF18" t="e">
        <f>AND('POTENCIAL HORAS'!#REF!,"AAAAAF17nzk=")</f>
        <v>#REF!</v>
      </c>
      <c r="BG18" t="e">
        <f>AND('POTENCIAL HORAS'!#REF!,"AAAAAF17nzo=")</f>
        <v>#REF!</v>
      </c>
      <c r="BH18" t="e">
        <f>AND('POTENCIAL HORAS'!#REF!,"AAAAAF17nzs=")</f>
        <v>#REF!</v>
      </c>
      <c r="BI18" t="e">
        <f>AND('POTENCIAL HORAS'!#REF!,"AAAAAF17nzw=")</f>
        <v>#REF!</v>
      </c>
      <c r="BJ18" t="e">
        <f>AND('POTENCIAL HORAS'!#REF!,"AAAAAF17nz0=")</f>
        <v>#REF!</v>
      </c>
      <c r="BK18" t="e">
        <f>AND('POTENCIAL HORAS'!#REF!,"AAAAAF17nz4=")</f>
        <v>#REF!</v>
      </c>
      <c r="BL18" t="e">
        <f>AND('POTENCIAL HORAS'!#REF!,"AAAAAF17nz8=")</f>
        <v>#REF!</v>
      </c>
      <c r="BM18" t="e">
        <f>AND('POTENCIAL HORAS'!#REF!,"AAAAAF17n0A=")</f>
        <v>#REF!</v>
      </c>
      <c r="BN18" t="e">
        <f>AND('POTENCIAL HORAS'!#REF!,"AAAAAF17n0E=")</f>
        <v>#REF!</v>
      </c>
      <c r="BO18" t="e">
        <f>AND('POTENCIAL HORAS'!#REF!,"AAAAAF17n0I=")</f>
        <v>#REF!</v>
      </c>
      <c r="BP18" t="e">
        <f>AND('POTENCIAL HORAS'!#REF!,"AAAAAF17n0M=")</f>
        <v>#REF!</v>
      </c>
      <c r="BQ18" t="e">
        <f>AND('POTENCIAL HORAS'!#REF!,"AAAAAF17n0Q=")</f>
        <v>#REF!</v>
      </c>
      <c r="BR18" t="e">
        <f>AND('POTENCIAL HORAS'!#REF!,"AAAAAF17n0U=")</f>
        <v>#REF!</v>
      </c>
      <c r="BS18" t="e">
        <f>AND('POTENCIAL HORAS'!#REF!,"AAAAAF17n0Y=")</f>
        <v>#REF!</v>
      </c>
      <c r="BT18" t="e">
        <f>AND('POTENCIAL HORAS'!#REF!,"AAAAAF17n0c=")</f>
        <v>#REF!</v>
      </c>
      <c r="BU18" t="e">
        <f>AND('POTENCIAL HORAS'!#REF!,"AAAAAF17n0g=")</f>
        <v>#REF!</v>
      </c>
      <c r="BV18" t="e">
        <f>AND('POTENCIAL HORAS'!#REF!,"AAAAAF17n0k=")</f>
        <v>#REF!</v>
      </c>
      <c r="BW18" t="e">
        <f>AND('POTENCIAL HORAS'!#REF!,"AAAAAF17n0o=")</f>
        <v>#REF!</v>
      </c>
      <c r="BX18" t="e">
        <f>AND('POTENCIAL HORAS'!#REF!,"AAAAAF17n0s=")</f>
        <v>#REF!</v>
      </c>
      <c r="BY18" t="e">
        <f>AND('POTENCIAL HORAS'!#REF!,"AAAAAF17n0w=")</f>
        <v>#REF!</v>
      </c>
      <c r="BZ18" t="e">
        <f>AND('POTENCIAL HORAS'!#REF!,"AAAAAF17n00=")</f>
        <v>#REF!</v>
      </c>
      <c r="CA18" t="e">
        <f>AND('POTENCIAL HORAS'!#REF!,"AAAAAF17n04=")</f>
        <v>#REF!</v>
      </c>
      <c r="CB18" t="e">
        <f>AND('POTENCIAL HORAS'!#REF!,"AAAAAF17n08=")</f>
        <v>#REF!</v>
      </c>
      <c r="CC18" t="e">
        <f>AND('POTENCIAL HORAS'!#REF!,"AAAAAF17n1A=")</f>
        <v>#REF!</v>
      </c>
      <c r="CD18" t="e">
        <f>AND('POTENCIAL HORAS'!#REF!,"AAAAAF17n1E=")</f>
        <v>#REF!</v>
      </c>
      <c r="CE18" t="e">
        <f>AND('POTENCIAL HORAS'!#REF!,"AAAAAF17n1I=")</f>
        <v>#REF!</v>
      </c>
      <c r="CF18" t="e">
        <f>AND('POTENCIAL HORAS'!#REF!,"AAAAAF17n1M=")</f>
        <v>#REF!</v>
      </c>
      <c r="CG18" t="e">
        <f>AND('POTENCIAL HORAS'!#REF!,"AAAAAF17n1Q=")</f>
        <v>#REF!</v>
      </c>
      <c r="CH18" t="e">
        <f>AND('POTENCIAL HORAS'!#REF!,"AAAAAF17n1U=")</f>
        <v>#REF!</v>
      </c>
      <c r="CI18" t="e">
        <f>AND('POTENCIAL HORAS'!#REF!,"AAAAAF17n1Y=")</f>
        <v>#REF!</v>
      </c>
      <c r="CJ18" t="e">
        <f>AND('POTENCIAL HORAS'!#REF!,"AAAAAF17n1c=")</f>
        <v>#REF!</v>
      </c>
      <c r="CK18" t="e">
        <f>AND('POTENCIAL HORAS'!#REF!,"AAAAAF17n1g=")</f>
        <v>#REF!</v>
      </c>
      <c r="CL18" t="e">
        <f>AND('POTENCIAL HORAS'!#REF!,"AAAAAF17n1k=")</f>
        <v>#REF!</v>
      </c>
      <c r="CM18" t="e">
        <f>AND('POTENCIAL HORAS'!#REF!,"AAAAAF17n1o=")</f>
        <v>#REF!</v>
      </c>
      <c r="CN18" t="e">
        <f>AND('POTENCIAL HORAS'!#REF!,"AAAAAF17n1s=")</f>
        <v>#REF!</v>
      </c>
      <c r="CO18" t="e">
        <f>AND('POTENCIAL HORAS'!#REF!,"AAAAAF17n1w=")</f>
        <v>#REF!</v>
      </c>
      <c r="CP18" t="e">
        <f>AND('POTENCIAL HORAS'!#REF!,"AAAAAF17n10=")</f>
        <v>#REF!</v>
      </c>
      <c r="CQ18" t="e">
        <f>IF('POTENCIAL HORAS'!#REF!,"AAAAAF17n14=",0)</f>
        <v>#REF!</v>
      </c>
      <c r="CR18" t="e">
        <f>AND('POTENCIAL HORAS'!#REF!,"AAAAAF17n18=")</f>
        <v>#REF!</v>
      </c>
      <c r="CS18" t="e">
        <f>AND('POTENCIAL HORAS'!#REF!,"AAAAAF17n2A=")</f>
        <v>#REF!</v>
      </c>
      <c r="CT18" t="e">
        <f>AND('POTENCIAL HORAS'!#REF!,"AAAAAF17n2E=")</f>
        <v>#REF!</v>
      </c>
      <c r="CU18" t="e">
        <f>AND('POTENCIAL HORAS'!#REF!,"AAAAAF17n2I=")</f>
        <v>#REF!</v>
      </c>
      <c r="CV18" t="e">
        <f>AND('POTENCIAL HORAS'!#REF!,"AAAAAF17n2M=")</f>
        <v>#REF!</v>
      </c>
      <c r="CW18" t="e">
        <f>AND('POTENCIAL HORAS'!#REF!,"AAAAAF17n2Q=")</f>
        <v>#REF!</v>
      </c>
      <c r="CX18" t="e">
        <f>AND('POTENCIAL HORAS'!#REF!,"AAAAAF17n2U=")</f>
        <v>#REF!</v>
      </c>
      <c r="CY18" t="e">
        <f>AND('POTENCIAL HORAS'!#REF!,"AAAAAF17n2Y=")</f>
        <v>#REF!</v>
      </c>
      <c r="CZ18" t="e">
        <f>AND('POTENCIAL HORAS'!#REF!,"AAAAAF17n2c=")</f>
        <v>#REF!</v>
      </c>
      <c r="DA18" t="e">
        <f>AND('POTENCIAL HORAS'!#REF!,"AAAAAF17n2g=")</f>
        <v>#REF!</v>
      </c>
      <c r="DB18" t="e">
        <f>AND('POTENCIAL HORAS'!#REF!,"AAAAAF17n2k=")</f>
        <v>#REF!</v>
      </c>
      <c r="DC18" t="e">
        <f>AND('POTENCIAL HORAS'!#REF!,"AAAAAF17n2o=")</f>
        <v>#REF!</v>
      </c>
      <c r="DD18" t="e">
        <f>AND('POTENCIAL HORAS'!#REF!,"AAAAAF17n2s=")</f>
        <v>#REF!</v>
      </c>
      <c r="DE18" t="e">
        <f>AND('POTENCIAL HORAS'!#REF!,"AAAAAF17n2w=")</f>
        <v>#REF!</v>
      </c>
      <c r="DF18" t="e">
        <f>AND('POTENCIAL HORAS'!#REF!,"AAAAAF17n20=")</f>
        <v>#REF!</v>
      </c>
      <c r="DG18" t="e">
        <f>AND('POTENCIAL HORAS'!#REF!,"AAAAAF17n24=")</f>
        <v>#REF!</v>
      </c>
      <c r="DH18" t="e">
        <f>AND('POTENCIAL HORAS'!#REF!,"AAAAAF17n28=")</f>
        <v>#REF!</v>
      </c>
      <c r="DI18" t="e">
        <f>AND('POTENCIAL HORAS'!#REF!,"AAAAAF17n3A=")</f>
        <v>#REF!</v>
      </c>
      <c r="DJ18" t="e">
        <f>AND('POTENCIAL HORAS'!#REF!,"AAAAAF17n3E=")</f>
        <v>#REF!</v>
      </c>
      <c r="DK18" t="e">
        <f>AND('POTENCIAL HORAS'!#REF!,"AAAAAF17n3I=")</f>
        <v>#REF!</v>
      </c>
      <c r="DL18" t="e">
        <f>AND('POTENCIAL HORAS'!#REF!,"AAAAAF17n3M=")</f>
        <v>#REF!</v>
      </c>
      <c r="DM18" t="e">
        <f>AND('POTENCIAL HORAS'!#REF!,"AAAAAF17n3Q=")</f>
        <v>#REF!</v>
      </c>
      <c r="DN18" t="e">
        <f>AND('POTENCIAL HORAS'!#REF!,"AAAAAF17n3U=")</f>
        <v>#REF!</v>
      </c>
      <c r="DO18" t="e">
        <f>AND('POTENCIAL HORAS'!#REF!,"AAAAAF17n3Y=")</f>
        <v>#REF!</v>
      </c>
      <c r="DP18" t="e">
        <f>AND('POTENCIAL HORAS'!#REF!,"AAAAAF17n3c=")</f>
        <v>#REF!</v>
      </c>
      <c r="DQ18" t="e">
        <f>AND('POTENCIAL HORAS'!#REF!,"AAAAAF17n3g=")</f>
        <v>#REF!</v>
      </c>
      <c r="DR18" t="e">
        <f>AND('POTENCIAL HORAS'!#REF!,"AAAAAF17n3k=")</f>
        <v>#REF!</v>
      </c>
      <c r="DS18" t="e">
        <f>AND('POTENCIAL HORAS'!#REF!,"AAAAAF17n3o=")</f>
        <v>#REF!</v>
      </c>
      <c r="DT18" t="e">
        <f>AND('POTENCIAL HORAS'!#REF!,"AAAAAF17n3s=")</f>
        <v>#REF!</v>
      </c>
      <c r="DU18" t="e">
        <f>AND('POTENCIAL HORAS'!#REF!,"AAAAAF17n3w=")</f>
        <v>#REF!</v>
      </c>
      <c r="DV18" t="e">
        <f>AND('POTENCIAL HORAS'!#REF!,"AAAAAF17n30=")</f>
        <v>#REF!</v>
      </c>
      <c r="DW18" t="e">
        <f>AND('POTENCIAL HORAS'!#REF!,"AAAAAF17n34=")</f>
        <v>#REF!</v>
      </c>
      <c r="DX18" t="e">
        <f>AND('POTENCIAL HORAS'!#REF!,"AAAAAF17n38=")</f>
        <v>#REF!</v>
      </c>
      <c r="DY18" t="e">
        <f>AND('POTENCIAL HORAS'!#REF!,"AAAAAF17n4A=")</f>
        <v>#REF!</v>
      </c>
      <c r="DZ18" t="e">
        <f>AND('POTENCIAL HORAS'!#REF!,"AAAAAF17n4E=")</f>
        <v>#REF!</v>
      </c>
      <c r="EA18" t="e">
        <f>AND('POTENCIAL HORAS'!#REF!,"AAAAAF17n4I=")</f>
        <v>#REF!</v>
      </c>
      <c r="EB18" t="e">
        <f>AND('POTENCIAL HORAS'!#REF!,"AAAAAF17n4M=")</f>
        <v>#REF!</v>
      </c>
      <c r="EC18" t="e">
        <f>AND('POTENCIAL HORAS'!#REF!,"AAAAAF17n4Q=")</f>
        <v>#REF!</v>
      </c>
      <c r="ED18" t="e">
        <f>IF('POTENCIAL HORAS'!#REF!,"AAAAAF17n4U=",0)</f>
        <v>#REF!</v>
      </c>
      <c r="EE18" t="e">
        <f>AND('POTENCIAL HORAS'!#REF!,"AAAAAF17n4Y=")</f>
        <v>#REF!</v>
      </c>
      <c r="EF18" t="e">
        <f>AND('POTENCIAL HORAS'!#REF!,"AAAAAF17n4c=")</f>
        <v>#REF!</v>
      </c>
      <c r="EG18" t="e">
        <f>AND('POTENCIAL HORAS'!#REF!,"AAAAAF17n4g=")</f>
        <v>#REF!</v>
      </c>
      <c r="EH18" t="e">
        <f>AND('POTENCIAL HORAS'!#REF!,"AAAAAF17n4k=")</f>
        <v>#REF!</v>
      </c>
      <c r="EI18" t="e">
        <f>AND('POTENCIAL HORAS'!#REF!,"AAAAAF17n4o=")</f>
        <v>#REF!</v>
      </c>
      <c r="EJ18" t="e">
        <f>AND('POTENCIAL HORAS'!#REF!,"AAAAAF17n4s=")</f>
        <v>#REF!</v>
      </c>
      <c r="EK18" t="e">
        <f>AND('POTENCIAL HORAS'!#REF!,"AAAAAF17n4w=")</f>
        <v>#REF!</v>
      </c>
      <c r="EL18" t="e">
        <f>AND('POTENCIAL HORAS'!#REF!,"AAAAAF17n40=")</f>
        <v>#REF!</v>
      </c>
      <c r="EM18" t="e">
        <f>AND('POTENCIAL HORAS'!#REF!,"AAAAAF17n44=")</f>
        <v>#REF!</v>
      </c>
      <c r="EN18" t="e">
        <f>AND('POTENCIAL HORAS'!#REF!,"AAAAAF17n48=")</f>
        <v>#REF!</v>
      </c>
      <c r="EO18" t="e">
        <f>AND('POTENCIAL HORAS'!#REF!,"AAAAAF17n5A=")</f>
        <v>#REF!</v>
      </c>
      <c r="EP18" t="e">
        <f>AND('POTENCIAL HORAS'!#REF!,"AAAAAF17n5E=")</f>
        <v>#REF!</v>
      </c>
      <c r="EQ18" t="e">
        <f>AND('POTENCIAL HORAS'!#REF!,"AAAAAF17n5I=")</f>
        <v>#REF!</v>
      </c>
      <c r="ER18" t="e">
        <f>AND('POTENCIAL HORAS'!#REF!,"AAAAAF17n5M=")</f>
        <v>#REF!</v>
      </c>
      <c r="ES18" t="e">
        <f>AND('POTENCIAL HORAS'!#REF!,"AAAAAF17n5Q=")</f>
        <v>#REF!</v>
      </c>
      <c r="ET18" t="e">
        <f>AND('POTENCIAL HORAS'!#REF!,"AAAAAF17n5U=")</f>
        <v>#REF!</v>
      </c>
      <c r="EU18" t="e">
        <f>AND('POTENCIAL HORAS'!#REF!,"AAAAAF17n5Y=")</f>
        <v>#REF!</v>
      </c>
      <c r="EV18" t="e">
        <f>AND('POTENCIAL HORAS'!#REF!,"AAAAAF17n5c=")</f>
        <v>#REF!</v>
      </c>
      <c r="EW18" t="e">
        <f>AND('POTENCIAL HORAS'!#REF!,"AAAAAF17n5g=")</f>
        <v>#REF!</v>
      </c>
      <c r="EX18" t="e">
        <f>AND('POTENCIAL HORAS'!#REF!,"AAAAAF17n5k=")</f>
        <v>#REF!</v>
      </c>
      <c r="EY18" t="e">
        <f>AND('POTENCIAL HORAS'!#REF!,"AAAAAF17n5o=")</f>
        <v>#REF!</v>
      </c>
      <c r="EZ18" t="e">
        <f>AND('POTENCIAL HORAS'!#REF!,"AAAAAF17n5s=")</f>
        <v>#REF!</v>
      </c>
      <c r="FA18" t="e">
        <f>AND('POTENCIAL HORAS'!#REF!,"AAAAAF17n5w=")</f>
        <v>#REF!</v>
      </c>
      <c r="FB18" t="e">
        <f>AND('POTENCIAL HORAS'!#REF!,"AAAAAF17n50=")</f>
        <v>#REF!</v>
      </c>
      <c r="FC18" t="e">
        <f>AND('POTENCIAL HORAS'!#REF!,"AAAAAF17n54=")</f>
        <v>#REF!</v>
      </c>
      <c r="FD18" t="e">
        <f>AND('POTENCIAL HORAS'!#REF!,"AAAAAF17n58=")</f>
        <v>#REF!</v>
      </c>
      <c r="FE18" t="e">
        <f>AND('POTENCIAL HORAS'!#REF!,"AAAAAF17n6A=")</f>
        <v>#REF!</v>
      </c>
      <c r="FF18" t="e">
        <f>AND('POTENCIAL HORAS'!#REF!,"AAAAAF17n6E=")</f>
        <v>#REF!</v>
      </c>
      <c r="FG18" t="e">
        <f>AND('POTENCIAL HORAS'!#REF!,"AAAAAF17n6I=")</f>
        <v>#REF!</v>
      </c>
      <c r="FH18" t="e">
        <f>AND('POTENCIAL HORAS'!#REF!,"AAAAAF17n6M=")</f>
        <v>#REF!</v>
      </c>
      <c r="FI18" t="e">
        <f>AND('POTENCIAL HORAS'!#REF!,"AAAAAF17n6Q=")</f>
        <v>#REF!</v>
      </c>
      <c r="FJ18" t="e">
        <f>AND('POTENCIAL HORAS'!#REF!,"AAAAAF17n6U=")</f>
        <v>#REF!</v>
      </c>
      <c r="FK18" t="e">
        <f>AND('POTENCIAL HORAS'!#REF!,"AAAAAF17n6Y=")</f>
        <v>#REF!</v>
      </c>
      <c r="FL18" t="e">
        <f>AND('POTENCIAL HORAS'!#REF!,"AAAAAF17n6c=")</f>
        <v>#REF!</v>
      </c>
      <c r="FM18" t="e">
        <f>AND('POTENCIAL HORAS'!#REF!,"AAAAAF17n6g=")</f>
        <v>#REF!</v>
      </c>
      <c r="FN18" t="e">
        <f>AND('POTENCIAL HORAS'!#REF!,"AAAAAF17n6k=")</f>
        <v>#REF!</v>
      </c>
      <c r="FO18" t="e">
        <f>AND('POTENCIAL HORAS'!#REF!,"AAAAAF17n6o=")</f>
        <v>#REF!</v>
      </c>
      <c r="FP18" t="e">
        <f>AND('POTENCIAL HORAS'!#REF!,"AAAAAF17n6s=")</f>
        <v>#REF!</v>
      </c>
      <c r="FQ18" t="e">
        <f>IF('POTENCIAL HORAS'!#REF!,"AAAAAF17n6w=",0)</f>
        <v>#REF!</v>
      </c>
      <c r="FR18" t="e">
        <f>AND('POTENCIAL HORAS'!#REF!,"AAAAAF17n60=")</f>
        <v>#REF!</v>
      </c>
      <c r="FS18" t="e">
        <f>AND('POTENCIAL HORAS'!#REF!,"AAAAAF17n64=")</f>
        <v>#REF!</v>
      </c>
      <c r="FT18" t="e">
        <f>AND('POTENCIAL HORAS'!#REF!,"AAAAAF17n68=")</f>
        <v>#REF!</v>
      </c>
      <c r="FU18" t="e">
        <f>AND('POTENCIAL HORAS'!#REF!,"AAAAAF17n7A=")</f>
        <v>#REF!</v>
      </c>
      <c r="FV18" t="e">
        <f>AND('POTENCIAL HORAS'!#REF!,"AAAAAF17n7E=")</f>
        <v>#REF!</v>
      </c>
      <c r="FW18" t="e">
        <f>AND('POTENCIAL HORAS'!#REF!,"AAAAAF17n7I=")</f>
        <v>#REF!</v>
      </c>
      <c r="FX18" t="e">
        <f>AND('POTENCIAL HORAS'!#REF!,"AAAAAF17n7M=")</f>
        <v>#REF!</v>
      </c>
      <c r="FY18" t="e">
        <f>AND('POTENCIAL HORAS'!#REF!,"AAAAAF17n7Q=")</f>
        <v>#REF!</v>
      </c>
      <c r="FZ18" t="e">
        <f>AND('POTENCIAL HORAS'!#REF!,"AAAAAF17n7U=")</f>
        <v>#REF!</v>
      </c>
      <c r="GA18" t="e">
        <f>AND('POTENCIAL HORAS'!#REF!,"AAAAAF17n7Y=")</f>
        <v>#REF!</v>
      </c>
      <c r="GB18" t="e">
        <f>AND('POTENCIAL HORAS'!#REF!,"AAAAAF17n7c=")</f>
        <v>#REF!</v>
      </c>
      <c r="GC18" t="e">
        <f>AND('POTENCIAL HORAS'!#REF!,"AAAAAF17n7g=")</f>
        <v>#REF!</v>
      </c>
      <c r="GD18" t="e">
        <f>AND('POTENCIAL HORAS'!#REF!,"AAAAAF17n7k=")</f>
        <v>#REF!</v>
      </c>
      <c r="GE18" t="e">
        <f>AND('POTENCIAL HORAS'!#REF!,"AAAAAF17n7o=")</f>
        <v>#REF!</v>
      </c>
      <c r="GF18" t="e">
        <f>AND('POTENCIAL HORAS'!#REF!,"AAAAAF17n7s=")</f>
        <v>#REF!</v>
      </c>
      <c r="GG18" t="e">
        <f>AND('POTENCIAL HORAS'!#REF!,"AAAAAF17n7w=")</f>
        <v>#REF!</v>
      </c>
      <c r="GH18" t="e">
        <f>AND('POTENCIAL HORAS'!#REF!,"AAAAAF17n70=")</f>
        <v>#REF!</v>
      </c>
      <c r="GI18" t="e">
        <f>AND('POTENCIAL HORAS'!#REF!,"AAAAAF17n74=")</f>
        <v>#REF!</v>
      </c>
      <c r="GJ18" t="e">
        <f>AND('POTENCIAL HORAS'!#REF!,"AAAAAF17n78=")</f>
        <v>#REF!</v>
      </c>
      <c r="GK18" t="e">
        <f>AND('POTENCIAL HORAS'!#REF!,"AAAAAF17n8A=")</f>
        <v>#REF!</v>
      </c>
      <c r="GL18" t="e">
        <f>AND('POTENCIAL HORAS'!#REF!,"AAAAAF17n8E=")</f>
        <v>#REF!</v>
      </c>
      <c r="GM18" t="e">
        <f>AND('POTENCIAL HORAS'!#REF!,"AAAAAF17n8I=")</f>
        <v>#REF!</v>
      </c>
      <c r="GN18" t="e">
        <f>AND('POTENCIAL HORAS'!#REF!,"AAAAAF17n8M=")</f>
        <v>#REF!</v>
      </c>
      <c r="GO18" t="e">
        <f>AND('POTENCIAL HORAS'!#REF!,"AAAAAF17n8Q=")</f>
        <v>#REF!</v>
      </c>
      <c r="GP18" t="e">
        <f>AND('POTENCIAL HORAS'!#REF!,"AAAAAF17n8U=")</f>
        <v>#REF!</v>
      </c>
      <c r="GQ18" t="e">
        <f>AND('POTENCIAL HORAS'!#REF!,"AAAAAF17n8Y=")</f>
        <v>#REF!</v>
      </c>
      <c r="GR18" t="e">
        <f>AND('POTENCIAL HORAS'!#REF!,"AAAAAF17n8c=")</f>
        <v>#REF!</v>
      </c>
      <c r="GS18" t="e">
        <f>AND('POTENCIAL HORAS'!#REF!,"AAAAAF17n8g=")</f>
        <v>#REF!</v>
      </c>
      <c r="GT18" t="e">
        <f>AND('POTENCIAL HORAS'!#REF!,"AAAAAF17n8k=")</f>
        <v>#REF!</v>
      </c>
      <c r="GU18" t="e">
        <f>AND('POTENCIAL HORAS'!#REF!,"AAAAAF17n8o=")</f>
        <v>#REF!</v>
      </c>
      <c r="GV18" t="e">
        <f>AND('POTENCIAL HORAS'!#REF!,"AAAAAF17n8s=")</f>
        <v>#REF!</v>
      </c>
      <c r="GW18" t="e">
        <f>AND('POTENCIAL HORAS'!#REF!,"AAAAAF17n8w=")</f>
        <v>#REF!</v>
      </c>
      <c r="GX18" t="e">
        <f>AND('POTENCIAL HORAS'!#REF!,"AAAAAF17n80=")</f>
        <v>#REF!</v>
      </c>
      <c r="GY18" t="e">
        <f>AND('POTENCIAL HORAS'!#REF!,"AAAAAF17n84=")</f>
        <v>#REF!</v>
      </c>
      <c r="GZ18" t="e">
        <f>AND('POTENCIAL HORAS'!#REF!,"AAAAAF17n88=")</f>
        <v>#REF!</v>
      </c>
      <c r="HA18" t="e">
        <f>AND('POTENCIAL HORAS'!#REF!,"AAAAAF17n9A=")</f>
        <v>#REF!</v>
      </c>
      <c r="HB18" t="e">
        <f>AND('POTENCIAL HORAS'!#REF!,"AAAAAF17n9E=")</f>
        <v>#REF!</v>
      </c>
      <c r="HC18" t="e">
        <f>AND('POTENCIAL HORAS'!#REF!,"AAAAAF17n9I=")</f>
        <v>#REF!</v>
      </c>
      <c r="HD18">
        <f>IF('POTENCIAL HORAS'!252:252,"AAAAAF17n9M=",0)</f>
        <v>0</v>
      </c>
      <c r="HE18" t="e">
        <f>AND('POTENCIAL HORAS'!A252,"AAAAAF17n9Q=")</f>
        <v>#VALUE!</v>
      </c>
      <c r="HF18" t="e">
        <f>AND('POTENCIAL HORAS'!B252,"AAAAAF17n9U=")</f>
        <v>#VALUE!</v>
      </c>
      <c r="HG18" t="e">
        <f>AND('POTENCIAL HORAS'!C252,"AAAAAF17n9Y=")</f>
        <v>#VALUE!</v>
      </c>
      <c r="HH18" t="e">
        <f>AND('POTENCIAL HORAS'!D252,"AAAAAF17n9c=")</f>
        <v>#VALUE!</v>
      </c>
      <c r="HI18" t="e">
        <f>AND('POTENCIAL HORAS'!E252,"AAAAAF17n9g=")</f>
        <v>#VALUE!</v>
      </c>
      <c r="HJ18" t="e">
        <f>AND('POTENCIAL HORAS'!F252,"AAAAAF17n9k=")</f>
        <v>#VALUE!</v>
      </c>
      <c r="HK18" t="e">
        <f>AND('POTENCIAL HORAS'!G252,"AAAAAF17n9o=")</f>
        <v>#VALUE!</v>
      </c>
      <c r="HL18" t="e">
        <f>AND('POTENCIAL HORAS'!H252,"AAAAAF17n9s=")</f>
        <v>#VALUE!</v>
      </c>
      <c r="HM18" t="e">
        <f>AND('POTENCIAL HORAS'!I252,"AAAAAF17n9w=")</f>
        <v>#VALUE!</v>
      </c>
      <c r="HN18" t="e">
        <f>AND('POTENCIAL HORAS'!J252,"AAAAAF17n90=")</f>
        <v>#VALUE!</v>
      </c>
      <c r="HO18" t="e">
        <f>AND('POTENCIAL HORAS'!K252,"AAAAAF17n94=")</f>
        <v>#VALUE!</v>
      </c>
      <c r="HP18" t="e">
        <f>AND('POTENCIAL HORAS'!L252,"AAAAAF17n98=")</f>
        <v>#VALUE!</v>
      </c>
      <c r="HQ18" t="e">
        <f>AND('POTENCIAL HORAS'!M252,"AAAAAF17n+A=")</f>
        <v>#VALUE!</v>
      </c>
      <c r="HR18" t="e">
        <f>AND('POTENCIAL HORAS'!N252,"AAAAAF17n+E=")</f>
        <v>#VALUE!</v>
      </c>
      <c r="HS18" t="e">
        <f>AND('POTENCIAL HORAS'!O252,"AAAAAF17n+I=")</f>
        <v>#VALUE!</v>
      </c>
      <c r="HT18" t="e">
        <f>AND('POTENCIAL HORAS'!P252,"AAAAAF17n+M=")</f>
        <v>#VALUE!</v>
      </c>
      <c r="HU18" t="e">
        <f>AND('POTENCIAL HORAS'!#REF!,"AAAAAF17n+Q=")</f>
        <v>#REF!</v>
      </c>
      <c r="HV18" t="e">
        <f>AND('POTENCIAL HORAS'!#REF!,"AAAAAF17n+U=")</f>
        <v>#REF!</v>
      </c>
      <c r="HW18" t="e">
        <f>AND('POTENCIAL HORAS'!#REF!,"AAAAAF17n+Y=")</f>
        <v>#REF!</v>
      </c>
      <c r="HX18" t="e">
        <f>AND('POTENCIAL HORAS'!#REF!,"AAAAAF17n+c=")</f>
        <v>#REF!</v>
      </c>
      <c r="HY18" t="e">
        <f>AND('POTENCIAL HORAS'!#REF!,"AAAAAF17n+g=")</f>
        <v>#REF!</v>
      </c>
      <c r="HZ18" t="e">
        <f>AND('POTENCIAL HORAS'!#REF!,"AAAAAF17n+k=")</f>
        <v>#REF!</v>
      </c>
      <c r="IA18" t="e">
        <f>AND('POTENCIAL HORAS'!#REF!,"AAAAAF17n+o=")</f>
        <v>#REF!</v>
      </c>
      <c r="IB18" t="e">
        <f>AND('POTENCIAL HORAS'!#REF!,"AAAAAF17n+s=")</f>
        <v>#REF!</v>
      </c>
      <c r="IC18" t="e">
        <f>AND('POTENCIAL HORAS'!#REF!,"AAAAAF17n+w=")</f>
        <v>#REF!</v>
      </c>
      <c r="ID18" t="e">
        <f>AND('POTENCIAL HORAS'!#REF!,"AAAAAF17n+0=")</f>
        <v>#REF!</v>
      </c>
      <c r="IE18" t="e">
        <f>AND('POTENCIAL HORAS'!#REF!,"AAAAAF17n+4=")</f>
        <v>#REF!</v>
      </c>
      <c r="IF18" t="e">
        <f>AND('POTENCIAL HORAS'!#REF!,"AAAAAF17n+8=")</f>
        <v>#REF!</v>
      </c>
      <c r="IG18" t="e">
        <f>AND('POTENCIAL HORAS'!#REF!,"AAAAAF17n/A=")</f>
        <v>#REF!</v>
      </c>
      <c r="IH18" t="e">
        <f>AND('POTENCIAL HORAS'!#REF!,"AAAAAF17n/E=")</f>
        <v>#REF!</v>
      </c>
      <c r="II18" t="e">
        <f>AND('POTENCIAL HORAS'!#REF!,"AAAAAF17n/I=")</f>
        <v>#REF!</v>
      </c>
      <c r="IJ18" t="e">
        <f>AND('POTENCIAL HORAS'!#REF!,"AAAAAF17n/M=")</f>
        <v>#REF!</v>
      </c>
      <c r="IK18" t="e">
        <f>AND('POTENCIAL HORAS'!#REF!,"AAAAAF17n/Q=")</f>
        <v>#REF!</v>
      </c>
      <c r="IL18" t="e">
        <f>AND('POTENCIAL HORAS'!#REF!,"AAAAAF17n/U=")</f>
        <v>#REF!</v>
      </c>
      <c r="IM18" t="e">
        <f>AND('POTENCIAL HORAS'!#REF!,"AAAAAF17n/Y=")</f>
        <v>#REF!</v>
      </c>
      <c r="IN18" t="e">
        <f>AND('POTENCIAL HORAS'!#REF!,"AAAAAF17n/c=")</f>
        <v>#REF!</v>
      </c>
      <c r="IO18" t="e">
        <f>AND('POTENCIAL HORAS'!Q252,"AAAAAF17n/g=")</f>
        <v>#VALUE!</v>
      </c>
      <c r="IP18" t="e">
        <f>AND('POTENCIAL HORAS'!R252,"AAAAAF17n/k=")</f>
        <v>#VALUE!</v>
      </c>
      <c r="IQ18" t="e">
        <f>IF('POTENCIAL HORAS'!#REF!,"AAAAAF17n/o=",0)</f>
        <v>#REF!</v>
      </c>
      <c r="IR18" t="e">
        <f>AND('POTENCIAL HORAS'!#REF!,"AAAAAF17n/s=")</f>
        <v>#REF!</v>
      </c>
      <c r="IS18" t="e">
        <f>AND('POTENCIAL HORAS'!#REF!,"AAAAAF17n/w=")</f>
        <v>#REF!</v>
      </c>
      <c r="IT18" t="e">
        <f>AND('POTENCIAL HORAS'!#REF!,"AAAAAF17n/0=")</f>
        <v>#REF!</v>
      </c>
      <c r="IU18" t="e">
        <f>AND('POTENCIAL HORAS'!#REF!,"AAAAAF17n/4=")</f>
        <v>#REF!</v>
      </c>
      <c r="IV18" t="e">
        <f>AND('POTENCIAL HORAS'!#REF!,"AAAAAF17n/8=")</f>
        <v>#REF!</v>
      </c>
    </row>
    <row r="19" spans="1:256" x14ac:dyDescent="0.2">
      <c r="A19" t="e">
        <f>AND('POTENCIAL HORAS'!#REF!,"AAAAAHOb3wA=")</f>
        <v>#REF!</v>
      </c>
      <c r="B19" t="e">
        <f>AND('POTENCIAL HORAS'!#REF!,"AAAAAHOb3wE=")</f>
        <v>#REF!</v>
      </c>
      <c r="C19" t="e">
        <f>AND('POTENCIAL HORAS'!#REF!,"AAAAAHOb3wI=")</f>
        <v>#REF!</v>
      </c>
      <c r="D19" t="e">
        <f>AND('POTENCIAL HORAS'!#REF!,"AAAAAHOb3wM=")</f>
        <v>#REF!</v>
      </c>
      <c r="E19" t="e">
        <f>AND('POTENCIAL HORAS'!#REF!,"AAAAAHOb3wQ=")</f>
        <v>#REF!</v>
      </c>
      <c r="F19" t="e">
        <f>AND('POTENCIAL HORAS'!#REF!,"AAAAAHOb3wU=")</f>
        <v>#REF!</v>
      </c>
      <c r="G19" t="e">
        <f>AND('POTENCIAL HORAS'!#REF!,"AAAAAHOb3wY=")</f>
        <v>#REF!</v>
      </c>
      <c r="H19" t="e">
        <f>AND('POTENCIAL HORAS'!#REF!,"AAAAAHOb3wc=")</f>
        <v>#REF!</v>
      </c>
      <c r="I19" t="e">
        <f>AND('POTENCIAL HORAS'!#REF!,"AAAAAHOb3wg=")</f>
        <v>#REF!</v>
      </c>
      <c r="J19" t="e">
        <f>AND('POTENCIAL HORAS'!#REF!,"AAAAAHOb3wk=")</f>
        <v>#REF!</v>
      </c>
      <c r="K19" t="e">
        <f>AND('POTENCIAL HORAS'!#REF!,"AAAAAHOb3wo=")</f>
        <v>#REF!</v>
      </c>
      <c r="L19" t="e">
        <f>AND('POTENCIAL HORAS'!#REF!,"AAAAAHOb3ws=")</f>
        <v>#REF!</v>
      </c>
      <c r="M19" t="e">
        <f>AND('POTENCIAL HORAS'!#REF!,"AAAAAHOb3ww=")</f>
        <v>#REF!</v>
      </c>
      <c r="N19" t="e">
        <f>AND('POTENCIAL HORAS'!#REF!,"AAAAAHOb3w0=")</f>
        <v>#REF!</v>
      </c>
      <c r="O19" t="e">
        <f>AND('POTENCIAL HORAS'!#REF!,"AAAAAHOb3w4=")</f>
        <v>#REF!</v>
      </c>
      <c r="P19" t="e">
        <f>AND('POTENCIAL HORAS'!#REF!,"AAAAAHOb3w8=")</f>
        <v>#REF!</v>
      </c>
      <c r="Q19" t="e">
        <f>AND('POTENCIAL HORAS'!#REF!,"AAAAAHOb3xA=")</f>
        <v>#REF!</v>
      </c>
      <c r="R19" t="e">
        <f>AND('POTENCIAL HORAS'!#REF!,"AAAAAHOb3xE=")</f>
        <v>#REF!</v>
      </c>
      <c r="S19" t="e">
        <f>AND('POTENCIAL HORAS'!#REF!,"AAAAAHOb3xI=")</f>
        <v>#REF!</v>
      </c>
      <c r="T19" t="e">
        <f>AND('POTENCIAL HORAS'!#REF!,"AAAAAHOb3xM=")</f>
        <v>#REF!</v>
      </c>
      <c r="U19" t="e">
        <f>AND('POTENCIAL HORAS'!#REF!,"AAAAAHOb3xQ=")</f>
        <v>#REF!</v>
      </c>
      <c r="V19" t="e">
        <f>AND('POTENCIAL HORAS'!#REF!,"AAAAAHOb3xU=")</f>
        <v>#REF!</v>
      </c>
      <c r="W19" t="e">
        <f>AND('POTENCIAL HORAS'!#REF!,"AAAAAHOb3xY=")</f>
        <v>#REF!</v>
      </c>
      <c r="X19" t="e">
        <f>AND('POTENCIAL HORAS'!#REF!,"AAAAAHOb3xc=")</f>
        <v>#REF!</v>
      </c>
      <c r="Y19" t="e">
        <f>AND('POTENCIAL HORAS'!#REF!,"AAAAAHOb3xg=")</f>
        <v>#REF!</v>
      </c>
      <c r="Z19" t="e">
        <f>AND('POTENCIAL HORAS'!#REF!,"AAAAAHOb3xk=")</f>
        <v>#REF!</v>
      </c>
      <c r="AA19" t="e">
        <f>AND('POTENCIAL HORAS'!#REF!,"AAAAAHOb3xo=")</f>
        <v>#REF!</v>
      </c>
      <c r="AB19" t="e">
        <f>AND('POTENCIAL HORAS'!#REF!,"AAAAAHOb3xs=")</f>
        <v>#REF!</v>
      </c>
      <c r="AC19" t="e">
        <f>AND('POTENCIAL HORAS'!#REF!,"AAAAAHOb3xw=")</f>
        <v>#REF!</v>
      </c>
      <c r="AD19" t="e">
        <f>AND('POTENCIAL HORAS'!#REF!,"AAAAAHOb3x0=")</f>
        <v>#REF!</v>
      </c>
      <c r="AE19" t="e">
        <f>AND('POTENCIAL HORAS'!#REF!,"AAAAAHOb3x4=")</f>
        <v>#REF!</v>
      </c>
      <c r="AF19" t="e">
        <f>AND('POTENCIAL HORAS'!#REF!,"AAAAAHOb3x8=")</f>
        <v>#REF!</v>
      </c>
      <c r="AG19" t="e">
        <f>AND('POTENCIAL HORAS'!#REF!,"AAAAAHOb3yA=")</f>
        <v>#REF!</v>
      </c>
      <c r="AH19" t="e">
        <f>IF('POTENCIAL HORAS'!#REF!,"AAAAAHOb3yE=",0)</f>
        <v>#REF!</v>
      </c>
      <c r="AI19" t="e">
        <f>AND('POTENCIAL HORAS'!#REF!,"AAAAAHOb3yI=")</f>
        <v>#REF!</v>
      </c>
      <c r="AJ19" t="e">
        <f>AND('POTENCIAL HORAS'!#REF!,"AAAAAHOb3yM=")</f>
        <v>#REF!</v>
      </c>
      <c r="AK19" t="e">
        <f>AND('POTENCIAL HORAS'!#REF!,"AAAAAHOb3yQ=")</f>
        <v>#REF!</v>
      </c>
      <c r="AL19" t="e">
        <f>AND('POTENCIAL HORAS'!#REF!,"AAAAAHOb3yU=")</f>
        <v>#REF!</v>
      </c>
      <c r="AM19" t="e">
        <f>AND('POTENCIAL HORAS'!#REF!,"AAAAAHOb3yY=")</f>
        <v>#REF!</v>
      </c>
      <c r="AN19" t="e">
        <f>AND('POTENCIAL HORAS'!#REF!,"AAAAAHOb3yc=")</f>
        <v>#REF!</v>
      </c>
      <c r="AO19" t="e">
        <f>AND('POTENCIAL HORAS'!#REF!,"AAAAAHOb3yg=")</f>
        <v>#REF!</v>
      </c>
      <c r="AP19" t="e">
        <f>AND('POTENCIAL HORAS'!#REF!,"AAAAAHOb3yk=")</f>
        <v>#REF!</v>
      </c>
      <c r="AQ19" t="e">
        <f>AND('POTENCIAL HORAS'!#REF!,"AAAAAHOb3yo=")</f>
        <v>#REF!</v>
      </c>
      <c r="AR19" t="e">
        <f>AND('POTENCIAL HORAS'!#REF!,"AAAAAHOb3ys=")</f>
        <v>#REF!</v>
      </c>
      <c r="AS19" t="e">
        <f>AND('POTENCIAL HORAS'!#REF!,"AAAAAHOb3yw=")</f>
        <v>#REF!</v>
      </c>
      <c r="AT19" t="e">
        <f>AND('POTENCIAL HORAS'!#REF!,"AAAAAHOb3y0=")</f>
        <v>#REF!</v>
      </c>
      <c r="AU19" t="e">
        <f>AND('POTENCIAL HORAS'!#REF!,"AAAAAHOb3y4=")</f>
        <v>#REF!</v>
      </c>
      <c r="AV19" t="e">
        <f>AND('POTENCIAL HORAS'!#REF!,"AAAAAHOb3y8=")</f>
        <v>#REF!</v>
      </c>
      <c r="AW19" t="e">
        <f>AND('POTENCIAL HORAS'!#REF!,"AAAAAHOb3zA=")</f>
        <v>#REF!</v>
      </c>
      <c r="AX19" t="e">
        <f>AND('POTENCIAL HORAS'!#REF!,"AAAAAHOb3zE=")</f>
        <v>#REF!</v>
      </c>
      <c r="AY19" t="e">
        <f>AND('POTENCIAL HORAS'!#REF!,"AAAAAHOb3zI=")</f>
        <v>#REF!</v>
      </c>
      <c r="AZ19" t="e">
        <f>AND('POTENCIAL HORAS'!#REF!,"AAAAAHOb3zM=")</f>
        <v>#REF!</v>
      </c>
      <c r="BA19" t="e">
        <f>AND('POTENCIAL HORAS'!#REF!,"AAAAAHOb3zQ=")</f>
        <v>#REF!</v>
      </c>
      <c r="BB19" t="e">
        <f>AND('POTENCIAL HORAS'!#REF!,"AAAAAHOb3zU=")</f>
        <v>#REF!</v>
      </c>
      <c r="BC19" t="e">
        <f>AND('POTENCIAL HORAS'!#REF!,"AAAAAHOb3zY=")</f>
        <v>#REF!</v>
      </c>
      <c r="BD19" t="e">
        <f>AND('POTENCIAL HORAS'!#REF!,"AAAAAHOb3zc=")</f>
        <v>#REF!</v>
      </c>
      <c r="BE19" t="e">
        <f>AND('POTENCIAL HORAS'!#REF!,"AAAAAHOb3zg=")</f>
        <v>#REF!</v>
      </c>
      <c r="BF19" t="e">
        <f>AND('POTENCIAL HORAS'!#REF!,"AAAAAHOb3zk=")</f>
        <v>#REF!</v>
      </c>
      <c r="BG19" t="e">
        <f>AND('POTENCIAL HORAS'!#REF!,"AAAAAHOb3zo=")</f>
        <v>#REF!</v>
      </c>
      <c r="BH19" t="e">
        <f>AND('POTENCIAL HORAS'!#REF!,"AAAAAHOb3zs=")</f>
        <v>#REF!</v>
      </c>
      <c r="BI19" t="e">
        <f>AND('POTENCIAL HORAS'!#REF!,"AAAAAHOb3zw=")</f>
        <v>#REF!</v>
      </c>
      <c r="BJ19" t="e">
        <f>AND('POTENCIAL HORAS'!#REF!,"AAAAAHOb3z0=")</f>
        <v>#REF!</v>
      </c>
      <c r="BK19" t="e">
        <f>AND('POTENCIAL HORAS'!#REF!,"AAAAAHOb3z4=")</f>
        <v>#REF!</v>
      </c>
      <c r="BL19" t="e">
        <f>AND('POTENCIAL HORAS'!#REF!,"AAAAAHOb3z8=")</f>
        <v>#REF!</v>
      </c>
      <c r="BM19" t="e">
        <f>AND('POTENCIAL HORAS'!#REF!,"AAAAAHOb30A=")</f>
        <v>#REF!</v>
      </c>
      <c r="BN19" t="e">
        <f>AND('POTENCIAL HORAS'!#REF!,"AAAAAHOb30E=")</f>
        <v>#REF!</v>
      </c>
      <c r="BO19" t="e">
        <f>AND('POTENCIAL HORAS'!#REF!,"AAAAAHOb30I=")</f>
        <v>#REF!</v>
      </c>
      <c r="BP19" t="e">
        <f>AND('POTENCIAL HORAS'!#REF!,"AAAAAHOb30M=")</f>
        <v>#REF!</v>
      </c>
      <c r="BQ19" t="e">
        <f>AND('POTENCIAL HORAS'!#REF!,"AAAAAHOb30Q=")</f>
        <v>#REF!</v>
      </c>
      <c r="BR19" t="e">
        <f>AND('POTENCIAL HORAS'!#REF!,"AAAAAHOb30U=")</f>
        <v>#REF!</v>
      </c>
      <c r="BS19" t="e">
        <f>AND('POTENCIAL HORAS'!#REF!,"AAAAAHOb30Y=")</f>
        <v>#REF!</v>
      </c>
      <c r="BT19" t="e">
        <f>AND('POTENCIAL HORAS'!#REF!,"AAAAAHOb30c=")</f>
        <v>#REF!</v>
      </c>
      <c r="BU19" t="e">
        <f>IF('POTENCIAL HORAS'!#REF!,"AAAAAHOb30g=",0)</f>
        <v>#REF!</v>
      </c>
      <c r="BV19" t="e">
        <f>AND('POTENCIAL HORAS'!#REF!,"AAAAAHOb30k=")</f>
        <v>#REF!</v>
      </c>
      <c r="BW19" t="e">
        <f>AND('POTENCIAL HORAS'!#REF!,"AAAAAHOb30o=")</f>
        <v>#REF!</v>
      </c>
      <c r="BX19" t="e">
        <f>AND('POTENCIAL HORAS'!#REF!,"AAAAAHOb30s=")</f>
        <v>#REF!</v>
      </c>
      <c r="BY19" t="e">
        <f>AND('POTENCIAL HORAS'!#REF!,"AAAAAHOb30w=")</f>
        <v>#REF!</v>
      </c>
      <c r="BZ19" t="e">
        <f>AND('POTENCIAL HORAS'!#REF!,"AAAAAHOb300=")</f>
        <v>#REF!</v>
      </c>
      <c r="CA19" t="e">
        <f>AND('POTENCIAL HORAS'!#REF!,"AAAAAHOb304=")</f>
        <v>#REF!</v>
      </c>
      <c r="CB19" t="e">
        <f>AND('POTENCIAL HORAS'!#REF!,"AAAAAHOb308=")</f>
        <v>#REF!</v>
      </c>
      <c r="CC19" t="e">
        <f>AND('POTENCIAL HORAS'!#REF!,"AAAAAHOb31A=")</f>
        <v>#REF!</v>
      </c>
      <c r="CD19" t="e">
        <f>AND('POTENCIAL HORAS'!#REF!,"AAAAAHOb31E=")</f>
        <v>#REF!</v>
      </c>
      <c r="CE19" t="e">
        <f>AND('POTENCIAL HORAS'!#REF!,"AAAAAHOb31I=")</f>
        <v>#REF!</v>
      </c>
      <c r="CF19" t="e">
        <f>AND('POTENCIAL HORAS'!#REF!,"AAAAAHOb31M=")</f>
        <v>#REF!</v>
      </c>
      <c r="CG19" t="e">
        <f>AND('POTENCIAL HORAS'!#REF!,"AAAAAHOb31Q=")</f>
        <v>#REF!</v>
      </c>
      <c r="CH19" t="e">
        <f>AND('POTENCIAL HORAS'!#REF!,"AAAAAHOb31U=")</f>
        <v>#REF!</v>
      </c>
      <c r="CI19" t="e">
        <f>AND('POTENCIAL HORAS'!#REF!,"AAAAAHOb31Y=")</f>
        <v>#REF!</v>
      </c>
      <c r="CJ19" t="e">
        <f>AND('POTENCIAL HORAS'!#REF!,"AAAAAHOb31c=")</f>
        <v>#REF!</v>
      </c>
      <c r="CK19" t="e">
        <f>AND('POTENCIAL HORAS'!#REF!,"AAAAAHOb31g=")</f>
        <v>#REF!</v>
      </c>
      <c r="CL19" t="e">
        <f>AND('POTENCIAL HORAS'!#REF!,"AAAAAHOb31k=")</f>
        <v>#REF!</v>
      </c>
      <c r="CM19" t="e">
        <f>AND('POTENCIAL HORAS'!#REF!,"AAAAAHOb31o=")</f>
        <v>#REF!</v>
      </c>
      <c r="CN19" t="e">
        <f>AND('POTENCIAL HORAS'!#REF!,"AAAAAHOb31s=")</f>
        <v>#REF!</v>
      </c>
      <c r="CO19" t="e">
        <f>AND('POTENCIAL HORAS'!#REF!,"AAAAAHOb31w=")</f>
        <v>#REF!</v>
      </c>
      <c r="CP19" t="e">
        <f>AND('POTENCIAL HORAS'!#REF!,"AAAAAHOb310=")</f>
        <v>#REF!</v>
      </c>
      <c r="CQ19" t="e">
        <f>AND('POTENCIAL HORAS'!#REF!,"AAAAAHOb314=")</f>
        <v>#REF!</v>
      </c>
      <c r="CR19" t="e">
        <f>AND('POTENCIAL HORAS'!#REF!,"AAAAAHOb318=")</f>
        <v>#REF!</v>
      </c>
      <c r="CS19" t="e">
        <f>AND('POTENCIAL HORAS'!#REF!,"AAAAAHOb32A=")</f>
        <v>#REF!</v>
      </c>
      <c r="CT19" t="e">
        <f>AND('POTENCIAL HORAS'!#REF!,"AAAAAHOb32E=")</f>
        <v>#REF!</v>
      </c>
      <c r="CU19" t="e">
        <f>AND('POTENCIAL HORAS'!#REF!,"AAAAAHOb32I=")</f>
        <v>#REF!</v>
      </c>
      <c r="CV19" t="e">
        <f>AND('POTENCIAL HORAS'!#REF!,"AAAAAHOb32M=")</f>
        <v>#REF!</v>
      </c>
      <c r="CW19" t="e">
        <f>AND('POTENCIAL HORAS'!#REF!,"AAAAAHOb32Q=")</f>
        <v>#REF!</v>
      </c>
      <c r="CX19" t="e">
        <f>AND('POTENCIAL HORAS'!#REF!,"AAAAAHOb32U=")</f>
        <v>#REF!</v>
      </c>
      <c r="CY19" t="e">
        <f>AND('POTENCIAL HORAS'!#REF!,"AAAAAHOb32Y=")</f>
        <v>#REF!</v>
      </c>
      <c r="CZ19" t="e">
        <f>AND('POTENCIAL HORAS'!#REF!,"AAAAAHOb32c=")</f>
        <v>#REF!</v>
      </c>
      <c r="DA19" t="e">
        <f>AND('POTENCIAL HORAS'!#REF!,"AAAAAHOb32g=")</f>
        <v>#REF!</v>
      </c>
      <c r="DB19" t="e">
        <f>AND('POTENCIAL HORAS'!#REF!,"AAAAAHOb32k=")</f>
        <v>#REF!</v>
      </c>
      <c r="DC19" t="e">
        <f>AND('POTENCIAL HORAS'!#REF!,"AAAAAHOb32o=")</f>
        <v>#REF!</v>
      </c>
      <c r="DD19" t="e">
        <f>AND('POTENCIAL HORAS'!#REF!,"AAAAAHOb32s=")</f>
        <v>#REF!</v>
      </c>
      <c r="DE19" t="e">
        <f>AND('POTENCIAL HORAS'!#REF!,"AAAAAHOb32w=")</f>
        <v>#REF!</v>
      </c>
      <c r="DF19" t="e">
        <f>AND('POTENCIAL HORAS'!#REF!,"AAAAAHOb320=")</f>
        <v>#REF!</v>
      </c>
      <c r="DG19" t="e">
        <f>AND('POTENCIAL HORAS'!#REF!,"AAAAAHOb324=")</f>
        <v>#REF!</v>
      </c>
      <c r="DH19">
        <f>IF('POTENCIAL HORAS'!256:256,"AAAAAHOb328=",0)</f>
        <v>0</v>
      </c>
      <c r="DI19" t="e">
        <f>AND('POTENCIAL HORAS'!A256,"AAAAAHOb33A=")</f>
        <v>#VALUE!</v>
      </c>
      <c r="DJ19" t="e">
        <f>AND('POTENCIAL HORAS'!B256,"AAAAAHOb33E=")</f>
        <v>#VALUE!</v>
      </c>
      <c r="DK19" t="e">
        <f>AND('POTENCIAL HORAS'!C256,"AAAAAHOb33I=")</f>
        <v>#VALUE!</v>
      </c>
      <c r="DL19" t="e">
        <f>AND('POTENCIAL HORAS'!D256,"AAAAAHOb33M=")</f>
        <v>#VALUE!</v>
      </c>
      <c r="DM19" t="e">
        <f>AND('POTENCIAL HORAS'!E256,"AAAAAHOb33Q=")</f>
        <v>#VALUE!</v>
      </c>
      <c r="DN19" t="e">
        <f>AND('POTENCIAL HORAS'!F256,"AAAAAHOb33U=")</f>
        <v>#VALUE!</v>
      </c>
      <c r="DO19" t="e">
        <f>AND('POTENCIAL HORAS'!G256,"AAAAAHOb33Y=")</f>
        <v>#VALUE!</v>
      </c>
      <c r="DP19" t="e">
        <f>AND('POTENCIAL HORAS'!H256,"AAAAAHOb33c=")</f>
        <v>#VALUE!</v>
      </c>
      <c r="DQ19" t="e">
        <f>AND('POTENCIAL HORAS'!I256,"AAAAAHOb33g=")</f>
        <v>#VALUE!</v>
      </c>
      <c r="DR19" t="e">
        <f>AND('POTENCIAL HORAS'!J256,"AAAAAHOb33k=")</f>
        <v>#VALUE!</v>
      </c>
      <c r="DS19" t="e">
        <f>AND('POTENCIAL HORAS'!K256,"AAAAAHOb33o=")</f>
        <v>#VALUE!</v>
      </c>
      <c r="DT19" t="e">
        <f>AND('POTENCIAL HORAS'!L256,"AAAAAHOb33s=")</f>
        <v>#VALUE!</v>
      </c>
      <c r="DU19" t="e">
        <f>AND('POTENCIAL HORAS'!M256,"AAAAAHOb33w=")</f>
        <v>#VALUE!</v>
      </c>
      <c r="DV19" t="e">
        <f>AND('POTENCIAL HORAS'!N256,"AAAAAHOb330=")</f>
        <v>#VALUE!</v>
      </c>
      <c r="DW19" t="e">
        <f>AND('POTENCIAL HORAS'!O256,"AAAAAHOb334=")</f>
        <v>#VALUE!</v>
      </c>
      <c r="DX19" t="e">
        <f>AND('POTENCIAL HORAS'!P256,"AAAAAHOb338=")</f>
        <v>#VALUE!</v>
      </c>
      <c r="DY19" t="e">
        <f>AND('POTENCIAL HORAS'!#REF!,"AAAAAHOb34A=")</f>
        <v>#REF!</v>
      </c>
      <c r="DZ19" t="e">
        <f>AND('POTENCIAL HORAS'!#REF!,"AAAAAHOb34E=")</f>
        <v>#REF!</v>
      </c>
      <c r="EA19" t="e">
        <f>AND('POTENCIAL HORAS'!#REF!,"AAAAAHOb34I=")</f>
        <v>#REF!</v>
      </c>
      <c r="EB19" t="e">
        <f>AND('POTENCIAL HORAS'!#REF!,"AAAAAHOb34M=")</f>
        <v>#REF!</v>
      </c>
      <c r="EC19" t="e">
        <f>AND('POTENCIAL HORAS'!#REF!,"AAAAAHOb34Q=")</f>
        <v>#REF!</v>
      </c>
      <c r="ED19" t="e">
        <f>AND('POTENCIAL HORAS'!#REF!,"AAAAAHOb34U=")</f>
        <v>#REF!</v>
      </c>
      <c r="EE19" t="e">
        <f>AND('POTENCIAL HORAS'!#REF!,"AAAAAHOb34Y=")</f>
        <v>#REF!</v>
      </c>
      <c r="EF19" t="e">
        <f>AND('POTENCIAL HORAS'!#REF!,"AAAAAHOb34c=")</f>
        <v>#REF!</v>
      </c>
      <c r="EG19" t="e">
        <f>AND('POTENCIAL HORAS'!#REF!,"AAAAAHOb34g=")</f>
        <v>#REF!</v>
      </c>
      <c r="EH19" t="e">
        <f>AND('POTENCIAL HORAS'!#REF!,"AAAAAHOb34k=")</f>
        <v>#REF!</v>
      </c>
      <c r="EI19" t="e">
        <f>AND('POTENCIAL HORAS'!#REF!,"AAAAAHOb34o=")</f>
        <v>#REF!</v>
      </c>
      <c r="EJ19" t="e">
        <f>AND('POTENCIAL HORAS'!#REF!,"AAAAAHOb34s=")</f>
        <v>#REF!</v>
      </c>
      <c r="EK19" t="e">
        <f>AND('POTENCIAL HORAS'!#REF!,"AAAAAHOb34w=")</f>
        <v>#REF!</v>
      </c>
      <c r="EL19" t="e">
        <f>AND('POTENCIAL HORAS'!#REF!,"AAAAAHOb340=")</f>
        <v>#REF!</v>
      </c>
      <c r="EM19" t="e">
        <f>AND('POTENCIAL HORAS'!#REF!,"AAAAAHOb344=")</f>
        <v>#REF!</v>
      </c>
      <c r="EN19" t="e">
        <f>AND('POTENCIAL HORAS'!#REF!,"AAAAAHOb348=")</f>
        <v>#REF!</v>
      </c>
      <c r="EO19" t="e">
        <f>AND('POTENCIAL HORAS'!#REF!,"AAAAAHOb35A=")</f>
        <v>#REF!</v>
      </c>
      <c r="EP19" t="e">
        <f>AND('POTENCIAL HORAS'!#REF!,"AAAAAHOb35E=")</f>
        <v>#REF!</v>
      </c>
      <c r="EQ19" t="e">
        <f>AND('POTENCIAL HORAS'!#REF!,"AAAAAHOb35I=")</f>
        <v>#REF!</v>
      </c>
      <c r="ER19" t="e">
        <f>AND('POTENCIAL HORAS'!#REF!,"AAAAAHOb35M=")</f>
        <v>#REF!</v>
      </c>
      <c r="ES19" t="e">
        <f>AND('POTENCIAL HORAS'!Q256,"AAAAAHOb35Q=")</f>
        <v>#VALUE!</v>
      </c>
      <c r="ET19" t="e">
        <f>AND('POTENCIAL HORAS'!R256,"AAAAAHOb35U=")</f>
        <v>#VALUE!</v>
      </c>
      <c r="EU19">
        <f>IF('POTENCIAL HORAS'!257:257,"AAAAAHOb35Y=",0)</f>
        <v>0</v>
      </c>
      <c r="EV19" t="e">
        <f>AND('POTENCIAL HORAS'!A257,"AAAAAHOb35c=")</f>
        <v>#VALUE!</v>
      </c>
      <c r="EW19" t="e">
        <f>AND('POTENCIAL HORAS'!B257,"AAAAAHOb35g=")</f>
        <v>#VALUE!</v>
      </c>
      <c r="EX19" t="e">
        <f>AND('POTENCIAL HORAS'!C257,"AAAAAHOb35k=")</f>
        <v>#VALUE!</v>
      </c>
      <c r="EY19" t="e">
        <f>AND('POTENCIAL HORAS'!D257,"AAAAAHOb35o=")</f>
        <v>#VALUE!</v>
      </c>
      <c r="EZ19" t="e">
        <f>AND('POTENCIAL HORAS'!E257,"AAAAAHOb35s=")</f>
        <v>#VALUE!</v>
      </c>
      <c r="FA19" t="e">
        <f>AND('POTENCIAL HORAS'!F257,"AAAAAHOb35w=")</f>
        <v>#VALUE!</v>
      </c>
      <c r="FB19" t="e">
        <f>AND('POTENCIAL HORAS'!G257,"AAAAAHOb350=")</f>
        <v>#VALUE!</v>
      </c>
      <c r="FC19" t="e">
        <f>AND('POTENCIAL HORAS'!H257,"AAAAAHOb354=")</f>
        <v>#VALUE!</v>
      </c>
      <c r="FD19" t="e">
        <f>AND('POTENCIAL HORAS'!I257,"AAAAAHOb358=")</f>
        <v>#VALUE!</v>
      </c>
      <c r="FE19" t="e">
        <f>AND('POTENCIAL HORAS'!J257,"AAAAAHOb36A=")</f>
        <v>#VALUE!</v>
      </c>
      <c r="FF19" t="e">
        <f>AND('POTENCIAL HORAS'!K257,"AAAAAHOb36E=")</f>
        <v>#VALUE!</v>
      </c>
      <c r="FG19" t="e">
        <f>AND('POTENCIAL HORAS'!L257,"AAAAAHOb36I=")</f>
        <v>#VALUE!</v>
      </c>
      <c r="FH19" t="e">
        <f>AND('POTENCIAL HORAS'!M257,"AAAAAHOb36M=")</f>
        <v>#VALUE!</v>
      </c>
      <c r="FI19" t="e">
        <f>AND('POTENCIAL HORAS'!N257,"AAAAAHOb36Q=")</f>
        <v>#VALUE!</v>
      </c>
      <c r="FJ19" t="e">
        <f>AND('POTENCIAL HORAS'!O257,"AAAAAHOb36U=")</f>
        <v>#VALUE!</v>
      </c>
      <c r="FK19" t="e">
        <f>AND('POTENCIAL HORAS'!P257,"AAAAAHOb36Y=")</f>
        <v>#VALUE!</v>
      </c>
      <c r="FL19" t="e">
        <f>AND('POTENCIAL HORAS'!#REF!,"AAAAAHOb36c=")</f>
        <v>#REF!</v>
      </c>
      <c r="FM19" t="e">
        <f>AND('POTENCIAL HORAS'!#REF!,"AAAAAHOb36g=")</f>
        <v>#REF!</v>
      </c>
      <c r="FN19" t="e">
        <f>AND('POTENCIAL HORAS'!#REF!,"AAAAAHOb36k=")</f>
        <v>#REF!</v>
      </c>
      <c r="FO19" t="e">
        <f>AND('POTENCIAL HORAS'!#REF!,"AAAAAHOb36o=")</f>
        <v>#REF!</v>
      </c>
      <c r="FP19" t="e">
        <f>AND('POTENCIAL HORAS'!#REF!,"AAAAAHOb36s=")</f>
        <v>#REF!</v>
      </c>
      <c r="FQ19" t="e">
        <f>AND('POTENCIAL HORAS'!#REF!,"AAAAAHOb36w=")</f>
        <v>#REF!</v>
      </c>
      <c r="FR19" t="e">
        <f>AND('POTENCIAL HORAS'!#REF!,"AAAAAHOb360=")</f>
        <v>#REF!</v>
      </c>
      <c r="FS19" t="e">
        <f>AND('POTENCIAL HORAS'!#REF!,"AAAAAHOb364=")</f>
        <v>#REF!</v>
      </c>
      <c r="FT19" t="e">
        <f>AND('POTENCIAL HORAS'!#REF!,"AAAAAHOb368=")</f>
        <v>#REF!</v>
      </c>
      <c r="FU19" t="e">
        <f>AND('POTENCIAL HORAS'!#REF!,"AAAAAHOb37A=")</f>
        <v>#REF!</v>
      </c>
      <c r="FV19" t="e">
        <f>AND('POTENCIAL HORAS'!#REF!,"AAAAAHOb37E=")</f>
        <v>#REF!</v>
      </c>
      <c r="FW19" t="e">
        <f>AND('POTENCIAL HORAS'!#REF!,"AAAAAHOb37I=")</f>
        <v>#REF!</v>
      </c>
      <c r="FX19" t="e">
        <f>AND('POTENCIAL HORAS'!#REF!,"AAAAAHOb37M=")</f>
        <v>#REF!</v>
      </c>
      <c r="FY19" t="e">
        <f>AND('POTENCIAL HORAS'!#REF!,"AAAAAHOb37Q=")</f>
        <v>#REF!</v>
      </c>
      <c r="FZ19" t="e">
        <f>AND('POTENCIAL HORAS'!#REF!,"AAAAAHOb37U=")</f>
        <v>#REF!</v>
      </c>
      <c r="GA19" t="e">
        <f>AND('POTENCIAL HORAS'!#REF!,"AAAAAHOb37Y=")</f>
        <v>#REF!</v>
      </c>
      <c r="GB19" t="e">
        <f>AND('POTENCIAL HORAS'!#REF!,"AAAAAHOb37c=")</f>
        <v>#REF!</v>
      </c>
      <c r="GC19" t="e">
        <f>AND('POTENCIAL HORAS'!#REF!,"AAAAAHOb37g=")</f>
        <v>#REF!</v>
      </c>
      <c r="GD19" t="e">
        <f>AND('POTENCIAL HORAS'!#REF!,"AAAAAHOb37k=")</f>
        <v>#REF!</v>
      </c>
      <c r="GE19" t="e">
        <f>AND('POTENCIAL HORAS'!#REF!,"AAAAAHOb37o=")</f>
        <v>#REF!</v>
      </c>
      <c r="GF19" t="e">
        <f>AND('POTENCIAL HORAS'!Q257,"AAAAAHOb37s=")</f>
        <v>#VALUE!</v>
      </c>
      <c r="GG19" t="e">
        <f>AND('POTENCIAL HORAS'!R257,"AAAAAHOb37w=")</f>
        <v>#VALUE!</v>
      </c>
      <c r="GH19" t="e">
        <f>IF('POTENCIAL HORAS'!#REF!,"AAAAAHOb370=",0)</f>
        <v>#REF!</v>
      </c>
      <c r="GI19" t="e">
        <f>AND('POTENCIAL HORAS'!#REF!,"AAAAAHOb374=")</f>
        <v>#REF!</v>
      </c>
      <c r="GJ19" t="e">
        <f>AND('POTENCIAL HORAS'!#REF!,"AAAAAHOb378=")</f>
        <v>#REF!</v>
      </c>
      <c r="GK19" t="e">
        <f>AND('POTENCIAL HORAS'!#REF!,"AAAAAHOb38A=")</f>
        <v>#REF!</v>
      </c>
      <c r="GL19" t="e">
        <f>AND('POTENCIAL HORAS'!#REF!,"AAAAAHOb38E=")</f>
        <v>#REF!</v>
      </c>
      <c r="GM19" t="e">
        <f>AND('POTENCIAL HORAS'!#REF!,"AAAAAHOb38I=")</f>
        <v>#REF!</v>
      </c>
      <c r="GN19" t="e">
        <f>AND('POTENCIAL HORAS'!#REF!,"AAAAAHOb38M=")</f>
        <v>#REF!</v>
      </c>
      <c r="GO19" t="e">
        <f>AND('POTENCIAL HORAS'!#REF!,"AAAAAHOb38Q=")</f>
        <v>#REF!</v>
      </c>
      <c r="GP19" t="e">
        <f>AND('POTENCIAL HORAS'!#REF!,"AAAAAHOb38U=")</f>
        <v>#REF!</v>
      </c>
      <c r="GQ19" t="e">
        <f>AND('POTENCIAL HORAS'!#REF!,"AAAAAHOb38Y=")</f>
        <v>#REF!</v>
      </c>
      <c r="GR19" t="e">
        <f>AND('POTENCIAL HORAS'!#REF!,"AAAAAHOb38c=")</f>
        <v>#REF!</v>
      </c>
      <c r="GS19" t="e">
        <f>AND('POTENCIAL HORAS'!#REF!,"AAAAAHOb38g=")</f>
        <v>#REF!</v>
      </c>
      <c r="GT19" t="e">
        <f>AND('POTENCIAL HORAS'!#REF!,"AAAAAHOb38k=")</f>
        <v>#REF!</v>
      </c>
      <c r="GU19" t="e">
        <f>AND('POTENCIAL HORAS'!#REF!,"AAAAAHOb38o=")</f>
        <v>#REF!</v>
      </c>
      <c r="GV19" t="e">
        <f>AND('POTENCIAL HORAS'!#REF!,"AAAAAHOb38s=")</f>
        <v>#REF!</v>
      </c>
      <c r="GW19" t="e">
        <f>AND('POTENCIAL HORAS'!#REF!,"AAAAAHOb38w=")</f>
        <v>#REF!</v>
      </c>
      <c r="GX19" t="e">
        <f>AND('POTENCIAL HORAS'!#REF!,"AAAAAHOb380=")</f>
        <v>#REF!</v>
      </c>
      <c r="GY19" t="e">
        <f>AND('POTENCIAL HORAS'!#REF!,"AAAAAHOb384=")</f>
        <v>#REF!</v>
      </c>
      <c r="GZ19" t="e">
        <f>AND('POTENCIAL HORAS'!#REF!,"AAAAAHOb388=")</f>
        <v>#REF!</v>
      </c>
      <c r="HA19" t="e">
        <f>AND('POTENCIAL HORAS'!#REF!,"AAAAAHOb39A=")</f>
        <v>#REF!</v>
      </c>
      <c r="HB19" t="e">
        <f>AND('POTENCIAL HORAS'!#REF!,"AAAAAHOb39E=")</f>
        <v>#REF!</v>
      </c>
      <c r="HC19" t="e">
        <f>AND('POTENCIAL HORAS'!#REF!,"AAAAAHOb39I=")</f>
        <v>#REF!</v>
      </c>
      <c r="HD19" t="e">
        <f>AND('POTENCIAL HORAS'!#REF!,"AAAAAHOb39M=")</f>
        <v>#REF!</v>
      </c>
      <c r="HE19" t="e">
        <f>AND('POTENCIAL HORAS'!#REF!,"AAAAAHOb39Q=")</f>
        <v>#REF!</v>
      </c>
      <c r="HF19" t="e">
        <f>AND('POTENCIAL HORAS'!#REF!,"AAAAAHOb39U=")</f>
        <v>#REF!</v>
      </c>
      <c r="HG19" t="e">
        <f>AND('POTENCIAL HORAS'!#REF!,"AAAAAHOb39Y=")</f>
        <v>#REF!</v>
      </c>
      <c r="HH19" t="e">
        <f>AND('POTENCIAL HORAS'!#REF!,"AAAAAHOb39c=")</f>
        <v>#REF!</v>
      </c>
      <c r="HI19" t="e">
        <f>AND('POTENCIAL HORAS'!#REF!,"AAAAAHOb39g=")</f>
        <v>#REF!</v>
      </c>
      <c r="HJ19" t="e">
        <f>AND('POTENCIAL HORAS'!#REF!,"AAAAAHOb39k=")</f>
        <v>#REF!</v>
      </c>
      <c r="HK19" t="e">
        <f>AND('POTENCIAL HORAS'!#REF!,"AAAAAHOb39o=")</f>
        <v>#REF!</v>
      </c>
      <c r="HL19" t="e">
        <f>AND('POTENCIAL HORAS'!#REF!,"AAAAAHOb39s=")</f>
        <v>#REF!</v>
      </c>
      <c r="HM19" t="e">
        <f>AND('POTENCIAL HORAS'!#REF!,"AAAAAHOb39w=")</f>
        <v>#REF!</v>
      </c>
      <c r="HN19" t="e">
        <f>AND('POTENCIAL HORAS'!#REF!,"AAAAAHOb390=")</f>
        <v>#REF!</v>
      </c>
      <c r="HO19" t="e">
        <f>AND('POTENCIAL HORAS'!#REF!,"AAAAAHOb394=")</f>
        <v>#REF!</v>
      </c>
      <c r="HP19" t="e">
        <f>AND('POTENCIAL HORAS'!#REF!,"AAAAAHOb398=")</f>
        <v>#REF!</v>
      </c>
      <c r="HQ19" t="e">
        <f>AND('POTENCIAL HORAS'!#REF!,"AAAAAHOb3+A=")</f>
        <v>#REF!</v>
      </c>
      <c r="HR19" t="e">
        <f>AND('POTENCIAL HORAS'!#REF!,"AAAAAHOb3+E=")</f>
        <v>#REF!</v>
      </c>
      <c r="HS19" t="e">
        <f>AND('POTENCIAL HORAS'!#REF!,"AAAAAHOb3+I=")</f>
        <v>#REF!</v>
      </c>
      <c r="HT19" t="e">
        <f>AND('POTENCIAL HORAS'!#REF!,"AAAAAHOb3+M=")</f>
        <v>#REF!</v>
      </c>
      <c r="HU19" t="e">
        <f>IF('POTENCIAL HORAS'!#REF!,"AAAAAHOb3+Q=",0)</f>
        <v>#REF!</v>
      </c>
      <c r="HV19" t="e">
        <f>AND('POTENCIAL HORAS'!#REF!,"AAAAAHOb3+U=")</f>
        <v>#REF!</v>
      </c>
      <c r="HW19" t="e">
        <f>AND('POTENCIAL HORAS'!#REF!,"AAAAAHOb3+Y=")</f>
        <v>#REF!</v>
      </c>
      <c r="HX19" t="e">
        <f>AND('POTENCIAL HORAS'!#REF!,"AAAAAHOb3+c=")</f>
        <v>#REF!</v>
      </c>
      <c r="HY19" t="e">
        <f>AND('POTENCIAL HORAS'!#REF!,"AAAAAHOb3+g=")</f>
        <v>#REF!</v>
      </c>
      <c r="HZ19" t="e">
        <f>AND('POTENCIAL HORAS'!#REF!,"AAAAAHOb3+k=")</f>
        <v>#REF!</v>
      </c>
      <c r="IA19" t="e">
        <f>AND('POTENCIAL HORAS'!#REF!,"AAAAAHOb3+o=")</f>
        <v>#REF!</v>
      </c>
      <c r="IB19" t="e">
        <f>AND('POTENCIAL HORAS'!#REF!,"AAAAAHOb3+s=")</f>
        <v>#REF!</v>
      </c>
      <c r="IC19" t="e">
        <f>AND('POTENCIAL HORAS'!#REF!,"AAAAAHOb3+w=")</f>
        <v>#REF!</v>
      </c>
      <c r="ID19" t="e">
        <f>AND('POTENCIAL HORAS'!#REF!,"AAAAAHOb3+0=")</f>
        <v>#REF!</v>
      </c>
      <c r="IE19" t="e">
        <f>AND('POTENCIAL HORAS'!#REF!,"AAAAAHOb3+4=")</f>
        <v>#REF!</v>
      </c>
      <c r="IF19" t="e">
        <f>AND('POTENCIAL HORAS'!#REF!,"AAAAAHOb3+8=")</f>
        <v>#REF!</v>
      </c>
      <c r="IG19" t="e">
        <f>AND('POTENCIAL HORAS'!#REF!,"AAAAAHOb3/A=")</f>
        <v>#REF!</v>
      </c>
      <c r="IH19" t="e">
        <f>AND('POTENCIAL HORAS'!#REF!,"AAAAAHOb3/E=")</f>
        <v>#REF!</v>
      </c>
      <c r="II19" t="e">
        <f>AND('POTENCIAL HORAS'!#REF!,"AAAAAHOb3/I=")</f>
        <v>#REF!</v>
      </c>
      <c r="IJ19" t="e">
        <f>AND('POTENCIAL HORAS'!#REF!,"AAAAAHOb3/M=")</f>
        <v>#REF!</v>
      </c>
      <c r="IK19" t="e">
        <f>AND('POTENCIAL HORAS'!#REF!,"AAAAAHOb3/Q=")</f>
        <v>#REF!</v>
      </c>
      <c r="IL19" t="e">
        <f>AND('POTENCIAL HORAS'!#REF!,"AAAAAHOb3/U=")</f>
        <v>#REF!</v>
      </c>
      <c r="IM19" t="e">
        <f>AND('POTENCIAL HORAS'!#REF!,"AAAAAHOb3/Y=")</f>
        <v>#REF!</v>
      </c>
      <c r="IN19" t="e">
        <f>AND('POTENCIAL HORAS'!#REF!,"AAAAAHOb3/c=")</f>
        <v>#REF!</v>
      </c>
      <c r="IO19" t="e">
        <f>AND('POTENCIAL HORAS'!#REF!,"AAAAAHOb3/g=")</f>
        <v>#REF!</v>
      </c>
      <c r="IP19" t="e">
        <f>AND('POTENCIAL HORAS'!#REF!,"AAAAAHOb3/k=")</f>
        <v>#REF!</v>
      </c>
      <c r="IQ19" t="e">
        <f>AND('POTENCIAL HORAS'!#REF!,"AAAAAHOb3/o=")</f>
        <v>#REF!</v>
      </c>
      <c r="IR19" t="e">
        <f>AND('POTENCIAL HORAS'!#REF!,"AAAAAHOb3/s=")</f>
        <v>#REF!</v>
      </c>
      <c r="IS19" t="e">
        <f>AND('POTENCIAL HORAS'!#REF!,"AAAAAHOb3/w=")</f>
        <v>#REF!</v>
      </c>
      <c r="IT19" t="e">
        <f>AND('POTENCIAL HORAS'!#REF!,"AAAAAHOb3/0=")</f>
        <v>#REF!</v>
      </c>
      <c r="IU19" t="e">
        <f>AND('POTENCIAL HORAS'!#REF!,"AAAAAHOb3/4=")</f>
        <v>#REF!</v>
      </c>
      <c r="IV19" t="e">
        <f>AND('POTENCIAL HORAS'!#REF!,"AAAAAHOb3/8=")</f>
        <v>#REF!</v>
      </c>
    </row>
    <row r="20" spans="1:256" x14ac:dyDescent="0.2">
      <c r="A20" t="e">
        <f>AND('POTENCIAL HORAS'!#REF!,"AAAAAHz6iQA=")</f>
        <v>#REF!</v>
      </c>
      <c r="B20" t="e">
        <f>AND('POTENCIAL HORAS'!#REF!,"AAAAAHz6iQE=")</f>
        <v>#REF!</v>
      </c>
      <c r="C20" t="e">
        <f>AND('POTENCIAL HORAS'!#REF!,"AAAAAHz6iQI=")</f>
        <v>#REF!</v>
      </c>
      <c r="D20" t="e">
        <f>AND('POTENCIAL HORAS'!#REF!,"AAAAAHz6iQM=")</f>
        <v>#REF!</v>
      </c>
      <c r="E20" t="e">
        <f>AND('POTENCIAL HORAS'!#REF!,"AAAAAHz6iQQ=")</f>
        <v>#REF!</v>
      </c>
      <c r="F20" t="e">
        <f>AND('POTENCIAL HORAS'!#REF!,"AAAAAHz6iQU=")</f>
        <v>#REF!</v>
      </c>
      <c r="G20" t="e">
        <f>AND('POTENCIAL HORAS'!#REF!,"AAAAAHz6iQY=")</f>
        <v>#REF!</v>
      </c>
      <c r="H20" t="e">
        <f>AND('POTENCIAL HORAS'!#REF!,"AAAAAHz6iQc=")</f>
        <v>#REF!</v>
      </c>
      <c r="I20" t="e">
        <f>AND('POTENCIAL HORAS'!#REF!,"AAAAAHz6iQg=")</f>
        <v>#REF!</v>
      </c>
      <c r="J20" t="e">
        <f>AND('POTENCIAL HORAS'!#REF!,"AAAAAHz6iQk=")</f>
        <v>#REF!</v>
      </c>
      <c r="K20" t="e">
        <f>AND('POTENCIAL HORAS'!#REF!,"AAAAAHz6iQo=")</f>
        <v>#REF!</v>
      </c>
      <c r="L20" t="e">
        <f>IF('POTENCIAL HORAS'!#REF!,"AAAAAHz6iQs=",0)</f>
        <v>#REF!</v>
      </c>
      <c r="M20" t="e">
        <f>AND('POTENCIAL HORAS'!#REF!,"AAAAAHz6iQw=")</f>
        <v>#REF!</v>
      </c>
      <c r="N20" t="e">
        <f>AND('POTENCIAL HORAS'!#REF!,"AAAAAHz6iQ0=")</f>
        <v>#REF!</v>
      </c>
      <c r="O20" t="e">
        <f>AND('POTENCIAL HORAS'!#REF!,"AAAAAHz6iQ4=")</f>
        <v>#REF!</v>
      </c>
      <c r="P20" t="e">
        <f>AND('POTENCIAL HORAS'!#REF!,"AAAAAHz6iQ8=")</f>
        <v>#REF!</v>
      </c>
      <c r="Q20" t="e">
        <f>AND('POTENCIAL HORAS'!#REF!,"AAAAAHz6iRA=")</f>
        <v>#REF!</v>
      </c>
      <c r="R20" t="e">
        <f>AND('POTENCIAL HORAS'!#REF!,"AAAAAHz6iRE=")</f>
        <v>#REF!</v>
      </c>
      <c r="S20" t="e">
        <f>AND('POTENCIAL HORAS'!#REF!,"AAAAAHz6iRI=")</f>
        <v>#REF!</v>
      </c>
      <c r="T20" t="e">
        <f>AND('POTENCIAL HORAS'!#REF!,"AAAAAHz6iRM=")</f>
        <v>#REF!</v>
      </c>
      <c r="U20" t="e">
        <f>AND('POTENCIAL HORAS'!#REF!,"AAAAAHz6iRQ=")</f>
        <v>#REF!</v>
      </c>
      <c r="V20" t="e">
        <f>AND('POTENCIAL HORAS'!#REF!,"AAAAAHz6iRU=")</f>
        <v>#REF!</v>
      </c>
      <c r="W20" t="e">
        <f>AND('POTENCIAL HORAS'!#REF!,"AAAAAHz6iRY=")</f>
        <v>#REF!</v>
      </c>
      <c r="X20" t="e">
        <f>AND('POTENCIAL HORAS'!#REF!,"AAAAAHz6iRc=")</f>
        <v>#REF!</v>
      </c>
      <c r="Y20" t="e">
        <f>AND('POTENCIAL HORAS'!#REF!,"AAAAAHz6iRg=")</f>
        <v>#REF!</v>
      </c>
      <c r="Z20" t="e">
        <f>AND('POTENCIAL HORAS'!#REF!,"AAAAAHz6iRk=")</f>
        <v>#REF!</v>
      </c>
      <c r="AA20" t="e">
        <f>AND('POTENCIAL HORAS'!#REF!,"AAAAAHz6iRo=")</f>
        <v>#REF!</v>
      </c>
      <c r="AB20" t="e">
        <f>AND('POTENCIAL HORAS'!#REF!,"AAAAAHz6iRs=")</f>
        <v>#REF!</v>
      </c>
      <c r="AC20" t="e">
        <f>AND('POTENCIAL HORAS'!#REF!,"AAAAAHz6iRw=")</f>
        <v>#REF!</v>
      </c>
      <c r="AD20" t="e">
        <f>AND('POTENCIAL HORAS'!#REF!,"AAAAAHz6iR0=")</f>
        <v>#REF!</v>
      </c>
      <c r="AE20" t="e">
        <f>AND('POTENCIAL HORAS'!#REF!,"AAAAAHz6iR4=")</f>
        <v>#REF!</v>
      </c>
      <c r="AF20" t="e">
        <f>AND('POTENCIAL HORAS'!#REF!,"AAAAAHz6iR8=")</f>
        <v>#REF!</v>
      </c>
      <c r="AG20" t="e">
        <f>AND('POTENCIAL HORAS'!#REF!,"AAAAAHz6iSA=")</f>
        <v>#REF!</v>
      </c>
      <c r="AH20" t="e">
        <f>AND('POTENCIAL HORAS'!#REF!,"AAAAAHz6iSE=")</f>
        <v>#REF!</v>
      </c>
      <c r="AI20" t="e">
        <f>AND('POTENCIAL HORAS'!#REF!,"AAAAAHz6iSI=")</f>
        <v>#REF!</v>
      </c>
      <c r="AJ20" t="e">
        <f>AND('POTENCIAL HORAS'!#REF!,"AAAAAHz6iSM=")</f>
        <v>#REF!</v>
      </c>
      <c r="AK20" t="e">
        <f>AND('POTENCIAL HORAS'!#REF!,"AAAAAHz6iSQ=")</f>
        <v>#REF!</v>
      </c>
      <c r="AL20" t="e">
        <f>AND('POTENCIAL HORAS'!#REF!,"AAAAAHz6iSU=")</f>
        <v>#REF!</v>
      </c>
      <c r="AM20" t="e">
        <f>AND('POTENCIAL HORAS'!#REF!,"AAAAAHz6iSY=")</f>
        <v>#REF!</v>
      </c>
      <c r="AN20" t="e">
        <f>AND('POTENCIAL HORAS'!#REF!,"AAAAAHz6iSc=")</f>
        <v>#REF!</v>
      </c>
      <c r="AO20" t="e">
        <f>AND('POTENCIAL HORAS'!#REF!,"AAAAAHz6iSg=")</f>
        <v>#REF!</v>
      </c>
      <c r="AP20" t="e">
        <f>AND('POTENCIAL HORAS'!#REF!,"AAAAAHz6iSk=")</f>
        <v>#REF!</v>
      </c>
      <c r="AQ20" t="e">
        <f>AND('POTENCIAL HORAS'!#REF!,"AAAAAHz6iSo=")</f>
        <v>#REF!</v>
      </c>
      <c r="AR20" t="e">
        <f>AND('POTENCIAL HORAS'!#REF!,"AAAAAHz6iSs=")</f>
        <v>#REF!</v>
      </c>
      <c r="AS20" t="e">
        <f>AND('POTENCIAL HORAS'!#REF!,"AAAAAHz6iSw=")</f>
        <v>#REF!</v>
      </c>
      <c r="AT20" t="e">
        <f>AND('POTENCIAL HORAS'!#REF!,"AAAAAHz6iS0=")</f>
        <v>#REF!</v>
      </c>
      <c r="AU20" t="e">
        <f>AND('POTENCIAL HORAS'!#REF!,"AAAAAHz6iS4=")</f>
        <v>#REF!</v>
      </c>
      <c r="AV20" t="e">
        <f>AND('POTENCIAL HORAS'!#REF!,"AAAAAHz6iS8=")</f>
        <v>#REF!</v>
      </c>
      <c r="AW20" t="e">
        <f>AND('POTENCIAL HORAS'!#REF!,"AAAAAHz6iTA=")</f>
        <v>#REF!</v>
      </c>
      <c r="AX20" t="e">
        <f>AND('POTENCIAL HORAS'!#REF!,"AAAAAHz6iTE=")</f>
        <v>#REF!</v>
      </c>
      <c r="AY20" t="e">
        <f>IF('POTENCIAL HORAS'!#REF!,"AAAAAHz6iTI=",0)</f>
        <v>#REF!</v>
      </c>
      <c r="AZ20" t="e">
        <f>AND('POTENCIAL HORAS'!#REF!,"AAAAAHz6iTM=")</f>
        <v>#REF!</v>
      </c>
      <c r="BA20" t="e">
        <f>AND('POTENCIAL HORAS'!#REF!,"AAAAAHz6iTQ=")</f>
        <v>#REF!</v>
      </c>
      <c r="BB20" t="e">
        <f>AND('POTENCIAL HORAS'!#REF!,"AAAAAHz6iTU=")</f>
        <v>#REF!</v>
      </c>
      <c r="BC20" t="e">
        <f>AND('POTENCIAL HORAS'!#REF!,"AAAAAHz6iTY=")</f>
        <v>#REF!</v>
      </c>
      <c r="BD20" t="e">
        <f>AND('POTENCIAL HORAS'!#REF!,"AAAAAHz6iTc=")</f>
        <v>#REF!</v>
      </c>
      <c r="BE20" t="e">
        <f>AND('POTENCIAL HORAS'!#REF!,"AAAAAHz6iTg=")</f>
        <v>#REF!</v>
      </c>
      <c r="BF20" t="e">
        <f>AND('POTENCIAL HORAS'!#REF!,"AAAAAHz6iTk=")</f>
        <v>#REF!</v>
      </c>
      <c r="BG20" t="e">
        <f>AND('POTENCIAL HORAS'!#REF!,"AAAAAHz6iTo=")</f>
        <v>#REF!</v>
      </c>
      <c r="BH20" t="e">
        <f>AND('POTENCIAL HORAS'!#REF!,"AAAAAHz6iTs=")</f>
        <v>#REF!</v>
      </c>
      <c r="BI20" t="e">
        <f>AND('POTENCIAL HORAS'!#REF!,"AAAAAHz6iTw=")</f>
        <v>#REF!</v>
      </c>
      <c r="BJ20" t="e">
        <f>AND('POTENCIAL HORAS'!#REF!,"AAAAAHz6iT0=")</f>
        <v>#REF!</v>
      </c>
      <c r="BK20" t="e">
        <f>AND('POTENCIAL HORAS'!#REF!,"AAAAAHz6iT4=")</f>
        <v>#REF!</v>
      </c>
      <c r="BL20" t="e">
        <f>AND('POTENCIAL HORAS'!#REF!,"AAAAAHz6iT8=")</f>
        <v>#REF!</v>
      </c>
      <c r="BM20" t="e">
        <f>AND('POTENCIAL HORAS'!#REF!,"AAAAAHz6iUA=")</f>
        <v>#REF!</v>
      </c>
      <c r="BN20" t="e">
        <f>AND('POTENCIAL HORAS'!#REF!,"AAAAAHz6iUE=")</f>
        <v>#REF!</v>
      </c>
      <c r="BO20" t="e">
        <f>AND('POTENCIAL HORAS'!#REF!,"AAAAAHz6iUI=")</f>
        <v>#REF!</v>
      </c>
      <c r="BP20" t="e">
        <f>AND('POTENCIAL HORAS'!#REF!,"AAAAAHz6iUM=")</f>
        <v>#REF!</v>
      </c>
      <c r="BQ20" t="e">
        <f>AND('POTENCIAL HORAS'!#REF!,"AAAAAHz6iUQ=")</f>
        <v>#REF!</v>
      </c>
      <c r="BR20" t="e">
        <f>AND('POTENCIAL HORAS'!#REF!,"AAAAAHz6iUU=")</f>
        <v>#REF!</v>
      </c>
      <c r="BS20" t="e">
        <f>AND('POTENCIAL HORAS'!#REF!,"AAAAAHz6iUY=")</f>
        <v>#REF!</v>
      </c>
      <c r="BT20" t="e">
        <f>AND('POTENCIAL HORAS'!#REF!,"AAAAAHz6iUc=")</f>
        <v>#REF!</v>
      </c>
      <c r="BU20" t="e">
        <f>AND('POTENCIAL HORAS'!#REF!,"AAAAAHz6iUg=")</f>
        <v>#REF!</v>
      </c>
      <c r="BV20" t="e">
        <f>AND('POTENCIAL HORAS'!#REF!,"AAAAAHz6iUk=")</f>
        <v>#REF!</v>
      </c>
      <c r="BW20" t="e">
        <f>AND('POTENCIAL HORAS'!#REF!,"AAAAAHz6iUo=")</f>
        <v>#REF!</v>
      </c>
      <c r="BX20" t="e">
        <f>AND('POTENCIAL HORAS'!#REF!,"AAAAAHz6iUs=")</f>
        <v>#REF!</v>
      </c>
      <c r="BY20" t="e">
        <f>AND('POTENCIAL HORAS'!#REF!,"AAAAAHz6iUw=")</f>
        <v>#REF!</v>
      </c>
      <c r="BZ20" t="e">
        <f>AND('POTENCIAL HORAS'!#REF!,"AAAAAHz6iU0=")</f>
        <v>#REF!</v>
      </c>
      <c r="CA20" t="e">
        <f>AND('POTENCIAL HORAS'!#REF!,"AAAAAHz6iU4=")</f>
        <v>#REF!</v>
      </c>
      <c r="CB20" t="e">
        <f>AND('POTENCIAL HORAS'!#REF!,"AAAAAHz6iU8=")</f>
        <v>#REF!</v>
      </c>
      <c r="CC20" t="e">
        <f>AND('POTENCIAL HORAS'!#REF!,"AAAAAHz6iVA=")</f>
        <v>#REF!</v>
      </c>
      <c r="CD20" t="e">
        <f>AND('POTENCIAL HORAS'!#REF!,"AAAAAHz6iVE=")</f>
        <v>#REF!</v>
      </c>
      <c r="CE20" t="e">
        <f>AND('POTENCIAL HORAS'!#REF!,"AAAAAHz6iVI=")</f>
        <v>#REF!</v>
      </c>
      <c r="CF20" t="e">
        <f>AND('POTENCIAL HORAS'!#REF!,"AAAAAHz6iVM=")</f>
        <v>#REF!</v>
      </c>
      <c r="CG20" t="e">
        <f>AND('POTENCIAL HORAS'!#REF!,"AAAAAHz6iVQ=")</f>
        <v>#REF!</v>
      </c>
      <c r="CH20" t="e">
        <f>AND('POTENCIAL HORAS'!#REF!,"AAAAAHz6iVU=")</f>
        <v>#REF!</v>
      </c>
      <c r="CI20" t="e">
        <f>AND('POTENCIAL HORAS'!#REF!,"AAAAAHz6iVY=")</f>
        <v>#REF!</v>
      </c>
      <c r="CJ20" t="e">
        <f>AND('POTENCIAL HORAS'!#REF!,"AAAAAHz6iVc=")</f>
        <v>#REF!</v>
      </c>
      <c r="CK20" t="e">
        <f>AND('POTENCIAL HORAS'!#REF!,"AAAAAHz6iVg=")</f>
        <v>#REF!</v>
      </c>
      <c r="CL20">
        <f>IF('POTENCIAL HORAS'!274:274,"AAAAAHz6iVk=",0)</f>
        <v>0</v>
      </c>
      <c r="CM20" t="e">
        <f>AND('POTENCIAL HORAS'!A274,"AAAAAHz6iVo=")</f>
        <v>#VALUE!</v>
      </c>
      <c r="CN20" t="e">
        <f>AND('POTENCIAL HORAS'!B274,"AAAAAHz6iVs=")</f>
        <v>#VALUE!</v>
      </c>
      <c r="CO20" t="e">
        <f>AND('POTENCIAL HORAS'!C274,"AAAAAHz6iVw=")</f>
        <v>#VALUE!</v>
      </c>
      <c r="CP20" t="e">
        <f>AND('POTENCIAL HORAS'!D274,"AAAAAHz6iV0=")</f>
        <v>#VALUE!</v>
      </c>
      <c r="CQ20" t="e">
        <f>AND('POTENCIAL HORAS'!E274,"AAAAAHz6iV4=")</f>
        <v>#VALUE!</v>
      </c>
      <c r="CR20" t="e">
        <f>AND('POTENCIAL HORAS'!F274,"AAAAAHz6iV8=")</f>
        <v>#VALUE!</v>
      </c>
      <c r="CS20" t="e">
        <f>AND('POTENCIAL HORAS'!G274,"AAAAAHz6iWA=")</f>
        <v>#VALUE!</v>
      </c>
      <c r="CT20" t="e">
        <f>AND('POTENCIAL HORAS'!H274,"AAAAAHz6iWE=")</f>
        <v>#VALUE!</v>
      </c>
      <c r="CU20" t="e">
        <f>AND('POTENCIAL HORAS'!I274,"AAAAAHz6iWI=")</f>
        <v>#VALUE!</v>
      </c>
      <c r="CV20" t="e">
        <f>AND('POTENCIAL HORAS'!J274,"AAAAAHz6iWM=")</f>
        <v>#VALUE!</v>
      </c>
      <c r="CW20" t="e">
        <f>AND('POTENCIAL HORAS'!K274,"AAAAAHz6iWQ=")</f>
        <v>#VALUE!</v>
      </c>
      <c r="CX20" t="e">
        <f>AND('POTENCIAL HORAS'!L274,"AAAAAHz6iWU=")</f>
        <v>#VALUE!</v>
      </c>
      <c r="CY20" t="e">
        <f>AND('POTENCIAL HORAS'!M274,"AAAAAHz6iWY=")</f>
        <v>#VALUE!</v>
      </c>
      <c r="CZ20" t="e">
        <f>AND('POTENCIAL HORAS'!N274,"AAAAAHz6iWc=")</f>
        <v>#VALUE!</v>
      </c>
      <c r="DA20" t="e">
        <f>AND('POTENCIAL HORAS'!O274,"AAAAAHz6iWg=")</f>
        <v>#VALUE!</v>
      </c>
      <c r="DB20" t="e">
        <f>AND('POTENCIAL HORAS'!P274,"AAAAAHz6iWk=")</f>
        <v>#VALUE!</v>
      </c>
      <c r="DC20" t="e">
        <f>AND('POTENCIAL HORAS'!#REF!,"AAAAAHz6iWo=")</f>
        <v>#REF!</v>
      </c>
      <c r="DD20" t="e">
        <f>AND('POTENCIAL HORAS'!#REF!,"AAAAAHz6iWs=")</f>
        <v>#REF!</v>
      </c>
      <c r="DE20" t="e">
        <f>AND('POTENCIAL HORAS'!#REF!,"AAAAAHz6iWw=")</f>
        <v>#REF!</v>
      </c>
      <c r="DF20" t="e">
        <f>AND('POTENCIAL HORAS'!#REF!,"AAAAAHz6iW0=")</f>
        <v>#REF!</v>
      </c>
      <c r="DG20" t="e">
        <f>AND('POTENCIAL HORAS'!#REF!,"AAAAAHz6iW4=")</f>
        <v>#REF!</v>
      </c>
      <c r="DH20" t="e">
        <f>AND('POTENCIAL HORAS'!#REF!,"AAAAAHz6iW8=")</f>
        <v>#REF!</v>
      </c>
      <c r="DI20" t="e">
        <f>AND('POTENCIAL HORAS'!#REF!,"AAAAAHz6iXA=")</f>
        <v>#REF!</v>
      </c>
      <c r="DJ20" t="e">
        <f>AND('POTENCIAL HORAS'!#REF!,"AAAAAHz6iXE=")</f>
        <v>#REF!</v>
      </c>
      <c r="DK20" t="e">
        <f>AND('POTENCIAL HORAS'!#REF!,"AAAAAHz6iXI=")</f>
        <v>#REF!</v>
      </c>
      <c r="DL20" t="e">
        <f>AND('POTENCIAL HORAS'!#REF!,"AAAAAHz6iXM=")</f>
        <v>#REF!</v>
      </c>
      <c r="DM20" t="e">
        <f>AND('POTENCIAL HORAS'!#REF!,"AAAAAHz6iXQ=")</f>
        <v>#REF!</v>
      </c>
      <c r="DN20" t="e">
        <f>AND('POTENCIAL HORAS'!#REF!,"AAAAAHz6iXU=")</f>
        <v>#REF!</v>
      </c>
      <c r="DO20" t="e">
        <f>AND('POTENCIAL HORAS'!#REF!,"AAAAAHz6iXY=")</f>
        <v>#REF!</v>
      </c>
      <c r="DP20" t="e">
        <f>AND('POTENCIAL HORAS'!#REF!,"AAAAAHz6iXc=")</f>
        <v>#REF!</v>
      </c>
      <c r="DQ20" t="e">
        <f>AND('POTENCIAL HORAS'!#REF!,"AAAAAHz6iXg=")</f>
        <v>#REF!</v>
      </c>
      <c r="DR20" t="e">
        <f>AND('POTENCIAL HORAS'!#REF!,"AAAAAHz6iXk=")</f>
        <v>#REF!</v>
      </c>
      <c r="DS20" t="e">
        <f>AND('POTENCIAL HORAS'!#REF!,"AAAAAHz6iXo=")</f>
        <v>#REF!</v>
      </c>
      <c r="DT20" t="e">
        <f>AND('POTENCIAL HORAS'!#REF!,"AAAAAHz6iXs=")</f>
        <v>#REF!</v>
      </c>
      <c r="DU20" t="e">
        <f>AND('POTENCIAL HORAS'!#REF!,"AAAAAHz6iXw=")</f>
        <v>#REF!</v>
      </c>
      <c r="DV20" t="e">
        <f>AND('POTENCIAL HORAS'!#REF!,"AAAAAHz6iX0=")</f>
        <v>#REF!</v>
      </c>
      <c r="DW20" t="e">
        <f>AND('POTENCIAL HORAS'!Q274,"AAAAAHz6iX4=")</f>
        <v>#VALUE!</v>
      </c>
      <c r="DX20" t="e">
        <f>AND('POTENCIAL HORAS'!R274,"AAAAAHz6iX8=")</f>
        <v>#VALUE!</v>
      </c>
      <c r="DY20" t="e">
        <f>IF('POTENCIAL HORAS'!#REF!,"AAAAAHz6iYA=",0)</f>
        <v>#REF!</v>
      </c>
      <c r="DZ20" t="e">
        <f>AND('POTENCIAL HORAS'!#REF!,"AAAAAHz6iYE=")</f>
        <v>#REF!</v>
      </c>
      <c r="EA20" t="e">
        <f>AND('POTENCIAL HORAS'!#REF!,"AAAAAHz6iYI=")</f>
        <v>#REF!</v>
      </c>
      <c r="EB20" t="e">
        <f>AND('POTENCIAL HORAS'!#REF!,"AAAAAHz6iYM=")</f>
        <v>#REF!</v>
      </c>
      <c r="EC20" t="e">
        <f>AND('POTENCIAL HORAS'!#REF!,"AAAAAHz6iYQ=")</f>
        <v>#REF!</v>
      </c>
      <c r="ED20" t="e">
        <f>AND('POTENCIAL HORAS'!#REF!,"AAAAAHz6iYU=")</f>
        <v>#REF!</v>
      </c>
      <c r="EE20" t="e">
        <f>AND('POTENCIAL HORAS'!#REF!,"AAAAAHz6iYY=")</f>
        <v>#REF!</v>
      </c>
      <c r="EF20" t="e">
        <f>AND('POTENCIAL HORAS'!#REF!,"AAAAAHz6iYc=")</f>
        <v>#REF!</v>
      </c>
      <c r="EG20" t="e">
        <f>AND('POTENCIAL HORAS'!#REF!,"AAAAAHz6iYg=")</f>
        <v>#REF!</v>
      </c>
      <c r="EH20" t="e">
        <f>AND('POTENCIAL HORAS'!#REF!,"AAAAAHz6iYk=")</f>
        <v>#REF!</v>
      </c>
      <c r="EI20" t="e">
        <f>AND('POTENCIAL HORAS'!#REF!,"AAAAAHz6iYo=")</f>
        <v>#REF!</v>
      </c>
      <c r="EJ20" t="e">
        <f>AND('POTENCIAL HORAS'!#REF!,"AAAAAHz6iYs=")</f>
        <v>#REF!</v>
      </c>
      <c r="EK20" t="e">
        <f>AND('POTENCIAL HORAS'!#REF!,"AAAAAHz6iYw=")</f>
        <v>#REF!</v>
      </c>
      <c r="EL20" t="e">
        <f>AND('POTENCIAL HORAS'!#REF!,"AAAAAHz6iY0=")</f>
        <v>#REF!</v>
      </c>
      <c r="EM20" t="e">
        <f>AND('POTENCIAL HORAS'!#REF!,"AAAAAHz6iY4=")</f>
        <v>#REF!</v>
      </c>
      <c r="EN20" t="e">
        <f>AND('POTENCIAL HORAS'!#REF!,"AAAAAHz6iY8=")</f>
        <v>#REF!</v>
      </c>
      <c r="EO20" t="e">
        <f>AND('POTENCIAL HORAS'!#REF!,"AAAAAHz6iZA=")</f>
        <v>#REF!</v>
      </c>
      <c r="EP20" t="e">
        <f>AND('POTENCIAL HORAS'!#REF!,"AAAAAHz6iZE=")</f>
        <v>#REF!</v>
      </c>
      <c r="EQ20" t="e">
        <f>AND('POTENCIAL HORAS'!#REF!,"AAAAAHz6iZI=")</f>
        <v>#REF!</v>
      </c>
      <c r="ER20" t="e">
        <f>AND('POTENCIAL HORAS'!#REF!,"AAAAAHz6iZM=")</f>
        <v>#REF!</v>
      </c>
      <c r="ES20" t="e">
        <f>AND('POTENCIAL HORAS'!#REF!,"AAAAAHz6iZQ=")</f>
        <v>#REF!</v>
      </c>
      <c r="ET20" t="e">
        <f>AND('POTENCIAL HORAS'!#REF!,"AAAAAHz6iZU=")</f>
        <v>#REF!</v>
      </c>
      <c r="EU20" t="e">
        <f>AND('POTENCIAL HORAS'!#REF!,"AAAAAHz6iZY=")</f>
        <v>#REF!</v>
      </c>
      <c r="EV20" t="e">
        <f>AND('POTENCIAL HORAS'!#REF!,"AAAAAHz6iZc=")</f>
        <v>#REF!</v>
      </c>
      <c r="EW20" t="e">
        <f>AND('POTENCIAL HORAS'!#REF!,"AAAAAHz6iZg=")</f>
        <v>#REF!</v>
      </c>
      <c r="EX20" t="e">
        <f>AND('POTENCIAL HORAS'!#REF!,"AAAAAHz6iZk=")</f>
        <v>#REF!</v>
      </c>
      <c r="EY20" t="e">
        <f>AND('POTENCIAL HORAS'!#REF!,"AAAAAHz6iZo=")</f>
        <v>#REF!</v>
      </c>
      <c r="EZ20" t="e">
        <f>AND('POTENCIAL HORAS'!#REF!,"AAAAAHz6iZs=")</f>
        <v>#REF!</v>
      </c>
      <c r="FA20" t="e">
        <f>AND('POTENCIAL HORAS'!#REF!,"AAAAAHz6iZw=")</f>
        <v>#REF!</v>
      </c>
      <c r="FB20" t="e">
        <f>AND('POTENCIAL HORAS'!#REF!,"AAAAAHz6iZ0=")</f>
        <v>#REF!</v>
      </c>
      <c r="FC20" t="e">
        <f>AND('POTENCIAL HORAS'!#REF!,"AAAAAHz6iZ4=")</f>
        <v>#REF!</v>
      </c>
      <c r="FD20" t="e">
        <f>AND('POTENCIAL HORAS'!#REF!,"AAAAAHz6iZ8=")</f>
        <v>#REF!</v>
      </c>
      <c r="FE20" t="e">
        <f>AND('POTENCIAL HORAS'!#REF!,"AAAAAHz6iaA=")</f>
        <v>#REF!</v>
      </c>
      <c r="FF20" t="e">
        <f>AND('POTENCIAL HORAS'!#REF!,"AAAAAHz6iaE=")</f>
        <v>#REF!</v>
      </c>
      <c r="FG20" t="e">
        <f>AND('POTENCIAL HORAS'!#REF!,"AAAAAHz6iaI=")</f>
        <v>#REF!</v>
      </c>
      <c r="FH20" t="e">
        <f>AND('POTENCIAL HORAS'!#REF!,"AAAAAHz6iaM=")</f>
        <v>#REF!</v>
      </c>
      <c r="FI20" t="e">
        <f>AND('POTENCIAL HORAS'!#REF!,"AAAAAHz6iaQ=")</f>
        <v>#REF!</v>
      </c>
      <c r="FJ20" t="e">
        <f>AND('POTENCIAL HORAS'!#REF!,"AAAAAHz6iaU=")</f>
        <v>#REF!</v>
      </c>
      <c r="FK20" t="e">
        <f>AND('POTENCIAL HORAS'!#REF!,"AAAAAHz6iaY=")</f>
        <v>#REF!</v>
      </c>
      <c r="FL20" t="e">
        <f>IF('POTENCIAL HORAS'!#REF!,"AAAAAHz6iac=",0)</f>
        <v>#REF!</v>
      </c>
      <c r="FM20" t="e">
        <f>AND('POTENCIAL HORAS'!#REF!,"AAAAAHz6iag=")</f>
        <v>#REF!</v>
      </c>
      <c r="FN20" t="e">
        <f>AND('POTENCIAL HORAS'!#REF!,"AAAAAHz6iak=")</f>
        <v>#REF!</v>
      </c>
      <c r="FO20" t="e">
        <f>AND('POTENCIAL HORAS'!#REF!,"AAAAAHz6iao=")</f>
        <v>#REF!</v>
      </c>
      <c r="FP20" t="e">
        <f>AND('POTENCIAL HORAS'!#REF!,"AAAAAHz6ias=")</f>
        <v>#REF!</v>
      </c>
      <c r="FQ20" t="e">
        <f>AND('POTENCIAL HORAS'!#REF!,"AAAAAHz6iaw=")</f>
        <v>#REF!</v>
      </c>
      <c r="FR20" t="e">
        <f>AND('POTENCIAL HORAS'!#REF!,"AAAAAHz6ia0=")</f>
        <v>#REF!</v>
      </c>
      <c r="FS20" t="e">
        <f>AND('POTENCIAL HORAS'!#REF!,"AAAAAHz6ia4=")</f>
        <v>#REF!</v>
      </c>
      <c r="FT20" t="e">
        <f>AND('POTENCIAL HORAS'!#REF!,"AAAAAHz6ia8=")</f>
        <v>#REF!</v>
      </c>
      <c r="FU20" t="e">
        <f>AND('POTENCIAL HORAS'!#REF!,"AAAAAHz6ibA=")</f>
        <v>#REF!</v>
      </c>
      <c r="FV20" t="e">
        <f>AND('POTENCIAL HORAS'!#REF!,"AAAAAHz6ibE=")</f>
        <v>#REF!</v>
      </c>
      <c r="FW20" t="e">
        <f>AND('POTENCIAL HORAS'!#REF!,"AAAAAHz6ibI=")</f>
        <v>#REF!</v>
      </c>
      <c r="FX20" t="e">
        <f>AND('POTENCIAL HORAS'!#REF!,"AAAAAHz6ibM=")</f>
        <v>#REF!</v>
      </c>
      <c r="FY20" t="e">
        <f>AND('POTENCIAL HORAS'!#REF!,"AAAAAHz6ibQ=")</f>
        <v>#REF!</v>
      </c>
      <c r="FZ20" t="e">
        <f>AND('POTENCIAL HORAS'!#REF!,"AAAAAHz6ibU=")</f>
        <v>#REF!</v>
      </c>
      <c r="GA20" t="e">
        <f>AND('POTENCIAL HORAS'!#REF!,"AAAAAHz6ibY=")</f>
        <v>#REF!</v>
      </c>
      <c r="GB20" t="e">
        <f>AND('POTENCIAL HORAS'!#REF!,"AAAAAHz6ibc=")</f>
        <v>#REF!</v>
      </c>
      <c r="GC20" t="e">
        <f>AND('POTENCIAL HORAS'!#REF!,"AAAAAHz6ibg=")</f>
        <v>#REF!</v>
      </c>
      <c r="GD20" t="e">
        <f>AND('POTENCIAL HORAS'!#REF!,"AAAAAHz6ibk=")</f>
        <v>#REF!</v>
      </c>
      <c r="GE20" t="e">
        <f>AND('POTENCIAL HORAS'!#REF!,"AAAAAHz6ibo=")</f>
        <v>#REF!</v>
      </c>
      <c r="GF20" t="e">
        <f>AND('POTENCIAL HORAS'!#REF!,"AAAAAHz6ibs=")</f>
        <v>#REF!</v>
      </c>
      <c r="GG20" t="e">
        <f>AND('POTENCIAL HORAS'!#REF!,"AAAAAHz6ibw=")</f>
        <v>#REF!</v>
      </c>
      <c r="GH20" t="e">
        <f>AND('POTENCIAL HORAS'!#REF!,"AAAAAHz6ib0=")</f>
        <v>#REF!</v>
      </c>
      <c r="GI20" t="e">
        <f>AND('POTENCIAL HORAS'!#REF!,"AAAAAHz6ib4=")</f>
        <v>#REF!</v>
      </c>
      <c r="GJ20" t="e">
        <f>AND('POTENCIAL HORAS'!#REF!,"AAAAAHz6ib8=")</f>
        <v>#REF!</v>
      </c>
      <c r="GK20" t="e">
        <f>AND('POTENCIAL HORAS'!#REF!,"AAAAAHz6icA=")</f>
        <v>#REF!</v>
      </c>
      <c r="GL20" t="e">
        <f>AND('POTENCIAL HORAS'!#REF!,"AAAAAHz6icE=")</f>
        <v>#REF!</v>
      </c>
      <c r="GM20" t="e">
        <f>AND('POTENCIAL HORAS'!#REF!,"AAAAAHz6icI=")</f>
        <v>#REF!</v>
      </c>
      <c r="GN20" t="e">
        <f>AND('POTENCIAL HORAS'!#REF!,"AAAAAHz6icM=")</f>
        <v>#REF!</v>
      </c>
      <c r="GO20" t="e">
        <f>AND('POTENCIAL HORAS'!#REF!,"AAAAAHz6icQ=")</f>
        <v>#REF!</v>
      </c>
      <c r="GP20" t="e">
        <f>AND('POTENCIAL HORAS'!#REF!,"AAAAAHz6icU=")</f>
        <v>#REF!</v>
      </c>
      <c r="GQ20" t="e">
        <f>AND('POTENCIAL HORAS'!#REF!,"AAAAAHz6icY=")</f>
        <v>#REF!</v>
      </c>
      <c r="GR20" t="e">
        <f>AND('POTENCIAL HORAS'!#REF!,"AAAAAHz6icc=")</f>
        <v>#REF!</v>
      </c>
      <c r="GS20" t="e">
        <f>AND('POTENCIAL HORAS'!#REF!,"AAAAAHz6icg=")</f>
        <v>#REF!</v>
      </c>
      <c r="GT20" t="e">
        <f>AND('POTENCIAL HORAS'!#REF!,"AAAAAHz6ick=")</f>
        <v>#REF!</v>
      </c>
      <c r="GU20" t="e">
        <f>AND('POTENCIAL HORAS'!#REF!,"AAAAAHz6ico=")</f>
        <v>#REF!</v>
      </c>
      <c r="GV20" t="e">
        <f>AND('POTENCIAL HORAS'!#REF!,"AAAAAHz6ics=")</f>
        <v>#REF!</v>
      </c>
      <c r="GW20" t="e">
        <f>AND('POTENCIAL HORAS'!#REF!,"AAAAAHz6icw=")</f>
        <v>#REF!</v>
      </c>
      <c r="GX20" t="e">
        <f>AND('POTENCIAL HORAS'!#REF!,"AAAAAHz6ic0=")</f>
        <v>#REF!</v>
      </c>
      <c r="GY20" t="e">
        <f>IF('POTENCIAL HORAS'!#REF!,"AAAAAHz6ic4=",0)</f>
        <v>#REF!</v>
      </c>
      <c r="GZ20" t="e">
        <f>AND('POTENCIAL HORAS'!#REF!,"AAAAAHz6ic8=")</f>
        <v>#REF!</v>
      </c>
      <c r="HA20" t="e">
        <f>AND('POTENCIAL HORAS'!#REF!,"AAAAAHz6idA=")</f>
        <v>#REF!</v>
      </c>
      <c r="HB20" t="e">
        <f>AND('POTENCIAL HORAS'!#REF!,"AAAAAHz6idE=")</f>
        <v>#REF!</v>
      </c>
      <c r="HC20" t="e">
        <f>AND('POTENCIAL HORAS'!#REF!,"AAAAAHz6idI=")</f>
        <v>#REF!</v>
      </c>
      <c r="HD20" t="e">
        <f>AND('POTENCIAL HORAS'!#REF!,"AAAAAHz6idM=")</f>
        <v>#REF!</v>
      </c>
      <c r="HE20" t="e">
        <f>AND('POTENCIAL HORAS'!#REF!,"AAAAAHz6idQ=")</f>
        <v>#REF!</v>
      </c>
      <c r="HF20" t="e">
        <f>AND('POTENCIAL HORAS'!#REF!,"AAAAAHz6idU=")</f>
        <v>#REF!</v>
      </c>
      <c r="HG20" t="e">
        <f>AND('POTENCIAL HORAS'!#REF!,"AAAAAHz6idY=")</f>
        <v>#REF!</v>
      </c>
      <c r="HH20" t="e">
        <f>AND('POTENCIAL HORAS'!#REF!,"AAAAAHz6idc=")</f>
        <v>#REF!</v>
      </c>
      <c r="HI20" t="e">
        <f>AND('POTENCIAL HORAS'!#REF!,"AAAAAHz6idg=")</f>
        <v>#REF!</v>
      </c>
      <c r="HJ20" t="e">
        <f>AND('POTENCIAL HORAS'!#REF!,"AAAAAHz6idk=")</f>
        <v>#REF!</v>
      </c>
      <c r="HK20" t="e">
        <f>AND('POTENCIAL HORAS'!#REF!,"AAAAAHz6ido=")</f>
        <v>#REF!</v>
      </c>
      <c r="HL20" t="e">
        <f>AND('POTENCIAL HORAS'!#REF!,"AAAAAHz6ids=")</f>
        <v>#REF!</v>
      </c>
      <c r="HM20" t="e">
        <f>AND('POTENCIAL HORAS'!#REF!,"AAAAAHz6idw=")</f>
        <v>#REF!</v>
      </c>
      <c r="HN20" t="e">
        <f>AND('POTENCIAL HORAS'!#REF!,"AAAAAHz6id0=")</f>
        <v>#REF!</v>
      </c>
      <c r="HO20" t="e">
        <f>AND('POTENCIAL HORAS'!#REF!,"AAAAAHz6id4=")</f>
        <v>#REF!</v>
      </c>
      <c r="HP20" t="e">
        <f>AND('POTENCIAL HORAS'!#REF!,"AAAAAHz6id8=")</f>
        <v>#REF!</v>
      </c>
      <c r="HQ20" t="e">
        <f>AND('POTENCIAL HORAS'!#REF!,"AAAAAHz6ieA=")</f>
        <v>#REF!</v>
      </c>
      <c r="HR20" t="e">
        <f>AND('POTENCIAL HORAS'!#REF!,"AAAAAHz6ieE=")</f>
        <v>#REF!</v>
      </c>
      <c r="HS20" t="e">
        <f>AND('POTENCIAL HORAS'!#REF!,"AAAAAHz6ieI=")</f>
        <v>#REF!</v>
      </c>
      <c r="HT20" t="e">
        <f>AND('POTENCIAL HORAS'!#REF!,"AAAAAHz6ieM=")</f>
        <v>#REF!</v>
      </c>
      <c r="HU20" t="e">
        <f>AND('POTENCIAL HORAS'!#REF!,"AAAAAHz6ieQ=")</f>
        <v>#REF!</v>
      </c>
      <c r="HV20" t="e">
        <f>AND('POTENCIAL HORAS'!#REF!,"AAAAAHz6ieU=")</f>
        <v>#REF!</v>
      </c>
      <c r="HW20" t="e">
        <f>AND('POTENCIAL HORAS'!#REF!,"AAAAAHz6ieY=")</f>
        <v>#REF!</v>
      </c>
      <c r="HX20" t="e">
        <f>AND('POTENCIAL HORAS'!#REF!,"AAAAAHz6iec=")</f>
        <v>#REF!</v>
      </c>
      <c r="HY20" t="e">
        <f>AND('POTENCIAL HORAS'!#REF!,"AAAAAHz6ieg=")</f>
        <v>#REF!</v>
      </c>
      <c r="HZ20" t="e">
        <f>AND('POTENCIAL HORAS'!#REF!,"AAAAAHz6iek=")</f>
        <v>#REF!</v>
      </c>
      <c r="IA20" t="e">
        <f>AND('POTENCIAL HORAS'!#REF!,"AAAAAHz6ieo=")</f>
        <v>#REF!</v>
      </c>
      <c r="IB20" t="e">
        <f>AND('POTENCIAL HORAS'!#REF!,"AAAAAHz6ies=")</f>
        <v>#REF!</v>
      </c>
      <c r="IC20" t="e">
        <f>AND('POTENCIAL HORAS'!#REF!,"AAAAAHz6iew=")</f>
        <v>#REF!</v>
      </c>
      <c r="ID20" t="e">
        <f>AND('POTENCIAL HORAS'!#REF!,"AAAAAHz6ie0=")</f>
        <v>#REF!</v>
      </c>
      <c r="IE20" t="e">
        <f>AND('POTENCIAL HORAS'!#REF!,"AAAAAHz6ie4=")</f>
        <v>#REF!</v>
      </c>
      <c r="IF20" t="e">
        <f>AND('POTENCIAL HORAS'!#REF!,"AAAAAHz6ie8=")</f>
        <v>#REF!</v>
      </c>
      <c r="IG20" t="e">
        <f>AND('POTENCIAL HORAS'!#REF!,"AAAAAHz6ifA=")</f>
        <v>#REF!</v>
      </c>
      <c r="IH20" t="e">
        <f>AND('POTENCIAL HORAS'!#REF!,"AAAAAHz6ifE=")</f>
        <v>#REF!</v>
      </c>
      <c r="II20" t="e">
        <f>AND('POTENCIAL HORAS'!#REF!,"AAAAAHz6ifI=")</f>
        <v>#REF!</v>
      </c>
      <c r="IJ20" t="e">
        <f>AND('POTENCIAL HORAS'!#REF!,"AAAAAHz6ifM=")</f>
        <v>#REF!</v>
      </c>
      <c r="IK20" t="e">
        <f>AND('POTENCIAL HORAS'!#REF!,"AAAAAHz6ifQ=")</f>
        <v>#REF!</v>
      </c>
      <c r="IL20">
        <f>IF('POTENCIAL HORAS'!275:275,"AAAAAHz6ifU=",0)</f>
        <v>0</v>
      </c>
      <c r="IM20" t="e">
        <f>AND('POTENCIAL HORAS'!A275,"AAAAAHz6ifY=")</f>
        <v>#VALUE!</v>
      </c>
      <c r="IN20" t="e">
        <f>AND('POTENCIAL HORAS'!B275,"AAAAAHz6ifc=")</f>
        <v>#VALUE!</v>
      </c>
      <c r="IO20" t="e">
        <f>AND('POTENCIAL HORAS'!C275,"AAAAAHz6ifg=")</f>
        <v>#VALUE!</v>
      </c>
      <c r="IP20" t="e">
        <f>AND('POTENCIAL HORAS'!D275,"AAAAAHz6ifk=")</f>
        <v>#VALUE!</v>
      </c>
      <c r="IQ20" t="e">
        <f>AND('POTENCIAL HORAS'!E275,"AAAAAHz6ifo=")</f>
        <v>#VALUE!</v>
      </c>
      <c r="IR20" t="e">
        <f>AND('POTENCIAL HORAS'!F275,"AAAAAHz6ifs=")</f>
        <v>#VALUE!</v>
      </c>
      <c r="IS20" t="e">
        <f>AND('POTENCIAL HORAS'!G275,"AAAAAHz6ifw=")</f>
        <v>#VALUE!</v>
      </c>
      <c r="IT20" t="e">
        <f>AND('POTENCIAL HORAS'!H275,"AAAAAHz6if0=")</f>
        <v>#VALUE!</v>
      </c>
      <c r="IU20" t="e">
        <f>AND('POTENCIAL HORAS'!I275,"AAAAAHz6if4=")</f>
        <v>#VALUE!</v>
      </c>
      <c r="IV20" t="e">
        <f>AND('POTENCIAL HORAS'!J275,"AAAAAHz6if8=")</f>
        <v>#VALUE!</v>
      </c>
    </row>
    <row r="21" spans="1:256" x14ac:dyDescent="0.2">
      <c r="A21" t="e">
        <f>AND('POTENCIAL HORAS'!K275,"AAAAAF9LcgA=")</f>
        <v>#VALUE!</v>
      </c>
      <c r="B21" t="e">
        <f>AND('POTENCIAL HORAS'!L275,"AAAAAF9LcgE=")</f>
        <v>#VALUE!</v>
      </c>
      <c r="C21" t="e">
        <f>AND('POTENCIAL HORAS'!M275,"AAAAAF9LcgI=")</f>
        <v>#VALUE!</v>
      </c>
      <c r="D21" t="e">
        <f>AND('POTENCIAL HORAS'!N275,"AAAAAF9LcgM=")</f>
        <v>#VALUE!</v>
      </c>
      <c r="E21" t="e">
        <f>AND('POTENCIAL HORAS'!O275,"AAAAAF9LcgQ=")</f>
        <v>#VALUE!</v>
      </c>
      <c r="F21" t="e">
        <f>AND('POTENCIAL HORAS'!P275,"AAAAAF9LcgU=")</f>
        <v>#VALUE!</v>
      </c>
      <c r="G21" t="e">
        <f>AND('POTENCIAL HORAS'!#REF!,"AAAAAF9LcgY=")</f>
        <v>#REF!</v>
      </c>
      <c r="H21" t="e">
        <f>AND('POTENCIAL HORAS'!#REF!,"AAAAAF9Lcgc=")</f>
        <v>#REF!</v>
      </c>
      <c r="I21" t="e">
        <f>AND('POTENCIAL HORAS'!#REF!,"AAAAAF9Lcgg=")</f>
        <v>#REF!</v>
      </c>
      <c r="J21" t="e">
        <f>AND('POTENCIAL HORAS'!#REF!,"AAAAAF9Lcgk=")</f>
        <v>#REF!</v>
      </c>
      <c r="K21" t="e">
        <f>AND('POTENCIAL HORAS'!#REF!,"AAAAAF9Lcgo=")</f>
        <v>#REF!</v>
      </c>
      <c r="L21" t="e">
        <f>AND('POTENCIAL HORAS'!#REF!,"AAAAAF9Lcgs=")</f>
        <v>#REF!</v>
      </c>
      <c r="M21" t="e">
        <f>AND('POTENCIAL HORAS'!#REF!,"AAAAAF9Lcgw=")</f>
        <v>#REF!</v>
      </c>
      <c r="N21" t="e">
        <f>AND('POTENCIAL HORAS'!#REF!,"AAAAAF9Lcg0=")</f>
        <v>#REF!</v>
      </c>
      <c r="O21" t="e">
        <f>AND('POTENCIAL HORAS'!#REF!,"AAAAAF9Lcg4=")</f>
        <v>#REF!</v>
      </c>
      <c r="P21" t="e">
        <f>AND('POTENCIAL HORAS'!#REF!,"AAAAAF9Lcg8=")</f>
        <v>#REF!</v>
      </c>
      <c r="Q21" t="e">
        <f>AND('POTENCIAL HORAS'!#REF!,"AAAAAF9LchA=")</f>
        <v>#REF!</v>
      </c>
      <c r="R21" t="e">
        <f>AND('POTENCIAL HORAS'!#REF!,"AAAAAF9LchE=")</f>
        <v>#REF!</v>
      </c>
      <c r="S21" t="e">
        <f>AND('POTENCIAL HORAS'!#REF!,"AAAAAF9LchI=")</f>
        <v>#REF!</v>
      </c>
      <c r="T21" t="e">
        <f>AND('POTENCIAL HORAS'!#REF!,"AAAAAF9LchM=")</f>
        <v>#REF!</v>
      </c>
      <c r="U21" t="e">
        <f>AND('POTENCIAL HORAS'!#REF!,"AAAAAF9LchQ=")</f>
        <v>#REF!</v>
      </c>
      <c r="V21" t="e">
        <f>AND('POTENCIAL HORAS'!#REF!,"AAAAAF9LchU=")</f>
        <v>#REF!</v>
      </c>
      <c r="W21" t="e">
        <f>AND('POTENCIAL HORAS'!#REF!,"AAAAAF9LchY=")</f>
        <v>#REF!</v>
      </c>
      <c r="X21" t="e">
        <f>AND('POTENCIAL HORAS'!#REF!,"AAAAAF9Lchc=")</f>
        <v>#REF!</v>
      </c>
      <c r="Y21" t="e">
        <f>AND('POTENCIAL HORAS'!#REF!,"AAAAAF9Lchg=")</f>
        <v>#REF!</v>
      </c>
      <c r="Z21" t="e">
        <f>AND('POTENCIAL HORAS'!#REF!,"AAAAAF9Lchk=")</f>
        <v>#REF!</v>
      </c>
      <c r="AA21" t="e">
        <f>AND('POTENCIAL HORAS'!Q275,"AAAAAF9Lcho=")</f>
        <v>#VALUE!</v>
      </c>
      <c r="AB21" t="e">
        <f>AND('POTENCIAL HORAS'!R275,"AAAAAF9Lchs=")</f>
        <v>#VALUE!</v>
      </c>
      <c r="AC21">
        <f>IF('POTENCIAL HORAS'!276:276,"AAAAAF9Lchw=",0)</f>
        <v>0</v>
      </c>
      <c r="AD21" t="e">
        <f>AND('POTENCIAL HORAS'!A276,"AAAAAF9Lch0=")</f>
        <v>#VALUE!</v>
      </c>
      <c r="AE21" t="e">
        <f>AND('POTENCIAL HORAS'!B276,"AAAAAF9Lch4=")</f>
        <v>#VALUE!</v>
      </c>
      <c r="AF21" t="e">
        <f>AND('POTENCIAL HORAS'!C276,"AAAAAF9Lch8=")</f>
        <v>#VALUE!</v>
      </c>
      <c r="AG21" t="e">
        <f>AND('POTENCIAL HORAS'!D276,"AAAAAF9LciA=")</f>
        <v>#VALUE!</v>
      </c>
      <c r="AH21" t="e">
        <f>AND('POTENCIAL HORAS'!E276,"AAAAAF9LciE=")</f>
        <v>#VALUE!</v>
      </c>
      <c r="AI21" t="e">
        <f>AND('POTENCIAL HORAS'!F276,"AAAAAF9LciI=")</f>
        <v>#VALUE!</v>
      </c>
      <c r="AJ21" t="e">
        <f>AND('POTENCIAL HORAS'!G276,"AAAAAF9LciM=")</f>
        <v>#VALUE!</v>
      </c>
      <c r="AK21" t="e">
        <f>AND('POTENCIAL HORAS'!H276,"AAAAAF9LciQ=")</f>
        <v>#VALUE!</v>
      </c>
      <c r="AL21" t="e">
        <f>AND('POTENCIAL HORAS'!I276,"AAAAAF9LciU=")</f>
        <v>#VALUE!</v>
      </c>
      <c r="AM21" t="e">
        <f>AND('POTENCIAL HORAS'!J276,"AAAAAF9LciY=")</f>
        <v>#VALUE!</v>
      </c>
      <c r="AN21" t="e">
        <f>AND('POTENCIAL HORAS'!K276,"AAAAAF9Lcic=")</f>
        <v>#VALUE!</v>
      </c>
      <c r="AO21" t="e">
        <f>AND('POTENCIAL HORAS'!L276,"AAAAAF9Lcig=")</f>
        <v>#VALUE!</v>
      </c>
      <c r="AP21" t="e">
        <f>AND('POTENCIAL HORAS'!M276,"AAAAAF9Lcik=")</f>
        <v>#VALUE!</v>
      </c>
      <c r="AQ21" t="e">
        <f>AND('POTENCIAL HORAS'!N276,"AAAAAF9Lcio=")</f>
        <v>#VALUE!</v>
      </c>
      <c r="AR21" t="e">
        <f>AND('POTENCIAL HORAS'!O276,"AAAAAF9Lcis=")</f>
        <v>#VALUE!</v>
      </c>
      <c r="AS21" t="e">
        <f>AND('POTENCIAL HORAS'!P276,"AAAAAF9Lciw=")</f>
        <v>#VALUE!</v>
      </c>
      <c r="AT21" t="e">
        <f>AND('POTENCIAL HORAS'!#REF!,"AAAAAF9Lci0=")</f>
        <v>#REF!</v>
      </c>
      <c r="AU21" t="e">
        <f>AND('POTENCIAL HORAS'!#REF!,"AAAAAF9Lci4=")</f>
        <v>#REF!</v>
      </c>
      <c r="AV21" t="e">
        <f>AND('POTENCIAL HORAS'!#REF!,"AAAAAF9Lci8=")</f>
        <v>#REF!</v>
      </c>
      <c r="AW21" t="e">
        <f>AND('POTENCIAL HORAS'!#REF!,"AAAAAF9LcjA=")</f>
        <v>#REF!</v>
      </c>
      <c r="AX21" t="e">
        <f>AND('POTENCIAL HORAS'!#REF!,"AAAAAF9LcjE=")</f>
        <v>#REF!</v>
      </c>
      <c r="AY21" t="e">
        <f>AND('POTENCIAL HORAS'!#REF!,"AAAAAF9LcjI=")</f>
        <v>#REF!</v>
      </c>
      <c r="AZ21" t="e">
        <f>AND('POTENCIAL HORAS'!#REF!,"AAAAAF9LcjM=")</f>
        <v>#REF!</v>
      </c>
      <c r="BA21" t="e">
        <f>AND('POTENCIAL HORAS'!#REF!,"AAAAAF9LcjQ=")</f>
        <v>#REF!</v>
      </c>
      <c r="BB21" t="e">
        <f>AND('POTENCIAL HORAS'!#REF!,"AAAAAF9LcjU=")</f>
        <v>#REF!</v>
      </c>
      <c r="BC21" t="e">
        <f>AND('POTENCIAL HORAS'!#REF!,"AAAAAF9LcjY=")</f>
        <v>#REF!</v>
      </c>
      <c r="BD21" t="e">
        <f>AND('POTENCIAL HORAS'!#REF!,"AAAAAF9Lcjc=")</f>
        <v>#REF!</v>
      </c>
      <c r="BE21" t="e">
        <f>AND('POTENCIAL HORAS'!#REF!,"AAAAAF9Lcjg=")</f>
        <v>#REF!</v>
      </c>
      <c r="BF21" t="e">
        <f>AND('POTENCIAL HORAS'!#REF!,"AAAAAF9Lcjk=")</f>
        <v>#REF!</v>
      </c>
      <c r="BG21" t="e">
        <f>AND('POTENCIAL HORAS'!#REF!,"AAAAAF9Lcjo=")</f>
        <v>#REF!</v>
      </c>
      <c r="BH21" t="e">
        <f>AND('POTENCIAL HORAS'!#REF!,"AAAAAF9Lcjs=")</f>
        <v>#REF!</v>
      </c>
      <c r="BI21" t="e">
        <f>AND('POTENCIAL HORAS'!#REF!,"AAAAAF9Lcjw=")</f>
        <v>#REF!</v>
      </c>
      <c r="BJ21" t="e">
        <f>AND('POTENCIAL HORAS'!#REF!,"AAAAAF9Lcj0=")</f>
        <v>#REF!</v>
      </c>
      <c r="BK21" t="e">
        <f>AND('POTENCIAL HORAS'!#REF!,"AAAAAF9Lcj4=")</f>
        <v>#REF!</v>
      </c>
      <c r="BL21" t="e">
        <f>AND('POTENCIAL HORAS'!#REF!,"AAAAAF9Lcj8=")</f>
        <v>#REF!</v>
      </c>
      <c r="BM21" t="e">
        <f>AND('POTENCIAL HORAS'!#REF!,"AAAAAF9LckA=")</f>
        <v>#REF!</v>
      </c>
      <c r="BN21" t="e">
        <f>AND('POTENCIAL HORAS'!Q276,"AAAAAF9LckE=")</f>
        <v>#VALUE!</v>
      </c>
      <c r="BO21" t="e">
        <f>AND('POTENCIAL HORAS'!R276,"AAAAAF9LckI=")</f>
        <v>#VALUE!</v>
      </c>
      <c r="BP21">
        <f>IF('POTENCIAL HORAS'!277:277,"AAAAAF9LckM=",0)</f>
        <v>0</v>
      </c>
      <c r="BQ21" t="e">
        <f>AND('POTENCIAL HORAS'!A277,"AAAAAF9LckQ=")</f>
        <v>#VALUE!</v>
      </c>
      <c r="BR21" t="e">
        <f>AND('POTENCIAL HORAS'!B277,"AAAAAF9LckU=")</f>
        <v>#VALUE!</v>
      </c>
      <c r="BS21" t="e">
        <f>AND('POTENCIAL HORAS'!C277,"AAAAAF9LckY=")</f>
        <v>#VALUE!</v>
      </c>
      <c r="BT21" t="e">
        <f>AND('POTENCIAL HORAS'!D277,"AAAAAF9Lckc=")</f>
        <v>#VALUE!</v>
      </c>
      <c r="BU21" t="e">
        <f>AND('POTENCIAL HORAS'!E277,"AAAAAF9Lckg=")</f>
        <v>#VALUE!</v>
      </c>
      <c r="BV21" t="e">
        <f>AND('POTENCIAL HORAS'!F277,"AAAAAF9Lckk=")</f>
        <v>#VALUE!</v>
      </c>
      <c r="BW21" t="e">
        <f>AND('POTENCIAL HORAS'!G277,"AAAAAF9Lcko=")</f>
        <v>#VALUE!</v>
      </c>
      <c r="BX21" t="e">
        <f>AND('POTENCIAL HORAS'!H277,"AAAAAF9Lcks=")</f>
        <v>#VALUE!</v>
      </c>
      <c r="BY21" t="e">
        <f>AND('POTENCIAL HORAS'!I277,"AAAAAF9Lckw=")</f>
        <v>#VALUE!</v>
      </c>
      <c r="BZ21" t="e">
        <f>AND('POTENCIAL HORAS'!J277,"AAAAAF9Lck0=")</f>
        <v>#VALUE!</v>
      </c>
      <c r="CA21" t="e">
        <f>AND('POTENCIAL HORAS'!K277,"AAAAAF9Lck4=")</f>
        <v>#VALUE!</v>
      </c>
      <c r="CB21" t="e">
        <f>AND('POTENCIAL HORAS'!L277,"AAAAAF9Lck8=")</f>
        <v>#VALUE!</v>
      </c>
      <c r="CC21" t="e">
        <f>AND('POTENCIAL HORAS'!M277,"AAAAAF9LclA=")</f>
        <v>#VALUE!</v>
      </c>
      <c r="CD21" t="e">
        <f>AND('POTENCIAL HORAS'!N277,"AAAAAF9LclE=")</f>
        <v>#VALUE!</v>
      </c>
      <c r="CE21" t="e">
        <f>AND('POTENCIAL HORAS'!O277,"AAAAAF9LclI=")</f>
        <v>#VALUE!</v>
      </c>
      <c r="CF21" t="e">
        <f>AND('POTENCIAL HORAS'!P277,"AAAAAF9LclM=")</f>
        <v>#VALUE!</v>
      </c>
      <c r="CG21" t="e">
        <f>AND('POTENCIAL HORAS'!#REF!,"AAAAAF9LclQ=")</f>
        <v>#REF!</v>
      </c>
      <c r="CH21" t="e">
        <f>AND('POTENCIAL HORAS'!#REF!,"AAAAAF9LclU=")</f>
        <v>#REF!</v>
      </c>
      <c r="CI21" t="e">
        <f>AND('POTENCIAL HORAS'!#REF!,"AAAAAF9LclY=")</f>
        <v>#REF!</v>
      </c>
      <c r="CJ21" t="e">
        <f>AND('POTENCIAL HORAS'!#REF!,"AAAAAF9Lclc=")</f>
        <v>#REF!</v>
      </c>
      <c r="CK21" t="e">
        <f>AND('POTENCIAL HORAS'!#REF!,"AAAAAF9Lclg=")</f>
        <v>#REF!</v>
      </c>
      <c r="CL21" t="e">
        <f>AND('POTENCIAL HORAS'!#REF!,"AAAAAF9Lclk=")</f>
        <v>#REF!</v>
      </c>
      <c r="CM21" t="e">
        <f>AND('POTENCIAL HORAS'!#REF!,"AAAAAF9Lclo=")</f>
        <v>#REF!</v>
      </c>
      <c r="CN21" t="e">
        <f>AND('POTENCIAL HORAS'!#REF!,"AAAAAF9Lcls=")</f>
        <v>#REF!</v>
      </c>
      <c r="CO21" t="e">
        <f>AND('POTENCIAL HORAS'!#REF!,"AAAAAF9Lclw=")</f>
        <v>#REF!</v>
      </c>
      <c r="CP21" t="e">
        <f>AND('POTENCIAL HORAS'!#REF!,"AAAAAF9Lcl0=")</f>
        <v>#REF!</v>
      </c>
      <c r="CQ21" t="e">
        <f>AND('POTENCIAL HORAS'!#REF!,"AAAAAF9Lcl4=")</f>
        <v>#REF!</v>
      </c>
      <c r="CR21" t="e">
        <f>AND('POTENCIAL HORAS'!#REF!,"AAAAAF9Lcl8=")</f>
        <v>#REF!</v>
      </c>
      <c r="CS21" t="e">
        <f>AND('POTENCIAL HORAS'!#REF!,"AAAAAF9LcmA=")</f>
        <v>#REF!</v>
      </c>
      <c r="CT21" t="e">
        <f>AND('POTENCIAL HORAS'!#REF!,"AAAAAF9LcmE=")</f>
        <v>#REF!</v>
      </c>
      <c r="CU21" t="e">
        <f>AND('POTENCIAL HORAS'!#REF!,"AAAAAF9LcmI=")</f>
        <v>#REF!</v>
      </c>
      <c r="CV21" t="e">
        <f>AND('POTENCIAL HORAS'!#REF!,"AAAAAF9LcmM=")</f>
        <v>#REF!</v>
      </c>
      <c r="CW21" t="e">
        <f>AND('POTENCIAL HORAS'!#REF!,"AAAAAF9LcmQ=")</f>
        <v>#REF!</v>
      </c>
      <c r="CX21" t="e">
        <f>AND('POTENCIAL HORAS'!#REF!,"AAAAAF9LcmU=")</f>
        <v>#REF!</v>
      </c>
      <c r="CY21" t="e">
        <f>AND('POTENCIAL HORAS'!#REF!,"AAAAAF9LcmY=")</f>
        <v>#REF!</v>
      </c>
      <c r="CZ21" t="e">
        <f>AND('POTENCIAL HORAS'!#REF!,"AAAAAF9Lcmc=")</f>
        <v>#REF!</v>
      </c>
      <c r="DA21" t="e">
        <f>AND('POTENCIAL HORAS'!Q277,"AAAAAF9Lcmg=")</f>
        <v>#VALUE!</v>
      </c>
      <c r="DB21" t="e">
        <f>AND('POTENCIAL HORAS'!R277,"AAAAAF9Lcmk=")</f>
        <v>#VALUE!</v>
      </c>
      <c r="DC21" t="e">
        <f>IF('POTENCIAL HORAS'!#REF!,"AAAAAF9Lcmo=",0)</f>
        <v>#REF!</v>
      </c>
      <c r="DD21" t="e">
        <f>AND('POTENCIAL HORAS'!#REF!,"AAAAAF9Lcms=")</f>
        <v>#REF!</v>
      </c>
      <c r="DE21" t="e">
        <f>AND('POTENCIAL HORAS'!#REF!,"AAAAAF9Lcmw=")</f>
        <v>#REF!</v>
      </c>
      <c r="DF21" t="e">
        <f>AND('POTENCIAL HORAS'!#REF!,"AAAAAF9Lcm0=")</f>
        <v>#REF!</v>
      </c>
      <c r="DG21" t="e">
        <f>AND('POTENCIAL HORAS'!#REF!,"AAAAAF9Lcm4=")</f>
        <v>#REF!</v>
      </c>
      <c r="DH21" t="e">
        <f>AND('POTENCIAL HORAS'!#REF!,"AAAAAF9Lcm8=")</f>
        <v>#REF!</v>
      </c>
      <c r="DI21" t="e">
        <f>AND('POTENCIAL HORAS'!#REF!,"AAAAAF9LcnA=")</f>
        <v>#REF!</v>
      </c>
      <c r="DJ21" t="e">
        <f>AND('POTENCIAL HORAS'!#REF!,"AAAAAF9LcnE=")</f>
        <v>#REF!</v>
      </c>
      <c r="DK21" t="e">
        <f>AND('POTENCIAL HORAS'!#REF!,"AAAAAF9LcnI=")</f>
        <v>#REF!</v>
      </c>
      <c r="DL21" t="e">
        <f>AND('POTENCIAL HORAS'!#REF!,"AAAAAF9LcnM=")</f>
        <v>#REF!</v>
      </c>
      <c r="DM21" t="e">
        <f>AND('POTENCIAL HORAS'!#REF!,"AAAAAF9LcnQ=")</f>
        <v>#REF!</v>
      </c>
      <c r="DN21" t="e">
        <f>AND('POTENCIAL HORAS'!#REF!,"AAAAAF9LcnU=")</f>
        <v>#REF!</v>
      </c>
      <c r="DO21" t="e">
        <f>AND('POTENCIAL HORAS'!#REF!,"AAAAAF9LcnY=")</f>
        <v>#REF!</v>
      </c>
      <c r="DP21" t="e">
        <f>AND('POTENCIAL HORAS'!#REF!,"AAAAAF9Lcnc=")</f>
        <v>#REF!</v>
      </c>
      <c r="DQ21" t="e">
        <f>AND('POTENCIAL HORAS'!#REF!,"AAAAAF9Lcng=")</f>
        <v>#REF!</v>
      </c>
      <c r="DR21" t="e">
        <f>AND('POTENCIAL HORAS'!#REF!,"AAAAAF9Lcnk=")</f>
        <v>#REF!</v>
      </c>
      <c r="DS21" t="e">
        <f>AND('POTENCIAL HORAS'!#REF!,"AAAAAF9Lcno=")</f>
        <v>#REF!</v>
      </c>
      <c r="DT21" t="e">
        <f>AND('POTENCIAL HORAS'!#REF!,"AAAAAF9Lcns=")</f>
        <v>#REF!</v>
      </c>
      <c r="DU21" t="e">
        <f>AND('POTENCIAL HORAS'!#REF!,"AAAAAF9Lcnw=")</f>
        <v>#REF!</v>
      </c>
      <c r="DV21" t="e">
        <f>AND('POTENCIAL HORAS'!#REF!,"AAAAAF9Lcn0=")</f>
        <v>#REF!</v>
      </c>
      <c r="DW21" t="e">
        <f>AND('POTENCIAL HORAS'!#REF!,"AAAAAF9Lcn4=")</f>
        <v>#REF!</v>
      </c>
      <c r="DX21" t="e">
        <f>AND('POTENCIAL HORAS'!#REF!,"AAAAAF9Lcn8=")</f>
        <v>#REF!</v>
      </c>
      <c r="DY21" t="e">
        <f>AND('POTENCIAL HORAS'!#REF!,"AAAAAF9LcoA=")</f>
        <v>#REF!</v>
      </c>
      <c r="DZ21" t="e">
        <f>AND('POTENCIAL HORAS'!#REF!,"AAAAAF9LcoE=")</f>
        <v>#REF!</v>
      </c>
      <c r="EA21" t="e">
        <f>AND('POTENCIAL HORAS'!#REF!,"AAAAAF9LcoI=")</f>
        <v>#REF!</v>
      </c>
      <c r="EB21" t="e">
        <f>AND('POTENCIAL HORAS'!#REF!,"AAAAAF9LcoM=")</f>
        <v>#REF!</v>
      </c>
      <c r="EC21" t="e">
        <f>AND('POTENCIAL HORAS'!#REF!,"AAAAAF9LcoQ=")</f>
        <v>#REF!</v>
      </c>
      <c r="ED21" t="e">
        <f>AND('POTENCIAL HORAS'!#REF!,"AAAAAF9LcoU=")</f>
        <v>#REF!</v>
      </c>
      <c r="EE21" t="e">
        <f>AND('POTENCIAL HORAS'!#REF!,"AAAAAF9LcoY=")</f>
        <v>#REF!</v>
      </c>
      <c r="EF21" t="e">
        <f>AND('POTENCIAL HORAS'!#REF!,"AAAAAF9Lcoc=")</f>
        <v>#REF!</v>
      </c>
      <c r="EG21" t="e">
        <f>AND('POTENCIAL HORAS'!#REF!,"AAAAAF9Lcog=")</f>
        <v>#REF!</v>
      </c>
      <c r="EH21" t="e">
        <f>AND('POTENCIAL HORAS'!#REF!,"AAAAAF9Lcok=")</f>
        <v>#REF!</v>
      </c>
      <c r="EI21" t="e">
        <f>AND('POTENCIAL HORAS'!#REF!,"AAAAAF9Lcoo=")</f>
        <v>#REF!</v>
      </c>
      <c r="EJ21" t="e">
        <f>AND('POTENCIAL HORAS'!#REF!,"AAAAAF9Lcos=")</f>
        <v>#REF!</v>
      </c>
      <c r="EK21" t="e">
        <f>AND('POTENCIAL HORAS'!#REF!,"AAAAAF9Lcow=")</f>
        <v>#REF!</v>
      </c>
      <c r="EL21" t="e">
        <f>AND('POTENCIAL HORAS'!#REF!,"AAAAAF9Lco0=")</f>
        <v>#REF!</v>
      </c>
      <c r="EM21" t="e">
        <f>AND('POTENCIAL HORAS'!#REF!,"AAAAAF9Lco4=")</f>
        <v>#REF!</v>
      </c>
      <c r="EN21" t="e">
        <f>AND('POTENCIAL HORAS'!#REF!,"AAAAAF9Lco8=")</f>
        <v>#REF!</v>
      </c>
      <c r="EO21" t="e">
        <f>AND('POTENCIAL HORAS'!#REF!,"AAAAAF9LcpA=")</f>
        <v>#REF!</v>
      </c>
      <c r="EP21">
        <f>IF('POTENCIAL HORAS'!278:278,"AAAAAF9LcpE=",0)</f>
        <v>0</v>
      </c>
      <c r="EQ21" t="e">
        <f>AND('POTENCIAL HORAS'!A278,"AAAAAF9LcpI=")</f>
        <v>#VALUE!</v>
      </c>
      <c r="ER21" t="e">
        <f>AND('POTENCIAL HORAS'!B278,"AAAAAF9LcpM=")</f>
        <v>#VALUE!</v>
      </c>
      <c r="ES21" t="e">
        <f>AND('POTENCIAL HORAS'!C278,"AAAAAF9LcpQ=")</f>
        <v>#VALUE!</v>
      </c>
      <c r="ET21" t="e">
        <f>AND('POTENCIAL HORAS'!D278,"AAAAAF9LcpU=")</f>
        <v>#VALUE!</v>
      </c>
      <c r="EU21" t="e">
        <f>AND('POTENCIAL HORAS'!E278,"AAAAAF9LcpY=")</f>
        <v>#VALUE!</v>
      </c>
      <c r="EV21" t="e">
        <f>AND('POTENCIAL HORAS'!F278,"AAAAAF9Lcpc=")</f>
        <v>#VALUE!</v>
      </c>
      <c r="EW21" t="e">
        <f>AND('POTENCIAL HORAS'!G278,"AAAAAF9Lcpg=")</f>
        <v>#VALUE!</v>
      </c>
      <c r="EX21" t="e">
        <f>AND('POTENCIAL HORAS'!H278,"AAAAAF9Lcpk=")</f>
        <v>#VALUE!</v>
      </c>
      <c r="EY21" t="e">
        <f>AND('POTENCIAL HORAS'!I278,"AAAAAF9Lcpo=")</f>
        <v>#VALUE!</v>
      </c>
      <c r="EZ21" t="e">
        <f>AND('POTENCIAL HORAS'!J278,"AAAAAF9Lcps=")</f>
        <v>#VALUE!</v>
      </c>
      <c r="FA21" t="e">
        <f>AND('POTENCIAL HORAS'!K278,"AAAAAF9Lcpw=")</f>
        <v>#VALUE!</v>
      </c>
      <c r="FB21" t="e">
        <f>AND('POTENCIAL HORAS'!L278,"AAAAAF9Lcp0=")</f>
        <v>#VALUE!</v>
      </c>
      <c r="FC21" t="e">
        <f>AND('POTENCIAL HORAS'!M278,"AAAAAF9Lcp4=")</f>
        <v>#VALUE!</v>
      </c>
      <c r="FD21" t="e">
        <f>AND('POTENCIAL HORAS'!N278,"AAAAAF9Lcp8=")</f>
        <v>#VALUE!</v>
      </c>
      <c r="FE21" t="e">
        <f>AND('POTENCIAL HORAS'!O278,"AAAAAF9LcqA=")</f>
        <v>#VALUE!</v>
      </c>
      <c r="FF21" t="e">
        <f>AND('POTENCIAL HORAS'!P278,"AAAAAF9LcqE=")</f>
        <v>#VALUE!</v>
      </c>
      <c r="FG21" t="e">
        <f>AND('POTENCIAL HORAS'!#REF!,"AAAAAF9LcqI=")</f>
        <v>#REF!</v>
      </c>
      <c r="FH21" t="e">
        <f>AND('POTENCIAL HORAS'!#REF!,"AAAAAF9LcqM=")</f>
        <v>#REF!</v>
      </c>
      <c r="FI21" t="e">
        <f>AND('POTENCIAL HORAS'!#REF!,"AAAAAF9LcqQ=")</f>
        <v>#REF!</v>
      </c>
      <c r="FJ21" t="e">
        <f>AND('POTENCIAL HORAS'!#REF!,"AAAAAF9LcqU=")</f>
        <v>#REF!</v>
      </c>
      <c r="FK21" t="e">
        <f>AND('POTENCIAL HORAS'!#REF!,"AAAAAF9LcqY=")</f>
        <v>#REF!</v>
      </c>
      <c r="FL21" t="e">
        <f>AND('POTENCIAL HORAS'!#REF!,"AAAAAF9Lcqc=")</f>
        <v>#REF!</v>
      </c>
      <c r="FM21" t="e">
        <f>AND('POTENCIAL HORAS'!#REF!,"AAAAAF9Lcqg=")</f>
        <v>#REF!</v>
      </c>
      <c r="FN21" t="e">
        <f>AND('POTENCIAL HORAS'!#REF!,"AAAAAF9Lcqk=")</f>
        <v>#REF!</v>
      </c>
      <c r="FO21" t="e">
        <f>AND('POTENCIAL HORAS'!#REF!,"AAAAAF9Lcqo=")</f>
        <v>#REF!</v>
      </c>
      <c r="FP21" t="e">
        <f>AND('POTENCIAL HORAS'!#REF!,"AAAAAF9Lcqs=")</f>
        <v>#REF!</v>
      </c>
      <c r="FQ21" t="e">
        <f>AND('POTENCIAL HORAS'!#REF!,"AAAAAF9Lcqw=")</f>
        <v>#REF!</v>
      </c>
      <c r="FR21" t="e">
        <f>AND('POTENCIAL HORAS'!#REF!,"AAAAAF9Lcq0=")</f>
        <v>#REF!</v>
      </c>
      <c r="FS21" t="e">
        <f>AND('POTENCIAL HORAS'!#REF!,"AAAAAF9Lcq4=")</f>
        <v>#REF!</v>
      </c>
      <c r="FT21" t="e">
        <f>AND('POTENCIAL HORAS'!#REF!,"AAAAAF9Lcq8=")</f>
        <v>#REF!</v>
      </c>
      <c r="FU21" t="e">
        <f>AND('POTENCIAL HORAS'!#REF!,"AAAAAF9LcrA=")</f>
        <v>#REF!</v>
      </c>
      <c r="FV21" t="e">
        <f>AND('POTENCIAL HORAS'!#REF!,"AAAAAF9LcrE=")</f>
        <v>#REF!</v>
      </c>
      <c r="FW21" t="e">
        <f>AND('POTENCIAL HORAS'!#REF!,"AAAAAF9LcrI=")</f>
        <v>#REF!</v>
      </c>
      <c r="FX21" t="e">
        <f>AND('POTENCIAL HORAS'!#REF!,"AAAAAF9LcrM=")</f>
        <v>#REF!</v>
      </c>
      <c r="FY21" t="e">
        <f>AND('POTENCIAL HORAS'!#REF!,"AAAAAF9LcrQ=")</f>
        <v>#REF!</v>
      </c>
      <c r="FZ21" t="e">
        <f>AND('POTENCIAL HORAS'!#REF!,"AAAAAF9LcrU=")</f>
        <v>#REF!</v>
      </c>
      <c r="GA21" t="e">
        <f>AND('POTENCIAL HORAS'!Q278,"AAAAAF9LcrY=")</f>
        <v>#VALUE!</v>
      </c>
      <c r="GB21" t="e">
        <f>AND('POTENCIAL HORAS'!R278,"AAAAAF9Lcrc=")</f>
        <v>#VALUE!</v>
      </c>
      <c r="GC21" t="e">
        <f>IF('POTENCIAL HORAS'!#REF!,"AAAAAF9Lcrg=",0)</f>
        <v>#REF!</v>
      </c>
      <c r="GD21" t="e">
        <f>AND('POTENCIAL HORAS'!#REF!,"AAAAAF9Lcrk=")</f>
        <v>#REF!</v>
      </c>
      <c r="GE21" t="e">
        <f>AND('POTENCIAL HORAS'!#REF!,"AAAAAF9Lcro=")</f>
        <v>#REF!</v>
      </c>
      <c r="GF21" t="e">
        <f>AND('POTENCIAL HORAS'!#REF!,"AAAAAF9Lcrs=")</f>
        <v>#REF!</v>
      </c>
      <c r="GG21" t="e">
        <f>AND('POTENCIAL HORAS'!#REF!,"AAAAAF9Lcrw=")</f>
        <v>#REF!</v>
      </c>
      <c r="GH21" t="e">
        <f>AND('POTENCIAL HORAS'!#REF!,"AAAAAF9Lcr0=")</f>
        <v>#REF!</v>
      </c>
      <c r="GI21" t="e">
        <f>AND('POTENCIAL HORAS'!#REF!,"AAAAAF9Lcr4=")</f>
        <v>#REF!</v>
      </c>
      <c r="GJ21" t="e">
        <f>AND('POTENCIAL HORAS'!#REF!,"AAAAAF9Lcr8=")</f>
        <v>#REF!</v>
      </c>
      <c r="GK21" t="e">
        <f>AND('POTENCIAL HORAS'!#REF!,"AAAAAF9LcsA=")</f>
        <v>#REF!</v>
      </c>
      <c r="GL21" t="e">
        <f>AND('POTENCIAL HORAS'!#REF!,"AAAAAF9LcsE=")</f>
        <v>#REF!</v>
      </c>
      <c r="GM21" t="e">
        <f>AND('POTENCIAL HORAS'!#REF!,"AAAAAF9LcsI=")</f>
        <v>#REF!</v>
      </c>
      <c r="GN21" t="e">
        <f>AND('POTENCIAL HORAS'!#REF!,"AAAAAF9LcsM=")</f>
        <v>#REF!</v>
      </c>
      <c r="GO21" t="e">
        <f>AND('POTENCIAL HORAS'!#REF!,"AAAAAF9LcsQ=")</f>
        <v>#REF!</v>
      </c>
      <c r="GP21" t="e">
        <f>AND('POTENCIAL HORAS'!#REF!,"AAAAAF9LcsU=")</f>
        <v>#REF!</v>
      </c>
      <c r="GQ21" t="e">
        <f>AND('POTENCIAL HORAS'!#REF!,"AAAAAF9LcsY=")</f>
        <v>#REF!</v>
      </c>
      <c r="GR21" t="e">
        <f>AND('POTENCIAL HORAS'!#REF!,"AAAAAF9Lcsc=")</f>
        <v>#REF!</v>
      </c>
      <c r="GS21" t="e">
        <f>AND('POTENCIAL HORAS'!#REF!,"AAAAAF9Lcsg=")</f>
        <v>#REF!</v>
      </c>
      <c r="GT21" t="e">
        <f>AND('POTENCIAL HORAS'!#REF!,"AAAAAF9Lcsk=")</f>
        <v>#REF!</v>
      </c>
      <c r="GU21" t="e">
        <f>AND('POTENCIAL HORAS'!#REF!,"AAAAAF9Lcso=")</f>
        <v>#REF!</v>
      </c>
      <c r="GV21" t="e">
        <f>AND('POTENCIAL HORAS'!#REF!,"AAAAAF9Lcss=")</f>
        <v>#REF!</v>
      </c>
      <c r="GW21" t="e">
        <f>AND('POTENCIAL HORAS'!#REF!,"AAAAAF9Lcsw=")</f>
        <v>#REF!</v>
      </c>
      <c r="GX21" t="e">
        <f>AND('POTENCIAL HORAS'!#REF!,"AAAAAF9Lcs0=")</f>
        <v>#REF!</v>
      </c>
      <c r="GY21" t="e">
        <f>AND('POTENCIAL HORAS'!#REF!,"AAAAAF9Lcs4=")</f>
        <v>#REF!</v>
      </c>
      <c r="GZ21" t="e">
        <f>AND('POTENCIAL HORAS'!#REF!,"AAAAAF9Lcs8=")</f>
        <v>#REF!</v>
      </c>
      <c r="HA21" t="e">
        <f>AND('POTENCIAL HORAS'!#REF!,"AAAAAF9LctA=")</f>
        <v>#REF!</v>
      </c>
      <c r="HB21" t="e">
        <f>AND('POTENCIAL HORAS'!#REF!,"AAAAAF9LctE=")</f>
        <v>#REF!</v>
      </c>
      <c r="HC21" t="e">
        <f>AND('POTENCIAL HORAS'!#REF!,"AAAAAF9LctI=")</f>
        <v>#REF!</v>
      </c>
      <c r="HD21" t="e">
        <f>AND('POTENCIAL HORAS'!#REF!,"AAAAAF9LctM=")</f>
        <v>#REF!</v>
      </c>
      <c r="HE21" t="e">
        <f>AND('POTENCIAL HORAS'!#REF!,"AAAAAF9LctQ=")</f>
        <v>#REF!</v>
      </c>
      <c r="HF21" t="e">
        <f>AND('POTENCIAL HORAS'!#REF!,"AAAAAF9LctU=")</f>
        <v>#REF!</v>
      </c>
      <c r="HG21" t="e">
        <f>AND('POTENCIAL HORAS'!#REF!,"AAAAAF9LctY=")</f>
        <v>#REF!</v>
      </c>
      <c r="HH21" t="e">
        <f>AND('POTENCIAL HORAS'!#REF!,"AAAAAF9Lctc=")</f>
        <v>#REF!</v>
      </c>
      <c r="HI21" t="e">
        <f>AND('POTENCIAL HORAS'!#REF!,"AAAAAF9Lctg=")</f>
        <v>#REF!</v>
      </c>
      <c r="HJ21" t="e">
        <f>AND('POTENCIAL HORAS'!#REF!,"AAAAAF9Lctk=")</f>
        <v>#REF!</v>
      </c>
      <c r="HK21" t="e">
        <f>AND('POTENCIAL HORAS'!#REF!,"AAAAAF9Lcto=")</f>
        <v>#REF!</v>
      </c>
      <c r="HL21" t="e">
        <f>AND('POTENCIAL HORAS'!#REF!,"AAAAAF9Lcts=")</f>
        <v>#REF!</v>
      </c>
      <c r="HM21" t="e">
        <f>AND('POTENCIAL HORAS'!#REF!,"AAAAAF9Lctw=")</f>
        <v>#REF!</v>
      </c>
      <c r="HN21" t="e">
        <f>AND('POTENCIAL HORAS'!#REF!,"AAAAAF9Lct0=")</f>
        <v>#REF!</v>
      </c>
      <c r="HO21" t="e">
        <f>AND('POTENCIAL HORAS'!#REF!,"AAAAAF9Lct4=")</f>
        <v>#REF!</v>
      </c>
      <c r="HP21">
        <f>IF('POTENCIAL HORAS'!280:280,"AAAAAF9Lct8=",0)</f>
        <v>0</v>
      </c>
      <c r="HQ21" t="e">
        <f>AND('POTENCIAL HORAS'!A280,"AAAAAF9LcuA=")</f>
        <v>#VALUE!</v>
      </c>
      <c r="HR21" t="e">
        <f>AND('POTENCIAL HORAS'!B280,"AAAAAF9LcuE=")</f>
        <v>#VALUE!</v>
      </c>
      <c r="HS21" t="e">
        <f>AND('POTENCIAL HORAS'!C280,"AAAAAF9LcuI=")</f>
        <v>#VALUE!</v>
      </c>
      <c r="HT21" t="e">
        <f>AND('POTENCIAL HORAS'!D280,"AAAAAF9LcuM=")</f>
        <v>#VALUE!</v>
      </c>
      <c r="HU21" t="e">
        <f>AND('POTENCIAL HORAS'!E280,"AAAAAF9LcuQ=")</f>
        <v>#VALUE!</v>
      </c>
      <c r="HV21" t="e">
        <f>AND('POTENCIAL HORAS'!F280,"AAAAAF9LcuU=")</f>
        <v>#VALUE!</v>
      </c>
      <c r="HW21" t="e">
        <f>AND('POTENCIAL HORAS'!G280,"AAAAAF9LcuY=")</f>
        <v>#VALUE!</v>
      </c>
      <c r="HX21" t="e">
        <f>AND('POTENCIAL HORAS'!H280,"AAAAAF9Lcuc=")</f>
        <v>#VALUE!</v>
      </c>
      <c r="HY21" t="e">
        <f>AND('POTENCIAL HORAS'!I280,"AAAAAF9Lcug=")</f>
        <v>#VALUE!</v>
      </c>
      <c r="HZ21" t="e">
        <f>AND('POTENCIAL HORAS'!J280,"AAAAAF9Lcuk=")</f>
        <v>#VALUE!</v>
      </c>
      <c r="IA21" t="e">
        <f>AND('POTENCIAL HORAS'!K280,"AAAAAF9Lcuo=")</f>
        <v>#VALUE!</v>
      </c>
      <c r="IB21" t="e">
        <f>AND('POTENCIAL HORAS'!L280,"AAAAAF9Lcus=")</f>
        <v>#VALUE!</v>
      </c>
      <c r="IC21" t="e">
        <f>AND('POTENCIAL HORAS'!M280,"AAAAAF9Lcuw=")</f>
        <v>#VALUE!</v>
      </c>
      <c r="ID21" t="e">
        <f>AND('POTENCIAL HORAS'!N280,"AAAAAF9Lcu0=")</f>
        <v>#VALUE!</v>
      </c>
      <c r="IE21" t="e">
        <f>AND('POTENCIAL HORAS'!O280,"AAAAAF9Lcu4=")</f>
        <v>#VALUE!</v>
      </c>
      <c r="IF21" t="e">
        <f>AND('POTENCIAL HORAS'!P280,"AAAAAF9Lcu8=")</f>
        <v>#VALUE!</v>
      </c>
      <c r="IG21" t="e">
        <f>AND('POTENCIAL HORAS'!#REF!,"AAAAAF9LcvA=")</f>
        <v>#REF!</v>
      </c>
      <c r="IH21" t="e">
        <f>AND('POTENCIAL HORAS'!#REF!,"AAAAAF9LcvE=")</f>
        <v>#REF!</v>
      </c>
      <c r="II21" t="e">
        <f>AND('POTENCIAL HORAS'!#REF!,"AAAAAF9LcvI=")</f>
        <v>#REF!</v>
      </c>
      <c r="IJ21" t="e">
        <f>AND('POTENCIAL HORAS'!#REF!,"AAAAAF9LcvM=")</f>
        <v>#REF!</v>
      </c>
      <c r="IK21" t="e">
        <f>AND('POTENCIAL HORAS'!#REF!,"AAAAAF9LcvQ=")</f>
        <v>#REF!</v>
      </c>
      <c r="IL21" t="e">
        <f>AND('POTENCIAL HORAS'!#REF!,"AAAAAF9LcvU=")</f>
        <v>#REF!</v>
      </c>
      <c r="IM21" t="e">
        <f>AND('POTENCIAL HORAS'!#REF!,"AAAAAF9LcvY=")</f>
        <v>#REF!</v>
      </c>
      <c r="IN21" t="e">
        <f>AND('POTENCIAL HORAS'!#REF!,"AAAAAF9Lcvc=")</f>
        <v>#REF!</v>
      </c>
      <c r="IO21" t="e">
        <f>AND('POTENCIAL HORAS'!#REF!,"AAAAAF9Lcvg=")</f>
        <v>#REF!</v>
      </c>
      <c r="IP21" t="e">
        <f>AND('POTENCIAL HORAS'!#REF!,"AAAAAF9Lcvk=")</f>
        <v>#REF!</v>
      </c>
      <c r="IQ21" t="e">
        <f>AND('POTENCIAL HORAS'!#REF!,"AAAAAF9Lcvo=")</f>
        <v>#REF!</v>
      </c>
      <c r="IR21" t="e">
        <f>AND('POTENCIAL HORAS'!#REF!,"AAAAAF9Lcvs=")</f>
        <v>#REF!</v>
      </c>
      <c r="IS21" t="e">
        <f>AND('POTENCIAL HORAS'!#REF!,"AAAAAF9Lcvw=")</f>
        <v>#REF!</v>
      </c>
      <c r="IT21" t="e">
        <f>AND('POTENCIAL HORAS'!#REF!,"AAAAAF9Lcv0=")</f>
        <v>#REF!</v>
      </c>
      <c r="IU21" t="e">
        <f>AND('POTENCIAL HORAS'!#REF!,"AAAAAF9Lcv4=")</f>
        <v>#REF!</v>
      </c>
      <c r="IV21" t="e">
        <f>AND('POTENCIAL HORAS'!#REF!,"AAAAAF9Lcv8=")</f>
        <v>#REF!</v>
      </c>
    </row>
    <row r="22" spans="1:256" x14ac:dyDescent="0.2">
      <c r="A22" t="e">
        <f>AND('POTENCIAL HORAS'!#REF!,"AAAAAC+5twA=")</f>
        <v>#REF!</v>
      </c>
      <c r="B22" t="e">
        <f>AND('POTENCIAL HORAS'!#REF!,"AAAAAC+5twE=")</f>
        <v>#REF!</v>
      </c>
      <c r="C22" t="e">
        <f>AND('POTENCIAL HORAS'!#REF!,"AAAAAC+5twI=")</f>
        <v>#REF!</v>
      </c>
      <c r="D22" t="e">
        <f>AND('POTENCIAL HORAS'!#REF!,"AAAAAC+5twM=")</f>
        <v>#REF!</v>
      </c>
      <c r="E22" t="e">
        <f>AND('POTENCIAL HORAS'!Q280,"AAAAAC+5twQ=")</f>
        <v>#VALUE!</v>
      </c>
      <c r="F22" t="e">
        <f>AND('POTENCIAL HORAS'!R280,"AAAAAC+5twU=")</f>
        <v>#VALUE!</v>
      </c>
      <c r="G22">
        <f>IF('POTENCIAL HORAS'!281:281,"AAAAAC+5twY=",0)</f>
        <v>0</v>
      </c>
      <c r="H22" t="e">
        <f>AND('POTENCIAL HORAS'!A281,"AAAAAC+5twc=")</f>
        <v>#VALUE!</v>
      </c>
      <c r="I22" t="e">
        <f>AND('POTENCIAL HORAS'!B281,"AAAAAC+5twg=")</f>
        <v>#VALUE!</v>
      </c>
      <c r="J22" t="e">
        <f>AND('POTENCIAL HORAS'!C281,"AAAAAC+5twk=")</f>
        <v>#VALUE!</v>
      </c>
      <c r="K22" t="e">
        <f>AND('POTENCIAL HORAS'!D281,"AAAAAC+5two=")</f>
        <v>#VALUE!</v>
      </c>
      <c r="L22" t="e">
        <f>AND('POTENCIAL HORAS'!E281,"AAAAAC+5tws=")</f>
        <v>#VALUE!</v>
      </c>
      <c r="M22" t="e">
        <f>AND('POTENCIAL HORAS'!F281,"AAAAAC+5tww=")</f>
        <v>#VALUE!</v>
      </c>
      <c r="N22" t="e">
        <f>AND('POTENCIAL HORAS'!G281,"AAAAAC+5tw0=")</f>
        <v>#VALUE!</v>
      </c>
      <c r="O22" t="e">
        <f>AND('POTENCIAL HORAS'!H281,"AAAAAC+5tw4=")</f>
        <v>#VALUE!</v>
      </c>
      <c r="P22" t="e">
        <f>AND('POTENCIAL HORAS'!I281,"AAAAAC+5tw8=")</f>
        <v>#VALUE!</v>
      </c>
      <c r="Q22" t="e">
        <f>AND('POTENCIAL HORAS'!J281,"AAAAAC+5txA=")</f>
        <v>#VALUE!</v>
      </c>
      <c r="R22" t="e">
        <f>AND('POTENCIAL HORAS'!K281,"AAAAAC+5txE=")</f>
        <v>#VALUE!</v>
      </c>
      <c r="S22" t="e">
        <f>AND('POTENCIAL HORAS'!L281,"AAAAAC+5txI=")</f>
        <v>#VALUE!</v>
      </c>
      <c r="T22" t="e">
        <f>AND('POTENCIAL HORAS'!M281,"AAAAAC+5txM=")</f>
        <v>#VALUE!</v>
      </c>
      <c r="U22" t="e">
        <f>AND('POTENCIAL HORAS'!N281,"AAAAAC+5txQ=")</f>
        <v>#VALUE!</v>
      </c>
      <c r="V22" t="e">
        <f>AND('POTENCIAL HORAS'!O281,"AAAAAC+5txU=")</f>
        <v>#VALUE!</v>
      </c>
      <c r="W22" t="e">
        <f>AND('POTENCIAL HORAS'!P281,"AAAAAC+5txY=")</f>
        <v>#VALUE!</v>
      </c>
      <c r="X22" t="e">
        <f>AND('POTENCIAL HORAS'!#REF!,"AAAAAC+5txc=")</f>
        <v>#REF!</v>
      </c>
      <c r="Y22" t="e">
        <f>AND('POTENCIAL HORAS'!#REF!,"AAAAAC+5txg=")</f>
        <v>#REF!</v>
      </c>
      <c r="Z22" t="e">
        <f>AND('POTENCIAL HORAS'!#REF!,"AAAAAC+5txk=")</f>
        <v>#REF!</v>
      </c>
      <c r="AA22" t="e">
        <f>AND('POTENCIAL HORAS'!#REF!,"AAAAAC+5txo=")</f>
        <v>#REF!</v>
      </c>
      <c r="AB22" t="e">
        <f>AND('POTENCIAL HORAS'!#REF!,"AAAAAC+5txs=")</f>
        <v>#REF!</v>
      </c>
      <c r="AC22" t="e">
        <f>AND('POTENCIAL HORAS'!#REF!,"AAAAAC+5txw=")</f>
        <v>#REF!</v>
      </c>
      <c r="AD22" t="e">
        <f>AND('POTENCIAL HORAS'!#REF!,"AAAAAC+5tx0=")</f>
        <v>#REF!</v>
      </c>
      <c r="AE22" t="e">
        <f>AND('POTENCIAL HORAS'!#REF!,"AAAAAC+5tx4=")</f>
        <v>#REF!</v>
      </c>
      <c r="AF22" t="e">
        <f>AND('POTENCIAL HORAS'!#REF!,"AAAAAC+5tx8=")</f>
        <v>#REF!</v>
      </c>
      <c r="AG22" t="e">
        <f>AND('POTENCIAL HORAS'!#REF!,"AAAAAC+5tyA=")</f>
        <v>#REF!</v>
      </c>
      <c r="AH22" t="e">
        <f>AND('POTENCIAL HORAS'!#REF!,"AAAAAC+5tyE=")</f>
        <v>#REF!</v>
      </c>
      <c r="AI22" t="e">
        <f>AND('POTENCIAL HORAS'!#REF!,"AAAAAC+5tyI=")</f>
        <v>#REF!</v>
      </c>
      <c r="AJ22" t="e">
        <f>AND('POTENCIAL HORAS'!#REF!,"AAAAAC+5tyM=")</f>
        <v>#REF!</v>
      </c>
      <c r="AK22" t="e">
        <f>AND('POTENCIAL HORAS'!#REF!,"AAAAAC+5tyQ=")</f>
        <v>#REF!</v>
      </c>
      <c r="AL22" t="e">
        <f>AND('POTENCIAL HORAS'!#REF!,"AAAAAC+5tyU=")</f>
        <v>#REF!</v>
      </c>
      <c r="AM22" t="e">
        <f>AND('POTENCIAL HORAS'!#REF!,"AAAAAC+5tyY=")</f>
        <v>#REF!</v>
      </c>
      <c r="AN22" t="e">
        <f>AND('POTENCIAL HORAS'!#REF!,"AAAAAC+5tyc=")</f>
        <v>#REF!</v>
      </c>
      <c r="AO22" t="e">
        <f>AND('POTENCIAL HORAS'!#REF!,"AAAAAC+5tyg=")</f>
        <v>#REF!</v>
      </c>
      <c r="AP22" t="e">
        <f>AND('POTENCIAL HORAS'!#REF!,"AAAAAC+5tyk=")</f>
        <v>#REF!</v>
      </c>
      <c r="AQ22" t="e">
        <f>AND('POTENCIAL HORAS'!#REF!,"AAAAAC+5tyo=")</f>
        <v>#REF!</v>
      </c>
      <c r="AR22" t="e">
        <f>AND('POTENCIAL HORAS'!Q281,"AAAAAC+5tys=")</f>
        <v>#VALUE!</v>
      </c>
      <c r="AS22" t="e">
        <f>AND('POTENCIAL HORAS'!R281,"AAAAAC+5tyw=")</f>
        <v>#VALUE!</v>
      </c>
      <c r="AT22">
        <f>IF('POTENCIAL HORAS'!282:282,"AAAAAC+5ty0=",0)</f>
        <v>0</v>
      </c>
      <c r="AU22" t="e">
        <f>AND('POTENCIAL HORAS'!A282,"AAAAAC+5ty4=")</f>
        <v>#VALUE!</v>
      </c>
      <c r="AV22" t="e">
        <f>AND('POTENCIAL HORAS'!B282,"AAAAAC+5ty8=")</f>
        <v>#VALUE!</v>
      </c>
      <c r="AW22" t="e">
        <f>AND('POTENCIAL HORAS'!C282,"AAAAAC+5tzA=")</f>
        <v>#VALUE!</v>
      </c>
      <c r="AX22" t="e">
        <f>AND('POTENCIAL HORAS'!D282,"AAAAAC+5tzE=")</f>
        <v>#VALUE!</v>
      </c>
      <c r="AY22" t="e">
        <f>AND('POTENCIAL HORAS'!E282,"AAAAAC+5tzI=")</f>
        <v>#VALUE!</v>
      </c>
      <c r="AZ22" t="e">
        <f>AND('POTENCIAL HORAS'!F282,"AAAAAC+5tzM=")</f>
        <v>#VALUE!</v>
      </c>
      <c r="BA22" t="e">
        <f>AND('POTENCIAL HORAS'!G282,"AAAAAC+5tzQ=")</f>
        <v>#VALUE!</v>
      </c>
      <c r="BB22" t="e">
        <f>AND('POTENCIAL HORAS'!H282,"AAAAAC+5tzU=")</f>
        <v>#VALUE!</v>
      </c>
      <c r="BC22" t="e">
        <f>AND('POTENCIAL HORAS'!I282,"AAAAAC+5tzY=")</f>
        <v>#VALUE!</v>
      </c>
      <c r="BD22" t="e">
        <f>AND('POTENCIAL HORAS'!J282,"AAAAAC+5tzc=")</f>
        <v>#VALUE!</v>
      </c>
      <c r="BE22" t="e">
        <f>AND('POTENCIAL HORAS'!K282,"AAAAAC+5tzg=")</f>
        <v>#VALUE!</v>
      </c>
      <c r="BF22" t="e">
        <f>AND('POTENCIAL HORAS'!L282,"AAAAAC+5tzk=")</f>
        <v>#VALUE!</v>
      </c>
      <c r="BG22" t="e">
        <f>AND('POTENCIAL HORAS'!M282,"AAAAAC+5tzo=")</f>
        <v>#VALUE!</v>
      </c>
      <c r="BH22" t="e">
        <f>AND('POTENCIAL HORAS'!N282,"AAAAAC+5tzs=")</f>
        <v>#VALUE!</v>
      </c>
      <c r="BI22" t="e">
        <f>AND('POTENCIAL HORAS'!O282,"AAAAAC+5tzw=")</f>
        <v>#VALUE!</v>
      </c>
      <c r="BJ22" t="e">
        <f>AND('POTENCIAL HORAS'!P282,"AAAAAC+5tz0=")</f>
        <v>#VALUE!</v>
      </c>
      <c r="BK22" t="e">
        <f>AND('POTENCIAL HORAS'!#REF!,"AAAAAC+5tz4=")</f>
        <v>#REF!</v>
      </c>
      <c r="BL22" t="e">
        <f>AND('POTENCIAL HORAS'!#REF!,"AAAAAC+5tz8=")</f>
        <v>#REF!</v>
      </c>
      <c r="BM22" t="e">
        <f>AND('POTENCIAL HORAS'!#REF!,"AAAAAC+5t0A=")</f>
        <v>#REF!</v>
      </c>
      <c r="BN22" t="e">
        <f>AND('POTENCIAL HORAS'!#REF!,"AAAAAC+5t0E=")</f>
        <v>#REF!</v>
      </c>
      <c r="BO22" t="e">
        <f>AND('POTENCIAL HORAS'!#REF!,"AAAAAC+5t0I=")</f>
        <v>#REF!</v>
      </c>
      <c r="BP22" t="e">
        <f>AND('POTENCIAL HORAS'!#REF!,"AAAAAC+5t0M=")</f>
        <v>#REF!</v>
      </c>
      <c r="BQ22" t="e">
        <f>AND('POTENCIAL HORAS'!#REF!,"AAAAAC+5t0Q=")</f>
        <v>#REF!</v>
      </c>
      <c r="BR22" t="e">
        <f>AND('POTENCIAL HORAS'!#REF!,"AAAAAC+5t0U=")</f>
        <v>#REF!</v>
      </c>
      <c r="BS22" t="e">
        <f>AND('POTENCIAL HORAS'!#REF!,"AAAAAC+5t0Y=")</f>
        <v>#REF!</v>
      </c>
      <c r="BT22" t="e">
        <f>AND('POTENCIAL HORAS'!#REF!,"AAAAAC+5t0c=")</f>
        <v>#REF!</v>
      </c>
      <c r="BU22" t="e">
        <f>AND('POTENCIAL HORAS'!#REF!,"AAAAAC+5t0g=")</f>
        <v>#REF!</v>
      </c>
      <c r="BV22" t="e">
        <f>AND('POTENCIAL HORAS'!#REF!,"AAAAAC+5t0k=")</f>
        <v>#REF!</v>
      </c>
      <c r="BW22" t="e">
        <f>AND('POTENCIAL HORAS'!#REF!,"AAAAAC+5t0o=")</f>
        <v>#REF!</v>
      </c>
      <c r="BX22" t="e">
        <f>AND('POTENCIAL HORAS'!#REF!,"AAAAAC+5t0s=")</f>
        <v>#REF!</v>
      </c>
      <c r="BY22" t="e">
        <f>AND('POTENCIAL HORAS'!#REF!,"AAAAAC+5t0w=")</f>
        <v>#REF!</v>
      </c>
      <c r="BZ22" t="e">
        <f>AND('POTENCIAL HORAS'!#REF!,"AAAAAC+5t00=")</f>
        <v>#REF!</v>
      </c>
      <c r="CA22" t="e">
        <f>AND('POTENCIAL HORAS'!#REF!,"AAAAAC+5t04=")</f>
        <v>#REF!</v>
      </c>
      <c r="CB22" t="e">
        <f>AND('POTENCIAL HORAS'!#REF!,"AAAAAC+5t08=")</f>
        <v>#REF!</v>
      </c>
      <c r="CC22" t="e">
        <f>AND('POTENCIAL HORAS'!#REF!,"AAAAAC+5t1A=")</f>
        <v>#REF!</v>
      </c>
      <c r="CD22" t="e">
        <f>AND('POTENCIAL HORAS'!#REF!,"AAAAAC+5t1E=")</f>
        <v>#REF!</v>
      </c>
      <c r="CE22" t="e">
        <f>AND('POTENCIAL HORAS'!Q282,"AAAAAC+5t1I=")</f>
        <v>#VALUE!</v>
      </c>
      <c r="CF22" t="e">
        <f>AND('POTENCIAL HORAS'!R282,"AAAAAC+5t1M=")</f>
        <v>#VALUE!</v>
      </c>
      <c r="CG22">
        <f>IF('POTENCIAL HORAS'!283:283,"AAAAAC+5t1Q=",0)</f>
        <v>0</v>
      </c>
      <c r="CH22" t="e">
        <f>AND('POTENCIAL HORAS'!A283,"AAAAAC+5t1U=")</f>
        <v>#VALUE!</v>
      </c>
      <c r="CI22" t="e">
        <f>AND('POTENCIAL HORAS'!B283,"AAAAAC+5t1Y=")</f>
        <v>#VALUE!</v>
      </c>
      <c r="CJ22" t="e">
        <f>AND('POTENCIAL HORAS'!C283,"AAAAAC+5t1c=")</f>
        <v>#VALUE!</v>
      </c>
      <c r="CK22" t="e">
        <f>AND('POTENCIAL HORAS'!D283,"AAAAAC+5t1g=")</f>
        <v>#VALUE!</v>
      </c>
      <c r="CL22" t="e">
        <f>AND('POTENCIAL HORAS'!E283,"AAAAAC+5t1k=")</f>
        <v>#VALUE!</v>
      </c>
      <c r="CM22" t="e">
        <f>AND('POTENCIAL HORAS'!F283,"AAAAAC+5t1o=")</f>
        <v>#VALUE!</v>
      </c>
      <c r="CN22" t="e">
        <f>AND('POTENCIAL HORAS'!G283,"AAAAAC+5t1s=")</f>
        <v>#VALUE!</v>
      </c>
      <c r="CO22" t="e">
        <f>AND('POTENCIAL HORAS'!H283,"AAAAAC+5t1w=")</f>
        <v>#VALUE!</v>
      </c>
      <c r="CP22" t="e">
        <f>AND('POTENCIAL HORAS'!I283,"AAAAAC+5t10=")</f>
        <v>#VALUE!</v>
      </c>
      <c r="CQ22" t="e">
        <f>AND('POTENCIAL HORAS'!J283,"AAAAAC+5t14=")</f>
        <v>#VALUE!</v>
      </c>
      <c r="CR22" t="e">
        <f>AND('POTENCIAL HORAS'!K283,"AAAAAC+5t18=")</f>
        <v>#VALUE!</v>
      </c>
      <c r="CS22" t="e">
        <f>AND('POTENCIAL HORAS'!L283,"AAAAAC+5t2A=")</f>
        <v>#VALUE!</v>
      </c>
      <c r="CT22" t="e">
        <f>AND('POTENCIAL HORAS'!M283,"AAAAAC+5t2E=")</f>
        <v>#VALUE!</v>
      </c>
      <c r="CU22" t="e">
        <f>AND('POTENCIAL HORAS'!N283,"AAAAAC+5t2I=")</f>
        <v>#VALUE!</v>
      </c>
      <c r="CV22" t="e">
        <f>AND('POTENCIAL HORAS'!O283,"AAAAAC+5t2M=")</f>
        <v>#VALUE!</v>
      </c>
      <c r="CW22" t="e">
        <f>AND('POTENCIAL HORAS'!P283,"AAAAAC+5t2Q=")</f>
        <v>#VALUE!</v>
      </c>
      <c r="CX22" t="e">
        <f>AND('POTENCIAL HORAS'!#REF!,"AAAAAC+5t2U=")</f>
        <v>#REF!</v>
      </c>
      <c r="CY22" t="e">
        <f>AND('POTENCIAL HORAS'!#REF!,"AAAAAC+5t2Y=")</f>
        <v>#REF!</v>
      </c>
      <c r="CZ22" t="e">
        <f>AND('POTENCIAL HORAS'!#REF!,"AAAAAC+5t2c=")</f>
        <v>#REF!</v>
      </c>
      <c r="DA22" t="e">
        <f>AND('POTENCIAL HORAS'!#REF!,"AAAAAC+5t2g=")</f>
        <v>#REF!</v>
      </c>
      <c r="DB22" t="e">
        <f>AND('POTENCIAL HORAS'!#REF!,"AAAAAC+5t2k=")</f>
        <v>#REF!</v>
      </c>
      <c r="DC22" t="e">
        <f>AND('POTENCIAL HORAS'!#REF!,"AAAAAC+5t2o=")</f>
        <v>#REF!</v>
      </c>
      <c r="DD22" t="e">
        <f>AND('POTENCIAL HORAS'!#REF!,"AAAAAC+5t2s=")</f>
        <v>#REF!</v>
      </c>
      <c r="DE22" t="e">
        <f>AND('POTENCIAL HORAS'!#REF!,"AAAAAC+5t2w=")</f>
        <v>#REF!</v>
      </c>
      <c r="DF22" t="e">
        <f>AND('POTENCIAL HORAS'!#REF!,"AAAAAC+5t20=")</f>
        <v>#REF!</v>
      </c>
      <c r="DG22" t="e">
        <f>AND('POTENCIAL HORAS'!#REF!,"AAAAAC+5t24=")</f>
        <v>#REF!</v>
      </c>
      <c r="DH22" t="e">
        <f>AND('POTENCIAL HORAS'!#REF!,"AAAAAC+5t28=")</f>
        <v>#REF!</v>
      </c>
      <c r="DI22" t="e">
        <f>AND('POTENCIAL HORAS'!#REF!,"AAAAAC+5t3A=")</f>
        <v>#REF!</v>
      </c>
      <c r="DJ22" t="e">
        <f>AND('POTENCIAL HORAS'!#REF!,"AAAAAC+5t3E=")</f>
        <v>#REF!</v>
      </c>
      <c r="DK22" t="e">
        <f>AND('POTENCIAL HORAS'!#REF!,"AAAAAC+5t3I=")</f>
        <v>#REF!</v>
      </c>
      <c r="DL22" t="e">
        <f>AND('POTENCIAL HORAS'!#REF!,"AAAAAC+5t3M=")</f>
        <v>#REF!</v>
      </c>
      <c r="DM22" t="e">
        <f>AND('POTENCIAL HORAS'!#REF!,"AAAAAC+5t3Q=")</f>
        <v>#REF!</v>
      </c>
      <c r="DN22" t="e">
        <f>AND('POTENCIAL HORAS'!#REF!,"AAAAAC+5t3U=")</f>
        <v>#REF!</v>
      </c>
      <c r="DO22" t="e">
        <f>AND('POTENCIAL HORAS'!#REF!,"AAAAAC+5t3Y=")</f>
        <v>#REF!</v>
      </c>
      <c r="DP22" t="e">
        <f>AND('POTENCIAL HORAS'!#REF!,"AAAAAC+5t3c=")</f>
        <v>#REF!</v>
      </c>
      <c r="DQ22" t="e">
        <f>AND('POTENCIAL HORAS'!#REF!,"AAAAAC+5t3g=")</f>
        <v>#REF!</v>
      </c>
      <c r="DR22" t="e">
        <f>AND('POTENCIAL HORAS'!Q283,"AAAAAC+5t3k=")</f>
        <v>#VALUE!</v>
      </c>
      <c r="DS22" t="e">
        <f>AND('POTENCIAL HORAS'!R283,"AAAAAC+5t3o=")</f>
        <v>#VALUE!</v>
      </c>
      <c r="DT22" t="e">
        <f>IF('POTENCIAL HORAS'!#REF!,"AAAAAC+5t3s=",0)</f>
        <v>#REF!</v>
      </c>
      <c r="DU22" t="e">
        <f>AND('POTENCIAL HORAS'!#REF!,"AAAAAC+5t3w=")</f>
        <v>#REF!</v>
      </c>
      <c r="DV22" t="e">
        <f>AND('POTENCIAL HORAS'!#REF!,"AAAAAC+5t30=")</f>
        <v>#REF!</v>
      </c>
      <c r="DW22" t="e">
        <f>AND('POTENCIAL HORAS'!#REF!,"AAAAAC+5t34=")</f>
        <v>#REF!</v>
      </c>
      <c r="DX22" t="e">
        <f>AND('POTENCIAL HORAS'!#REF!,"AAAAAC+5t38=")</f>
        <v>#REF!</v>
      </c>
      <c r="DY22" t="e">
        <f>AND('POTENCIAL HORAS'!#REF!,"AAAAAC+5t4A=")</f>
        <v>#REF!</v>
      </c>
      <c r="DZ22" t="e">
        <f>AND('POTENCIAL HORAS'!#REF!,"AAAAAC+5t4E=")</f>
        <v>#REF!</v>
      </c>
      <c r="EA22" t="e">
        <f>AND('POTENCIAL HORAS'!#REF!,"AAAAAC+5t4I=")</f>
        <v>#REF!</v>
      </c>
      <c r="EB22" t="e">
        <f>AND('POTENCIAL HORAS'!#REF!,"AAAAAC+5t4M=")</f>
        <v>#REF!</v>
      </c>
      <c r="EC22" t="e">
        <f>AND('POTENCIAL HORAS'!#REF!,"AAAAAC+5t4Q=")</f>
        <v>#REF!</v>
      </c>
      <c r="ED22" t="e">
        <f>AND('POTENCIAL HORAS'!#REF!,"AAAAAC+5t4U=")</f>
        <v>#REF!</v>
      </c>
      <c r="EE22" t="e">
        <f>AND('POTENCIAL HORAS'!#REF!,"AAAAAC+5t4Y=")</f>
        <v>#REF!</v>
      </c>
      <c r="EF22" t="e">
        <f>AND('POTENCIAL HORAS'!#REF!,"AAAAAC+5t4c=")</f>
        <v>#REF!</v>
      </c>
      <c r="EG22" t="e">
        <f>AND('POTENCIAL HORAS'!#REF!,"AAAAAC+5t4g=")</f>
        <v>#REF!</v>
      </c>
      <c r="EH22" t="e">
        <f>AND('POTENCIAL HORAS'!#REF!,"AAAAAC+5t4k=")</f>
        <v>#REF!</v>
      </c>
      <c r="EI22" t="e">
        <f>AND('POTENCIAL HORAS'!#REF!,"AAAAAC+5t4o=")</f>
        <v>#REF!</v>
      </c>
      <c r="EJ22" t="e">
        <f>AND('POTENCIAL HORAS'!#REF!,"AAAAAC+5t4s=")</f>
        <v>#REF!</v>
      </c>
      <c r="EK22" t="e">
        <f>AND('POTENCIAL HORAS'!#REF!,"AAAAAC+5t4w=")</f>
        <v>#REF!</v>
      </c>
      <c r="EL22" t="e">
        <f>AND('POTENCIAL HORAS'!#REF!,"AAAAAC+5t40=")</f>
        <v>#REF!</v>
      </c>
      <c r="EM22" t="e">
        <f>AND('POTENCIAL HORAS'!#REF!,"AAAAAC+5t44=")</f>
        <v>#REF!</v>
      </c>
      <c r="EN22" t="e">
        <f>AND('POTENCIAL HORAS'!#REF!,"AAAAAC+5t48=")</f>
        <v>#REF!</v>
      </c>
      <c r="EO22" t="e">
        <f>AND('POTENCIAL HORAS'!#REF!,"AAAAAC+5t5A=")</f>
        <v>#REF!</v>
      </c>
      <c r="EP22" t="e">
        <f>AND('POTENCIAL HORAS'!#REF!,"AAAAAC+5t5E=")</f>
        <v>#REF!</v>
      </c>
      <c r="EQ22" t="e">
        <f>AND('POTENCIAL HORAS'!#REF!,"AAAAAC+5t5I=")</f>
        <v>#REF!</v>
      </c>
      <c r="ER22" t="e">
        <f>AND('POTENCIAL HORAS'!#REF!,"AAAAAC+5t5M=")</f>
        <v>#REF!</v>
      </c>
      <c r="ES22" t="e">
        <f>AND('POTENCIAL HORAS'!#REF!,"AAAAAC+5t5Q=")</f>
        <v>#REF!</v>
      </c>
      <c r="ET22" t="e">
        <f>AND('POTENCIAL HORAS'!#REF!,"AAAAAC+5t5U=")</f>
        <v>#REF!</v>
      </c>
      <c r="EU22" t="e">
        <f>AND('POTENCIAL HORAS'!#REF!,"AAAAAC+5t5Y=")</f>
        <v>#REF!</v>
      </c>
      <c r="EV22" t="e">
        <f>AND('POTENCIAL HORAS'!#REF!,"AAAAAC+5t5c=")</f>
        <v>#REF!</v>
      </c>
      <c r="EW22" t="e">
        <f>AND('POTENCIAL HORAS'!#REF!,"AAAAAC+5t5g=")</f>
        <v>#REF!</v>
      </c>
      <c r="EX22" t="e">
        <f>AND('POTENCIAL HORAS'!#REF!,"AAAAAC+5t5k=")</f>
        <v>#REF!</v>
      </c>
      <c r="EY22" t="e">
        <f>AND('POTENCIAL HORAS'!#REF!,"AAAAAC+5t5o=")</f>
        <v>#REF!</v>
      </c>
      <c r="EZ22" t="e">
        <f>AND('POTENCIAL HORAS'!#REF!,"AAAAAC+5t5s=")</f>
        <v>#REF!</v>
      </c>
      <c r="FA22" t="e">
        <f>AND('POTENCIAL HORAS'!#REF!,"AAAAAC+5t5w=")</f>
        <v>#REF!</v>
      </c>
      <c r="FB22" t="e">
        <f>AND('POTENCIAL HORAS'!#REF!,"AAAAAC+5t50=")</f>
        <v>#REF!</v>
      </c>
      <c r="FC22" t="e">
        <f>AND('POTENCIAL HORAS'!#REF!,"AAAAAC+5t54=")</f>
        <v>#REF!</v>
      </c>
      <c r="FD22" t="e">
        <f>AND('POTENCIAL HORAS'!#REF!,"AAAAAC+5t58=")</f>
        <v>#REF!</v>
      </c>
      <c r="FE22" t="e">
        <f>AND('POTENCIAL HORAS'!#REF!,"AAAAAC+5t6A=")</f>
        <v>#REF!</v>
      </c>
      <c r="FF22" t="e">
        <f>AND('POTENCIAL HORAS'!#REF!,"AAAAAC+5t6E=")</f>
        <v>#REF!</v>
      </c>
      <c r="FG22">
        <f>IF('POTENCIAL HORAS'!284:284,"AAAAAC+5t6I=",0)</f>
        <v>0</v>
      </c>
      <c r="FH22" t="e">
        <f>AND('POTENCIAL HORAS'!A284,"AAAAAC+5t6M=")</f>
        <v>#VALUE!</v>
      </c>
      <c r="FI22" t="e">
        <f>AND('POTENCIAL HORAS'!B284,"AAAAAC+5t6Q=")</f>
        <v>#VALUE!</v>
      </c>
      <c r="FJ22" t="e">
        <f>AND('POTENCIAL HORAS'!C284,"AAAAAC+5t6U=")</f>
        <v>#VALUE!</v>
      </c>
      <c r="FK22" t="e">
        <f>AND('POTENCIAL HORAS'!D284,"AAAAAC+5t6Y=")</f>
        <v>#VALUE!</v>
      </c>
      <c r="FL22" t="e">
        <f>AND('POTENCIAL HORAS'!E284,"AAAAAC+5t6c=")</f>
        <v>#VALUE!</v>
      </c>
      <c r="FM22" t="e">
        <f>AND('POTENCIAL HORAS'!F284,"AAAAAC+5t6g=")</f>
        <v>#VALUE!</v>
      </c>
      <c r="FN22" t="e">
        <f>AND('POTENCIAL HORAS'!G284,"AAAAAC+5t6k=")</f>
        <v>#VALUE!</v>
      </c>
      <c r="FO22" t="e">
        <f>AND('POTENCIAL HORAS'!H284,"AAAAAC+5t6o=")</f>
        <v>#VALUE!</v>
      </c>
      <c r="FP22" t="e">
        <f>AND('POTENCIAL HORAS'!I284,"AAAAAC+5t6s=")</f>
        <v>#VALUE!</v>
      </c>
      <c r="FQ22" t="e">
        <f>AND('POTENCIAL HORAS'!J284,"AAAAAC+5t6w=")</f>
        <v>#VALUE!</v>
      </c>
      <c r="FR22" t="e">
        <f>AND('POTENCIAL HORAS'!K284,"AAAAAC+5t60=")</f>
        <v>#VALUE!</v>
      </c>
      <c r="FS22" t="e">
        <f>AND('POTENCIAL HORAS'!L284,"AAAAAC+5t64=")</f>
        <v>#VALUE!</v>
      </c>
      <c r="FT22" t="e">
        <f>AND('POTENCIAL HORAS'!M284,"AAAAAC+5t68=")</f>
        <v>#VALUE!</v>
      </c>
      <c r="FU22" t="e">
        <f>AND('POTENCIAL HORAS'!N284,"AAAAAC+5t7A=")</f>
        <v>#VALUE!</v>
      </c>
      <c r="FV22" t="e">
        <f>AND('POTENCIAL HORAS'!O284,"AAAAAC+5t7E=")</f>
        <v>#VALUE!</v>
      </c>
      <c r="FW22" t="e">
        <f>AND('POTENCIAL HORAS'!P284,"AAAAAC+5t7I=")</f>
        <v>#VALUE!</v>
      </c>
      <c r="FX22" t="e">
        <f>AND('POTENCIAL HORAS'!#REF!,"AAAAAC+5t7M=")</f>
        <v>#REF!</v>
      </c>
      <c r="FY22" t="e">
        <f>AND('POTENCIAL HORAS'!#REF!,"AAAAAC+5t7Q=")</f>
        <v>#REF!</v>
      </c>
      <c r="FZ22" t="e">
        <f>AND('POTENCIAL HORAS'!#REF!,"AAAAAC+5t7U=")</f>
        <v>#REF!</v>
      </c>
      <c r="GA22" t="e">
        <f>AND('POTENCIAL HORAS'!#REF!,"AAAAAC+5t7Y=")</f>
        <v>#REF!</v>
      </c>
      <c r="GB22" t="e">
        <f>AND('POTENCIAL HORAS'!#REF!,"AAAAAC+5t7c=")</f>
        <v>#REF!</v>
      </c>
      <c r="GC22" t="e">
        <f>AND('POTENCIAL HORAS'!#REF!,"AAAAAC+5t7g=")</f>
        <v>#REF!</v>
      </c>
      <c r="GD22" t="e">
        <f>AND('POTENCIAL HORAS'!#REF!,"AAAAAC+5t7k=")</f>
        <v>#REF!</v>
      </c>
      <c r="GE22" t="e">
        <f>AND('POTENCIAL HORAS'!#REF!,"AAAAAC+5t7o=")</f>
        <v>#REF!</v>
      </c>
      <c r="GF22" t="e">
        <f>AND('POTENCIAL HORAS'!#REF!,"AAAAAC+5t7s=")</f>
        <v>#REF!</v>
      </c>
      <c r="GG22" t="e">
        <f>AND('POTENCIAL HORAS'!#REF!,"AAAAAC+5t7w=")</f>
        <v>#REF!</v>
      </c>
      <c r="GH22" t="e">
        <f>AND('POTENCIAL HORAS'!#REF!,"AAAAAC+5t70=")</f>
        <v>#REF!</v>
      </c>
      <c r="GI22" t="e">
        <f>AND('POTENCIAL HORAS'!#REF!,"AAAAAC+5t74=")</f>
        <v>#REF!</v>
      </c>
      <c r="GJ22" t="e">
        <f>AND('POTENCIAL HORAS'!#REF!,"AAAAAC+5t78=")</f>
        <v>#REF!</v>
      </c>
      <c r="GK22" t="e">
        <f>AND('POTENCIAL HORAS'!#REF!,"AAAAAC+5t8A=")</f>
        <v>#REF!</v>
      </c>
      <c r="GL22" t="e">
        <f>AND('POTENCIAL HORAS'!#REF!,"AAAAAC+5t8E=")</f>
        <v>#REF!</v>
      </c>
      <c r="GM22" t="e">
        <f>AND('POTENCIAL HORAS'!#REF!,"AAAAAC+5t8I=")</f>
        <v>#REF!</v>
      </c>
      <c r="GN22" t="e">
        <f>AND('POTENCIAL HORAS'!#REF!,"AAAAAC+5t8M=")</f>
        <v>#REF!</v>
      </c>
      <c r="GO22" t="e">
        <f>AND('POTENCIAL HORAS'!#REF!,"AAAAAC+5t8Q=")</f>
        <v>#REF!</v>
      </c>
      <c r="GP22" t="e">
        <f>AND('POTENCIAL HORAS'!#REF!,"AAAAAC+5t8U=")</f>
        <v>#REF!</v>
      </c>
      <c r="GQ22" t="e">
        <f>AND('POTENCIAL HORAS'!#REF!,"AAAAAC+5t8Y=")</f>
        <v>#REF!</v>
      </c>
      <c r="GR22" t="e">
        <f>AND('POTENCIAL HORAS'!Q284,"AAAAAC+5t8c=")</f>
        <v>#VALUE!</v>
      </c>
      <c r="GS22" t="e">
        <f>AND('POTENCIAL HORAS'!R284,"AAAAAC+5t8g=")</f>
        <v>#VALUE!</v>
      </c>
      <c r="GT22">
        <f>IF('POTENCIAL HORAS'!287:287,"AAAAAC+5t8k=",0)</f>
        <v>0</v>
      </c>
      <c r="GU22" t="e">
        <f>AND('POTENCIAL HORAS'!A287,"AAAAAC+5t8o=")</f>
        <v>#VALUE!</v>
      </c>
      <c r="GV22" t="e">
        <f>AND('POTENCIAL HORAS'!B287,"AAAAAC+5t8s=")</f>
        <v>#VALUE!</v>
      </c>
      <c r="GW22" t="e">
        <f>AND('POTENCIAL HORAS'!C287,"AAAAAC+5t8w=")</f>
        <v>#VALUE!</v>
      </c>
      <c r="GX22" t="e">
        <f>AND('POTENCIAL HORAS'!D287,"AAAAAC+5t80=")</f>
        <v>#VALUE!</v>
      </c>
      <c r="GY22" t="e">
        <f>AND('POTENCIAL HORAS'!E287,"AAAAAC+5t84=")</f>
        <v>#VALUE!</v>
      </c>
      <c r="GZ22" t="e">
        <f>AND('POTENCIAL HORAS'!F287,"AAAAAC+5t88=")</f>
        <v>#VALUE!</v>
      </c>
      <c r="HA22" t="e">
        <f>AND('POTENCIAL HORAS'!G287,"AAAAAC+5t9A=")</f>
        <v>#VALUE!</v>
      </c>
      <c r="HB22" t="e">
        <f>AND('POTENCIAL HORAS'!H287,"AAAAAC+5t9E=")</f>
        <v>#VALUE!</v>
      </c>
      <c r="HC22" t="e">
        <f>AND('POTENCIAL HORAS'!I287,"AAAAAC+5t9I=")</f>
        <v>#VALUE!</v>
      </c>
      <c r="HD22" t="e">
        <f>AND('POTENCIAL HORAS'!J287,"AAAAAC+5t9M=")</f>
        <v>#VALUE!</v>
      </c>
      <c r="HE22" t="e">
        <f>AND('POTENCIAL HORAS'!K287,"AAAAAC+5t9Q=")</f>
        <v>#VALUE!</v>
      </c>
      <c r="HF22" t="e">
        <f>AND('POTENCIAL HORAS'!L287,"AAAAAC+5t9U=")</f>
        <v>#VALUE!</v>
      </c>
      <c r="HG22" t="e">
        <f>AND('POTENCIAL HORAS'!M287,"AAAAAC+5t9Y=")</f>
        <v>#VALUE!</v>
      </c>
      <c r="HH22" t="e">
        <f>AND('POTENCIAL HORAS'!N287,"AAAAAC+5t9c=")</f>
        <v>#VALUE!</v>
      </c>
      <c r="HI22" t="e">
        <f>AND('POTENCIAL HORAS'!O287,"AAAAAC+5t9g=")</f>
        <v>#VALUE!</v>
      </c>
      <c r="HJ22" t="e">
        <f>AND('POTENCIAL HORAS'!P287,"AAAAAC+5t9k=")</f>
        <v>#VALUE!</v>
      </c>
      <c r="HK22" t="e">
        <f>AND('POTENCIAL HORAS'!#REF!,"AAAAAC+5t9o=")</f>
        <v>#REF!</v>
      </c>
      <c r="HL22" t="e">
        <f>AND('POTENCIAL HORAS'!#REF!,"AAAAAC+5t9s=")</f>
        <v>#REF!</v>
      </c>
      <c r="HM22" t="e">
        <f>AND('POTENCIAL HORAS'!#REF!,"AAAAAC+5t9w=")</f>
        <v>#REF!</v>
      </c>
      <c r="HN22" t="e">
        <f>AND('POTENCIAL HORAS'!#REF!,"AAAAAC+5t90=")</f>
        <v>#REF!</v>
      </c>
      <c r="HO22" t="e">
        <f>AND('POTENCIAL HORAS'!#REF!,"AAAAAC+5t94=")</f>
        <v>#REF!</v>
      </c>
      <c r="HP22" t="e">
        <f>AND('POTENCIAL HORAS'!#REF!,"AAAAAC+5t98=")</f>
        <v>#REF!</v>
      </c>
      <c r="HQ22" t="e">
        <f>AND('POTENCIAL HORAS'!#REF!,"AAAAAC+5t+A=")</f>
        <v>#REF!</v>
      </c>
      <c r="HR22" t="e">
        <f>AND('POTENCIAL HORAS'!#REF!,"AAAAAC+5t+E=")</f>
        <v>#REF!</v>
      </c>
      <c r="HS22" t="e">
        <f>AND('POTENCIAL HORAS'!#REF!,"AAAAAC+5t+I=")</f>
        <v>#REF!</v>
      </c>
      <c r="HT22" t="e">
        <f>AND('POTENCIAL HORAS'!#REF!,"AAAAAC+5t+M=")</f>
        <v>#REF!</v>
      </c>
      <c r="HU22" t="e">
        <f>AND('POTENCIAL HORAS'!#REF!,"AAAAAC+5t+Q=")</f>
        <v>#REF!</v>
      </c>
      <c r="HV22" t="e">
        <f>AND('POTENCIAL HORAS'!#REF!,"AAAAAC+5t+U=")</f>
        <v>#REF!</v>
      </c>
      <c r="HW22" t="e">
        <f>AND('POTENCIAL HORAS'!#REF!,"AAAAAC+5t+Y=")</f>
        <v>#REF!</v>
      </c>
      <c r="HX22" t="e">
        <f>AND('POTENCIAL HORAS'!#REF!,"AAAAAC+5t+c=")</f>
        <v>#REF!</v>
      </c>
      <c r="HY22" t="e">
        <f>AND('POTENCIAL HORAS'!#REF!,"AAAAAC+5t+g=")</f>
        <v>#REF!</v>
      </c>
      <c r="HZ22" t="e">
        <f>AND('POTENCIAL HORAS'!#REF!,"AAAAAC+5t+k=")</f>
        <v>#REF!</v>
      </c>
      <c r="IA22" t="e">
        <f>AND('POTENCIAL HORAS'!#REF!,"AAAAAC+5t+o=")</f>
        <v>#REF!</v>
      </c>
      <c r="IB22" t="e">
        <f>AND('POTENCIAL HORAS'!#REF!,"AAAAAC+5t+s=")</f>
        <v>#REF!</v>
      </c>
      <c r="IC22" t="e">
        <f>AND('POTENCIAL HORAS'!#REF!,"AAAAAC+5t+w=")</f>
        <v>#REF!</v>
      </c>
      <c r="ID22" t="e">
        <f>AND('POTENCIAL HORAS'!#REF!,"AAAAAC+5t+0=")</f>
        <v>#REF!</v>
      </c>
      <c r="IE22" t="e">
        <f>AND('POTENCIAL HORAS'!Q287,"AAAAAC+5t+4=")</f>
        <v>#VALUE!</v>
      </c>
      <c r="IF22" t="e">
        <f>AND('POTENCIAL HORAS'!R287,"AAAAAC+5t+8=")</f>
        <v>#VALUE!</v>
      </c>
      <c r="IG22">
        <f>IF('POTENCIAL HORAS'!288:288,"AAAAAC+5t/A=",0)</f>
        <v>0</v>
      </c>
      <c r="IH22" t="e">
        <f>AND('POTENCIAL HORAS'!A288,"AAAAAC+5t/E=")</f>
        <v>#VALUE!</v>
      </c>
      <c r="II22" t="e">
        <f>AND('POTENCIAL HORAS'!B288,"AAAAAC+5t/I=")</f>
        <v>#VALUE!</v>
      </c>
      <c r="IJ22" t="e">
        <f>AND('POTENCIAL HORAS'!C288,"AAAAAC+5t/M=")</f>
        <v>#VALUE!</v>
      </c>
      <c r="IK22" t="e">
        <f>AND('POTENCIAL HORAS'!D288,"AAAAAC+5t/Q=")</f>
        <v>#VALUE!</v>
      </c>
      <c r="IL22" t="e">
        <f>AND('POTENCIAL HORAS'!E288,"AAAAAC+5t/U=")</f>
        <v>#VALUE!</v>
      </c>
      <c r="IM22" t="e">
        <f>AND('POTENCIAL HORAS'!F288,"AAAAAC+5t/Y=")</f>
        <v>#VALUE!</v>
      </c>
      <c r="IN22" t="e">
        <f>AND('POTENCIAL HORAS'!G288,"AAAAAC+5t/c=")</f>
        <v>#VALUE!</v>
      </c>
      <c r="IO22" t="e">
        <f>AND('POTENCIAL HORAS'!H288,"AAAAAC+5t/g=")</f>
        <v>#VALUE!</v>
      </c>
      <c r="IP22" t="e">
        <f>AND('POTENCIAL HORAS'!I288,"AAAAAC+5t/k=")</f>
        <v>#VALUE!</v>
      </c>
      <c r="IQ22" t="e">
        <f>AND('POTENCIAL HORAS'!J288,"AAAAAC+5t/o=")</f>
        <v>#VALUE!</v>
      </c>
      <c r="IR22" t="e">
        <f>AND('POTENCIAL HORAS'!K288,"AAAAAC+5t/s=")</f>
        <v>#VALUE!</v>
      </c>
      <c r="IS22" t="e">
        <f>AND('POTENCIAL HORAS'!L288,"AAAAAC+5t/w=")</f>
        <v>#VALUE!</v>
      </c>
      <c r="IT22" t="e">
        <f>AND('POTENCIAL HORAS'!M288,"AAAAAC+5t/0=")</f>
        <v>#VALUE!</v>
      </c>
      <c r="IU22" t="e">
        <f>AND('POTENCIAL HORAS'!N288,"AAAAAC+5t/4=")</f>
        <v>#VALUE!</v>
      </c>
      <c r="IV22" t="e">
        <f>AND('POTENCIAL HORAS'!O288,"AAAAAC+5t/8=")</f>
        <v>#VALUE!</v>
      </c>
    </row>
    <row r="23" spans="1:256" x14ac:dyDescent="0.2">
      <c r="A23" t="e">
        <f>AND('POTENCIAL HORAS'!P288,"AAAAAH3/ngA=")</f>
        <v>#VALUE!</v>
      </c>
      <c r="B23" t="e">
        <f>AND('POTENCIAL HORAS'!#REF!,"AAAAAH3/ngE=")</f>
        <v>#REF!</v>
      </c>
      <c r="C23" t="e">
        <f>AND('POTENCIAL HORAS'!#REF!,"AAAAAH3/ngI=")</f>
        <v>#REF!</v>
      </c>
      <c r="D23" t="e">
        <f>AND('POTENCIAL HORAS'!#REF!,"AAAAAH3/ngM=")</f>
        <v>#REF!</v>
      </c>
      <c r="E23" t="e">
        <f>AND('POTENCIAL HORAS'!#REF!,"AAAAAH3/ngQ=")</f>
        <v>#REF!</v>
      </c>
      <c r="F23" t="e">
        <f>AND('POTENCIAL HORAS'!#REF!,"AAAAAH3/ngU=")</f>
        <v>#REF!</v>
      </c>
      <c r="G23" t="e">
        <f>AND('POTENCIAL HORAS'!#REF!,"AAAAAH3/ngY=")</f>
        <v>#REF!</v>
      </c>
      <c r="H23" t="e">
        <f>AND('POTENCIAL HORAS'!#REF!,"AAAAAH3/ngc=")</f>
        <v>#REF!</v>
      </c>
      <c r="I23" t="e">
        <f>AND('POTENCIAL HORAS'!#REF!,"AAAAAH3/ngg=")</f>
        <v>#REF!</v>
      </c>
      <c r="J23" t="e">
        <f>AND('POTENCIAL HORAS'!#REF!,"AAAAAH3/ngk=")</f>
        <v>#REF!</v>
      </c>
      <c r="K23" t="e">
        <f>AND('POTENCIAL HORAS'!#REF!,"AAAAAH3/ngo=")</f>
        <v>#REF!</v>
      </c>
      <c r="L23" t="e">
        <f>AND('POTENCIAL HORAS'!#REF!,"AAAAAH3/ngs=")</f>
        <v>#REF!</v>
      </c>
      <c r="M23" t="e">
        <f>AND('POTENCIAL HORAS'!#REF!,"AAAAAH3/ngw=")</f>
        <v>#REF!</v>
      </c>
      <c r="N23" t="e">
        <f>AND('POTENCIAL HORAS'!#REF!,"AAAAAH3/ng0=")</f>
        <v>#REF!</v>
      </c>
      <c r="O23" t="e">
        <f>AND('POTENCIAL HORAS'!#REF!,"AAAAAH3/ng4=")</f>
        <v>#REF!</v>
      </c>
      <c r="P23" t="e">
        <f>AND('POTENCIAL HORAS'!#REF!,"AAAAAH3/ng8=")</f>
        <v>#REF!</v>
      </c>
      <c r="Q23" t="e">
        <f>AND('POTENCIAL HORAS'!#REF!,"AAAAAH3/nhA=")</f>
        <v>#REF!</v>
      </c>
      <c r="R23" t="e">
        <f>AND('POTENCIAL HORAS'!#REF!,"AAAAAH3/nhE=")</f>
        <v>#REF!</v>
      </c>
      <c r="S23" t="e">
        <f>AND('POTENCIAL HORAS'!#REF!,"AAAAAH3/nhI=")</f>
        <v>#REF!</v>
      </c>
      <c r="T23" t="e">
        <f>AND('POTENCIAL HORAS'!#REF!,"AAAAAH3/nhM=")</f>
        <v>#REF!</v>
      </c>
      <c r="U23" t="e">
        <f>AND('POTENCIAL HORAS'!#REF!,"AAAAAH3/nhQ=")</f>
        <v>#REF!</v>
      </c>
      <c r="V23" t="e">
        <f>AND('POTENCIAL HORAS'!Q288,"AAAAAH3/nhU=")</f>
        <v>#VALUE!</v>
      </c>
      <c r="W23" t="e">
        <f>AND('POTENCIAL HORAS'!R288,"AAAAAH3/nhY=")</f>
        <v>#VALUE!</v>
      </c>
      <c r="X23">
        <f>IF('POTENCIAL HORAS'!289:289,"AAAAAH3/nhc=",0)</f>
        <v>0</v>
      </c>
      <c r="Y23" t="e">
        <f>AND('POTENCIAL HORAS'!A289,"AAAAAH3/nhg=")</f>
        <v>#VALUE!</v>
      </c>
      <c r="Z23" t="e">
        <f>AND('POTENCIAL HORAS'!B289,"AAAAAH3/nhk=")</f>
        <v>#VALUE!</v>
      </c>
      <c r="AA23" t="e">
        <f>AND('POTENCIAL HORAS'!C289,"AAAAAH3/nho=")</f>
        <v>#VALUE!</v>
      </c>
      <c r="AB23" t="e">
        <f>AND('POTENCIAL HORAS'!D289,"AAAAAH3/nhs=")</f>
        <v>#VALUE!</v>
      </c>
      <c r="AC23" t="e">
        <f>AND('POTENCIAL HORAS'!E289,"AAAAAH3/nhw=")</f>
        <v>#VALUE!</v>
      </c>
      <c r="AD23" t="e">
        <f>AND('POTENCIAL HORAS'!F289,"AAAAAH3/nh0=")</f>
        <v>#VALUE!</v>
      </c>
      <c r="AE23" t="e">
        <f>AND('POTENCIAL HORAS'!G289,"AAAAAH3/nh4=")</f>
        <v>#VALUE!</v>
      </c>
      <c r="AF23" t="e">
        <f>AND('POTENCIAL HORAS'!H289,"AAAAAH3/nh8=")</f>
        <v>#VALUE!</v>
      </c>
      <c r="AG23" t="e">
        <f>AND('POTENCIAL HORAS'!I289,"AAAAAH3/niA=")</f>
        <v>#VALUE!</v>
      </c>
      <c r="AH23" t="e">
        <f>AND('POTENCIAL HORAS'!J289,"AAAAAH3/niE=")</f>
        <v>#VALUE!</v>
      </c>
      <c r="AI23" t="e">
        <f>AND('POTENCIAL HORAS'!K289,"AAAAAH3/niI=")</f>
        <v>#VALUE!</v>
      </c>
      <c r="AJ23" t="e">
        <f>AND('POTENCIAL HORAS'!L289,"AAAAAH3/niM=")</f>
        <v>#VALUE!</v>
      </c>
      <c r="AK23" t="e">
        <f>AND('POTENCIAL HORAS'!M289,"AAAAAH3/niQ=")</f>
        <v>#VALUE!</v>
      </c>
      <c r="AL23" t="e">
        <f>AND('POTENCIAL HORAS'!N289,"AAAAAH3/niU=")</f>
        <v>#VALUE!</v>
      </c>
      <c r="AM23" t="e">
        <f>AND('POTENCIAL HORAS'!O289,"AAAAAH3/niY=")</f>
        <v>#VALUE!</v>
      </c>
      <c r="AN23" t="e">
        <f>AND('POTENCIAL HORAS'!P289,"AAAAAH3/nic=")</f>
        <v>#VALUE!</v>
      </c>
      <c r="AO23" t="e">
        <f>AND('POTENCIAL HORAS'!#REF!,"AAAAAH3/nig=")</f>
        <v>#REF!</v>
      </c>
      <c r="AP23" t="e">
        <f>AND('POTENCIAL HORAS'!#REF!,"AAAAAH3/nik=")</f>
        <v>#REF!</v>
      </c>
      <c r="AQ23" t="e">
        <f>AND('POTENCIAL HORAS'!#REF!,"AAAAAH3/nio=")</f>
        <v>#REF!</v>
      </c>
      <c r="AR23" t="e">
        <f>AND('POTENCIAL HORAS'!#REF!,"AAAAAH3/nis=")</f>
        <v>#REF!</v>
      </c>
      <c r="AS23" t="e">
        <f>AND('POTENCIAL HORAS'!#REF!,"AAAAAH3/niw=")</f>
        <v>#REF!</v>
      </c>
      <c r="AT23" t="e">
        <f>AND('POTENCIAL HORAS'!#REF!,"AAAAAH3/ni0=")</f>
        <v>#REF!</v>
      </c>
      <c r="AU23" t="e">
        <f>AND('POTENCIAL HORAS'!#REF!,"AAAAAH3/ni4=")</f>
        <v>#REF!</v>
      </c>
      <c r="AV23" t="e">
        <f>AND('POTENCIAL HORAS'!#REF!,"AAAAAH3/ni8=")</f>
        <v>#REF!</v>
      </c>
      <c r="AW23" t="e">
        <f>AND('POTENCIAL HORAS'!#REF!,"AAAAAH3/njA=")</f>
        <v>#REF!</v>
      </c>
      <c r="AX23" t="e">
        <f>AND('POTENCIAL HORAS'!#REF!,"AAAAAH3/njE=")</f>
        <v>#REF!</v>
      </c>
      <c r="AY23" t="e">
        <f>AND('POTENCIAL HORAS'!#REF!,"AAAAAH3/njI=")</f>
        <v>#REF!</v>
      </c>
      <c r="AZ23" t="e">
        <f>AND('POTENCIAL HORAS'!#REF!,"AAAAAH3/njM=")</f>
        <v>#REF!</v>
      </c>
      <c r="BA23" t="e">
        <f>AND('POTENCIAL HORAS'!#REF!,"AAAAAH3/njQ=")</f>
        <v>#REF!</v>
      </c>
      <c r="BB23" t="e">
        <f>AND('POTENCIAL HORAS'!#REF!,"AAAAAH3/njU=")</f>
        <v>#REF!</v>
      </c>
      <c r="BC23" t="e">
        <f>AND('POTENCIAL HORAS'!#REF!,"AAAAAH3/njY=")</f>
        <v>#REF!</v>
      </c>
      <c r="BD23" t="e">
        <f>AND('POTENCIAL HORAS'!#REF!,"AAAAAH3/njc=")</f>
        <v>#REF!</v>
      </c>
      <c r="BE23" t="e">
        <f>AND('POTENCIAL HORAS'!#REF!,"AAAAAH3/njg=")</f>
        <v>#REF!</v>
      </c>
      <c r="BF23" t="e">
        <f>AND('POTENCIAL HORAS'!#REF!,"AAAAAH3/njk=")</f>
        <v>#REF!</v>
      </c>
      <c r="BG23" t="e">
        <f>AND('POTENCIAL HORAS'!#REF!,"AAAAAH3/njo=")</f>
        <v>#REF!</v>
      </c>
      <c r="BH23" t="e">
        <f>AND('POTENCIAL HORAS'!#REF!,"AAAAAH3/njs=")</f>
        <v>#REF!</v>
      </c>
      <c r="BI23" t="e">
        <f>AND('POTENCIAL HORAS'!Q289,"AAAAAH3/njw=")</f>
        <v>#VALUE!</v>
      </c>
      <c r="BJ23" t="e">
        <f>AND('POTENCIAL HORAS'!R289,"AAAAAH3/nj0=")</f>
        <v>#VALUE!</v>
      </c>
      <c r="BK23">
        <f>IF('POTENCIAL HORAS'!290:290,"AAAAAH3/nj4=",0)</f>
        <v>0</v>
      </c>
      <c r="BL23" t="e">
        <f>AND('POTENCIAL HORAS'!A290,"AAAAAH3/nj8=")</f>
        <v>#VALUE!</v>
      </c>
      <c r="BM23" t="e">
        <f>AND('POTENCIAL HORAS'!B290,"AAAAAH3/nkA=")</f>
        <v>#VALUE!</v>
      </c>
      <c r="BN23" t="e">
        <f>AND('POTENCIAL HORAS'!C290,"AAAAAH3/nkE=")</f>
        <v>#VALUE!</v>
      </c>
      <c r="BO23" t="e">
        <f>AND('POTENCIAL HORAS'!D290,"AAAAAH3/nkI=")</f>
        <v>#VALUE!</v>
      </c>
      <c r="BP23" t="e">
        <f>AND('POTENCIAL HORAS'!E290,"AAAAAH3/nkM=")</f>
        <v>#VALUE!</v>
      </c>
      <c r="BQ23" t="e">
        <f>AND('POTENCIAL HORAS'!F290,"AAAAAH3/nkQ=")</f>
        <v>#VALUE!</v>
      </c>
      <c r="BR23" t="e">
        <f>AND('POTENCIAL HORAS'!G290,"AAAAAH3/nkU=")</f>
        <v>#VALUE!</v>
      </c>
      <c r="BS23" t="e">
        <f>AND('POTENCIAL HORAS'!H290,"AAAAAH3/nkY=")</f>
        <v>#VALUE!</v>
      </c>
      <c r="BT23" t="e">
        <f>AND('POTENCIAL HORAS'!I290,"AAAAAH3/nkc=")</f>
        <v>#VALUE!</v>
      </c>
      <c r="BU23" t="e">
        <f>AND('POTENCIAL HORAS'!J290,"AAAAAH3/nkg=")</f>
        <v>#VALUE!</v>
      </c>
      <c r="BV23" t="e">
        <f>AND('POTENCIAL HORAS'!K290,"AAAAAH3/nkk=")</f>
        <v>#VALUE!</v>
      </c>
      <c r="BW23" t="e">
        <f>AND('POTENCIAL HORAS'!L290,"AAAAAH3/nko=")</f>
        <v>#VALUE!</v>
      </c>
      <c r="BX23" t="e">
        <f>AND('POTENCIAL HORAS'!M290,"AAAAAH3/nks=")</f>
        <v>#VALUE!</v>
      </c>
      <c r="BY23" t="e">
        <f>AND('POTENCIAL HORAS'!N290,"AAAAAH3/nkw=")</f>
        <v>#VALUE!</v>
      </c>
      <c r="BZ23" t="e">
        <f>AND('POTENCIAL HORAS'!O290,"AAAAAH3/nk0=")</f>
        <v>#VALUE!</v>
      </c>
      <c r="CA23" t="e">
        <f>AND('POTENCIAL HORAS'!P290,"AAAAAH3/nk4=")</f>
        <v>#VALUE!</v>
      </c>
      <c r="CB23" t="e">
        <f>AND('POTENCIAL HORAS'!#REF!,"AAAAAH3/nk8=")</f>
        <v>#REF!</v>
      </c>
      <c r="CC23" t="e">
        <f>AND('POTENCIAL HORAS'!#REF!,"AAAAAH3/nlA=")</f>
        <v>#REF!</v>
      </c>
      <c r="CD23" t="e">
        <f>AND('POTENCIAL HORAS'!#REF!,"AAAAAH3/nlE=")</f>
        <v>#REF!</v>
      </c>
      <c r="CE23" t="e">
        <f>AND('POTENCIAL HORAS'!#REF!,"AAAAAH3/nlI=")</f>
        <v>#REF!</v>
      </c>
      <c r="CF23" t="e">
        <f>AND('POTENCIAL HORAS'!#REF!,"AAAAAH3/nlM=")</f>
        <v>#REF!</v>
      </c>
      <c r="CG23" t="e">
        <f>AND('POTENCIAL HORAS'!#REF!,"AAAAAH3/nlQ=")</f>
        <v>#REF!</v>
      </c>
      <c r="CH23" t="e">
        <f>AND('POTENCIAL HORAS'!#REF!,"AAAAAH3/nlU=")</f>
        <v>#REF!</v>
      </c>
      <c r="CI23" t="e">
        <f>AND('POTENCIAL HORAS'!#REF!,"AAAAAH3/nlY=")</f>
        <v>#REF!</v>
      </c>
      <c r="CJ23" t="e">
        <f>AND('POTENCIAL HORAS'!#REF!,"AAAAAH3/nlc=")</f>
        <v>#REF!</v>
      </c>
      <c r="CK23" t="e">
        <f>AND('POTENCIAL HORAS'!#REF!,"AAAAAH3/nlg=")</f>
        <v>#REF!</v>
      </c>
      <c r="CL23" t="e">
        <f>AND('POTENCIAL HORAS'!#REF!,"AAAAAH3/nlk=")</f>
        <v>#REF!</v>
      </c>
      <c r="CM23" t="e">
        <f>AND('POTENCIAL HORAS'!#REF!,"AAAAAH3/nlo=")</f>
        <v>#REF!</v>
      </c>
      <c r="CN23" t="e">
        <f>AND('POTENCIAL HORAS'!#REF!,"AAAAAH3/nls=")</f>
        <v>#REF!</v>
      </c>
      <c r="CO23" t="e">
        <f>AND('POTENCIAL HORAS'!#REF!,"AAAAAH3/nlw=")</f>
        <v>#REF!</v>
      </c>
      <c r="CP23" t="e">
        <f>AND('POTENCIAL HORAS'!#REF!,"AAAAAH3/nl0=")</f>
        <v>#REF!</v>
      </c>
      <c r="CQ23" t="e">
        <f>AND('POTENCIAL HORAS'!#REF!,"AAAAAH3/nl4=")</f>
        <v>#REF!</v>
      </c>
      <c r="CR23" t="e">
        <f>AND('POTENCIAL HORAS'!#REF!,"AAAAAH3/nl8=")</f>
        <v>#REF!</v>
      </c>
      <c r="CS23" t="e">
        <f>AND('POTENCIAL HORAS'!#REF!,"AAAAAH3/nmA=")</f>
        <v>#REF!</v>
      </c>
      <c r="CT23" t="e">
        <f>AND('POTENCIAL HORAS'!#REF!,"AAAAAH3/nmE=")</f>
        <v>#REF!</v>
      </c>
      <c r="CU23" t="e">
        <f>AND('POTENCIAL HORAS'!#REF!,"AAAAAH3/nmI=")</f>
        <v>#REF!</v>
      </c>
      <c r="CV23" t="e">
        <f>AND('POTENCIAL HORAS'!Q290,"AAAAAH3/nmM=")</f>
        <v>#VALUE!</v>
      </c>
      <c r="CW23" t="e">
        <f>AND('POTENCIAL HORAS'!R290,"AAAAAH3/nmQ=")</f>
        <v>#VALUE!</v>
      </c>
      <c r="CX23">
        <f>IF('POTENCIAL HORAS'!291:291,"AAAAAH3/nmU=",0)</f>
        <v>0</v>
      </c>
      <c r="CY23" t="e">
        <f>AND('POTENCIAL HORAS'!A291,"AAAAAH3/nmY=")</f>
        <v>#VALUE!</v>
      </c>
      <c r="CZ23" t="e">
        <f>AND('POTENCIAL HORAS'!B291,"AAAAAH3/nmc=")</f>
        <v>#VALUE!</v>
      </c>
      <c r="DA23" t="e">
        <f>AND('POTENCIAL HORAS'!C291,"AAAAAH3/nmg=")</f>
        <v>#VALUE!</v>
      </c>
      <c r="DB23" t="e">
        <f>AND('POTENCIAL HORAS'!D291,"AAAAAH3/nmk=")</f>
        <v>#VALUE!</v>
      </c>
      <c r="DC23" t="e">
        <f>AND('POTENCIAL HORAS'!E291,"AAAAAH3/nmo=")</f>
        <v>#VALUE!</v>
      </c>
      <c r="DD23" t="e">
        <f>AND('POTENCIAL HORAS'!F291,"AAAAAH3/nms=")</f>
        <v>#VALUE!</v>
      </c>
      <c r="DE23" t="e">
        <f>AND('POTENCIAL HORAS'!G291,"AAAAAH3/nmw=")</f>
        <v>#VALUE!</v>
      </c>
      <c r="DF23" t="e">
        <f>AND('POTENCIAL HORAS'!H291,"AAAAAH3/nm0=")</f>
        <v>#VALUE!</v>
      </c>
      <c r="DG23" t="e">
        <f>AND('POTENCIAL HORAS'!I291,"AAAAAH3/nm4=")</f>
        <v>#VALUE!</v>
      </c>
      <c r="DH23" t="e">
        <f>AND('POTENCIAL HORAS'!J291,"AAAAAH3/nm8=")</f>
        <v>#VALUE!</v>
      </c>
      <c r="DI23" t="e">
        <f>AND('POTENCIAL HORAS'!K291,"AAAAAH3/nnA=")</f>
        <v>#VALUE!</v>
      </c>
      <c r="DJ23" t="e">
        <f>AND('POTENCIAL HORAS'!L291,"AAAAAH3/nnE=")</f>
        <v>#VALUE!</v>
      </c>
      <c r="DK23" t="e">
        <f>AND('POTENCIAL HORAS'!M291,"AAAAAH3/nnI=")</f>
        <v>#VALUE!</v>
      </c>
      <c r="DL23" t="e">
        <f>AND('POTENCIAL HORAS'!N291,"AAAAAH3/nnM=")</f>
        <v>#VALUE!</v>
      </c>
      <c r="DM23" t="e">
        <f>AND('POTENCIAL HORAS'!O291,"AAAAAH3/nnQ=")</f>
        <v>#VALUE!</v>
      </c>
      <c r="DN23" t="e">
        <f>AND('POTENCIAL HORAS'!P291,"AAAAAH3/nnU=")</f>
        <v>#VALUE!</v>
      </c>
      <c r="DO23" t="e">
        <f>AND('POTENCIAL HORAS'!#REF!,"AAAAAH3/nnY=")</f>
        <v>#REF!</v>
      </c>
      <c r="DP23" t="e">
        <f>AND('POTENCIAL HORAS'!#REF!,"AAAAAH3/nnc=")</f>
        <v>#REF!</v>
      </c>
      <c r="DQ23" t="e">
        <f>AND('POTENCIAL HORAS'!#REF!,"AAAAAH3/nng=")</f>
        <v>#REF!</v>
      </c>
      <c r="DR23" t="e">
        <f>AND('POTENCIAL HORAS'!#REF!,"AAAAAH3/nnk=")</f>
        <v>#REF!</v>
      </c>
      <c r="DS23" t="e">
        <f>AND('POTENCIAL HORAS'!#REF!,"AAAAAH3/nno=")</f>
        <v>#REF!</v>
      </c>
      <c r="DT23" t="e">
        <f>AND('POTENCIAL HORAS'!#REF!,"AAAAAH3/nns=")</f>
        <v>#REF!</v>
      </c>
      <c r="DU23" t="e">
        <f>AND('POTENCIAL HORAS'!#REF!,"AAAAAH3/nnw=")</f>
        <v>#REF!</v>
      </c>
      <c r="DV23" t="e">
        <f>AND('POTENCIAL HORAS'!#REF!,"AAAAAH3/nn0=")</f>
        <v>#REF!</v>
      </c>
      <c r="DW23" t="e">
        <f>AND('POTENCIAL HORAS'!#REF!,"AAAAAH3/nn4=")</f>
        <v>#REF!</v>
      </c>
      <c r="DX23" t="e">
        <f>AND('POTENCIAL HORAS'!#REF!,"AAAAAH3/nn8=")</f>
        <v>#REF!</v>
      </c>
      <c r="DY23" t="e">
        <f>AND('POTENCIAL HORAS'!#REF!,"AAAAAH3/noA=")</f>
        <v>#REF!</v>
      </c>
      <c r="DZ23" t="e">
        <f>AND('POTENCIAL HORAS'!#REF!,"AAAAAH3/noE=")</f>
        <v>#REF!</v>
      </c>
      <c r="EA23" t="e">
        <f>AND('POTENCIAL HORAS'!#REF!,"AAAAAH3/noI=")</f>
        <v>#REF!</v>
      </c>
      <c r="EB23" t="e">
        <f>AND('POTENCIAL HORAS'!#REF!,"AAAAAH3/noM=")</f>
        <v>#REF!</v>
      </c>
      <c r="EC23" t="e">
        <f>AND('POTENCIAL HORAS'!#REF!,"AAAAAH3/noQ=")</f>
        <v>#REF!</v>
      </c>
      <c r="ED23" t="e">
        <f>AND('POTENCIAL HORAS'!#REF!,"AAAAAH3/noU=")</f>
        <v>#REF!</v>
      </c>
      <c r="EE23" t="e">
        <f>AND('POTENCIAL HORAS'!#REF!,"AAAAAH3/noY=")</f>
        <v>#REF!</v>
      </c>
      <c r="EF23" t="e">
        <f>AND('POTENCIAL HORAS'!#REF!,"AAAAAH3/noc=")</f>
        <v>#REF!</v>
      </c>
      <c r="EG23" t="e">
        <f>AND('POTENCIAL HORAS'!#REF!,"AAAAAH3/nog=")</f>
        <v>#REF!</v>
      </c>
      <c r="EH23" t="e">
        <f>AND('POTENCIAL HORAS'!#REF!,"AAAAAH3/nok=")</f>
        <v>#REF!</v>
      </c>
      <c r="EI23" t="e">
        <f>AND('POTENCIAL HORAS'!Q291,"AAAAAH3/noo=")</f>
        <v>#VALUE!</v>
      </c>
      <c r="EJ23" t="e">
        <f>AND('POTENCIAL HORAS'!R291,"AAAAAH3/nos=")</f>
        <v>#VALUE!</v>
      </c>
      <c r="EK23">
        <f>IF('POTENCIAL HORAS'!292:292,"AAAAAH3/now=",0)</f>
        <v>0</v>
      </c>
      <c r="EL23" t="e">
        <f>AND('POTENCIAL HORAS'!A292,"AAAAAH3/no0=")</f>
        <v>#VALUE!</v>
      </c>
      <c r="EM23" t="e">
        <f>AND('POTENCIAL HORAS'!B292,"AAAAAH3/no4=")</f>
        <v>#VALUE!</v>
      </c>
      <c r="EN23" t="e">
        <f>AND('POTENCIAL HORAS'!C292,"AAAAAH3/no8=")</f>
        <v>#VALUE!</v>
      </c>
      <c r="EO23" t="e">
        <f>AND('POTENCIAL HORAS'!D292,"AAAAAH3/npA=")</f>
        <v>#VALUE!</v>
      </c>
      <c r="EP23" t="e">
        <f>AND('POTENCIAL HORAS'!E292,"AAAAAH3/npE=")</f>
        <v>#VALUE!</v>
      </c>
      <c r="EQ23" t="e">
        <f>AND('POTENCIAL HORAS'!F292,"AAAAAH3/npI=")</f>
        <v>#VALUE!</v>
      </c>
      <c r="ER23" t="e">
        <f>AND('POTENCIAL HORAS'!G292,"AAAAAH3/npM=")</f>
        <v>#VALUE!</v>
      </c>
      <c r="ES23" t="e">
        <f>AND('POTENCIAL HORAS'!H292,"AAAAAH3/npQ=")</f>
        <v>#VALUE!</v>
      </c>
      <c r="ET23" t="e">
        <f>AND('POTENCIAL HORAS'!I292,"AAAAAH3/npU=")</f>
        <v>#VALUE!</v>
      </c>
      <c r="EU23" t="e">
        <f>AND('POTENCIAL HORAS'!J292,"AAAAAH3/npY=")</f>
        <v>#VALUE!</v>
      </c>
      <c r="EV23" t="e">
        <f>AND('POTENCIAL HORAS'!K292,"AAAAAH3/npc=")</f>
        <v>#VALUE!</v>
      </c>
      <c r="EW23" t="e">
        <f>AND('POTENCIAL HORAS'!L292,"AAAAAH3/npg=")</f>
        <v>#VALUE!</v>
      </c>
      <c r="EX23" t="e">
        <f>AND('POTENCIAL HORAS'!M292,"AAAAAH3/npk=")</f>
        <v>#VALUE!</v>
      </c>
      <c r="EY23" t="e">
        <f>AND('POTENCIAL HORAS'!N292,"AAAAAH3/npo=")</f>
        <v>#VALUE!</v>
      </c>
      <c r="EZ23" t="e">
        <f>AND('POTENCIAL HORAS'!O292,"AAAAAH3/nps=")</f>
        <v>#VALUE!</v>
      </c>
      <c r="FA23" t="e">
        <f>AND('POTENCIAL HORAS'!P292,"AAAAAH3/npw=")</f>
        <v>#VALUE!</v>
      </c>
      <c r="FB23" t="e">
        <f>AND('POTENCIAL HORAS'!#REF!,"AAAAAH3/np0=")</f>
        <v>#REF!</v>
      </c>
      <c r="FC23" t="e">
        <f>AND('POTENCIAL HORAS'!#REF!,"AAAAAH3/np4=")</f>
        <v>#REF!</v>
      </c>
      <c r="FD23" t="e">
        <f>AND('POTENCIAL HORAS'!#REF!,"AAAAAH3/np8=")</f>
        <v>#REF!</v>
      </c>
      <c r="FE23" t="e">
        <f>AND('POTENCIAL HORAS'!#REF!,"AAAAAH3/nqA=")</f>
        <v>#REF!</v>
      </c>
      <c r="FF23" t="e">
        <f>AND('POTENCIAL HORAS'!#REF!,"AAAAAH3/nqE=")</f>
        <v>#REF!</v>
      </c>
      <c r="FG23" t="e">
        <f>AND('POTENCIAL HORAS'!#REF!,"AAAAAH3/nqI=")</f>
        <v>#REF!</v>
      </c>
      <c r="FH23" t="e">
        <f>AND('POTENCIAL HORAS'!#REF!,"AAAAAH3/nqM=")</f>
        <v>#REF!</v>
      </c>
      <c r="FI23" t="e">
        <f>AND('POTENCIAL HORAS'!#REF!,"AAAAAH3/nqQ=")</f>
        <v>#REF!</v>
      </c>
      <c r="FJ23" t="e">
        <f>AND('POTENCIAL HORAS'!#REF!,"AAAAAH3/nqU=")</f>
        <v>#REF!</v>
      </c>
      <c r="FK23" t="e">
        <f>AND('POTENCIAL HORAS'!#REF!,"AAAAAH3/nqY=")</f>
        <v>#REF!</v>
      </c>
      <c r="FL23" t="e">
        <f>AND('POTENCIAL HORAS'!#REF!,"AAAAAH3/nqc=")</f>
        <v>#REF!</v>
      </c>
      <c r="FM23" t="e">
        <f>AND('POTENCIAL HORAS'!#REF!,"AAAAAH3/nqg=")</f>
        <v>#REF!</v>
      </c>
      <c r="FN23" t="e">
        <f>AND('POTENCIAL HORAS'!#REF!,"AAAAAH3/nqk=")</f>
        <v>#REF!</v>
      </c>
      <c r="FO23" t="e">
        <f>AND('POTENCIAL HORAS'!#REF!,"AAAAAH3/nqo=")</f>
        <v>#REF!</v>
      </c>
      <c r="FP23" t="e">
        <f>AND('POTENCIAL HORAS'!#REF!,"AAAAAH3/nqs=")</f>
        <v>#REF!</v>
      </c>
      <c r="FQ23" t="e">
        <f>AND('POTENCIAL HORAS'!#REF!,"AAAAAH3/nqw=")</f>
        <v>#REF!</v>
      </c>
      <c r="FR23" t="e">
        <f>AND('POTENCIAL HORAS'!#REF!,"AAAAAH3/nq0=")</f>
        <v>#REF!</v>
      </c>
      <c r="FS23" t="e">
        <f>AND('POTENCIAL HORAS'!#REF!,"AAAAAH3/nq4=")</f>
        <v>#REF!</v>
      </c>
      <c r="FT23" t="e">
        <f>AND('POTENCIAL HORAS'!#REF!,"AAAAAH3/nq8=")</f>
        <v>#REF!</v>
      </c>
      <c r="FU23" t="e">
        <f>AND('POTENCIAL HORAS'!#REF!,"AAAAAH3/nrA=")</f>
        <v>#REF!</v>
      </c>
      <c r="FV23" t="e">
        <f>AND('POTENCIAL HORAS'!Q292,"AAAAAH3/nrE=")</f>
        <v>#VALUE!</v>
      </c>
      <c r="FW23" t="e">
        <f>AND('POTENCIAL HORAS'!R292,"AAAAAH3/nrI=")</f>
        <v>#VALUE!</v>
      </c>
      <c r="FX23">
        <f>IF('POTENCIAL HORAS'!293:293,"AAAAAH3/nrM=",0)</f>
        <v>0</v>
      </c>
      <c r="FY23" t="e">
        <f>AND('POTENCIAL HORAS'!A293,"AAAAAH3/nrQ=")</f>
        <v>#VALUE!</v>
      </c>
      <c r="FZ23" t="e">
        <f>AND('POTENCIAL HORAS'!B293,"AAAAAH3/nrU=")</f>
        <v>#VALUE!</v>
      </c>
      <c r="GA23" t="e">
        <f>AND('POTENCIAL HORAS'!C293,"AAAAAH3/nrY=")</f>
        <v>#VALUE!</v>
      </c>
      <c r="GB23" t="e">
        <f>AND('POTENCIAL HORAS'!D293,"AAAAAH3/nrc=")</f>
        <v>#VALUE!</v>
      </c>
      <c r="GC23" t="e">
        <f>AND('POTENCIAL HORAS'!E293,"AAAAAH3/nrg=")</f>
        <v>#VALUE!</v>
      </c>
      <c r="GD23" t="e">
        <f>AND('POTENCIAL HORAS'!F293,"AAAAAH3/nrk=")</f>
        <v>#VALUE!</v>
      </c>
      <c r="GE23" t="e">
        <f>AND('POTENCIAL HORAS'!G293,"AAAAAH3/nro=")</f>
        <v>#VALUE!</v>
      </c>
      <c r="GF23" t="e">
        <f>AND('POTENCIAL HORAS'!H293,"AAAAAH3/nrs=")</f>
        <v>#VALUE!</v>
      </c>
      <c r="GG23" t="e">
        <f>AND('POTENCIAL HORAS'!I293,"AAAAAH3/nrw=")</f>
        <v>#VALUE!</v>
      </c>
      <c r="GH23" t="e">
        <f>AND('POTENCIAL HORAS'!J293,"AAAAAH3/nr0=")</f>
        <v>#VALUE!</v>
      </c>
      <c r="GI23" t="e">
        <f>AND('POTENCIAL HORAS'!K293,"AAAAAH3/nr4=")</f>
        <v>#VALUE!</v>
      </c>
      <c r="GJ23" t="e">
        <f>AND('POTENCIAL HORAS'!L293,"AAAAAH3/nr8=")</f>
        <v>#VALUE!</v>
      </c>
      <c r="GK23" t="e">
        <f>AND('POTENCIAL HORAS'!M293,"AAAAAH3/nsA=")</f>
        <v>#VALUE!</v>
      </c>
      <c r="GL23" t="e">
        <f>AND('POTENCIAL HORAS'!N293,"AAAAAH3/nsE=")</f>
        <v>#VALUE!</v>
      </c>
      <c r="GM23" t="e">
        <f>AND('POTENCIAL HORAS'!O293,"AAAAAH3/nsI=")</f>
        <v>#VALUE!</v>
      </c>
      <c r="GN23" t="e">
        <f>AND('POTENCIAL HORAS'!P293,"AAAAAH3/nsM=")</f>
        <v>#VALUE!</v>
      </c>
      <c r="GO23" t="e">
        <f>AND('POTENCIAL HORAS'!#REF!,"AAAAAH3/nsQ=")</f>
        <v>#REF!</v>
      </c>
      <c r="GP23" t="e">
        <f>AND('POTENCIAL HORAS'!#REF!,"AAAAAH3/nsU=")</f>
        <v>#REF!</v>
      </c>
      <c r="GQ23" t="e">
        <f>AND('POTENCIAL HORAS'!#REF!,"AAAAAH3/nsY=")</f>
        <v>#REF!</v>
      </c>
      <c r="GR23" t="e">
        <f>AND('POTENCIAL HORAS'!#REF!,"AAAAAH3/nsc=")</f>
        <v>#REF!</v>
      </c>
      <c r="GS23" t="e">
        <f>AND('POTENCIAL HORAS'!#REF!,"AAAAAH3/nsg=")</f>
        <v>#REF!</v>
      </c>
      <c r="GT23" t="e">
        <f>AND('POTENCIAL HORAS'!#REF!,"AAAAAH3/nsk=")</f>
        <v>#REF!</v>
      </c>
      <c r="GU23" t="e">
        <f>AND('POTENCIAL HORAS'!#REF!,"AAAAAH3/nso=")</f>
        <v>#REF!</v>
      </c>
      <c r="GV23" t="e">
        <f>AND('POTENCIAL HORAS'!#REF!,"AAAAAH3/nss=")</f>
        <v>#REF!</v>
      </c>
      <c r="GW23" t="e">
        <f>AND('POTENCIAL HORAS'!#REF!,"AAAAAH3/nsw=")</f>
        <v>#REF!</v>
      </c>
      <c r="GX23" t="e">
        <f>AND('POTENCIAL HORAS'!#REF!,"AAAAAH3/ns0=")</f>
        <v>#REF!</v>
      </c>
      <c r="GY23" t="e">
        <f>AND('POTENCIAL HORAS'!#REF!,"AAAAAH3/ns4=")</f>
        <v>#REF!</v>
      </c>
      <c r="GZ23" t="e">
        <f>AND('POTENCIAL HORAS'!#REF!,"AAAAAH3/ns8=")</f>
        <v>#REF!</v>
      </c>
      <c r="HA23" t="e">
        <f>AND('POTENCIAL HORAS'!#REF!,"AAAAAH3/ntA=")</f>
        <v>#REF!</v>
      </c>
      <c r="HB23" t="e">
        <f>AND('POTENCIAL HORAS'!#REF!,"AAAAAH3/ntE=")</f>
        <v>#REF!</v>
      </c>
      <c r="HC23" t="e">
        <f>AND('POTENCIAL HORAS'!#REF!,"AAAAAH3/ntI=")</f>
        <v>#REF!</v>
      </c>
      <c r="HD23" t="e">
        <f>AND('POTENCIAL HORAS'!#REF!,"AAAAAH3/ntM=")</f>
        <v>#REF!</v>
      </c>
      <c r="HE23" t="e">
        <f>AND('POTENCIAL HORAS'!#REF!,"AAAAAH3/ntQ=")</f>
        <v>#REF!</v>
      </c>
      <c r="HF23" t="e">
        <f>AND('POTENCIAL HORAS'!#REF!,"AAAAAH3/ntU=")</f>
        <v>#REF!</v>
      </c>
      <c r="HG23" t="e">
        <f>AND('POTENCIAL HORAS'!#REF!,"AAAAAH3/ntY=")</f>
        <v>#REF!</v>
      </c>
      <c r="HH23" t="e">
        <f>AND('POTENCIAL HORAS'!#REF!,"AAAAAH3/ntc=")</f>
        <v>#REF!</v>
      </c>
      <c r="HI23" t="e">
        <f>AND('POTENCIAL HORAS'!Q293,"AAAAAH3/ntg=")</f>
        <v>#VALUE!</v>
      </c>
      <c r="HJ23" t="e">
        <f>AND('POTENCIAL HORAS'!R293,"AAAAAH3/ntk=")</f>
        <v>#VALUE!</v>
      </c>
      <c r="HK23">
        <f>IF('POTENCIAL HORAS'!294:294,"AAAAAH3/nto=",0)</f>
        <v>0</v>
      </c>
      <c r="HL23" t="e">
        <f>AND('POTENCIAL HORAS'!A294,"AAAAAH3/nts=")</f>
        <v>#VALUE!</v>
      </c>
      <c r="HM23" t="e">
        <f>AND('POTENCIAL HORAS'!B294,"AAAAAH3/ntw=")</f>
        <v>#VALUE!</v>
      </c>
      <c r="HN23" t="e">
        <f>AND('POTENCIAL HORAS'!C294,"AAAAAH3/nt0=")</f>
        <v>#VALUE!</v>
      </c>
      <c r="HO23" t="e">
        <f>AND('POTENCIAL HORAS'!D294,"AAAAAH3/nt4=")</f>
        <v>#VALUE!</v>
      </c>
      <c r="HP23" t="e">
        <f>AND('POTENCIAL HORAS'!E294,"AAAAAH3/nt8=")</f>
        <v>#VALUE!</v>
      </c>
      <c r="HQ23" t="e">
        <f>AND('POTENCIAL HORAS'!F294,"AAAAAH3/nuA=")</f>
        <v>#VALUE!</v>
      </c>
      <c r="HR23" t="e">
        <f>AND('POTENCIAL HORAS'!G294,"AAAAAH3/nuE=")</f>
        <v>#VALUE!</v>
      </c>
      <c r="HS23" t="e">
        <f>AND('POTENCIAL HORAS'!H294,"AAAAAH3/nuI=")</f>
        <v>#VALUE!</v>
      </c>
      <c r="HT23" t="e">
        <f>AND('POTENCIAL HORAS'!I294,"AAAAAH3/nuM=")</f>
        <v>#VALUE!</v>
      </c>
      <c r="HU23" t="e">
        <f>AND('POTENCIAL HORAS'!J294,"AAAAAH3/nuQ=")</f>
        <v>#VALUE!</v>
      </c>
      <c r="HV23" t="e">
        <f>AND('POTENCIAL HORAS'!K294,"AAAAAH3/nuU=")</f>
        <v>#VALUE!</v>
      </c>
      <c r="HW23" t="e">
        <f>AND('POTENCIAL HORAS'!L294,"AAAAAH3/nuY=")</f>
        <v>#VALUE!</v>
      </c>
      <c r="HX23" t="e">
        <f>AND('POTENCIAL HORAS'!M294,"AAAAAH3/nuc=")</f>
        <v>#VALUE!</v>
      </c>
      <c r="HY23" t="e">
        <f>AND('POTENCIAL HORAS'!N294,"AAAAAH3/nug=")</f>
        <v>#VALUE!</v>
      </c>
      <c r="HZ23" t="e">
        <f>AND('POTENCIAL HORAS'!O294,"AAAAAH3/nuk=")</f>
        <v>#VALUE!</v>
      </c>
      <c r="IA23" t="e">
        <f>AND('POTENCIAL HORAS'!P294,"AAAAAH3/nuo=")</f>
        <v>#VALUE!</v>
      </c>
      <c r="IB23" t="e">
        <f>AND('POTENCIAL HORAS'!#REF!,"AAAAAH3/nus=")</f>
        <v>#REF!</v>
      </c>
      <c r="IC23" t="e">
        <f>AND('POTENCIAL HORAS'!#REF!,"AAAAAH3/nuw=")</f>
        <v>#REF!</v>
      </c>
      <c r="ID23" t="e">
        <f>AND('POTENCIAL HORAS'!#REF!,"AAAAAH3/nu0=")</f>
        <v>#REF!</v>
      </c>
      <c r="IE23" t="e">
        <f>AND('POTENCIAL HORAS'!#REF!,"AAAAAH3/nu4=")</f>
        <v>#REF!</v>
      </c>
      <c r="IF23" t="e">
        <f>AND('POTENCIAL HORAS'!#REF!,"AAAAAH3/nu8=")</f>
        <v>#REF!</v>
      </c>
      <c r="IG23" t="e">
        <f>AND('POTENCIAL HORAS'!#REF!,"AAAAAH3/nvA=")</f>
        <v>#REF!</v>
      </c>
      <c r="IH23" t="e">
        <f>AND('POTENCIAL HORAS'!#REF!,"AAAAAH3/nvE=")</f>
        <v>#REF!</v>
      </c>
      <c r="II23" t="e">
        <f>AND('POTENCIAL HORAS'!#REF!,"AAAAAH3/nvI=")</f>
        <v>#REF!</v>
      </c>
      <c r="IJ23" t="e">
        <f>AND('POTENCIAL HORAS'!#REF!,"AAAAAH3/nvM=")</f>
        <v>#REF!</v>
      </c>
      <c r="IK23" t="e">
        <f>AND('POTENCIAL HORAS'!#REF!,"AAAAAH3/nvQ=")</f>
        <v>#REF!</v>
      </c>
      <c r="IL23" t="e">
        <f>AND('POTENCIAL HORAS'!#REF!,"AAAAAH3/nvU=")</f>
        <v>#REF!</v>
      </c>
      <c r="IM23" t="e">
        <f>AND('POTENCIAL HORAS'!#REF!,"AAAAAH3/nvY=")</f>
        <v>#REF!</v>
      </c>
      <c r="IN23" t="e">
        <f>AND('POTENCIAL HORAS'!#REF!,"AAAAAH3/nvc=")</f>
        <v>#REF!</v>
      </c>
      <c r="IO23" t="e">
        <f>AND('POTENCIAL HORAS'!#REF!,"AAAAAH3/nvg=")</f>
        <v>#REF!</v>
      </c>
      <c r="IP23" t="e">
        <f>AND('POTENCIAL HORAS'!#REF!,"AAAAAH3/nvk=")</f>
        <v>#REF!</v>
      </c>
      <c r="IQ23" t="e">
        <f>AND('POTENCIAL HORAS'!#REF!,"AAAAAH3/nvo=")</f>
        <v>#REF!</v>
      </c>
      <c r="IR23" t="e">
        <f>AND('POTENCIAL HORAS'!#REF!,"AAAAAH3/nvs=")</f>
        <v>#REF!</v>
      </c>
      <c r="IS23" t="e">
        <f>AND('POTENCIAL HORAS'!#REF!,"AAAAAH3/nvw=")</f>
        <v>#REF!</v>
      </c>
      <c r="IT23" t="e">
        <f>AND('POTENCIAL HORAS'!#REF!,"AAAAAH3/nv0=")</f>
        <v>#REF!</v>
      </c>
      <c r="IU23" t="e">
        <f>AND('POTENCIAL HORAS'!#REF!,"AAAAAH3/nv4=")</f>
        <v>#REF!</v>
      </c>
      <c r="IV23" t="e">
        <f>AND('POTENCIAL HORAS'!Q294,"AAAAAH3/nv8=")</f>
        <v>#VALUE!</v>
      </c>
    </row>
    <row r="24" spans="1:256" x14ac:dyDescent="0.2">
      <c r="A24" t="e">
        <f>AND('POTENCIAL HORAS'!R294,"AAAAAFfP3wA=")</f>
        <v>#VALUE!</v>
      </c>
      <c r="B24" t="str">
        <f>IF('POTENCIAL HORAS'!295:295,"AAAAAFfP3wE=",0)</f>
        <v>AAAAAFfP3wE=</v>
      </c>
      <c r="C24" t="e">
        <f>AND('POTENCIAL HORAS'!A295,"AAAAAFfP3wI=")</f>
        <v>#VALUE!</v>
      </c>
      <c r="D24" t="e">
        <f>AND('POTENCIAL HORAS'!B295,"AAAAAFfP3wM=")</f>
        <v>#VALUE!</v>
      </c>
      <c r="E24" t="e">
        <f>AND('POTENCIAL HORAS'!C295,"AAAAAFfP3wQ=")</f>
        <v>#VALUE!</v>
      </c>
      <c r="F24" t="e">
        <f>AND('POTENCIAL HORAS'!D295,"AAAAAFfP3wU=")</f>
        <v>#VALUE!</v>
      </c>
      <c r="G24" t="e">
        <f>AND('POTENCIAL HORAS'!E295,"AAAAAFfP3wY=")</f>
        <v>#VALUE!</v>
      </c>
      <c r="H24" t="e">
        <f>AND('POTENCIAL HORAS'!F295,"AAAAAFfP3wc=")</f>
        <v>#VALUE!</v>
      </c>
      <c r="I24" t="e">
        <f>AND('POTENCIAL HORAS'!G295,"AAAAAFfP3wg=")</f>
        <v>#VALUE!</v>
      </c>
      <c r="J24" t="e">
        <f>AND('POTENCIAL HORAS'!H295,"AAAAAFfP3wk=")</f>
        <v>#VALUE!</v>
      </c>
      <c r="K24" t="e">
        <f>AND('POTENCIAL HORAS'!I295,"AAAAAFfP3wo=")</f>
        <v>#VALUE!</v>
      </c>
      <c r="L24" t="e">
        <f>AND('POTENCIAL HORAS'!J295,"AAAAAFfP3ws=")</f>
        <v>#VALUE!</v>
      </c>
      <c r="M24" t="e">
        <f>AND('POTENCIAL HORAS'!K295,"AAAAAFfP3ww=")</f>
        <v>#VALUE!</v>
      </c>
      <c r="N24" t="e">
        <f>AND('POTENCIAL HORAS'!L295,"AAAAAFfP3w0=")</f>
        <v>#VALUE!</v>
      </c>
      <c r="O24" t="e">
        <f>AND('POTENCIAL HORAS'!M295,"AAAAAFfP3w4=")</f>
        <v>#VALUE!</v>
      </c>
      <c r="P24" t="e">
        <f>AND('POTENCIAL HORAS'!N295,"AAAAAFfP3w8=")</f>
        <v>#VALUE!</v>
      </c>
      <c r="Q24" t="e">
        <f>AND('POTENCIAL HORAS'!O295,"AAAAAFfP3xA=")</f>
        <v>#VALUE!</v>
      </c>
      <c r="R24" t="e">
        <f>AND('POTENCIAL HORAS'!P295,"AAAAAFfP3xE=")</f>
        <v>#VALUE!</v>
      </c>
      <c r="S24" t="e">
        <f>AND('POTENCIAL HORAS'!#REF!,"AAAAAFfP3xI=")</f>
        <v>#REF!</v>
      </c>
      <c r="T24" t="e">
        <f>AND('POTENCIAL HORAS'!#REF!,"AAAAAFfP3xM=")</f>
        <v>#REF!</v>
      </c>
      <c r="U24" t="e">
        <f>AND('POTENCIAL HORAS'!#REF!,"AAAAAFfP3xQ=")</f>
        <v>#REF!</v>
      </c>
      <c r="V24" t="e">
        <f>AND('POTENCIAL HORAS'!#REF!,"AAAAAFfP3xU=")</f>
        <v>#REF!</v>
      </c>
      <c r="W24" t="e">
        <f>AND('POTENCIAL HORAS'!#REF!,"AAAAAFfP3xY=")</f>
        <v>#REF!</v>
      </c>
      <c r="X24" t="e">
        <f>AND('POTENCIAL HORAS'!#REF!,"AAAAAFfP3xc=")</f>
        <v>#REF!</v>
      </c>
      <c r="Y24" t="e">
        <f>AND('POTENCIAL HORAS'!#REF!,"AAAAAFfP3xg=")</f>
        <v>#REF!</v>
      </c>
      <c r="Z24" t="e">
        <f>AND('POTENCIAL HORAS'!#REF!,"AAAAAFfP3xk=")</f>
        <v>#REF!</v>
      </c>
      <c r="AA24" t="e">
        <f>AND('POTENCIAL HORAS'!#REF!,"AAAAAFfP3xo=")</f>
        <v>#REF!</v>
      </c>
      <c r="AB24" t="e">
        <f>AND('POTENCIAL HORAS'!#REF!,"AAAAAFfP3xs=")</f>
        <v>#REF!</v>
      </c>
      <c r="AC24" t="e">
        <f>AND('POTENCIAL HORAS'!#REF!,"AAAAAFfP3xw=")</f>
        <v>#REF!</v>
      </c>
      <c r="AD24" t="e">
        <f>AND('POTENCIAL HORAS'!#REF!,"AAAAAFfP3x0=")</f>
        <v>#REF!</v>
      </c>
      <c r="AE24" t="e">
        <f>AND('POTENCIAL HORAS'!#REF!,"AAAAAFfP3x4=")</f>
        <v>#REF!</v>
      </c>
      <c r="AF24" t="e">
        <f>AND('POTENCIAL HORAS'!#REF!,"AAAAAFfP3x8=")</f>
        <v>#REF!</v>
      </c>
      <c r="AG24" t="e">
        <f>AND('POTENCIAL HORAS'!#REF!,"AAAAAFfP3yA=")</f>
        <v>#REF!</v>
      </c>
      <c r="AH24" t="e">
        <f>AND('POTENCIAL HORAS'!#REF!,"AAAAAFfP3yE=")</f>
        <v>#REF!</v>
      </c>
      <c r="AI24" t="e">
        <f>AND('POTENCIAL HORAS'!#REF!,"AAAAAFfP3yI=")</f>
        <v>#REF!</v>
      </c>
      <c r="AJ24" t="e">
        <f>AND('POTENCIAL HORAS'!#REF!,"AAAAAFfP3yM=")</f>
        <v>#REF!</v>
      </c>
      <c r="AK24" t="e">
        <f>AND('POTENCIAL HORAS'!#REF!,"AAAAAFfP3yQ=")</f>
        <v>#REF!</v>
      </c>
      <c r="AL24" t="e">
        <f>AND('POTENCIAL HORAS'!#REF!,"AAAAAFfP3yU=")</f>
        <v>#REF!</v>
      </c>
      <c r="AM24" t="e">
        <f>AND('POTENCIAL HORAS'!Q295,"AAAAAFfP3yY=")</f>
        <v>#VALUE!</v>
      </c>
      <c r="AN24" t="e">
        <f>AND('POTENCIAL HORAS'!R295,"AAAAAFfP3yc=")</f>
        <v>#VALUE!</v>
      </c>
      <c r="AO24" t="e">
        <f>IF('POTENCIAL HORAS'!#REF!,"AAAAAFfP3yg=",0)</f>
        <v>#REF!</v>
      </c>
      <c r="AP24" t="e">
        <f>AND('POTENCIAL HORAS'!#REF!,"AAAAAFfP3yk=")</f>
        <v>#REF!</v>
      </c>
      <c r="AQ24" t="e">
        <f>AND('POTENCIAL HORAS'!#REF!,"AAAAAFfP3yo=")</f>
        <v>#REF!</v>
      </c>
      <c r="AR24" t="e">
        <f>AND('POTENCIAL HORAS'!#REF!,"AAAAAFfP3ys=")</f>
        <v>#REF!</v>
      </c>
      <c r="AS24" t="e">
        <f>AND('POTENCIAL HORAS'!#REF!,"AAAAAFfP3yw=")</f>
        <v>#REF!</v>
      </c>
      <c r="AT24" t="e">
        <f>AND('POTENCIAL HORAS'!#REF!,"AAAAAFfP3y0=")</f>
        <v>#REF!</v>
      </c>
      <c r="AU24" t="e">
        <f>AND('POTENCIAL HORAS'!#REF!,"AAAAAFfP3y4=")</f>
        <v>#REF!</v>
      </c>
      <c r="AV24" t="e">
        <f>AND('POTENCIAL HORAS'!#REF!,"AAAAAFfP3y8=")</f>
        <v>#REF!</v>
      </c>
      <c r="AW24" t="e">
        <f>AND('POTENCIAL HORAS'!#REF!,"AAAAAFfP3zA=")</f>
        <v>#REF!</v>
      </c>
      <c r="AX24" t="e">
        <f>AND('POTENCIAL HORAS'!#REF!,"AAAAAFfP3zE=")</f>
        <v>#REF!</v>
      </c>
      <c r="AY24" t="e">
        <f>AND('POTENCIAL HORAS'!#REF!,"AAAAAFfP3zI=")</f>
        <v>#REF!</v>
      </c>
      <c r="AZ24" t="e">
        <f>AND('POTENCIAL HORAS'!#REF!,"AAAAAFfP3zM=")</f>
        <v>#REF!</v>
      </c>
      <c r="BA24" t="e">
        <f>AND('POTENCIAL HORAS'!#REF!,"AAAAAFfP3zQ=")</f>
        <v>#REF!</v>
      </c>
      <c r="BB24" t="e">
        <f>AND('POTENCIAL HORAS'!#REF!,"AAAAAFfP3zU=")</f>
        <v>#REF!</v>
      </c>
      <c r="BC24" t="e">
        <f>AND('POTENCIAL HORAS'!#REF!,"AAAAAFfP3zY=")</f>
        <v>#REF!</v>
      </c>
      <c r="BD24" t="e">
        <f>AND('POTENCIAL HORAS'!#REF!,"AAAAAFfP3zc=")</f>
        <v>#REF!</v>
      </c>
      <c r="BE24" t="e">
        <f>AND('POTENCIAL HORAS'!#REF!,"AAAAAFfP3zg=")</f>
        <v>#REF!</v>
      </c>
      <c r="BF24" t="e">
        <f>AND('POTENCIAL HORAS'!#REF!,"AAAAAFfP3zk=")</f>
        <v>#REF!</v>
      </c>
      <c r="BG24" t="e">
        <f>AND('POTENCIAL HORAS'!#REF!,"AAAAAFfP3zo=")</f>
        <v>#REF!</v>
      </c>
      <c r="BH24" t="e">
        <f>AND('POTENCIAL HORAS'!#REF!,"AAAAAFfP3zs=")</f>
        <v>#REF!</v>
      </c>
      <c r="BI24" t="e">
        <f>AND('POTENCIAL HORAS'!#REF!,"AAAAAFfP3zw=")</f>
        <v>#REF!</v>
      </c>
      <c r="BJ24" t="e">
        <f>AND('POTENCIAL HORAS'!#REF!,"AAAAAFfP3z0=")</f>
        <v>#REF!</v>
      </c>
      <c r="BK24" t="e">
        <f>AND('POTENCIAL HORAS'!#REF!,"AAAAAFfP3z4=")</f>
        <v>#REF!</v>
      </c>
      <c r="BL24" t="e">
        <f>AND('POTENCIAL HORAS'!#REF!,"AAAAAFfP3z8=")</f>
        <v>#REF!</v>
      </c>
      <c r="BM24" t="e">
        <f>AND('POTENCIAL HORAS'!#REF!,"AAAAAFfP30A=")</f>
        <v>#REF!</v>
      </c>
      <c r="BN24" t="e">
        <f>AND('POTENCIAL HORAS'!#REF!,"AAAAAFfP30E=")</f>
        <v>#REF!</v>
      </c>
      <c r="BO24" t="e">
        <f>AND('POTENCIAL HORAS'!#REF!,"AAAAAFfP30I=")</f>
        <v>#REF!</v>
      </c>
      <c r="BP24" t="e">
        <f>AND('POTENCIAL HORAS'!#REF!,"AAAAAFfP30M=")</f>
        <v>#REF!</v>
      </c>
      <c r="BQ24" t="e">
        <f>AND('POTENCIAL HORAS'!#REF!,"AAAAAFfP30Q=")</f>
        <v>#REF!</v>
      </c>
      <c r="BR24" t="e">
        <f>AND('POTENCIAL HORAS'!#REF!,"AAAAAFfP30U=")</f>
        <v>#REF!</v>
      </c>
      <c r="BS24" t="e">
        <f>AND('POTENCIAL HORAS'!#REF!,"AAAAAFfP30Y=")</f>
        <v>#REF!</v>
      </c>
      <c r="BT24" t="e">
        <f>AND('POTENCIAL HORAS'!#REF!,"AAAAAFfP30c=")</f>
        <v>#REF!</v>
      </c>
      <c r="BU24" t="e">
        <f>AND('POTENCIAL HORAS'!#REF!,"AAAAAFfP30g=")</f>
        <v>#REF!</v>
      </c>
      <c r="BV24" t="e">
        <f>AND('POTENCIAL HORAS'!#REF!,"AAAAAFfP30k=")</f>
        <v>#REF!</v>
      </c>
      <c r="BW24" t="e">
        <f>AND('POTENCIAL HORAS'!#REF!,"AAAAAFfP30o=")</f>
        <v>#REF!</v>
      </c>
      <c r="BX24" t="e">
        <f>AND('POTENCIAL HORAS'!#REF!,"AAAAAFfP30s=")</f>
        <v>#REF!</v>
      </c>
      <c r="BY24" t="e">
        <f>AND('POTENCIAL HORAS'!#REF!,"AAAAAFfP30w=")</f>
        <v>#REF!</v>
      </c>
      <c r="BZ24" t="e">
        <f>AND('POTENCIAL HORAS'!#REF!,"AAAAAFfP300=")</f>
        <v>#REF!</v>
      </c>
      <c r="CA24" t="e">
        <f>AND('POTENCIAL HORAS'!#REF!,"AAAAAFfP304=")</f>
        <v>#REF!</v>
      </c>
      <c r="CB24">
        <f>IF('POTENCIAL HORAS'!304:304,"AAAAAFfP308=",0)</f>
        <v>0</v>
      </c>
      <c r="CC24" t="e">
        <f>AND('POTENCIAL HORAS'!A304,"AAAAAFfP31A=")</f>
        <v>#VALUE!</v>
      </c>
      <c r="CD24" t="e">
        <f>AND('POTENCIAL HORAS'!B304,"AAAAAFfP31E=")</f>
        <v>#VALUE!</v>
      </c>
      <c r="CE24" t="e">
        <f>AND('POTENCIAL HORAS'!C304,"AAAAAFfP31I=")</f>
        <v>#VALUE!</v>
      </c>
      <c r="CF24" t="e">
        <f>AND('POTENCIAL HORAS'!D304,"AAAAAFfP31M=")</f>
        <v>#VALUE!</v>
      </c>
      <c r="CG24" t="e">
        <f>AND('POTENCIAL HORAS'!E304,"AAAAAFfP31Q=")</f>
        <v>#VALUE!</v>
      </c>
      <c r="CH24" t="e">
        <f>AND('POTENCIAL HORAS'!F304,"AAAAAFfP31U=")</f>
        <v>#VALUE!</v>
      </c>
      <c r="CI24" t="e">
        <f>AND('POTENCIAL HORAS'!G304,"AAAAAFfP31Y=")</f>
        <v>#VALUE!</v>
      </c>
      <c r="CJ24" t="e">
        <f>AND('POTENCIAL HORAS'!H304,"AAAAAFfP31c=")</f>
        <v>#VALUE!</v>
      </c>
      <c r="CK24" t="e">
        <f>AND('POTENCIAL HORAS'!I304,"AAAAAFfP31g=")</f>
        <v>#VALUE!</v>
      </c>
      <c r="CL24" t="e">
        <f>AND('POTENCIAL HORAS'!J304,"AAAAAFfP31k=")</f>
        <v>#VALUE!</v>
      </c>
      <c r="CM24" t="e">
        <f>AND('POTENCIAL HORAS'!K304,"AAAAAFfP31o=")</f>
        <v>#VALUE!</v>
      </c>
      <c r="CN24" t="e">
        <f>AND('POTENCIAL HORAS'!L304,"AAAAAFfP31s=")</f>
        <v>#VALUE!</v>
      </c>
      <c r="CO24" t="e">
        <f>AND('POTENCIAL HORAS'!M304,"AAAAAFfP31w=")</f>
        <v>#VALUE!</v>
      </c>
      <c r="CP24" t="e">
        <f>AND('POTENCIAL HORAS'!N304,"AAAAAFfP310=")</f>
        <v>#VALUE!</v>
      </c>
      <c r="CQ24" t="e">
        <f>AND('POTENCIAL HORAS'!O304,"AAAAAFfP314=")</f>
        <v>#VALUE!</v>
      </c>
      <c r="CR24" t="e">
        <f>AND('POTENCIAL HORAS'!P304,"AAAAAFfP318=")</f>
        <v>#VALUE!</v>
      </c>
      <c r="CS24" t="e">
        <f>AND('POTENCIAL HORAS'!#REF!,"AAAAAFfP32A=")</f>
        <v>#REF!</v>
      </c>
      <c r="CT24" t="e">
        <f>AND('POTENCIAL HORAS'!#REF!,"AAAAAFfP32E=")</f>
        <v>#REF!</v>
      </c>
      <c r="CU24" t="e">
        <f>AND('POTENCIAL HORAS'!#REF!,"AAAAAFfP32I=")</f>
        <v>#REF!</v>
      </c>
      <c r="CV24" t="e">
        <f>AND('POTENCIAL HORAS'!#REF!,"AAAAAFfP32M=")</f>
        <v>#REF!</v>
      </c>
      <c r="CW24" t="e">
        <f>AND('POTENCIAL HORAS'!#REF!,"AAAAAFfP32Q=")</f>
        <v>#REF!</v>
      </c>
      <c r="CX24" t="e">
        <f>AND('POTENCIAL HORAS'!#REF!,"AAAAAFfP32U=")</f>
        <v>#REF!</v>
      </c>
      <c r="CY24" t="e">
        <f>AND('POTENCIAL HORAS'!#REF!,"AAAAAFfP32Y=")</f>
        <v>#REF!</v>
      </c>
      <c r="CZ24" t="e">
        <f>AND('POTENCIAL HORAS'!#REF!,"AAAAAFfP32c=")</f>
        <v>#REF!</v>
      </c>
      <c r="DA24" t="e">
        <f>AND('POTENCIAL HORAS'!#REF!,"AAAAAFfP32g=")</f>
        <v>#REF!</v>
      </c>
      <c r="DB24" t="e">
        <f>AND('POTENCIAL HORAS'!#REF!,"AAAAAFfP32k=")</f>
        <v>#REF!</v>
      </c>
      <c r="DC24" t="e">
        <f>AND('POTENCIAL HORAS'!#REF!,"AAAAAFfP32o=")</f>
        <v>#REF!</v>
      </c>
      <c r="DD24" t="e">
        <f>AND('POTENCIAL HORAS'!#REF!,"AAAAAFfP32s=")</f>
        <v>#REF!</v>
      </c>
      <c r="DE24" t="e">
        <f>AND('POTENCIAL HORAS'!#REF!,"AAAAAFfP32w=")</f>
        <v>#REF!</v>
      </c>
      <c r="DF24" t="e">
        <f>AND('POTENCIAL HORAS'!#REF!,"AAAAAFfP320=")</f>
        <v>#REF!</v>
      </c>
      <c r="DG24" t="e">
        <f>AND('POTENCIAL HORAS'!#REF!,"AAAAAFfP324=")</f>
        <v>#REF!</v>
      </c>
      <c r="DH24" t="e">
        <f>AND('POTENCIAL HORAS'!#REF!,"AAAAAFfP328=")</f>
        <v>#REF!</v>
      </c>
      <c r="DI24" t="e">
        <f>AND('POTENCIAL HORAS'!#REF!,"AAAAAFfP33A=")</f>
        <v>#REF!</v>
      </c>
      <c r="DJ24" t="e">
        <f>AND('POTENCIAL HORAS'!#REF!,"AAAAAFfP33E=")</f>
        <v>#REF!</v>
      </c>
      <c r="DK24" t="e">
        <f>AND('POTENCIAL HORAS'!#REF!,"AAAAAFfP33I=")</f>
        <v>#REF!</v>
      </c>
      <c r="DL24" t="e">
        <f>AND('POTENCIAL HORAS'!#REF!,"AAAAAFfP33M=")</f>
        <v>#REF!</v>
      </c>
      <c r="DM24" t="e">
        <f>AND('POTENCIAL HORAS'!Q304,"AAAAAFfP33Q=")</f>
        <v>#VALUE!</v>
      </c>
      <c r="DN24" t="e">
        <f>AND('POTENCIAL HORAS'!R304,"AAAAAFfP33U=")</f>
        <v>#VALUE!</v>
      </c>
      <c r="DO24" t="e">
        <f>IF('POTENCIAL HORAS'!#REF!,"AAAAAFfP33Y=",0)</f>
        <v>#REF!</v>
      </c>
      <c r="DP24" t="e">
        <f>AND('POTENCIAL HORAS'!#REF!,"AAAAAFfP33c=")</f>
        <v>#REF!</v>
      </c>
      <c r="DQ24" t="e">
        <f>AND('POTENCIAL HORAS'!#REF!,"AAAAAFfP33g=")</f>
        <v>#REF!</v>
      </c>
      <c r="DR24" t="e">
        <f>AND('POTENCIAL HORAS'!#REF!,"AAAAAFfP33k=")</f>
        <v>#REF!</v>
      </c>
      <c r="DS24" t="e">
        <f>AND('POTENCIAL HORAS'!#REF!,"AAAAAFfP33o=")</f>
        <v>#REF!</v>
      </c>
      <c r="DT24" t="e">
        <f>AND('POTENCIAL HORAS'!#REF!,"AAAAAFfP33s=")</f>
        <v>#REF!</v>
      </c>
      <c r="DU24" t="e">
        <f>AND('POTENCIAL HORAS'!#REF!,"AAAAAFfP33w=")</f>
        <v>#REF!</v>
      </c>
      <c r="DV24" t="e">
        <f>AND('POTENCIAL HORAS'!#REF!,"AAAAAFfP330=")</f>
        <v>#REF!</v>
      </c>
      <c r="DW24" t="e">
        <f>AND('POTENCIAL HORAS'!#REF!,"AAAAAFfP334=")</f>
        <v>#REF!</v>
      </c>
      <c r="DX24" t="e">
        <f>AND('POTENCIAL HORAS'!#REF!,"AAAAAFfP338=")</f>
        <v>#REF!</v>
      </c>
      <c r="DY24" t="e">
        <f>AND('POTENCIAL HORAS'!#REF!,"AAAAAFfP34A=")</f>
        <v>#REF!</v>
      </c>
      <c r="DZ24" t="e">
        <f>AND('POTENCIAL HORAS'!#REF!,"AAAAAFfP34E=")</f>
        <v>#REF!</v>
      </c>
      <c r="EA24" t="e">
        <f>AND('POTENCIAL HORAS'!#REF!,"AAAAAFfP34I=")</f>
        <v>#REF!</v>
      </c>
      <c r="EB24" t="e">
        <f>AND('POTENCIAL HORAS'!#REF!,"AAAAAFfP34M=")</f>
        <v>#REF!</v>
      </c>
      <c r="EC24" t="e">
        <f>AND('POTENCIAL HORAS'!#REF!,"AAAAAFfP34Q=")</f>
        <v>#REF!</v>
      </c>
      <c r="ED24" t="e">
        <f>AND('POTENCIAL HORAS'!#REF!,"AAAAAFfP34U=")</f>
        <v>#REF!</v>
      </c>
      <c r="EE24" t="e">
        <f>AND('POTENCIAL HORAS'!#REF!,"AAAAAFfP34Y=")</f>
        <v>#REF!</v>
      </c>
      <c r="EF24" t="e">
        <f>AND('POTENCIAL HORAS'!#REF!,"AAAAAFfP34c=")</f>
        <v>#REF!</v>
      </c>
      <c r="EG24" t="e">
        <f>AND('POTENCIAL HORAS'!#REF!,"AAAAAFfP34g=")</f>
        <v>#REF!</v>
      </c>
      <c r="EH24" t="e">
        <f>AND('POTENCIAL HORAS'!#REF!,"AAAAAFfP34k=")</f>
        <v>#REF!</v>
      </c>
      <c r="EI24" t="e">
        <f>AND('POTENCIAL HORAS'!#REF!,"AAAAAFfP34o=")</f>
        <v>#REF!</v>
      </c>
      <c r="EJ24" t="e">
        <f>AND('POTENCIAL HORAS'!#REF!,"AAAAAFfP34s=")</f>
        <v>#REF!</v>
      </c>
      <c r="EK24" t="e">
        <f>AND('POTENCIAL HORAS'!#REF!,"AAAAAFfP34w=")</f>
        <v>#REF!</v>
      </c>
      <c r="EL24" t="e">
        <f>AND('POTENCIAL HORAS'!#REF!,"AAAAAFfP340=")</f>
        <v>#REF!</v>
      </c>
      <c r="EM24" t="e">
        <f>AND('POTENCIAL HORAS'!#REF!,"AAAAAFfP344=")</f>
        <v>#REF!</v>
      </c>
      <c r="EN24" t="e">
        <f>AND('POTENCIAL HORAS'!#REF!,"AAAAAFfP348=")</f>
        <v>#REF!</v>
      </c>
      <c r="EO24" t="e">
        <f>AND('POTENCIAL HORAS'!#REF!,"AAAAAFfP35A=")</f>
        <v>#REF!</v>
      </c>
      <c r="EP24" t="e">
        <f>AND('POTENCIAL HORAS'!#REF!,"AAAAAFfP35E=")</f>
        <v>#REF!</v>
      </c>
      <c r="EQ24" t="e">
        <f>AND('POTENCIAL HORAS'!#REF!,"AAAAAFfP35I=")</f>
        <v>#REF!</v>
      </c>
      <c r="ER24" t="e">
        <f>AND('POTENCIAL HORAS'!#REF!,"AAAAAFfP35M=")</f>
        <v>#REF!</v>
      </c>
      <c r="ES24" t="e">
        <f>AND('POTENCIAL HORAS'!#REF!,"AAAAAFfP35Q=")</f>
        <v>#REF!</v>
      </c>
      <c r="ET24" t="e">
        <f>AND('POTENCIAL HORAS'!#REF!,"AAAAAFfP35U=")</f>
        <v>#REF!</v>
      </c>
      <c r="EU24" t="e">
        <f>AND('POTENCIAL HORAS'!#REF!,"AAAAAFfP35Y=")</f>
        <v>#REF!</v>
      </c>
      <c r="EV24" t="e">
        <f>AND('POTENCIAL HORAS'!#REF!,"AAAAAFfP35c=")</f>
        <v>#REF!</v>
      </c>
      <c r="EW24" t="e">
        <f>AND('POTENCIAL HORAS'!#REF!,"AAAAAFfP35g=")</f>
        <v>#REF!</v>
      </c>
      <c r="EX24" t="e">
        <f>AND('POTENCIAL HORAS'!#REF!,"AAAAAFfP35k=")</f>
        <v>#REF!</v>
      </c>
      <c r="EY24" t="e">
        <f>AND('POTENCIAL HORAS'!#REF!,"AAAAAFfP35o=")</f>
        <v>#REF!</v>
      </c>
      <c r="EZ24" t="e">
        <f>AND('POTENCIAL HORAS'!#REF!,"AAAAAFfP35s=")</f>
        <v>#REF!</v>
      </c>
      <c r="FA24" t="e">
        <f>AND('POTENCIAL HORAS'!#REF!,"AAAAAFfP35w=")</f>
        <v>#REF!</v>
      </c>
      <c r="FB24" t="e">
        <f>IF('POTENCIAL HORAS'!#REF!,"AAAAAFfP350=",0)</f>
        <v>#REF!</v>
      </c>
      <c r="FC24" t="e">
        <f>AND('POTENCIAL HORAS'!#REF!,"AAAAAFfP354=")</f>
        <v>#REF!</v>
      </c>
      <c r="FD24" t="e">
        <f>AND('POTENCIAL HORAS'!#REF!,"AAAAAFfP358=")</f>
        <v>#REF!</v>
      </c>
      <c r="FE24" t="e">
        <f>AND('POTENCIAL HORAS'!#REF!,"AAAAAFfP36A=")</f>
        <v>#REF!</v>
      </c>
      <c r="FF24" t="e">
        <f>AND('POTENCIAL HORAS'!#REF!,"AAAAAFfP36E=")</f>
        <v>#REF!</v>
      </c>
      <c r="FG24" t="e">
        <f>AND('POTENCIAL HORAS'!#REF!,"AAAAAFfP36I=")</f>
        <v>#REF!</v>
      </c>
      <c r="FH24" t="e">
        <f>AND('POTENCIAL HORAS'!#REF!,"AAAAAFfP36M=")</f>
        <v>#REF!</v>
      </c>
      <c r="FI24" t="e">
        <f>AND('POTENCIAL HORAS'!#REF!,"AAAAAFfP36Q=")</f>
        <v>#REF!</v>
      </c>
      <c r="FJ24" t="e">
        <f>AND('POTENCIAL HORAS'!#REF!,"AAAAAFfP36U=")</f>
        <v>#REF!</v>
      </c>
      <c r="FK24" t="e">
        <f>AND('POTENCIAL HORAS'!#REF!,"AAAAAFfP36Y=")</f>
        <v>#REF!</v>
      </c>
      <c r="FL24" t="e">
        <f>AND('POTENCIAL HORAS'!#REF!,"AAAAAFfP36c=")</f>
        <v>#REF!</v>
      </c>
      <c r="FM24" t="e">
        <f>AND('POTENCIAL HORAS'!#REF!,"AAAAAFfP36g=")</f>
        <v>#REF!</v>
      </c>
      <c r="FN24" t="e">
        <f>AND('POTENCIAL HORAS'!#REF!,"AAAAAFfP36k=")</f>
        <v>#REF!</v>
      </c>
      <c r="FO24" t="e">
        <f>AND('POTENCIAL HORAS'!#REF!,"AAAAAFfP36o=")</f>
        <v>#REF!</v>
      </c>
      <c r="FP24" t="e">
        <f>AND('POTENCIAL HORAS'!#REF!,"AAAAAFfP36s=")</f>
        <v>#REF!</v>
      </c>
      <c r="FQ24" t="e">
        <f>AND('POTENCIAL HORAS'!#REF!,"AAAAAFfP36w=")</f>
        <v>#REF!</v>
      </c>
      <c r="FR24" t="e">
        <f>AND('POTENCIAL HORAS'!#REF!,"AAAAAFfP360=")</f>
        <v>#REF!</v>
      </c>
      <c r="FS24" t="e">
        <f>AND('POTENCIAL HORAS'!#REF!,"AAAAAFfP364=")</f>
        <v>#REF!</v>
      </c>
      <c r="FT24" t="e">
        <f>AND('POTENCIAL HORAS'!#REF!,"AAAAAFfP368=")</f>
        <v>#REF!</v>
      </c>
      <c r="FU24" t="e">
        <f>AND('POTENCIAL HORAS'!#REF!,"AAAAAFfP37A=")</f>
        <v>#REF!</v>
      </c>
      <c r="FV24" t="e">
        <f>AND('POTENCIAL HORAS'!#REF!,"AAAAAFfP37E=")</f>
        <v>#REF!</v>
      </c>
      <c r="FW24" t="e">
        <f>AND('POTENCIAL HORAS'!#REF!,"AAAAAFfP37I=")</f>
        <v>#REF!</v>
      </c>
      <c r="FX24" t="e">
        <f>AND('POTENCIAL HORAS'!#REF!,"AAAAAFfP37M=")</f>
        <v>#REF!</v>
      </c>
      <c r="FY24" t="e">
        <f>AND('POTENCIAL HORAS'!#REF!,"AAAAAFfP37Q=")</f>
        <v>#REF!</v>
      </c>
      <c r="FZ24" t="e">
        <f>AND('POTENCIAL HORAS'!#REF!,"AAAAAFfP37U=")</f>
        <v>#REF!</v>
      </c>
      <c r="GA24" t="e">
        <f>AND('POTENCIAL HORAS'!#REF!,"AAAAAFfP37Y=")</f>
        <v>#REF!</v>
      </c>
      <c r="GB24" t="e">
        <f>AND('POTENCIAL HORAS'!#REF!,"AAAAAFfP37c=")</f>
        <v>#REF!</v>
      </c>
      <c r="GC24" t="e">
        <f>AND('POTENCIAL HORAS'!#REF!,"AAAAAFfP37g=")</f>
        <v>#REF!</v>
      </c>
      <c r="GD24" t="e">
        <f>AND('POTENCIAL HORAS'!#REF!,"AAAAAFfP37k=")</f>
        <v>#REF!</v>
      </c>
      <c r="GE24" t="e">
        <f>AND('POTENCIAL HORAS'!#REF!,"AAAAAFfP37o=")</f>
        <v>#REF!</v>
      </c>
      <c r="GF24" t="e">
        <f>AND('POTENCIAL HORAS'!#REF!,"AAAAAFfP37s=")</f>
        <v>#REF!</v>
      </c>
      <c r="GG24" t="e">
        <f>AND('POTENCIAL HORAS'!#REF!,"AAAAAFfP37w=")</f>
        <v>#REF!</v>
      </c>
      <c r="GH24" t="e">
        <f>AND('POTENCIAL HORAS'!#REF!,"AAAAAFfP370=")</f>
        <v>#REF!</v>
      </c>
      <c r="GI24" t="e">
        <f>AND('POTENCIAL HORAS'!#REF!,"AAAAAFfP374=")</f>
        <v>#REF!</v>
      </c>
      <c r="GJ24" t="e">
        <f>AND('POTENCIAL HORAS'!#REF!,"AAAAAFfP378=")</f>
        <v>#REF!</v>
      </c>
      <c r="GK24" t="e">
        <f>AND('POTENCIAL HORAS'!#REF!,"AAAAAFfP38A=")</f>
        <v>#REF!</v>
      </c>
      <c r="GL24" t="e">
        <f>AND('POTENCIAL HORAS'!#REF!,"AAAAAFfP38E=")</f>
        <v>#REF!</v>
      </c>
      <c r="GM24" t="e">
        <f>AND('POTENCIAL HORAS'!#REF!,"AAAAAFfP38I=")</f>
        <v>#REF!</v>
      </c>
      <c r="GN24" t="e">
        <f>AND('POTENCIAL HORAS'!#REF!,"AAAAAFfP38M=")</f>
        <v>#REF!</v>
      </c>
      <c r="GO24">
        <f>IF('POTENCIAL HORAS'!305:305,"AAAAAFfP38Q=",0)</f>
        <v>0</v>
      </c>
      <c r="GP24" t="e">
        <f>AND('POTENCIAL HORAS'!A305,"AAAAAFfP38U=")</f>
        <v>#VALUE!</v>
      </c>
      <c r="GQ24" t="e">
        <f>AND('POTENCIAL HORAS'!B305,"AAAAAFfP38Y=")</f>
        <v>#VALUE!</v>
      </c>
      <c r="GR24" t="e">
        <f>AND('POTENCIAL HORAS'!C305,"AAAAAFfP38c=")</f>
        <v>#VALUE!</v>
      </c>
      <c r="GS24" t="e">
        <f>AND('POTENCIAL HORAS'!D305,"AAAAAFfP38g=")</f>
        <v>#VALUE!</v>
      </c>
      <c r="GT24" t="e">
        <f>AND('POTENCIAL HORAS'!E305,"AAAAAFfP38k=")</f>
        <v>#VALUE!</v>
      </c>
      <c r="GU24" t="e">
        <f>AND('POTENCIAL HORAS'!F305,"AAAAAFfP38o=")</f>
        <v>#VALUE!</v>
      </c>
      <c r="GV24" t="e">
        <f>AND('POTENCIAL HORAS'!G305,"AAAAAFfP38s=")</f>
        <v>#VALUE!</v>
      </c>
      <c r="GW24" t="e">
        <f>AND('POTENCIAL HORAS'!H305,"AAAAAFfP38w=")</f>
        <v>#VALUE!</v>
      </c>
      <c r="GX24" t="e">
        <f>AND('POTENCIAL HORAS'!I305,"AAAAAFfP380=")</f>
        <v>#VALUE!</v>
      </c>
      <c r="GY24" t="e">
        <f>AND('POTENCIAL HORAS'!J305,"AAAAAFfP384=")</f>
        <v>#VALUE!</v>
      </c>
      <c r="GZ24" t="e">
        <f>AND('POTENCIAL HORAS'!K305,"AAAAAFfP388=")</f>
        <v>#VALUE!</v>
      </c>
      <c r="HA24" t="e">
        <f>AND('POTENCIAL HORAS'!L305,"AAAAAFfP39A=")</f>
        <v>#VALUE!</v>
      </c>
      <c r="HB24" t="e">
        <f>AND('POTENCIAL HORAS'!M305,"AAAAAFfP39E=")</f>
        <v>#VALUE!</v>
      </c>
      <c r="HC24" t="e">
        <f>AND('POTENCIAL HORAS'!N305,"AAAAAFfP39I=")</f>
        <v>#VALUE!</v>
      </c>
      <c r="HD24" t="e">
        <f>AND('POTENCIAL HORAS'!O305,"AAAAAFfP39M=")</f>
        <v>#VALUE!</v>
      </c>
      <c r="HE24" t="e">
        <f>AND('POTENCIAL HORAS'!P305,"AAAAAFfP39Q=")</f>
        <v>#VALUE!</v>
      </c>
      <c r="HF24" t="e">
        <f>AND('POTENCIAL HORAS'!#REF!,"AAAAAFfP39U=")</f>
        <v>#REF!</v>
      </c>
      <c r="HG24" t="e">
        <f>AND('POTENCIAL HORAS'!#REF!,"AAAAAFfP39Y=")</f>
        <v>#REF!</v>
      </c>
      <c r="HH24" t="e">
        <f>AND('POTENCIAL HORAS'!#REF!,"AAAAAFfP39c=")</f>
        <v>#REF!</v>
      </c>
      <c r="HI24" t="e">
        <f>AND('POTENCIAL HORAS'!#REF!,"AAAAAFfP39g=")</f>
        <v>#REF!</v>
      </c>
      <c r="HJ24" t="e">
        <f>AND('POTENCIAL HORAS'!#REF!,"AAAAAFfP39k=")</f>
        <v>#REF!</v>
      </c>
      <c r="HK24" t="e">
        <f>AND('POTENCIAL HORAS'!#REF!,"AAAAAFfP39o=")</f>
        <v>#REF!</v>
      </c>
      <c r="HL24" t="e">
        <f>AND('POTENCIAL HORAS'!#REF!,"AAAAAFfP39s=")</f>
        <v>#REF!</v>
      </c>
      <c r="HM24" t="e">
        <f>AND('POTENCIAL HORAS'!#REF!,"AAAAAFfP39w=")</f>
        <v>#REF!</v>
      </c>
      <c r="HN24" t="e">
        <f>AND('POTENCIAL HORAS'!#REF!,"AAAAAFfP390=")</f>
        <v>#REF!</v>
      </c>
      <c r="HO24" t="e">
        <f>AND('POTENCIAL HORAS'!#REF!,"AAAAAFfP394=")</f>
        <v>#REF!</v>
      </c>
      <c r="HP24" t="e">
        <f>AND('POTENCIAL HORAS'!#REF!,"AAAAAFfP398=")</f>
        <v>#REF!</v>
      </c>
      <c r="HQ24" t="e">
        <f>AND('POTENCIAL HORAS'!#REF!,"AAAAAFfP3+A=")</f>
        <v>#REF!</v>
      </c>
      <c r="HR24" t="e">
        <f>AND('POTENCIAL HORAS'!#REF!,"AAAAAFfP3+E=")</f>
        <v>#REF!</v>
      </c>
      <c r="HS24" t="e">
        <f>AND('POTENCIAL HORAS'!#REF!,"AAAAAFfP3+I=")</f>
        <v>#REF!</v>
      </c>
      <c r="HT24" t="e">
        <f>AND('POTENCIAL HORAS'!#REF!,"AAAAAFfP3+M=")</f>
        <v>#REF!</v>
      </c>
      <c r="HU24" t="e">
        <f>AND('POTENCIAL HORAS'!#REF!,"AAAAAFfP3+Q=")</f>
        <v>#REF!</v>
      </c>
      <c r="HV24" t="e">
        <f>AND('POTENCIAL HORAS'!#REF!,"AAAAAFfP3+U=")</f>
        <v>#REF!</v>
      </c>
      <c r="HW24" t="e">
        <f>AND('POTENCIAL HORAS'!#REF!,"AAAAAFfP3+Y=")</f>
        <v>#REF!</v>
      </c>
      <c r="HX24" t="e">
        <f>AND('POTENCIAL HORAS'!#REF!,"AAAAAFfP3+c=")</f>
        <v>#REF!</v>
      </c>
      <c r="HY24" t="e">
        <f>AND('POTENCIAL HORAS'!#REF!,"AAAAAFfP3+g=")</f>
        <v>#REF!</v>
      </c>
      <c r="HZ24" t="e">
        <f>AND('POTENCIAL HORAS'!Q305,"AAAAAFfP3+k=")</f>
        <v>#VALUE!</v>
      </c>
      <c r="IA24" t="e">
        <f>AND('POTENCIAL HORAS'!R305,"AAAAAFfP3+o=")</f>
        <v>#VALUE!</v>
      </c>
      <c r="IB24">
        <f>IF('POTENCIAL HORAS'!306:306,"AAAAAFfP3+s=",0)</f>
        <v>0</v>
      </c>
      <c r="IC24" t="e">
        <f>AND('POTENCIAL HORAS'!A306,"AAAAAFfP3+w=")</f>
        <v>#VALUE!</v>
      </c>
      <c r="ID24" t="e">
        <f>AND('POTENCIAL HORAS'!B306,"AAAAAFfP3+0=")</f>
        <v>#VALUE!</v>
      </c>
      <c r="IE24" t="e">
        <f>AND('POTENCIAL HORAS'!C306,"AAAAAFfP3+4=")</f>
        <v>#VALUE!</v>
      </c>
      <c r="IF24" t="e">
        <f>AND('POTENCIAL HORAS'!D306,"AAAAAFfP3+8=")</f>
        <v>#VALUE!</v>
      </c>
      <c r="IG24" t="e">
        <f>AND('POTENCIAL HORAS'!E306,"AAAAAFfP3/A=")</f>
        <v>#VALUE!</v>
      </c>
      <c r="IH24" t="e">
        <f>AND('POTENCIAL HORAS'!F306,"AAAAAFfP3/E=")</f>
        <v>#VALUE!</v>
      </c>
      <c r="II24" t="e">
        <f>AND('POTENCIAL HORAS'!G306,"AAAAAFfP3/I=")</f>
        <v>#VALUE!</v>
      </c>
      <c r="IJ24" t="e">
        <f>AND('POTENCIAL HORAS'!H306,"AAAAAFfP3/M=")</f>
        <v>#VALUE!</v>
      </c>
      <c r="IK24" t="e">
        <f>AND('POTENCIAL HORAS'!I306,"AAAAAFfP3/Q=")</f>
        <v>#VALUE!</v>
      </c>
      <c r="IL24" t="e">
        <f>AND('POTENCIAL HORAS'!J306,"AAAAAFfP3/U=")</f>
        <v>#VALUE!</v>
      </c>
      <c r="IM24" t="e">
        <f>AND('POTENCIAL HORAS'!K306,"AAAAAFfP3/Y=")</f>
        <v>#VALUE!</v>
      </c>
      <c r="IN24" t="e">
        <f>AND('POTENCIAL HORAS'!L306,"AAAAAFfP3/c=")</f>
        <v>#VALUE!</v>
      </c>
      <c r="IO24" t="e">
        <f>AND('POTENCIAL HORAS'!M306,"AAAAAFfP3/g=")</f>
        <v>#VALUE!</v>
      </c>
      <c r="IP24" t="e">
        <f>AND('POTENCIAL HORAS'!N306,"AAAAAFfP3/k=")</f>
        <v>#VALUE!</v>
      </c>
      <c r="IQ24" t="e">
        <f>AND('POTENCIAL HORAS'!O306,"AAAAAFfP3/o=")</f>
        <v>#VALUE!</v>
      </c>
      <c r="IR24" t="e">
        <f>AND('POTENCIAL HORAS'!P306,"AAAAAFfP3/s=")</f>
        <v>#VALUE!</v>
      </c>
      <c r="IS24" t="e">
        <f>AND('POTENCIAL HORAS'!#REF!,"AAAAAFfP3/w=")</f>
        <v>#REF!</v>
      </c>
      <c r="IT24" t="e">
        <f>AND('POTENCIAL HORAS'!#REF!,"AAAAAFfP3/0=")</f>
        <v>#REF!</v>
      </c>
      <c r="IU24" t="e">
        <f>AND('POTENCIAL HORAS'!#REF!,"AAAAAFfP3/4=")</f>
        <v>#REF!</v>
      </c>
      <c r="IV24" t="e">
        <f>AND('POTENCIAL HORAS'!#REF!,"AAAAAFfP3/8=")</f>
        <v>#REF!</v>
      </c>
    </row>
    <row r="25" spans="1:256" x14ac:dyDescent="0.2">
      <c r="A25" t="e">
        <f>AND('POTENCIAL HORAS'!#REF!,"AAAAADv/xgA=")</f>
        <v>#REF!</v>
      </c>
      <c r="B25" t="e">
        <f>AND('POTENCIAL HORAS'!#REF!,"AAAAADv/xgE=")</f>
        <v>#REF!</v>
      </c>
      <c r="C25" t="e">
        <f>AND('POTENCIAL HORAS'!#REF!,"AAAAADv/xgI=")</f>
        <v>#REF!</v>
      </c>
      <c r="D25" t="e">
        <f>AND('POTENCIAL HORAS'!#REF!,"AAAAADv/xgM=")</f>
        <v>#REF!</v>
      </c>
      <c r="E25" t="e">
        <f>AND('POTENCIAL HORAS'!#REF!,"AAAAADv/xgQ=")</f>
        <v>#REF!</v>
      </c>
      <c r="F25" t="e">
        <f>AND('POTENCIAL HORAS'!#REF!,"AAAAADv/xgU=")</f>
        <v>#REF!</v>
      </c>
      <c r="G25" t="e">
        <f>AND('POTENCIAL HORAS'!#REF!,"AAAAADv/xgY=")</f>
        <v>#REF!</v>
      </c>
      <c r="H25" t="e">
        <f>AND('POTENCIAL HORAS'!#REF!,"AAAAADv/xgc=")</f>
        <v>#REF!</v>
      </c>
      <c r="I25" t="e">
        <f>AND('POTENCIAL HORAS'!#REF!,"AAAAADv/xgg=")</f>
        <v>#REF!</v>
      </c>
      <c r="J25" t="e">
        <f>AND('POTENCIAL HORAS'!#REF!,"AAAAADv/xgk=")</f>
        <v>#REF!</v>
      </c>
      <c r="K25" t="e">
        <f>AND('POTENCIAL HORAS'!#REF!,"AAAAADv/xgo=")</f>
        <v>#REF!</v>
      </c>
      <c r="L25" t="e">
        <f>AND('POTENCIAL HORAS'!#REF!,"AAAAADv/xgs=")</f>
        <v>#REF!</v>
      </c>
      <c r="M25" t="e">
        <f>AND('POTENCIAL HORAS'!#REF!,"AAAAADv/xgw=")</f>
        <v>#REF!</v>
      </c>
      <c r="N25" t="e">
        <f>AND('POTENCIAL HORAS'!#REF!,"AAAAADv/xg0=")</f>
        <v>#REF!</v>
      </c>
      <c r="O25" t="e">
        <f>AND('POTENCIAL HORAS'!#REF!,"AAAAADv/xg4=")</f>
        <v>#REF!</v>
      </c>
      <c r="P25" t="e">
        <f>AND('POTENCIAL HORAS'!#REF!,"AAAAADv/xg8=")</f>
        <v>#REF!</v>
      </c>
      <c r="Q25" t="e">
        <f>AND('POTENCIAL HORAS'!Q306,"AAAAADv/xhA=")</f>
        <v>#VALUE!</v>
      </c>
      <c r="R25" t="e">
        <f>AND('POTENCIAL HORAS'!R306,"AAAAADv/xhE=")</f>
        <v>#VALUE!</v>
      </c>
      <c r="S25" t="e">
        <f>IF('POTENCIAL HORAS'!#REF!,"AAAAADv/xhI=",0)</f>
        <v>#REF!</v>
      </c>
      <c r="T25" t="e">
        <f>AND('POTENCIAL HORAS'!#REF!,"AAAAADv/xhM=")</f>
        <v>#REF!</v>
      </c>
      <c r="U25" t="e">
        <f>AND('POTENCIAL HORAS'!#REF!,"AAAAADv/xhQ=")</f>
        <v>#REF!</v>
      </c>
      <c r="V25" t="e">
        <f>AND('POTENCIAL HORAS'!#REF!,"AAAAADv/xhU=")</f>
        <v>#REF!</v>
      </c>
      <c r="W25" t="e">
        <f>AND('POTENCIAL HORAS'!#REF!,"AAAAADv/xhY=")</f>
        <v>#REF!</v>
      </c>
      <c r="X25" t="e">
        <f>AND('POTENCIAL HORAS'!#REF!,"AAAAADv/xhc=")</f>
        <v>#REF!</v>
      </c>
      <c r="Y25" t="e">
        <f>AND('POTENCIAL HORAS'!#REF!,"AAAAADv/xhg=")</f>
        <v>#REF!</v>
      </c>
      <c r="Z25" t="e">
        <f>AND('POTENCIAL HORAS'!#REF!,"AAAAADv/xhk=")</f>
        <v>#REF!</v>
      </c>
      <c r="AA25" t="e">
        <f>AND('POTENCIAL HORAS'!#REF!,"AAAAADv/xho=")</f>
        <v>#REF!</v>
      </c>
      <c r="AB25" t="e">
        <f>AND('POTENCIAL HORAS'!#REF!,"AAAAADv/xhs=")</f>
        <v>#REF!</v>
      </c>
      <c r="AC25" t="e">
        <f>AND('POTENCIAL HORAS'!#REF!,"AAAAADv/xhw=")</f>
        <v>#REF!</v>
      </c>
      <c r="AD25" t="e">
        <f>AND('POTENCIAL HORAS'!#REF!,"AAAAADv/xh0=")</f>
        <v>#REF!</v>
      </c>
      <c r="AE25" t="e">
        <f>AND('POTENCIAL HORAS'!#REF!,"AAAAADv/xh4=")</f>
        <v>#REF!</v>
      </c>
      <c r="AF25" t="e">
        <f>AND('POTENCIAL HORAS'!#REF!,"AAAAADv/xh8=")</f>
        <v>#REF!</v>
      </c>
      <c r="AG25" t="e">
        <f>AND('POTENCIAL HORAS'!#REF!,"AAAAADv/xiA=")</f>
        <v>#REF!</v>
      </c>
      <c r="AH25" t="e">
        <f>AND('POTENCIAL HORAS'!#REF!,"AAAAADv/xiE=")</f>
        <v>#REF!</v>
      </c>
      <c r="AI25" t="e">
        <f>AND('POTENCIAL HORAS'!#REF!,"AAAAADv/xiI=")</f>
        <v>#REF!</v>
      </c>
      <c r="AJ25" t="e">
        <f>AND('POTENCIAL HORAS'!#REF!,"AAAAADv/xiM=")</f>
        <v>#REF!</v>
      </c>
      <c r="AK25" t="e">
        <f>AND('POTENCIAL HORAS'!#REF!,"AAAAADv/xiQ=")</f>
        <v>#REF!</v>
      </c>
      <c r="AL25" t="e">
        <f>AND('POTENCIAL HORAS'!#REF!,"AAAAADv/xiU=")</f>
        <v>#REF!</v>
      </c>
      <c r="AM25" t="e">
        <f>AND('POTENCIAL HORAS'!#REF!,"AAAAADv/xiY=")</f>
        <v>#REF!</v>
      </c>
      <c r="AN25" t="e">
        <f>AND('POTENCIAL HORAS'!#REF!,"AAAAADv/xic=")</f>
        <v>#REF!</v>
      </c>
      <c r="AO25" t="e">
        <f>AND('POTENCIAL HORAS'!#REF!,"AAAAADv/xig=")</f>
        <v>#REF!</v>
      </c>
      <c r="AP25" t="e">
        <f>AND('POTENCIAL HORAS'!#REF!,"AAAAADv/xik=")</f>
        <v>#REF!</v>
      </c>
      <c r="AQ25" t="e">
        <f>AND('POTENCIAL HORAS'!#REF!,"AAAAADv/xio=")</f>
        <v>#REF!</v>
      </c>
      <c r="AR25" t="e">
        <f>AND('POTENCIAL HORAS'!#REF!,"AAAAADv/xis=")</f>
        <v>#REF!</v>
      </c>
      <c r="AS25" t="e">
        <f>AND('POTENCIAL HORAS'!#REF!,"AAAAADv/xiw=")</f>
        <v>#REF!</v>
      </c>
      <c r="AT25" t="e">
        <f>AND('POTENCIAL HORAS'!#REF!,"AAAAADv/xi0=")</f>
        <v>#REF!</v>
      </c>
      <c r="AU25" t="e">
        <f>AND('POTENCIAL HORAS'!#REF!,"AAAAADv/xi4=")</f>
        <v>#REF!</v>
      </c>
      <c r="AV25" t="e">
        <f>AND('POTENCIAL HORAS'!#REF!,"AAAAADv/xi8=")</f>
        <v>#REF!</v>
      </c>
      <c r="AW25" t="e">
        <f>AND('POTENCIAL HORAS'!#REF!,"AAAAADv/xjA=")</f>
        <v>#REF!</v>
      </c>
      <c r="AX25" t="e">
        <f>AND('POTENCIAL HORAS'!#REF!,"AAAAADv/xjE=")</f>
        <v>#REF!</v>
      </c>
      <c r="AY25" t="e">
        <f>AND('POTENCIAL HORAS'!#REF!,"AAAAADv/xjI=")</f>
        <v>#REF!</v>
      </c>
      <c r="AZ25" t="e">
        <f>AND('POTENCIAL HORAS'!#REF!,"AAAAADv/xjM=")</f>
        <v>#REF!</v>
      </c>
      <c r="BA25" t="e">
        <f>AND('POTENCIAL HORAS'!#REF!,"AAAAADv/xjQ=")</f>
        <v>#REF!</v>
      </c>
      <c r="BB25" t="e">
        <f>AND('POTENCIAL HORAS'!#REF!,"AAAAADv/xjU=")</f>
        <v>#REF!</v>
      </c>
      <c r="BC25" t="e">
        <f>AND('POTENCIAL HORAS'!#REF!,"AAAAADv/xjY=")</f>
        <v>#REF!</v>
      </c>
      <c r="BD25" t="e">
        <f>AND('POTENCIAL HORAS'!#REF!,"AAAAADv/xjc=")</f>
        <v>#REF!</v>
      </c>
      <c r="BE25" t="e">
        <f>AND('POTENCIAL HORAS'!#REF!,"AAAAADv/xjg=")</f>
        <v>#REF!</v>
      </c>
      <c r="BF25">
        <f>IF('POTENCIAL HORAS'!308:308,"AAAAADv/xjk=",0)</f>
        <v>0</v>
      </c>
      <c r="BG25" t="e">
        <f>AND('POTENCIAL HORAS'!A308,"AAAAADv/xjo=")</f>
        <v>#VALUE!</v>
      </c>
      <c r="BH25" t="e">
        <f>AND('POTENCIAL HORAS'!B308,"AAAAADv/xjs=")</f>
        <v>#VALUE!</v>
      </c>
      <c r="BI25" t="e">
        <f>AND('POTENCIAL HORAS'!C308,"AAAAADv/xjw=")</f>
        <v>#VALUE!</v>
      </c>
      <c r="BJ25" t="e">
        <f>AND('POTENCIAL HORAS'!D308,"AAAAADv/xj0=")</f>
        <v>#VALUE!</v>
      </c>
      <c r="BK25" t="e">
        <f>AND('POTENCIAL HORAS'!E308,"AAAAADv/xj4=")</f>
        <v>#VALUE!</v>
      </c>
      <c r="BL25" t="e">
        <f>AND('POTENCIAL HORAS'!F308,"AAAAADv/xj8=")</f>
        <v>#VALUE!</v>
      </c>
      <c r="BM25" t="e">
        <f>AND('POTENCIAL HORAS'!G308,"AAAAADv/xkA=")</f>
        <v>#VALUE!</v>
      </c>
      <c r="BN25" t="e">
        <f>AND('POTENCIAL HORAS'!H308,"AAAAADv/xkE=")</f>
        <v>#VALUE!</v>
      </c>
      <c r="BO25" t="e">
        <f>AND('POTENCIAL HORAS'!I308,"AAAAADv/xkI=")</f>
        <v>#VALUE!</v>
      </c>
      <c r="BP25" t="e">
        <f>AND('POTENCIAL HORAS'!J308,"AAAAADv/xkM=")</f>
        <v>#VALUE!</v>
      </c>
      <c r="BQ25" t="e">
        <f>AND('POTENCIAL HORAS'!K308,"AAAAADv/xkQ=")</f>
        <v>#VALUE!</v>
      </c>
      <c r="BR25" t="e">
        <f>AND('POTENCIAL HORAS'!L308,"AAAAADv/xkU=")</f>
        <v>#VALUE!</v>
      </c>
      <c r="BS25" t="e">
        <f>AND('POTENCIAL HORAS'!M308,"AAAAADv/xkY=")</f>
        <v>#VALUE!</v>
      </c>
      <c r="BT25" t="e">
        <f>AND('POTENCIAL HORAS'!N308,"AAAAADv/xkc=")</f>
        <v>#VALUE!</v>
      </c>
      <c r="BU25" t="e">
        <f>AND('POTENCIAL HORAS'!O308,"AAAAADv/xkg=")</f>
        <v>#VALUE!</v>
      </c>
      <c r="BV25" t="e">
        <f>AND('POTENCIAL HORAS'!P308,"AAAAADv/xkk=")</f>
        <v>#VALUE!</v>
      </c>
      <c r="BW25" t="e">
        <f>AND('POTENCIAL HORAS'!#REF!,"AAAAADv/xko=")</f>
        <v>#REF!</v>
      </c>
      <c r="BX25" t="e">
        <f>AND('POTENCIAL HORAS'!#REF!,"AAAAADv/xks=")</f>
        <v>#REF!</v>
      </c>
      <c r="BY25" t="e">
        <f>AND('POTENCIAL HORAS'!#REF!,"AAAAADv/xkw=")</f>
        <v>#REF!</v>
      </c>
      <c r="BZ25" t="e">
        <f>AND('POTENCIAL HORAS'!#REF!,"AAAAADv/xk0=")</f>
        <v>#REF!</v>
      </c>
      <c r="CA25" t="e">
        <f>AND('POTENCIAL HORAS'!#REF!,"AAAAADv/xk4=")</f>
        <v>#REF!</v>
      </c>
      <c r="CB25" t="e">
        <f>AND('POTENCIAL HORAS'!#REF!,"AAAAADv/xk8=")</f>
        <v>#REF!</v>
      </c>
      <c r="CC25" t="e">
        <f>AND('POTENCIAL HORAS'!#REF!,"AAAAADv/xlA=")</f>
        <v>#REF!</v>
      </c>
      <c r="CD25" t="e">
        <f>AND('POTENCIAL HORAS'!#REF!,"AAAAADv/xlE=")</f>
        <v>#REF!</v>
      </c>
      <c r="CE25" t="e">
        <f>AND('POTENCIAL HORAS'!#REF!,"AAAAADv/xlI=")</f>
        <v>#REF!</v>
      </c>
      <c r="CF25" t="e">
        <f>AND('POTENCIAL HORAS'!#REF!,"AAAAADv/xlM=")</f>
        <v>#REF!</v>
      </c>
      <c r="CG25" t="e">
        <f>AND('POTENCIAL HORAS'!#REF!,"AAAAADv/xlQ=")</f>
        <v>#REF!</v>
      </c>
      <c r="CH25" t="e">
        <f>AND('POTENCIAL HORAS'!#REF!,"AAAAADv/xlU=")</f>
        <v>#REF!</v>
      </c>
      <c r="CI25" t="e">
        <f>AND('POTENCIAL HORAS'!#REF!,"AAAAADv/xlY=")</f>
        <v>#REF!</v>
      </c>
      <c r="CJ25" t="e">
        <f>AND('POTENCIAL HORAS'!#REF!,"AAAAADv/xlc=")</f>
        <v>#REF!</v>
      </c>
      <c r="CK25" t="e">
        <f>AND('POTENCIAL HORAS'!#REF!,"AAAAADv/xlg=")</f>
        <v>#REF!</v>
      </c>
      <c r="CL25" t="e">
        <f>AND('POTENCIAL HORAS'!#REF!,"AAAAADv/xlk=")</f>
        <v>#REF!</v>
      </c>
      <c r="CM25" t="e">
        <f>AND('POTENCIAL HORAS'!#REF!,"AAAAADv/xlo=")</f>
        <v>#REF!</v>
      </c>
      <c r="CN25" t="e">
        <f>AND('POTENCIAL HORAS'!#REF!,"AAAAADv/xls=")</f>
        <v>#REF!</v>
      </c>
      <c r="CO25" t="e">
        <f>AND('POTENCIAL HORAS'!#REF!,"AAAAADv/xlw=")</f>
        <v>#REF!</v>
      </c>
      <c r="CP25" t="e">
        <f>AND('POTENCIAL HORAS'!#REF!,"AAAAADv/xl0=")</f>
        <v>#REF!</v>
      </c>
      <c r="CQ25" t="e">
        <f>AND('POTENCIAL HORAS'!Q308,"AAAAADv/xl4=")</f>
        <v>#VALUE!</v>
      </c>
      <c r="CR25" t="e">
        <f>AND('POTENCIAL HORAS'!R308,"AAAAADv/xl8=")</f>
        <v>#VALUE!</v>
      </c>
      <c r="CS25">
        <f>IF('POTENCIAL HORAS'!309:309,"AAAAADv/xmA=",0)</f>
        <v>0</v>
      </c>
      <c r="CT25" t="e">
        <f>AND('POTENCIAL HORAS'!A309,"AAAAADv/xmE=")</f>
        <v>#VALUE!</v>
      </c>
      <c r="CU25" t="e">
        <f>AND('POTENCIAL HORAS'!B309,"AAAAADv/xmI=")</f>
        <v>#VALUE!</v>
      </c>
      <c r="CV25" t="e">
        <f>AND('POTENCIAL HORAS'!C309,"AAAAADv/xmM=")</f>
        <v>#VALUE!</v>
      </c>
      <c r="CW25" t="e">
        <f>AND('POTENCIAL HORAS'!D309,"AAAAADv/xmQ=")</f>
        <v>#VALUE!</v>
      </c>
      <c r="CX25" t="e">
        <f>AND('POTENCIAL HORAS'!E309,"AAAAADv/xmU=")</f>
        <v>#VALUE!</v>
      </c>
      <c r="CY25" t="e">
        <f>AND('POTENCIAL HORAS'!F309,"AAAAADv/xmY=")</f>
        <v>#VALUE!</v>
      </c>
      <c r="CZ25" t="e">
        <f>AND('POTENCIAL HORAS'!G309,"AAAAADv/xmc=")</f>
        <v>#VALUE!</v>
      </c>
      <c r="DA25" t="e">
        <f>AND('POTENCIAL HORAS'!H309,"AAAAADv/xmg=")</f>
        <v>#VALUE!</v>
      </c>
      <c r="DB25" t="e">
        <f>AND('POTENCIAL HORAS'!I309,"AAAAADv/xmk=")</f>
        <v>#VALUE!</v>
      </c>
      <c r="DC25" t="e">
        <f>AND('POTENCIAL HORAS'!J309,"AAAAADv/xmo=")</f>
        <v>#VALUE!</v>
      </c>
      <c r="DD25" t="e">
        <f>AND('POTENCIAL HORAS'!K309,"AAAAADv/xms=")</f>
        <v>#VALUE!</v>
      </c>
      <c r="DE25" t="e">
        <f>AND('POTENCIAL HORAS'!L309,"AAAAADv/xmw=")</f>
        <v>#VALUE!</v>
      </c>
      <c r="DF25" t="e">
        <f>AND('POTENCIAL HORAS'!M309,"AAAAADv/xm0=")</f>
        <v>#VALUE!</v>
      </c>
      <c r="DG25" t="e">
        <f>AND('POTENCIAL HORAS'!N309,"AAAAADv/xm4=")</f>
        <v>#VALUE!</v>
      </c>
      <c r="DH25" t="e">
        <f>AND('POTENCIAL HORAS'!O309,"AAAAADv/xm8=")</f>
        <v>#VALUE!</v>
      </c>
      <c r="DI25" t="e">
        <f>AND('POTENCIAL HORAS'!P309,"AAAAADv/xnA=")</f>
        <v>#VALUE!</v>
      </c>
      <c r="DJ25" t="e">
        <f>AND('POTENCIAL HORAS'!#REF!,"AAAAADv/xnE=")</f>
        <v>#REF!</v>
      </c>
      <c r="DK25" t="e">
        <f>AND('POTENCIAL HORAS'!#REF!,"AAAAADv/xnI=")</f>
        <v>#REF!</v>
      </c>
      <c r="DL25" t="e">
        <f>AND('POTENCIAL HORAS'!#REF!,"AAAAADv/xnM=")</f>
        <v>#REF!</v>
      </c>
      <c r="DM25" t="e">
        <f>AND('POTENCIAL HORAS'!#REF!,"AAAAADv/xnQ=")</f>
        <v>#REF!</v>
      </c>
      <c r="DN25" t="e">
        <f>AND('POTENCIAL HORAS'!#REF!,"AAAAADv/xnU=")</f>
        <v>#REF!</v>
      </c>
      <c r="DO25" t="e">
        <f>AND('POTENCIAL HORAS'!#REF!,"AAAAADv/xnY=")</f>
        <v>#REF!</v>
      </c>
      <c r="DP25" t="e">
        <f>AND('POTENCIAL HORAS'!#REF!,"AAAAADv/xnc=")</f>
        <v>#REF!</v>
      </c>
      <c r="DQ25" t="e">
        <f>AND('POTENCIAL HORAS'!#REF!,"AAAAADv/xng=")</f>
        <v>#REF!</v>
      </c>
      <c r="DR25" t="e">
        <f>AND('POTENCIAL HORAS'!#REF!,"AAAAADv/xnk=")</f>
        <v>#REF!</v>
      </c>
      <c r="DS25" t="e">
        <f>AND('POTENCIAL HORAS'!#REF!,"AAAAADv/xno=")</f>
        <v>#REF!</v>
      </c>
      <c r="DT25" t="e">
        <f>AND('POTENCIAL HORAS'!#REF!,"AAAAADv/xns=")</f>
        <v>#REF!</v>
      </c>
      <c r="DU25" t="e">
        <f>AND('POTENCIAL HORAS'!#REF!,"AAAAADv/xnw=")</f>
        <v>#REF!</v>
      </c>
      <c r="DV25" t="e">
        <f>AND('POTENCIAL HORAS'!#REF!,"AAAAADv/xn0=")</f>
        <v>#REF!</v>
      </c>
      <c r="DW25" t="e">
        <f>AND('POTENCIAL HORAS'!#REF!,"AAAAADv/xn4=")</f>
        <v>#REF!</v>
      </c>
      <c r="DX25" t="e">
        <f>AND('POTENCIAL HORAS'!#REF!,"AAAAADv/xn8=")</f>
        <v>#REF!</v>
      </c>
      <c r="DY25" t="e">
        <f>AND('POTENCIAL HORAS'!#REF!,"AAAAADv/xoA=")</f>
        <v>#REF!</v>
      </c>
      <c r="DZ25" t="e">
        <f>AND('POTENCIAL HORAS'!#REF!,"AAAAADv/xoE=")</f>
        <v>#REF!</v>
      </c>
      <c r="EA25" t="e">
        <f>AND('POTENCIAL HORAS'!#REF!,"AAAAADv/xoI=")</f>
        <v>#REF!</v>
      </c>
      <c r="EB25" t="e">
        <f>AND('POTENCIAL HORAS'!#REF!,"AAAAADv/xoM=")</f>
        <v>#REF!</v>
      </c>
      <c r="EC25" t="e">
        <f>AND('POTENCIAL HORAS'!#REF!,"AAAAADv/xoQ=")</f>
        <v>#REF!</v>
      </c>
      <c r="ED25" t="e">
        <f>AND('POTENCIAL HORAS'!Q309,"AAAAADv/xoU=")</f>
        <v>#VALUE!</v>
      </c>
      <c r="EE25" t="e">
        <f>AND('POTENCIAL HORAS'!R309,"AAAAADv/xoY=")</f>
        <v>#VALUE!</v>
      </c>
      <c r="EF25">
        <f>IF('POTENCIAL HORAS'!310:310,"AAAAADv/xoc=",0)</f>
        <v>0</v>
      </c>
      <c r="EG25" t="e">
        <f>AND('POTENCIAL HORAS'!A310,"AAAAADv/xog=")</f>
        <v>#VALUE!</v>
      </c>
      <c r="EH25" t="e">
        <f>AND('POTENCIAL HORAS'!B310,"AAAAADv/xok=")</f>
        <v>#VALUE!</v>
      </c>
      <c r="EI25" t="e">
        <f>AND('POTENCIAL HORAS'!C310,"AAAAADv/xoo=")</f>
        <v>#VALUE!</v>
      </c>
      <c r="EJ25" t="e">
        <f>AND('POTENCIAL HORAS'!D310,"AAAAADv/xos=")</f>
        <v>#VALUE!</v>
      </c>
      <c r="EK25" t="e">
        <f>AND('POTENCIAL HORAS'!E310,"AAAAADv/xow=")</f>
        <v>#VALUE!</v>
      </c>
      <c r="EL25" t="e">
        <f>AND('POTENCIAL HORAS'!F310,"AAAAADv/xo0=")</f>
        <v>#VALUE!</v>
      </c>
      <c r="EM25" t="e">
        <f>AND('POTENCIAL HORAS'!G310,"AAAAADv/xo4=")</f>
        <v>#VALUE!</v>
      </c>
      <c r="EN25" t="e">
        <f>AND('POTENCIAL HORAS'!H310,"AAAAADv/xo8=")</f>
        <v>#VALUE!</v>
      </c>
      <c r="EO25" t="e">
        <f>AND('POTENCIAL HORAS'!I310,"AAAAADv/xpA=")</f>
        <v>#VALUE!</v>
      </c>
      <c r="EP25" t="e">
        <f>AND('POTENCIAL HORAS'!J310,"AAAAADv/xpE=")</f>
        <v>#VALUE!</v>
      </c>
      <c r="EQ25" t="e">
        <f>AND('POTENCIAL HORAS'!K310,"AAAAADv/xpI=")</f>
        <v>#VALUE!</v>
      </c>
      <c r="ER25" t="e">
        <f>AND('POTENCIAL HORAS'!L310,"AAAAADv/xpM=")</f>
        <v>#VALUE!</v>
      </c>
      <c r="ES25" t="e">
        <f>AND('POTENCIAL HORAS'!M310,"AAAAADv/xpQ=")</f>
        <v>#VALUE!</v>
      </c>
      <c r="ET25" t="e">
        <f>AND('POTENCIAL HORAS'!N310,"AAAAADv/xpU=")</f>
        <v>#VALUE!</v>
      </c>
      <c r="EU25" t="e">
        <f>AND('POTENCIAL HORAS'!O310,"AAAAADv/xpY=")</f>
        <v>#VALUE!</v>
      </c>
      <c r="EV25" t="e">
        <f>AND('POTENCIAL HORAS'!P310,"AAAAADv/xpc=")</f>
        <v>#VALUE!</v>
      </c>
      <c r="EW25" t="e">
        <f>AND('POTENCIAL HORAS'!#REF!,"AAAAADv/xpg=")</f>
        <v>#REF!</v>
      </c>
      <c r="EX25" t="e">
        <f>AND('POTENCIAL HORAS'!#REF!,"AAAAADv/xpk=")</f>
        <v>#REF!</v>
      </c>
      <c r="EY25" t="e">
        <f>AND('POTENCIAL HORAS'!#REF!,"AAAAADv/xpo=")</f>
        <v>#REF!</v>
      </c>
      <c r="EZ25" t="e">
        <f>AND('POTENCIAL HORAS'!#REF!,"AAAAADv/xps=")</f>
        <v>#REF!</v>
      </c>
      <c r="FA25" t="e">
        <f>AND('POTENCIAL HORAS'!#REF!,"AAAAADv/xpw=")</f>
        <v>#REF!</v>
      </c>
      <c r="FB25" t="e">
        <f>AND('POTENCIAL HORAS'!#REF!,"AAAAADv/xp0=")</f>
        <v>#REF!</v>
      </c>
      <c r="FC25" t="e">
        <f>AND('POTENCIAL HORAS'!#REF!,"AAAAADv/xp4=")</f>
        <v>#REF!</v>
      </c>
      <c r="FD25" t="e">
        <f>AND('POTENCIAL HORAS'!#REF!,"AAAAADv/xp8=")</f>
        <v>#REF!</v>
      </c>
      <c r="FE25" t="e">
        <f>AND('POTENCIAL HORAS'!#REF!,"AAAAADv/xqA=")</f>
        <v>#REF!</v>
      </c>
      <c r="FF25" t="e">
        <f>AND('POTENCIAL HORAS'!#REF!,"AAAAADv/xqE=")</f>
        <v>#REF!</v>
      </c>
      <c r="FG25" t="e">
        <f>AND('POTENCIAL HORAS'!#REF!,"AAAAADv/xqI=")</f>
        <v>#REF!</v>
      </c>
      <c r="FH25" t="e">
        <f>AND('POTENCIAL HORAS'!#REF!,"AAAAADv/xqM=")</f>
        <v>#REF!</v>
      </c>
      <c r="FI25" t="e">
        <f>AND('POTENCIAL HORAS'!#REF!,"AAAAADv/xqQ=")</f>
        <v>#REF!</v>
      </c>
      <c r="FJ25" t="e">
        <f>AND('POTENCIAL HORAS'!#REF!,"AAAAADv/xqU=")</f>
        <v>#REF!</v>
      </c>
      <c r="FK25" t="e">
        <f>AND('POTENCIAL HORAS'!#REF!,"AAAAADv/xqY=")</f>
        <v>#REF!</v>
      </c>
      <c r="FL25" t="e">
        <f>AND('POTENCIAL HORAS'!#REF!,"AAAAADv/xqc=")</f>
        <v>#REF!</v>
      </c>
      <c r="FM25" t="e">
        <f>AND('POTENCIAL HORAS'!#REF!,"AAAAADv/xqg=")</f>
        <v>#REF!</v>
      </c>
      <c r="FN25" t="e">
        <f>AND('POTENCIAL HORAS'!#REF!,"AAAAADv/xqk=")</f>
        <v>#REF!</v>
      </c>
      <c r="FO25" t="e">
        <f>AND('POTENCIAL HORAS'!#REF!,"AAAAADv/xqo=")</f>
        <v>#REF!</v>
      </c>
      <c r="FP25" t="e">
        <f>AND('POTENCIAL HORAS'!#REF!,"AAAAADv/xqs=")</f>
        <v>#REF!</v>
      </c>
      <c r="FQ25" t="e">
        <f>AND('POTENCIAL HORAS'!Q310,"AAAAADv/xqw=")</f>
        <v>#VALUE!</v>
      </c>
      <c r="FR25" t="e">
        <f>AND('POTENCIAL HORAS'!R310,"AAAAADv/xq0=")</f>
        <v>#VALUE!</v>
      </c>
      <c r="FS25">
        <f>IF('POTENCIAL HORAS'!312:312,"AAAAADv/xq4=",0)</f>
        <v>0</v>
      </c>
      <c r="FT25" t="e">
        <f>AND('POTENCIAL HORAS'!A312,"AAAAADv/xq8=")</f>
        <v>#VALUE!</v>
      </c>
      <c r="FU25" t="e">
        <f>AND('POTENCIAL HORAS'!B312,"AAAAADv/xrA=")</f>
        <v>#VALUE!</v>
      </c>
      <c r="FV25" t="e">
        <f>AND('POTENCIAL HORAS'!C312,"AAAAADv/xrE=")</f>
        <v>#VALUE!</v>
      </c>
      <c r="FW25" t="e">
        <f>AND('POTENCIAL HORAS'!D312,"AAAAADv/xrI=")</f>
        <v>#VALUE!</v>
      </c>
      <c r="FX25" t="e">
        <f>AND('POTENCIAL HORAS'!E312,"AAAAADv/xrM=")</f>
        <v>#VALUE!</v>
      </c>
      <c r="FY25" t="e">
        <f>AND('POTENCIAL HORAS'!F312,"AAAAADv/xrQ=")</f>
        <v>#VALUE!</v>
      </c>
      <c r="FZ25" t="e">
        <f>AND('POTENCIAL HORAS'!G312,"AAAAADv/xrU=")</f>
        <v>#VALUE!</v>
      </c>
      <c r="GA25" t="e">
        <f>AND('POTENCIAL HORAS'!H312,"AAAAADv/xrY=")</f>
        <v>#VALUE!</v>
      </c>
      <c r="GB25" t="e">
        <f>AND('POTENCIAL HORAS'!I312,"AAAAADv/xrc=")</f>
        <v>#VALUE!</v>
      </c>
      <c r="GC25" t="e">
        <f>AND('POTENCIAL HORAS'!J312,"AAAAADv/xrg=")</f>
        <v>#VALUE!</v>
      </c>
      <c r="GD25" t="e">
        <f>AND('POTENCIAL HORAS'!K312,"AAAAADv/xrk=")</f>
        <v>#VALUE!</v>
      </c>
      <c r="GE25" t="e">
        <f>AND('POTENCIAL HORAS'!L312,"AAAAADv/xro=")</f>
        <v>#VALUE!</v>
      </c>
      <c r="GF25" t="e">
        <f>AND('POTENCIAL HORAS'!M312,"AAAAADv/xrs=")</f>
        <v>#VALUE!</v>
      </c>
      <c r="GG25" t="e">
        <f>AND('POTENCIAL HORAS'!N312,"AAAAADv/xrw=")</f>
        <v>#VALUE!</v>
      </c>
      <c r="GH25" t="e">
        <f>AND('POTENCIAL HORAS'!O312,"AAAAADv/xr0=")</f>
        <v>#VALUE!</v>
      </c>
      <c r="GI25" t="e">
        <f>AND('POTENCIAL HORAS'!P312,"AAAAADv/xr4=")</f>
        <v>#VALUE!</v>
      </c>
      <c r="GJ25" t="e">
        <f>AND('POTENCIAL HORAS'!#REF!,"AAAAADv/xr8=")</f>
        <v>#REF!</v>
      </c>
      <c r="GK25" t="e">
        <f>AND('POTENCIAL HORAS'!#REF!,"AAAAADv/xsA=")</f>
        <v>#REF!</v>
      </c>
      <c r="GL25" t="e">
        <f>AND('POTENCIAL HORAS'!#REF!,"AAAAADv/xsE=")</f>
        <v>#REF!</v>
      </c>
      <c r="GM25" t="e">
        <f>AND('POTENCIAL HORAS'!#REF!,"AAAAADv/xsI=")</f>
        <v>#REF!</v>
      </c>
      <c r="GN25" t="e">
        <f>AND('POTENCIAL HORAS'!#REF!,"AAAAADv/xsM=")</f>
        <v>#REF!</v>
      </c>
      <c r="GO25" t="e">
        <f>AND('POTENCIAL HORAS'!#REF!,"AAAAADv/xsQ=")</f>
        <v>#REF!</v>
      </c>
      <c r="GP25" t="e">
        <f>AND('POTENCIAL HORAS'!#REF!,"AAAAADv/xsU=")</f>
        <v>#REF!</v>
      </c>
      <c r="GQ25" t="e">
        <f>AND('POTENCIAL HORAS'!#REF!,"AAAAADv/xsY=")</f>
        <v>#REF!</v>
      </c>
      <c r="GR25" t="e">
        <f>AND('POTENCIAL HORAS'!#REF!,"AAAAADv/xsc=")</f>
        <v>#REF!</v>
      </c>
      <c r="GS25" t="e">
        <f>AND('POTENCIAL HORAS'!#REF!,"AAAAADv/xsg=")</f>
        <v>#REF!</v>
      </c>
      <c r="GT25" t="e">
        <f>AND('POTENCIAL HORAS'!#REF!,"AAAAADv/xsk=")</f>
        <v>#REF!</v>
      </c>
      <c r="GU25" t="e">
        <f>AND('POTENCIAL HORAS'!#REF!,"AAAAADv/xso=")</f>
        <v>#REF!</v>
      </c>
      <c r="GV25" t="e">
        <f>AND('POTENCIAL HORAS'!#REF!,"AAAAADv/xss=")</f>
        <v>#REF!</v>
      </c>
      <c r="GW25" t="e">
        <f>AND('POTENCIAL HORAS'!#REF!,"AAAAADv/xsw=")</f>
        <v>#REF!</v>
      </c>
      <c r="GX25" t="e">
        <f>AND('POTENCIAL HORAS'!#REF!,"AAAAADv/xs0=")</f>
        <v>#REF!</v>
      </c>
      <c r="GY25" t="e">
        <f>AND('POTENCIAL HORAS'!#REF!,"AAAAADv/xs4=")</f>
        <v>#REF!</v>
      </c>
      <c r="GZ25" t="e">
        <f>AND('POTENCIAL HORAS'!#REF!,"AAAAADv/xs8=")</f>
        <v>#REF!</v>
      </c>
      <c r="HA25" t="e">
        <f>AND('POTENCIAL HORAS'!#REF!,"AAAAADv/xtA=")</f>
        <v>#REF!</v>
      </c>
      <c r="HB25" t="e">
        <f>AND('POTENCIAL HORAS'!#REF!,"AAAAADv/xtE=")</f>
        <v>#REF!</v>
      </c>
      <c r="HC25" t="e">
        <f>AND('POTENCIAL HORAS'!#REF!,"AAAAADv/xtI=")</f>
        <v>#REF!</v>
      </c>
      <c r="HD25" t="e">
        <f>AND('POTENCIAL HORAS'!Q312,"AAAAADv/xtM=")</f>
        <v>#VALUE!</v>
      </c>
      <c r="HE25" t="e">
        <f>AND('POTENCIAL HORAS'!R312,"AAAAADv/xtQ=")</f>
        <v>#VALUE!</v>
      </c>
      <c r="HF25">
        <f>IF('POTENCIAL HORAS'!313:313,"AAAAADv/xtU=",0)</f>
        <v>0</v>
      </c>
      <c r="HG25" t="e">
        <f>AND('POTENCIAL HORAS'!A313,"AAAAADv/xtY=")</f>
        <v>#VALUE!</v>
      </c>
      <c r="HH25" t="e">
        <f>AND('POTENCIAL HORAS'!B313,"AAAAADv/xtc=")</f>
        <v>#VALUE!</v>
      </c>
      <c r="HI25" t="e">
        <f>AND('POTENCIAL HORAS'!C313,"AAAAADv/xtg=")</f>
        <v>#VALUE!</v>
      </c>
      <c r="HJ25" t="e">
        <f>AND('POTENCIAL HORAS'!D313,"AAAAADv/xtk=")</f>
        <v>#VALUE!</v>
      </c>
      <c r="HK25" t="e">
        <f>AND('POTENCIAL HORAS'!E313,"AAAAADv/xto=")</f>
        <v>#VALUE!</v>
      </c>
      <c r="HL25" t="e">
        <f>AND('POTENCIAL HORAS'!F313,"AAAAADv/xts=")</f>
        <v>#VALUE!</v>
      </c>
      <c r="HM25" t="e">
        <f>AND('POTENCIAL HORAS'!G313,"AAAAADv/xtw=")</f>
        <v>#VALUE!</v>
      </c>
      <c r="HN25" t="e">
        <f>AND('POTENCIAL HORAS'!H313,"AAAAADv/xt0=")</f>
        <v>#VALUE!</v>
      </c>
      <c r="HO25" t="e">
        <f>AND('POTENCIAL HORAS'!I313,"AAAAADv/xt4=")</f>
        <v>#VALUE!</v>
      </c>
      <c r="HP25" t="e">
        <f>AND('POTENCIAL HORAS'!J313,"AAAAADv/xt8=")</f>
        <v>#VALUE!</v>
      </c>
      <c r="HQ25" t="e">
        <f>AND('POTENCIAL HORAS'!K313,"AAAAADv/xuA=")</f>
        <v>#VALUE!</v>
      </c>
      <c r="HR25" t="e">
        <f>AND('POTENCIAL HORAS'!L313,"AAAAADv/xuE=")</f>
        <v>#VALUE!</v>
      </c>
      <c r="HS25" t="e">
        <f>AND('POTENCIAL HORAS'!M313,"AAAAADv/xuI=")</f>
        <v>#VALUE!</v>
      </c>
      <c r="HT25" t="e">
        <f>AND('POTENCIAL HORAS'!N313,"AAAAADv/xuM=")</f>
        <v>#VALUE!</v>
      </c>
      <c r="HU25" t="e">
        <f>AND('POTENCIAL HORAS'!O313,"AAAAADv/xuQ=")</f>
        <v>#VALUE!</v>
      </c>
      <c r="HV25" t="e">
        <f>AND('POTENCIAL HORAS'!P313,"AAAAADv/xuU=")</f>
        <v>#VALUE!</v>
      </c>
      <c r="HW25" t="e">
        <f>AND('POTENCIAL HORAS'!#REF!,"AAAAADv/xuY=")</f>
        <v>#REF!</v>
      </c>
      <c r="HX25" t="e">
        <f>AND('POTENCIAL HORAS'!#REF!,"AAAAADv/xuc=")</f>
        <v>#REF!</v>
      </c>
      <c r="HY25" t="e">
        <f>AND('POTENCIAL HORAS'!#REF!,"AAAAADv/xug=")</f>
        <v>#REF!</v>
      </c>
      <c r="HZ25" t="e">
        <f>AND('POTENCIAL HORAS'!#REF!,"AAAAADv/xuk=")</f>
        <v>#REF!</v>
      </c>
      <c r="IA25" t="e">
        <f>AND('POTENCIAL HORAS'!#REF!,"AAAAADv/xuo=")</f>
        <v>#REF!</v>
      </c>
      <c r="IB25" t="e">
        <f>AND('POTENCIAL HORAS'!#REF!,"AAAAADv/xus=")</f>
        <v>#REF!</v>
      </c>
      <c r="IC25" t="e">
        <f>AND('POTENCIAL HORAS'!#REF!,"AAAAADv/xuw=")</f>
        <v>#REF!</v>
      </c>
      <c r="ID25" t="e">
        <f>AND('POTENCIAL HORAS'!#REF!,"AAAAADv/xu0=")</f>
        <v>#REF!</v>
      </c>
      <c r="IE25" t="e">
        <f>AND('POTENCIAL HORAS'!#REF!,"AAAAADv/xu4=")</f>
        <v>#REF!</v>
      </c>
      <c r="IF25" t="e">
        <f>AND('POTENCIAL HORAS'!#REF!,"AAAAADv/xu8=")</f>
        <v>#REF!</v>
      </c>
      <c r="IG25" t="e">
        <f>AND('POTENCIAL HORAS'!#REF!,"AAAAADv/xvA=")</f>
        <v>#REF!</v>
      </c>
      <c r="IH25" t="e">
        <f>AND('POTENCIAL HORAS'!#REF!,"AAAAADv/xvE=")</f>
        <v>#REF!</v>
      </c>
      <c r="II25" t="e">
        <f>AND('POTENCIAL HORAS'!#REF!,"AAAAADv/xvI=")</f>
        <v>#REF!</v>
      </c>
      <c r="IJ25" t="e">
        <f>AND('POTENCIAL HORAS'!#REF!,"AAAAADv/xvM=")</f>
        <v>#REF!</v>
      </c>
      <c r="IK25" t="e">
        <f>AND('POTENCIAL HORAS'!#REF!,"AAAAADv/xvQ=")</f>
        <v>#REF!</v>
      </c>
      <c r="IL25" t="e">
        <f>AND('POTENCIAL HORAS'!#REF!,"AAAAADv/xvU=")</f>
        <v>#REF!</v>
      </c>
      <c r="IM25" t="e">
        <f>AND('POTENCIAL HORAS'!#REF!,"AAAAADv/xvY=")</f>
        <v>#REF!</v>
      </c>
      <c r="IN25" t="e">
        <f>AND('POTENCIAL HORAS'!#REF!,"AAAAADv/xvc=")</f>
        <v>#REF!</v>
      </c>
      <c r="IO25" t="e">
        <f>AND('POTENCIAL HORAS'!#REF!,"AAAAADv/xvg=")</f>
        <v>#REF!</v>
      </c>
      <c r="IP25" t="e">
        <f>AND('POTENCIAL HORAS'!#REF!,"AAAAADv/xvk=")</f>
        <v>#REF!</v>
      </c>
      <c r="IQ25" t="e">
        <f>AND('POTENCIAL HORAS'!Q313,"AAAAADv/xvo=")</f>
        <v>#VALUE!</v>
      </c>
      <c r="IR25" t="e">
        <f>AND('POTENCIAL HORAS'!R313,"AAAAADv/xvs=")</f>
        <v>#VALUE!</v>
      </c>
      <c r="IS25" t="e">
        <f>IF('POTENCIAL HORAS'!#REF!,"AAAAADv/xvw=",0)</f>
        <v>#REF!</v>
      </c>
      <c r="IT25" t="e">
        <f>AND('POTENCIAL HORAS'!#REF!,"AAAAADv/xv0=")</f>
        <v>#REF!</v>
      </c>
      <c r="IU25" t="e">
        <f>AND('POTENCIAL HORAS'!#REF!,"AAAAADv/xv4=")</f>
        <v>#REF!</v>
      </c>
      <c r="IV25" t="e">
        <f>AND('POTENCIAL HORAS'!#REF!,"AAAAADv/xv8=")</f>
        <v>#REF!</v>
      </c>
    </row>
    <row r="26" spans="1:256" x14ac:dyDescent="0.2">
      <c r="A26" t="e">
        <f>AND('POTENCIAL HORAS'!#REF!,"AAAAAHq9rwA=")</f>
        <v>#REF!</v>
      </c>
      <c r="B26" t="e">
        <f>AND('POTENCIAL HORAS'!#REF!,"AAAAAHq9rwE=")</f>
        <v>#REF!</v>
      </c>
      <c r="C26" t="e">
        <f>AND('POTENCIAL HORAS'!#REF!,"AAAAAHq9rwI=")</f>
        <v>#REF!</v>
      </c>
      <c r="D26" t="e">
        <f>AND('POTENCIAL HORAS'!#REF!,"AAAAAHq9rwM=")</f>
        <v>#REF!</v>
      </c>
      <c r="E26" t="e">
        <f>AND('POTENCIAL HORAS'!#REF!,"AAAAAHq9rwQ=")</f>
        <v>#REF!</v>
      </c>
      <c r="F26" t="e">
        <f>AND('POTENCIAL HORAS'!#REF!,"AAAAAHq9rwU=")</f>
        <v>#REF!</v>
      </c>
      <c r="G26" t="e">
        <f>AND('POTENCIAL HORAS'!#REF!,"AAAAAHq9rwY=")</f>
        <v>#REF!</v>
      </c>
      <c r="H26" t="e">
        <f>AND('POTENCIAL HORAS'!#REF!,"AAAAAHq9rwc=")</f>
        <v>#REF!</v>
      </c>
      <c r="I26" t="e">
        <f>AND('POTENCIAL HORAS'!#REF!,"AAAAAHq9rwg=")</f>
        <v>#REF!</v>
      </c>
      <c r="J26" t="e">
        <f>AND('POTENCIAL HORAS'!#REF!,"AAAAAHq9rwk=")</f>
        <v>#REF!</v>
      </c>
      <c r="K26" t="e">
        <f>AND('POTENCIAL HORAS'!#REF!,"AAAAAHq9rwo=")</f>
        <v>#REF!</v>
      </c>
      <c r="L26" t="e">
        <f>AND('POTENCIAL HORAS'!#REF!,"AAAAAHq9rws=")</f>
        <v>#REF!</v>
      </c>
      <c r="M26" t="e">
        <f>AND('POTENCIAL HORAS'!#REF!,"AAAAAHq9rww=")</f>
        <v>#REF!</v>
      </c>
      <c r="N26" t="e">
        <f>AND('POTENCIAL HORAS'!#REF!,"AAAAAHq9rw0=")</f>
        <v>#REF!</v>
      </c>
      <c r="O26" t="e">
        <f>AND('POTENCIAL HORAS'!#REF!,"AAAAAHq9rw4=")</f>
        <v>#REF!</v>
      </c>
      <c r="P26" t="e">
        <f>AND('POTENCIAL HORAS'!#REF!,"AAAAAHq9rw8=")</f>
        <v>#REF!</v>
      </c>
      <c r="Q26" t="e">
        <f>AND('POTENCIAL HORAS'!#REF!,"AAAAAHq9rxA=")</f>
        <v>#REF!</v>
      </c>
      <c r="R26" t="e">
        <f>AND('POTENCIAL HORAS'!#REF!,"AAAAAHq9rxE=")</f>
        <v>#REF!</v>
      </c>
      <c r="S26" t="e">
        <f>AND('POTENCIAL HORAS'!#REF!,"AAAAAHq9rxI=")</f>
        <v>#REF!</v>
      </c>
      <c r="T26" t="e">
        <f>AND('POTENCIAL HORAS'!#REF!,"AAAAAHq9rxM=")</f>
        <v>#REF!</v>
      </c>
      <c r="U26" t="e">
        <f>AND('POTENCIAL HORAS'!#REF!,"AAAAAHq9rxQ=")</f>
        <v>#REF!</v>
      </c>
      <c r="V26" t="e">
        <f>AND('POTENCIAL HORAS'!#REF!,"AAAAAHq9rxU=")</f>
        <v>#REF!</v>
      </c>
      <c r="W26" t="e">
        <f>AND('POTENCIAL HORAS'!#REF!,"AAAAAHq9rxY=")</f>
        <v>#REF!</v>
      </c>
      <c r="X26" t="e">
        <f>AND('POTENCIAL HORAS'!#REF!,"AAAAAHq9rxc=")</f>
        <v>#REF!</v>
      </c>
      <c r="Y26" t="e">
        <f>AND('POTENCIAL HORAS'!#REF!,"AAAAAHq9rxg=")</f>
        <v>#REF!</v>
      </c>
      <c r="Z26" t="e">
        <f>AND('POTENCIAL HORAS'!#REF!,"AAAAAHq9rxk=")</f>
        <v>#REF!</v>
      </c>
      <c r="AA26" t="e">
        <f>AND('POTENCIAL HORAS'!#REF!,"AAAAAHq9rxo=")</f>
        <v>#REF!</v>
      </c>
      <c r="AB26" t="e">
        <f>AND('POTENCIAL HORAS'!#REF!,"AAAAAHq9rxs=")</f>
        <v>#REF!</v>
      </c>
      <c r="AC26" t="e">
        <f>AND('POTENCIAL HORAS'!#REF!,"AAAAAHq9rxw=")</f>
        <v>#REF!</v>
      </c>
      <c r="AD26" t="e">
        <f>AND('POTENCIAL HORAS'!#REF!,"AAAAAHq9rx0=")</f>
        <v>#REF!</v>
      </c>
      <c r="AE26" t="e">
        <f>AND('POTENCIAL HORAS'!#REF!,"AAAAAHq9rx4=")</f>
        <v>#REF!</v>
      </c>
      <c r="AF26" t="e">
        <f>AND('POTENCIAL HORAS'!#REF!,"AAAAAHq9rx8=")</f>
        <v>#REF!</v>
      </c>
      <c r="AG26" t="e">
        <f>AND('POTENCIAL HORAS'!#REF!,"AAAAAHq9ryA=")</f>
        <v>#REF!</v>
      </c>
      <c r="AH26" t="e">
        <f>AND('POTENCIAL HORAS'!#REF!,"AAAAAHq9ryE=")</f>
        <v>#REF!</v>
      </c>
      <c r="AI26" t="e">
        <f>AND('POTENCIAL HORAS'!#REF!,"AAAAAHq9ryI=")</f>
        <v>#REF!</v>
      </c>
      <c r="AJ26">
        <f>IF('POTENCIAL HORAS'!314:314,"AAAAAHq9ryM=",0)</f>
        <v>0</v>
      </c>
      <c r="AK26" t="e">
        <f>AND('POTENCIAL HORAS'!A314,"AAAAAHq9ryQ=")</f>
        <v>#VALUE!</v>
      </c>
      <c r="AL26" t="e">
        <f>AND('POTENCIAL HORAS'!B314,"AAAAAHq9ryU=")</f>
        <v>#VALUE!</v>
      </c>
      <c r="AM26" t="e">
        <f>AND('POTENCIAL HORAS'!C314,"AAAAAHq9ryY=")</f>
        <v>#VALUE!</v>
      </c>
      <c r="AN26" t="e">
        <f>AND('POTENCIAL HORAS'!D314,"AAAAAHq9ryc=")</f>
        <v>#VALUE!</v>
      </c>
      <c r="AO26" t="e">
        <f>AND('POTENCIAL HORAS'!E314,"AAAAAHq9ryg=")</f>
        <v>#VALUE!</v>
      </c>
      <c r="AP26" t="e">
        <f>AND('POTENCIAL HORAS'!F314,"AAAAAHq9ryk=")</f>
        <v>#VALUE!</v>
      </c>
      <c r="AQ26" t="e">
        <f>AND('POTENCIAL HORAS'!G314,"AAAAAHq9ryo=")</f>
        <v>#VALUE!</v>
      </c>
      <c r="AR26" t="e">
        <f>AND('POTENCIAL HORAS'!H314,"AAAAAHq9rys=")</f>
        <v>#VALUE!</v>
      </c>
      <c r="AS26" t="e">
        <f>AND('POTENCIAL HORAS'!I314,"AAAAAHq9ryw=")</f>
        <v>#VALUE!</v>
      </c>
      <c r="AT26" t="e">
        <f>AND('POTENCIAL HORAS'!J314,"AAAAAHq9ry0=")</f>
        <v>#VALUE!</v>
      </c>
      <c r="AU26" t="e">
        <f>AND('POTENCIAL HORAS'!K314,"AAAAAHq9ry4=")</f>
        <v>#VALUE!</v>
      </c>
      <c r="AV26" t="e">
        <f>AND('POTENCIAL HORAS'!L314,"AAAAAHq9ry8=")</f>
        <v>#VALUE!</v>
      </c>
      <c r="AW26" t="e">
        <f>AND('POTENCIAL HORAS'!M314,"AAAAAHq9rzA=")</f>
        <v>#VALUE!</v>
      </c>
      <c r="AX26" t="e">
        <f>AND('POTENCIAL HORAS'!N314,"AAAAAHq9rzE=")</f>
        <v>#VALUE!</v>
      </c>
      <c r="AY26" t="e">
        <f>AND('POTENCIAL HORAS'!O314,"AAAAAHq9rzI=")</f>
        <v>#VALUE!</v>
      </c>
      <c r="AZ26" t="e">
        <f>AND('POTENCIAL HORAS'!P314,"AAAAAHq9rzM=")</f>
        <v>#VALUE!</v>
      </c>
      <c r="BA26" t="e">
        <f>AND('POTENCIAL HORAS'!#REF!,"AAAAAHq9rzQ=")</f>
        <v>#REF!</v>
      </c>
      <c r="BB26" t="e">
        <f>AND('POTENCIAL HORAS'!#REF!,"AAAAAHq9rzU=")</f>
        <v>#REF!</v>
      </c>
      <c r="BC26" t="e">
        <f>AND('POTENCIAL HORAS'!#REF!,"AAAAAHq9rzY=")</f>
        <v>#REF!</v>
      </c>
      <c r="BD26" t="e">
        <f>AND('POTENCIAL HORAS'!#REF!,"AAAAAHq9rzc=")</f>
        <v>#REF!</v>
      </c>
      <c r="BE26" t="e">
        <f>AND('POTENCIAL HORAS'!#REF!,"AAAAAHq9rzg=")</f>
        <v>#REF!</v>
      </c>
      <c r="BF26" t="e">
        <f>AND('POTENCIAL HORAS'!#REF!,"AAAAAHq9rzk=")</f>
        <v>#REF!</v>
      </c>
      <c r="BG26" t="e">
        <f>AND('POTENCIAL HORAS'!#REF!,"AAAAAHq9rzo=")</f>
        <v>#REF!</v>
      </c>
      <c r="BH26" t="e">
        <f>AND('POTENCIAL HORAS'!#REF!,"AAAAAHq9rzs=")</f>
        <v>#REF!</v>
      </c>
      <c r="BI26" t="e">
        <f>AND('POTENCIAL HORAS'!#REF!,"AAAAAHq9rzw=")</f>
        <v>#REF!</v>
      </c>
      <c r="BJ26" t="e">
        <f>AND('POTENCIAL HORAS'!#REF!,"AAAAAHq9rz0=")</f>
        <v>#REF!</v>
      </c>
      <c r="BK26" t="e">
        <f>AND('POTENCIAL HORAS'!#REF!,"AAAAAHq9rz4=")</f>
        <v>#REF!</v>
      </c>
      <c r="BL26" t="e">
        <f>AND('POTENCIAL HORAS'!#REF!,"AAAAAHq9rz8=")</f>
        <v>#REF!</v>
      </c>
      <c r="BM26" t="e">
        <f>AND('POTENCIAL HORAS'!#REF!,"AAAAAHq9r0A=")</f>
        <v>#REF!</v>
      </c>
      <c r="BN26" t="e">
        <f>AND('POTENCIAL HORAS'!#REF!,"AAAAAHq9r0E=")</f>
        <v>#REF!</v>
      </c>
      <c r="BO26" t="e">
        <f>AND('POTENCIAL HORAS'!#REF!,"AAAAAHq9r0I=")</f>
        <v>#REF!</v>
      </c>
      <c r="BP26" t="e">
        <f>AND('POTENCIAL HORAS'!#REF!,"AAAAAHq9r0M=")</f>
        <v>#REF!</v>
      </c>
      <c r="BQ26" t="e">
        <f>AND('POTENCIAL HORAS'!#REF!,"AAAAAHq9r0Q=")</f>
        <v>#REF!</v>
      </c>
      <c r="BR26" t="e">
        <f>AND('POTENCIAL HORAS'!#REF!,"AAAAAHq9r0U=")</f>
        <v>#REF!</v>
      </c>
      <c r="BS26" t="e">
        <f>AND('POTENCIAL HORAS'!#REF!,"AAAAAHq9r0Y=")</f>
        <v>#REF!</v>
      </c>
      <c r="BT26" t="e">
        <f>AND('POTENCIAL HORAS'!#REF!,"AAAAAHq9r0c=")</f>
        <v>#REF!</v>
      </c>
      <c r="BU26" t="e">
        <f>AND('POTENCIAL HORAS'!Q314,"AAAAAHq9r0g=")</f>
        <v>#VALUE!</v>
      </c>
      <c r="BV26" t="e">
        <f>AND('POTENCIAL HORAS'!R314,"AAAAAHq9r0k=")</f>
        <v>#VALUE!</v>
      </c>
      <c r="BW26" t="e">
        <f>IF('POTENCIAL HORAS'!#REF!,"AAAAAHq9r0o=",0)</f>
        <v>#REF!</v>
      </c>
      <c r="BX26" t="e">
        <f>AND('POTENCIAL HORAS'!#REF!,"AAAAAHq9r0s=")</f>
        <v>#REF!</v>
      </c>
      <c r="BY26" t="e">
        <f>AND('POTENCIAL HORAS'!#REF!,"AAAAAHq9r0w=")</f>
        <v>#REF!</v>
      </c>
      <c r="BZ26" t="e">
        <f>AND('POTENCIAL HORAS'!#REF!,"AAAAAHq9r00=")</f>
        <v>#REF!</v>
      </c>
      <c r="CA26" t="e">
        <f>AND('POTENCIAL HORAS'!#REF!,"AAAAAHq9r04=")</f>
        <v>#REF!</v>
      </c>
      <c r="CB26" t="e">
        <f>AND('POTENCIAL HORAS'!#REF!,"AAAAAHq9r08=")</f>
        <v>#REF!</v>
      </c>
      <c r="CC26" t="e">
        <f>AND('POTENCIAL HORAS'!#REF!,"AAAAAHq9r1A=")</f>
        <v>#REF!</v>
      </c>
      <c r="CD26" t="e">
        <f>AND('POTENCIAL HORAS'!#REF!,"AAAAAHq9r1E=")</f>
        <v>#REF!</v>
      </c>
      <c r="CE26" t="e">
        <f>AND('POTENCIAL HORAS'!#REF!,"AAAAAHq9r1I=")</f>
        <v>#REF!</v>
      </c>
      <c r="CF26" t="e">
        <f>AND('POTENCIAL HORAS'!#REF!,"AAAAAHq9r1M=")</f>
        <v>#REF!</v>
      </c>
      <c r="CG26" t="e">
        <f>AND('POTENCIAL HORAS'!#REF!,"AAAAAHq9r1Q=")</f>
        <v>#REF!</v>
      </c>
      <c r="CH26" t="e">
        <f>AND('POTENCIAL HORAS'!#REF!,"AAAAAHq9r1U=")</f>
        <v>#REF!</v>
      </c>
      <c r="CI26" t="e">
        <f>AND('POTENCIAL HORAS'!#REF!,"AAAAAHq9r1Y=")</f>
        <v>#REF!</v>
      </c>
      <c r="CJ26" t="e">
        <f>AND('POTENCIAL HORAS'!#REF!,"AAAAAHq9r1c=")</f>
        <v>#REF!</v>
      </c>
      <c r="CK26" t="e">
        <f>AND('POTENCIAL HORAS'!#REF!,"AAAAAHq9r1g=")</f>
        <v>#REF!</v>
      </c>
      <c r="CL26" t="e">
        <f>AND('POTENCIAL HORAS'!#REF!,"AAAAAHq9r1k=")</f>
        <v>#REF!</v>
      </c>
      <c r="CM26" t="e">
        <f>AND('POTENCIAL HORAS'!#REF!,"AAAAAHq9r1o=")</f>
        <v>#REF!</v>
      </c>
      <c r="CN26" t="e">
        <f>AND('POTENCIAL HORAS'!#REF!,"AAAAAHq9r1s=")</f>
        <v>#REF!</v>
      </c>
      <c r="CO26" t="e">
        <f>AND('POTENCIAL HORAS'!#REF!,"AAAAAHq9r1w=")</f>
        <v>#REF!</v>
      </c>
      <c r="CP26" t="e">
        <f>AND('POTENCIAL HORAS'!#REF!,"AAAAAHq9r10=")</f>
        <v>#REF!</v>
      </c>
      <c r="CQ26" t="e">
        <f>AND('POTENCIAL HORAS'!#REF!,"AAAAAHq9r14=")</f>
        <v>#REF!</v>
      </c>
      <c r="CR26" t="e">
        <f>AND('POTENCIAL HORAS'!#REF!,"AAAAAHq9r18=")</f>
        <v>#REF!</v>
      </c>
      <c r="CS26" t="e">
        <f>AND('POTENCIAL HORAS'!#REF!,"AAAAAHq9r2A=")</f>
        <v>#REF!</v>
      </c>
      <c r="CT26" t="e">
        <f>AND('POTENCIAL HORAS'!#REF!,"AAAAAHq9r2E=")</f>
        <v>#REF!</v>
      </c>
      <c r="CU26" t="e">
        <f>AND('POTENCIAL HORAS'!#REF!,"AAAAAHq9r2I=")</f>
        <v>#REF!</v>
      </c>
      <c r="CV26" t="e">
        <f>AND('POTENCIAL HORAS'!#REF!,"AAAAAHq9r2M=")</f>
        <v>#REF!</v>
      </c>
      <c r="CW26" t="e">
        <f>AND('POTENCIAL HORAS'!#REF!,"AAAAAHq9r2Q=")</f>
        <v>#REF!</v>
      </c>
      <c r="CX26" t="e">
        <f>AND('POTENCIAL HORAS'!#REF!,"AAAAAHq9r2U=")</f>
        <v>#REF!</v>
      </c>
      <c r="CY26" t="e">
        <f>AND('POTENCIAL HORAS'!#REF!,"AAAAAHq9r2Y=")</f>
        <v>#REF!</v>
      </c>
      <c r="CZ26" t="e">
        <f>AND('POTENCIAL HORAS'!#REF!,"AAAAAHq9r2c=")</f>
        <v>#REF!</v>
      </c>
      <c r="DA26" t="e">
        <f>AND('POTENCIAL HORAS'!#REF!,"AAAAAHq9r2g=")</f>
        <v>#REF!</v>
      </c>
      <c r="DB26" t="e">
        <f>AND('POTENCIAL HORAS'!#REF!,"AAAAAHq9r2k=")</f>
        <v>#REF!</v>
      </c>
      <c r="DC26" t="e">
        <f>AND('POTENCIAL HORAS'!#REF!,"AAAAAHq9r2o=")</f>
        <v>#REF!</v>
      </c>
      <c r="DD26" t="e">
        <f>AND('POTENCIAL HORAS'!#REF!,"AAAAAHq9r2s=")</f>
        <v>#REF!</v>
      </c>
      <c r="DE26" t="e">
        <f>AND('POTENCIAL HORAS'!#REF!,"AAAAAHq9r2w=")</f>
        <v>#REF!</v>
      </c>
      <c r="DF26" t="e">
        <f>AND('POTENCIAL HORAS'!#REF!,"AAAAAHq9r20=")</f>
        <v>#REF!</v>
      </c>
      <c r="DG26" t="e">
        <f>AND('POTENCIAL HORAS'!#REF!,"AAAAAHq9r24=")</f>
        <v>#REF!</v>
      </c>
      <c r="DH26" t="e">
        <f>AND('POTENCIAL HORAS'!#REF!,"AAAAAHq9r28=")</f>
        <v>#REF!</v>
      </c>
      <c r="DI26" t="e">
        <f>AND('POTENCIAL HORAS'!#REF!,"AAAAAHq9r3A=")</f>
        <v>#REF!</v>
      </c>
      <c r="DJ26">
        <f>IF('POTENCIAL HORAS'!316:316,"AAAAAHq9r3E=",0)</f>
        <v>0</v>
      </c>
      <c r="DK26" t="e">
        <f>AND('POTENCIAL HORAS'!A316,"AAAAAHq9r3I=")</f>
        <v>#VALUE!</v>
      </c>
      <c r="DL26" t="e">
        <f>AND('POTENCIAL HORAS'!B316,"AAAAAHq9r3M=")</f>
        <v>#VALUE!</v>
      </c>
      <c r="DM26" t="e">
        <f>AND('POTENCIAL HORAS'!C316,"AAAAAHq9r3Q=")</f>
        <v>#VALUE!</v>
      </c>
      <c r="DN26" t="e">
        <f>AND('POTENCIAL HORAS'!D316,"AAAAAHq9r3U=")</f>
        <v>#VALUE!</v>
      </c>
      <c r="DO26" t="e">
        <f>AND('POTENCIAL HORAS'!E316,"AAAAAHq9r3Y=")</f>
        <v>#VALUE!</v>
      </c>
      <c r="DP26" t="e">
        <f>AND('POTENCIAL HORAS'!F316,"AAAAAHq9r3c=")</f>
        <v>#VALUE!</v>
      </c>
      <c r="DQ26" t="e">
        <f>AND('POTENCIAL HORAS'!G316,"AAAAAHq9r3g=")</f>
        <v>#VALUE!</v>
      </c>
      <c r="DR26" t="e">
        <f>AND('POTENCIAL HORAS'!H316,"AAAAAHq9r3k=")</f>
        <v>#VALUE!</v>
      </c>
      <c r="DS26" t="e">
        <f>AND('POTENCIAL HORAS'!I316,"AAAAAHq9r3o=")</f>
        <v>#VALUE!</v>
      </c>
      <c r="DT26" t="e">
        <f>AND('POTENCIAL HORAS'!J316,"AAAAAHq9r3s=")</f>
        <v>#VALUE!</v>
      </c>
      <c r="DU26" t="e">
        <f>AND('POTENCIAL HORAS'!K316,"AAAAAHq9r3w=")</f>
        <v>#VALUE!</v>
      </c>
      <c r="DV26" t="e">
        <f>AND('POTENCIAL HORAS'!L316,"AAAAAHq9r30=")</f>
        <v>#VALUE!</v>
      </c>
      <c r="DW26" t="e">
        <f>AND('POTENCIAL HORAS'!M316,"AAAAAHq9r34=")</f>
        <v>#VALUE!</v>
      </c>
      <c r="DX26" t="e">
        <f>AND('POTENCIAL HORAS'!N316,"AAAAAHq9r38=")</f>
        <v>#VALUE!</v>
      </c>
      <c r="DY26" t="e">
        <f>AND('POTENCIAL HORAS'!O316,"AAAAAHq9r4A=")</f>
        <v>#VALUE!</v>
      </c>
      <c r="DZ26" t="e">
        <f>AND('POTENCIAL HORAS'!P316,"AAAAAHq9r4E=")</f>
        <v>#VALUE!</v>
      </c>
      <c r="EA26" t="e">
        <f>AND('POTENCIAL HORAS'!#REF!,"AAAAAHq9r4I=")</f>
        <v>#REF!</v>
      </c>
      <c r="EB26" t="e">
        <f>AND('POTENCIAL HORAS'!#REF!,"AAAAAHq9r4M=")</f>
        <v>#REF!</v>
      </c>
      <c r="EC26" t="e">
        <f>AND('POTENCIAL HORAS'!#REF!,"AAAAAHq9r4Q=")</f>
        <v>#REF!</v>
      </c>
      <c r="ED26" t="e">
        <f>AND('POTENCIAL HORAS'!#REF!,"AAAAAHq9r4U=")</f>
        <v>#REF!</v>
      </c>
      <c r="EE26" t="e">
        <f>AND('POTENCIAL HORAS'!#REF!,"AAAAAHq9r4Y=")</f>
        <v>#REF!</v>
      </c>
      <c r="EF26" t="e">
        <f>AND('POTENCIAL HORAS'!#REF!,"AAAAAHq9r4c=")</f>
        <v>#REF!</v>
      </c>
      <c r="EG26" t="e">
        <f>AND('POTENCIAL HORAS'!#REF!,"AAAAAHq9r4g=")</f>
        <v>#REF!</v>
      </c>
      <c r="EH26" t="e">
        <f>AND('POTENCIAL HORAS'!#REF!,"AAAAAHq9r4k=")</f>
        <v>#REF!</v>
      </c>
      <c r="EI26" t="e">
        <f>AND('POTENCIAL HORAS'!#REF!,"AAAAAHq9r4o=")</f>
        <v>#REF!</v>
      </c>
      <c r="EJ26" t="e">
        <f>AND('POTENCIAL HORAS'!#REF!,"AAAAAHq9r4s=")</f>
        <v>#REF!</v>
      </c>
      <c r="EK26" t="e">
        <f>AND('POTENCIAL HORAS'!#REF!,"AAAAAHq9r4w=")</f>
        <v>#REF!</v>
      </c>
      <c r="EL26" t="e">
        <f>AND('POTENCIAL HORAS'!#REF!,"AAAAAHq9r40=")</f>
        <v>#REF!</v>
      </c>
      <c r="EM26" t="e">
        <f>AND('POTENCIAL HORAS'!#REF!,"AAAAAHq9r44=")</f>
        <v>#REF!</v>
      </c>
      <c r="EN26" t="e">
        <f>AND('POTENCIAL HORAS'!#REF!,"AAAAAHq9r48=")</f>
        <v>#REF!</v>
      </c>
      <c r="EO26" t="e">
        <f>AND('POTENCIAL HORAS'!#REF!,"AAAAAHq9r5A=")</f>
        <v>#REF!</v>
      </c>
      <c r="EP26" t="e">
        <f>AND('POTENCIAL HORAS'!#REF!,"AAAAAHq9r5E=")</f>
        <v>#REF!</v>
      </c>
      <c r="EQ26" t="e">
        <f>AND('POTENCIAL HORAS'!#REF!,"AAAAAHq9r5I=")</f>
        <v>#REF!</v>
      </c>
      <c r="ER26" t="e">
        <f>AND('POTENCIAL HORAS'!#REF!,"AAAAAHq9r5M=")</f>
        <v>#REF!</v>
      </c>
      <c r="ES26" t="e">
        <f>AND('POTENCIAL HORAS'!#REF!,"AAAAAHq9r5Q=")</f>
        <v>#REF!</v>
      </c>
      <c r="ET26" t="e">
        <f>AND('POTENCIAL HORAS'!#REF!,"AAAAAHq9r5U=")</f>
        <v>#REF!</v>
      </c>
      <c r="EU26" t="e">
        <f>AND('POTENCIAL HORAS'!Q316,"AAAAAHq9r5Y=")</f>
        <v>#VALUE!</v>
      </c>
      <c r="EV26" t="e">
        <f>AND('POTENCIAL HORAS'!R316,"AAAAAHq9r5c=")</f>
        <v>#VALUE!</v>
      </c>
      <c r="EW26">
        <f>IF('POTENCIAL HORAS'!317:317,"AAAAAHq9r5g=",0)</f>
        <v>0</v>
      </c>
      <c r="EX26" t="e">
        <f>AND('POTENCIAL HORAS'!A317,"AAAAAHq9r5k=")</f>
        <v>#VALUE!</v>
      </c>
      <c r="EY26" t="e">
        <f>AND('POTENCIAL HORAS'!B317,"AAAAAHq9r5o=")</f>
        <v>#VALUE!</v>
      </c>
      <c r="EZ26" t="e">
        <f>AND('POTENCIAL HORAS'!C317,"AAAAAHq9r5s=")</f>
        <v>#VALUE!</v>
      </c>
      <c r="FA26" t="e">
        <f>AND('POTENCIAL HORAS'!D317,"AAAAAHq9r5w=")</f>
        <v>#VALUE!</v>
      </c>
      <c r="FB26" t="e">
        <f>AND('POTENCIAL HORAS'!E317,"AAAAAHq9r50=")</f>
        <v>#VALUE!</v>
      </c>
      <c r="FC26" t="e">
        <f>AND('POTENCIAL HORAS'!F317,"AAAAAHq9r54=")</f>
        <v>#VALUE!</v>
      </c>
      <c r="FD26" t="e">
        <f>AND('POTENCIAL HORAS'!G317,"AAAAAHq9r58=")</f>
        <v>#VALUE!</v>
      </c>
      <c r="FE26" t="e">
        <f>AND('POTENCIAL HORAS'!H317,"AAAAAHq9r6A=")</f>
        <v>#VALUE!</v>
      </c>
      <c r="FF26" t="e">
        <f>AND('POTENCIAL HORAS'!I317,"AAAAAHq9r6E=")</f>
        <v>#VALUE!</v>
      </c>
      <c r="FG26" t="e">
        <f>AND('POTENCIAL HORAS'!J317,"AAAAAHq9r6I=")</f>
        <v>#VALUE!</v>
      </c>
      <c r="FH26" t="e">
        <f>AND('POTENCIAL HORAS'!K317,"AAAAAHq9r6M=")</f>
        <v>#VALUE!</v>
      </c>
      <c r="FI26" t="e">
        <f>AND('POTENCIAL HORAS'!L317,"AAAAAHq9r6Q=")</f>
        <v>#VALUE!</v>
      </c>
      <c r="FJ26" t="e">
        <f>AND('POTENCIAL HORAS'!M317,"AAAAAHq9r6U=")</f>
        <v>#VALUE!</v>
      </c>
      <c r="FK26" t="e">
        <f>AND('POTENCIAL HORAS'!N317,"AAAAAHq9r6Y=")</f>
        <v>#VALUE!</v>
      </c>
      <c r="FL26" t="e">
        <f>AND('POTENCIAL HORAS'!O317,"AAAAAHq9r6c=")</f>
        <v>#VALUE!</v>
      </c>
      <c r="FM26" t="e">
        <f>AND('POTENCIAL HORAS'!P317,"AAAAAHq9r6g=")</f>
        <v>#VALUE!</v>
      </c>
      <c r="FN26" t="e">
        <f>AND('POTENCIAL HORAS'!#REF!,"AAAAAHq9r6k=")</f>
        <v>#REF!</v>
      </c>
      <c r="FO26" t="e">
        <f>AND('POTENCIAL HORAS'!#REF!,"AAAAAHq9r6o=")</f>
        <v>#REF!</v>
      </c>
      <c r="FP26" t="e">
        <f>AND('POTENCIAL HORAS'!#REF!,"AAAAAHq9r6s=")</f>
        <v>#REF!</v>
      </c>
      <c r="FQ26" t="e">
        <f>AND('POTENCIAL HORAS'!#REF!,"AAAAAHq9r6w=")</f>
        <v>#REF!</v>
      </c>
      <c r="FR26" t="e">
        <f>AND('POTENCIAL HORAS'!#REF!,"AAAAAHq9r60=")</f>
        <v>#REF!</v>
      </c>
      <c r="FS26" t="e">
        <f>AND('POTENCIAL HORAS'!#REF!,"AAAAAHq9r64=")</f>
        <v>#REF!</v>
      </c>
      <c r="FT26" t="e">
        <f>AND('POTENCIAL HORAS'!#REF!,"AAAAAHq9r68=")</f>
        <v>#REF!</v>
      </c>
      <c r="FU26" t="e">
        <f>AND('POTENCIAL HORAS'!#REF!,"AAAAAHq9r7A=")</f>
        <v>#REF!</v>
      </c>
      <c r="FV26" t="e">
        <f>AND('POTENCIAL HORAS'!#REF!,"AAAAAHq9r7E=")</f>
        <v>#REF!</v>
      </c>
      <c r="FW26" t="e">
        <f>AND('POTENCIAL HORAS'!#REF!,"AAAAAHq9r7I=")</f>
        <v>#REF!</v>
      </c>
      <c r="FX26" t="e">
        <f>AND('POTENCIAL HORAS'!#REF!,"AAAAAHq9r7M=")</f>
        <v>#REF!</v>
      </c>
      <c r="FY26" t="e">
        <f>AND('POTENCIAL HORAS'!#REF!,"AAAAAHq9r7Q=")</f>
        <v>#REF!</v>
      </c>
      <c r="FZ26" t="e">
        <f>AND('POTENCIAL HORAS'!#REF!,"AAAAAHq9r7U=")</f>
        <v>#REF!</v>
      </c>
      <c r="GA26" t="e">
        <f>AND('POTENCIAL HORAS'!#REF!,"AAAAAHq9r7Y=")</f>
        <v>#REF!</v>
      </c>
      <c r="GB26" t="e">
        <f>AND('POTENCIAL HORAS'!#REF!,"AAAAAHq9r7c=")</f>
        <v>#REF!</v>
      </c>
      <c r="GC26" t="e">
        <f>AND('POTENCIAL HORAS'!#REF!,"AAAAAHq9r7g=")</f>
        <v>#REF!</v>
      </c>
      <c r="GD26" t="e">
        <f>AND('POTENCIAL HORAS'!#REF!,"AAAAAHq9r7k=")</f>
        <v>#REF!</v>
      </c>
      <c r="GE26" t="e">
        <f>AND('POTENCIAL HORAS'!#REF!,"AAAAAHq9r7o=")</f>
        <v>#REF!</v>
      </c>
      <c r="GF26" t="e">
        <f>AND('POTENCIAL HORAS'!#REF!,"AAAAAHq9r7s=")</f>
        <v>#REF!</v>
      </c>
      <c r="GG26" t="e">
        <f>AND('POTENCIAL HORAS'!#REF!,"AAAAAHq9r7w=")</f>
        <v>#REF!</v>
      </c>
      <c r="GH26" t="e">
        <f>AND('POTENCIAL HORAS'!Q317,"AAAAAHq9r70=")</f>
        <v>#VALUE!</v>
      </c>
      <c r="GI26" t="e">
        <f>AND('POTENCIAL HORAS'!R317,"AAAAAHq9r74=")</f>
        <v>#VALUE!</v>
      </c>
      <c r="GJ26">
        <f>IF('POTENCIAL HORAS'!318:318,"AAAAAHq9r78=",0)</f>
        <v>0</v>
      </c>
      <c r="GK26" t="e">
        <f>AND('POTENCIAL HORAS'!A318,"AAAAAHq9r8A=")</f>
        <v>#VALUE!</v>
      </c>
      <c r="GL26" t="e">
        <f>AND('POTENCIAL HORAS'!B318,"AAAAAHq9r8E=")</f>
        <v>#VALUE!</v>
      </c>
      <c r="GM26" t="e">
        <f>AND('POTENCIAL HORAS'!C318,"AAAAAHq9r8I=")</f>
        <v>#VALUE!</v>
      </c>
      <c r="GN26" t="e">
        <f>AND('POTENCIAL HORAS'!D318,"AAAAAHq9r8M=")</f>
        <v>#VALUE!</v>
      </c>
      <c r="GO26" t="e">
        <f>AND('POTENCIAL HORAS'!E318,"AAAAAHq9r8Q=")</f>
        <v>#VALUE!</v>
      </c>
      <c r="GP26" t="e">
        <f>AND('POTENCIAL HORAS'!F318,"AAAAAHq9r8U=")</f>
        <v>#VALUE!</v>
      </c>
      <c r="GQ26" t="e">
        <f>AND('POTENCIAL HORAS'!G318,"AAAAAHq9r8Y=")</f>
        <v>#VALUE!</v>
      </c>
      <c r="GR26" t="e">
        <f>AND('POTENCIAL HORAS'!H318,"AAAAAHq9r8c=")</f>
        <v>#VALUE!</v>
      </c>
      <c r="GS26" t="e">
        <f>AND('POTENCIAL HORAS'!I318,"AAAAAHq9r8g=")</f>
        <v>#VALUE!</v>
      </c>
      <c r="GT26" t="e">
        <f>AND('POTENCIAL HORAS'!J318,"AAAAAHq9r8k=")</f>
        <v>#VALUE!</v>
      </c>
      <c r="GU26" t="e">
        <f>AND('POTENCIAL HORAS'!K318,"AAAAAHq9r8o=")</f>
        <v>#VALUE!</v>
      </c>
      <c r="GV26" t="e">
        <f>AND('POTENCIAL HORAS'!L318,"AAAAAHq9r8s=")</f>
        <v>#VALUE!</v>
      </c>
      <c r="GW26" t="e">
        <f>AND('POTENCIAL HORAS'!M318,"AAAAAHq9r8w=")</f>
        <v>#VALUE!</v>
      </c>
      <c r="GX26" t="e">
        <f>AND('POTENCIAL HORAS'!N318,"AAAAAHq9r80=")</f>
        <v>#VALUE!</v>
      </c>
      <c r="GY26" t="e">
        <f>AND('POTENCIAL HORAS'!O318,"AAAAAHq9r84=")</f>
        <v>#VALUE!</v>
      </c>
      <c r="GZ26" t="e">
        <f>AND('POTENCIAL HORAS'!P318,"AAAAAHq9r88=")</f>
        <v>#VALUE!</v>
      </c>
      <c r="HA26" t="e">
        <f>AND('POTENCIAL HORAS'!#REF!,"AAAAAHq9r9A=")</f>
        <v>#REF!</v>
      </c>
      <c r="HB26" t="e">
        <f>AND('POTENCIAL HORAS'!#REF!,"AAAAAHq9r9E=")</f>
        <v>#REF!</v>
      </c>
      <c r="HC26" t="e">
        <f>AND('POTENCIAL HORAS'!#REF!,"AAAAAHq9r9I=")</f>
        <v>#REF!</v>
      </c>
      <c r="HD26" t="e">
        <f>AND('POTENCIAL HORAS'!#REF!,"AAAAAHq9r9M=")</f>
        <v>#REF!</v>
      </c>
      <c r="HE26" t="e">
        <f>AND('POTENCIAL HORAS'!#REF!,"AAAAAHq9r9Q=")</f>
        <v>#REF!</v>
      </c>
      <c r="HF26" t="e">
        <f>AND('POTENCIAL HORAS'!#REF!,"AAAAAHq9r9U=")</f>
        <v>#REF!</v>
      </c>
      <c r="HG26" t="e">
        <f>AND('POTENCIAL HORAS'!#REF!,"AAAAAHq9r9Y=")</f>
        <v>#REF!</v>
      </c>
      <c r="HH26" t="e">
        <f>AND('POTENCIAL HORAS'!#REF!,"AAAAAHq9r9c=")</f>
        <v>#REF!</v>
      </c>
      <c r="HI26" t="e">
        <f>AND('POTENCIAL HORAS'!#REF!,"AAAAAHq9r9g=")</f>
        <v>#REF!</v>
      </c>
      <c r="HJ26" t="e">
        <f>AND('POTENCIAL HORAS'!#REF!,"AAAAAHq9r9k=")</f>
        <v>#REF!</v>
      </c>
      <c r="HK26" t="e">
        <f>AND('POTENCIAL HORAS'!#REF!,"AAAAAHq9r9o=")</f>
        <v>#REF!</v>
      </c>
      <c r="HL26" t="e">
        <f>AND('POTENCIAL HORAS'!#REF!,"AAAAAHq9r9s=")</f>
        <v>#REF!</v>
      </c>
      <c r="HM26" t="e">
        <f>AND('POTENCIAL HORAS'!#REF!,"AAAAAHq9r9w=")</f>
        <v>#REF!</v>
      </c>
      <c r="HN26" t="e">
        <f>AND('POTENCIAL HORAS'!#REF!,"AAAAAHq9r90=")</f>
        <v>#REF!</v>
      </c>
      <c r="HO26" t="e">
        <f>AND('POTENCIAL HORAS'!#REF!,"AAAAAHq9r94=")</f>
        <v>#REF!</v>
      </c>
      <c r="HP26" t="e">
        <f>AND('POTENCIAL HORAS'!#REF!,"AAAAAHq9r98=")</f>
        <v>#REF!</v>
      </c>
      <c r="HQ26" t="e">
        <f>AND('POTENCIAL HORAS'!#REF!,"AAAAAHq9r+A=")</f>
        <v>#REF!</v>
      </c>
      <c r="HR26" t="e">
        <f>AND('POTENCIAL HORAS'!#REF!,"AAAAAHq9r+E=")</f>
        <v>#REF!</v>
      </c>
      <c r="HS26" t="e">
        <f>AND('POTENCIAL HORAS'!#REF!,"AAAAAHq9r+I=")</f>
        <v>#REF!</v>
      </c>
      <c r="HT26" t="e">
        <f>AND('POTENCIAL HORAS'!#REF!,"AAAAAHq9r+M=")</f>
        <v>#REF!</v>
      </c>
      <c r="HU26" t="e">
        <f>AND('POTENCIAL HORAS'!Q318,"AAAAAHq9r+Q=")</f>
        <v>#VALUE!</v>
      </c>
      <c r="HV26" t="e">
        <f>AND('POTENCIAL HORAS'!R318,"AAAAAHq9r+U=")</f>
        <v>#VALUE!</v>
      </c>
      <c r="HW26" t="e">
        <f>IF('POTENCIAL HORAS'!#REF!,"AAAAAHq9r+Y=",0)</f>
        <v>#REF!</v>
      </c>
      <c r="HX26" t="e">
        <f>AND('POTENCIAL HORAS'!#REF!,"AAAAAHq9r+c=")</f>
        <v>#REF!</v>
      </c>
      <c r="HY26" t="e">
        <f>AND('POTENCIAL HORAS'!#REF!,"AAAAAHq9r+g=")</f>
        <v>#REF!</v>
      </c>
      <c r="HZ26" t="e">
        <f>AND('POTENCIAL HORAS'!#REF!,"AAAAAHq9r+k=")</f>
        <v>#REF!</v>
      </c>
      <c r="IA26" t="e">
        <f>AND('POTENCIAL HORAS'!#REF!,"AAAAAHq9r+o=")</f>
        <v>#REF!</v>
      </c>
      <c r="IB26" t="e">
        <f>AND('POTENCIAL HORAS'!#REF!,"AAAAAHq9r+s=")</f>
        <v>#REF!</v>
      </c>
      <c r="IC26" t="e">
        <f>AND('POTENCIAL HORAS'!#REF!,"AAAAAHq9r+w=")</f>
        <v>#REF!</v>
      </c>
      <c r="ID26" t="e">
        <f>AND('POTENCIAL HORAS'!#REF!,"AAAAAHq9r+0=")</f>
        <v>#REF!</v>
      </c>
      <c r="IE26" t="e">
        <f>AND('POTENCIAL HORAS'!#REF!,"AAAAAHq9r+4=")</f>
        <v>#REF!</v>
      </c>
      <c r="IF26" t="e">
        <f>AND('POTENCIAL HORAS'!#REF!,"AAAAAHq9r+8=")</f>
        <v>#REF!</v>
      </c>
      <c r="IG26" t="e">
        <f>AND('POTENCIAL HORAS'!#REF!,"AAAAAHq9r/A=")</f>
        <v>#REF!</v>
      </c>
      <c r="IH26" t="e">
        <f>AND('POTENCIAL HORAS'!#REF!,"AAAAAHq9r/E=")</f>
        <v>#REF!</v>
      </c>
      <c r="II26" t="e">
        <f>AND('POTENCIAL HORAS'!#REF!,"AAAAAHq9r/I=")</f>
        <v>#REF!</v>
      </c>
      <c r="IJ26" t="e">
        <f>AND('POTENCIAL HORAS'!#REF!,"AAAAAHq9r/M=")</f>
        <v>#REF!</v>
      </c>
      <c r="IK26" t="e">
        <f>AND('POTENCIAL HORAS'!#REF!,"AAAAAHq9r/Q=")</f>
        <v>#REF!</v>
      </c>
      <c r="IL26" t="e">
        <f>AND('POTENCIAL HORAS'!#REF!,"AAAAAHq9r/U=")</f>
        <v>#REF!</v>
      </c>
      <c r="IM26" t="e">
        <f>AND('POTENCIAL HORAS'!#REF!,"AAAAAHq9r/Y=")</f>
        <v>#REF!</v>
      </c>
      <c r="IN26" t="e">
        <f>AND('POTENCIAL HORAS'!#REF!,"AAAAAHq9r/c=")</f>
        <v>#REF!</v>
      </c>
      <c r="IO26" t="e">
        <f>AND('POTENCIAL HORAS'!#REF!,"AAAAAHq9r/g=")</f>
        <v>#REF!</v>
      </c>
      <c r="IP26" t="e">
        <f>AND('POTENCIAL HORAS'!#REF!,"AAAAAHq9r/k=")</f>
        <v>#REF!</v>
      </c>
      <c r="IQ26" t="e">
        <f>AND('POTENCIAL HORAS'!#REF!,"AAAAAHq9r/o=")</f>
        <v>#REF!</v>
      </c>
      <c r="IR26" t="e">
        <f>AND('POTENCIAL HORAS'!#REF!,"AAAAAHq9r/s=")</f>
        <v>#REF!</v>
      </c>
      <c r="IS26" t="e">
        <f>AND('POTENCIAL HORAS'!#REF!,"AAAAAHq9r/w=")</f>
        <v>#REF!</v>
      </c>
      <c r="IT26" t="e">
        <f>AND('POTENCIAL HORAS'!#REF!,"AAAAAHq9r/0=")</f>
        <v>#REF!</v>
      </c>
      <c r="IU26" t="e">
        <f>AND('POTENCIAL HORAS'!#REF!,"AAAAAHq9r/4=")</f>
        <v>#REF!</v>
      </c>
      <c r="IV26" t="e">
        <f>AND('POTENCIAL HORAS'!#REF!,"AAAAAHq9r/8=")</f>
        <v>#REF!</v>
      </c>
    </row>
    <row r="27" spans="1:256" x14ac:dyDescent="0.2">
      <c r="A27" t="e">
        <f>AND('POTENCIAL HORAS'!#REF!,"AAAAAB/9uwA=")</f>
        <v>#REF!</v>
      </c>
      <c r="B27" t="e">
        <f>AND('POTENCIAL HORAS'!#REF!,"AAAAAB/9uwE=")</f>
        <v>#REF!</v>
      </c>
      <c r="C27" t="e">
        <f>AND('POTENCIAL HORAS'!#REF!,"AAAAAB/9uwI=")</f>
        <v>#REF!</v>
      </c>
      <c r="D27" t="e">
        <f>AND('POTENCIAL HORAS'!#REF!,"AAAAAB/9uwM=")</f>
        <v>#REF!</v>
      </c>
      <c r="E27" t="e">
        <f>AND('POTENCIAL HORAS'!#REF!,"AAAAAB/9uwQ=")</f>
        <v>#REF!</v>
      </c>
      <c r="F27" t="e">
        <f>AND('POTENCIAL HORAS'!#REF!,"AAAAAB/9uwU=")</f>
        <v>#REF!</v>
      </c>
      <c r="G27" t="e">
        <f>AND('POTENCIAL HORAS'!#REF!,"AAAAAB/9uwY=")</f>
        <v>#REF!</v>
      </c>
      <c r="H27" t="e">
        <f>AND('POTENCIAL HORAS'!#REF!,"AAAAAB/9uwc=")</f>
        <v>#REF!</v>
      </c>
      <c r="I27" t="e">
        <f>AND('POTENCIAL HORAS'!#REF!,"AAAAAB/9uwg=")</f>
        <v>#REF!</v>
      </c>
      <c r="J27" t="e">
        <f>AND('POTENCIAL HORAS'!#REF!,"AAAAAB/9uwk=")</f>
        <v>#REF!</v>
      </c>
      <c r="K27" t="e">
        <f>AND('POTENCIAL HORAS'!#REF!,"AAAAAB/9uwo=")</f>
        <v>#REF!</v>
      </c>
      <c r="L27" t="e">
        <f>AND('POTENCIAL HORAS'!#REF!,"AAAAAB/9uws=")</f>
        <v>#REF!</v>
      </c>
      <c r="M27" t="e">
        <f>AND('POTENCIAL HORAS'!#REF!,"AAAAAB/9uww=")</f>
        <v>#REF!</v>
      </c>
      <c r="N27" t="e">
        <f>IF('POTENCIAL HORAS'!#REF!,"AAAAAB/9uw0=",0)</f>
        <v>#REF!</v>
      </c>
      <c r="O27" t="e">
        <f>AND('POTENCIAL HORAS'!#REF!,"AAAAAB/9uw4=")</f>
        <v>#REF!</v>
      </c>
      <c r="P27" t="e">
        <f>AND('POTENCIAL HORAS'!#REF!,"AAAAAB/9uw8=")</f>
        <v>#REF!</v>
      </c>
      <c r="Q27" t="e">
        <f>AND('POTENCIAL HORAS'!#REF!,"AAAAAB/9uxA=")</f>
        <v>#REF!</v>
      </c>
      <c r="R27" t="e">
        <f>AND('POTENCIAL HORAS'!#REF!,"AAAAAB/9uxE=")</f>
        <v>#REF!</v>
      </c>
      <c r="S27" t="e">
        <f>AND('POTENCIAL HORAS'!#REF!,"AAAAAB/9uxI=")</f>
        <v>#REF!</v>
      </c>
      <c r="T27" t="e">
        <f>AND('POTENCIAL HORAS'!#REF!,"AAAAAB/9uxM=")</f>
        <v>#REF!</v>
      </c>
      <c r="U27" t="e">
        <f>AND('POTENCIAL HORAS'!#REF!,"AAAAAB/9uxQ=")</f>
        <v>#REF!</v>
      </c>
      <c r="V27" t="e">
        <f>AND('POTENCIAL HORAS'!#REF!,"AAAAAB/9uxU=")</f>
        <v>#REF!</v>
      </c>
      <c r="W27" t="e">
        <f>AND('POTENCIAL HORAS'!#REF!,"AAAAAB/9uxY=")</f>
        <v>#REF!</v>
      </c>
      <c r="X27" t="e">
        <f>AND('POTENCIAL HORAS'!#REF!,"AAAAAB/9uxc=")</f>
        <v>#REF!</v>
      </c>
      <c r="Y27" t="e">
        <f>AND('POTENCIAL HORAS'!#REF!,"AAAAAB/9uxg=")</f>
        <v>#REF!</v>
      </c>
      <c r="Z27" t="e">
        <f>AND('POTENCIAL HORAS'!#REF!,"AAAAAB/9uxk=")</f>
        <v>#REF!</v>
      </c>
      <c r="AA27" t="e">
        <f>AND('POTENCIAL HORAS'!#REF!,"AAAAAB/9uxo=")</f>
        <v>#REF!</v>
      </c>
      <c r="AB27" t="e">
        <f>AND('POTENCIAL HORAS'!#REF!,"AAAAAB/9uxs=")</f>
        <v>#REF!</v>
      </c>
      <c r="AC27" t="e">
        <f>AND('POTENCIAL HORAS'!#REF!,"AAAAAB/9uxw=")</f>
        <v>#REF!</v>
      </c>
      <c r="AD27" t="e">
        <f>AND('POTENCIAL HORAS'!#REF!,"AAAAAB/9ux0=")</f>
        <v>#REF!</v>
      </c>
      <c r="AE27" t="e">
        <f>AND('POTENCIAL HORAS'!#REF!,"AAAAAB/9ux4=")</f>
        <v>#REF!</v>
      </c>
      <c r="AF27" t="e">
        <f>AND('POTENCIAL HORAS'!#REF!,"AAAAAB/9ux8=")</f>
        <v>#REF!</v>
      </c>
      <c r="AG27" t="e">
        <f>AND('POTENCIAL HORAS'!#REF!,"AAAAAB/9uyA=")</f>
        <v>#REF!</v>
      </c>
      <c r="AH27" t="e">
        <f>AND('POTENCIAL HORAS'!#REF!,"AAAAAB/9uyE=")</f>
        <v>#REF!</v>
      </c>
      <c r="AI27" t="e">
        <f>AND('POTENCIAL HORAS'!#REF!,"AAAAAB/9uyI=")</f>
        <v>#REF!</v>
      </c>
      <c r="AJ27" t="e">
        <f>AND('POTENCIAL HORAS'!#REF!,"AAAAAB/9uyM=")</f>
        <v>#REF!</v>
      </c>
      <c r="AK27" t="e">
        <f>AND('POTENCIAL HORAS'!#REF!,"AAAAAB/9uyQ=")</f>
        <v>#REF!</v>
      </c>
      <c r="AL27" t="e">
        <f>AND('POTENCIAL HORAS'!#REF!,"AAAAAB/9uyU=")</f>
        <v>#REF!</v>
      </c>
      <c r="AM27" t="e">
        <f>AND('POTENCIAL HORAS'!#REF!,"AAAAAB/9uyY=")</f>
        <v>#REF!</v>
      </c>
      <c r="AN27" t="e">
        <f>AND('POTENCIAL HORAS'!#REF!,"AAAAAB/9uyc=")</f>
        <v>#REF!</v>
      </c>
      <c r="AO27" t="e">
        <f>AND('POTENCIAL HORAS'!#REF!,"AAAAAB/9uyg=")</f>
        <v>#REF!</v>
      </c>
      <c r="AP27" t="e">
        <f>AND('POTENCIAL HORAS'!#REF!,"AAAAAB/9uyk=")</f>
        <v>#REF!</v>
      </c>
      <c r="AQ27" t="e">
        <f>AND('POTENCIAL HORAS'!#REF!,"AAAAAB/9uyo=")</f>
        <v>#REF!</v>
      </c>
      <c r="AR27" t="e">
        <f>AND('POTENCIAL HORAS'!#REF!,"AAAAAB/9uys=")</f>
        <v>#REF!</v>
      </c>
      <c r="AS27" t="e">
        <f>AND('POTENCIAL HORAS'!#REF!,"AAAAAB/9uyw=")</f>
        <v>#REF!</v>
      </c>
      <c r="AT27" t="e">
        <f>AND('POTENCIAL HORAS'!#REF!,"AAAAAB/9uy0=")</f>
        <v>#REF!</v>
      </c>
      <c r="AU27" t="e">
        <f>AND('POTENCIAL HORAS'!#REF!,"AAAAAB/9uy4=")</f>
        <v>#REF!</v>
      </c>
      <c r="AV27" t="e">
        <f>AND('POTENCIAL HORAS'!#REF!,"AAAAAB/9uy8=")</f>
        <v>#REF!</v>
      </c>
      <c r="AW27" t="e">
        <f>AND('POTENCIAL HORAS'!#REF!,"AAAAAB/9uzA=")</f>
        <v>#REF!</v>
      </c>
      <c r="AX27" t="e">
        <f>AND('POTENCIAL HORAS'!#REF!,"AAAAAB/9uzE=")</f>
        <v>#REF!</v>
      </c>
      <c r="AY27" t="e">
        <f>AND('POTENCIAL HORAS'!#REF!,"AAAAAB/9uzI=")</f>
        <v>#REF!</v>
      </c>
      <c r="AZ27" t="e">
        <f>AND('POTENCIAL HORAS'!#REF!,"AAAAAB/9uzM=")</f>
        <v>#REF!</v>
      </c>
      <c r="BA27">
        <f>IF('POTENCIAL HORAS'!320:320,"AAAAAB/9uzQ=",0)</f>
        <v>0</v>
      </c>
      <c r="BB27" t="e">
        <f>AND('POTENCIAL HORAS'!A320,"AAAAAB/9uzU=")</f>
        <v>#VALUE!</v>
      </c>
      <c r="BC27" t="e">
        <f>AND('POTENCIAL HORAS'!B320,"AAAAAB/9uzY=")</f>
        <v>#VALUE!</v>
      </c>
      <c r="BD27" t="e">
        <f>AND('POTENCIAL HORAS'!C320,"AAAAAB/9uzc=")</f>
        <v>#VALUE!</v>
      </c>
      <c r="BE27" t="e">
        <f>AND('POTENCIAL HORAS'!D320,"AAAAAB/9uzg=")</f>
        <v>#VALUE!</v>
      </c>
      <c r="BF27" t="e">
        <f>AND('POTENCIAL HORAS'!E320,"AAAAAB/9uzk=")</f>
        <v>#VALUE!</v>
      </c>
      <c r="BG27" t="e">
        <f>AND('POTENCIAL HORAS'!F320,"AAAAAB/9uzo=")</f>
        <v>#VALUE!</v>
      </c>
      <c r="BH27" t="e">
        <f>AND('POTENCIAL HORAS'!G320,"AAAAAB/9uzs=")</f>
        <v>#VALUE!</v>
      </c>
      <c r="BI27" t="e">
        <f>AND('POTENCIAL HORAS'!H320,"AAAAAB/9uzw=")</f>
        <v>#VALUE!</v>
      </c>
      <c r="BJ27" t="e">
        <f>AND('POTENCIAL HORAS'!I320,"AAAAAB/9uz0=")</f>
        <v>#VALUE!</v>
      </c>
      <c r="BK27" t="e">
        <f>AND('POTENCIAL HORAS'!J320,"AAAAAB/9uz4=")</f>
        <v>#VALUE!</v>
      </c>
      <c r="BL27" t="e">
        <f>AND('POTENCIAL HORAS'!K320,"AAAAAB/9uz8=")</f>
        <v>#VALUE!</v>
      </c>
      <c r="BM27" t="e">
        <f>AND('POTENCIAL HORAS'!L320,"AAAAAB/9u0A=")</f>
        <v>#VALUE!</v>
      </c>
      <c r="BN27" t="e">
        <f>AND('POTENCIAL HORAS'!M320,"AAAAAB/9u0E=")</f>
        <v>#VALUE!</v>
      </c>
      <c r="BO27" t="e">
        <f>AND('POTENCIAL HORAS'!N320,"AAAAAB/9u0I=")</f>
        <v>#VALUE!</v>
      </c>
      <c r="BP27" t="e">
        <f>AND('POTENCIAL HORAS'!O320,"AAAAAB/9u0M=")</f>
        <v>#VALUE!</v>
      </c>
      <c r="BQ27" t="e">
        <f>AND('POTENCIAL HORAS'!P320,"AAAAAB/9u0Q=")</f>
        <v>#VALUE!</v>
      </c>
      <c r="BR27" t="e">
        <f>AND('POTENCIAL HORAS'!#REF!,"AAAAAB/9u0U=")</f>
        <v>#REF!</v>
      </c>
      <c r="BS27" t="e">
        <f>AND('POTENCIAL HORAS'!#REF!,"AAAAAB/9u0Y=")</f>
        <v>#REF!</v>
      </c>
      <c r="BT27" t="e">
        <f>AND('POTENCIAL HORAS'!#REF!,"AAAAAB/9u0c=")</f>
        <v>#REF!</v>
      </c>
      <c r="BU27" t="e">
        <f>AND('POTENCIAL HORAS'!#REF!,"AAAAAB/9u0g=")</f>
        <v>#REF!</v>
      </c>
      <c r="BV27" t="e">
        <f>AND('POTENCIAL HORAS'!#REF!,"AAAAAB/9u0k=")</f>
        <v>#REF!</v>
      </c>
      <c r="BW27" t="e">
        <f>AND('POTENCIAL HORAS'!#REF!,"AAAAAB/9u0o=")</f>
        <v>#REF!</v>
      </c>
      <c r="BX27" t="e">
        <f>AND('POTENCIAL HORAS'!#REF!,"AAAAAB/9u0s=")</f>
        <v>#REF!</v>
      </c>
      <c r="BY27" t="e">
        <f>AND('POTENCIAL HORAS'!#REF!,"AAAAAB/9u0w=")</f>
        <v>#REF!</v>
      </c>
      <c r="BZ27" t="e">
        <f>AND('POTENCIAL HORAS'!#REF!,"AAAAAB/9u00=")</f>
        <v>#REF!</v>
      </c>
      <c r="CA27" t="e">
        <f>AND('POTENCIAL HORAS'!#REF!,"AAAAAB/9u04=")</f>
        <v>#REF!</v>
      </c>
      <c r="CB27" t="e">
        <f>AND('POTENCIAL HORAS'!#REF!,"AAAAAB/9u08=")</f>
        <v>#REF!</v>
      </c>
      <c r="CC27" t="e">
        <f>AND('POTENCIAL HORAS'!#REF!,"AAAAAB/9u1A=")</f>
        <v>#REF!</v>
      </c>
      <c r="CD27" t="e">
        <f>AND('POTENCIAL HORAS'!#REF!,"AAAAAB/9u1E=")</f>
        <v>#REF!</v>
      </c>
      <c r="CE27" t="e">
        <f>AND('POTENCIAL HORAS'!#REF!,"AAAAAB/9u1I=")</f>
        <v>#REF!</v>
      </c>
      <c r="CF27" t="e">
        <f>AND('POTENCIAL HORAS'!#REF!,"AAAAAB/9u1M=")</f>
        <v>#REF!</v>
      </c>
      <c r="CG27" t="e">
        <f>AND('POTENCIAL HORAS'!#REF!,"AAAAAB/9u1Q=")</f>
        <v>#REF!</v>
      </c>
      <c r="CH27" t="e">
        <f>AND('POTENCIAL HORAS'!#REF!,"AAAAAB/9u1U=")</f>
        <v>#REF!</v>
      </c>
      <c r="CI27" t="e">
        <f>AND('POTENCIAL HORAS'!#REF!,"AAAAAB/9u1Y=")</f>
        <v>#REF!</v>
      </c>
      <c r="CJ27" t="e">
        <f>AND('POTENCIAL HORAS'!#REF!,"AAAAAB/9u1c=")</f>
        <v>#REF!</v>
      </c>
      <c r="CK27" t="e">
        <f>AND('POTENCIAL HORAS'!#REF!,"AAAAAB/9u1g=")</f>
        <v>#REF!</v>
      </c>
      <c r="CL27" t="e">
        <f>AND('POTENCIAL HORAS'!Q320,"AAAAAB/9u1k=")</f>
        <v>#VALUE!</v>
      </c>
      <c r="CM27" t="e">
        <f>AND('POTENCIAL HORAS'!R320,"AAAAAB/9u1o=")</f>
        <v>#VALUE!</v>
      </c>
      <c r="CN27">
        <f>IF('POTENCIAL HORAS'!321:321,"AAAAAB/9u1s=",0)</f>
        <v>0</v>
      </c>
      <c r="CO27" t="e">
        <f>AND('POTENCIAL HORAS'!A321,"AAAAAB/9u1w=")</f>
        <v>#VALUE!</v>
      </c>
      <c r="CP27" t="e">
        <f>AND('POTENCIAL HORAS'!B321,"AAAAAB/9u10=")</f>
        <v>#VALUE!</v>
      </c>
      <c r="CQ27" t="e">
        <f>AND('POTENCIAL HORAS'!C321,"AAAAAB/9u14=")</f>
        <v>#VALUE!</v>
      </c>
      <c r="CR27" t="e">
        <f>AND('POTENCIAL HORAS'!D321,"AAAAAB/9u18=")</f>
        <v>#VALUE!</v>
      </c>
      <c r="CS27" t="e">
        <f>AND('POTENCIAL HORAS'!E321,"AAAAAB/9u2A=")</f>
        <v>#VALUE!</v>
      </c>
      <c r="CT27" t="e">
        <f>AND('POTENCIAL HORAS'!F321,"AAAAAB/9u2E=")</f>
        <v>#VALUE!</v>
      </c>
      <c r="CU27" t="e">
        <f>AND('POTENCIAL HORAS'!G321,"AAAAAB/9u2I=")</f>
        <v>#VALUE!</v>
      </c>
      <c r="CV27" t="e">
        <f>AND('POTENCIAL HORAS'!H321,"AAAAAB/9u2M=")</f>
        <v>#VALUE!</v>
      </c>
      <c r="CW27" t="e">
        <f>AND('POTENCIAL HORAS'!I321,"AAAAAB/9u2Q=")</f>
        <v>#VALUE!</v>
      </c>
      <c r="CX27" t="e">
        <f>AND('POTENCIAL HORAS'!J321,"AAAAAB/9u2U=")</f>
        <v>#VALUE!</v>
      </c>
      <c r="CY27" t="e">
        <f>AND('POTENCIAL HORAS'!K321,"AAAAAB/9u2Y=")</f>
        <v>#VALUE!</v>
      </c>
      <c r="CZ27" t="e">
        <f>AND('POTENCIAL HORAS'!L321,"AAAAAB/9u2c=")</f>
        <v>#VALUE!</v>
      </c>
      <c r="DA27" t="e">
        <f>AND('POTENCIAL HORAS'!M321,"AAAAAB/9u2g=")</f>
        <v>#VALUE!</v>
      </c>
      <c r="DB27" t="e">
        <f>AND('POTENCIAL HORAS'!N321,"AAAAAB/9u2k=")</f>
        <v>#VALUE!</v>
      </c>
      <c r="DC27" t="e">
        <f>AND('POTENCIAL HORAS'!O321,"AAAAAB/9u2o=")</f>
        <v>#VALUE!</v>
      </c>
      <c r="DD27" t="e">
        <f>AND('POTENCIAL HORAS'!P321,"AAAAAB/9u2s=")</f>
        <v>#VALUE!</v>
      </c>
      <c r="DE27" t="e">
        <f>AND('POTENCIAL HORAS'!#REF!,"AAAAAB/9u2w=")</f>
        <v>#REF!</v>
      </c>
      <c r="DF27" t="e">
        <f>AND('POTENCIAL HORAS'!#REF!,"AAAAAB/9u20=")</f>
        <v>#REF!</v>
      </c>
      <c r="DG27" t="e">
        <f>AND('POTENCIAL HORAS'!#REF!,"AAAAAB/9u24=")</f>
        <v>#REF!</v>
      </c>
      <c r="DH27" t="e">
        <f>AND('POTENCIAL HORAS'!#REF!,"AAAAAB/9u28=")</f>
        <v>#REF!</v>
      </c>
      <c r="DI27" t="e">
        <f>AND('POTENCIAL HORAS'!#REF!,"AAAAAB/9u3A=")</f>
        <v>#REF!</v>
      </c>
      <c r="DJ27" t="e">
        <f>AND('POTENCIAL HORAS'!#REF!,"AAAAAB/9u3E=")</f>
        <v>#REF!</v>
      </c>
      <c r="DK27" t="e">
        <f>AND('POTENCIAL HORAS'!#REF!,"AAAAAB/9u3I=")</f>
        <v>#REF!</v>
      </c>
      <c r="DL27" t="e">
        <f>AND('POTENCIAL HORAS'!#REF!,"AAAAAB/9u3M=")</f>
        <v>#REF!</v>
      </c>
      <c r="DM27" t="e">
        <f>AND('POTENCIAL HORAS'!#REF!,"AAAAAB/9u3Q=")</f>
        <v>#REF!</v>
      </c>
      <c r="DN27" t="e">
        <f>AND('POTENCIAL HORAS'!#REF!,"AAAAAB/9u3U=")</f>
        <v>#REF!</v>
      </c>
      <c r="DO27" t="e">
        <f>AND('POTENCIAL HORAS'!#REF!,"AAAAAB/9u3Y=")</f>
        <v>#REF!</v>
      </c>
      <c r="DP27" t="e">
        <f>AND('POTENCIAL HORAS'!#REF!,"AAAAAB/9u3c=")</f>
        <v>#REF!</v>
      </c>
      <c r="DQ27" t="e">
        <f>AND('POTENCIAL HORAS'!#REF!,"AAAAAB/9u3g=")</f>
        <v>#REF!</v>
      </c>
      <c r="DR27" t="e">
        <f>AND('POTENCIAL HORAS'!#REF!,"AAAAAB/9u3k=")</f>
        <v>#REF!</v>
      </c>
      <c r="DS27" t="e">
        <f>AND('POTENCIAL HORAS'!#REF!,"AAAAAB/9u3o=")</f>
        <v>#REF!</v>
      </c>
      <c r="DT27" t="e">
        <f>AND('POTENCIAL HORAS'!#REF!,"AAAAAB/9u3s=")</f>
        <v>#REF!</v>
      </c>
      <c r="DU27" t="e">
        <f>AND('POTENCIAL HORAS'!#REF!,"AAAAAB/9u3w=")</f>
        <v>#REF!</v>
      </c>
      <c r="DV27" t="e">
        <f>AND('POTENCIAL HORAS'!#REF!,"AAAAAB/9u30=")</f>
        <v>#REF!</v>
      </c>
      <c r="DW27" t="e">
        <f>AND('POTENCIAL HORAS'!#REF!,"AAAAAB/9u34=")</f>
        <v>#REF!</v>
      </c>
      <c r="DX27" t="e">
        <f>AND('POTENCIAL HORAS'!#REF!,"AAAAAB/9u38=")</f>
        <v>#REF!</v>
      </c>
      <c r="DY27" t="e">
        <f>AND('POTENCIAL HORAS'!Q321,"AAAAAB/9u4A=")</f>
        <v>#VALUE!</v>
      </c>
      <c r="DZ27" t="e">
        <f>AND('POTENCIAL HORAS'!R321,"AAAAAB/9u4E=")</f>
        <v>#VALUE!</v>
      </c>
      <c r="EA27">
        <f>IF('POTENCIAL HORAS'!322:322,"AAAAAB/9u4I=",0)</f>
        <v>0</v>
      </c>
      <c r="EB27" t="e">
        <f>AND('POTENCIAL HORAS'!A322,"AAAAAB/9u4M=")</f>
        <v>#VALUE!</v>
      </c>
      <c r="EC27" t="e">
        <f>AND('POTENCIAL HORAS'!B322,"AAAAAB/9u4Q=")</f>
        <v>#VALUE!</v>
      </c>
      <c r="ED27" t="e">
        <f>AND('POTENCIAL HORAS'!C322,"AAAAAB/9u4U=")</f>
        <v>#VALUE!</v>
      </c>
      <c r="EE27" t="e">
        <f>AND('POTENCIAL HORAS'!D322,"AAAAAB/9u4Y=")</f>
        <v>#VALUE!</v>
      </c>
      <c r="EF27" t="e">
        <f>AND('POTENCIAL HORAS'!E322,"AAAAAB/9u4c=")</f>
        <v>#VALUE!</v>
      </c>
      <c r="EG27" t="e">
        <f>AND('POTENCIAL HORAS'!F322,"AAAAAB/9u4g=")</f>
        <v>#VALUE!</v>
      </c>
      <c r="EH27" t="e">
        <f>AND('POTENCIAL HORAS'!G322,"AAAAAB/9u4k=")</f>
        <v>#VALUE!</v>
      </c>
      <c r="EI27" t="e">
        <f>AND('POTENCIAL HORAS'!H322,"AAAAAB/9u4o=")</f>
        <v>#VALUE!</v>
      </c>
      <c r="EJ27" t="e">
        <f>AND('POTENCIAL HORAS'!I322,"AAAAAB/9u4s=")</f>
        <v>#VALUE!</v>
      </c>
      <c r="EK27" t="e">
        <f>AND('POTENCIAL HORAS'!J322,"AAAAAB/9u4w=")</f>
        <v>#VALUE!</v>
      </c>
      <c r="EL27" t="e">
        <f>AND('POTENCIAL HORAS'!K322,"AAAAAB/9u40=")</f>
        <v>#VALUE!</v>
      </c>
      <c r="EM27" t="e">
        <f>AND('POTENCIAL HORAS'!L322,"AAAAAB/9u44=")</f>
        <v>#VALUE!</v>
      </c>
      <c r="EN27" t="e">
        <f>AND('POTENCIAL HORAS'!M322,"AAAAAB/9u48=")</f>
        <v>#VALUE!</v>
      </c>
      <c r="EO27" t="e">
        <f>AND('POTENCIAL HORAS'!N322,"AAAAAB/9u5A=")</f>
        <v>#VALUE!</v>
      </c>
      <c r="EP27" t="e">
        <f>AND('POTENCIAL HORAS'!O322,"AAAAAB/9u5E=")</f>
        <v>#VALUE!</v>
      </c>
      <c r="EQ27" t="e">
        <f>AND('POTENCIAL HORAS'!P322,"AAAAAB/9u5I=")</f>
        <v>#VALUE!</v>
      </c>
      <c r="ER27" t="e">
        <f>AND('POTENCIAL HORAS'!#REF!,"AAAAAB/9u5M=")</f>
        <v>#REF!</v>
      </c>
      <c r="ES27" t="e">
        <f>AND('POTENCIAL HORAS'!#REF!,"AAAAAB/9u5Q=")</f>
        <v>#REF!</v>
      </c>
      <c r="ET27" t="e">
        <f>AND('POTENCIAL HORAS'!#REF!,"AAAAAB/9u5U=")</f>
        <v>#REF!</v>
      </c>
      <c r="EU27" t="e">
        <f>AND('POTENCIAL HORAS'!#REF!,"AAAAAB/9u5Y=")</f>
        <v>#REF!</v>
      </c>
      <c r="EV27" t="e">
        <f>AND('POTENCIAL HORAS'!#REF!,"AAAAAB/9u5c=")</f>
        <v>#REF!</v>
      </c>
      <c r="EW27" t="e">
        <f>AND('POTENCIAL HORAS'!#REF!,"AAAAAB/9u5g=")</f>
        <v>#REF!</v>
      </c>
      <c r="EX27" t="e">
        <f>AND('POTENCIAL HORAS'!#REF!,"AAAAAB/9u5k=")</f>
        <v>#REF!</v>
      </c>
      <c r="EY27" t="e">
        <f>AND('POTENCIAL HORAS'!#REF!,"AAAAAB/9u5o=")</f>
        <v>#REF!</v>
      </c>
      <c r="EZ27" t="e">
        <f>AND('POTENCIAL HORAS'!#REF!,"AAAAAB/9u5s=")</f>
        <v>#REF!</v>
      </c>
      <c r="FA27" t="e">
        <f>AND('POTENCIAL HORAS'!#REF!,"AAAAAB/9u5w=")</f>
        <v>#REF!</v>
      </c>
      <c r="FB27" t="e">
        <f>AND('POTENCIAL HORAS'!#REF!,"AAAAAB/9u50=")</f>
        <v>#REF!</v>
      </c>
      <c r="FC27" t="e">
        <f>AND('POTENCIAL HORAS'!#REF!,"AAAAAB/9u54=")</f>
        <v>#REF!</v>
      </c>
      <c r="FD27" t="e">
        <f>AND('POTENCIAL HORAS'!#REF!,"AAAAAB/9u58=")</f>
        <v>#REF!</v>
      </c>
      <c r="FE27" t="e">
        <f>AND('POTENCIAL HORAS'!#REF!,"AAAAAB/9u6A=")</f>
        <v>#REF!</v>
      </c>
      <c r="FF27" t="e">
        <f>AND('POTENCIAL HORAS'!#REF!,"AAAAAB/9u6E=")</f>
        <v>#REF!</v>
      </c>
      <c r="FG27" t="e">
        <f>AND('POTENCIAL HORAS'!#REF!,"AAAAAB/9u6I=")</f>
        <v>#REF!</v>
      </c>
      <c r="FH27" t="e">
        <f>AND('POTENCIAL HORAS'!#REF!,"AAAAAB/9u6M=")</f>
        <v>#REF!</v>
      </c>
      <c r="FI27" t="e">
        <f>AND('POTENCIAL HORAS'!#REF!,"AAAAAB/9u6Q=")</f>
        <v>#REF!</v>
      </c>
      <c r="FJ27" t="e">
        <f>AND('POTENCIAL HORAS'!#REF!,"AAAAAB/9u6U=")</f>
        <v>#REF!</v>
      </c>
      <c r="FK27" t="e">
        <f>AND('POTENCIAL HORAS'!#REF!,"AAAAAB/9u6Y=")</f>
        <v>#REF!</v>
      </c>
      <c r="FL27" t="e">
        <f>AND('POTENCIAL HORAS'!Q322,"AAAAAB/9u6c=")</f>
        <v>#VALUE!</v>
      </c>
      <c r="FM27" t="e">
        <f>AND('POTENCIAL HORAS'!R322,"AAAAAB/9u6g=")</f>
        <v>#VALUE!</v>
      </c>
      <c r="FN27">
        <f>IF('POTENCIAL HORAS'!323:323,"AAAAAB/9u6k=",0)</f>
        <v>0</v>
      </c>
      <c r="FO27" t="e">
        <f>AND('POTENCIAL HORAS'!A323,"AAAAAB/9u6o=")</f>
        <v>#VALUE!</v>
      </c>
      <c r="FP27" t="e">
        <f>AND('POTENCIAL HORAS'!B323,"AAAAAB/9u6s=")</f>
        <v>#VALUE!</v>
      </c>
      <c r="FQ27" t="e">
        <f>AND('POTENCIAL HORAS'!C323,"AAAAAB/9u6w=")</f>
        <v>#VALUE!</v>
      </c>
      <c r="FR27" t="e">
        <f>AND('POTENCIAL HORAS'!D323,"AAAAAB/9u60=")</f>
        <v>#VALUE!</v>
      </c>
      <c r="FS27" t="e">
        <f>AND('POTENCIAL HORAS'!E323,"AAAAAB/9u64=")</f>
        <v>#VALUE!</v>
      </c>
      <c r="FT27" t="e">
        <f>AND('POTENCIAL HORAS'!F323,"AAAAAB/9u68=")</f>
        <v>#VALUE!</v>
      </c>
      <c r="FU27" t="e">
        <f>AND('POTENCIAL HORAS'!G323,"AAAAAB/9u7A=")</f>
        <v>#VALUE!</v>
      </c>
      <c r="FV27" t="e">
        <f>AND('POTENCIAL HORAS'!H323,"AAAAAB/9u7E=")</f>
        <v>#VALUE!</v>
      </c>
      <c r="FW27" t="e">
        <f>AND('POTENCIAL HORAS'!I323,"AAAAAB/9u7I=")</f>
        <v>#VALUE!</v>
      </c>
      <c r="FX27" t="e">
        <f>AND('POTENCIAL HORAS'!J323,"AAAAAB/9u7M=")</f>
        <v>#VALUE!</v>
      </c>
      <c r="FY27" t="e">
        <f>AND('POTENCIAL HORAS'!K323,"AAAAAB/9u7Q=")</f>
        <v>#VALUE!</v>
      </c>
      <c r="FZ27" t="e">
        <f>AND('POTENCIAL HORAS'!L323,"AAAAAB/9u7U=")</f>
        <v>#VALUE!</v>
      </c>
      <c r="GA27" t="e">
        <f>AND('POTENCIAL HORAS'!M323,"AAAAAB/9u7Y=")</f>
        <v>#VALUE!</v>
      </c>
      <c r="GB27" t="e">
        <f>AND('POTENCIAL HORAS'!N323,"AAAAAB/9u7c=")</f>
        <v>#VALUE!</v>
      </c>
      <c r="GC27" t="e">
        <f>AND('POTENCIAL HORAS'!O323,"AAAAAB/9u7g=")</f>
        <v>#VALUE!</v>
      </c>
      <c r="GD27" t="e">
        <f>AND('POTENCIAL HORAS'!P323,"AAAAAB/9u7k=")</f>
        <v>#VALUE!</v>
      </c>
      <c r="GE27" t="e">
        <f>AND('POTENCIAL HORAS'!#REF!,"AAAAAB/9u7o=")</f>
        <v>#REF!</v>
      </c>
      <c r="GF27" t="e">
        <f>AND('POTENCIAL HORAS'!#REF!,"AAAAAB/9u7s=")</f>
        <v>#REF!</v>
      </c>
      <c r="GG27" t="e">
        <f>AND('POTENCIAL HORAS'!#REF!,"AAAAAB/9u7w=")</f>
        <v>#REF!</v>
      </c>
      <c r="GH27" t="e">
        <f>AND('POTENCIAL HORAS'!#REF!,"AAAAAB/9u70=")</f>
        <v>#REF!</v>
      </c>
      <c r="GI27" t="e">
        <f>AND('POTENCIAL HORAS'!#REF!,"AAAAAB/9u74=")</f>
        <v>#REF!</v>
      </c>
      <c r="GJ27" t="e">
        <f>AND('POTENCIAL HORAS'!#REF!,"AAAAAB/9u78=")</f>
        <v>#REF!</v>
      </c>
      <c r="GK27" t="e">
        <f>AND('POTENCIAL HORAS'!#REF!,"AAAAAB/9u8A=")</f>
        <v>#REF!</v>
      </c>
      <c r="GL27" t="e">
        <f>AND('POTENCIAL HORAS'!#REF!,"AAAAAB/9u8E=")</f>
        <v>#REF!</v>
      </c>
      <c r="GM27" t="e">
        <f>AND('POTENCIAL HORAS'!#REF!,"AAAAAB/9u8I=")</f>
        <v>#REF!</v>
      </c>
      <c r="GN27" t="e">
        <f>AND('POTENCIAL HORAS'!#REF!,"AAAAAB/9u8M=")</f>
        <v>#REF!</v>
      </c>
      <c r="GO27" t="e">
        <f>AND('POTENCIAL HORAS'!#REF!,"AAAAAB/9u8Q=")</f>
        <v>#REF!</v>
      </c>
      <c r="GP27" t="e">
        <f>AND('POTENCIAL HORAS'!#REF!,"AAAAAB/9u8U=")</f>
        <v>#REF!</v>
      </c>
      <c r="GQ27" t="e">
        <f>AND('POTENCIAL HORAS'!#REF!,"AAAAAB/9u8Y=")</f>
        <v>#REF!</v>
      </c>
      <c r="GR27" t="e">
        <f>AND('POTENCIAL HORAS'!#REF!,"AAAAAB/9u8c=")</f>
        <v>#REF!</v>
      </c>
      <c r="GS27" t="e">
        <f>AND('POTENCIAL HORAS'!#REF!,"AAAAAB/9u8g=")</f>
        <v>#REF!</v>
      </c>
      <c r="GT27" t="e">
        <f>AND('POTENCIAL HORAS'!#REF!,"AAAAAB/9u8k=")</f>
        <v>#REF!</v>
      </c>
      <c r="GU27" t="e">
        <f>AND('POTENCIAL HORAS'!#REF!,"AAAAAB/9u8o=")</f>
        <v>#REF!</v>
      </c>
      <c r="GV27" t="e">
        <f>AND('POTENCIAL HORAS'!#REF!,"AAAAAB/9u8s=")</f>
        <v>#REF!</v>
      </c>
      <c r="GW27" t="e">
        <f>AND('POTENCIAL HORAS'!#REF!,"AAAAAB/9u8w=")</f>
        <v>#REF!</v>
      </c>
      <c r="GX27" t="e">
        <f>AND('POTENCIAL HORAS'!#REF!,"AAAAAB/9u80=")</f>
        <v>#REF!</v>
      </c>
      <c r="GY27" t="e">
        <f>AND('POTENCIAL HORAS'!Q323,"AAAAAB/9u84=")</f>
        <v>#VALUE!</v>
      </c>
      <c r="GZ27" t="e">
        <f>AND('POTENCIAL HORAS'!R323,"AAAAAB/9u88=")</f>
        <v>#VALUE!</v>
      </c>
      <c r="HA27">
        <f>IF('POTENCIAL HORAS'!324:324,"AAAAAB/9u9A=",0)</f>
        <v>0</v>
      </c>
      <c r="HB27" t="e">
        <f>AND('POTENCIAL HORAS'!A324,"AAAAAB/9u9E=")</f>
        <v>#VALUE!</v>
      </c>
      <c r="HC27" t="e">
        <f>AND('POTENCIAL HORAS'!B324,"AAAAAB/9u9I=")</f>
        <v>#VALUE!</v>
      </c>
      <c r="HD27" t="e">
        <f>AND('POTENCIAL HORAS'!C324,"AAAAAB/9u9M=")</f>
        <v>#VALUE!</v>
      </c>
      <c r="HE27" t="e">
        <f>AND('POTENCIAL HORAS'!D324,"AAAAAB/9u9Q=")</f>
        <v>#VALUE!</v>
      </c>
      <c r="HF27" t="e">
        <f>AND('POTENCIAL HORAS'!E324,"AAAAAB/9u9U=")</f>
        <v>#VALUE!</v>
      </c>
      <c r="HG27" t="e">
        <f>AND('POTENCIAL HORAS'!F324,"AAAAAB/9u9Y=")</f>
        <v>#VALUE!</v>
      </c>
      <c r="HH27" t="e">
        <f>AND('POTENCIAL HORAS'!G324,"AAAAAB/9u9c=")</f>
        <v>#VALUE!</v>
      </c>
      <c r="HI27" t="e">
        <f>AND('POTENCIAL HORAS'!H324,"AAAAAB/9u9g=")</f>
        <v>#VALUE!</v>
      </c>
      <c r="HJ27" t="e">
        <f>AND('POTENCIAL HORAS'!I324,"AAAAAB/9u9k=")</f>
        <v>#VALUE!</v>
      </c>
      <c r="HK27" t="e">
        <f>AND('POTENCIAL HORAS'!J324,"AAAAAB/9u9o=")</f>
        <v>#VALUE!</v>
      </c>
      <c r="HL27" t="e">
        <f>AND('POTENCIAL HORAS'!K324,"AAAAAB/9u9s=")</f>
        <v>#VALUE!</v>
      </c>
      <c r="HM27" t="e">
        <f>AND('POTENCIAL HORAS'!L324,"AAAAAB/9u9w=")</f>
        <v>#VALUE!</v>
      </c>
      <c r="HN27" t="e">
        <f>AND('POTENCIAL HORAS'!M324,"AAAAAB/9u90=")</f>
        <v>#VALUE!</v>
      </c>
      <c r="HO27" t="e">
        <f>AND('POTENCIAL HORAS'!N324,"AAAAAB/9u94=")</f>
        <v>#VALUE!</v>
      </c>
      <c r="HP27" t="e">
        <f>AND('POTENCIAL HORAS'!O324,"AAAAAB/9u98=")</f>
        <v>#VALUE!</v>
      </c>
      <c r="HQ27" t="e">
        <f>AND('POTENCIAL HORAS'!P324,"AAAAAB/9u+A=")</f>
        <v>#VALUE!</v>
      </c>
      <c r="HR27" t="e">
        <f>AND('POTENCIAL HORAS'!#REF!,"AAAAAB/9u+E=")</f>
        <v>#REF!</v>
      </c>
      <c r="HS27" t="e">
        <f>AND('POTENCIAL HORAS'!#REF!,"AAAAAB/9u+I=")</f>
        <v>#REF!</v>
      </c>
      <c r="HT27" t="e">
        <f>AND('POTENCIAL HORAS'!#REF!,"AAAAAB/9u+M=")</f>
        <v>#REF!</v>
      </c>
      <c r="HU27" t="e">
        <f>AND('POTENCIAL HORAS'!#REF!,"AAAAAB/9u+Q=")</f>
        <v>#REF!</v>
      </c>
      <c r="HV27" t="e">
        <f>AND('POTENCIAL HORAS'!#REF!,"AAAAAB/9u+U=")</f>
        <v>#REF!</v>
      </c>
      <c r="HW27" t="e">
        <f>AND('POTENCIAL HORAS'!#REF!,"AAAAAB/9u+Y=")</f>
        <v>#REF!</v>
      </c>
      <c r="HX27" t="e">
        <f>AND('POTENCIAL HORAS'!#REF!,"AAAAAB/9u+c=")</f>
        <v>#REF!</v>
      </c>
      <c r="HY27" t="e">
        <f>AND('POTENCIAL HORAS'!#REF!,"AAAAAB/9u+g=")</f>
        <v>#REF!</v>
      </c>
      <c r="HZ27" t="e">
        <f>AND('POTENCIAL HORAS'!#REF!,"AAAAAB/9u+k=")</f>
        <v>#REF!</v>
      </c>
      <c r="IA27" t="e">
        <f>AND('POTENCIAL HORAS'!#REF!,"AAAAAB/9u+o=")</f>
        <v>#REF!</v>
      </c>
      <c r="IB27" t="e">
        <f>AND('POTENCIAL HORAS'!#REF!,"AAAAAB/9u+s=")</f>
        <v>#REF!</v>
      </c>
      <c r="IC27" t="e">
        <f>AND('POTENCIAL HORAS'!#REF!,"AAAAAB/9u+w=")</f>
        <v>#REF!</v>
      </c>
      <c r="ID27" t="e">
        <f>AND('POTENCIAL HORAS'!#REF!,"AAAAAB/9u+0=")</f>
        <v>#REF!</v>
      </c>
      <c r="IE27" t="e">
        <f>AND('POTENCIAL HORAS'!#REF!,"AAAAAB/9u+4=")</f>
        <v>#REF!</v>
      </c>
      <c r="IF27" t="e">
        <f>AND('POTENCIAL HORAS'!#REF!,"AAAAAB/9u+8=")</f>
        <v>#REF!</v>
      </c>
      <c r="IG27" t="e">
        <f>AND('POTENCIAL HORAS'!#REF!,"AAAAAB/9u/A=")</f>
        <v>#REF!</v>
      </c>
      <c r="IH27" t="e">
        <f>AND('POTENCIAL HORAS'!#REF!,"AAAAAB/9u/E=")</f>
        <v>#REF!</v>
      </c>
      <c r="II27" t="e">
        <f>AND('POTENCIAL HORAS'!#REF!,"AAAAAB/9u/I=")</f>
        <v>#REF!</v>
      </c>
      <c r="IJ27" t="e">
        <f>AND('POTENCIAL HORAS'!#REF!,"AAAAAB/9u/M=")</f>
        <v>#REF!</v>
      </c>
      <c r="IK27" t="e">
        <f>AND('POTENCIAL HORAS'!#REF!,"AAAAAB/9u/Q=")</f>
        <v>#REF!</v>
      </c>
      <c r="IL27" t="e">
        <f>AND('POTENCIAL HORAS'!Q324,"AAAAAB/9u/U=")</f>
        <v>#VALUE!</v>
      </c>
      <c r="IM27" t="e">
        <f>AND('POTENCIAL HORAS'!R324,"AAAAAB/9u/Y=")</f>
        <v>#VALUE!</v>
      </c>
      <c r="IN27">
        <f>IF('POTENCIAL HORAS'!325:325,"AAAAAB/9u/c=",0)</f>
        <v>0</v>
      </c>
      <c r="IO27" t="e">
        <f>AND('POTENCIAL HORAS'!A325,"AAAAAB/9u/g=")</f>
        <v>#VALUE!</v>
      </c>
      <c r="IP27" t="e">
        <f>AND('POTENCIAL HORAS'!B325,"AAAAAB/9u/k=")</f>
        <v>#VALUE!</v>
      </c>
      <c r="IQ27" t="e">
        <f>AND('POTENCIAL HORAS'!C325,"AAAAAB/9u/o=")</f>
        <v>#VALUE!</v>
      </c>
      <c r="IR27" t="e">
        <f>AND('POTENCIAL HORAS'!D325,"AAAAAB/9u/s=")</f>
        <v>#VALUE!</v>
      </c>
      <c r="IS27" t="e">
        <f>AND('POTENCIAL HORAS'!E325,"AAAAAB/9u/w=")</f>
        <v>#VALUE!</v>
      </c>
      <c r="IT27" t="e">
        <f>AND('POTENCIAL HORAS'!F325,"AAAAAB/9u/0=")</f>
        <v>#VALUE!</v>
      </c>
      <c r="IU27" t="e">
        <f>AND('POTENCIAL HORAS'!G325,"AAAAAB/9u/4=")</f>
        <v>#VALUE!</v>
      </c>
      <c r="IV27" t="e">
        <f>AND('POTENCIAL HORAS'!H325,"AAAAAB/9u/8=")</f>
        <v>#VALUE!</v>
      </c>
    </row>
    <row r="28" spans="1:256" x14ac:dyDescent="0.2">
      <c r="A28" t="e">
        <f>AND('POTENCIAL HORAS'!I325,"AAAAAHZv/wA=")</f>
        <v>#VALUE!</v>
      </c>
      <c r="B28" t="e">
        <f>AND('POTENCIAL HORAS'!J325,"AAAAAHZv/wE=")</f>
        <v>#VALUE!</v>
      </c>
      <c r="C28" t="e">
        <f>AND('POTENCIAL HORAS'!K325,"AAAAAHZv/wI=")</f>
        <v>#VALUE!</v>
      </c>
      <c r="D28" t="e">
        <f>AND('POTENCIAL HORAS'!L325,"AAAAAHZv/wM=")</f>
        <v>#VALUE!</v>
      </c>
      <c r="E28" t="e">
        <f>AND('POTENCIAL HORAS'!M325,"AAAAAHZv/wQ=")</f>
        <v>#VALUE!</v>
      </c>
      <c r="F28" t="e">
        <f>AND('POTENCIAL HORAS'!N325,"AAAAAHZv/wU=")</f>
        <v>#VALUE!</v>
      </c>
      <c r="G28" t="e">
        <f>AND('POTENCIAL HORAS'!O325,"AAAAAHZv/wY=")</f>
        <v>#VALUE!</v>
      </c>
      <c r="H28" t="e">
        <f>AND('POTENCIAL HORAS'!P325,"AAAAAHZv/wc=")</f>
        <v>#VALUE!</v>
      </c>
      <c r="I28" t="e">
        <f>AND('POTENCIAL HORAS'!#REF!,"AAAAAHZv/wg=")</f>
        <v>#REF!</v>
      </c>
      <c r="J28" t="e">
        <f>AND('POTENCIAL HORAS'!#REF!,"AAAAAHZv/wk=")</f>
        <v>#REF!</v>
      </c>
      <c r="K28" t="e">
        <f>AND('POTENCIAL HORAS'!#REF!,"AAAAAHZv/wo=")</f>
        <v>#REF!</v>
      </c>
      <c r="L28" t="e">
        <f>AND('POTENCIAL HORAS'!#REF!,"AAAAAHZv/ws=")</f>
        <v>#REF!</v>
      </c>
      <c r="M28" t="e">
        <f>AND('POTENCIAL HORAS'!#REF!,"AAAAAHZv/ww=")</f>
        <v>#REF!</v>
      </c>
      <c r="N28" t="e">
        <f>AND('POTENCIAL HORAS'!#REF!,"AAAAAHZv/w0=")</f>
        <v>#REF!</v>
      </c>
      <c r="O28" t="e">
        <f>AND('POTENCIAL HORAS'!#REF!,"AAAAAHZv/w4=")</f>
        <v>#REF!</v>
      </c>
      <c r="P28" t="e">
        <f>AND('POTENCIAL HORAS'!#REF!,"AAAAAHZv/w8=")</f>
        <v>#REF!</v>
      </c>
      <c r="Q28" t="e">
        <f>AND('POTENCIAL HORAS'!#REF!,"AAAAAHZv/xA=")</f>
        <v>#REF!</v>
      </c>
      <c r="R28" t="e">
        <f>AND('POTENCIAL HORAS'!#REF!,"AAAAAHZv/xE=")</f>
        <v>#REF!</v>
      </c>
      <c r="S28" t="e">
        <f>AND('POTENCIAL HORAS'!#REF!,"AAAAAHZv/xI=")</f>
        <v>#REF!</v>
      </c>
      <c r="T28" t="e">
        <f>AND('POTENCIAL HORAS'!#REF!,"AAAAAHZv/xM=")</f>
        <v>#REF!</v>
      </c>
      <c r="U28" t="e">
        <f>AND('POTENCIAL HORAS'!#REF!,"AAAAAHZv/xQ=")</f>
        <v>#REF!</v>
      </c>
      <c r="V28" t="e">
        <f>AND('POTENCIAL HORAS'!#REF!,"AAAAAHZv/xU=")</f>
        <v>#REF!</v>
      </c>
      <c r="W28" t="e">
        <f>AND('POTENCIAL HORAS'!#REF!,"AAAAAHZv/xY=")</f>
        <v>#REF!</v>
      </c>
      <c r="X28" t="e">
        <f>AND('POTENCIAL HORAS'!#REF!,"AAAAAHZv/xc=")</f>
        <v>#REF!</v>
      </c>
      <c r="Y28" t="e">
        <f>AND('POTENCIAL HORAS'!#REF!,"AAAAAHZv/xg=")</f>
        <v>#REF!</v>
      </c>
      <c r="Z28" t="e">
        <f>AND('POTENCIAL HORAS'!#REF!,"AAAAAHZv/xk=")</f>
        <v>#REF!</v>
      </c>
      <c r="AA28" t="e">
        <f>AND('POTENCIAL HORAS'!#REF!,"AAAAAHZv/xo=")</f>
        <v>#REF!</v>
      </c>
      <c r="AB28" t="e">
        <f>AND('POTENCIAL HORAS'!#REF!,"AAAAAHZv/xs=")</f>
        <v>#REF!</v>
      </c>
      <c r="AC28" t="e">
        <f>AND('POTENCIAL HORAS'!Q325,"AAAAAHZv/xw=")</f>
        <v>#VALUE!</v>
      </c>
      <c r="AD28" t="e">
        <f>AND('POTENCIAL HORAS'!R325,"AAAAAHZv/x0=")</f>
        <v>#VALUE!</v>
      </c>
      <c r="AE28">
        <f>IF('POTENCIAL HORAS'!326:326,"AAAAAHZv/x4=",0)</f>
        <v>0</v>
      </c>
      <c r="AF28" t="e">
        <f>AND('POTENCIAL HORAS'!A326,"AAAAAHZv/x8=")</f>
        <v>#VALUE!</v>
      </c>
      <c r="AG28" t="e">
        <f>AND('POTENCIAL HORAS'!B326,"AAAAAHZv/yA=")</f>
        <v>#VALUE!</v>
      </c>
      <c r="AH28" t="e">
        <f>AND('POTENCIAL HORAS'!C326,"AAAAAHZv/yE=")</f>
        <v>#VALUE!</v>
      </c>
      <c r="AI28" t="e">
        <f>AND('POTENCIAL HORAS'!D326,"AAAAAHZv/yI=")</f>
        <v>#VALUE!</v>
      </c>
      <c r="AJ28" t="e">
        <f>AND('POTENCIAL HORAS'!E326,"AAAAAHZv/yM=")</f>
        <v>#VALUE!</v>
      </c>
      <c r="AK28" t="e">
        <f>AND('POTENCIAL HORAS'!F326,"AAAAAHZv/yQ=")</f>
        <v>#VALUE!</v>
      </c>
      <c r="AL28" t="e">
        <f>AND('POTENCIAL HORAS'!G326,"AAAAAHZv/yU=")</f>
        <v>#VALUE!</v>
      </c>
      <c r="AM28" t="e">
        <f>AND('POTENCIAL HORAS'!H326,"AAAAAHZv/yY=")</f>
        <v>#VALUE!</v>
      </c>
      <c r="AN28" t="e">
        <f>AND('POTENCIAL HORAS'!I326,"AAAAAHZv/yc=")</f>
        <v>#VALUE!</v>
      </c>
      <c r="AO28" t="e">
        <f>AND('POTENCIAL HORAS'!J326,"AAAAAHZv/yg=")</f>
        <v>#VALUE!</v>
      </c>
      <c r="AP28" t="e">
        <f>AND('POTENCIAL HORAS'!K326,"AAAAAHZv/yk=")</f>
        <v>#VALUE!</v>
      </c>
      <c r="AQ28" t="e">
        <f>AND('POTENCIAL HORAS'!L326,"AAAAAHZv/yo=")</f>
        <v>#VALUE!</v>
      </c>
      <c r="AR28" t="e">
        <f>AND('POTENCIAL HORAS'!M326,"AAAAAHZv/ys=")</f>
        <v>#VALUE!</v>
      </c>
      <c r="AS28" t="e">
        <f>AND('POTENCIAL HORAS'!N326,"AAAAAHZv/yw=")</f>
        <v>#VALUE!</v>
      </c>
      <c r="AT28" t="e">
        <f>AND('POTENCIAL HORAS'!O326,"AAAAAHZv/y0=")</f>
        <v>#VALUE!</v>
      </c>
      <c r="AU28" t="e">
        <f>AND('POTENCIAL HORAS'!P326,"AAAAAHZv/y4=")</f>
        <v>#VALUE!</v>
      </c>
      <c r="AV28" t="e">
        <f>AND('POTENCIAL HORAS'!#REF!,"AAAAAHZv/y8=")</f>
        <v>#REF!</v>
      </c>
      <c r="AW28" t="e">
        <f>AND('POTENCIAL HORAS'!#REF!,"AAAAAHZv/zA=")</f>
        <v>#REF!</v>
      </c>
      <c r="AX28" t="e">
        <f>AND('POTENCIAL HORAS'!#REF!,"AAAAAHZv/zE=")</f>
        <v>#REF!</v>
      </c>
      <c r="AY28" t="e">
        <f>AND('POTENCIAL HORAS'!#REF!,"AAAAAHZv/zI=")</f>
        <v>#REF!</v>
      </c>
      <c r="AZ28" t="e">
        <f>AND('POTENCIAL HORAS'!#REF!,"AAAAAHZv/zM=")</f>
        <v>#REF!</v>
      </c>
      <c r="BA28" t="e">
        <f>AND('POTENCIAL HORAS'!#REF!,"AAAAAHZv/zQ=")</f>
        <v>#REF!</v>
      </c>
      <c r="BB28" t="e">
        <f>AND('POTENCIAL HORAS'!#REF!,"AAAAAHZv/zU=")</f>
        <v>#REF!</v>
      </c>
      <c r="BC28" t="e">
        <f>AND('POTENCIAL HORAS'!#REF!,"AAAAAHZv/zY=")</f>
        <v>#REF!</v>
      </c>
      <c r="BD28" t="e">
        <f>AND('POTENCIAL HORAS'!#REF!,"AAAAAHZv/zc=")</f>
        <v>#REF!</v>
      </c>
      <c r="BE28" t="e">
        <f>AND('POTENCIAL HORAS'!#REF!,"AAAAAHZv/zg=")</f>
        <v>#REF!</v>
      </c>
      <c r="BF28" t="e">
        <f>AND('POTENCIAL HORAS'!#REF!,"AAAAAHZv/zk=")</f>
        <v>#REF!</v>
      </c>
      <c r="BG28" t="e">
        <f>AND('POTENCIAL HORAS'!#REF!,"AAAAAHZv/zo=")</f>
        <v>#REF!</v>
      </c>
      <c r="BH28" t="e">
        <f>AND('POTENCIAL HORAS'!#REF!,"AAAAAHZv/zs=")</f>
        <v>#REF!</v>
      </c>
      <c r="BI28" t="e">
        <f>AND('POTENCIAL HORAS'!#REF!,"AAAAAHZv/zw=")</f>
        <v>#REF!</v>
      </c>
      <c r="BJ28" t="e">
        <f>AND('POTENCIAL HORAS'!#REF!,"AAAAAHZv/z0=")</f>
        <v>#REF!</v>
      </c>
      <c r="BK28" t="e">
        <f>AND('POTENCIAL HORAS'!#REF!,"AAAAAHZv/z4=")</f>
        <v>#REF!</v>
      </c>
      <c r="BL28" t="e">
        <f>AND('POTENCIAL HORAS'!#REF!,"AAAAAHZv/z8=")</f>
        <v>#REF!</v>
      </c>
      <c r="BM28" t="e">
        <f>AND('POTENCIAL HORAS'!#REF!,"AAAAAHZv/0A=")</f>
        <v>#REF!</v>
      </c>
      <c r="BN28" t="e">
        <f>AND('POTENCIAL HORAS'!#REF!,"AAAAAHZv/0E=")</f>
        <v>#REF!</v>
      </c>
      <c r="BO28" t="e">
        <f>AND('POTENCIAL HORAS'!#REF!,"AAAAAHZv/0I=")</f>
        <v>#REF!</v>
      </c>
      <c r="BP28" t="e">
        <f>AND('POTENCIAL HORAS'!Q326,"AAAAAHZv/0M=")</f>
        <v>#VALUE!</v>
      </c>
      <c r="BQ28" t="e">
        <f>AND('POTENCIAL HORAS'!R326,"AAAAAHZv/0Q=")</f>
        <v>#VALUE!</v>
      </c>
      <c r="BR28" t="e">
        <f>IF('POTENCIAL HORAS'!#REF!,"AAAAAHZv/0U=",0)</f>
        <v>#REF!</v>
      </c>
      <c r="BS28" t="e">
        <f>AND('POTENCIAL HORAS'!#REF!,"AAAAAHZv/0Y=")</f>
        <v>#REF!</v>
      </c>
      <c r="BT28" t="e">
        <f>AND('POTENCIAL HORAS'!#REF!,"AAAAAHZv/0c=")</f>
        <v>#REF!</v>
      </c>
      <c r="BU28" t="e">
        <f>AND('POTENCIAL HORAS'!#REF!,"AAAAAHZv/0g=")</f>
        <v>#REF!</v>
      </c>
      <c r="BV28" t="e">
        <f>AND('POTENCIAL HORAS'!#REF!,"AAAAAHZv/0k=")</f>
        <v>#REF!</v>
      </c>
      <c r="BW28" t="e">
        <f>AND('POTENCIAL HORAS'!#REF!,"AAAAAHZv/0o=")</f>
        <v>#REF!</v>
      </c>
      <c r="BX28" t="e">
        <f>AND('POTENCIAL HORAS'!#REF!,"AAAAAHZv/0s=")</f>
        <v>#REF!</v>
      </c>
      <c r="BY28" t="e">
        <f>AND('POTENCIAL HORAS'!#REF!,"AAAAAHZv/0w=")</f>
        <v>#REF!</v>
      </c>
      <c r="BZ28" t="e">
        <f>AND('POTENCIAL HORAS'!#REF!,"AAAAAHZv/00=")</f>
        <v>#REF!</v>
      </c>
      <c r="CA28" t="e">
        <f>AND('POTENCIAL HORAS'!#REF!,"AAAAAHZv/04=")</f>
        <v>#REF!</v>
      </c>
      <c r="CB28" t="e">
        <f>AND('POTENCIAL HORAS'!#REF!,"AAAAAHZv/08=")</f>
        <v>#REF!</v>
      </c>
      <c r="CC28" t="e">
        <f>AND('POTENCIAL HORAS'!#REF!,"AAAAAHZv/1A=")</f>
        <v>#REF!</v>
      </c>
      <c r="CD28" t="e">
        <f>AND('POTENCIAL HORAS'!#REF!,"AAAAAHZv/1E=")</f>
        <v>#REF!</v>
      </c>
      <c r="CE28" t="e">
        <f>AND('POTENCIAL HORAS'!#REF!,"AAAAAHZv/1I=")</f>
        <v>#REF!</v>
      </c>
      <c r="CF28" t="e">
        <f>AND('POTENCIAL HORAS'!#REF!,"AAAAAHZv/1M=")</f>
        <v>#REF!</v>
      </c>
      <c r="CG28" t="e">
        <f>AND('POTENCIAL HORAS'!#REF!,"AAAAAHZv/1Q=")</f>
        <v>#REF!</v>
      </c>
      <c r="CH28" t="e">
        <f>AND('POTENCIAL HORAS'!#REF!,"AAAAAHZv/1U=")</f>
        <v>#REF!</v>
      </c>
      <c r="CI28" t="e">
        <f>AND('POTENCIAL HORAS'!#REF!,"AAAAAHZv/1Y=")</f>
        <v>#REF!</v>
      </c>
      <c r="CJ28" t="e">
        <f>AND('POTENCIAL HORAS'!#REF!,"AAAAAHZv/1c=")</f>
        <v>#REF!</v>
      </c>
      <c r="CK28" t="e">
        <f>AND('POTENCIAL HORAS'!#REF!,"AAAAAHZv/1g=")</f>
        <v>#REF!</v>
      </c>
      <c r="CL28" t="e">
        <f>AND('POTENCIAL HORAS'!#REF!,"AAAAAHZv/1k=")</f>
        <v>#REF!</v>
      </c>
      <c r="CM28" t="e">
        <f>AND('POTENCIAL HORAS'!#REF!,"AAAAAHZv/1o=")</f>
        <v>#REF!</v>
      </c>
      <c r="CN28" t="e">
        <f>AND('POTENCIAL HORAS'!#REF!,"AAAAAHZv/1s=")</f>
        <v>#REF!</v>
      </c>
      <c r="CO28" t="e">
        <f>AND('POTENCIAL HORAS'!#REF!,"AAAAAHZv/1w=")</f>
        <v>#REF!</v>
      </c>
      <c r="CP28" t="e">
        <f>AND('POTENCIAL HORAS'!#REF!,"AAAAAHZv/10=")</f>
        <v>#REF!</v>
      </c>
      <c r="CQ28" t="e">
        <f>AND('POTENCIAL HORAS'!#REF!,"AAAAAHZv/14=")</f>
        <v>#REF!</v>
      </c>
      <c r="CR28" t="e">
        <f>AND('POTENCIAL HORAS'!#REF!,"AAAAAHZv/18=")</f>
        <v>#REF!</v>
      </c>
      <c r="CS28" t="e">
        <f>AND('POTENCIAL HORAS'!#REF!,"AAAAAHZv/2A=")</f>
        <v>#REF!</v>
      </c>
      <c r="CT28" t="e">
        <f>AND('POTENCIAL HORAS'!#REF!,"AAAAAHZv/2E=")</f>
        <v>#REF!</v>
      </c>
      <c r="CU28" t="e">
        <f>AND('POTENCIAL HORAS'!#REF!,"AAAAAHZv/2I=")</f>
        <v>#REF!</v>
      </c>
      <c r="CV28" t="e">
        <f>AND('POTENCIAL HORAS'!#REF!,"AAAAAHZv/2M=")</f>
        <v>#REF!</v>
      </c>
      <c r="CW28" t="e">
        <f>AND('POTENCIAL HORAS'!#REF!,"AAAAAHZv/2Q=")</f>
        <v>#REF!</v>
      </c>
      <c r="CX28" t="e">
        <f>AND('POTENCIAL HORAS'!#REF!,"AAAAAHZv/2U=")</f>
        <v>#REF!</v>
      </c>
      <c r="CY28" t="e">
        <f>AND('POTENCIAL HORAS'!#REF!,"AAAAAHZv/2Y=")</f>
        <v>#REF!</v>
      </c>
      <c r="CZ28" t="e">
        <f>AND('POTENCIAL HORAS'!#REF!,"AAAAAHZv/2c=")</f>
        <v>#REF!</v>
      </c>
      <c r="DA28" t="e">
        <f>AND('POTENCIAL HORAS'!#REF!,"AAAAAHZv/2g=")</f>
        <v>#REF!</v>
      </c>
      <c r="DB28" t="e">
        <f>AND('POTENCIAL HORAS'!#REF!,"AAAAAHZv/2k=")</f>
        <v>#REF!</v>
      </c>
      <c r="DC28" t="e">
        <f>AND('POTENCIAL HORAS'!#REF!,"AAAAAHZv/2o=")</f>
        <v>#REF!</v>
      </c>
      <c r="DD28" t="e">
        <f>AND('POTENCIAL HORAS'!#REF!,"AAAAAHZv/2s=")</f>
        <v>#REF!</v>
      </c>
      <c r="DE28" t="e">
        <f>IF('POTENCIAL HORAS'!#REF!,"AAAAAHZv/2w=",0)</f>
        <v>#REF!</v>
      </c>
      <c r="DF28" t="e">
        <f>AND('POTENCIAL HORAS'!#REF!,"AAAAAHZv/20=")</f>
        <v>#REF!</v>
      </c>
      <c r="DG28" t="e">
        <f>AND('POTENCIAL HORAS'!#REF!,"AAAAAHZv/24=")</f>
        <v>#REF!</v>
      </c>
      <c r="DH28" t="e">
        <f>AND('POTENCIAL HORAS'!#REF!,"AAAAAHZv/28=")</f>
        <v>#REF!</v>
      </c>
      <c r="DI28" t="e">
        <f>AND('POTENCIAL HORAS'!#REF!,"AAAAAHZv/3A=")</f>
        <v>#REF!</v>
      </c>
      <c r="DJ28" t="e">
        <f>AND('POTENCIAL HORAS'!#REF!,"AAAAAHZv/3E=")</f>
        <v>#REF!</v>
      </c>
      <c r="DK28" t="e">
        <f>AND('POTENCIAL HORAS'!#REF!,"AAAAAHZv/3I=")</f>
        <v>#REF!</v>
      </c>
      <c r="DL28" t="e">
        <f>AND('POTENCIAL HORAS'!#REF!,"AAAAAHZv/3M=")</f>
        <v>#REF!</v>
      </c>
      <c r="DM28" t="e">
        <f>AND('POTENCIAL HORAS'!#REF!,"AAAAAHZv/3Q=")</f>
        <v>#REF!</v>
      </c>
      <c r="DN28" t="e">
        <f>AND('POTENCIAL HORAS'!#REF!,"AAAAAHZv/3U=")</f>
        <v>#REF!</v>
      </c>
      <c r="DO28" t="e">
        <f>AND('POTENCIAL HORAS'!#REF!,"AAAAAHZv/3Y=")</f>
        <v>#REF!</v>
      </c>
      <c r="DP28" t="e">
        <f>AND('POTENCIAL HORAS'!#REF!,"AAAAAHZv/3c=")</f>
        <v>#REF!</v>
      </c>
      <c r="DQ28" t="e">
        <f>AND('POTENCIAL HORAS'!#REF!,"AAAAAHZv/3g=")</f>
        <v>#REF!</v>
      </c>
      <c r="DR28" t="e">
        <f>AND('POTENCIAL HORAS'!#REF!,"AAAAAHZv/3k=")</f>
        <v>#REF!</v>
      </c>
      <c r="DS28" t="e">
        <f>AND('POTENCIAL HORAS'!#REF!,"AAAAAHZv/3o=")</f>
        <v>#REF!</v>
      </c>
      <c r="DT28" t="e">
        <f>AND('POTENCIAL HORAS'!#REF!,"AAAAAHZv/3s=")</f>
        <v>#REF!</v>
      </c>
      <c r="DU28" t="e">
        <f>AND('POTENCIAL HORAS'!#REF!,"AAAAAHZv/3w=")</f>
        <v>#REF!</v>
      </c>
      <c r="DV28" t="e">
        <f>AND('POTENCIAL HORAS'!#REF!,"AAAAAHZv/30=")</f>
        <v>#REF!</v>
      </c>
      <c r="DW28" t="e">
        <f>AND('POTENCIAL HORAS'!#REF!,"AAAAAHZv/34=")</f>
        <v>#REF!</v>
      </c>
      <c r="DX28" t="e">
        <f>AND('POTENCIAL HORAS'!#REF!,"AAAAAHZv/38=")</f>
        <v>#REF!</v>
      </c>
      <c r="DY28" t="e">
        <f>AND('POTENCIAL HORAS'!#REF!,"AAAAAHZv/4A=")</f>
        <v>#REF!</v>
      </c>
      <c r="DZ28" t="e">
        <f>AND('POTENCIAL HORAS'!#REF!,"AAAAAHZv/4E=")</f>
        <v>#REF!</v>
      </c>
      <c r="EA28" t="e">
        <f>AND('POTENCIAL HORAS'!#REF!,"AAAAAHZv/4I=")</f>
        <v>#REF!</v>
      </c>
      <c r="EB28" t="e">
        <f>AND('POTENCIAL HORAS'!#REF!,"AAAAAHZv/4M=")</f>
        <v>#REF!</v>
      </c>
      <c r="EC28" t="e">
        <f>AND('POTENCIAL HORAS'!#REF!,"AAAAAHZv/4Q=")</f>
        <v>#REF!</v>
      </c>
      <c r="ED28" t="e">
        <f>AND('POTENCIAL HORAS'!#REF!,"AAAAAHZv/4U=")</f>
        <v>#REF!</v>
      </c>
      <c r="EE28" t="e">
        <f>AND('POTENCIAL HORAS'!#REF!,"AAAAAHZv/4Y=")</f>
        <v>#REF!</v>
      </c>
      <c r="EF28" t="e">
        <f>AND('POTENCIAL HORAS'!#REF!,"AAAAAHZv/4c=")</f>
        <v>#REF!</v>
      </c>
      <c r="EG28" t="e">
        <f>AND('POTENCIAL HORAS'!#REF!,"AAAAAHZv/4g=")</f>
        <v>#REF!</v>
      </c>
      <c r="EH28" t="e">
        <f>AND('POTENCIAL HORAS'!#REF!,"AAAAAHZv/4k=")</f>
        <v>#REF!</v>
      </c>
      <c r="EI28" t="e">
        <f>AND('POTENCIAL HORAS'!#REF!,"AAAAAHZv/4o=")</f>
        <v>#REF!</v>
      </c>
      <c r="EJ28" t="e">
        <f>AND('POTENCIAL HORAS'!#REF!,"AAAAAHZv/4s=")</f>
        <v>#REF!</v>
      </c>
      <c r="EK28" t="e">
        <f>AND('POTENCIAL HORAS'!#REF!,"AAAAAHZv/4w=")</f>
        <v>#REF!</v>
      </c>
      <c r="EL28" t="e">
        <f>AND('POTENCIAL HORAS'!#REF!,"AAAAAHZv/40=")</f>
        <v>#REF!</v>
      </c>
      <c r="EM28" t="e">
        <f>AND('POTENCIAL HORAS'!#REF!,"AAAAAHZv/44=")</f>
        <v>#REF!</v>
      </c>
      <c r="EN28" t="e">
        <f>AND('POTENCIAL HORAS'!#REF!,"AAAAAHZv/48=")</f>
        <v>#REF!</v>
      </c>
      <c r="EO28" t="e">
        <f>AND('POTENCIAL HORAS'!#REF!,"AAAAAHZv/5A=")</f>
        <v>#REF!</v>
      </c>
      <c r="EP28" t="e">
        <f>AND('POTENCIAL HORAS'!#REF!,"AAAAAHZv/5E=")</f>
        <v>#REF!</v>
      </c>
      <c r="EQ28" t="e">
        <f>AND('POTENCIAL HORAS'!#REF!,"AAAAAHZv/5I=")</f>
        <v>#REF!</v>
      </c>
      <c r="ER28">
        <f>IF('POTENCIAL HORAS'!327:327,"AAAAAHZv/5M=",0)</f>
        <v>0</v>
      </c>
      <c r="ES28" t="e">
        <f>AND('POTENCIAL HORAS'!A327,"AAAAAHZv/5Q=")</f>
        <v>#VALUE!</v>
      </c>
      <c r="ET28" t="e">
        <f>AND('POTENCIAL HORAS'!B327,"AAAAAHZv/5U=")</f>
        <v>#VALUE!</v>
      </c>
      <c r="EU28" t="e">
        <f>AND('POTENCIAL HORAS'!C327,"AAAAAHZv/5Y=")</f>
        <v>#VALUE!</v>
      </c>
      <c r="EV28" t="e">
        <f>AND('POTENCIAL HORAS'!D327,"AAAAAHZv/5c=")</f>
        <v>#VALUE!</v>
      </c>
      <c r="EW28" t="e">
        <f>AND('POTENCIAL HORAS'!E327,"AAAAAHZv/5g=")</f>
        <v>#VALUE!</v>
      </c>
      <c r="EX28" t="e">
        <f>AND('POTENCIAL HORAS'!F327,"AAAAAHZv/5k=")</f>
        <v>#VALUE!</v>
      </c>
      <c r="EY28" t="e">
        <f>AND('POTENCIAL HORAS'!G327,"AAAAAHZv/5o=")</f>
        <v>#VALUE!</v>
      </c>
      <c r="EZ28" t="e">
        <f>AND('POTENCIAL HORAS'!H327,"AAAAAHZv/5s=")</f>
        <v>#VALUE!</v>
      </c>
      <c r="FA28" t="e">
        <f>AND('POTENCIAL HORAS'!I327,"AAAAAHZv/5w=")</f>
        <v>#VALUE!</v>
      </c>
      <c r="FB28" t="e">
        <f>AND('POTENCIAL HORAS'!J327,"AAAAAHZv/50=")</f>
        <v>#VALUE!</v>
      </c>
      <c r="FC28" t="e">
        <f>AND('POTENCIAL HORAS'!K327,"AAAAAHZv/54=")</f>
        <v>#VALUE!</v>
      </c>
      <c r="FD28" t="e">
        <f>AND('POTENCIAL HORAS'!L327,"AAAAAHZv/58=")</f>
        <v>#VALUE!</v>
      </c>
      <c r="FE28" t="e">
        <f>AND('POTENCIAL HORAS'!M327,"AAAAAHZv/6A=")</f>
        <v>#VALUE!</v>
      </c>
      <c r="FF28" t="e">
        <f>AND('POTENCIAL HORAS'!N327,"AAAAAHZv/6E=")</f>
        <v>#VALUE!</v>
      </c>
      <c r="FG28" t="e">
        <f>AND('POTENCIAL HORAS'!O327,"AAAAAHZv/6I=")</f>
        <v>#VALUE!</v>
      </c>
      <c r="FH28" t="e">
        <f>AND('POTENCIAL HORAS'!P327,"AAAAAHZv/6M=")</f>
        <v>#VALUE!</v>
      </c>
      <c r="FI28" t="e">
        <f>AND('POTENCIAL HORAS'!#REF!,"AAAAAHZv/6Q=")</f>
        <v>#REF!</v>
      </c>
      <c r="FJ28" t="e">
        <f>AND('POTENCIAL HORAS'!#REF!,"AAAAAHZv/6U=")</f>
        <v>#REF!</v>
      </c>
      <c r="FK28" t="e">
        <f>AND('POTENCIAL HORAS'!#REF!,"AAAAAHZv/6Y=")</f>
        <v>#REF!</v>
      </c>
      <c r="FL28" t="e">
        <f>AND('POTENCIAL HORAS'!#REF!,"AAAAAHZv/6c=")</f>
        <v>#REF!</v>
      </c>
      <c r="FM28" t="e">
        <f>AND('POTENCIAL HORAS'!#REF!,"AAAAAHZv/6g=")</f>
        <v>#REF!</v>
      </c>
      <c r="FN28" t="e">
        <f>AND('POTENCIAL HORAS'!#REF!,"AAAAAHZv/6k=")</f>
        <v>#REF!</v>
      </c>
      <c r="FO28" t="e">
        <f>AND('POTENCIAL HORAS'!#REF!,"AAAAAHZv/6o=")</f>
        <v>#REF!</v>
      </c>
      <c r="FP28" t="e">
        <f>AND('POTENCIAL HORAS'!#REF!,"AAAAAHZv/6s=")</f>
        <v>#REF!</v>
      </c>
      <c r="FQ28" t="e">
        <f>AND('POTENCIAL HORAS'!#REF!,"AAAAAHZv/6w=")</f>
        <v>#REF!</v>
      </c>
      <c r="FR28" t="e">
        <f>AND('POTENCIAL HORAS'!#REF!,"AAAAAHZv/60=")</f>
        <v>#REF!</v>
      </c>
      <c r="FS28" t="e">
        <f>AND('POTENCIAL HORAS'!#REF!,"AAAAAHZv/64=")</f>
        <v>#REF!</v>
      </c>
      <c r="FT28" t="e">
        <f>AND('POTENCIAL HORAS'!#REF!,"AAAAAHZv/68=")</f>
        <v>#REF!</v>
      </c>
      <c r="FU28" t="e">
        <f>AND('POTENCIAL HORAS'!#REF!,"AAAAAHZv/7A=")</f>
        <v>#REF!</v>
      </c>
      <c r="FV28" t="e">
        <f>AND('POTENCIAL HORAS'!#REF!,"AAAAAHZv/7E=")</f>
        <v>#REF!</v>
      </c>
      <c r="FW28" t="e">
        <f>AND('POTENCIAL HORAS'!#REF!,"AAAAAHZv/7I=")</f>
        <v>#REF!</v>
      </c>
      <c r="FX28" t="e">
        <f>AND('POTENCIAL HORAS'!#REF!,"AAAAAHZv/7M=")</f>
        <v>#REF!</v>
      </c>
      <c r="FY28" t="e">
        <f>AND('POTENCIAL HORAS'!#REF!,"AAAAAHZv/7Q=")</f>
        <v>#REF!</v>
      </c>
      <c r="FZ28" t="e">
        <f>AND('POTENCIAL HORAS'!#REF!,"AAAAAHZv/7U=")</f>
        <v>#REF!</v>
      </c>
      <c r="GA28" t="e">
        <f>AND('POTENCIAL HORAS'!#REF!,"AAAAAHZv/7Y=")</f>
        <v>#REF!</v>
      </c>
      <c r="GB28" t="e">
        <f>AND('POTENCIAL HORAS'!#REF!,"AAAAAHZv/7c=")</f>
        <v>#REF!</v>
      </c>
      <c r="GC28" t="e">
        <f>AND('POTENCIAL HORAS'!Q327,"AAAAAHZv/7g=")</f>
        <v>#VALUE!</v>
      </c>
      <c r="GD28" t="e">
        <f>AND('POTENCIAL HORAS'!R327,"AAAAAHZv/7k=")</f>
        <v>#VALUE!</v>
      </c>
      <c r="GE28">
        <f>IF('POTENCIAL HORAS'!329:329,"AAAAAHZv/7o=",0)</f>
        <v>0</v>
      </c>
      <c r="GF28" t="e">
        <f>AND('POTENCIAL HORAS'!A329,"AAAAAHZv/7s=")</f>
        <v>#VALUE!</v>
      </c>
      <c r="GG28" t="e">
        <f>AND('POTENCIAL HORAS'!B329,"AAAAAHZv/7w=")</f>
        <v>#VALUE!</v>
      </c>
      <c r="GH28" t="e">
        <f>AND('POTENCIAL HORAS'!C329,"AAAAAHZv/70=")</f>
        <v>#VALUE!</v>
      </c>
      <c r="GI28" t="e">
        <f>AND('POTENCIAL HORAS'!D329,"AAAAAHZv/74=")</f>
        <v>#VALUE!</v>
      </c>
      <c r="GJ28" t="e">
        <f>AND('POTENCIAL HORAS'!E329,"AAAAAHZv/78=")</f>
        <v>#VALUE!</v>
      </c>
      <c r="GK28" t="e">
        <f>AND('POTENCIAL HORAS'!F329,"AAAAAHZv/8A=")</f>
        <v>#VALUE!</v>
      </c>
      <c r="GL28" t="e">
        <f>AND('POTENCIAL HORAS'!G329,"AAAAAHZv/8E=")</f>
        <v>#VALUE!</v>
      </c>
      <c r="GM28" t="e">
        <f>AND('POTENCIAL HORAS'!H329,"AAAAAHZv/8I=")</f>
        <v>#VALUE!</v>
      </c>
      <c r="GN28" t="e">
        <f>AND('POTENCIAL HORAS'!I329,"AAAAAHZv/8M=")</f>
        <v>#VALUE!</v>
      </c>
      <c r="GO28" t="e">
        <f>AND('POTENCIAL HORAS'!J329,"AAAAAHZv/8Q=")</f>
        <v>#VALUE!</v>
      </c>
      <c r="GP28" t="e">
        <f>AND('POTENCIAL HORAS'!K329,"AAAAAHZv/8U=")</f>
        <v>#VALUE!</v>
      </c>
      <c r="GQ28" t="e">
        <f>AND('POTENCIAL HORAS'!L329,"AAAAAHZv/8Y=")</f>
        <v>#VALUE!</v>
      </c>
      <c r="GR28" t="e">
        <f>AND('POTENCIAL HORAS'!M329,"AAAAAHZv/8c=")</f>
        <v>#VALUE!</v>
      </c>
      <c r="GS28" t="e">
        <f>AND('POTENCIAL HORAS'!N329,"AAAAAHZv/8g=")</f>
        <v>#VALUE!</v>
      </c>
      <c r="GT28" t="e">
        <f>AND('POTENCIAL HORAS'!O329,"AAAAAHZv/8k=")</f>
        <v>#VALUE!</v>
      </c>
      <c r="GU28" t="e">
        <f>AND('POTENCIAL HORAS'!P329,"AAAAAHZv/8o=")</f>
        <v>#VALUE!</v>
      </c>
      <c r="GV28" t="e">
        <f>AND('POTENCIAL HORAS'!#REF!,"AAAAAHZv/8s=")</f>
        <v>#REF!</v>
      </c>
      <c r="GW28" t="e">
        <f>AND('POTENCIAL HORAS'!#REF!,"AAAAAHZv/8w=")</f>
        <v>#REF!</v>
      </c>
      <c r="GX28" t="e">
        <f>AND('POTENCIAL HORAS'!#REF!,"AAAAAHZv/80=")</f>
        <v>#REF!</v>
      </c>
      <c r="GY28" t="e">
        <f>AND('POTENCIAL HORAS'!#REF!,"AAAAAHZv/84=")</f>
        <v>#REF!</v>
      </c>
      <c r="GZ28" t="e">
        <f>AND('POTENCIAL HORAS'!#REF!,"AAAAAHZv/88=")</f>
        <v>#REF!</v>
      </c>
      <c r="HA28" t="e">
        <f>AND('POTENCIAL HORAS'!#REF!,"AAAAAHZv/9A=")</f>
        <v>#REF!</v>
      </c>
      <c r="HB28" t="e">
        <f>AND('POTENCIAL HORAS'!#REF!,"AAAAAHZv/9E=")</f>
        <v>#REF!</v>
      </c>
      <c r="HC28" t="e">
        <f>AND('POTENCIAL HORAS'!#REF!,"AAAAAHZv/9I=")</f>
        <v>#REF!</v>
      </c>
      <c r="HD28" t="e">
        <f>AND('POTENCIAL HORAS'!#REF!,"AAAAAHZv/9M=")</f>
        <v>#REF!</v>
      </c>
      <c r="HE28" t="e">
        <f>AND('POTENCIAL HORAS'!#REF!,"AAAAAHZv/9Q=")</f>
        <v>#REF!</v>
      </c>
      <c r="HF28" t="e">
        <f>AND('POTENCIAL HORAS'!#REF!,"AAAAAHZv/9U=")</f>
        <v>#REF!</v>
      </c>
      <c r="HG28" t="e">
        <f>AND('POTENCIAL HORAS'!#REF!,"AAAAAHZv/9Y=")</f>
        <v>#REF!</v>
      </c>
      <c r="HH28" t="e">
        <f>AND('POTENCIAL HORAS'!#REF!,"AAAAAHZv/9c=")</f>
        <v>#REF!</v>
      </c>
      <c r="HI28" t="e">
        <f>AND('POTENCIAL HORAS'!#REF!,"AAAAAHZv/9g=")</f>
        <v>#REF!</v>
      </c>
      <c r="HJ28" t="e">
        <f>AND('POTENCIAL HORAS'!#REF!,"AAAAAHZv/9k=")</f>
        <v>#REF!</v>
      </c>
      <c r="HK28" t="e">
        <f>AND('POTENCIAL HORAS'!#REF!,"AAAAAHZv/9o=")</f>
        <v>#REF!</v>
      </c>
      <c r="HL28" t="e">
        <f>AND('POTENCIAL HORAS'!#REF!,"AAAAAHZv/9s=")</f>
        <v>#REF!</v>
      </c>
      <c r="HM28" t="e">
        <f>AND('POTENCIAL HORAS'!#REF!,"AAAAAHZv/9w=")</f>
        <v>#REF!</v>
      </c>
      <c r="HN28" t="e">
        <f>AND('POTENCIAL HORAS'!#REF!,"AAAAAHZv/90=")</f>
        <v>#REF!</v>
      </c>
      <c r="HO28" t="e">
        <f>AND('POTENCIAL HORAS'!#REF!,"AAAAAHZv/94=")</f>
        <v>#REF!</v>
      </c>
      <c r="HP28" t="e">
        <f>AND('POTENCIAL HORAS'!Q329,"AAAAAHZv/98=")</f>
        <v>#VALUE!</v>
      </c>
      <c r="HQ28" t="e">
        <f>AND('POTENCIAL HORAS'!R329,"AAAAAHZv/+A=")</f>
        <v>#VALUE!</v>
      </c>
      <c r="HR28">
        <f>IF('POTENCIAL HORAS'!330:330,"AAAAAHZv/+E=",0)</f>
        <v>0</v>
      </c>
      <c r="HS28" t="e">
        <f>AND('POTENCIAL HORAS'!A330,"AAAAAHZv/+I=")</f>
        <v>#VALUE!</v>
      </c>
      <c r="HT28" t="e">
        <f>AND('POTENCIAL HORAS'!B330,"AAAAAHZv/+M=")</f>
        <v>#VALUE!</v>
      </c>
      <c r="HU28" t="e">
        <f>AND('POTENCIAL HORAS'!C330,"AAAAAHZv/+Q=")</f>
        <v>#VALUE!</v>
      </c>
      <c r="HV28" t="e">
        <f>AND('POTENCIAL HORAS'!D330,"AAAAAHZv/+U=")</f>
        <v>#VALUE!</v>
      </c>
      <c r="HW28" t="e">
        <f>AND('POTENCIAL HORAS'!E330,"AAAAAHZv/+Y=")</f>
        <v>#VALUE!</v>
      </c>
      <c r="HX28" t="e">
        <f>AND('POTENCIAL HORAS'!F330,"AAAAAHZv/+c=")</f>
        <v>#VALUE!</v>
      </c>
      <c r="HY28" t="e">
        <f>AND('POTENCIAL HORAS'!G330,"AAAAAHZv/+g=")</f>
        <v>#VALUE!</v>
      </c>
      <c r="HZ28" t="e">
        <f>AND('POTENCIAL HORAS'!H330,"AAAAAHZv/+k=")</f>
        <v>#VALUE!</v>
      </c>
      <c r="IA28" t="e">
        <f>AND('POTENCIAL HORAS'!I330,"AAAAAHZv/+o=")</f>
        <v>#VALUE!</v>
      </c>
      <c r="IB28" t="e">
        <f>AND('POTENCIAL HORAS'!J330,"AAAAAHZv/+s=")</f>
        <v>#VALUE!</v>
      </c>
      <c r="IC28" t="e">
        <f>AND('POTENCIAL HORAS'!K330,"AAAAAHZv/+w=")</f>
        <v>#VALUE!</v>
      </c>
      <c r="ID28" t="e">
        <f>AND('POTENCIAL HORAS'!L330,"AAAAAHZv/+0=")</f>
        <v>#VALUE!</v>
      </c>
      <c r="IE28" t="e">
        <f>AND('POTENCIAL HORAS'!M330,"AAAAAHZv/+4=")</f>
        <v>#VALUE!</v>
      </c>
      <c r="IF28" t="e">
        <f>AND('POTENCIAL HORAS'!N330,"AAAAAHZv/+8=")</f>
        <v>#VALUE!</v>
      </c>
      <c r="IG28" t="e">
        <f>AND('POTENCIAL HORAS'!O330,"AAAAAHZv//A=")</f>
        <v>#VALUE!</v>
      </c>
      <c r="IH28" t="e">
        <f>AND('POTENCIAL HORAS'!P330,"AAAAAHZv//E=")</f>
        <v>#VALUE!</v>
      </c>
      <c r="II28" t="e">
        <f>AND('POTENCIAL HORAS'!#REF!,"AAAAAHZv//I=")</f>
        <v>#REF!</v>
      </c>
      <c r="IJ28" t="e">
        <f>AND('POTENCIAL HORAS'!#REF!,"AAAAAHZv//M=")</f>
        <v>#REF!</v>
      </c>
      <c r="IK28" t="e">
        <f>AND('POTENCIAL HORAS'!#REF!,"AAAAAHZv//Q=")</f>
        <v>#REF!</v>
      </c>
      <c r="IL28" t="e">
        <f>AND('POTENCIAL HORAS'!#REF!,"AAAAAHZv//U=")</f>
        <v>#REF!</v>
      </c>
      <c r="IM28" t="e">
        <f>AND('POTENCIAL HORAS'!#REF!,"AAAAAHZv//Y=")</f>
        <v>#REF!</v>
      </c>
      <c r="IN28" t="e">
        <f>AND('POTENCIAL HORAS'!#REF!,"AAAAAHZv//c=")</f>
        <v>#REF!</v>
      </c>
      <c r="IO28" t="e">
        <f>AND('POTENCIAL HORAS'!#REF!,"AAAAAHZv//g=")</f>
        <v>#REF!</v>
      </c>
      <c r="IP28" t="e">
        <f>AND('POTENCIAL HORAS'!#REF!,"AAAAAHZv//k=")</f>
        <v>#REF!</v>
      </c>
      <c r="IQ28" t="e">
        <f>AND('POTENCIAL HORAS'!#REF!,"AAAAAHZv//o=")</f>
        <v>#REF!</v>
      </c>
      <c r="IR28" t="e">
        <f>AND('POTENCIAL HORAS'!#REF!,"AAAAAHZv//s=")</f>
        <v>#REF!</v>
      </c>
      <c r="IS28" t="e">
        <f>AND('POTENCIAL HORAS'!#REF!,"AAAAAHZv//w=")</f>
        <v>#REF!</v>
      </c>
      <c r="IT28" t="e">
        <f>AND('POTENCIAL HORAS'!#REF!,"AAAAAHZv//0=")</f>
        <v>#REF!</v>
      </c>
      <c r="IU28" t="e">
        <f>AND('POTENCIAL HORAS'!#REF!,"AAAAAHZv//4=")</f>
        <v>#REF!</v>
      </c>
      <c r="IV28" t="e">
        <f>AND('POTENCIAL HORAS'!#REF!,"AAAAAHZv//8=")</f>
        <v>#REF!</v>
      </c>
    </row>
    <row r="29" spans="1:256" x14ac:dyDescent="0.2">
      <c r="A29" t="e">
        <f>AND('POTENCIAL HORAS'!#REF!,"AAAAAHv76gA=")</f>
        <v>#REF!</v>
      </c>
      <c r="B29" t="e">
        <f>AND('POTENCIAL HORAS'!#REF!,"AAAAAHv76gE=")</f>
        <v>#REF!</v>
      </c>
      <c r="C29" t="e">
        <f>AND('POTENCIAL HORAS'!#REF!,"AAAAAHv76gI=")</f>
        <v>#REF!</v>
      </c>
      <c r="D29" t="e">
        <f>AND('POTENCIAL HORAS'!#REF!,"AAAAAHv76gM=")</f>
        <v>#REF!</v>
      </c>
      <c r="E29" t="e">
        <f>AND('POTENCIAL HORAS'!#REF!,"AAAAAHv76gQ=")</f>
        <v>#REF!</v>
      </c>
      <c r="F29" t="e">
        <f>AND('POTENCIAL HORAS'!#REF!,"AAAAAHv76gU=")</f>
        <v>#REF!</v>
      </c>
      <c r="G29" t="e">
        <f>AND('POTENCIAL HORAS'!Q330,"AAAAAHv76gY=")</f>
        <v>#VALUE!</v>
      </c>
      <c r="H29" t="e">
        <f>AND('POTENCIAL HORAS'!R330,"AAAAAHv76gc=")</f>
        <v>#VALUE!</v>
      </c>
      <c r="I29" t="e">
        <f>IF('POTENCIAL HORAS'!#REF!,"AAAAAHv76gg=",0)</f>
        <v>#REF!</v>
      </c>
      <c r="J29" t="e">
        <f>AND('POTENCIAL HORAS'!#REF!,"AAAAAHv76gk=")</f>
        <v>#REF!</v>
      </c>
      <c r="K29" t="e">
        <f>AND('POTENCIAL HORAS'!#REF!,"AAAAAHv76go=")</f>
        <v>#REF!</v>
      </c>
      <c r="L29" t="e">
        <f>AND('POTENCIAL HORAS'!#REF!,"AAAAAHv76gs=")</f>
        <v>#REF!</v>
      </c>
      <c r="M29" t="e">
        <f>AND('POTENCIAL HORAS'!#REF!,"AAAAAHv76gw=")</f>
        <v>#REF!</v>
      </c>
      <c r="N29" t="e">
        <f>AND('POTENCIAL HORAS'!#REF!,"AAAAAHv76g0=")</f>
        <v>#REF!</v>
      </c>
      <c r="O29" t="e">
        <f>AND('POTENCIAL HORAS'!#REF!,"AAAAAHv76g4=")</f>
        <v>#REF!</v>
      </c>
      <c r="P29" t="e">
        <f>AND('POTENCIAL HORAS'!#REF!,"AAAAAHv76g8=")</f>
        <v>#REF!</v>
      </c>
      <c r="Q29" t="e">
        <f>AND('POTENCIAL HORAS'!#REF!,"AAAAAHv76hA=")</f>
        <v>#REF!</v>
      </c>
      <c r="R29" t="e">
        <f>AND('POTENCIAL HORAS'!#REF!,"AAAAAHv76hE=")</f>
        <v>#REF!</v>
      </c>
      <c r="S29" t="e">
        <f>AND('POTENCIAL HORAS'!#REF!,"AAAAAHv76hI=")</f>
        <v>#REF!</v>
      </c>
      <c r="T29" t="e">
        <f>AND('POTENCIAL HORAS'!#REF!,"AAAAAHv76hM=")</f>
        <v>#REF!</v>
      </c>
      <c r="U29" t="e">
        <f>AND('POTENCIAL HORAS'!#REF!,"AAAAAHv76hQ=")</f>
        <v>#REF!</v>
      </c>
      <c r="V29" t="e">
        <f>AND('POTENCIAL HORAS'!#REF!,"AAAAAHv76hU=")</f>
        <v>#REF!</v>
      </c>
      <c r="W29" t="e">
        <f>AND('POTENCIAL HORAS'!#REF!,"AAAAAHv76hY=")</f>
        <v>#REF!</v>
      </c>
      <c r="X29" t="e">
        <f>AND('POTENCIAL HORAS'!#REF!,"AAAAAHv76hc=")</f>
        <v>#REF!</v>
      </c>
      <c r="Y29" t="e">
        <f>AND('POTENCIAL HORAS'!#REF!,"AAAAAHv76hg=")</f>
        <v>#REF!</v>
      </c>
      <c r="Z29" t="e">
        <f>AND('POTENCIAL HORAS'!#REF!,"AAAAAHv76hk=")</f>
        <v>#REF!</v>
      </c>
      <c r="AA29" t="e">
        <f>AND('POTENCIAL HORAS'!#REF!,"AAAAAHv76ho=")</f>
        <v>#REF!</v>
      </c>
      <c r="AB29" t="e">
        <f>AND('POTENCIAL HORAS'!#REF!,"AAAAAHv76hs=")</f>
        <v>#REF!</v>
      </c>
      <c r="AC29" t="e">
        <f>AND('POTENCIAL HORAS'!#REF!,"AAAAAHv76hw=")</f>
        <v>#REF!</v>
      </c>
      <c r="AD29" t="e">
        <f>AND('POTENCIAL HORAS'!#REF!,"AAAAAHv76h0=")</f>
        <v>#REF!</v>
      </c>
      <c r="AE29" t="e">
        <f>AND('POTENCIAL HORAS'!#REF!,"AAAAAHv76h4=")</f>
        <v>#REF!</v>
      </c>
      <c r="AF29" t="e">
        <f>AND('POTENCIAL HORAS'!#REF!,"AAAAAHv76h8=")</f>
        <v>#REF!</v>
      </c>
      <c r="AG29" t="e">
        <f>AND('POTENCIAL HORAS'!#REF!,"AAAAAHv76iA=")</f>
        <v>#REF!</v>
      </c>
      <c r="AH29" t="e">
        <f>AND('POTENCIAL HORAS'!#REF!,"AAAAAHv76iE=")</f>
        <v>#REF!</v>
      </c>
      <c r="AI29" t="e">
        <f>AND('POTENCIAL HORAS'!#REF!,"AAAAAHv76iI=")</f>
        <v>#REF!</v>
      </c>
      <c r="AJ29" t="e">
        <f>AND('POTENCIAL HORAS'!#REF!,"AAAAAHv76iM=")</f>
        <v>#REF!</v>
      </c>
      <c r="AK29" t="e">
        <f>AND('POTENCIAL HORAS'!#REF!,"AAAAAHv76iQ=")</f>
        <v>#REF!</v>
      </c>
      <c r="AL29" t="e">
        <f>AND('POTENCIAL HORAS'!#REF!,"AAAAAHv76iU=")</f>
        <v>#REF!</v>
      </c>
      <c r="AM29" t="e">
        <f>AND('POTENCIAL HORAS'!#REF!,"AAAAAHv76iY=")</f>
        <v>#REF!</v>
      </c>
      <c r="AN29" t="e">
        <f>AND('POTENCIAL HORAS'!#REF!,"AAAAAHv76ic=")</f>
        <v>#REF!</v>
      </c>
      <c r="AO29" t="e">
        <f>AND('POTENCIAL HORAS'!#REF!,"AAAAAHv76ig=")</f>
        <v>#REF!</v>
      </c>
      <c r="AP29" t="e">
        <f>AND('POTENCIAL HORAS'!#REF!,"AAAAAHv76ik=")</f>
        <v>#REF!</v>
      </c>
      <c r="AQ29" t="e">
        <f>AND('POTENCIAL HORAS'!#REF!,"AAAAAHv76io=")</f>
        <v>#REF!</v>
      </c>
      <c r="AR29" t="e">
        <f>AND('POTENCIAL HORAS'!#REF!,"AAAAAHv76is=")</f>
        <v>#REF!</v>
      </c>
      <c r="AS29" t="e">
        <f>AND('POTENCIAL HORAS'!#REF!,"AAAAAHv76iw=")</f>
        <v>#REF!</v>
      </c>
      <c r="AT29" t="e">
        <f>AND('POTENCIAL HORAS'!#REF!,"AAAAAHv76i0=")</f>
        <v>#REF!</v>
      </c>
      <c r="AU29" t="e">
        <f>AND('POTENCIAL HORAS'!#REF!,"AAAAAHv76i4=")</f>
        <v>#REF!</v>
      </c>
      <c r="AV29">
        <f>IF('POTENCIAL HORAS'!331:331,"AAAAAHv76i8=",0)</f>
        <v>0</v>
      </c>
      <c r="AW29" t="e">
        <f>AND('POTENCIAL HORAS'!A331,"AAAAAHv76jA=")</f>
        <v>#VALUE!</v>
      </c>
      <c r="AX29" t="e">
        <f>AND('POTENCIAL HORAS'!B331,"AAAAAHv76jE=")</f>
        <v>#VALUE!</v>
      </c>
      <c r="AY29" t="e">
        <f>AND('POTENCIAL HORAS'!C331,"AAAAAHv76jI=")</f>
        <v>#VALUE!</v>
      </c>
      <c r="AZ29" t="e">
        <f>AND('POTENCIAL HORAS'!D331,"AAAAAHv76jM=")</f>
        <v>#VALUE!</v>
      </c>
      <c r="BA29" t="e">
        <f>AND('POTENCIAL HORAS'!E331,"AAAAAHv76jQ=")</f>
        <v>#VALUE!</v>
      </c>
      <c r="BB29" t="e">
        <f>AND('POTENCIAL HORAS'!F331,"AAAAAHv76jU=")</f>
        <v>#VALUE!</v>
      </c>
      <c r="BC29" t="e">
        <f>AND('POTENCIAL HORAS'!G331,"AAAAAHv76jY=")</f>
        <v>#VALUE!</v>
      </c>
      <c r="BD29" t="e">
        <f>AND('POTENCIAL HORAS'!H331,"AAAAAHv76jc=")</f>
        <v>#VALUE!</v>
      </c>
      <c r="BE29" t="e">
        <f>AND('POTENCIAL HORAS'!I331,"AAAAAHv76jg=")</f>
        <v>#VALUE!</v>
      </c>
      <c r="BF29" t="e">
        <f>AND('POTENCIAL HORAS'!J331,"AAAAAHv76jk=")</f>
        <v>#VALUE!</v>
      </c>
      <c r="BG29" t="e">
        <f>AND('POTENCIAL HORAS'!K331,"AAAAAHv76jo=")</f>
        <v>#VALUE!</v>
      </c>
      <c r="BH29" t="e">
        <f>AND('POTENCIAL HORAS'!L331,"AAAAAHv76js=")</f>
        <v>#VALUE!</v>
      </c>
      <c r="BI29" t="e">
        <f>AND('POTENCIAL HORAS'!M331,"AAAAAHv76jw=")</f>
        <v>#VALUE!</v>
      </c>
      <c r="BJ29" t="e">
        <f>AND('POTENCIAL HORAS'!N331,"AAAAAHv76j0=")</f>
        <v>#VALUE!</v>
      </c>
      <c r="BK29" t="e">
        <f>AND('POTENCIAL HORAS'!O331,"AAAAAHv76j4=")</f>
        <v>#VALUE!</v>
      </c>
      <c r="BL29" t="e">
        <f>AND('POTENCIAL HORAS'!P331,"AAAAAHv76j8=")</f>
        <v>#VALUE!</v>
      </c>
      <c r="BM29" t="e">
        <f>AND('POTENCIAL HORAS'!#REF!,"AAAAAHv76kA=")</f>
        <v>#REF!</v>
      </c>
      <c r="BN29" t="e">
        <f>AND('POTENCIAL HORAS'!#REF!,"AAAAAHv76kE=")</f>
        <v>#REF!</v>
      </c>
      <c r="BO29" t="e">
        <f>AND('POTENCIAL HORAS'!#REF!,"AAAAAHv76kI=")</f>
        <v>#REF!</v>
      </c>
      <c r="BP29" t="e">
        <f>AND('POTENCIAL HORAS'!#REF!,"AAAAAHv76kM=")</f>
        <v>#REF!</v>
      </c>
      <c r="BQ29" t="e">
        <f>AND('POTENCIAL HORAS'!#REF!,"AAAAAHv76kQ=")</f>
        <v>#REF!</v>
      </c>
      <c r="BR29" t="e">
        <f>AND('POTENCIAL HORAS'!#REF!,"AAAAAHv76kU=")</f>
        <v>#REF!</v>
      </c>
      <c r="BS29" t="e">
        <f>AND('POTENCIAL HORAS'!#REF!,"AAAAAHv76kY=")</f>
        <v>#REF!</v>
      </c>
      <c r="BT29" t="e">
        <f>AND('POTENCIAL HORAS'!#REF!,"AAAAAHv76kc=")</f>
        <v>#REF!</v>
      </c>
      <c r="BU29" t="e">
        <f>AND('POTENCIAL HORAS'!#REF!,"AAAAAHv76kg=")</f>
        <v>#REF!</v>
      </c>
      <c r="BV29" t="e">
        <f>AND('POTENCIAL HORAS'!#REF!,"AAAAAHv76kk=")</f>
        <v>#REF!</v>
      </c>
      <c r="BW29" t="e">
        <f>AND('POTENCIAL HORAS'!#REF!,"AAAAAHv76ko=")</f>
        <v>#REF!</v>
      </c>
      <c r="BX29" t="e">
        <f>AND('POTENCIAL HORAS'!#REF!,"AAAAAHv76ks=")</f>
        <v>#REF!</v>
      </c>
      <c r="BY29" t="e">
        <f>AND('POTENCIAL HORAS'!#REF!,"AAAAAHv76kw=")</f>
        <v>#REF!</v>
      </c>
      <c r="BZ29" t="e">
        <f>AND('POTENCIAL HORAS'!#REF!,"AAAAAHv76k0=")</f>
        <v>#REF!</v>
      </c>
      <c r="CA29" t="e">
        <f>AND('POTENCIAL HORAS'!#REF!,"AAAAAHv76k4=")</f>
        <v>#REF!</v>
      </c>
      <c r="CB29" t="e">
        <f>AND('POTENCIAL HORAS'!#REF!,"AAAAAHv76k8=")</f>
        <v>#REF!</v>
      </c>
      <c r="CC29" t="e">
        <f>AND('POTENCIAL HORAS'!#REF!,"AAAAAHv76lA=")</f>
        <v>#REF!</v>
      </c>
      <c r="CD29" t="e">
        <f>AND('POTENCIAL HORAS'!#REF!,"AAAAAHv76lE=")</f>
        <v>#REF!</v>
      </c>
      <c r="CE29" t="e">
        <f>AND('POTENCIAL HORAS'!#REF!,"AAAAAHv76lI=")</f>
        <v>#REF!</v>
      </c>
      <c r="CF29" t="e">
        <f>AND('POTENCIAL HORAS'!#REF!,"AAAAAHv76lM=")</f>
        <v>#REF!</v>
      </c>
      <c r="CG29" t="e">
        <f>AND('POTENCIAL HORAS'!Q331,"AAAAAHv76lQ=")</f>
        <v>#VALUE!</v>
      </c>
      <c r="CH29" t="e">
        <f>AND('POTENCIAL HORAS'!R331,"AAAAAHv76lU=")</f>
        <v>#VALUE!</v>
      </c>
      <c r="CI29">
        <f>IF('POTENCIAL HORAS'!337:337,"AAAAAHv76lY=",0)</f>
        <v>0</v>
      </c>
      <c r="CJ29" t="e">
        <f>AND('POTENCIAL HORAS'!A337,"AAAAAHv76lc=")</f>
        <v>#VALUE!</v>
      </c>
      <c r="CK29" t="e">
        <f>AND('POTENCIAL HORAS'!B337,"AAAAAHv76lg=")</f>
        <v>#VALUE!</v>
      </c>
      <c r="CL29" t="e">
        <f>AND('POTENCIAL HORAS'!C337,"AAAAAHv76lk=")</f>
        <v>#VALUE!</v>
      </c>
      <c r="CM29" t="e">
        <f>AND('POTENCIAL HORAS'!D337,"AAAAAHv76lo=")</f>
        <v>#VALUE!</v>
      </c>
      <c r="CN29" t="e">
        <f>AND('POTENCIAL HORAS'!E337,"AAAAAHv76ls=")</f>
        <v>#VALUE!</v>
      </c>
      <c r="CO29" t="e">
        <f>AND('POTENCIAL HORAS'!F337,"AAAAAHv76lw=")</f>
        <v>#VALUE!</v>
      </c>
      <c r="CP29" t="e">
        <f>AND('POTENCIAL HORAS'!G337,"AAAAAHv76l0=")</f>
        <v>#VALUE!</v>
      </c>
      <c r="CQ29" t="e">
        <f>AND('POTENCIAL HORAS'!H337,"AAAAAHv76l4=")</f>
        <v>#VALUE!</v>
      </c>
      <c r="CR29" t="e">
        <f>AND('POTENCIAL HORAS'!I337,"AAAAAHv76l8=")</f>
        <v>#VALUE!</v>
      </c>
      <c r="CS29" t="e">
        <f>AND('POTENCIAL HORAS'!J337,"AAAAAHv76mA=")</f>
        <v>#VALUE!</v>
      </c>
      <c r="CT29" t="e">
        <f>AND('POTENCIAL HORAS'!K337,"AAAAAHv76mE=")</f>
        <v>#VALUE!</v>
      </c>
      <c r="CU29" t="e">
        <f>AND('POTENCIAL HORAS'!L337,"AAAAAHv76mI=")</f>
        <v>#VALUE!</v>
      </c>
      <c r="CV29" t="e">
        <f>AND('POTENCIAL HORAS'!M337,"AAAAAHv76mM=")</f>
        <v>#VALUE!</v>
      </c>
      <c r="CW29" t="e">
        <f>AND('POTENCIAL HORAS'!N337,"AAAAAHv76mQ=")</f>
        <v>#VALUE!</v>
      </c>
      <c r="CX29" t="e">
        <f>AND('POTENCIAL HORAS'!O337,"AAAAAHv76mU=")</f>
        <v>#VALUE!</v>
      </c>
      <c r="CY29" t="e">
        <f>AND('POTENCIAL HORAS'!P337,"AAAAAHv76mY=")</f>
        <v>#VALUE!</v>
      </c>
      <c r="CZ29" t="e">
        <f>AND('POTENCIAL HORAS'!#REF!,"AAAAAHv76mc=")</f>
        <v>#REF!</v>
      </c>
      <c r="DA29" t="e">
        <f>AND('POTENCIAL HORAS'!#REF!,"AAAAAHv76mg=")</f>
        <v>#REF!</v>
      </c>
      <c r="DB29" t="e">
        <f>AND('POTENCIAL HORAS'!#REF!,"AAAAAHv76mk=")</f>
        <v>#REF!</v>
      </c>
      <c r="DC29" t="e">
        <f>AND('POTENCIAL HORAS'!#REF!,"AAAAAHv76mo=")</f>
        <v>#REF!</v>
      </c>
      <c r="DD29" t="e">
        <f>AND('POTENCIAL HORAS'!#REF!,"AAAAAHv76ms=")</f>
        <v>#REF!</v>
      </c>
      <c r="DE29" t="e">
        <f>AND('POTENCIAL HORAS'!#REF!,"AAAAAHv76mw=")</f>
        <v>#REF!</v>
      </c>
      <c r="DF29" t="e">
        <f>AND('POTENCIAL HORAS'!#REF!,"AAAAAHv76m0=")</f>
        <v>#REF!</v>
      </c>
      <c r="DG29" t="e">
        <f>AND('POTENCIAL HORAS'!#REF!,"AAAAAHv76m4=")</f>
        <v>#REF!</v>
      </c>
      <c r="DH29" t="e">
        <f>AND('POTENCIAL HORAS'!#REF!,"AAAAAHv76m8=")</f>
        <v>#REF!</v>
      </c>
      <c r="DI29" t="e">
        <f>AND('POTENCIAL HORAS'!#REF!,"AAAAAHv76nA=")</f>
        <v>#REF!</v>
      </c>
      <c r="DJ29" t="e">
        <f>AND('POTENCIAL HORAS'!#REF!,"AAAAAHv76nE=")</f>
        <v>#REF!</v>
      </c>
      <c r="DK29" t="e">
        <f>AND('POTENCIAL HORAS'!#REF!,"AAAAAHv76nI=")</f>
        <v>#REF!</v>
      </c>
      <c r="DL29" t="e">
        <f>AND('POTENCIAL HORAS'!#REF!,"AAAAAHv76nM=")</f>
        <v>#REF!</v>
      </c>
      <c r="DM29" t="e">
        <f>AND('POTENCIAL HORAS'!#REF!,"AAAAAHv76nQ=")</f>
        <v>#REF!</v>
      </c>
      <c r="DN29" t="e">
        <f>AND('POTENCIAL HORAS'!#REF!,"AAAAAHv76nU=")</f>
        <v>#REF!</v>
      </c>
      <c r="DO29" t="e">
        <f>AND('POTENCIAL HORAS'!#REF!,"AAAAAHv76nY=")</f>
        <v>#REF!</v>
      </c>
      <c r="DP29" t="e">
        <f>AND('POTENCIAL HORAS'!#REF!,"AAAAAHv76nc=")</f>
        <v>#REF!</v>
      </c>
      <c r="DQ29" t="e">
        <f>AND('POTENCIAL HORAS'!#REF!,"AAAAAHv76ng=")</f>
        <v>#REF!</v>
      </c>
      <c r="DR29" t="e">
        <f>AND('POTENCIAL HORAS'!#REF!,"AAAAAHv76nk=")</f>
        <v>#REF!</v>
      </c>
      <c r="DS29" t="e">
        <f>AND('POTENCIAL HORAS'!#REF!,"AAAAAHv76no=")</f>
        <v>#REF!</v>
      </c>
      <c r="DT29" t="e">
        <f>AND('POTENCIAL HORAS'!Q337,"AAAAAHv76ns=")</f>
        <v>#VALUE!</v>
      </c>
      <c r="DU29" t="e">
        <f>AND('POTENCIAL HORAS'!R337,"AAAAAHv76nw=")</f>
        <v>#VALUE!</v>
      </c>
      <c r="DV29" t="e">
        <f>IF('POTENCIAL HORAS'!#REF!,"AAAAAHv76n0=",0)</f>
        <v>#REF!</v>
      </c>
      <c r="DW29" t="e">
        <f>AND('POTENCIAL HORAS'!#REF!,"AAAAAHv76n4=")</f>
        <v>#REF!</v>
      </c>
      <c r="DX29" t="e">
        <f>AND('POTENCIAL HORAS'!#REF!,"AAAAAHv76n8=")</f>
        <v>#REF!</v>
      </c>
      <c r="DY29" t="e">
        <f>AND('POTENCIAL HORAS'!#REF!,"AAAAAHv76oA=")</f>
        <v>#REF!</v>
      </c>
      <c r="DZ29" t="e">
        <f>AND('POTENCIAL HORAS'!#REF!,"AAAAAHv76oE=")</f>
        <v>#REF!</v>
      </c>
      <c r="EA29" t="e">
        <f>AND('POTENCIAL HORAS'!#REF!,"AAAAAHv76oI=")</f>
        <v>#REF!</v>
      </c>
      <c r="EB29" t="e">
        <f>AND('POTENCIAL HORAS'!#REF!,"AAAAAHv76oM=")</f>
        <v>#REF!</v>
      </c>
      <c r="EC29" t="e">
        <f>AND('POTENCIAL HORAS'!#REF!,"AAAAAHv76oQ=")</f>
        <v>#REF!</v>
      </c>
      <c r="ED29" t="e">
        <f>AND('POTENCIAL HORAS'!#REF!,"AAAAAHv76oU=")</f>
        <v>#REF!</v>
      </c>
      <c r="EE29" t="e">
        <f>AND('POTENCIAL HORAS'!#REF!,"AAAAAHv76oY=")</f>
        <v>#REF!</v>
      </c>
      <c r="EF29" t="e">
        <f>AND('POTENCIAL HORAS'!#REF!,"AAAAAHv76oc=")</f>
        <v>#REF!</v>
      </c>
      <c r="EG29" t="e">
        <f>AND('POTENCIAL HORAS'!#REF!,"AAAAAHv76og=")</f>
        <v>#REF!</v>
      </c>
      <c r="EH29" t="e">
        <f>AND('POTENCIAL HORAS'!#REF!,"AAAAAHv76ok=")</f>
        <v>#REF!</v>
      </c>
      <c r="EI29" t="e">
        <f>AND('POTENCIAL HORAS'!#REF!,"AAAAAHv76oo=")</f>
        <v>#REF!</v>
      </c>
      <c r="EJ29" t="e">
        <f>AND('POTENCIAL HORAS'!#REF!,"AAAAAHv76os=")</f>
        <v>#REF!</v>
      </c>
      <c r="EK29" t="e">
        <f>AND('POTENCIAL HORAS'!#REF!,"AAAAAHv76ow=")</f>
        <v>#REF!</v>
      </c>
      <c r="EL29" t="e">
        <f>AND('POTENCIAL HORAS'!#REF!,"AAAAAHv76o0=")</f>
        <v>#REF!</v>
      </c>
      <c r="EM29" t="e">
        <f>AND('POTENCIAL HORAS'!#REF!,"AAAAAHv76o4=")</f>
        <v>#REF!</v>
      </c>
      <c r="EN29" t="e">
        <f>AND('POTENCIAL HORAS'!#REF!,"AAAAAHv76o8=")</f>
        <v>#REF!</v>
      </c>
      <c r="EO29" t="e">
        <f>AND('POTENCIAL HORAS'!#REF!,"AAAAAHv76pA=")</f>
        <v>#REF!</v>
      </c>
      <c r="EP29" t="e">
        <f>AND('POTENCIAL HORAS'!#REF!,"AAAAAHv76pE=")</f>
        <v>#REF!</v>
      </c>
      <c r="EQ29" t="e">
        <f>AND('POTENCIAL HORAS'!#REF!,"AAAAAHv76pI=")</f>
        <v>#REF!</v>
      </c>
      <c r="ER29" t="e">
        <f>AND('POTENCIAL HORAS'!#REF!,"AAAAAHv76pM=")</f>
        <v>#REF!</v>
      </c>
      <c r="ES29" t="e">
        <f>AND('POTENCIAL HORAS'!#REF!,"AAAAAHv76pQ=")</f>
        <v>#REF!</v>
      </c>
      <c r="ET29" t="e">
        <f>AND('POTENCIAL HORAS'!#REF!,"AAAAAHv76pU=")</f>
        <v>#REF!</v>
      </c>
      <c r="EU29" t="e">
        <f>AND('POTENCIAL HORAS'!#REF!,"AAAAAHv76pY=")</f>
        <v>#REF!</v>
      </c>
      <c r="EV29" t="e">
        <f>AND('POTENCIAL HORAS'!#REF!,"AAAAAHv76pc=")</f>
        <v>#REF!</v>
      </c>
      <c r="EW29" t="e">
        <f>AND('POTENCIAL HORAS'!#REF!,"AAAAAHv76pg=")</f>
        <v>#REF!</v>
      </c>
      <c r="EX29" t="e">
        <f>AND('POTENCIAL HORAS'!#REF!,"AAAAAHv76pk=")</f>
        <v>#REF!</v>
      </c>
      <c r="EY29" t="e">
        <f>AND('POTENCIAL HORAS'!#REF!,"AAAAAHv76po=")</f>
        <v>#REF!</v>
      </c>
      <c r="EZ29" t="e">
        <f>AND('POTENCIAL HORAS'!#REF!,"AAAAAHv76ps=")</f>
        <v>#REF!</v>
      </c>
      <c r="FA29" t="e">
        <f>AND('POTENCIAL HORAS'!#REF!,"AAAAAHv76pw=")</f>
        <v>#REF!</v>
      </c>
      <c r="FB29" t="e">
        <f>AND('POTENCIAL HORAS'!#REF!,"AAAAAHv76p0=")</f>
        <v>#REF!</v>
      </c>
      <c r="FC29" t="e">
        <f>AND('POTENCIAL HORAS'!#REF!,"AAAAAHv76p4=")</f>
        <v>#REF!</v>
      </c>
      <c r="FD29" t="e">
        <f>AND('POTENCIAL HORAS'!#REF!,"AAAAAHv76p8=")</f>
        <v>#REF!</v>
      </c>
      <c r="FE29" t="e">
        <f>AND('POTENCIAL HORAS'!#REF!,"AAAAAHv76qA=")</f>
        <v>#REF!</v>
      </c>
      <c r="FF29" t="e">
        <f>AND('POTENCIAL HORAS'!#REF!,"AAAAAHv76qE=")</f>
        <v>#REF!</v>
      </c>
      <c r="FG29" t="e">
        <f>AND('POTENCIAL HORAS'!#REF!,"AAAAAHv76qI=")</f>
        <v>#REF!</v>
      </c>
      <c r="FH29" t="e">
        <f>AND('POTENCIAL HORAS'!#REF!,"AAAAAHv76qM=")</f>
        <v>#REF!</v>
      </c>
      <c r="FI29" t="e">
        <f>IF('POTENCIAL HORAS'!#REF!,"AAAAAHv76qQ=",0)</f>
        <v>#REF!</v>
      </c>
      <c r="FJ29" t="e">
        <f>AND('POTENCIAL HORAS'!#REF!,"AAAAAHv76qU=")</f>
        <v>#REF!</v>
      </c>
      <c r="FK29" t="e">
        <f>AND('POTENCIAL HORAS'!#REF!,"AAAAAHv76qY=")</f>
        <v>#REF!</v>
      </c>
      <c r="FL29" t="e">
        <f>AND('POTENCIAL HORAS'!#REF!,"AAAAAHv76qc=")</f>
        <v>#REF!</v>
      </c>
      <c r="FM29" t="e">
        <f>AND('POTENCIAL HORAS'!#REF!,"AAAAAHv76qg=")</f>
        <v>#REF!</v>
      </c>
      <c r="FN29" t="e">
        <f>AND('POTENCIAL HORAS'!#REF!,"AAAAAHv76qk=")</f>
        <v>#REF!</v>
      </c>
      <c r="FO29" t="e">
        <f>AND('POTENCIAL HORAS'!#REF!,"AAAAAHv76qo=")</f>
        <v>#REF!</v>
      </c>
      <c r="FP29" t="e">
        <f>AND('POTENCIAL HORAS'!#REF!,"AAAAAHv76qs=")</f>
        <v>#REF!</v>
      </c>
      <c r="FQ29" t="e">
        <f>AND('POTENCIAL HORAS'!#REF!,"AAAAAHv76qw=")</f>
        <v>#REF!</v>
      </c>
      <c r="FR29" t="e">
        <f>AND('POTENCIAL HORAS'!#REF!,"AAAAAHv76q0=")</f>
        <v>#REF!</v>
      </c>
      <c r="FS29" t="e">
        <f>AND('POTENCIAL HORAS'!#REF!,"AAAAAHv76q4=")</f>
        <v>#REF!</v>
      </c>
      <c r="FT29" t="e">
        <f>AND('POTENCIAL HORAS'!#REF!,"AAAAAHv76q8=")</f>
        <v>#REF!</v>
      </c>
      <c r="FU29" t="e">
        <f>AND('POTENCIAL HORAS'!#REF!,"AAAAAHv76rA=")</f>
        <v>#REF!</v>
      </c>
      <c r="FV29" t="e">
        <f>AND('POTENCIAL HORAS'!#REF!,"AAAAAHv76rE=")</f>
        <v>#REF!</v>
      </c>
      <c r="FW29" t="e">
        <f>AND('POTENCIAL HORAS'!#REF!,"AAAAAHv76rI=")</f>
        <v>#REF!</v>
      </c>
      <c r="FX29" t="e">
        <f>AND('POTENCIAL HORAS'!#REF!,"AAAAAHv76rM=")</f>
        <v>#REF!</v>
      </c>
      <c r="FY29" t="e">
        <f>AND('POTENCIAL HORAS'!#REF!,"AAAAAHv76rQ=")</f>
        <v>#REF!</v>
      </c>
      <c r="FZ29" t="e">
        <f>AND('POTENCIAL HORAS'!#REF!,"AAAAAHv76rU=")</f>
        <v>#REF!</v>
      </c>
      <c r="GA29" t="e">
        <f>AND('POTENCIAL HORAS'!#REF!,"AAAAAHv76rY=")</f>
        <v>#REF!</v>
      </c>
      <c r="GB29" t="e">
        <f>AND('POTENCIAL HORAS'!#REF!,"AAAAAHv76rc=")</f>
        <v>#REF!</v>
      </c>
      <c r="GC29" t="e">
        <f>AND('POTENCIAL HORAS'!#REF!,"AAAAAHv76rg=")</f>
        <v>#REF!</v>
      </c>
      <c r="GD29" t="e">
        <f>AND('POTENCIAL HORAS'!#REF!,"AAAAAHv76rk=")</f>
        <v>#REF!</v>
      </c>
      <c r="GE29" t="e">
        <f>AND('POTENCIAL HORAS'!#REF!,"AAAAAHv76ro=")</f>
        <v>#REF!</v>
      </c>
      <c r="GF29" t="e">
        <f>AND('POTENCIAL HORAS'!#REF!,"AAAAAHv76rs=")</f>
        <v>#REF!</v>
      </c>
      <c r="GG29" t="e">
        <f>AND('POTENCIAL HORAS'!#REF!,"AAAAAHv76rw=")</f>
        <v>#REF!</v>
      </c>
      <c r="GH29" t="e">
        <f>AND('POTENCIAL HORAS'!#REF!,"AAAAAHv76r0=")</f>
        <v>#REF!</v>
      </c>
      <c r="GI29" t="e">
        <f>AND('POTENCIAL HORAS'!#REF!,"AAAAAHv76r4=")</f>
        <v>#REF!</v>
      </c>
      <c r="GJ29" t="e">
        <f>AND('POTENCIAL HORAS'!#REF!,"AAAAAHv76r8=")</f>
        <v>#REF!</v>
      </c>
      <c r="GK29" t="e">
        <f>AND('POTENCIAL HORAS'!#REF!,"AAAAAHv76sA=")</f>
        <v>#REF!</v>
      </c>
      <c r="GL29" t="e">
        <f>AND('POTENCIAL HORAS'!#REF!,"AAAAAHv76sE=")</f>
        <v>#REF!</v>
      </c>
      <c r="GM29" t="e">
        <f>AND('POTENCIAL HORAS'!#REF!,"AAAAAHv76sI=")</f>
        <v>#REF!</v>
      </c>
      <c r="GN29" t="e">
        <f>AND('POTENCIAL HORAS'!#REF!,"AAAAAHv76sM=")</f>
        <v>#REF!</v>
      </c>
      <c r="GO29" t="e">
        <f>AND('POTENCIAL HORAS'!#REF!,"AAAAAHv76sQ=")</f>
        <v>#REF!</v>
      </c>
      <c r="GP29" t="e">
        <f>AND('POTENCIAL HORAS'!#REF!,"AAAAAHv76sU=")</f>
        <v>#REF!</v>
      </c>
      <c r="GQ29" t="e">
        <f>AND('POTENCIAL HORAS'!#REF!,"AAAAAHv76sY=")</f>
        <v>#REF!</v>
      </c>
      <c r="GR29" t="e">
        <f>AND('POTENCIAL HORAS'!#REF!,"AAAAAHv76sc=")</f>
        <v>#REF!</v>
      </c>
      <c r="GS29" t="e">
        <f>AND('POTENCIAL HORAS'!#REF!,"AAAAAHv76sg=")</f>
        <v>#REF!</v>
      </c>
      <c r="GT29" t="e">
        <f>AND('POTENCIAL HORAS'!#REF!,"AAAAAHv76sk=")</f>
        <v>#REF!</v>
      </c>
      <c r="GU29" t="e">
        <f>AND('POTENCIAL HORAS'!#REF!,"AAAAAHv76so=")</f>
        <v>#REF!</v>
      </c>
      <c r="GV29" t="e">
        <f>IF('POTENCIAL HORAS'!#REF!,"AAAAAHv76ss=",0)</f>
        <v>#REF!</v>
      </c>
      <c r="GW29" t="e">
        <f>AND('POTENCIAL HORAS'!#REF!,"AAAAAHv76sw=")</f>
        <v>#REF!</v>
      </c>
      <c r="GX29" t="e">
        <f>AND('POTENCIAL HORAS'!#REF!,"AAAAAHv76s0=")</f>
        <v>#REF!</v>
      </c>
      <c r="GY29" t="e">
        <f>AND('POTENCIAL HORAS'!#REF!,"AAAAAHv76s4=")</f>
        <v>#REF!</v>
      </c>
      <c r="GZ29" t="e">
        <f>AND('POTENCIAL HORAS'!#REF!,"AAAAAHv76s8=")</f>
        <v>#REF!</v>
      </c>
      <c r="HA29" t="e">
        <f>AND('POTENCIAL HORAS'!#REF!,"AAAAAHv76tA=")</f>
        <v>#REF!</v>
      </c>
      <c r="HB29" t="e">
        <f>AND('POTENCIAL HORAS'!#REF!,"AAAAAHv76tE=")</f>
        <v>#REF!</v>
      </c>
      <c r="HC29" t="e">
        <f>AND('POTENCIAL HORAS'!#REF!,"AAAAAHv76tI=")</f>
        <v>#REF!</v>
      </c>
      <c r="HD29" t="e">
        <f>AND('POTENCIAL HORAS'!#REF!,"AAAAAHv76tM=")</f>
        <v>#REF!</v>
      </c>
      <c r="HE29" t="e">
        <f>AND('POTENCIAL HORAS'!#REF!,"AAAAAHv76tQ=")</f>
        <v>#REF!</v>
      </c>
      <c r="HF29" t="e">
        <f>AND('POTENCIAL HORAS'!#REF!,"AAAAAHv76tU=")</f>
        <v>#REF!</v>
      </c>
      <c r="HG29" t="e">
        <f>AND('POTENCIAL HORAS'!#REF!,"AAAAAHv76tY=")</f>
        <v>#REF!</v>
      </c>
      <c r="HH29" t="e">
        <f>AND('POTENCIAL HORAS'!#REF!,"AAAAAHv76tc=")</f>
        <v>#REF!</v>
      </c>
      <c r="HI29" t="e">
        <f>AND('POTENCIAL HORAS'!#REF!,"AAAAAHv76tg=")</f>
        <v>#REF!</v>
      </c>
      <c r="HJ29" t="e">
        <f>AND('POTENCIAL HORAS'!#REF!,"AAAAAHv76tk=")</f>
        <v>#REF!</v>
      </c>
      <c r="HK29" t="e">
        <f>AND('POTENCIAL HORAS'!#REF!,"AAAAAHv76to=")</f>
        <v>#REF!</v>
      </c>
      <c r="HL29" t="e">
        <f>AND('POTENCIAL HORAS'!#REF!,"AAAAAHv76ts=")</f>
        <v>#REF!</v>
      </c>
      <c r="HM29" t="e">
        <f>AND('POTENCIAL HORAS'!#REF!,"AAAAAHv76tw=")</f>
        <v>#REF!</v>
      </c>
      <c r="HN29" t="e">
        <f>AND('POTENCIAL HORAS'!#REF!,"AAAAAHv76t0=")</f>
        <v>#REF!</v>
      </c>
      <c r="HO29" t="e">
        <f>AND('POTENCIAL HORAS'!#REF!,"AAAAAHv76t4=")</f>
        <v>#REF!</v>
      </c>
      <c r="HP29" t="e">
        <f>AND('POTENCIAL HORAS'!#REF!,"AAAAAHv76t8=")</f>
        <v>#REF!</v>
      </c>
      <c r="HQ29" t="e">
        <f>AND('POTENCIAL HORAS'!#REF!,"AAAAAHv76uA=")</f>
        <v>#REF!</v>
      </c>
      <c r="HR29" t="e">
        <f>AND('POTENCIAL HORAS'!#REF!,"AAAAAHv76uE=")</f>
        <v>#REF!</v>
      </c>
      <c r="HS29" t="e">
        <f>AND('POTENCIAL HORAS'!#REF!,"AAAAAHv76uI=")</f>
        <v>#REF!</v>
      </c>
      <c r="HT29" t="e">
        <f>AND('POTENCIAL HORAS'!#REF!,"AAAAAHv76uM=")</f>
        <v>#REF!</v>
      </c>
      <c r="HU29" t="e">
        <f>AND('POTENCIAL HORAS'!#REF!,"AAAAAHv76uQ=")</f>
        <v>#REF!</v>
      </c>
      <c r="HV29" t="e">
        <f>AND('POTENCIAL HORAS'!#REF!,"AAAAAHv76uU=")</f>
        <v>#REF!</v>
      </c>
      <c r="HW29" t="e">
        <f>AND('POTENCIAL HORAS'!#REF!,"AAAAAHv76uY=")</f>
        <v>#REF!</v>
      </c>
      <c r="HX29" t="e">
        <f>AND('POTENCIAL HORAS'!#REF!,"AAAAAHv76uc=")</f>
        <v>#REF!</v>
      </c>
      <c r="HY29" t="e">
        <f>AND('POTENCIAL HORAS'!#REF!,"AAAAAHv76ug=")</f>
        <v>#REF!</v>
      </c>
      <c r="HZ29" t="e">
        <f>AND('POTENCIAL HORAS'!#REF!,"AAAAAHv76uk=")</f>
        <v>#REF!</v>
      </c>
      <c r="IA29" t="e">
        <f>AND('POTENCIAL HORAS'!#REF!,"AAAAAHv76uo=")</f>
        <v>#REF!</v>
      </c>
      <c r="IB29" t="e">
        <f>AND('POTENCIAL HORAS'!#REF!,"AAAAAHv76us=")</f>
        <v>#REF!</v>
      </c>
      <c r="IC29" t="e">
        <f>AND('POTENCIAL HORAS'!#REF!,"AAAAAHv76uw=")</f>
        <v>#REF!</v>
      </c>
      <c r="ID29" t="e">
        <f>AND('POTENCIAL HORAS'!#REF!,"AAAAAHv76u0=")</f>
        <v>#REF!</v>
      </c>
      <c r="IE29" t="e">
        <f>AND('POTENCIAL HORAS'!#REF!,"AAAAAHv76u4=")</f>
        <v>#REF!</v>
      </c>
      <c r="IF29" t="e">
        <f>AND('POTENCIAL HORAS'!#REF!,"AAAAAHv76u8=")</f>
        <v>#REF!</v>
      </c>
      <c r="IG29" t="e">
        <f>AND('POTENCIAL HORAS'!#REF!,"AAAAAHv76vA=")</f>
        <v>#REF!</v>
      </c>
      <c r="IH29" t="e">
        <f>AND('POTENCIAL HORAS'!#REF!,"AAAAAHv76vE=")</f>
        <v>#REF!</v>
      </c>
      <c r="II29" t="e">
        <f>IF('POTENCIAL HORAS'!#REF!,"AAAAAHv76vI=",0)</f>
        <v>#REF!</v>
      </c>
      <c r="IJ29" t="e">
        <f>AND('POTENCIAL HORAS'!#REF!,"AAAAAHv76vM=")</f>
        <v>#REF!</v>
      </c>
      <c r="IK29" t="e">
        <f>AND('POTENCIAL HORAS'!#REF!,"AAAAAHv76vQ=")</f>
        <v>#REF!</v>
      </c>
      <c r="IL29" t="e">
        <f>AND('POTENCIAL HORAS'!#REF!,"AAAAAHv76vU=")</f>
        <v>#REF!</v>
      </c>
      <c r="IM29" t="e">
        <f>AND('POTENCIAL HORAS'!#REF!,"AAAAAHv76vY=")</f>
        <v>#REF!</v>
      </c>
      <c r="IN29" t="e">
        <f>AND('POTENCIAL HORAS'!#REF!,"AAAAAHv76vc=")</f>
        <v>#REF!</v>
      </c>
      <c r="IO29" t="e">
        <f>AND('POTENCIAL HORAS'!#REF!,"AAAAAHv76vg=")</f>
        <v>#REF!</v>
      </c>
      <c r="IP29" t="e">
        <f>AND('POTENCIAL HORAS'!#REF!,"AAAAAHv76vk=")</f>
        <v>#REF!</v>
      </c>
      <c r="IQ29" t="e">
        <f>AND('POTENCIAL HORAS'!#REF!,"AAAAAHv76vo=")</f>
        <v>#REF!</v>
      </c>
      <c r="IR29" t="e">
        <f>AND('POTENCIAL HORAS'!#REF!,"AAAAAHv76vs=")</f>
        <v>#REF!</v>
      </c>
      <c r="IS29" t="e">
        <f>AND('POTENCIAL HORAS'!#REF!,"AAAAAHv76vw=")</f>
        <v>#REF!</v>
      </c>
      <c r="IT29" t="e">
        <f>AND('POTENCIAL HORAS'!#REF!,"AAAAAHv76v0=")</f>
        <v>#REF!</v>
      </c>
      <c r="IU29" t="e">
        <f>AND('POTENCIAL HORAS'!#REF!,"AAAAAHv76v4=")</f>
        <v>#REF!</v>
      </c>
      <c r="IV29" t="e">
        <f>AND('POTENCIAL HORAS'!#REF!,"AAAAAHv76v8=")</f>
        <v>#REF!</v>
      </c>
    </row>
    <row r="30" spans="1:256" x14ac:dyDescent="0.2">
      <c r="A30" t="e">
        <f>AND('POTENCIAL HORAS'!#REF!,"AAAAAHe+HwA=")</f>
        <v>#REF!</v>
      </c>
      <c r="B30" t="e">
        <f>AND('POTENCIAL HORAS'!#REF!,"AAAAAHe+HwE=")</f>
        <v>#REF!</v>
      </c>
      <c r="C30" t="e">
        <f>AND('POTENCIAL HORAS'!#REF!,"AAAAAHe+HwI=")</f>
        <v>#REF!</v>
      </c>
      <c r="D30" t="e">
        <f>AND('POTENCIAL HORAS'!#REF!,"AAAAAHe+HwM=")</f>
        <v>#REF!</v>
      </c>
      <c r="E30" t="e">
        <f>AND('POTENCIAL HORAS'!#REF!,"AAAAAHe+HwQ=")</f>
        <v>#REF!</v>
      </c>
      <c r="F30" t="e">
        <f>AND('POTENCIAL HORAS'!#REF!,"AAAAAHe+HwU=")</f>
        <v>#REF!</v>
      </c>
      <c r="G30" t="e">
        <f>AND('POTENCIAL HORAS'!#REF!,"AAAAAHe+HwY=")</f>
        <v>#REF!</v>
      </c>
      <c r="H30" t="e">
        <f>AND('POTENCIAL HORAS'!#REF!,"AAAAAHe+Hwc=")</f>
        <v>#REF!</v>
      </c>
      <c r="I30" t="e">
        <f>AND('POTENCIAL HORAS'!#REF!,"AAAAAHe+Hwg=")</f>
        <v>#REF!</v>
      </c>
      <c r="J30" t="e">
        <f>AND('POTENCIAL HORAS'!#REF!,"AAAAAHe+Hwk=")</f>
        <v>#REF!</v>
      </c>
      <c r="K30" t="e">
        <f>AND('POTENCIAL HORAS'!#REF!,"AAAAAHe+Hwo=")</f>
        <v>#REF!</v>
      </c>
      <c r="L30" t="e">
        <f>AND('POTENCIAL HORAS'!#REF!,"AAAAAHe+Hws=")</f>
        <v>#REF!</v>
      </c>
      <c r="M30" t="e">
        <f>AND('POTENCIAL HORAS'!#REF!,"AAAAAHe+Hww=")</f>
        <v>#REF!</v>
      </c>
      <c r="N30" t="e">
        <f>AND('POTENCIAL HORAS'!#REF!,"AAAAAHe+Hw0=")</f>
        <v>#REF!</v>
      </c>
      <c r="O30" t="e">
        <f>AND('POTENCIAL HORAS'!#REF!,"AAAAAHe+Hw4=")</f>
        <v>#REF!</v>
      </c>
      <c r="P30" t="e">
        <f>AND('POTENCIAL HORAS'!#REF!,"AAAAAHe+Hw8=")</f>
        <v>#REF!</v>
      </c>
      <c r="Q30" t="e">
        <f>AND('POTENCIAL HORAS'!#REF!,"AAAAAHe+HxA=")</f>
        <v>#REF!</v>
      </c>
      <c r="R30" t="e">
        <f>AND('POTENCIAL HORAS'!#REF!,"AAAAAHe+HxE=")</f>
        <v>#REF!</v>
      </c>
      <c r="S30" t="e">
        <f>AND('POTENCIAL HORAS'!#REF!,"AAAAAHe+HxI=")</f>
        <v>#REF!</v>
      </c>
      <c r="T30" t="e">
        <f>AND('POTENCIAL HORAS'!#REF!,"AAAAAHe+HxM=")</f>
        <v>#REF!</v>
      </c>
      <c r="U30" t="e">
        <f>AND('POTENCIAL HORAS'!#REF!,"AAAAAHe+HxQ=")</f>
        <v>#REF!</v>
      </c>
      <c r="V30" t="e">
        <f>AND('POTENCIAL HORAS'!#REF!,"AAAAAHe+HxU=")</f>
        <v>#REF!</v>
      </c>
      <c r="W30" t="e">
        <f>AND('POTENCIAL HORAS'!#REF!,"AAAAAHe+HxY=")</f>
        <v>#REF!</v>
      </c>
      <c r="X30" t="e">
        <f>AND('POTENCIAL HORAS'!#REF!,"AAAAAHe+Hxc=")</f>
        <v>#REF!</v>
      </c>
      <c r="Y30" t="e">
        <f>AND('POTENCIAL HORAS'!#REF!,"AAAAAHe+Hxg=")</f>
        <v>#REF!</v>
      </c>
      <c r="Z30" t="e">
        <f>IF('POTENCIAL HORAS'!#REF!,"AAAAAHe+Hxk=",0)</f>
        <v>#REF!</v>
      </c>
      <c r="AA30" t="e">
        <f>AND('POTENCIAL HORAS'!#REF!,"AAAAAHe+Hxo=")</f>
        <v>#REF!</v>
      </c>
      <c r="AB30" t="e">
        <f>AND('POTENCIAL HORAS'!#REF!,"AAAAAHe+Hxs=")</f>
        <v>#REF!</v>
      </c>
      <c r="AC30" t="e">
        <f>AND('POTENCIAL HORAS'!#REF!,"AAAAAHe+Hxw=")</f>
        <v>#REF!</v>
      </c>
      <c r="AD30" t="e">
        <f>AND('POTENCIAL HORAS'!#REF!,"AAAAAHe+Hx0=")</f>
        <v>#REF!</v>
      </c>
      <c r="AE30" t="e">
        <f>AND('POTENCIAL HORAS'!#REF!,"AAAAAHe+Hx4=")</f>
        <v>#REF!</v>
      </c>
      <c r="AF30" t="e">
        <f>AND('POTENCIAL HORAS'!#REF!,"AAAAAHe+Hx8=")</f>
        <v>#REF!</v>
      </c>
      <c r="AG30" t="e">
        <f>AND('POTENCIAL HORAS'!#REF!,"AAAAAHe+HyA=")</f>
        <v>#REF!</v>
      </c>
      <c r="AH30" t="e">
        <f>AND('POTENCIAL HORAS'!#REF!,"AAAAAHe+HyE=")</f>
        <v>#REF!</v>
      </c>
      <c r="AI30" t="e">
        <f>AND('POTENCIAL HORAS'!#REF!,"AAAAAHe+HyI=")</f>
        <v>#REF!</v>
      </c>
      <c r="AJ30" t="e">
        <f>AND('POTENCIAL HORAS'!#REF!,"AAAAAHe+HyM=")</f>
        <v>#REF!</v>
      </c>
      <c r="AK30" t="e">
        <f>AND('POTENCIAL HORAS'!#REF!,"AAAAAHe+HyQ=")</f>
        <v>#REF!</v>
      </c>
      <c r="AL30" t="e">
        <f>AND('POTENCIAL HORAS'!#REF!,"AAAAAHe+HyU=")</f>
        <v>#REF!</v>
      </c>
      <c r="AM30" t="e">
        <f>AND('POTENCIAL HORAS'!#REF!,"AAAAAHe+HyY=")</f>
        <v>#REF!</v>
      </c>
      <c r="AN30" t="e">
        <f>AND('POTENCIAL HORAS'!#REF!,"AAAAAHe+Hyc=")</f>
        <v>#REF!</v>
      </c>
      <c r="AO30" t="e">
        <f>AND('POTENCIAL HORAS'!#REF!,"AAAAAHe+Hyg=")</f>
        <v>#REF!</v>
      </c>
      <c r="AP30" t="e">
        <f>AND('POTENCIAL HORAS'!#REF!,"AAAAAHe+Hyk=")</f>
        <v>#REF!</v>
      </c>
      <c r="AQ30" t="e">
        <f>AND('POTENCIAL HORAS'!#REF!,"AAAAAHe+Hyo=")</f>
        <v>#REF!</v>
      </c>
      <c r="AR30" t="e">
        <f>AND('POTENCIAL HORAS'!#REF!,"AAAAAHe+Hys=")</f>
        <v>#REF!</v>
      </c>
      <c r="AS30" t="e">
        <f>AND('POTENCIAL HORAS'!#REF!,"AAAAAHe+Hyw=")</f>
        <v>#REF!</v>
      </c>
      <c r="AT30" t="e">
        <f>AND('POTENCIAL HORAS'!#REF!,"AAAAAHe+Hy0=")</f>
        <v>#REF!</v>
      </c>
      <c r="AU30" t="e">
        <f>AND('POTENCIAL HORAS'!#REF!,"AAAAAHe+Hy4=")</f>
        <v>#REF!</v>
      </c>
      <c r="AV30" t="e">
        <f>AND('POTENCIAL HORAS'!#REF!,"AAAAAHe+Hy8=")</f>
        <v>#REF!</v>
      </c>
      <c r="AW30" t="e">
        <f>AND('POTENCIAL HORAS'!#REF!,"AAAAAHe+HzA=")</f>
        <v>#REF!</v>
      </c>
      <c r="AX30" t="e">
        <f>AND('POTENCIAL HORAS'!#REF!,"AAAAAHe+HzE=")</f>
        <v>#REF!</v>
      </c>
      <c r="AY30" t="e">
        <f>AND('POTENCIAL HORAS'!#REF!,"AAAAAHe+HzI=")</f>
        <v>#REF!</v>
      </c>
      <c r="AZ30" t="e">
        <f>AND('POTENCIAL HORAS'!#REF!,"AAAAAHe+HzM=")</f>
        <v>#REF!</v>
      </c>
      <c r="BA30" t="e">
        <f>AND('POTENCIAL HORAS'!#REF!,"AAAAAHe+HzQ=")</f>
        <v>#REF!</v>
      </c>
      <c r="BB30" t="e">
        <f>AND('POTENCIAL HORAS'!#REF!,"AAAAAHe+HzU=")</f>
        <v>#REF!</v>
      </c>
      <c r="BC30" t="e">
        <f>AND('POTENCIAL HORAS'!#REF!,"AAAAAHe+HzY=")</f>
        <v>#REF!</v>
      </c>
      <c r="BD30" t="e">
        <f>AND('POTENCIAL HORAS'!#REF!,"AAAAAHe+Hzc=")</f>
        <v>#REF!</v>
      </c>
      <c r="BE30" t="e">
        <f>AND('POTENCIAL HORAS'!#REF!,"AAAAAHe+Hzg=")</f>
        <v>#REF!</v>
      </c>
      <c r="BF30" t="e">
        <f>AND('POTENCIAL HORAS'!#REF!,"AAAAAHe+Hzk=")</f>
        <v>#REF!</v>
      </c>
      <c r="BG30" t="e">
        <f>AND('POTENCIAL HORAS'!#REF!,"AAAAAHe+Hzo=")</f>
        <v>#REF!</v>
      </c>
      <c r="BH30" t="e">
        <f>AND('POTENCIAL HORAS'!#REF!,"AAAAAHe+Hzs=")</f>
        <v>#REF!</v>
      </c>
      <c r="BI30" t="e">
        <f>AND('POTENCIAL HORAS'!#REF!,"AAAAAHe+Hzw=")</f>
        <v>#REF!</v>
      </c>
      <c r="BJ30" t="e">
        <f>AND('POTENCIAL HORAS'!#REF!,"AAAAAHe+Hz0=")</f>
        <v>#REF!</v>
      </c>
      <c r="BK30" t="e">
        <f>AND('POTENCIAL HORAS'!#REF!,"AAAAAHe+Hz4=")</f>
        <v>#REF!</v>
      </c>
      <c r="BL30" t="e">
        <f>AND('POTENCIAL HORAS'!#REF!,"AAAAAHe+Hz8=")</f>
        <v>#REF!</v>
      </c>
      <c r="BM30" t="e">
        <f>IF('POTENCIAL HORAS'!#REF!,"AAAAAHe+H0A=",0)</f>
        <v>#REF!</v>
      </c>
      <c r="BN30" t="e">
        <f>AND('POTENCIAL HORAS'!#REF!,"AAAAAHe+H0E=")</f>
        <v>#REF!</v>
      </c>
      <c r="BO30" t="e">
        <f>AND('POTENCIAL HORAS'!#REF!,"AAAAAHe+H0I=")</f>
        <v>#REF!</v>
      </c>
      <c r="BP30" t="e">
        <f>AND('POTENCIAL HORAS'!#REF!,"AAAAAHe+H0M=")</f>
        <v>#REF!</v>
      </c>
      <c r="BQ30" t="e">
        <f>AND('POTENCIAL HORAS'!#REF!,"AAAAAHe+H0Q=")</f>
        <v>#REF!</v>
      </c>
      <c r="BR30" t="e">
        <f>AND('POTENCIAL HORAS'!#REF!,"AAAAAHe+H0U=")</f>
        <v>#REF!</v>
      </c>
      <c r="BS30" t="e">
        <f>AND('POTENCIAL HORAS'!#REF!,"AAAAAHe+H0Y=")</f>
        <v>#REF!</v>
      </c>
      <c r="BT30" t="e">
        <f>AND('POTENCIAL HORAS'!#REF!,"AAAAAHe+H0c=")</f>
        <v>#REF!</v>
      </c>
      <c r="BU30" t="e">
        <f>AND('POTENCIAL HORAS'!#REF!,"AAAAAHe+H0g=")</f>
        <v>#REF!</v>
      </c>
      <c r="BV30" t="e">
        <f>AND('POTENCIAL HORAS'!#REF!,"AAAAAHe+H0k=")</f>
        <v>#REF!</v>
      </c>
      <c r="BW30" t="e">
        <f>AND('POTENCIAL HORAS'!#REF!,"AAAAAHe+H0o=")</f>
        <v>#REF!</v>
      </c>
      <c r="BX30" t="e">
        <f>AND('POTENCIAL HORAS'!#REF!,"AAAAAHe+H0s=")</f>
        <v>#REF!</v>
      </c>
      <c r="BY30" t="e">
        <f>AND('POTENCIAL HORAS'!#REF!,"AAAAAHe+H0w=")</f>
        <v>#REF!</v>
      </c>
      <c r="BZ30" t="e">
        <f>AND('POTENCIAL HORAS'!#REF!,"AAAAAHe+H00=")</f>
        <v>#REF!</v>
      </c>
      <c r="CA30" t="e">
        <f>AND('POTENCIAL HORAS'!#REF!,"AAAAAHe+H04=")</f>
        <v>#REF!</v>
      </c>
      <c r="CB30" t="e">
        <f>AND('POTENCIAL HORAS'!#REF!,"AAAAAHe+H08=")</f>
        <v>#REF!</v>
      </c>
      <c r="CC30" t="e">
        <f>AND('POTENCIAL HORAS'!#REF!,"AAAAAHe+H1A=")</f>
        <v>#REF!</v>
      </c>
      <c r="CD30" t="e">
        <f>AND('POTENCIAL HORAS'!#REF!,"AAAAAHe+H1E=")</f>
        <v>#REF!</v>
      </c>
      <c r="CE30" t="e">
        <f>AND('POTENCIAL HORAS'!#REF!,"AAAAAHe+H1I=")</f>
        <v>#REF!</v>
      </c>
      <c r="CF30" t="e">
        <f>AND('POTENCIAL HORAS'!#REF!,"AAAAAHe+H1M=")</f>
        <v>#REF!</v>
      </c>
      <c r="CG30" t="e">
        <f>AND('POTENCIAL HORAS'!#REF!,"AAAAAHe+H1Q=")</f>
        <v>#REF!</v>
      </c>
      <c r="CH30" t="e">
        <f>AND('POTENCIAL HORAS'!#REF!,"AAAAAHe+H1U=")</f>
        <v>#REF!</v>
      </c>
      <c r="CI30" t="e">
        <f>AND('POTENCIAL HORAS'!#REF!,"AAAAAHe+H1Y=")</f>
        <v>#REF!</v>
      </c>
      <c r="CJ30" t="e">
        <f>AND('POTENCIAL HORAS'!#REF!,"AAAAAHe+H1c=")</f>
        <v>#REF!</v>
      </c>
      <c r="CK30" t="e">
        <f>AND('POTENCIAL HORAS'!#REF!,"AAAAAHe+H1g=")</f>
        <v>#REF!</v>
      </c>
      <c r="CL30" t="e">
        <f>AND('POTENCIAL HORAS'!#REF!,"AAAAAHe+H1k=")</f>
        <v>#REF!</v>
      </c>
      <c r="CM30" t="e">
        <f>AND('POTENCIAL HORAS'!#REF!,"AAAAAHe+H1o=")</f>
        <v>#REF!</v>
      </c>
      <c r="CN30" t="e">
        <f>AND('POTENCIAL HORAS'!#REF!,"AAAAAHe+H1s=")</f>
        <v>#REF!</v>
      </c>
      <c r="CO30" t="e">
        <f>AND('POTENCIAL HORAS'!#REF!,"AAAAAHe+H1w=")</f>
        <v>#REF!</v>
      </c>
      <c r="CP30" t="e">
        <f>AND('POTENCIAL HORAS'!#REF!,"AAAAAHe+H10=")</f>
        <v>#REF!</v>
      </c>
      <c r="CQ30" t="e">
        <f>AND('POTENCIAL HORAS'!#REF!,"AAAAAHe+H14=")</f>
        <v>#REF!</v>
      </c>
      <c r="CR30" t="e">
        <f>AND('POTENCIAL HORAS'!#REF!,"AAAAAHe+H18=")</f>
        <v>#REF!</v>
      </c>
      <c r="CS30" t="e">
        <f>AND('POTENCIAL HORAS'!#REF!,"AAAAAHe+H2A=")</f>
        <v>#REF!</v>
      </c>
      <c r="CT30" t="e">
        <f>AND('POTENCIAL HORAS'!#REF!,"AAAAAHe+H2E=")</f>
        <v>#REF!</v>
      </c>
      <c r="CU30" t="e">
        <f>AND('POTENCIAL HORAS'!#REF!,"AAAAAHe+H2I=")</f>
        <v>#REF!</v>
      </c>
      <c r="CV30" t="e">
        <f>AND('POTENCIAL HORAS'!#REF!,"AAAAAHe+H2M=")</f>
        <v>#REF!</v>
      </c>
      <c r="CW30" t="e">
        <f>AND('POTENCIAL HORAS'!#REF!,"AAAAAHe+H2Q=")</f>
        <v>#REF!</v>
      </c>
      <c r="CX30" t="e">
        <f>AND('POTENCIAL HORAS'!#REF!,"AAAAAHe+H2U=")</f>
        <v>#REF!</v>
      </c>
      <c r="CY30" t="e">
        <f>AND('POTENCIAL HORAS'!#REF!,"AAAAAHe+H2Y=")</f>
        <v>#REF!</v>
      </c>
      <c r="CZ30" t="e">
        <f>IF('POTENCIAL HORAS'!#REF!,"AAAAAHe+H2c=",0)</f>
        <v>#REF!</v>
      </c>
      <c r="DA30" t="e">
        <f>AND('POTENCIAL HORAS'!#REF!,"AAAAAHe+H2g=")</f>
        <v>#REF!</v>
      </c>
      <c r="DB30" t="e">
        <f>AND('POTENCIAL HORAS'!#REF!,"AAAAAHe+H2k=")</f>
        <v>#REF!</v>
      </c>
      <c r="DC30" t="e">
        <f>AND('POTENCIAL HORAS'!#REF!,"AAAAAHe+H2o=")</f>
        <v>#REF!</v>
      </c>
      <c r="DD30" t="e">
        <f>AND('POTENCIAL HORAS'!#REF!,"AAAAAHe+H2s=")</f>
        <v>#REF!</v>
      </c>
      <c r="DE30" t="e">
        <f>AND('POTENCIAL HORAS'!#REF!,"AAAAAHe+H2w=")</f>
        <v>#REF!</v>
      </c>
      <c r="DF30" t="e">
        <f>AND('POTENCIAL HORAS'!#REF!,"AAAAAHe+H20=")</f>
        <v>#REF!</v>
      </c>
      <c r="DG30" t="e">
        <f>AND('POTENCIAL HORAS'!#REF!,"AAAAAHe+H24=")</f>
        <v>#REF!</v>
      </c>
      <c r="DH30" t="e">
        <f>AND('POTENCIAL HORAS'!#REF!,"AAAAAHe+H28=")</f>
        <v>#REF!</v>
      </c>
      <c r="DI30" t="e">
        <f>AND('POTENCIAL HORAS'!#REF!,"AAAAAHe+H3A=")</f>
        <v>#REF!</v>
      </c>
      <c r="DJ30" t="e">
        <f>AND('POTENCIAL HORAS'!#REF!,"AAAAAHe+H3E=")</f>
        <v>#REF!</v>
      </c>
      <c r="DK30" t="e">
        <f>AND('POTENCIAL HORAS'!#REF!,"AAAAAHe+H3I=")</f>
        <v>#REF!</v>
      </c>
      <c r="DL30" t="e">
        <f>AND('POTENCIAL HORAS'!#REF!,"AAAAAHe+H3M=")</f>
        <v>#REF!</v>
      </c>
      <c r="DM30" t="e">
        <f>AND('POTENCIAL HORAS'!#REF!,"AAAAAHe+H3Q=")</f>
        <v>#REF!</v>
      </c>
      <c r="DN30" t="e">
        <f>AND('POTENCIAL HORAS'!#REF!,"AAAAAHe+H3U=")</f>
        <v>#REF!</v>
      </c>
      <c r="DO30" t="e">
        <f>AND('POTENCIAL HORAS'!#REF!,"AAAAAHe+H3Y=")</f>
        <v>#REF!</v>
      </c>
      <c r="DP30" t="e">
        <f>AND('POTENCIAL HORAS'!#REF!,"AAAAAHe+H3c=")</f>
        <v>#REF!</v>
      </c>
      <c r="DQ30" t="e">
        <f>AND('POTENCIAL HORAS'!#REF!,"AAAAAHe+H3g=")</f>
        <v>#REF!</v>
      </c>
      <c r="DR30" t="e">
        <f>AND('POTENCIAL HORAS'!#REF!,"AAAAAHe+H3k=")</f>
        <v>#REF!</v>
      </c>
      <c r="DS30" t="e">
        <f>AND('POTENCIAL HORAS'!#REF!,"AAAAAHe+H3o=")</f>
        <v>#REF!</v>
      </c>
      <c r="DT30" t="e">
        <f>AND('POTENCIAL HORAS'!#REF!,"AAAAAHe+H3s=")</f>
        <v>#REF!</v>
      </c>
      <c r="DU30" t="e">
        <f>AND('POTENCIAL HORAS'!#REF!,"AAAAAHe+H3w=")</f>
        <v>#REF!</v>
      </c>
      <c r="DV30" t="e">
        <f>AND('POTENCIAL HORAS'!#REF!,"AAAAAHe+H30=")</f>
        <v>#REF!</v>
      </c>
      <c r="DW30" t="e">
        <f>AND('POTENCIAL HORAS'!#REF!,"AAAAAHe+H34=")</f>
        <v>#REF!</v>
      </c>
      <c r="DX30" t="e">
        <f>AND('POTENCIAL HORAS'!#REF!,"AAAAAHe+H38=")</f>
        <v>#REF!</v>
      </c>
      <c r="DY30" t="e">
        <f>AND('POTENCIAL HORAS'!#REF!,"AAAAAHe+H4A=")</f>
        <v>#REF!</v>
      </c>
      <c r="DZ30" t="e">
        <f>AND('POTENCIAL HORAS'!#REF!,"AAAAAHe+H4E=")</f>
        <v>#REF!</v>
      </c>
      <c r="EA30" t="e">
        <f>AND('POTENCIAL HORAS'!#REF!,"AAAAAHe+H4I=")</f>
        <v>#REF!</v>
      </c>
      <c r="EB30" t="e">
        <f>AND('POTENCIAL HORAS'!#REF!,"AAAAAHe+H4M=")</f>
        <v>#REF!</v>
      </c>
      <c r="EC30" t="e">
        <f>AND('POTENCIAL HORAS'!#REF!,"AAAAAHe+H4Q=")</f>
        <v>#REF!</v>
      </c>
      <c r="ED30" t="e">
        <f>AND('POTENCIAL HORAS'!#REF!,"AAAAAHe+H4U=")</f>
        <v>#REF!</v>
      </c>
      <c r="EE30" t="e">
        <f>AND('POTENCIAL HORAS'!#REF!,"AAAAAHe+H4Y=")</f>
        <v>#REF!</v>
      </c>
      <c r="EF30" t="e">
        <f>AND('POTENCIAL HORAS'!#REF!,"AAAAAHe+H4c=")</f>
        <v>#REF!</v>
      </c>
      <c r="EG30" t="e">
        <f>AND('POTENCIAL HORAS'!#REF!,"AAAAAHe+H4g=")</f>
        <v>#REF!</v>
      </c>
      <c r="EH30" t="e">
        <f>AND('POTENCIAL HORAS'!#REF!,"AAAAAHe+H4k=")</f>
        <v>#REF!</v>
      </c>
      <c r="EI30" t="e">
        <f>AND('POTENCIAL HORAS'!#REF!,"AAAAAHe+H4o=")</f>
        <v>#REF!</v>
      </c>
      <c r="EJ30" t="e">
        <f>AND('POTENCIAL HORAS'!#REF!,"AAAAAHe+H4s=")</f>
        <v>#REF!</v>
      </c>
      <c r="EK30" t="e">
        <f>AND('POTENCIAL HORAS'!#REF!,"AAAAAHe+H4w=")</f>
        <v>#REF!</v>
      </c>
      <c r="EL30" t="e">
        <f>AND('POTENCIAL HORAS'!#REF!,"AAAAAHe+H40=")</f>
        <v>#REF!</v>
      </c>
      <c r="EM30" t="e">
        <f>IF('POTENCIAL HORAS'!#REF!,"AAAAAHe+H44=",0)</f>
        <v>#REF!</v>
      </c>
      <c r="EN30" t="e">
        <f>AND('POTENCIAL HORAS'!#REF!,"AAAAAHe+H48=")</f>
        <v>#REF!</v>
      </c>
      <c r="EO30" t="e">
        <f>AND('POTENCIAL HORAS'!#REF!,"AAAAAHe+H5A=")</f>
        <v>#REF!</v>
      </c>
      <c r="EP30" t="e">
        <f>AND('POTENCIAL HORAS'!#REF!,"AAAAAHe+H5E=")</f>
        <v>#REF!</v>
      </c>
      <c r="EQ30" t="e">
        <f>AND('POTENCIAL HORAS'!#REF!,"AAAAAHe+H5I=")</f>
        <v>#REF!</v>
      </c>
      <c r="ER30" t="e">
        <f>AND('POTENCIAL HORAS'!#REF!,"AAAAAHe+H5M=")</f>
        <v>#REF!</v>
      </c>
      <c r="ES30" t="e">
        <f>AND('POTENCIAL HORAS'!#REF!,"AAAAAHe+H5Q=")</f>
        <v>#REF!</v>
      </c>
      <c r="ET30" t="e">
        <f>AND('POTENCIAL HORAS'!#REF!,"AAAAAHe+H5U=")</f>
        <v>#REF!</v>
      </c>
      <c r="EU30" t="e">
        <f>AND('POTENCIAL HORAS'!#REF!,"AAAAAHe+H5Y=")</f>
        <v>#REF!</v>
      </c>
      <c r="EV30" t="e">
        <f>AND('POTENCIAL HORAS'!#REF!,"AAAAAHe+H5c=")</f>
        <v>#REF!</v>
      </c>
      <c r="EW30" t="e">
        <f>AND('POTENCIAL HORAS'!#REF!,"AAAAAHe+H5g=")</f>
        <v>#REF!</v>
      </c>
      <c r="EX30" t="e">
        <f>AND('POTENCIAL HORAS'!#REF!,"AAAAAHe+H5k=")</f>
        <v>#REF!</v>
      </c>
      <c r="EY30" t="e">
        <f>AND('POTENCIAL HORAS'!#REF!,"AAAAAHe+H5o=")</f>
        <v>#REF!</v>
      </c>
      <c r="EZ30" t="e">
        <f>AND('POTENCIAL HORAS'!#REF!,"AAAAAHe+H5s=")</f>
        <v>#REF!</v>
      </c>
      <c r="FA30" t="e">
        <f>AND('POTENCIAL HORAS'!#REF!,"AAAAAHe+H5w=")</f>
        <v>#REF!</v>
      </c>
      <c r="FB30" t="e">
        <f>AND('POTENCIAL HORAS'!#REF!,"AAAAAHe+H50=")</f>
        <v>#REF!</v>
      </c>
      <c r="FC30" t="e">
        <f>AND('POTENCIAL HORAS'!#REF!,"AAAAAHe+H54=")</f>
        <v>#REF!</v>
      </c>
      <c r="FD30" t="e">
        <f>AND('POTENCIAL HORAS'!#REF!,"AAAAAHe+H58=")</f>
        <v>#REF!</v>
      </c>
      <c r="FE30" t="e">
        <f>AND('POTENCIAL HORAS'!#REF!,"AAAAAHe+H6A=")</f>
        <v>#REF!</v>
      </c>
      <c r="FF30" t="e">
        <f>AND('POTENCIAL HORAS'!#REF!,"AAAAAHe+H6E=")</f>
        <v>#REF!</v>
      </c>
      <c r="FG30" t="e">
        <f>AND('POTENCIAL HORAS'!#REF!,"AAAAAHe+H6I=")</f>
        <v>#REF!</v>
      </c>
      <c r="FH30" t="e">
        <f>AND('POTENCIAL HORAS'!#REF!,"AAAAAHe+H6M=")</f>
        <v>#REF!</v>
      </c>
      <c r="FI30" t="e">
        <f>AND('POTENCIAL HORAS'!#REF!,"AAAAAHe+H6Q=")</f>
        <v>#REF!</v>
      </c>
      <c r="FJ30" t="e">
        <f>AND('POTENCIAL HORAS'!#REF!,"AAAAAHe+H6U=")</f>
        <v>#REF!</v>
      </c>
      <c r="FK30" t="e">
        <f>AND('POTENCIAL HORAS'!#REF!,"AAAAAHe+H6Y=")</f>
        <v>#REF!</v>
      </c>
      <c r="FL30" t="e">
        <f>AND('POTENCIAL HORAS'!#REF!,"AAAAAHe+H6c=")</f>
        <v>#REF!</v>
      </c>
      <c r="FM30" t="e">
        <f>AND('POTENCIAL HORAS'!#REF!,"AAAAAHe+H6g=")</f>
        <v>#REF!</v>
      </c>
      <c r="FN30" t="e">
        <f>AND('POTENCIAL HORAS'!#REF!,"AAAAAHe+H6k=")</f>
        <v>#REF!</v>
      </c>
      <c r="FO30" t="e">
        <f>AND('POTENCIAL HORAS'!#REF!,"AAAAAHe+H6o=")</f>
        <v>#REF!</v>
      </c>
      <c r="FP30" t="e">
        <f>AND('POTENCIAL HORAS'!#REF!,"AAAAAHe+H6s=")</f>
        <v>#REF!</v>
      </c>
      <c r="FQ30" t="e">
        <f>AND('POTENCIAL HORAS'!#REF!,"AAAAAHe+H6w=")</f>
        <v>#REF!</v>
      </c>
      <c r="FR30" t="e">
        <f>AND('POTENCIAL HORAS'!#REF!,"AAAAAHe+H60=")</f>
        <v>#REF!</v>
      </c>
      <c r="FS30" t="e">
        <f>AND('POTENCIAL HORAS'!#REF!,"AAAAAHe+H64=")</f>
        <v>#REF!</v>
      </c>
      <c r="FT30" t="e">
        <f>AND('POTENCIAL HORAS'!#REF!,"AAAAAHe+H68=")</f>
        <v>#REF!</v>
      </c>
      <c r="FU30" t="e">
        <f>AND('POTENCIAL HORAS'!#REF!,"AAAAAHe+H7A=")</f>
        <v>#REF!</v>
      </c>
      <c r="FV30" t="e">
        <f>AND('POTENCIAL HORAS'!#REF!,"AAAAAHe+H7E=")</f>
        <v>#REF!</v>
      </c>
      <c r="FW30" t="e">
        <f>AND('POTENCIAL HORAS'!#REF!,"AAAAAHe+H7I=")</f>
        <v>#REF!</v>
      </c>
      <c r="FX30" t="e">
        <f>AND('POTENCIAL HORAS'!#REF!,"AAAAAHe+H7M=")</f>
        <v>#REF!</v>
      </c>
      <c r="FY30" t="e">
        <f>AND('POTENCIAL HORAS'!#REF!,"AAAAAHe+H7Q=")</f>
        <v>#REF!</v>
      </c>
      <c r="FZ30" t="e">
        <f>IF('POTENCIAL HORAS'!#REF!,"AAAAAHe+H7U=",0)</f>
        <v>#REF!</v>
      </c>
      <c r="GA30" t="e">
        <f>AND('POTENCIAL HORAS'!#REF!,"AAAAAHe+H7Y=")</f>
        <v>#REF!</v>
      </c>
      <c r="GB30" t="e">
        <f>AND('POTENCIAL HORAS'!#REF!,"AAAAAHe+H7c=")</f>
        <v>#REF!</v>
      </c>
      <c r="GC30" t="e">
        <f>AND('POTENCIAL HORAS'!#REF!,"AAAAAHe+H7g=")</f>
        <v>#REF!</v>
      </c>
      <c r="GD30" t="e">
        <f>AND('POTENCIAL HORAS'!#REF!,"AAAAAHe+H7k=")</f>
        <v>#REF!</v>
      </c>
      <c r="GE30" t="e">
        <f>AND('POTENCIAL HORAS'!#REF!,"AAAAAHe+H7o=")</f>
        <v>#REF!</v>
      </c>
      <c r="GF30" t="e">
        <f>AND('POTENCIAL HORAS'!#REF!,"AAAAAHe+H7s=")</f>
        <v>#REF!</v>
      </c>
      <c r="GG30" t="e">
        <f>AND('POTENCIAL HORAS'!#REF!,"AAAAAHe+H7w=")</f>
        <v>#REF!</v>
      </c>
      <c r="GH30" t="e">
        <f>AND('POTENCIAL HORAS'!#REF!,"AAAAAHe+H70=")</f>
        <v>#REF!</v>
      </c>
      <c r="GI30" t="e">
        <f>AND('POTENCIAL HORAS'!#REF!,"AAAAAHe+H74=")</f>
        <v>#REF!</v>
      </c>
      <c r="GJ30" t="e">
        <f>AND('POTENCIAL HORAS'!#REF!,"AAAAAHe+H78=")</f>
        <v>#REF!</v>
      </c>
      <c r="GK30" t="e">
        <f>AND('POTENCIAL HORAS'!#REF!,"AAAAAHe+H8A=")</f>
        <v>#REF!</v>
      </c>
      <c r="GL30" t="e">
        <f>AND('POTENCIAL HORAS'!#REF!,"AAAAAHe+H8E=")</f>
        <v>#REF!</v>
      </c>
      <c r="GM30" t="e">
        <f>AND('POTENCIAL HORAS'!#REF!,"AAAAAHe+H8I=")</f>
        <v>#REF!</v>
      </c>
      <c r="GN30" t="e">
        <f>AND('POTENCIAL HORAS'!#REF!,"AAAAAHe+H8M=")</f>
        <v>#REF!</v>
      </c>
      <c r="GO30" t="e">
        <f>AND('POTENCIAL HORAS'!#REF!,"AAAAAHe+H8Q=")</f>
        <v>#REF!</v>
      </c>
      <c r="GP30" t="e">
        <f>AND('POTENCIAL HORAS'!#REF!,"AAAAAHe+H8U=")</f>
        <v>#REF!</v>
      </c>
      <c r="GQ30" t="e">
        <f>AND('POTENCIAL HORAS'!#REF!,"AAAAAHe+H8Y=")</f>
        <v>#REF!</v>
      </c>
      <c r="GR30" t="e">
        <f>AND('POTENCIAL HORAS'!#REF!,"AAAAAHe+H8c=")</f>
        <v>#REF!</v>
      </c>
      <c r="GS30" t="e">
        <f>AND('POTENCIAL HORAS'!#REF!,"AAAAAHe+H8g=")</f>
        <v>#REF!</v>
      </c>
      <c r="GT30" t="e">
        <f>AND('POTENCIAL HORAS'!#REF!,"AAAAAHe+H8k=")</f>
        <v>#REF!</v>
      </c>
      <c r="GU30" t="e">
        <f>AND('POTENCIAL HORAS'!#REF!,"AAAAAHe+H8o=")</f>
        <v>#REF!</v>
      </c>
      <c r="GV30" t="e">
        <f>AND('POTENCIAL HORAS'!#REF!,"AAAAAHe+H8s=")</f>
        <v>#REF!</v>
      </c>
      <c r="GW30" t="e">
        <f>AND('POTENCIAL HORAS'!#REF!,"AAAAAHe+H8w=")</f>
        <v>#REF!</v>
      </c>
      <c r="GX30" t="e">
        <f>AND('POTENCIAL HORAS'!#REF!,"AAAAAHe+H80=")</f>
        <v>#REF!</v>
      </c>
      <c r="GY30" t="e">
        <f>AND('POTENCIAL HORAS'!#REF!,"AAAAAHe+H84=")</f>
        <v>#REF!</v>
      </c>
      <c r="GZ30" t="e">
        <f>AND('POTENCIAL HORAS'!#REF!,"AAAAAHe+H88=")</f>
        <v>#REF!</v>
      </c>
      <c r="HA30" t="e">
        <f>AND('POTENCIAL HORAS'!#REF!,"AAAAAHe+H9A=")</f>
        <v>#REF!</v>
      </c>
      <c r="HB30" t="e">
        <f>AND('POTENCIAL HORAS'!#REF!,"AAAAAHe+H9E=")</f>
        <v>#REF!</v>
      </c>
      <c r="HC30" t="e">
        <f>AND('POTENCIAL HORAS'!#REF!,"AAAAAHe+H9I=")</f>
        <v>#REF!</v>
      </c>
      <c r="HD30" t="e">
        <f>AND('POTENCIAL HORAS'!#REF!,"AAAAAHe+H9M=")</f>
        <v>#REF!</v>
      </c>
      <c r="HE30" t="e">
        <f>AND('POTENCIAL HORAS'!#REF!,"AAAAAHe+H9Q=")</f>
        <v>#REF!</v>
      </c>
      <c r="HF30" t="e">
        <f>AND('POTENCIAL HORAS'!#REF!,"AAAAAHe+H9U=")</f>
        <v>#REF!</v>
      </c>
      <c r="HG30" t="e">
        <f>AND('POTENCIAL HORAS'!#REF!,"AAAAAHe+H9Y=")</f>
        <v>#REF!</v>
      </c>
      <c r="HH30" t="e">
        <f>AND('POTENCIAL HORAS'!#REF!,"AAAAAHe+H9c=")</f>
        <v>#REF!</v>
      </c>
      <c r="HI30" t="e">
        <f>AND('POTENCIAL HORAS'!#REF!,"AAAAAHe+H9g=")</f>
        <v>#REF!</v>
      </c>
      <c r="HJ30" t="e">
        <f>AND('POTENCIAL HORAS'!#REF!,"AAAAAHe+H9k=")</f>
        <v>#REF!</v>
      </c>
      <c r="HK30" t="e">
        <f>AND('POTENCIAL HORAS'!#REF!,"AAAAAHe+H9o=")</f>
        <v>#REF!</v>
      </c>
      <c r="HL30" t="e">
        <f>AND('POTENCIAL HORAS'!#REF!,"AAAAAHe+H9s=")</f>
        <v>#REF!</v>
      </c>
      <c r="HM30" t="e">
        <f>IF('POTENCIAL HORAS'!#REF!,"AAAAAHe+H9w=",0)</f>
        <v>#REF!</v>
      </c>
      <c r="HN30" t="e">
        <f>AND('POTENCIAL HORAS'!#REF!,"AAAAAHe+H90=")</f>
        <v>#REF!</v>
      </c>
      <c r="HO30" t="e">
        <f>AND('POTENCIAL HORAS'!#REF!,"AAAAAHe+H94=")</f>
        <v>#REF!</v>
      </c>
      <c r="HP30" t="e">
        <f>AND('POTENCIAL HORAS'!#REF!,"AAAAAHe+H98=")</f>
        <v>#REF!</v>
      </c>
      <c r="HQ30" t="e">
        <f>AND('POTENCIAL HORAS'!#REF!,"AAAAAHe+H+A=")</f>
        <v>#REF!</v>
      </c>
      <c r="HR30" t="e">
        <f>AND('POTENCIAL HORAS'!#REF!,"AAAAAHe+H+E=")</f>
        <v>#REF!</v>
      </c>
      <c r="HS30" t="e">
        <f>AND('POTENCIAL HORAS'!#REF!,"AAAAAHe+H+I=")</f>
        <v>#REF!</v>
      </c>
      <c r="HT30" t="e">
        <f>AND('POTENCIAL HORAS'!#REF!,"AAAAAHe+H+M=")</f>
        <v>#REF!</v>
      </c>
      <c r="HU30" t="e">
        <f>AND('POTENCIAL HORAS'!#REF!,"AAAAAHe+H+Q=")</f>
        <v>#REF!</v>
      </c>
      <c r="HV30" t="e">
        <f>AND('POTENCIAL HORAS'!#REF!,"AAAAAHe+H+U=")</f>
        <v>#REF!</v>
      </c>
      <c r="HW30" t="e">
        <f>AND('POTENCIAL HORAS'!#REF!,"AAAAAHe+H+Y=")</f>
        <v>#REF!</v>
      </c>
      <c r="HX30" t="e">
        <f>AND('POTENCIAL HORAS'!#REF!,"AAAAAHe+H+c=")</f>
        <v>#REF!</v>
      </c>
      <c r="HY30" t="e">
        <f>AND('POTENCIAL HORAS'!#REF!,"AAAAAHe+H+g=")</f>
        <v>#REF!</v>
      </c>
      <c r="HZ30" t="e">
        <f>AND('POTENCIAL HORAS'!#REF!,"AAAAAHe+H+k=")</f>
        <v>#REF!</v>
      </c>
      <c r="IA30" t="e">
        <f>AND('POTENCIAL HORAS'!#REF!,"AAAAAHe+H+o=")</f>
        <v>#REF!</v>
      </c>
      <c r="IB30" t="e">
        <f>AND('POTENCIAL HORAS'!#REF!,"AAAAAHe+H+s=")</f>
        <v>#REF!</v>
      </c>
      <c r="IC30" t="e">
        <f>AND('POTENCIAL HORAS'!#REF!,"AAAAAHe+H+w=")</f>
        <v>#REF!</v>
      </c>
      <c r="ID30" t="e">
        <f>AND('POTENCIAL HORAS'!#REF!,"AAAAAHe+H+0=")</f>
        <v>#REF!</v>
      </c>
      <c r="IE30" t="e">
        <f>AND('POTENCIAL HORAS'!#REF!,"AAAAAHe+H+4=")</f>
        <v>#REF!</v>
      </c>
      <c r="IF30" t="e">
        <f>AND('POTENCIAL HORAS'!#REF!,"AAAAAHe+H+8=")</f>
        <v>#REF!</v>
      </c>
      <c r="IG30" t="e">
        <f>AND('POTENCIAL HORAS'!#REF!,"AAAAAHe+H/A=")</f>
        <v>#REF!</v>
      </c>
      <c r="IH30" t="e">
        <f>AND('POTENCIAL HORAS'!#REF!,"AAAAAHe+H/E=")</f>
        <v>#REF!</v>
      </c>
      <c r="II30" t="e">
        <f>AND('POTENCIAL HORAS'!#REF!,"AAAAAHe+H/I=")</f>
        <v>#REF!</v>
      </c>
      <c r="IJ30" t="e">
        <f>AND('POTENCIAL HORAS'!#REF!,"AAAAAHe+H/M=")</f>
        <v>#REF!</v>
      </c>
      <c r="IK30" t="e">
        <f>AND('POTENCIAL HORAS'!#REF!,"AAAAAHe+H/Q=")</f>
        <v>#REF!</v>
      </c>
      <c r="IL30" t="e">
        <f>AND('POTENCIAL HORAS'!#REF!,"AAAAAHe+H/U=")</f>
        <v>#REF!</v>
      </c>
      <c r="IM30" t="e">
        <f>AND('POTENCIAL HORAS'!#REF!,"AAAAAHe+H/Y=")</f>
        <v>#REF!</v>
      </c>
      <c r="IN30" t="e">
        <f>AND('POTENCIAL HORAS'!#REF!,"AAAAAHe+H/c=")</f>
        <v>#REF!</v>
      </c>
      <c r="IO30" t="e">
        <f>AND('POTENCIAL HORAS'!#REF!,"AAAAAHe+H/g=")</f>
        <v>#REF!</v>
      </c>
      <c r="IP30" t="e">
        <f>AND('POTENCIAL HORAS'!#REF!,"AAAAAHe+H/k=")</f>
        <v>#REF!</v>
      </c>
      <c r="IQ30" t="e">
        <f>AND('POTENCIAL HORAS'!#REF!,"AAAAAHe+H/o=")</f>
        <v>#REF!</v>
      </c>
      <c r="IR30" t="e">
        <f>AND('POTENCIAL HORAS'!#REF!,"AAAAAHe+H/s=")</f>
        <v>#REF!</v>
      </c>
      <c r="IS30" t="e">
        <f>AND('POTENCIAL HORAS'!#REF!,"AAAAAHe+H/w=")</f>
        <v>#REF!</v>
      </c>
      <c r="IT30" t="e">
        <f>AND('POTENCIAL HORAS'!#REF!,"AAAAAHe+H/0=")</f>
        <v>#REF!</v>
      </c>
      <c r="IU30" t="e">
        <f>AND('POTENCIAL HORAS'!#REF!,"AAAAAHe+H/4=")</f>
        <v>#REF!</v>
      </c>
      <c r="IV30" t="e">
        <f>AND('POTENCIAL HORAS'!#REF!,"AAAAAHe+H/8=")</f>
        <v>#REF!</v>
      </c>
    </row>
    <row r="31" spans="1:256" x14ac:dyDescent="0.2">
      <c r="A31" t="e">
        <f>AND('POTENCIAL HORAS'!#REF!,"AAAAAH/v9gA=")</f>
        <v>#REF!</v>
      </c>
      <c r="B31" t="e">
        <f>AND('POTENCIAL HORAS'!#REF!,"AAAAAH/v9gE=")</f>
        <v>#REF!</v>
      </c>
      <c r="C31" t="e">
        <f>AND('POTENCIAL HORAS'!#REF!,"AAAAAH/v9gI=")</f>
        <v>#REF!</v>
      </c>
      <c r="D31" t="e">
        <f>IF('POTENCIAL HORAS'!#REF!,"AAAAAH/v9gM=",0)</f>
        <v>#REF!</v>
      </c>
      <c r="E31" t="e">
        <f>AND('POTENCIAL HORAS'!#REF!,"AAAAAH/v9gQ=")</f>
        <v>#REF!</v>
      </c>
      <c r="F31" t="e">
        <f>AND('POTENCIAL HORAS'!#REF!,"AAAAAH/v9gU=")</f>
        <v>#REF!</v>
      </c>
      <c r="G31" t="e">
        <f>AND('POTENCIAL HORAS'!#REF!,"AAAAAH/v9gY=")</f>
        <v>#REF!</v>
      </c>
      <c r="H31" t="e">
        <f>AND('POTENCIAL HORAS'!#REF!,"AAAAAH/v9gc=")</f>
        <v>#REF!</v>
      </c>
      <c r="I31" t="e">
        <f>AND('POTENCIAL HORAS'!#REF!,"AAAAAH/v9gg=")</f>
        <v>#REF!</v>
      </c>
      <c r="J31" t="e">
        <f>AND('POTENCIAL HORAS'!#REF!,"AAAAAH/v9gk=")</f>
        <v>#REF!</v>
      </c>
      <c r="K31" t="e">
        <f>AND('POTENCIAL HORAS'!#REF!,"AAAAAH/v9go=")</f>
        <v>#REF!</v>
      </c>
      <c r="L31" t="e">
        <f>AND('POTENCIAL HORAS'!#REF!,"AAAAAH/v9gs=")</f>
        <v>#REF!</v>
      </c>
      <c r="M31" t="e">
        <f>AND('POTENCIAL HORAS'!#REF!,"AAAAAH/v9gw=")</f>
        <v>#REF!</v>
      </c>
      <c r="N31" t="e">
        <f>AND('POTENCIAL HORAS'!#REF!,"AAAAAH/v9g0=")</f>
        <v>#REF!</v>
      </c>
      <c r="O31" t="e">
        <f>AND('POTENCIAL HORAS'!#REF!,"AAAAAH/v9g4=")</f>
        <v>#REF!</v>
      </c>
      <c r="P31" t="e">
        <f>AND('POTENCIAL HORAS'!#REF!,"AAAAAH/v9g8=")</f>
        <v>#REF!</v>
      </c>
      <c r="Q31" t="e">
        <f>AND('POTENCIAL HORAS'!#REF!,"AAAAAH/v9hA=")</f>
        <v>#REF!</v>
      </c>
      <c r="R31" t="e">
        <f>AND('POTENCIAL HORAS'!#REF!,"AAAAAH/v9hE=")</f>
        <v>#REF!</v>
      </c>
      <c r="S31" t="e">
        <f>AND('POTENCIAL HORAS'!#REF!,"AAAAAH/v9hI=")</f>
        <v>#REF!</v>
      </c>
      <c r="T31" t="e">
        <f>AND('POTENCIAL HORAS'!#REF!,"AAAAAH/v9hM=")</f>
        <v>#REF!</v>
      </c>
      <c r="U31" t="e">
        <f>AND('POTENCIAL HORAS'!#REF!,"AAAAAH/v9hQ=")</f>
        <v>#REF!</v>
      </c>
      <c r="V31" t="e">
        <f>AND('POTENCIAL HORAS'!#REF!,"AAAAAH/v9hU=")</f>
        <v>#REF!</v>
      </c>
      <c r="W31" t="e">
        <f>AND('POTENCIAL HORAS'!#REF!,"AAAAAH/v9hY=")</f>
        <v>#REF!</v>
      </c>
      <c r="X31" t="e">
        <f>AND('POTENCIAL HORAS'!#REF!,"AAAAAH/v9hc=")</f>
        <v>#REF!</v>
      </c>
      <c r="Y31" t="e">
        <f>AND('POTENCIAL HORAS'!#REF!,"AAAAAH/v9hg=")</f>
        <v>#REF!</v>
      </c>
      <c r="Z31" t="e">
        <f>AND('POTENCIAL HORAS'!#REF!,"AAAAAH/v9hk=")</f>
        <v>#REF!</v>
      </c>
      <c r="AA31" t="e">
        <f>AND('POTENCIAL HORAS'!#REF!,"AAAAAH/v9ho=")</f>
        <v>#REF!</v>
      </c>
      <c r="AB31" t="e">
        <f>AND('POTENCIAL HORAS'!#REF!,"AAAAAH/v9hs=")</f>
        <v>#REF!</v>
      </c>
      <c r="AC31" t="e">
        <f>AND('POTENCIAL HORAS'!#REF!,"AAAAAH/v9hw=")</f>
        <v>#REF!</v>
      </c>
      <c r="AD31" t="e">
        <f>AND('POTENCIAL HORAS'!#REF!,"AAAAAH/v9h0=")</f>
        <v>#REF!</v>
      </c>
      <c r="AE31" t="e">
        <f>AND('POTENCIAL HORAS'!#REF!,"AAAAAH/v9h4=")</f>
        <v>#REF!</v>
      </c>
      <c r="AF31" t="e">
        <f>AND('POTENCIAL HORAS'!#REF!,"AAAAAH/v9h8=")</f>
        <v>#REF!</v>
      </c>
      <c r="AG31" t="e">
        <f>AND('POTENCIAL HORAS'!#REF!,"AAAAAH/v9iA=")</f>
        <v>#REF!</v>
      </c>
      <c r="AH31" t="e">
        <f>AND('POTENCIAL HORAS'!#REF!,"AAAAAH/v9iE=")</f>
        <v>#REF!</v>
      </c>
      <c r="AI31" t="e">
        <f>AND('POTENCIAL HORAS'!#REF!,"AAAAAH/v9iI=")</f>
        <v>#REF!</v>
      </c>
      <c r="AJ31" t="e">
        <f>AND('POTENCIAL HORAS'!#REF!,"AAAAAH/v9iM=")</f>
        <v>#REF!</v>
      </c>
      <c r="AK31" t="e">
        <f>AND('POTENCIAL HORAS'!#REF!,"AAAAAH/v9iQ=")</f>
        <v>#REF!</v>
      </c>
      <c r="AL31" t="e">
        <f>AND('POTENCIAL HORAS'!#REF!,"AAAAAH/v9iU=")</f>
        <v>#REF!</v>
      </c>
      <c r="AM31" t="e">
        <f>AND('POTENCIAL HORAS'!#REF!,"AAAAAH/v9iY=")</f>
        <v>#REF!</v>
      </c>
      <c r="AN31" t="e">
        <f>AND('POTENCIAL HORAS'!#REF!,"AAAAAH/v9ic=")</f>
        <v>#REF!</v>
      </c>
      <c r="AO31" t="e">
        <f>AND('POTENCIAL HORAS'!#REF!,"AAAAAH/v9ig=")</f>
        <v>#REF!</v>
      </c>
      <c r="AP31" t="e">
        <f>AND('POTENCIAL HORAS'!#REF!,"AAAAAH/v9ik=")</f>
        <v>#REF!</v>
      </c>
      <c r="AQ31" t="e">
        <f>IF('POTENCIAL HORAS'!#REF!,"AAAAAH/v9io=",0)</f>
        <v>#REF!</v>
      </c>
      <c r="AR31" t="e">
        <f>AND('POTENCIAL HORAS'!#REF!,"AAAAAH/v9is=")</f>
        <v>#REF!</v>
      </c>
      <c r="AS31" t="e">
        <f>AND('POTENCIAL HORAS'!#REF!,"AAAAAH/v9iw=")</f>
        <v>#REF!</v>
      </c>
      <c r="AT31" t="e">
        <f>AND('POTENCIAL HORAS'!#REF!,"AAAAAH/v9i0=")</f>
        <v>#REF!</v>
      </c>
      <c r="AU31" t="e">
        <f>AND('POTENCIAL HORAS'!#REF!,"AAAAAH/v9i4=")</f>
        <v>#REF!</v>
      </c>
      <c r="AV31" t="e">
        <f>AND('POTENCIAL HORAS'!#REF!,"AAAAAH/v9i8=")</f>
        <v>#REF!</v>
      </c>
      <c r="AW31" t="e">
        <f>AND('POTENCIAL HORAS'!#REF!,"AAAAAH/v9jA=")</f>
        <v>#REF!</v>
      </c>
      <c r="AX31" t="e">
        <f>AND('POTENCIAL HORAS'!#REF!,"AAAAAH/v9jE=")</f>
        <v>#REF!</v>
      </c>
      <c r="AY31" t="e">
        <f>AND('POTENCIAL HORAS'!#REF!,"AAAAAH/v9jI=")</f>
        <v>#REF!</v>
      </c>
      <c r="AZ31" t="e">
        <f>AND('POTENCIAL HORAS'!#REF!,"AAAAAH/v9jM=")</f>
        <v>#REF!</v>
      </c>
      <c r="BA31" t="e">
        <f>AND('POTENCIAL HORAS'!#REF!,"AAAAAH/v9jQ=")</f>
        <v>#REF!</v>
      </c>
      <c r="BB31" t="e">
        <f>AND('POTENCIAL HORAS'!#REF!,"AAAAAH/v9jU=")</f>
        <v>#REF!</v>
      </c>
      <c r="BC31" t="e">
        <f>AND('POTENCIAL HORAS'!#REF!,"AAAAAH/v9jY=")</f>
        <v>#REF!</v>
      </c>
      <c r="BD31" t="e">
        <f>AND('POTENCIAL HORAS'!#REF!,"AAAAAH/v9jc=")</f>
        <v>#REF!</v>
      </c>
      <c r="BE31" t="e">
        <f>AND('POTENCIAL HORAS'!#REF!,"AAAAAH/v9jg=")</f>
        <v>#REF!</v>
      </c>
      <c r="BF31" t="e">
        <f>AND('POTENCIAL HORAS'!#REF!,"AAAAAH/v9jk=")</f>
        <v>#REF!</v>
      </c>
      <c r="BG31" t="e">
        <f>AND('POTENCIAL HORAS'!#REF!,"AAAAAH/v9jo=")</f>
        <v>#REF!</v>
      </c>
      <c r="BH31" t="e">
        <f>AND('POTENCIAL HORAS'!#REF!,"AAAAAH/v9js=")</f>
        <v>#REF!</v>
      </c>
      <c r="BI31" t="e">
        <f>AND('POTENCIAL HORAS'!#REF!,"AAAAAH/v9jw=")</f>
        <v>#REF!</v>
      </c>
      <c r="BJ31" t="e">
        <f>AND('POTENCIAL HORAS'!#REF!,"AAAAAH/v9j0=")</f>
        <v>#REF!</v>
      </c>
      <c r="BK31" t="e">
        <f>AND('POTENCIAL HORAS'!#REF!,"AAAAAH/v9j4=")</f>
        <v>#REF!</v>
      </c>
      <c r="BL31" t="e">
        <f>AND('POTENCIAL HORAS'!#REF!,"AAAAAH/v9j8=")</f>
        <v>#REF!</v>
      </c>
      <c r="BM31" t="e">
        <f>AND('POTENCIAL HORAS'!#REF!,"AAAAAH/v9kA=")</f>
        <v>#REF!</v>
      </c>
      <c r="BN31" t="e">
        <f>AND('POTENCIAL HORAS'!#REF!,"AAAAAH/v9kE=")</f>
        <v>#REF!</v>
      </c>
      <c r="BO31" t="e">
        <f>AND('POTENCIAL HORAS'!#REF!,"AAAAAH/v9kI=")</f>
        <v>#REF!</v>
      </c>
      <c r="BP31" t="e">
        <f>AND('POTENCIAL HORAS'!#REF!,"AAAAAH/v9kM=")</f>
        <v>#REF!</v>
      </c>
      <c r="BQ31" t="e">
        <f>AND('POTENCIAL HORAS'!#REF!,"AAAAAH/v9kQ=")</f>
        <v>#REF!</v>
      </c>
      <c r="BR31" t="e">
        <f>AND('POTENCIAL HORAS'!#REF!,"AAAAAH/v9kU=")</f>
        <v>#REF!</v>
      </c>
      <c r="BS31" t="e">
        <f>AND('POTENCIAL HORAS'!#REF!,"AAAAAH/v9kY=")</f>
        <v>#REF!</v>
      </c>
      <c r="BT31" t="e">
        <f>AND('POTENCIAL HORAS'!#REF!,"AAAAAH/v9kc=")</f>
        <v>#REF!</v>
      </c>
      <c r="BU31" t="e">
        <f>AND('POTENCIAL HORAS'!#REF!,"AAAAAH/v9kg=")</f>
        <v>#REF!</v>
      </c>
      <c r="BV31" t="e">
        <f>AND('POTENCIAL HORAS'!#REF!,"AAAAAH/v9kk=")</f>
        <v>#REF!</v>
      </c>
      <c r="BW31" t="e">
        <f>AND('POTENCIAL HORAS'!#REF!,"AAAAAH/v9ko=")</f>
        <v>#REF!</v>
      </c>
      <c r="BX31" t="e">
        <f>AND('POTENCIAL HORAS'!#REF!,"AAAAAH/v9ks=")</f>
        <v>#REF!</v>
      </c>
      <c r="BY31" t="e">
        <f>AND('POTENCIAL HORAS'!#REF!,"AAAAAH/v9kw=")</f>
        <v>#REF!</v>
      </c>
      <c r="BZ31" t="e">
        <f>AND('POTENCIAL HORAS'!#REF!,"AAAAAH/v9k0=")</f>
        <v>#REF!</v>
      </c>
      <c r="CA31" t="e">
        <f>AND('POTENCIAL HORAS'!#REF!,"AAAAAH/v9k4=")</f>
        <v>#REF!</v>
      </c>
      <c r="CB31" t="e">
        <f>AND('POTENCIAL HORAS'!#REF!,"AAAAAH/v9k8=")</f>
        <v>#REF!</v>
      </c>
      <c r="CC31" t="e">
        <f>AND('POTENCIAL HORAS'!#REF!,"AAAAAH/v9lA=")</f>
        <v>#REF!</v>
      </c>
      <c r="CD31" t="e">
        <f>IF('POTENCIAL HORAS'!#REF!,"AAAAAH/v9lE=",0)</f>
        <v>#REF!</v>
      </c>
      <c r="CE31" t="e">
        <f>AND('POTENCIAL HORAS'!#REF!,"AAAAAH/v9lI=")</f>
        <v>#REF!</v>
      </c>
      <c r="CF31" t="e">
        <f>AND('POTENCIAL HORAS'!#REF!,"AAAAAH/v9lM=")</f>
        <v>#REF!</v>
      </c>
      <c r="CG31" t="e">
        <f>AND('POTENCIAL HORAS'!#REF!,"AAAAAH/v9lQ=")</f>
        <v>#REF!</v>
      </c>
      <c r="CH31" t="e">
        <f>AND('POTENCIAL HORAS'!#REF!,"AAAAAH/v9lU=")</f>
        <v>#REF!</v>
      </c>
      <c r="CI31" t="e">
        <f>AND('POTENCIAL HORAS'!#REF!,"AAAAAH/v9lY=")</f>
        <v>#REF!</v>
      </c>
      <c r="CJ31" t="e">
        <f>AND('POTENCIAL HORAS'!#REF!,"AAAAAH/v9lc=")</f>
        <v>#REF!</v>
      </c>
      <c r="CK31" t="e">
        <f>AND('POTENCIAL HORAS'!#REF!,"AAAAAH/v9lg=")</f>
        <v>#REF!</v>
      </c>
      <c r="CL31" t="e">
        <f>AND('POTENCIAL HORAS'!#REF!,"AAAAAH/v9lk=")</f>
        <v>#REF!</v>
      </c>
      <c r="CM31" t="e">
        <f>AND('POTENCIAL HORAS'!#REF!,"AAAAAH/v9lo=")</f>
        <v>#REF!</v>
      </c>
      <c r="CN31" t="e">
        <f>AND('POTENCIAL HORAS'!#REF!,"AAAAAH/v9ls=")</f>
        <v>#REF!</v>
      </c>
      <c r="CO31" t="e">
        <f>AND('POTENCIAL HORAS'!#REF!,"AAAAAH/v9lw=")</f>
        <v>#REF!</v>
      </c>
      <c r="CP31" t="e">
        <f>AND('POTENCIAL HORAS'!#REF!,"AAAAAH/v9l0=")</f>
        <v>#REF!</v>
      </c>
      <c r="CQ31" t="e">
        <f>AND('POTENCIAL HORAS'!#REF!,"AAAAAH/v9l4=")</f>
        <v>#REF!</v>
      </c>
      <c r="CR31" t="e">
        <f>AND('POTENCIAL HORAS'!#REF!,"AAAAAH/v9l8=")</f>
        <v>#REF!</v>
      </c>
      <c r="CS31" t="e">
        <f>AND('POTENCIAL HORAS'!#REF!,"AAAAAH/v9mA=")</f>
        <v>#REF!</v>
      </c>
      <c r="CT31" t="e">
        <f>AND('POTENCIAL HORAS'!#REF!,"AAAAAH/v9mE=")</f>
        <v>#REF!</v>
      </c>
      <c r="CU31" t="e">
        <f>AND('POTENCIAL HORAS'!#REF!,"AAAAAH/v9mI=")</f>
        <v>#REF!</v>
      </c>
      <c r="CV31" t="e">
        <f>AND('POTENCIAL HORAS'!#REF!,"AAAAAH/v9mM=")</f>
        <v>#REF!</v>
      </c>
      <c r="CW31" t="e">
        <f>AND('POTENCIAL HORAS'!#REF!,"AAAAAH/v9mQ=")</f>
        <v>#REF!</v>
      </c>
      <c r="CX31" t="e">
        <f>AND('POTENCIAL HORAS'!#REF!,"AAAAAH/v9mU=")</f>
        <v>#REF!</v>
      </c>
      <c r="CY31" t="e">
        <f>AND('POTENCIAL HORAS'!#REF!,"AAAAAH/v9mY=")</f>
        <v>#REF!</v>
      </c>
      <c r="CZ31" t="e">
        <f>AND('POTENCIAL HORAS'!#REF!,"AAAAAH/v9mc=")</f>
        <v>#REF!</v>
      </c>
      <c r="DA31" t="e">
        <f>AND('POTENCIAL HORAS'!#REF!,"AAAAAH/v9mg=")</f>
        <v>#REF!</v>
      </c>
      <c r="DB31" t="e">
        <f>AND('POTENCIAL HORAS'!#REF!,"AAAAAH/v9mk=")</f>
        <v>#REF!</v>
      </c>
      <c r="DC31" t="e">
        <f>AND('POTENCIAL HORAS'!#REF!,"AAAAAH/v9mo=")</f>
        <v>#REF!</v>
      </c>
      <c r="DD31" t="e">
        <f>AND('POTENCIAL HORAS'!#REF!,"AAAAAH/v9ms=")</f>
        <v>#REF!</v>
      </c>
      <c r="DE31" t="e">
        <f>AND('POTENCIAL HORAS'!#REF!,"AAAAAH/v9mw=")</f>
        <v>#REF!</v>
      </c>
      <c r="DF31" t="e">
        <f>AND('POTENCIAL HORAS'!#REF!,"AAAAAH/v9m0=")</f>
        <v>#REF!</v>
      </c>
      <c r="DG31" t="e">
        <f>AND('POTENCIAL HORAS'!#REF!,"AAAAAH/v9m4=")</f>
        <v>#REF!</v>
      </c>
      <c r="DH31" t="e">
        <f>AND('POTENCIAL HORAS'!#REF!,"AAAAAH/v9m8=")</f>
        <v>#REF!</v>
      </c>
      <c r="DI31" t="e">
        <f>AND('POTENCIAL HORAS'!#REF!,"AAAAAH/v9nA=")</f>
        <v>#REF!</v>
      </c>
      <c r="DJ31" t="e">
        <f>AND('POTENCIAL HORAS'!#REF!,"AAAAAH/v9nE=")</f>
        <v>#REF!</v>
      </c>
      <c r="DK31" t="e">
        <f>AND('POTENCIAL HORAS'!#REF!,"AAAAAH/v9nI=")</f>
        <v>#REF!</v>
      </c>
      <c r="DL31" t="e">
        <f>AND('POTENCIAL HORAS'!#REF!,"AAAAAH/v9nM=")</f>
        <v>#REF!</v>
      </c>
      <c r="DM31" t="e">
        <f>AND('POTENCIAL HORAS'!#REF!,"AAAAAH/v9nQ=")</f>
        <v>#REF!</v>
      </c>
      <c r="DN31" t="e">
        <f>AND('POTENCIAL HORAS'!#REF!,"AAAAAH/v9nU=")</f>
        <v>#REF!</v>
      </c>
      <c r="DO31" t="e">
        <f>AND('POTENCIAL HORAS'!#REF!,"AAAAAH/v9nY=")</f>
        <v>#REF!</v>
      </c>
      <c r="DP31" t="e">
        <f>AND('POTENCIAL HORAS'!#REF!,"AAAAAH/v9nc=")</f>
        <v>#REF!</v>
      </c>
      <c r="DQ31" t="e">
        <f>IF('POTENCIAL HORAS'!#REF!,"AAAAAH/v9ng=",0)</f>
        <v>#REF!</v>
      </c>
      <c r="DR31" t="e">
        <f>AND('POTENCIAL HORAS'!#REF!,"AAAAAH/v9nk=")</f>
        <v>#REF!</v>
      </c>
      <c r="DS31" t="e">
        <f>AND('POTENCIAL HORAS'!#REF!,"AAAAAH/v9no=")</f>
        <v>#REF!</v>
      </c>
      <c r="DT31" t="e">
        <f>AND('POTENCIAL HORAS'!#REF!,"AAAAAH/v9ns=")</f>
        <v>#REF!</v>
      </c>
      <c r="DU31" t="e">
        <f>AND('POTENCIAL HORAS'!#REF!,"AAAAAH/v9nw=")</f>
        <v>#REF!</v>
      </c>
      <c r="DV31" t="e">
        <f>AND('POTENCIAL HORAS'!#REF!,"AAAAAH/v9n0=")</f>
        <v>#REF!</v>
      </c>
      <c r="DW31" t="e">
        <f>AND('POTENCIAL HORAS'!#REF!,"AAAAAH/v9n4=")</f>
        <v>#REF!</v>
      </c>
      <c r="DX31" t="e">
        <f>AND('POTENCIAL HORAS'!#REF!,"AAAAAH/v9n8=")</f>
        <v>#REF!</v>
      </c>
      <c r="DY31" t="e">
        <f>AND('POTENCIAL HORAS'!#REF!,"AAAAAH/v9oA=")</f>
        <v>#REF!</v>
      </c>
      <c r="DZ31" t="e">
        <f>AND('POTENCIAL HORAS'!#REF!,"AAAAAH/v9oE=")</f>
        <v>#REF!</v>
      </c>
      <c r="EA31" t="e">
        <f>AND('POTENCIAL HORAS'!#REF!,"AAAAAH/v9oI=")</f>
        <v>#REF!</v>
      </c>
      <c r="EB31" t="e">
        <f>AND('POTENCIAL HORAS'!#REF!,"AAAAAH/v9oM=")</f>
        <v>#REF!</v>
      </c>
      <c r="EC31" t="e">
        <f>AND('POTENCIAL HORAS'!#REF!,"AAAAAH/v9oQ=")</f>
        <v>#REF!</v>
      </c>
      <c r="ED31" t="e">
        <f>AND('POTENCIAL HORAS'!#REF!,"AAAAAH/v9oU=")</f>
        <v>#REF!</v>
      </c>
      <c r="EE31" t="e">
        <f>AND('POTENCIAL HORAS'!#REF!,"AAAAAH/v9oY=")</f>
        <v>#REF!</v>
      </c>
      <c r="EF31" t="e">
        <f>AND('POTENCIAL HORAS'!#REF!,"AAAAAH/v9oc=")</f>
        <v>#REF!</v>
      </c>
      <c r="EG31" t="e">
        <f>AND('POTENCIAL HORAS'!#REF!,"AAAAAH/v9og=")</f>
        <v>#REF!</v>
      </c>
      <c r="EH31" t="e">
        <f>AND('POTENCIAL HORAS'!#REF!,"AAAAAH/v9ok=")</f>
        <v>#REF!</v>
      </c>
      <c r="EI31" t="e">
        <f>AND('POTENCIAL HORAS'!#REF!,"AAAAAH/v9oo=")</f>
        <v>#REF!</v>
      </c>
      <c r="EJ31" t="e">
        <f>AND('POTENCIAL HORAS'!#REF!,"AAAAAH/v9os=")</f>
        <v>#REF!</v>
      </c>
      <c r="EK31" t="e">
        <f>AND('POTENCIAL HORAS'!#REF!,"AAAAAH/v9ow=")</f>
        <v>#REF!</v>
      </c>
      <c r="EL31" t="e">
        <f>AND('POTENCIAL HORAS'!#REF!,"AAAAAH/v9o0=")</f>
        <v>#REF!</v>
      </c>
      <c r="EM31" t="e">
        <f>AND('POTENCIAL HORAS'!#REF!,"AAAAAH/v9o4=")</f>
        <v>#REF!</v>
      </c>
      <c r="EN31" t="e">
        <f>AND('POTENCIAL HORAS'!#REF!,"AAAAAH/v9o8=")</f>
        <v>#REF!</v>
      </c>
      <c r="EO31" t="e">
        <f>AND('POTENCIAL HORAS'!#REF!,"AAAAAH/v9pA=")</f>
        <v>#REF!</v>
      </c>
      <c r="EP31" t="e">
        <f>AND('POTENCIAL HORAS'!#REF!,"AAAAAH/v9pE=")</f>
        <v>#REF!</v>
      </c>
      <c r="EQ31" t="e">
        <f>AND('POTENCIAL HORAS'!#REF!,"AAAAAH/v9pI=")</f>
        <v>#REF!</v>
      </c>
      <c r="ER31" t="e">
        <f>AND('POTENCIAL HORAS'!#REF!,"AAAAAH/v9pM=")</f>
        <v>#REF!</v>
      </c>
      <c r="ES31" t="e">
        <f>AND('POTENCIAL HORAS'!#REF!,"AAAAAH/v9pQ=")</f>
        <v>#REF!</v>
      </c>
      <c r="ET31" t="e">
        <f>AND('POTENCIAL HORAS'!#REF!,"AAAAAH/v9pU=")</f>
        <v>#REF!</v>
      </c>
      <c r="EU31" t="e">
        <f>AND('POTENCIAL HORAS'!#REF!,"AAAAAH/v9pY=")</f>
        <v>#REF!</v>
      </c>
      <c r="EV31" t="e">
        <f>AND('POTENCIAL HORAS'!#REF!,"AAAAAH/v9pc=")</f>
        <v>#REF!</v>
      </c>
      <c r="EW31" t="e">
        <f>AND('POTENCIAL HORAS'!#REF!,"AAAAAH/v9pg=")</f>
        <v>#REF!</v>
      </c>
      <c r="EX31" t="e">
        <f>AND('POTENCIAL HORAS'!#REF!,"AAAAAH/v9pk=")</f>
        <v>#REF!</v>
      </c>
      <c r="EY31" t="e">
        <f>AND('POTENCIAL HORAS'!#REF!,"AAAAAH/v9po=")</f>
        <v>#REF!</v>
      </c>
      <c r="EZ31" t="e">
        <f>AND('POTENCIAL HORAS'!#REF!,"AAAAAH/v9ps=")</f>
        <v>#REF!</v>
      </c>
      <c r="FA31" t="e">
        <f>AND('POTENCIAL HORAS'!#REF!,"AAAAAH/v9pw=")</f>
        <v>#REF!</v>
      </c>
      <c r="FB31" t="e">
        <f>AND('POTENCIAL HORAS'!#REF!,"AAAAAH/v9p0=")</f>
        <v>#REF!</v>
      </c>
      <c r="FC31" t="e">
        <f>AND('POTENCIAL HORAS'!#REF!,"AAAAAH/v9p4=")</f>
        <v>#REF!</v>
      </c>
      <c r="FD31" t="e">
        <f>IF('POTENCIAL HORAS'!#REF!,"AAAAAH/v9p8=",0)</f>
        <v>#REF!</v>
      </c>
      <c r="FE31" t="e">
        <f>AND('POTENCIAL HORAS'!#REF!,"AAAAAH/v9qA=")</f>
        <v>#REF!</v>
      </c>
      <c r="FF31" t="e">
        <f>AND('POTENCIAL HORAS'!#REF!,"AAAAAH/v9qE=")</f>
        <v>#REF!</v>
      </c>
      <c r="FG31" t="e">
        <f>AND('POTENCIAL HORAS'!#REF!,"AAAAAH/v9qI=")</f>
        <v>#REF!</v>
      </c>
      <c r="FH31" t="e">
        <f>AND('POTENCIAL HORAS'!#REF!,"AAAAAH/v9qM=")</f>
        <v>#REF!</v>
      </c>
      <c r="FI31" t="e">
        <f>AND('POTENCIAL HORAS'!#REF!,"AAAAAH/v9qQ=")</f>
        <v>#REF!</v>
      </c>
      <c r="FJ31" t="e">
        <f>AND('POTENCIAL HORAS'!#REF!,"AAAAAH/v9qU=")</f>
        <v>#REF!</v>
      </c>
      <c r="FK31" t="e">
        <f>AND('POTENCIAL HORAS'!#REF!,"AAAAAH/v9qY=")</f>
        <v>#REF!</v>
      </c>
      <c r="FL31" t="e">
        <f>AND('POTENCIAL HORAS'!#REF!,"AAAAAH/v9qc=")</f>
        <v>#REF!</v>
      </c>
      <c r="FM31" t="e">
        <f>AND('POTENCIAL HORAS'!#REF!,"AAAAAH/v9qg=")</f>
        <v>#REF!</v>
      </c>
      <c r="FN31" t="e">
        <f>AND('POTENCIAL HORAS'!#REF!,"AAAAAH/v9qk=")</f>
        <v>#REF!</v>
      </c>
      <c r="FO31" t="e">
        <f>AND('POTENCIAL HORAS'!#REF!,"AAAAAH/v9qo=")</f>
        <v>#REF!</v>
      </c>
      <c r="FP31" t="e">
        <f>AND('POTENCIAL HORAS'!#REF!,"AAAAAH/v9qs=")</f>
        <v>#REF!</v>
      </c>
      <c r="FQ31" t="e">
        <f>AND('POTENCIAL HORAS'!#REF!,"AAAAAH/v9qw=")</f>
        <v>#REF!</v>
      </c>
      <c r="FR31" t="e">
        <f>AND('POTENCIAL HORAS'!#REF!,"AAAAAH/v9q0=")</f>
        <v>#REF!</v>
      </c>
      <c r="FS31" t="e">
        <f>AND('POTENCIAL HORAS'!#REF!,"AAAAAH/v9q4=")</f>
        <v>#REF!</v>
      </c>
      <c r="FT31" t="e">
        <f>AND('POTENCIAL HORAS'!#REF!,"AAAAAH/v9q8=")</f>
        <v>#REF!</v>
      </c>
      <c r="FU31" t="e">
        <f>AND('POTENCIAL HORAS'!#REF!,"AAAAAH/v9rA=")</f>
        <v>#REF!</v>
      </c>
      <c r="FV31" t="e">
        <f>AND('POTENCIAL HORAS'!#REF!,"AAAAAH/v9rE=")</f>
        <v>#REF!</v>
      </c>
      <c r="FW31" t="e">
        <f>AND('POTENCIAL HORAS'!#REF!,"AAAAAH/v9rI=")</f>
        <v>#REF!</v>
      </c>
      <c r="FX31" t="e">
        <f>AND('POTENCIAL HORAS'!#REF!,"AAAAAH/v9rM=")</f>
        <v>#REF!</v>
      </c>
      <c r="FY31" t="e">
        <f>AND('POTENCIAL HORAS'!#REF!,"AAAAAH/v9rQ=")</f>
        <v>#REF!</v>
      </c>
      <c r="FZ31" t="e">
        <f>AND('POTENCIAL HORAS'!#REF!,"AAAAAH/v9rU=")</f>
        <v>#REF!</v>
      </c>
      <c r="GA31" t="e">
        <f>AND('POTENCIAL HORAS'!#REF!,"AAAAAH/v9rY=")</f>
        <v>#REF!</v>
      </c>
      <c r="GB31" t="e">
        <f>AND('POTENCIAL HORAS'!#REF!,"AAAAAH/v9rc=")</f>
        <v>#REF!</v>
      </c>
      <c r="GC31" t="e">
        <f>AND('POTENCIAL HORAS'!#REF!,"AAAAAH/v9rg=")</f>
        <v>#REF!</v>
      </c>
      <c r="GD31" t="e">
        <f>AND('POTENCIAL HORAS'!#REF!,"AAAAAH/v9rk=")</f>
        <v>#REF!</v>
      </c>
      <c r="GE31" t="e">
        <f>AND('POTENCIAL HORAS'!#REF!,"AAAAAH/v9ro=")</f>
        <v>#REF!</v>
      </c>
      <c r="GF31" t="e">
        <f>AND('POTENCIAL HORAS'!#REF!,"AAAAAH/v9rs=")</f>
        <v>#REF!</v>
      </c>
      <c r="GG31" t="e">
        <f>AND('POTENCIAL HORAS'!#REF!,"AAAAAH/v9rw=")</f>
        <v>#REF!</v>
      </c>
      <c r="GH31" t="e">
        <f>AND('POTENCIAL HORAS'!#REF!,"AAAAAH/v9r0=")</f>
        <v>#REF!</v>
      </c>
      <c r="GI31" t="e">
        <f>AND('POTENCIAL HORAS'!#REF!,"AAAAAH/v9r4=")</f>
        <v>#REF!</v>
      </c>
      <c r="GJ31" t="e">
        <f>AND('POTENCIAL HORAS'!#REF!,"AAAAAH/v9r8=")</f>
        <v>#REF!</v>
      </c>
      <c r="GK31" t="e">
        <f>AND('POTENCIAL HORAS'!#REF!,"AAAAAH/v9sA=")</f>
        <v>#REF!</v>
      </c>
      <c r="GL31" t="e">
        <f>AND('POTENCIAL HORAS'!#REF!,"AAAAAH/v9sE=")</f>
        <v>#REF!</v>
      </c>
      <c r="GM31" t="e">
        <f>AND('POTENCIAL HORAS'!#REF!,"AAAAAH/v9sI=")</f>
        <v>#REF!</v>
      </c>
      <c r="GN31" t="e">
        <f>AND('POTENCIAL HORAS'!#REF!,"AAAAAH/v9sM=")</f>
        <v>#REF!</v>
      </c>
      <c r="GO31" t="e">
        <f>AND('POTENCIAL HORAS'!#REF!,"AAAAAH/v9sQ=")</f>
        <v>#REF!</v>
      </c>
      <c r="GP31" t="e">
        <f>AND('POTENCIAL HORAS'!#REF!,"AAAAAH/v9sU=")</f>
        <v>#REF!</v>
      </c>
      <c r="GQ31" t="e">
        <f>IF('POTENCIAL HORAS'!#REF!,"AAAAAH/v9sY=",0)</f>
        <v>#REF!</v>
      </c>
      <c r="GR31" t="e">
        <f>AND('POTENCIAL HORAS'!#REF!,"AAAAAH/v9sc=")</f>
        <v>#REF!</v>
      </c>
      <c r="GS31" t="e">
        <f>AND('POTENCIAL HORAS'!#REF!,"AAAAAH/v9sg=")</f>
        <v>#REF!</v>
      </c>
      <c r="GT31" t="e">
        <f>AND('POTENCIAL HORAS'!#REF!,"AAAAAH/v9sk=")</f>
        <v>#REF!</v>
      </c>
      <c r="GU31" t="e">
        <f>AND('POTENCIAL HORAS'!#REF!,"AAAAAH/v9so=")</f>
        <v>#REF!</v>
      </c>
      <c r="GV31" t="e">
        <f>AND('POTENCIAL HORAS'!#REF!,"AAAAAH/v9ss=")</f>
        <v>#REF!</v>
      </c>
      <c r="GW31" t="e">
        <f>AND('POTENCIAL HORAS'!#REF!,"AAAAAH/v9sw=")</f>
        <v>#REF!</v>
      </c>
      <c r="GX31" t="e">
        <f>AND('POTENCIAL HORAS'!#REF!,"AAAAAH/v9s0=")</f>
        <v>#REF!</v>
      </c>
      <c r="GY31" t="e">
        <f>AND('POTENCIAL HORAS'!#REF!,"AAAAAH/v9s4=")</f>
        <v>#REF!</v>
      </c>
      <c r="GZ31" t="e">
        <f>AND('POTENCIAL HORAS'!#REF!,"AAAAAH/v9s8=")</f>
        <v>#REF!</v>
      </c>
      <c r="HA31" t="e">
        <f>AND('POTENCIAL HORAS'!#REF!,"AAAAAH/v9tA=")</f>
        <v>#REF!</v>
      </c>
      <c r="HB31" t="e">
        <f>AND('POTENCIAL HORAS'!#REF!,"AAAAAH/v9tE=")</f>
        <v>#REF!</v>
      </c>
      <c r="HC31" t="e">
        <f>AND('POTENCIAL HORAS'!#REF!,"AAAAAH/v9tI=")</f>
        <v>#REF!</v>
      </c>
      <c r="HD31" t="e">
        <f>AND('POTENCIAL HORAS'!#REF!,"AAAAAH/v9tM=")</f>
        <v>#REF!</v>
      </c>
      <c r="HE31" t="e">
        <f>AND('POTENCIAL HORAS'!#REF!,"AAAAAH/v9tQ=")</f>
        <v>#REF!</v>
      </c>
      <c r="HF31" t="e">
        <f>AND('POTENCIAL HORAS'!#REF!,"AAAAAH/v9tU=")</f>
        <v>#REF!</v>
      </c>
      <c r="HG31" t="e">
        <f>AND('POTENCIAL HORAS'!#REF!,"AAAAAH/v9tY=")</f>
        <v>#REF!</v>
      </c>
      <c r="HH31" t="e">
        <f>AND('POTENCIAL HORAS'!#REF!,"AAAAAH/v9tc=")</f>
        <v>#REF!</v>
      </c>
      <c r="HI31" t="e">
        <f>AND('POTENCIAL HORAS'!#REF!,"AAAAAH/v9tg=")</f>
        <v>#REF!</v>
      </c>
      <c r="HJ31" t="e">
        <f>AND('POTENCIAL HORAS'!#REF!,"AAAAAH/v9tk=")</f>
        <v>#REF!</v>
      </c>
      <c r="HK31" t="e">
        <f>AND('POTENCIAL HORAS'!#REF!,"AAAAAH/v9to=")</f>
        <v>#REF!</v>
      </c>
      <c r="HL31" t="e">
        <f>AND('POTENCIAL HORAS'!#REF!,"AAAAAH/v9ts=")</f>
        <v>#REF!</v>
      </c>
      <c r="HM31" t="e">
        <f>AND('POTENCIAL HORAS'!#REF!,"AAAAAH/v9tw=")</f>
        <v>#REF!</v>
      </c>
      <c r="HN31" t="e">
        <f>AND('POTENCIAL HORAS'!#REF!,"AAAAAH/v9t0=")</f>
        <v>#REF!</v>
      </c>
      <c r="HO31" t="e">
        <f>AND('POTENCIAL HORAS'!#REF!,"AAAAAH/v9t4=")</f>
        <v>#REF!</v>
      </c>
      <c r="HP31" t="e">
        <f>AND('POTENCIAL HORAS'!#REF!,"AAAAAH/v9t8=")</f>
        <v>#REF!</v>
      </c>
      <c r="HQ31" t="e">
        <f>AND('POTENCIAL HORAS'!#REF!,"AAAAAH/v9uA=")</f>
        <v>#REF!</v>
      </c>
      <c r="HR31" t="e">
        <f>AND('POTENCIAL HORAS'!#REF!,"AAAAAH/v9uE=")</f>
        <v>#REF!</v>
      </c>
      <c r="HS31" t="e">
        <f>AND('POTENCIAL HORAS'!#REF!,"AAAAAH/v9uI=")</f>
        <v>#REF!</v>
      </c>
      <c r="HT31" t="e">
        <f>AND('POTENCIAL HORAS'!#REF!,"AAAAAH/v9uM=")</f>
        <v>#REF!</v>
      </c>
      <c r="HU31" t="e">
        <f>AND('POTENCIAL HORAS'!#REF!,"AAAAAH/v9uQ=")</f>
        <v>#REF!</v>
      </c>
      <c r="HV31" t="e">
        <f>AND('POTENCIAL HORAS'!#REF!,"AAAAAH/v9uU=")</f>
        <v>#REF!</v>
      </c>
      <c r="HW31" t="e">
        <f>AND('POTENCIAL HORAS'!#REF!,"AAAAAH/v9uY=")</f>
        <v>#REF!</v>
      </c>
      <c r="HX31" t="e">
        <f>AND('POTENCIAL HORAS'!#REF!,"AAAAAH/v9uc=")</f>
        <v>#REF!</v>
      </c>
      <c r="HY31" t="e">
        <f>AND('POTENCIAL HORAS'!#REF!,"AAAAAH/v9ug=")</f>
        <v>#REF!</v>
      </c>
      <c r="HZ31" t="e">
        <f>AND('POTENCIAL HORAS'!#REF!,"AAAAAH/v9uk=")</f>
        <v>#REF!</v>
      </c>
      <c r="IA31" t="e">
        <f>AND('POTENCIAL HORAS'!#REF!,"AAAAAH/v9uo=")</f>
        <v>#REF!</v>
      </c>
      <c r="IB31" t="e">
        <f>AND('POTENCIAL HORAS'!#REF!,"AAAAAH/v9us=")</f>
        <v>#REF!</v>
      </c>
      <c r="IC31" t="e">
        <f>AND('POTENCIAL HORAS'!#REF!,"AAAAAH/v9uw=")</f>
        <v>#REF!</v>
      </c>
      <c r="ID31" t="e">
        <f>IF('POTENCIAL HORAS'!#REF!,"AAAAAH/v9u0=",0)</f>
        <v>#REF!</v>
      </c>
      <c r="IE31" t="e">
        <f>AND('POTENCIAL HORAS'!#REF!,"AAAAAH/v9u4=")</f>
        <v>#REF!</v>
      </c>
      <c r="IF31" t="e">
        <f>AND('POTENCIAL HORAS'!#REF!,"AAAAAH/v9u8=")</f>
        <v>#REF!</v>
      </c>
      <c r="IG31" t="e">
        <f>AND('POTENCIAL HORAS'!#REF!,"AAAAAH/v9vA=")</f>
        <v>#REF!</v>
      </c>
      <c r="IH31" t="e">
        <f>AND('POTENCIAL HORAS'!#REF!,"AAAAAH/v9vE=")</f>
        <v>#REF!</v>
      </c>
      <c r="II31" t="e">
        <f>AND('POTENCIAL HORAS'!#REF!,"AAAAAH/v9vI=")</f>
        <v>#REF!</v>
      </c>
      <c r="IJ31" t="e">
        <f>AND('POTENCIAL HORAS'!#REF!,"AAAAAH/v9vM=")</f>
        <v>#REF!</v>
      </c>
      <c r="IK31" t="e">
        <f>AND('POTENCIAL HORAS'!#REF!,"AAAAAH/v9vQ=")</f>
        <v>#REF!</v>
      </c>
      <c r="IL31" t="e">
        <f>AND('POTENCIAL HORAS'!#REF!,"AAAAAH/v9vU=")</f>
        <v>#REF!</v>
      </c>
      <c r="IM31" t="e">
        <f>AND('POTENCIAL HORAS'!#REF!,"AAAAAH/v9vY=")</f>
        <v>#REF!</v>
      </c>
      <c r="IN31" t="e">
        <f>AND('POTENCIAL HORAS'!#REF!,"AAAAAH/v9vc=")</f>
        <v>#REF!</v>
      </c>
      <c r="IO31" t="e">
        <f>AND('POTENCIAL HORAS'!#REF!,"AAAAAH/v9vg=")</f>
        <v>#REF!</v>
      </c>
      <c r="IP31" t="e">
        <f>AND('POTENCIAL HORAS'!#REF!,"AAAAAH/v9vk=")</f>
        <v>#REF!</v>
      </c>
      <c r="IQ31" t="e">
        <f>AND('POTENCIAL HORAS'!#REF!,"AAAAAH/v9vo=")</f>
        <v>#REF!</v>
      </c>
      <c r="IR31" t="e">
        <f>AND('POTENCIAL HORAS'!#REF!,"AAAAAH/v9vs=")</f>
        <v>#REF!</v>
      </c>
      <c r="IS31" t="e">
        <f>AND('POTENCIAL HORAS'!#REF!,"AAAAAH/v9vw=")</f>
        <v>#REF!</v>
      </c>
      <c r="IT31" t="e">
        <f>AND('POTENCIAL HORAS'!#REF!,"AAAAAH/v9v0=")</f>
        <v>#REF!</v>
      </c>
      <c r="IU31" t="e">
        <f>AND('POTENCIAL HORAS'!#REF!,"AAAAAH/v9v4=")</f>
        <v>#REF!</v>
      </c>
      <c r="IV31" t="e">
        <f>AND('POTENCIAL HORAS'!#REF!,"AAAAAH/v9v8=")</f>
        <v>#REF!</v>
      </c>
    </row>
    <row r="32" spans="1:256" x14ac:dyDescent="0.2">
      <c r="A32" t="e">
        <f>AND('POTENCIAL HORAS'!#REF!,"AAAAAHhf3wA=")</f>
        <v>#REF!</v>
      </c>
      <c r="B32" t="e">
        <f>AND('POTENCIAL HORAS'!#REF!,"AAAAAHhf3wE=")</f>
        <v>#REF!</v>
      </c>
      <c r="C32" t="e">
        <f>AND('POTENCIAL HORAS'!#REF!,"AAAAAHhf3wI=")</f>
        <v>#REF!</v>
      </c>
      <c r="D32" t="e">
        <f>AND('POTENCIAL HORAS'!#REF!,"AAAAAHhf3wM=")</f>
        <v>#REF!</v>
      </c>
      <c r="E32" t="e">
        <f>AND('POTENCIAL HORAS'!#REF!,"AAAAAHhf3wQ=")</f>
        <v>#REF!</v>
      </c>
      <c r="F32" t="e">
        <f>AND('POTENCIAL HORAS'!#REF!,"AAAAAHhf3wU=")</f>
        <v>#REF!</v>
      </c>
      <c r="G32" t="e">
        <f>AND('POTENCIAL HORAS'!#REF!,"AAAAAHhf3wY=")</f>
        <v>#REF!</v>
      </c>
      <c r="H32" t="e">
        <f>AND('POTENCIAL HORAS'!#REF!,"AAAAAHhf3wc=")</f>
        <v>#REF!</v>
      </c>
      <c r="I32" t="e">
        <f>AND('POTENCIAL HORAS'!#REF!,"AAAAAHhf3wg=")</f>
        <v>#REF!</v>
      </c>
      <c r="J32" t="e">
        <f>AND('POTENCIAL HORAS'!#REF!,"AAAAAHhf3wk=")</f>
        <v>#REF!</v>
      </c>
      <c r="K32" t="e">
        <f>AND('POTENCIAL HORAS'!#REF!,"AAAAAHhf3wo=")</f>
        <v>#REF!</v>
      </c>
      <c r="L32" t="e">
        <f>AND('POTENCIAL HORAS'!#REF!,"AAAAAHhf3ws=")</f>
        <v>#REF!</v>
      </c>
      <c r="M32" t="e">
        <f>AND('POTENCIAL HORAS'!#REF!,"AAAAAHhf3ww=")</f>
        <v>#REF!</v>
      </c>
      <c r="N32" t="e">
        <f>AND('POTENCIAL HORAS'!#REF!,"AAAAAHhf3w0=")</f>
        <v>#REF!</v>
      </c>
      <c r="O32" t="e">
        <f>AND('POTENCIAL HORAS'!#REF!,"AAAAAHhf3w4=")</f>
        <v>#REF!</v>
      </c>
      <c r="P32" t="e">
        <f>AND('POTENCIAL HORAS'!#REF!,"AAAAAHhf3w8=")</f>
        <v>#REF!</v>
      </c>
      <c r="Q32" t="e">
        <f>AND('POTENCIAL HORAS'!#REF!,"AAAAAHhf3xA=")</f>
        <v>#REF!</v>
      </c>
      <c r="R32" t="e">
        <f>AND('POTENCIAL HORAS'!#REF!,"AAAAAHhf3xE=")</f>
        <v>#REF!</v>
      </c>
      <c r="S32" t="e">
        <f>AND('POTENCIAL HORAS'!#REF!,"AAAAAHhf3xI=")</f>
        <v>#REF!</v>
      </c>
      <c r="T32" t="e">
        <f>AND('POTENCIAL HORAS'!#REF!,"AAAAAHhf3xM=")</f>
        <v>#REF!</v>
      </c>
      <c r="U32" t="e">
        <f>IF('POTENCIAL HORAS'!#REF!,"AAAAAHhf3xQ=",0)</f>
        <v>#REF!</v>
      </c>
      <c r="V32" t="e">
        <f>AND('POTENCIAL HORAS'!#REF!,"AAAAAHhf3xU=")</f>
        <v>#REF!</v>
      </c>
      <c r="W32" t="e">
        <f>AND('POTENCIAL HORAS'!#REF!,"AAAAAHhf3xY=")</f>
        <v>#REF!</v>
      </c>
      <c r="X32" t="e">
        <f>AND('POTENCIAL HORAS'!#REF!,"AAAAAHhf3xc=")</f>
        <v>#REF!</v>
      </c>
      <c r="Y32" t="e">
        <f>AND('POTENCIAL HORAS'!#REF!,"AAAAAHhf3xg=")</f>
        <v>#REF!</v>
      </c>
      <c r="Z32" t="e">
        <f>AND('POTENCIAL HORAS'!#REF!,"AAAAAHhf3xk=")</f>
        <v>#REF!</v>
      </c>
      <c r="AA32" t="e">
        <f>AND('POTENCIAL HORAS'!#REF!,"AAAAAHhf3xo=")</f>
        <v>#REF!</v>
      </c>
      <c r="AB32" t="e">
        <f>AND('POTENCIAL HORAS'!#REF!,"AAAAAHhf3xs=")</f>
        <v>#REF!</v>
      </c>
      <c r="AC32" t="e">
        <f>AND('POTENCIAL HORAS'!#REF!,"AAAAAHhf3xw=")</f>
        <v>#REF!</v>
      </c>
      <c r="AD32" t="e">
        <f>AND('POTENCIAL HORAS'!#REF!,"AAAAAHhf3x0=")</f>
        <v>#REF!</v>
      </c>
      <c r="AE32" t="e">
        <f>AND('POTENCIAL HORAS'!#REF!,"AAAAAHhf3x4=")</f>
        <v>#REF!</v>
      </c>
      <c r="AF32" t="e">
        <f>AND('POTENCIAL HORAS'!#REF!,"AAAAAHhf3x8=")</f>
        <v>#REF!</v>
      </c>
      <c r="AG32" t="e">
        <f>AND('POTENCIAL HORAS'!#REF!,"AAAAAHhf3yA=")</f>
        <v>#REF!</v>
      </c>
      <c r="AH32" t="e">
        <f>AND('POTENCIAL HORAS'!#REF!,"AAAAAHhf3yE=")</f>
        <v>#REF!</v>
      </c>
      <c r="AI32" t="e">
        <f>AND('POTENCIAL HORAS'!#REF!,"AAAAAHhf3yI=")</f>
        <v>#REF!</v>
      </c>
      <c r="AJ32" t="e">
        <f>AND('POTENCIAL HORAS'!#REF!,"AAAAAHhf3yM=")</f>
        <v>#REF!</v>
      </c>
      <c r="AK32" t="e">
        <f>AND('POTENCIAL HORAS'!#REF!,"AAAAAHhf3yQ=")</f>
        <v>#REF!</v>
      </c>
      <c r="AL32" t="e">
        <f>AND('POTENCIAL HORAS'!#REF!,"AAAAAHhf3yU=")</f>
        <v>#REF!</v>
      </c>
      <c r="AM32" t="e">
        <f>AND('POTENCIAL HORAS'!#REF!,"AAAAAHhf3yY=")</f>
        <v>#REF!</v>
      </c>
      <c r="AN32" t="e">
        <f>AND('POTENCIAL HORAS'!#REF!,"AAAAAHhf3yc=")</f>
        <v>#REF!</v>
      </c>
      <c r="AO32" t="e">
        <f>AND('POTENCIAL HORAS'!#REF!,"AAAAAHhf3yg=")</f>
        <v>#REF!</v>
      </c>
      <c r="AP32" t="e">
        <f>AND('POTENCIAL HORAS'!#REF!,"AAAAAHhf3yk=")</f>
        <v>#REF!</v>
      </c>
      <c r="AQ32" t="e">
        <f>AND('POTENCIAL HORAS'!#REF!,"AAAAAHhf3yo=")</f>
        <v>#REF!</v>
      </c>
      <c r="AR32" t="e">
        <f>AND('POTENCIAL HORAS'!#REF!,"AAAAAHhf3ys=")</f>
        <v>#REF!</v>
      </c>
      <c r="AS32" t="e">
        <f>AND('POTENCIAL HORAS'!#REF!,"AAAAAHhf3yw=")</f>
        <v>#REF!</v>
      </c>
      <c r="AT32" t="e">
        <f>AND('POTENCIAL HORAS'!#REF!,"AAAAAHhf3y0=")</f>
        <v>#REF!</v>
      </c>
      <c r="AU32" t="e">
        <f>AND('POTENCIAL HORAS'!#REF!,"AAAAAHhf3y4=")</f>
        <v>#REF!</v>
      </c>
      <c r="AV32" t="e">
        <f>AND('POTENCIAL HORAS'!#REF!,"AAAAAHhf3y8=")</f>
        <v>#REF!</v>
      </c>
      <c r="AW32" t="e">
        <f>AND('POTENCIAL HORAS'!#REF!,"AAAAAHhf3zA=")</f>
        <v>#REF!</v>
      </c>
      <c r="AX32" t="e">
        <f>AND('POTENCIAL HORAS'!#REF!,"AAAAAHhf3zE=")</f>
        <v>#REF!</v>
      </c>
      <c r="AY32" t="e">
        <f>AND('POTENCIAL HORAS'!#REF!,"AAAAAHhf3zI=")</f>
        <v>#REF!</v>
      </c>
      <c r="AZ32" t="e">
        <f>AND('POTENCIAL HORAS'!#REF!,"AAAAAHhf3zM=")</f>
        <v>#REF!</v>
      </c>
      <c r="BA32" t="e">
        <f>AND('POTENCIAL HORAS'!#REF!,"AAAAAHhf3zQ=")</f>
        <v>#REF!</v>
      </c>
      <c r="BB32" t="e">
        <f>AND('POTENCIAL HORAS'!#REF!,"AAAAAHhf3zU=")</f>
        <v>#REF!</v>
      </c>
      <c r="BC32" t="e">
        <f>AND('POTENCIAL HORAS'!#REF!,"AAAAAHhf3zY=")</f>
        <v>#REF!</v>
      </c>
      <c r="BD32" t="e">
        <f>AND('POTENCIAL HORAS'!#REF!,"AAAAAHhf3zc=")</f>
        <v>#REF!</v>
      </c>
      <c r="BE32" t="e">
        <f>AND('POTENCIAL HORAS'!#REF!,"AAAAAHhf3zg=")</f>
        <v>#REF!</v>
      </c>
      <c r="BF32" t="e">
        <f>AND('POTENCIAL HORAS'!#REF!,"AAAAAHhf3zk=")</f>
        <v>#REF!</v>
      </c>
      <c r="BG32" t="e">
        <f>AND('POTENCIAL HORAS'!#REF!,"AAAAAHhf3zo=")</f>
        <v>#REF!</v>
      </c>
      <c r="BH32" t="e">
        <f>IF('POTENCIAL HORAS'!#REF!,"AAAAAHhf3zs=",0)</f>
        <v>#REF!</v>
      </c>
      <c r="BI32" t="e">
        <f>AND('POTENCIAL HORAS'!#REF!,"AAAAAHhf3zw=")</f>
        <v>#REF!</v>
      </c>
      <c r="BJ32" t="e">
        <f>AND('POTENCIAL HORAS'!#REF!,"AAAAAHhf3z0=")</f>
        <v>#REF!</v>
      </c>
      <c r="BK32" t="e">
        <f>AND('POTENCIAL HORAS'!#REF!,"AAAAAHhf3z4=")</f>
        <v>#REF!</v>
      </c>
      <c r="BL32" t="e">
        <f>AND('POTENCIAL HORAS'!#REF!,"AAAAAHhf3z8=")</f>
        <v>#REF!</v>
      </c>
      <c r="BM32" t="e">
        <f>AND('POTENCIAL HORAS'!#REF!,"AAAAAHhf30A=")</f>
        <v>#REF!</v>
      </c>
      <c r="BN32" t="e">
        <f>AND('POTENCIAL HORAS'!#REF!,"AAAAAHhf30E=")</f>
        <v>#REF!</v>
      </c>
      <c r="BO32" t="e">
        <f>AND('POTENCIAL HORAS'!#REF!,"AAAAAHhf30I=")</f>
        <v>#REF!</v>
      </c>
      <c r="BP32" t="e">
        <f>AND('POTENCIAL HORAS'!#REF!,"AAAAAHhf30M=")</f>
        <v>#REF!</v>
      </c>
      <c r="BQ32" t="e">
        <f>AND('POTENCIAL HORAS'!#REF!,"AAAAAHhf30Q=")</f>
        <v>#REF!</v>
      </c>
      <c r="BR32" t="e">
        <f>AND('POTENCIAL HORAS'!#REF!,"AAAAAHhf30U=")</f>
        <v>#REF!</v>
      </c>
      <c r="BS32" t="e">
        <f>AND('POTENCIAL HORAS'!#REF!,"AAAAAHhf30Y=")</f>
        <v>#REF!</v>
      </c>
      <c r="BT32" t="e">
        <f>AND('POTENCIAL HORAS'!#REF!,"AAAAAHhf30c=")</f>
        <v>#REF!</v>
      </c>
      <c r="BU32" t="e">
        <f>AND('POTENCIAL HORAS'!#REF!,"AAAAAHhf30g=")</f>
        <v>#REF!</v>
      </c>
      <c r="BV32" t="e">
        <f>AND('POTENCIAL HORAS'!#REF!,"AAAAAHhf30k=")</f>
        <v>#REF!</v>
      </c>
      <c r="BW32" t="e">
        <f>AND('POTENCIAL HORAS'!#REF!,"AAAAAHhf30o=")</f>
        <v>#REF!</v>
      </c>
      <c r="BX32" t="e">
        <f>AND('POTENCIAL HORAS'!#REF!,"AAAAAHhf30s=")</f>
        <v>#REF!</v>
      </c>
      <c r="BY32" t="e">
        <f>AND('POTENCIAL HORAS'!#REF!,"AAAAAHhf30w=")</f>
        <v>#REF!</v>
      </c>
      <c r="BZ32" t="e">
        <f>AND('POTENCIAL HORAS'!#REF!,"AAAAAHhf300=")</f>
        <v>#REF!</v>
      </c>
      <c r="CA32" t="e">
        <f>AND('POTENCIAL HORAS'!#REF!,"AAAAAHhf304=")</f>
        <v>#REF!</v>
      </c>
      <c r="CB32" t="e">
        <f>AND('POTENCIAL HORAS'!#REF!,"AAAAAHhf308=")</f>
        <v>#REF!</v>
      </c>
      <c r="CC32" t="e">
        <f>AND('POTENCIAL HORAS'!#REF!,"AAAAAHhf31A=")</f>
        <v>#REF!</v>
      </c>
      <c r="CD32" t="e">
        <f>AND('POTENCIAL HORAS'!#REF!,"AAAAAHhf31E=")</f>
        <v>#REF!</v>
      </c>
      <c r="CE32" t="e">
        <f>AND('POTENCIAL HORAS'!#REF!,"AAAAAHhf31I=")</f>
        <v>#REF!</v>
      </c>
      <c r="CF32" t="e">
        <f>AND('POTENCIAL HORAS'!#REF!,"AAAAAHhf31M=")</f>
        <v>#REF!</v>
      </c>
      <c r="CG32" t="e">
        <f>AND('POTENCIAL HORAS'!#REF!,"AAAAAHhf31Q=")</f>
        <v>#REF!</v>
      </c>
      <c r="CH32" t="e">
        <f>AND('POTENCIAL HORAS'!#REF!,"AAAAAHhf31U=")</f>
        <v>#REF!</v>
      </c>
      <c r="CI32" t="e">
        <f>AND('POTENCIAL HORAS'!#REF!,"AAAAAHhf31Y=")</f>
        <v>#REF!</v>
      </c>
      <c r="CJ32" t="e">
        <f>AND('POTENCIAL HORAS'!#REF!,"AAAAAHhf31c=")</f>
        <v>#REF!</v>
      </c>
      <c r="CK32" t="e">
        <f>AND('POTENCIAL HORAS'!#REF!,"AAAAAHhf31g=")</f>
        <v>#REF!</v>
      </c>
      <c r="CL32" t="e">
        <f>AND('POTENCIAL HORAS'!#REF!,"AAAAAHhf31k=")</f>
        <v>#REF!</v>
      </c>
      <c r="CM32" t="e">
        <f>AND('POTENCIAL HORAS'!#REF!,"AAAAAHhf31o=")</f>
        <v>#REF!</v>
      </c>
      <c r="CN32" t="e">
        <f>AND('POTENCIAL HORAS'!#REF!,"AAAAAHhf31s=")</f>
        <v>#REF!</v>
      </c>
      <c r="CO32" t="e">
        <f>AND('POTENCIAL HORAS'!#REF!,"AAAAAHhf31w=")</f>
        <v>#REF!</v>
      </c>
      <c r="CP32" t="e">
        <f>AND('POTENCIAL HORAS'!#REF!,"AAAAAHhf310=")</f>
        <v>#REF!</v>
      </c>
      <c r="CQ32" t="e">
        <f>AND('POTENCIAL HORAS'!#REF!,"AAAAAHhf314=")</f>
        <v>#REF!</v>
      </c>
      <c r="CR32" t="e">
        <f>AND('POTENCIAL HORAS'!#REF!,"AAAAAHhf318=")</f>
        <v>#REF!</v>
      </c>
      <c r="CS32" t="e">
        <f>AND('POTENCIAL HORAS'!#REF!,"AAAAAHhf32A=")</f>
        <v>#REF!</v>
      </c>
      <c r="CT32" t="e">
        <f>AND('POTENCIAL HORAS'!#REF!,"AAAAAHhf32E=")</f>
        <v>#REF!</v>
      </c>
      <c r="CU32" t="e">
        <f>IF('POTENCIAL HORAS'!#REF!,"AAAAAHhf32I=",0)</f>
        <v>#REF!</v>
      </c>
      <c r="CV32" t="e">
        <f>AND('POTENCIAL HORAS'!#REF!,"AAAAAHhf32M=")</f>
        <v>#REF!</v>
      </c>
      <c r="CW32" t="e">
        <f>AND('POTENCIAL HORAS'!#REF!,"AAAAAHhf32Q=")</f>
        <v>#REF!</v>
      </c>
      <c r="CX32" t="e">
        <f>AND('POTENCIAL HORAS'!#REF!,"AAAAAHhf32U=")</f>
        <v>#REF!</v>
      </c>
      <c r="CY32" t="e">
        <f>AND('POTENCIAL HORAS'!#REF!,"AAAAAHhf32Y=")</f>
        <v>#REF!</v>
      </c>
      <c r="CZ32" t="e">
        <f>AND('POTENCIAL HORAS'!#REF!,"AAAAAHhf32c=")</f>
        <v>#REF!</v>
      </c>
      <c r="DA32" t="e">
        <f>AND('POTENCIAL HORAS'!#REF!,"AAAAAHhf32g=")</f>
        <v>#REF!</v>
      </c>
      <c r="DB32" t="e">
        <f>AND('POTENCIAL HORAS'!#REF!,"AAAAAHhf32k=")</f>
        <v>#REF!</v>
      </c>
      <c r="DC32" t="e">
        <f>AND('POTENCIAL HORAS'!#REF!,"AAAAAHhf32o=")</f>
        <v>#REF!</v>
      </c>
      <c r="DD32" t="e">
        <f>AND('POTENCIAL HORAS'!#REF!,"AAAAAHhf32s=")</f>
        <v>#REF!</v>
      </c>
      <c r="DE32" t="e">
        <f>AND('POTENCIAL HORAS'!#REF!,"AAAAAHhf32w=")</f>
        <v>#REF!</v>
      </c>
      <c r="DF32" t="e">
        <f>AND('POTENCIAL HORAS'!#REF!,"AAAAAHhf320=")</f>
        <v>#REF!</v>
      </c>
      <c r="DG32" t="e">
        <f>AND('POTENCIAL HORAS'!#REF!,"AAAAAHhf324=")</f>
        <v>#REF!</v>
      </c>
      <c r="DH32" t="e">
        <f>AND('POTENCIAL HORAS'!#REF!,"AAAAAHhf328=")</f>
        <v>#REF!</v>
      </c>
      <c r="DI32" t="e">
        <f>AND('POTENCIAL HORAS'!#REF!,"AAAAAHhf33A=")</f>
        <v>#REF!</v>
      </c>
      <c r="DJ32" t="e">
        <f>AND('POTENCIAL HORAS'!#REF!,"AAAAAHhf33E=")</f>
        <v>#REF!</v>
      </c>
      <c r="DK32" t="e">
        <f>AND('POTENCIAL HORAS'!#REF!,"AAAAAHhf33I=")</f>
        <v>#REF!</v>
      </c>
      <c r="DL32" t="e">
        <f>AND('POTENCIAL HORAS'!#REF!,"AAAAAHhf33M=")</f>
        <v>#REF!</v>
      </c>
      <c r="DM32" t="e">
        <f>AND('POTENCIAL HORAS'!#REF!,"AAAAAHhf33Q=")</f>
        <v>#REF!</v>
      </c>
      <c r="DN32" t="e">
        <f>AND('POTENCIAL HORAS'!#REF!,"AAAAAHhf33U=")</f>
        <v>#REF!</v>
      </c>
      <c r="DO32" t="e">
        <f>AND('POTENCIAL HORAS'!#REF!,"AAAAAHhf33Y=")</f>
        <v>#REF!</v>
      </c>
      <c r="DP32" t="e">
        <f>AND('POTENCIAL HORAS'!#REF!,"AAAAAHhf33c=")</f>
        <v>#REF!</v>
      </c>
      <c r="DQ32" t="e">
        <f>AND('POTENCIAL HORAS'!#REF!,"AAAAAHhf33g=")</f>
        <v>#REF!</v>
      </c>
      <c r="DR32" t="e">
        <f>AND('POTENCIAL HORAS'!#REF!,"AAAAAHhf33k=")</f>
        <v>#REF!</v>
      </c>
      <c r="DS32" t="e">
        <f>AND('POTENCIAL HORAS'!#REF!,"AAAAAHhf33o=")</f>
        <v>#REF!</v>
      </c>
      <c r="DT32" t="e">
        <f>AND('POTENCIAL HORAS'!#REF!,"AAAAAHhf33s=")</f>
        <v>#REF!</v>
      </c>
      <c r="DU32" t="e">
        <f>AND('POTENCIAL HORAS'!#REF!,"AAAAAHhf33w=")</f>
        <v>#REF!</v>
      </c>
      <c r="DV32" t="e">
        <f>AND('POTENCIAL HORAS'!#REF!,"AAAAAHhf330=")</f>
        <v>#REF!</v>
      </c>
      <c r="DW32" t="e">
        <f>AND('POTENCIAL HORAS'!#REF!,"AAAAAHhf334=")</f>
        <v>#REF!</v>
      </c>
      <c r="DX32" t="e">
        <f>AND('POTENCIAL HORAS'!#REF!,"AAAAAHhf338=")</f>
        <v>#REF!</v>
      </c>
      <c r="DY32" t="e">
        <f>AND('POTENCIAL HORAS'!#REF!,"AAAAAHhf34A=")</f>
        <v>#REF!</v>
      </c>
      <c r="DZ32" t="e">
        <f>AND('POTENCIAL HORAS'!#REF!,"AAAAAHhf34E=")</f>
        <v>#REF!</v>
      </c>
      <c r="EA32" t="e">
        <f>AND('POTENCIAL HORAS'!#REF!,"AAAAAHhf34I=")</f>
        <v>#REF!</v>
      </c>
      <c r="EB32" t="e">
        <f>AND('POTENCIAL HORAS'!#REF!,"AAAAAHhf34M=")</f>
        <v>#REF!</v>
      </c>
      <c r="EC32" t="e">
        <f>AND('POTENCIAL HORAS'!#REF!,"AAAAAHhf34Q=")</f>
        <v>#REF!</v>
      </c>
      <c r="ED32" t="e">
        <f>AND('POTENCIAL HORAS'!#REF!,"AAAAAHhf34U=")</f>
        <v>#REF!</v>
      </c>
      <c r="EE32" t="e">
        <f>AND('POTENCIAL HORAS'!#REF!,"AAAAAHhf34Y=")</f>
        <v>#REF!</v>
      </c>
      <c r="EF32" t="e">
        <f>AND('POTENCIAL HORAS'!#REF!,"AAAAAHhf34c=")</f>
        <v>#REF!</v>
      </c>
      <c r="EG32" t="e">
        <f>AND('POTENCIAL HORAS'!#REF!,"AAAAAHhf34g=")</f>
        <v>#REF!</v>
      </c>
      <c r="EH32" t="e">
        <f>IF('POTENCIAL HORAS'!#REF!,"AAAAAHhf34k=",0)</f>
        <v>#REF!</v>
      </c>
      <c r="EI32" t="e">
        <f>AND('POTENCIAL HORAS'!#REF!,"AAAAAHhf34o=")</f>
        <v>#REF!</v>
      </c>
      <c r="EJ32" t="e">
        <f>AND('POTENCIAL HORAS'!#REF!,"AAAAAHhf34s=")</f>
        <v>#REF!</v>
      </c>
      <c r="EK32" t="e">
        <f>AND('POTENCIAL HORAS'!#REF!,"AAAAAHhf34w=")</f>
        <v>#REF!</v>
      </c>
      <c r="EL32" t="e">
        <f>AND('POTENCIAL HORAS'!#REF!,"AAAAAHhf340=")</f>
        <v>#REF!</v>
      </c>
      <c r="EM32" t="e">
        <f>AND('POTENCIAL HORAS'!#REF!,"AAAAAHhf344=")</f>
        <v>#REF!</v>
      </c>
      <c r="EN32" t="e">
        <f>AND('POTENCIAL HORAS'!#REF!,"AAAAAHhf348=")</f>
        <v>#REF!</v>
      </c>
      <c r="EO32" t="e">
        <f>AND('POTENCIAL HORAS'!#REF!,"AAAAAHhf35A=")</f>
        <v>#REF!</v>
      </c>
      <c r="EP32" t="e">
        <f>AND('POTENCIAL HORAS'!#REF!,"AAAAAHhf35E=")</f>
        <v>#REF!</v>
      </c>
      <c r="EQ32" t="e">
        <f>AND('POTENCIAL HORAS'!#REF!,"AAAAAHhf35I=")</f>
        <v>#REF!</v>
      </c>
      <c r="ER32" t="e">
        <f>AND('POTENCIAL HORAS'!#REF!,"AAAAAHhf35M=")</f>
        <v>#REF!</v>
      </c>
      <c r="ES32" t="e">
        <f>AND('POTENCIAL HORAS'!#REF!,"AAAAAHhf35Q=")</f>
        <v>#REF!</v>
      </c>
      <c r="ET32" t="e">
        <f>AND('POTENCIAL HORAS'!#REF!,"AAAAAHhf35U=")</f>
        <v>#REF!</v>
      </c>
      <c r="EU32" t="e">
        <f>AND('POTENCIAL HORAS'!#REF!,"AAAAAHhf35Y=")</f>
        <v>#REF!</v>
      </c>
      <c r="EV32" t="e">
        <f>AND('POTENCIAL HORAS'!#REF!,"AAAAAHhf35c=")</f>
        <v>#REF!</v>
      </c>
      <c r="EW32" t="e">
        <f>AND('POTENCIAL HORAS'!#REF!,"AAAAAHhf35g=")</f>
        <v>#REF!</v>
      </c>
      <c r="EX32" t="e">
        <f>AND('POTENCIAL HORAS'!#REF!,"AAAAAHhf35k=")</f>
        <v>#REF!</v>
      </c>
      <c r="EY32" t="e">
        <f>AND('POTENCIAL HORAS'!#REF!,"AAAAAHhf35o=")</f>
        <v>#REF!</v>
      </c>
      <c r="EZ32" t="e">
        <f>AND('POTENCIAL HORAS'!#REF!,"AAAAAHhf35s=")</f>
        <v>#REF!</v>
      </c>
      <c r="FA32" t="e">
        <f>AND('POTENCIAL HORAS'!#REF!,"AAAAAHhf35w=")</f>
        <v>#REF!</v>
      </c>
      <c r="FB32" t="e">
        <f>AND('POTENCIAL HORAS'!#REF!,"AAAAAHhf350=")</f>
        <v>#REF!</v>
      </c>
      <c r="FC32" t="e">
        <f>AND('POTENCIAL HORAS'!#REF!,"AAAAAHhf354=")</f>
        <v>#REF!</v>
      </c>
      <c r="FD32" t="e">
        <f>AND('POTENCIAL HORAS'!#REF!,"AAAAAHhf358=")</f>
        <v>#REF!</v>
      </c>
      <c r="FE32" t="e">
        <f>AND('POTENCIAL HORAS'!#REF!,"AAAAAHhf36A=")</f>
        <v>#REF!</v>
      </c>
      <c r="FF32" t="e">
        <f>AND('POTENCIAL HORAS'!#REF!,"AAAAAHhf36E=")</f>
        <v>#REF!</v>
      </c>
      <c r="FG32" t="e">
        <f>AND('POTENCIAL HORAS'!#REF!,"AAAAAHhf36I=")</f>
        <v>#REF!</v>
      </c>
      <c r="FH32" t="e">
        <f>AND('POTENCIAL HORAS'!#REF!,"AAAAAHhf36M=")</f>
        <v>#REF!</v>
      </c>
      <c r="FI32" t="e">
        <f>AND('POTENCIAL HORAS'!#REF!,"AAAAAHhf36Q=")</f>
        <v>#REF!</v>
      </c>
      <c r="FJ32" t="e">
        <f>AND('POTENCIAL HORAS'!#REF!,"AAAAAHhf36U=")</f>
        <v>#REF!</v>
      </c>
      <c r="FK32" t="e">
        <f>AND('POTENCIAL HORAS'!#REF!,"AAAAAHhf36Y=")</f>
        <v>#REF!</v>
      </c>
      <c r="FL32" t="e">
        <f>AND('POTENCIAL HORAS'!#REF!,"AAAAAHhf36c=")</f>
        <v>#REF!</v>
      </c>
      <c r="FM32" t="e">
        <f>AND('POTENCIAL HORAS'!#REF!,"AAAAAHhf36g=")</f>
        <v>#REF!</v>
      </c>
      <c r="FN32" t="e">
        <f>AND('POTENCIAL HORAS'!#REF!,"AAAAAHhf36k=")</f>
        <v>#REF!</v>
      </c>
      <c r="FO32" t="e">
        <f>AND('POTENCIAL HORAS'!#REF!,"AAAAAHhf36o=")</f>
        <v>#REF!</v>
      </c>
      <c r="FP32" t="e">
        <f>AND('POTENCIAL HORAS'!#REF!,"AAAAAHhf36s=")</f>
        <v>#REF!</v>
      </c>
      <c r="FQ32" t="e">
        <f>AND('POTENCIAL HORAS'!#REF!,"AAAAAHhf36w=")</f>
        <v>#REF!</v>
      </c>
      <c r="FR32" t="e">
        <f>AND('POTENCIAL HORAS'!#REF!,"AAAAAHhf360=")</f>
        <v>#REF!</v>
      </c>
      <c r="FS32" t="e">
        <f>AND('POTENCIAL HORAS'!#REF!,"AAAAAHhf364=")</f>
        <v>#REF!</v>
      </c>
      <c r="FT32" t="e">
        <f>AND('POTENCIAL HORAS'!#REF!,"AAAAAHhf368=")</f>
        <v>#REF!</v>
      </c>
      <c r="FU32" t="e">
        <f>IF('POTENCIAL HORAS'!#REF!,"AAAAAHhf37A=",0)</f>
        <v>#REF!</v>
      </c>
      <c r="FV32" t="e">
        <f>AND('POTENCIAL HORAS'!#REF!,"AAAAAHhf37E=")</f>
        <v>#REF!</v>
      </c>
      <c r="FW32" t="e">
        <f>AND('POTENCIAL HORAS'!#REF!,"AAAAAHhf37I=")</f>
        <v>#REF!</v>
      </c>
      <c r="FX32" t="e">
        <f>AND('POTENCIAL HORAS'!#REF!,"AAAAAHhf37M=")</f>
        <v>#REF!</v>
      </c>
      <c r="FY32" t="e">
        <f>AND('POTENCIAL HORAS'!#REF!,"AAAAAHhf37Q=")</f>
        <v>#REF!</v>
      </c>
      <c r="FZ32" t="e">
        <f>AND('POTENCIAL HORAS'!#REF!,"AAAAAHhf37U=")</f>
        <v>#REF!</v>
      </c>
      <c r="GA32" t="e">
        <f>AND('POTENCIAL HORAS'!#REF!,"AAAAAHhf37Y=")</f>
        <v>#REF!</v>
      </c>
      <c r="GB32" t="e">
        <f>AND('POTENCIAL HORAS'!#REF!,"AAAAAHhf37c=")</f>
        <v>#REF!</v>
      </c>
      <c r="GC32" t="e">
        <f>AND('POTENCIAL HORAS'!#REF!,"AAAAAHhf37g=")</f>
        <v>#REF!</v>
      </c>
      <c r="GD32" t="e">
        <f>AND('POTENCIAL HORAS'!#REF!,"AAAAAHhf37k=")</f>
        <v>#REF!</v>
      </c>
      <c r="GE32" t="e">
        <f>AND('POTENCIAL HORAS'!#REF!,"AAAAAHhf37o=")</f>
        <v>#REF!</v>
      </c>
      <c r="GF32" t="e">
        <f>AND('POTENCIAL HORAS'!#REF!,"AAAAAHhf37s=")</f>
        <v>#REF!</v>
      </c>
      <c r="GG32" t="e">
        <f>AND('POTENCIAL HORAS'!#REF!,"AAAAAHhf37w=")</f>
        <v>#REF!</v>
      </c>
      <c r="GH32" t="e">
        <f>AND('POTENCIAL HORAS'!#REF!,"AAAAAHhf370=")</f>
        <v>#REF!</v>
      </c>
      <c r="GI32" t="e">
        <f>AND('POTENCIAL HORAS'!#REF!,"AAAAAHhf374=")</f>
        <v>#REF!</v>
      </c>
      <c r="GJ32" t="e">
        <f>AND('POTENCIAL HORAS'!#REF!,"AAAAAHhf378=")</f>
        <v>#REF!</v>
      </c>
      <c r="GK32" t="e">
        <f>AND('POTENCIAL HORAS'!#REF!,"AAAAAHhf38A=")</f>
        <v>#REF!</v>
      </c>
      <c r="GL32" t="e">
        <f>AND('POTENCIAL HORAS'!#REF!,"AAAAAHhf38E=")</f>
        <v>#REF!</v>
      </c>
      <c r="GM32" t="e">
        <f>AND('POTENCIAL HORAS'!#REF!,"AAAAAHhf38I=")</f>
        <v>#REF!</v>
      </c>
      <c r="GN32" t="e">
        <f>AND('POTENCIAL HORAS'!#REF!,"AAAAAHhf38M=")</f>
        <v>#REF!</v>
      </c>
      <c r="GO32" t="e">
        <f>AND('POTENCIAL HORAS'!#REF!,"AAAAAHhf38Q=")</f>
        <v>#REF!</v>
      </c>
      <c r="GP32" t="e">
        <f>AND('POTENCIAL HORAS'!#REF!,"AAAAAHhf38U=")</f>
        <v>#REF!</v>
      </c>
      <c r="GQ32" t="e">
        <f>AND('POTENCIAL HORAS'!#REF!,"AAAAAHhf38Y=")</f>
        <v>#REF!</v>
      </c>
      <c r="GR32" t="e">
        <f>AND('POTENCIAL HORAS'!#REF!,"AAAAAHhf38c=")</f>
        <v>#REF!</v>
      </c>
      <c r="GS32" t="e">
        <f>AND('POTENCIAL HORAS'!#REF!,"AAAAAHhf38g=")</f>
        <v>#REF!</v>
      </c>
      <c r="GT32" t="e">
        <f>AND('POTENCIAL HORAS'!#REF!,"AAAAAHhf38k=")</f>
        <v>#REF!</v>
      </c>
      <c r="GU32" t="e">
        <f>AND('POTENCIAL HORAS'!#REF!,"AAAAAHhf38o=")</f>
        <v>#REF!</v>
      </c>
      <c r="GV32" t="e">
        <f>AND('POTENCIAL HORAS'!#REF!,"AAAAAHhf38s=")</f>
        <v>#REF!</v>
      </c>
      <c r="GW32" t="e">
        <f>AND('POTENCIAL HORAS'!#REF!,"AAAAAHhf38w=")</f>
        <v>#REF!</v>
      </c>
      <c r="GX32" t="e">
        <f>AND('POTENCIAL HORAS'!#REF!,"AAAAAHhf380=")</f>
        <v>#REF!</v>
      </c>
      <c r="GY32" t="e">
        <f>AND('POTENCIAL HORAS'!#REF!,"AAAAAHhf384=")</f>
        <v>#REF!</v>
      </c>
      <c r="GZ32" t="e">
        <f>AND('POTENCIAL HORAS'!#REF!,"AAAAAHhf388=")</f>
        <v>#REF!</v>
      </c>
      <c r="HA32" t="e">
        <f>AND('POTENCIAL HORAS'!#REF!,"AAAAAHhf39A=")</f>
        <v>#REF!</v>
      </c>
      <c r="HB32" t="e">
        <f>AND('POTENCIAL HORAS'!#REF!,"AAAAAHhf39E=")</f>
        <v>#REF!</v>
      </c>
      <c r="HC32" t="e">
        <f>AND('POTENCIAL HORAS'!#REF!,"AAAAAHhf39I=")</f>
        <v>#REF!</v>
      </c>
      <c r="HD32" t="e">
        <f>AND('POTENCIAL HORAS'!#REF!,"AAAAAHhf39M=")</f>
        <v>#REF!</v>
      </c>
      <c r="HE32" t="e">
        <f>AND('POTENCIAL HORAS'!#REF!,"AAAAAHhf39Q=")</f>
        <v>#REF!</v>
      </c>
      <c r="HF32" t="e">
        <f>AND('POTENCIAL HORAS'!#REF!,"AAAAAHhf39U=")</f>
        <v>#REF!</v>
      </c>
      <c r="HG32" t="e">
        <f>AND('POTENCIAL HORAS'!#REF!,"AAAAAHhf39Y=")</f>
        <v>#REF!</v>
      </c>
      <c r="HH32" t="e">
        <f>IF('POTENCIAL HORAS'!#REF!,"AAAAAHhf39c=",0)</f>
        <v>#REF!</v>
      </c>
      <c r="HI32" t="e">
        <f>AND('POTENCIAL HORAS'!#REF!,"AAAAAHhf39g=")</f>
        <v>#REF!</v>
      </c>
      <c r="HJ32" t="e">
        <f>AND('POTENCIAL HORAS'!#REF!,"AAAAAHhf39k=")</f>
        <v>#REF!</v>
      </c>
      <c r="HK32" t="e">
        <f>AND('POTENCIAL HORAS'!#REF!,"AAAAAHhf39o=")</f>
        <v>#REF!</v>
      </c>
      <c r="HL32" t="e">
        <f>AND('POTENCIAL HORAS'!#REF!,"AAAAAHhf39s=")</f>
        <v>#REF!</v>
      </c>
      <c r="HM32" t="e">
        <f>AND('POTENCIAL HORAS'!#REF!,"AAAAAHhf39w=")</f>
        <v>#REF!</v>
      </c>
      <c r="HN32" t="e">
        <f>AND('POTENCIAL HORAS'!#REF!,"AAAAAHhf390=")</f>
        <v>#REF!</v>
      </c>
      <c r="HO32" t="e">
        <f>AND('POTENCIAL HORAS'!#REF!,"AAAAAHhf394=")</f>
        <v>#REF!</v>
      </c>
      <c r="HP32" t="e">
        <f>AND('POTENCIAL HORAS'!#REF!,"AAAAAHhf398=")</f>
        <v>#REF!</v>
      </c>
      <c r="HQ32" t="e">
        <f>AND('POTENCIAL HORAS'!#REF!,"AAAAAHhf3+A=")</f>
        <v>#REF!</v>
      </c>
      <c r="HR32" t="e">
        <f>AND('POTENCIAL HORAS'!#REF!,"AAAAAHhf3+E=")</f>
        <v>#REF!</v>
      </c>
      <c r="HS32" t="e">
        <f>AND('POTENCIAL HORAS'!#REF!,"AAAAAHhf3+I=")</f>
        <v>#REF!</v>
      </c>
      <c r="HT32" t="e">
        <f>AND('POTENCIAL HORAS'!#REF!,"AAAAAHhf3+M=")</f>
        <v>#REF!</v>
      </c>
      <c r="HU32" t="e">
        <f>AND('POTENCIAL HORAS'!#REF!,"AAAAAHhf3+Q=")</f>
        <v>#REF!</v>
      </c>
      <c r="HV32" t="e">
        <f>AND('POTENCIAL HORAS'!#REF!,"AAAAAHhf3+U=")</f>
        <v>#REF!</v>
      </c>
      <c r="HW32" t="e">
        <f>AND('POTENCIAL HORAS'!#REF!,"AAAAAHhf3+Y=")</f>
        <v>#REF!</v>
      </c>
      <c r="HX32" t="e">
        <f>AND('POTENCIAL HORAS'!#REF!,"AAAAAHhf3+c=")</f>
        <v>#REF!</v>
      </c>
      <c r="HY32" t="e">
        <f>AND('POTENCIAL HORAS'!#REF!,"AAAAAHhf3+g=")</f>
        <v>#REF!</v>
      </c>
      <c r="HZ32" t="e">
        <f>AND('POTENCIAL HORAS'!#REF!,"AAAAAHhf3+k=")</f>
        <v>#REF!</v>
      </c>
      <c r="IA32" t="e">
        <f>AND('POTENCIAL HORAS'!#REF!,"AAAAAHhf3+o=")</f>
        <v>#REF!</v>
      </c>
      <c r="IB32" t="e">
        <f>AND('POTENCIAL HORAS'!#REF!,"AAAAAHhf3+s=")</f>
        <v>#REF!</v>
      </c>
      <c r="IC32" t="e">
        <f>AND('POTENCIAL HORAS'!#REF!,"AAAAAHhf3+w=")</f>
        <v>#REF!</v>
      </c>
      <c r="ID32" t="e">
        <f>AND('POTENCIAL HORAS'!#REF!,"AAAAAHhf3+0=")</f>
        <v>#REF!</v>
      </c>
      <c r="IE32" t="e">
        <f>AND('POTENCIAL HORAS'!#REF!,"AAAAAHhf3+4=")</f>
        <v>#REF!</v>
      </c>
      <c r="IF32" t="e">
        <f>AND('POTENCIAL HORAS'!#REF!,"AAAAAHhf3+8=")</f>
        <v>#REF!</v>
      </c>
      <c r="IG32" t="e">
        <f>AND('POTENCIAL HORAS'!#REF!,"AAAAAHhf3/A=")</f>
        <v>#REF!</v>
      </c>
      <c r="IH32" t="e">
        <f>AND('POTENCIAL HORAS'!#REF!,"AAAAAHhf3/E=")</f>
        <v>#REF!</v>
      </c>
      <c r="II32" t="e">
        <f>AND('POTENCIAL HORAS'!#REF!,"AAAAAHhf3/I=")</f>
        <v>#REF!</v>
      </c>
      <c r="IJ32" t="e">
        <f>AND('POTENCIAL HORAS'!#REF!,"AAAAAHhf3/M=")</f>
        <v>#REF!</v>
      </c>
      <c r="IK32" t="e">
        <f>AND('POTENCIAL HORAS'!#REF!,"AAAAAHhf3/Q=")</f>
        <v>#REF!</v>
      </c>
      <c r="IL32" t="e">
        <f>AND('POTENCIAL HORAS'!#REF!,"AAAAAHhf3/U=")</f>
        <v>#REF!</v>
      </c>
      <c r="IM32" t="e">
        <f>AND('POTENCIAL HORAS'!#REF!,"AAAAAHhf3/Y=")</f>
        <v>#REF!</v>
      </c>
      <c r="IN32" t="e">
        <f>AND('POTENCIAL HORAS'!#REF!,"AAAAAHhf3/c=")</f>
        <v>#REF!</v>
      </c>
      <c r="IO32" t="e">
        <f>AND('POTENCIAL HORAS'!#REF!,"AAAAAHhf3/g=")</f>
        <v>#REF!</v>
      </c>
      <c r="IP32" t="e">
        <f>AND('POTENCIAL HORAS'!#REF!,"AAAAAHhf3/k=")</f>
        <v>#REF!</v>
      </c>
      <c r="IQ32" t="e">
        <f>AND('POTENCIAL HORAS'!#REF!,"AAAAAHhf3/o=")</f>
        <v>#REF!</v>
      </c>
      <c r="IR32" t="e">
        <f>AND('POTENCIAL HORAS'!#REF!,"AAAAAHhf3/s=")</f>
        <v>#REF!</v>
      </c>
      <c r="IS32" t="e">
        <f>AND('POTENCIAL HORAS'!#REF!,"AAAAAHhf3/w=")</f>
        <v>#REF!</v>
      </c>
      <c r="IT32" t="e">
        <f>AND('POTENCIAL HORAS'!#REF!,"AAAAAHhf3/0=")</f>
        <v>#REF!</v>
      </c>
      <c r="IU32" t="e">
        <f>IF('POTENCIAL HORAS'!#REF!,"AAAAAHhf3/4=",0)</f>
        <v>#REF!</v>
      </c>
      <c r="IV32" t="e">
        <f>AND('POTENCIAL HORAS'!#REF!,"AAAAAHhf3/8=")</f>
        <v>#REF!</v>
      </c>
    </row>
    <row r="33" spans="1:256" x14ac:dyDescent="0.2">
      <c r="A33" t="e">
        <f>AND('POTENCIAL HORAS'!#REF!,"AAAAAHi96wA=")</f>
        <v>#REF!</v>
      </c>
      <c r="B33" t="e">
        <f>AND('POTENCIAL HORAS'!#REF!,"AAAAAHi96wE=")</f>
        <v>#REF!</v>
      </c>
      <c r="C33" t="e">
        <f>AND('POTENCIAL HORAS'!#REF!,"AAAAAHi96wI=")</f>
        <v>#REF!</v>
      </c>
      <c r="D33" t="e">
        <f>AND('POTENCIAL HORAS'!#REF!,"AAAAAHi96wM=")</f>
        <v>#REF!</v>
      </c>
      <c r="E33" t="e">
        <f>AND('POTENCIAL HORAS'!#REF!,"AAAAAHi96wQ=")</f>
        <v>#REF!</v>
      </c>
      <c r="F33" t="e">
        <f>AND('POTENCIAL HORAS'!#REF!,"AAAAAHi96wU=")</f>
        <v>#REF!</v>
      </c>
      <c r="G33" t="e">
        <f>AND('POTENCIAL HORAS'!#REF!,"AAAAAHi96wY=")</f>
        <v>#REF!</v>
      </c>
      <c r="H33" t="e">
        <f>AND('POTENCIAL HORAS'!#REF!,"AAAAAHi96wc=")</f>
        <v>#REF!</v>
      </c>
      <c r="I33" t="e">
        <f>AND('POTENCIAL HORAS'!#REF!,"AAAAAHi96wg=")</f>
        <v>#REF!</v>
      </c>
      <c r="J33" t="e">
        <f>AND('POTENCIAL HORAS'!#REF!,"AAAAAHi96wk=")</f>
        <v>#REF!</v>
      </c>
      <c r="K33" t="e">
        <f>AND('POTENCIAL HORAS'!#REF!,"AAAAAHi96wo=")</f>
        <v>#REF!</v>
      </c>
      <c r="L33" t="e">
        <f>AND('POTENCIAL HORAS'!#REF!,"AAAAAHi96ws=")</f>
        <v>#REF!</v>
      </c>
      <c r="M33" t="e">
        <f>AND('POTENCIAL HORAS'!#REF!,"AAAAAHi96ww=")</f>
        <v>#REF!</v>
      </c>
      <c r="N33" t="e">
        <f>AND('POTENCIAL HORAS'!#REF!,"AAAAAHi96w0=")</f>
        <v>#REF!</v>
      </c>
      <c r="O33" t="e">
        <f>AND('POTENCIAL HORAS'!#REF!,"AAAAAHi96w4=")</f>
        <v>#REF!</v>
      </c>
      <c r="P33" t="e">
        <f>AND('POTENCIAL HORAS'!#REF!,"AAAAAHi96w8=")</f>
        <v>#REF!</v>
      </c>
      <c r="Q33" t="e">
        <f>AND('POTENCIAL HORAS'!#REF!,"AAAAAHi96xA=")</f>
        <v>#REF!</v>
      </c>
      <c r="R33" t="e">
        <f>AND('POTENCIAL HORAS'!#REF!,"AAAAAHi96xE=")</f>
        <v>#REF!</v>
      </c>
      <c r="S33" t="e">
        <f>AND('POTENCIAL HORAS'!#REF!,"AAAAAHi96xI=")</f>
        <v>#REF!</v>
      </c>
      <c r="T33" t="e">
        <f>AND('POTENCIAL HORAS'!#REF!,"AAAAAHi96xM=")</f>
        <v>#REF!</v>
      </c>
      <c r="U33" t="e">
        <f>AND('POTENCIAL HORAS'!#REF!,"AAAAAHi96xQ=")</f>
        <v>#REF!</v>
      </c>
      <c r="V33" t="e">
        <f>AND('POTENCIAL HORAS'!#REF!,"AAAAAHi96xU=")</f>
        <v>#REF!</v>
      </c>
      <c r="W33" t="e">
        <f>AND('POTENCIAL HORAS'!#REF!,"AAAAAHi96xY=")</f>
        <v>#REF!</v>
      </c>
      <c r="X33" t="e">
        <f>AND('POTENCIAL HORAS'!#REF!,"AAAAAHi96xc=")</f>
        <v>#REF!</v>
      </c>
      <c r="Y33" t="e">
        <f>AND('POTENCIAL HORAS'!#REF!,"AAAAAHi96xg=")</f>
        <v>#REF!</v>
      </c>
      <c r="Z33" t="e">
        <f>AND('POTENCIAL HORAS'!#REF!,"AAAAAHi96xk=")</f>
        <v>#REF!</v>
      </c>
      <c r="AA33" t="e">
        <f>AND('POTENCIAL HORAS'!#REF!,"AAAAAHi96xo=")</f>
        <v>#REF!</v>
      </c>
      <c r="AB33" t="e">
        <f>AND('POTENCIAL HORAS'!#REF!,"AAAAAHi96xs=")</f>
        <v>#REF!</v>
      </c>
      <c r="AC33" t="e">
        <f>AND('POTENCIAL HORAS'!#REF!,"AAAAAHi96xw=")</f>
        <v>#REF!</v>
      </c>
      <c r="AD33" t="e">
        <f>AND('POTENCIAL HORAS'!#REF!,"AAAAAHi96x0=")</f>
        <v>#REF!</v>
      </c>
      <c r="AE33" t="e">
        <f>AND('POTENCIAL HORAS'!#REF!,"AAAAAHi96x4=")</f>
        <v>#REF!</v>
      </c>
      <c r="AF33" t="e">
        <f>AND('POTENCIAL HORAS'!#REF!,"AAAAAHi96x8=")</f>
        <v>#REF!</v>
      </c>
      <c r="AG33" t="e">
        <f>AND('POTENCIAL HORAS'!#REF!,"AAAAAHi96yA=")</f>
        <v>#REF!</v>
      </c>
      <c r="AH33" t="e">
        <f>AND('POTENCIAL HORAS'!#REF!,"AAAAAHi96yE=")</f>
        <v>#REF!</v>
      </c>
      <c r="AI33" t="e">
        <f>AND('POTENCIAL HORAS'!#REF!,"AAAAAHi96yI=")</f>
        <v>#REF!</v>
      </c>
      <c r="AJ33" t="e">
        <f>AND('POTENCIAL HORAS'!#REF!,"AAAAAHi96yM=")</f>
        <v>#REF!</v>
      </c>
      <c r="AK33" t="e">
        <f>AND('POTENCIAL HORAS'!#REF!,"AAAAAHi96yQ=")</f>
        <v>#REF!</v>
      </c>
      <c r="AL33" t="e">
        <f>IF('POTENCIAL HORAS'!#REF!,"AAAAAHi96yU=",0)</f>
        <v>#REF!</v>
      </c>
      <c r="AM33" t="e">
        <f>AND('POTENCIAL HORAS'!#REF!,"AAAAAHi96yY=")</f>
        <v>#REF!</v>
      </c>
      <c r="AN33" t="e">
        <f>AND('POTENCIAL HORAS'!#REF!,"AAAAAHi96yc=")</f>
        <v>#REF!</v>
      </c>
      <c r="AO33" t="e">
        <f>AND('POTENCIAL HORAS'!#REF!,"AAAAAHi96yg=")</f>
        <v>#REF!</v>
      </c>
      <c r="AP33" t="e">
        <f>AND('POTENCIAL HORAS'!#REF!,"AAAAAHi96yk=")</f>
        <v>#REF!</v>
      </c>
      <c r="AQ33" t="e">
        <f>AND('POTENCIAL HORAS'!#REF!,"AAAAAHi96yo=")</f>
        <v>#REF!</v>
      </c>
      <c r="AR33" t="e">
        <f>AND('POTENCIAL HORAS'!#REF!,"AAAAAHi96ys=")</f>
        <v>#REF!</v>
      </c>
      <c r="AS33" t="e">
        <f>AND('POTENCIAL HORAS'!#REF!,"AAAAAHi96yw=")</f>
        <v>#REF!</v>
      </c>
      <c r="AT33" t="e">
        <f>AND('POTENCIAL HORAS'!#REF!,"AAAAAHi96y0=")</f>
        <v>#REF!</v>
      </c>
      <c r="AU33" t="e">
        <f>AND('POTENCIAL HORAS'!#REF!,"AAAAAHi96y4=")</f>
        <v>#REF!</v>
      </c>
      <c r="AV33" t="e">
        <f>AND('POTENCIAL HORAS'!#REF!,"AAAAAHi96y8=")</f>
        <v>#REF!</v>
      </c>
      <c r="AW33" t="e">
        <f>AND('POTENCIAL HORAS'!#REF!,"AAAAAHi96zA=")</f>
        <v>#REF!</v>
      </c>
      <c r="AX33" t="e">
        <f>AND('POTENCIAL HORAS'!#REF!,"AAAAAHi96zE=")</f>
        <v>#REF!</v>
      </c>
      <c r="AY33" t="e">
        <f>AND('POTENCIAL HORAS'!#REF!,"AAAAAHi96zI=")</f>
        <v>#REF!</v>
      </c>
      <c r="AZ33" t="e">
        <f>AND('POTENCIAL HORAS'!#REF!,"AAAAAHi96zM=")</f>
        <v>#REF!</v>
      </c>
      <c r="BA33" t="e">
        <f>AND('POTENCIAL HORAS'!#REF!,"AAAAAHi96zQ=")</f>
        <v>#REF!</v>
      </c>
      <c r="BB33" t="e">
        <f>AND('POTENCIAL HORAS'!#REF!,"AAAAAHi96zU=")</f>
        <v>#REF!</v>
      </c>
      <c r="BC33" t="e">
        <f>AND('POTENCIAL HORAS'!#REF!,"AAAAAHi96zY=")</f>
        <v>#REF!</v>
      </c>
      <c r="BD33" t="e">
        <f>AND('POTENCIAL HORAS'!#REF!,"AAAAAHi96zc=")</f>
        <v>#REF!</v>
      </c>
      <c r="BE33" t="e">
        <f>AND('POTENCIAL HORAS'!#REF!,"AAAAAHi96zg=")</f>
        <v>#REF!</v>
      </c>
      <c r="BF33" t="e">
        <f>AND('POTENCIAL HORAS'!#REF!,"AAAAAHi96zk=")</f>
        <v>#REF!</v>
      </c>
      <c r="BG33" t="e">
        <f>AND('POTENCIAL HORAS'!#REF!,"AAAAAHi96zo=")</f>
        <v>#REF!</v>
      </c>
      <c r="BH33" t="e">
        <f>AND('POTENCIAL HORAS'!#REF!,"AAAAAHi96zs=")</f>
        <v>#REF!</v>
      </c>
      <c r="BI33" t="e">
        <f>AND('POTENCIAL HORAS'!#REF!,"AAAAAHi96zw=")</f>
        <v>#REF!</v>
      </c>
      <c r="BJ33" t="e">
        <f>AND('POTENCIAL HORAS'!#REF!,"AAAAAHi96z0=")</f>
        <v>#REF!</v>
      </c>
      <c r="BK33" t="e">
        <f>AND('POTENCIAL HORAS'!#REF!,"AAAAAHi96z4=")</f>
        <v>#REF!</v>
      </c>
      <c r="BL33" t="e">
        <f>AND('POTENCIAL HORAS'!#REF!,"AAAAAHi96z8=")</f>
        <v>#REF!</v>
      </c>
      <c r="BM33" t="e">
        <f>AND('POTENCIAL HORAS'!#REF!,"AAAAAHi960A=")</f>
        <v>#REF!</v>
      </c>
      <c r="BN33" t="e">
        <f>AND('POTENCIAL HORAS'!#REF!,"AAAAAHi960E=")</f>
        <v>#REF!</v>
      </c>
      <c r="BO33" t="e">
        <f>AND('POTENCIAL HORAS'!#REF!,"AAAAAHi960I=")</f>
        <v>#REF!</v>
      </c>
      <c r="BP33" t="e">
        <f>AND('POTENCIAL HORAS'!#REF!,"AAAAAHi960M=")</f>
        <v>#REF!</v>
      </c>
      <c r="BQ33" t="e">
        <f>AND('POTENCIAL HORAS'!#REF!,"AAAAAHi960Q=")</f>
        <v>#REF!</v>
      </c>
      <c r="BR33" t="e">
        <f>AND('POTENCIAL HORAS'!#REF!,"AAAAAHi960U=")</f>
        <v>#REF!</v>
      </c>
      <c r="BS33" t="e">
        <f>AND('POTENCIAL HORAS'!#REF!,"AAAAAHi960Y=")</f>
        <v>#REF!</v>
      </c>
      <c r="BT33" t="e">
        <f>AND('POTENCIAL HORAS'!#REF!,"AAAAAHi960c=")</f>
        <v>#REF!</v>
      </c>
      <c r="BU33" t="e">
        <f>AND('POTENCIAL HORAS'!#REF!,"AAAAAHi960g=")</f>
        <v>#REF!</v>
      </c>
      <c r="BV33" t="e">
        <f>AND('POTENCIAL HORAS'!#REF!,"AAAAAHi960k=")</f>
        <v>#REF!</v>
      </c>
      <c r="BW33" t="e">
        <f>AND('POTENCIAL HORAS'!#REF!,"AAAAAHi960o=")</f>
        <v>#REF!</v>
      </c>
      <c r="BX33" t="e">
        <f>AND('POTENCIAL HORAS'!#REF!,"AAAAAHi960s=")</f>
        <v>#REF!</v>
      </c>
      <c r="BY33" t="e">
        <f>IF('POTENCIAL HORAS'!#REF!,"AAAAAHi960w=",0)</f>
        <v>#REF!</v>
      </c>
      <c r="BZ33" t="e">
        <f>AND('POTENCIAL HORAS'!#REF!,"AAAAAHi9600=")</f>
        <v>#REF!</v>
      </c>
      <c r="CA33" t="e">
        <f>AND('POTENCIAL HORAS'!#REF!,"AAAAAHi9604=")</f>
        <v>#REF!</v>
      </c>
      <c r="CB33" t="e">
        <f>AND('POTENCIAL HORAS'!#REF!,"AAAAAHi9608=")</f>
        <v>#REF!</v>
      </c>
      <c r="CC33" t="e">
        <f>AND('POTENCIAL HORAS'!#REF!,"AAAAAHi961A=")</f>
        <v>#REF!</v>
      </c>
      <c r="CD33" t="e">
        <f>AND('POTENCIAL HORAS'!#REF!,"AAAAAHi961E=")</f>
        <v>#REF!</v>
      </c>
      <c r="CE33" t="e">
        <f>AND('POTENCIAL HORAS'!#REF!,"AAAAAHi961I=")</f>
        <v>#REF!</v>
      </c>
      <c r="CF33" t="e">
        <f>AND('POTENCIAL HORAS'!#REF!,"AAAAAHi961M=")</f>
        <v>#REF!</v>
      </c>
      <c r="CG33" t="e">
        <f>AND('POTENCIAL HORAS'!#REF!,"AAAAAHi961Q=")</f>
        <v>#REF!</v>
      </c>
      <c r="CH33" t="e">
        <f>AND('POTENCIAL HORAS'!#REF!,"AAAAAHi961U=")</f>
        <v>#REF!</v>
      </c>
      <c r="CI33" t="e">
        <f>AND('POTENCIAL HORAS'!#REF!,"AAAAAHi961Y=")</f>
        <v>#REF!</v>
      </c>
      <c r="CJ33" t="e">
        <f>AND('POTENCIAL HORAS'!#REF!,"AAAAAHi961c=")</f>
        <v>#REF!</v>
      </c>
      <c r="CK33" t="e">
        <f>AND('POTENCIAL HORAS'!#REF!,"AAAAAHi961g=")</f>
        <v>#REF!</v>
      </c>
      <c r="CL33" t="e">
        <f>AND('POTENCIAL HORAS'!#REF!,"AAAAAHi961k=")</f>
        <v>#REF!</v>
      </c>
      <c r="CM33" t="e">
        <f>AND('POTENCIAL HORAS'!#REF!,"AAAAAHi961o=")</f>
        <v>#REF!</v>
      </c>
      <c r="CN33" t="e">
        <f>AND('POTENCIAL HORAS'!#REF!,"AAAAAHi961s=")</f>
        <v>#REF!</v>
      </c>
      <c r="CO33" t="e">
        <f>AND('POTENCIAL HORAS'!#REF!,"AAAAAHi961w=")</f>
        <v>#REF!</v>
      </c>
      <c r="CP33" t="e">
        <f>AND('POTENCIAL HORAS'!#REF!,"AAAAAHi9610=")</f>
        <v>#REF!</v>
      </c>
      <c r="CQ33" t="e">
        <f>AND('POTENCIAL HORAS'!#REF!,"AAAAAHi9614=")</f>
        <v>#REF!</v>
      </c>
      <c r="CR33" t="e">
        <f>AND('POTENCIAL HORAS'!#REF!,"AAAAAHi9618=")</f>
        <v>#REF!</v>
      </c>
      <c r="CS33" t="e">
        <f>AND('POTENCIAL HORAS'!#REF!,"AAAAAHi962A=")</f>
        <v>#REF!</v>
      </c>
      <c r="CT33" t="e">
        <f>AND('POTENCIAL HORAS'!#REF!,"AAAAAHi962E=")</f>
        <v>#REF!</v>
      </c>
      <c r="CU33" t="e">
        <f>AND('POTENCIAL HORAS'!#REF!,"AAAAAHi962I=")</f>
        <v>#REF!</v>
      </c>
      <c r="CV33" t="e">
        <f>AND('POTENCIAL HORAS'!#REF!,"AAAAAHi962M=")</f>
        <v>#REF!</v>
      </c>
      <c r="CW33" t="e">
        <f>AND('POTENCIAL HORAS'!#REF!,"AAAAAHi962Q=")</f>
        <v>#REF!</v>
      </c>
      <c r="CX33" t="e">
        <f>AND('POTENCIAL HORAS'!#REF!,"AAAAAHi962U=")</f>
        <v>#REF!</v>
      </c>
      <c r="CY33" t="e">
        <f>AND('POTENCIAL HORAS'!#REF!,"AAAAAHi962Y=")</f>
        <v>#REF!</v>
      </c>
      <c r="CZ33" t="e">
        <f>AND('POTENCIAL HORAS'!#REF!,"AAAAAHi962c=")</f>
        <v>#REF!</v>
      </c>
      <c r="DA33" t="e">
        <f>AND('POTENCIAL HORAS'!#REF!,"AAAAAHi962g=")</f>
        <v>#REF!</v>
      </c>
      <c r="DB33" t="e">
        <f>AND('POTENCIAL HORAS'!#REF!,"AAAAAHi962k=")</f>
        <v>#REF!</v>
      </c>
      <c r="DC33" t="e">
        <f>AND('POTENCIAL HORAS'!#REF!,"AAAAAHi962o=")</f>
        <v>#REF!</v>
      </c>
      <c r="DD33" t="e">
        <f>AND('POTENCIAL HORAS'!#REF!,"AAAAAHi962s=")</f>
        <v>#REF!</v>
      </c>
      <c r="DE33" t="e">
        <f>AND('POTENCIAL HORAS'!#REF!,"AAAAAHi962w=")</f>
        <v>#REF!</v>
      </c>
      <c r="DF33" t="e">
        <f>AND('POTENCIAL HORAS'!#REF!,"AAAAAHi9620=")</f>
        <v>#REF!</v>
      </c>
      <c r="DG33" t="e">
        <f>AND('POTENCIAL HORAS'!#REF!,"AAAAAHi9624=")</f>
        <v>#REF!</v>
      </c>
      <c r="DH33" t="e">
        <f>AND('POTENCIAL HORAS'!#REF!,"AAAAAHi9628=")</f>
        <v>#REF!</v>
      </c>
      <c r="DI33" t="e">
        <f>AND('POTENCIAL HORAS'!#REF!,"AAAAAHi963A=")</f>
        <v>#REF!</v>
      </c>
      <c r="DJ33" t="e">
        <f>AND('POTENCIAL HORAS'!#REF!,"AAAAAHi963E=")</f>
        <v>#REF!</v>
      </c>
      <c r="DK33" t="e">
        <f>AND('POTENCIAL HORAS'!#REF!,"AAAAAHi963I=")</f>
        <v>#REF!</v>
      </c>
      <c r="DL33" t="e">
        <f>IF('POTENCIAL HORAS'!#REF!,"AAAAAHi963M=",0)</f>
        <v>#REF!</v>
      </c>
      <c r="DM33" t="e">
        <f>AND('POTENCIAL HORAS'!#REF!,"AAAAAHi963Q=")</f>
        <v>#REF!</v>
      </c>
      <c r="DN33" t="e">
        <f>AND('POTENCIAL HORAS'!#REF!,"AAAAAHi963U=")</f>
        <v>#REF!</v>
      </c>
      <c r="DO33" t="e">
        <f>AND('POTENCIAL HORAS'!#REF!,"AAAAAHi963Y=")</f>
        <v>#REF!</v>
      </c>
      <c r="DP33" t="e">
        <f>AND('POTENCIAL HORAS'!#REF!,"AAAAAHi963c=")</f>
        <v>#REF!</v>
      </c>
      <c r="DQ33" t="e">
        <f>AND('POTENCIAL HORAS'!#REF!,"AAAAAHi963g=")</f>
        <v>#REF!</v>
      </c>
      <c r="DR33" t="e">
        <f>AND('POTENCIAL HORAS'!#REF!,"AAAAAHi963k=")</f>
        <v>#REF!</v>
      </c>
      <c r="DS33" t="e">
        <f>AND('POTENCIAL HORAS'!#REF!,"AAAAAHi963o=")</f>
        <v>#REF!</v>
      </c>
      <c r="DT33" t="e">
        <f>AND('POTENCIAL HORAS'!#REF!,"AAAAAHi963s=")</f>
        <v>#REF!</v>
      </c>
      <c r="DU33" t="e">
        <f>AND('POTENCIAL HORAS'!#REF!,"AAAAAHi963w=")</f>
        <v>#REF!</v>
      </c>
      <c r="DV33" t="e">
        <f>AND('POTENCIAL HORAS'!#REF!,"AAAAAHi9630=")</f>
        <v>#REF!</v>
      </c>
      <c r="DW33" t="e">
        <f>AND('POTENCIAL HORAS'!#REF!,"AAAAAHi9634=")</f>
        <v>#REF!</v>
      </c>
      <c r="DX33" t="e">
        <f>AND('POTENCIAL HORAS'!#REF!,"AAAAAHi9638=")</f>
        <v>#REF!</v>
      </c>
      <c r="DY33" t="e">
        <f>AND('POTENCIAL HORAS'!#REF!,"AAAAAHi964A=")</f>
        <v>#REF!</v>
      </c>
      <c r="DZ33" t="e">
        <f>AND('POTENCIAL HORAS'!#REF!,"AAAAAHi964E=")</f>
        <v>#REF!</v>
      </c>
      <c r="EA33" t="e">
        <f>AND('POTENCIAL HORAS'!#REF!,"AAAAAHi964I=")</f>
        <v>#REF!</v>
      </c>
      <c r="EB33" t="e">
        <f>AND('POTENCIAL HORAS'!#REF!,"AAAAAHi964M=")</f>
        <v>#REF!</v>
      </c>
      <c r="EC33" t="e">
        <f>AND('POTENCIAL HORAS'!#REF!,"AAAAAHi964Q=")</f>
        <v>#REF!</v>
      </c>
      <c r="ED33" t="e">
        <f>AND('POTENCIAL HORAS'!#REF!,"AAAAAHi964U=")</f>
        <v>#REF!</v>
      </c>
      <c r="EE33" t="e">
        <f>AND('POTENCIAL HORAS'!#REF!,"AAAAAHi964Y=")</f>
        <v>#REF!</v>
      </c>
      <c r="EF33" t="e">
        <f>AND('POTENCIAL HORAS'!#REF!,"AAAAAHi964c=")</f>
        <v>#REF!</v>
      </c>
      <c r="EG33" t="e">
        <f>AND('POTENCIAL HORAS'!#REF!,"AAAAAHi964g=")</f>
        <v>#REF!</v>
      </c>
      <c r="EH33" t="e">
        <f>AND('POTENCIAL HORAS'!#REF!,"AAAAAHi964k=")</f>
        <v>#REF!</v>
      </c>
      <c r="EI33" t="e">
        <f>AND('POTENCIAL HORAS'!#REF!,"AAAAAHi964o=")</f>
        <v>#REF!</v>
      </c>
      <c r="EJ33" t="e">
        <f>AND('POTENCIAL HORAS'!#REF!,"AAAAAHi964s=")</f>
        <v>#REF!</v>
      </c>
      <c r="EK33" t="e">
        <f>AND('POTENCIAL HORAS'!#REF!,"AAAAAHi964w=")</f>
        <v>#REF!</v>
      </c>
      <c r="EL33" t="e">
        <f>AND('POTENCIAL HORAS'!#REF!,"AAAAAHi9640=")</f>
        <v>#REF!</v>
      </c>
      <c r="EM33" t="e">
        <f>AND('POTENCIAL HORAS'!#REF!,"AAAAAHi9644=")</f>
        <v>#REF!</v>
      </c>
      <c r="EN33" t="e">
        <f>AND('POTENCIAL HORAS'!#REF!,"AAAAAHi9648=")</f>
        <v>#REF!</v>
      </c>
      <c r="EO33" t="e">
        <f>AND('POTENCIAL HORAS'!#REF!,"AAAAAHi965A=")</f>
        <v>#REF!</v>
      </c>
      <c r="EP33" t="e">
        <f>AND('POTENCIAL HORAS'!#REF!,"AAAAAHi965E=")</f>
        <v>#REF!</v>
      </c>
      <c r="EQ33" t="e">
        <f>AND('POTENCIAL HORAS'!#REF!,"AAAAAHi965I=")</f>
        <v>#REF!</v>
      </c>
      <c r="ER33" t="e">
        <f>AND('POTENCIAL HORAS'!#REF!,"AAAAAHi965M=")</f>
        <v>#REF!</v>
      </c>
      <c r="ES33" t="e">
        <f>AND('POTENCIAL HORAS'!#REF!,"AAAAAHi965Q=")</f>
        <v>#REF!</v>
      </c>
      <c r="ET33" t="e">
        <f>AND('POTENCIAL HORAS'!#REF!,"AAAAAHi965U=")</f>
        <v>#REF!</v>
      </c>
      <c r="EU33" t="e">
        <f>AND('POTENCIAL HORAS'!#REF!,"AAAAAHi965Y=")</f>
        <v>#REF!</v>
      </c>
      <c r="EV33" t="e">
        <f>AND('POTENCIAL HORAS'!#REF!,"AAAAAHi965c=")</f>
        <v>#REF!</v>
      </c>
      <c r="EW33" t="e">
        <f>AND('POTENCIAL HORAS'!#REF!,"AAAAAHi965g=")</f>
        <v>#REF!</v>
      </c>
      <c r="EX33" t="e">
        <f>AND('POTENCIAL HORAS'!#REF!,"AAAAAHi965k=")</f>
        <v>#REF!</v>
      </c>
      <c r="EY33" t="e">
        <f>IF('POTENCIAL HORAS'!#REF!,"AAAAAHi965o=",0)</f>
        <v>#REF!</v>
      </c>
      <c r="EZ33" t="e">
        <f>AND('POTENCIAL HORAS'!#REF!,"AAAAAHi965s=")</f>
        <v>#REF!</v>
      </c>
      <c r="FA33" t="e">
        <f>AND('POTENCIAL HORAS'!#REF!,"AAAAAHi965w=")</f>
        <v>#REF!</v>
      </c>
      <c r="FB33" t="e">
        <f>AND('POTENCIAL HORAS'!#REF!,"AAAAAHi9650=")</f>
        <v>#REF!</v>
      </c>
      <c r="FC33" t="e">
        <f>AND('POTENCIAL HORAS'!#REF!,"AAAAAHi9654=")</f>
        <v>#REF!</v>
      </c>
      <c r="FD33" t="e">
        <f>AND('POTENCIAL HORAS'!#REF!,"AAAAAHi9658=")</f>
        <v>#REF!</v>
      </c>
      <c r="FE33" t="e">
        <f>AND('POTENCIAL HORAS'!#REF!,"AAAAAHi966A=")</f>
        <v>#REF!</v>
      </c>
      <c r="FF33" t="e">
        <f>AND('POTENCIAL HORAS'!#REF!,"AAAAAHi966E=")</f>
        <v>#REF!</v>
      </c>
      <c r="FG33" t="e">
        <f>AND('POTENCIAL HORAS'!#REF!,"AAAAAHi966I=")</f>
        <v>#REF!</v>
      </c>
      <c r="FH33" t="e">
        <f>AND('POTENCIAL HORAS'!#REF!,"AAAAAHi966M=")</f>
        <v>#REF!</v>
      </c>
      <c r="FI33" t="e">
        <f>AND('POTENCIAL HORAS'!#REF!,"AAAAAHi966Q=")</f>
        <v>#REF!</v>
      </c>
      <c r="FJ33" t="e">
        <f>AND('POTENCIAL HORAS'!#REF!,"AAAAAHi966U=")</f>
        <v>#REF!</v>
      </c>
      <c r="FK33" t="e">
        <f>AND('POTENCIAL HORAS'!#REF!,"AAAAAHi966Y=")</f>
        <v>#REF!</v>
      </c>
      <c r="FL33" t="e">
        <f>AND('POTENCIAL HORAS'!#REF!,"AAAAAHi966c=")</f>
        <v>#REF!</v>
      </c>
      <c r="FM33" t="e">
        <f>AND('POTENCIAL HORAS'!#REF!,"AAAAAHi966g=")</f>
        <v>#REF!</v>
      </c>
      <c r="FN33" t="e">
        <f>AND('POTENCIAL HORAS'!#REF!,"AAAAAHi966k=")</f>
        <v>#REF!</v>
      </c>
      <c r="FO33" t="e">
        <f>AND('POTENCIAL HORAS'!#REF!,"AAAAAHi966o=")</f>
        <v>#REF!</v>
      </c>
      <c r="FP33" t="e">
        <f>AND('POTENCIAL HORAS'!#REF!,"AAAAAHi966s=")</f>
        <v>#REF!</v>
      </c>
      <c r="FQ33" t="e">
        <f>AND('POTENCIAL HORAS'!#REF!,"AAAAAHi966w=")</f>
        <v>#REF!</v>
      </c>
      <c r="FR33" t="e">
        <f>AND('POTENCIAL HORAS'!#REF!,"AAAAAHi9660=")</f>
        <v>#REF!</v>
      </c>
      <c r="FS33" t="e">
        <f>AND('POTENCIAL HORAS'!#REF!,"AAAAAHi9664=")</f>
        <v>#REF!</v>
      </c>
      <c r="FT33" t="e">
        <f>AND('POTENCIAL HORAS'!#REF!,"AAAAAHi9668=")</f>
        <v>#REF!</v>
      </c>
      <c r="FU33" t="e">
        <f>AND('POTENCIAL HORAS'!#REF!,"AAAAAHi967A=")</f>
        <v>#REF!</v>
      </c>
      <c r="FV33" t="e">
        <f>AND('POTENCIAL HORAS'!#REF!,"AAAAAHi967E=")</f>
        <v>#REF!</v>
      </c>
      <c r="FW33" t="e">
        <f>AND('POTENCIAL HORAS'!#REF!,"AAAAAHi967I=")</f>
        <v>#REF!</v>
      </c>
      <c r="FX33" t="e">
        <f>AND('POTENCIAL HORAS'!#REF!,"AAAAAHi967M=")</f>
        <v>#REF!</v>
      </c>
      <c r="FY33" t="e">
        <f>AND('POTENCIAL HORAS'!#REF!,"AAAAAHi967Q=")</f>
        <v>#REF!</v>
      </c>
      <c r="FZ33" t="e">
        <f>AND('POTENCIAL HORAS'!#REF!,"AAAAAHi967U=")</f>
        <v>#REF!</v>
      </c>
      <c r="GA33" t="e">
        <f>AND('POTENCIAL HORAS'!#REF!,"AAAAAHi967Y=")</f>
        <v>#REF!</v>
      </c>
      <c r="GB33" t="e">
        <f>AND('POTENCIAL HORAS'!#REF!,"AAAAAHi967c=")</f>
        <v>#REF!</v>
      </c>
      <c r="GC33" t="e">
        <f>AND('POTENCIAL HORAS'!#REF!,"AAAAAHi967g=")</f>
        <v>#REF!</v>
      </c>
      <c r="GD33" t="e">
        <f>AND('POTENCIAL HORAS'!#REF!,"AAAAAHi967k=")</f>
        <v>#REF!</v>
      </c>
      <c r="GE33" t="e">
        <f>AND('POTENCIAL HORAS'!#REF!,"AAAAAHi967o=")</f>
        <v>#REF!</v>
      </c>
      <c r="GF33" t="e">
        <f>AND('POTENCIAL HORAS'!#REF!,"AAAAAHi967s=")</f>
        <v>#REF!</v>
      </c>
      <c r="GG33" t="e">
        <f>AND('POTENCIAL HORAS'!#REF!,"AAAAAHi967w=")</f>
        <v>#REF!</v>
      </c>
      <c r="GH33" t="e">
        <f>AND('POTENCIAL HORAS'!#REF!,"AAAAAHi9670=")</f>
        <v>#REF!</v>
      </c>
      <c r="GI33" t="e">
        <f>AND('POTENCIAL HORAS'!#REF!,"AAAAAHi9674=")</f>
        <v>#REF!</v>
      </c>
      <c r="GJ33" t="e">
        <f>AND('POTENCIAL HORAS'!#REF!,"AAAAAHi9678=")</f>
        <v>#REF!</v>
      </c>
      <c r="GK33" t="e">
        <f>AND('POTENCIAL HORAS'!#REF!,"AAAAAHi968A=")</f>
        <v>#REF!</v>
      </c>
      <c r="GL33" t="e">
        <f>IF('POTENCIAL HORAS'!#REF!,"AAAAAHi968E=",0)</f>
        <v>#REF!</v>
      </c>
      <c r="GM33" t="e">
        <f>AND('POTENCIAL HORAS'!#REF!,"AAAAAHi968I=")</f>
        <v>#REF!</v>
      </c>
      <c r="GN33" t="e">
        <f>AND('POTENCIAL HORAS'!#REF!,"AAAAAHi968M=")</f>
        <v>#REF!</v>
      </c>
      <c r="GO33" t="e">
        <f>AND('POTENCIAL HORAS'!#REF!,"AAAAAHi968Q=")</f>
        <v>#REF!</v>
      </c>
      <c r="GP33" t="e">
        <f>AND('POTENCIAL HORAS'!#REF!,"AAAAAHi968U=")</f>
        <v>#REF!</v>
      </c>
      <c r="GQ33" t="e">
        <f>AND('POTENCIAL HORAS'!#REF!,"AAAAAHi968Y=")</f>
        <v>#REF!</v>
      </c>
      <c r="GR33" t="e">
        <f>AND('POTENCIAL HORAS'!#REF!,"AAAAAHi968c=")</f>
        <v>#REF!</v>
      </c>
      <c r="GS33" t="e">
        <f>AND('POTENCIAL HORAS'!#REF!,"AAAAAHi968g=")</f>
        <v>#REF!</v>
      </c>
      <c r="GT33" t="e">
        <f>AND('POTENCIAL HORAS'!#REF!,"AAAAAHi968k=")</f>
        <v>#REF!</v>
      </c>
      <c r="GU33" t="e">
        <f>AND('POTENCIAL HORAS'!#REF!,"AAAAAHi968o=")</f>
        <v>#REF!</v>
      </c>
      <c r="GV33" t="e">
        <f>AND('POTENCIAL HORAS'!#REF!,"AAAAAHi968s=")</f>
        <v>#REF!</v>
      </c>
      <c r="GW33" t="e">
        <f>AND('POTENCIAL HORAS'!#REF!,"AAAAAHi968w=")</f>
        <v>#REF!</v>
      </c>
      <c r="GX33" t="e">
        <f>AND('POTENCIAL HORAS'!#REF!,"AAAAAHi9680=")</f>
        <v>#REF!</v>
      </c>
      <c r="GY33" t="e">
        <f>AND('POTENCIAL HORAS'!#REF!,"AAAAAHi9684=")</f>
        <v>#REF!</v>
      </c>
      <c r="GZ33" t="e">
        <f>AND('POTENCIAL HORAS'!#REF!,"AAAAAHi9688=")</f>
        <v>#REF!</v>
      </c>
      <c r="HA33" t="e">
        <f>AND('POTENCIAL HORAS'!#REF!,"AAAAAHi969A=")</f>
        <v>#REF!</v>
      </c>
      <c r="HB33" t="e">
        <f>AND('POTENCIAL HORAS'!#REF!,"AAAAAHi969E=")</f>
        <v>#REF!</v>
      </c>
      <c r="HC33" t="e">
        <f>AND('POTENCIAL HORAS'!#REF!,"AAAAAHi969I=")</f>
        <v>#REF!</v>
      </c>
      <c r="HD33" t="e">
        <f>AND('POTENCIAL HORAS'!#REF!,"AAAAAHi969M=")</f>
        <v>#REF!</v>
      </c>
      <c r="HE33" t="e">
        <f>AND('POTENCIAL HORAS'!#REF!,"AAAAAHi969Q=")</f>
        <v>#REF!</v>
      </c>
      <c r="HF33" t="e">
        <f>AND('POTENCIAL HORAS'!#REF!,"AAAAAHi969U=")</f>
        <v>#REF!</v>
      </c>
      <c r="HG33" t="e">
        <f>AND('POTENCIAL HORAS'!#REF!,"AAAAAHi969Y=")</f>
        <v>#REF!</v>
      </c>
      <c r="HH33" t="e">
        <f>AND('POTENCIAL HORAS'!#REF!,"AAAAAHi969c=")</f>
        <v>#REF!</v>
      </c>
      <c r="HI33" t="e">
        <f>AND('POTENCIAL HORAS'!#REF!,"AAAAAHi969g=")</f>
        <v>#REF!</v>
      </c>
      <c r="HJ33" t="e">
        <f>AND('POTENCIAL HORAS'!#REF!,"AAAAAHi969k=")</f>
        <v>#REF!</v>
      </c>
      <c r="HK33" t="e">
        <f>AND('POTENCIAL HORAS'!#REF!,"AAAAAHi969o=")</f>
        <v>#REF!</v>
      </c>
      <c r="HL33" t="e">
        <f>AND('POTENCIAL HORAS'!#REF!,"AAAAAHi969s=")</f>
        <v>#REF!</v>
      </c>
      <c r="HM33" t="e">
        <f>AND('POTENCIAL HORAS'!#REF!,"AAAAAHi969w=")</f>
        <v>#REF!</v>
      </c>
      <c r="HN33" t="e">
        <f>AND('POTENCIAL HORAS'!#REF!,"AAAAAHi9690=")</f>
        <v>#REF!</v>
      </c>
      <c r="HO33" t="e">
        <f>AND('POTENCIAL HORAS'!#REF!,"AAAAAHi9694=")</f>
        <v>#REF!</v>
      </c>
      <c r="HP33" t="e">
        <f>AND('POTENCIAL HORAS'!#REF!,"AAAAAHi9698=")</f>
        <v>#REF!</v>
      </c>
      <c r="HQ33" t="e">
        <f>AND('POTENCIAL HORAS'!#REF!,"AAAAAHi96+A=")</f>
        <v>#REF!</v>
      </c>
      <c r="HR33" t="e">
        <f>AND('POTENCIAL HORAS'!#REF!,"AAAAAHi96+E=")</f>
        <v>#REF!</v>
      </c>
      <c r="HS33" t="e">
        <f>AND('POTENCIAL HORAS'!#REF!,"AAAAAHi96+I=")</f>
        <v>#REF!</v>
      </c>
      <c r="HT33" t="e">
        <f>AND('POTENCIAL HORAS'!#REF!,"AAAAAHi96+M=")</f>
        <v>#REF!</v>
      </c>
      <c r="HU33" t="e">
        <f>AND('POTENCIAL HORAS'!#REF!,"AAAAAHi96+Q=")</f>
        <v>#REF!</v>
      </c>
      <c r="HV33" t="e">
        <f>AND('POTENCIAL HORAS'!#REF!,"AAAAAHi96+U=")</f>
        <v>#REF!</v>
      </c>
      <c r="HW33" t="e">
        <f>AND('POTENCIAL HORAS'!#REF!,"AAAAAHi96+Y=")</f>
        <v>#REF!</v>
      </c>
      <c r="HX33" t="e">
        <f>AND('POTENCIAL HORAS'!#REF!,"AAAAAHi96+c=")</f>
        <v>#REF!</v>
      </c>
      <c r="HY33" t="e">
        <f>IF('POTENCIAL HORAS'!#REF!,"AAAAAHi96+g=",0)</f>
        <v>#REF!</v>
      </c>
      <c r="HZ33" t="e">
        <f>AND('POTENCIAL HORAS'!#REF!,"AAAAAHi96+k=")</f>
        <v>#REF!</v>
      </c>
      <c r="IA33" t="e">
        <f>AND('POTENCIAL HORAS'!#REF!,"AAAAAHi96+o=")</f>
        <v>#REF!</v>
      </c>
      <c r="IB33" t="e">
        <f>AND('POTENCIAL HORAS'!#REF!,"AAAAAHi96+s=")</f>
        <v>#REF!</v>
      </c>
      <c r="IC33" t="e">
        <f>AND('POTENCIAL HORAS'!#REF!,"AAAAAHi96+w=")</f>
        <v>#REF!</v>
      </c>
      <c r="ID33" t="e">
        <f>AND('POTENCIAL HORAS'!#REF!,"AAAAAHi96+0=")</f>
        <v>#REF!</v>
      </c>
      <c r="IE33" t="e">
        <f>AND('POTENCIAL HORAS'!#REF!,"AAAAAHi96+4=")</f>
        <v>#REF!</v>
      </c>
      <c r="IF33" t="e">
        <f>AND('POTENCIAL HORAS'!#REF!,"AAAAAHi96+8=")</f>
        <v>#REF!</v>
      </c>
      <c r="IG33" t="e">
        <f>AND('POTENCIAL HORAS'!#REF!,"AAAAAHi96/A=")</f>
        <v>#REF!</v>
      </c>
      <c r="IH33" t="e">
        <f>AND('POTENCIAL HORAS'!#REF!,"AAAAAHi96/E=")</f>
        <v>#REF!</v>
      </c>
      <c r="II33" t="e">
        <f>AND('POTENCIAL HORAS'!#REF!,"AAAAAHi96/I=")</f>
        <v>#REF!</v>
      </c>
      <c r="IJ33" t="e">
        <f>AND('POTENCIAL HORAS'!#REF!,"AAAAAHi96/M=")</f>
        <v>#REF!</v>
      </c>
      <c r="IK33" t="e">
        <f>AND('POTENCIAL HORAS'!#REF!,"AAAAAHi96/Q=")</f>
        <v>#REF!</v>
      </c>
      <c r="IL33" t="e">
        <f>AND('POTENCIAL HORAS'!#REF!,"AAAAAHi96/U=")</f>
        <v>#REF!</v>
      </c>
      <c r="IM33" t="e">
        <f>AND('POTENCIAL HORAS'!#REF!,"AAAAAHi96/Y=")</f>
        <v>#REF!</v>
      </c>
      <c r="IN33" t="e">
        <f>AND('POTENCIAL HORAS'!#REF!,"AAAAAHi96/c=")</f>
        <v>#REF!</v>
      </c>
      <c r="IO33" t="e">
        <f>AND('POTENCIAL HORAS'!#REF!,"AAAAAHi96/g=")</f>
        <v>#REF!</v>
      </c>
      <c r="IP33" t="e">
        <f>AND('POTENCIAL HORAS'!#REF!,"AAAAAHi96/k=")</f>
        <v>#REF!</v>
      </c>
      <c r="IQ33" t="e">
        <f>AND('POTENCIAL HORAS'!#REF!,"AAAAAHi96/o=")</f>
        <v>#REF!</v>
      </c>
      <c r="IR33" t="e">
        <f>AND('POTENCIAL HORAS'!#REF!,"AAAAAHi96/s=")</f>
        <v>#REF!</v>
      </c>
      <c r="IS33" t="e">
        <f>AND('POTENCIAL HORAS'!#REF!,"AAAAAHi96/w=")</f>
        <v>#REF!</v>
      </c>
      <c r="IT33" t="e">
        <f>AND('POTENCIAL HORAS'!#REF!,"AAAAAHi96/0=")</f>
        <v>#REF!</v>
      </c>
      <c r="IU33" t="e">
        <f>AND('POTENCIAL HORAS'!#REF!,"AAAAAHi96/4=")</f>
        <v>#REF!</v>
      </c>
      <c r="IV33" t="e">
        <f>AND('POTENCIAL HORAS'!#REF!,"AAAAAHi96/8=")</f>
        <v>#REF!</v>
      </c>
    </row>
    <row r="34" spans="1:256" x14ac:dyDescent="0.2">
      <c r="A34" t="e">
        <f>AND('POTENCIAL HORAS'!#REF!,"AAAAAB76XgA=")</f>
        <v>#REF!</v>
      </c>
      <c r="B34" t="e">
        <f>AND('POTENCIAL HORAS'!#REF!,"AAAAAB76XgE=")</f>
        <v>#REF!</v>
      </c>
      <c r="C34" t="e">
        <f>AND('POTENCIAL HORAS'!#REF!,"AAAAAB76XgI=")</f>
        <v>#REF!</v>
      </c>
      <c r="D34" t="e">
        <f>AND('POTENCIAL HORAS'!#REF!,"AAAAAB76XgM=")</f>
        <v>#REF!</v>
      </c>
      <c r="E34" t="e">
        <f>AND('POTENCIAL HORAS'!#REF!,"AAAAAB76XgQ=")</f>
        <v>#REF!</v>
      </c>
      <c r="F34" t="e">
        <f>AND('POTENCIAL HORAS'!#REF!,"AAAAAB76XgU=")</f>
        <v>#REF!</v>
      </c>
      <c r="G34" t="e">
        <f>AND('POTENCIAL HORAS'!#REF!,"AAAAAB76XgY=")</f>
        <v>#REF!</v>
      </c>
      <c r="H34" t="e">
        <f>AND('POTENCIAL HORAS'!#REF!,"AAAAAB76Xgc=")</f>
        <v>#REF!</v>
      </c>
      <c r="I34" t="e">
        <f>AND('POTENCIAL HORAS'!#REF!,"AAAAAB76Xgg=")</f>
        <v>#REF!</v>
      </c>
      <c r="J34" t="e">
        <f>AND('POTENCIAL HORAS'!#REF!,"AAAAAB76Xgk=")</f>
        <v>#REF!</v>
      </c>
      <c r="K34" t="e">
        <f>AND('POTENCIAL HORAS'!#REF!,"AAAAAB76Xgo=")</f>
        <v>#REF!</v>
      </c>
      <c r="L34" t="e">
        <f>AND('POTENCIAL HORAS'!#REF!,"AAAAAB76Xgs=")</f>
        <v>#REF!</v>
      </c>
      <c r="M34" t="e">
        <f>AND('POTENCIAL HORAS'!#REF!,"AAAAAB76Xgw=")</f>
        <v>#REF!</v>
      </c>
      <c r="N34" t="e">
        <f>AND('POTENCIAL HORAS'!#REF!,"AAAAAB76Xg0=")</f>
        <v>#REF!</v>
      </c>
      <c r="O34" t="e">
        <f>AND('POTENCIAL HORAS'!#REF!,"AAAAAB76Xg4=")</f>
        <v>#REF!</v>
      </c>
      <c r="P34" t="e">
        <f>IF('POTENCIAL HORAS'!#REF!,"AAAAAB76Xg8=",0)</f>
        <v>#REF!</v>
      </c>
      <c r="Q34" t="e">
        <f>AND('POTENCIAL HORAS'!#REF!,"AAAAAB76XhA=")</f>
        <v>#REF!</v>
      </c>
      <c r="R34" t="e">
        <f>AND('POTENCIAL HORAS'!#REF!,"AAAAAB76XhE=")</f>
        <v>#REF!</v>
      </c>
      <c r="S34" t="e">
        <f>AND('POTENCIAL HORAS'!#REF!,"AAAAAB76XhI=")</f>
        <v>#REF!</v>
      </c>
      <c r="T34" t="e">
        <f>AND('POTENCIAL HORAS'!#REF!,"AAAAAB76XhM=")</f>
        <v>#REF!</v>
      </c>
      <c r="U34" t="e">
        <f>AND('POTENCIAL HORAS'!#REF!,"AAAAAB76XhQ=")</f>
        <v>#REF!</v>
      </c>
      <c r="V34" t="e">
        <f>AND('POTENCIAL HORAS'!#REF!,"AAAAAB76XhU=")</f>
        <v>#REF!</v>
      </c>
      <c r="W34" t="e">
        <f>AND('POTENCIAL HORAS'!#REF!,"AAAAAB76XhY=")</f>
        <v>#REF!</v>
      </c>
      <c r="X34" t="e">
        <f>AND('POTENCIAL HORAS'!#REF!,"AAAAAB76Xhc=")</f>
        <v>#REF!</v>
      </c>
      <c r="Y34" t="e">
        <f>AND('POTENCIAL HORAS'!#REF!,"AAAAAB76Xhg=")</f>
        <v>#REF!</v>
      </c>
      <c r="Z34" t="e">
        <f>AND('POTENCIAL HORAS'!#REF!,"AAAAAB76Xhk=")</f>
        <v>#REF!</v>
      </c>
      <c r="AA34" t="e">
        <f>AND('POTENCIAL HORAS'!#REF!,"AAAAAB76Xho=")</f>
        <v>#REF!</v>
      </c>
      <c r="AB34" t="e">
        <f>AND('POTENCIAL HORAS'!#REF!,"AAAAAB76Xhs=")</f>
        <v>#REF!</v>
      </c>
      <c r="AC34" t="e">
        <f>AND('POTENCIAL HORAS'!#REF!,"AAAAAB76Xhw=")</f>
        <v>#REF!</v>
      </c>
      <c r="AD34" t="e">
        <f>AND('POTENCIAL HORAS'!#REF!,"AAAAAB76Xh0=")</f>
        <v>#REF!</v>
      </c>
      <c r="AE34" t="e">
        <f>AND('POTENCIAL HORAS'!#REF!,"AAAAAB76Xh4=")</f>
        <v>#REF!</v>
      </c>
      <c r="AF34" t="e">
        <f>AND('POTENCIAL HORAS'!#REF!,"AAAAAB76Xh8=")</f>
        <v>#REF!</v>
      </c>
      <c r="AG34" t="e">
        <f>AND('POTENCIAL HORAS'!#REF!,"AAAAAB76XiA=")</f>
        <v>#REF!</v>
      </c>
      <c r="AH34" t="e">
        <f>AND('POTENCIAL HORAS'!#REF!,"AAAAAB76XiE=")</f>
        <v>#REF!</v>
      </c>
      <c r="AI34" t="e">
        <f>AND('POTENCIAL HORAS'!#REF!,"AAAAAB76XiI=")</f>
        <v>#REF!</v>
      </c>
      <c r="AJ34" t="e">
        <f>AND('POTENCIAL HORAS'!#REF!,"AAAAAB76XiM=")</f>
        <v>#REF!</v>
      </c>
      <c r="AK34" t="e">
        <f>AND('POTENCIAL HORAS'!#REF!,"AAAAAB76XiQ=")</f>
        <v>#REF!</v>
      </c>
      <c r="AL34" t="e">
        <f>AND('POTENCIAL HORAS'!#REF!,"AAAAAB76XiU=")</f>
        <v>#REF!</v>
      </c>
      <c r="AM34" t="e">
        <f>AND('POTENCIAL HORAS'!#REF!,"AAAAAB76XiY=")</f>
        <v>#REF!</v>
      </c>
      <c r="AN34" t="e">
        <f>AND('POTENCIAL HORAS'!#REF!,"AAAAAB76Xic=")</f>
        <v>#REF!</v>
      </c>
      <c r="AO34" t="e">
        <f>AND('POTENCIAL HORAS'!#REF!,"AAAAAB76Xig=")</f>
        <v>#REF!</v>
      </c>
      <c r="AP34" t="e">
        <f>AND('POTENCIAL HORAS'!#REF!,"AAAAAB76Xik=")</f>
        <v>#REF!</v>
      </c>
      <c r="AQ34" t="e">
        <f>AND('POTENCIAL HORAS'!#REF!,"AAAAAB76Xio=")</f>
        <v>#REF!</v>
      </c>
      <c r="AR34" t="e">
        <f>AND('POTENCIAL HORAS'!#REF!,"AAAAAB76Xis=")</f>
        <v>#REF!</v>
      </c>
      <c r="AS34" t="e">
        <f>AND('POTENCIAL HORAS'!#REF!,"AAAAAB76Xiw=")</f>
        <v>#REF!</v>
      </c>
      <c r="AT34" t="e">
        <f>AND('POTENCIAL HORAS'!#REF!,"AAAAAB76Xi0=")</f>
        <v>#REF!</v>
      </c>
      <c r="AU34" t="e">
        <f>AND('POTENCIAL HORAS'!#REF!,"AAAAAB76Xi4=")</f>
        <v>#REF!</v>
      </c>
      <c r="AV34" t="e">
        <f>AND('POTENCIAL HORAS'!#REF!,"AAAAAB76Xi8=")</f>
        <v>#REF!</v>
      </c>
      <c r="AW34" t="e">
        <f>AND('POTENCIAL HORAS'!#REF!,"AAAAAB76XjA=")</f>
        <v>#REF!</v>
      </c>
      <c r="AX34" t="e">
        <f>AND('POTENCIAL HORAS'!#REF!,"AAAAAB76XjE=")</f>
        <v>#REF!</v>
      </c>
      <c r="AY34" t="e">
        <f>AND('POTENCIAL HORAS'!#REF!,"AAAAAB76XjI=")</f>
        <v>#REF!</v>
      </c>
      <c r="AZ34" t="e">
        <f>AND('POTENCIAL HORAS'!#REF!,"AAAAAB76XjM=")</f>
        <v>#REF!</v>
      </c>
      <c r="BA34" t="e">
        <f>AND('POTENCIAL HORAS'!#REF!,"AAAAAB76XjQ=")</f>
        <v>#REF!</v>
      </c>
      <c r="BB34" t="e">
        <f>AND('POTENCIAL HORAS'!#REF!,"AAAAAB76XjU=")</f>
        <v>#REF!</v>
      </c>
      <c r="BC34" t="e">
        <f>IF('POTENCIAL HORAS'!#REF!,"AAAAAB76XjY=",0)</f>
        <v>#REF!</v>
      </c>
      <c r="BD34" t="e">
        <f>AND('POTENCIAL HORAS'!#REF!,"AAAAAB76Xjc=")</f>
        <v>#REF!</v>
      </c>
      <c r="BE34" t="e">
        <f>AND('POTENCIAL HORAS'!#REF!,"AAAAAB76Xjg=")</f>
        <v>#REF!</v>
      </c>
      <c r="BF34" t="e">
        <f>AND('POTENCIAL HORAS'!#REF!,"AAAAAB76Xjk=")</f>
        <v>#REF!</v>
      </c>
      <c r="BG34" t="e">
        <f>AND('POTENCIAL HORAS'!#REF!,"AAAAAB76Xjo=")</f>
        <v>#REF!</v>
      </c>
      <c r="BH34" t="e">
        <f>AND('POTENCIAL HORAS'!#REF!,"AAAAAB76Xjs=")</f>
        <v>#REF!</v>
      </c>
      <c r="BI34" t="e">
        <f>AND('POTENCIAL HORAS'!#REF!,"AAAAAB76Xjw=")</f>
        <v>#REF!</v>
      </c>
      <c r="BJ34" t="e">
        <f>AND('POTENCIAL HORAS'!#REF!,"AAAAAB76Xj0=")</f>
        <v>#REF!</v>
      </c>
      <c r="BK34" t="e">
        <f>AND('POTENCIAL HORAS'!#REF!,"AAAAAB76Xj4=")</f>
        <v>#REF!</v>
      </c>
      <c r="BL34" t="e">
        <f>AND('POTENCIAL HORAS'!#REF!,"AAAAAB76Xj8=")</f>
        <v>#REF!</v>
      </c>
      <c r="BM34" t="e">
        <f>AND('POTENCIAL HORAS'!#REF!,"AAAAAB76XkA=")</f>
        <v>#REF!</v>
      </c>
      <c r="BN34" t="e">
        <f>AND('POTENCIAL HORAS'!#REF!,"AAAAAB76XkE=")</f>
        <v>#REF!</v>
      </c>
      <c r="BO34" t="e">
        <f>AND('POTENCIAL HORAS'!#REF!,"AAAAAB76XkI=")</f>
        <v>#REF!</v>
      </c>
      <c r="BP34" t="e">
        <f>AND('POTENCIAL HORAS'!#REF!,"AAAAAB76XkM=")</f>
        <v>#REF!</v>
      </c>
      <c r="BQ34" t="e">
        <f>AND('POTENCIAL HORAS'!#REF!,"AAAAAB76XkQ=")</f>
        <v>#REF!</v>
      </c>
      <c r="BR34" t="e">
        <f>AND('POTENCIAL HORAS'!#REF!,"AAAAAB76XkU=")</f>
        <v>#REF!</v>
      </c>
      <c r="BS34" t="e">
        <f>AND('POTENCIAL HORAS'!#REF!,"AAAAAB76XkY=")</f>
        <v>#REF!</v>
      </c>
      <c r="BT34" t="e">
        <f>AND('POTENCIAL HORAS'!#REF!,"AAAAAB76Xkc=")</f>
        <v>#REF!</v>
      </c>
      <c r="BU34" t="e">
        <f>AND('POTENCIAL HORAS'!#REF!,"AAAAAB76Xkg=")</f>
        <v>#REF!</v>
      </c>
      <c r="BV34" t="e">
        <f>AND('POTENCIAL HORAS'!#REF!,"AAAAAB76Xkk=")</f>
        <v>#REF!</v>
      </c>
      <c r="BW34" t="e">
        <f>AND('POTENCIAL HORAS'!#REF!,"AAAAAB76Xko=")</f>
        <v>#REF!</v>
      </c>
      <c r="BX34" t="e">
        <f>AND('POTENCIAL HORAS'!#REF!,"AAAAAB76Xks=")</f>
        <v>#REF!</v>
      </c>
      <c r="BY34" t="e">
        <f>AND('POTENCIAL HORAS'!#REF!,"AAAAAB76Xkw=")</f>
        <v>#REF!</v>
      </c>
      <c r="BZ34" t="e">
        <f>AND('POTENCIAL HORAS'!#REF!,"AAAAAB76Xk0=")</f>
        <v>#REF!</v>
      </c>
      <c r="CA34" t="e">
        <f>AND('POTENCIAL HORAS'!#REF!,"AAAAAB76Xk4=")</f>
        <v>#REF!</v>
      </c>
      <c r="CB34" t="e">
        <f>AND('POTENCIAL HORAS'!#REF!,"AAAAAB76Xk8=")</f>
        <v>#REF!</v>
      </c>
      <c r="CC34" t="e">
        <f>AND('POTENCIAL HORAS'!#REF!,"AAAAAB76XlA=")</f>
        <v>#REF!</v>
      </c>
      <c r="CD34" t="e">
        <f>AND('POTENCIAL HORAS'!#REF!,"AAAAAB76XlE=")</f>
        <v>#REF!</v>
      </c>
      <c r="CE34" t="e">
        <f>AND('POTENCIAL HORAS'!#REF!,"AAAAAB76XlI=")</f>
        <v>#REF!</v>
      </c>
      <c r="CF34" t="e">
        <f>AND('POTENCIAL HORAS'!#REF!,"AAAAAB76XlM=")</f>
        <v>#REF!</v>
      </c>
      <c r="CG34" t="e">
        <f>AND('POTENCIAL HORAS'!#REF!,"AAAAAB76XlQ=")</f>
        <v>#REF!</v>
      </c>
      <c r="CH34" t="e">
        <f>AND('POTENCIAL HORAS'!#REF!,"AAAAAB76XlU=")</f>
        <v>#REF!</v>
      </c>
      <c r="CI34" t="e">
        <f>AND('POTENCIAL HORAS'!#REF!,"AAAAAB76XlY=")</f>
        <v>#REF!</v>
      </c>
      <c r="CJ34" t="e">
        <f>AND('POTENCIAL HORAS'!#REF!,"AAAAAB76Xlc=")</f>
        <v>#REF!</v>
      </c>
      <c r="CK34" t="e">
        <f>AND('POTENCIAL HORAS'!#REF!,"AAAAAB76Xlg=")</f>
        <v>#REF!</v>
      </c>
      <c r="CL34" t="e">
        <f>AND('POTENCIAL HORAS'!#REF!,"AAAAAB76Xlk=")</f>
        <v>#REF!</v>
      </c>
      <c r="CM34" t="e">
        <f>AND('POTENCIAL HORAS'!#REF!,"AAAAAB76Xlo=")</f>
        <v>#REF!</v>
      </c>
      <c r="CN34" t="e">
        <f>AND('POTENCIAL HORAS'!#REF!,"AAAAAB76Xls=")</f>
        <v>#REF!</v>
      </c>
      <c r="CO34" t="e">
        <f>AND('POTENCIAL HORAS'!#REF!,"AAAAAB76Xlw=")</f>
        <v>#REF!</v>
      </c>
      <c r="CP34" t="e">
        <f>IF('POTENCIAL HORAS'!#REF!,"AAAAAB76Xl0=",0)</f>
        <v>#REF!</v>
      </c>
      <c r="CQ34" t="e">
        <f>AND('POTENCIAL HORAS'!#REF!,"AAAAAB76Xl4=")</f>
        <v>#REF!</v>
      </c>
      <c r="CR34" t="e">
        <f>AND('POTENCIAL HORAS'!#REF!,"AAAAAB76Xl8=")</f>
        <v>#REF!</v>
      </c>
      <c r="CS34" t="e">
        <f>AND('POTENCIAL HORAS'!#REF!,"AAAAAB76XmA=")</f>
        <v>#REF!</v>
      </c>
      <c r="CT34" t="e">
        <f>AND('POTENCIAL HORAS'!#REF!,"AAAAAB76XmE=")</f>
        <v>#REF!</v>
      </c>
      <c r="CU34" t="e">
        <f>AND('POTENCIAL HORAS'!#REF!,"AAAAAB76XmI=")</f>
        <v>#REF!</v>
      </c>
      <c r="CV34" t="e">
        <f>AND('POTENCIAL HORAS'!#REF!,"AAAAAB76XmM=")</f>
        <v>#REF!</v>
      </c>
      <c r="CW34" t="e">
        <f>AND('POTENCIAL HORAS'!#REF!,"AAAAAB76XmQ=")</f>
        <v>#REF!</v>
      </c>
      <c r="CX34" t="e">
        <f>AND('POTENCIAL HORAS'!#REF!,"AAAAAB76XmU=")</f>
        <v>#REF!</v>
      </c>
      <c r="CY34" t="e">
        <f>AND('POTENCIAL HORAS'!#REF!,"AAAAAB76XmY=")</f>
        <v>#REF!</v>
      </c>
      <c r="CZ34" t="e">
        <f>AND('POTENCIAL HORAS'!#REF!,"AAAAAB76Xmc=")</f>
        <v>#REF!</v>
      </c>
      <c r="DA34" t="e">
        <f>AND('POTENCIAL HORAS'!#REF!,"AAAAAB76Xmg=")</f>
        <v>#REF!</v>
      </c>
      <c r="DB34" t="e">
        <f>AND('POTENCIAL HORAS'!#REF!,"AAAAAB76Xmk=")</f>
        <v>#REF!</v>
      </c>
      <c r="DC34" t="e">
        <f>AND('POTENCIAL HORAS'!#REF!,"AAAAAB76Xmo=")</f>
        <v>#REF!</v>
      </c>
      <c r="DD34" t="e">
        <f>AND('POTENCIAL HORAS'!#REF!,"AAAAAB76Xms=")</f>
        <v>#REF!</v>
      </c>
      <c r="DE34" t="e">
        <f>AND('POTENCIAL HORAS'!#REF!,"AAAAAB76Xmw=")</f>
        <v>#REF!</v>
      </c>
      <c r="DF34" t="e">
        <f>AND('POTENCIAL HORAS'!#REF!,"AAAAAB76Xm0=")</f>
        <v>#REF!</v>
      </c>
      <c r="DG34" t="e">
        <f>AND('POTENCIAL HORAS'!#REF!,"AAAAAB76Xm4=")</f>
        <v>#REF!</v>
      </c>
      <c r="DH34" t="e">
        <f>AND('POTENCIAL HORAS'!#REF!,"AAAAAB76Xm8=")</f>
        <v>#REF!</v>
      </c>
      <c r="DI34" t="e">
        <f>AND('POTENCIAL HORAS'!#REF!,"AAAAAB76XnA=")</f>
        <v>#REF!</v>
      </c>
      <c r="DJ34" t="e">
        <f>AND('POTENCIAL HORAS'!#REF!,"AAAAAB76XnE=")</f>
        <v>#REF!</v>
      </c>
      <c r="DK34" t="e">
        <f>AND('POTENCIAL HORAS'!#REF!,"AAAAAB76XnI=")</f>
        <v>#REF!</v>
      </c>
      <c r="DL34" t="e">
        <f>AND('POTENCIAL HORAS'!#REF!,"AAAAAB76XnM=")</f>
        <v>#REF!</v>
      </c>
      <c r="DM34" t="e">
        <f>AND('POTENCIAL HORAS'!#REF!,"AAAAAB76XnQ=")</f>
        <v>#REF!</v>
      </c>
      <c r="DN34" t="e">
        <f>AND('POTENCIAL HORAS'!#REF!,"AAAAAB76XnU=")</f>
        <v>#REF!</v>
      </c>
      <c r="DO34" t="e">
        <f>AND('POTENCIAL HORAS'!#REF!,"AAAAAB76XnY=")</f>
        <v>#REF!</v>
      </c>
      <c r="DP34" t="e">
        <f>AND('POTENCIAL HORAS'!#REF!,"AAAAAB76Xnc=")</f>
        <v>#REF!</v>
      </c>
      <c r="DQ34" t="e">
        <f>AND('POTENCIAL HORAS'!#REF!,"AAAAAB76Xng=")</f>
        <v>#REF!</v>
      </c>
      <c r="DR34" t="e">
        <f>AND('POTENCIAL HORAS'!#REF!,"AAAAAB76Xnk=")</f>
        <v>#REF!</v>
      </c>
      <c r="DS34" t="e">
        <f>AND('POTENCIAL HORAS'!#REF!,"AAAAAB76Xno=")</f>
        <v>#REF!</v>
      </c>
      <c r="DT34" t="e">
        <f>AND('POTENCIAL HORAS'!#REF!,"AAAAAB76Xns=")</f>
        <v>#REF!</v>
      </c>
      <c r="DU34" t="e">
        <f>AND('POTENCIAL HORAS'!#REF!,"AAAAAB76Xnw=")</f>
        <v>#REF!</v>
      </c>
      <c r="DV34" t="e">
        <f>AND('POTENCIAL HORAS'!#REF!,"AAAAAB76Xn0=")</f>
        <v>#REF!</v>
      </c>
      <c r="DW34" t="e">
        <f>AND('POTENCIAL HORAS'!#REF!,"AAAAAB76Xn4=")</f>
        <v>#REF!</v>
      </c>
      <c r="DX34" t="e">
        <f>AND('POTENCIAL HORAS'!#REF!,"AAAAAB76Xn8=")</f>
        <v>#REF!</v>
      </c>
      <c r="DY34" t="e">
        <f>AND('POTENCIAL HORAS'!#REF!,"AAAAAB76XoA=")</f>
        <v>#REF!</v>
      </c>
      <c r="DZ34" t="e">
        <f>AND('POTENCIAL HORAS'!#REF!,"AAAAAB76XoE=")</f>
        <v>#REF!</v>
      </c>
      <c r="EA34" t="e">
        <f>AND('POTENCIAL HORAS'!#REF!,"AAAAAB76XoI=")</f>
        <v>#REF!</v>
      </c>
      <c r="EB34" t="e">
        <f>AND('POTENCIAL HORAS'!#REF!,"AAAAAB76XoM=")</f>
        <v>#REF!</v>
      </c>
      <c r="EC34" t="e">
        <f>IF('POTENCIAL HORAS'!#REF!,"AAAAAB76XoQ=",0)</f>
        <v>#REF!</v>
      </c>
      <c r="ED34" t="e">
        <f>AND('POTENCIAL HORAS'!#REF!,"AAAAAB76XoU=")</f>
        <v>#REF!</v>
      </c>
      <c r="EE34" t="e">
        <f>AND('POTENCIAL HORAS'!#REF!,"AAAAAB76XoY=")</f>
        <v>#REF!</v>
      </c>
      <c r="EF34" t="e">
        <f>AND('POTENCIAL HORAS'!#REF!,"AAAAAB76Xoc=")</f>
        <v>#REF!</v>
      </c>
      <c r="EG34" t="e">
        <f>AND('POTENCIAL HORAS'!#REF!,"AAAAAB76Xog=")</f>
        <v>#REF!</v>
      </c>
      <c r="EH34" t="e">
        <f>AND('POTENCIAL HORAS'!#REF!,"AAAAAB76Xok=")</f>
        <v>#REF!</v>
      </c>
      <c r="EI34" t="e">
        <f>AND('POTENCIAL HORAS'!#REF!,"AAAAAB76Xoo=")</f>
        <v>#REF!</v>
      </c>
      <c r="EJ34" t="e">
        <f>AND('POTENCIAL HORAS'!#REF!,"AAAAAB76Xos=")</f>
        <v>#REF!</v>
      </c>
      <c r="EK34" t="e">
        <f>AND('POTENCIAL HORAS'!#REF!,"AAAAAB76Xow=")</f>
        <v>#REF!</v>
      </c>
      <c r="EL34" t="e">
        <f>AND('POTENCIAL HORAS'!#REF!,"AAAAAB76Xo0=")</f>
        <v>#REF!</v>
      </c>
      <c r="EM34" t="e">
        <f>AND('POTENCIAL HORAS'!#REF!,"AAAAAB76Xo4=")</f>
        <v>#REF!</v>
      </c>
      <c r="EN34" t="e">
        <f>AND('POTENCIAL HORAS'!#REF!,"AAAAAB76Xo8=")</f>
        <v>#REF!</v>
      </c>
      <c r="EO34" t="e">
        <f>AND('POTENCIAL HORAS'!#REF!,"AAAAAB76XpA=")</f>
        <v>#REF!</v>
      </c>
      <c r="EP34" t="e">
        <f>AND('POTENCIAL HORAS'!#REF!,"AAAAAB76XpE=")</f>
        <v>#REF!</v>
      </c>
      <c r="EQ34" t="e">
        <f>AND('POTENCIAL HORAS'!#REF!,"AAAAAB76XpI=")</f>
        <v>#REF!</v>
      </c>
      <c r="ER34" t="e">
        <f>AND('POTENCIAL HORAS'!#REF!,"AAAAAB76XpM=")</f>
        <v>#REF!</v>
      </c>
      <c r="ES34" t="e">
        <f>AND('POTENCIAL HORAS'!#REF!,"AAAAAB76XpQ=")</f>
        <v>#REF!</v>
      </c>
      <c r="ET34" t="e">
        <f>AND('POTENCIAL HORAS'!#REF!,"AAAAAB76XpU=")</f>
        <v>#REF!</v>
      </c>
      <c r="EU34" t="e">
        <f>AND('POTENCIAL HORAS'!#REF!,"AAAAAB76XpY=")</f>
        <v>#REF!</v>
      </c>
      <c r="EV34" t="e">
        <f>AND('POTENCIAL HORAS'!#REF!,"AAAAAB76Xpc=")</f>
        <v>#REF!</v>
      </c>
      <c r="EW34" t="e">
        <f>AND('POTENCIAL HORAS'!#REF!,"AAAAAB76Xpg=")</f>
        <v>#REF!</v>
      </c>
      <c r="EX34" t="e">
        <f>AND('POTENCIAL HORAS'!#REF!,"AAAAAB76Xpk=")</f>
        <v>#REF!</v>
      </c>
      <c r="EY34" t="e">
        <f>AND('POTENCIAL HORAS'!#REF!,"AAAAAB76Xpo=")</f>
        <v>#REF!</v>
      </c>
      <c r="EZ34" t="e">
        <f>AND('POTENCIAL HORAS'!#REF!,"AAAAAB76Xps=")</f>
        <v>#REF!</v>
      </c>
      <c r="FA34" t="e">
        <f>AND('POTENCIAL HORAS'!#REF!,"AAAAAB76Xpw=")</f>
        <v>#REF!</v>
      </c>
      <c r="FB34" t="e">
        <f>AND('POTENCIAL HORAS'!#REF!,"AAAAAB76Xp0=")</f>
        <v>#REF!</v>
      </c>
      <c r="FC34" t="e">
        <f>AND('POTENCIAL HORAS'!#REF!,"AAAAAB76Xp4=")</f>
        <v>#REF!</v>
      </c>
      <c r="FD34" t="e">
        <f>AND('POTENCIAL HORAS'!#REF!,"AAAAAB76Xp8=")</f>
        <v>#REF!</v>
      </c>
      <c r="FE34" t="e">
        <f>AND('POTENCIAL HORAS'!#REF!,"AAAAAB76XqA=")</f>
        <v>#REF!</v>
      </c>
      <c r="FF34" t="e">
        <f>AND('POTENCIAL HORAS'!#REF!,"AAAAAB76XqE=")</f>
        <v>#REF!</v>
      </c>
      <c r="FG34" t="e">
        <f>AND('POTENCIAL HORAS'!#REF!,"AAAAAB76XqI=")</f>
        <v>#REF!</v>
      </c>
      <c r="FH34" t="e">
        <f>AND('POTENCIAL HORAS'!#REF!,"AAAAAB76XqM=")</f>
        <v>#REF!</v>
      </c>
      <c r="FI34" t="e">
        <f>AND('POTENCIAL HORAS'!#REF!,"AAAAAB76XqQ=")</f>
        <v>#REF!</v>
      </c>
      <c r="FJ34" t="e">
        <f>AND('POTENCIAL HORAS'!#REF!,"AAAAAB76XqU=")</f>
        <v>#REF!</v>
      </c>
      <c r="FK34" t="e">
        <f>AND('POTENCIAL HORAS'!#REF!,"AAAAAB76XqY=")</f>
        <v>#REF!</v>
      </c>
      <c r="FL34" t="e">
        <f>AND('POTENCIAL HORAS'!#REF!,"AAAAAB76Xqc=")</f>
        <v>#REF!</v>
      </c>
      <c r="FM34" t="e">
        <f>AND('POTENCIAL HORAS'!#REF!,"AAAAAB76Xqg=")</f>
        <v>#REF!</v>
      </c>
      <c r="FN34" t="e">
        <f>AND('POTENCIAL HORAS'!#REF!,"AAAAAB76Xqk=")</f>
        <v>#REF!</v>
      </c>
      <c r="FO34" t="e">
        <f>AND('POTENCIAL HORAS'!#REF!,"AAAAAB76Xqo=")</f>
        <v>#REF!</v>
      </c>
      <c r="FP34" t="e">
        <f>IF('POTENCIAL HORAS'!#REF!,"AAAAAB76Xqs=",0)</f>
        <v>#REF!</v>
      </c>
      <c r="FQ34" t="e">
        <f>AND('POTENCIAL HORAS'!#REF!,"AAAAAB76Xqw=")</f>
        <v>#REF!</v>
      </c>
      <c r="FR34" t="e">
        <f>AND('POTENCIAL HORAS'!#REF!,"AAAAAB76Xq0=")</f>
        <v>#REF!</v>
      </c>
      <c r="FS34" t="e">
        <f>AND('POTENCIAL HORAS'!#REF!,"AAAAAB76Xq4=")</f>
        <v>#REF!</v>
      </c>
      <c r="FT34" t="e">
        <f>AND('POTENCIAL HORAS'!#REF!,"AAAAAB76Xq8=")</f>
        <v>#REF!</v>
      </c>
      <c r="FU34" t="e">
        <f>AND('POTENCIAL HORAS'!#REF!,"AAAAAB76XrA=")</f>
        <v>#REF!</v>
      </c>
      <c r="FV34" t="e">
        <f>AND('POTENCIAL HORAS'!#REF!,"AAAAAB76XrE=")</f>
        <v>#REF!</v>
      </c>
      <c r="FW34" t="e">
        <f>AND('POTENCIAL HORAS'!#REF!,"AAAAAB76XrI=")</f>
        <v>#REF!</v>
      </c>
      <c r="FX34" t="e">
        <f>AND('POTENCIAL HORAS'!#REF!,"AAAAAB76XrM=")</f>
        <v>#REF!</v>
      </c>
      <c r="FY34" t="e">
        <f>AND('POTENCIAL HORAS'!#REF!,"AAAAAB76XrQ=")</f>
        <v>#REF!</v>
      </c>
      <c r="FZ34" t="e">
        <f>AND('POTENCIAL HORAS'!#REF!,"AAAAAB76XrU=")</f>
        <v>#REF!</v>
      </c>
      <c r="GA34" t="e">
        <f>AND('POTENCIAL HORAS'!#REF!,"AAAAAB76XrY=")</f>
        <v>#REF!</v>
      </c>
      <c r="GB34" t="e">
        <f>AND('POTENCIAL HORAS'!#REF!,"AAAAAB76Xrc=")</f>
        <v>#REF!</v>
      </c>
      <c r="GC34" t="e">
        <f>AND('POTENCIAL HORAS'!#REF!,"AAAAAB76Xrg=")</f>
        <v>#REF!</v>
      </c>
      <c r="GD34" t="e">
        <f>AND('POTENCIAL HORAS'!#REF!,"AAAAAB76Xrk=")</f>
        <v>#REF!</v>
      </c>
      <c r="GE34" t="e">
        <f>AND('POTENCIAL HORAS'!#REF!,"AAAAAB76Xro=")</f>
        <v>#REF!</v>
      </c>
      <c r="GF34" t="e">
        <f>AND('POTENCIAL HORAS'!#REF!,"AAAAAB76Xrs=")</f>
        <v>#REF!</v>
      </c>
      <c r="GG34" t="e">
        <f>AND('POTENCIAL HORAS'!#REF!,"AAAAAB76Xrw=")</f>
        <v>#REF!</v>
      </c>
      <c r="GH34" t="e">
        <f>AND('POTENCIAL HORAS'!#REF!,"AAAAAB76Xr0=")</f>
        <v>#REF!</v>
      </c>
      <c r="GI34" t="e">
        <f>AND('POTENCIAL HORAS'!#REF!,"AAAAAB76Xr4=")</f>
        <v>#REF!</v>
      </c>
      <c r="GJ34" t="e">
        <f>AND('POTENCIAL HORAS'!#REF!,"AAAAAB76Xr8=")</f>
        <v>#REF!</v>
      </c>
      <c r="GK34" t="e">
        <f>AND('POTENCIAL HORAS'!#REF!,"AAAAAB76XsA=")</f>
        <v>#REF!</v>
      </c>
      <c r="GL34" t="e">
        <f>AND('POTENCIAL HORAS'!#REF!,"AAAAAB76XsE=")</f>
        <v>#REF!</v>
      </c>
      <c r="GM34" t="e">
        <f>AND('POTENCIAL HORAS'!#REF!,"AAAAAB76XsI=")</f>
        <v>#REF!</v>
      </c>
      <c r="GN34" t="e">
        <f>AND('POTENCIAL HORAS'!#REF!,"AAAAAB76XsM=")</f>
        <v>#REF!</v>
      </c>
      <c r="GO34" t="e">
        <f>AND('POTENCIAL HORAS'!#REF!,"AAAAAB76XsQ=")</f>
        <v>#REF!</v>
      </c>
      <c r="GP34" t="e">
        <f>AND('POTENCIAL HORAS'!#REF!,"AAAAAB76XsU=")</f>
        <v>#REF!</v>
      </c>
      <c r="GQ34" t="e">
        <f>AND('POTENCIAL HORAS'!#REF!,"AAAAAB76XsY=")</f>
        <v>#REF!</v>
      </c>
      <c r="GR34" t="e">
        <f>AND('POTENCIAL HORAS'!#REF!,"AAAAAB76Xsc=")</f>
        <v>#REF!</v>
      </c>
      <c r="GS34" t="e">
        <f>AND('POTENCIAL HORAS'!#REF!,"AAAAAB76Xsg=")</f>
        <v>#REF!</v>
      </c>
      <c r="GT34" t="e">
        <f>AND('POTENCIAL HORAS'!#REF!,"AAAAAB76Xsk=")</f>
        <v>#REF!</v>
      </c>
      <c r="GU34" t="e">
        <f>AND('POTENCIAL HORAS'!#REF!,"AAAAAB76Xso=")</f>
        <v>#REF!</v>
      </c>
      <c r="GV34" t="e">
        <f>AND('POTENCIAL HORAS'!#REF!,"AAAAAB76Xss=")</f>
        <v>#REF!</v>
      </c>
      <c r="GW34" t="e">
        <f>AND('POTENCIAL HORAS'!#REF!,"AAAAAB76Xsw=")</f>
        <v>#REF!</v>
      </c>
      <c r="GX34" t="e">
        <f>AND('POTENCIAL HORAS'!#REF!,"AAAAAB76Xs0=")</f>
        <v>#REF!</v>
      </c>
      <c r="GY34" t="e">
        <f>AND('POTENCIAL HORAS'!#REF!,"AAAAAB76Xs4=")</f>
        <v>#REF!</v>
      </c>
      <c r="GZ34" t="e">
        <f>AND('POTENCIAL HORAS'!#REF!,"AAAAAB76Xs8=")</f>
        <v>#REF!</v>
      </c>
      <c r="HA34" t="e">
        <f>AND('POTENCIAL HORAS'!#REF!,"AAAAAB76XtA=")</f>
        <v>#REF!</v>
      </c>
      <c r="HB34" t="e">
        <f>AND('POTENCIAL HORAS'!#REF!,"AAAAAB76XtE=")</f>
        <v>#REF!</v>
      </c>
      <c r="HC34" t="e">
        <f>IF('POTENCIAL HORAS'!#REF!,"AAAAAB76XtI=",0)</f>
        <v>#REF!</v>
      </c>
      <c r="HD34" t="e">
        <f>AND('POTENCIAL HORAS'!#REF!,"AAAAAB76XtM=")</f>
        <v>#REF!</v>
      </c>
      <c r="HE34" t="e">
        <f>AND('POTENCIAL HORAS'!#REF!,"AAAAAB76XtQ=")</f>
        <v>#REF!</v>
      </c>
      <c r="HF34" t="e">
        <f>AND('POTENCIAL HORAS'!#REF!,"AAAAAB76XtU=")</f>
        <v>#REF!</v>
      </c>
      <c r="HG34" t="e">
        <f>AND('POTENCIAL HORAS'!#REF!,"AAAAAB76XtY=")</f>
        <v>#REF!</v>
      </c>
      <c r="HH34" t="e">
        <f>AND('POTENCIAL HORAS'!#REF!,"AAAAAB76Xtc=")</f>
        <v>#REF!</v>
      </c>
      <c r="HI34" t="e">
        <f>AND('POTENCIAL HORAS'!#REF!,"AAAAAB76Xtg=")</f>
        <v>#REF!</v>
      </c>
      <c r="HJ34" t="e">
        <f>AND('POTENCIAL HORAS'!#REF!,"AAAAAB76Xtk=")</f>
        <v>#REF!</v>
      </c>
      <c r="HK34" t="e">
        <f>AND('POTENCIAL HORAS'!#REF!,"AAAAAB76Xto=")</f>
        <v>#REF!</v>
      </c>
      <c r="HL34" t="e">
        <f>AND('POTENCIAL HORAS'!#REF!,"AAAAAB76Xts=")</f>
        <v>#REF!</v>
      </c>
      <c r="HM34" t="e">
        <f>AND('POTENCIAL HORAS'!#REF!,"AAAAAB76Xtw=")</f>
        <v>#REF!</v>
      </c>
      <c r="HN34" t="e">
        <f>AND('POTENCIAL HORAS'!#REF!,"AAAAAB76Xt0=")</f>
        <v>#REF!</v>
      </c>
      <c r="HO34" t="e">
        <f>AND('POTENCIAL HORAS'!#REF!,"AAAAAB76Xt4=")</f>
        <v>#REF!</v>
      </c>
      <c r="HP34" t="e">
        <f>AND('POTENCIAL HORAS'!#REF!,"AAAAAB76Xt8=")</f>
        <v>#REF!</v>
      </c>
      <c r="HQ34" t="e">
        <f>AND('POTENCIAL HORAS'!#REF!,"AAAAAB76XuA=")</f>
        <v>#REF!</v>
      </c>
      <c r="HR34" t="e">
        <f>AND('POTENCIAL HORAS'!#REF!,"AAAAAB76XuE=")</f>
        <v>#REF!</v>
      </c>
      <c r="HS34" t="e">
        <f>AND('POTENCIAL HORAS'!#REF!,"AAAAAB76XuI=")</f>
        <v>#REF!</v>
      </c>
      <c r="HT34" t="e">
        <f>AND('POTENCIAL HORAS'!#REF!,"AAAAAB76XuM=")</f>
        <v>#REF!</v>
      </c>
      <c r="HU34" t="e">
        <f>AND('POTENCIAL HORAS'!#REF!,"AAAAAB76XuQ=")</f>
        <v>#REF!</v>
      </c>
      <c r="HV34" t="e">
        <f>AND('POTENCIAL HORAS'!#REF!,"AAAAAB76XuU=")</f>
        <v>#REF!</v>
      </c>
      <c r="HW34" t="e">
        <f>AND('POTENCIAL HORAS'!#REF!,"AAAAAB76XuY=")</f>
        <v>#REF!</v>
      </c>
      <c r="HX34" t="e">
        <f>AND('POTENCIAL HORAS'!#REF!,"AAAAAB76Xuc=")</f>
        <v>#REF!</v>
      </c>
      <c r="HY34" t="e">
        <f>AND('POTENCIAL HORAS'!#REF!,"AAAAAB76Xug=")</f>
        <v>#REF!</v>
      </c>
      <c r="HZ34" t="e">
        <f>AND('POTENCIAL HORAS'!#REF!,"AAAAAB76Xuk=")</f>
        <v>#REF!</v>
      </c>
      <c r="IA34" t="e">
        <f>AND('POTENCIAL HORAS'!#REF!,"AAAAAB76Xuo=")</f>
        <v>#REF!</v>
      </c>
      <c r="IB34" t="e">
        <f>AND('POTENCIAL HORAS'!#REF!,"AAAAAB76Xus=")</f>
        <v>#REF!</v>
      </c>
      <c r="IC34" t="e">
        <f>AND('POTENCIAL HORAS'!#REF!,"AAAAAB76Xuw=")</f>
        <v>#REF!</v>
      </c>
      <c r="ID34" t="e">
        <f>AND('POTENCIAL HORAS'!#REF!,"AAAAAB76Xu0=")</f>
        <v>#REF!</v>
      </c>
      <c r="IE34" t="e">
        <f>AND('POTENCIAL HORAS'!#REF!,"AAAAAB76Xu4=")</f>
        <v>#REF!</v>
      </c>
      <c r="IF34" t="e">
        <f>AND('POTENCIAL HORAS'!#REF!,"AAAAAB76Xu8=")</f>
        <v>#REF!</v>
      </c>
      <c r="IG34" t="e">
        <f>AND('POTENCIAL HORAS'!#REF!,"AAAAAB76XvA=")</f>
        <v>#REF!</v>
      </c>
      <c r="IH34" t="e">
        <f>AND('POTENCIAL HORAS'!#REF!,"AAAAAB76XvE=")</f>
        <v>#REF!</v>
      </c>
      <c r="II34" t="e">
        <f>AND('POTENCIAL HORAS'!#REF!,"AAAAAB76XvI=")</f>
        <v>#REF!</v>
      </c>
      <c r="IJ34" t="e">
        <f>AND('POTENCIAL HORAS'!#REF!,"AAAAAB76XvM=")</f>
        <v>#REF!</v>
      </c>
      <c r="IK34" t="e">
        <f>AND('POTENCIAL HORAS'!#REF!,"AAAAAB76XvQ=")</f>
        <v>#REF!</v>
      </c>
      <c r="IL34" t="e">
        <f>AND('POTENCIAL HORAS'!#REF!,"AAAAAB76XvU=")</f>
        <v>#REF!</v>
      </c>
      <c r="IM34" t="e">
        <f>AND('POTENCIAL HORAS'!#REF!,"AAAAAB76XvY=")</f>
        <v>#REF!</v>
      </c>
      <c r="IN34" t="e">
        <f>AND('POTENCIAL HORAS'!#REF!,"AAAAAB76Xvc=")</f>
        <v>#REF!</v>
      </c>
      <c r="IO34" t="e">
        <f>AND('POTENCIAL HORAS'!#REF!,"AAAAAB76Xvg=")</f>
        <v>#REF!</v>
      </c>
      <c r="IP34" t="e">
        <f>IF('POTENCIAL HORAS'!#REF!,"AAAAAB76Xvk=",0)</f>
        <v>#REF!</v>
      </c>
      <c r="IQ34" t="e">
        <f>AND('POTENCIAL HORAS'!#REF!,"AAAAAB76Xvo=")</f>
        <v>#REF!</v>
      </c>
      <c r="IR34" t="e">
        <f>AND('POTENCIAL HORAS'!#REF!,"AAAAAB76Xvs=")</f>
        <v>#REF!</v>
      </c>
      <c r="IS34" t="e">
        <f>AND('POTENCIAL HORAS'!#REF!,"AAAAAB76Xvw=")</f>
        <v>#REF!</v>
      </c>
      <c r="IT34" t="e">
        <f>AND('POTENCIAL HORAS'!#REF!,"AAAAAB76Xv0=")</f>
        <v>#REF!</v>
      </c>
      <c r="IU34" t="e">
        <f>AND('POTENCIAL HORAS'!#REF!,"AAAAAB76Xv4=")</f>
        <v>#REF!</v>
      </c>
      <c r="IV34" t="e">
        <f>AND('POTENCIAL HORAS'!#REF!,"AAAAAB76Xv8=")</f>
        <v>#REF!</v>
      </c>
    </row>
    <row r="35" spans="1:256" x14ac:dyDescent="0.2">
      <c r="A35" t="e">
        <f>AND('POTENCIAL HORAS'!#REF!,"AAAAAH1bVwA=")</f>
        <v>#REF!</v>
      </c>
      <c r="B35" t="e">
        <f>AND('POTENCIAL HORAS'!#REF!,"AAAAAH1bVwE=")</f>
        <v>#REF!</v>
      </c>
      <c r="C35" t="e">
        <f>AND('POTENCIAL HORAS'!#REF!,"AAAAAH1bVwI=")</f>
        <v>#REF!</v>
      </c>
      <c r="D35" t="e">
        <f>AND('POTENCIAL HORAS'!#REF!,"AAAAAH1bVwM=")</f>
        <v>#REF!</v>
      </c>
      <c r="E35" t="e">
        <f>AND('POTENCIAL HORAS'!#REF!,"AAAAAH1bVwQ=")</f>
        <v>#REF!</v>
      </c>
      <c r="F35" t="e">
        <f>AND('POTENCIAL HORAS'!#REF!,"AAAAAH1bVwU=")</f>
        <v>#REF!</v>
      </c>
      <c r="G35" t="e">
        <f>AND('POTENCIAL HORAS'!#REF!,"AAAAAH1bVwY=")</f>
        <v>#REF!</v>
      </c>
      <c r="H35" t="e">
        <f>AND('POTENCIAL HORAS'!#REF!,"AAAAAH1bVwc=")</f>
        <v>#REF!</v>
      </c>
      <c r="I35" t="e">
        <f>AND('POTENCIAL HORAS'!#REF!,"AAAAAH1bVwg=")</f>
        <v>#REF!</v>
      </c>
      <c r="J35" t="e">
        <f>AND('POTENCIAL HORAS'!#REF!,"AAAAAH1bVwk=")</f>
        <v>#REF!</v>
      </c>
      <c r="K35" t="e">
        <f>AND('POTENCIAL HORAS'!#REF!,"AAAAAH1bVwo=")</f>
        <v>#REF!</v>
      </c>
      <c r="L35" t="e">
        <f>AND('POTENCIAL HORAS'!#REF!,"AAAAAH1bVws=")</f>
        <v>#REF!</v>
      </c>
      <c r="M35" t="e">
        <f>AND('POTENCIAL HORAS'!#REF!,"AAAAAH1bVww=")</f>
        <v>#REF!</v>
      </c>
      <c r="N35" t="e">
        <f>AND('POTENCIAL HORAS'!#REF!,"AAAAAH1bVw0=")</f>
        <v>#REF!</v>
      </c>
      <c r="O35" t="e">
        <f>AND('POTENCIAL HORAS'!#REF!,"AAAAAH1bVw4=")</f>
        <v>#REF!</v>
      </c>
      <c r="P35" t="e">
        <f>AND('POTENCIAL HORAS'!#REF!,"AAAAAH1bVw8=")</f>
        <v>#REF!</v>
      </c>
      <c r="Q35" t="e">
        <f>AND('POTENCIAL HORAS'!#REF!,"AAAAAH1bVxA=")</f>
        <v>#REF!</v>
      </c>
      <c r="R35" t="e">
        <f>AND('POTENCIAL HORAS'!#REF!,"AAAAAH1bVxE=")</f>
        <v>#REF!</v>
      </c>
      <c r="S35" t="e">
        <f>AND('POTENCIAL HORAS'!#REF!,"AAAAAH1bVxI=")</f>
        <v>#REF!</v>
      </c>
      <c r="T35" t="e">
        <f>AND('POTENCIAL HORAS'!#REF!,"AAAAAH1bVxM=")</f>
        <v>#REF!</v>
      </c>
      <c r="U35" t="e">
        <f>AND('POTENCIAL HORAS'!#REF!,"AAAAAH1bVxQ=")</f>
        <v>#REF!</v>
      </c>
      <c r="V35" t="e">
        <f>AND('POTENCIAL HORAS'!#REF!,"AAAAAH1bVxU=")</f>
        <v>#REF!</v>
      </c>
      <c r="W35" t="e">
        <f>AND('POTENCIAL HORAS'!#REF!,"AAAAAH1bVxY=")</f>
        <v>#REF!</v>
      </c>
      <c r="X35" t="e">
        <f>AND('POTENCIAL HORAS'!#REF!,"AAAAAH1bVxc=")</f>
        <v>#REF!</v>
      </c>
      <c r="Y35" t="e">
        <f>AND('POTENCIAL HORAS'!#REF!,"AAAAAH1bVxg=")</f>
        <v>#REF!</v>
      </c>
      <c r="Z35" t="e">
        <f>AND('POTENCIAL HORAS'!#REF!,"AAAAAH1bVxk=")</f>
        <v>#REF!</v>
      </c>
      <c r="AA35" t="e">
        <f>AND('POTENCIAL HORAS'!#REF!,"AAAAAH1bVxo=")</f>
        <v>#REF!</v>
      </c>
      <c r="AB35" t="e">
        <f>AND('POTENCIAL HORAS'!#REF!,"AAAAAH1bVxs=")</f>
        <v>#REF!</v>
      </c>
      <c r="AC35" t="e">
        <f>AND('POTENCIAL HORAS'!#REF!,"AAAAAH1bVxw=")</f>
        <v>#REF!</v>
      </c>
      <c r="AD35" t="e">
        <f>AND('POTENCIAL HORAS'!#REF!,"AAAAAH1bVx0=")</f>
        <v>#REF!</v>
      </c>
      <c r="AE35" t="e">
        <f>AND('POTENCIAL HORAS'!#REF!,"AAAAAH1bVx4=")</f>
        <v>#REF!</v>
      </c>
      <c r="AF35" t="e">
        <f>AND('POTENCIAL HORAS'!#REF!,"AAAAAH1bVx8=")</f>
        <v>#REF!</v>
      </c>
      <c r="AG35" t="e">
        <f>IF('POTENCIAL HORAS'!#REF!,"AAAAAH1bVyA=",0)</f>
        <v>#REF!</v>
      </c>
      <c r="AH35" t="e">
        <f>AND('POTENCIAL HORAS'!#REF!,"AAAAAH1bVyE=")</f>
        <v>#REF!</v>
      </c>
      <c r="AI35" t="e">
        <f>AND('POTENCIAL HORAS'!#REF!,"AAAAAH1bVyI=")</f>
        <v>#REF!</v>
      </c>
      <c r="AJ35" t="e">
        <f>AND('POTENCIAL HORAS'!#REF!,"AAAAAH1bVyM=")</f>
        <v>#REF!</v>
      </c>
      <c r="AK35" t="e">
        <f>AND('POTENCIAL HORAS'!#REF!,"AAAAAH1bVyQ=")</f>
        <v>#REF!</v>
      </c>
      <c r="AL35" t="e">
        <f>AND('POTENCIAL HORAS'!#REF!,"AAAAAH1bVyU=")</f>
        <v>#REF!</v>
      </c>
      <c r="AM35" t="e">
        <f>AND('POTENCIAL HORAS'!#REF!,"AAAAAH1bVyY=")</f>
        <v>#REF!</v>
      </c>
      <c r="AN35" t="e">
        <f>AND('POTENCIAL HORAS'!#REF!,"AAAAAH1bVyc=")</f>
        <v>#REF!</v>
      </c>
      <c r="AO35" t="e">
        <f>AND('POTENCIAL HORAS'!#REF!,"AAAAAH1bVyg=")</f>
        <v>#REF!</v>
      </c>
      <c r="AP35" t="e">
        <f>AND('POTENCIAL HORAS'!#REF!,"AAAAAH1bVyk=")</f>
        <v>#REF!</v>
      </c>
      <c r="AQ35" t="e">
        <f>AND('POTENCIAL HORAS'!#REF!,"AAAAAH1bVyo=")</f>
        <v>#REF!</v>
      </c>
      <c r="AR35" t="e">
        <f>AND('POTENCIAL HORAS'!#REF!,"AAAAAH1bVys=")</f>
        <v>#REF!</v>
      </c>
      <c r="AS35" t="e">
        <f>AND('POTENCIAL HORAS'!#REF!,"AAAAAH1bVyw=")</f>
        <v>#REF!</v>
      </c>
      <c r="AT35" t="e">
        <f>AND('POTENCIAL HORAS'!#REF!,"AAAAAH1bVy0=")</f>
        <v>#REF!</v>
      </c>
      <c r="AU35" t="e">
        <f>AND('POTENCIAL HORAS'!#REF!,"AAAAAH1bVy4=")</f>
        <v>#REF!</v>
      </c>
      <c r="AV35" t="e">
        <f>AND('POTENCIAL HORAS'!#REF!,"AAAAAH1bVy8=")</f>
        <v>#REF!</v>
      </c>
      <c r="AW35" t="e">
        <f>AND('POTENCIAL HORAS'!#REF!,"AAAAAH1bVzA=")</f>
        <v>#REF!</v>
      </c>
      <c r="AX35" t="e">
        <f>AND('POTENCIAL HORAS'!#REF!,"AAAAAH1bVzE=")</f>
        <v>#REF!</v>
      </c>
      <c r="AY35" t="e">
        <f>AND('POTENCIAL HORAS'!#REF!,"AAAAAH1bVzI=")</f>
        <v>#REF!</v>
      </c>
      <c r="AZ35" t="e">
        <f>AND('POTENCIAL HORAS'!#REF!,"AAAAAH1bVzM=")</f>
        <v>#REF!</v>
      </c>
      <c r="BA35" t="e">
        <f>AND('POTENCIAL HORAS'!#REF!,"AAAAAH1bVzQ=")</f>
        <v>#REF!</v>
      </c>
      <c r="BB35" t="e">
        <f>AND('POTENCIAL HORAS'!#REF!,"AAAAAH1bVzU=")</f>
        <v>#REF!</v>
      </c>
      <c r="BC35" t="e">
        <f>AND('POTENCIAL HORAS'!#REF!,"AAAAAH1bVzY=")</f>
        <v>#REF!</v>
      </c>
      <c r="BD35" t="e">
        <f>AND('POTENCIAL HORAS'!#REF!,"AAAAAH1bVzc=")</f>
        <v>#REF!</v>
      </c>
      <c r="BE35" t="e">
        <f>AND('POTENCIAL HORAS'!#REF!,"AAAAAH1bVzg=")</f>
        <v>#REF!</v>
      </c>
      <c r="BF35" t="e">
        <f>AND('POTENCIAL HORAS'!#REF!,"AAAAAH1bVzk=")</f>
        <v>#REF!</v>
      </c>
      <c r="BG35" t="e">
        <f>AND('POTENCIAL HORAS'!#REF!,"AAAAAH1bVzo=")</f>
        <v>#REF!</v>
      </c>
      <c r="BH35" t="e">
        <f>AND('POTENCIAL HORAS'!#REF!,"AAAAAH1bVzs=")</f>
        <v>#REF!</v>
      </c>
      <c r="BI35" t="e">
        <f>AND('POTENCIAL HORAS'!#REF!,"AAAAAH1bVzw=")</f>
        <v>#REF!</v>
      </c>
      <c r="BJ35" t="e">
        <f>AND('POTENCIAL HORAS'!#REF!,"AAAAAH1bVz0=")</f>
        <v>#REF!</v>
      </c>
      <c r="BK35" t="e">
        <f>AND('POTENCIAL HORAS'!#REF!,"AAAAAH1bVz4=")</f>
        <v>#REF!</v>
      </c>
      <c r="BL35" t="e">
        <f>AND('POTENCIAL HORAS'!#REF!,"AAAAAH1bVz8=")</f>
        <v>#REF!</v>
      </c>
      <c r="BM35" t="e">
        <f>AND('POTENCIAL HORAS'!#REF!,"AAAAAH1bV0A=")</f>
        <v>#REF!</v>
      </c>
      <c r="BN35" t="e">
        <f>AND('POTENCIAL HORAS'!#REF!,"AAAAAH1bV0E=")</f>
        <v>#REF!</v>
      </c>
      <c r="BO35" t="e">
        <f>AND('POTENCIAL HORAS'!#REF!,"AAAAAH1bV0I=")</f>
        <v>#REF!</v>
      </c>
      <c r="BP35" t="e">
        <f>AND('POTENCIAL HORAS'!#REF!,"AAAAAH1bV0M=")</f>
        <v>#REF!</v>
      </c>
      <c r="BQ35" t="e">
        <f>AND('POTENCIAL HORAS'!#REF!,"AAAAAH1bV0Q=")</f>
        <v>#REF!</v>
      </c>
      <c r="BR35" t="e">
        <f>AND('POTENCIAL HORAS'!#REF!,"AAAAAH1bV0U=")</f>
        <v>#REF!</v>
      </c>
      <c r="BS35" t="e">
        <f>AND('POTENCIAL HORAS'!#REF!,"AAAAAH1bV0Y=")</f>
        <v>#REF!</v>
      </c>
      <c r="BT35" t="e">
        <f>IF('POTENCIAL HORAS'!#REF!,"AAAAAH1bV0c=",0)</f>
        <v>#REF!</v>
      </c>
      <c r="BU35" t="e">
        <f>AND('POTENCIAL HORAS'!#REF!,"AAAAAH1bV0g=")</f>
        <v>#REF!</v>
      </c>
      <c r="BV35" t="e">
        <f>AND('POTENCIAL HORAS'!#REF!,"AAAAAH1bV0k=")</f>
        <v>#REF!</v>
      </c>
      <c r="BW35" t="e">
        <f>AND('POTENCIAL HORAS'!#REF!,"AAAAAH1bV0o=")</f>
        <v>#REF!</v>
      </c>
      <c r="BX35" t="e">
        <f>AND('POTENCIAL HORAS'!#REF!,"AAAAAH1bV0s=")</f>
        <v>#REF!</v>
      </c>
      <c r="BY35" t="e">
        <f>AND('POTENCIAL HORAS'!#REF!,"AAAAAH1bV0w=")</f>
        <v>#REF!</v>
      </c>
      <c r="BZ35" t="e">
        <f>AND('POTENCIAL HORAS'!#REF!,"AAAAAH1bV00=")</f>
        <v>#REF!</v>
      </c>
      <c r="CA35" t="e">
        <f>AND('POTENCIAL HORAS'!#REF!,"AAAAAH1bV04=")</f>
        <v>#REF!</v>
      </c>
      <c r="CB35" t="e">
        <f>AND('POTENCIAL HORAS'!#REF!,"AAAAAH1bV08=")</f>
        <v>#REF!</v>
      </c>
      <c r="CC35" t="e">
        <f>AND('POTENCIAL HORAS'!#REF!,"AAAAAH1bV1A=")</f>
        <v>#REF!</v>
      </c>
      <c r="CD35" t="e">
        <f>AND('POTENCIAL HORAS'!#REF!,"AAAAAH1bV1E=")</f>
        <v>#REF!</v>
      </c>
      <c r="CE35" t="e">
        <f>AND('POTENCIAL HORAS'!#REF!,"AAAAAH1bV1I=")</f>
        <v>#REF!</v>
      </c>
      <c r="CF35" t="e">
        <f>AND('POTENCIAL HORAS'!#REF!,"AAAAAH1bV1M=")</f>
        <v>#REF!</v>
      </c>
      <c r="CG35" t="e">
        <f>AND('POTENCIAL HORAS'!#REF!,"AAAAAH1bV1Q=")</f>
        <v>#REF!</v>
      </c>
      <c r="CH35" t="e">
        <f>AND('POTENCIAL HORAS'!#REF!,"AAAAAH1bV1U=")</f>
        <v>#REF!</v>
      </c>
      <c r="CI35" t="e">
        <f>AND('POTENCIAL HORAS'!#REF!,"AAAAAH1bV1Y=")</f>
        <v>#REF!</v>
      </c>
      <c r="CJ35" t="e">
        <f>AND('POTENCIAL HORAS'!#REF!,"AAAAAH1bV1c=")</f>
        <v>#REF!</v>
      </c>
      <c r="CK35" t="e">
        <f>AND('POTENCIAL HORAS'!#REF!,"AAAAAH1bV1g=")</f>
        <v>#REF!</v>
      </c>
      <c r="CL35" t="e">
        <f>AND('POTENCIAL HORAS'!#REF!,"AAAAAH1bV1k=")</f>
        <v>#REF!</v>
      </c>
      <c r="CM35" t="e">
        <f>AND('POTENCIAL HORAS'!#REF!,"AAAAAH1bV1o=")</f>
        <v>#REF!</v>
      </c>
      <c r="CN35" t="e">
        <f>AND('POTENCIAL HORAS'!#REF!,"AAAAAH1bV1s=")</f>
        <v>#REF!</v>
      </c>
      <c r="CO35" t="e">
        <f>AND('POTENCIAL HORAS'!#REF!,"AAAAAH1bV1w=")</f>
        <v>#REF!</v>
      </c>
      <c r="CP35" t="e">
        <f>AND('POTENCIAL HORAS'!#REF!,"AAAAAH1bV10=")</f>
        <v>#REF!</v>
      </c>
      <c r="CQ35" t="e">
        <f>AND('POTENCIAL HORAS'!#REF!,"AAAAAH1bV14=")</f>
        <v>#REF!</v>
      </c>
      <c r="CR35" t="e">
        <f>AND('POTENCIAL HORAS'!#REF!,"AAAAAH1bV18=")</f>
        <v>#REF!</v>
      </c>
      <c r="CS35" t="e">
        <f>AND('POTENCIAL HORAS'!#REF!,"AAAAAH1bV2A=")</f>
        <v>#REF!</v>
      </c>
      <c r="CT35" t="e">
        <f>AND('POTENCIAL HORAS'!#REF!,"AAAAAH1bV2E=")</f>
        <v>#REF!</v>
      </c>
      <c r="CU35" t="e">
        <f>AND('POTENCIAL HORAS'!#REF!,"AAAAAH1bV2I=")</f>
        <v>#REF!</v>
      </c>
      <c r="CV35" t="e">
        <f>AND('POTENCIAL HORAS'!#REF!,"AAAAAH1bV2M=")</f>
        <v>#REF!</v>
      </c>
      <c r="CW35" t="e">
        <f>AND('POTENCIAL HORAS'!#REF!,"AAAAAH1bV2Q=")</f>
        <v>#REF!</v>
      </c>
      <c r="CX35" t="e">
        <f>AND('POTENCIAL HORAS'!#REF!,"AAAAAH1bV2U=")</f>
        <v>#REF!</v>
      </c>
      <c r="CY35" t="e">
        <f>AND('POTENCIAL HORAS'!#REF!,"AAAAAH1bV2Y=")</f>
        <v>#REF!</v>
      </c>
      <c r="CZ35" t="e">
        <f>AND('POTENCIAL HORAS'!#REF!,"AAAAAH1bV2c=")</f>
        <v>#REF!</v>
      </c>
      <c r="DA35" t="e">
        <f>AND('POTENCIAL HORAS'!#REF!,"AAAAAH1bV2g=")</f>
        <v>#REF!</v>
      </c>
      <c r="DB35" t="e">
        <f>AND('POTENCIAL HORAS'!#REF!,"AAAAAH1bV2k=")</f>
        <v>#REF!</v>
      </c>
      <c r="DC35" t="e">
        <f>AND('POTENCIAL HORAS'!#REF!,"AAAAAH1bV2o=")</f>
        <v>#REF!</v>
      </c>
      <c r="DD35" t="e">
        <f>AND('POTENCIAL HORAS'!#REF!,"AAAAAH1bV2s=")</f>
        <v>#REF!</v>
      </c>
      <c r="DE35" t="e">
        <f>AND('POTENCIAL HORAS'!#REF!,"AAAAAH1bV2w=")</f>
        <v>#REF!</v>
      </c>
      <c r="DF35" t="e">
        <f>AND('POTENCIAL HORAS'!#REF!,"AAAAAH1bV20=")</f>
        <v>#REF!</v>
      </c>
      <c r="DG35" t="e">
        <f>IF('POTENCIAL HORAS'!#REF!,"AAAAAH1bV24=",0)</f>
        <v>#REF!</v>
      </c>
      <c r="DH35" t="e">
        <f>AND('POTENCIAL HORAS'!#REF!,"AAAAAH1bV28=")</f>
        <v>#REF!</v>
      </c>
      <c r="DI35" t="e">
        <f>AND('POTENCIAL HORAS'!#REF!,"AAAAAH1bV3A=")</f>
        <v>#REF!</v>
      </c>
      <c r="DJ35" t="e">
        <f>AND('POTENCIAL HORAS'!#REF!,"AAAAAH1bV3E=")</f>
        <v>#REF!</v>
      </c>
      <c r="DK35" t="e">
        <f>AND('POTENCIAL HORAS'!#REF!,"AAAAAH1bV3I=")</f>
        <v>#REF!</v>
      </c>
      <c r="DL35" t="e">
        <f>AND('POTENCIAL HORAS'!#REF!,"AAAAAH1bV3M=")</f>
        <v>#REF!</v>
      </c>
      <c r="DM35" t="e">
        <f>AND('POTENCIAL HORAS'!#REF!,"AAAAAH1bV3Q=")</f>
        <v>#REF!</v>
      </c>
      <c r="DN35" t="e">
        <f>AND('POTENCIAL HORAS'!#REF!,"AAAAAH1bV3U=")</f>
        <v>#REF!</v>
      </c>
      <c r="DO35" t="e">
        <f>AND('POTENCIAL HORAS'!#REF!,"AAAAAH1bV3Y=")</f>
        <v>#REF!</v>
      </c>
      <c r="DP35" t="e">
        <f>AND('POTENCIAL HORAS'!#REF!,"AAAAAH1bV3c=")</f>
        <v>#REF!</v>
      </c>
      <c r="DQ35" t="e">
        <f>AND('POTENCIAL HORAS'!#REF!,"AAAAAH1bV3g=")</f>
        <v>#REF!</v>
      </c>
      <c r="DR35" t="e">
        <f>AND('POTENCIAL HORAS'!#REF!,"AAAAAH1bV3k=")</f>
        <v>#REF!</v>
      </c>
      <c r="DS35" t="e">
        <f>AND('POTENCIAL HORAS'!#REF!,"AAAAAH1bV3o=")</f>
        <v>#REF!</v>
      </c>
      <c r="DT35" t="e">
        <f>AND('POTENCIAL HORAS'!#REF!,"AAAAAH1bV3s=")</f>
        <v>#REF!</v>
      </c>
      <c r="DU35" t="e">
        <f>AND('POTENCIAL HORAS'!#REF!,"AAAAAH1bV3w=")</f>
        <v>#REF!</v>
      </c>
      <c r="DV35" t="e">
        <f>AND('POTENCIAL HORAS'!#REF!,"AAAAAH1bV30=")</f>
        <v>#REF!</v>
      </c>
      <c r="DW35" t="e">
        <f>AND('POTENCIAL HORAS'!#REF!,"AAAAAH1bV34=")</f>
        <v>#REF!</v>
      </c>
      <c r="DX35" t="e">
        <f>AND('POTENCIAL HORAS'!#REF!,"AAAAAH1bV38=")</f>
        <v>#REF!</v>
      </c>
      <c r="DY35" t="e">
        <f>AND('POTENCIAL HORAS'!#REF!,"AAAAAH1bV4A=")</f>
        <v>#REF!</v>
      </c>
      <c r="DZ35" t="e">
        <f>AND('POTENCIAL HORAS'!#REF!,"AAAAAH1bV4E=")</f>
        <v>#REF!</v>
      </c>
      <c r="EA35" t="e">
        <f>AND('POTENCIAL HORAS'!#REF!,"AAAAAH1bV4I=")</f>
        <v>#REF!</v>
      </c>
      <c r="EB35" t="e">
        <f>AND('POTENCIAL HORAS'!#REF!,"AAAAAH1bV4M=")</f>
        <v>#REF!</v>
      </c>
      <c r="EC35" t="e">
        <f>AND('POTENCIAL HORAS'!#REF!,"AAAAAH1bV4Q=")</f>
        <v>#REF!</v>
      </c>
      <c r="ED35" t="e">
        <f>AND('POTENCIAL HORAS'!#REF!,"AAAAAH1bV4U=")</f>
        <v>#REF!</v>
      </c>
      <c r="EE35" t="e">
        <f>AND('POTENCIAL HORAS'!#REF!,"AAAAAH1bV4Y=")</f>
        <v>#REF!</v>
      </c>
      <c r="EF35" t="e">
        <f>AND('POTENCIAL HORAS'!#REF!,"AAAAAH1bV4c=")</f>
        <v>#REF!</v>
      </c>
      <c r="EG35" t="e">
        <f>AND('POTENCIAL HORAS'!#REF!,"AAAAAH1bV4g=")</f>
        <v>#REF!</v>
      </c>
      <c r="EH35" t="e">
        <f>AND('POTENCIAL HORAS'!#REF!,"AAAAAH1bV4k=")</f>
        <v>#REF!</v>
      </c>
      <c r="EI35" t="e">
        <f>AND('POTENCIAL HORAS'!#REF!,"AAAAAH1bV4o=")</f>
        <v>#REF!</v>
      </c>
      <c r="EJ35" t="e">
        <f>AND('POTENCIAL HORAS'!#REF!,"AAAAAH1bV4s=")</f>
        <v>#REF!</v>
      </c>
      <c r="EK35" t="e">
        <f>AND('POTENCIAL HORAS'!#REF!,"AAAAAH1bV4w=")</f>
        <v>#REF!</v>
      </c>
      <c r="EL35" t="e">
        <f>AND('POTENCIAL HORAS'!#REF!,"AAAAAH1bV40=")</f>
        <v>#REF!</v>
      </c>
      <c r="EM35" t="e">
        <f>AND('POTENCIAL HORAS'!#REF!,"AAAAAH1bV44=")</f>
        <v>#REF!</v>
      </c>
      <c r="EN35" t="e">
        <f>AND('POTENCIAL HORAS'!#REF!,"AAAAAH1bV48=")</f>
        <v>#REF!</v>
      </c>
      <c r="EO35" t="e">
        <f>AND('POTENCIAL HORAS'!#REF!,"AAAAAH1bV5A=")</f>
        <v>#REF!</v>
      </c>
      <c r="EP35" t="e">
        <f>AND('POTENCIAL HORAS'!#REF!,"AAAAAH1bV5E=")</f>
        <v>#REF!</v>
      </c>
      <c r="EQ35" t="e">
        <f>AND('POTENCIAL HORAS'!#REF!,"AAAAAH1bV5I=")</f>
        <v>#REF!</v>
      </c>
      <c r="ER35" t="e">
        <f>AND('POTENCIAL HORAS'!#REF!,"AAAAAH1bV5M=")</f>
        <v>#REF!</v>
      </c>
      <c r="ES35" t="e">
        <f>AND('POTENCIAL HORAS'!#REF!,"AAAAAH1bV5Q=")</f>
        <v>#REF!</v>
      </c>
      <c r="ET35" t="e">
        <f>IF('POTENCIAL HORAS'!#REF!,"AAAAAH1bV5U=",0)</f>
        <v>#REF!</v>
      </c>
      <c r="EU35" t="e">
        <f>AND('POTENCIAL HORAS'!#REF!,"AAAAAH1bV5Y=")</f>
        <v>#REF!</v>
      </c>
      <c r="EV35" t="e">
        <f>AND('POTENCIAL HORAS'!#REF!,"AAAAAH1bV5c=")</f>
        <v>#REF!</v>
      </c>
      <c r="EW35" t="e">
        <f>AND('POTENCIAL HORAS'!#REF!,"AAAAAH1bV5g=")</f>
        <v>#REF!</v>
      </c>
      <c r="EX35" t="e">
        <f>AND('POTENCIAL HORAS'!#REF!,"AAAAAH1bV5k=")</f>
        <v>#REF!</v>
      </c>
      <c r="EY35" t="e">
        <f>AND('POTENCIAL HORAS'!#REF!,"AAAAAH1bV5o=")</f>
        <v>#REF!</v>
      </c>
      <c r="EZ35" t="e">
        <f>AND('POTENCIAL HORAS'!#REF!,"AAAAAH1bV5s=")</f>
        <v>#REF!</v>
      </c>
      <c r="FA35" t="e">
        <f>AND('POTENCIAL HORAS'!#REF!,"AAAAAH1bV5w=")</f>
        <v>#REF!</v>
      </c>
      <c r="FB35" t="e">
        <f>AND('POTENCIAL HORAS'!#REF!,"AAAAAH1bV50=")</f>
        <v>#REF!</v>
      </c>
      <c r="FC35" t="e">
        <f>AND('POTENCIAL HORAS'!#REF!,"AAAAAH1bV54=")</f>
        <v>#REF!</v>
      </c>
      <c r="FD35" t="e">
        <f>AND('POTENCIAL HORAS'!#REF!,"AAAAAH1bV58=")</f>
        <v>#REF!</v>
      </c>
      <c r="FE35" t="e">
        <f>AND('POTENCIAL HORAS'!#REF!,"AAAAAH1bV6A=")</f>
        <v>#REF!</v>
      </c>
      <c r="FF35" t="e">
        <f>AND('POTENCIAL HORAS'!#REF!,"AAAAAH1bV6E=")</f>
        <v>#REF!</v>
      </c>
      <c r="FG35" t="e">
        <f>AND('POTENCIAL HORAS'!#REF!,"AAAAAH1bV6I=")</f>
        <v>#REF!</v>
      </c>
      <c r="FH35" t="e">
        <f>AND('POTENCIAL HORAS'!#REF!,"AAAAAH1bV6M=")</f>
        <v>#REF!</v>
      </c>
      <c r="FI35" t="e">
        <f>AND('POTENCIAL HORAS'!#REF!,"AAAAAH1bV6Q=")</f>
        <v>#REF!</v>
      </c>
      <c r="FJ35" t="e">
        <f>AND('POTENCIAL HORAS'!#REF!,"AAAAAH1bV6U=")</f>
        <v>#REF!</v>
      </c>
      <c r="FK35" t="e">
        <f>AND('POTENCIAL HORAS'!#REF!,"AAAAAH1bV6Y=")</f>
        <v>#REF!</v>
      </c>
      <c r="FL35" t="e">
        <f>AND('POTENCIAL HORAS'!#REF!,"AAAAAH1bV6c=")</f>
        <v>#REF!</v>
      </c>
      <c r="FM35" t="e">
        <f>AND('POTENCIAL HORAS'!#REF!,"AAAAAH1bV6g=")</f>
        <v>#REF!</v>
      </c>
      <c r="FN35" t="e">
        <f>AND('POTENCIAL HORAS'!#REF!,"AAAAAH1bV6k=")</f>
        <v>#REF!</v>
      </c>
      <c r="FO35" t="e">
        <f>AND('POTENCIAL HORAS'!#REF!,"AAAAAH1bV6o=")</f>
        <v>#REF!</v>
      </c>
      <c r="FP35" t="e">
        <f>AND('POTENCIAL HORAS'!#REF!,"AAAAAH1bV6s=")</f>
        <v>#REF!</v>
      </c>
      <c r="FQ35" t="e">
        <f>AND('POTENCIAL HORAS'!#REF!,"AAAAAH1bV6w=")</f>
        <v>#REF!</v>
      </c>
      <c r="FR35" t="e">
        <f>AND('POTENCIAL HORAS'!#REF!,"AAAAAH1bV60=")</f>
        <v>#REF!</v>
      </c>
      <c r="FS35" t="e">
        <f>AND('POTENCIAL HORAS'!#REF!,"AAAAAH1bV64=")</f>
        <v>#REF!</v>
      </c>
      <c r="FT35" t="e">
        <f>AND('POTENCIAL HORAS'!#REF!,"AAAAAH1bV68=")</f>
        <v>#REF!</v>
      </c>
      <c r="FU35" t="e">
        <f>AND('POTENCIAL HORAS'!#REF!,"AAAAAH1bV7A=")</f>
        <v>#REF!</v>
      </c>
      <c r="FV35" t="e">
        <f>AND('POTENCIAL HORAS'!#REF!,"AAAAAH1bV7E=")</f>
        <v>#REF!</v>
      </c>
      <c r="FW35" t="e">
        <f>AND('POTENCIAL HORAS'!#REF!,"AAAAAH1bV7I=")</f>
        <v>#REF!</v>
      </c>
      <c r="FX35" t="e">
        <f>AND('POTENCIAL HORAS'!#REF!,"AAAAAH1bV7M=")</f>
        <v>#REF!</v>
      </c>
      <c r="FY35" t="e">
        <f>AND('POTENCIAL HORAS'!#REF!,"AAAAAH1bV7Q=")</f>
        <v>#REF!</v>
      </c>
      <c r="FZ35" t="e">
        <f>AND('POTENCIAL HORAS'!#REF!,"AAAAAH1bV7U=")</f>
        <v>#REF!</v>
      </c>
      <c r="GA35" t="e">
        <f>AND('POTENCIAL HORAS'!#REF!,"AAAAAH1bV7Y=")</f>
        <v>#REF!</v>
      </c>
      <c r="GB35" t="e">
        <f>AND('POTENCIAL HORAS'!#REF!,"AAAAAH1bV7c=")</f>
        <v>#REF!</v>
      </c>
      <c r="GC35" t="e">
        <f>AND('POTENCIAL HORAS'!#REF!,"AAAAAH1bV7g=")</f>
        <v>#REF!</v>
      </c>
      <c r="GD35" t="e">
        <f>AND('POTENCIAL HORAS'!#REF!,"AAAAAH1bV7k=")</f>
        <v>#REF!</v>
      </c>
      <c r="GE35" t="e">
        <f>AND('POTENCIAL HORAS'!#REF!,"AAAAAH1bV7o=")</f>
        <v>#REF!</v>
      </c>
      <c r="GF35" t="e">
        <f>AND('POTENCIAL HORAS'!#REF!,"AAAAAH1bV7s=")</f>
        <v>#REF!</v>
      </c>
      <c r="GG35" t="e">
        <f>IF('POTENCIAL HORAS'!#REF!,"AAAAAH1bV7w=",0)</f>
        <v>#REF!</v>
      </c>
      <c r="GH35" t="e">
        <f>AND('POTENCIAL HORAS'!#REF!,"AAAAAH1bV70=")</f>
        <v>#REF!</v>
      </c>
      <c r="GI35" t="e">
        <f>AND('POTENCIAL HORAS'!#REF!,"AAAAAH1bV74=")</f>
        <v>#REF!</v>
      </c>
      <c r="GJ35" t="e">
        <f>AND('POTENCIAL HORAS'!#REF!,"AAAAAH1bV78=")</f>
        <v>#REF!</v>
      </c>
      <c r="GK35" t="e">
        <f>AND('POTENCIAL HORAS'!#REF!,"AAAAAH1bV8A=")</f>
        <v>#REF!</v>
      </c>
      <c r="GL35" t="e">
        <f>AND('POTENCIAL HORAS'!#REF!,"AAAAAH1bV8E=")</f>
        <v>#REF!</v>
      </c>
      <c r="GM35" t="e">
        <f>AND('POTENCIAL HORAS'!#REF!,"AAAAAH1bV8I=")</f>
        <v>#REF!</v>
      </c>
      <c r="GN35" t="e">
        <f>AND('POTENCIAL HORAS'!#REF!,"AAAAAH1bV8M=")</f>
        <v>#REF!</v>
      </c>
      <c r="GO35" t="e">
        <f>AND('POTENCIAL HORAS'!#REF!,"AAAAAH1bV8Q=")</f>
        <v>#REF!</v>
      </c>
      <c r="GP35" t="e">
        <f>AND('POTENCIAL HORAS'!#REF!,"AAAAAH1bV8U=")</f>
        <v>#REF!</v>
      </c>
      <c r="GQ35" t="e">
        <f>AND('POTENCIAL HORAS'!#REF!,"AAAAAH1bV8Y=")</f>
        <v>#REF!</v>
      </c>
      <c r="GR35" t="e">
        <f>AND('POTENCIAL HORAS'!#REF!,"AAAAAH1bV8c=")</f>
        <v>#REF!</v>
      </c>
      <c r="GS35" t="e">
        <f>AND('POTENCIAL HORAS'!#REF!,"AAAAAH1bV8g=")</f>
        <v>#REF!</v>
      </c>
      <c r="GT35" t="e">
        <f>AND('POTENCIAL HORAS'!#REF!,"AAAAAH1bV8k=")</f>
        <v>#REF!</v>
      </c>
      <c r="GU35" t="e">
        <f>AND('POTENCIAL HORAS'!#REF!,"AAAAAH1bV8o=")</f>
        <v>#REF!</v>
      </c>
      <c r="GV35" t="e">
        <f>AND('POTENCIAL HORAS'!#REF!,"AAAAAH1bV8s=")</f>
        <v>#REF!</v>
      </c>
      <c r="GW35" t="e">
        <f>AND('POTENCIAL HORAS'!#REF!,"AAAAAH1bV8w=")</f>
        <v>#REF!</v>
      </c>
      <c r="GX35" t="e">
        <f>AND('POTENCIAL HORAS'!#REF!,"AAAAAH1bV80=")</f>
        <v>#REF!</v>
      </c>
      <c r="GY35" t="e">
        <f>AND('POTENCIAL HORAS'!#REF!,"AAAAAH1bV84=")</f>
        <v>#REF!</v>
      </c>
      <c r="GZ35" t="e">
        <f>AND('POTENCIAL HORAS'!#REF!,"AAAAAH1bV88=")</f>
        <v>#REF!</v>
      </c>
      <c r="HA35" t="e">
        <f>AND('POTENCIAL HORAS'!#REF!,"AAAAAH1bV9A=")</f>
        <v>#REF!</v>
      </c>
      <c r="HB35" t="e">
        <f>AND('POTENCIAL HORAS'!#REF!,"AAAAAH1bV9E=")</f>
        <v>#REF!</v>
      </c>
      <c r="HC35" t="e">
        <f>AND('POTENCIAL HORAS'!#REF!,"AAAAAH1bV9I=")</f>
        <v>#REF!</v>
      </c>
      <c r="HD35" t="e">
        <f>AND('POTENCIAL HORAS'!#REF!,"AAAAAH1bV9M=")</f>
        <v>#REF!</v>
      </c>
      <c r="HE35" t="e">
        <f>AND('POTENCIAL HORAS'!#REF!,"AAAAAH1bV9Q=")</f>
        <v>#REF!</v>
      </c>
      <c r="HF35" t="e">
        <f>AND('POTENCIAL HORAS'!#REF!,"AAAAAH1bV9U=")</f>
        <v>#REF!</v>
      </c>
      <c r="HG35" t="e">
        <f>AND('POTENCIAL HORAS'!#REF!,"AAAAAH1bV9Y=")</f>
        <v>#REF!</v>
      </c>
      <c r="HH35" t="e">
        <f>AND('POTENCIAL HORAS'!#REF!,"AAAAAH1bV9c=")</f>
        <v>#REF!</v>
      </c>
      <c r="HI35" t="e">
        <f>AND('POTENCIAL HORAS'!#REF!,"AAAAAH1bV9g=")</f>
        <v>#REF!</v>
      </c>
      <c r="HJ35" t="e">
        <f>AND('POTENCIAL HORAS'!#REF!,"AAAAAH1bV9k=")</f>
        <v>#REF!</v>
      </c>
      <c r="HK35" t="e">
        <f>AND('POTENCIAL HORAS'!#REF!,"AAAAAH1bV9o=")</f>
        <v>#REF!</v>
      </c>
      <c r="HL35" t="e">
        <f>AND('POTENCIAL HORAS'!#REF!,"AAAAAH1bV9s=")</f>
        <v>#REF!</v>
      </c>
      <c r="HM35" t="e">
        <f>AND('POTENCIAL HORAS'!#REF!,"AAAAAH1bV9w=")</f>
        <v>#REF!</v>
      </c>
      <c r="HN35" t="e">
        <f>AND('POTENCIAL HORAS'!#REF!,"AAAAAH1bV90=")</f>
        <v>#REF!</v>
      </c>
      <c r="HO35" t="e">
        <f>AND('POTENCIAL HORAS'!#REF!,"AAAAAH1bV94=")</f>
        <v>#REF!</v>
      </c>
      <c r="HP35" t="e">
        <f>AND('POTENCIAL HORAS'!#REF!,"AAAAAH1bV98=")</f>
        <v>#REF!</v>
      </c>
      <c r="HQ35" t="e">
        <f>AND('POTENCIAL HORAS'!#REF!,"AAAAAH1bV+A=")</f>
        <v>#REF!</v>
      </c>
      <c r="HR35" t="e">
        <f>AND('POTENCIAL HORAS'!#REF!,"AAAAAH1bV+E=")</f>
        <v>#REF!</v>
      </c>
      <c r="HS35" t="e">
        <f>AND('POTENCIAL HORAS'!#REF!,"AAAAAH1bV+I=")</f>
        <v>#REF!</v>
      </c>
      <c r="HT35" t="e">
        <f>IF('POTENCIAL HORAS'!#REF!,"AAAAAH1bV+M=",0)</f>
        <v>#REF!</v>
      </c>
      <c r="HU35" t="e">
        <f>AND('POTENCIAL HORAS'!#REF!,"AAAAAH1bV+Q=")</f>
        <v>#REF!</v>
      </c>
      <c r="HV35" t="e">
        <f>AND('POTENCIAL HORAS'!#REF!,"AAAAAH1bV+U=")</f>
        <v>#REF!</v>
      </c>
      <c r="HW35" t="e">
        <f>AND('POTENCIAL HORAS'!#REF!,"AAAAAH1bV+Y=")</f>
        <v>#REF!</v>
      </c>
      <c r="HX35" t="e">
        <f>AND('POTENCIAL HORAS'!#REF!,"AAAAAH1bV+c=")</f>
        <v>#REF!</v>
      </c>
      <c r="HY35" t="e">
        <f>AND('POTENCIAL HORAS'!#REF!,"AAAAAH1bV+g=")</f>
        <v>#REF!</v>
      </c>
      <c r="HZ35" t="e">
        <f>AND('POTENCIAL HORAS'!#REF!,"AAAAAH1bV+k=")</f>
        <v>#REF!</v>
      </c>
      <c r="IA35" t="e">
        <f>AND('POTENCIAL HORAS'!#REF!,"AAAAAH1bV+o=")</f>
        <v>#REF!</v>
      </c>
      <c r="IB35" t="e">
        <f>AND('POTENCIAL HORAS'!#REF!,"AAAAAH1bV+s=")</f>
        <v>#REF!</v>
      </c>
      <c r="IC35" t="e">
        <f>AND('POTENCIAL HORAS'!#REF!,"AAAAAH1bV+w=")</f>
        <v>#REF!</v>
      </c>
      <c r="ID35" t="e">
        <f>AND('POTENCIAL HORAS'!#REF!,"AAAAAH1bV+0=")</f>
        <v>#REF!</v>
      </c>
      <c r="IE35" t="e">
        <f>AND('POTENCIAL HORAS'!#REF!,"AAAAAH1bV+4=")</f>
        <v>#REF!</v>
      </c>
      <c r="IF35" t="e">
        <f>AND('POTENCIAL HORAS'!#REF!,"AAAAAH1bV+8=")</f>
        <v>#REF!</v>
      </c>
      <c r="IG35" t="e">
        <f>AND('POTENCIAL HORAS'!#REF!,"AAAAAH1bV/A=")</f>
        <v>#REF!</v>
      </c>
      <c r="IH35" t="e">
        <f>AND('POTENCIAL HORAS'!#REF!,"AAAAAH1bV/E=")</f>
        <v>#REF!</v>
      </c>
      <c r="II35" t="e">
        <f>AND('POTENCIAL HORAS'!#REF!,"AAAAAH1bV/I=")</f>
        <v>#REF!</v>
      </c>
      <c r="IJ35" t="e">
        <f>AND('POTENCIAL HORAS'!#REF!,"AAAAAH1bV/M=")</f>
        <v>#REF!</v>
      </c>
      <c r="IK35" t="e">
        <f>AND('POTENCIAL HORAS'!#REF!,"AAAAAH1bV/Q=")</f>
        <v>#REF!</v>
      </c>
      <c r="IL35" t="e">
        <f>AND('POTENCIAL HORAS'!#REF!,"AAAAAH1bV/U=")</f>
        <v>#REF!</v>
      </c>
      <c r="IM35" t="e">
        <f>AND('POTENCIAL HORAS'!#REF!,"AAAAAH1bV/Y=")</f>
        <v>#REF!</v>
      </c>
      <c r="IN35" t="e">
        <f>AND('POTENCIAL HORAS'!#REF!,"AAAAAH1bV/c=")</f>
        <v>#REF!</v>
      </c>
      <c r="IO35" t="e">
        <f>AND('POTENCIAL HORAS'!#REF!,"AAAAAH1bV/g=")</f>
        <v>#REF!</v>
      </c>
      <c r="IP35" t="e">
        <f>AND('POTENCIAL HORAS'!#REF!,"AAAAAH1bV/k=")</f>
        <v>#REF!</v>
      </c>
      <c r="IQ35" t="e">
        <f>AND('POTENCIAL HORAS'!#REF!,"AAAAAH1bV/o=")</f>
        <v>#REF!</v>
      </c>
      <c r="IR35" t="e">
        <f>AND('POTENCIAL HORAS'!#REF!,"AAAAAH1bV/s=")</f>
        <v>#REF!</v>
      </c>
      <c r="IS35" t="e">
        <f>AND('POTENCIAL HORAS'!#REF!,"AAAAAH1bV/w=")</f>
        <v>#REF!</v>
      </c>
      <c r="IT35" t="e">
        <f>AND('POTENCIAL HORAS'!#REF!,"AAAAAH1bV/0=")</f>
        <v>#REF!</v>
      </c>
      <c r="IU35" t="e">
        <f>AND('POTENCIAL HORAS'!#REF!,"AAAAAH1bV/4=")</f>
        <v>#REF!</v>
      </c>
      <c r="IV35" t="e">
        <f>AND('POTENCIAL HORAS'!#REF!,"AAAAAH1bV/8=")</f>
        <v>#REF!</v>
      </c>
    </row>
    <row r="36" spans="1:256" x14ac:dyDescent="0.2">
      <c r="A36" t="e">
        <f>AND('POTENCIAL HORAS'!#REF!,"AAAAADX2mgA=")</f>
        <v>#REF!</v>
      </c>
      <c r="B36" t="e">
        <f>AND('POTENCIAL HORAS'!#REF!,"AAAAADX2mgE=")</f>
        <v>#REF!</v>
      </c>
      <c r="C36" t="e">
        <f>AND('POTENCIAL HORAS'!#REF!,"AAAAADX2mgI=")</f>
        <v>#REF!</v>
      </c>
      <c r="D36" t="e">
        <f>AND('POTENCIAL HORAS'!#REF!,"AAAAADX2mgM=")</f>
        <v>#REF!</v>
      </c>
      <c r="E36" t="e">
        <f>AND('POTENCIAL HORAS'!#REF!,"AAAAADX2mgQ=")</f>
        <v>#REF!</v>
      </c>
      <c r="F36" t="e">
        <f>AND('POTENCIAL HORAS'!#REF!,"AAAAADX2mgU=")</f>
        <v>#REF!</v>
      </c>
      <c r="G36" t="e">
        <f>AND('POTENCIAL HORAS'!#REF!,"AAAAADX2mgY=")</f>
        <v>#REF!</v>
      </c>
      <c r="H36" t="e">
        <f>AND('POTENCIAL HORAS'!#REF!,"AAAAADX2mgc=")</f>
        <v>#REF!</v>
      </c>
      <c r="I36" t="e">
        <f>AND('POTENCIAL HORAS'!#REF!,"AAAAADX2mgg=")</f>
        <v>#REF!</v>
      </c>
      <c r="J36" t="e">
        <f>AND('POTENCIAL HORAS'!#REF!,"AAAAADX2mgk=")</f>
        <v>#REF!</v>
      </c>
      <c r="K36" t="e">
        <f>IF('POTENCIAL HORAS'!#REF!,"AAAAADX2mgo=",0)</f>
        <v>#REF!</v>
      </c>
      <c r="L36" t="e">
        <f>AND('POTENCIAL HORAS'!#REF!,"AAAAADX2mgs=")</f>
        <v>#REF!</v>
      </c>
      <c r="M36" t="e">
        <f>AND('POTENCIAL HORAS'!#REF!,"AAAAADX2mgw=")</f>
        <v>#REF!</v>
      </c>
      <c r="N36" t="e">
        <f>AND('POTENCIAL HORAS'!#REF!,"AAAAADX2mg0=")</f>
        <v>#REF!</v>
      </c>
      <c r="O36" t="e">
        <f>AND('POTENCIAL HORAS'!#REF!,"AAAAADX2mg4=")</f>
        <v>#REF!</v>
      </c>
      <c r="P36" t="e">
        <f>AND('POTENCIAL HORAS'!#REF!,"AAAAADX2mg8=")</f>
        <v>#REF!</v>
      </c>
      <c r="Q36" t="e">
        <f>AND('POTENCIAL HORAS'!#REF!,"AAAAADX2mhA=")</f>
        <v>#REF!</v>
      </c>
      <c r="R36" t="e">
        <f>AND('POTENCIAL HORAS'!#REF!,"AAAAADX2mhE=")</f>
        <v>#REF!</v>
      </c>
      <c r="S36" t="e">
        <f>AND('POTENCIAL HORAS'!#REF!,"AAAAADX2mhI=")</f>
        <v>#REF!</v>
      </c>
      <c r="T36" t="e">
        <f>AND('POTENCIAL HORAS'!#REF!,"AAAAADX2mhM=")</f>
        <v>#REF!</v>
      </c>
      <c r="U36" t="e">
        <f>AND('POTENCIAL HORAS'!#REF!,"AAAAADX2mhQ=")</f>
        <v>#REF!</v>
      </c>
      <c r="V36" t="e">
        <f>AND('POTENCIAL HORAS'!#REF!,"AAAAADX2mhU=")</f>
        <v>#REF!</v>
      </c>
      <c r="W36" t="e">
        <f>AND('POTENCIAL HORAS'!#REF!,"AAAAADX2mhY=")</f>
        <v>#REF!</v>
      </c>
      <c r="X36" t="e">
        <f>AND('POTENCIAL HORAS'!#REF!,"AAAAADX2mhc=")</f>
        <v>#REF!</v>
      </c>
      <c r="Y36" t="e">
        <f>AND('POTENCIAL HORAS'!#REF!,"AAAAADX2mhg=")</f>
        <v>#REF!</v>
      </c>
      <c r="Z36" t="e">
        <f>AND('POTENCIAL HORAS'!#REF!,"AAAAADX2mhk=")</f>
        <v>#REF!</v>
      </c>
      <c r="AA36" t="e">
        <f>AND('POTENCIAL HORAS'!#REF!,"AAAAADX2mho=")</f>
        <v>#REF!</v>
      </c>
      <c r="AB36" t="e">
        <f>AND('POTENCIAL HORAS'!#REF!,"AAAAADX2mhs=")</f>
        <v>#REF!</v>
      </c>
      <c r="AC36" t="e">
        <f>AND('POTENCIAL HORAS'!#REF!,"AAAAADX2mhw=")</f>
        <v>#REF!</v>
      </c>
      <c r="AD36" t="e">
        <f>AND('POTENCIAL HORAS'!#REF!,"AAAAADX2mh0=")</f>
        <v>#REF!</v>
      </c>
      <c r="AE36" t="e">
        <f>AND('POTENCIAL HORAS'!#REF!,"AAAAADX2mh4=")</f>
        <v>#REF!</v>
      </c>
      <c r="AF36" t="e">
        <f>AND('POTENCIAL HORAS'!#REF!,"AAAAADX2mh8=")</f>
        <v>#REF!</v>
      </c>
      <c r="AG36" t="e">
        <f>AND('POTENCIAL HORAS'!#REF!,"AAAAADX2miA=")</f>
        <v>#REF!</v>
      </c>
      <c r="AH36" t="e">
        <f>AND('POTENCIAL HORAS'!#REF!,"AAAAADX2miE=")</f>
        <v>#REF!</v>
      </c>
      <c r="AI36" t="e">
        <f>AND('POTENCIAL HORAS'!#REF!,"AAAAADX2miI=")</f>
        <v>#REF!</v>
      </c>
      <c r="AJ36" t="e">
        <f>AND('POTENCIAL HORAS'!#REF!,"AAAAADX2miM=")</f>
        <v>#REF!</v>
      </c>
      <c r="AK36" t="e">
        <f>AND('POTENCIAL HORAS'!#REF!,"AAAAADX2miQ=")</f>
        <v>#REF!</v>
      </c>
      <c r="AL36" t="e">
        <f>AND('POTENCIAL HORAS'!#REF!,"AAAAADX2miU=")</f>
        <v>#REF!</v>
      </c>
      <c r="AM36" t="e">
        <f>AND('POTENCIAL HORAS'!#REF!,"AAAAADX2miY=")</f>
        <v>#REF!</v>
      </c>
      <c r="AN36" t="e">
        <f>AND('POTENCIAL HORAS'!#REF!,"AAAAADX2mic=")</f>
        <v>#REF!</v>
      </c>
      <c r="AO36" t="e">
        <f>AND('POTENCIAL HORAS'!#REF!,"AAAAADX2mig=")</f>
        <v>#REF!</v>
      </c>
      <c r="AP36" t="e">
        <f>AND('POTENCIAL HORAS'!#REF!,"AAAAADX2mik=")</f>
        <v>#REF!</v>
      </c>
      <c r="AQ36" t="e">
        <f>AND('POTENCIAL HORAS'!#REF!,"AAAAADX2mio=")</f>
        <v>#REF!</v>
      </c>
      <c r="AR36" t="e">
        <f>AND('POTENCIAL HORAS'!#REF!,"AAAAADX2mis=")</f>
        <v>#REF!</v>
      </c>
      <c r="AS36" t="e">
        <f>AND('POTENCIAL HORAS'!#REF!,"AAAAADX2miw=")</f>
        <v>#REF!</v>
      </c>
      <c r="AT36" t="e">
        <f>AND('POTENCIAL HORAS'!#REF!,"AAAAADX2mi0=")</f>
        <v>#REF!</v>
      </c>
      <c r="AU36" t="e">
        <f>AND('POTENCIAL HORAS'!#REF!,"AAAAADX2mi4=")</f>
        <v>#REF!</v>
      </c>
      <c r="AV36" t="e">
        <f>AND('POTENCIAL HORAS'!#REF!,"AAAAADX2mi8=")</f>
        <v>#REF!</v>
      </c>
      <c r="AW36" t="e">
        <f>AND('POTENCIAL HORAS'!#REF!,"AAAAADX2mjA=")</f>
        <v>#REF!</v>
      </c>
      <c r="AX36" t="e">
        <f>IF('POTENCIAL HORAS'!#REF!,"AAAAADX2mjE=",0)</f>
        <v>#REF!</v>
      </c>
      <c r="AY36" t="e">
        <f>AND('POTENCIAL HORAS'!#REF!,"AAAAADX2mjI=")</f>
        <v>#REF!</v>
      </c>
      <c r="AZ36" t="e">
        <f>AND('POTENCIAL HORAS'!#REF!,"AAAAADX2mjM=")</f>
        <v>#REF!</v>
      </c>
      <c r="BA36" t="e">
        <f>AND('POTENCIAL HORAS'!#REF!,"AAAAADX2mjQ=")</f>
        <v>#REF!</v>
      </c>
      <c r="BB36" t="e">
        <f>AND('POTENCIAL HORAS'!#REF!,"AAAAADX2mjU=")</f>
        <v>#REF!</v>
      </c>
      <c r="BC36" t="e">
        <f>AND('POTENCIAL HORAS'!#REF!,"AAAAADX2mjY=")</f>
        <v>#REF!</v>
      </c>
      <c r="BD36" t="e">
        <f>AND('POTENCIAL HORAS'!#REF!,"AAAAADX2mjc=")</f>
        <v>#REF!</v>
      </c>
      <c r="BE36" t="e">
        <f>AND('POTENCIAL HORAS'!#REF!,"AAAAADX2mjg=")</f>
        <v>#REF!</v>
      </c>
      <c r="BF36" t="e">
        <f>AND('POTENCIAL HORAS'!#REF!,"AAAAADX2mjk=")</f>
        <v>#REF!</v>
      </c>
      <c r="BG36" t="e">
        <f>AND('POTENCIAL HORAS'!#REF!,"AAAAADX2mjo=")</f>
        <v>#REF!</v>
      </c>
      <c r="BH36" t="e">
        <f>AND('POTENCIAL HORAS'!#REF!,"AAAAADX2mjs=")</f>
        <v>#REF!</v>
      </c>
      <c r="BI36" t="e">
        <f>AND('POTENCIAL HORAS'!#REF!,"AAAAADX2mjw=")</f>
        <v>#REF!</v>
      </c>
      <c r="BJ36" t="e">
        <f>AND('POTENCIAL HORAS'!#REF!,"AAAAADX2mj0=")</f>
        <v>#REF!</v>
      </c>
      <c r="BK36" t="e">
        <f>AND('POTENCIAL HORAS'!#REF!,"AAAAADX2mj4=")</f>
        <v>#REF!</v>
      </c>
      <c r="BL36" t="e">
        <f>AND('POTENCIAL HORAS'!#REF!,"AAAAADX2mj8=")</f>
        <v>#REF!</v>
      </c>
      <c r="BM36" t="e">
        <f>AND('POTENCIAL HORAS'!#REF!,"AAAAADX2mkA=")</f>
        <v>#REF!</v>
      </c>
      <c r="BN36" t="e">
        <f>AND('POTENCIAL HORAS'!#REF!,"AAAAADX2mkE=")</f>
        <v>#REF!</v>
      </c>
      <c r="BO36" t="e">
        <f>AND('POTENCIAL HORAS'!#REF!,"AAAAADX2mkI=")</f>
        <v>#REF!</v>
      </c>
      <c r="BP36" t="e">
        <f>AND('POTENCIAL HORAS'!#REF!,"AAAAADX2mkM=")</f>
        <v>#REF!</v>
      </c>
      <c r="BQ36" t="e">
        <f>AND('POTENCIAL HORAS'!#REF!,"AAAAADX2mkQ=")</f>
        <v>#REF!</v>
      </c>
      <c r="BR36" t="e">
        <f>AND('POTENCIAL HORAS'!#REF!,"AAAAADX2mkU=")</f>
        <v>#REF!</v>
      </c>
      <c r="BS36" t="e">
        <f>AND('POTENCIAL HORAS'!#REF!,"AAAAADX2mkY=")</f>
        <v>#REF!</v>
      </c>
      <c r="BT36" t="e">
        <f>AND('POTENCIAL HORAS'!#REF!,"AAAAADX2mkc=")</f>
        <v>#REF!</v>
      </c>
      <c r="BU36" t="e">
        <f>AND('POTENCIAL HORAS'!#REF!,"AAAAADX2mkg=")</f>
        <v>#REF!</v>
      </c>
      <c r="BV36" t="e">
        <f>AND('POTENCIAL HORAS'!#REF!,"AAAAADX2mkk=")</f>
        <v>#REF!</v>
      </c>
      <c r="BW36" t="e">
        <f>AND('POTENCIAL HORAS'!#REF!,"AAAAADX2mko=")</f>
        <v>#REF!</v>
      </c>
      <c r="BX36" t="e">
        <f>AND('POTENCIAL HORAS'!#REF!,"AAAAADX2mks=")</f>
        <v>#REF!</v>
      </c>
      <c r="BY36" t="e">
        <f>AND('POTENCIAL HORAS'!#REF!,"AAAAADX2mkw=")</f>
        <v>#REF!</v>
      </c>
      <c r="BZ36" t="e">
        <f>AND('POTENCIAL HORAS'!#REF!,"AAAAADX2mk0=")</f>
        <v>#REF!</v>
      </c>
      <c r="CA36" t="e">
        <f>AND('POTENCIAL HORAS'!#REF!,"AAAAADX2mk4=")</f>
        <v>#REF!</v>
      </c>
      <c r="CB36" t="e">
        <f>AND('POTENCIAL HORAS'!#REF!,"AAAAADX2mk8=")</f>
        <v>#REF!</v>
      </c>
      <c r="CC36" t="e">
        <f>AND('POTENCIAL HORAS'!#REF!,"AAAAADX2mlA=")</f>
        <v>#REF!</v>
      </c>
      <c r="CD36" t="e">
        <f>AND('POTENCIAL HORAS'!#REF!,"AAAAADX2mlE=")</f>
        <v>#REF!</v>
      </c>
      <c r="CE36" t="e">
        <f>AND('POTENCIAL HORAS'!#REF!,"AAAAADX2mlI=")</f>
        <v>#REF!</v>
      </c>
      <c r="CF36" t="e">
        <f>AND('POTENCIAL HORAS'!#REF!,"AAAAADX2mlM=")</f>
        <v>#REF!</v>
      </c>
      <c r="CG36" t="e">
        <f>AND('POTENCIAL HORAS'!#REF!,"AAAAADX2mlQ=")</f>
        <v>#REF!</v>
      </c>
      <c r="CH36" t="e">
        <f>AND('POTENCIAL HORAS'!#REF!,"AAAAADX2mlU=")</f>
        <v>#REF!</v>
      </c>
      <c r="CI36" t="e">
        <f>AND('POTENCIAL HORAS'!#REF!,"AAAAADX2mlY=")</f>
        <v>#REF!</v>
      </c>
      <c r="CJ36" t="e">
        <f>AND('POTENCIAL HORAS'!#REF!,"AAAAADX2mlc=")</f>
        <v>#REF!</v>
      </c>
      <c r="CK36" t="e">
        <f>IF('POTENCIAL HORAS'!#REF!,"AAAAADX2mlg=",0)</f>
        <v>#REF!</v>
      </c>
      <c r="CL36" t="e">
        <f>AND('POTENCIAL HORAS'!#REF!,"AAAAADX2mlk=")</f>
        <v>#REF!</v>
      </c>
      <c r="CM36" t="e">
        <f>AND('POTENCIAL HORAS'!#REF!,"AAAAADX2mlo=")</f>
        <v>#REF!</v>
      </c>
      <c r="CN36" t="e">
        <f>AND('POTENCIAL HORAS'!#REF!,"AAAAADX2mls=")</f>
        <v>#REF!</v>
      </c>
      <c r="CO36" t="e">
        <f>AND('POTENCIAL HORAS'!#REF!,"AAAAADX2mlw=")</f>
        <v>#REF!</v>
      </c>
      <c r="CP36" t="e">
        <f>AND('POTENCIAL HORAS'!#REF!,"AAAAADX2ml0=")</f>
        <v>#REF!</v>
      </c>
      <c r="CQ36" t="e">
        <f>AND('POTENCIAL HORAS'!#REF!,"AAAAADX2ml4=")</f>
        <v>#REF!</v>
      </c>
      <c r="CR36" t="e">
        <f>AND('POTENCIAL HORAS'!#REF!,"AAAAADX2ml8=")</f>
        <v>#REF!</v>
      </c>
      <c r="CS36" t="e">
        <f>AND('POTENCIAL HORAS'!#REF!,"AAAAADX2mmA=")</f>
        <v>#REF!</v>
      </c>
      <c r="CT36" t="e">
        <f>AND('POTENCIAL HORAS'!#REF!,"AAAAADX2mmE=")</f>
        <v>#REF!</v>
      </c>
      <c r="CU36" t="e">
        <f>AND('POTENCIAL HORAS'!#REF!,"AAAAADX2mmI=")</f>
        <v>#REF!</v>
      </c>
      <c r="CV36" t="e">
        <f>AND('POTENCIAL HORAS'!#REF!,"AAAAADX2mmM=")</f>
        <v>#REF!</v>
      </c>
      <c r="CW36" t="e">
        <f>AND('POTENCIAL HORAS'!#REF!,"AAAAADX2mmQ=")</f>
        <v>#REF!</v>
      </c>
      <c r="CX36" t="e">
        <f>AND('POTENCIAL HORAS'!#REF!,"AAAAADX2mmU=")</f>
        <v>#REF!</v>
      </c>
      <c r="CY36" t="e">
        <f>AND('POTENCIAL HORAS'!#REF!,"AAAAADX2mmY=")</f>
        <v>#REF!</v>
      </c>
      <c r="CZ36" t="e">
        <f>AND('POTENCIAL HORAS'!#REF!,"AAAAADX2mmc=")</f>
        <v>#REF!</v>
      </c>
      <c r="DA36" t="e">
        <f>AND('POTENCIAL HORAS'!#REF!,"AAAAADX2mmg=")</f>
        <v>#REF!</v>
      </c>
      <c r="DB36" t="e">
        <f>AND('POTENCIAL HORAS'!#REF!,"AAAAADX2mmk=")</f>
        <v>#REF!</v>
      </c>
      <c r="DC36" t="e">
        <f>AND('POTENCIAL HORAS'!#REF!,"AAAAADX2mmo=")</f>
        <v>#REF!</v>
      </c>
      <c r="DD36" t="e">
        <f>AND('POTENCIAL HORAS'!#REF!,"AAAAADX2mms=")</f>
        <v>#REF!</v>
      </c>
      <c r="DE36" t="e">
        <f>AND('POTENCIAL HORAS'!#REF!,"AAAAADX2mmw=")</f>
        <v>#REF!</v>
      </c>
      <c r="DF36" t="e">
        <f>AND('POTENCIAL HORAS'!#REF!,"AAAAADX2mm0=")</f>
        <v>#REF!</v>
      </c>
      <c r="DG36" t="e">
        <f>AND('POTENCIAL HORAS'!#REF!,"AAAAADX2mm4=")</f>
        <v>#REF!</v>
      </c>
      <c r="DH36" t="e">
        <f>AND('POTENCIAL HORAS'!#REF!,"AAAAADX2mm8=")</f>
        <v>#REF!</v>
      </c>
      <c r="DI36" t="e">
        <f>AND('POTENCIAL HORAS'!#REF!,"AAAAADX2mnA=")</f>
        <v>#REF!</v>
      </c>
      <c r="DJ36" t="e">
        <f>AND('POTENCIAL HORAS'!#REF!,"AAAAADX2mnE=")</f>
        <v>#REF!</v>
      </c>
      <c r="DK36" t="e">
        <f>AND('POTENCIAL HORAS'!#REF!,"AAAAADX2mnI=")</f>
        <v>#REF!</v>
      </c>
      <c r="DL36" t="e">
        <f>AND('POTENCIAL HORAS'!#REF!,"AAAAADX2mnM=")</f>
        <v>#REF!</v>
      </c>
      <c r="DM36" t="e">
        <f>AND('POTENCIAL HORAS'!#REF!,"AAAAADX2mnQ=")</f>
        <v>#REF!</v>
      </c>
      <c r="DN36" t="e">
        <f>AND('POTENCIAL HORAS'!#REF!,"AAAAADX2mnU=")</f>
        <v>#REF!</v>
      </c>
      <c r="DO36" t="e">
        <f>AND('POTENCIAL HORAS'!#REF!,"AAAAADX2mnY=")</f>
        <v>#REF!</v>
      </c>
      <c r="DP36" t="e">
        <f>AND('POTENCIAL HORAS'!#REF!,"AAAAADX2mnc=")</f>
        <v>#REF!</v>
      </c>
      <c r="DQ36" t="e">
        <f>AND('POTENCIAL HORAS'!#REF!,"AAAAADX2mng=")</f>
        <v>#REF!</v>
      </c>
      <c r="DR36" t="e">
        <f>AND('POTENCIAL HORAS'!#REF!,"AAAAADX2mnk=")</f>
        <v>#REF!</v>
      </c>
      <c r="DS36" t="e">
        <f>AND('POTENCIAL HORAS'!#REF!,"AAAAADX2mno=")</f>
        <v>#REF!</v>
      </c>
      <c r="DT36" t="e">
        <f>AND('POTENCIAL HORAS'!#REF!,"AAAAADX2mns=")</f>
        <v>#REF!</v>
      </c>
      <c r="DU36" t="e">
        <f>AND('POTENCIAL HORAS'!#REF!,"AAAAADX2mnw=")</f>
        <v>#REF!</v>
      </c>
      <c r="DV36" t="e">
        <f>AND('POTENCIAL HORAS'!#REF!,"AAAAADX2mn0=")</f>
        <v>#REF!</v>
      </c>
      <c r="DW36" t="e">
        <f>AND('POTENCIAL HORAS'!#REF!,"AAAAADX2mn4=")</f>
        <v>#REF!</v>
      </c>
      <c r="DX36" t="e">
        <f>IF('POTENCIAL HORAS'!#REF!,"AAAAADX2mn8=",0)</f>
        <v>#REF!</v>
      </c>
      <c r="DY36" t="e">
        <f>AND('POTENCIAL HORAS'!#REF!,"AAAAADX2moA=")</f>
        <v>#REF!</v>
      </c>
      <c r="DZ36" t="e">
        <f>AND('POTENCIAL HORAS'!#REF!,"AAAAADX2moE=")</f>
        <v>#REF!</v>
      </c>
      <c r="EA36" t="e">
        <f>AND('POTENCIAL HORAS'!#REF!,"AAAAADX2moI=")</f>
        <v>#REF!</v>
      </c>
      <c r="EB36" t="e">
        <f>AND('POTENCIAL HORAS'!#REF!,"AAAAADX2moM=")</f>
        <v>#REF!</v>
      </c>
      <c r="EC36" t="e">
        <f>AND('POTENCIAL HORAS'!#REF!,"AAAAADX2moQ=")</f>
        <v>#REF!</v>
      </c>
      <c r="ED36" t="e">
        <f>AND('POTENCIAL HORAS'!#REF!,"AAAAADX2moU=")</f>
        <v>#REF!</v>
      </c>
      <c r="EE36" t="e">
        <f>AND('POTENCIAL HORAS'!#REF!,"AAAAADX2moY=")</f>
        <v>#REF!</v>
      </c>
      <c r="EF36" t="e">
        <f>AND('POTENCIAL HORAS'!#REF!,"AAAAADX2moc=")</f>
        <v>#REF!</v>
      </c>
      <c r="EG36" t="e">
        <f>AND('POTENCIAL HORAS'!#REF!,"AAAAADX2mog=")</f>
        <v>#REF!</v>
      </c>
      <c r="EH36" t="e">
        <f>AND('POTENCIAL HORAS'!#REF!,"AAAAADX2mok=")</f>
        <v>#REF!</v>
      </c>
      <c r="EI36" t="e">
        <f>AND('POTENCIAL HORAS'!#REF!,"AAAAADX2moo=")</f>
        <v>#REF!</v>
      </c>
      <c r="EJ36" t="e">
        <f>AND('POTENCIAL HORAS'!#REF!,"AAAAADX2mos=")</f>
        <v>#REF!</v>
      </c>
      <c r="EK36" t="e">
        <f>AND('POTENCIAL HORAS'!#REF!,"AAAAADX2mow=")</f>
        <v>#REF!</v>
      </c>
      <c r="EL36" t="e">
        <f>AND('POTENCIAL HORAS'!#REF!,"AAAAADX2mo0=")</f>
        <v>#REF!</v>
      </c>
      <c r="EM36" t="e">
        <f>AND('POTENCIAL HORAS'!#REF!,"AAAAADX2mo4=")</f>
        <v>#REF!</v>
      </c>
      <c r="EN36" t="e">
        <f>AND('POTENCIAL HORAS'!#REF!,"AAAAADX2mo8=")</f>
        <v>#REF!</v>
      </c>
      <c r="EO36" t="e">
        <f>AND('POTENCIAL HORAS'!#REF!,"AAAAADX2mpA=")</f>
        <v>#REF!</v>
      </c>
      <c r="EP36" t="e">
        <f>AND('POTENCIAL HORAS'!#REF!,"AAAAADX2mpE=")</f>
        <v>#REF!</v>
      </c>
      <c r="EQ36" t="e">
        <f>AND('POTENCIAL HORAS'!#REF!,"AAAAADX2mpI=")</f>
        <v>#REF!</v>
      </c>
      <c r="ER36" t="e">
        <f>AND('POTENCIAL HORAS'!#REF!,"AAAAADX2mpM=")</f>
        <v>#REF!</v>
      </c>
      <c r="ES36" t="e">
        <f>AND('POTENCIAL HORAS'!#REF!,"AAAAADX2mpQ=")</f>
        <v>#REF!</v>
      </c>
      <c r="ET36" t="e">
        <f>AND('POTENCIAL HORAS'!#REF!,"AAAAADX2mpU=")</f>
        <v>#REF!</v>
      </c>
      <c r="EU36" t="e">
        <f>AND('POTENCIAL HORAS'!#REF!,"AAAAADX2mpY=")</f>
        <v>#REF!</v>
      </c>
      <c r="EV36" t="e">
        <f>AND('POTENCIAL HORAS'!#REF!,"AAAAADX2mpc=")</f>
        <v>#REF!</v>
      </c>
      <c r="EW36" t="e">
        <f>AND('POTENCIAL HORAS'!#REF!,"AAAAADX2mpg=")</f>
        <v>#REF!</v>
      </c>
      <c r="EX36" t="e">
        <f>AND('POTENCIAL HORAS'!#REF!,"AAAAADX2mpk=")</f>
        <v>#REF!</v>
      </c>
      <c r="EY36" t="e">
        <f>AND('POTENCIAL HORAS'!#REF!,"AAAAADX2mpo=")</f>
        <v>#REF!</v>
      </c>
      <c r="EZ36" t="e">
        <f>AND('POTENCIAL HORAS'!#REF!,"AAAAADX2mps=")</f>
        <v>#REF!</v>
      </c>
      <c r="FA36" t="e">
        <f>AND('POTENCIAL HORAS'!#REF!,"AAAAADX2mpw=")</f>
        <v>#REF!</v>
      </c>
      <c r="FB36" t="e">
        <f>AND('POTENCIAL HORAS'!#REF!,"AAAAADX2mp0=")</f>
        <v>#REF!</v>
      </c>
      <c r="FC36" t="e">
        <f>AND('POTENCIAL HORAS'!#REF!,"AAAAADX2mp4=")</f>
        <v>#REF!</v>
      </c>
      <c r="FD36" t="e">
        <f>AND('POTENCIAL HORAS'!#REF!,"AAAAADX2mp8=")</f>
        <v>#REF!</v>
      </c>
      <c r="FE36" t="e">
        <f>AND('POTENCIAL HORAS'!#REF!,"AAAAADX2mqA=")</f>
        <v>#REF!</v>
      </c>
      <c r="FF36" t="e">
        <f>AND('POTENCIAL HORAS'!#REF!,"AAAAADX2mqE=")</f>
        <v>#REF!</v>
      </c>
      <c r="FG36" t="e">
        <f>AND('POTENCIAL HORAS'!#REF!,"AAAAADX2mqI=")</f>
        <v>#REF!</v>
      </c>
      <c r="FH36" t="e">
        <f>AND('POTENCIAL HORAS'!#REF!,"AAAAADX2mqM=")</f>
        <v>#REF!</v>
      </c>
      <c r="FI36" t="e">
        <f>AND('POTENCIAL HORAS'!#REF!,"AAAAADX2mqQ=")</f>
        <v>#REF!</v>
      </c>
      <c r="FJ36" t="e">
        <f>AND('POTENCIAL HORAS'!#REF!,"AAAAADX2mqU=")</f>
        <v>#REF!</v>
      </c>
      <c r="FK36" t="e">
        <f>IF('POTENCIAL HORAS'!#REF!,"AAAAADX2mqY=",0)</f>
        <v>#REF!</v>
      </c>
      <c r="FL36" t="e">
        <f>AND('POTENCIAL HORAS'!#REF!,"AAAAADX2mqc=")</f>
        <v>#REF!</v>
      </c>
      <c r="FM36" t="e">
        <f>AND('POTENCIAL HORAS'!#REF!,"AAAAADX2mqg=")</f>
        <v>#REF!</v>
      </c>
      <c r="FN36" t="e">
        <f>AND('POTENCIAL HORAS'!#REF!,"AAAAADX2mqk=")</f>
        <v>#REF!</v>
      </c>
      <c r="FO36" t="e">
        <f>AND('POTENCIAL HORAS'!#REF!,"AAAAADX2mqo=")</f>
        <v>#REF!</v>
      </c>
      <c r="FP36" t="e">
        <f>AND('POTENCIAL HORAS'!#REF!,"AAAAADX2mqs=")</f>
        <v>#REF!</v>
      </c>
      <c r="FQ36" t="e">
        <f>AND('POTENCIAL HORAS'!#REF!,"AAAAADX2mqw=")</f>
        <v>#REF!</v>
      </c>
      <c r="FR36" t="e">
        <f>AND('POTENCIAL HORAS'!#REF!,"AAAAADX2mq0=")</f>
        <v>#REF!</v>
      </c>
      <c r="FS36" t="e">
        <f>AND('POTENCIAL HORAS'!#REF!,"AAAAADX2mq4=")</f>
        <v>#REF!</v>
      </c>
      <c r="FT36" t="e">
        <f>AND('POTENCIAL HORAS'!#REF!,"AAAAADX2mq8=")</f>
        <v>#REF!</v>
      </c>
      <c r="FU36" t="e">
        <f>AND('POTENCIAL HORAS'!#REF!,"AAAAADX2mrA=")</f>
        <v>#REF!</v>
      </c>
      <c r="FV36" t="e">
        <f>AND('POTENCIAL HORAS'!#REF!,"AAAAADX2mrE=")</f>
        <v>#REF!</v>
      </c>
      <c r="FW36" t="e">
        <f>AND('POTENCIAL HORAS'!#REF!,"AAAAADX2mrI=")</f>
        <v>#REF!</v>
      </c>
      <c r="FX36" t="e">
        <f>AND('POTENCIAL HORAS'!#REF!,"AAAAADX2mrM=")</f>
        <v>#REF!</v>
      </c>
      <c r="FY36" t="e">
        <f>AND('POTENCIAL HORAS'!#REF!,"AAAAADX2mrQ=")</f>
        <v>#REF!</v>
      </c>
      <c r="FZ36" t="e">
        <f>AND('POTENCIAL HORAS'!#REF!,"AAAAADX2mrU=")</f>
        <v>#REF!</v>
      </c>
      <c r="GA36" t="e">
        <f>AND('POTENCIAL HORAS'!#REF!,"AAAAADX2mrY=")</f>
        <v>#REF!</v>
      </c>
      <c r="GB36" t="e">
        <f>AND('POTENCIAL HORAS'!#REF!,"AAAAADX2mrc=")</f>
        <v>#REF!</v>
      </c>
      <c r="GC36" t="e">
        <f>AND('POTENCIAL HORAS'!#REF!,"AAAAADX2mrg=")</f>
        <v>#REF!</v>
      </c>
      <c r="GD36" t="e">
        <f>AND('POTENCIAL HORAS'!#REF!,"AAAAADX2mrk=")</f>
        <v>#REF!</v>
      </c>
      <c r="GE36" t="e">
        <f>AND('POTENCIAL HORAS'!#REF!,"AAAAADX2mro=")</f>
        <v>#REF!</v>
      </c>
      <c r="GF36" t="e">
        <f>AND('POTENCIAL HORAS'!#REF!,"AAAAADX2mrs=")</f>
        <v>#REF!</v>
      </c>
      <c r="GG36" t="e">
        <f>AND('POTENCIAL HORAS'!#REF!,"AAAAADX2mrw=")</f>
        <v>#REF!</v>
      </c>
      <c r="GH36" t="e">
        <f>AND('POTENCIAL HORAS'!#REF!,"AAAAADX2mr0=")</f>
        <v>#REF!</v>
      </c>
      <c r="GI36" t="e">
        <f>AND('POTENCIAL HORAS'!#REF!,"AAAAADX2mr4=")</f>
        <v>#REF!</v>
      </c>
      <c r="GJ36" t="e">
        <f>AND('POTENCIAL HORAS'!#REF!,"AAAAADX2mr8=")</f>
        <v>#REF!</v>
      </c>
      <c r="GK36" t="e">
        <f>AND('POTENCIAL HORAS'!#REF!,"AAAAADX2msA=")</f>
        <v>#REF!</v>
      </c>
      <c r="GL36" t="e">
        <f>AND('POTENCIAL HORAS'!#REF!,"AAAAADX2msE=")</f>
        <v>#REF!</v>
      </c>
      <c r="GM36" t="e">
        <f>AND('POTENCIAL HORAS'!#REF!,"AAAAADX2msI=")</f>
        <v>#REF!</v>
      </c>
      <c r="GN36" t="e">
        <f>AND('POTENCIAL HORAS'!#REF!,"AAAAADX2msM=")</f>
        <v>#REF!</v>
      </c>
      <c r="GO36" t="e">
        <f>AND('POTENCIAL HORAS'!#REF!,"AAAAADX2msQ=")</f>
        <v>#REF!</v>
      </c>
      <c r="GP36" t="e">
        <f>AND('POTENCIAL HORAS'!#REF!,"AAAAADX2msU=")</f>
        <v>#REF!</v>
      </c>
      <c r="GQ36" t="e">
        <f>AND('POTENCIAL HORAS'!#REF!,"AAAAADX2msY=")</f>
        <v>#REF!</v>
      </c>
      <c r="GR36" t="e">
        <f>AND('POTENCIAL HORAS'!#REF!,"AAAAADX2msc=")</f>
        <v>#REF!</v>
      </c>
      <c r="GS36" t="e">
        <f>AND('POTENCIAL HORAS'!#REF!,"AAAAADX2msg=")</f>
        <v>#REF!</v>
      </c>
      <c r="GT36" t="e">
        <f>AND('POTENCIAL HORAS'!#REF!,"AAAAADX2msk=")</f>
        <v>#REF!</v>
      </c>
      <c r="GU36" t="e">
        <f>AND('POTENCIAL HORAS'!#REF!,"AAAAADX2mso=")</f>
        <v>#REF!</v>
      </c>
      <c r="GV36" t="e">
        <f>AND('POTENCIAL HORAS'!#REF!,"AAAAADX2mss=")</f>
        <v>#REF!</v>
      </c>
      <c r="GW36" t="e">
        <f>AND('POTENCIAL HORAS'!#REF!,"AAAAADX2msw=")</f>
        <v>#REF!</v>
      </c>
      <c r="GX36" t="e">
        <f>IF('POTENCIAL HORAS'!#REF!,"AAAAADX2ms0=",0)</f>
        <v>#REF!</v>
      </c>
      <c r="GY36" t="e">
        <f>AND('POTENCIAL HORAS'!#REF!,"AAAAADX2ms4=")</f>
        <v>#REF!</v>
      </c>
      <c r="GZ36" t="e">
        <f>AND('POTENCIAL HORAS'!#REF!,"AAAAADX2ms8=")</f>
        <v>#REF!</v>
      </c>
      <c r="HA36" t="e">
        <f>AND('POTENCIAL HORAS'!#REF!,"AAAAADX2mtA=")</f>
        <v>#REF!</v>
      </c>
      <c r="HB36" t="e">
        <f>AND('POTENCIAL HORAS'!#REF!,"AAAAADX2mtE=")</f>
        <v>#REF!</v>
      </c>
      <c r="HC36" t="e">
        <f>AND('POTENCIAL HORAS'!#REF!,"AAAAADX2mtI=")</f>
        <v>#REF!</v>
      </c>
      <c r="HD36" t="e">
        <f>AND('POTENCIAL HORAS'!#REF!,"AAAAADX2mtM=")</f>
        <v>#REF!</v>
      </c>
      <c r="HE36" t="e">
        <f>AND('POTENCIAL HORAS'!#REF!,"AAAAADX2mtQ=")</f>
        <v>#REF!</v>
      </c>
      <c r="HF36" t="e">
        <f>AND('POTENCIAL HORAS'!#REF!,"AAAAADX2mtU=")</f>
        <v>#REF!</v>
      </c>
      <c r="HG36" t="e">
        <f>AND('POTENCIAL HORAS'!#REF!,"AAAAADX2mtY=")</f>
        <v>#REF!</v>
      </c>
      <c r="HH36" t="e">
        <f>AND('POTENCIAL HORAS'!#REF!,"AAAAADX2mtc=")</f>
        <v>#REF!</v>
      </c>
      <c r="HI36" t="e">
        <f>AND('POTENCIAL HORAS'!#REF!,"AAAAADX2mtg=")</f>
        <v>#REF!</v>
      </c>
      <c r="HJ36" t="e">
        <f>AND('POTENCIAL HORAS'!#REF!,"AAAAADX2mtk=")</f>
        <v>#REF!</v>
      </c>
      <c r="HK36" t="e">
        <f>AND('POTENCIAL HORAS'!#REF!,"AAAAADX2mto=")</f>
        <v>#REF!</v>
      </c>
      <c r="HL36" t="e">
        <f>AND('POTENCIAL HORAS'!#REF!,"AAAAADX2mts=")</f>
        <v>#REF!</v>
      </c>
      <c r="HM36" t="e">
        <f>AND('POTENCIAL HORAS'!#REF!,"AAAAADX2mtw=")</f>
        <v>#REF!</v>
      </c>
      <c r="HN36" t="e">
        <f>AND('POTENCIAL HORAS'!#REF!,"AAAAADX2mt0=")</f>
        <v>#REF!</v>
      </c>
      <c r="HO36" t="e">
        <f>AND('POTENCIAL HORAS'!#REF!,"AAAAADX2mt4=")</f>
        <v>#REF!</v>
      </c>
      <c r="HP36" t="e">
        <f>AND('POTENCIAL HORAS'!#REF!,"AAAAADX2mt8=")</f>
        <v>#REF!</v>
      </c>
      <c r="HQ36" t="e">
        <f>AND('POTENCIAL HORAS'!#REF!,"AAAAADX2muA=")</f>
        <v>#REF!</v>
      </c>
      <c r="HR36" t="e">
        <f>AND('POTENCIAL HORAS'!#REF!,"AAAAADX2muE=")</f>
        <v>#REF!</v>
      </c>
      <c r="HS36" t="e">
        <f>AND('POTENCIAL HORAS'!#REF!,"AAAAADX2muI=")</f>
        <v>#REF!</v>
      </c>
      <c r="HT36" t="e">
        <f>AND('POTENCIAL HORAS'!#REF!,"AAAAADX2muM=")</f>
        <v>#REF!</v>
      </c>
      <c r="HU36" t="e">
        <f>AND('POTENCIAL HORAS'!#REF!,"AAAAADX2muQ=")</f>
        <v>#REF!</v>
      </c>
      <c r="HV36" t="e">
        <f>AND('POTENCIAL HORAS'!#REF!,"AAAAADX2muU=")</f>
        <v>#REF!</v>
      </c>
      <c r="HW36" t="e">
        <f>AND('POTENCIAL HORAS'!#REF!,"AAAAADX2muY=")</f>
        <v>#REF!</v>
      </c>
      <c r="HX36" t="e">
        <f>AND('POTENCIAL HORAS'!#REF!,"AAAAADX2muc=")</f>
        <v>#REF!</v>
      </c>
      <c r="HY36" t="e">
        <f>AND('POTENCIAL HORAS'!#REF!,"AAAAADX2mug=")</f>
        <v>#REF!</v>
      </c>
      <c r="HZ36" t="e">
        <f>AND('POTENCIAL HORAS'!#REF!,"AAAAADX2muk=")</f>
        <v>#REF!</v>
      </c>
      <c r="IA36" t="e">
        <f>AND('POTENCIAL HORAS'!#REF!,"AAAAADX2muo=")</f>
        <v>#REF!</v>
      </c>
      <c r="IB36" t="e">
        <f>AND('POTENCIAL HORAS'!#REF!,"AAAAADX2mus=")</f>
        <v>#REF!</v>
      </c>
      <c r="IC36" t="e">
        <f>AND('POTENCIAL HORAS'!#REF!,"AAAAADX2muw=")</f>
        <v>#REF!</v>
      </c>
      <c r="ID36" t="e">
        <f>AND('POTENCIAL HORAS'!#REF!,"AAAAADX2mu0=")</f>
        <v>#REF!</v>
      </c>
      <c r="IE36" t="e">
        <f>AND('POTENCIAL HORAS'!#REF!,"AAAAADX2mu4=")</f>
        <v>#REF!</v>
      </c>
      <c r="IF36" t="e">
        <f>AND('POTENCIAL HORAS'!#REF!,"AAAAADX2mu8=")</f>
        <v>#REF!</v>
      </c>
      <c r="IG36" t="e">
        <f>AND('POTENCIAL HORAS'!#REF!,"AAAAADX2mvA=")</f>
        <v>#REF!</v>
      </c>
      <c r="IH36" t="e">
        <f>AND('POTENCIAL HORAS'!#REF!,"AAAAADX2mvE=")</f>
        <v>#REF!</v>
      </c>
      <c r="II36" t="e">
        <f>AND('POTENCIAL HORAS'!#REF!,"AAAAADX2mvI=")</f>
        <v>#REF!</v>
      </c>
      <c r="IJ36" t="e">
        <f>AND('POTENCIAL HORAS'!#REF!,"AAAAADX2mvM=")</f>
        <v>#REF!</v>
      </c>
      <c r="IK36" t="e">
        <f>IF('POTENCIAL HORAS'!#REF!,"AAAAADX2mvQ=",0)</f>
        <v>#REF!</v>
      </c>
      <c r="IL36" t="e">
        <f>AND('POTENCIAL HORAS'!#REF!,"AAAAADX2mvU=")</f>
        <v>#REF!</v>
      </c>
      <c r="IM36" t="e">
        <f>AND('POTENCIAL HORAS'!#REF!,"AAAAADX2mvY=")</f>
        <v>#REF!</v>
      </c>
      <c r="IN36" t="e">
        <f>AND('POTENCIAL HORAS'!#REF!,"AAAAADX2mvc=")</f>
        <v>#REF!</v>
      </c>
      <c r="IO36" t="e">
        <f>AND('POTENCIAL HORAS'!#REF!,"AAAAADX2mvg=")</f>
        <v>#REF!</v>
      </c>
      <c r="IP36" t="e">
        <f>AND('POTENCIAL HORAS'!#REF!,"AAAAADX2mvk=")</f>
        <v>#REF!</v>
      </c>
      <c r="IQ36" t="e">
        <f>AND('POTENCIAL HORAS'!#REF!,"AAAAADX2mvo=")</f>
        <v>#REF!</v>
      </c>
      <c r="IR36" t="e">
        <f>AND('POTENCIAL HORAS'!#REF!,"AAAAADX2mvs=")</f>
        <v>#REF!</v>
      </c>
      <c r="IS36" t="e">
        <f>AND('POTENCIAL HORAS'!#REF!,"AAAAADX2mvw=")</f>
        <v>#REF!</v>
      </c>
      <c r="IT36" t="e">
        <f>AND('POTENCIAL HORAS'!#REF!,"AAAAADX2mv0=")</f>
        <v>#REF!</v>
      </c>
      <c r="IU36" t="e">
        <f>AND('POTENCIAL HORAS'!#REF!,"AAAAADX2mv4=")</f>
        <v>#REF!</v>
      </c>
      <c r="IV36" t="e">
        <f>AND('POTENCIAL HORAS'!#REF!,"AAAAADX2mv8=")</f>
        <v>#REF!</v>
      </c>
    </row>
    <row r="37" spans="1:256" x14ac:dyDescent="0.2">
      <c r="A37" t="e">
        <f>AND('POTENCIAL HORAS'!#REF!,"AAAAAD/++gA=")</f>
        <v>#REF!</v>
      </c>
      <c r="B37" t="e">
        <f>AND('POTENCIAL HORAS'!#REF!,"AAAAAD/++gE=")</f>
        <v>#REF!</v>
      </c>
      <c r="C37" t="e">
        <f>AND('POTENCIAL HORAS'!#REF!,"AAAAAD/++gI=")</f>
        <v>#REF!</v>
      </c>
      <c r="D37" t="e">
        <f>AND('POTENCIAL HORAS'!#REF!,"AAAAAD/++gM=")</f>
        <v>#REF!</v>
      </c>
      <c r="E37" t="e">
        <f>AND('POTENCIAL HORAS'!#REF!,"AAAAAD/++gQ=")</f>
        <v>#REF!</v>
      </c>
      <c r="F37" t="e">
        <f>AND('POTENCIAL HORAS'!#REF!,"AAAAAD/++gU=")</f>
        <v>#REF!</v>
      </c>
      <c r="G37" t="e">
        <f>AND('POTENCIAL HORAS'!#REF!,"AAAAAD/++gY=")</f>
        <v>#REF!</v>
      </c>
      <c r="H37" t="e">
        <f>AND('POTENCIAL HORAS'!#REF!,"AAAAAD/++gc=")</f>
        <v>#REF!</v>
      </c>
      <c r="I37" t="e">
        <f>AND('POTENCIAL HORAS'!#REF!,"AAAAAD/++gg=")</f>
        <v>#REF!</v>
      </c>
      <c r="J37" t="e">
        <f>AND('POTENCIAL HORAS'!#REF!,"AAAAAD/++gk=")</f>
        <v>#REF!</v>
      </c>
      <c r="K37" t="e">
        <f>AND('POTENCIAL HORAS'!#REF!,"AAAAAD/++go=")</f>
        <v>#REF!</v>
      </c>
      <c r="L37" t="e">
        <f>AND('POTENCIAL HORAS'!#REF!,"AAAAAD/++gs=")</f>
        <v>#REF!</v>
      </c>
      <c r="M37" t="e">
        <f>AND('POTENCIAL HORAS'!#REF!,"AAAAAD/++gw=")</f>
        <v>#REF!</v>
      </c>
      <c r="N37" t="e">
        <f>AND('POTENCIAL HORAS'!#REF!,"AAAAAD/++g0=")</f>
        <v>#REF!</v>
      </c>
      <c r="O37" t="e">
        <f>AND('POTENCIAL HORAS'!#REF!,"AAAAAD/++g4=")</f>
        <v>#REF!</v>
      </c>
      <c r="P37" t="e">
        <f>AND('POTENCIAL HORAS'!#REF!,"AAAAAD/++g8=")</f>
        <v>#REF!</v>
      </c>
      <c r="Q37" t="e">
        <f>AND('POTENCIAL HORAS'!#REF!,"AAAAAD/++hA=")</f>
        <v>#REF!</v>
      </c>
      <c r="R37" t="e">
        <f>AND('POTENCIAL HORAS'!#REF!,"AAAAAD/++hE=")</f>
        <v>#REF!</v>
      </c>
      <c r="S37" t="e">
        <f>AND('POTENCIAL HORAS'!#REF!,"AAAAAD/++hI=")</f>
        <v>#REF!</v>
      </c>
      <c r="T37" t="e">
        <f>AND('POTENCIAL HORAS'!#REF!,"AAAAAD/++hM=")</f>
        <v>#REF!</v>
      </c>
      <c r="U37" t="e">
        <f>AND('POTENCIAL HORAS'!#REF!,"AAAAAD/++hQ=")</f>
        <v>#REF!</v>
      </c>
      <c r="V37" t="e">
        <f>AND('POTENCIAL HORAS'!#REF!,"AAAAAD/++hU=")</f>
        <v>#REF!</v>
      </c>
      <c r="W37" t="e">
        <f>AND('POTENCIAL HORAS'!#REF!,"AAAAAD/++hY=")</f>
        <v>#REF!</v>
      </c>
      <c r="X37" t="e">
        <f>AND('POTENCIAL HORAS'!#REF!,"AAAAAD/++hc=")</f>
        <v>#REF!</v>
      </c>
      <c r="Y37" t="e">
        <f>AND('POTENCIAL HORAS'!#REF!,"AAAAAD/++hg=")</f>
        <v>#REF!</v>
      </c>
      <c r="Z37" t="e">
        <f>AND('POTENCIAL HORAS'!#REF!,"AAAAAD/++hk=")</f>
        <v>#REF!</v>
      </c>
      <c r="AA37" t="e">
        <f>AND('POTENCIAL HORAS'!#REF!,"AAAAAD/++ho=")</f>
        <v>#REF!</v>
      </c>
      <c r="AB37" t="e">
        <f>IF('POTENCIAL HORAS'!#REF!,"AAAAAD/++hs=",0)</f>
        <v>#REF!</v>
      </c>
      <c r="AC37" t="e">
        <f>AND('POTENCIAL HORAS'!#REF!,"AAAAAD/++hw=")</f>
        <v>#REF!</v>
      </c>
      <c r="AD37" t="e">
        <f>AND('POTENCIAL HORAS'!#REF!,"AAAAAD/++h0=")</f>
        <v>#REF!</v>
      </c>
      <c r="AE37" t="e">
        <f>AND('POTENCIAL HORAS'!#REF!,"AAAAAD/++h4=")</f>
        <v>#REF!</v>
      </c>
      <c r="AF37" t="e">
        <f>AND('POTENCIAL HORAS'!#REF!,"AAAAAD/++h8=")</f>
        <v>#REF!</v>
      </c>
      <c r="AG37" t="e">
        <f>AND('POTENCIAL HORAS'!#REF!,"AAAAAD/++iA=")</f>
        <v>#REF!</v>
      </c>
      <c r="AH37" t="e">
        <f>AND('POTENCIAL HORAS'!#REF!,"AAAAAD/++iE=")</f>
        <v>#REF!</v>
      </c>
      <c r="AI37" t="e">
        <f>AND('POTENCIAL HORAS'!#REF!,"AAAAAD/++iI=")</f>
        <v>#REF!</v>
      </c>
      <c r="AJ37" t="e">
        <f>AND('POTENCIAL HORAS'!#REF!,"AAAAAD/++iM=")</f>
        <v>#REF!</v>
      </c>
      <c r="AK37" t="e">
        <f>AND('POTENCIAL HORAS'!#REF!,"AAAAAD/++iQ=")</f>
        <v>#REF!</v>
      </c>
      <c r="AL37" t="e">
        <f>AND('POTENCIAL HORAS'!#REF!,"AAAAAD/++iU=")</f>
        <v>#REF!</v>
      </c>
      <c r="AM37" t="e">
        <f>AND('POTENCIAL HORAS'!#REF!,"AAAAAD/++iY=")</f>
        <v>#REF!</v>
      </c>
      <c r="AN37" t="e">
        <f>AND('POTENCIAL HORAS'!#REF!,"AAAAAD/++ic=")</f>
        <v>#REF!</v>
      </c>
      <c r="AO37" t="e">
        <f>AND('POTENCIAL HORAS'!#REF!,"AAAAAD/++ig=")</f>
        <v>#REF!</v>
      </c>
      <c r="AP37" t="e">
        <f>AND('POTENCIAL HORAS'!#REF!,"AAAAAD/++ik=")</f>
        <v>#REF!</v>
      </c>
      <c r="AQ37" t="e">
        <f>AND('POTENCIAL HORAS'!#REF!,"AAAAAD/++io=")</f>
        <v>#REF!</v>
      </c>
      <c r="AR37" t="e">
        <f>AND('POTENCIAL HORAS'!#REF!,"AAAAAD/++is=")</f>
        <v>#REF!</v>
      </c>
      <c r="AS37" t="e">
        <f>AND('POTENCIAL HORAS'!#REF!,"AAAAAD/++iw=")</f>
        <v>#REF!</v>
      </c>
      <c r="AT37" t="e">
        <f>AND('POTENCIAL HORAS'!#REF!,"AAAAAD/++i0=")</f>
        <v>#REF!</v>
      </c>
      <c r="AU37" t="e">
        <f>AND('POTENCIAL HORAS'!#REF!,"AAAAAD/++i4=")</f>
        <v>#REF!</v>
      </c>
      <c r="AV37" t="e">
        <f>AND('POTENCIAL HORAS'!#REF!,"AAAAAD/++i8=")</f>
        <v>#REF!</v>
      </c>
      <c r="AW37" t="e">
        <f>AND('POTENCIAL HORAS'!#REF!,"AAAAAD/++jA=")</f>
        <v>#REF!</v>
      </c>
      <c r="AX37" t="e">
        <f>AND('POTENCIAL HORAS'!#REF!,"AAAAAD/++jE=")</f>
        <v>#REF!</v>
      </c>
      <c r="AY37" t="e">
        <f>AND('POTENCIAL HORAS'!#REF!,"AAAAAD/++jI=")</f>
        <v>#REF!</v>
      </c>
      <c r="AZ37" t="e">
        <f>AND('POTENCIAL HORAS'!#REF!,"AAAAAD/++jM=")</f>
        <v>#REF!</v>
      </c>
      <c r="BA37" t="e">
        <f>AND('POTENCIAL HORAS'!#REF!,"AAAAAD/++jQ=")</f>
        <v>#REF!</v>
      </c>
      <c r="BB37" t="e">
        <f>AND('POTENCIAL HORAS'!#REF!,"AAAAAD/++jU=")</f>
        <v>#REF!</v>
      </c>
      <c r="BC37" t="e">
        <f>AND('POTENCIAL HORAS'!#REF!,"AAAAAD/++jY=")</f>
        <v>#REF!</v>
      </c>
      <c r="BD37" t="e">
        <f>AND('POTENCIAL HORAS'!#REF!,"AAAAAD/++jc=")</f>
        <v>#REF!</v>
      </c>
      <c r="BE37" t="e">
        <f>AND('POTENCIAL HORAS'!#REF!,"AAAAAD/++jg=")</f>
        <v>#REF!</v>
      </c>
      <c r="BF37" t="e">
        <f>AND('POTENCIAL HORAS'!#REF!,"AAAAAD/++jk=")</f>
        <v>#REF!</v>
      </c>
      <c r="BG37" t="e">
        <f>AND('POTENCIAL HORAS'!#REF!,"AAAAAD/++jo=")</f>
        <v>#REF!</v>
      </c>
      <c r="BH37" t="e">
        <f>AND('POTENCIAL HORAS'!#REF!,"AAAAAD/++js=")</f>
        <v>#REF!</v>
      </c>
      <c r="BI37" t="e">
        <f>AND('POTENCIAL HORAS'!#REF!,"AAAAAD/++jw=")</f>
        <v>#REF!</v>
      </c>
      <c r="BJ37" t="e">
        <f>AND('POTENCIAL HORAS'!#REF!,"AAAAAD/++j0=")</f>
        <v>#REF!</v>
      </c>
      <c r="BK37" t="e">
        <f>AND('POTENCIAL HORAS'!#REF!,"AAAAAD/++j4=")</f>
        <v>#REF!</v>
      </c>
      <c r="BL37" t="e">
        <f>AND('POTENCIAL HORAS'!#REF!,"AAAAAD/++j8=")</f>
        <v>#REF!</v>
      </c>
      <c r="BM37" t="e">
        <f>AND('POTENCIAL HORAS'!#REF!,"AAAAAD/++kA=")</f>
        <v>#REF!</v>
      </c>
      <c r="BN37" t="e">
        <f>AND('POTENCIAL HORAS'!#REF!,"AAAAAD/++kE=")</f>
        <v>#REF!</v>
      </c>
      <c r="BO37" t="e">
        <f>IF('POTENCIAL HORAS'!#REF!,"AAAAAD/++kI=",0)</f>
        <v>#REF!</v>
      </c>
      <c r="BP37" t="e">
        <f>AND('POTENCIAL HORAS'!#REF!,"AAAAAD/++kM=")</f>
        <v>#REF!</v>
      </c>
      <c r="BQ37" t="e">
        <f>AND('POTENCIAL HORAS'!#REF!,"AAAAAD/++kQ=")</f>
        <v>#REF!</v>
      </c>
      <c r="BR37" t="e">
        <f>AND('POTENCIAL HORAS'!#REF!,"AAAAAD/++kU=")</f>
        <v>#REF!</v>
      </c>
      <c r="BS37" t="e">
        <f>AND('POTENCIAL HORAS'!#REF!,"AAAAAD/++kY=")</f>
        <v>#REF!</v>
      </c>
      <c r="BT37" t="e">
        <f>AND('POTENCIAL HORAS'!#REF!,"AAAAAD/++kc=")</f>
        <v>#REF!</v>
      </c>
      <c r="BU37" t="e">
        <f>AND('POTENCIAL HORAS'!#REF!,"AAAAAD/++kg=")</f>
        <v>#REF!</v>
      </c>
      <c r="BV37" t="e">
        <f>AND('POTENCIAL HORAS'!#REF!,"AAAAAD/++kk=")</f>
        <v>#REF!</v>
      </c>
      <c r="BW37" t="e">
        <f>AND('POTENCIAL HORAS'!#REF!,"AAAAAD/++ko=")</f>
        <v>#REF!</v>
      </c>
      <c r="BX37" t="e">
        <f>AND('POTENCIAL HORAS'!#REF!,"AAAAAD/++ks=")</f>
        <v>#REF!</v>
      </c>
      <c r="BY37" t="e">
        <f>AND('POTENCIAL HORAS'!#REF!,"AAAAAD/++kw=")</f>
        <v>#REF!</v>
      </c>
      <c r="BZ37" t="e">
        <f>AND('POTENCIAL HORAS'!#REF!,"AAAAAD/++k0=")</f>
        <v>#REF!</v>
      </c>
      <c r="CA37" t="e">
        <f>AND('POTENCIAL HORAS'!#REF!,"AAAAAD/++k4=")</f>
        <v>#REF!</v>
      </c>
      <c r="CB37" t="e">
        <f>AND('POTENCIAL HORAS'!#REF!,"AAAAAD/++k8=")</f>
        <v>#REF!</v>
      </c>
      <c r="CC37" t="e">
        <f>AND('POTENCIAL HORAS'!#REF!,"AAAAAD/++lA=")</f>
        <v>#REF!</v>
      </c>
      <c r="CD37" t="e">
        <f>AND('POTENCIAL HORAS'!#REF!,"AAAAAD/++lE=")</f>
        <v>#REF!</v>
      </c>
      <c r="CE37" t="e">
        <f>AND('POTENCIAL HORAS'!#REF!,"AAAAAD/++lI=")</f>
        <v>#REF!</v>
      </c>
      <c r="CF37" t="e">
        <f>AND('POTENCIAL HORAS'!#REF!,"AAAAAD/++lM=")</f>
        <v>#REF!</v>
      </c>
      <c r="CG37" t="e">
        <f>AND('POTENCIAL HORAS'!#REF!,"AAAAAD/++lQ=")</f>
        <v>#REF!</v>
      </c>
      <c r="CH37" t="e">
        <f>AND('POTENCIAL HORAS'!#REF!,"AAAAAD/++lU=")</f>
        <v>#REF!</v>
      </c>
      <c r="CI37" t="e">
        <f>AND('POTENCIAL HORAS'!#REF!,"AAAAAD/++lY=")</f>
        <v>#REF!</v>
      </c>
      <c r="CJ37" t="e">
        <f>AND('POTENCIAL HORAS'!#REF!,"AAAAAD/++lc=")</f>
        <v>#REF!</v>
      </c>
      <c r="CK37" t="e">
        <f>AND('POTENCIAL HORAS'!#REF!,"AAAAAD/++lg=")</f>
        <v>#REF!</v>
      </c>
      <c r="CL37" t="e">
        <f>AND('POTENCIAL HORAS'!#REF!,"AAAAAD/++lk=")</f>
        <v>#REF!</v>
      </c>
      <c r="CM37" t="e">
        <f>AND('POTENCIAL HORAS'!#REF!,"AAAAAD/++lo=")</f>
        <v>#REF!</v>
      </c>
      <c r="CN37" t="e">
        <f>AND('POTENCIAL HORAS'!#REF!,"AAAAAD/++ls=")</f>
        <v>#REF!</v>
      </c>
      <c r="CO37" t="e">
        <f>AND('POTENCIAL HORAS'!#REF!,"AAAAAD/++lw=")</f>
        <v>#REF!</v>
      </c>
      <c r="CP37" t="e">
        <f>AND('POTENCIAL HORAS'!#REF!,"AAAAAD/++l0=")</f>
        <v>#REF!</v>
      </c>
      <c r="CQ37" t="e">
        <f>AND('POTENCIAL HORAS'!#REF!,"AAAAAD/++l4=")</f>
        <v>#REF!</v>
      </c>
      <c r="CR37" t="e">
        <f>AND('POTENCIAL HORAS'!#REF!,"AAAAAD/++l8=")</f>
        <v>#REF!</v>
      </c>
      <c r="CS37" t="e">
        <f>AND('POTENCIAL HORAS'!#REF!,"AAAAAD/++mA=")</f>
        <v>#REF!</v>
      </c>
      <c r="CT37" t="e">
        <f>AND('POTENCIAL HORAS'!#REF!,"AAAAAD/++mE=")</f>
        <v>#REF!</v>
      </c>
      <c r="CU37" t="e">
        <f>AND('POTENCIAL HORAS'!#REF!,"AAAAAD/++mI=")</f>
        <v>#REF!</v>
      </c>
      <c r="CV37" t="e">
        <f>AND('POTENCIAL HORAS'!#REF!,"AAAAAD/++mM=")</f>
        <v>#REF!</v>
      </c>
      <c r="CW37" t="e">
        <f>AND('POTENCIAL HORAS'!#REF!,"AAAAAD/++mQ=")</f>
        <v>#REF!</v>
      </c>
      <c r="CX37" t="e">
        <f>AND('POTENCIAL HORAS'!#REF!,"AAAAAD/++mU=")</f>
        <v>#REF!</v>
      </c>
      <c r="CY37" t="e">
        <f>AND('POTENCIAL HORAS'!#REF!,"AAAAAD/++mY=")</f>
        <v>#REF!</v>
      </c>
      <c r="CZ37" t="e">
        <f>AND('POTENCIAL HORAS'!#REF!,"AAAAAD/++mc=")</f>
        <v>#REF!</v>
      </c>
      <c r="DA37" t="e">
        <f>AND('POTENCIAL HORAS'!#REF!,"AAAAAD/++mg=")</f>
        <v>#REF!</v>
      </c>
      <c r="DB37" t="e">
        <f>IF('POTENCIAL HORAS'!#REF!,"AAAAAD/++mk=",0)</f>
        <v>#REF!</v>
      </c>
      <c r="DC37" t="e">
        <f>AND('POTENCIAL HORAS'!#REF!,"AAAAAD/++mo=")</f>
        <v>#REF!</v>
      </c>
      <c r="DD37" t="e">
        <f>AND('POTENCIAL HORAS'!#REF!,"AAAAAD/++ms=")</f>
        <v>#REF!</v>
      </c>
      <c r="DE37" t="e">
        <f>AND('POTENCIAL HORAS'!#REF!,"AAAAAD/++mw=")</f>
        <v>#REF!</v>
      </c>
      <c r="DF37" t="e">
        <f>AND('POTENCIAL HORAS'!#REF!,"AAAAAD/++m0=")</f>
        <v>#REF!</v>
      </c>
      <c r="DG37" t="e">
        <f>AND('POTENCIAL HORAS'!#REF!,"AAAAAD/++m4=")</f>
        <v>#REF!</v>
      </c>
      <c r="DH37" t="e">
        <f>AND('POTENCIAL HORAS'!#REF!,"AAAAAD/++m8=")</f>
        <v>#REF!</v>
      </c>
      <c r="DI37" t="e">
        <f>AND('POTENCIAL HORAS'!#REF!,"AAAAAD/++nA=")</f>
        <v>#REF!</v>
      </c>
      <c r="DJ37" t="e">
        <f>AND('POTENCIAL HORAS'!#REF!,"AAAAAD/++nE=")</f>
        <v>#REF!</v>
      </c>
      <c r="DK37" t="e">
        <f>AND('POTENCIAL HORAS'!#REF!,"AAAAAD/++nI=")</f>
        <v>#REF!</v>
      </c>
      <c r="DL37" t="e">
        <f>AND('POTENCIAL HORAS'!#REF!,"AAAAAD/++nM=")</f>
        <v>#REF!</v>
      </c>
      <c r="DM37" t="e">
        <f>AND('POTENCIAL HORAS'!#REF!,"AAAAAD/++nQ=")</f>
        <v>#REF!</v>
      </c>
      <c r="DN37" t="e">
        <f>AND('POTENCIAL HORAS'!#REF!,"AAAAAD/++nU=")</f>
        <v>#REF!</v>
      </c>
      <c r="DO37" t="e">
        <f>AND('POTENCIAL HORAS'!#REF!,"AAAAAD/++nY=")</f>
        <v>#REF!</v>
      </c>
      <c r="DP37" t="e">
        <f>AND('POTENCIAL HORAS'!#REF!,"AAAAAD/++nc=")</f>
        <v>#REF!</v>
      </c>
      <c r="DQ37" t="e">
        <f>AND('POTENCIAL HORAS'!#REF!,"AAAAAD/++ng=")</f>
        <v>#REF!</v>
      </c>
      <c r="DR37" t="e">
        <f>AND('POTENCIAL HORAS'!#REF!,"AAAAAD/++nk=")</f>
        <v>#REF!</v>
      </c>
      <c r="DS37" t="e">
        <f>AND('POTENCIAL HORAS'!#REF!,"AAAAAD/++no=")</f>
        <v>#REF!</v>
      </c>
      <c r="DT37" t="e">
        <f>AND('POTENCIAL HORAS'!#REF!,"AAAAAD/++ns=")</f>
        <v>#REF!</v>
      </c>
      <c r="DU37" t="e">
        <f>AND('POTENCIAL HORAS'!#REF!,"AAAAAD/++nw=")</f>
        <v>#REF!</v>
      </c>
      <c r="DV37" t="e">
        <f>AND('POTENCIAL HORAS'!#REF!,"AAAAAD/++n0=")</f>
        <v>#REF!</v>
      </c>
      <c r="DW37" t="e">
        <f>AND('POTENCIAL HORAS'!#REF!,"AAAAAD/++n4=")</f>
        <v>#REF!</v>
      </c>
      <c r="DX37" t="e">
        <f>AND('POTENCIAL HORAS'!#REF!,"AAAAAD/++n8=")</f>
        <v>#REF!</v>
      </c>
      <c r="DY37" t="e">
        <f>AND('POTENCIAL HORAS'!#REF!,"AAAAAD/++oA=")</f>
        <v>#REF!</v>
      </c>
      <c r="DZ37" t="e">
        <f>AND('POTENCIAL HORAS'!#REF!,"AAAAAD/++oE=")</f>
        <v>#REF!</v>
      </c>
      <c r="EA37" t="e">
        <f>AND('POTENCIAL HORAS'!#REF!,"AAAAAD/++oI=")</f>
        <v>#REF!</v>
      </c>
      <c r="EB37" t="e">
        <f>AND('POTENCIAL HORAS'!#REF!,"AAAAAD/++oM=")</f>
        <v>#REF!</v>
      </c>
      <c r="EC37" t="e">
        <f>AND('POTENCIAL HORAS'!#REF!,"AAAAAD/++oQ=")</f>
        <v>#REF!</v>
      </c>
      <c r="ED37" t="e">
        <f>AND('POTENCIAL HORAS'!#REF!,"AAAAAD/++oU=")</f>
        <v>#REF!</v>
      </c>
      <c r="EE37" t="e">
        <f>AND('POTENCIAL HORAS'!#REF!,"AAAAAD/++oY=")</f>
        <v>#REF!</v>
      </c>
      <c r="EF37" t="e">
        <f>AND('POTENCIAL HORAS'!#REF!,"AAAAAD/++oc=")</f>
        <v>#REF!</v>
      </c>
      <c r="EG37" t="e">
        <f>AND('POTENCIAL HORAS'!#REF!,"AAAAAD/++og=")</f>
        <v>#REF!</v>
      </c>
      <c r="EH37" t="e">
        <f>AND('POTENCIAL HORAS'!#REF!,"AAAAAD/++ok=")</f>
        <v>#REF!</v>
      </c>
      <c r="EI37" t="e">
        <f>AND('POTENCIAL HORAS'!#REF!,"AAAAAD/++oo=")</f>
        <v>#REF!</v>
      </c>
      <c r="EJ37" t="e">
        <f>AND('POTENCIAL HORAS'!#REF!,"AAAAAD/++os=")</f>
        <v>#REF!</v>
      </c>
      <c r="EK37" t="e">
        <f>AND('POTENCIAL HORAS'!#REF!,"AAAAAD/++ow=")</f>
        <v>#REF!</v>
      </c>
      <c r="EL37" t="e">
        <f>AND('POTENCIAL HORAS'!#REF!,"AAAAAD/++o0=")</f>
        <v>#REF!</v>
      </c>
      <c r="EM37" t="e">
        <f>AND('POTENCIAL HORAS'!#REF!,"AAAAAD/++o4=")</f>
        <v>#REF!</v>
      </c>
      <c r="EN37" t="e">
        <f>AND('POTENCIAL HORAS'!#REF!,"AAAAAD/++o8=")</f>
        <v>#REF!</v>
      </c>
      <c r="EO37" t="e">
        <f>IF('POTENCIAL HORAS'!#REF!,"AAAAAD/++pA=",0)</f>
        <v>#REF!</v>
      </c>
      <c r="EP37" t="e">
        <f>AND('POTENCIAL HORAS'!#REF!,"AAAAAD/++pE=")</f>
        <v>#REF!</v>
      </c>
      <c r="EQ37" t="e">
        <f>AND('POTENCIAL HORAS'!#REF!,"AAAAAD/++pI=")</f>
        <v>#REF!</v>
      </c>
      <c r="ER37" t="e">
        <f>AND('POTENCIAL HORAS'!#REF!,"AAAAAD/++pM=")</f>
        <v>#REF!</v>
      </c>
      <c r="ES37" t="e">
        <f>AND('POTENCIAL HORAS'!#REF!,"AAAAAD/++pQ=")</f>
        <v>#REF!</v>
      </c>
      <c r="ET37" t="e">
        <f>AND('POTENCIAL HORAS'!#REF!,"AAAAAD/++pU=")</f>
        <v>#REF!</v>
      </c>
      <c r="EU37" t="e">
        <f>AND('POTENCIAL HORAS'!#REF!,"AAAAAD/++pY=")</f>
        <v>#REF!</v>
      </c>
      <c r="EV37" t="e">
        <f>AND('POTENCIAL HORAS'!#REF!,"AAAAAD/++pc=")</f>
        <v>#REF!</v>
      </c>
      <c r="EW37" t="e">
        <f>AND('POTENCIAL HORAS'!#REF!,"AAAAAD/++pg=")</f>
        <v>#REF!</v>
      </c>
      <c r="EX37" t="e">
        <f>AND('POTENCIAL HORAS'!#REF!,"AAAAAD/++pk=")</f>
        <v>#REF!</v>
      </c>
      <c r="EY37" t="e">
        <f>AND('POTENCIAL HORAS'!#REF!,"AAAAAD/++po=")</f>
        <v>#REF!</v>
      </c>
      <c r="EZ37" t="e">
        <f>AND('POTENCIAL HORAS'!#REF!,"AAAAAD/++ps=")</f>
        <v>#REF!</v>
      </c>
      <c r="FA37" t="e">
        <f>AND('POTENCIAL HORAS'!#REF!,"AAAAAD/++pw=")</f>
        <v>#REF!</v>
      </c>
      <c r="FB37" t="e">
        <f>AND('POTENCIAL HORAS'!#REF!,"AAAAAD/++p0=")</f>
        <v>#REF!</v>
      </c>
      <c r="FC37" t="e">
        <f>AND('POTENCIAL HORAS'!#REF!,"AAAAAD/++p4=")</f>
        <v>#REF!</v>
      </c>
      <c r="FD37" t="e">
        <f>AND('POTENCIAL HORAS'!#REF!,"AAAAAD/++p8=")</f>
        <v>#REF!</v>
      </c>
      <c r="FE37" t="e">
        <f>AND('POTENCIAL HORAS'!#REF!,"AAAAAD/++qA=")</f>
        <v>#REF!</v>
      </c>
      <c r="FF37" t="e">
        <f>AND('POTENCIAL HORAS'!#REF!,"AAAAAD/++qE=")</f>
        <v>#REF!</v>
      </c>
      <c r="FG37" t="e">
        <f>AND('POTENCIAL HORAS'!#REF!,"AAAAAD/++qI=")</f>
        <v>#REF!</v>
      </c>
      <c r="FH37" t="e">
        <f>AND('POTENCIAL HORAS'!#REF!,"AAAAAD/++qM=")</f>
        <v>#REF!</v>
      </c>
      <c r="FI37" t="e">
        <f>AND('POTENCIAL HORAS'!#REF!,"AAAAAD/++qQ=")</f>
        <v>#REF!</v>
      </c>
      <c r="FJ37" t="e">
        <f>AND('POTENCIAL HORAS'!#REF!,"AAAAAD/++qU=")</f>
        <v>#REF!</v>
      </c>
      <c r="FK37" t="e">
        <f>AND('POTENCIAL HORAS'!#REF!,"AAAAAD/++qY=")</f>
        <v>#REF!</v>
      </c>
      <c r="FL37" t="e">
        <f>AND('POTENCIAL HORAS'!#REF!,"AAAAAD/++qc=")</f>
        <v>#REF!</v>
      </c>
      <c r="FM37" t="e">
        <f>AND('POTENCIAL HORAS'!#REF!,"AAAAAD/++qg=")</f>
        <v>#REF!</v>
      </c>
      <c r="FN37" t="e">
        <f>AND('POTENCIAL HORAS'!#REF!,"AAAAAD/++qk=")</f>
        <v>#REF!</v>
      </c>
      <c r="FO37" t="e">
        <f>AND('POTENCIAL HORAS'!#REF!,"AAAAAD/++qo=")</f>
        <v>#REF!</v>
      </c>
      <c r="FP37" t="e">
        <f>AND('POTENCIAL HORAS'!#REF!,"AAAAAD/++qs=")</f>
        <v>#REF!</v>
      </c>
      <c r="FQ37" t="e">
        <f>AND('POTENCIAL HORAS'!#REF!,"AAAAAD/++qw=")</f>
        <v>#REF!</v>
      </c>
      <c r="FR37" t="e">
        <f>AND('POTENCIAL HORAS'!#REF!,"AAAAAD/++q0=")</f>
        <v>#REF!</v>
      </c>
      <c r="FS37" t="e">
        <f>AND('POTENCIAL HORAS'!#REF!,"AAAAAD/++q4=")</f>
        <v>#REF!</v>
      </c>
      <c r="FT37" t="e">
        <f>AND('POTENCIAL HORAS'!#REF!,"AAAAAD/++q8=")</f>
        <v>#REF!</v>
      </c>
      <c r="FU37" t="e">
        <f>AND('POTENCIAL HORAS'!#REF!,"AAAAAD/++rA=")</f>
        <v>#REF!</v>
      </c>
      <c r="FV37" t="e">
        <f>AND('POTENCIAL HORAS'!#REF!,"AAAAAD/++rE=")</f>
        <v>#REF!</v>
      </c>
      <c r="FW37" t="e">
        <f>AND('POTENCIAL HORAS'!#REF!,"AAAAAD/++rI=")</f>
        <v>#REF!</v>
      </c>
      <c r="FX37" t="e">
        <f>AND('POTENCIAL HORAS'!#REF!,"AAAAAD/++rM=")</f>
        <v>#REF!</v>
      </c>
      <c r="FY37" t="e">
        <f>AND('POTENCIAL HORAS'!#REF!,"AAAAAD/++rQ=")</f>
        <v>#REF!</v>
      </c>
      <c r="FZ37" t="e">
        <f>AND('POTENCIAL HORAS'!#REF!,"AAAAAD/++rU=")</f>
        <v>#REF!</v>
      </c>
      <c r="GA37" t="e">
        <f>AND('POTENCIAL HORAS'!#REF!,"AAAAAD/++rY=")</f>
        <v>#REF!</v>
      </c>
      <c r="GB37" t="e">
        <f>IF('POTENCIAL HORAS'!#REF!,"AAAAAD/++rc=",0)</f>
        <v>#REF!</v>
      </c>
      <c r="GC37" t="e">
        <f>AND('POTENCIAL HORAS'!#REF!,"AAAAAD/++rg=")</f>
        <v>#REF!</v>
      </c>
      <c r="GD37" t="e">
        <f>AND('POTENCIAL HORAS'!#REF!,"AAAAAD/++rk=")</f>
        <v>#REF!</v>
      </c>
      <c r="GE37" t="e">
        <f>AND('POTENCIAL HORAS'!#REF!,"AAAAAD/++ro=")</f>
        <v>#REF!</v>
      </c>
      <c r="GF37" t="e">
        <f>AND('POTENCIAL HORAS'!#REF!,"AAAAAD/++rs=")</f>
        <v>#REF!</v>
      </c>
      <c r="GG37" t="e">
        <f>AND('POTENCIAL HORAS'!#REF!,"AAAAAD/++rw=")</f>
        <v>#REF!</v>
      </c>
      <c r="GH37" t="e">
        <f>AND('POTENCIAL HORAS'!#REF!,"AAAAAD/++r0=")</f>
        <v>#REF!</v>
      </c>
      <c r="GI37" t="e">
        <f>AND('POTENCIAL HORAS'!#REF!,"AAAAAD/++r4=")</f>
        <v>#REF!</v>
      </c>
      <c r="GJ37" t="e">
        <f>AND('POTENCIAL HORAS'!#REF!,"AAAAAD/++r8=")</f>
        <v>#REF!</v>
      </c>
      <c r="GK37" t="e">
        <f>AND('POTENCIAL HORAS'!#REF!,"AAAAAD/++sA=")</f>
        <v>#REF!</v>
      </c>
      <c r="GL37" t="e">
        <f>AND('POTENCIAL HORAS'!#REF!,"AAAAAD/++sE=")</f>
        <v>#REF!</v>
      </c>
      <c r="GM37" t="e">
        <f>AND('POTENCIAL HORAS'!#REF!,"AAAAAD/++sI=")</f>
        <v>#REF!</v>
      </c>
      <c r="GN37" t="e">
        <f>AND('POTENCIAL HORAS'!#REF!,"AAAAAD/++sM=")</f>
        <v>#REF!</v>
      </c>
      <c r="GO37" t="e">
        <f>AND('POTENCIAL HORAS'!#REF!,"AAAAAD/++sQ=")</f>
        <v>#REF!</v>
      </c>
      <c r="GP37" t="e">
        <f>AND('POTENCIAL HORAS'!#REF!,"AAAAAD/++sU=")</f>
        <v>#REF!</v>
      </c>
      <c r="GQ37" t="e">
        <f>AND('POTENCIAL HORAS'!#REF!,"AAAAAD/++sY=")</f>
        <v>#REF!</v>
      </c>
      <c r="GR37" t="e">
        <f>AND('POTENCIAL HORAS'!#REF!,"AAAAAD/++sc=")</f>
        <v>#REF!</v>
      </c>
      <c r="GS37" t="e">
        <f>AND('POTENCIAL HORAS'!#REF!,"AAAAAD/++sg=")</f>
        <v>#REF!</v>
      </c>
      <c r="GT37" t="e">
        <f>AND('POTENCIAL HORAS'!#REF!,"AAAAAD/++sk=")</f>
        <v>#REF!</v>
      </c>
      <c r="GU37" t="e">
        <f>AND('POTENCIAL HORAS'!#REF!,"AAAAAD/++so=")</f>
        <v>#REF!</v>
      </c>
      <c r="GV37" t="e">
        <f>AND('POTENCIAL HORAS'!#REF!,"AAAAAD/++ss=")</f>
        <v>#REF!</v>
      </c>
      <c r="GW37" t="e">
        <f>AND('POTENCIAL HORAS'!#REF!,"AAAAAD/++sw=")</f>
        <v>#REF!</v>
      </c>
      <c r="GX37" t="e">
        <f>AND('POTENCIAL HORAS'!#REF!,"AAAAAD/++s0=")</f>
        <v>#REF!</v>
      </c>
      <c r="GY37" t="e">
        <f>AND('POTENCIAL HORAS'!#REF!,"AAAAAD/++s4=")</f>
        <v>#REF!</v>
      </c>
      <c r="GZ37" t="e">
        <f>AND('POTENCIAL HORAS'!#REF!,"AAAAAD/++s8=")</f>
        <v>#REF!</v>
      </c>
      <c r="HA37" t="e">
        <f>AND('POTENCIAL HORAS'!#REF!,"AAAAAD/++tA=")</f>
        <v>#REF!</v>
      </c>
      <c r="HB37" t="e">
        <f>AND('POTENCIAL HORAS'!#REF!,"AAAAAD/++tE=")</f>
        <v>#REF!</v>
      </c>
      <c r="HC37" t="e">
        <f>AND('POTENCIAL HORAS'!#REF!,"AAAAAD/++tI=")</f>
        <v>#REF!</v>
      </c>
      <c r="HD37" t="e">
        <f>AND('POTENCIAL HORAS'!#REF!,"AAAAAD/++tM=")</f>
        <v>#REF!</v>
      </c>
      <c r="HE37" t="e">
        <f>AND('POTENCIAL HORAS'!#REF!,"AAAAAD/++tQ=")</f>
        <v>#REF!</v>
      </c>
      <c r="HF37" t="e">
        <f>AND('POTENCIAL HORAS'!#REF!,"AAAAAD/++tU=")</f>
        <v>#REF!</v>
      </c>
      <c r="HG37" t="e">
        <f>AND('POTENCIAL HORAS'!#REF!,"AAAAAD/++tY=")</f>
        <v>#REF!</v>
      </c>
      <c r="HH37" t="e">
        <f>AND('POTENCIAL HORAS'!#REF!,"AAAAAD/++tc=")</f>
        <v>#REF!</v>
      </c>
      <c r="HI37" t="e">
        <f>AND('POTENCIAL HORAS'!#REF!,"AAAAAD/++tg=")</f>
        <v>#REF!</v>
      </c>
      <c r="HJ37" t="e">
        <f>AND('POTENCIAL HORAS'!#REF!,"AAAAAD/++tk=")</f>
        <v>#REF!</v>
      </c>
      <c r="HK37" t="e">
        <f>AND('POTENCIAL HORAS'!#REF!,"AAAAAD/++to=")</f>
        <v>#REF!</v>
      </c>
      <c r="HL37" t="e">
        <f>AND('POTENCIAL HORAS'!#REF!,"AAAAAD/++ts=")</f>
        <v>#REF!</v>
      </c>
      <c r="HM37" t="e">
        <f>AND('POTENCIAL HORAS'!#REF!,"AAAAAD/++tw=")</f>
        <v>#REF!</v>
      </c>
      <c r="HN37" t="e">
        <f>AND('POTENCIAL HORAS'!#REF!,"AAAAAD/++t0=")</f>
        <v>#REF!</v>
      </c>
      <c r="HO37" t="e">
        <f>IF('POTENCIAL HORAS'!#REF!,"AAAAAD/++t4=",0)</f>
        <v>#REF!</v>
      </c>
      <c r="HP37" t="e">
        <f>AND('POTENCIAL HORAS'!#REF!,"AAAAAD/++t8=")</f>
        <v>#REF!</v>
      </c>
      <c r="HQ37" t="e">
        <f>AND('POTENCIAL HORAS'!#REF!,"AAAAAD/++uA=")</f>
        <v>#REF!</v>
      </c>
      <c r="HR37" t="e">
        <f>AND('POTENCIAL HORAS'!#REF!,"AAAAAD/++uE=")</f>
        <v>#REF!</v>
      </c>
      <c r="HS37" t="e">
        <f>AND('POTENCIAL HORAS'!#REF!,"AAAAAD/++uI=")</f>
        <v>#REF!</v>
      </c>
      <c r="HT37" t="e">
        <f>AND('POTENCIAL HORAS'!#REF!,"AAAAAD/++uM=")</f>
        <v>#REF!</v>
      </c>
      <c r="HU37" t="e">
        <f>AND('POTENCIAL HORAS'!#REF!,"AAAAAD/++uQ=")</f>
        <v>#REF!</v>
      </c>
      <c r="HV37" t="e">
        <f>AND('POTENCIAL HORAS'!#REF!,"AAAAAD/++uU=")</f>
        <v>#REF!</v>
      </c>
      <c r="HW37" t="e">
        <f>AND('POTENCIAL HORAS'!#REF!,"AAAAAD/++uY=")</f>
        <v>#REF!</v>
      </c>
      <c r="HX37" t="e">
        <f>AND('POTENCIAL HORAS'!#REF!,"AAAAAD/++uc=")</f>
        <v>#REF!</v>
      </c>
      <c r="HY37" t="e">
        <f>AND('POTENCIAL HORAS'!#REF!,"AAAAAD/++ug=")</f>
        <v>#REF!</v>
      </c>
      <c r="HZ37" t="e">
        <f>AND('POTENCIAL HORAS'!#REF!,"AAAAAD/++uk=")</f>
        <v>#REF!</v>
      </c>
      <c r="IA37" t="e">
        <f>AND('POTENCIAL HORAS'!#REF!,"AAAAAD/++uo=")</f>
        <v>#REF!</v>
      </c>
      <c r="IB37" t="e">
        <f>AND('POTENCIAL HORAS'!#REF!,"AAAAAD/++us=")</f>
        <v>#REF!</v>
      </c>
      <c r="IC37" t="e">
        <f>AND('POTENCIAL HORAS'!#REF!,"AAAAAD/++uw=")</f>
        <v>#REF!</v>
      </c>
      <c r="ID37" t="e">
        <f>AND('POTENCIAL HORAS'!#REF!,"AAAAAD/++u0=")</f>
        <v>#REF!</v>
      </c>
      <c r="IE37" t="e">
        <f>AND('POTENCIAL HORAS'!#REF!,"AAAAAD/++u4=")</f>
        <v>#REF!</v>
      </c>
      <c r="IF37" t="e">
        <f>AND('POTENCIAL HORAS'!#REF!,"AAAAAD/++u8=")</f>
        <v>#REF!</v>
      </c>
      <c r="IG37" t="e">
        <f>AND('POTENCIAL HORAS'!#REF!,"AAAAAD/++vA=")</f>
        <v>#REF!</v>
      </c>
      <c r="IH37" t="e">
        <f>AND('POTENCIAL HORAS'!#REF!,"AAAAAD/++vE=")</f>
        <v>#REF!</v>
      </c>
      <c r="II37" t="e">
        <f>AND('POTENCIAL HORAS'!#REF!,"AAAAAD/++vI=")</f>
        <v>#REF!</v>
      </c>
      <c r="IJ37" t="e">
        <f>AND('POTENCIAL HORAS'!#REF!,"AAAAAD/++vM=")</f>
        <v>#REF!</v>
      </c>
      <c r="IK37" t="e">
        <f>AND('POTENCIAL HORAS'!#REF!,"AAAAAD/++vQ=")</f>
        <v>#REF!</v>
      </c>
      <c r="IL37" t="e">
        <f>AND('POTENCIAL HORAS'!#REF!,"AAAAAD/++vU=")</f>
        <v>#REF!</v>
      </c>
      <c r="IM37" t="e">
        <f>AND('POTENCIAL HORAS'!#REF!,"AAAAAD/++vY=")</f>
        <v>#REF!</v>
      </c>
      <c r="IN37" t="e">
        <f>AND('POTENCIAL HORAS'!#REF!,"AAAAAD/++vc=")</f>
        <v>#REF!</v>
      </c>
      <c r="IO37" t="e">
        <f>AND('POTENCIAL HORAS'!#REF!,"AAAAAD/++vg=")</f>
        <v>#REF!</v>
      </c>
      <c r="IP37" t="e">
        <f>AND('POTENCIAL HORAS'!#REF!,"AAAAAD/++vk=")</f>
        <v>#REF!</v>
      </c>
      <c r="IQ37" t="e">
        <f>AND('POTENCIAL HORAS'!#REF!,"AAAAAD/++vo=")</f>
        <v>#REF!</v>
      </c>
      <c r="IR37" t="e">
        <f>AND('POTENCIAL HORAS'!#REF!,"AAAAAD/++vs=")</f>
        <v>#REF!</v>
      </c>
      <c r="IS37" t="e">
        <f>AND('POTENCIAL HORAS'!#REF!,"AAAAAD/++vw=")</f>
        <v>#REF!</v>
      </c>
      <c r="IT37" t="e">
        <f>AND('POTENCIAL HORAS'!#REF!,"AAAAAD/++v0=")</f>
        <v>#REF!</v>
      </c>
      <c r="IU37" t="e">
        <f>AND('POTENCIAL HORAS'!#REF!,"AAAAAD/++v4=")</f>
        <v>#REF!</v>
      </c>
      <c r="IV37" t="e">
        <f>AND('POTENCIAL HORAS'!#REF!,"AAAAAD/++v8=")</f>
        <v>#REF!</v>
      </c>
    </row>
    <row r="38" spans="1:256" x14ac:dyDescent="0.2">
      <c r="A38" t="e">
        <f>AND('POTENCIAL HORAS'!#REF!,"AAAAAH7z/gA=")</f>
        <v>#REF!</v>
      </c>
      <c r="B38" t="e">
        <f>AND('POTENCIAL HORAS'!#REF!,"AAAAAH7z/gE=")</f>
        <v>#REF!</v>
      </c>
      <c r="C38" t="e">
        <f>AND('POTENCIAL HORAS'!#REF!,"AAAAAH7z/gI=")</f>
        <v>#REF!</v>
      </c>
      <c r="D38" t="e">
        <f>AND('POTENCIAL HORAS'!#REF!,"AAAAAH7z/gM=")</f>
        <v>#REF!</v>
      </c>
      <c r="E38" t="e">
        <f>AND('POTENCIAL HORAS'!#REF!,"AAAAAH7z/gQ=")</f>
        <v>#REF!</v>
      </c>
      <c r="F38" t="e">
        <f>IF('POTENCIAL HORAS'!#REF!,"AAAAAH7z/gU=",0)</f>
        <v>#REF!</v>
      </c>
      <c r="G38" t="e">
        <f>AND('POTENCIAL HORAS'!#REF!,"AAAAAH7z/gY=")</f>
        <v>#REF!</v>
      </c>
      <c r="H38" t="e">
        <f>AND('POTENCIAL HORAS'!#REF!,"AAAAAH7z/gc=")</f>
        <v>#REF!</v>
      </c>
      <c r="I38" t="e">
        <f>AND('POTENCIAL HORAS'!#REF!,"AAAAAH7z/gg=")</f>
        <v>#REF!</v>
      </c>
      <c r="J38" t="e">
        <f>AND('POTENCIAL HORAS'!#REF!,"AAAAAH7z/gk=")</f>
        <v>#REF!</v>
      </c>
      <c r="K38" t="e">
        <f>AND('POTENCIAL HORAS'!#REF!,"AAAAAH7z/go=")</f>
        <v>#REF!</v>
      </c>
      <c r="L38" t="e">
        <f>AND('POTENCIAL HORAS'!#REF!,"AAAAAH7z/gs=")</f>
        <v>#REF!</v>
      </c>
      <c r="M38" t="e">
        <f>AND('POTENCIAL HORAS'!#REF!,"AAAAAH7z/gw=")</f>
        <v>#REF!</v>
      </c>
      <c r="N38" t="e">
        <f>AND('POTENCIAL HORAS'!#REF!,"AAAAAH7z/g0=")</f>
        <v>#REF!</v>
      </c>
      <c r="O38" t="e">
        <f>AND('POTENCIAL HORAS'!#REF!,"AAAAAH7z/g4=")</f>
        <v>#REF!</v>
      </c>
      <c r="P38" t="e">
        <f>AND('POTENCIAL HORAS'!#REF!,"AAAAAH7z/g8=")</f>
        <v>#REF!</v>
      </c>
      <c r="Q38" t="e">
        <f>AND('POTENCIAL HORAS'!#REF!,"AAAAAH7z/hA=")</f>
        <v>#REF!</v>
      </c>
      <c r="R38" t="e">
        <f>AND('POTENCIAL HORAS'!#REF!,"AAAAAH7z/hE=")</f>
        <v>#REF!</v>
      </c>
      <c r="S38" t="e">
        <f>AND('POTENCIAL HORAS'!#REF!,"AAAAAH7z/hI=")</f>
        <v>#REF!</v>
      </c>
      <c r="T38" t="e">
        <f>AND('POTENCIAL HORAS'!#REF!,"AAAAAH7z/hM=")</f>
        <v>#REF!</v>
      </c>
      <c r="U38" t="e">
        <f>AND('POTENCIAL HORAS'!#REF!,"AAAAAH7z/hQ=")</f>
        <v>#REF!</v>
      </c>
      <c r="V38" t="e">
        <f>AND('POTENCIAL HORAS'!#REF!,"AAAAAH7z/hU=")</f>
        <v>#REF!</v>
      </c>
      <c r="W38" t="e">
        <f>AND('POTENCIAL HORAS'!#REF!,"AAAAAH7z/hY=")</f>
        <v>#REF!</v>
      </c>
      <c r="X38" t="e">
        <f>AND('POTENCIAL HORAS'!#REF!,"AAAAAH7z/hc=")</f>
        <v>#REF!</v>
      </c>
      <c r="Y38" t="e">
        <f>AND('POTENCIAL HORAS'!#REF!,"AAAAAH7z/hg=")</f>
        <v>#REF!</v>
      </c>
      <c r="Z38" t="e">
        <f>AND('POTENCIAL HORAS'!#REF!,"AAAAAH7z/hk=")</f>
        <v>#REF!</v>
      </c>
      <c r="AA38" t="e">
        <f>AND('POTENCIAL HORAS'!#REF!,"AAAAAH7z/ho=")</f>
        <v>#REF!</v>
      </c>
      <c r="AB38" t="e">
        <f>AND('POTENCIAL HORAS'!#REF!,"AAAAAH7z/hs=")</f>
        <v>#REF!</v>
      </c>
      <c r="AC38" t="e">
        <f>AND('POTENCIAL HORAS'!#REF!,"AAAAAH7z/hw=")</f>
        <v>#REF!</v>
      </c>
      <c r="AD38" t="e">
        <f>AND('POTENCIAL HORAS'!#REF!,"AAAAAH7z/h0=")</f>
        <v>#REF!</v>
      </c>
      <c r="AE38" t="e">
        <f>AND('POTENCIAL HORAS'!#REF!,"AAAAAH7z/h4=")</f>
        <v>#REF!</v>
      </c>
      <c r="AF38" t="e">
        <f>AND('POTENCIAL HORAS'!#REF!,"AAAAAH7z/h8=")</f>
        <v>#REF!</v>
      </c>
      <c r="AG38" t="e">
        <f>AND('POTENCIAL HORAS'!#REF!,"AAAAAH7z/iA=")</f>
        <v>#REF!</v>
      </c>
      <c r="AH38" t="e">
        <f>AND('POTENCIAL HORAS'!#REF!,"AAAAAH7z/iE=")</f>
        <v>#REF!</v>
      </c>
      <c r="AI38" t="e">
        <f>AND('POTENCIAL HORAS'!#REF!,"AAAAAH7z/iI=")</f>
        <v>#REF!</v>
      </c>
      <c r="AJ38" t="e">
        <f>AND('POTENCIAL HORAS'!#REF!,"AAAAAH7z/iM=")</f>
        <v>#REF!</v>
      </c>
      <c r="AK38" t="e">
        <f>AND('POTENCIAL HORAS'!#REF!,"AAAAAH7z/iQ=")</f>
        <v>#REF!</v>
      </c>
      <c r="AL38" t="e">
        <f>AND('POTENCIAL HORAS'!#REF!,"AAAAAH7z/iU=")</f>
        <v>#REF!</v>
      </c>
      <c r="AM38" t="e">
        <f>AND('POTENCIAL HORAS'!#REF!,"AAAAAH7z/iY=")</f>
        <v>#REF!</v>
      </c>
      <c r="AN38" t="e">
        <f>AND('POTENCIAL HORAS'!#REF!,"AAAAAH7z/ic=")</f>
        <v>#REF!</v>
      </c>
      <c r="AO38" t="e">
        <f>AND('POTENCIAL HORAS'!#REF!,"AAAAAH7z/ig=")</f>
        <v>#REF!</v>
      </c>
      <c r="AP38" t="e">
        <f>AND('POTENCIAL HORAS'!#REF!,"AAAAAH7z/ik=")</f>
        <v>#REF!</v>
      </c>
      <c r="AQ38" t="e">
        <f>AND('POTENCIAL HORAS'!#REF!,"AAAAAH7z/io=")</f>
        <v>#REF!</v>
      </c>
      <c r="AR38" t="e">
        <f>AND('POTENCIAL HORAS'!#REF!,"AAAAAH7z/is=")</f>
        <v>#REF!</v>
      </c>
      <c r="AS38" t="e">
        <f>IF('POTENCIAL HORAS'!#REF!,"AAAAAH7z/iw=",0)</f>
        <v>#REF!</v>
      </c>
      <c r="AT38" t="e">
        <f>AND('POTENCIAL HORAS'!#REF!,"AAAAAH7z/i0=")</f>
        <v>#REF!</v>
      </c>
      <c r="AU38" t="e">
        <f>AND('POTENCIAL HORAS'!#REF!,"AAAAAH7z/i4=")</f>
        <v>#REF!</v>
      </c>
      <c r="AV38" t="e">
        <f>AND('POTENCIAL HORAS'!#REF!,"AAAAAH7z/i8=")</f>
        <v>#REF!</v>
      </c>
      <c r="AW38" t="e">
        <f>AND('POTENCIAL HORAS'!#REF!,"AAAAAH7z/jA=")</f>
        <v>#REF!</v>
      </c>
      <c r="AX38" t="e">
        <f>AND('POTENCIAL HORAS'!#REF!,"AAAAAH7z/jE=")</f>
        <v>#REF!</v>
      </c>
      <c r="AY38" t="e">
        <f>AND('POTENCIAL HORAS'!#REF!,"AAAAAH7z/jI=")</f>
        <v>#REF!</v>
      </c>
      <c r="AZ38" t="e">
        <f>AND('POTENCIAL HORAS'!#REF!,"AAAAAH7z/jM=")</f>
        <v>#REF!</v>
      </c>
      <c r="BA38" t="e">
        <f>AND('POTENCIAL HORAS'!#REF!,"AAAAAH7z/jQ=")</f>
        <v>#REF!</v>
      </c>
      <c r="BB38" t="e">
        <f>AND('POTENCIAL HORAS'!#REF!,"AAAAAH7z/jU=")</f>
        <v>#REF!</v>
      </c>
      <c r="BC38" t="e">
        <f>AND('POTENCIAL HORAS'!#REF!,"AAAAAH7z/jY=")</f>
        <v>#REF!</v>
      </c>
      <c r="BD38" t="e">
        <f>AND('POTENCIAL HORAS'!#REF!,"AAAAAH7z/jc=")</f>
        <v>#REF!</v>
      </c>
      <c r="BE38" t="e">
        <f>AND('POTENCIAL HORAS'!#REF!,"AAAAAH7z/jg=")</f>
        <v>#REF!</v>
      </c>
      <c r="BF38" t="e">
        <f>AND('POTENCIAL HORAS'!#REF!,"AAAAAH7z/jk=")</f>
        <v>#REF!</v>
      </c>
      <c r="BG38" t="e">
        <f>AND('POTENCIAL HORAS'!#REF!,"AAAAAH7z/jo=")</f>
        <v>#REF!</v>
      </c>
      <c r="BH38" t="e">
        <f>AND('POTENCIAL HORAS'!#REF!,"AAAAAH7z/js=")</f>
        <v>#REF!</v>
      </c>
      <c r="BI38" t="e">
        <f>AND('POTENCIAL HORAS'!#REF!,"AAAAAH7z/jw=")</f>
        <v>#REF!</v>
      </c>
      <c r="BJ38" t="e">
        <f>AND('POTENCIAL HORAS'!#REF!,"AAAAAH7z/j0=")</f>
        <v>#REF!</v>
      </c>
      <c r="BK38" t="e">
        <f>AND('POTENCIAL HORAS'!#REF!,"AAAAAH7z/j4=")</f>
        <v>#REF!</v>
      </c>
      <c r="BL38" t="e">
        <f>AND('POTENCIAL HORAS'!#REF!,"AAAAAH7z/j8=")</f>
        <v>#REF!</v>
      </c>
      <c r="BM38" t="e">
        <f>AND('POTENCIAL HORAS'!#REF!,"AAAAAH7z/kA=")</f>
        <v>#REF!</v>
      </c>
      <c r="BN38" t="e">
        <f>AND('POTENCIAL HORAS'!#REF!,"AAAAAH7z/kE=")</f>
        <v>#REF!</v>
      </c>
      <c r="BO38" t="e">
        <f>AND('POTENCIAL HORAS'!#REF!,"AAAAAH7z/kI=")</f>
        <v>#REF!</v>
      </c>
      <c r="BP38" t="e">
        <f>AND('POTENCIAL HORAS'!#REF!,"AAAAAH7z/kM=")</f>
        <v>#REF!</v>
      </c>
      <c r="BQ38" t="e">
        <f>AND('POTENCIAL HORAS'!#REF!,"AAAAAH7z/kQ=")</f>
        <v>#REF!</v>
      </c>
      <c r="BR38" t="e">
        <f>AND('POTENCIAL HORAS'!#REF!,"AAAAAH7z/kU=")</f>
        <v>#REF!</v>
      </c>
      <c r="BS38" t="e">
        <f>AND('POTENCIAL HORAS'!#REF!,"AAAAAH7z/kY=")</f>
        <v>#REF!</v>
      </c>
      <c r="BT38" t="e">
        <f>AND('POTENCIAL HORAS'!#REF!,"AAAAAH7z/kc=")</f>
        <v>#REF!</v>
      </c>
      <c r="BU38" t="e">
        <f>AND('POTENCIAL HORAS'!#REF!,"AAAAAH7z/kg=")</f>
        <v>#REF!</v>
      </c>
      <c r="BV38" t="e">
        <f>AND('POTENCIAL HORAS'!#REF!,"AAAAAH7z/kk=")</f>
        <v>#REF!</v>
      </c>
      <c r="BW38" t="e">
        <f>AND('POTENCIAL HORAS'!#REF!,"AAAAAH7z/ko=")</f>
        <v>#REF!</v>
      </c>
      <c r="BX38" t="e">
        <f>AND('POTENCIAL HORAS'!#REF!,"AAAAAH7z/ks=")</f>
        <v>#REF!</v>
      </c>
      <c r="BY38" t="e">
        <f>AND('POTENCIAL HORAS'!#REF!,"AAAAAH7z/kw=")</f>
        <v>#REF!</v>
      </c>
      <c r="BZ38" t="e">
        <f>AND('POTENCIAL HORAS'!#REF!,"AAAAAH7z/k0=")</f>
        <v>#REF!</v>
      </c>
      <c r="CA38" t="e">
        <f>AND('POTENCIAL HORAS'!#REF!,"AAAAAH7z/k4=")</f>
        <v>#REF!</v>
      </c>
      <c r="CB38" t="e">
        <f>AND('POTENCIAL HORAS'!#REF!,"AAAAAH7z/k8=")</f>
        <v>#REF!</v>
      </c>
      <c r="CC38" t="e">
        <f>AND('POTENCIAL HORAS'!#REF!,"AAAAAH7z/lA=")</f>
        <v>#REF!</v>
      </c>
      <c r="CD38" t="e">
        <f>AND('POTENCIAL HORAS'!#REF!,"AAAAAH7z/lE=")</f>
        <v>#REF!</v>
      </c>
      <c r="CE38" t="e">
        <f>AND('POTENCIAL HORAS'!#REF!,"AAAAAH7z/lI=")</f>
        <v>#REF!</v>
      </c>
      <c r="CF38" t="e">
        <f>IF('POTENCIAL HORAS'!#REF!,"AAAAAH7z/lM=",0)</f>
        <v>#REF!</v>
      </c>
      <c r="CG38" t="e">
        <f>AND('POTENCIAL HORAS'!#REF!,"AAAAAH7z/lQ=")</f>
        <v>#REF!</v>
      </c>
      <c r="CH38" t="e">
        <f>AND('POTENCIAL HORAS'!#REF!,"AAAAAH7z/lU=")</f>
        <v>#REF!</v>
      </c>
      <c r="CI38" t="e">
        <f>AND('POTENCIAL HORAS'!#REF!,"AAAAAH7z/lY=")</f>
        <v>#REF!</v>
      </c>
      <c r="CJ38" t="e">
        <f>AND('POTENCIAL HORAS'!#REF!,"AAAAAH7z/lc=")</f>
        <v>#REF!</v>
      </c>
      <c r="CK38" t="e">
        <f>AND('POTENCIAL HORAS'!#REF!,"AAAAAH7z/lg=")</f>
        <v>#REF!</v>
      </c>
      <c r="CL38" t="e">
        <f>AND('POTENCIAL HORAS'!#REF!,"AAAAAH7z/lk=")</f>
        <v>#REF!</v>
      </c>
      <c r="CM38" t="e">
        <f>AND('POTENCIAL HORAS'!#REF!,"AAAAAH7z/lo=")</f>
        <v>#REF!</v>
      </c>
      <c r="CN38" t="e">
        <f>AND('POTENCIAL HORAS'!#REF!,"AAAAAH7z/ls=")</f>
        <v>#REF!</v>
      </c>
      <c r="CO38" t="e">
        <f>AND('POTENCIAL HORAS'!#REF!,"AAAAAH7z/lw=")</f>
        <v>#REF!</v>
      </c>
      <c r="CP38" t="e">
        <f>AND('POTENCIAL HORAS'!#REF!,"AAAAAH7z/l0=")</f>
        <v>#REF!</v>
      </c>
      <c r="CQ38" t="e">
        <f>AND('POTENCIAL HORAS'!#REF!,"AAAAAH7z/l4=")</f>
        <v>#REF!</v>
      </c>
      <c r="CR38" t="e">
        <f>AND('POTENCIAL HORAS'!#REF!,"AAAAAH7z/l8=")</f>
        <v>#REF!</v>
      </c>
      <c r="CS38" t="e">
        <f>AND('POTENCIAL HORAS'!#REF!,"AAAAAH7z/mA=")</f>
        <v>#REF!</v>
      </c>
      <c r="CT38" t="e">
        <f>AND('POTENCIAL HORAS'!#REF!,"AAAAAH7z/mE=")</f>
        <v>#REF!</v>
      </c>
      <c r="CU38" t="e">
        <f>AND('POTENCIAL HORAS'!#REF!,"AAAAAH7z/mI=")</f>
        <v>#REF!</v>
      </c>
      <c r="CV38" t="e">
        <f>AND('POTENCIAL HORAS'!#REF!,"AAAAAH7z/mM=")</f>
        <v>#REF!</v>
      </c>
      <c r="CW38" t="e">
        <f>AND('POTENCIAL HORAS'!#REF!,"AAAAAH7z/mQ=")</f>
        <v>#REF!</v>
      </c>
      <c r="CX38" t="e">
        <f>AND('POTENCIAL HORAS'!#REF!,"AAAAAH7z/mU=")</f>
        <v>#REF!</v>
      </c>
      <c r="CY38" t="e">
        <f>AND('POTENCIAL HORAS'!#REF!,"AAAAAH7z/mY=")</f>
        <v>#REF!</v>
      </c>
      <c r="CZ38" t="e">
        <f>AND('POTENCIAL HORAS'!#REF!,"AAAAAH7z/mc=")</f>
        <v>#REF!</v>
      </c>
      <c r="DA38" t="e">
        <f>AND('POTENCIAL HORAS'!#REF!,"AAAAAH7z/mg=")</f>
        <v>#REF!</v>
      </c>
      <c r="DB38" t="e">
        <f>AND('POTENCIAL HORAS'!#REF!,"AAAAAH7z/mk=")</f>
        <v>#REF!</v>
      </c>
      <c r="DC38" t="e">
        <f>AND('POTENCIAL HORAS'!#REF!,"AAAAAH7z/mo=")</f>
        <v>#REF!</v>
      </c>
      <c r="DD38" t="e">
        <f>AND('POTENCIAL HORAS'!#REF!,"AAAAAH7z/ms=")</f>
        <v>#REF!</v>
      </c>
      <c r="DE38" t="e">
        <f>AND('POTENCIAL HORAS'!#REF!,"AAAAAH7z/mw=")</f>
        <v>#REF!</v>
      </c>
      <c r="DF38" t="e">
        <f>AND('POTENCIAL HORAS'!#REF!,"AAAAAH7z/m0=")</f>
        <v>#REF!</v>
      </c>
      <c r="DG38" t="e">
        <f>AND('POTENCIAL HORAS'!#REF!,"AAAAAH7z/m4=")</f>
        <v>#REF!</v>
      </c>
      <c r="DH38" t="e">
        <f>AND('POTENCIAL HORAS'!#REF!,"AAAAAH7z/m8=")</f>
        <v>#REF!</v>
      </c>
      <c r="DI38" t="e">
        <f>AND('POTENCIAL HORAS'!#REF!,"AAAAAH7z/nA=")</f>
        <v>#REF!</v>
      </c>
      <c r="DJ38" t="e">
        <f>AND('POTENCIAL HORAS'!#REF!,"AAAAAH7z/nE=")</f>
        <v>#REF!</v>
      </c>
      <c r="DK38" t="e">
        <f>AND('POTENCIAL HORAS'!#REF!,"AAAAAH7z/nI=")</f>
        <v>#REF!</v>
      </c>
      <c r="DL38" t="e">
        <f>AND('POTENCIAL HORAS'!#REF!,"AAAAAH7z/nM=")</f>
        <v>#REF!</v>
      </c>
      <c r="DM38" t="e">
        <f>AND('POTENCIAL HORAS'!#REF!,"AAAAAH7z/nQ=")</f>
        <v>#REF!</v>
      </c>
      <c r="DN38" t="e">
        <f>AND('POTENCIAL HORAS'!#REF!,"AAAAAH7z/nU=")</f>
        <v>#REF!</v>
      </c>
      <c r="DO38" t="e">
        <f>AND('POTENCIAL HORAS'!#REF!,"AAAAAH7z/nY=")</f>
        <v>#REF!</v>
      </c>
      <c r="DP38" t="e">
        <f>AND('POTENCIAL HORAS'!#REF!,"AAAAAH7z/nc=")</f>
        <v>#REF!</v>
      </c>
      <c r="DQ38" t="e">
        <f>AND('POTENCIAL HORAS'!#REF!,"AAAAAH7z/ng=")</f>
        <v>#REF!</v>
      </c>
      <c r="DR38" t="e">
        <f>AND('POTENCIAL HORAS'!#REF!,"AAAAAH7z/nk=")</f>
        <v>#REF!</v>
      </c>
      <c r="DS38" t="e">
        <f>IF('POTENCIAL HORAS'!#REF!,"AAAAAH7z/no=",0)</f>
        <v>#REF!</v>
      </c>
      <c r="DT38" t="e">
        <f>AND('POTENCIAL HORAS'!#REF!,"AAAAAH7z/ns=")</f>
        <v>#REF!</v>
      </c>
      <c r="DU38" t="e">
        <f>AND('POTENCIAL HORAS'!#REF!,"AAAAAH7z/nw=")</f>
        <v>#REF!</v>
      </c>
      <c r="DV38" t="e">
        <f>AND('POTENCIAL HORAS'!#REF!,"AAAAAH7z/n0=")</f>
        <v>#REF!</v>
      </c>
      <c r="DW38" t="e">
        <f>AND('POTENCIAL HORAS'!#REF!,"AAAAAH7z/n4=")</f>
        <v>#REF!</v>
      </c>
      <c r="DX38" t="e">
        <f>AND('POTENCIAL HORAS'!#REF!,"AAAAAH7z/n8=")</f>
        <v>#REF!</v>
      </c>
      <c r="DY38" t="e">
        <f>AND('POTENCIAL HORAS'!#REF!,"AAAAAH7z/oA=")</f>
        <v>#REF!</v>
      </c>
      <c r="DZ38" t="e">
        <f>AND('POTENCIAL HORAS'!#REF!,"AAAAAH7z/oE=")</f>
        <v>#REF!</v>
      </c>
      <c r="EA38" t="e">
        <f>AND('POTENCIAL HORAS'!#REF!,"AAAAAH7z/oI=")</f>
        <v>#REF!</v>
      </c>
      <c r="EB38" t="e">
        <f>AND('POTENCIAL HORAS'!#REF!,"AAAAAH7z/oM=")</f>
        <v>#REF!</v>
      </c>
      <c r="EC38" t="e">
        <f>AND('POTENCIAL HORAS'!#REF!,"AAAAAH7z/oQ=")</f>
        <v>#REF!</v>
      </c>
      <c r="ED38" t="e">
        <f>AND('POTENCIAL HORAS'!#REF!,"AAAAAH7z/oU=")</f>
        <v>#REF!</v>
      </c>
      <c r="EE38" t="e">
        <f>AND('POTENCIAL HORAS'!#REF!,"AAAAAH7z/oY=")</f>
        <v>#REF!</v>
      </c>
      <c r="EF38" t="e">
        <f>AND('POTENCIAL HORAS'!#REF!,"AAAAAH7z/oc=")</f>
        <v>#REF!</v>
      </c>
      <c r="EG38" t="e">
        <f>AND('POTENCIAL HORAS'!#REF!,"AAAAAH7z/og=")</f>
        <v>#REF!</v>
      </c>
      <c r="EH38" t="e">
        <f>AND('POTENCIAL HORAS'!#REF!,"AAAAAH7z/ok=")</f>
        <v>#REF!</v>
      </c>
      <c r="EI38" t="e">
        <f>AND('POTENCIAL HORAS'!#REF!,"AAAAAH7z/oo=")</f>
        <v>#REF!</v>
      </c>
      <c r="EJ38" t="e">
        <f>AND('POTENCIAL HORAS'!#REF!,"AAAAAH7z/os=")</f>
        <v>#REF!</v>
      </c>
      <c r="EK38" t="e">
        <f>AND('POTENCIAL HORAS'!#REF!,"AAAAAH7z/ow=")</f>
        <v>#REF!</v>
      </c>
      <c r="EL38" t="e">
        <f>AND('POTENCIAL HORAS'!#REF!,"AAAAAH7z/o0=")</f>
        <v>#REF!</v>
      </c>
      <c r="EM38" t="e">
        <f>AND('POTENCIAL HORAS'!#REF!,"AAAAAH7z/o4=")</f>
        <v>#REF!</v>
      </c>
      <c r="EN38" t="e">
        <f>AND('POTENCIAL HORAS'!#REF!,"AAAAAH7z/o8=")</f>
        <v>#REF!</v>
      </c>
      <c r="EO38" t="e">
        <f>AND('POTENCIAL HORAS'!#REF!,"AAAAAH7z/pA=")</f>
        <v>#REF!</v>
      </c>
      <c r="EP38" t="e">
        <f>AND('POTENCIAL HORAS'!#REF!,"AAAAAH7z/pE=")</f>
        <v>#REF!</v>
      </c>
      <c r="EQ38" t="e">
        <f>AND('POTENCIAL HORAS'!#REF!,"AAAAAH7z/pI=")</f>
        <v>#REF!</v>
      </c>
      <c r="ER38" t="e">
        <f>AND('POTENCIAL HORAS'!#REF!,"AAAAAH7z/pM=")</f>
        <v>#REF!</v>
      </c>
      <c r="ES38" t="e">
        <f>AND('POTENCIAL HORAS'!#REF!,"AAAAAH7z/pQ=")</f>
        <v>#REF!</v>
      </c>
      <c r="ET38" t="e">
        <f>AND('POTENCIAL HORAS'!#REF!,"AAAAAH7z/pU=")</f>
        <v>#REF!</v>
      </c>
      <c r="EU38" t="e">
        <f>AND('POTENCIAL HORAS'!#REF!,"AAAAAH7z/pY=")</f>
        <v>#REF!</v>
      </c>
      <c r="EV38" t="e">
        <f>AND('POTENCIAL HORAS'!#REF!,"AAAAAH7z/pc=")</f>
        <v>#REF!</v>
      </c>
      <c r="EW38" t="e">
        <f>AND('POTENCIAL HORAS'!#REF!,"AAAAAH7z/pg=")</f>
        <v>#REF!</v>
      </c>
      <c r="EX38" t="e">
        <f>AND('POTENCIAL HORAS'!#REF!,"AAAAAH7z/pk=")</f>
        <v>#REF!</v>
      </c>
      <c r="EY38" t="e">
        <f>AND('POTENCIAL HORAS'!#REF!,"AAAAAH7z/po=")</f>
        <v>#REF!</v>
      </c>
      <c r="EZ38" t="e">
        <f>AND('POTENCIAL HORAS'!#REF!,"AAAAAH7z/ps=")</f>
        <v>#REF!</v>
      </c>
      <c r="FA38" t="e">
        <f>AND('POTENCIAL HORAS'!#REF!,"AAAAAH7z/pw=")</f>
        <v>#REF!</v>
      </c>
      <c r="FB38" t="e">
        <f>AND('POTENCIAL HORAS'!#REF!,"AAAAAH7z/p0=")</f>
        <v>#REF!</v>
      </c>
      <c r="FC38" t="e">
        <f>AND('POTENCIAL HORAS'!#REF!,"AAAAAH7z/p4=")</f>
        <v>#REF!</v>
      </c>
      <c r="FD38" t="e">
        <f>AND('POTENCIAL HORAS'!#REF!,"AAAAAH7z/p8=")</f>
        <v>#REF!</v>
      </c>
      <c r="FE38" t="e">
        <f>AND('POTENCIAL HORAS'!#REF!,"AAAAAH7z/qA=")</f>
        <v>#REF!</v>
      </c>
      <c r="FF38">
        <f>IF('POTENCIAL HORAS'!346:346,"AAAAAH7z/qE=",0)</f>
        <v>0</v>
      </c>
      <c r="FG38" t="e">
        <f>AND('POTENCIAL HORAS'!A346,"AAAAAH7z/qI=")</f>
        <v>#VALUE!</v>
      </c>
      <c r="FH38" t="e">
        <f>AND('POTENCIAL HORAS'!B346,"AAAAAH7z/qM=")</f>
        <v>#VALUE!</v>
      </c>
      <c r="FI38" t="e">
        <f>AND('POTENCIAL HORAS'!C346,"AAAAAH7z/qQ=")</f>
        <v>#VALUE!</v>
      </c>
      <c r="FJ38" t="e">
        <f>AND('POTENCIAL HORAS'!D346,"AAAAAH7z/qU=")</f>
        <v>#VALUE!</v>
      </c>
      <c r="FK38" t="e">
        <f>AND('POTENCIAL HORAS'!E346,"AAAAAH7z/qY=")</f>
        <v>#VALUE!</v>
      </c>
      <c r="FL38" t="e">
        <f>AND('POTENCIAL HORAS'!F346,"AAAAAH7z/qc=")</f>
        <v>#VALUE!</v>
      </c>
      <c r="FM38" t="e">
        <f>AND('POTENCIAL HORAS'!G346,"AAAAAH7z/qg=")</f>
        <v>#VALUE!</v>
      </c>
      <c r="FN38" t="e">
        <f>AND('POTENCIAL HORAS'!H346,"AAAAAH7z/qk=")</f>
        <v>#VALUE!</v>
      </c>
      <c r="FO38" t="e">
        <f>AND('POTENCIAL HORAS'!I346,"AAAAAH7z/qo=")</f>
        <v>#VALUE!</v>
      </c>
      <c r="FP38" t="e">
        <f>AND('POTENCIAL HORAS'!J346,"AAAAAH7z/qs=")</f>
        <v>#VALUE!</v>
      </c>
      <c r="FQ38" t="e">
        <f>AND('POTENCIAL HORAS'!K346,"AAAAAH7z/qw=")</f>
        <v>#VALUE!</v>
      </c>
      <c r="FR38" t="e">
        <f>AND('POTENCIAL HORAS'!L346,"AAAAAH7z/q0=")</f>
        <v>#VALUE!</v>
      </c>
      <c r="FS38" t="e">
        <f>AND('POTENCIAL HORAS'!M346,"AAAAAH7z/q4=")</f>
        <v>#VALUE!</v>
      </c>
      <c r="FT38" t="e">
        <f>AND('POTENCIAL HORAS'!N346,"AAAAAH7z/q8=")</f>
        <v>#VALUE!</v>
      </c>
      <c r="FU38" t="e">
        <f>AND('POTENCIAL HORAS'!O346,"AAAAAH7z/rA=")</f>
        <v>#VALUE!</v>
      </c>
      <c r="FV38" t="e">
        <f>AND('POTENCIAL HORAS'!P346,"AAAAAH7z/rE=")</f>
        <v>#VALUE!</v>
      </c>
      <c r="FW38" t="e">
        <f>AND('POTENCIAL HORAS'!#REF!,"AAAAAH7z/rI=")</f>
        <v>#REF!</v>
      </c>
      <c r="FX38" t="e">
        <f>AND('POTENCIAL HORAS'!#REF!,"AAAAAH7z/rM=")</f>
        <v>#REF!</v>
      </c>
      <c r="FY38" t="e">
        <f>AND('POTENCIAL HORAS'!#REF!,"AAAAAH7z/rQ=")</f>
        <v>#REF!</v>
      </c>
      <c r="FZ38" t="e">
        <f>AND('POTENCIAL HORAS'!#REF!,"AAAAAH7z/rU=")</f>
        <v>#REF!</v>
      </c>
      <c r="GA38" t="e">
        <f>AND('POTENCIAL HORAS'!#REF!,"AAAAAH7z/rY=")</f>
        <v>#REF!</v>
      </c>
      <c r="GB38" t="e">
        <f>AND('POTENCIAL HORAS'!#REF!,"AAAAAH7z/rc=")</f>
        <v>#REF!</v>
      </c>
      <c r="GC38" t="e">
        <f>AND('POTENCIAL HORAS'!#REF!,"AAAAAH7z/rg=")</f>
        <v>#REF!</v>
      </c>
      <c r="GD38" t="e">
        <f>AND('POTENCIAL HORAS'!#REF!,"AAAAAH7z/rk=")</f>
        <v>#REF!</v>
      </c>
      <c r="GE38" t="e">
        <f>AND('POTENCIAL HORAS'!#REF!,"AAAAAH7z/ro=")</f>
        <v>#REF!</v>
      </c>
      <c r="GF38" t="e">
        <f>AND('POTENCIAL HORAS'!#REF!,"AAAAAH7z/rs=")</f>
        <v>#REF!</v>
      </c>
      <c r="GG38" t="e">
        <f>AND('POTENCIAL HORAS'!#REF!,"AAAAAH7z/rw=")</f>
        <v>#REF!</v>
      </c>
      <c r="GH38" t="e">
        <f>AND('POTENCIAL HORAS'!#REF!,"AAAAAH7z/r0=")</f>
        <v>#REF!</v>
      </c>
      <c r="GI38" t="e">
        <f>AND('POTENCIAL HORAS'!#REF!,"AAAAAH7z/r4=")</f>
        <v>#REF!</v>
      </c>
      <c r="GJ38" t="e">
        <f>AND('POTENCIAL HORAS'!#REF!,"AAAAAH7z/r8=")</f>
        <v>#REF!</v>
      </c>
      <c r="GK38" t="e">
        <f>AND('POTENCIAL HORAS'!#REF!,"AAAAAH7z/sA=")</f>
        <v>#REF!</v>
      </c>
      <c r="GL38" t="e">
        <f>AND('POTENCIAL HORAS'!#REF!,"AAAAAH7z/sE=")</f>
        <v>#REF!</v>
      </c>
      <c r="GM38" t="e">
        <f>AND('POTENCIAL HORAS'!#REF!,"AAAAAH7z/sI=")</f>
        <v>#REF!</v>
      </c>
      <c r="GN38" t="e">
        <f>AND('POTENCIAL HORAS'!#REF!,"AAAAAH7z/sM=")</f>
        <v>#REF!</v>
      </c>
      <c r="GO38" t="e">
        <f>AND('POTENCIAL HORAS'!#REF!,"AAAAAH7z/sQ=")</f>
        <v>#REF!</v>
      </c>
      <c r="GP38" t="e">
        <f>AND('POTENCIAL HORAS'!#REF!,"AAAAAH7z/sU=")</f>
        <v>#REF!</v>
      </c>
      <c r="GQ38" t="e">
        <f>AND('POTENCIAL HORAS'!Q346,"AAAAAH7z/sY=")</f>
        <v>#VALUE!</v>
      </c>
      <c r="GR38" t="e">
        <f>AND('POTENCIAL HORAS'!R346,"AAAAAH7z/sc=")</f>
        <v>#VALUE!</v>
      </c>
      <c r="GS38">
        <f>IF('POTENCIAL HORAS'!347:347,"AAAAAH7z/sg=",0)</f>
        <v>0</v>
      </c>
      <c r="GT38" t="e">
        <f>AND('POTENCIAL HORAS'!A347,"AAAAAH7z/sk=")</f>
        <v>#VALUE!</v>
      </c>
      <c r="GU38" t="e">
        <f>AND('POTENCIAL HORAS'!C347,"AAAAAH7z/so=")</f>
        <v>#VALUE!</v>
      </c>
      <c r="GV38" t="e">
        <f>AND('POTENCIAL HORAS'!#REF!,"AAAAAH7z/ss=")</f>
        <v>#REF!</v>
      </c>
      <c r="GW38" t="e">
        <f>AND('POTENCIAL HORAS'!D347,"AAAAAH7z/sw=")</f>
        <v>#VALUE!</v>
      </c>
      <c r="GX38" t="e">
        <f>AND('POTENCIAL HORAS'!E347,"AAAAAH7z/s0=")</f>
        <v>#VALUE!</v>
      </c>
      <c r="GY38" t="e">
        <f>AND('POTENCIAL HORAS'!F347,"AAAAAH7z/s4=")</f>
        <v>#VALUE!</v>
      </c>
      <c r="GZ38" t="e">
        <f>AND('POTENCIAL HORAS'!G347,"AAAAAH7z/s8=")</f>
        <v>#VALUE!</v>
      </c>
      <c r="HA38" t="e">
        <f>AND('POTENCIAL HORAS'!H347,"AAAAAH7z/tA=")</f>
        <v>#VALUE!</v>
      </c>
      <c r="HB38" t="e">
        <f>AND('POTENCIAL HORAS'!I347,"AAAAAH7z/tE=")</f>
        <v>#VALUE!</v>
      </c>
      <c r="HC38" t="e">
        <f>AND('POTENCIAL HORAS'!J347,"AAAAAH7z/tI=")</f>
        <v>#VALUE!</v>
      </c>
      <c r="HD38" t="e">
        <f>AND('POTENCIAL HORAS'!K347,"AAAAAH7z/tM=")</f>
        <v>#VALUE!</v>
      </c>
      <c r="HE38" t="e">
        <f>AND('POTENCIAL HORAS'!L347,"AAAAAH7z/tQ=")</f>
        <v>#VALUE!</v>
      </c>
      <c r="HF38" t="e">
        <f>AND('POTENCIAL HORAS'!M347,"AAAAAH7z/tU=")</f>
        <v>#VALUE!</v>
      </c>
      <c r="HG38" t="e">
        <f>AND('POTENCIAL HORAS'!N347,"AAAAAH7z/tY=")</f>
        <v>#VALUE!</v>
      </c>
      <c r="HH38" t="e">
        <f>AND('POTENCIAL HORAS'!O347,"AAAAAH7z/tc=")</f>
        <v>#VALUE!</v>
      </c>
      <c r="HI38" t="e">
        <f>AND('POTENCIAL HORAS'!P347,"AAAAAH7z/tg=")</f>
        <v>#VALUE!</v>
      </c>
      <c r="HJ38" t="e">
        <f>AND('POTENCIAL HORAS'!#REF!,"AAAAAH7z/tk=")</f>
        <v>#REF!</v>
      </c>
      <c r="HK38" t="e">
        <f>AND('POTENCIAL HORAS'!#REF!,"AAAAAH7z/to=")</f>
        <v>#REF!</v>
      </c>
      <c r="HL38" t="e">
        <f>AND('POTENCIAL HORAS'!#REF!,"AAAAAH7z/ts=")</f>
        <v>#REF!</v>
      </c>
      <c r="HM38" t="e">
        <f>AND('POTENCIAL HORAS'!#REF!,"AAAAAH7z/tw=")</f>
        <v>#REF!</v>
      </c>
      <c r="HN38" t="e">
        <f>AND('POTENCIAL HORAS'!#REF!,"AAAAAH7z/t0=")</f>
        <v>#REF!</v>
      </c>
      <c r="HO38" t="e">
        <f>AND('POTENCIAL HORAS'!#REF!,"AAAAAH7z/t4=")</f>
        <v>#REF!</v>
      </c>
      <c r="HP38" t="e">
        <f>AND('POTENCIAL HORAS'!#REF!,"AAAAAH7z/t8=")</f>
        <v>#REF!</v>
      </c>
      <c r="HQ38" t="e">
        <f>AND('POTENCIAL HORAS'!#REF!,"AAAAAH7z/uA=")</f>
        <v>#REF!</v>
      </c>
      <c r="HR38" t="e">
        <f>AND('POTENCIAL HORAS'!#REF!,"AAAAAH7z/uE=")</f>
        <v>#REF!</v>
      </c>
      <c r="HS38" t="e">
        <f>AND('POTENCIAL HORAS'!#REF!,"AAAAAH7z/uI=")</f>
        <v>#REF!</v>
      </c>
      <c r="HT38" t="e">
        <f>AND('POTENCIAL HORAS'!#REF!,"AAAAAH7z/uM=")</f>
        <v>#REF!</v>
      </c>
      <c r="HU38" t="e">
        <f>AND('POTENCIAL HORAS'!#REF!,"AAAAAH7z/uQ=")</f>
        <v>#REF!</v>
      </c>
      <c r="HV38" t="e">
        <f>AND('POTENCIAL HORAS'!#REF!,"AAAAAH7z/uU=")</f>
        <v>#REF!</v>
      </c>
      <c r="HW38" t="e">
        <f>AND('POTENCIAL HORAS'!#REF!,"AAAAAH7z/uY=")</f>
        <v>#REF!</v>
      </c>
      <c r="HX38" t="e">
        <f>AND('POTENCIAL HORAS'!#REF!,"AAAAAH7z/uc=")</f>
        <v>#REF!</v>
      </c>
      <c r="HY38" t="e">
        <f>AND('POTENCIAL HORAS'!#REF!,"AAAAAH7z/ug=")</f>
        <v>#REF!</v>
      </c>
      <c r="HZ38" t="e">
        <f>AND('POTENCIAL HORAS'!#REF!,"AAAAAH7z/uk=")</f>
        <v>#REF!</v>
      </c>
      <c r="IA38" t="e">
        <f>AND('POTENCIAL HORAS'!#REF!,"AAAAAH7z/uo=")</f>
        <v>#REF!</v>
      </c>
      <c r="IB38" t="e">
        <f>AND('POTENCIAL HORAS'!#REF!,"AAAAAH7z/us=")</f>
        <v>#REF!</v>
      </c>
      <c r="IC38" t="e">
        <f>AND('POTENCIAL HORAS'!#REF!,"AAAAAH7z/uw=")</f>
        <v>#REF!</v>
      </c>
      <c r="ID38" t="e">
        <f>AND('POTENCIAL HORAS'!Q347,"AAAAAH7z/u0=")</f>
        <v>#VALUE!</v>
      </c>
      <c r="IE38" t="e">
        <f>AND('POTENCIAL HORAS'!R347,"AAAAAH7z/u4=")</f>
        <v>#VALUE!</v>
      </c>
      <c r="IF38">
        <f>IF('POTENCIAL HORAS'!348:348,"AAAAAH7z/u8=",0)</f>
        <v>0</v>
      </c>
      <c r="IG38" t="e">
        <f>AND('POTENCIAL HORAS'!A348,"AAAAAH7z/vA=")</f>
        <v>#VALUE!</v>
      </c>
      <c r="IH38" t="e">
        <f>AND('POTENCIAL HORAS'!B348,"AAAAAH7z/vE=")</f>
        <v>#VALUE!</v>
      </c>
      <c r="II38" t="e">
        <f>AND('POTENCIAL HORAS'!C348,"AAAAAH7z/vI=")</f>
        <v>#VALUE!</v>
      </c>
      <c r="IJ38" t="e">
        <f>AND('POTENCIAL HORAS'!D348,"AAAAAH7z/vM=")</f>
        <v>#VALUE!</v>
      </c>
      <c r="IK38" t="e">
        <f>AND('POTENCIAL HORAS'!E348,"AAAAAH7z/vQ=")</f>
        <v>#VALUE!</v>
      </c>
      <c r="IL38" t="e">
        <f>AND('POTENCIAL HORAS'!F348,"AAAAAH7z/vU=")</f>
        <v>#VALUE!</v>
      </c>
      <c r="IM38" t="e">
        <f>AND('POTENCIAL HORAS'!G348,"AAAAAH7z/vY=")</f>
        <v>#VALUE!</v>
      </c>
      <c r="IN38" t="e">
        <f>AND('POTENCIAL HORAS'!H348,"AAAAAH7z/vc=")</f>
        <v>#VALUE!</v>
      </c>
      <c r="IO38" t="e">
        <f>AND('POTENCIAL HORAS'!I348,"AAAAAH7z/vg=")</f>
        <v>#VALUE!</v>
      </c>
      <c r="IP38" t="e">
        <f>AND('POTENCIAL HORAS'!J348,"AAAAAH7z/vk=")</f>
        <v>#VALUE!</v>
      </c>
      <c r="IQ38" t="e">
        <f>AND('POTENCIAL HORAS'!K348,"AAAAAH7z/vo=")</f>
        <v>#VALUE!</v>
      </c>
      <c r="IR38" t="e">
        <f>AND('POTENCIAL HORAS'!L348,"AAAAAH7z/vs=")</f>
        <v>#VALUE!</v>
      </c>
      <c r="IS38" t="e">
        <f>AND('POTENCIAL HORAS'!M348,"AAAAAH7z/vw=")</f>
        <v>#VALUE!</v>
      </c>
      <c r="IT38" t="e">
        <f>AND('POTENCIAL HORAS'!N348,"AAAAAH7z/v0=")</f>
        <v>#VALUE!</v>
      </c>
      <c r="IU38" t="e">
        <f>AND('POTENCIAL HORAS'!O348,"AAAAAH7z/v4=")</f>
        <v>#VALUE!</v>
      </c>
      <c r="IV38" t="e">
        <f>AND('POTENCIAL HORAS'!P348,"AAAAAH7z/v8=")</f>
        <v>#VALUE!</v>
      </c>
    </row>
    <row r="39" spans="1:256" x14ac:dyDescent="0.2">
      <c r="A39" t="e">
        <f>AND('POTENCIAL HORAS'!#REF!,"AAAAAD7tTgA=")</f>
        <v>#REF!</v>
      </c>
      <c r="B39" t="e">
        <f>AND('POTENCIAL HORAS'!#REF!,"AAAAAD7tTgE=")</f>
        <v>#REF!</v>
      </c>
      <c r="C39" t="e">
        <f>AND('POTENCIAL HORAS'!#REF!,"AAAAAD7tTgI=")</f>
        <v>#REF!</v>
      </c>
      <c r="D39" t="e">
        <f>AND('POTENCIAL HORAS'!#REF!,"AAAAAD7tTgM=")</f>
        <v>#REF!</v>
      </c>
      <c r="E39">
        <f>IF('POTENCIAL HORAS'!349:349,"AAAAAD7tTgQ=",0)</f>
        <v>0</v>
      </c>
      <c r="F39" t="e">
        <f>AND('POTENCIAL HORAS'!A349,"AAAAAD7tTgU=")</f>
        <v>#VALUE!</v>
      </c>
      <c r="G39" t="e">
        <f>AND('POTENCIAL HORAS'!B349,"AAAAAD7tTgY=")</f>
        <v>#VALUE!</v>
      </c>
      <c r="H39" t="e">
        <f>AND('POTENCIAL HORAS'!C349,"AAAAAD7tTgc=")</f>
        <v>#VALUE!</v>
      </c>
      <c r="I39" t="e">
        <f>AND('POTENCIAL HORAS'!D349,"AAAAAD7tTgg=")</f>
        <v>#VALUE!</v>
      </c>
      <c r="J39" t="e">
        <f>AND('POTENCIAL HORAS'!E349,"AAAAAD7tTgk=")</f>
        <v>#VALUE!</v>
      </c>
      <c r="K39" t="e">
        <f>AND('POTENCIAL HORAS'!F349,"AAAAAD7tTgo=")</f>
        <v>#VALUE!</v>
      </c>
      <c r="L39" t="e">
        <f>AND('POTENCIAL HORAS'!G349,"AAAAAD7tTgs=")</f>
        <v>#VALUE!</v>
      </c>
      <c r="M39" t="e">
        <f>AND('POTENCIAL HORAS'!H349,"AAAAAD7tTgw=")</f>
        <v>#VALUE!</v>
      </c>
      <c r="N39" t="e">
        <f>AND('POTENCIAL HORAS'!I349,"AAAAAD7tTg0=")</f>
        <v>#VALUE!</v>
      </c>
      <c r="O39" t="e">
        <f>AND('POTENCIAL HORAS'!J349,"AAAAAD7tTg4=")</f>
        <v>#VALUE!</v>
      </c>
      <c r="P39" t="e">
        <f>AND('POTENCIAL HORAS'!K349,"AAAAAD7tTg8=")</f>
        <v>#VALUE!</v>
      </c>
      <c r="Q39" t="e">
        <f>AND('POTENCIAL HORAS'!L349,"AAAAAD7tThA=")</f>
        <v>#VALUE!</v>
      </c>
      <c r="R39" t="e">
        <f>AND('POTENCIAL HORAS'!M349,"AAAAAD7tThE=")</f>
        <v>#VALUE!</v>
      </c>
      <c r="S39" t="e">
        <f>AND('POTENCIAL HORAS'!N349,"AAAAAD7tThI=")</f>
        <v>#VALUE!</v>
      </c>
      <c r="T39" t="e">
        <f>AND('POTENCIAL HORAS'!O349,"AAAAAD7tThM=")</f>
        <v>#VALUE!</v>
      </c>
      <c r="U39" t="e">
        <f>AND('POTENCIAL HORAS'!P349,"AAAAAD7tThQ=")</f>
        <v>#VALUE!</v>
      </c>
      <c r="V39" t="e">
        <f>AND('POTENCIAL HORAS'!#REF!,"AAAAAD7tThU=")</f>
        <v>#REF!</v>
      </c>
      <c r="W39" t="e">
        <f>AND('POTENCIAL HORAS'!#REF!,"AAAAAD7tThY=")</f>
        <v>#REF!</v>
      </c>
      <c r="X39" t="e">
        <f>AND('POTENCIAL HORAS'!#REF!,"AAAAAD7tThc=")</f>
        <v>#REF!</v>
      </c>
      <c r="Y39" t="e">
        <f>AND('POTENCIAL HORAS'!#REF!,"AAAAAD7tThg=")</f>
        <v>#REF!</v>
      </c>
      <c r="Z39">
        <f>IF('POTENCIAL HORAS'!350:350,"AAAAAD7tThk=",0)</f>
        <v>0</v>
      </c>
      <c r="AA39" t="e">
        <f>AND('POTENCIAL HORAS'!A350,"AAAAAD7tTho=")</f>
        <v>#VALUE!</v>
      </c>
      <c r="AB39" t="e">
        <f>AND('POTENCIAL HORAS'!B350,"AAAAAD7tThs=")</f>
        <v>#VALUE!</v>
      </c>
      <c r="AC39" t="e">
        <f>AND('POTENCIAL HORAS'!C350,"AAAAAD7tThw=")</f>
        <v>#VALUE!</v>
      </c>
      <c r="AD39" t="e">
        <f>AND('POTENCIAL HORAS'!D350,"AAAAAD7tTh0=")</f>
        <v>#VALUE!</v>
      </c>
      <c r="AE39" t="e">
        <f>AND('POTENCIAL HORAS'!E350,"AAAAAD7tTh4=")</f>
        <v>#VALUE!</v>
      </c>
      <c r="AF39" t="e">
        <f>AND('POTENCIAL HORAS'!F350,"AAAAAD7tTh8=")</f>
        <v>#VALUE!</v>
      </c>
      <c r="AG39" t="e">
        <f>AND('POTENCIAL HORAS'!G350,"AAAAAD7tTiA=")</f>
        <v>#VALUE!</v>
      </c>
      <c r="AH39" t="e">
        <f>AND('POTENCIAL HORAS'!H350,"AAAAAD7tTiE=")</f>
        <v>#VALUE!</v>
      </c>
      <c r="AI39" t="e">
        <f>AND('POTENCIAL HORAS'!I350,"AAAAAD7tTiI=")</f>
        <v>#VALUE!</v>
      </c>
      <c r="AJ39" t="e">
        <f>AND('POTENCIAL HORAS'!J350,"AAAAAD7tTiM=")</f>
        <v>#VALUE!</v>
      </c>
      <c r="AK39" t="e">
        <f>AND('POTENCIAL HORAS'!K350,"AAAAAD7tTiQ=")</f>
        <v>#VALUE!</v>
      </c>
      <c r="AL39" t="e">
        <f>AND('POTENCIAL HORAS'!L350,"AAAAAD7tTiU=")</f>
        <v>#VALUE!</v>
      </c>
      <c r="AM39" t="e">
        <f>AND('POTENCIAL HORAS'!M350,"AAAAAD7tTiY=")</f>
        <v>#VALUE!</v>
      </c>
      <c r="AN39" t="e">
        <f>AND('POTENCIAL HORAS'!N350,"AAAAAD7tTic=")</f>
        <v>#VALUE!</v>
      </c>
      <c r="AO39" t="e">
        <f>AND('POTENCIAL HORAS'!O350,"AAAAAD7tTig=")</f>
        <v>#VALUE!</v>
      </c>
      <c r="AP39" t="e">
        <f>AND('POTENCIAL HORAS'!P350,"AAAAAD7tTik=")</f>
        <v>#VALUE!</v>
      </c>
      <c r="AQ39" t="e">
        <f>AND('POTENCIAL HORAS'!#REF!,"AAAAAD7tTio=")</f>
        <v>#REF!</v>
      </c>
      <c r="AR39" t="e">
        <f>AND('POTENCIAL HORAS'!#REF!,"AAAAAD7tTis=")</f>
        <v>#REF!</v>
      </c>
      <c r="AS39" t="e">
        <f>AND('POTENCIAL HORAS'!#REF!,"AAAAAD7tTiw=")</f>
        <v>#REF!</v>
      </c>
      <c r="AT39" t="e">
        <f>AND('POTENCIAL HORAS'!#REF!,"AAAAAD7tTi0=")</f>
        <v>#REF!</v>
      </c>
      <c r="AU39">
        <f>IF('POTENCIAL HORAS'!351:351,"AAAAAD7tTi4=",0)</f>
        <v>0</v>
      </c>
      <c r="AV39" t="e">
        <f>AND('POTENCIAL HORAS'!A351,"AAAAAD7tTi8=")</f>
        <v>#VALUE!</v>
      </c>
      <c r="AW39" t="e">
        <f>AND('POTENCIAL HORAS'!B351,"AAAAAD7tTjA=")</f>
        <v>#VALUE!</v>
      </c>
      <c r="AX39" t="e">
        <f>AND('POTENCIAL HORAS'!C351,"AAAAAD7tTjE=")</f>
        <v>#VALUE!</v>
      </c>
      <c r="AY39" t="e">
        <f>AND('POTENCIAL HORAS'!D351,"AAAAAD7tTjI=")</f>
        <v>#VALUE!</v>
      </c>
      <c r="AZ39" t="e">
        <f>AND('POTENCIAL HORAS'!E351,"AAAAAD7tTjM=")</f>
        <v>#VALUE!</v>
      </c>
      <c r="BA39" t="e">
        <f>AND('POTENCIAL HORAS'!F351,"AAAAAD7tTjQ=")</f>
        <v>#VALUE!</v>
      </c>
      <c r="BB39" t="e">
        <f>AND('POTENCIAL HORAS'!G351,"AAAAAD7tTjU=")</f>
        <v>#VALUE!</v>
      </c>
      <c r="BC39" t="e">
        <f>AND('POTENCIAL HORAS'!H351,"AAAAAD7tTjY=")</f>
        <v>#VALUE!</v>
      </c>
      <c r="BD39" t="e">
        <f>AND('POTENCIAL HORAS'!I351,"AAAAAD7tTjc=")</f>
        <v>#VALUE!</v>
      </c>
      <c r="BE39" t="e">
        <f>AND('POTENCIAL HORAS'!J351,"AAAAAD7tTjg=")</f>
        <v>#VALUE!</v>
      </c>
      <c r="BF39" t="e">
        <f>AND('POTENCIAL HORAS'!K351,"AAAAAD7tTjk=")</f>
        <v>#VALUE!</v>
      </c>
      <c r="BG39" t="e">
        <f>AND('POTENCIAL HORAS'!L351,"AAAAAD7tTjo=")</f>
        <v>#VALUE!</v>
      </c>
      <c r="BH39" t="e">
        <f>AND('POTENCIAL HORAS'!M351,"AAAAAD7tTjs=")</f>
        <v>#VALUE!</v>
      </c>
      <c r="BI39" t="e">
        <f>AND('POTENCIAL HORAS'!N351,"AAAAAD7tTjw=")</f>
        <v>#VALUE!</v>
      </c>
      <c r="BJ39" t="e">
        <f>AND('POTENCIAL HORAS'!O351,"AAAAAD7tTj0=")</f>
        <v>#VALUE!</v>
      </c>
      <c r="BK39" t="e">
        <f>AND('POTENCIAL HORAS'!P351,"AAAAAD7tTj4=")</f>
        <v>#VALUE!</v>
      </c>
      <c r="BL39" t="e">
        <f>AND('POTENCIAL HORAS'!#REF!,"AAAAAD7tTj8=")</f>
        <v>#REF!</v>
      </c>
      <c r="BM39" t="e">
        <f>AND('POTENCIAL HORAS'!#REF!,"AAAAAD7tTkA=")</f>
        <v>#REF!</v>
      </c>
      <c r="BN39" t="e">
        <f>AND('POTENCIAL HORAS'!#REF!,"AAAAAD7tTkE=")</f>
        <v>#REF!</v>
      </c>
      <c r="BO39" t="e">
        <f>AND('POTENCIAL HORAS'!#REF!,"AAAAAD7tTkI=")</f>
        <v>#REF!</v>
      </c>
      <c r="BP39">
        <f>IF('POTENCIAL HORAS'!352:352,"AAAAAD7tTkM=",0)</f>
        <v>0</v>
      </c>
      <c r="BQ39" t="e">
        <f>AND('POTENCIAL HORAS'!A352,"AAAAAD7tTkQ=")</f>
        <v>#VALUE!</v>
      </c>
      <c r="BR39" t="e">
        <f>AND('POTENCIAL HORAS'!B352,"AAAAAD7tTkU=")</f>
        <v>#VALUE!</v>
      </c>
      <c r="BS39" t="e">
        <f>AND('POTENCIAL HORAS'!C352,"AAAAAD7tTkY=")</f>
        <v>#VALUE!</v>
      </c>
      <c r="BT39" t="e">
        <f>AND('POTENCIAL HORAS'!D352,"AAAAAD7tTkc=")</f>
        <v>#VALUE!</v>
      </c>
      <c r="BU39" t="e">
        <f>AND('POTENCIAL HORAS'!E352,"AAAAAD7tTkg=")</f>
        <v>#VALUE!</v>
      </c>
      <c r="BV39" t="e">
        <f>AND('POTENCIAL HORAS'!F352,"AAAAAD7tTkk=")</f>
        <v>#VALUE!</v>
      </c>
      <c r="BW39" t="e">
        <f>AND('POTENCIAL HORAS'!G352,"AAAAAD7tTko=")</f>
        <v>#VALUE!</v>
      </c>
      <c r="BX39" t="e">
        <f>AND('POTENCIAL HORAS'!H352,"AAAAAD7tTks=")</f>
        <v>#VALUE!</v>
      </c>
      <c r="BY39" t="e">
        <f>AND('POTENCIAL HORAS'!I352,"AAAAAD7tTkw=")</f>
        <v>#VALUE!</v>
      </c>
      <c r="BZ39" t="e">
        <f>AND('POTENCIAL HORAS'!J352,"AAAAAD7tTk0=")</f>
        <v>#VALUE!</v>
      </c>
      <c r="CA39" t="e">
        <f>AND('POTENCIAL HORAS'!K352,"AAAAAD7tTk4=")</f>
        <v>#VALUE!</v>
      </c>
      <c r="CB39" t="e">
        <f>AND('POTENCIAL HORAS'!L352,"AAAAAD7tTk8=")</f>
        <v>#VALUE!</v>
      </c>
      <c r="CC39" t="e">
        <f>AND('POTENCIAL HORAS'!M352,"AAAAAD7tTlA=")</f>
        <v>#VALUE!</v>
      </c>
      <c r="CD39" t="e">
        <f>AND('POTENCIAL HORAS'!N352,"AAAAAD7tTlE=")</f>
        <v>#VALUE!</v>
      </c>
      <c r="CE39" t="e">
        <f>AND('POTENCIAL HORAS'!O352,"AAAAAD7tTlI=")</f>
        <v>#VALUE!</v>
      </c>
      <c r="CF39" t="e">
        <f>AND('POTENCIAL HORAS'!P352,"AAAAAD7tTlM=")</f>
        <v>#VALUE!</v>
      </c>
      <c r="CG39" t="e">
        <f>AND('POTENCIAL HORAS'!#REF!,"AAAAAD7tTlQ=")</f>
        <v>#REF!</v>
      </c>
      <c r="CH39" t="e">
        <f>AND('POTENCIAL HORAS'!#REF!,"AAAAAD7tTlU=")</f>
        <v>#REF!</v>
      </c>
      <c r="CI39" t="e">
        <f>AND('POTENCIAL HORAS'!#REF!,"AAAAAD7tTlY=")</f>
        <v>#REF!</v>
      </c>
      <c r="CJ39" t="e">
        <f>AND('POTENCIAL HORAS'!#REF!,"AAAAAD7tTlc=")</f>
        <v>#REF!</v>
      </c>
      <c r="CK39">
        <f>IF('POTENCIAL HORAS'!353:353,"AAAAAD7tTlg=",0)</f>
        <v>0</v>
      </c>
      <c r="CL39" t="e">
        <f>AND('POTENCIAL HORAS'!A353,"AAAAAD7tTlk=")</f>
        <v>#VALUE!</v>
      </c>
      <c r="CM39" t="e">
        <f>AND('POTENCIAL HORAS'!B353,"AAAAAD7tTlo=")</f>
        <v>#VALUE!</v>
      </c>
      <c r="CN39" t="e">
        <f>AND('POTENCIAL HORAS'!C353,"AAAAAD7tTls=")</f>
        <v>#VALUE!</v>
      </c>
      <c r="CO39" t="e">
        <f>AND('POTENCIAL HORAS'!D353,"AAAAAD7tTlw=")</f>
        <v>#VALUE!</v>
      </c>
      <c r="CP39" t="e">
        <f>AND('POTENCIAL HORAS'!E353,"AAAAAD7tTl0=")</f>
        <v>#VALUE!</v>
      </c>
      <c r="CQ39" t="e">
        <f>AND('POTENCIAL HORAS'!F353,"AAAAAD7tTl4=")</f>
        <v>#VALUE!</v>
      </c>
      <c r="CR39" t="e">
        <f>AND('POTENCIAL HORAS'!G353,"AAAAAD7tTl8=")</f>
        <v>#VALUE!</v>
      </c>
      <c r="CS39" t="e">
        <f>AND('POTENCIAL HORAS'!H353,"AAAAAD7tTmA=")</f>
        <v>#VALUE!</v>
      </c>
      <c r="CT39" t="e">
        <f>AND('POTENCIAL HORAS'!I353,"AAAAAD7tTmE=")</f>
        <v>#VALUE!</v>
      </c>
      <c r="CU39" t="e">
        <f>AND('POTENCIAL HORAS'!J353,"AAAAAD7tTmI=")</f>
        <v>#VALUE!</v>
      </c>
      <c r="CV39" t="e">
        <f>AND('POTENCIAL HORAS'!K353,"AAAAAD7tTmM=")</f>
        <v>#VALUE!</v>
      </c>
      <c r="CW39" t="e">
        <f>AND('POTENCIAL HORAS'!L353,"AAAAAD7tTmQ=")</f>
        <v>#VALUE!</v>
      </c>
      <c r="CX39" t="e">
        <f>AND('POTENCIAL HORAS'!M353,"AAAAAD7tTmU=")</f>
        <v>#VALUE!</v>
      </c>
      <c r="CY39" t="e">
        <f>AND('POTENCIAL HORAS'!N353,"AAAAAD7tTmY=")</f>
        <v>#VALUE!</v>
      </c>
      <c r="CZ39" t="e">
        <f>AND('POTENCIAL HORAS'!O353,"AAAAAD7tTmc=")</f>
        <v>#VALUE!</v>
      </c>
      <c r="DA39" t="e">
        <f>AND('POTENCIAL HORAS'!P353,"AAAAAD7tTmg=")</f>
        <v>#VALUE!</v>
      </c>
      <c r="DB39" t="e">
        <f>AND('POTENCIAL HORAS'!#REF!,"AAAAAD7tTmk=")</f>
        <v>#REF!</v>
      </c>
      <c r="DC39" t="e">
        <f>AND('POTENCIAL HORAS'!#REF!,"AAAAAD7tTmo=")</f>
        <v>#REF!</v>
      </c>
      <c r="DD39" t="e">
        <f>AND('POTENCIAL HORAS'!#REF!,"AAAAAD7tTms=")</f>
        <v>#REF!</v>
      </c>
      <c r="DE39" t="e">
        <f>AND('POTENCIAL HORAS'!#REF!,"AAAAAD7tTmw=")</f>
        <v>#REF!</v>
      </c>
      <c r="DF39">
        <f>IF('POTENCIAL HORAS'!354:354,"AAAAAD7tTm0=",0)</f>
        <v>0</v>
      </c>
      <c r="DG39" t="e">
        <f>AND('POTENCIAL HORAS'!A354,"AAAAAD7tTm4=")</f>
        <v>#VALUE!</v>
      </c>
      <c r="DH39" t="e">
        <f>AND('POTENCIAL HORAS'!B354,"AAAAAD7tTm8=")</f>
        <v>#VALUE!</v>
      </c>
      <c r="DI39" t="e">
        <f>AND('POTENCIAL HORAS'!C354,"AAAAAD7tTnA=")</f>
        <v>#VALUE!</v>
      </c>
      <c r="DJ39" t="e">
        <f>AND('POTENCIAL HORAS'!D354,"AAAAAD7tTnE=")</f>
        <v>#VALUE!</v>
      </c>
      <c r="DK39" t="e">
        <f>AND('POTENCIAL HORAS'!E354,"AAAAAD7tTnI=")</f>
        <v>#VALUE!</v>
      </c>
      <c r="DL39" t="e">
        <f>AND('POTENCIAL HORAS'!F354,"AAAAAD7tTnM=")</f>
        <v>#VALUE!</v>
      </c>
      <c r="DM39" t="e">
        <f>AND('POTENCIAL HORAS'!G354,"AAAAAD7tTnQ=")</f>
        <v>#VALUE!</v>
      </c>
      <c r="DN39" t="e">
        <f>AND('POTENCIAL HORAS'!H354,"AAAAAD7tTnU=")</f>
        <v>#VALUE!</v>
      </c>
      <c r="DO39" t="e">
        <f>AND('POTENCIAL HORAS'!I354,"AAAAAD7tTnY=")</f>
        <v>#VALUE!</v>
      </c>
      <c r="DP39" t="e">
        <f>AND('POTENCIAL HORAS'!J354,"AAAAAD7tTnc=")</f>
        <v>#VALUE!</v>
      </c>
      <c r="DQ39" t="e">
        <f>AND('POTENCIAL HORAS'!K354,"AAAAAD7tTng=")</f>
        <v>#VALUE!</v>
      </c>
      <c r="DR39" t="e">
        <f>AND('POTENCIAL HORAS'!L354,"AAAAAD7tTnk=")</f>
        <v>#VALUE!</v>
      </c>
      <c r="DS39" t="e">
        <f>AND('POTENCIAL HORAS'!M354,"AAAAAD7tTno=")</f>
        <v>#VALUE!</v>
      </c>
      <c r="DT39" t="e">
        <f>AND('POTENCIAL HORAS'!N354,"AAAAAD7tTns=")</f>
        <v>#VALUE!</v>
      </c>
      <c r="DU39" t="e">
        <f>AND('POTENCIAL HORAS'!O354,"AAAAAD7tTnw=")</f>
        <v>#VALUE!</v>
      </c>
      <c r="DV39" t="e">
        <f>AND('POTENCIAL HORAS'!P354,"AAAAAD7tTn0=")</f>
        <v>#VALUE!</v>
      </c>
      <c r="DW39" t="e">
        <f>AND('POTENCIAL HORAS'!#REF!,"AAAAAD7tTn4=")</f>
        <v>#REF!</v>
      </c>
      <c r="DX39" t="e">
        <f>AND('POTENCIAL HORAS'!#REF!,"AAAAAD7tTn8=")</f>
        <v>#REF!</v>
      </c>
      <c r="DY39" t="e">
        <f>AND('POTENCIAL HORAS'!#REF!,"AAAAAD7tToA=")</f>
        <v>#REF!</v>
      </c>
      <c r="DZ39" t="e">
        <f>AND('POTENCIAL HORAS'!#REF!,"AAAAAD7tToE=")</f>
        <v>#REF!</v>
      </c>
      <c r="EA39" t="e">
        <f>IF('POTENCIAL HORAS'!A:A,"AAAAAD7tToI=",0)</f>
        <v>#VALUE!</v>
      </c>
      <c r="EB39" t="str">
        <f>IF('POTENCIAL HORAS'!B:B,"AAAAAD7tToM=",0)</f>
        <v>AAAAAD7tToM=</v>
      </c>
      <c r="EC39" t="e">
        <f>IF('POTENCIAL HORAS'!C:C,"AAAAAD7tToQ=",0)</f>
        <v>#VALUE!</v>
      </c>
      <c r="ED39">
        <f>IF('POTENCIAL HORAS'!D:D,"AAAAAD7tToU=",0)</f>
        <v>0</v>
      </c>
      <c r="EE39" t="str">
        <f>IF('POTENCIAL HORAS'!E:E,"AAAAAD7tToY=",0)</f>
        <v>AAAAAD7tToY=</v>
      </c>
      <c r="EF39" t="str">
        <f>IF('POTENCIAL HORAS'!F:F,"AAAAAD7tToc=",0)</f>
        <v>AAAAAD7tToc=</v>
      </c>
      <c r="EG39">
        <f>IF('POTENCIAL HORAS'!G:G,"AAAAAD7tTog=",0)</f>
        <v>0</v>
      </c>
      <c r="EH39">
        <f>IF('POTENCIAL HORAS'!H:H,"AAAAAD7tTok=",0)</f>
        <v>0</v>
      </c>
      <c r="EI39">
        <f>IF('POTENCIAL HORAS'!I:I,"AAAAAD7tToo=",0)</f>
        <v>0</v>
      </c>
      <c r="EJ39" t="str">
        <f>IF('POTENCIAL HORAS'!J:J,"AAAAAD7tTos=",0)</f>
        <v>AAAAAD7tTos=</v>
      </c>
      <c r="EK39" t="str">
        <f>IF('POTENCIAL HORAS'!K:K,"AAAAAD7tTow=",0)</f>
        <v>AAAAAD7tTow=</v>
      </c>
      <c r="EL39">
        <f>IF('POTENCIAL HORAS'!L:L,"AAAAAD7tTo0=",0)</f>
        <v>0</v>
      </c>
      <c r="EM39" t="str">
        <f>IF('POTENCIAL HORAS'!M:M,"AAAAAD7tTo4=",0)</f>
        <v>AAAAAD7tTo4=</v>
      </c>
      <c r="EN39" t="str">
        <f>IF('POTENCIAL HORAS'!N:N,"AAAAAD7tTo8=",0)</f>
        <v>AAAAAD7tTo8=</v>
      </c>
      <c r="EO39" t="str">
        <f>IF('POTENCIAL HORAS'!O:O,"AAAAAD7tTpA=",0)</f>
        <v>AAAAAD7tTpA=</v>
      </c>
      <c r="EP39" t="e">
        <f>IF('POTENCIAL HORAS'!P:P,"AAAAAD7tTpE=",0)</f>
        <v>#VALUE!</v>
      </c>
      <c r="EQ39" t="e">
        <f>IF('POTENCIAL HORAS'!#REF!,"AAAAAD7tTpI=",0)</f>
        <v>#REF!</v>
      </c>
      <c r="ER39" t="e">
        <f>IF('POTENCIAL HORAS'!#REF!,"AAAAAD7tTpM=",0)</f>
        <v>#REF!</v>
      </c>
      <c r="ES39" t="e">
        <f>IF('POTENCIAL HORAS'!#REF!,"AAAAAD7tTpQ=",0)</f>
        <v>#REF!</v>
      </c>
      <c r="ET39" t="e">
        <f>IF('POTENCIAL HORAS'!#REF!,"AAAAAD7tTpU=",0)</f>
        <v>#REF!</v>
      </c>
      <c r="EU39" t="e">
        <f>IF('POTENCIAL HORAS'!#REF!,"AAAAAD7tTpY=",0)</f>
        <v>#REF!</v>
      </c>
      <c r="EV39" t="e">
        <f>IF('POTENCIAL HORAS'!#REF!,"AAAAAD7tTpc=",0)</f>
        <v>#REF!</v>
      </c>
      <c r="EW39" t="e">
        <f>IF('POTENCIAL HORAS'!#REF!,"AAAAAD7tTpg=",0)</f>
        <v>#REF!</v>
      </c>
      <c r="EX39" t="e">
        <f>IF('POTENCIAL HORAS'!#REF!,"AAAAAD7tTpk=",0)</f>
        <v>#REF!</v>
      </c>
      <c r="EY39" t="e">
        <f>IF('POTENCIAL HORAS'!#REF!,"AAAAAD7tTpo=",0)</f>
        <v>#REF!</v>
      </c>
      <c r="EZ39" t="e">
        <f>IF('POTENCIAL HORAS'!#REF!,"AAAAAD7tTps=",0)</f>
        <v>#REF!</v>
      </c>
      <c r="FA39" t="e">
        <f>IF('POTENCIAL HORAS'!#REF!,"AAAAAD7tTpw=",0)</f>
        <v>#REF!</v>
      </c>
      <c r="FB39" t="e">
        <f>IF('POTENCIAL HORAS'!#REF!,"AAAAAD7tTp0=",0)</f>
        <v>#REF!</v>
      </c>
      <c r="FC39" t="e">
        <f>IF('POTENCIAL HORAS'!#REF!,"AAAAAD7tTp4=",0)</f>
        <v>#REF!</v>
      </c>
      <c r="FD39" t="e">
        <f>IF('POTENCIAL HORAS'!#REF!,"AAAAAD7tTp8=",0)</f>
        <v>#REF!</v>
      </c>
      <c r="FE39" t="e">
        <f>IF('POTENCIAL HORAS'!#REF!,"AAAAAD7tTqA=",0)</f>
        <v>#REF!</v>
      </c>
      <c r="FF39" t="e">
        <f>IF('POTENCIAL HORAS'!#REF!,"AAAAAD7tTqE=",0)</f>
        <v>#REF!</v>
      </c>
      <c r="FG39" t="e">
        <f>IF('POTENCIAL HORAS'!#REF!,"AAAAAD7tTqI=",0)</f>
        <v>#REF!</v>
      </c>
      <c r="FH39" t="e">
        <f>IF('POTENCIAL HORAS'!#REF!,"AAAAAD7tTqM=",0)</f>
        <v>#REF!</v>
      </c>
      <c r="FI39" t="e">
        <f>IF('POTENCIAL HORAS'!#REF!,"AAAAAD7tTqQ=",0)</f>
        <v>#REF!</v>
      </c>
      <c r="FJ39" t="e">
        <f>IF('POTENCIAL HORAS'!#REF!,"AAAAAD7tTqU=",0)</f>
        <v>#REF!</v>
      </c>
      <c r="FK39">
        <f>IF('POTENCIAL HORAS'!Q:Q,"AAAAAD7tTqY=",0)</f>
        <v>0</v>
      </c>
      <c r="FL39">
        <f>IF('POTENCIAL HORAS'!R:R,"AAAAAD7tTqc=",0)</f>
        <v>0</v>
      </c>
      <c r="FM39">
        <f>IF('PROG FORMACIÓN TITULADA'!1:1,"AAAAAD7tTqg=",0)</f>
        <v>0</v>
      </c>
      <c r="FN39" t="e">
        <f>AND('PROG FORMACIÓN TITULADA'!A1,"AAAAAD7tTqk=")</f>
        <v>#VALUE!</v>
      </c>
      <c r="FO39" t="e">
        <f>AND('PROG FORMACIÓN TITULADA'!B1,"AAAAAD7tTqo=")</f>
        <v>#VALUE!</v>
      </c>
      <c r="FP39" t="e">
        <f>AND('PROG FORMACIÓN TITULADA'!C1,"AAAAAD7tTqs=")</f>
        <v>#VALUE!</v>
      </c>
      <c r="FQ39" t="e">
        <f>AND('PROG FORMACIÓN TITULADA'!D1,"AAAAAD7tTqw=")</f>
        <v>#VALUE!</v>
      </c>
      <c r="FR39" t="e">
        <f>AND('PROG FORMACIÓN TITULADA'!E1,"AAAAAD7tTq0=")</f>
        <v>#VALUE!</v>
      </c>
      <c r="FS39" t="e">
        <f>AND('PROG FORMACIÓN TITULADA'!F1,"AAAAAD7tTq4=")</f>
        <v>#VALUE!</v>
      </c>
      <c r="FT39" t="e">
        <f>AND('PROG FORMACIÓN TITULADA'!G1,"AAAAAD7tTq8=")</f>
        <v>#VALUE!</v>
      </c>
      <c r="FU39" t="e">
        <f>AND('PROG FORMACIÓN TITULADA'!H1,"AAAAAD7tTrA=")</f>
        <v>#VALUE!</v>
      </c>
      <c r="FV39" t="e">
        <f>AND('PROG FORMACIÓN TITULADA'!I1,"AAAAAD7tTrE=")</f>
        <v>#VALUE!</v>
      </c>
      <c r="FW39" t="e">
        <f>AND('PROG FORMACIÓN TITULADA'!J1,"AAAAAD7tTrI=")</f>
        <v>#VALUE!</v>
      </c>
      <c r="FX39" t="e">
        <f>AND('PROG FORMACIÓN TITULADA'!K1,"AAAAAD7tTrM=")</f>
        <v>#VALUE!</v>
      </c>
      <c r="FY39" t="e">
        <f>AND('PROG FORMACIÓN TITULADA'!L1,"AAAAAD7tTrQ=")</f>
        <v>#VALUE!</v>
      </c>
      <c r="FZ39" t="e">
        <f>AND('PROG FORMACIÓN TITULADA'!M1,"AAAAAD7tTrU=")</f>
        <v>#VALUE!</v>
      </c>
      <c r="GA39" t="e">
        <f>AND('PROG FORMACIÓN TITULADA'!N1,"AAAAAD7tTrY=")</f>
        <v>#VALUE!</v>
      </c>
      <c r="GB39" t="e">
        <f>AND('PROG FORMACIÓN TITULADA'!O1,"AAAAAD7tTrc=")</f>
        <v>#VALUE!</v>
      </c>
      <c r="GC39" t="e">
        <f>AND('PROG FORMACIÓN TITULADA'!P1,"AAAAAD7tTrg=")</f>
        <v>#VALUE!</v>
      </c>
      <c r="GD39" t="e">
        <f>AND('PROG FORMACIÓN TITULADA'!Q1,"AAAAAD7tTrk=")</f>
        <v>#VALUE!</v>
      </c>
      <c r="GE39" t="e">
        <f>AND('PROG FORMACIÓN TITULADA'!R1,"AAAAAD7tTro=")</f>
        <v>#VALUE!</v>
      </c>
      <c r="GF39" t="e">
        <f>AND('PROG FORMACIÓN TITULADA'!S1,"AAAAAD7tTrs=")</f>
        <v>#VALUE!</v>
      </c>
      <c r="GG39" t="e">
        <f>AND('PROG FORMACIÓN TITULADA'!T1,"AAAAAD7tTrw=")</f>
        <v>#VALUE!</v>
      </c>
      <c r="GH39" t="e">
        <f>AND('PROG FORMACIÓN TITULADA'!U1,"AAAAAD7tTr0=")</f>
        <v>#VALUE!</v>
      </c>
      <c r="GI39" t="e">
        <f>AND('PROG FORMACIÓN TITULADA'!V1,"AAAAAD7tTr4=")</f>
        <v>#VALUE!</v>
      </c>
      <c r="GJ39" t="e">
        <f>AND('PROG FORMACIÓN TITULADA'!W1,"AAAAAD7tTr8=")</f>
        <v>#VALUE!</v>
      </c>
      <c r="GK39" t="e">
        <f>AND('PROG FORMACIÓN TITULADA'!X1,"AAAAAD7tTsA=")</f>
        <v>#VALUE!</v>
      </c>
      <c r="GL39" t="e">
        <f>AND('PROG FORMACIÓN TITULADA'!Y1,"AAAAAD7tTsE=")</f>
        <v>#VALUE!</v>
      </c>
      <c r="GM39" t="e">
        <f>AND('PROG FORMACIÓN TITULADA'!Z1,"AAAAAD7tTsI=")</f>
        <v>#VALUE!</v>
      </c>
      <c r="GN39">
        <f>IF('PROG FORMACIÓN TITULADA'!2:2,"AAAAAD7tTsM=",0)</f>
        <v>0</v>
      </c>
      <c r="GO39" t="e">
        <f>AND('PROG FORMACIÓN TITULADA'!A2,"AAAAAD7tTsQ=")</f>
        <v>#VALUE!</v>
      </c>
      <c r="GP39" t="e">
        <f>AND('PROG FORMACIÓN TITULADA'!B2,"AAAAAD7tTsU=")</f>
        <v>#VALUE!</v>
      </c>
      <c r="GQ39" t="e">
        <f>AND('PROG FORMACIÓN TITULADA'!C2,"AAAAAD7tTsY=")</f>
        <v>#VALUE!</v>
      </c>
      <c r="GR39" t="e">
        <f>AND('PROG FORMACIÓN TITULADA'!D2,"AAAAAD7tTsc=")</f>
        <v>#VALUE!</v>
      </c>
      <c r="GS39" t="e">
        <f>AND('PROG FORMACIÓN TITULADA'!E2,"AAAAAD7tTsg=")</f>
        <v>#VALUE!</v>
      </c>
      <c r="GT39" t="e">
        <f>AND('PROG FORMACIÓN TITULADA'!F2,"AAAAAD7tTsk=")</f>
        <v>#VALUE!</v>
      </c>
      <c r="GU39" t="e">
        <f>AND('PROG FORMACIÓN TITULADA'!G2,"AAAAAD7tTso=")</f>
        <v>#VALUE!</v>
      </c>
      <c r="GV39" t="e">
        <f>AND('PROG FORMACIÓN TITULADA'!H2,"AAAAAD7tTss=")</f>
        <v>#VALUE!</v>
      </c>
      <c r="GW39" t="e">
        <f>AND('PROG FORMACIÓN TITULADA'!I2,"AAAAAD7tTsw=")</f>
        <v>#VALUE!</v>
      </c>
      <c r="GX39" t="e">
        <f>AND('PROG FORMACIÓN TITULADA'!J2,"AAAAAD7tTs0=")</f>
        <v>#VALUE!</v>
      </c>
      <c r="GY39" t="e">
        <f>AND('PROG FORMACIÓN TITULADA'!K2,"AAAAAD7tTs4=")</f>
        <v>#VALUE!</v>
      </c>
      <c r="GZ39" t="e">
        <f>AND('PROG FORMACIÓN TITULADA'!L2,"AAAAAD7tTs8=")</f>
        <v>#VALUE!</v>
      </c>
      <c r="HA39" t="e">
        <f>AND('PROG FORMACIÓN TITULADA'!M2,"AAAAAD7tTtA=")</f>
        <v>#VALUE!</v>
      </c>
      <c r="HB39" t="e">
        <f>AND('PROG FORMACIÓN TITULADA'!N2,"AAAAAD7tTtE=")</f>
        <v>#VALUE!</v>
      </c>
      <c r="HC39" t="e">
        <f>AND('PROG FORMACIÓN TITULADA'!O2,"AAAAAD7tTtI=")</f>
        <v>#VALUE!</v>
      </c>
      <c r="HD39" t="e">
        <f>AND('PROG FORMACIÓN TITULADA'!P2,"AAAAAD7tTtM=")</f>
        <v>#VALUE!</v>
      </c>
      <c r="HE39" t="e">
        <f>AND('PROG FORMACIÓN TITULADA'!Q2,"AAAAAD7tTtQ=")</f>
        <v>#VALUE!</v>
      </c>
      <c r="HF39" t="e">
        <f>AND('PROG FORMACIÓN TITULADA'!R2,"AAAAAD7tTtU=")</f>
        <v>#VALUE!</v>
      </c>
      <c r="HG39" t="e">
        <f>AND('PROG FORMACIÓN TITULADA'!S2,"AAAAAD7tTtY=")</f>
        <v>#VALUE!</v>
      </c>
      <c r="HH39" t="e">
        <f>AND('PROG FORMACIÓN TITULADA'!T2,"AAAAAD7tTtc=")</f>
        <v>#VALUE!</v>
      </c>
      <c r="HI39" t="e">
        <f>AND('PROG FORMACIÓN TITULADA'!U2,"AAAAAD7tTtg=")</f>
        <v>#VALUE!</v>
      </c>
      <c r="HJ39" t="e">
        <f>AND('PROG FORMACIÓN TITULADA'!V2,"AAAAAD7tTtk=")</f>
        <v>#VALUE!</v>
      </c>
      <c r="HK39" t="e">
        <f>AND('PROG FORMACIÓN TITULADA'!W2,"AAAAAD7tTto=")</f>
        <v>#VALUE!</v>
      </c>
      <c r="HL39" t="e">
        <f>AND('PROG FORMACIÓN TITULADA'!X2,"AAAAAD7tTts=")</f>
        <v>#VALUE!</v>
      </c>
      <c r="HM39" t="e">
        <f>AND('PROG FORMACIÓN TITULADA'!Y2,"AAAAAD7tTtw=")</f>
        <v>#VALUE!</v>
      </c>
      <c r="HN39" t="e">
        <f>AND('PROG FORMACIÓN TITULADA'!Z2,"AAAAAD7tTt0=")</f>
        <v>#VALUE!</v>
      </c>
      <c r="HO39">
        <f>IF('PROG FORMACIÓN TITULADA'!3:3,"AAAAAD7tTt4=",0)</f>
        <v>0</v>
      </c>
      <c r="HP39" t="e">
        <f>AND('PROG FORMACIÓN TITULADA'!A3,"AAAAAD7tTt8=")</f>
        <v>#VALUE!</v>
      </c>
      <c r="HQ39" t="e">
        <f>AND('PROG FORMACIÓN TITULADA'!B3,"AAAAAD7tTuA=")</f>
        <v>#VALUE!</v>
      </c>
      <c r="HR39" t="e">
        <f>AND('PROG FORMACIÓN TITULADA'!C3,"AAAAAD7tTuE=")</f>
        <v>#VALUE!</v>
      </c>
      <c r="HS39" t="e">
        <f>AND('PROG FORMACIÓN TITULADA'!D3,"AAAAAD7tTuI=")</f>
        <v>#VALUE!</v>
      </c>
      <c r="HT39" t="e">
        <f>AND('PROG FORMACIÓN TITULADA'!E3,"AAAAAD7tTuM=")</f>
        <v>#VALUE!</v>
      </c>
      <c r="HU39" t="e">
        <f>AND('PROG FORMACIÓN TITULADA'!F3,"AAAAAD7tTuQ=")</f>
        <v>#VALUE!</v>
      </c>
      <c r="HV39" t="e">
        <f>AND('PROG FORMACIÓN TITULADA'!G3,"AAAAAD7tTuU=")</f>
        <v>#VALUE!</v>
      </c>
      <c r="HW39" t="e">
        <f>AND('PROG FORMACIÓN TITULADA'!H3,"AAAAAD7tTuY=")</f>
        <v>#VALUE!</v>
      </c>
      <c r="HX39" t="e">
        <f>AND('PROG FORMACIÓN TITULADA'!I3,"AAAAAD7tTuc=")</f>
        <v>#VALUE!</v>
      </c>
      <c r="HY39" t="e">
        <f>AND('PROG FORMACIÓN TITULADA'!J3,"AAAAAD7tTug=")</f>
        <v>#VALUE!</v>
      </c>
      <c r="HZ39" t="e">
        <f>AND('PROG FORMACIÓN TITULADA'!K3,"AAAAAD7tTuk=")</f>
        <v>#VALUE!</v>
      </c>
      <c r="IA39" t="e">
        <f>AND('PROG FORMACIÓN TITULADA'!L3,"AAAAAD7tTuo=")</f>
        <v>#VALUE!</v>
      </c>
      <c r="IB39" t="e">
        <f>AND('PROG FORMACIÓN TITULADA'!M3,"AAAAAD7tTus=")</f>
        <v>#VALUE!</v>
      </c>
      <c r="IC39" t="e">
        <f>AND('PROG FORMACIÓN TITULADA'!N3,"AAAAAD7tTuw=")</f>
        <v>#VALUE!</v>
      </c>
      <c r="ID39" t="e">
        <f>AND('PROG FORMACIÓN TITULADA'!O3,"AAAAAD7tTu0=")</f>
        <v>#VALUE!</v>
      </c>
      <c r="IE39" t="e">
        <f>AND('PROG FORMACIÓN TITULADA'!P3,"AAAAAD7tTu4=")</f>
        <v>#VALUE!</v>
      </c>
      <c r="IF39" t="e">
        <f>AND('PROG FORMACIÓN TITULADA'!Q3,"AAAAAD7tTu8=")</f>
        <v>#VALUE!</v>
      </c>
      <c r="IG39" t="e">
        <f>AND('PROG FORMACIÓN TITULADA'!R3,"AAAAAD7tTvA=")</f>
        <v>#VALUE!</v>
      </c>
      <c r="IH39" t="e">
        <f>AND('PROG FORMACIÓN TITULADA'!S3,"AAAAAD7tTvE=")</f>
        <v>#VALUE!</v>
      </c>
      <c r="II39" t="e">
        <f>AND('PROG FORMACIÓN TITULADA'!T3,"AAAAAD7tTvI=")</f>
        <v>#VALUE!</v>
      </c>
      <c r="IJ39" t="e">
        <f>AND('PROG FORMACIÓN TITULADA'!U3,"AAAAAD7tTvM=")</f>
        <v>#VALUE!</v>
      </c>
      <c r="IK39" t="e">
        <f>AND('PROG FORMACIÓN TITULADA'!V3,"AAAAAD7tTvQ=")</f>
        <v>#VALUE!</v>
      </c>
      <c r="IL39" t="e">
        <f>AND('PROG FORMACIÓN TITULADA'!W3,"AAAAAD7tTvU=")</f>
        <v>#VALUE!</v>
      </c>
      <c r="IM39" t="e">
        <f>AND('PROG FORMACIÓN TITULADA'!X3,"AAAAAD7tTvY=")</f>
        <v>#VALUE!</v>
      </c>
      <c r="IN39" t="e">
        <f>AND('PROG FORMACIÓN TITULADA'!Y3,"AAAAAD7tTvc=")</f>
        <v>#VALUE!</v>
      </c>
      <c r="IO39" t="e">
        <f>AND('PROG FORMACIÓN TITULADA'!Z3,"AAAAAD7tTvg=")</f>
        <v>#VALUE!</v>
      </c>
      <c r="IP39">
        <f>IF('PROG FORMACIÓN TITULADA'!4:4,"AAAAAD7tTvk=",0)</f>
        <v>0</v>
      </c>
      <c r="IQ39" t="e">
        <f>AND('PROG FORMACIÓN TITULADA'!A4,"AAAAAD7tTvo=")</f>
        <v>#VALUE!</v>
      </c>
      <c r="IR39" t="e">
        <f>AND('PROG FORMACIÓN TITULADA'!B4,"AAAAAD7tTvs=")</f>
        <v>#VALUE!</v>
      </c>
      <c r="IS39" t="e">
        <f>AND('PROG FORMACIÓN TITULADA'!C4,"AAAAAD7tTvw=")</f>
        <v>#VALUE!</v>
      </c>
      <c r="IT39" t="e">
        <f>AND('PROG FORMACIÓN TITULADA'!D4,"AAAAAD7tTv0=")</f>
        <v>#VALUE!</v>
      </c>
      <c r="IU39" t="e">
        <f>AND('PROG FORMACIÓN TITULADA'!E4,"AAAAAD7tTv4=")</f>
        <v>#VALUE!</v>
      </c>
      <c r="IV39" t="e">
        <f>AND('PROG FORMACIÓN TITULADA'!F4,"AAAAAD7tTv8=")</f>
        <v>#VALUE!</v>
      </c>
    </row>
    <row r="40" spans="1:256" x14ac:dyDescent="0.2">
      <c r="A40" t="e">
        <f>AND('PROG FORMACIÓN TITULADA'!G4,"AAAAAH213gA=")</f>
        <v>#VALUE!</v>
      </c>
      <c r="B40" t="e">
        <f>AND('PROG FORMACIÓN TITULADA'!H4,"AAAAAH213gE=")</f>
        <v>#VALUE!</v>
      </c>
      <c r="C40" t="e">
        <f>AND('PROG FORMACIÓN TITULADA'!I4,"AAAAAH213gI=")</f>
        <v>#VALUE!</v>
      </c>
      <c r="D40" t="e">
        <f>AND('PROG FORMACIÓN TITULADA'!J4,"AAAAAH213gM=")</f>
        <v>#VALUE!</v>
      </c>
      <c r="E40" t="e">
        <f>AND('PROG FORMACIÓN TITULADA'!K4,"AAAAAH213gQ=")</f>
        <v>#VALUE!</v>
      </c>
      <c r="F40" t="e">
        <f>AND('PROG FORMACIÓN TITULADA'!L4,"AAAAAH213gU=")</f>
        <v>#VALUE!</v>
      </c>
      <c r="G40" t="e">
        <f>AND('PROG FORMACIÓN TITULADA'!M4,"AAAAAH213gY=")</f>
        <v>#VALUE!</v>
      </c>
      <c r="H40" t="e">
        <f>AND('PROG FORMACIÓN TITULADA'!N4,"AAAAAH213gc=")</f>
        <v>#VALUE!</v>
      </c>
      <c r="I40" t="e">
        <f>AND('PROG FORMACIÓN TITULADA'!O4,"AAAAAH213gg=")</f>
        <v>#VALUE!</v>
      </c>
      <c r="J40" t="e">
        <f>AND('PROG FORMACIÓN TITULADA'!P4,"AAAAAH213gk=")</f>
        <v>#VALUE!</v>
      </c>
      <c r="K40" t="e">
        <f>AND('PROG FORMACIÓN TITULADA'!Q4,"AAAAAH213go=")</f>
        <v>#VALUE!</v>
      </c>
      <c r="L40" t="e">
        <f>AND('PROG FORMACIÓN TITULADA'!R4,"AAAAAH213gs=")</f>
        <v>#VALUE!</v>
      </c>
      <c r="M40" t="e">
        <f>AND('PROG FORMACIÓN TITULADA'!S4,"AAAAAH213gw=")</f>
        <v>#VALUE!</v>
      </c>
      <c r="N40" t="e">
        <f>AND('PROG FORMACIÓN TITULADA'!T4,"AAAAAH213g0=")</f>
        <v>#VALUE!</v>
      </c>
      <c r="O40" t="e">
        <f>AND('PROG FORMACIÓN TITULADA'!U4,"AAAAAH213g4=")</f>
        <v>#VALUE!</v>
      </c>
      <c r="P40" t="e">
        <f>AND('PROG FORMACIÓN TITULADA'!V4,"AAAAAH213g8=")</f>
        <v>#VALUE!</v>
      </c>
      <c r="Q40" t="e">
        <f>AND('PROG FORMACIÓN TITULADA'!W4,"AAAAAH213hA=")</f>
        <v>#VALUE!</v>
      </c>
      <c r="R40" t="e">
        <f>AND('PROG FORMACIÓN TITULADA'!X4,"AAAAAH213hE=")</f>
        <v>#VALUE!</v>
      </c>
      <c r="S40" t="e">
        <f>AND('PROG FORMACIÓN TITULADA'!Y4,"AAAAAH213hI=")</f>
        <v>#VALUE!</v>
      </c>
      <c r="T40" t="e">
        <f>AND('PROG FORMACIÓN TITULADA'!Z4,"AAAAAH213hM=")</f>
        <v>#VALUE!</v>
      </c>
      <c r="U40" t="str">
        <f>IF('PROG FORMACIÓN TITULADA'!5:5,"AAAAAH213hQ=",0)</f>
        <v>AAAAAH213hQ=</v>
      </c>
      <c r="V40" t="e">
        <f>AND('PROG FORMACIÓN TITULADA'!A5,"AAAAAH213hU=")</f>
        <v>#VALUE!</v>
      </c>
      <c r="W40" t="e">
        <f>AND('PROG FORMACIÓN TITULADA'!B5,"AAAAAH213hY=")</f>
        <v>#VALUE!</v>
      </c>
      <c r="X40" t="e">
        <f>AND('PROG FORMACIÓN TITULADA'!C5,"AAAAAH213hc=")</f>
        <v>#VALUE!</v>
      </c>
      <c r="Y40" t="e">
        <f>AND('PROG FORMACIÓN TITULADA'!D5,"AAAAAH213hg=")</f>
        <v>#VALUE!</v>
      </c>
      <c r="Z40" t="e">
        <f>AND('PROG FORMACIÓN TITULADA'!E5,"AAAAAH213hk=")</f>
        <v>#VALUE!</v>
      </c>
      <c r="AA40" t="e">
        <f>AND('PROG FORMACIÓN TITULADA'!F5,"AAAAAH213ho=")</f>
        <v>#VALUE!</v>
      </c>
      <c r="AB40" t="e">
        <f>AND('PROG FORMACIÓN TITULADA'!G5,"AAAAAH213hs=")</f>
        <v>#VALUE!</v>
      </c>
      <c r="AC40" t="e">
        <f>AND('PROG FORMACIÓN TITULADA'!H5,"AAAAAH213hw=")</f>
        <v>#VALUE!</v>
      </c>
      <c r="AD40" t="e">
        <f>AND('PROG FORMACIÓN TITULADA'!I5,"AAAAAH213h0=")</f>
        <v>#VALUE!</v>
      </c>
      <c r="AE40" t="e">
        <f>AND('PROG FORMACIÓN TITULADA'!J5,"AAAAAH213h4=")</f>
        <v>#VALUE!</v>
      </c>
      <c r="AF40" t="e">
        <f>AND('PROG FORMACIÓN TITULADA'!K5,"AAAAAH213h8=")</f>
        <v>#VALUE!</v>
      </c>
      <c r="AG40" t="e">
        <f>AND('PROG FORMACIÓN TITULADA'!L5,"AAAAAH213iA=")</f>
        <v>#VALUE!</v>
      </c>
      <c r="AH40" t="e">
        <f>AND('PROG FORMACIÓN TITULADA'!M5,"AAAAAH213iE=")</f>
        <v>#VALUE!</v>
      </c>
      <c r="AI40" t="e">
        <f>AND('PROG FORMACIÓN TITULADA'!N5,"AAAAAH213iI=")</f>
        <v>#VALUE!</v>
      </c>
      <c r="AJ40" t="e">
        <f>AND('PROG FORMACIÓN TITULADA'!O5,"AAAAAH213iM=")</f>
        <v>#VALUE!</v>
      </c>
      <c r="AK40" t="e">
        <f>AND('PROG FORMACIÓN TITULADA'!P5,"AAAAAH213iQ=")</f>
        <v>#VALUE!</v>
      </c>
      <c r="AL40" t="e">
        <f>AND('PROG FORMACIÓN TITULADA'!Q5,"AAAAAH213iU=")</f>
        <v>#VALUE!</v>
      </c>
      <c r="AM40" t="e">
        <f>AND('PROG FORMACIÓN TITULADA'!R5,"AAAAAH213iY=")</f>
        <v>#VALUE!</v>
      </c>
      <c r="AN40" t="e">
        <f>AND('PROG FORMACIÓN TITULADA'!S5,"AAAAAH213ic=")</f>
        <v>#VALUE!</v>
      </c>
      <c r="AO40" t="e">
        <f>AND('PROG FORMACIÓN TITULADA'!T5,"AAAAAH213ig=")</f>
        <v>#VALUE!</v>
      </c>
      <c r="AP40" t="e">
        <f>AND('PROG FORMACIÓN TITULADA'!U5,"AAAAAH213ik=")</f>
        <v>#VALUE!</v>
      </c>
      <c r="AQ40" t="e">
        <f>AND('PROG FORMACIÓN TITULADA'!V5,"AAAAAH213io=")</f>
        <v>#VALUE!</v>
      </c>
      <c r="AR40" t="e">
        <f>AND('PROG FORMACIÓN TITULADA'!W5,"AAAAAH213is=")</f>
        <v>#VALUE!</v>
      </c>
      <c r="AS40" t="e">
        <f>AND('PROG FORMACIÓN TITULADA'!X5,"AAAAAH213iw=")</f>
        <v>#VALUE!</v>
      </c>
      <c r="AT40" t="e">
        <f>AND('PROG FORMACIÓN TITULADA'!Y5,"AAAAAH213i0=")</f>
        <v>#VALUE!</v>
      </c>
      <c r="AU40" t="e">
        <f>AND('PROG FORMACIÓN TITULADA'!Z5,"AAAAAH213i4=")</f>
        <v>#VALUE!</v>
      </c>
      <c r="AV40">
        <f>IF('PROG FORMACIÓN TITULADA'!6:6,"AAAAAH213i8=",0)</f>
        <v>0</v>
      </c>
      <c r="AW40" t="e">
        <f>AND('PROG FORMACIÓN TITULADA'!A6,"AAAAAH213jA=")</f>
        <v>#VALUE!</v>
      </c>
      <c r="AX40" t="e">
        <f>AND('PROG FORMACIÓN TITULADA'!B6,"AAAAAH213jE=")</f>
        <v>#VALUE!</v>
      </c>
      <c r="AY40" t="e">
        <f>AND('PROG FORMACIÓN TITULADA'!C6,"AAAAAH213jI=")</f>
        <v>#VALUE!</v>
      </c>
      <c r="AZ40" t="e">
        <f>AND('PROG FORMACIÓN TITULADA'!D6,"AAAAAH213jM=")</f>
        <v>#VALUE!</v>
      </c>
      <c r="BA40" t="e">
        <f>AND('PROG FORMACIÓN TITULADA'!E6,"AAAAAH213jQ=")</f>
        <v>#VALUE!</v>
      </c>
      <c r="BB40" t="e">
        <f>AND('PROG FORMACIÓN TITULADA'!F6,"AAAAAH213jU=")</f>
        <v>#VALUE!</v>
      </c>
      <c r="BC40" t="e">
        <f>AND('PROG FORMACIÓN TITULADA'!G6,"AAAAAH213jY=")</f>
        <v>#VALUE!</v>
      </c>
      <c r="BD40" t="e">
        <f>AND('PROG FORMACIÓN TITULADA'!H6,"AAAAAH213jc=")</f>
        <v>#VALUE!</v>
      </c>
      <c r="BE40" t="e">
        <f>AND('PROG FORMACIÓN TITULADA'!I6,"AAAAAH213jg=")</f>
        <v>#VALUE!</v>
      </c>
      <c r="BF40" t="e">
        <f>AND('PROG FORMACIÓN TITULADA'!J6,"AAAAAH213jk=")</f>
        <v>#VALUE!</v>
      </c>
      <c r="BG40" t="e">
        <f>AND('PROG FORMACIÓN TITULADA'!K6,"AAAAAH213jo=")</f>
        <v>#VALUE!</v>
      </c>
      <c r="BH40" t="e">
        <f>AND('PROG FORMACIÓN TITULADA'!L6,"AAAAAH213js=")</f>
        <v>#VALUE!</v>
      </c>
      <c r="BI40" t="e">
        <f>AND('PROG FORMACIÓN TITULADA'!M6,"AAAAAH213jw=")</f>
        <v>#VALUE!</v>
      </c>
      <c r="BJ40" t="e">
        <f>AND('PROG FORMACIÓN TITULADA'!N6,"AAAAAH213j0=")</f>
        <v>#VALUE!</v>
      </c>
      <c r="BK40" t="e">
        <f>AND('PROG FORMACIÓN TITULADA'!O6,"AAAAAH213j4=")</f>
        <v>#VALUE!</v>
      </c>
      <c r="BL40" t="e">
        <f>AND('PROG FORMACIÓN TITULADA'!P6,"AAAAAH213j8=")</f>
        <v>#VALUE!</v>
      </c>
      <c r="BM40" t="e">
        <f>AND('PROG FORMACIÓN TITULADA'!Q6,"AAAAAH213kA=")</f>
        <v>#VALUE!</v>
      </c>
      <c r="BN40" t="e">
        <f>AND('PROG FORMACIÓN TITULADA'!R6,"AAAAAH213kE=")</f>
        <v>#VALUE!</v>
      </c>
      <c r="BO40" t="e">
        <f>AND('PROG FORMACIÓN TITULADA'!S6,"AAAAAH213kI=")</f>
        <v>#VALUE!</v>
      </c>
      <c r="BP40" t="e">
        <f>AND('PROG FORMACIÓN TITULADA'!T6,"AAAAAH213kM=")</f>
        <v>#VALUE!</v>
      </c>
      <c r="BQ40" t="e">
        <f>AND('PROG FORMACIÓN TITULADA'!U6,"AAAAAH213kQ=")</f>
        <v>#VALUE!</v>
      </c>
      <c r="BR40" t="e">
        <f>AND('PROG FORMACIÓN TITULADA'!V6,"AAAAAH213kU=")</f>
        <v>#VALUE!</v>
      </c>
      <c r="BS40" t="e">
        <f>AND('PROG FORMACIÓN TITULADA'!W6,"AAAAAH213kY=")</f>
        <v>#VALUE!</v>
      </c>
      <c r="BT40" t="e">
        <f>AND('PROG FORMACIÓN TITULADA'!X6,"AAAAAH213kc=")</f>
        <v>#VALUE!</v>
      </c>
      <c r="BU40" t="e">
        <f>AND('PROG FORMACIÓN TITULADA'!Y6,"AAAAAH213kg=")</f>
        <v>#VALUE!</v>
      </c>
      <c r="BV40" t="e">
        <f>AND('PROG FORMACIÓN TITULADA'!Z6,"AAAAAH213kk=")</f>
        <v>#VALUE!</v>
      </c>
      <c r="BW40">
        <f>IF('PROG FORMACIÓN TITULADA'!7:7,"AAAAAH213ko=",0)</f>
        <v>0</v>
      </c>
      <c r="BX40" t="e">
        <f>AND('PROG FORMACIÓN TITULADA'!A7,"AAAAAH213ks=")</f>
        <v>#VALUE!</v>
      </c>
      <c r="BY40" t="e">
        <f>AND('PROG FORMACIÓN TITULADA'!B7,"AAAAAH213kw=")</f>
        <v>#VALUE!</v>
      </c>
      <c r="BZ40" t="e">
        <f>AND('PROG FORMACIÓN TITULADA'!C7,"AAAAAH213k0=")</f>
        <v>#VALUE!</v>
      </c>
      <c r="CA40" t="e">
        <f>AND('PROG FORMACIÓN TITULADA'!D7,"AAAAAH213k4=")</f>
        <v>#VALUE!</v>
      </c>
      <c r="CB40" t="e">
        <f>AND('PROG FORMACIÓN TITULADA'!E7,"AAAAAH213k8=")</f>
        <v>#VALUE!</v>
      </c>
      <c r="CC40" t="e">
        <f>AND('PROG FORMACIÓN TITULADA'!F7,"AAAAAH213lA=")</f>
        <v>#VALUE!</v>
      </c>
      <c r="CD40" t="e">
        <f>AND('PROG FORMACIÓN TITULADA'!G7,"AAAAAH213lE=")</f>
        <v>#VALUE!</v>
      </c>
      <c r="CE40" t="e">
        <f>AND('PROG FORMACIÓN TITULADA'!H7,"AAAAAH213lI=")</f>
        <v>#VALUE!</v>
      </c>
      <c r="CF40" t="e">
        <f>AND('PROG FORMACIÓN TITULADA'!I7,"AAAAAH213lM=")</f>
        <v>#VALUE!</v>
      </c>
      <c r="CG40" t="e">
        <f>AND('PROG FORMACIÓN TITULADA'!J7,"AAAAAH213lQ=")</f>
        <v>#VALUE!</v>
      </c>
      <c r="CH40" t="e">
        <f>AND('PROG FORMACIÓN TITULADA'!K7,"AAAAAH213lU=")</f>
        <v>#VALUE!</v>
      </c>
      <c r="CI40" t="e">
        <f>AND('PROG FORMACIÓN TITULADA'!L7,"AAAAAH213lY=")</f>
        <v>#VALUE!</v>
      </c>
      <c r="CJ40" t="e">
        <f>AND('PROG FORMACIÓN TITULADA'!M7,"AAAAAH213lc=")</f>
        <v>#VALUE!</v>
      </c>
      <c r="CK40" t="e">
        <f>AND('PROG FORMACIÓN TITULADA'!N7,"AAAAAH213lg=")</f>
        <v>#VALUE!</v>
      </c>
      <c r="CL40" t="e">
        <f>AND('PROG FORMACIÓN TITULADA'!O7,"AAAAAH213lk=")</f>
        <v>#VALUE!</v>
      </c>
      <c r="CM40" t="e">
        <f>AND('PROG FORMACIÓN TITULADA'!P7,"AAAAAH213lo=")</f>
        <v>#VALUE!</v>
      </c>
      <c r="CN40" t="e">
        <f>AND('PROG FORMACIÓN TITULADA'!Q7,"AAAAAH213ls=")</f>
        <v>#VALUE!</v>
      </c>
      <c r="CO40" t="e">
        <f>AND('PROG FORMACIÓN TITULADA'!R7,"AAAAAH213lw=")</f>
        <v>#VALUE!</v>
      </c>
      <c r="CP40" t="e">
        <f>AND('PROG FORMACIÓN TITULADA'!S7,"AAAAAH213l0=")</f>
        <v>#VALUE!</v>
      </c>
      <c r="CQ40" t="e">
        <f>AND('PROG FORMACIÓN TITULADA'!T7,"AAAAAH213l4=")</f>
        <v>#VALUE!</v>
      </c>
      <c r="CR40" t="e">
        <f>AND('PROG FORMACIÓN TITULADA'!U7,"AAAAAH213l8=")</f>
        <v>#VALUE!</v>
      </c>
      <c r="CS40" t="e">
        <f>AND('PROG FORMACIÓN TITULADA'!V7,"AAAAAH213mA=")</f>
        <v>#VALUE!</v>
      </c>
      <c r="CT40" t="e">
        <f>AND('PROG FORMACIÓN TITULADA'!W7,"AAAAAH213mE=")</f>
        <v>#VALUE!</v>
      </c>
      <c r="CU40" t="e">
        <f>AND('PROG FORMACIÓN TITULADA'!X7,"AAAAAH213mI=")</f>
        <v>#VALUE!</v>
      </c>
      <c r="CV40" t="e">
        <f>AND('PROG FORMACIÓN TITULADA'!Y7,"AAAAAH213mM=")</f>
        <v>#VALUE!</v>
      </c>
      <c r="CW40" t="e">
        <f>AND('PROG FORMACIÓN TITULADA'!Z7,"AAAAAH213mQ=")</f>
        <v>#VALUE!</v>
      </c>
      <c r="CX40" t="e">
        <f>IF('PROG FORMACIÓN TITULADA'!#REF!,"AAAAAH213mU=",0)</f>
        <v>#REF!</v>
      </c>
      <c r="CY40" t="e">
        <f>AND('PROG FORMACIÓN TITULADA'!#REF!,"AAAAAH213mY=")</f>
        <v>#REF!</v>
      </c>
      <c r="CZ40" t="e">
        <f>AND('PROG FORMACIÓN TITULADA'!#REF!,"AAAAAH213mc=")</f>
        <v>#REF!</v>
      </c>
      <c r="DA40" t="e">
        <f>AND('PROG FORMACIÓN TITULADA'!#REF!,"AAAAAH213mg=")</f>
        <v>#REF!</v>
      </c>
      <c r="DB40" t="e">
        <f>AND('PROG FORMACIÓN TITULADA'!#REF!,"AAAAAH213mk=")</f>
        <v>#REF!</v>
      </c>
      <c r="DC40" t="e">
        <f>AND('PROG FORMACIÓN TITULADA'!#REF!,"AAAAAH213mo=")</f>
        <v>#REF!</v>
      </c>
      <c r="DD40" t="e">
        <f>AND('PROG FORMACIÓN TITULADA'!#REF!,"AAAAAH213ms=")</f>
        <v>#REF!</v>
      </c>
      <c r="DE40" t="e">
        <f>AND('PROG FORMACIÓN TITULADA'!#REF!,"AAAAAH213mw=")</f>
        <v>#REF!</v>
      </c>
      <c r="DF40" t="e">
        <f>AND('PROG FORMACIÓN TITULADA'!#REF!,"AAAAAH213m0=")</f>
        <v>#REF!</v>
      </c>
      <c r="DG40" t="e">
        <f>AND('PROG FORMACIÓN TITULADA'!#REF!,"AAAAAH213m4=")</f>
        <v>#REF!</v>
      </c>
      <c r="DH40" t="e">
        <f>AND('PROG FORMACIÓN TITULADA'!#REF!,"AAAAAH213m8=")</f>
        <v>#REF!</v>
      </c>
      <c r="DI40" t="e">
        <f>AND('PROG FORMACIÓN TITULADA'!#REF!,"AAAAAH213nA=")</f>
        <v>#REF!</v>
      </c>
      <c r="DJ40" t="e">
        <f>AND('PROG FORMACIÓN TITULADA'!#REF!,"AAAAAH213nE=")</f>
        <v>#REF!</v>
      </c>
      <c r="DK40" t="e">
        <f>AND('PROG FORMACIÓN TITULADA'!#REF!,"AAAAAH213nI=")</f>
        <v>#REF!</v>
      </c>
      <c r="DL40" t="e">
        <f>AND('PROG FORMACIÓN TITULADA'!#REF!,"AAAAAH213nM=")</f>
        <v>#REF!</v>
      </c>
      <c r="DM40" t="e">
        <f>AND('PROG FORMACIÓN TITULADA'!#REF!,"AAAAAH213nQ=")</f>
        <v>#REF!</v>
      </c>
      <c r="DN40" t="e">
        <f>AND('PROG FORMACIÓN TITULADA'!#REF!,"AAAAAH213nU=")</f>
        <v>#REF!</v>
      </c>
      <c r="DO40" t="e">
        <f>AND('PROG FORMACIÓN TITULADA'!#REF!,"AAAAAH213nY=")</f>
        <v>#REF!</v>
      </c>
      <c r="DP40" t="e">
        <f>AND('PROG FORMACIÓN TITULADA'!#REF!,"AAAAAH213nc=")</f>
        <v>#REF!</v>
      </c>
      <c r="DQ40" t="e">
        <f>AND('PROG FORMACIÓN TITULADA'!#REF!,"AAAAAH213ng=")</f>
        <v>#REF!</v>
      </c>
      <c r="DR40" t="e">
        <f>AND('PROG FORMACIÓN TITULADA'!#REF!,"AAAAAH213nk=")</f>
        <v>#REF!</v>
      </c>
      <c r="DS40" t="e">
        <f>AND('PROG FORMACIÓN TITULADA'!#REF!,"AAAAAH213no=")</f>
        <v>#REF!</v>
      </c>
      <c r="DT40" t="e">
        <f>AND('PROG FORMACIÓN TITULADA'!#REF!,"AAAAAH213ns=")</f>
        <v>#REF!</v>
      </c>
      <c r="DU40" t="e">
        <f>AND('PROG FORMACIÓN TITULADA'!#REF!,"AAAAAH213nw=")</f>
        <v>#REF!</v>
      </c>
      <c r="DV40" t="e">
        <f>AND('PROG FORMACIÓN TITULADA'!#REF!,"AAAAAH213n0=")</f>
        <v>#REF!</v>
      </c>
      <c r="DW40" t="e">
        <f>AND('PROG FORMACIÓN TITULADA'!#REF!,"AAAAAH213n4=")</f>
        <v>#REF!</v>
      </c>
      <c r="DX40" t="e">
        <f>AND('PROG FORMACIÓN TITULADA'!#REF!,"AAAAAH213n8=")</f>
        <v>#REF!</v>
      </c>
      <c r="DY40" t="e">
        <f>IF('PROG FORMACIÓN TITULADA'!#REF!,"AAAAAH213oA=",0)</f>
        <v>#REF!</v>
      </c>
      <c r="DZ40" t="e">
        <f>AND('PROG FORMACIÓN TITULADA'!#REF!,"AAAAAH213oE=")</f>
        <v>#REF!</v>
      </c>
      <c r="EA40" t="e">
        <f>AND('PROG FORMACIÓN TITULADA'!#REF!,"AAAAAH213oI=")</f>
        <v>#REF!</v>
      </c>
      <c r="EB40" t="e">
        <f>AND('PROG FORMACIÓN TITULADA'!#REF!,"AAAAAH213oM=")</f>
        <v>#REF!</v>
      </c>
      <c r="EC40" t="e">
        <f>AND('PROG FORMACIÓN TITULADA'!#REF!,"AAAAAH213oQ=")</f>
        <v>#REF!</v>
      </c>
      <c r="ED40" t="e">
        <f>AND('PROG FORMACIÓN TITULADA'!#REF!,"AAAAAH213oU=")</f>
        <v>#REF!</v>
      </c>
      <c r="EE40" t="e">
        <f>AND('PROG FORMACIÓN TITULADA'!#REF!,"AAAAAH213oY=")</f>
        <v>#REF!</v>
      </c>
      <c r="EF40" t="e">
        <f>AND('PROG FORMACIÓN TITULADA'!#REF!,"AAAAAH213oc=")</f>
        <v>#REF!</v>
      </c>
      <c r="EG40" t="e">
        <f>AND('PROG FORMACIÓN TITULADA'!#REF!,"AAAAAH213og=")</f>
        <v>#REF!</v>
      </c>
      <c r="EH40" t="e">
        <f>AND('PROG FORMACIÓN TITULADA'!#REF!,"AAAAAH213ok=")</f>
        <v>#REF!</v>
      </c>
      <c r="EI40" t="e">
        <f>AND('PROG FORMACIÓN TITULADA'!#REF!,"AAAAAH213oo=")</f>
        <v>#REF!</v>
      </c>
      <c r="EJ40" t="e">
        <f>AND('PROG FORMACIÓN TITULADA'!#REF!,"AAAAAH213os=")</f>
        <v>#REF!</v>
      </c>
      <c r="EK40" t="e">
        <f>AND('PROG FORMACIÓN TITULADA'!#REF!,"AAAAAH213ow=")</f>
        <v>#REF!</v>
      </c>
      <c r="EL40" t="e">
        <f>AND('PROG FORMACIÓN TITULADA'!#REF!,"AAAAAH213o0=")</f>
        <v>#REF!</v>
      </c>
      <c r="EM40" t="e">
        <f>AND('PROG FORMACIÓN TITULADA'!#REF!,"AAAAAH213o4=")</f>
        <v>#REF!</v>
      </c>
      <c r="EN40" t="e">
        <f>AND('PROG FORMACIÓN TITULADA'!#REF!,"AAAAAH213o8=")</f>
        <v>#REF!</v>
      </c>
      <c r="EO40" t="e">
        <f>AND('PROG FORMACIÓN TITULADA'!#REF!,"AAAAAH213pA=")</f>
        <v>#REF!</v>
      </c>
      <c r="EP40" t="e">
        <f>AND('PROG FORMACIÓN TITULADA'!#REF!,"AAAAAH213pE=")</f>
        <v>#REF!</v>
      </c>
      <c r="EQ40" t="e">
        <f>AND('PROG FORMACIÓN TITULADA'!#REF!,"AAAAAH213pI=")</f>
        <v>#REF!</v>
      </c>
      <c r="ER40" t="e">
        <f>AND('PROG FORMACIÓN TITULADA'!#REF!,"AAAAAH213pM=")</f>
        <v>#REF!</v>
      </c>
      <c r="ES40" t="e">
        <f>AND('PROG FORMACIÓN TITULADA'!#REF!,"AAAAAH213pQ=")</f>
        <v>#REF!</v>
      </c>
      <c r="ET40" t="e">
        <f>AND('PROG FORMACIÓN TITULADA'!#REF!,"AAAAAH213pU=")</f>
        <v>#REF!</v>
      </c>
      <c r="EU40" t="e">
        <f>AND('PROG FORMACIÓN TITULADA'!#REF!,"AAAAAH213pY=")</f>
        <v>#REF!</v>
      </c>
      <c r="EV40" t="e">
        <f>AND('PROG FORMACIÓN TITULADA'!#REF!,"AAAAAH213pc=")</f>
        <v>#REF!</v>
      </c>
      <c r="EW40" t="e">
        <f>AND('PROG FORMACIÓN TITULADA'!#REF!,"AAAAAH213pg=")</f>
        <v>#REF!</v>
      </c>
      <c r="EX40" t="e">
        <f>AND('PROG FORMACIÓN TITULADA'!#REF!,"AAAAAH213pk=")</f>
        <v>#REF!</v>
      </c>
      <c r="EY40" t="e">
        <f>AND('PROG FORMACIÓN TITULADA'!#REF!,"AAAAAH213po=")</f>
        <v>#REF!</v>
      </c>
      <c r="EZ40" t="e">
        <f>IF('PROG FORMACIÓN TITULADA'!#REF!,"AAAAAH213ps=",0)</f>
        <v>#REF!</v>
      </c>
      <c r="FA40" t="e">
        <f>AND('PROG FORMACIÓN TITULADA'!#REF!,"AAAAAH213pw=")</f>
        <v>#REF!</v>
      </c>
      <c r="FB40" t="e">
        <f>AND('PROG FORMACIÓN TITULADA'!#REF!,"AAAAAH213p0=")</f>
        <v>#REF!</v>
      </c>
      <c r="FC40" t="e">
        <f>AND('PROG FORMACIÓN TITULADA'!#REF!,"AAAAAH213p4=")</f>
        <v>#REF!</v>
      </c>
      <c r="FD40" t="e">
        <f>AND('PROG FORMACIÓN TITULADA'!#REF!,"AAAAAH213p8=")</f>
        <v>#REF!</v>
      </c>
      <c r="FE40" t="e">
        <f>AND('PROG FORMACIÓN TITULADA'!#REF!,"AAAAAH213qA=")</f>
        <v>#REF!</v>
      </c>
      <c r="FF40" t="e">
        <f>AND('PROG FORMACIÓN TITULADA'!#REF!,"AAAAAH213qE=")</f>
        <v>#REF!</v>
      </c>
      <c r="FG40" t="e">
        <f>AND('PROG FORMACIÓN TITULADA'!#REF!,"AAAAAH213qI=")</f>
        <v>#REF!</v>
      </c>
      <c r="FH40" t="e">
        <f>AND('PROG FORMACIÓN TITULADA'!#REF!,"AAAAAH213qM=")</f>
        <v>#REF!</v>
      </c>
      <c r="FI40" t="e">
        <f>AND('PROG FORMACIÓN TITULADA'!#REF!,"AAAAAH213qQ=")</f>
        <v>#REF!</v>
      </c>
      <c r="FJ40" t="e">
        <f>AND('PROG FORMACIÓN TITULADA'!#REF!,"AAAAAH213qU=")</f>
        <v>#REF!</v>
      </c>
      <c r="FK40" t="e">
        <f>AND('PROG FORMACIÓN TITULADA'!#REF!,"AAAAAH213qY=")</f>
        <v>#REF!</v>
      </c>
      <c r="FL40" t="e">
        <f>AND('PROG FORMACIÓN TITULADA'!#REF!,"AAAAAH213qc=")</f>
        <v>#REF!</v>
      </c>
      <c r="FM40" t="e">
        <f>AND('PROG FORMACIÓN TITULADA'!#REF!,"AAAAAH213qg=")</f>
        <v>#REF!</v>
      </c>
      <c r="FN40" t="e">
        <f>AND('PROG FORMACIÓN TITULADA'!#REF!,"AAAAAH213qk=")</f>
        <v>#REF!</v>
      </c>
      <c r="FO40" t="e">
        <f>AND('PROG FORMACIÓN TITULADA'!#REF!,"AAAAAH213qo=")</f>
        <v>#REF!</v>
      </c>
      <c r="FP40" t="e">
        <f>AND('PROG FORMACIÓN TITULADA'!#REF!,"AAAAAH213qs=")</f>
        <v>#REF!</v>
      </c>
      <c r="FQ40" t="e">
        <f>AND('PROG FORMACIÓN TITULADA'!#REF!,"AAAAAH213qw=")</f>
        <v>#REF!</v>
      </c>
      <c r="FR40" t="e">
        <f>AND('PROG FORMACIÓN TITULADA'!#REF!,"AAAAAH213q0=")</f>
        <v>#REF!</v>
      </c>
      <c r="FS40" t="e">
        <f>AND('PROG FORMACIÓN TITULADA'!#REF!,"AAAAAH213q4=")</f>
        <v>#REF!</v>
      </c>
      <c r="FT40" t="e">
        <f>AND('PROG FORMACIÓN TITULADA'!#REF!,"AAAAAH213q8=")</f>
        <v>#REF!</v>
      </c>
      <c r="FU40" t="e">
        <f>AND('PROG FORMACIÓN TITULADA'!#REF!,"AAAAAH213rA=")</f>
        <v>#REF!</v>
      </c>
      <c r="FV40" t="e">
        <f>AND('PROG FORMACIÓN TITULADA'!#REF!,"AAAAAH213rE=")</f>
        <v>#REF!</v>
      </c>
      <c r="FW40" t="e">
        <f>AND('PROG FORMACIÓN TITULADA'!#REF!,"AAAAAH213rI=")</f>
        <v>#REF!</v>
      </c>
      <c r="FX40" t="e">
        <f>AND('PROG FORMACIÓN TITULADA'!#REF!,"AAAAAH213rM=")</f>
        <v>#REF!</v>
      </c>
      <c r="FY40" t="e">
        <f>AND('PROG FORMACIÓN TITULADA'!#REF!,"AAAAAH213rQ=")</f>
        <v>#REF!</v>
      </c>
      <c r="FZ40" t="e">
        <f>AND('PROG FORMACIÓN TITULADA'!#REF!,"AAAAAH213rU=")</f>
        <v>#REF!</v>
      </c>
      <c r="GA40" t="e">
        <f>IF('PROG FORMACIÓN TITULADA'!#REF!,"AAAAAH213rY=",0)</f>
        <v>#REF!</v>
      </c>
      <c r="GB40" t="e">
        <f>AND('PROG FORMACIÓN TITULADA'!#REF!,"AAAAAH213rc=")</f>
        <v>#REF!</v>
      </c>
      <c r="GC40" t="e">
        <f>AND('PROG FORMACIÓN TITULADA'!#REF!,"AAAAAH213rg=")</f>
        <v>#REF!</v>
      </c>
      <c r="GD40" t="e">
        <f>AND('PROG FORMACIÓN TITULADA'!#REF!,"AAAAAH213rk=")</f>
        <v>#REF!</v>
      </c>
      <c r="GE40" t="e">
        <f>AND('PROG FORMACIÓN TITULADA'!#REF!,"AAAAAH213ro=")</f>
        <v>#REF!</v>
      </c>
      <c r="GF40" t="e">
        <f>AND('PROG FORMACIÓN TITULADA'!#REF!,"AAAAAH213rs=")</f>
        <v>#REF!</v>
      </c>
      <c r="GG40" t="e">
        <f>AND('PROG FORMACIÓN TITULADA'!#REF!,"AAAAAH213rw=")</f>
        <v>#REF!</v>
      </c>
      <c r="GH40" t="e">
        <f>AND('PROG FORMACIÓN TITULADA'!#REF!,"AAAAAH213r0=")</f>
        <v>#REF!</v>
      </c>
      <c r="GI40" t="e">
        <f>AND('PROG FORMACIÓN TITULADA'!#REF!,"AAAAAH213r4=")</f>
        <v>#REF!</v>
      </c>
      <c r="GJ40" t="e">
        <f>AND('PROG FORMACIÓN TITULADA'!#REF!,"AAAAAH213r8=")</f>
        <v>#REF!</v>
      </c>
      <c r="GK40" t="e">
        <f>AND('PROG FORMACIÓN TITULADA'!#REF!,"AAAAAH213sA=")</f>
        <v>#REF!</v>
      </c>
      <c r="GL40" t="e">
        <f>AND('PROG FORMACIÓN TITULADA'!#REF!,"AAAAAH213sE=")</f>
        <v>#REF!</v>
      </c>
      <c r="GM40" t="e">
        <f>AND('PROG FORMACIÓN TITULADA'!#REF!,"AAAAAH213sI=")</f>
        <v>#REF!</v>
      </c>
      <c r="GN40" t="e">
        <f>AND('PROG FORMACIÓN TITULADA'!#REF!,"AAAAAH213sM=")</f>
        <v>#REF!</v>
      </c>
      <c r="GO40" t="e">
        <f>AND('PROG FORMACIÓN TITULADA'!#REF!,"AAAAAH213sQ=")</f>
        <v>#REF!</v>
      </c>
      <c r="GP40" t="e">
        <f>AND('PROG FORMACIÓN TITULADA'!#REF!,"AAAAAH213sU=")</f>
        <v>#REF!</v>
      </c>
      <c r="GQ40" t="e">
        <f>AND('PROG FORMACIÓN TITULADA'!#REF!,"AAAAAH213sY=")</f>
        <v>#REF!</v>
      </c>
      <c r="GR40" t="e">
        <f>AND('PROG FORMACIÓN TITULADA'!#REF!,"AAAAAH213sc=")</f>
        <v>#REF!</v>
      </c>
      <c r="GS40" t="e">
        <f>AND('PROG FORMACIÓN TITULADA'!#REF!,"AAAAAH213sg=")</f>
        <v>#REF!</v>
      </c>
      <c r="GT40" t="e">
        <f>AND('PROG FORMACIÓN TITULADA'!#REF!,"AAAAAH213sk=")</f>
        <v>#REF!</v>
      </c>
      <c r="GU40" t="e">
        <f>AND('PROG FORMACIÓN TITULADA'!#REF!,"AAAAAH213so=")</f>
        <v>#REF!</v>
      </c>
      <c r="GV40" t="e">
        <f>AND('PROG FORMACIÓN TITULADA'!#REF!,"AAAAAH213ss=")</f>
        <v>#REF!</v>
      </c>
      <c r="GW40" t="e">
        <f>AND('PROG FORMACIÓN TITULADA'!#REF!,"AAAAAH213sw=")</f>
        <v>#REF!</v>
      </c>
      <c r="GX40" t="e">
        <f>AND('PROG FORMACIÓN TITULADA'!#REF!,"AAAAAH213s0=")</f>
        <v>#REF!</v>
      </c>
      <c r="GY40" t="e">
        <f>AND('PROG FORMACIÓN TITULADA'!#REF!,"AAAAAH213s4=")</f>
        <v>#REF!</v>
      </c>
      <c r="GZ40" t="e">
        <f>AND('PROG FORMACIÓN TITULADA'!#REF!,"AAAAAH213s8=")</f>
        <v>#REF!</v>
      </c>
      <c r="HA40" t="e">
        <f>AND('PROG FORMACIÓN TITULADA'!#REF!,"AAAAAH213tA=")</f>
        <v>#REF!</v>
      </c>
      <c r="HB40" t="e">
        <f>IF('PROG FORMACIÓN TITULADA'!#REF!,"AAAAAH213tE=",0)</f>
        <v>#REF!</v>
      </c>
      <c r="HC40" t="e">
        <f>AND('PROG FORMACIÓN TITULADA'!#REF!,"AAAAAH213tI=")</f>
        <v>#REF!</v>
      </c>
      <c r="HD40" t="e">
        <f>AND('PROG FORMACIÓN TITULADA'!#REF!,"AAAAAH213tM=")</f>
        <v>#REF!</v>
      </c>
      <c r="HE40" t="e">
        <f>AND('PROG FORMACIÓN TITULADA'!#REF!,"AAAAAH213tQ=")</f>
        <v>#REF!</v>
      </c>
      <c r="HF40" t="e">
        <f>AND('PROG FORMACIÓN TITULADA'!#REF!,"AAAAAH213tU=")</f>
        <v>#REF!</v>
      </c>
      <c r="HG40" t="e">
        <f>AND('PROG FORMACIÓN TITULADA'!#REF!,"AAAAAH213tY=")</f>
        <v>#REF!</v>
      </c>
      <c r="HH40" t="e">
        <f>AND('PROG FORMACIÓN TITULADA'!#REF!,"AAAAAH213tc=")</f>
        <v>#REF!</v>
      </c>
      <c r="HI40" t="e">
        <f>AND('PROG FORMACIÓN TITULADA'!#REF!,"AAAAAH213tg=")</f>
        <v>#REF!</v>
      </c>
      <c r="HJ40" t="e">
        <f>AND('PROG FORMACIÓN TITULADA'!#REF!,"AAAAAH213tk=")</f>
        <v>#REF!</v>
      </c>
      <c r="HK40" t="e">
        <f>AND('PROG FORMACIÓN TITULADA'!#REF!,"AAAAAH213to=")</f>
        <v>#REF!</v>
      </c>
      <c r="HL40" t="e">
        <f>AND('PROG FORMACIÓN TITULADA'!#REF!,"AAAAAH213ts=")</f>
        <v>#REF!</v>
      </c>
      <c r="HM40" t="e">
        <f>AND('PROG FORMACIÓN TITULADA'!#REF!,"AAAAAH213tw=")</f>
        <v>#REF!</v>
      </c>
      <c r="HN40" t="e">
        <f>AND('PROG FORMACIÓN TITULADA'!#REF!,"AAAAAH213t0=")</f>
        <v>#REF!</v>
      </c>
      <c r="HO40" t="e">
        <f>AND('PROG FORMACIÓN TITULADA'!#REF!,"AAAAAH213t4=")</f>
        <v>#REF!</v>
      </c>
      <c r="HP40" t="e">
        <f>AND('PROG FORMACIÓN TITULADA'!#REF!,"AAAAAH213t8=")</f>
        <v>#REF!</v>
      </c>
      <c r="HQ40" t="e">
        <f>AND('PROG FORMACIÓN TITULADA'!#REF!,"AAAAAH213uA=")</f>
        <v>#REF!</v>
      </c>
      <c r="HR40" t="e">
        <f>AND('PROG FORMACIÓN TITULADA'!#REF!,"AAAAAH213uE=")</f>
        <v>#REF!</v>
      </c>
      <c r="HS40" t="e">
        <f>AND('PROG FORMACIÓN TITULADA'!#REF!,"AAAAAH213uI=")</f>
        <v>#REF!</v>
      </c>
      <c r="HT40" t="e">
        <f>AND('PROG FORMACIÓN TITULADA'!#REF!,"AAAAAH213uM=")</f>
        <v>#REF!</v>
      </c>
      <c r="HU40" t="e">
        <f>AND('PROG FORMACIÓN TITULADA'!#REF!,"AAAAAH213uQ=")</f>
        <v>#REF!</v>
      </c>
      <c r="HV40" t="e">
        <f>AND('PROG FORMACIÓN TITULADA'!#REF!,"AAAAAH213uU=")</f>
        <v>#REF!</v>
      </c>
      <c r="HW40" t="e">
        <f>AND('PROG FORMACIÓN TITULADA'!#REF!,"AAAAAH213uY=")</f>
        <v>#REF!</v>
      </c>
      <c r="HX40" t="e">
        <f>AND('PROG FORMACIÓN TITULADA'!#REF!,"AAAAAH213uc=")</f>
        <v>#REF!</v>
      </c>
      <c r="HY40" t="e">
        <f>AND('PROG FORMACIÓN TITULADA'!#REF!,"AAAAAH213ug=")</f>
        <v>#REF!</v>
      </c>
      <c r="HZ40" t="e">
        <f>AND('PROG FORMACIÓN TITULADA'!#REF!,"AAAAAH213uk=")</f>
        <v>#REF!</v>
      </c>
      <c r="IA40" t="e">
        <f>AND('PROG FORMACIÓN TITULADA'!#REF!,"AAAAAH213uo=")</f>
        <v>#REF!</v>
      </c>
      <c r="IB40" t="e">
        <f>AND('PROG FORMACIÓN TITULADA'!#REF!,"AAAAAH213us=")</f>
        <v>#REF!</v>
      </c>
      <c r="IC40" t="e">
        <f>IF('PROG FORMACIÓN TITULADA'!#REF!,"AAAAAH213uw=",0)</f>
        <v>#REF!</v>
      </c>
      <c r="ID40" t="e">
        <f>AND('PROG FORMACIÓN TITULADA'!#REF!,"AAAAAH213u0=")</f>
        <v>#REF!</v>
      </c>
      <c r="IE40" t="e">
        <f>AND('PROG FORMACIÓN TITULADA'!#REF!,"AAAAAH213u4=")</f>
        <v>#REF!</v>
      </c>
      <c r="IF40" t="e">
        <f>AND('PROG FORMACIÓN TITULADA'!#REF!,"AAAAAH213u8=")</f>
        <v>#REF!</v>
      </c>
      <c r="IG40" t="e">
        <f>AND('PROG FORMACIÓN TITULADA'!#REF!,"AAAAAH213vA=")</f>
        <v>#REF!</v>
      </c>
      <c r="IH40" t="e">
        <f>AND('PROG FORMACIÓN TITULADA'!#REF!,"AAAAAH213vE=")</f>
        <v>#REF!</v>
      </c>
      <c r="II40" t="e">
        <f>AND('PROG FORMACIÓN TITULADA'!#REF!,"AAAAAH213vI=")</f>
        <v>#REF!</v>
      </c>
      <c r="IJ40" t="e">
        <f>AND('PROG FORMACIÓN TITULADA'!#REF!,"AAAAAH213vM=")</f>
        <v>#REF!</v>
      </c>
      <c r="IK40" t="e">
        <f>AND('PROG FORMACIÓN TITULADA'!#REF!,"AAAAAH213vQ=")</f>
        <v>#REF!</v>
      </c>
      <c r="IL40" t="e">
        <f>AND('PROG FORMACIÓN TITULADA'!#REF!,"AAAAAH213vU=")</f>
        <v>#REF!</v>
      </c>
      <c r="IM40" t="e">
        <f>AND('PROG FORMACIÓN TITULADA'!#REF!,"AAAAAH213vY=")</f>
        <v>#REF!</v>
      </c>
      <c r="IN40" t="e">
        <f>AND('PROG FORMACIÓN TITULADA'!#REF!,"AAAAAH213vc=")</f>
        <v>#REF!</v>
      </c>
      <c r="IO40" t="e">
        <f>AND('PROG FORMACIÓN TITULADA'!#REF!,"AAAAAH213vg=")</f>
        <v>#REF!</v>
      </c>
      <c r="IP40" t="e">
        <f>AND('PROG FORMACIÓN TITULADA'!#REF!,"AAAAAH213vk=")</f>
        <v>#REF!</v>
      </c>
      <c r="IQ40" t="e">
        <f>AND('PROG FORMACIÓN TITULADA'!#REF!,"AAAAAH213vo=")</f>
        <v>#REF!</v>
      </c>
      <c r="IR40" t="e">
        <f>AND('PROG FORMACIÓN TITULADA'!#REF!,"AAAAAH213vs=")</f>
        <v>#REF!</v>
      </c>
      <c r="IS40" t="e">
        <f>AND('PROG FORMACIÓN TITULADA'!#REF!,"AAAAAH213vw=")</f>
        <v>#REF!</v>
      </c>
      <c r="IT40" t="e">
        <f>AND('PROG FORMACIÓN TITULADA'!#REF!,"AAAAAH213v0=")</f>
        <v>#REF!</v>
      </c>
      <c r="IU40" t="e">
        <f>AND('PROG FORMACIÓN TITULADA'!#REF!,"AAAAAH213v4=")</f>
        <v>#REF!</v>
      </c>
      <c r="IV40" t="e">
        <f>AND('PROG FORMACIÓN TITULADA'!#REF!,"AAAAAH213v8=")</f>
        <v>#REF!</v>
      </c>
    </row>
    <row r="41" spans="1:256" x14ac:dyDescent="0.2">
      <c r="A41" t="e">
        <f>AND('PROG FORMACIÓN TITULADA'!#REF!,"AAAAAHvv+QA=")</f>
        <v>#REF!</v>
      </c>
      <c r="B41" t="e">
        <f>AND('PROG FORMACIÓN TITULADA'!#REF!,"AAAAAHvv+QE=")</f>
        <v>#REF!</v>
      </c>
      <c r="C41" t="e">
        <f>AND('PROG FORMACIÓN TITULADA'!#REF!,"AAAAAHvv+QI=")</f>
        <v>#REF!</v>
      </c>
      <c r="D41" t="e">
        <f>AND('PROG FORMACIÓN TITULADA'!#REF!,"AAAAAHvv+QM=")</f>
        <v>#REF!</v>
      </c>
      <c r="E41" t="e">
        <f>AND('PROG FORMACIÓN TITULADA'!#REF!,"AAAAAHvv+QQ=")</f>
        <v>#REF!</v>
      </c>
      <c r="F41" t="e">
        <f>AND('PROG FORMACIÓN TITULADA'!#REF!,"AAAAAHvv+QU=")</f>
        <v>#REF!</v>
      </c>
      <c r="G41" t="e">
        <f>AND('PROG FORMACIÓN TITULADA'!#REF!,"AAAAAHvv+QY=")</f>
        <v>#REF!</v>
      </c>
      <c r="H41" t="e">
        <f>IF('PROG FORMACIÓN TITULADA'!#REF!,"AAAAAHvv+Qc=",0)</f>
        <v>#REF!</v>
      </c>
      <c r="I41" t="e">
        <f>AND('PROG FORMACIÓN TITULADA'!#REF!,"AAAAAHvv+Qg=")</f>
        <v>#REF!</v>
      </c>
      <c r="J41" t="e">
        <f>AND('PROG FORMACIÓN TITULADA'!#REF!,"AAAAAHvv+Qk=")</f>
        <v>#REF!</v>
      </c>
      <c r="K41" t="e">
        <f>AND('PROG FORMACIÓN TITULADA'!#REF!,"AAAAAHvv+Qo=")</f>
        <v>#REF!</v>
      </c>
      <c r="L41" t="e">
        <f>AND('PROG FORMACIÓN TITULADA'!#REF!,"AAAAAHvv+Qs=")</f>
        <v>#REF!</v>
      </c>
      <c r="M41" t="e">
        <f>AND('PROG FORMACIÓN TITULADA'!#REF!,"AAAAAHvv+Qw=")</f>
        <v>#REF!</v>
      </c>
      <c r="N41" t="e">
        <f>AND('PROG FORMACIÓN TITULADA'!#REF!,"AAAAAHvv+Q0=")</f>
        <v>#REF!</v>
      </c>
      <c r="O41" t="e">
        <f>AND('PROG FORMACIÓN TITULADA'!#REF!,"AAAAAHvv+Q4=")</f>
        <v>#REF!</v>
      </c>
      <c r="P41" t="e">
        <f>AND('PROG FORMACIÓN TITULADA'!#REF!,"AAAAAHvv+Q8=")</f>
        <v>#REF!</v>
      </c>
      <c r="Q41" t="e">
        <f>AND('PROG FORMACIÓN TITULADA'!#REF!,"AAAAAHvv+RA=")</f>
        <v>#REF!</v>
      </c>
      <c r="R41" t="e">
        <f>AND('PROG FORMACIÓN TITULADA'!#REF!,"AAAAAHvv+RE=")</f>
        <v>#REF!</v>
      </c>
      <c r="S41" t="e">
        <f>AND('PROG FORMACIÓN TITULADA'!#REF!,"AAAAAHvv+RI=")</f>
        <v>#REF!</v>
      </c>
      <c r="T41" t="e">
        <f>AND('PROG FORMACIÓN TITULADA'!#REF!,"AAAAAHvv+RM=")</f>
        <v>#REF!</v>
      </c>
      <c r="U41" t="e">
        <f>AND('PROG FORMACIÓN TITULADA'!#REF!,"AAAAAHvv+RQ=")</f>
        <v>#REF!</v>
      </c>
      <c r="V41" t="e">
        <f>AND('PROG FORMACIÓN TITULADA'!#REF!,"AAAAAHvv+RU=")</f>
        <v>#REF!</v>
      </c>
      <c r="W41" t="e">
        <f>AND('PROG FORMACIÓN TITULADA'!#REF!,"AAAAAHvv+RY=")</f>
        <v>#REF!</v>
      </c>
      <c r="X41" t="e">
        <f>AND('PROG FORMACIÓN TITULADA'!#REF!,"AAAAAHvv+Rc=")</f>
        <v>#REF!</v>
      </c>
      <c r="Y41" t="e">
        <f>AND('PROG FORMACIÓN TITULADA'!#REF!,"AAAAAHvv+Rg=")</f>
        <v>#REF!</v>
      </c>
      <c r="Z41" t="e">
        <f>AND('PROG FORMACIÓN TITULADA'!#REF!,"AAAAAHvv+Rk=")</f>
        <v>#REF!</v>
      </c>
      <c r="AA41" t="e">
        <f>AND('PROG FORMACIÓN TITULADA'!#REF!,"AAAAAHvv+Ro=")</f>
        <v>#REF!</v>
      </c>
      <c r="AB41" t="e">
        <f>AND('PROG FORMACIÓN TITULADA'!#REF!,"AAAAAHvv+Rs=")</f>
        <v>#REF!</v>
      </c>
      <c r="AC41" t="e">
        <f>AND('PROG FORMACIÓN TITULADA'!#REF!,"AAAAAHvv+Rw=")</f>
        <v>#REF!</v>
      </c>
      <c r="AD41" t="e">
        <f>AND('PROG FORMACIÓN TITULADA'!#REF!,"AAAAAHvv+R0=")</f>
        <v>#REF!</v>
      </c>
      <c r="AE41" t="e">
        <f>AND('PROG FORMACIÓN TITULADA'!#REF!,"AAAAAHvv+R4=")</f>
        <v>#REF!</v>
      </c>
      <c r="AF41" t="e">
        <f>AND('PROG FORMACIÓN TITULADA'!#REF!,"AAAAAHvv+R8=")</f>
        <v>#REF!</v>
      </c>
      <c r="AG41" t="e">
        <f>AND('PROG FORMACIÓN TITULADA'!#REF!,"AAAAAHvv+SA=")</f>
        <v>#REF!</v>
      </c>
      <c r="AH41" t="e">
        <f>AND('PROG FORMACIÓN TITULADA'!#REF!,"AAAAAHvv+SE=")</f>
        <v>#REF!</v>
      </c>
      <c r="AI41" t="e">
        <f>IF('PROG FORMACIÓN TITULADA'!#REF!,"AAAAAHvv+SI=",0)</f>
        <v>#REF!</v>
      </c>
      <c r="AJ41" t="e">
        <f>AND('PROG FORMACIÓN TITULADA'!#REF!,"AAAAAHvv+SM=")</f>
        <v>#REF!</v>
      </c>
      <c r="AK41" t="e">
        <f>AND('PROG FORMACIÓN TITULADA'!#REF!,"AAAAAHvv+SQ=")</f>
        <v>#REF!</v>
      </c>
      <c r="AL41" t="e">
        <f>AND('PROG FORMACIÓN TITULADA'!#REF!,"AAAAAHvv+SU=")</f>
        <v>#REF!</v>
      </c>
      <c r="AM41" t="e">
        <f>AND('PROG FORMACIÓN TITULADA'!#REF!,"AAAAAHvv+SY=")</f>
        <v>#REF!</v>
      </c>
      <c r="AN41" t="e">
        <f>AND('PROG FORMACIÓN TITULADA'!#REF!,"AAAAAHvv+Sc=")</f>
        <v>#REF!</v>
      </c>
      <c r="AO41" t="e">
        <f>AND('PROG FORMACIÓN TITULADA'!#REF!,"AAAAAHvv+Sg=")</f>
        <v>#REF!</v>
      </c>
      <c r="AP41" t="e">
        <f>AND('PROG FORMACIÓN TITULADA'!#REF!,"AAAAAHvv+Sk=")</f>
        <v>#REF!</v>
      </c>
      <c r="AQ41" t="e">
        <f>AND('PROG FORMACIÓN TITULADA'!#REF!,"AAAAAHvv+So=")</f>
        <v>#REF!</v>
      </c>
      <c r="AR41" t="e">
        <f>AND('PROG FORMACIÓN TITULADA'!#REF!,"AAAAAHvv+Ss=")</f>
        <v>#REF!</v>
      </c>
      <c r="AS41" t="e">
        <f>AND('PROG FORMACIÓN TITULADA'!#REF!,"AAAAAHvv+Sw=")</f>
        <v>#REF!</v>
      </c>
      <c r="AT41" t="e">
        <f>AND('PROG FORMACIÓN TITULADA'!#REF!,"AAAAAHvv+S0=")</f>
        <v>#REF!</v>
      </c>
      <c r="AU41" t="e">
        <f>AND('PROG FORMACIÓN TITULADA'!#REF!,"AAAAAHvv+S4=")</f>
        <v>#REF!</v>
      </c>
      <c r="AV41" t="e">
        <f>AND('PROG FORMACIÓN TITULADA'!#REF!,"AAAAAHvv+S8=")</f>
        <v>#REF!</v>
      </c>
      <c r="AW41" t="e">
        <f>AND('PROG FORMACIÓN TITULADA'!#REF!,"AAAAAHvv+TA=")</f>
        <v>#REF!</v>
      </c>
      <c r="AX41" t="e">
        <f>AND('PROG FORMACIÓN TITULADA'!#REF!,"AAAAAHvv+TE=")</f>
        <v>#REF!</v>
      </c>
      <c r="AY41" t="e">
        <f>AND('PROG FORMACIÓN TITULADA'!#REF!,"AAAAAHvv+TI=")</f>
        <v>#REF!</v>
      </c>
      <c r="AZ41" t="e">
        <f>AND('PROG FORMACIÓN TITULADA'!#REF!,"AAAAAHvv+TM=")</f>
        <v>#REF!</v>
      </c>
      <c r="BA41" t="e">
        <f>AND('PROG FORMACIÓN TITULADA'!#REF!,"AAAAAHvv+TQ=")</f>
        <v>#REF!</v>
      </c>
      <c r="BB41" t="e">
        <f>AND('PROG FORMACIÓN TITULADA'!#REF!,"AAAAAHvv+TU=")</f>
        <v>#REF!</v>
      </c>
      <c r="BC41" t="e">
        <f>AND('PROG FORMACIÓN TITULADA'!#REF!,"AAAAAHvv+TY=")</f>
        <v>#REF!</v>
      </c>
      <c r="BD41" t="e">
        <f>AND('PROG FORMACIÓN TITULADA'!#REF!,"AAAAAHvv+Tc=")</f>
        <v>#REF!</v>
      </c>
      <c r="BE41" t="e">
        <f>AND('PROG FORMACIÓN TITULADA'!#REF!,"AAAAAHvv+Tg=")</f>
        <v>#REF!</v>
      </c>
      <c r="BF41" t="e">
        <f>AND('PROG FORMACIÓN TITULADA'!#REF!,"AAAAAHvv+Tk=")</f>
        <v>#REF!</v>
      </c>
      <c r="BG41" t="e">
        <f>AND('PROG FORMACIÓN TITULADA'!#REF!,"AAAAAHvv+To=")</f>
        <v>#REF!</v>
      </c>
      <c r="BH41" t="e">
        <f>AND('PROG FORMACIÓN TITULADA'!#REF!,"AAAAAHvv+Ts=")</f>
        <v>#REF!</v>
      </c>
      <c r="BI41" t="e">
        <f>AND('PROG FORMACIÓN TITULADA'!#REF!,"AAAAAHvv+Tw=")</f>
        <v>#REF!</v>
      </c>
      <c r="BJ41" t="e">
        <f>IF('PROG FORMACIÓN TITULADA'!#REF!,"AAAAAHvv+T0=",0)</f>
        <v>#REF!</v>
      </c>
      <c r="BK41" t="e">
        <f>AND('PROG FORMACIÓN TITULADA'!#REF!,"AAAAAHvv+T4=")</f>
        <v>#REF!</v>
      </c>
      <c r="BL41" t="e">
        <f>AND('PROG FORMACIÓN TITULADA'!#REF!,"AAAAAHvv+T8=")</f>
        <v>#REF!</v>
      </c>
      <c r="BM41" t="e">
        <f>AND('PROG FORMACIÓN TITULADA'!#REF!,"AAAAAHvv+UA=")</f>
        <v>#REF!</v>
      </c>
      <c r="BN41" t="e">
        <f>AND('PROG FORMACIÓN TITULADA'!#REF!,"AAAAAHvv+UE=")</f>
        <v>#REF!</v>
      </c>
      <c r="BO41" t="e">
        <f>AND('PROG FORMACIÓN TITULADA'!#REF!,"AAAAAHvv+UI=")</f>
        <v>#REF!</v>
      </c>
      <c r="BP41" t="e">
        <f>AND('PROG FORMACIÓN TITULADA'!#REF!,"AAAAAHvv+UM=")</f>
        <v>#REF!</v>
      </c>
      <c r="BQ41" t="e">
        <f>AND('PROG FORMACIÓN TITULADA'!#REF!,"AAAAAHvv+UQ=")</f>
        <v>#REF!</v>
      </c>
      <c r="BR41" t="e">
        <f>AND('PROG FORMACIÓN TITULADA'!#REF!,"AAAAAHvv+UU=")</f>
        <v>#REF!</v>
      </c>
      <c r="BS41" t="e">
        <f>AND('PROG FORMACIÓN TITULADA'!#REF!,"AAAAAHvv+UY=")</f>
        <v>#REF!</v>
      </c>
      <c r="BT41" t="e">
        <f>AND('PROG FORMACIÓN TITULADA'!#REF!,"AAAAAHvv+Uc=")</f>
        <v>#REF!</v>
      </c>
      <c r="BU41" t="e">
        <f>AND('PROG FORMACIÓN TITULADA'!#REF!,"AAAAAHvv+Ug=")</f>
        <v>#REF!</v>
      </c>
      <c r="BV41" t="e">
        <f>AND('PROG FORMACIÓN TITULADA'!#REF!,"AAAAAHvv+Uk=")</f>
        <v>#REF!</v>
      </c>
      <c r="BW41" t="e">
        <f>AND('PROG FORMACIÓN TITULADA'!#REF!,"AAAAAHvv+Uo=")</f>
        <v>#REF!</v>
      </c>
      <c r="BX41" t="e">
        <f>AND('PROG FORMACIÓN TITULADA'!#REF!,"AAAAAHvv+Us=")</f>
        <v>#REF!</v>
      </c>
      <c r="BY41" t="e">
        <f>AND('PROG FORMACIÓN TITULADA'!#REF!,"AAAAAHvv+Uw=")</f>
        <v>#REF!</v>
      </c>
      <c r="BZ41" t="e">
        <f>AND('PROG FORMACIÓN TITULADA'!#REF!,"AAAAAHvv+U0=")</f>
        <v>#REF!</v>
      </c>
      <c r="CA41" t="e">
        <f>AND('PROG FORMACIÓN TITULADA'!#REF!,"AAAAAHvv+U4=")</f>
        <v>#REF!</v>
      </c>
      <c r="CB41" t="e">
        <f>AND('PROG FORMACIÓN TITULADA'!#REF!,"AAAAAHvv+U8=")</f>
        <v>#REF!</v>
      </c>
      <c r="CC41" t="e">
        <f>AND('PROG FORMACIÓN TITULADA'!#REF!,"AAAAAHvv+VA=")</f>
        <v>#REF!</v>
      </c>
      <c r="CD41" t="e">
        <f>AND('PROG FORMACIÓN TITULADA'!#REF!,"AAAAAHvv+VE=")</f>
        <v>#REF!</v>
      </c>
      <c r="CE41" t="e">
        <f>AND('PROG FORMACIÓN TITULADA'!#REF!,"AAAAAHvv+VI=")</f>
        <v>#REF!</v>
      </c>
      <c r="CF41" t="e">
        <f>AND('PROG FORMACIÓN TITULADA'!#REF!,"AAAAAHvv+VM=")</f>
        <v>#REF!</v>
      </c>
      <c r="CG41" t="e">
        <f>AND('PROG FORMACIÓN TITULADA'!#REF!,"AAAAAHvv+VQ=")</f>
        <v>#REF!</v>
      </c>
      <c r="CH41" t="e">
        <f>AND('PROG FORMACIÓN TITULADA'!#REF!,"AAAAAHvv+VU=")</f>
        <v>#REF!</v>
      </c>
      <c r="CI41" t="e">
        <f>AND('PROG FORMACIÓN TITULADA'!#REF!,"AAAAAHvv+VY=")</f>
        <v>#REF!</v>
      </c>
      <c r="CJ41" t="e">
        <f>AND('PROG FORMACIÓN TITULADA'!#REF!,"AAAAAHvv+Vc=")</f>
        <v>#REF!</v>
      </c>
      <c r="CK41" t="e">
        <f>IF('PROG FORMACIÓN TITULADA'!#REF!,"AAAAAHvv+Vg=",0)</f>
        <v>#REF!</v>
      </c>
      <c r="CL41" t="e">
        <f>AND('PROG FORMACIÓN TITULADA'!#REF!,"AAAAAHvv+Vk=")</f>
        <v>#REF!</v>
      </c>
      <c r="CM41" t="e">
        <f>AND('PROG FORMACIÓN TITULADA'!#REF!,"AAAAAHvv+Vo=")</f>
        <v>#REF!</v>
      </c>
      <c r="CN41" t="e">
        <f>AND('PROG FORMACIÓN TITULADA'!#REF!,"AAAAAHvv+Vs=")</f>
        <v>#REF!</v>
      </c>
      <c r="CO41" t="e">
        <f>AND('PROG FORMACIÓN TITULADA'!#REF!,"AAAAAHvv+Vw=")</f>
        <v>#REF!</v>
      </c>
      <c r="CP41" t="e">
        <f>AND('PROG FORMACIÓN TITULADA'!#REF!,"AAAAAHvv+V0=")</f>
        <v>#REF!</v>
      </c>
      <c r="CQ41" t="e">
        <f>AND('PROG FORMACIÓN TITULADA'!#REF!,"AAAAAHvv+V4=")</f>
        <v>#REF!</v>
      </c>
      <c r="CR41" t="e">
        <f>AND('PROG FORMACIÓN TITULADA'!#REF!,"AAAAAHvv+V8=")</f>
        <v>#REF!</v>
      </c>
      <c r="CS41" t="e">
        <f>AND('PROG FORMACIÓN TITULADA'!#REF!,"AAAAAHvv+WA=")</f>
        <v>#REF!</v>
      </c>
      <c r="CT41" t="e">
        <f>AND('PROG FORMACIÓN TITULADA'!#REF!,"AAAAAHvv+WE=")</f>
        <v>#REF!</v>
      </c>
      <c r="CU41" t="e">
        <f>AND('PROG FORMACIÓN TITULADA'!#REF!,"AAAAAHvv+WI=")</f>
        <v>#REF!</v>
      </c>
      <c r="CV41" t="e">
        <f>AND('PROG FORMACIÓN TITULADA'!#REF!,"AAAAAHvv+WM=")</f>
        <v>#REF!</v>
      </c>
      <c r="CW41" t="e">
        <f>AND('PROG FORMACIÓN TITULADA'!#REF!,"AAAAAHvv+WQ=")</f>
        <v>#REF!</v>
      </c>
      <c r="CX41" t="e">
        <f>AND('PROG FORMACIÓN TITULADA'!#REF!,"AAAAAHvv+WU=")</f>
        <v>#REF!</v>
      </c>
      <c r="CY41" t="e">
        <f>AND('PROG FORMACIÓN TITULADA'!#REF!,"AAAAAHvv+WY=")</f>
        <v>#REF!</v>
      </c>
      <c r="CZ41" t="e">
        <f>AND('PROG FORMACIÓN TITULADA'!#REF!,"AAAAAHvv+Wc=")</f>
        <v>#REF!</v>
      </c>
      <c r="DA41" t="e">
        <f>AND('PROG FORMACIÓN TITULADA'!#REF!,"AAAAAHvv+Wg=")</f>
        <v>#REF!</v>
      </c>
      <c r="DB41" t="e">
        <f>AND('PROG FORMACIÓN TITULADA'!#REF!,"AAAAAHvv+Wk=")</f>
        <v>#REF!</v>
      </c>
      <c r="DC41" t="e">
        <f>AND('PROG FORMACIÓN TITULADA'!#REF!,"AAAAAHvv+Wo=")</f>
        <v>#REF!</v>
      </c>
      <c r="DD41" t="e">
        <f>AND('PROG FORMACIÓN TITULADA'!#REF!,"AAAAAHvv+Ws=")</f>
        <v>#REF!</v>
      </c>
      <c r="DE41" t="e">
        <f>AND('PROG FORMACIÓN TITULADA'!#REF!,"AAAAAHvv+Ww=")</f>
        <v>#REF!</v>
      </c>
      <c r="DF41" t="e">
        <f>AND('PROG FORMACIÓN TITULADA'!#REF!,"AAAAAHvv+W0=")</f>
        <v>#REF!</v>
      </c>
      <c r="DG41" t="e">
        <f>AND('PROG FORMACIÓN TITULADA'!#REF!,"AAAAAHvv+W4=")</f>
        <v>#REF!</v>
      </c>
      <c r="DH41" t="e">
        <f>AND('PROG FORMACIÓN TITULADA'!#REF!,"AAAAAHvv+W8=")</f>
        <v>#REF!</v>
      </c>
      <c r="DI41" t="e">
        <f>AND('PROG FORMACIÓN TITULADA'!#REF!,"AAAAAHvv+XA=")</f>
        <v>#REF!</v>
      </c>
      <c r="DJ41" t="e">
        <f>AND('PROG FORMACIÓN TITULADA'!#REF!,"AAAAAHvv+XE=")</f>
        <v>#REF!</v>
      </c>
      <c r="DK41" t="e">
        <f>AND('PROG FORMACIÓN TITULADA'!#REF!,"AAAAAHvv+XI=")</f>
        <v>#REF!</v>
      </c>
      <c r="DL41" t="e">
        <f>IF('PROG FORMACIÓN TITULADA'!#REF!,"AAAAAHvv+XM=",0)</f>
        <v>#REF!</v>
      </c>
      <c r="DM41" t="e">
        <f>AND('PROG FORMACIÓN TITULADA'!#REF!,"AAAAAHvv+XQ=")</f>
        <v>#REF!</v>
      </c>
      <c r="DN41" t="e">
        <f>AND('PROG FORMACIÓN TITULADA'!#REF!,"AAAAAHvv+XU=")</f>
        <v>#REF!</v>
      </c>
      <c r="DO41" t="e">
        <f>AND('PROG FORMACIÓN TITULADA'!#REF!,"AAAAAHvv+XY=")</f>
        <v>#REF!</v>
      </c>
      <c r="DP41" t="e">
        <f>AND('PROG FORMACIÓN TITULADA'!#REF!,"AAAAAHvv+Xc=")</f>
        <v>#REF!</v>
      </c>
      <c r="DQ41" t="e">
        <f>AND('PROG FORMACIÓN TITULADA'!#REF!,"AAAAAHvv+Xg=")</f>
        <v>#REF!</v>
      </c>
      <c r="DR41" t="e">
        <f>AND('PROG FORMACIÓN TITULADA'!#REF!,"AAAAAHvv+Xk=")</f>
        <v>#REF!</v>
      </c>
      <c r="DS41" t="e">
        <f>AND('PROG FORMACIÓN TITULADA'!#REF!,"AAAAAHvv+Xo=")</f>
        <v>#REF!</v>
      </c>
      <c r="DT41" t="e">
        <f>AND('PROG FORMACIÓN TITULADA'!#REF!,"AAAAAHvv+Xs=")</f>
        <v>#REF!</v>
      </c>
      <c r="DU41" t="e">
        <f>AND('PROG FORMACIÓN TITULADA'!#REF!,"AAAAAHvv+Xw=")</f>
        <v>#REF!</v>
      </c>
      <c r="DV41" t="e">
        <f>AND('PROG FORMACIÓN TITULADA'!#REF!,"AAAAAHvv+X0=")</f>
        <v>#REF!</v>
      </c>
      <c r="DW41" t="e">
        <f>AND('PROG FORMACIÓN TITULADA'!#REF!,"AAAAAHvv+X4=")</f>
        <v>#REF!</v>
      </c>
      <c r="DX41" t="e">
        <f>AND('PROG FORMACIÓN TITULADA'!#REF!,"AAAAAHvv+X8=")</f>
        <v>#REF!</v>
      </c>
      <c r="DY41" t="e">
        <f>AND('PROG FORMACIÓN TITULADA'!#REF!,"AAAAAHvv+YA=")</f>
        <v>#REF!</v>
      </c>
      <c r="DZ41" t="e">
        <f>AND('PROG FORMACIÓN TITULADA'!#REF!,"AAAAAHvv+YE=")</f>
        <v>#REF!</v>
      </c>
      <c r="EA41" t="e">
        <f>AND('PROG FORMACIÓN TITULADA'!#REF!,"AAAAAHvv+YI=")</f>
        <v>#REF!</v>
      </c>
      <c r="EB41" t="e">
        <f>AND('PROG FORMACIÓN TITULADA'!#REF!,"AAAAAHvv+YM=")</f>
        <v>#REF!</v>
      </c>
      <c r="EC41" t="e">
        <f>AND('PROG FORMACIÓN TITULADA'!#REF!,"AAAAAHvv+YQ=")</f>
        <v>#REF!</v>
      </c>
      <c r="ED41" t="e">
        <f>AND('PROG FORMACIÓN TITULADA'!#REF!,"AAAAAHvv+YU=")</f>
        <v>#REF!</v>
      </c>
      <c r="EE41" t="e">
        <f>AND('PROG FORMACIÓN TITULADA'!#REF!,"AAAAAHvv+YY=")</f>
        <v>#REF!</v>
      </c>
      <c r="EF41" t="e">
        <f>AND('PROG FORMACIÓN TITULADA'!#REF!,"AAAAAHvv+Yc=")</f>
        <v>#REF!</v>
      </c>
      <c r="EG41" t="e">
        <f>AND('PROG FORMACIÓN TITULADA'!#REF!,"AAAAAHvv+Yg=")</f>
        <v>#REF!</v>
      </c>
      <c r="EH41" t="e">
        <f>AND('PROG FORMACIÓN TITULADA'!#REF!,"AAAAAHvv+Yk=")</f>
        <v>#REF!</v>
      </c>
      <c r="EI41" t="e">
        <f>AND('PROG FORMACIÓN TITULADA'!#REF!,"AAAAAHvv+Yo=")</f>
        <v>#REF!</v>
      </c>
      <c r="EJ41" t="e">
        <f>AND('PROG FORMACIÓN TITULADA'!#REF!,"AAAAAHvv+Ys=")</f>
        <v>#REF!</v>
      </c>
      <c r="EK41" t="e">
        <f>AND('PROG FORMACIÓN TITULADA'!#REF!,"AAAAAHvv+Yw=")</f>
        <v>#REF!</v>
      </c>
      <c r="EL41" t="e">
        <f>AND('PROG FORMACIÓN TITULADA'!#REF!,"AAAAAHvv+Y0=")</f>
        <v>#REF!</v>
      </c>
      <c r="EM41" t="e">
        <f>IF('PROG FORMACIÓN TITULADA'!#REF!,"AAAAAHvv+Y4=",0)</f>
        <v>#REF!</v>
      </c>
      <c r="EN41" t="e">
        <f>AND('PROG FORMACIÓN TITULADA'!#REF!,"AAAAAHvv+Y8=")</f>
        <v>#REF!</v>
      </c>
      <c r="EO41" t="e">
        <f>AND('PROG FORMACIÓN TITULADA'!#REF!,"AAAAAHvv+ZA=")</f>
        <v>#REF!</v>
      </c>
      <c r="EP41" t="e">
        <f>AND('PROG FORMACIÓN TITULADA'!#REF!,"AAAAAHvv+ZE=")</f>
        <v>#REF!</v>
      </c>
      <c r="EQ41" t="e">
        <f>AND('PROG FORMACIÓN TITULADA'!#REF!,"AAAAAHvv+ZI=")</f>
        <v>#REF!</v>
      </c>
      <c r="ER41" t="e">
        <f>AND('PROG FORMACIÓN TITULADA'!#REF!,"AAAAAHvv+ZM=")</f>
        <v>#REF!</v>
      </c>
      <c r="ES41" t="e">
        <f>AND('PROG FORMACIÓN TITULADA'!#REF!,"AAAAAHvv+ZQ=")</f>
        <v>#REF!</v>
      </c>
      <c r="ET41" t="e">
        <f>AND('PROG FORMACIÓN TITULADA'!#REF!,"AAAAAHvv+ZU=")</f>
        <v>#REF!</v>
      </c>
      <c r="EU41" t="e">
        <f>AND('PROG FORMACIÓN TITULADA'!#REF!,"AAAAAHvv+ZY=")</f>
        <v>#REF!</v>
      </c>
      <c r="EV41" t="e">
        <f>AND('PROG FORMACIÓN TITULADA'!#REF!,"AAAAAHvv+Zc=")</f>
        <v>#REF!</v>
      </c>
      <c r="EW41" t="e">
        <f>AND('PROG FORMACIÓN TITULADA'!#REF!,"AAAAAHvv+Zg=")</f>
        <v>#REF!</v>
      </c>
      <c r="EX41" t="e">
        <f>AND('PROG FORMACIÓN TITULADA'!#REF!,"AAAAAHvv+Zk=")</f>
        <v>#REF!</v>
      </c>
      <c r="EY41" t="e">
        <f>AND('PROG FORMACIÓN TITULADA'!#REF!,"AAAAAHvv+Zo=")</f>
        <v>#REF!</v>
      </c>
      <c r="EZ41" t="e">
        <f>AND('PROG FORMACIÓN TITULADA'!#REF!,"AAAAAHvv+Zs=")</f>
        <v>#REF!</v>
      </c>
      <c r="FA41" t="e">
        <f>AND('PROG FORMACIÓN TITULADA'!#REF!,"AAAAAHvv+Zw=")</f>
        <v>#REF!</v>
      </c>
      <c r="FB41" t="e">
        <f>AND('PROG FORMACIÓN TITULADA'!#REF!,"AAAAAHvv+Z0=")</f>
        <v>#REF!</v>
      </c>
      <c r="FC41" t="e">
        <f>AND('PROG FORMACIÓN TITULADA'!#REF!,"AAAAAHvv+Z4=")</f>
        <v>#REF!</v>
      </c>
      <c r="FD41" t="e">
        <f>AND('PROG FORMACIÓN TITULADA'!#REF!,"AAAAAHvv+Z8=")</f>
        <v>#REF!</v>
      </c>
      <c r="FE41" t="e">
        <f>AND('PROG FORMACIÓN TITULADA'!#REF!,"AAAAAHvv+aA=")</f>
        <v>#REF!</v>
      </c>
      <c r="FF41" t="e">
        <f>AND('PROG FORMACIÓN TITULADA'!#REF!,"AAAAAHvv+aE=")</f>
        <v>#REF!</v>
      </c>
      <c r="FG41" t="e">
        <f>AND('PROG FORMACIÓN TITULADA'!#REF!,"AAAAAHvv+aI=")</f>
        <v>#REF!</v>
      </c>
      <c r="FH41" t="e">
        <f>AND('PROG FORMACIÓN TITULADA'!#REF!,"AAAAAHvv+aM=")</f>
        <v>#REF!</v>
      </c>
      <c r="FI41" t="e">
        <f>AND('PROG FORMACIÓN TITULADA'!#REF!,"AAAAAHvv+aQ=")</f>
        <v>#REF!</v>
      </c>
      <c r="FJ41" t="e">
        <f>AND('PROG FORMACIÓN TITULADA'!#REF!,"AAAAAHvv+aU=")</f>
        <v>#REF!</v>
      </c>
      <c r="FK41" t="e">
        <f>AND('PROG FORMACIÓN TITULADA'!#REF!,"AAAAAHvv+aY=")</f>
        <v>#REF!</v>
      </c>
      <c r="FL41" t="e">
        <f>AND('PROG FORMACIÓN TITULADA'!#REF!,"AAAAAHvv+ac=")</f>
        <v>#REF!</v>
      </c>
      <c r="FM41" t="e">
        <f>AND('PROG FORMACIÓN TITULADA'!#REF!,"AAAAAHvv+ag=")</f>
        <v>#REF!</v>
      </c>
      <c r="FN41" t="e">
        <f>IF('PROG FORMACIÓN TITULADA'!#REF!,"AAAAAHvv+ak=",0)</f>
        <v>#REF!</v>
      </c>
      <c r="FO41" t="e">
        <f>AND('PROG FORMACIÓN TITULADA'!#REF!,"AAAAAHvv+ao=")</f>
        <v>#REF!</v>
      </c>
      <c r="FP41" t="e">
        <f>AND('PROG FORMACIÓN TITULADA'!#REF!,"AAAAAHvv+as=")</f>
        <v>#REF!</v>
      </c>
      <c r="FQ41" t="e">
        <f>AND('PROG FORMACIÓN TITULADA'!#REF!,"AAAAAHvv+aw=")</f>
        <v>#REF!</v>
      </c>
      <c r="FR41" t="e">
        <f>AND('PROG FORMACIÓN TITULADA'!#REF!,"AAAAAHvv+a0=")</f>
        <v>#REF!</v>
      </c>
      <c r="FS41" t="e">
        <f>AND('PROG FORMACIÓN TITULADA'!#REF!,"AAAAAHvv+a4=")</f>
        <v>#REF!</v>
      </c>
      <c r="FT41" t="e">
        <f>AND('PROG FORMACIÓN TITULADA'!#REF!,"AAAAAHvv+a8=")</f>
        <v>#REF!</v>
      </c>
      <c r="FU41" t="e">
        <f>AND('PROG FORMACIÓN TITULADA'!#REF!,"AAAAAHvv+bA=")</f>
        <v>#REF!</v>
      </c>
      <c r="FV41" t="e">
        <f>AND('PROG FORMACIÓN TITULADA'!#REF!,"AAAAAHvv+bE=")</f>
        <v>#REF!</v>
      </c>
      <c r="FW41" t="e">
        <f>AND('PROG FORMACIÓN TITULADA'!#REF!,"AAAAAHvv+bI=")</f>
        <v>#REF!</v>
      </c>
      <c r="FX41" t="e">
        <f>AND('PROG FORMACIÓN TITULADA'!#REF!,"AAAAAHvv+bM=")</f>
        <v>#REF!</v>
      </c>
      <c r="FY41" t="e">
        <f>AND('PROG FORMACIÓN TITULADA'!#REF!,"AAAAAHvv+bQ=")</f>
        <v>#REF!</v>
      </c>
      <c r="FZ41" t="e">
        <f>AND('PROG FORMACIÓN TITULADA'!#REF!,"AAAAAHvv+bU=")</f>
        <v>#REF!</v>
      </c>
      <c r="GA41" t="e">
        <f>AND('PROG FORMACIÓN TITULADA'!#REF!,"AAAAAHvv+bY=")</f>
        <v>#REF!</v>
      </c>
      <c r="GB41" t="e">
        <f>AND('PROG FORMACIÓN TITULADA'!#REF!,"AAAAAHvv+bc=")</f>
        <v>#REF!</v>
      </c>
      <c r="GC41" t="e">
        <f>AND('PROG FORMACIÓN TITULADA'!#REF!,"AAAAAHvv+bg=")</f>
        <v>#REF!</v>
      </c>
      <c r="GD41" t="e">
        <f>AND('PROG FORMACIÓN TITULADA'!#REF!,"AAAAAHvv+bk=")</f>
        <v>#REF!</v>
      </c>
      <c r="GE41" t="e">
        <f>AND('PROG FORMACIÓN TITULADA'!#REF!,"AAAAAHvv+bo=")</f>
        <v>#REF!</v>
      </c>
      <c r="GF41" t="e">
        <f>AND('PROG FORMACIÓN TITULADA'!#REF!,"AAAAAHvv+bs=")</f>
        <v>#REF!</v>
      </c>
      <c r="GG41" t="e">
        <f>AND('PROG FORMACIÓN TITULADA'!#REF!,"AAAAAHvv+bw=")</f>
        <v>#REF!</v>
      </c>
      <c r="GH41" t="e">
        <f>AND('PROG FORMACIÓN TITULADA'!#REF!,"AAAAAHvv+b0=")</f>
        <v>#REF!</v>
      </c>
      <c r="GI41" t="e">
        <f>AND('PROG FORMACIÓN TITULADA'!#REF!,"AAAAAHvv+b4=")</f>
        <v>#REF!</v>
      </c>
      <c r="GJ41" t="e">
        <f>AND('PROG FORMACIÓN TITULADA'!#REF!,"AAAAAHvv+b8=")</f>
        <v>#REF!</v>
      </c>
      <c r="GK41" t="e">
        <f>AND('PROG FORMACIÓN TITULADA'!#REF!,"AAAAAHvv+cA=")</f>
        <v>#REF!</v>
      </c>
      <c r="GL41" t="e">
        <f>AND('PROG FORMACIÓN TITULADA'!#REF!,"AAAAAHvv+cE=")</f>
        <v>#REF!</v>
      </c>
      <c r="GM41" t="e">
        <f>AND('PROG FORMACIÓN TITULADA'!#REF!,"AAAAAHvv+cI=")</f>
        <v>#REF!</v>
      </c>
      <c r="GN41" t="e">
        <f>AND('PROG FORMACIÓN TITULADA'!#REF!,"AAAAAHvv+cM=")</f>
        <v>#REF!</v>
      </c>
      <c r="GO41" t="e">
        <f>IF('PROG FORMACIÓN TITULADA'!#REF!,"AAAAAHvv+cQ=",0)</f>
        <v>#REF!</v>
      </c>
      <c r="GP41" t="e">
        <f>AND('PROG FORMACIÓN TITULADA'!#REF!,"AAAAAHvv+cU=")</f>
        <v>#REF!</v>
      </c>
      <c r="GQ41" t="e">
        <f>AND('PROG FORMACIÓN TITULADA'!#REF!,"AAAAAHvv+cY=")</f>
        <v>#REF!</v>
      </c>
      <c r="GR41" t="e">
        <f>AND('PROG FORMACIÓN TITULADA'!#REF!,"AAAAAHvv+cc=")</f>
        <v>#REF!</v>
      </c>
      <c r="GS41" t="e">
        <f>AND('PROG FORMACIÓN TITULADA'!#REF!,"AAAAAHvv+cg=")</f>
        <v>#REF!</v>
      </c>
      <c r="GT41" t="e">
        <f>AND('PROG FORMACIÓN TITULADA'!#REF!,"AAAAAHvv+ck=")</f>
        <v>#REF!</v>
      </c>
      <c r="GU41" t="e">
        <f>AND('PROG FORMACIÓN TITULADA'!#REF!,"AAAAAHvv+co=")</f>
        <v>#REF!</v>
      </c>
      <c r="GV41" t="e">
        <f>AND('PROG FORMACIÓN TITULADA'!#REF!,"AAAAAHvv+cs=")</f>
        <v>#REF!</v>
      </c>
      <c r="GW41" t="e">
        <f>AND('PROG FORMACIÓN TITULADA'!#REF!,"AAAAAHvv+cw=")</f>
        <v>#REF!</v>
      </c>
      <c r="GX41" t="e">
        <f>AND('PROG FORMACIÓN TITULADA'!#REF!,"AAAAAHvv+c0=")</f>
        <v>#REF!</v>
      </c>
      <c r="GY41" t="e">
        <f>AND('PROG FORMACIÓN TITULADA'!#REF!,"AAAAAHvv+c4=")</f>
        <v>#REF!</v>
      </c>
      <c r="GZ41" t="e">
        <f>AND('PROG FORMACIÓN TITULADA'!#REF!,"AAAAAHvv+c8=")</f>
        <v>#REF!</v>
      </c>
      <c r="HA41" t="e">
        <f>AND('PROG FORMACIÓN TITULADA'!#REF!,"AAAAAHvv+dA=")</f>
        <v>#REF!</v>
      </c>
      <c r="HB41" t="e">
        <f>AND('PROG FORMACIÓN TITULADA'!#REF!,"AAAAAHvv+dE=")</f>
        <v>#REF!</v>
      </c>
      <c r="HC41" t="e">
        <f>AND('PROG FORMACIÓN TITULADA'!#REF!,"AAAAAHvv+dI=")</f>
        <v>#REF!</v>
      </c>
      <c r="HD41" t="e">
        <f>AND('PROG FORMACIÓN TITULADA'!#REF!,"AAAAAHvv+dM=")</f>
        <v>#REF!</v>
      </c>
      <c r="HE41" t="e">
        <f>AND('PROG FORMACIÓN TITULADA'!#REF!,"AAAAAHvv+dQ=")</f>
        <v>#REF!</v>
      </c>
      <c r="HF41" t="e">
        <f>AND('PROG FORMACIÓN TITULADA'!#REF!,"AAAAAHvv+dU=")</f>
        <v>#REF!</v>
      </c>
      <c r="HG41" t="e">
        <f>AND('PROG FORMACIÓN TITULADA'!#REF!,"AAAAAHvv+dY=")</f>
        <v>#REF!</v>
      </c>
      <c r="HH41" t="e">
        <f>AND('PROG FORMACIÓN TITULADA'!#REF!,"AAAAAHvv+dc=")</f>
        <v>#REF!</v>
      </c>
      <c r="HI41" t="e">
        <f>AND('PROG FORMACIÓN TITULADA'!#REF!,"AAAAAHvv+dg=")</f>
        <v>#REF!</v>
      </c>
      <c r="HJ41" t="e">
        <f>AND('PROG FORMACIÓN TITULADA'!#REF!,"AAAAAHvv+dk=")</f>
        <v>#REF!</v>
      </c>
      <c r="HK41" t="e">
        <f>AND('PROG FORMACIÓN TITULADA'!#REF!,"AAAAAHvv+do=")</f>
        <v>#REF!</v>
      </c>
      <c r="HL41" t="e">
        <f>AND('PROG FORMACIÓN TITULADA'!#REF!,"AAAAAHvv+ds=")</f>
        <v>#REF!</v>
      </c>
      <c r="HM41" t="e">
        <f>AND('PROG FORMACIÓN TITULADA'!#REF!,"AAAAAHvv+dw=")</f>
        <v>#REF!</v>
      </c>
      <c r="HN41" t="e">
        <f>AND('PROG FORMACIÓN TITULADA'!#REF!,"AAAAAHvv+d0=")</f>
        <v>#REF!</v>
      </c>
      <c r="HO41" t="e">
        <f>AND('PROG FORMACIÓN TITULADA'!#REF!,"AAAAAHvv+d4=")</f>
        <v>#REF!</v>
      </c>
      <c r="HP41" t="e">
        <f>IF('PROG FORMACIÓN TITULADA'!#REF!,"AAAAAHvv+d8=",0)</f>
        <v>#REF!</v>
      </c>
      <c r="HQ41" t="e">
        <f>AND('PROG FORMACIÓN TITULADA'!#REF!,"AAAAAHvv+eA=")</f>
        <v>#REF!</v>
      </c>
      <c r="HR41" t="e">
        <f>AND('PROG FORMACIÓN TITULADA'!#REF!,"AAAAAHvv+eE=")</f>
        <v>#REF!</v>
      </c>
      <c r="HS41" t="e">
        <f>AND('PROG FORMACIÓN TITULADA'!#REF!,"AAAAAHvv+eI=")</f>
        <v>#REF!</v>
      </c>
      <c r="HT41" t="e">
        <f>AND('PROG FORMACIÓN TITULADA'!#REF!,"AAAAAHvv+eM=")</f>
        <v>#REF!</v>
      </c>
      <c r="HU41" t="e">
        <f>AND('PROG FORMACIÓN TITULADA'!#REF!,"AAAAAHvv+eQ=")</f>
        <v>#REF!</v>
      </c>
      <c r="HV41" t="e">
        <f>AND('PROG FORMACIÓN TITULADA'!#REF!,"AAAAAHvv+eU=")</f>
        <v>#REF!</v>
      </c>
      <c r="HW41" t="e">
        <f>AND('PROG FORMACIÓN TITULADA'!#REF!,"AAAAAHvv+eY=")</f>
        <v>#REF!</v>
      </c>
      <c r="HX41" t="e">
        <f>AND('PROG FORMACIÓN TITULADA'!#REF!,"AAAAAHvv+ec=")</f>
        <v>#REF!</v>
      </c>
      <c r="HY41" t="e">
        <f>AND('PROG FORMACIÓN TITULADA'!#REF!,"AAAAAHvv+eg=")</f>
        <v>#REF!</v>
      </c>
      <c r="HZ41" t="e">
        <f>AND('PROG FORMACIÓN TITULADA'!#REF!,"AAAAAHvv+ek=")</f>
        <v>#REF!</v>
      </c>
      <c r="IA41" t="e">
        <f>AND('PROG FORMACIÓN TITULADA'!#REF!,"AAAAAHvv+eo=")</f>
        <v>#REF!</v>
      </c>
      <c r="IB41" t="e">
        <f>AND('PROG FORMACIÓN TITULADA'!#REF!,"AAAAAHvv+es=")</f>
        <v>#REF!</v>
      </c>
      <c r="IC41" t="e">
        <f>AND('PROG FORMACIÓN TITULADA'!#REF!,"AAAAAHvv+ew=")</f>
        <v>#REF!</v>
      </c>
      <c r="ID41" t="e">
        <f>AND('PROG FORMACIÓN TITULADA'!#REF!,"AAAAAHvv+e0=")</f>
        <v>#REF!</v>
      </c>
      <c r="IE41" t="e">
        <f>AND('PROG FORMACIÓN TITULADA'!#REF!,"AAAAAHvv+e4=")</f>
        <v>#REF!</v>
      </c>
      <c r="IF41" t="e">
        <f>AND('PROG FORMACIÓN TITULADA'!#REF!,"AAAAAHvv+e8=")</f>
        <v>#REF!</v>
      </c>
      <c r="IG41" t="e">
        <f>AND('PROG FORMACIÓN TITULADA'!#REF!,"AAAAAHvv+fA=")</f>
        <v>#REF!</v>
      </c>
      <c r="IH41" t="e">
        <f>AND('PROG FORMACIÓN TITULADA'!#REF!,"AAAAAHvv+fE=")</f>
        <v>#REF!</v>
      </c>
      <c r="II41" t="e">
        <f>AND('PROG FORMACIÓN TITULADA'!#REF!,"AAAAAHvv+fI=")</f>
        <v>#REF!</v>
      </c>
      <c r="IJ41" t="e">
        <f>AND('PROG FORMACIÓN TITULADA'!#REF!,"AAAAAHvv+fM=")</f>
        <v>#REF!</v>
      </c>
      <c r="IK41" t="e">
        <f>AND('PROG FORMACIÓN TITULADA'!#REF!,"AAAAAHvv+fQ=")</f>
        <v>#REF!</v>
      </c>
      <c r="IL41" t="e">
        <f>AND('PROG FORMACIÓN TITULADA'!#REF!,"AAAAAHvv+fU=")</f>
        <v>#REF!</v>
      </c>
      <c r="IM41" t="e">
        <f>AND('PROG FORMACIÓN TITULADA'!#REF!,"AAAAAHvv+fY=")</f>
        <v>#REF!</v>
      </c>
      <c r="IN41" t="e">
        <f>AND('PROG FORMACIÓN TITULADA'!#REF!,"AAAAAHvv+fc=")</f>
        <v>#REF!</v>
      </c>
      <c r="IO41" t="e">
        <f>AND('PROG FORMACIÓN TITULADA'!#REF!,"AAAAAHvv+fg=")</f>
        <v>#REF!</v>
      </c>
      <c r="IP41" t="e">
        <f>AND('PROG FORMACIÓN TITULADA'!#REF!,"AAAAAHvv+fk=")</f>
        <v>#REF!</v>
      </c>
      <c r="IQ41" t="e">
        <f>IF('PROG FORMACIÓN TITULADA'!#REF!,"AAAAAHvv+fo=",0)</f>
        <v>#REF!</v>
      </c>
      <c r="IR41" t="e">
        <f>AND('PROG FORMACIÓN TITULADA'!#REF!,"AAAAAHvv+fs=")</f>
        <v>#REF!</v>
      </c>
      <c r="IS41" t="e">
        <f>AND('PROG FORMACIÓN TITULADA'!#REF!,"AAAAAHvv+fw=")</f>
        <v>#REF!</v>
      </c>
      <c r="IT41" t="e">
        <f>AND('PROG FORMACIÓN TITULADA'!#REF!,"AAAAAHvv+f0=")</f>
        <v>#REF!</v>
      </c>
      <c r="IU41" t="e">
        <f>AND('PROG FORMACIÓN TITULADA'!#REF!,"AAAAAHvv+f4=")</f>
        <v>#REF!</v>
      </c>
      <c r="IV41" t="e">
        <f>AND('PROG FORMACIÓN TITULADA'!#REF!,"AAAAAHvv+f8=")</f>
        <v>#REF!</v>
      </c>
    </row>
    <row r="42" spans="1:256" x14ac:dyDescent="0.2">
      <c r="A42" t="e">
        <f>AND('PROG FORMACIÓN TITULADA'!#REF!,"AAAAAGu/GwA=")</f>
        <v>#REF!</v>
      </c>
      <c r="B42" t="e">
        <f>AND('PROG FORMACIÓN TITULADA'!#REF!,"AAAAAGu/GwE=")</f>
        <v>#REF!</v>
      </c>
      <c r="C42" t="e">
        <f>AND('PROG FORMACIÓN TITULADA'!#REF!,"AAAAAGu/GwI=")</f>
        <v>#REF!</v>
      </c>
      <c r="D42" t="e">
        <f>AND('PROG FORMACIÓN TITULADA'!#REF!,"AAAAAGu/GwM=")</f>
        <v>#REF!</v>
      </c>
      <c r="E42" t="e">
        <f>AND('PROG FORMACIÓN TITULADA'!#REF!,"AAAAAGu/GwQ=")</f>
        <v>#REF!</v>
      </c>
      <c r="F42" t="e">
        <f>AND('PROG FORMACIÓN TITULADA'!#REF!,"AAAAAGu/GwU=")</f>
        <v>#REF!</v>
      </c>
      <c r="G42" t="e">
        <f>AND('PROG FORMACIÓN TITULADA'!#REF!,"AAAAAGu/GwY=")</f>
        <v>#REF!</v>
      </c>
      <c r="H42" t="e">
        <f>AND('PROG FORMACIÓN TITULADA'!#REF!,"AAAAAGu/Gwc=")</f>
        <v>#REF!</v>
      </c>
      <c r="I42" t="e">
        <f>AND('PROG FORMACIÓN TITULADA'!#REF!,"AAAAAGu/Gwg=")</f>
        <v>#REF!</v>
      </c>
      <c r="J42" t="e">
        <f>AND('PROG FORMACIÓN TITULADA'!#REF!,"AAAAAGu/Gwk=")</f>
        <v>#REF!</v>
      </c>
      <c r="K42" t="e">
        <f>AND('PROG FORMACIÓN TITULADA'!#REF!,"AAAAAGu/Gwo=")</f>
        <v>#REF!</v>
      </c>
      <c r="L42" t="e">
        <f>AND('PROG FORMACIÓN TITULADA'!#REF!,"AAAAAGu/Gws=")</f>
        <v>#REF!</v>
      </c>
      <c r="M42" t="e">
        <f>AND('PROG FORMACIÓN TITULADA'!#REF!,"AAAAAGu/Gww=")</f>
        <v>#REF!</v>
      </c>
      <c r="N42" t="e">
        <f>AND('PROG FORMACIÓN TITULADA'!#REF!,"AAAAAGu/Gw0=")</f>
        <v>#REF!</v>
      </c>
      <c r="O42" t="e">
        <f>AND('PROG FORMACIÓN TITULADA'!#REF!,"AAAAAGu/Gw4=")</f>
        <v>#REF!</v>
      </c>
      <c r="P42" t="e">
        <f>AND('PROG FORMACIÓN TITULADA'!#REF!,"AAAAAGu/Gw8=")</f>
        <v>#REF!</v>
      </c>
      <c r="Q42" t="e">
        <f>AND('PROG FORMACIÓN TITULADA'!#REF!,"AAAAAGu/GxA=")</f>
        <v>#REF!</v>
      </c>
      <c r="R42" t="e">
        <f>AND('PROG FORMACIÓN TITULADA'!#REF!,"AAAAAGu/GxE=")</f>
        <v>#REF!</v>
      </c>
      <c r="S42" t="e">
        <f>AND('PROG FORMACIÓN TITULADA'!#REF!,"AAAAAGu/GxI=")</f>
        <v>#REF!</v>
      </c>
      <c r="T42" t="e">
        <f>AND('PROG FORMACIÓN TITULADA'!#REF!,"AAAAAGu/GxM=")</f>
        <v>#REF!</v>
      </c>
      <c r="U42" t="e">
        <f>AND('PROG FORMACIÓN TITULADA'!#REF!,"AAAAAGu/GxQ=")</f>
        <v>#REF!</v>
      </c>
      <c r="V42" t="e">
        <f>IF('PROG FORMACIÓN TITULADA'!#REF!,"AAAAAGu/GxU=",0)</f>
        <v>#REF!</v>
      </c>
      <c r="W42" t="e">
        <f>AND('PROG FORMACIÓN TITULADA'!#REF!,"AAAAAGu/GxY=")</f>
        <v>#REF!</v>
      </c>
      <c r="X42" t="e">
        <f>AND('PROG FORMACIÓN TITULADA'!#REF!,"AAAAAGu/Gxc=")</f>
        <v>#REF!</v>
      </c>
      <c r="Y42" t="e">
        <f>AND('PROG FORMACIÓN TITULADA'!#REF!,"AAAAAGu/Gxg=")</f>
        <v>#REF!</v>
      </c>
      <c r="Z42" t="e">
        <f>AND('PROG FORMACIÓN TITULADA'!#REF!,"AAAAAGu/Gxk=")</f>
        <v>#REF!</v>
      </c>
      <c r="AA42" t="e">
        <f>AND('PROG FORMACIÓN TITULADA'!#REF!,"AAAAAGu/Gxo=")</f>
        <v>#REF!</v>
      </c>
      <c r="AB42" t="e">
        <f>AND('PROG FORMACIÓN TITULADA'!#REF!,"AAAAAGu/Gxs=")</f>
        <v>#REF!</v>
      </c>
      <c r="AC42" t="e">
        <f>AND('PROG FORMACIÓN TITULADA'!#REF!,"AAAAAGu/Gxw=")</f>
        <v>#REF!</v>
      </c>
      <c r="AD42" t="e">
        <f>AND('PROG FORMACIÓN TITULADA'!#REF!,"AAAAAGu/Gx0=")</f>
        <v>#REF!</v>
      </c>
      <c r="AE42" t="e">
        <f>AND('PROG FORMACIÓN TITULADA'!#REF!,"AAAAAGu/Gx4=")</f>
        <v>#REF!</v>
      </c>
      <c r="AF42" t="e">
        <f>AND('PROG FORMACIÓN TITULADA'!#REF!,"AAAAAGu/Gx8=")</f>
        <v>#REF!</v>
      </c>
      <c r="AG42" t="e">
        <f>AND('PROG FORMACIÓN TITULADA'!#REF!,"AAAAAGu/GyA=")</f>
        <v>#REF!</v>
      </c>
      <c r="AH42" t="e">
        <f>AND('PROG FORMACIÓN TITULADA'!#REF!,"AAAAAGu/GyE=")</f>
        <v>#REF!</v>
      </c>
      <c r="AI42" t="e">
        <f>AND('PROG FORMACIÓN TITULADA'!#REF!,"AAAAAGu/GyI=")</f>
        <v>#REF!</v>
      </c>
      <c r="AJ42" t="e">
        <f>AND('PROG FORMACIÓN TITULADA'!#REF!,"AAAAAGu/GyM=")</f>
        <v>#REF!</v>
      </c>
      <c r="AK42" t="e">
        <f>AND('PROG FORMACIÓN TITULADA'!#REF!,"AAAAAGu/GyQ=")</f>
        <v>#REF!</v>
      </c>
      <c r="AL42" t="e">
        <f>AND('PROG FORMACIÓN TITULADA'!#REF!,"AAAAAGu/GyU=")</f>
        <v>#REF!</v>
      </c>
      <c r="AM42" t="e">
        <f>AND('PROG FORMACIÓN TITULADA'!#REF!,"AAAAAGu/GyY=")</f>
        <v>#REF!</v>
      </c>
      <c r="AN42" t="e">
        <f>AND('PROG FORMACIÓN TITULADA'!#REF!,"AAAAAGu/Gyc=")</f>
        <v>#REF!</v>
      </c>
      <c r="AO42" t="e">
        <f>AND('PROG FORMACIÓN TITULADA'!#REF!,"AAAAAGu/Gyg=")</f>
        <v>#REF!</v>
      </c>
      <c r="AP42" t="e">
        <f>AND('PROG FORMACIÓN TITULADA'!#REF!,"AAAAAGu/Gyk=")</f>
        <v>#REF!</v>
      </c>
      <c r="AQ42" t="e">
        <f>AND('PROG FORMACIÓN TITULADA'!#REF!,"AAAAAGu/Gyo=")</f>
        <v>#REF!</v>
      </c>
      <c r="AR42" t="e">
        <f>AND('PROG FORMACIÓN TITULADA'!#REF!,"AAAAAGu/Gys=")</f>
        <v>#REF!</v>
      </c>
      <c r="AS42" t="e">
        <f>AND('PROG FORMACIÓN TITULADA'!#REF!,"AAAAAGu/Gyw=")</f>
        <v>#REF!</v>
      </c>
      <c r="AT42" t="e">
        <f>AND('PROG FORMACIÓN TITULADA'!#REF!,"AAAAAGu/Gy0=")</f>
        <v>#REF!</v>
      </c>
      <c r="AU42" t="e">
        <f>AND('PROG FORMACIÓN TITULADA'!#REF!,"AAAAAGu/Gy4=")</f>
        <v>#REF!</v>
      </c>
      <c r="AV42" t="e">
        <f>AND('PROG FORMACIÓN TITULADA'!#REF!,"AAAAAGu/Gy8=")</f>
        <v>#REF!</v>
      </c>
      <c r="AW42" t="e">
        <f>IF('PROG FORMACIÓN TITULADA'!#REF!,"AAAAAGu/GzA=",0)</f>
        <v>#REF!</v>
      </c>
      <c r="AX42" t="e">
        <f>AND('PROG FORMACIÓN TITULADA'!#REF!,"AAAAAGu/GzE=")</f>
        <v>#REF!</v>
      </c>
      <c r="AY42" t="e">
        <f>AND('PROG FORMACIÓN TITULADA'!#REF!,"AAAAAGu/GzI=")</f>
        <v>#REF!</v>
      </c>
      <c r="AZ42" t="e">
        <f>AND('PROG FORMACIÓN TITULADA'!#REF!,"AAAAAGu/GzM=")</f>
        <v>#REF!</v>
      </c>
      <c r="BA42" t="e">
        <f>AND('PROG FORMACIÓN TITULADA'!#REF!,"AAAAAGu/GzQ=")</f>
        <v>#REF!</v>
      </c>
      <c r="BB42" t="e">
        <f>AND('PROG FORMACIÓN TITULADA'!#REF!,"AAAAAGu/GzU=")</f>
        <v>#REF!</v>
      </c>
      <c r="BC42" t="e">
        <f>AND('PROG FORMACIÓN TITULADA'!#REF!,"AAAAAGu/GzY=")</f>
        <v>#REF!</v>
      </c>
      <c r="BD42" t="e">
        <f>AND('PROG FORMACIÓN TITULADA'!#REF!,"AAAAAGu/Gzc=")</f>
        <v>#REF!</v>
      </c>
      <c r="BE42" t="e">
        <f>AND('PROG FORMACIÓN TITULADA'!#REF!,"AAAAAGu/Gzg=")</f>
        <v>#REF!</v>
      </c>
      <c r="BF42" t="e">
        <f>AND('PROG FORMACIÓN TITULADA'!#REF!,"AAAAAGu/Gzk=")</f>
        <v>#REF!</v>
      </c>
      <c r="BG42" t="e">
        <f>AND('PROG FORMACIÓN TITULADA'!#REF!,"AAAAAGu/Gzo=")</f>
        <v>#REF!</v>
      </c>
      <c r="BH42" t="e">
        <f>AND('PROG FORMACIÓN TITULADA'!#REF!,"AAAAAGu/Gzs=")</f>
        <v>#REF!</v>
      </c>
      <c r="BI42" t="e">
        <f>AND('PROG FORMACIÓN TITULADA'!#REF!,"AAAAAGu/Gzw=")</f>
        <v>#REF!</v>
      </c>
      <c r="BJ42" t="e">
        <f>AND('PROG FORMACIÓN TITULADA'!#REF!,"AAAAAGu/Gz0=")</f>
        <v>#REF!</v>
      </c>
      <c r="BK42" t="e">
        <f>AND('PROG FORMACIÓN TITULADA'!#REF!,"AAAAAGu/Gz4=")</f>
        <v>#REF!</v>
      </c>
      <c r="BL42" t="e">
        <f>AND('PROG FORMACIÓN TITULADA'!#REF!,"AAAAAGu/Gz8=")</f>
        <v>#REF!</v>
      </c>
      <c r="BM42" t="e">
        <f>AND('PROG FORMACIÓN TITULADA'!#REF!,"AAAAAGu/G0A=")</f>
        <v>#REF!</v>
      </c>
      <c r="BN42" t="e">
        <f>AND('PROG FORMACIÓN TITULADA'!#REF!,"AAAAAGu/G0E=")</f>
        <v>#REF!</v>
      </c>
      <c r="BO42" t="e">
        <f>AND('PROG FORMACIÓN TITULADA'!#REF!,"AAAAAGu/G0I=")</f>
        <v>#REF!</v>
      </c>
      <c r="BP42" t="e">
        <f>AND('PROG FORMACIÓN TITULADA'!#REF!,"AAAAAGu/G0M=")</f>
        <v>#REF!</v>
      </c>
      <c r="BQ42" t="e">
        <f>AND('PROG FORMACIÓN TITULADA'!#REF!,"AAAAAGu/G0Q=")</f>
        <v>#REF!</v>
      </c>
      <c r="BR42" t="e">
        <f>AND('PROG FORMACIÓN TITULADA'!#REF!,"AAAAAGu/G0U=")</f>
        <v>#REF!</v>
      </c>
      <c r="BS42" t="e">
        <f>AND('PROG FORMACIÓN TITULADA'!#REF!,"AAAAAGu/G0Y=")</f>
        <v>#REF!</v>
      </c>
      <c r="BT42" t="e">
        <f>AND('PROG FORMACIÓN TITULADA'!#REF!,"AAAAAGu/G0c=")</f>
        <v>#REF!</v>
      </c>
      <c r="BU42" t="e">
        <f>AND('PROG FORMACIÓN TITULADA'!#REF!,"AAAAAGu/G0g=")</f>
        <v>#REF!</v>
      </c>
      <c r="BV42" t="e">
        <f>AND('PROG FORMACIÓN TITULADA'!#REF!,"AAAAAGu/G0k=")</f>
        <v>#REF!</v>
      </c>
      <c r="BW42" t="e">
        <f>AND('PROG FORMACIÓN TITULADA'!#REF!,"AAAAAGu/G0o=")</f>
        <v>#REF!</v>
      </c>
      <c r="BX42" t="e">
        <f>IF('PROG FORMACIÓN TITULADA'!#REF!,"AAAAAGu/G0s=",0)</f>
        <v>#REF!</v>
      </c>
      <c r="BY42" t="e">
        <f>AND('PROG FORMACIÓN TITULADA'!#REF!,"AAAAAGu/G0w=")</f>
        <v>#REF!</v>
      </c>
      <c r="BZ42" t="e">
        <f>AND('PROG FORMACIÓN TITULADA'!#REF!,"AAAAAGu/G00=")</f>
        <v>#REF!</v>
      </c>
      <c r="CA42" t="e">
        <f>AND('PROG FORMACIÓN TITULADA'!#REF!,"AAAAAGu/G04=")</f>
        <v>#REF!</v>
      </c>
      <c r="CB42" t="e">
        <f>AND('PROG FORMACIÓN TITULADA'!#REF!,"AAAAAGu/G08=")</f>
        <v>#REF!</v>
      </c>
      <c r="CC42" t="e">
        <f>AND('PROG FORMACIÓN TITULADA'!#REF!,"AAAAAGu/G1A=")</f>
        <v>#REF!</v>
      </c>
      <c r="CD42" t="e">
        <f>AND('PROG FORMACIÓN TITULADA'!#REF!,"AAAAAGu/G1E=")</f>
        <v>#REF!</v>
      </c>
      <c r="CE42" t="e">
        <f>AND('PROG FORMACIÓN TITULADA'!#REF!,"AAAAAGu/G1I=")</f>
        <v>#REF!</v>
      </c>
      <c r="CF42" t="e">
        <f>AND('PROG FORMACIÓN TITULADA'!#REF!,"AAAAAGu/G1M=")</f>
        <v>#REF!</v>
      </c>
      <c r="CG42" t="e">
        <f>AND('PROG FORMACIÓN TITULADA'!#REF!,"AAAAAGu/G1Q=")</f>
        <v>#REF!</v>
      </c>
      <c r="CH42" t="e">
        <f>AND('PROG FORMACIÓN TITULADA'!#REF!,"AAAAAGu/G1U=")</f>
        <v>#REF!</v>
      </c>
      <c r="CI42" t="e">
        <f>AND('PROG FORMACIÓN TITULADA'!#REF!,"AAAAAGu/G1Y=")</f>
        <v>#REF!</v>
      </c>
      <c r="CJ42" t="e">
        <f>AND('PROG FORMACIÓN TITULADA'!#REF!,"AAAAAGu/G1c=")</f>
        <v>#REF!</v>
      </c>
      <c r="CK42" t="e">
        <f>AND('PROG FORMACIÓN TITULADA'!#REF!,"AAAAAGu/G1g=")</f>
        <v>#REF!</v>
      </c>
      <c r="CL42" t="e">
        <f>AND('PROG FORMACIÓN TITULADA'!#REF!,"AAAAAGu/G1k=")</f>
        <v>#REF!</v>
      </c>
      <c r="CM42" t="e">
        <f>AND('PROG FORMACIÓN TITULADA'!#REF!,"AAAAAGu/G1o=")</f>
        <v>#REF!</v>
      </c>
      <c r="CN42" t="e">
        <f>AND('PROG FORMACIÓN TITULADA'!#REF!,"AAAAAGu/G1s=")</f>
        <v>#REF!</v>
      </c>
      <c r="CO42" t="e">
        <f>AND('PROG FORMACIÓN TITULADA'!#REF!,"AAAAAGu/G1w=")</f>
        <v>#REF!</v>
      </c>
      <c r="CP42" t="e">
        <f>AND('PROG FORMACIÓN TITULADA'!#REF!,"AAAAAGu/G10=")</f>
        <v>#REF!</v>
      </c>
      <c r="CQ42" t="e">
        <f>AND('PROG FORMACIÓN TITULADA'!#REF!,"AAAAAGu/G14=")</f>
        <v>#REF!</v>
      </c>
      <c r="CR42" t="e">
        <f>AND('PROG FORMACIÓN TITULADA'!#REF!,"AAAAAGu/G18=")</f>
        <v>#REF!</v>
      </c>
      <c r="CS42" t="e">
        <f>AND('PROG FORMACIÓN TITULADA'!#REF!,"AAAAAGu/G2A=")</f>
        <v>#REF!</v>
      </c>
      <c r="CT42" t="e">
        <f>AND('PROG FORMACIÓN TITULADA'!#REF!,"AAAAAGu/G2E=")</f>
        <v>#REF!</v>
      </c>
      <c r="CU42" t="e">
        <f>AND('PROG FORMACIÓN TITULADA'!#REF!,"AAAAAGu/G2I=")</f>
        <v>#REF!</v>
      </c>
      <c r="CV42" t="e">
        <f>AND('PROG FORMACIÓN TITULADA'!#REF!,"AAAAAGu/G2M=")</f>
        <v>#REF!</v>
      </c>
      <c r="CW42" t="e">
        <f>AND('PROG FORMACIÓN TITULADA'!#REF!,"AAAAAGu/G2Q=")</f>
        <v>#REF!</v>
      </c>
      <c r="CX42" t="e">
        <f>AND('PROG FORMACIÓN TITULADA'!#REF!,"AAAAAGu/G2U=")</f>
        <v>#REF!</v>
      </c>
      <c r="CY42" t="e">
        <f>IF('PROG FORMACIÓN TITULADA'!#REF!,"AAAAAGu/G2Y=",0)</f>
        <v>#REF!</v>
      </c>
      <c r="CZ42" t="e">
        <f>AND('PROG FORMACIÓN TITULADA'!#REF!,"AAAAAGu/G2c=")</f>
        <v>#REF!</v>
      </c>
      <c r="DA42" t="e">
        <f>AND('PROG FORMACIÓN TITULADA'!#REF!,"AAAAAGu/G2g=")</f>
        <v>#REF!</v>
      </c>
      <c r="DB42" t="e">
        <f>AND('PROG FORMACIÓN TITULADA'!#REF!,"AAAAAGu/G2k=")</f>
        <v>#REF!</v>
      </c>
      <c r="DC42" t="e">
        <f>AND('PROG FORMACIÓN TITULADA'!#REF!,"AAAAAGu/G2o=")</f>
        <v>#REF!</v>
      </c>
      <c r="DD42" t="e">
        <f>AND('PROG FORMACIÓN TITULADA'!#REF!,"AAAAAGu/G2s=")</f>
        <v>#REF!</v>
      </c>
      <c r="DE42" t="e">
        <f>AND('PROG FORMACIÓN TITULADA'!#REF!,"AAAAAGu/G2w=")</f>
        <v>#REF!</v>
      </c>
      <c r="DF42" t="e">
        <f>AND('PROG FORMACIÓN TITULADA'!#REF!,"AAAAAGu/G20=")</f>
        <v>#REF!</v>
      </c>
      <c r="DG42" t="e">
        <f>AND('PROG FORMACIÓN TITULADA'!#REF!,"AAAAAGu/G24=")</f>
        <v>#REF!</v>
      </c>
      <c r="DH42" t="e">
        <f>AND('PROG FORMACIÓN TITULADA'!#REF!,"AAAAAGu/G28=")</f>
        <v>#REF!</v>
      </c>
      <c r="DI42" t="e">
        <f>AND('PROG FORMACIÓN TITULADA'!#REF!,"AAAAAGu/G3A=")</f>
        <v>#REF!</v>
      </c>
      <c r="DJ42" t="e">
        <f>AND('PROG FORMACIÓN TITULADA'!#REF!,"AAAAAGu/G3E=")</f>
        <v>#REF!</v>
      </c>
      <c r="DK42" t="e">
        <f>AND('PROG FORMACIÓN TITULADA'!#REF!,"AAAAAGu/G3I=")</f>
        <v>#REF!</v>
      </c>
      <c r="DL42" t="e">
        <f>AND('PROG FORMACIÓN TITULADA'!#REF!,"AAAAAGu/G3M=")</f>
        <v>#REF!</v>
      </c>
      <c r="DM42" t="e">
        <f>AND('PROG FORMACIÓN TITULADA'!#REF!,"AAAAAGu/G3Q=")</f>
        <v>#REF!</v>
      </c>
      <c r="DN42" t="e">
        <f>AND('PROG FORMACIÓN TITULADA'!#REF!,"AAAAAGu/G3U=")</f>
        <v>#REF!</v>
      </c>
      <c r="DO42" t="e">
        <f>AND('PROG FORMACIÓN TITULADA'!#REF!,"AAAAAGu/G3Y=")</f>
        <v>#REF!</v>
      </c>
      <c r="DP42" t="e">
        <f>AND('PROG FORMACIÓN TITULADA'!#REF!,"AAAAAGu/G3c=")</f>
        <v>#REF!</v>
      </c>
      <c r="DQ42" t="e">
        <f>AND('PROG FORMACIÓN TITULADA'!#REF!,"AAAAAGu/G3g=")</f>
        <v>#REF!</v>
      </c>
      <c r="DR42" t="e">
        <f>AND('PROG FORMACIÓN TITULADA'!#REF!,"AAAAAGu/G3k=")</f>
        <v>#REF!</v>
      </c>
      <c r="DS42" t="e">
        <f>AND('PROG FORMACIÓN TITULADA'!#REF!,"AAAAAGu/G3o=")</f>
        <v>#REF!</v>
      </c>
      <c r="DT42" t="e">
        <f>AND('PROG FORMACIÓN TITULADA'!#REF!,"AAAAAGu/G3s=")</f>
        <v>#REF!</v>
      </c>
      <c r="DU42" t="e">
        <f>AND('PROG FORMACIÓN TITULADA'!#REF!,"AAAAAGu/G3w=")</f>
        <v>#REF!</v>
      </c>
      <c r="DV42" t="e">
        <f>AND('PROG FORMACIÓN TITULADA'!#REF!,"AAAAAGu/G30=")</f>
        <v>#REF!</v>
      </c>
      <c r="DW42" t="e">
        <f>AND('PROG FORMACIÓN TITULADA'!#REF!,"AAAAAGu/G34=")</f>
        <v>#REF!</v>
      </c>
      <c r="DX42" t="e">
        <f>AND('PROG FORMACIÓN TITULADA'!#REF!,"AAAAAGu/G38=")</f>
        <v>#REF!</v>
      </c>
      <c r="DY42" t="e">
        <f>AND('PROG FORMACIÓN TITULADA'!#REF!,"AAAAAGu/G4A=")</f>
        <v>#REF!</v>
      </c>
      <c r="DZ42" t="e">
        <f>IF('PROG FORMACIÓN TITULADA'!#REF!,"AAAAAGu/G4E=",0)</f>
        <v>#REF!</v>
      </c>
      <c r="EA42" t="e">
        <f>AND('PROG FORMACIÓN TITULADA'!#REF!,"AAAAAGu/G4I=")</f>
        <v>#REF!</v>
      </c>
      <c r="EB42" t="e">
        <f>AND('PROG FORMACIÓN TITULADA'!#REF!,"AAAAAGu/G4M=")</f>
        <v>#REF!</v>
      </c>
      <c r="EC42" t="e">
        <f>AND('PROG FORMACIÓN TITULADA'!#REF!,"AAAAAGu/G4Q=")</f>
        <v>#REF!</v>
      </c>
      <c r="ED42" t="e">
        <f>AND('PROG FORMACIÓN TITULADA'!#REF!,"AAAAAGu/G4U=")</f>
        <v>#REF!</v>
      </c>
      <c r="EE42" t="e">
        <f>AND('PROG FORMACIÓN TITULADA'!#REF!,"AAAAAGu/G4Y=")</f>
        <v>#REF!</v>
      </c>
      <c r="EF42" t="e">
        <f>AND('PROG FORMACIÓN TITULADA'!#REF!,"AAAAAGu/G4c=")</f>
        <v>#REF!</v>
      </c>
      <c r="EG42" t="e">
        <f>AND('PROG FORMACIÓN TITULADA'!#REF!,"AAAAAGu/G4g=")</f>
        <v>#REF!</v>
      </c>
      <c r="EH42" t="e">
        <f>AND('PROG FORMACIÓN TITULADA'!#REF!,"AAAAAGu/G4k=")</f>
        <v>#REF!</v>
      </c>
      <c r="EI42" t="e">
        <f>AND('PROG FORMACIÓN TITULADA'!#REF!,"AAAAAGu/G4o=")</f>
        <v>#REF!</v>
      </c>
      <c r="EJ42" t="e">
        <f>AND('PROG FORMACIÓN TITULADA'!#REF!,"AAAAAGu/G4s=")</f>
        <v>#REF!</v>
      </c>
      <c r="EK42" t="e">
        <f>AND('PROG FORMACIÓN TITULADA'!#REF!,"AAAAAGu/G4w=")</f>
        <v>#REF!</v>
      </c>
      <c r="EL42" t="e">
        <f>AND('PROG FORMACIÓN TITULADA'!#REF!,"AAAAAGu/G40=")</f>
        <v>#REF!</v>
      </c>
      <c r="EM42" t="e">
        <f>AND('PROG FORMACIÓN TITULADA'!#REF!,"AAAAAGu/G44=")</f>
        <v>#REF!</v>
      </c>
      <c r="EN42" t="e">
        <f>AND('PROG FORMACIÓN TITULADA'!#REF!,"AAAAAGu/G48=")</f>
        <v>#REF!</v>
      </c>
      <c r="EO42" t="e">
        <f>AND('PROG FORMACIÓN TITULADA'!#REF!,"AAAAAGu/G5A=")</f>
        <v>#REF!</v>
      </c>
      <c r="EP42" t="e">
        <f>AND('PROG FORMACIÓN TITULADA'!#REF!,"AAAAAGu/G5E=")</f>
        <v>#REF!</v>
      </c>
      <c r="EQ42" t="e">
        <f>AND('PROG FORMACIÓN TITULADA'!#REF!,"AAAAAGu/G5I=")</f>
        <v>#REF!</v>
      </c>
      <c r="ER42" t="e">
        <f>AND('PROG FORMACIÓN TITULADA'!#REF!,"AAAAAGu/G5M=")</f>
        <v>#REF!</v>
      </c>
      <c r="ES42" t="e">
        <f>AND('PROG FORMACIÓN TITULADA'!#REF!,"AAAAAGu/G5Q=")</f>
        <v>#REF!</v>
      </c>
      <c r="ET42" t="e">
        <f>AND('PROG FORMACIÓN TITULADA'!#REF!,"AAAAAGu/G5U=")</f>
        <v>#REF!</v>
      </c>
      <c r="EU42" t="e">
        <f>AND('PROG FORMACIÓN TITULADA'!#REF!,"AAAAAGu/G5Y=")</f>
        <v>#REF!</v>
      </c>
      <c r="EV42" t="e">
        <f>AND('PROG FORMACIÓN TITULADA'!#REF!,"AAAAAGu/G5c=")</f>
        <v>#REF!</v>
      </c>
      <c r="EW42" t="e">
        <f>AND('PROG FORMACIÓN TITULADA'!#REF!,"AAAAAGu/G5g=")</f>
        <v>#REF!</v>
      </c>
      <c r="EX42" t="e">
        <f>AND('PROG FORMACIÓN TITULADA'!#REF!,"AAAAAGu/G5k=")</f>
        <v>#REF!</v>
      </c>
      <c r="EY42" t="e">
        <f>AND('PROG FORMACIÓN TITULADA'!#REF!,"AAAAAGu/G5o=")</f>
        <v>#REF!</v>
      </c>
      <c r="EZ42" t="e">
        <f>AND('PROG FORMACIÓN TITULADA'!#REF!,"AAAAAGu/G5s=")</f>
        <v>#REF!</v>
      </c>
      <c r="FA42" t="e">
        <f>IF('PROG FORMACIÓN TITULADA'!#REF!,"AAAAAGu/G5w=",0)</f>
        <v>#REF!</v>
      </c>
      <c r="FB42" t="e">
        <f>AND('PROG FORMACIÓN TITULADA'!#REF!,"AAAAAGu/G50=")</f>
        <v>#REF!</v>
      </c>
      <c r="FC42" t="e">
        <f>AND('PROG FORMACIÓN TITULADA'!#REF!,"AAAAAGu/G54=")</f>
        <v>#REF!</v>
      </c>
      <c r="FD42" t="e">
        <f>AND('PROG FORMACIÓN TITULADA'!#REF!,"AAAAAGu/G58=")</f>
        <v>#REF!</v>
      </c>
      <c r="FE42" t="e">
        <f>AND('PROG FORMACIÓN TITULADA'!#REF!,"AAAAAGu/G6A=")</f>
        <v>#REF!</v>
      </c>
      <c r="FF42" t="e">
        <f>AND('PROG FORMACIÓN TITULADA'!#REF!,"AAAAAGu/G6E=")</f>
        <v>#REF!</v>
      </c>
      <c r="FG42" t="e">
        <f>AND('PROG FORMACIÓN TITULADA'!#REF!,"AAAAAGu/G6I=")</f>
        <v>#REF!</v>
      </c>
      <c r="FH42" t="e">
        <f>AND('PROG FORMACIÓN TITULADA'!#REF!,"AAAAAGu/G6M=")</f>
        <v>#REF!</v>
      </c>
      <c r="FI42" t="e">
        <f>AND('PROG FORMACIÓN TITULADA'!#REF!,"AAAAAGu/G6Q=")</f>
        <v>#REF!</v>
      </c>
      <c r="FJ42" t="e">
        <f>AND('PROG FORMACIÓN TITULADA'!#REF!,"AAAAAGu/G6U=")</f>
        <v>#REF!</v>
      </c>
      <c r="FK42" t="e">
        <f>AND('PROG FORMACIÓN TITULADA'!#REF!,"AAAAAGu/G6Y=")</f>
        <v>#REF!</v>
      </c>
      <c r="FL42" t="e">
        <f>AND('PROG FORMACIÓN TITULADA'!#REF!,"AAAAAGu/G6c=")</f>
        <v>#REF!</v>
      </c>
      <c r="FM42" t="e">
        <f>AND('PROG FORMACIÓN TITULADA'!#REF!,"AAAAAGu/G6g=")</f>
        <v>#REF!</v>
      </c>
      <c r="FN42" t="e">
        <f>AND('PROG FORMACIÓN TITULADA'!#REF!,"AAAAAGu/G6k=")</f>
        <v>#REF!</v>
      </c>
      <c r="FO42" t="e">
        <f>AND('PROG FORMACIÓN TITULADA'!#REF!,"AAAAAGu/G6o=")</f>
        <v>#REF!</v>
      </c>
      <c r="FP42" t="e">
        <f>AND('PROG FORMACIÓN TITULADA'!#REF!,"AAAAAGu/G6s=")</f>
        <v>#REF!</v>
      </c>
      <c r="FQ42" t="e">
        <f>AND('PROG FORMACIÓN TITULADA'!#REF!,"AAAAAGu/G6w=")</f>
        <v>#REF!</v>
      </c>
      <c r="FR42" t="e">
        <f>AND('PROG FORMACIÓN TITULADA'!#REF!,"AAAAAGu/G60=")</f>
        <v>#REF!</v>
      </c>
      <c r="FS42" t="e">
        <f>AND('PROG FORMACIÓN TITULADA'!#REF!,"AAAAAGu/G64=")</f>
        <v>#REF!</v>
      </c>
      <c r="FT42" t="e">
        <f>AND('PROG FORMACIÓN TITULADA'!#REF!,"AAAAAGu/G68=")</f>
        <v>#REF!</v>
      </c>
      <c r="FU42" t="e">
        <f>AND('PROG FORMACIÓN TITULADA'!#REF!,"AAAAAGu/G7A=")</f>
        <v>#REF!</v>
      </c>
      <c r="FV42" t="e">
        <f>AND('PROG FORMACIÓN TITULADA'!#REF!,"AAAAAGu/G7E=")</f>
        <v>#REF!</v>
      </c>
      <c r="FW42" t="e">
        <f>AND('PROG FORMACIÓN TITULADA'!#REF!,"AAAAAGu/G7I=")</f>
        <v>#REF!</v>
      </c>
      <c r="FX42" t="e">
        <f>AND('PROG FORMACIÓN TITULADA'!#REF!,"AAAAAGu/G7M=")</f>
        <v>#REF!</v>
      </c>
      <c r="FY42" t="e">
        <f>AND('PROG FORMACIÓN TITULADA'!#REF!,"AAAAAGu/G7Q=")</f>
        <v>#REF!</v>
      </c>
      <c r="FZ42" t="e">
        <f>AND('PROG FORMACIÓN TITULADA'!#REF!,"AAAAAGu/G7U=")</f>
        <v>#REF!</v>
      </c>
      <c r="GA42" t="e">
        <f>AND('PROG FORMACIÓN TITULADA'!#REF!,"AAAAAGu/G7Y=")</f>
        <v>#REF!</v>
      </c>
      <c r="GB42" t="e">
        <f>IF('PROG FORMACIÓN TITULADA'!#REF!,"AAAAAGu/G7c=",0)</f>
        <v>#REF!</v>
      </c>
      <c r="GC42" t="e">
        <f>AND('PROG FORMACIÓN TITULADA'!#REF!,"AAAAAGu/G7g=")</f>
        <v>#REF!</v>
      </c>
      <c r="GD42" t="e">
        <f>AND('PROG FORMACIÓN TITULADA'!#REF!,"AAAAAGu/G7k=")</f>
        <v>#REF!</v>
      </c>
      <c r="GE42" t="e">
        <f>AND('PROG FORMACIÓN TITULADA'!#REF!,"AAAAAGu/G7o=")</f>
        <v>#REF!</v>
      </c>
      <c r="GF42" t="e">
        <f>AND('PROG FORMACIÓN TITULADA'!#REF!,"AAAAAGu/G7s=")</f>
        <v>#REF!</v>
      </c>
      <c r="GG42" t="e">
        <f>AND('PROG FORMACIÓN TITULADA'!#REF!,"AAAAAGu/G7w=")</f>
        <v>#REF!</v>
      </c>
      <c r="GH42" t="e">
        <f>AND('PROG FORMACIÓN TITULADA'!#REF!,"AAAAAGu/G70=")</f>
        <v>#REF!</v>
      </c>
      <c r="GI42" t="e">
        <f>AND('PROG FORMACIÓN TITULADA'!#REF!,"AAAAAGu/G74=")</f>
        <v>#REF!</v>
      </c>
      <c r="GJ42" t="e">
        <f>AND('PROG FORMACIÓN TITULADA'!#REF!,"AAAAAGu/G78=")</f>
        <v>#REF!</v>
      </c>
      <c r="GK42" t="e">
        <f>AND('PROG FORMACIÓN TITULADA'!#REF!,"AAAAAGu/G8A=")</f>
        <v>#REF!</v>
      </c>
      <c r="GL42" t="e">
        <f>AND('PROG FORMACIÓN TITULADA'!#REF!,"AAAAAGu/G8E=")</f>
        <v>#REF!</v>
      </c>
      <c r="GM42" t="e">
        <f>AND('PROG FORMACIÓN TITULADA'!#REF!,"AAAAAGu/G8I=")</f>
        <v>#REF!</v>
      </c>
      <c r="GN42" t="e">
        <f>AND('PROG FORMACIÓN TITULADA'!#REF!,"AAAAAGu/G8M=")</f>
        <v>#REF!</v>
      </c>
      <c r="GO42" t="e">
        <f>AND('PROG FORMACIÓN TITULADA'!#REF!,"AAAAAGu/G8Q=")</f>
        <v>#REF!</v>
      </c>
      <c r="GP42" t="e">
        <f>AND('PROG FORMACIÓN TITULADA'!#REF!,"AAAAAGu/G8U=")</f>
        <v>#REF!</v>
      </c>
      <c r="GQ42" t="e">
        <f>AND('PROG FORMACIÓN TITULADA'!#REF!,"AAAAAGu/G8Y=")</f>
        <v>#REF!</v>
      </c>
      <c r="GR42" t="e">
        <f>AND('PROG FORMACIÓN TITULADA'!#REF!,"AAAAAGu/G8c=")</f>
        <v>#REF!</v>
      </c>
      <c r="GS42" t="e">
        <f>AND('PROG FORMACIÓN TITULADA'!#REF!,"AAAAAGu/G8g=")</f>
        <v>#REF!</v>
      </c>
      <c r="GT42" t="e">
        <f>AND('PROG FORMACIÓN TITULADA'!#REF!,"AAAAAGu/G8k=")</f>
        <v>#REF!</v>
      </c>
      <c r="GU42" t="e">
        <f>AND('PROG FORMACIÓN TITULADA'!#REF!,"AAAAAGu/G8o=")</f>
        <v>#REF!</v>
      </c>
      <c r="GV42" t="e">
        <f>AND('PROG FORMACIÓN TITULADA'!#REF!,"AAAAAGu/G8s=")</f>
        <v>#REF!</v>
      </c>
      <c r="GW42" t="e">
        <f>AND('PROG FORMACIÓN TITULADA'!#REF!,"AAAAAGu/G8w=")</f>
        <v>#REF!</v>
      </c>
      <c r="GX42" t="e">
        <f>AND('PROG FORMACIÓN TITULADA'!#REF!,"AAAAAGu/G80=")</f>
        <v>#REF!</v>
      </c>
      <c r="GY42" t="e">
        <f>AND('PROG FORMACIÓN TITULADA'!#REF!,"AAAAAGu/G84=")</f>
        <v>#REF!</v>
      </c>
      <c r="GZ42" t="e">
        <f>AND('PROG FORMACIÓN TITULADA'!#REF!,"AAAAAGu/G88=")</f>
        <v>#REF!</v>
      </c>
      <c r="HA42" t="e">
        <f>AND('PROG FORMACIÓN TITULADA'!#REF!,"AAAAAGu/G9A=")</f>
        <v>#REF!</v>
      </c>
      <c r="HB42" t="e">
        <f>AND('PROG FORMACIÓN TITULADA'!#REF!,"AAAAAGu/G9E=")</f>
        <v>#REF!</v>
      </c>
      <c r="HC42" t="e">
        <f>IF('PROG FORMACIÓN TITULADA'!#REF!,"AAAAAGu/G9I=",0)</f>
        <v>#REF!</v>
      </c>
      <c r="HD42" t="e">
        <f>AND('PROG FORMACIÓN TITULADA'!#REF!,"AAAAAGu/G9M=")</f>
        <v>#REF!</v>
      </c>
      <c r="HE42" t="e">
        <f>AND('PROG FORMACIÓN TITULADA'!#REF!,"AAAAAGu/G9Q=")</f>
        <v>#REF!</v>
      </c>
      <c r="HF42" t="e">
        <f>AND('PROG FORMACIÓN TITULADA'!#REF!,"AAAAAGu/G9U=")</f>
        <v>#REF!</v>
      </c>
      <c r="HG42" t="e">
        <f>AND('PROG FORMACIÓN TITULADA'!#REF!,"AAAAAGu/G9Y=")</f>
        <v>#REF!</v>
      </c>
      <c r="HH42" t="e">
        <f>AND('PROG FORMACIÓN TITULADA'!#REF!,"AAAAAGu/G9c=")</f>
        <v>#REF!</v>
      </c>
      <c r="HI42" t="e">
        <f>AND('PROG FORMACIÓN TITULADA'!#REF!,"AAAAAGu/G9g=")</f>
        <v>#REF!</v>
      </c>
      <c r="HJ42" t="e">
        <f>AND('PROG FORMACIÓN TITULADA'!#REF!,"AAAAAGu/G9k=")</f>
        <v>#REF!</v>
      </c>
      <c r="HK42" t="e">
        <f>AND('PROG FORMACIÓN TITULADA'!#REF!,"AAAAAGu/G9o=")</f>
        <v>#REF!</v>
      </c>
      <c r="HL42" t="e">
        <f>AND('PROG FORMACIÓN TITULADA'!#REF!,"AAAAAGu/G9s=")</f>
        <v>#REF!</v>
      </c>
      <c r="HM42" t="e">
        <f>AND('PROG FORMACIÓN TITULADA'!#REF!,"AAAAAGu/G9w=")</f>
        <v>#REF!</v>
      </c>
      <c r="HN42" t="e">
        <f>AND('PROG FORMACIÓN TITULADA'!#REF!,"AAAAAGu/G90=")</f>
        <v>#REF!</v>
      </c>
      <c r="HO42" t="e">
        <f>AND('PROG FORMACIÓN TITULADA'!#REF!,"AAAAAGu/G94=")</f>
        <v>#REF!</v>
      </c>
      <c r="HP42" t="e">
        <f>AND('PROG FORMACIÓN TITULADA'!#REF!,"AAAAAGu/G98=")</f>
        <v>#REF!</v>
      </c>
      <c r="HQ42" t="e">
        <f>AND('PROG FORMACIÓN TITULADA'!#REF!,"AAAAAGu/G+A=")</f>
        <v>#REF!</v>
      </c>
      <c r="HR42" t="e">
        <f>AND('PROG FORMACIÓN TITULADA'!#REF!,"AAAAAGu/G+E=")</f>
        <v>#REF!</v>
      </c>
      <c r="HS42" t="e">
        <f>AND('PROG FORMACIÓN TITULADA'!#REF!,"AAAAAGu/G+I=")</f>
        <v>#REF!</v>
      </c>
      <c r="HT42" t="e">
        <f>AND('PROG FORMACIÓN TITULADA'!#REF!,"AAAAAGu/G+M=")</f>
        <v>#REF!</v>
      </c>
      <c r="HU42" t="e">
        <f>AND('PROG FORMACIÓN TITULADA'!#REF!,"AAAAAGu/G+Q=")</f>
        <v>#REF!</v>
      </c>
      <c r="HV42" t="e">
        <f>AND('PROG FORMACIÓN TITULADA'!#REF!,"AAAAAGu/G+U=")</f>
        <v>#REF!</v>
      </c>
      <c r="HW42" t="e">
        <f>AND('PROG FORMACIÓN TITULADA'!#REF!,"AAAAAGu/G+Y=")</f>
        <v>#REF!</v>
      </c>
      <c r="HX42" t="e">
        <f>AND('PROG FORMACIÓN TITULADA'!#REF!,"AAAAAGu/G+c=")</f>
        <v>#REF!</v>
      </c>
      <c r="HY42" t="e">
        <f>AND('PROG FORMACIÓN TITULADA'!#REF!,"AAAAAGu/G+g=")</f>
        <v>#REF!</v>
      </c>
      <c r="HZ42" t="e">
        <f>AND('PROG FORMACIÓN TITULADA'!#REF!,"AAAAAGu/G+k=")</f>
        <v>#REF!</v>
      </c>
      <c r="IA42" t="e">
        <f>AND('PROG FORMACIÓN TITULADA'!#REF!,"AAAAAGu/G+o=")</f>
        <v>#REF!</v>
      </c>
      <c r="IB42" t="e">
        <f>AND('PROG FORMACIÓN TITULADA'!#REF!,"AAAAAGu/G+s=")</f>
        <v>#REF!</v>
      </c>
      <c r="IC42" t="e">
        <f>AND('PROG FORMACIÓN TITULADA'!#REF!,"AAAAAGu/G+w=")</f>
        <v>#REF!</v>
      </c>
      <c r="ID42" t="e">
        <f>IF('PROG FORMACIÓN TITULADA'!#REF!,"AAAAAGu/G+0=",0)</f>
        <v>#REF!</v>
      </c>
      <c r="IE42" t="e">
        <f>AND('PROG FORMACIÓN TITULADA'!#REF!,"AAAAAGu/G+4=")</f>
        <v>#REF!</v>
      </c>
      <c r="IF42" t="e">
        <f>AND('PROG FORMACIÓN TITULADA'!#REF!,"AAAAAGu/G+8=")</f>
        <v>#REF!</v>
      </c>
      <c r="IG42" t="e">
        <f>AND('PROG FORMACIÓN TITULADA'!#REF!,"AAAAAGu/G/A=")</f>
        <v>#REF!</v>
      </c>
      <c r="IH42" t="e">
        <f>AND('PROG FORMACIÓN TITULADA'!#REF!,"AAAAAGu/G/E=")</f>
        <v>#REF!</v>
      </c>
      <c r="II42" t="e">
        <f>AND('PROG FORMACIÓN TITULADA'!#REF!,"AAAAAGu/G/I=")</f>
        <v>#REF!</v>
      </c>
      <c r="IJ42" t="e">
        <f>AND('PROG FORMACIÓN TITULADA'!#REF!,"AAAAAGu/G/M=")</f>
        <v>#REF!</v>
      </c>
      <c r="IK42" t="e">
        <f>AND('PROG FORMACIÓN TITULADA'!#REF!,"AAAAAGu/G/Q=")</f>
        <v>#REF!</v>
      </c>
      <c r="IL42" t="e">
        <f>AND('PROG FORMACIÓN TITULADA'!#REF!,"AAAAAGu/G/U=")</f>
        <v>#REF!</v>
      </c>
      <c r="IM42" t="e">
        <f>AND('PROG FORMACIÓN TITULADA'!#REF!,"AAAAAGu/G/Y=")</f>
        <v>#REF!</v>
      </c>
      <c r="IN42" t="e">
        <f>AND('PROG FORMACIÓN TITULADA'!#REF!,"AAAAAGu/G/c=")</f>
        <v>#REF!</v>
      </c>
      <c r="IO42" t="e">
        <f>AND('PROG FORMACIÓN TITULADA'!#REF!,"AAAAAGu/G/g=")</f>
        <v>#REF!</v>
      </c>
      <c r="IP42" t="e">
        <f>AND('PROG FORMACIÓN TITULADA'!#REF!,"AAAAAGu/G/k=")</f>
        <v>#REF!</v>
      </c>
      <c r="IQ42" t="e">
        <f>AND('PROG FORMACIÓN TITULADA'!#REF!,"AAAAAGu/G/o=")</f>
        <v>#REF!</v>
      </c>
      <c r="IR42" t="e">
        <f>AND('PROG FORMACIÓN TITULADA'!#REF!,"AAAAAGu/G/s=")</f>
        <v>#REF!</v>
      </c>
      <c r="IS42" t="e">
        <f>AND('PROG FORMACIÓN TITULADA'!#REF!,"AAAAAGu/G/w=")</f>
        <v>#REF!</v>
      </c>
      <c r="IT42" t="e">
        <f>AND('PROG FORMACIÓN TITULADA'!#REF!,"AAAAAGu/G/0=")</f>
        <v>#REF!</v>
      </c>
      <c r="IU42" t="e">
        <f>AND('PROG FORMACIÓN TITULADA'!#REF!,"AAAAAGu/G/4=")</f>
        <v>#REF!</v>
      </c>
      <c r="IV42" t="e">
        <f>AND('PROG FORMACIÓN TITULADA'!#REF!,"AAAAAGu/G/8=")</f>
        <v>#REF!</v>
      </c>
    </row>
    <row r="43" spans="1:256" x14ac:dyDescent="0.2">
      <c r="A43" t="e">
        <f>AND('PROG FORMACIÓN TITULADA'!#REF!,"AAAAAH+z/wA=")</f>
        <v>#REF!</v>
      </c>
      <c r="B43" t="e">
        <f>AND('PROG FORMACIÓN TITULADA'!#REF!,"AAAAAH+z/wE=")</f>
        <v>#REF!</v>
      </c>
      <c r="C43" t="e">
        <f>AND('PROG FORMACIÓN TITULADA'!#REF!,"AAAAAH+z/wI=")</f>
        <v>#REF!</v>
      </c>
      <c r="D43" t="e">
        <f>AND('PROG FORMACIÓN TITULADA'!#REF!,"AAAAAH+z/wM=")</f>
        <v>#REF!</v>
      </c>
      <c r="E43" t="e">
        <f>AND('PROG FORMACIÓN TITULADA'!#REF!,"AAAAAH+z/wQ=")</f>
        <v>#REF!</v>
      </c>
      <c r="F43" t="e">
        <f>AND('PROG FORMACIÓN TITULADA'!#REF!,"AAAAAH+z/wU=")</f>
        <v>#REF!</v>
      </c>
      <c r="G43" t="e">
        <f>AND('PROG FORMACIÓN TITULADA'!#REF!,"AAAAAH+z/wY=")</f>
        <v>#REF!</v>
      </c>
      <c r="H43" t="e">
        <f>AND('PROG FORMACIÓN TITULADA'!#REF!,"AAAAAH+z/wc=")</f>
        <v>#REF!</v>
      </c>
      <c r="I43" t="e">
        <f>IF('PROG FORMACIÓN TITULADA'!#REF!,"AAAAAH+z/wg=",0)</f>
        <v>#REF!</v>
      </c>
      <c r="J43" t="e">
        <f>AND('PROG FORMACIÓN TITULADA'!#REF!,"AAAAAH+z/wk=")</f>
        <v>#REF!</v>
      </c>
      <c r="K43" t="e">
        <f>AND('PROG FORMACIÓN TITULADA'!#REF!,"AAAAAH+z/wo=")</f>
        <v>#REF!</v>
      </c>
      <c r="L43" t="e">
        <f>AND('PROG FORMACIÓN TITULADA'!#REF!,"AAAAAH+z/ws=")</f>
        <v>#REF!</v>
      </c>
      <c r="M43" t="e">
        <f>AND('PROG FORMACIÓN TITULADA'!#REF!,"AAAAAH+z/ww=")</f>
        <v>#REF!</v>
      </c>
      <c r="N43" t="e">
        <f>AND('PROG FORMACIÓN TITULADA'!#REF!,"AAAAAH+z/w0=")</f>
        <v>#REF!</v>
      </c>
      <c r="O43" t="e">
        <f>AND('PROG FORMACIÓN TITULADA'!#REF!,"AAAAAH+z/w4=")</f>
        <v>#REF!</v>
      </c>
      <c r="P43" t="e">
        <f>AND('PROG FORMACIÓN TITULADA'!#REF!,"AAAAAH+z/w8=")</f>
        <v>#REF!</v>
      </c>
      <c r="Q43" t="e">
        <f>AND('PROG FORMACIÓN TITULADA'!#REF!,"AAAAAH+z/xA=")</f>
        <v>#REF!</v>
      </c>
      <c r="R43" t="e">
        <f>AND('PROG FORMACIÓN TITULADA'!#REF!,"AAAAAH+z/xE=")</f>
        <v>#REF!</v>
      </c>
      <c r="S43" t="e">
        <f>AND('PROG FORMACIÓN TITULADA'!#REF!,"AAAAAH+z/xI=")</f>
        <v>#REF!</v>
      </c>
      <c r="T43" t="e">
        <f>AND('PROG FORMACIÓN TITULADA'!#REF!,"AAAAAH+z/xM=")</f>
        <v>#REF!</v>
      </c>
      <c r="U43" t="e">
        <f>AND('PROG FORMACIÓN TITULADA'!#REF!,"AAAAAH+z/xQ=")</f>
        <v>#REF!</v>
      </c>
      <c r="V43" t="e">
        <f>AND('PROG FORMACIÓN TITULADA'!#REF!,"AAAAAH+z/xU=")</f>
        <v>#REF!</v>
      </c>
      <c r="W43" t="e">
        <f>AND('PROG FORMACIÓN TITULADA'!#REF!,"AAAAAH+z/xY=")</f>
        <v>#REF!</v>
      </c>
      <c r="X43" t="e">
        <f>AND('PROG FORMACIÓN TITULADA'!#REF!,"AAAAAH+z/xc=")</f>
        <v>#REF!</v>
      </c>
      <c r="Y43" t="e">
        <f>AND('PROG FORMACIÓN TITULADA'!#REF!,"AAAAAH+z/xg=")</f>
        <v>#REF!</v>
      </c>
      <c r="Z43" t="e">
        <f>AND('PROG FORMACIÓN TITULADA'!#REF!,"AAAAAH+z/xk=")</f>
        <v>#REF!</v>
      </c>
      <c r="AA43" t="e">
        <f>AND('PROG FORMACIÓN TITULADA'!#REF!,"AAAAAH+z/xo=")</f>
        <v>#REF!</v>
      </c>
      <c r="AB43" t="e">
        <f>AND('PROG FORMACIÓN TITULADA'!#REF!,"AAAAAH+z/xs=")</f>
        <v>#REF!</v>
      </c>
      <c r="AC43" t="e">
        <f>AND('PROG FORMACIÓN TITULADA'!#REF!,"AAAAAH+z/xw=")</f>
        <v>#REF!</v>
      </c>
      <c r="AD43" t="e">
        <f>AND('PROG FORMACIÓN TITULADA'!#REF!,"AAAAAH+z/x0=")</f>
        <v>#REF!</v>
      </c>
      <c r="AE43" t="e">
        <f>AND('PROG FORMACIÓN TITULADA'!#REF!,"AAAAAH+z/x4=")</f>
        <v>#REF!</v>
      </c>
      <c r="AF43" t="e">
        <f>AND('PROG FORMACIÓN TITULADA'!#REF!,"AAAAAH+z/x8=")</f>
        <v>#REF!</v>
      </c>
      <c r="AG43" t="e">
        <f>AND('PROG FORMACIÓN TITULADA'!#REF!,"AAAAAH+z/yA=")</f>
        <v>#REF!</v>
      </c>
      <c r="AH43" t="e">
        <f>AND('PROG FORMACIÓN TITULADA'!#REF!,"AAAAAH+z/yE=")</f>
        <v>#REF!</v>
      </c>
      <c r="AI43" t="e">
        <f>AND('PROG FORMACIÓN TITULADA'!#REF!,"AAAAAH+z/yI=")</f>
        <v>#REF!</v>
      </c>
      <c r="AJ43" t="e">
        <f>IF('PROG FORMACIÓN TITULADA'!#REF!,"AAAAAH+z/yM=",0)</f>
        <v>#REF!</v>
      </c>
      <c r="AK43" t="e">
        <f>AND('PROG FORMACIÓN TITULADA'!#REF!,"AAAAAH+z/yQ=")</f>
        <v>#REF!</v>
      </c>
      <c r="AL43" t="e">
        <f>AND('PROG FORMACIÓN TITULADA'!#REF!,"AAAAAH+z/yU=")</f>
        <v>#REF!</v>
      </c>
      <c r="AM43" t="e">
        <f>AND('PROG FORMACIÓN TITULADA'!#REF!,"AAAAAH+z/yY=")</f>
        <v>#REF!</v>
      </c>
      <c r="AN43" t="e">
        <f>AND('PROG FORMACIÓN TITULADA'!#REF!,"AAAAAH+z/yc=")</f>
        <v>#REF!</v>
      </c>
      <c r="AO43" t="e">
        <f>AND('PROG FORMACIÓN TITULADA'!#REF!,"AAAAAH+z/yg=")</f>
        <v>#REF!</v>
      </c>
      <c r="AP43" t="e">
        <f>AND('PROG FORMACIÓN TITULADA'!#REF!,"AAAAAH+z/yk=")</f>
        <v>#REF!</v>
      </c>
      <c r="AQ43" t="e">
        <f>AND('PROG FORMACIÓN TITULADA'!#REF!,"AAAAAH+z/yo=")</f>
        <v>#REF!</v>
      </c>
      <c r="AR43" t="e">
        <f>AND('PROG FORMACIÓN TITULADA'!#REF!,"AAAAAH+z/ys=")</f>
        <v>#REF!</v>
      </c>
      <c r="AS43" t="e">
        <f>AND('PROG FORMACIÓN TITULADA'!#REF!,"AAAAAH+z/yw=")</f>
        <v>#REF!</v>
      </c>
      <c r="AT43" t="e">
        <f>AND('PROG FORMACIÓN TITULADA'!#REF!,"AAAAAH+z/y0=")</f>
        <v>#REF!</v>
      </c>
      <c r="AU43" t="e">
        <f>AND('PROG FORMACIÓN TITULADA'!#REF!,"AAAAAH+z/y4=")</f>
        <v>#REF!</v>
      </c>
      <c r="AV43" t="e">
        <f>AND('PROG FORMACIÓN TITULADA'!#REF!,"AAAAAH+z/y8=")</f>
        <v>#REF!</v>
      </c>
      <c r="AW43" t="e">
        <f>AND('PROG FORMACIÓN TITULADA'!#REF!,"AAAAAH+z/zA=")</f>
        <v>#REF!</v>
      </c>
      <c r="AX43" t="e">
        <f>AND('PROG FORMACIÓN TITULADA'!#REF!,"AAAAAH+z/zE=")</f>
        <v>#REF!</v>
      </c>
      <c r="AY43" t="e">
        <f>AND('PROG FORMACIÓN TITULADA'!#REF!,"AAAAAH+z/zI=")</f>
        <v>#REF!</v>
      </c>
      <c r="AZ43" t="e">
        <f>AND('PROG FORMACIÓN TITULADA'!#REF!,"AAAAAH+z/zM=")</f>
        <v>#REF!</v>
      </c>
      <c r="BA43" t="e">
        <f>AND('PROG FORMACIÓN TITULADA'!#REF!,"AAAAAH+z/zQ=")</f>
        <v>#REF!</v>
      </c>
      <c r="BB43" t="e">
        <f>AND('PROG FORMACIÓN TITULADA'!#REF!,"AAAAAH+z/zU=")</f>
        <v>#REF!</v>
      </c>
      <c r="BC43" t="e">
        <f>AND('PROG FORMACIÓN TITULADA'!#REF!,"AAAAAH+z/zY=")</f>
        <v>#REF!</v>
      </c>
      <c r="BD43" t="e">
        <f>AND('PROG FORMACIÓN TITULADA'!#REF!,"AAAAAH+z/zc=")</f>
        <v>#REF!</v>
      </c>
      <c r="BE43" t="e">
        <f>AND('PROG FORMACIÓN TITULADA'!#REF!,"AAAAAH+z/zg=")</f>
        <v>#REF!</v>
      </c>
      <c r="BF43" t="e">
        <f>AND('PROG FORMACIÓN TITULADA'!#REF!,"AAAAAH+z/zk=")</f>
        <v>#REF!</v>
      </c>
      <c r="BG43" t="e">
        <f>AND('PROG FORMACIÓN TITULADA'!#REF!,"AAAAAH+z/zo=")</f>
        <v>#REF!</v>
      </c>
      <c r="BH43" t="e">
        <f>AND('PROG FORMACIÓN TITULADA'!#REF!,"AAAAAH+z/zs=")</f>
        <v>#REF!</v>
      </c>
      <c r="BI43" t="e">
        <f>AND('PROG FORMACIÓN TITULADA'!#REF!,"AAAAAH+z/zw=")</f>
        <v>#REF!</v>
      </c>
      <c r="BJ43" t="e">
        <f>AND('PROG FORMACIÓN TITULADA'!#REF!,"AAAAAH+z/z0=")</f>
        <v>#REF!</v>
      </c>
      <c r="BK43" t="e">
        <f>IF('PROG FORMACIÓN TITULADA'!#REF!,"AAAAAH+z/z4=",0)</f>
        <v>#REF!</v>
      </c>
      <c r="BL43" t="e">
        <f>AND('PROG FORMACIÓN TITULADA'!#REF!,"AAAAAH+z/z8=")</f>
        <v>#REF!</v>
      </c>
      <c r="BM43" t="e">
        <f>AND('PROG FORMACIÓN TITULADA'!#REF!,"AAAAAH+z/0A=")</f>
        <v>#REF!</v>
      </c>
      <c r="BN43" t="e">
        <f>AND('PROG FORMACIÓN TITULADA'!#REF!,"AAAAAH+z/0E=")</f>
        <v>#REF!</v>
      </c>
      <c r="BO43" t="e">
        <f>AND('PROG FORMACIÓN TITULADA'!#REF!,"AAAAAH+z/0I=")</f>
        <v>#REF!</v>
      </c>
      <c r="BP43" t="e">
        <f>AND('PROG FORMACIÓN TITULADA'!#REF!,"AAAAAH+z/0M=")</f>
        <v>#REF!</v>
      </c>
      <c r="BQ43" t="e">
        <f>AND('PROG FORMACIÓN TITULADA'!#REF!,"AAAAAH+z/0Q=")</f>
        <v>#REF!</v>
      </c>
      <c r="BR43" t="e">
        <f>AND('PROG FORMACIÓN TITULADA'!#REF!,"AAAAAH+z/0U=")</f>
        <v>#REF!</v>
      </c>
      <c r="BS43" t="e">
        <f>AND('PROG FORMACIÓN TITULADA'!#REF!,"AAAAAH+z/0Y=")</f>
        <v>#REF!</v>
      </c>
      <c r="BT43" t="e">
        <f>AND('PROG FORMACIÓN TITULADA'!#REF!,"AAAAAH+z/0c=")</f>
        <v>#REF!</v>
      </c>
      <c r="BU43" t="e">
        <f>AND('PROG FORMACIÓN TITULADA'!#REF!,"AAAAAH+z/0g=")</f>
        <v>#REF!</v>
      </c>
      <c r="BV43" t="e">
        <f>AND('PROG FORMACIÓN TITULADA'!#REF!,"AAAAAH+z/0k=")</f>
        <v>#REF!</v>
      </c>
      <c r="BW43" t="e">
        <f>AND('PROG FORMACIÓN TITULADA'!#REF!,"AAAAAH+z/0o=")</f>
        <v>#REF!</v>
      </c>
      <c r="BX43" t="e">
        <f>AND('PROG FORMACIÓN TITULADA'!#REF!,"AAAAAH+z/0s=")</f>
        <v>#REF!</v>
      </c>
      <c r="BY43" t="e">
        <f>AND('PROG FORMACIÓN TITULADA'!#REF!,"AAAAAH+z/0w=")</f>
        <v>#REF!</v>
      </c>
      <c r="BZ43" t="e">
        <f>AND('PROG FORMACIÓN TITULADA'!#REF!,"AAAAAH+z/00=")</f>
        <v>#REF!</v>
      </c>
      <c r="CA43" t="e">
        <f>AND('PROG FORMACIÓN TITULADA'!#REF!,"AAAAAH+z/04=")</f>
        <v>#REF!</v>
      </c>
      <c r="CB43" t="e">
        <f>AND('PROG FORMACIÓN TITULADA'!#REF!,"AAAAAH+z/08=")</f>
        <v>#REF!</v>
      </c>
      <c r="CC43" t="e">
        <f>AND('PROG FORMACIÓN TITULADA'!#REF!,"AAAAAH+z/1A=")</f>
        <v>#REF!</v>
      </c>
      <c r="CD43" t="e">
        <f>AND('PROG FORMACIÓN TITULADA'!#REF!,"AAAAAH+z/1E=")</f>
        <v>#REF!</v>
      </c>
      <c r="CE43" t="e">
        <f>AND('PROG FORMACIÓN TITULADA'!#REF!,"AAAAAH+z/1I=")</f>
        <v>#REF!</v>
      </c>
      <c r="CF43" t="e">
        <f>AND('PROG FORMACIÓN TITULADA'!#REF!,"AAAAAH+z/1M=")</f>
        <v>#REF!</v>
      </c>
      <c r="CG43" t="e">
        <f>AND('PROG FORMACIÓN TITULADA'!#REF!,"AAAAAH+z/1Q=")</f>
        <v>#REF!</v>
      </c>
      <c r="CH43" t="e">
        <f>AND('PROG FORMACIÓN TITULADA'!#REF!,"AAAAAH+z/1U=")</f>
        <v>#REF!</v>
      </c>
      <c r="CI43" t="e">
        <f>AND('PROG FORMACIÓN TITULADA'!#REF!,"AAAAAH+z/1Y=")</f>
        <v>#REF!</v>
      </c>
      <c r="CJ43" t="e">
        <f>AND('PROG FORMACIÓN TITULADA'!#REF!,"AAAAAH+z/1c=")</f>
        <v>#REF!</v>
      </c>
      <c r="CK43" t="e">
        <f>AND('PROG FORMACIÓN TITULADA'!#REF!,"AAAAAH+z/1g=")</f>
        <v>#REF!</v>
      </c>
      <c r="CL43" t="e">
        <f>IF('PROG FORMACIÓN TITULADA'!#REF!,"AAAAAH+z/1k=",0)</f>
        <v>#REF!</v>
      </c>
      <c r="CM43" t="e">
        <f>AND('PROG FORMACIÓN TITULADA'!#REF!,"AAAAAH+z/1o=")</f>
        <v>#REF!</v>
      </c>
      <c r="CN43" t="e">
        <f>AND('PROG FORMACIÓN TITULADA'!#REF!,"AAAAAH+z/1s=")</f>
        <v>#REF!</v>
      </c>
      <c r="CO43" t="e">
        <f>AND('PROG FORMACIÓN TITULADA'!#REF!,"AAAAAH+z/1w=")</f>
        <v>#REF!</v>
      </c>
      <c r="CP43" t="e">
        <f>AND('PROG FORMACIÓN TITULADA'!#REF!,"AAAAAH+z/10=")</f>
        <v>#REF!</v>
      </c>
      <c r="CQ43" t="e">
        <f>AND('PROG FORMACIÓN TITULADA'!#REF!,"AAAAAH+z/14=")</f>
        <v>#REF!</v>
      </c>
      <c r="CR43" t="e">
        <f>AND('PROG FORMACIÓN TITULADA'!#REF!,"AAAAAH+z/18=")</f>
        <v>#REF!</v>
      </c>
      <c r="CS43" t="e">
        <f>AND('PROG FORMACIÓN TITULADA'!#REF!,"AAAAAH+z/2A=")</f>
        <v>#REF!</v>
      </c>
      <c r="CT43" t="e">
        <f>AND('PROG FORMACIÓN TITULADA'!#REF!,"AAAAAH+z/2E=")</f>
        <v>#REF!</v>
      </c>
      <c r="CU43" t="e">
        <f>AND('PROG FORMACIÓN TITULADA'!#REF!,"AAAAAH+z/2I=")</f>
        <v>#REF!</v>
      </c>
      <c r="CV43" t="e">
        <f>AND('PROG FORMACIÓN TITULADA'!#REF!,"AAAAAH+z/2M=")</f>
        <v>#REF!</v>
      </c>
      <c r="CW43" t="e">
        <f>AND('PROG FORMACIÓN TITULADA'!#REF!,"AAAAAH+z/2Q=")</f>
        <v>#REF!</v>
      </c>
      <c r="CX43" t="e">
        <f>AND('PROG FORMACIÓN TITULADA'!#REF!,"AAAAAH+z/2U=")</f>
        <v>#REF!</v>
      </c>
      <c r="CY43" t="e">
        <f>AND('PROG FORMACIÓN TITULADA'!#REF!,"AAAAAH+z/2Y=")</f>
        <v>#REF!</v>
      </c>
      <c r="CZ43" t="e">
        <f>AND('PROG FORMACIÓN TITULADA'!#REF!,"AAAAAH+z/2c=")</f>
        <v>#REF!</v>
      </c>
      <c r="DA43" t="e">
        <f>AND('PROG FORMACIÓN TITULADA'!#REF!,"AAAAAH+z/2g=")</f>
        <v>#REF!</v>
      </c>
      <c r="DB43" t="e">
        <f>AND('PROG FORMACIÓN TITULADA'!#REF!,"AAAAAH+z/2k=")</f>
        <v>#REF!</v>
      </c>
      <c r="DC43" t="e">
        <f>AND('PROG FORMACIÓN TITULADA'!#REF!,"AAAAAH+z/2o=")</f>
        <v>#REF!</v>
      </c>
      <c r="DD43" t="e">
        <f>AND('PROG FORMACIÓN TITULADA'!#REF!,"AAAAAH+z/2s=")</f>
        <v>#REF!</v>
      </c>
      <c r="DE43" t="e">
        <f>AND('PROG FORMACIÓN TITULADA'!#REF!,"AAAAAH+z/2w=")</f>
        <v>#REF!</v>
      </c>
      <c r="DF43" t="e">
        <f>AND('PROG FORMACIÓN TITULADA'!#REF!,"AAAAAH+z/20=")</f>
        <v>#REF!</v>
      </c>
      <c r="DG43" t="e">
        <f>AND('PROG FORMACIÓN TITULADA'!#REF!,"AAAAAH+z/24=")</f>
        <v>#REF!</v>
      </c>
      <c r="DH43" t="e">
        <f>AND('PROG FORMACIÓN TITULADA'!#REF!,"AAAAAH+z/28=")</f>
        <v>#REF!</v>
      </c>
      <c r="DI43" t="e">
        <f>AND('PROG FORMACIÓN TITULADA'!#REF!,"AAAAAH+z/3A=")</f>
        <v>#REF!</v>
      </c>
      <c r="DJ43" t="e">
        <f>AND('PROG FORMACIÓN TITULADA'!#REF!,"AAAAAH+z/3E=")</f>
        <v>#REF!</v>
      </c>
      <c r="DK43" t="e">
        <f>AND('PROG FORMACIÓN TITULADA'!#REF!,"AAAAAH+z/3I=")</f>
        <v>#REF!</v>
      </c>
      <c r="DL43" t="e">
        <f>AND('PROG FORMACIÓN TITULADA'!#REF!,"AAAAAH+z/3M=")</f>
        <v>#REF!</v>
      </c>
      <c r="DM43" t="e">
        <f>IF('PROG FORMACIÓN TITULADA'!#REF!,"AAAAAH+z/3Q=",0)</f>
        <v>#REF!</v>
      </c>
      <c r="DN43" t="e">
        <f>AND('PROG FORMACIÓN TITULADA'!#REF!,"AAAAAH+z/3U=")</f>
        <v>#REF!</v>
      </c>
      <c r="DO43" t="e">
        <f>AND('PROG FORMACIÓN TITULADA'!#REF!,"AAAAAH+z/3Y=")</f>
        <v>#REF!</v>
      </c>
      <c r="DP43" t="e">
        <f>AND('PROG FORMACIÓN TITULADA'!#REF!,"AAAAAH+z/3c=")</f>
        <v>#REF!</v>
      </c>
      <c r="DQ43" t="e">
        <f>AND('PROG FORMACIÓN TITULADA'!#REF!,"AAAAAH+z/3g=")</f>
        <v>#REF!</v>
      </c>
      <c r="DR43" t="e">
        <f>AND('PROG FORMACIÓN TITULADA'!#REF!,"AAAAAH+z/3k=")</f>
        <v>#REF!</v>
      </c>
      <c r="DS43" t="e">
        <f>AND('PROG FORMACIÓN TITULADA'!#REF!,"AAAAAH+z/3o=")</f>
        <v>#REF!</v>
      </c>
      <c r="DT43" t="e">
        <f>AND('PROG FORMACIÓN TITULADA'!#REF!,"AAAAAH+z/3s=")</f>
        <v>#REF!</v>
      </c>
      <c r="DU43" t="e">
        <f>AND('PROG FORMACIÓN TITULADA'!#REF!,"AAAAAH+z/3w=")</f>
        <v>#REF!</v>
      </c>
      <c r="DV43" t="e">
        <f>AND('PROG FORMACIÓN TITULADA'!#REF!,"AAAAAH+z/30=")</f>
        <v>#REF!</v>
      </c>
      <c r="DW43" t="e">
        <f>AND('PROG FORMACIÓN TITULADA'!#REF!,"AAAAAH+z/34=")</f>
        <v>#REF!</v>
      </c>
      <c r="DX43" t="e">
        <f>AND('PROG FORMACIÓN TITULADA'!#REF!,"AAAAAH+z/38=")</f>
        <v>#REF!</v>
      </c>
      <c r="DY43" t="e">
        <f>AND('PROG FORMACIÓN TITULADA'!#REF!,"AAAAAH+z/4A=")</f>
        <v>#REF!</v>
      </c>
      <c r="DZ43" t="e">
        <f>AND('PROG FORMACIÓN TITULADA'!#REF!,"AAAAAH+z/4E=")</f>
        <v>#REF!</v>
      </c>
      <c r="EA43" t="e">
        <f>AND('PROG FORMACIÓN TITULADA'!#REF!,"AAAAAH+z/4I=")</f>
        <v>#REF!</v>
      </c>
      <c r="EB43" t="e">
        <f>AND('PROG FORMACIÓN TITULADA'!#REF!,"AAAAAH+z/4M=")</f>
        <v>#REF!</v>
      </c>
      <c r="EC43" t="e">
        <f>AND('PROG FORMACIÓN TITULADA'!#REF!,"AAAAAH+z/4Q=")</f>
        <v>#REF!</v>
      </c>
      <c r="ED43" t="e">
        <f>AND('PROG FORMACIÓN TITULADA'!#REF!,"AAAAAH+z/4U=")</f>
        <v>#REF!</v>
      </c>
      <c r="EE43" t="e">
        <f>AND('PROG FORMACIÓN TITULADA'!#REF!,"AAAAAH+z/4Y=")</f>
        <v>#REF!</v>
      </c>
      <c r="EF43" t="e">
        <f>AND('PROG FORMACIÓN TITULADA'!#REF!,"AAAAAH+z/4c=")</f>
        <v>#REF!</v>
      </c>
      <c r="EG43" t="e">
        <f>AND('PROG FORMACIÓN TITULADA'!#REF!,"AAAAAH+z/4g=")</f>
        <v>#REF!</v>
      </c>
      <c r="EH43" t="e">
        <f>AND('PROG FORMACIÓN TITULADA'!#REF!,"AAAAAH+z/4k=")</f>
        <v>#REF!</v>
      </c>
      <c r="EI43" t="e">
        <f>AND('PROG FORMACIÓN TITULADA'!#REF!,"AAAAAH+z/4o=")</f>
        <v>#REF!</v>
      </c>
      <c r="EJ43" t="e">
        <f>AND('PROG FORMACIÓN TITULADA'!#REF!,"AAAAAH+z/4s=")</f>
        <v>#REF!</v>
      </c>
      <c r="EK43" t="e">
        <f>AND('PROG FORMACIÓN TITULADA'!#REF!,"AAAAAH+z/4w=")</f>
        <v>#REF!</v>
      </c>
      <c r="EL43" t="e">
        <f>AND('PROG FORMACIÓN TITULADA'!#REF!,"AAAAAH+z/40=")</f>
        <v>#REF!</v>
      </c>
      <c r="EM43" t="e">
        <f>AND('PROG FORMACIÓN TITULADA'!#REF!,"AAAAAH+z/44=")</f>
        <v>#REF!</v>
      </c>
      <c r="EN43" t="e">
        <f>IF('PROG FORMACIÓN TITULADA'!#REF!,"AAAAAH+z/48=",0)</f>
        <v>#REF!</v>
      </c>
      <c r="EO43" t="e">
        <f>AND('PROG FORMACIÓN TITULADA'!#REF!,"AAAAAH+z/5A=")</f>
        <v>#REF!</v>
      </c>
      <c r="EP43" t="e">
        <f>AND('PROG FORMACIÓN TITULADA'!#REF!,"AAAAAH+z/5E=")</f>
        <v>#REF!</v>
      </c>
      <c r="EQ43" t="e">
        <f>AND('PROG FORMACIÓN TITULADA'!#REF!,"AAAAAH+z/5I=")</f>
        <v>#REF!</v>
      </c>
      <c r="ER43" t="e">
        <f>AND('PROG FORMACIÓN TITULADA'!#REF!,"AAAAAH+z/5M=")</f>
        <v>#REF!</v>
      </c>
      <c r="ES43" t="e">
        <f>AND('PROG FORMACIÓN TITULADA'!#REF!,"AAAAAH+z/5Q=")</f>
        <v>#REF!</v>
      </c>
      <c r="ET43" t="e">
        <f>AND('PROG FORMACIÓN TITULADA'!#REF!,"AAAAAH+z/5U=")</f>
        <v>#REF!</v>
      </c>
      <c r="EU43" t="e">
        <f>AND('PROG FORMACIÓN TITULADA'!#REF!,"AAAAAH+z/5Y=")</f>
        <v>#REF!</v>
      </c>
      <c r="EV43" t="e">
        <f>AND('PROG FORMACIÓN TITULADA'!#REF!,"AAAAAH+z/5c=")</f>
        <v>#REF!</v>
      </c>
      <c r="EW43" t="e">
        <f>AND('PROG FORMACIÓN TITULADA'!#REF!,"AAAAAH+z/5g=")</f>
        <v>#REF!</v>
      </c>
      <c r="EX43" t="e">
        <f>AND('PROG FORMACIÓN TITULADA'!#REF!,"AAAAAH+z/5k=")</f>
        <v>#REF!</v>
      </c>
      <c r="EY43" t="e">
        <f>AND('PROG FORMACIÓN TITULADA'!#REF!,"AAAAAH+z/5o=")</f>
        <v>#REF!</v>
      </c>
      <c r="EZ43" t="e">
        <f>AND('PROG FORMACIÓN TITULADA'!#REF!,"AAAAAH+z/5s=")</f>
        <v>#REF!</v>
      </c>
      <c r="FA43" t="e">
        <f>AND('PROG FORMACIÓN TITULADA'!#REF!,"AAAAAH+z/5w=")</f>
        <v>#REF!</v>
      </c>
      <c r="FB43" t="e">
        <f>AND('PROG FORMACIÓN TITULADA'!#REF!,"AAAAAH+z/50=")</f>
        <v>#REF!</v>
      </c>
      <c r="FC43" t="e">
        <f>AND('PROG FORMACIÓN TITULADA'!#REF!,"AAAAAH+z/54=")</f>
        <v>#REF!</v>
      </c>
      <c r="FD43" t="e">
        <f>AND('PROG FORMACIÓN TITULADA'!#REF!,"AAAAAH+z/58=")</f>
        <v>#REF!</v>
      </c>
      <c r="FE43" t="e">
        <f>AND('PROG FORMACIÓN TITULADA'!#REF!,"AAAAAH+z/6A=")</f>
        <v>#REF!</v>
      </c>
      <c r="FF43" t="e">
        <f>AND('PROG FORMACIÓN TITULADA'!#REF!,"AAAAAH+z/6E=")</f>
        <v>#REF!</v>
      </c>
      <c r="FG43" t="e">
        <f>AND('PROG FORMACIÓN TITULADA'!#REF!,"AAAAAH+z/6I=")</f>
        <v>#REF!</v>
      </c>
      <c r="FH43" t="e">
        <f>AND('PROG FORMACIÓN TITULADA'!#REF!,"AAAAAH+z/6M=")</f>
        <v>#REF!</v>
      </c>
      <c r="FI43" t="e">
        <f>AND('PROG FORMACIÓN TITULADA'!#REF!,"AAAAAH+z/6Q=")</f>
        <v>#REF!</v>
      </c>
      <c r="FJ43" t="e">
        <f>AND('PROG FORMACIÓN TITULADA'!#REF!,"AAAAAH+z/6U=")</f>
        <v>#REF!</v>
      </c>
      <c r="FK43" t="e">
        <f>AND('PROG FORMACIÓN TITULADA'!#REF!,"AAAAAH+z/6Y=")</f>
        <v>#REF!</v>
      </c>
      <c r="FL43" t="e">
        <f>AND('PROG FORMACIÓN TITULADA'!#REF!,"AAAAAH+z/6c=")</f>
        <v>#REF!</v>
      </c>
      <c r="FM43" t="e">
        <f>AND('PROG FORMACIÓN TITULADA'!#REF!,"AAAAAH+z/6g=")</f>
        <v>#REF!</v>
      </c>
      <c r="FN43" t="e">
        <f>AND('PROG FORMACIÓN TITULADA'!#REF!,"AAAAAH+z/6k=")</f>
        <v>#REF!</v>
      </c>
      <c r="FO43" t="e">
        <f>IF('PROG FORMACIÓN TITULADA'!#REF!,"AAAAAH+z/6o=",0)</f>
        <v>#REF!</v>
      </c>
      <c r="FP43" t="e">
        <f>AND('PROG FORMACIÓN TITULADA'!#REF!,"AAAAAH+z/6s=")</f>
        <v>#REF!</v>
      </c>
      <c r="FQ43" t="e">
        <f>AND('PROG FORMACIÓN TITULADA'!#REF!,"AAAAAH+z/6w=")</f>
        <v>#REF!</v>
      </c>
      <c r="FR43" t="e">
        <f>AND('PROG FORMACIÓN TITULADA'!#REF!,"AAAAAH+z/60=")</f>
        <v>#REF!</v>
      </c>
      <c r="FS43" t="e">
        <f>AND('PROG FORMACIÓN TITULADA'!#REF!,"AAAAAH+z/64=")</f>
        <v>#REF!</v>
      </c>
      <c r="FT43" t="e">
        <f>AND('PROG FORMACIÓN TITULADA'!#REF!,"AAAAAH+z/68=")</f>
        <v>#REF!</v>
      </c>
      <c r="FU43" t="e">
        <f>AND('PROG FORMACIÓN TITULADA'!#REF!,"AAAAAH+z/7A=")</f>
        <v>#REF!</v>
      </c>
      <c r="FV43" t="e">
        <f>AND('PROG FORMACIÓN TITULADA'!#REF!,"AAAAAH+z/7E=")</f>
        <v>#REF!</v>
      </c>
      <c r="FW43" t="e">
        <f>AND('PROG FORMACIÓN TITULADA'!#REF!,"AAAAAH+z/7I=")</f>
        <v>#REF!</v>
      </c>
      <c r="FX43" t="e">
        <f>AND('PROG FORMACIÓN TITULADA'!#REF!,"AAAAAH+z/7M=")</f>
        <v>#REF!</v>
      </c>
      <c r="FY43" t="e">
        <f>AND('PROG FORMACIÓN TITULADA'!#REF!,"AAAAAH+z/7Q=")</f>
        <v>#REF!</v>
      </c>
      <c r="FZ43" t="e">
        <f>AND('PROG FORMACIÓN TITULADA'!#REF!,"AAAAAH+z/7U=")</f>
        <v>#REF!</v>
      </c>
      <c r="GA43" t="e">
        <f>AND('PROG FORMACIÓN TITULADA'!#REF!,"AAAAAH+z/7Y=")</f>
        <v>#REF!</v>
      </c>
      <c r="GB43" t="e">
        <f>AND('PROG FORMACIÓN TITULADA'!#REF!,"AAAAAH+z/7c=")</f>
        <v>#REF!</v>
      </c>
      <c r="GC43" t="e">
        <f>AND('PROG FORMACIÓN TITULADA'!#REF!,"AAAAAH+z/7g=")</f>
        <v>#REF!</v>
      </c>
      <c r="GD43" t="e">
        <f>AND('PROG FORMACIÓN TITULADA'!#REF!,"AAAAAH+z/7k=")</f>
        <v>#REF!</v>
      </c>
      <c r="GE43" t="e">
        <f>AND('PROG FORMACIÓN TITULADA'!#REF!,"AAAAAH+z/7o=")</f>
        <v>#REF!</v>
      </c>
      <c r="GF43" t="e">
        <f>AND('PROG FORMACIÓN TITULADA'!#REF!,"AAAAAH+z/7s=")</f>
        <v>#REF!</v>
      </c>
      <c r="GG43" t="e">
        <f>AND('PROG FORMACIÓN TITULADA'!#REF!,"AAAAAH+z/7w=")</f>
        <v>#REF!</v>
      </c>
      <c r="GH43" t="e">
        <f>AND('PROG FORMACIÓN TITULADA'!#REF!,"AAAAAH+z/70=")</f>
        <v>#REF!</v>
      </c>
      <c r="GI43" t="e">
        <f>AND('PROG FORMACIÓN TITULADA'!#REF!,"AAAAAH+z/74=")</f>
        <v>#REF!</v>
      </c>
      <c r="GJ43" t="e">
        <f>AND('PROG FORMACIÓN TITULADA'!#REF!,"AAAAAH+z/78=")</f>
        <v>#REF!</v>
      </c>
      <c r="GK43" t="e">
        <f>AND('PROG FORMACIÓN TITULADA'!#REF!,"AAAAAH+z/8A=")</f>
        <v>#REF!</v>
      </c>
      <c r="GL43" t="e">
        <f>AND('PROG FORMACIÓN TITULADA'!#REF!,"AAAAAH+z/8E=")</f>
        <v>#REF!</v>
      </c>
      <c r="GM43" t="e">
        <f>AND('PROG FORMACIÓN TITULADA'!#REF!,"AAAAAH+z/8I=")</f>
        <v>#REF!</v>
      </c>
      <c r="GN43" t="e">
        <f>AND('PROG FORMACIÓN TITULADA'!#REF!,"AAAAAH+z/8M=")</f>
        <v>#REF!</v>
      </c>
      <c r="GO43" t="e">
        <f>AND('PROG FORMACIÓN TITULADA'!#REF!,"AAAAAH+z/8Q=")</f>
        <v>#REF!</v>
      </c>
      <c r="GP43" t="e">
        <f>IF('PROG FORMACIÓN TITULADA'!#REF!,"AAAAAH+z/8U=",0)</f>
        <v>#REF!</v>
      </c>
      <c r="GQ43" t="e">
        <f>AND('PROG FORMACIÓN TITULADA'!#REF!,"AAAAAH+z/8Y=")</f>
        <v>#REF!</v>
      </c>
      <c r="GR43" t="e">
        <f>AND('PROG FORMACIÓN TITULADA'!#REF!,"AAAAAH+z/8c=")</f>
        <v>#REF!</v>
      </c>
      <c r="GS43" t="e">
        <f>AND('PROG FORMACIÓN TITULADA'!#REF!,"AAAAAH+z/8g=")</f>
        <v>#REF!</v>
      </c>
      <c r="GT43" t="e">
        <f>AND('PROG FORMACIÓN TITULADA'!#REF!,"AAAAAH+z/8k=")</f>
        <v>#REF!</v>
      </c>
      <c r="GU43" t="e">
        <f>AND('PROG FORMACIÓN TITULADA'!#REF!,"AAAAAH+z/8o=")</f>
        <v>#REF!</v>
      </c>
      <c r="GV43" t="e">
        <f>AND('PROG FORMACIÓN TITULADA'!#REF!,"AAAAAH+z/8s=")</f>
        <v>#REF!</v>
      </c>
      <c r="GW43" t="e">
        <f>AND('PROG FORMACIÓN TITULADA'!#REF!,"AAAAAH+z/8w=")</f>
        <v>#REF!</v>
      </c>
      <c r="GX43" t="e">
        <f>AND('PROG FORMACIÓN TITULADA'!#REF!,"AAAAAH+z/80=")</f>
        <v>#REF!</v>
      </c>
      <c r="GY43" t="e">
        <f>AND('PROG FORMACIÓN TITULADA'!#REF!,"AAAAAH+z/84=")</f>
        <v>#REF!</v>
      </c>
      <c r="GZ43" t="e">
        <f>AND('PROG FORMACIÓN TITULADA'!#REF!,"AAAAAH+z/88=")</f>
        <v>#REF!</v>
      </c>
      <c r="HA43" t="e">
        <f>AND('PROG FORMACIÓN TITULADA'!#REF!,"AAAAAH+z/9A=")</f>
        <v>#REF!</v>
      </c>
      <c r="HB43" t="e">
        <f>AND('PROG FORMACIÓN TITULADA'!#REF!,"AAAAAH+z/9E=")</f>
        <v>#REF!</v>
      </c>
      <c r="HC43" t="e">
        <f>AND('PROG FORMACIÓN TITULADA'!#REF!,"AAAAAH+z/9I=")</f>
        <v>#REF!</v>
      </c>
      <c r="HD43" t="e">
        <f>AND('PROG FORMACIÓN TITULADA'!#REF!,"AAAAAH+z/9M=")</f>
        <v>#REF!</v>
      </c>
      <c r="HE43" t="e">
        <f>AND('PROG FORMACIÓN TITULADA'!#REF!,"AAAAAH+z/9Q=")</f>
        <v>#REF!</v>
      </c>
      <c r="HF43" t="e">
        <f>AND('PROG FORMACIÓN TITULADA'!#REF!,"AAAAAH+z/9U=")</f>
        <v>#REF!</v>
      </c>
      <c r="HG43" t="e">
        <f>AND('PROG FORMACIÓN TITULADA'!#REF!,"AAAAAH+z/9Y=")</f>
        <v>#REF!</v>
      </c>
      <c r="HH43" t="e">
        <f>AND('PROG FORMACIÓN TITULADA'!#REF!,"AAAAAH+z/9c=")</f>
        <v>#REF!</v>
      </c>
      <c r="HI43" t="e">
        <f>AND('PROG FORMACIÓN TITULADA'!#REF!,"AAAAAH+z/9g=")</f>
        <v>#REF!</v>
      </c>
      <c r="HJ43" t="e">
        <f>AND('PROG FORMACIÓN TITULADA'!#REF!,"AAAAAH+z/9k=")</f>
        <v>#REF!</v>
      </c>
      <c r="HK43" t="e">
        <f>AND('PROG FORMACIÓN TITULADA'!#REF!,"AAAAAH+z/9o=")</f>
        <v>#REF!</v>
      </c>
      <c r="HL43" t="e">
        <f>AND('PROG FORMACIÓN TITULADA'!#REF!,"AAAAAH+z/9s=")</f>
        <v>#REF!</v>
      </c>
      <c r="HM43" t="e">
        <f>AND('PROG FORMACIÓN TITULADA'!#REF!,"AAAAAH+z/9w=")</f>
        <v>#REF!</v>
      </c>
      <c r="HN43" t="e">
        <f>AND('PROG FORMACIÓN TITULADA'!#REF!,"AAAAAH+z/90=")</f>
        <v>#REF!</v>
      </c>
      <c r="HO43" t="e">
        <f>AND('PROG FORMACIÓN TITULADA'!#REF!,"AAAAAH+z/94=")</f>
        <v>#REF!</v>
      </c>
      <c r="HP43" t="e">
        <f>AND('PROG FORMACIÓN TITULADA'!#REF!,"AAAAAH+z/98=")</f>
        <v>#REF!</v>
      </c>
      <c r="HQ43" t="e">
        <f>IF('PROG FORMACIÓN TITULADA'!#REF!,"AAAAAH+z/+A=",0)</f>
        <v>#REF!</v>
      </c>
      <c r="HR43" t="e">
        <f>AND('PROG FORMACIÓN TITULADA'!#REF!,"AAAAAH+z/+E=")</f>
        <v>#REF!</v>
      </c>
      <c r="HS43" t="e">
        <f>AND('PROG FORMACIÓN TITULADA'!#REF!,"AAAAAH+z/+I=")</f>
        <v>#REF!</v>
      </c>
      <c r="HT43" t="e">
        <f>AND('PROG FORMACIÓN TITULADA'!#REF!,"AAAAAH+z/+M=")</f>
        <v>#REF!</v>
      </c>
      <c r="HU43" t="e">
        <f>AND('PROG FORMACIÓN TITULADA'!#REF!,"AAAAAH+z/+Q=")</f>
        <v>#REF!</v>
      </c>
      <c r="HV43" t="e">
        <f>AND('PROG FORMACIÓN TITULADA'!#REF!,"AAAAAH+z/+U=")</f>
        <v>#REF!</v>
      </c>
      <c r="HW43" t="e">
        <f>AND('PROG FORMACIÓN TITULADA'!#REF!,"AAAAAH+z/+Y=")</f>
        <v>#REF!</v>
      </c>
      <c r="HX43" t="e">
        <f>AND('PROG FORMACIÓN TITULADA'!#REF!,"AAAAAH+z/+c=")</f>
        <v>#REF!</v>
      </c>
      <c r="HY43" t="e">
        <f>AND('PROG FORMACIÓN TITULADA'!#REF!,"AAAAAH+z/+g=")</f>
        <v>#REF!</v>
      </c>
      <c r="HZ43" t="e">
        <f>AND('PROG FORMACIÓN TITULADA'!#REF!,"AAAAAH+z/+k=")</f>
        <v>#REF!</v>
      </c>
      <c r="IA43" t="e">
        <f>AND('PROG FORMACIÓN TITULADA'!#REF!,"AAAAAH+z/+o=")</f>
        <v>#REF!</v>
      </c>
      <c r="IB43" t="e">
        <f>AND('PROG FORMACIÓN TITULADA'!#REF!,"AAAAAH+z/+s=")</f>
        <v>#REF!</v>
      </c>
      <c r="IC43" t="e">
        <f>AND('PROG FORMACIÓN TITULADA'!#REF!,"AAAAAH+z/+w=")</f>
        <v>#REF!</v>
      </c>
      <c r="ID43" t="e">
        <f>AND('PROG FORMACIÓN TITULADA'!#REF!,"AAAAAH+z/+0=")</f>
        <v>#REF!</v>
      </c>
      <c r="IE43" t="e">
        <f>AND('PROG FORMACIÓN TITULADA'!#REF!,"AAAAAH+z/+4=")</f>
        <v>#REF!</v>
      </c>
      <c r="IF43" t="e">
        <f>AND('PROG FORMACIÓN TITULADA'!#REF!,"AAAAAH+z/+8=")</f>
        <v>#REF!</v>
      </c>
      <c r="IG43" t="e">
        <f>AND('PROG FORMACIÓN TITULADA'!#REF!,"AAAAAH+z//A=")</f>
        <v>#REF!</v>
      </c>
      <c r="IH43" t="e">
        <f>AND('PROG FORMACIÓN TITULADA'!#REF!,"AAAAAH+z//E=")</f>
        <v>#REF!</v>
      </c>
      <c r="II43" t="e">
        <f>AND('PROG FORMACIÓN TITULADA'!#REF!,"AAAAAH+z//I=")</f>
        <v>#REF!</v>
      </c>
      <c r="IJ43" t="e">
        <f>AND('PROG FORMACIÓN TITULADA'!#REF!,"AAAAAH+z//M=")</f>
        <v>#REF!</v>
      </c>
      <c r="IK43" t="e">
        <f>AND('PROG FORMACIÓN TITULADA'!#REF!,"AAAAAH+z//Q=")</f>
        <v>#REF!</v>
      </c>
      <c r="IL43" t="e">
        <f>AND('PROG FORMACIÓN TITULADA'!#REF!,"AAAAAH+z//U=")</f>
        <v>#REF!</v>
      </c>
      <c r="IM43" t="e">
        <f>AND('PROG FORMACIÓN TITULADA'!#REF!,"AAAAAH+z//Y=")</f>
        <v>#REF!</v>
      </c>
      <c r="IN43" t="e">
        <f>AND('PROG FORMACIÓN TITULADA'!#REF!,"AAAAAH+z//c=")</f>
        <v>#REF!</v>
      </c>
      <c r="IO43" t="e">
        <f>AND('PROG FORMACIÓN TITULADA'!#REF!,"AAAAAH+z//g=")</f>
        <v>#REF!</v>
      </c>
      <c r="IP43" t="e">
        <f>AND('PROG FORMACIÓN TITULADA'!#REF!,"AAAAAH+z//k=")</f>
        <v>#REF!</v>
      </c>
      <c r="IQ43" t="e">
        <f>AND('PROG FORMACIÓN TITULADA'!#REF!,"AAAAAH+z//o=")</f>
        <v>#REF!</v>
      </c>
      <c r="IR43" t="e">
        <f>IF('PROG FORMACIÓN TITULADA'!#REF!,"AAAAAH+z//s=",0)</f>
        <v>#REF!</v>
      </c>
      <c r="IS43" t="e">
        <f>AND('PROG FORMACIÓN TITULADA'!#REF!,"AAAAAH+z//w=")</f>
        <v>#REF!</v>
      </c>
      <c r="IT43" t="e">
        <f>AND('PROG FORMACIÓN TITULADA'!#REF!,"AAAAAH+z//0=")</f>
        <v>#REF!</v>
      </c>
      <c r="IU43" t="e">
        <f>AND('PROG FORMACIÓN TITULADA'!#REF!,"AAAAAH+z//4=")</f>
        <v>#REF!</v>
      </c>
      <c r="IV43" t="e">
        <f>AND('PROG FORMACIÓN TITULADA'!#REF!,"AAAAAH+z//8=")</f>
        <v>#REF!</v>
      </c>
    </row>
    <row r="44" spans="1:256" x14ac:dyDescent="0.2">
      <c r="A44" t="e">
        <f>AND('PROG FORMACIÓN TITULADA'!#REF!,"AAAAAHiffQA=")</f>
        <v>#REF!</v>
      </c>
      <c r="B44" t="e">
        <f>AND('PROG FORMACIÓN TITULADA'!#REF!,"AAAAAHiffQE=")</f>
        <v>#REF!</v>
      </c>
      <c r="C44" t="e">
        <f>AND('PROG FORMACIÓN TITULADA'!#REF!,"AAAAAHiffQI=")</f>
        <v>#REF!</v>
      </c>
      <c r="D44" t="e">
        <f>AND('PROG FORMACIÓN TITULADA'!#REF!,"AAAAAHiffQM=")</f>
        <v>#REF!</v>
      </c>
      <c r="E44" t="e">
        <f>AND('PROG FORMACIÓN TITULADA'!#REF!,"AAAAAHiffQQ=")</f>
        <v>#REF!</v>
      </c>
      <c r="F44" t="e">
        <f>AND('PROG FORMACIÓN TITULADA'!#REF!,"AAAAAHiffQU=")</f>
        <v>#REF!</v>
      </c>
      <c r="G44" t="e">
        <f>AND('PROG FORMACIÓN TITULADA'!#REF!,"AAAAAHiffQY=")</f>
        <v>#REF!</v>
      </c>
      <c r="H44" t="e">
        <f>AND('PROG FORMACIÓN TITULADA'!#REF!,"AAAAAHiffQc=")</f>
        <v>#REF!</v>
      </c>
      <c r="I44" t="e">
        <f>AND('PROG FORMACIÓN TITULADA'!#REF!,"AAAAAHiffQg=")</f>
        <v>#REF!</v>
      </c>
      <c r="J44" t="e">
        <f>AND('PROG FORMACIÓN TITULADA'!#REF!,"AAAAAHiffQk=")</f>
        <v>#REF!</v>
      </c>
      <c r="K44" t="e">
        <f>AND('PROG FORMACIÓN TITULADA'!#REF!,"AAAAAHiffQo=")</f>
        <v>#REF!</v>
      </c>
      <c r="L44" t="e">
        <f>AND('PROG FORMACIÓN TITULADA'!#REF!,"AAAAAHiffQs=")</f>
        <v>#REF!</v>
      </c>
      <c r="M44" t="e">
        <f>AND('PROG FORMACIÓN TITULADA'!#REF!,"AAAAAHiffQw=")</f>
        <v>#REF!</v>
      </c>
      <c r="N44" t="e">
        <f>AND('PROG FORMACIÓN TITULADA'!#REF!,"AAAAAHiffQ0=")</f>
        <v>#REF!</v>
      </c>
      <c r="O44" t="e">
        <f>AND('PROG FORMACIÓN TITULADA'!#REF!,"AAAAAHiffQ4=")</f>
        <v>#REF!</v>
      </c>
      <c r="P44" t="e">
        <f>AND('PROG FORMACIÓN TITULADA'!#REF!,"AAAAAHiffQ8=")</f>
        <v>#REF!</v>
      </c>
      <c r="Q44" t="e">
        <f>AND('PROG FORMACIÓN TITULADA'!#REF!,"AAAAAHiffRA=")</f>
        <v>#REF!</v>
      </c>
      <c r="R44" t="e">
        <f>AND('PROG FORMACIÓN TITULADA'!#REF!,"AAAAAHiffRE=")</f>
        <v>#REF!</v>
      </c>
      <c r="S44" t="e">
        <f>AND('PROG FORMACIÓN TITULADA'!#REF!,"AAAAAHiffRI=")</f>
        <v>#REF!</v>
      </c>
      <c r="T44" t="e">
        <f>AND('PROG FORMACIÓN TITULADA'!#REF!,"AAAAAHiffRM=")</f>
        <v>#REF!</v>
      </c>
      <c r="U44" t="e">
        <f>AND('PROG FORMACIÓN TITULADA'!#REF!,"AAAAAHiffRQ=")</f>
        <v>#REF!</v>
      </c>
      <c r="V44" t="e">
        <f>AND('PROG FORMACIÓN TITULADA'!#REF!,"AAAAAHiffRU=")</f>
        <v>#REF!</v>
      </c>
      <c r="W44" t="e">
        <f>IF('PROG FORMACIÓN TITULADA'!#REF!,"AAAAAHiffRY=",0)</f>
        <v>#REF!</v>
      </c>
      <c r="X44" t="e">
        <f>AND('PROG FORMACIÓN TITULADA'!#REF!,"AAAAAHiffRc=")</f>
        <v>#REF!</v>
      </c>
      <c r="Y44" t="e">
        <f>AND('PROG FORMACIÓN TITULADA'!#REF!,"AAAAAHiffRg=")</f>
        <v>#REF!</v>
      </c>
      <c r="Z44" t="e">
        <f>AND('PROG FORMACIÓN TITULADA'!#REF!,"AAAAAHiffRk=")</f>
        <v>#REF!</v>
      </c>
      <c r="AA44" t="e">
        <f>AND('PROG FORMACIÓN TITULADA'!#REF!,"AAAAAHiffRo=")</f>
        <v>#REF!</v>
      </c>
      <c r="AB44" t="e">
        <f>AND('PROG FORMACIÓN TITULADA'!#REF!,"AAAAAHiffRs=")</f>
        <v>#REF!</v>
      </c>
      <c r="AC44" t="e">
        <f>AND('PROG FORMACIÓN TITULADA'!#REF!,"AAAAAHiffRw=")</f>
        <v>#REF!</v>
      </c>
      <c r="AD44" t="e">
        <f>AND('PROG FORMACIÓN TITULADA'!#REF!,"AAAAAHiffR0=")</f>
        <v>#REF!</v>
      </c>
      <c r="AE44" t="e">
        <f>AND('PROG FORMACIÓN TITULADA'!#REF!,"AAAAAHiffR4=")</f>
        <v>#REF!</v>
      </c>
      <c r="AF44" t="e">
        <f>AND('PROG FORMACIÓN TITULADA'!#REF!,"AAAAAHiffR8=")</f>
        <v>#REF!</v>
      </c>
      <c r="AG44" t="e">
        <f>AND('PROG FORMACIÓN TITULADA'!#REF!,"AAAAAHiffSA=")</f>
        <v>#REF!</v>
      </c>
      <c r="AH44" t="e">
        <f>AND('PROG FORMACIÓN TITULADA'!#REF!,"AAAAAHiffSE=")</f>
        <v>#REF!</v>
      </c>
      <c r="AI44" t="e">
        <f>AND('PROG FORMACIÓN TITULADA'!#REF!,"AAAAAHiffSI=")</f>
        <v>#REF!</v>
      </c>
      <c r="AJ44" t="e">
        <f>AND('PROG FORMACIÓN TITULADA'!#REF!,"AAAAAHiffSM=")</f>
        <v>#REF!</v>
      </c>
      <c r="AK44" t="e">
        <f>AND('PROG FORMACIÓN TITULADA'!#REF!,"AAAAAHiffSQ=")</f>
        <v>#REF!</v>
      </c>
      <c r="AL44" t="e">
        <f>AND('PROG FORMACIÓN TITULADA'!#REF!,"AAAAAHiffSU=")</f>
        <v>#REF!</v>
      </c>
      <c r="AM44" t="e">
        <f>AND('PROG FORMACIÓN TITULADA'!#REF!,"AAAAAHiffSY=")</f>
        <v>#REF!</v>
      </c>
      <c r="AN44" t="e">
        <f>AND('PROG FORMACIÓN TITULADA'!#REF!,"AAAAAHiffSc=")</f>
        <v>#REF!</v>
      </c>
      <c r="AO44" t="e">
        <f>AND('PROG FORMACIÓN TITULADA'!#REF!,"AAAAAHiffSg=")</f>
        <v>#REF!</v>
      </c>
      <c r="AP44" t="e">
        <f>AND('PROG FORMACIÓN TITULADA'!#REF!,"AAAAAHiffSk=")</f>
        <v>#REF!</v>
      </c>
      <c r="AQ44" t="e">
        <f>AND('PROG FORMACIÓN TITULADA'!#REF!,"AAAAAHiffSo=")</f>
        <v>#REF!</v>
      </c>
      <c r="AR44" t="e">
        <f>AND('PROG FORMACIÓN TITULADA'!#REF!,"AAAAAHiffSs=")</f>
        <v>#REF!</v>
      </c>
      <c r="AS44" t="e">
        <f>AND('PROG FORMACIÓN TITULADA'!#REF!,"AAAAAHiffSw=")</f>
        <v>#REF!</v>
      </c>
      <c r="AT44" t="e">
        <f>AND('PROG FORMACIÓN TITULADA'!#REF!,"AAAAAHiffS0=")</f>
        <v>#REF!</v>
      </c>
      <c r="AU44" t="e">
        <f>AND('PROG FORMACIÓN TITULADA'!#REF!,"AAAAAHiffS4=")</f>
        <v>#REF!</v>
      </c>
      <c r="AV44" t="e">
        <f>AND('PROG FORMACIÓN TITULADA'!#REF!,"AAAAAHiffS8=")</f>
        <v>#REF!</v>
      </c>
      <c r="AW44" t="e">
        <f>AND('PROG FORMACIÓN TITULADA'!#REF!,"AAAAAHiffTA=")</f>
        <v>#REF!</v>
      </c>
      <c r="AX44" t="e">
        <f>IF('PROG FORMACIÓN TITULADA'!#REF!,"AAAAAHiffTE=",0)</f>
        <v>#REF!</v>
      </c>
      <c r="AY44" t="e">
        <f>AND('PROG FORMACIÓN TITULADA'!#REF!,"AAAAAHiffTI=")</f>
        <v>#REF!</v>
      </c>
      <c r="AZ44" t="e">
        <f>AND('PROG FORMACIÓN TITULADA'!#REF!,"AAAAAHiffTM=")</f>
        <v>#REF!</v>
      </c>
      <c r="BA44" t="e">
        <f>AND('PROG FORMACIÓN TITULADA'!#REF!,"AAAAAHiffTQ=")</f>
        <v>#REF!</v>
      </c>
      <c r="BB44" t="e">
        <f>AND('PROG FORMACIÓN TITULADA'!#REF!,"AAAAAHiffTU=")</f>
        <v>#REF!</v>
      </c>
      <c r="BC44" t="e">
        <f>AND('PROG FORMACIÓN TITULADA'!#REF!,"AAAAAHiffTY=")</f>
        <v>#REF!</v>
      </c>
      <c r="BD44" t="e">
        <f>AND('PROG FORMACIÓN TITULADA'!#REF!,"AAAAAHiffTc=")</f>
        <v>#REF!</v>
      </c>
      <c r="BE44" t="e">
        <f>AND('PROG FORMACIÓN TITULADA'!#REF!,"AAAAAHiffTg=")</f>
        <v>#REF!</v>
      </c>
      <c r="BF44" t="e">
        <f>AND('PROG FORMACIÓN TITULADA'!#REF!,"AAAAAHiffTk=")</f>
        <v>#REF!</v>
      </c>
      <c r="BG44" t="e">
        <f>AND('PROG FORMACIÓN TITULADA'!#REF!,"AAAAAHiffTo=")</f>
        <v>#REF!</v>
      </c>
      <c r="BH44" t="e">
        <f>AND('PROG FORMACIÓN TITULADA'!#REF!,"AAAAAHiffTs=")</f>
        <v>#REF!</v>
      </c>
      <c r="BI44" t="e">
        <f>AND('PROG FORMACIÓN TITULADA'!#REF!,"AAAAAHiffTw=")</f>
        <v>#REF!</v>
      </c>
      <c r="BJ44" t="e">
        <f>AND('PROG FORMACIÓN TITULADA'!#REF!,"AAAAAHiffT0=")</f>
        <v>#REF!</v>
      </c>
      <c r="BK44" t="e">
        <f>AND('PROG FORMACIÓN TITULADA'!#REF!,"AAAAAHiffT4=")</f>
        <v>#REF!</v>
      </c>
      <c r="BL44" t="e">
        <f>AND('PROG FORMACIÓN TITULADA'!#REF!,"AAAAAHiffT8=")</f>
        <v>#REF!</v>
      </c>
      <c r="BM44" t="e">
        <f>AND('PROG FORMACIÓN TITULADA'!#REF!,"AAAAAHiffUA=")</f>
        <v>#REF!</v>
      </c>
      <c r="BN44" t="e">
        <f>AND('PROG FORMACIÓN TITULADA'!#REF!,"AAAAAHiffUE=")</f>
        <v>#REF!</v>
      </c>
      <c r="BO44" t="e">
        <f>AND('PROG FORMACIÓN TITULADA'!#REF!,"AAAAAHiffUI=")</f>
        <v>#REF!</v>
      </c>
      <c r="BP44" t="e">
        <f>AND('PROG FORMACIÓN TITULADA'!#REF!,"AAAAAHiffUM=")</f>
        <v>#REF!</v>
      </c>
      <c r="BQ44" t="e">
        <f>AND('PROG FORMACIÓN TITULADA'!#REF!,"AAAAAHiffUQ=")</f>
        <v>#REF!</v>
      </c>
      <c r="BR44" t="e">
        <f>AND('PROG FORMACIÓN TITULADA'!#REF!,"AAAAAHiffUU=")</f>
        <v>#REF!</v>
      </c>
      <c r="BS44" t="e">
        <f>AND('PROG FORMACIÓN TITULADA'!#REF!,"AAAAAHiffUY=")</f>
        <v>#REF!</v>
      </c>
      <c r="BT44" t="e">
        <f>AND('PROG FORMACIÓN TITULADA'!#REF!,"AAAAAHiffUc=")</f>
        <v>#REF!</v>
      </c>
      <c r="BU44" t="e">
        <f>AND('PROG FORMACIÓN TITULADA'!#REF!,"AAAAAHiffUg=")</f>
        <v>#REF!</v>
      </c>
      <c r="BV44" t="e">
        <f>AND('PROG FORMACIÓN TITULADA'!#REF!,"AAAAAHiffUk=")</f>
        <v>#REF!</v>
      </c>
      <c r="BW44" t="e">
        <f>AND('PROG FORMACIÓN TITULADA'!#REF!,"AAAAAHiffUo=")</f>
        <v>#REF!</v>
      </c>
      <c r="BX44" t="e">
        <f>AND('PROG FORMACIÓN TITULADA'!#REF!,"AAAAAHiffUs=")</f>
        <v>#REF!</v>
      </c>
      <c r="BY44" t="e">
        <f>IF('PROG FORMACIÓN TITULADA'!#REF!,"AAAAAHiffUw=",0)</f>
        <v>#REF!</v>
      </c>
      <c r="BZ44" t="e">
        <f>AND('PROG FORMACIÓN TITULADA'!#REF!,"AAAAAHiffU0=")</f>
        <v>#REF!</v>
      </c>
      <c r="CA44" t="e">
        <f>AND('PROG FORMACIÓN TITULADA'!#REF!,"AAAAAHiffU4=")</f>
        <v>#REF!</v>
      </c>
      <c r="CB44" t="e">
        <f>AND('PROG FORMACIÓN TITULADA'!#REF!,"AAAAAHiffU8=")</f>
        <v>#REF!</v>
      </c>
      <c r="CC44" t="e">
        <f>AND('PROG FORMACIÓN TITULADA'!#REF!,"AAAAAHiffVA=")</f>
        <v>#REF!</v>
      </c>
      <c r="CD44" t="e">
        <f>AND('PROG FORMACIÓN TITULADA'!#REF!,"AAAAAHiffVE=")</f>
        <v>#REF!</v>
      </c>
      <c r="CE44" t="e">
        <f>AND('PROG FORMACIÓN TITULADA'!#REF!,"AAAAAHiffVI=")</f>
        <v>#REF!</v>
      </c>
      <c r="CF44" t="e">
        <f>AND('PROG FORMACIÓN TITULADA'!#REF!,"AAAAAHiffVM=")</f>
        <v>#REF!</v>
      </c>
      <c r="CG44" t="e">
        <f>AND('PROG FORMACIÓN TITULADA'!#REF!,"AAAAAHiffVQ=")</f>
        <v>#REF!</v>
      </c>
      <c r="CH44" t="e">
        <f>AND('PROG FORMACIÓN TITULADA'!#REF!,"AAAAAHiffVU=")</f>
        <v>#REF!</v>
      </c>
      <c r="CI44" t="e">
        <f>AND('PROG FORMACIÓN TITULADA'!#REF!,"AAAAAHiffVY=")</f>
        <v>#REF!</v>
      </c>
      <c r="CJ44" t="e">
        <f>AND('PROG FORMACIÓN TITULADA'!#REF!,"AAAAAHiffVc=")</f>
        <v>#REF!</v>
      </c>
      <c r="CK44" t="e">
        <f>AND('PROG FORMACIÓN TITULADA'!#REF!,"AAAAAHiffVg=")</f>
        <v>#REF!</v>
      </c>
      <c r="CL44" t="e">
        <f>AND('PROG FORMACIÓN TITULADA'!#REF!,"AAAAAHiffVk=")</f>
        <v>#REF!</v>
      </c>
      <c r="CM44" t="e">
        <f>AND('PROG FORMACIÓN TITULADA'!#REF!,"AAAAAHiffVo=")</f>
        <v>#REF!</v>
      </c>
      <c r="CN44" t="e">
        <f>AND('PROG FORMACIÓN TITULADA'!#REF!,"AAAAAHiffVs=")</f>
        <v>#REF!</v>
      </c>
      <c r="CO44" t="e">
        <f>AND('PROG FORMACIÓN TITULADA'!#REF!,"AAAAAHiffVw=")</f>
        <v>#REF!</v>
      </c>
      <c r="CP44" t="e">
        <f>AND('PROG FORMACIÓN TITULADA'!#REF!,"AAAAAHiffV0=")</f>
        <v>#REF!</v>
      </c>
      <c r="CQ44" t="e">
        <f>AND('PROG FORMACIÓN TITULADA'!#REF!,"AAAAAHiffV4=")</f>
        <v>#REF!</v>
      </c>
      <c r="CR44" t="e">
        <f>AND('PROG FORMACIÓN TITULADA'!#REF!,"AAAAAHiffV8=")</f>
        <v>#REF!</v>
      </c>
      <c r="CS44" t="e">
        <f>AND('PROG FORMACIÓN TITULADA'!#REF!,"AAAAAHiffWA=")</f>
        <v>#REF!</v>
      </c>
      <c r="CT44" t="e">
        <f>AND('PROG FORMACIÓN TITULADA'!#REF!,"AAAAAHiffWE=")</f>
        <v>#REF!</v>
      </c>
      <c r="CU44" t="e">
        <f>AND('PROG FORMACIÓN TITULADA'!#REF!,"AAAAAHiffWI=")</f>
        <v>#REF!</v>
      </c>
      <c r="CV44" t="e">
        <f>AND('PROG FORMACIÓN TITULADA'!#REF!,"AAAAAHiffWM=")</f>
        <v>#REF!</v>
      </c>
      <c r="CW44" t="e">
        <f>AND('PROG FORMACIÓN TITULADA'!#REF!,"AAAAAHiffWQ=")</f>
        <v>#REF!</v>
      </c>
      <c r="CX44" t="e">
        <f>AND('PROG FORMACIÓN TITULADA'!#REF!,"AAAAAHiffWU=")</f>
        <v>#REF!</v>
      </c>
      <c r="CY44" t="e">
        <f>AND('PROG FORMACIÓN TITULADA'!#REF!,"AAAAAHiffWY=")</f>
        <v>#REF!</v>
      </c>
      <c r="CZ44" t="e">
        <f>IF('PROG FORMACIÓN TITULADA'!#REF!,"AAAAAHiffWc=",0)</f>
        <v>#REF!</v>
      </c>
      <c r="DA44" t="e">
        <f>AND('PROG FORMACIÓN TITULADA'!#REF!,"AAAAAHiffWg=")</f>
        <v>#REF!</v>
      </c>
      <c r="DB44" t="e">
        <f>AND('PROG FORMACIÓN TITULADA'!#REF!,"AAAAAHiffWk=")</f>
        <v>#REF!</v>
      </c>
      <c r="DC44" t="e">
        <f>AND('PROG FORMACIÓN TITULADA'!#REF!,"AAAAAHiffWo=")</f>
        <v>#REF!</v>
      </c>
      <c r="DD44" t="e">
        <f>AND('PROG FORMACIÓN TITULADA'!#REF!,"AAAAAHiffWs=")</f>
        <v>#REF!</v>
      </c>
      <c r="DE44" t="e">
        <f>AND('PROG FORMACIÓN TITULADA'!#REF!,"AAAAAHiffWw=")</f>
        <v>#REF!</v>
      </c>
      <c r="DF44" t="e">
        <f>AND('PROG FORMACIÓN TITULADA'!#REF!,"AAAAAHiffW0=")</f>
        <v>#REF!</v>
      </c>
      <c r="DG44" t="e">
        <f>AND('PROG FORMACIÓN TITULADA'!#REF!,"AAAAAHiffW4=")</f>
        <v>#REF!</v>
      </c>
      <c r="DH44" t="e">
        <f>AND('PROG FORMACIÓN TITULADA'!#REF!,"AAAAAHiffW8=")</f>
        <v>#REF!</v>
      </c>
      <c r="DI44" t="e">
        <f>AND('PROG FORMACIÓN TITULADA'!#REF!,"AAAAAHiffXA=")</f>
        <v>#REF!</v>
      </c>
      <c r="DJ44" t="e">
        <f>AND('PROG FORMACIÓN TITULADA'!#REF!,"AAAAAHiffXE=")</f>
        <v>#REF!</v>
      </c>
      <c r="DK44" t="e">
        <f>AND('PROG FORMACIÓN TITULADA'!#REF!,"AAAAAHiffXI=")</f>
        <v>#REF!</v>
      </c>
      <c r="DL44" t="e">
        <f>AND('PROG FORMACIÓN TITULADA'!#REF!,"AAAAAHiffXM=")</f>
        <v>#REF!</v>
      </c>
      <c r="DM44" t="e">
        <f>AND('PROG FORMACIÓN TITULADA'!#REF!,"AAAAAHiffXQ=")</f>
        <v>#REF!</v>
      </c>
      <c r="DN44" t="e">
        <f>AND('PROG FORMACIÓN TITULADA'!#REF!,"AAAAAHiffXU=")</f>
        <v>#REF!</v>
      </c>
      <c r="DO44" t="e">
        <f>AND('PROG FORMACIÓN TITULADA'!#REF!,"AAAAAHiffXY=")</f>
        <v>#REF!</v>
      </c>
      <c r="DP44" t="e">
        <f>AND('PROG FORMACIÓN TITULADA'!#REF!,"AAAAAHiffXc=")</f>
        <v>#REF!</v>
      </c>
      <c r="DQ44" t="e">
        <f>AND('PROG FORMACIÓN TITULADA'!#REF!,"AAAAAHiffXg=")</f>
        <v>#REF!</v>
      </c>
      <c r="DR44" t="e">
        <f>AND('PROG FORMACIÓN TITULADA'!#REF!,"AAAAAHiffXk=")</f>
        <v>#REF!</v>
      </c>
      <c r="DS44" t="e">
        <f>AND('PROG FORMACIÓN TITULADA'!#REF!,"AAAAAHiffXo=")</f>
        <v>#REF!</v>
      </c>
      <c r="DT44" t="e">
        <f>AND('PROG FORMACIÓN TITULADA'!#REF!,"AAAAAHiffXs=")</f>
        <v>#REF!</v>
      </c>
      <c r="DU44" t="e">
        <f>AND('PROG FORMACIÓN TITULADA'!#REF!,"AAAAAHiffXw=")</f>
        <v>#REF!</v>
      </c>
      <c r="DV44" t="e">
        <f>AND('PROG FORMACIÓN TITULADA'!#REF!,"AAAAAHiffX0=")</f>
        <v>#REF!</v>
      </c>
      <c r="DW44" t="e">
        <f>AND('PROG FORMACIÓN TITULADA'!#REF!,"AAAAAHiffX4=")</f>
        <v>#REF!</v>
      </c>
      <c r="DX44" t="e">
        <f>AND('PROG FORMACIÓN TITULADA'!#REF!,"AAAAAHiffX8=")</f>
        <v>#REF!</v>
      </c>
      <c r="DY44" t="e">
        <f>AND('PROG FORMACIÓN TITULADA'!#REF!,"AAAAAHiffYA=")</f>
        <v>#REF!</v>
      </c>
      <c r="DZ44" t="e">
        <f>AND('PROG FORMACIÓN TITULADA'!#REF!,"AAAAAHiffYE=")</f>
        <v>#REF!</v>
      </c>
      <c r="EA44" t="e">
        <f>IF('PROG FORMACIÓN TITULADA'!#REF!,"AAAAAHiffYI=",0)</f>
        <v>#REF!</v>
      </c>
      <c r="EB44" t="e">
        <f>AND('PROG FORMACIÓN TITULADA'!#REF!,"AAAAAHiffYM=")</f>
        <v>#REF!</v>
      </c>
      <c r="EC44" t="e">
        <f>AND('PROG FORMACIÓN TITULADA'!#REF!,"AAAAAHiffYQ=")</f>
        <v>#REF!</v>
      </c>
      <c r="ED44" t="e">
        <f>AND('PROG FORMACIÓN TITULADA'!#REF!,"AAAAAHiffYU=")</f>
        <v>#REF!</v>
      </c>
      <c r="EE44" t="e">
        <f>AND('PROG FORMACIÓN TITULADA'!#REF!,"AAAAAHiffYY=")</f>
        <v>#REF!</v>
      </c>
      <c r="EF44" t="e">
        <f>AND('PROG FORMACIÓN TITULADA'!#REF!,"AAAAAHiffYc=")</f>
        <v>#REF!</v>
      </c>
      <c r="EG44" t="e">
        <f>AND('PROG FORMACIÓN TITULADA'!#REF!,"AAAAAHiffYg=")</f>
        <v>#REF!</v>
      </c>
      <c r="EH44" t="e">
        <f>AND('PROG FORMACIÓN TITULADA'!#REF!,"AAAAAHiffYk=")</f>
        <v>#REF!</v>
      </c>
      <c r="EI44" t="e">
        <f>AND('PROG FORMACIÓN TITULADA'!#REF!,"AAAAAHiffYo=")</f>
        <v>#REF!</v>
      </c>
      <c r="EJ44" t="e">
        <f>AND('PROG FORMACIÓN TITULADA'!#REF!,"AAAAAHiffYs=")</f>
        <v>#REF!</v>
      </c>
      <c r="EK44" t="e">
        <f>AND('PROG FORMACIÓN TITULADA'!#REF!,"AAAAAHiffYw=")</f>
        <v>#REF!</v>
      </c>
      <c r="EL44" t="e">
        <f>AND('PROG FORMACIÓN TITULADA'!#REF!,"AAAAAHiffY0=")</f>
        <v>#REF!</v>
      </c>
      <c r="EM44" t="e">
        <f>AND('PROG FORMACIÓN TITULADA'!#REF!,"AAAAAHiffY4=")</f>
        <v>#REF!</v>
      </c>
      <c r="EN44" t="e">
        <f>AND('PROG FORMACIÓN TITULADA'!#REF!,"AAAAAHiffY8=")</f>
        <v>#REF!</v>
      </c>
      <c r="EO44" t="e">
        <f>AND('PROG FORMACIÓN TITULADA'!#REF!,"AAAAAHiffZA=")</f>
        <v>#REF!</v>
      </c>
      <c r="EP44" t="e">
        <f>AND('PROG FORMACIÓN TITULADA'!#REF!,"AAAAAHiffZE=")</f>
        <v>#REF!</v>
      </c>
      <c r="EQ44" t="e">
        <f>AND('PROG FORMACIÓN TITULADA'!#REF!,"AAAAAHiffZI=")</f>
        <v>#REF!</v>
      </c>
      <c r="ER44" t="e">
        <f>AND('PROG FORMACIÓN TITULADA'!#REF!,"AAAAAHiffZM=")</f>
        <v>#REF!</v>
      </c>
      <c r="ES44" t="e">
        <f>AND('PROG FORMACIÓN TITULADA'!#REF!,"AAAAAHiffZQ=")</f>
        <v>#REF!</v>
      </c>
      <c r="ET44" t="e">
        <f>AND('PROG FORMACIÓN TITULADA'!#REF!,"AAAAAHiffZU=")</f>
        <v>#REF!</v>
      </c>
      <c r="EU44" t="e">
        <f>AND('PROG FORMACIÓN TITULADA'!#REF!,"AAAAAHiffZY=")</f>
        <v>#REF!</v>
      </c>
      <c r="EV44" t="e">
        <f>AND('PROG FORMACIÓN TITULADA'!#REF!,"AAAAAHiffZc=")</f>
        <v>#REF!</v>
      </c>
      <c r="EW44" t="e">
        <f>AND('PROG FORMACIÓN TITULADA'!#REF!,"AAAAAHiffZg=")</f>
        <v>#REF!</v>
      </c>
      <c r="EX44" t="e">
        <f>AND('PROG FORMACIÓN TITULADA'!#REF!,"AAAAAHiffZk=")</f>
        <v>#REF!</v>
      </c>
      <c r="EY44" t="e">
        <f>AND('PROG FORMACIÓN TITULADA'!#REF!,"AAAAAHiffZo=")</f>
        <v>#REF!</v>
      </c>
      <c r="EZ44" t="e">
        <f>AND('PROG FORMACIÓN TITULADA'!#REF!,"AAAAAHiffZs=")</f>
        <v>#REF!</v>
      </c>
      <c r="FA44" t="e">
        <f>AND('PROG FORMACIÓN TITULADA'!#REF!,"AAAAAHiffZw=")</f>
        <v>#REF!</v>
      </c>
      <c r="FB44" t="e">
        <f>IF('PROG FORMACIÓN TITULADA'!#REF!,"AAAAAHiffZ0=",0)</f>
        <v>#REF!</v>
      </c>
      <c r="FC44" t="e">
        <f>AND('PROG FORMACIÓN TITULADA'!#REF!,"AAAAAHiffZ4=")</f>
        <v>#REF!</v>
      </c>
      <c r="FD44" t="e">
        <f>AND('PROG FORMACIÓN TITULADA'!#REF!,"AAAAAHiffZ8=")</f>
        <v>#REF!</v>
      </c>
      <c r="FE44" t="e">
        <f>AND('PROG FORMACIÓN TITULADA'!#REF!,"AAAAAHiffaA=")</f>
        <v>#REF!</v>
      </c>
      <c r="FF44" t="e">
        <f>AND('PROG FORMACIÓN TITULADA'!#REF!,"AAAAAHiffaE=")</f>
        <v>#REF!</v>
      </c>
      <c r="FG44" t="e">
        <f>AND('PROG FORMACIÓN TITULADA'!#REF!,"AAAAAHiffaI=")</f>
        <v>#REF!</v>
      </c>
      <c r="FH44" t="e">
        <f>AND('PROG FORMACIÓN TITULADA'!#REF!,"AAAAAHiffaM=")</f>
        <v>#REF!</v>
      </c>
      <c r="FI44" t="e">
        <f>AND('PROG FORMACIÓN TITULADA'!#REF!,"AAAAAHiffaQ=")</f>
        <v>#REF!</v>
      </c>
      <c r="FJ44" t="e">
        <f>AND('PROG FORMACIÓN TITULADA'!#REF!,"AAAAAHiffaU=")</f>
        <v>#REF!</v>
      </c>
      <c r="FK44" t="e">
        <f>AND('PROG FORMACIÓN TITULADA'!#REF!,"AAAAAHiffaY=")</f>
        <v>#REF!</v>
      </c>
      <c r="FL44" t="e">
        <f>AND('PROG FORMACIÓN TITULADA'!#REF!,"AAAAAHiffac=")</f>
        <v>#REF!</v>
      </c>
      <c r="FM44" t="e">
        <f>AND('PROG FORMACIÓN TITULADA'!#REF!,"AAAAAHiffag=")</f>
        <v>#REF!</v>
      </c>
      <c r="FN44" t="e">
        <f>AND('PROG FORMACIÓN TITULADA'!#REF!,"AAAAAHiffak=")</f>
        <v>#REF!</v>
      </c>
      <c r="FO44" t="e">
        <f>AND('PROG FORMACIÓN TITULADA'!#REF!,"AAAAAHiffao=")</f>
        <v>#REF!</v>
      </c>
      <c r="FP44" t="e">
        <f>AND('PROG FORMACIÓN TITULADA'!#REF!,"AAAAAHiffas=")</f>
        <v>#REF!</v>
      </c>
      <c r="FQ44" t="e">
        <f>AND('PROG FORMACIÓN TITULADA'!#REF!,"AAAAAHiffaw=")</f>
        <v>#REF!</v>
      </c>
      <c r="FR44" t="e">
        <f>AND('PROG FORMACIÓN TITULADA'!#REF!,"AAAAAHiffa0=")</f>
        <v>#REF!</v>
      </c>
      <c r="FS44" t="e">
        <f>AND('PROG FORMACIÓN TITULADA'!#REF!,"AAAAAHiffa4=")</f>
        <v>#REF!</v>
      </c>
      <c r="FT44" t="e">
        <f>AND('PROG FORMACIÓN TITULADA'!#REF!,"AAAAAHiffa8=")</f>
        <v>#REF!</v>
      </c>
      <c r="FU44" t="e">
        <f>AND('PROG FORMACIÓN TITULADA'!#REF!,"AAAAAHiffbA=")</f>
        <v>#REF!</v>
      </c>
      <c r="FV44" t="e">
        <f>AND('PROG FORMACIÓN TITULADA'!#REF!,"AAAAAHiffbE=")</f>
        <v>#REF!</v>
      </c>
      <c r="FW44" t="e">
        <f>AND('PROG FORMACIÓN TITULADA'!#REF!,"AAAAAHiffbI=")</f>
        <v>#REF!</v>
      </c>
      <c r="FX44" t="e">
        <f>AND('PROG FORMACIÓN TITULADA'!#REF!,"AAAAAHiffbM=")</f>
        <v>#REF!</v>
      </c>
      <c r="FY44" t="e">
        <f>AND('PROG FORMACIÓN TITULADA'!#REF!,"AAAAAHiffbQ=")</f>
        <v>#REF!</v>
      </c>
      <c r="FZ44" t="e">
        <f>AND('PROG FORMACIÓN TITULADA'!#REF!,"AAAAAHiffbU=")</f>
        <v>#REF!</v>
      </c>
      <c r="GA44" t="e">
        <f>AND('PROG FORMACIÓN TITULADA'!#REF!,"AAAAAHiffbY=")</f>
        <v>#REF!</v>
      </c>
      <c r="GB44" t="e">
        <f>AND('PROG FORMACIÓN TITULADA'!#REF!,"AAAAAHiffbc=")</f>
        <v>#REF!</v>
      </c>
      <c r="GC44" t="e">
        <f>IF('PROG FORMACIÓN TITULADA'!#REF!,"AAAAAHiffbg=",0)</f>
        <v>#REF!</v>
      </c>
      <c r="GD44" t="e">
        <f>AND('PROG FORMACIÓN TITULADA'!#REF!,"AAAAAHiffbk=")</f>
        <v>#REF!</v>
      </c>
      <c r="GE44" t="e">
        <f>AND('PROG FORMACIÓN TITULADA'!#REF!,"AAAAAHiffbo=")</f>
        <v>#REF!</v>
      </c>
      <c r="GF44" t="e">
        <f>AND('PROG FORMACIÓN TITULADA'!#REF!,"AAAAAHiffbs=")</f>
        <v>#REF!</v>
      </c>
      <c r="GG44" t="e">
        <f>AND('PROG FORMACIÓN TITULADA'!#REF!,"AAAAAHiffbw=")</f>
        <v>#REF!</v>
      </c>
      <c r="GH44" t="e">
        <f>AND('PROG FORMACIÓN TITULADA'!#REF!,"AAAAAHiffb0=")</f>
        <v>#REF!</v>
      </c>
      <c r="GI44" t="e">
        <f>AND('PROG FORMACIÓN TITULADA'!#REF!,"AAAAAHiffb4=")</f>
        <v>#REF!</v>
      </c>
      <c r="GJ44" t="e">
        <f>AND('PROG FORMACIÓN TITULADA'!#REF!,"AAAAAHiffb8=")</f>
        <v>#REF!</v>
      </c>
      <c r="GK44" t="e">
        <f>AND('PROG FORMACIÓN TITULADA'!#REF!,"AAAAAHiffcA=")</f>
        <v>#REF!</v>
      </c>
      <c r="GL44" t="e">
        <f>AND('PROG FORMACIÓN TITULADA'!#REF!,"AAAAAHiffcE=")</f>
        <v>#REF!</v>
      </c>
      <c r="GM44" t="e">
        <f>AND('PROG FORMACIÓN TITULADA'!#REF!,"AAAAAHiffcI=")</f>
        <v>#REF!</v>
      </c>
      <c r="GN44" t="e">
        <f>AND('PROG FORMACIÓN TITULADA'!#REF!,"AAAAAHiffcM=")</f>
        <v>#REF!</v>
      </c>
      <c r="GO44" t="e">
        <f>AND('PROG FORMACIÓN TITULADA'!#REF!,"AAAAAHiffcQ=")</f>
        <v>#REF!</v>
      </c>
      <c r="GP44" t="e">
        <f>AND('PROG FORMACIÓN TITULADA'!#REF!,"AAAAAHiffcU=")</f>
        <v>#REF!</v>
      </c>
      <c r="GQ44" t="e">
        <f>AND('PROG FORMACIÓN TITULADA'!#REF!,"AAAAAHiffcY=")</f>
        <v>#REF!</v>
      </c>
      <c r="GR44" t="e">
        <f>AND('PROG FORMACIÓN TITULADA'!#REF!,"AAAAAHiffcc=")</f>
        <v>#REF!</v>
      </c>
      <c r="GS44" t="e">
        <f>AND('PROG FORMACIÓN TITULADA'!#REF!,"AAAAAHiffcg=")</f>
        <v>#REF!</v>
      </c>
      <c r="GT44" t="e">
        <f>AND('PROG FORMACIÓN TITULADA'!#REF!,"AAAAAHiffck=")</f>
        <v>#REF!</v>
      </c>
      <c r="GU44" t="e">
        <f>AND('PROG FORMACIÓN TITULADA'!#REF!,"AAAAAHiffco=")</f>
        <v>#REF!</v>
      </c>
      <c r="GV44" t="e">
        <f>AND('PROG FORMACIÓN TITULADA'!#REF!,"AAAAAHiffcs=")</f>
        <v>#REF!</v>
      </c>
      <c r="GW44" t="e">
        <f>AND('PROG FORMACIÓN TITULADA'!#REF!,"AAAAAHiffcw=")</f>
        <v>#REF!</v>
      </c>
      <c r="GX44" t="e">
        <f>AND('PROG FORMACIÓN TITULADA'!#REF!,"AAAAAHiffc0=")</f>
        <v>#REF!</v>
      </c>
      <c r="GY44" t="e">
        <f>AND('PROG FORMACIÓN TITULADA'!#REF!,"AAAAAHiffc4=")</f>
        <v>#REF!</v>
      </c>
      <c r="GZ44" t="e">
        <f>AND('PROG FORMACIÓN TITULADA'!#REF!,"AAAAAHiffc8=")</f>
        <v>#REF!</v>
      </c>
      <c r="HA44" t="e">
        <f>AND('PROG FORMACIÓN TITULADA'!#REF!,"AAAAAHiffdA=")</f>
        <v>#REF!</v>
      </c>
      <c r="HB44" t="e">
        <f>AND('PROG FORMACIÓN TITULADA'!#REF!,"AAAAAHiffdE=")</f>
        <v>#REF!</v>
      </c>
      <c r="HC44" t="e">
        <f>AND('PROG FORMACIÓN TITULADA'!#REF!,"AAAAAHiffdI=")</f>
        <v>#REF!</v>
      </c>
      <c r="HD44" t="e">
        <f>IF('PROG FORMACIÓN TITULADA'!#REF!,"AAAAAHiffdM=",0)</f>
        <v>#REF!</v>
      </c>
      <c r="HE44" t="e">
        <f>AND('PROG FORMACIÓN TITULADA'!#REF!,"AAAAAHiffdQ=")</f>
        <v>#REF!</v>
      </c>
      <c r="HF44" t="e">
        <f>AND('PROG FORMACIÓN TITULADA'!#REF!,"AAAAAHiffdU=")</f>
        <v>#REF!</v>
      </c>
      <c r="HG44" t="e">
        <f>AND('PROG FORMACIÓN TITULADA'!#REF!,"AAAAAHiffdY=")</f>
        <v>#REF!</v>
      </c>
      <c r="HH44" t="e">
        <f>AND('PROG FORMACIÓN TITULADA'!#REF!,"AAAAAHiffdc=")</f>
        <v>#REF!</v>
      </c>
      <c r="HI44" t="e">
        <f>AND('PROG FORMACIÓN TITULADA'!#REF!,"AAAAAHiffdg=")</f>
        <v>#REF!</v>
      </c>
      <c r="HJ44" t="e">
        <f>AND('PROG FORMACIÓN TITULADA'!#REF!,"AAAAAHiffdk=")</f>
        <v>#REF!</v>
      </c>
      <c r="HK44" t="e">
        <f>AND('PROG FORMACIÓN TITULADA'!#REF!,"AAAAAHiffdo=")</f>
        <v>#REF!</v>
      </c>
      <c r="HL44" t="e">
        <f>AND('PROG FORMACIÓN TITULADA'!#REF!,"AAAAAHiffds=")</f>
        <v>#REF!</v>
      </c>
      <c r="HM44" t="e">
        <f>AND('PROG FORMACIÓN TITULADA'!#REF!,"AAAAAHiffdw=")</f>
        <v>#REF!</v>
      </c>
      <c r="HN44" t="e">
        <f>AND('PROG FORMACIÓN TITULADA'!#REF!,"AAAAAHiffd0=")</f>
        <v>#REF!</v>
      </c>
      <c r="HO44" t="e">
        <f>AND('PROG FORMACIÓN TITULADA'!#REF!,"AAAAAHiffd4=")</f>
        <v>#REF!</v>
      </c>
      <c r="HP44" t="e">
        <f>AND('PROG FORMACIÓN TITULADA'!#REF!,"AAAAAHiffd8=")</f>
        <v>#REF!</v>
      </c>
      <c r="HQ44" t="e">
        <f>AND('PROG FORMACIÓN TITULADA'!#REF!,"AAAAAHiffeA=")</f>
        <v>#REF!</v>
      </c>
      <c r="HR44" t="e">
        <f>AND('PROG FORMACIÓN TITULADA'!#REF!,"AAAAAHiffeE=")</f>
        <v>#REF!</v>
      </c>
      <c r="HS44" t="e">
        <f>AND('PROG FORMACIÓN TITULADA'!#REF!,"AAAAAHiffeI=")</f>
        <v>#REF!</v>
      </c>
      <c r="HT44" t="e">
        <f>AND('PROG FORMACIÓN TITULADA'!#REF!,"AAAAAHiffeM=")</f>
        <v>#REF!</v>
      </c>
      <c r="HU44" t="e">
        <f>AND('PROG FORMACIÓN TITULADA'!#REF!,"AAAAAHiffeQ=")</f>
        <v>#REF!</v>
      </c>
      <c r="HV44" t="e">
        <f>AND('PROG FORMACIÓN TITULADA'!#REF!,"AAAAAHiffeU=")</f>
        <v>#REF!</v>
      </c>
      <c r="HW44" t="e">
        <f>AND('PROG FORMACIÓN TITULADA'!#REF!,"AAAAAHiffeY=")</f>
        <v>#REF!</v>
      </c>
      <c r="HX44" t="e">
        <f>AND('PROG FORMACIÓN TITULADA'!#REF!,"AAAAAHiffec=")</f>
        <v>#REF!</v>
      </c>
      <c r="HY44" t="e">
        <f>AND('PROG FORMACIÓN TITULADA'!#REF!,"AAAAAHiffeg=")</f>
        <v>#REF!</v>
      </c>
      <c r="HZ44" t="e">
        <f>AND('PROG FORMACIÓN TITULADA'!#REF!,"AAAAAHiffek=")</f>
        <v>#REF!</v>
      </c>
      <c r="IA44" t="e">
        <f>AND('PROG FORMACIÓN TITULADA'!#REF!,"AAAAAHiffeo=")</f>
        <v>#REF!</v>
      </c>
      <c r="IB44" t="e">
        <f>AND('PROG FORMACIÓN TITULADA'!#REF!,"AAAAAHiffes=")</f>
        <v>#REF!</v>
      </c>
      <c r="IC44" t="e">
        <f>AND('PROG FORMACIÓN TITULADA'!#REF!,"AAAAAHiffew=")</f>
        <v>#REF!</v>
      </c>
      <c r="ID44" t="e">
        <f>AND('PROG FORMACIÓN TITULADA'!#REF!,"AAAAAHiffe0=")</f>
        <v>#REF!</v>
      </c>
      <c r="IE44" t="e">
        <f>IF('PROG FORMACIÓN TITULADA'!#REF!,"AAAAAHiffe4=",0)</f>
        <v>#REF!</v>
      </c>
      <c r="IF44" t="e">
        <f>AND('PROG FORMACIÓN TITULADA'!#REF!,"AAAAAHiffe8=")</f>
        <v>#REF!</v>
      </c>
      <c r="IG44" t="e">
        <f>AND('PROG FORMACIÓN TITULADA'!#REF!,"AAAAAHifffA=")</f>
        <v>#REF!</v>
      </c>
      <c r="IH44" t="e">
        <f>AND('PROG FORMACIÓN TITULADA'!#REF!,"AAAAAHifffE=")</f>
        <v>#REF!</v>
      </c>
      <c r="II44" t="e">
        <f>AND('PROG FORMACIÓN TITULADA'!#REF!,"AAAAAHifffI=")</f>
        <v>#REF!</v>
      </c>
      <c r="IJ44" t="e">
        <f>AND('PROG FORMACIÓN TITULADA'!#REF!,"AAAAAHifffM=")</f>
        <v>#REF!</v>
      </c>
      <c r="IK44" t="e">
        <f>AND('PROG FORMACIÓN TITULADA'!#REF!,"AAAAAHifffQ=")</f>
        <v>#REF!</v>
      </c>
      <c r="IL44" t="e">
        <f>AND('PROG FORMACIÓN TITULADA'!#REF!,"AAAAAHifffU=")</f>
        <v>#REF!</v>
      </c>
      <c r="IM44" t="e">
        <f>AND('PROG FORMACIÓN TITULADA'!#REF!,"AAAAAHifffY=")</f>
        <v>#REF!</v>
      </c>
      <c r="IN44" t="e">
        <f>AND('PROG FORMACIÓN TITULADA'!#REF!,"AAAAAHifffc=")</f>
        <v>#REF!</v>
      </c>
      <c r="IO44" t="e">
        <f>AND('PROG FORMACIÓN TITULADA'!#REF!,"AAAAAHifffg=")</f>
        <v>#REF!</v>
      </c>
      <c r="IP44" t="e">
        <f>AND('PROG FORMACIÓN TITULADA'!#REF!,"AAAAAHifffk=")</f>
        <v>#REF!</v>
      </c>
      <c r="IQ44" t="e">
        <f>AND('PROG FORMACIÓN TITULADA'!#REF!,"AAAAAHifffo=")</f>
        <v>#REF!</v>
      </c>
      <c r="IR44" t="e">
        <f>AND('PROG FORMACIÓN TITULADA'!#REF!,"AAAAAHifffs=")</f>
        <v>#REF!</v>
      </c>
      <c r="IS44" t="e">
        <f>AND('PROG FORMACIÓN TITULADA'!#REF!,"AAAAAHifffw=")</f>
        <v>#REF!</v>
      </c>
      <c r="IT44" t="e">
        <f>AND('PROG FORMACIÓN TITULADA'!#REF!,"AAAAAHifff0=")</f>
        <v>#REF!</v>
      </c>
      <c r="IU44" t="e">
        <f>AND('PROG FORMACIÓN TITULADA'!#REF!,"AAAAAHifff4=")</f>
        <v>#REF!</v>
      </c>
      <c r="IV44" t="e">
        <f>AND('PROG FORMACIÓN TITULADA'!#REF!,"AAAAAHifff8=")</f>
        <v>#REF!</v>
      </c>
    </row>
    <row r="45" spans="1:256" x14ac:dyDescent="0.2">
      <c r="A45" t="e">
        <f>AND('PROG FORMACIÓN TITULADA'!#REF!,"AAAAAF/vvwA=")</f>
        <v>#REF!</v>
      </c>
      <c r="B45" t="e">
        <f>AND('PROG FORMACIÓN TITULADA'!#REF!,"AAAAAF/vvwE=")</f>
        <v>#REF!</v>
      </c>
      <c r="C45" t="e">
        <f>AND('PROG FORMACIÓN TITULADA'!#REF!,"AAAAAF/vvwI=")</f>
        <v>#REF!</v>
      </c>
      <c r="D45" t="e">
        <f>AND('PROG FORMACIÓN TITULADA'!#REF!,"AAAAAF/vvwM=")</f>
        <v>#REF!</v>
      </c>
      <c r="E45" t="e">
        <f>AND('PROG FORMACIÓN TITULADA'!#REF!,"AAAAAF/vvwQ=")</f>
        <v>#REF!</v>
      </c>
      <c r="F45" t="e">
        <f>AND('PROG FORMACIÓN TITULADA'!#REF!,"AAAAAF/vvwU=")</f>
        <v>#REF!</v>
      </c>
      <c r="G45" t="e">
        <f>AND('PROG FORMACIÓN TITULADA'!#REF!,"AAAAAF/vvwY=")</f>
        <v>#REF!</v>
      </c>
      <c r="H45" t="e">
        <f>AND('PROG FORMACIÓN TITULADA'!#REF!,"AAAAAF/vvwc=")</f>
        <v>#REF!</v>
      </c>
      <c r="I45" t="e">
        <f>AND('PROG FORMACIÓN TITULADA'!#REF!,"AAAAAF/vvwg=")</f>
        <v>#REF!</v>
      </c>
      <c r="J45" t="e">
        <f>IF('PROG FORMACIÓN TITULADA'!#REF!,"AAAAAF/vvwk=",0)</f>
        <v>#REF!</v>
      </c>
      <c r="K45" t="e">
        <f>AND('PROG FORMACIÓN TITULADA'!#REF!,"AAAAAF/vvwo=")</f>
        <v>#REF!</v>
      </c>
      <c r="L45" t="e">
        <f>AND('PROG FORMACIÓN TITULADA'!#REF!,"AAAAAF/vvws=")</f>
        <v>#REF!</v>
      </c>
      <c r="M45" t="e">
        <f>AND('PROG FORMACIÓN TITULADA'!#REF!,"AAAAAF/vvww=")</f>
        <v>#REF!</v>
      </c>
      <c r="N45" t="e">
        <f>AND('PROG FORMACIÓN TITULADA'!#REF!,"AAAAAF/vvw0=")</f>
        <v>#REF!</v>
      </c>
      <c r="O45" t="e">
        <f>AND('PROG FORMACIÓN TITULADA'!#REF!,"AAAAAF/vvw4=")</f>
        <v>#REF!</v>
      </c>
      <c r="P45" t="e">
        <f>AND('PROG FORMACIÓN TITULADA'!#REF!,"AAAAAF/vvw8=")</f>
        <v>#REF!</v>
      </c>
      <c r="Q45" t="e">
        <f>AND('PROG FORMACIÓN TITULADA'!#REF!,"AAAAAF/vvxA=")</f>
        <v>#REF!</v>
      </c>
      <c r="R45" t="e">
        <f>AND('PROG FORMACIÓN TITULADA'!#REF!,"AAAAAF/vvxE=")</f>
        <v>#REF!</v>
      </c>
      <c r="S45" t="e">
        <f>AND('PROG FORMACIÓN TITULADA'!#REF!,"AAAAAF/vvxI=")</f>
        <v>#REF!</v>
      </c>
      <c r="T45" t="e">
        <f>AND('PROG FORMACIÓN TITULADA'!#REF!,"AAAAAF/vvxM=")</f>
        <v>#REF!</v>
      </c>
      <c r="U45" t="e">
        <f>AND('PROG FORMACIÓN TITULADA'!#REF!,"AAAAAF/vvxQ=")</f>
        <v>#REF!</v>
      </c>
      <c r="V45" t="e">
        <f>AND('PROG FORMACIÓN TITULADA'!#REF!,"AAAAAF/vvxU=")</f>
        <v>#REF!</v>
      </c>
      <c r="W45" t="e">
        <f>AND('PROG FORMACIÓN TITULADA'!#REF!,"AAAAAF/vvxY=")</f>
        <v>#REF!</v>
      </c>
      <c r="X45" t="e">
        <f>AND('PROG FORMACIÓN TITULADA'!#REF!,"AAAAAF/vvxc=")</f>
        <v>#REF!</v>
      </c>
      <c r="Y45" t="e">
        <f>AND('PROG FORMACIÓN TITULADA'!#REF!,"AAAAAF/vvxg=")</f>
        <v>#REF!</v>
      </c>
      <c r="Z45" t="e">
        <f>AND('PROG FORMACIÓN TITULADA'!#REF!,"AAAAAF/vvxk=")</f>
        <v>#REF!</v>
      </c>
      <c r="AA45" t="e">
        <f>AND('PROG FORMACIÓN TITULADA'!#REF!,"AAAAAF/vvxo=")</f>
        <v>#REF!</v>
      </c>
      <c r="AB45" t="e">
        <f>AND('PROG FORMACIÓN TITULADA'!#REF!,"AAAAAF/vvxs=")</f>
        <v>#REF!</v>
      </c>
      <c r="AC45" t="e">
        <f>AND('PROG FORMACIÓN TITULADA'!#REF!,"AAAAAF/vvxw=")</f>
        <v>#REF!</v>
      </c>
      <c r="AD45" t="e">
        <f>AND('PROG FORMACIÓN TITULADA'!#REF!,"AAAAAF/vvx0=")</f>
        <v>#REF!</v>
      </c>
      <c r="AE45" t="e">
        <f>AND('PROG FORMACIÓN TITULADA'!#REF!,"AAAAAF/vvx4=")</f>
        <v>#REF!</v>
      </c>
      <c r="AF45" t="e">
        <f>AND('PROG FORMACIÓN TITULADA'!#REF!,"AAAAAF/vvx8=")</f>
        <v>#REF!</v>
      </c>
      <c r="AG45" t="e">
        <f>AND('PROG FORMACIÓN TITULADA'!#REF!,"AAAAAF/vvyA=")</f>
        <v>#REF!</v>
      </c>
      <c r="AH45" t="e">
        <f>AND('PROG FORMACIÓN TITULADA'!#REF!,"AAAAAF/vvyE=")</f>
        <v>#REF!</v>
      </c>
      <c r="AI45" t="e">
        <f>AND('PROG FORMACIÓN TITULADA'!#REF!,"AAAAAF/vvyI=")</f>
        <v>#REF!</v>
      </c>
      <c r="AJ45" t="e">
        <f>AND('PROG FORMACIÓN TITULADA'!#REF!,"AAAAAF/vvyM=")</f>
        <v>#REF!</v>
      </c>
      <c r="AK45" t="e">
        <f>IF('PROG FORMACIÓN TITULADA'!#REF!,"AAAAAF/vvyQ=",0)</f>
        <v>#REF!</v>
      </c>
      <c r="AL45" t="e">
        <f>AND('PROG FORMACIÓN TITULADA'!#REF!,"AAAAAF/vvyU=")</f>
        <v>#REF!</v>
      </c>
      <c r="AM45" t="e">
        <f>AND('PROG FORMACIÓN TITULADA'!#REF!,"AAAAAF/vvyY=")</f>
        <v>#REF!</v>
      </c>
      <c r="AN45" t="e">
        <f>AND('PROG FORMACIÓN TITULADA'!#REF!,"AAAAAF/vvyc=")</f>
        <v>#REF!</v>
      </c>
      <c r="AO45" t="e">
        <f>AND('PROG FORMACIÓN TITULADA'!#REF!,"AAAAAF/vvyg=")</f>
        <v>#REF!</v>
      </c>
      <c r="AP45" t="e">
        <f>AND('PROG FORMACIÓN TITULADA'!#REF!,"AAAAAF/vvyk=")</f>
        <v>#REF!</v>
      </c>
      <c r="AQ45" t="e">
        <f>AND('PROG FORMACIÓN TITULADA'!#REF!,"AAAAAF/vvyo=")</f>
        <v>#REF!</v>
      </c>
      <c r="AR45" t="e">
        <f>AND('PROG FORMACIÓN TITULADA'!#REF!,"AAAAAF/vvys=")</f>
        <v>#REF!</v>
      </c>
      <c r="AS45" t="e">
        <f>AND('PROG FORMACIÓN TITULADA'!#REF!,"AAAAAF/vvyw=")</f>
        <v>#REF!</v>
      </c>
      <c r="AT45" t="e">
        <f>AND('PROG FORMACIÓN TITULADA'!#REF!,"AAAAAF/vvy0=")</f>
        <v>#REF!</v>
      </c>
      <c r="AU45" t="e">
        <f>AND('PROG FORMACIÓN TITULADA'!#REF!,"AAAAAF/vvy4=")</f>
        <v>#REF!</v>
      </c>
      <c r="AV45" t="e">
        <f>AND('PROG FORMACIÓN TITULADA'!#REF!,"AAAAAF/vvy8=")</f>
        <v>#REF!</v>
      </c>
      <c r="AW45" t="e">
        <f>AND('PROG FORMACIÓN TITULADA'!#REF!,"AAAAAF/vvzA=")</f>
        <v>#REF!</v>
      </c>
      <c r="AX45" t="e">
        <f>AND('PROG FORMACIÓN TITULADA'!#REF!,"AAAAAF/vvzE=")</f>
        <v>#REF!</v>
      </c>
      <c r="AY45" t="e">
        <f>AND('PROG FORMACIÓN TITULADA'!#REF!,"AAAAAF/vvzI=")</f>
        <v>#REF!</v>
      </c>
      <c r="AZ45" t="e">
        <f>AND('PROG FORMACIÓN TITULADA'!#REF!,"AAAAAF/vvzM=")</f>
        <v>#REF!</v>
      </c>
      <c r="BA45" t="e">
        <f>AND('PROG FORMACIÓN TITULADA'!#REF!,"AAAAAF/vvzQ=")</f>
        <v>#REF!</v>
      </c>
      <c r="BB45" t="e">
        <f>AND('PROG FORMACIÓN TITULADA'!#REF!,"AAAAAF/vvzU=")</f>
        <v>#REF!</v>
      </c>
      <c r="BC45" t="e">
        <f>AND('PROG FORMACIÓN TITULADA'!#REF!,"AAAAAF/vvzY=")</f>
        <v>#REF!</v>
      </c>
      <c r="BD45" t="e">
        <f>AND('PROG FORMACIÓN TITULADA'!#REF!,"AAAAAF/vvzc=")</f>
        <v>#REF!</v>
      </c>
      <c r="BE45" t="e">
        <f>AND('PROG FORMACIÓN TITULADA'!#REF!,"AAAAAF/vvzg=")</f>
        <v>#REF!</v>
      </c>
      <c r="BF45" t="e">
        <f>AND('PROG FORMACIÓN TITULADA'!#REF!,"AAAAAF/vvzk=")</f>
        <v>#REF!</v>
      </c>
      <c r="BG45" t="e">
        <f>AND('PROG FORMACIÓN TITULADA'!#REF!,"AAAAAF/vvzo=")</f>
        <v>#REF!</v>
      </c>
      <c r="BH45" t="e">
        <f>AND('PROG FORMACIÓN TITULADA'!#REF!,"AAAAAF/vvzs=")</f>
        <v>#REF!</v>
      </c>
      <c r="BI45" t="e">
        <f>AND('PROG FORMACIÓN TITULADA'!#REF!,"AAAAAF/vvzw=")</f>
        <v>#REF!</v>
      </c>
      <c r="BJ45" t="e">
        <f>AND('PROG FORMACIÓN TITULADA'!#REF!,"AAAAAF/vvz0=")</f>
        <v>#REF!</v>
      </c>
      <c r="BK45" t="e">
        <f>AND('PROG FORMACIÓN TITULADA'!#REF!,"AAAAAF/vvz4=")</f>
        <v>#REF!</v>
      </c>
      <c r="BL45" t="e">
        <f>IF('PROG FORMACIÓN TITULADA'!#REF!,"AAAAAF/vvz8=",0)</f>
        <v>#REF!</v>
      </c>
      <c r="BM45" t="e">
        <f>AND('PROG FORMACIÓN TITULADA'!#REF!,"AAAAAF/vv0A=")</f>
        <v>#REF!</v>
      </c>
      <c r="BN45" t="e">
        <f>AND('PROG FORMACIÓN TITULADA'!#REF!,"AAAAAF/vv0E=")</f>
        <v>#REF!</v>
      </c>
      <c r="BO45" t="e">
        <f>AND('PROG FORMACIÓN TITULADA'!#REF!,"AAAAAF/vv0I=")</f>
        <v>#REF!</v>
      </c>
      <c r="BP45" t="e">
        <f>AND('PROG FORMACIÓN TITULADA'!#REF!,"AAAAAF/vv0M=")</f>
        <v>#REF!</v>
      </c>
      <c r="BQ45" t="e">
        <f>AND('PROG FORMACIÓN TITULADA'!#REF!,"AAAAAF/vv0Q=")</f>
        <v>#REF!</v>
      </c>
      <c r="BR45" t="e">
        <f>AND('PROG FORMACIÓN TITULADA'!#REF!,"AAAAAF/vv0U=")</f>
        <v>#REF!</v>
      </c>
      <c r="BS45" t="e">
        <f>AND('PROG FORMACIÓN TITULADA'!#REF!,"AAAAAF/vv0Y=")</f>
        <v>#REF!</v>
      </c>
      <c r="BT45" t="e">
        <f>AND('PROG FORMACIÓN TITULADA'!#REF!,"AAAAAF/vv0c=")</f>
        <v>#REF!</v>
      </c>
      <c r="BU45" t="e">
        <f>AND('PROG FORMACIÓN TITULADA'!#REF!,"AAAAAF/vv0g=")</f>
        <v>#REF!</v>
      </c>
      <c r="BV45" t="e">
        <f>AND('PROG FORMACIÓN TITULADA'!#REF!,"AAAAAF/vv0k=")</f>
        <v>#REF!</v>
      </c>
      <c r="BW45" t="e">
        <f>AND('PROG FORMACIÓN TITULADA'!#REF!,"AAAAAF/vv0o=")</f>
        <v>#REF!</v>
      </c>
      <c r="BX45" t="e">
        <f>AND('PROG FORMACIÓN TITULADA'!#REF!,"AAAAAF/vv0s=")</f>
        <v>#REF!</v>
      </c>
      <c r="BY45" t="e">
        <f>AND('PROG FORMACIÓN TITULADA'!#REF!,"AAAAAF/vv0w=")</f>
        <v>#REF!</v>
      </c>
      <c r="BZ45" t="e">
        <f>AND('PROG FORMACIÓN TITULADA'!#REF!,"AAAAAF/vv00=")</f>
        <v>#REF!</v>
      </c>
      <c r="CA45" t="e">
        <f>AND('PROG FORMACIÓN TITULADA'!#REF!,"AAAAAF/vv04=")</f>
        <v>#REF!</v>
      </c>
      <c r="CB45" t="e">
        <f>AND('PROG FORMACIÓN TITULADA'!#REF!,"AAAAAF/vv08=")</f>
        <v>#REF!</v>
      </c>
      <c r="CC45" t="e">
        <f>AND('PROG FORMACIÓN TITULADA'!#REF!,"AAAAAF/vv1A=")</f>
        <v>#REF!</v>
      </c>
      <c r="CD45" t="e">
        <f>AND('PROG FORMACIÓN TITULADA'!#REF!,"AAAAAF/vv1E=")</f>
        <v>#REF!</v>
      </c>
      <c r="CE45" t="e">
        <f>AND('PROG FORMACIÓN TITULADA'!#REF!,"AAAAAF/vv1I=")</f>
        <v>#REF!</v>
      </c>
      <c r="CF45" t="e">
        <f>AND('PROG FORMACIÓN TITULADA'!#REF!,"AAAAAF/vv1M=")</f>
        <v>#REF!</v>
      </c>
      <c r="CG45" t="e">
        <f>AND('PROG FORMACIÓN TITULADA'!#REF!,"AAAAAF/vv1Q=")</f>
        <v>#REF!</v>
      </c>
      <c r="CH45" t="e">
        <f>AND('PROG FORMACIÓN TITULADA'!#REF!,"AAAAAF/vv1U=")</f>
        <v>#REF!</v>
      </c>
      <c r="CI45" t="e">
        <f>AND('PROG FORMACIÓN TITULADA'!#REF!,"AAAAAF/vv1Y=")</f>
        <v>#REF!</v>
      </c>
      <c r="CJ45" t="e">
        <f>AND('PROG FORMACIÓN TITULADA'!#REF!,"AAAAAF/vv1c=")</f>
        <v>#REF!</v>
      </c>
      <c r="CK45" t="e">
        <f>AND('PROG FORMACIÓN TITULADA'!#REF!,"AAAAAF/vv1g=")</f>
        <v>#REF!</v>
      </c>
      <c r="CL45" t="e">
        <f>AND('PROG FORMACIÓN TITULADA'!#REF!,"AAAAAF/vv1k=")</f>
        <v>#REF!</v>
      </c>
      <c r="CM45" t="e">
        <f>IF('PROG FORMACIÓN TITULADA'!#REF!,"AAAAAF/vv1o=",0)</f>
        <v>#REF!</v>
      </c>
      <c r="CN45" t="e">
        <f>AND('PROG FORMACIÓN TITULADA'!#REF!,"AAAAAF/vv1s=")</f>
        <v>#REF!</v>
      </c>
      <c r="CO45" t="e">
        <f>AND('PROG FORMACIÓN TITULADA'!#REF!,"AAAAAF/vv1w=")</f>
        <v>#REF!</v>
      </c>
      <c r="CP45" t="e">
        <f>AND('PROG FORMACIÓN TITULADA'!#REF!,"AAAAAF/vv10=")</f>
        <v>#REF!</v>
      </c>
      <c r="CQ45" t="e">
        <f>AND('PROG FORMACIÓN TITULADA'!#REF!,"AAAAAF/vv14=")</f>
        <v>#REF!</v>
      </c>
      <c r="CR45" t="e">
        <f>AND('PROG FORMACIÓN TITULADA'!#REF!,"AAAAAF/vv18=")</f>
        <v>#REF!</v>
      </c>
      <c r="CS45" t="e">
        <f>AND('PROG FORMACIÓN TITULADA'!#REF!,"AAAAAF/vv2A=")</f>
        <v>#REF!</v>
      </c>
      <c r="CT45" t="e">
        <f>AND('PROG FORMACIÓN TITULADA'!#REF!,"AAAAAF/vv2E=")</f>
        <v>#REF!</v>
      </c>
      <c r="CU45" t="e">
        <f>AND('PROG FORMACIÓN TITULADA'!#REF!,"AAAAAF/vv2I=")</f>
        <v>#REF!</v>
      </c>
      <c r="CV45" t="e">
        <f>AND('PROG FORMACIÓN TITULADA'!#REF!,"AAAAAF/vv2M=")</f>
        <v>#REF!</v>
      </c>
      <c r="CW45" t="e">
        <f>AND('PROG FORMACIÓN TITULADA'!#REF!,"AAAAAF/vv2Q=")</f>
        <v>#REF!</v>
      </c>
      <c r="CX45" t="e">
        <f>AND('PROG FORMACIÓN TITULADA'!#REF!,"AAAAAF/vv2U=")</f>
        <v>#REF!</v>
      </c>
      <c r="CY45" t="e">
        <f>AND('PROG FORMACIÓN TITULADA'!#REF!,"AAAAAF/vv2Y=")</f>
        <v>#REF!</v>
      </c>
      <c r="CZ45" t="e">
        <f>AND('PROG FORMACIÓN TITULADA'!#REF!,"AAAAAF/vv2c=")</f>
        <v>#REF!</v>
      </c>
      <c r="DA45" t="e">
        <f>AND('PROG FORMACIÓN TITULADA'!#REF!,"AAAAAF/vv2g=")</f>
        <v>#REF!</v>
      </c>
      <c r="DB45" t="e">
        <f>AND('PROG FORMACIÓN TITULADA'!#REF!,"AAAAAF/vv2k=")</f>
        <v>#REF!</v>
      </c>
      <c r="DC45" t="e">
        <f>AND('PROG FORMACIÓN TITULADA'!#REF!,"AAAAAF/vv2o=")</f>
        <v>#REF!</v>
      </c>
      <c r="DD45" t="e">
        <f>AND('PROG FORMACIÓN TITULADA'!#REF!,"AAAAAF/vv2s=")</f>
        <v>#REF!</v>
      </c>
      <c r="DE45" t="e">
        <f>AND('PROG FORMACIÓN TITULADA'!#REF!,"AAAAAF/vv2w=")</f>
        <v>#REF!</v>
      </c>
      <c r="DF45" t="e">
        <f>AND('PROG FORMACIÓN TITULADA'!#REF!,"AAAAAF/vv20=")</f>
        <v>#REF!</v>
      </c>
      <c r="DG45" t="e">
        <f>AND('PROG FORMACIÓN TITULADA'!#REF!,"AAAAAF/vv24=")</f>
        <v>#REF!</v>
      </c>
      <c r="DH45" t="e">
        <f>AND('PROG FORMACIÓN TITULADA'!#REF!,"AAAAAF/vv28=")</f>
        <v>#REF!</v>
      </c>
      <c r="DI45" t="e">
        <f>AND('PROG FORMACIÓN TITULADA'!#REF!,"AAAAAF/vv3A=")</f>
        <v>#REF!</v>
      </c>
      <c r="DJ45" t="e">
        <f>AND('PROG FORMACIÓN TITULADA'!#REF!,"AAAAAF/vv3E=")</f>
        <v>#REF!</v>
      </c>
      <c r="DK45" t="e">
        <f>AND('PROG FORMACIÓN TITULADA'!#REF!,"AAAAAF/vv3I=")</f>
        <v>#REF!</v>
      </c>
      <c r="DL45" t="e">
        <f>AND('PROG FORMACIÓN TITULADA'!#REF!,"AAAAAF/vv3M=")</f>
        <v>#REF!</v>
      </c>
      <c r="DM45" t="e">
        <f>AND('PROG FORMACIÓN TITULADA'!#REF!,"AAAAAF/vv3Q=")</f>
        <v>#REF!</v>
      </c>
      <c r="DN45" t="e">
        <f>IF('PROG FORMACIÓN TITULADA'!#REF!,"AAAAAF/vv3U=",0)</f>
        <v>#REF!</v>
      </c>
      <c r="DO45" t="e">
        <f>AND('PROG FORMACIÓN TITULADA'!#REF!,"AAAAAF/vv3Y=")</f>
        <v>#REF!</v>
      </c>
      <c r="DP45" t="e">
        <f>AND('PROG FORMACIÓN TITULADA'!#REF!,"AAAAAF/vv3c=")</f>
        <v>#REF!</v>
      </c>
      <c r="DQ45" t="e">
        <f>AND('PROG FORMACIÓN TITULADA'!#REF!,"AAAAAF/vv3g=")</f>
        <v>#REF!</v>
      </c>
      <c r="DR45" t="e">
        <f>AND('PROG FORMACIÓN TITULADA'!#REF!,"AAAAAF/vv3k=")</f>
        <v>#REF!</v>
      </c>
      <c r="DS45" t="e">
        <f>AND('PROG FORMACIÓN TITULADA'!#REF!,"AAAAAF/vv3o=")</f>
        <v>#REF!</v>
      </c>
      <c r="DT45" t="e">
        <f>AND('PROG FORMACIÓN TITULADA'!#REF!,"AAAAAF/vv3s=")</f>
        <v>#REF!</v>
      </c>
      <c r="DU45" t="e">
        <f>AND('PROG FORMACIÓN TITULADA'!#REF!,"AAAAAF/vv3w=")</f>
        <v>#REF!</v>
      </c>
      <c r="DV45" t="e">
        <f>AND('PROG FORMACIÓN TITULADA'!#REF!,"AAAAAF/vv30=")</f>
        <v>#REF!</v>
      </c>
      <c r="DW45" t="e">
        <f>AND('PROG FORMACIÓN TITULADA'!#REF!,"AAAAAF/vv34=")</f>
        <v>#REF!</v>
      </c>
      <c r="DX45" t="e">
        <f>AND('PROG FORMACIÓN TITULADA'!#REF!,"AAAAAF/vv38=")</f>
        <v>#REF!</v>
      </c>
      <c r="DY45" t="e">
        <f>AND('PROG FORMACIÓN TITULADA'!#REF!,"AAAAAF/vv4A=")</f>
        <v>#REF!</v>
      </c>
      <c r="DZ45" t="e">
        <f>AND('PROG FORMACIÓN TITULADA'!#REF!,"AAAAAF/vv4E=")</f>
        <v>#REF!</v>
      </c>
      <c r="EA45" t="e">
        <f>AND('PROG FORMACIÓN TITULADA'!#REF!,"AAAAAF/vv4I=")</f>
        <v>#REF!</v>
      </c>
      <c r="EB45" t="e">
        <f>AND('PROG FORMACIÓN TITULADA'!#REF!,"AAAAAF/vv4M=")</f>
        <v>#REF!</v>
      </c>
      <c r="EC45" t="e">
        <f>AND('PROG FORMACIÓN TITULADA'!#REF!,"AAAAAF/vv4Q=")</f>
        <v>#REF!</v>
      </c>
      <c r="ED45" t="e">
        <f>AND('PROG FORMACIÓN TITULADA'!#REF!,"AAAAAF/vv4U=")</f>
        <v>#REF!</v>
      </c>
      <c r="EE45" t="e">
        <f>AND('PROG FORMACIÓN TITULADA'!#REF!,"AAAAAF/vv4Y=")</f>
        <v>#REF!</v>
      </c>
      <c r="EF45" t="e">
        <f>AND('PROG FORMACIÓN TITULADA'!#REF!,"AAAAAF/vv4c=")</f>
        <v>#REF!</v>
      </c>
      <c r="EG45" t="e">
        <f>AND('PROG FORMACIÓN TITULADA'!#REF!,"AAAAAF/vv4g=")</f>
        <v>#REF!</v>
      </c>
      <c r="EH45" t="e">
        <f>AND('PROG FORMACIÓN TITULADA'!#REF!,"AAAAAF/vv4k=")</f>
        <v>#REF!</v>
      </c>
      <c r="EI45" t="e">
        <f>AND('PROG FORMACIÓN TITULADA'!#REF!,"AAAAAF/vv4o=")</f>
        <v>#REF!</v>
      </c>
      <c r="EJ45" t="e">
        <f>AND('PROG FORMACIÓN TITULADA'!#REF!,"AAAAAF/vv4s=")</f>
        <v>#REF!</v>
      </c>
      <c r="EK45" t="e">
        <f>AND('PROG FORMACIÓN TITULADA'!#REF!,"AAAAAF/vv4w=")</f>
        <v>#REF!</v>
      </c>
      <c r="EL45" t="e">
        <f>AND('PROG FORMACIÓN TITULADA'!#REF!,"AAAAAF/vv40=")</f>
        <v>#REF!</v>
      </c>
      <c r="EM45" t="e">
        <f>AND('PROG FORMACIÓN TITULADA'!#REF!,"AAAAAF/vv44=")</f>
        <v>#REF!</v>
      </c>
      <c r="EN45" t="e">
        <f>AND('PROG FORMACIÓN TITULADA'!#REF!,"AAAAAF/vv48=")</f>
        <v>#REF!</v>
      </c>
      <c r="EO45" t="e">
        <f>IF('PROG FORMACIÓN TITULADA'!#REF!,"AAAAAF/vv5A=",0)</f>
        <v>#REF!</v>
      </c>
      <c r="EP45" t="e">
        <f>AND('PROG FORMACIÓN TITULADA'!#REF!,"AAAAAF/vv5E=")</f>
        <v>#REF!</v>
      </c>
      <c r="EQ45" t="e">
        <f>AND('PROG FORMACIÓN TITULADA'!#REF!,"AAAAAF/vv5I=")</f>
        <v>#REF!</v>
      </c>
      <c r="ER45" t="e">
        <f>AND('PROG FORMACIÓN TITULADA'!#REF!,"AAAAAF/vv5M=")</f>
        <v>#REF!</v>
      </c>
      <c r="ES45" t="e">
        <f>AND('PROG FORMACIÓN TITULADA'!#REF!,"AAAAAF/vv5Q=")</f>
        <v>#REF!</v>
      </c>
      <c r="ET45" t="e">
        <f>AND('PROG FORMACIÓN TITULADA'!#REF!,"AAAAAF/vv5U=")</f>
        <v>#REF!</v>
      </c>
      <c r="EU45" t="e">
        <f>AND('PROG FORMACIÓN TITULADA'!#REF!,"AAAAAF/vv5Y=")</f>
        <v>#REF!</v>
      </c>
      <c r="EV45" t="e">
        <f>AND('PROG FORMACIÓN TITULADA'!#REF!,"AAAAAF/vv5c=")</f>
        <v>#REF!</v>
      </c>
      <c r="EW45" t="e">
        <f>AND('PROG FORMACIÓN TITULADA'!#REF!,"AAAAAF/vv5g=")</f>
        <v>#REF!</v>
      </c>
      <c r="EX45" t="e">
        <f>AND('PROG FORMACIÓN TITULADA'!#REF!,"AAAAAF/vv5k=")</f>
        <v>#REF!</v>
      </c>
      <c r="EY45" t="e">
        <f>AND('PROG FORMACIÓN TITULADA'!#REF!,"AAAAAF/vv5o=")</f>
        <v>#REF!</v>
      </c>
      <c r="EZ45" t="e">
        <f>AND('PROG FORMACIÓN TITULADA'!#REF!,"AAAAAF/vv5s=")</f>
        <v>#REF!</v>
      </c>
      <c r="FA45" t="e">
        <f>AND('PROG FORMACIÓN TITULADA'!#REF!,"AAAAAF/vv5w=")</f>
        <v>#REF!</v>
      </c>
      <c r="FB45" t="e">
        <f>AND('PROG FORMACIÓN TITULADA'!#REF!,"AAAAAF/vv50=")</f>
        <v>#REF!</v>
      </c>
      <c r="FC45" t="e">
        <f>AND('PROG FORMACIÓN TITULADA'!#REF!,"AAAAAF/vv54=")</f>
        <v>#REF!</v>
      </c>
      <c r="FD45" t="e">
        <f>AND('PROG FORMACIÓN TITULADA'!#REF!,"AAAAAF/vv58=")</f>
        <v>#REF!</v>
      </c>
      <c r="FE45" t="e">
        <f>AND('PROG FORMACIÓN TITULADA'!#REF!,"AAAAAF/vv6A=")</f>
        <v>#REF!</v>
      </c>
      <c r="FF45" t="e">
        <f>AND('PROG FORMACIÓN TITULADA'!#REF!,"AAAAAF/vv6E=")</f>
        <v>#REF!</v>
      </c>
      <c r="FG45" t="e">
        <f>AND('PROG FORMACIÓN TITULADA'!#REF!,"AAAAAF/vv6I=")</f>
        <v>#REF!</v>
      </c>
      <c r="FH45" t="e">
        <f>AND('PROG FORMACIÓN TITULADA'!#REF!,"AAAAAF/vv6M=")</f>
        <v>#REF!</v>
      </c>
      <c r="FI45" t="e">
        <f>AND('PROG FORMACIÓN TITULADA'!#REF!,"AAAAAF/vv6Q=")</f>
        <v>#REF!</v>
      </c>
      <c r="FJ45" t="e">
        <f>AND('PROG FORMACIÓN TITULADA'!#REF!,"AAAAAF/vv6U=")</f>
        <v>#REF!</v>
      </c>
      <c r="FK45" t="e">
        <f>AND('PROG FORMACIÓN TITULADA'!#REF!,"AAAAAF/vv6Y=")</f>
        <v>#REF!</v>
      </c>
      <c r="FL45" t="e">
        <f>AND('PROG FORMACIÓN TITULADA'!#REF!,"AAAAAF/vv6c=")</f>
        <v>#REF!</v>
      </c>
      <c r="FM45" t="e">
        <f>AND('PROG FORMACIÓN TITULADA'!#REF!,"AAAAAF/vv6g=")</f>
        <v>#REF!</v>
      </c>
      <c r="FN45" t="e">
        <f>AND('PROG FORMACIÓN TITULADA'!#REF!,"AAAAAF/vv6k=")</f>
        <v>#REF!</v>
      </c>
      <c r="FO45" t="e">
        <f>AND('PROG FORMACIÓN TITULADA'!#REF!,"AAAAAF/vv6o=")</f>
        <v>#REF!</v>
      </c>
      <c r="FP45" t="e">
        <f>IF('PROG FORMACIÓN TITULADA'!#REF!,"AAAAAF/vv6s=",0)</f>
        <v>#REF!</v>
      </c>
      <c r="FQ45" t="e">
        <f>AND('PROG FORMACIÓN TITULADA'!#REF!,"AAAAAF/vv6w=")</f>
        <v>#REF!</v>
      </c>
      <c r="FR45" t="e">
        <f>AND('PROG FORMACIÓN TITULADA'!#REF!,"AAAAAF/vv60=")</f>
        <v>#REF!</v>
      </c>
      <c r="FS45" t="e">
        <f>AND('PROG FORMACIÓN TITULADA'!#REF!,"AAAAAF/vv64=")</f>
        <v>#REF!</v>
      </c>
      <c r="FT45" t="e">
        <f>AND('PROG FORMACIÓN TITULADA'!#REF!,"AAAAAF/vv68=")</f>
        <v>#REF!</v>
      </c>
      <c r="FU45" t="e">
        <f>AND('PROG FORMACIÓN TITULADA'!#REF!,"AAAAAF/vv7A=")</f>
        <v>#REF!</v>
      </c>
      <c r="FV45" t="e">
        <f>AND('PROG FORMACIÓN TITULADA'!#REF!,"AAAAAF/vv7E=")</f>
        <v>#REF!</v>
      </c>
      <c r="FW45" t="e">
        <f>AND('PROG FORMACIÓN TITULADA'!#REF!,"AAAAAF/vv7I=")</f>
        <v>#REF!</v>
      </c>
      <c r="FX45" t="e">
        <f>AND('PROG FORMACIÓN TITULADA'!#REF!,"AAAAAF/vv7M=")</f>
        <v>#REF!</v>
      </c>
      <c r="FY45" t="e">
        <f>AND('PROG FORMACIÓN TITULADA'!#REF!,"AAAAAF/vv7Q=")</f>
        <v>#REF!</v>
      </c>
      <c r="FZ45" t="e">
        <f>AND('PROG FORMACIÓN TITULADA'!#REF!,"AAAAAF/vv7U=")</f>
        <v>#REF!</v>
      </c>
      <c r="GA45" t="e">
        <f>AND('PROG FORMACIÓN TITULADA'!#REF!,"AAAAAF/vv7Y=")</f>
        <v>#REF!</v>
      </c>
      <c r="GB45" t="e">
        <f>AND('PROG FORMACIÓN TITULADA'!#REF!,"AAAAAF/vv7c=")</f>
        <v>#REF!</v>
      </c>
      <c r="GC45" t="e">
        <f>AND('PROG FORMACIÓN TITULADA'!#REF!,"AAAAAF/vv7g=")</f>
        <v>#REF!</v>
      </c>
      <c r="GD45" t="e">
        <f>AND('PROG FORMACIÓN TITULADA'!#REF!,"AAAAAF/vv7k=")</f>
        <v>#REF!</v>
      </c>
      <c r="GE45" t="e">
        <f>AND('PROG FORMACIÓN TITULADA'!#REF!,"AAAAAF/vv7o=")</f>
        <v>#REF!</v>
      </c>
      <c r="GF45" t="e">
        <f>AND('PROG FORMACIÓN TITULADA'!#REF!,"AAAAAF/vv7s=")</f>
        <v>#REF!</v>
      </c>
      <c r="GG45" t="e">
        <f>AND('PROG FORMACIÓN TITULADA'!#REF!,"AAAAAF/vv7w=")</f>
        <v>#REF!</v>
      </c>
      <c r="GH45" t="e">
        <f>AND('PROG FORMACIÓN TITULADA'!#REF!,"AAAAAF/vv70=")</f>
        <v>#REF!</v>
      </c>
      <c r="GI45" t="e">
        <f>AND('PROG FORMACIÓN TITULADA'!#REF!,"AAAAAF/vv74=")</f>
        <v>#REF!</v>
      </c>
      <c r="GJ45" t="e">
        <f>AND('PROG FORMACIÓN TITULADA'!#REF!,"AAAAAF/vv78=")</f>
        <v>#REF!</v>
      </c>
      <c r="GK45" t="e">
        <f>AND('PROG FORMACIÓN TITULADA'!#REF!,"AAAAAF/vv8A=")</f>
        <v>#REF!</v>
      </c>
      <c r="GL45" t="e">
        <f>AND('PROG FORMACIÓN TITULADA'!#REF!,"AAAAAF/vv8E=")</f>
        <v>#REF!</v>
      </c>
      <c r="GM45" t="e">
        <f>AND('PROG FORMACIÓN TITULADA'!#REF!,"AAAAAF/vv8I=")</f>
        <v>#REF!</v>
      </c>
      <c r="GN45" t="e">
        <f>AND('PROG FORMACIÓN TITULADA'!#REF!,"AAAAAF/vv8M=")</f>
        <v>#REF!</v>
      </c>
      <c r="GO45" t="e">
        <f>AND('PROG FORMACIÓN TITULADA'!#REF!,"AAAAAF/vv8Q=")</f>
        <v>#REF!</v>
      </c>
      <c r="GP45" t="e">
        <f>AND('PROG FORMACIÓN TITULADA'!#REF!,"AAAAAF/vv8U=")</f>
        <v>#REF!</v>
      </c>
      <c r="GQ45" t="e">
        <f>IF('PROG FORMACIÓN TITULADA'!#REF!,"AAAAAF/vv8Y=",0)</f>
        <v>#REF!</v>
      </c>
      <c r="GR45" t="e">
        <f>AND('PROG FORMACIÓN TITULADA'!#REF!,"AAAAAF/vv8c=")</f>
        <v>#REF!</v>
      </c>
      <c r="GS45" t="e">
        <f>AND('PROG FORMACIÓN TITULADA'!#REF!,"AAAAAF/vv8g=")</f>
        <v>#REF!</v>
      </c>
      <c r="GT45" t="e">
        <f>AND('PROG FORMACIÓN TITULADA'!#REF!,"AAAAAF/vv8k=")</f>
        <v>#REF!</v>
      </c>
      <c r="GU45" t="e">
        <f>AND('PROG FORMACIÓN TITULADA'!#REF!,"AAAAAF/vv8o=")</f>
        <v>#REF!</v>
      </c>
      <c r="GV45" t="e">
        <f>AND('PROG FORMACIÓN TITULADA'!#REF!,"AAAAAF/vv8s=")</f>
        <v>#REF!</v>
      </c>
      <c r="GW45" t="e">
        <f>AND('PROG FORMACIÓN TITULADA'!#REF!,"AAAAAF/vv8w=")</f>
        <v>#REF!</v>
      </c>
      <c r="GX45" t="e">
        <f>AND('PROG FORMACIÓN TITULADA'!#REF!,"AAAAAF/vv80=")</f>
        <v>#REF!</v>
      </c>
      <c r="GY45" t="e">
        <f>AND('PROG FORMACIÓN TITULADA'!#REF!,"AAAAAF/vv84=")</f>
        <v>#REF!</v>
      </c>
      <c r="GZ45" t="e">
        <f>AND('PROG FORMACIÓN TITULADA'!#REF!,"AAAAAF/vv88=")</f>
        <v>#REF!</v>
      </c>
      <c r="HA45" t="e">
        <f>AND('PROG FORMACIÓN TITULADA'!#REF!,"AAAAAF/vv9A=")</f>
        <v>#REF!</v>
      </c>
      <c r="HB45" t="e">
        <f>AND('PROG FORMACIÓN TITULADA'!#REF!,"AAAAAF/vv9E=")</f>
        <v>#REF!</v>
      </c>
      <c r="HC45" t="e">
        <f>AND('PROG FORMACIÓN TITULADA'!#REF!,"AAAAAF/vv9I=")</f>
        <v>#REF!</v>
      </c>
      <c r="HD45" t="e">
        <f>AND('PROG FORMACIÓN TITULADA'!#REF!,"AAAAAF/vv9M=")</f>
        <v>#REF!</v>
      </c>
      <c r="HE45" t="e">
        <f>AND('PROG FORMACIÓN TITULADA'!#REF!,"AAAAAF/vv9Q=")</f>
        <v>#REF!</v>
      </c>
      <c r="HF45" t="e">
        <f>AND('PROG FORMACIÓN TITULADA'!#REF!,"AAAAAF/vv9U=")</f>
        <v>#REF!</v>
      </c>
      <c r="HG45" t="e">
        <f>AND('PROG FORMACIÓN TITULADA'!#REF!,"AAAAAF/vv9Y=")</f>
        <v>#REF!</v>
      </c>
      <c r="HH45" t="e">
        <f>AND('PROG FORMACIÓN TITULADA'!#REF!,"AAAAAF/vv9c=")</f>
        <v>#REF!</v>
      </c>
      <c r="HI45" t="e">
        <f>AND('PROG FORMACIÓN TITULADA'!#REF!,"AAAAAF/vv9g=")</f>
        <v>#REF!</v>
      </c>
      <c r="HJ45" t="e">
        <f>AND('PROG FORMACIÓN TITULADA'!#REF!,"AAAAAF/vv9k=")</f>
        <v>#REF!</v>
      </c>
      <c r="HK45" t="e">
        <f>AND('PROG FORMACIÓN TITULADA'!#REF!,"AAAAAF/vv9o=")</f>
        <v>#REF!</v>
      </c>
      <c r="HL45" t="e">
        <f>AND('PROG FORMACIÓN TITULADA'!#REF!,"AAAAAF/vv9s=")</f>
        <v>#REF!</v>
      </c>
      <c r="HM45" t="e">
        <f>AND('PROG FORMACIÓN TITULADA'!#REF!,"AAAAAF/vv9w=")</f>
        <v>#REF!</v>
      </c>
      <c r="HN45" t="e">
        <f>AND('PROG FORMACIÓN TITULADA'!#REF!,"AAAAAF/vv90=")</f>
        <v>#REF!</v>
      </c>
      <c r="HO45" t="e">
        <f>AND('PROG FORMACIÓN TITULADA'!#REF!,"AAAAAF/vv94=")</f>
        <v>#REF!</v>
      </c>
      <c r="HP45" t="e">
        <f>AND('PROG FORMACIÓN TITULADA'!#REF!,"AAAAAF/vv98=")</f>
        <v>#REF!</v>
      </c>
      <c r="HQ45" t="e">
        <f>AND('PROG FORMACIÓN TITULADA'!#REF!,"AAAAAF/vv+A=")</f>
        <v>#REF!</v>
      </c>
      <c r="HR45" t="e">
        <f>IF('PROG FORMACIÓN TITULADA'!#REF!,"AAAAAF/vv+E=",0)</f>
        <v>#REF!</v>
      </c>
      <c r="HS45" t="e">
        <f>AND('PROG FORMACIÓN TITULADA'!#REF!,"AAAAAF/vv+I=")</f>
        <v>#REF!</v>
      </c>
      <c r="HT45" t="e">
        <f>AND('PROG FORMACIÓN TITULADA'!#REF!,"AAAAAF/vv+M=")</f>
        <v>#REF!</v>
      </c>
      <c r="HU45" t="e">
        <f>AND('PROG FORMACIÓN TITULADA'!#REF!,"AAAAAF/vv+Q=")</f>
        <v>#REF!</v>
      </c>
      <c r="HV45" t="e">
        <f>AND('PROG FORMACIÓN TITULADA'!#REF!,"AAAAAF/vv+U=")</f>
        <v>#REF!</v>
      </c>
      <c r="HW45" t="e">
        <f>AND('PROG FORMACIÓN TITULADA'!#REF!,"AAAAAF/vv+Y=")</f>
        <v>#REF!</v>
      </c>
      <c r="HX45" t="e">
        <f>AND('PROG FORMACIÓN TITULADA'!#REF!,"AAAAAF/vv+c=")</f>
        <v>#REF!</v>
      </c>
      <c r="HY45" t="e">
        <f>AND('PROG FORMACIÓN TITULADA'!#REF!,"AAAAAF/vv+g=")</f>
        <v>#REF!</v>
      </c>
      <c r="HZ45" t="e">
        <f>AND('PROG FORMACIÓN TITULADA'!#REF!,"AAAAAF/vv+k=")</f>
        <v>#REF!</v>
      </c>
      <c r="IA45" t="e">
        <f>AND('PROG FORMACIÓN TITULADA'!#REF!,"AAAAAF/vv+o=")</f>
        <v>#REF!</v>
      </c>
      <c r="IB45" t="e">
        <f>AND('PROG FORMACIÓN TITULADA'!#REF!,"AAAAAF/vv+s=")</f>
        <v>#REF!</v>
      </c>
      <c r="IC45" t="e">
        <f>AND('PROG FORMACIÓN TITULADA'!#REF!,"AAAAAF/vv+w=")</f>
        <v>#REF!</v>
      </c>
      <c r="ID45" t="e">
        <f>AND('PROG FORMACIÓN TITULADA'!#REF!,"AAAAAF/vv+0=")</f>
        <v>#REF!</v>
      </c>
      <c r="IE45" t="e">
        <f>AND('PROG FORMACIÓN TITULADA'!#REF!,"AAAAAF/vv+4=")</f>
        <v>#REF!</v>
      </c>
      <c r="IF45" t="e">
        <f>AND('PROG FORMACIÓN TITULADA'!#REF!,"AAAAAF/vv+8=")</f>
        <v>#REF!</v>
      </c>
      <c r="IG45" t="e">
        <f>AND('PROG FORMACIÓN TITULADA'!#REF!,"AAAAAF/vv/A=")</f>
        <v>#REF!</v>
      </c>
      <c r="IH45" t="e">
        <f>AND('PROG FORMACIÓN TITULADA'!#REF!,"AAAAAF/vv/E=")</f>
        <v>#REF!</v>
      </c>
      <c r="II45" t="e">
        <f>AND('PROG FORMACIÓN TITULADA'!#REF!,"AAAAAF/vv/I=")</f>
        <v>#REF!</v>
      </c>
      <c r="IJ45" t="e">
        <f>AND('PROG FORMACIÓN TITULADA'!#REF!,"AAAAAF/vv/M=")</f>
        <v>#REF!</v>
      </c>
      <c r="IK45" t="e">
        <f>AND('PROG FORMACIÓN TITULADA'!#REF!,"AAAAAF/vv/Q=")</f>
        <v>#REF!</v>
      </c>
      <c r="IL45" t="e">
        <f>AND('PROG FORMACIÓN TITULADA'!#REF!,"AAAAAF/vv/U=")</f>
        <v>#REF!</v>
      </c>
      <c r="IM45" t="e">
        <f>AND('PROG FORMACIÓN TITULADA'!#REF!,"AAAAAF/vv/Y=")</f>
        <v>#REF!</v>
      </c>
      <c r="IN45" t="e">
        <f>AND('PROG FORMACIÓN TITULADA'!#REF!,"AAAAAF/vv/c=")</f>
        <v>#REF!</v>
      </c>
      <c r="IO45" t="e">
        <f>AND('PROG FORMACIÓN TITULADA'!#REF!,"AAAAAF/vv/g=")</f>
        <v>#REF!</v>
      </c>
      <c r="IP45" t="e">
        <f>AND('PROG FORMACIÓN TITULADA'!#REF!,"AAAAAF/vv/k=")</f>
        <v>#REF!</v>
      </c>
      <c r="IQ45" t="e">
        <f>AND('PROG FORMACIÓN TITULADA'!#REF!,"AAAAAF/vv/o=")</f>
        <v>#REF!</v>
      </c>
      <c r="IR45" t="e">
        <f>AND('PROG FORMACIÓN TITULADA'!#REF!,"AAAAAF/vv/s=")</f>
        <v>#REF!</v>
      </c>
      <c r="IS45" t="e">
        <f>IF('PROG FORMACIÓN TITULADA'!#REF!,"AAAAAF/vv/w=",0)</f>
        <v>#REF!</v>
      </c>
      <c r="IT45" t="e">
        <f>AND('PROG FORMACIÓN TITULADA'!#REF!,"AAAAAF/vv/0=")</f>
        <v>#REF!</v>
      </c>
      <c r="IU45" t="e">
        <f>AND('PROG FORMACIÓN TITULADA'!#REF!,"AAAAAF/vv/4=")</f>
        <v>#REF!</v>
      </c>
      <c r="IV45" t="e">
        <f>AND('PROG FORMACIÓN TITULADA'!#REF!,"AAAAAF/vv/8=")</f>
        <v>#REF!</v>
      </c>
    </row>
    <row r="46" spans="1:256" x14ac:dyDescent="0.2">
      <c r="A46" t="e">
        <f>AND('PROG FORMACIÓN TITULADA'!#REF!,"AAAAAHl/PQA=")</f>
        <v>#REF!</v>
      </c>
      <c r="B46" t="e">
        <f>AND('PROG FORMACIÓN TITULADA'!#REF!,"AAAAAHl/PQE=")</f>
        <v>#REF!</v>
      </c>
      <c r="C46" t="e">
        <f>AND('PROG FORMACIÓN TITULADA'!#REF!,"AAAAAHl/PQI=")</f>
        <v>#REF!</v>
      </c>
      <c r="D46" t="e">
        <f>AND('PROG FORMACIÓN TITULADA'!#REF!,"AAAAAHl/PQM=")</f>
        <v>#REF!</v>
      </c>
      <c r="E46" t="e">
        <f>AND('PROG FORMACIÓN TITULADA'!#REF!,"AAAAAHl/PQQ=")</f>
        <v>#REF!</v>
      </c>
      <c r="F46" t="e">
        <f>AND('PROG FORMACIÓN TITULADA'!#REF!,"AAAAAHl/PQU=")</f>
        <v>#REF!</v>
      </c>
      <c r="G46" t="e">
        <f>AND('PROG FORMACIÓN TITULADA'!#REF!,"AAAAAHl/PQY=")</f>
        <v>#REF!</v>
      </c>
      <c r="H46" t="e">
        <f>AND('PROG FORMACIÓN TITULADA'!#REF!,"AAAAAHl/PQc=")</f>
        <v>#REF!</v>
      </c>
      <c r="I46" t="e">
        <f>AND('PROG FORMACIÓN TITULADA'!#REF!,"AAAAAHl/PQg=")</f>
        <v>#REF!</v>
      </c>
      <c r="J46" t="e">
        <f>AND('PROG FORMACIÓN TITULADA'!#REF!,"AAAAAHl/PQk=")</f>
        <v>#REF!</v>
      </c>
      <c r="K46" t="e">
        <f>AND('PROG FORMACIÓN TITULADA'!#REF!,"AAAAAHl/PQo=")</f>
        <v>#REF!</v>
      </c>
      <c r="L46" t="e">
        <f>AND('PROG FORMACIÓN TITULADA'!#REF!,"AAAAAHl/PQs=")</f>
        <v>#REF!</v>
      </c>
      <c r="M46" t="e">
        <f>AND('PROG FORMACIÓN TITULADA'!#REF!,"AAAAAHl/PQw=")</f>
        <v>#REF!</v>
      </c>
      <c r="N46" t="e">
        <f>AND('PROG FORMACIÓN TITULADA'!#REF!,"AAAAAHl/PQ0=")</f>
        <v>#REF!</v>
      </c>
      <c r="O46" t="e">
        <f>AND('PROG FORMACIÓN TITULADA'!#REF!,"AAAAAHl/PQ4=")</f>
        <v>#REF!</v>
      </c>
      <c r="P46" t="e">
        <f>AND('PROG FORMACIÓN TITULADA'!#REF!,"AAAAAHl/PQ8=")</f>
        <v>#REF!</v>
      </c>
      <c r="Q46" t="e">
        <f>AND('PROG FORMACIÓN TITULADA'!#REF!,"AAAAAHl/PRA=")</f>
        <v>#REF!</v>
      </c>
      <c r="R46" t="e">
        <f>AND('PROG FORMACIÓN TITULADA'!#REF!,"AAAAAHl/PRE=")</f>
        <v>#REF!</v>
      </c>
      <c r="S46" t="e">
        <f>AND('PROG FORMACIÓN TITULADA'!#REF!,"AAAAAHl/PRI=")</f>
        <v>#REF!</v>
      </c>
      <c r="T46" t="e">
        <f>AND('PROG FORMACIÓN TITULADA'!#REF!,"AAAAAHl/PRM=")</f>
        <v>#REF!</v>
      </c>
      <c r="U46" t="e">
        <f>AND('PROG FORMACIÓN TITULADA'!#REF!,"AAAAAHl/PRQ=")</f>
        <v>#REF!</v>
      </c>
      <c r="V46" t="e">
        <f>AND('PROG FORMACIÓN TITULADA'!#REF!,"AAAAAHl/PRU=")</f>
        <v>#REF!</v>
      </c>
      <c r="W46" t="e">
        <f>AND('PROG FORMACIÓN TITULADA'!#REF!,"AAAAAHl/PRY=")</f>
        <v>#REF!</v>
      </c>
      <c r="X46" t="e">
        <f>IF('PROG FORMACIÓN TITULADA'!#REF!,"AAAAAHl/PRc=",0)</f>
        <v>#REF!</v>
      </c>
      <c r="Y46" t="e">
        <f>AND('PROG FORMACIÓN TITULADA'!#REF!,"AAAAAHl/PRg=")</f>
        <v>#REF!</v>
      </c>
      <c r="Z46" t="e">
        <f>AND('PROG FORMACIÓN TITULADA'!#REF!,"AAAAAHl/PRk=")</f>
        <v>#REF!</v>
      </c>
      <c r="AA46" t="e">
        <f>AND('PROG FORMACIÓN TITULADA'!#REF!,"AAAAAHl/PRo=")</f>
        <v>#REF!</v>
      </c>
      <c r="AB46" t="e">
        <f>AND('PROG FORMACIÓN TITULADA'!#REF!,"AAAAAHl/PRs=")</f>
        <v>#REF!</v>
      </c>
      <c r="AC46" t="e">
        <f>AND('PROG FORMACIÓN TITULADA'!#REF!,"AAAAAHl/PRw=")</f>
        <v>#REF!</v>
      </c>
      <c r="AD46" t="e">
        <f>AND('PROG FORMACIÓN TITULADA'!#REF!,"AAAAAHl/PR0=")</f>
        <v>#REF!</v>
      </c>
      <c r="AE46" t="e">
        <f>AND('PROG FORMACIÓN TITULADA'!#REF!,"AAAAAHl/PR4=")</f>
        <v>#REF!</v>
      </c>
      <c r="AF46" t="e">
        <f>AND('PROG FORMACIÓN TITULADA'!#REF!,"AAAAAHl/PR8=")</f>
        <v>#REF!</v>
      </c>
      <c r="AG46" t="e">
        <f>AND('PROG FORMACIÓN TITULADA'!#REF!,"AAAAAHl/PSA=")</f>
        <v>#REF!</v>
      </c>
      <c r="AH46" t="e">
        <f>AND('PROG FORMACIÓN TITULADA'!#REF!,"AAAAAHl/PSE=")</f>
        <v>#REF!</v>
      </c>
      <c r="AI46" t="e">
        <f>AND('PROG FORMACIÓN TITULADA'!#REF!,"AAAAAHl/PSI=")</f>
        <v>#REF!</v>
      </c>
      <c r="AJ46" t="e">
        <f>AND('PROG FORMACIÓN TITULADA'!#REF!,"AAAAAHl/PSM=")</f>
        <v>#REF!</v>
      </c>
      <c r="AK46" t="e">
        <f>AND('PROG FORMACIÓN TITULADA'!#REF!,"AAAAAHl/PSQ=")</f>
        <v>#REF!</v>
      </c>
      <c r="AL46" t="e">
        <f>AND('PROG FORMACIÓN TITULADA'!#REF!,"AAAAAHl/PSU=")</f>
        <v>#REF!</v>
      </c>
      <c r="AM46" t="e">
        <f>AND('PROG FORMACIÓN TITULADA'!#REF!,"AAAAAHl/PSY=")</f>
        <v>#REF!</v>
      </c>
      <c r="AN46" t="e">
        <f>AND('PROG FORMACIÓN TITULADA'!#REF!,"AAAAAHl/PSc=")</f>
        <v>#REF!</v>
      </c>
      <c r="AO46" t="e">
        <f>AND('PROG FORMACIÓN TITULADA'!#REF!,"AAAAAHl/PSg=")</f>
        <v>#REF!</v>
      </c>
      <c r="AP46" t="e">
        <f>AND('PROG FORMACIÓN TITULADA'!#REF!,"AAAAAHl/PSk=")</f>
        <v>#REF!</v>
      </c>
      <c r="AQ46" t="e">
        <f>AND('PROG FORMACIÓN TITULADA'!#REF!,"AAAAAHl/PSo=")</f>
        <v>#REF!</v>
      </c>
      <c r="AR46" t="e">
        <f>AND('PROG FORMACIÓN TITULADA'!#REF!,"AAAAAHl/PSs=")</f>
        <v>#REF!</v>
      </c>
      <c r="AS46" t="e">
        <f>AND('PROG FORMACIÓN TITULADA'!#REF!,"AAAAAHl/PSw=")</f>
        <v>#REF!</v>
      </c>
      <c r="AT46" t="e">
        <f>AND('PROG FORMACIÓN TITULADA'!#REF!,"AAAAAHl/PS0=")</f>
        <v>#REF!</v>
      </c>
      <c r="AU46" t="e">
        <f>AND('PROG FORMACIÓN TITULADA'!#REF!,"AAAAAHl/PS4=")</f>
        <v>#REF!</v>
      </c>
      <c r="AV46" t="e">
        <f>AND('PROG FORMACIÓN TITULADA'!#REF!,"AAAAAHl/PS8=")</f>
        <v>#REF!</v>
      </c>
      <c r="AW46" t="e">
        <f>AND('PROG FORMACIÓN TITULADA'!#REF!,"AAAAAHl/PTA=")</f>
        <v>#REF!</v>
      </c>
      <c r="AX46" t="e">
        <f>AND('PROG FORMACIÓN TITULADA'!#REF!,"AAAAAHl/PTE=")</f>
        <v>#REF!</v>
      </c>
      <c r="AY46" t="e">
        <f>IF('PROG FORMACIÓN TITULADA'!#REF!,"AAAAAHl/PTI=",0)</f>
        <v>#REF!</v>
      </c>
      <c r="AZ46" t="e">
        <f>AND('PROG FORMACIÓN TITULADA'!#REF!,"AAAAAHl/PTM=")</f>
        <v>#REF!</v>
      </c>
      <c r="BA46" t="e">
        <f>AND('PROG FORMACIÓN TITULADA'!#REF!,"AAAAAHl/PTQ=")</f>
        <v>#REF!</v>
      </c>
      <c r="BB46" t="e">
        <f>AND('PROG FORMACIÓN TITULADA'!#REF!,"AAAAAHl/PTU=")</f>
        <v>#REF!</v>
      </c>
      <c r="BC46" t="e">
        <f>AND('PROG FORMACIÓN TITULADA'!#REF!,"AAAAAHl/PTY=")</f>
        <v>#REF!</v>
      </c>
      <c r="BD46" t="e">
        <f>AND('PROG FORMACIÓN TITULADA'!#REF!,"AAAAAHl/PTc=")</f>
        <v>#REF!</v>
      </c>
      <c r="BE46" t="e">
        <f>AND('PROG FORMACIÓN TITULADA'!#REF!,"AAAAAHl/PTg=")</f>
        <v>#REF!</v>
      </c>
      <c r="BF46" t="e">
        <f>AND('PROG FORMACIÓN TITULADA'!#REF!,"AAAAAHl/PTk=")</f>
        <v>#REF!</v>
      </c>
      <c r="BG46" t="e">
        <f>AND('PROG FORMACIÓN TITULADA'!#REF!,"AAAAAHl/PTo=")</f>
        <v>#REF!</v>
      </c>
      <c r="BH46" t="e">
        <f>AND('PROG FORMACIÓN TITULADA'!#REF!,"AAAAAHl/PTs=")</f>
        <v>#REF!</v>
      </c>
      <c r="BI46" t="e">
        <f>AND('PROG FORMACIÓN TITULADA'!#REF!,"AAAAAHl/PTw=")</f>
        <v>#REF!</v>
      </c>
      <c r="BJ46" t="e">
        <f>AND('PROG FORMACIÓN TITULADA'!#REF!,"AAAAAHl/PT0=")</f>
        <v>#REF!</v>
      </c>
      <c r="BK46" t="e">
        <f>AND('PROG FORMACIÓN TITULADA'!#REF!,"AAAAAHl/PT4=")</f>
        <v>#REF!</v>
      </c>
      <c r="BL46" t="e">
        <f>AND('PROG FORMACIÓN TITULADA'!#REF!,"AAAAAHl/PT8=")</f>
        <v>#REF!</v>
      </c>
      <c r="BM46" t="e">
        <f>AND('PROG FORMACIÓN TITULADA'!#REF!,"AAAAAHl/PUA=")</f>
        <v>#REF!</v>
      </c>
      <c r="BN46" t="e">
        <f>AND('PROG FORMACIÓN TITULADA'!#REF!,"AAAAAHl/PUE=")</f>
        <v>#REF!</v>
      </c>
      <c r="BO46" t="e">
        <f>AND('PROG FORMACIÓN TITULADA'!#REF!,"AAAAAHl/PUI=")</f>
        <v>#REF!</v>
      </c>
      <c r="BP46" t="e">
        <f>AND('PROG FORMACIÓN TITULADA'!#REF!,"AAAAAHl/PUM=")</f>
        <v>#REF!</v>
      </c>
      <c r="BQ46" t="e">
        <f>AND('PROG FORMACIÓN TITULADA'!#REF!,"AAAAAHl/PUQ=")</f>
        <v>#REF!</v>
      </c>
      <c r="BR46" t="e">
        <f>AND('PROG FORMACIÓN TITULADA'!#REF!,"AAAAAHl/PUU=")</f>
        <v>#REF!</v>
      </c>
      <c r="BS46" t="e">
        <f>AND('PROG FORMACIÓN TITULADA'!#REF!,"AAAAAHl/PUY=")</f>
        <v>#REF!</v>
      </c>
      <c r="BT46" t="e">
        <f>AND('PROG FORMACIÓN TITULADA'!#REF!,"AAAAAHl/PUc=")</f>
        <v>#REF!</v>
      </c>
      <c r="BU46" t="e">
        <f>AND('PROG FORMACIÓN TITULADA'!#REF!,"AAAAAHl/PUg=")</f>
        <v>#REF!</v>
      </c>
      <c r="BV46" t="e">
        <f>AND('PROG FORMACIÓN TITULADA'!#REF!,"AAAAAHl/PUk=")</f>
        <v>#REF!</v>
      </c>
      <c r="BW46" t="e">
        <f>AND('PROG FORMACIÓN TITULADA'!#REF!,"AAAAAHl/PUo=")</f>
        <v>#REF!</v>
      </c>
      <c r="BX46" t="e">
        <f>AND('PROG FORMACIÓN TITULADA'!#REF!,"AAAAAHl/PUs=")</f>
        <v>#REF!</v>
      </c>
      <c r="BY46" t="e">
        <f>AND('PROG FORMACIÓN TITULADA'!#REF!,"AAAAAHl/PUw=")</f>
        <v>#REF!</v>
      </c>
      <c r="BZ46" t="e">
        <f>IF('PROG FORMACIÓN TITULADA'!#REF!,"AAAAAHl/PU0=",0)</f>
        <v>#REF!</v>
      </c>
      <c r="CA46" t="e">
        <f>AND('PROG FORMACIÓN TITULADA'!#REF!,"AAAAAHl/PU4=")</f>
        <v>#REF!</v>
      </c>
      <c r="CB46" t="e">
        <f>AND('PROG FORMACIÓN TITULADA'!#REF!,"AAAAAHl/PU8=")</f>
        <v>#REF!</v>
      </c>
      <c r="CC46" t="e">
        <f>AND('PROG FORMACIÓN TITULADA'!#REF!,"AAAAAHl/PVA=")</f>
        <v>#REF!</v>
      </c>
      <c r="CD46" t="e">
        <f>AND('PROG FORMACIÓN TITULADA'!#REF!,"AAAAAHl/PVE=")</f>
        <v>#REF!</v>
      </c>
      <c r="CE46" t="e">
        <f>AND('PROG FORMACIÓN TITULADA'!#REF!,"AAAAAHl/PVI=")</f>
        <v>#REF!</v>
      </c>
      <c r="CF46" t="e">
        <f>AND('PROG FORMACIÓN TITULADA'!#REF!,"AAAAAHl/PVM=")</f>
        <v>#REF!</v>
      </c>
      <c r="CG46" t="e">
        <f>AND('PROG FORMACIÓN TITULADA'!#REF!,"AAAAAHl/PVQ=")</f>
        <v>#REF!</v>
      </c>
      <c r="CH46" t="e">
        <f>AND('PROG FORMACIÓN TITULADA'!#REF!,"AAAAAHl/PVU=")</f>
        <v>#REF!</v>
      </c>
      <c r="CI46" t="e">
        <f>AND('PROG FORMACIÓN TITULADA'!#REF!,"AAAAAHl/PVY=")</f>
        <v>#REF!</v>
      </c>
      <c r="CJ46" t="e">
        <f>AND('PROG FORMACIÓN TITULADA'!#REF!,"AAAAAHl/PVc=")</f>
        <v>#REF!</v>
      </c>
      <c r="CK46" t="e">
        <f>AND('PROG FORMACIÓN TITULADA'!#REF!,"AAAAAHl/PVg=")</f>
        <v>#REF!</v>
      </c>
      <c r="CL46" t="e">
        <f>AND('PROG FORMACIÓN TITULADA'!#REF!,"AAAAAHl/PVk=")</f>
        <v>#REF!</v>
      </c>
      <c r="CM46" t="e">
        <f>AND('PROG FORMACIÓN TITULADA'!#REF!,"AAAAAHl/PVo=")</f>
        <v>#REF!</v>
      </c>
      <c r="CN46" t="e">
        <f>AND('PROG FORMACIÓN TITULADA'!#REF!,"AAAAAHl/PVs=")</f>
        <v>#REF!</v>
      </c>
      <c r="CO46" t="e">
        <f>AND('PROG FORMACIÓN TITULADA'!#REF!,"AAAAAHl/PVw=")</f>
        <v>#REF!</v>
      </c>
      <c r="CP46" t="e">
        <f>AND('PROG FORMACIÓN TITULADA'!#REF!,"AAAAAHl/PV0=")</f>
        <v>#REF!</v>
      </c>
      <c r="CQ46" t="e">
        <f>AND('PROG FORMACIÓN TITULADA'!#REF!,"AAAAAHl/PV4=")</f>
        <v>#REF!</v>
      </c>
      <c r="CR46" t="e">
        <f>AND('PROG FORMACIÓN TITULADA'!#REF!,"AAAAAHl/PV8=")</f>
        <v>#REF!</v>
      </c>
      <c r="CS46" t="e">
        <f>AND('PROG FORMACIÓN TITULADA'!#REF!,"AAAAAHl/PWA=")</f>
        <v>#REF!</v>
      </c>
      <c r="CT46" t="e">
        <f>AND('PROG FORMACIÓN TITULADA'!#REF!,"AAAAAHl/PWE=")</f>
        <v>#REF!</v>
      </c>
      <c r="CU46" t="e">
        <f>AND('PROG FORMACIÓN TITULADA'!#REF!,"AAAAAHl/PWI=")</f>
        <v>#REF!</v>
      </c>
      <c r="CV46" t="e">
        <f>AND('PROG FORMACIÓN TITULADA'!#REF!,"AAAAAHl/PWM=")</f>
        <v>#REF!</v>
      </c>
      <c r="CW46" t="e">
        <f>AND('PROG FORMACIÓN TITULADA'!#REF!,"AAAAAHl/PWQ=")</f>
        <v>#REF!</v>
      </c>
      <c r="CX46" t="e">
        <f>AND('PROG FORMACIÓN TITULADA'!#REF!,"AAAAAHl/PWU=")</f>
        <v>#REF!</v>
      </c>
      <c r="CY46" t="e">
        <f>AND('PROG FORMACIÓN TITULADA'!#REF!,"AAAAAHl/PWY=")</f>
        <v>#REF!</v>
      </c>
      <c r="CZ46" t="e">
        <f>AND('PROG FORMACIÓN TITULADA'!#REF!,"AAAAAHl/PWc=")</f>
        <v>#REF!</v>
      </c>
      <c r="DA46" t="e">
        <f>IF('PROG FORMACIÓN TITULADA'!#REF!,"AAAAAHl/PWg=",0)</f>
        <v>#REF!</v>
      </c>
      <c r="DB46" t="e">
        <f>AND('PROG FORMACIÓN TITULADA'!#REF!,"AAAAAHl/PWk=")</f>
        <v>#REF!</v>
      </c>
      <c r="DC46" t="e">
        <f>AND('PROG FORMACIÓN TITULADA'!#REF!,"AAAAAHl/PWo=")</f>
        <v>#REF!</v>
      </c>
      <c r="DD46" t="e">
        <f>AND('PROG FORMACIÓN TITULADA'!#REF!,"AAAAAHl/PWs=")</f>
        <v>#REF!</v>
      </c>
      <c r="DE46" t="e">
        <f>AND('PROG FORMACIÓN TITULADA'!#REF!,"AAAAAHl/PWw=")</f>
        <v>#REF!</v>
      </c>
      <c r="DF46" t="e">
        <f>AND('PROG FORMACIÓN TITULADA'!#REF!,"AAAAAHl/PW0=")</f>
        <v>#REF!</v>
      </c>
      <c r="DG46" t="e">
        <f>AND('PROG FORMACIÓN TITULADA'!#REF!,"AAAAAHl/PW4=")</f>
        <v>#REF!</v>
      </c>
      <c r="DH46" t="e">
        <f>AND('PROG FORMACIÓN TITULADA'!#REF!,"AAAAAHl/PW8=")</f>
        <v>#REF!</v>
      </c>
      <c r="DI46" t="e">
        <f>AND('PROG FORMACIÓN TITULADA'!#REF!,"AAAAAHl/PXA=")</f>
        <v>#REF!</v>
      </c>
      <c r="DJ46" t="e">
        <f>AND('PROG FORMACIÓN TITULADA'!#REF!,"AAAAAHl/PXE=")</f>
        <v>#REF!</v>
      </c>
      <c r="DK46" t="e">
        <f>AND('PROG FORMACIÓN TITULADA'!#REF!,"AAAAAHl/PXI=")</f>
        <v>#REF!</v>
      </c>
      <c r="DL46" t="e">
        <f>AND('PROG FORMACIÓN TITULADA'!#REF!,"AAAAAHl/PXM=")</f>
        <v>#REF!</v>
      </c>
      <c r="DM46" t="e">
        <f>AND('PROG FORMACIÓN TITULADA'!#REF!,"AAAAAHl/PXQ=")</f>
        <v>#REF!</v>
      </c>
      <c r="DN46" t="e">
        <f>AND('PROG FORMACIÓN TITULADA'!#REF!,"AAAAAHl/PXU=")</f>
        <v>#REF!</v>
      </c>
      <c r="DO46" t="e">
        <f>AND('PROG FORMACIÓN TITULADA'!#REF!,"AAAAAHl/PXY=")</f>
        <v>#REF!</v>
      </c>
      <c r="DP46" t="e">
        <f>AND('PROG FORMACIÓN TITULADA'!#REF!,"AAAAAHl/PXc=")</f>
        <v>#REF!</v>
      </c>
      <c r="DQ46" t="e">
        <f>AND('PROG FORMACIÓN TITULADA'!#REF!,"AAAAAHl/PXg=")</f>
        <v>#REF!</v>
      </c>
      <c r="DR46" t="e">
        <f>AND('PROG FORMACIÓN TITULADA'!#REF!,"AAAAAHl/PXk=")</f>
        <v>#REF!</v>
      </c>
      <c r="DS46" t="e">
        <f>AND('PROG FORMACIÓN TITULADA'!#REF!,"AAAAAHl/PXo=")</f>
        <v>#REF!</v>
      </c>
      <c r="DT46" t="e">
        <f>AND('PROG FORMACIÓN TITULADA'!#REF!,"AAAAAHl/PXs=")</f>
        <v>#REF!</v>
      </c>
      <c r="DU46" t="e">
        <f>AND('PROG FORMACIÓN TITULADA'!#REF!,"AAAAAHl/PXw=")</f>
        <v>#REF!</v>
      </c>
      <c r="DV46" t="e">
        <f>AND('PROG FORMACIÓN TITULADA'!#REF!,"AAAAAHl/PX0=")</f>
        <v>#REF!</v>
      </c>
      <c r="DW46" t="e">
        <f>AND('PROG FORMACIÓN TITULADA'!#REF!,"AAAAAHl/PX4=")</f>
        <v>#REF!</v>
      </c>
      <c r="DX46" t="e">
        <f>AND('PROG FORMACIÓN TITULADA'!#REF!,"AAAAAHl/PX8=")</f>
        <v>#REF!</v>
      </c>
      <c r="DY46" t="e">
        <f>AND('PROG FORMACIÓN TITULADA'!#REF!,"AAAAAHl/PYA=")</f>
        <v>#REF!</v>
      </c>
      <c r="DZ46" t="e">
        <f>AND('PROG FORMACIÓN TITULADA'!#REF!,"AAAAAHl/PYE=")</f>
        <v>#REF!</v>
      </c>
      <c r="EA46" t="e">
        <f>AND('PROG FORMACIÓN TITULADA'!#REF!,"AAAAAHl/PYI=")</f>
        <v>#REF!</v>
      </c>
      <c r="EB46" t="e">
        <f>IF('PROG FORMACIÓN TITULADA'!#REF!,"AAAAAHl/PYM=",0)</f>
        <v>#REF!</v>
      </c>
      <c r="EC46" t="e">
        <f>AND('PROG FORMACIÓN TITULADA'!#REF!,"AAAAAHl/PYQ=")</f>
        <v>#REF!</v>
      </c>
      <c r="ED46" t="e">
        <f>AND('PROG FORMACIÓN TITULADA'!#REF!,"AAAAAHl/PYU=")</f>
        <v>#REF!</v>
      </c>
      <c r="EE46" t="e">
        <f>AND('PROG FORMACIÓN TITULADA'!#REF!,"AAAAAHl/PYY=")</f>
        <v>#REF!</v>
      </c>
      <c r="EF46" t="e">
        <f>AND('PROG FORMACIÓN TITULADA'!#REF!,"AAAAAHl/PYc=")</f>
        <v>#REF!</v>
      </c>
      <c r="EG46" t="e">
        <f>AND('PROG FORMACIÓN TITULADA'!#REF!,"AAAAAHl/PYg=")</f>
        <v>#REF!</v>
      </c>
      <c r="EH46" t="e">
        <f>AND('PROG FORMACIÓN TITULADA'!#REF!,"AAAAAHl/PYk=")</f>
        <v>#REF!</v>
      </c>
      <c r="EI46" t="e">
        <f>AND('PROG FORMACIÓN TITULADA'!#REF!,"AAAAAHl/PYo=")</f>
        <v>#REF!</v>
      </c>
      <c r="EJ46" t="e">
        <f>AND('PROG FORMACIÓN TITULADA'!#REF!,"AAAAAHl/PYs=")</f>
        <v>#REF!</v>
      </c>
      <c r="EK46" t="e">
        <f>AND('PROG FORMACIÓN TITULADA'!#REF!,"AAAAAHl/PYw=")</f>
        <v>#REF!</v>
      </c>
      <c r="EL46" t="e">
        <f>AND('PROG FORMACIÓN TITULADA'!#REF!,"AAAAAHl/PY0=")</f>
        <v>#REF!</v>
      </c>
      <c r="EM46" t="e">
        <f>AND('PROG FORMACIÓN TITULADA'!#REF!,"AAAAAHl/PY4=")</f>
        <v>#REF!</v>
      </c>
      <c r="EN46" t="e">
        <f>AND('PROG FORMACIÓN TITULADA'!#REF!,"AAAAAHl/PY8=")</f>
        <v>#REF!</v>
      </c>
      <c r="EO46" t="e">
        <f>AND('PROG FORMACIÓN TITULADA'!#REF!,"AAAAAHl/PZA=")</f>
        <v>#REF!</v>
      </c>
      <c r="EP46" t="e">
        <f>AND('PROG FORMACIÓN TITULADA'!#REF!,"AAAAAHl/PZE=")</f>
        <v>#REF!</v>
      </c>
      <c r="EQ46" t="e">
        <f>AND('PROG FORMACIÓN TITULADA'!#REF!,"AAAAAHl/PZI=")</f>
        <v>#REF!</v>
      </c>
      <c r="ER46" t="e">
        <f>AND('PROG FORMACIÓN TITULADA'!#REF!,"AAAAAHl/PZM=")</f>
        <v>#REF!</v>
      </c>
      <c r="ES46" t="e">
        <f>AND('PROG FORMACIÓN TITULADA'!#REF!,"AAAAAHl/PZQ=")</f>
        <v>#REF!</v>
      </c>
      <c r="ET46" t="e">
        <f>AND('PROG FORMACIÓN TITULADA'!#REF!,"AAAAAHl/PZU=")</f>
        <v>#REF!</v>
      </c>
      <c r="EU46" t="e">
        <f>AND('PROG FORMACIÓN TITULADA'!#REF!,"AAAAAHl/PZY=")</f>
        <v>#REF!</v>
      </c>
      <c r="EV46" t="e">
        <f>AND('PROG FORMACIÓN TITULADA'!#REF!,"AAAAAHl/PZc=")</f>
        <v>#REF!</v>
      </c>
      <c r="EW46" t="e">
        <f>AND('PROG FORMACIÓN TITULADA'!#REF!,"AAAAAHl/PZg=")</f>
        <v>#REF!</v>
      </c>
      <c r="EX46" t="e">
        <f>AND('PROG FORMACIÓN TITULADA'!#REF!,"AAAAAHl/PZk=")</f>
        <v>#REF!</v>
      </c>
      <c r="EY46" t="e">
        <f>AND('PROG FORMACIÓN TITULADA'!#REF!,"AAAAAHl/PZo=")</f>
        <v>#REF!</v>
      </c>
      <c r="EZ46" t="e">
        <f>AND('PROG FORMACIÓN TITULADA'!#REF!,"AAAAAHl/PZs=")</f>
        <v>#REF!</v>
      </c>
      <c r="FA46" t="e">
        <f>AND('PROG FORMACIÓN TITULADA'!#REF!,"AAAAAHl/PZw=")</f>
        <v>#REF!</v>
      </c>
      <c r="FB46" t="e">
        <f>AND('PROG FORMACIÓN TITULADA'!#REF!,"AAAAAHl/PZ0=")</f>
        <v>#REF!</v>
      </c>
      <c r="FC46" t="e">
        <f>IF('PROG FORMACIÓN TITULADA'!#REF!,"AAAAAHl/PZ4=",0)</f>
        <v>#REF!</v>
      </c>
      <c r="FD46" t="e">
        <f>AND('PROG FORMACIÓN TITULADA'!#REF!,"AAAAAHl/PZ8=")</f>
        <v>#REF!</v>
      </c>
      <c r="FE46" t="e">
        <f>AND('PROG FORMACIÓN TITULADA'!#REF!,"AAAAAHl/PaA=")</f>
        <v>#REF!</v>
      </c>
      <c r="FF46" t="e">
        <f>AND('PROG FORMACIÓN TITULADA'!#REF!,"AAAAAHl/PaE=")</f>
        <v>#REF!</v>
      </c>
      <c r="FG46" t="e">
        <f>AND('PROG FORMACIÓN TITULADA'!#REF!,"AAAAAHl/PaI=")</f>
        <v>#REF!</v>
      </c>
      <c r="FH46" t="e">
        <f>AND('PROG FORMACIÓN TITULADA'!#REF!,"AAAAAHl/PaM=")</f>
        <v>#REF!</v>
      </c>
      <c r="FI46" t="e">
        <f>AND('PROG FORMACIÓN TITULADA'!#REF!,"AAAAAHl/PaQ=")</f>
        <v>#REF!</v>
      </c>
      <c r="FJ46" t="e">
        <f>AND('PROG FORMACIÓN TITULADA'!#REF!,"AAAAAHl/PaU=")</f>
        <v>#REF!</v>
      </c>
      <c r="FK46" t="e">
        <f>AND('PROG FORMACIÓN TITULADA'!#REF!,"AAAAAHl/PaY=")</f>
        <v>#REF!</v>
      </c>
      <c r="FL46" t="e">
        <f>AND('PROG FORMACIÓN TITULADA'!#REF!,"AAAAAHl/Pac=")</f>
        <v>#REF!</v>
      </c>
      <c r="FM46" t="e">
        <f>AND('PROG FORMACIÓN TITULADA'!#REF!,"AAAAAHl/Pag=")</f>
        <v>#REF!</v>
      </c>
      <c r="FN46" t="e">
        <f>AND('PROG FORMACIÓN TITULADA'!#REF!,"AAAAAHl/Pak=")</f>
        <v>#REF!</v>
      </c>
      <c r="FO46" t="e">
        <f>AND('PROG FORMACIÓN TITULADA'!#REF!,"AAAAAHl/Pao=")</f>
        <v>#REF!</v>
      </c>
      <c r="FP46" t="e">
        <f>AND('PROG FORMACIÓN TITULADA'!#REF!,"AAAAAHl/Pas=")</f>
        <v>#REF!</v>
      </c>
      <c r="FQ46" t="e">
        <f>AND('PROG FORMACIÓN TITULADA'!#REF!,"AAAAAHl/Paw=")</f>
        <v>#REF!</v>
      </c>
      <c r="FR46" t="e">
        <f>AND('PROG FORMACIÓN TITULADA'!#REF!,"AAAAAHl/Pa0=")</f>
        <v>#REF!</v>
      </c>
      <c r="FS46" t="e">
        <f>AND('PROG FORMACIÓN TITULADA'!#REF!,"AAAAAHl/Pa4=")</f>
        <v>#REF!</v>
      </c>
      <c r="FT46" t="e">
        <f>AND('PROG FORMACIÓN TITULADA'!#REF!,"AAAAAHl/Pa8=")</f>
        <v>#REF!</v>
      </c>
      <c r="FU46" t="e">
        <f>AND('PROG FORMACIÓN TITULADA'!#REF!,"AAAAAHl/PbA=")</f>
        <v>#REF!</v>
      </c>
      <c r="FV46" t="e">
        <f>AND('PROG FORMACIÓN TITULADA'!#REF!,"AAAAAHl/PbE=")</f>
        <v>#REF!</v>
      </c>
      <c r="FW46" t="e">
        <f>AND('PROG FORMACIÓN TITULADA'!#REF!,"AAAAAHl/PbI=")</f>
        <v>#REF!</v>
      </c>
      <c r="FX46" t="e">
        <f>AND('PROG FORMACIÓN TITULADA'!#REF!,"AAAAAHl/PbM=")</f>
        <v>#REF!</v>
      </c>
      <c r="FY46" t="e">
        <f>AND('PROG FORMACIÓN TITULADA'!#REF!,"AAAAAHl/PbQ=")</f>
        <v>#REF!</v>
      </c>
      <c r="FZ46" t="e">
        <f>AND('PROG FORMACIÓN TITULADA'!#REF!,"AAAAAHl/PbU=")</f>
        <v>#REF!</v>
      </c>
      <c r="GA46" t="e">
        <f>AND('PROG FORMACIÓN TITULADA'!#REF!,"AAAAAHl/PbY=")</f>
        <v>#REF!</v>
      </c>
      <c r="GB46" t="e">
        <f>AND('PROG FORMACIÓN TITULADA'!#REF!,"AAAAAHl/Pbc=")</f>
        <v>#REF!</v>
      </c>
      <c r="GC46" t="e">
        <f>AND('PROG FORMACIÓN TITULADA'!#REF!,"AAAAAHl/Pbg=")</f>
        <v>#REF!</v>
      </c>
      <c r="GD46" t="e">
        <f>IF('PROG FORMACIÓN TITULADA'!#REF!,"AAAAAHl/Pbk=",0)</f>
        <v>#REF!</v>
      </c>
      <c r="GE46" t="e">
        <f>AND('PROG FORMACIÓN TITULADA'!#REF!,"AAAAAHl/Pbo=")</f>
        <v>#REF!</v>
      </c>
      <c r="GF46" t="e">
        <f>AND('PROG FORMACIÓN TITULADA'!#REF!,"AAAAAHl/Pbs=")</f>
        <v>#REF!</v>
      </c>
      <c r="GG46" t="e">
        <f>AND('PROG FORMACIÓN TITULADA'!#REF!,"AAAAAHl/Pbw=")</f>
        <v>#REF!</v>
      </c>
      <c r="GH46" t="e">
        <f>AND('PROG FORMACIÓN TITULADA'!#REF!,"AAAAAHl/Pb0=")</f>
        <v>#REF!</v>
      </c>
      <c r="GI46" t="e">
        <f>AND('PROG FORMACIÓN TITULADA'!#REF!,"AAAAAHl/Pb4=")</f>
        <v>#REF!</v>
      </c>
      <c r="GJ46" t="e">
        <f>AND('PROG FORMACIÓN TITULADA'!#REF!,"AAAAAHl/Pb8=")</f>
        <v>#REF!</v>
      </c>
      <c r="GK46" t="e">
        <f>AND('PROG FORMACIÓN TITULADA'!#REF!,"AAAAAHl/PcA=")</f>
        <v>#REF!</v>
      </c>
      <c r="GL46" t="e">
        <f>AND('PROG FORMACIÓN TITULADA'!#REF!,"AAAAAHl/PcE=")</f>
        <v>#REF!</v>
      </c>
      <c r="GM46" t="e">
        <f>AND('PROG FORMACIÓN TITULADA'!#REF!,"AAAAAHl/PcI=")</f>
        <v>#REF!</v>
      </c>
      <c r="GN46" t="e">
        <f>AND('PROG FORMACIÓN TITULADA'!#REF!,"AAAAAHl/PcM=")</f>
        <v>#REF!</v>
      </c>
      <c r="GO46" t="e">
        <f>AND('PROG FORMACIÓN TITULADA'!#REF!,"AAAAAHl/PcQ=")</f>
        <v>#REF!</v>
      </c>
      <c r="GP46" t="e">
        <f>AND('PROG FORMACIÓN TITULADA'!#REF!,"AAAAAHl/PcU=")</f>
        <v>#REF!</v>
      </c>
      <c r="GQ46" t="e">
        <f>AND('PROG FORMACIÓN TITULADA'!#REF!,"AAAAAHl/PcY=")</f>
        <v>#REF!</v>
      </c>
      <c r="GR46" t="e">
        <f>AND('PROG FORMACIÓN TITULADA'!#REF!,"AAAAAHl/Pcc=")</f>
        <v>#REF!</v>
      </c>
      <c r="GS46" t="e">
        <f>AND('PROG FORMACIÓN TITULADA'!#REF!,"AAAAAHl/Pcg=")</f>
        <v>#REF!</v>
      </c>
      <c r="GT46" t="e">
        <f>AND('PROG FORMACIÓN TITULADA'!#REF!,"AAAAAHl/Pck=")</f>
        <v>#REF!</v>
      </c>
      <c r="GU46" t="e">
        <f>AND('PROG FORMACIÓN TITULADA'!#REF!,"AAAAAHl/Pco=")</f>
        <v>#REF!</v>
      </c>
      <c r="GV46" t="e">
        <f>AND('PROG FORMACIÓN TITULADA'!#REF!,"AAAAAHl/Pcs=")</f>
        <v>#REF!</v>
      </c>
      <c r="GW46" t="e">
        <f>AND('PROG FORMACIÓN TITULADA'!#REF!,"AAAAAHl/Pcw=")</f>
        <v>#REF!</v>
      </c>
      <c r="GX46" t="e">
        <f>AND('PROG FORMACIÓN TITULADA'!#REF!,"AAAAAHl/Pc0=")</f>
        <v>#REF!</v>
      </c>
      <c r="GY46" t="e">
        <f>AND('PROG FORMACIÓN TITULADA'!#REF!,"AAAAAHl/Pc4=")</f>
        <v>#REF!</v>
      </c>
      <c r="GZ46" t="e">
        <f>AND('PROG FORMACIÓN TITULADA'!#REF!,"AAAAAHl/Pc8=")</f>
        <v>#REF!</v>
      </c>
      <c r="HA46" t="e">
        <f>AND('PROG FORMACIÓN TITULADA'!#REF!,"AAAAAHl/PdA=")</f>
        <v>#REF!</v>
      </c>
      <c r="HB46" t="e">
        <f>AND('PROG FORMACIÓN TITULADA'!#REF!,"AAAAAHl/PdE=")</f>
        <v>#REF!</v>
      </c>
      <c r="HC46" t="e">
        <f>AND('PROG FORMACIÓN TITULADA'!#REF!,"AAAAAHl/PdI=")</f>
        <v>#REF!</v>
      </c>
      <c r="HD46" t="e">
        <f>AND('PROG FORMACIÓN TITULADA'!#REF!,"AAAAAHl/PdM=")</f>
        <v>#REF!</v>
      </c>
      <c r="HE46" t="e">
        <f>IF('PROG FORMACIÓN TITULADA'!#REF!,"AAAAAHl/PdQ=",0)</f>
        <v>#REF!</v>
      </c>
      <c r="HF46" t="e">
        <f>AND('PROG FORMACIÓN TITULADA'!#REF!,"AAAAAHl/PdU=")</f>
        <v>#REF!</v>
      </c>
      <c r="HG46" t="e">
        <f>AND('PROG FORMACIÓN TITULADA'!#REF!,"AAAAAHl/PdY=")</f>
        <v>#REF!</v>
      </c>
      <c r="HH46" t="e">
        <f>AND('PROG FORMACIÓN TITULADA'!#REF!,"AAAAAHl/Pdc=")</f>
        <v>#REF!</v>
      </c>
      <c r="HI46" t="e">
        <f>AND('PROG FORMACIÓN TITULADA'!#REF!,"AAAAAHl/Pdg=")</f>
        <v>#REF!</v>
      </c>
      <c r="HJ46" t="e">
        <f>AND('PROG FORMACIÓN TITULADA'!#REF!,"AAAAAHl/Pdk=")</f>
        <v>#REF!</v>
      </c>
      <c r="HK46" t="e">
        <f>AND('PROG FORMACIÓN TITULADA'!#REF!,"AAAAAHl/Pdo=")</f>
        <v>#REF!</v>
      </c>
      <c r="HL46" t="e">
        <f>AND('PROG FORMACIÓN TITULADA'!#REF!,"AAAAAHl/Pds=")</f>
        <v>#REF!</v>
      </c>
      <c r="HM46" t="e">
        <f>AND('PROG FORMACIÓN TITULADA'!#REF!,"AAAAAHl/Pdw=")</f>
        <v>#REF!</v>
      </c>
      <c r="HN46" t="e">
        <f>AND('PROG FORMACIÓN TITULADA'!#REF!,"AAAAAHl/Pd0=")</f>
        <v>#REF!</v>
      </c>
      <c r="HO46" t="e">
        <f>AND('PROG FORMACIÓN TITULADA'!#REF!,"AAAAAHl/Pd4=")</f>
        <v>#REF!</v>
      </c>
      <c r="HP46" t="e">
        <f>AND('PROG FORMACIÓN TITULADA'!#REF!,"AAAAAHl/Pd8=")</f>
        <v>#REF!</v>
      </c>
      <c r="HQ46" t="e">
        <f>AND('PROG FORMACIÓN TITULADA'!#REF!,"AAAAAHl/PeA=")</f>
        <v>#REF!</v>
      </c>
      <c r="HR46" t="e">
        <f>AND('PROG FORMACIÓN TITULADA'!#REF!,"AAAAAHl/PeE=")</f>
        <v>#REF!</v>
      </c>
      <c r="HS46" t="e">
        <f>AND('PROG FORMACIÓN TITULADA'!#REF!,"AAAAAHl/PeI=")</f>
        <v>#REF!</v>
      </c>
      <c r="HT46" t="e">
        <f>AND('PROG FORMACIÓN TITULADA'!#REF!,"AAAAAHl/PeM=")</f>
        <v>#REF!</v>
      </c>
      <c r="HU46" t="e">
        <f>AND('PROG FORMACIÓN TITULADA'!#REF!,"AAAAAHl/PeQ=")</f>
        <v>#REF!</v>
      </c>
      <c r="HV46" t="e">
        <f>AND('PROG FORMACIÓN TITULADA'!#REF!,"AAAAAHl/PeU=")</f>
        <v>#REF!</v>
      </c>
      <c r="HW46" t="e">
        <f>AND('PROG FORMACIÓN TITULADA'!#REF!,"AAAAAHl/PeY=")</f>
        <v>#REF!</v>
      </c>
      <c r="HX46" t="e">
        <f>AND('PROG FORMACIÓN TITULADA'!#REF!,"AAAAAHl/Pec=")</f>
        <v>#REF!</v>
      </c>
      <c r="HY46" t="e">
        <f>AND('PROG FORMACIÓN TITULADA'!#REF!,"AAAAAHl/Peg=")</f>
        <v>#REF!</v>
      </c>
      <c r="HZ46" t="e">
        <f>AND('PROG FORMACIÓN TITULADA'!#REF!,"AAAAAHl/Pek=")</f>
        <v>#REF!</v>
      </c>
      <c r="IA46" t="e">
        <f>AND('PROG FORMACIÓN TITULADA'!#REF!,"AAAAAHl/Peo=")</f>
        <v>#REF!</v>
      </c>
      <c r="IB46" t="e">
        <f>AND('PROG FORMACIÓN TITULADA'!#REF!,"AAAAAHl/Pes=")</f>
        <v>#REF!</v>
      </c>
      <c r="IC46" t="e">
        <f>AND('PROG FORMACIÓN TITULADA'!#REF!,"AAAAAHl/Pew=")</f>
        <v>#REF!</v>
      </c>
      <c r="ID46" t="e">
        <f>AND('PROG FORMACIÓN TITULADA'!#REF!,"AAAAAHl/Pe0=")</f>
        <v>#REF!</v>
      </c>
      <c r="IE46" t="e">
        <f>AND('PROG FORMACIÓN TITULADA'!#REF!,"AAAAAHl/Pe4=")</f>
        <v>#REF!</v>
      </c>
      <c r="IF46" t="e">
        <f>IF('PROG FORMACIÓN TITULADA'!#REF!,"AAAAAHl/Pe8=",0)</f>
        <v>#REF!</v>
      </c>
      <c r="IG46" t="e">
        <f>AND('PROG FORMACIÓN TITULADA'!#REF!,"AAAAAHl/PfA=")</f>
        <v>#REF!</v>
      </c>
      <c r="IH46" t="e">
        <f>AND('PROG FORMACIÓN TITULADA'!#REF!,"AAAAAHl/PfE=")</f>
        <v>#REF!</v>
      </c>
      <c r="II46" t="e">
        <f>AND('PROG FORMACIÓN TITULADA'!#REF!,"AAAAAHl/PfI=")</f>
        <v>#REF!</v>
      </c>
      <c r="IJ46" t="e">
        <f>AND('PROG FORMACIÓN TITULADA'!#REF!,"AAAAAHl/PfM=")</f>
        <v>#REF!</v>
      </c>
      <c r="IK46" t="e">
        <f>AND('PROG FORMACIÓN TITULADA'!#REF!,"AAAAAHl/PfQ=")</f>
        <v>#REF!</v>
      </c>
      <c r="IL46" t="e">
        <f>AND('PROG FORMACIÓN TITULADA'!#REF!,"AAAAAHl/PfU=")</f>
        <v>#REF!</v>
      </c>
      <c r="IM46" t="e">
        <f>AND('PROG FORMACIÓN TITULADA'!#REF!,"AAAAAHl/PfY=")</f>
        <v>#REF!</v>
      </c>
      <c r="IN46" t="e">
        <f>AND('PROG FORMACIÓN TITULADA'!#REF!,"AAAAAHl/Pfc=")</f>
        <v>#REF!</v>
      </c>
      <c r="IO46" t="e">
        <f>AND('PROG FORMACIÓN TITULADA'!#REF!,"AAAAAHl/Pfg=")</f>
        <v>#REF!</v>
      </c>
      <c r="IP46" t="e">
        <f>AND('PROG FORMACIÓN TITULADA'!#REF!,"AAAAAHl/Pfk=")</f>
        <v>#REF!</v>
      </c>
      <c r="IQ46" t="e">
        <f>AND('PROG FORMACIÓN TITULADA'!#REF!,"AAAAAHl/Pfo=")</f>
        <v>#REF!</v>
      </c>
      <c r="IR46" t="e">
        <f>AND('PROG FORMACIÓN TITULADA'!#REF!,"AAAAAHl/Pfs=")</f>
        <v>#REF!</v>
      </c>
      <c r="IS46" t="e">
        <f>AND('PROG FORMACIÓN TITULADA'!#REF!,"AAAAAHl/Pfw=")</f>
        <v>#REF!</v>
      </c>
      <c r="IT46" t="e">
        <f>AND('PROG FORMACIÓN TITULADA'!#REF!,"AAAAAHl/Pf0=")</f>
        <v>#REF!</v>
      </c>
      <c r="IU46" t="e">
        <f>AND('PROG FORMACIÓN TITULADA'!#REF!,"AAAAAHl/Pf4=")</f>
        <v>#REF!</v>
      </c>
      <c r="IV46" t="e">
        <f>AND('PROG FORMACIÓN TITULADA'!#REF!,"AAAAAHl/Pf8=")</f>
        <v>#REF!</v>
      </c>
    </row>
    <row r="47" spans="1:256" x14ac:dyDescent="0.2">
      <c r="A47" t="e">
        <f>AND('PROG FORMACIÓN TITULADA'!#REF!,"AAAAABe/gwA=")</f>
        <v>#REF!</v>
      </c>
      <c r="B47" t="e">
        <f>AND('PROG FORMACIÓN TITULADA'!#REF!,"AAAAABe/gwE=")</f>
        <v>#REF!</v>
      </c>
      <c r="C47" t="e">
        <f>AND('PROG FORMACIÓN TITULADA'!#REF!,"AAAAABe/gwI=")</f>
        <v>#REF!</v>
      </c>
      <c r="D47" t="e">
        <f>AND('PROG FORMACIÓN TITULADA'!#REF!,"AAAAABe/gwM=")</f>
        <v>#REF!</v>
      </c>
      <c r="E47" t="e">
        <f>AND('PROG FORMACIÓN TITULADA'!#REF!,"AAAAABe/gwQ=")</f>
        <v>#REF!</v>
      </c>
      <c r="F47" t="e">
        <f>AND('PROG FORMACIÓN TITULADA'!#REF!,"AAAAABe/gwU=")</f>
        <v>#REF!</v>
      </c>
      <c r="G47" t="e">
        <f>AND('PROG FORMACIÓN TITULADA'!#REF!,"AAAAABe/gwY=")</f>
        <v>#REF!</v>
      </c>
      <c r="H47" t="e">
        <f>AND('PROG FORMACIÓN TITULADA'!#REF!,"AAAAABe/gwc=")</f>
        <v>#REF!</v>
      </c>
      <c r="I47" t="e">
        <f>AND('PROG FORMACIÓN TITULADA'!#REF!,"AAAAABe/gwg=")</f>
        <v>#REF!</v>
      </c>
      <c r="J47" t="e">
        <f>AND('PROG FORMACIÓN TITULADA'!#REF!,"AAAAABe/gwk=")</f>
        <v>#REF!</v>
      </c>
      <c r="K47" t="e">
        <f>IF('PROG FORMACIÓN TITULADA'!#REF!,"AAAAABe/gwo=",0)</f>
        <v>#REF!</v>
      </c>
      <c r="L47" t="e">
        <f>AND('PROG FORMACIÓN TITULADA'!#REF!,"AAAAABe/gws=")</f>
        <v>#REF!</v>
      </c>
      <c r="M47" t="e">
        <f>AND('PROG FORMACIÓN TITULADA'!#REF!,"AAAAABe/gww=")</f>
        <v>#REF!</v>
      </c>
      <c r="N47" t="e">
        <f>AND('PROG FORMACIÓN TITULADA'!#REF!,"AAAAABe/gw0=")</f>
        <v>#REF!</v>
      </c>
      <c r="O47" t="e">
        <f>AND('PROG FORMACIÓN TITULADA'!#REF!,"AAAAABe/gw4=")</f>
        <v>#REF!</v>
      </c>
      <c r="P47" t="e">
        <f>AND('PROG FORMACIÓN TITULADA'!#REF!,"AAAAABe/gw8=")</f>
        <v>#REF!</v>
      </c>
      <c r="Q47" t="e">
        <f>AND('PROG FORMACIÓN TITULADA'!#REF!,"AAAAABe/gxA=")</f>
        <v>#REF!</v>
      </c>
      <c r="R47" t="e">
        <f>AND('PROG FORMACIÓN TITULADA'!#REF!,"AAAAABe/gxE=")</f>
        <v>#REF!</v>
      </c>
      <c r="S47" t="e">
        <f>AND('PROG FORMACIÓN TITULADA'!#REF!,"AAAAABe/gxI=")</f>
        <v>#REF!</v>
      </c>
      <c r="T47" t="e">
        <f>AND('PROG FORMACIÓN TITULADA'!#REF!,"AAAAABe/gxM=")</f>
        <v>#REF!</v>
      </c>
      <c r="U47" t="e">
        <f>AND('PROG FORMACIÓN TITULADA'!#REF!,"AAAAABe/gxQ=")</f>
        <v>#REF!</v>
      </c>
      <c r="V47" t="e">
        <f>AND('PROG FORMACIÓN TITULADA'!#REF!,"AAAAABe/gxU=")</f>
        <v>#REF!</v>
      </c>
      <c r="W47" t="e">
        <f>AND('PROG FORMACIÓN TITULADA'!#REF!,"AAAAABe/gxY=")</f>
        <v>#REF!</v>
      </c>
      <c r="X47" t="e">
        <f>AND('PROG FORMACIÓN TITULADA'!#REF!,"AAAAABe/gxc=")</f>
        <v>#REF!</v>
      </c>
      <c r="Y47" t="e">
        <f>AND('PROG FORMACIÓN TITULADA'!#REF!,"AAAAABe/gxg=")</f>
        <v>#REF!</v>
      </c>
      <c r="Z47" t="e">
        <f>AND('PROG FORMACIÓN TITULADA'!#REF!,"AAAAABe/gxk=")</f>
        <v>#REF!</v>
      </c>
      <c r="AA47" t="e">
        <f>AND('PROG FORMACIÓN TITULADA'!#REF!,"AAAAABe/gxo=")</f>
        <v>#REF!</v>
      </c>
      <c r="AB47" t="e">
        <f>AND('PROG FORMACIÓN TITULADA'!#REF!,"AAAAABe/gxs=")</f>
        <v>#REF!</v>
      </c>
      <c r="AC47" t="e">
        <f>AND('PROG FORMACIÓN TITULADA'!#REF!,"AAAAABe/gxw=")</f>
        <v>#REF!</v>
      </c>
      <c r="AD47" t="e">
        <f>AND('PROG FORMACIÓN TITULADA'!#REF!,"AAAAABe/gx0=")</f>
        <v>#REF!</v>
      </c>
      <c r="AE47" t="e">
        <f>AND('PROG FORMACIÓN TITULADA'!#REF!,"AAAAABe/gx4=")</f>
        <v>#REF!</v>
      </c>
      <c r="AF47" t="e">
        <f>AND('PROG FORMACIÓN TITULADA'!#REF!,"AAAAABe/gx8=")</f>
        <v>#REF!</v>
      </c>
      <c r="AG47" t="e">
        <f>AND('PROG FORMACIÓN TITULADA'!#REF!,"AAAAABe/gyA=")</f>
        <v>#REF!</v>
      </c>
      <c r="AH47" t="e">
        <f>AND('PROG FORMACIÓN TITULADA'!#REF!,"AAAAABe/gyE=")</f>
        <v>#REF!</v>
      </c>
      <c r="AI47" t="e">
        <f>AND('PROG FORMACIÓN TITULADA'!#REF!,"AAAAABe/gyI=")</f>
        <v>#REF!</v>
      </c>
      <c r="AJ47" t="e">
        <f>AND('PROG FORMACIÓN TITULADA'!#REF!,"AAAAABe/gyM=")</f>
        <v>#REF!</v>
      </c>
      <c r="AK47" t="e">
        <f>AND('PROG FORMACIÓN TITULADA'!#REF!,"AAAAABe/gyQ=")</f>
        <v>#REF!</v>
      </c>
      <c r="AL47" t="e">
        <f>IF('PROG FORMACIÓN TITULADA'!#REF!,"AAAAABe/gyU=",0)</f>
        <v>#REF!</v>
      </c>
      <c r="AM47" t="e">
        <f>AND('PROG FORMACIÓN TITULADA'!#REF!,"AAAAABe/gyY=")</f>
        <v>#REF!</v>
      </c>
      <c r="AN47" t="e">
        <f>AND('PROG FORMACIÓN TITULADA'!#REF!,"AAAAABe/gyc=")</f>
        <v>#REF!</v>
      </c>
      <c r="AO47" t="e">
        <f>AND('PROG FORMACIÓN TITULADA'!#REF!,"AAAAABe/gyg=")</f>
        <v>#REF!</v>
      </c>
      <c r="AP47" t="e">
        <f>AND('PROG FORMACIÓN TITULADA'!#REF!,"AAAAABe/gyk=")</f>
        <v>#REF!</v>
      </c>
      <c r="AQ47" t="e">
        <f>AND('PROG FORMACIÓN TITULADA'!#REF!,"AAAAABe/gyo=")</f>
        <v>#REF!</v>
      </c>
      <c r="AR47" t="e">
        <f>AND('PROG FORMACIÓN TITULADA'!#REF!,"AAAAABe/gys=")</f>
        <v>#REF!</v>
      </c>
      <c r="AS47" t="e">
        <f>AND('PROG FORMACIÓN TITULADA'!#REF!,"AAAAABe/gyw=")</f>
        <v>#REF!</v>
      </c>
      <c r="AT47" t="e">
        <f>AND('PROG FORMACIÓN TITULADA'!#REF!,"AAAAABe/gy0=")</f>
        <v>#REF!</v>
      </c>
      <c r="AU47" t="e">
        <f>AND('PROG FORMACIÓN TITULADA'!#REF!,"AAAAABe/gy4=")</f>
        <v>#REF!</v>
      </c>
      <c r="AV47" t="e">
        <f>AND('PROG FORMACIÓN TITULADA'!#REF!,"AAAAABe/gy8=")</f>
        <v>#REF!</v>
      </c>
      <c r="AW47" t="e">
        <f>AND('PROG FORMACIÓN TITULADA'!#REF!,"AAAAABe/gzA=")</f>
        <v>#REF!</v>
      </c>
      <c r="AX47" t="e">
        <f>AND('PROG FORMACIÓN TITULADA'!#REF!,"AAAAABe/gzE=")</f>
        <v>#REF!</v>
      </c>
      <c r="AY47" t="e">
        <f>AND('PROG FORMACIÓN TITULADA'!#REF!,"AAAAABe/gzI=")</f>
        <v>#REF!</v>
      </c>
      <c r="AZ47" t="e">
        <f>AND('PROG FORMACIÓN TITULADA'!#REF!,"AAAAABe/gzM=")</f>
        <v>#REF!</v>
      </c>
      <c r="BA47" t="e">
        <f>AND('PROG FORMACIÓN TITULADA'!#REF!,"AAAAABe/gzQ=")</f>
        <v>#REF!</v>
      </c>
      <c r="BB47" t="e">
        <f>AND('PROG FORMACIÓN TITULADA'!#REF!,"AAAAABe/gzU=")</f>
        <v>#REF!</v>
      </c>
      <c r="BC47" t="e">
        <f>AND('PROG FORMACIÓN TITULADA'!#REF!,"AAAAABe/gzY=")</f>
        <v>#REF!</v>
      </c>
      <c r="BD47" t="e">
        <f>AND('PROG FORMACIÓN TITULADA'!#REF!,"AAAAABe/gzc=")</f>
        <v>#REF!</v>
      </c>
      <c r="BE47" t="e">
        <f>AND('PROG FORMACIÓN TITULADA'!#REF!,"AAAAABe/gzg=")</f>
        <v>#REF!</v>
      </c>
      <c r="BF47" t="e">
        <f>AND('PROG FORMACIÓN TITULADA'!#REF!,"AAAAABe/gzk=")</f>
        <v>#REF!</v>
      </c>
      <c r="BG47" t="e">
        <f>AND('PROG FORMACIÓN TITULADA'!#REF!,"AAAAABe/gzo=")</f>
        <v>#REF!</v>
      </c>
      <c r="BH47" t="e">
        <f>AND('PROG FORMACIÓN TITULADA'!#REF!,"AAAAABe/gzs=")</f>
        <v>#REF!</v>
      </c>
      <c r="BI47" t="e">
        <f>AND('PROG FORMACIÓN TITULADA'!#REF!,"AAAAABe/gzw=")</f>
        <v>#REF!</v>
      </c>
      <c r="BJ47" t="e">
        <f>AND('PROG FORMACIÓN TITULADA'!#REF!,"AAAAABe/gz0=")</f>
        <v>#REF!</v>
      </c>
      <c r="BK47" t="e">
        <f>AND('PROG FORMACIÓN TITULADA'!#REF!,"AAAAABe/gz4=")</f>
        <v>#REF!</v>
      </c>
      <c r="BL47" t="e">
        <f>AND('PROG FORMACIÓN TITULADA'!#REF!,"AAAAABe/gz8=")</f>
        <v>#REF!</v>
      </c>
      <c r="BM47" t="e">
        <f>IF('PROG FORMACIÓN TITULADA'!#REF!,"AAAAABe/g0A=",0)</f>
        <v>#REF!</v>
      </c>
      <c r="BN47" t="e">
        <f>AND('PROG FORMACIÓN TITULADA'!#REF!,"AAAAABe/g0E=")</f>
        <v>#REF!</v>
      </c>
      <c r="BO47" t="e">
        <f>AND('PROG FORMACIÓN TITULADA'!#REF!,"AAAAABe/g0I=")</f>
        <v>#REF!</v>
      </c>
      <c r="BP47" t="e">
        <f>AND('PROG FORMACIÓN TITULADA'!#REF!,"AAAAABe/g0M=")</f>
        <v>#REF!</v>
      </c>
      <c r="BQ47" t="e">
        <f>AND('PROG FORMACIÓN TITULADA'!#REF!,"AAAAABe/g0Q=")</f>
        <v>#REF!</v>
      </c>
      <c r="BR47" t="e">
        <f>AND('PROG FORMACIÓN TITULADA'!#REF!,"AAAAABe/g0U=")</f>
        <v>#REF!</v>
      </c>
      <c r="BS47" t="e">
        <f>AND('PROG FORMACIÓN TITULADA'!#REF!,"AAAAABe/g0Y=")</f>
        <v>#REF!</v>
      </c>
      <c r="BT47" t="e">
        <f>AND('PROG FORMACIÓN TITULADA'!#REF!,"AAAAABe/g0c=")</f>
        <v>#REF!</v>
      </c>
      <c r="BU47" t="e">
        <f>AND('PROG FORMACIÓN TITULADA'!#REF!,"AAAAABe/g0g=")</f>
        <v>#REF!</v>
      </c>
      <c r="BV47" t="e">
        <f>AND('PROG FORMACIÓN TITULADA'!#REF!,"AAAAABe/g0k=")</f>
        <v>#REF!</v>
      </c>
      <c r="BW47" t="e">
        <f>AND('PROG FORMACIÓN TITULADA'!#REF!,"AAAAABe/g0o=")</f>
        <v>#REF!</v>
      </c>
      <c r="BX47" t="e">
        <f>AND('PROG FORMACIÓN TITULADA'!#REF!,"AAAAABe/g0s=")</f>
        <v>#REF!</v>
      </c>
      <c r="BY47" t="e">
        <f>AND('PROG FORMACIÓN TITULADA'!#REF!,"AAAAABe/g0w=")</f>
        <v>#REF!</v>
      </c>
      <c r="BZ47" t="e">
        <f>AND('PROG FORMACIÓN TITULADA'!#REF!,"AAAAABe/g00=")</f>
        <v>#REF!</v>
      </c>
      <c r="CA47" t="e">
        <f>AND('PROG FORMACIÓN TITULADA'!#REF!,"AAAAABe/g04=")</f>
        <v>#REF!</v>
      </c>
      <c r="CB47" t="e">
        <f>AND('PROG FORMACIÓN TITULADA'!#REF!,"AAAAABe/g08=")</f>
        <v>#REF!</v>
      </c>
      <c r="CC47" t="e">
        <f>AND('PROG FORMACIÓN TITULADA'!#REF!,"AAAAABe/g1A=")</f>
        <v>#REF!</v>
      </c>
      <c r="CD47" t="e">
        <f>AND('PROG FORMACIÓN TITULADA'!#REF!,"AAAAABe/g1E=")</f>
        <v>#REF!</v>
      </c>
      <c r="CE47" t="e">
        <f>AND('PROG FORMACIÓN TITULADA'!#REF!,"AAAAABe/g1I=")</f>
        <v>#REF!</v>
      </c>
      <c r="CF47" t="e">
        <f>AND('PROG FORMACIÓN TITULADA'!#REF!,"AAAAABe/g1M=")</f>
        <v>#REF!</v>
      </c>
      <c r="CG47" t="e">
        <f>AND('PROG FORMACIÓN TITULADA'!#REF!,"AAAAABe/g1Q=")</f>
        <v>#REF!</v>
      </c>
      <c r="CH47" t="e">
        <f>AND('PROG FORMACIÓN TITULADA'!#REF!,"AAAAABe/g1U=")</f>
        <v>#REF!</v>
      </c>
      <c r="CI47" t="e">
        <f>AND('PROG FORMACIÓN TITULADA'!#REF!,"AAAAABe/g1Y=")</f>
        <v>#REF!</v>
      </c>
      <c r="CJ47" t="e">
        <f>AND('PROG FORMACIÓN TITULADA'!#REF!,"AAAAABe/g1c=")</f>
        <v>#REF!</v>
      </c>
      <c r="CK47" t="e">
        <f>AND('PROG FORMACIÓN TITULADA'!#REF!,"AAAAABe/g1g=")</f>
        <v>#REF!</v>
      </c>
      <c r="CL47" t="e">
        <f>AND('PROG FORMACIÓN TITULADA'!#REF!,"AAAAABe/g1k=")</f>
        <v>#REF!</v>
      </c>
      <c r="CM47" t="e">
        <f>AND('PROG FORMACIÓN TITULADA'!#REF!,"AAAAABe/g1o=")</f>
        <v>#REF!</v>
      </c>
      <c r="CN47" t="e">
        <f>IF('PROG FORMACIÓN TITULADA'!#REF!,"AAAAABe/g1s=",0)</f>
        <v>#REF!</v>
      </c>
      <c r="CO47" t="e">
        <f>AND('PROG FORMACIÓN TITULADA'!#REF!,"AAAAABe/g1w=")</f>
        <v>#REF!</v>
      </c>
      <c r="CP47" t="e">
        <f>AND('PROG FORMACIÓN TITULADA'!#REF!,"AAAAABe/g10=")</f>
        <v>#REF!</v>
      </c>
      <c r="CQ47" t="e">
        <f>AND('PROG FORMACIÓN TITULADA'!#REF!,"AAAAABe/g14=")</f>
        <v>#REF!</v>
      </c>
      <c r="CR47" t="e">
        <f>AND('PROG FORMACIÓN TITULADA'!#REF!,"AAAAABe/g18=")</f>
        <v>#REF!</v>
      </c>
      <c r="CS47" t="e">
        <f>AND('PROG FORMACIÓN TITULADA'!#REF!,"AAAAABe/g2A=")</f>
        <v>#REF!</v>
      </c>
      <c r="CT47" t="e">
        <f>AND('PROG FORMACIÓN TITULADA'!#REF!,"AAAAABe/g2E=")</f>
        <v>#REF!</v>
      </c>
      <c r="CU47" t="e">
        <f>AND('PROG FORMACIÓN TITULADA'!#REF!,"AAAAABe/g2I=")</f>
        <v>#REF!</v>
      </c>
      <c r="CV47" t="e">
        <f>AND('PROG FORMACIÓN TITULADA'!#REF!,"AAAAABe/g2M=")</f>
        <v>#REF!</v>
      </c>
      <c r="CW47" t="e">
        <f>AND('PROG FORMACIÓN TITULADA'!#REF!,"AAAAABe/g2Q=")</f>
        <v>#REF!</v>
      </c>
      <c r="CX47" t="e">
        <f>AND('PROG FORMACIÓN TITULADA'!#REF!,"AAAAABe/g2U=")</f>
        <v>#REF!</v>
      </c>
      <c r="CY47" t="e">
        <f>AND('PROG FORMACIÓN TITULADA'!#REF!,"AAAAABe/g2Y=")</f>
        <v>#REF!</v>
      </c>
      <c r="CZ47" t="e">
        <f>AND('PROG FORMACIÓN TITULADA'!#REF!,"AAAAABe/g2c=")</f>
        <v>#REF!</v>
      </c>
      <c r="DA47" t="e">
        <f>AND('PROG FORMACIÓN TITULADA'!#REF!,"AAAAABe/g2g=")</f>
        <v>#REF!</v>
      </c>
      <c r="DB47" t="e">
        <f>AND('PROG FORMACIÓN TITULADA'!#REF!,"AAAAABe/g2k=")</f>
        <v>#REF!</v>
      </c>
      <c r="DC47" t="e">
        <f>AND('PROG FORMACIÓN TITULADA'!#REF!,"AAAAABe/g2o=")</f>
        <v>#REF!</v>
      </c>
      <c r="DD47" t="e">
        <f>AND('PROG FORMACIÓN TITULADA'!#REF!,"AAAAABe/g2s=")</f>
        <v>#REF!</v>
      </c>
      <c r="DE47" t="e">
        <f>AND('PROG FORMACIÓN TITULADA'!#REF!,"AAAAABe/g2w=")</f>
        <v>#REF!</v>
      </c>
      <c r="DF47" t="e">
        <f>AND('PROG FORMACIÓN TITULADA'!#REF!,"AAAAABe/g20=")</f>
        <v>#REF!</v>
      </c>
      <c r="DG47" t="e">
        <f>AND('PROG FORMACIÓN TITULADA'!#REF!,"AAAAABe/g24=")</f>
        <v>#REF!</v>
      </c>
      <c r="DH47" t="e">
        <f>AND('PROG FORMACIÓN TITULADA'!#REF!,"AAAAABe/g28=")</f>
        <v>#REF!</v>
      </c>
      <c r="DI47" t="e">
        <f>AND('PROG FORMACIÓN TITULADA'!#REF!,"AAAAABe/g3A=")</f>
        <v>#REF!</v>
      </c>
      <c r="DJ47" t="e">
        <f>AND('PROG FORMACIÓN TITULADA'!#REF!,"AAAAABe/g3E=")</f>
        <v>#REF!</v>
      </c>
      <c r="DK47" t="e">
        <f>AND('PROG FORMACIÓN TITULADA'!#REF!,"AAAAABe/g3I=")</f>
        <v>#REF!</v>
      </c>
      <c r="DL47" t="e">
        <f>AND('PROG FORMACIÓN TITULADA'!#REF!,"AAAAABe/g3M=")</f>
        <v>#REF!</v>
      </c>
      <c r="DM47" t="e">
        <f>AND('PROG FORMACIÓN TITULADA'!#REF!,"AAAAABe/g3Q=")</f>
        <v>#REF!</v>
      </c>
      <c r="DN47" t="e">
        <f>AND('PROG FORMACIÓN TITULADA'!#REF!,"AAAAABe/g3U=")</f>
        <v>#REF!</v>
      </c>
      <c r="DO47" t="e">
        <f>IF('PROG FORMACIÓN TITULADA'!#REF!,"AAAAABe/g3Y=",0)</f>
        <v>#REF!</v>
      </c>
      <c r="DP47" t="e">
        <f>AND('PROG FORMACIÓN TITULADA'!#REF!,"AAAAABe/g3c=")</f>
        <v>#REF!</v>
      </c>
      <c r="DQ47" t="e">
        <f>AND('PROG FORMACIÓN TITULADA'!#REF!,"AAAAABe/g3g=")</f>
        <v>#REF!</v>
      </c>
      <c r="DR47" t="e">
        <f>AND('PROG FORMACIÓN TITULADA'!#REF!,"AAAAABe/g3k=")</f>
        <v>#REF!</v>
      </c>
      <c r="DS47" t="e">
        <f>AND('PROG FORMACIÓN TITULADA'!#REF!,"AAAAABe/g3o=")</f>
        <v>#REF!</v>
      </c>
      <c r="DT47" t="e">
        <f>AND('PROG FORMACIÓN TITULADA'!#REF!,"AAAAABe/g3s=")</f>
        <v>#REF!</v>
      </c>
      <c r="DU47" t="e">
        <f>AND('PROG FORMACIÓN TITULADA'!#REF!,"AAAAABe/g3w=")</f>
        <v>#REF!</v>
      </c>
      <c r="DV47" t="e">
        <f>AND('PROG FORMACIÓN TITULADA'!#REF!,"AAAAABe/g30=")</f>
        <v>#REF!</v>
      </c>
      <c r="DW47" t="e">
        <f>AND('PROG FORMACIÓN TITULADA'!#REF!,"AAAAABe/g34=")</f>
        <v>#REF!</v>
      </c>
      <c r="DX47" t="e">
        <f>AND('PROG FORMACIÓN TITULADA'!#REF!,"AAAAABe/g38=")</f>
        <v>#REF!</v>
      </c>
      <c r="DY47" t="e">
        <f>AND('PROG FORMACIÓN TITULADA'!#REF!,"AAAAABe/g4A=")</f>
        <v>#REF!</v>
      </c>
      <c r="DZ47" t="e">
        <f>AND('PROG FORMACIÓN TITULADA'!#REF!,"AAAAABe/g4E=")</f>
        <v>#REF!</v>
      </c>
      <c r="EA47" t="e">
        <f>AND('PROG FORMACIÓN TITULADA'!#REF!,"AAAAABe/g4I=")</f>
        <v>#REF!</v>
      </c>
      <c r="EB47" t="e">
        <f>AND('PROG FORMACIÓN TITULADA'!#REF!,"AAAAABe/g4M=")</f>
        <v>#REF!</v>
      </c>
      <c r="EC47" t="e">
        <f>AND('PROG FORMACIÓN TITULADA'!#REF!,"AAAAABe/g4Q=")</f>
        <v>#REF!</v>
      </c>
      <c r="ED47" t="e">
        <f>AND('PROG FORMACIÓN TITULADA'!#REF!,"AAAAABe/g4U=")</f>
        <v>#REF!</v>
      </c>
      <c r="EE47" t="e">
        <f>AND('PROG FORMACIÓN TITULADA'!#REF!,"AAAAABe/g4Y=")</f>
        <v>#REF!</v>
      </c>
      <c r="EF47" t="e">
        <f>AND('PROG FORMACIÓN TITULADA'!#REF!,"AAAAABe/g4c=")</f>
        <v>#REF!</v>
      </c>
      <c r="EG47" t="e">
        <f>AND('PROG FORMACIÓN TITULADA'!#REF!,"AAAAABe/g4g=")</f>
        <v>#REF!</v>
      </c>
      <c r="EH47" t="e">
        <f>AND('PROG FORMACIÓN TITULADA'!#REF!,"AAAAABe/g4k=")</f>
        <v>#REF!</v>
      </c>
      <c r="EI47" t="e">
        <f>AND('PROG FORMACIÓN TITULADA'!#REF!,"AAAAABe/g4o=")</f>
        <v>#REF!</v>
      </c>
      <c r="EJ47" t="e">
        <f>AND('PROG FORMACIÓN TITULADA'!#REF!,"AAAAABe/g4s=")</f>
        <v>#REF!</v>
      </c>
      <c r="EK47" t="e">
        <f>AND('PROG FORMACIÓN TITULADA'!#REF!,"AAAAABe/g4w=")</f>
        <v>#REF!</v>
      </c>
      <c r="EL47" t="e">
        <f>AND('PROG FORMACIÓN TITULADA'!#REF!,"AAAAABe/g40=")</f>
        <v>#REF!</v>
      </c>
      <c r="EM47" t="e">
        <f>AND('PROG FORMACIÓN TITULADA'!#REF!,"AAAAABe/g44=")</f>
        <v>#REF!</v>
      </c>
      <c r="EN47" t="e">
        <f>AND('PROG FORMACIÓN TITULADA'!#REF!,"AAAAABe/g48=")</f>
        <v>#REF!</v>
      </c>
      <c r="EO47" t="e">
        <f>AND('PROG FORMACIÓN TITULADA'!#REF!,"AAAAABe/g5A=")</f>
        <v>#REF!</v>
      </c>
      <c r="EP47" t="e">
        <f>IF('PROG FORMACIÓN TITULADA'!#REF!,"AAAAABe/g5E=",0)</f>
        <v>#REF!</v>
      </c>
      <c r="EQ47" t="e">
        <f>AND('PROG FORMACIÓN TITULADA'!#REF!,"AAAAABe/g5I=")</f>
        <v>#REF!</v>
      </c>
      <c r="ER47" t="e">
        <f>AND('PROG FORMACIÓN TITULADA'!#REF!,"AAAAABe/g5M=")</f>
        <v>#REF!</v>
      </c>
      <c r="ES47" t="e">
        <f>AND('PROG FORMACIÓN TITULADA'!#REF!,"AAAAABe/g5Q=")</f>
        <v>#REF!</v>
      </c>
      <c r="ET47" t="e">
        <f>AND('PROG FORMACIÓN TITULADA'!#REF!,"AAAAABe/g5U=")</f>
        <v>#REF!</v>
      </c>
      <c r="EU47" t="e">
        <f>AND('PROG FORMACIÓN TITULADA'!#REF!,"AAAAABe/g5Y=")</f>
        <v>#REF!</v>
      </c>
      <c r="EV47" t="e">
        <f>AND('PROG FORMACIÓN TITULADA'!#REF!,"AAAAABe/g5c=")</f>
        <v>#REF!</v>
      </c>
      <c r="EW47" t="e">
        <f>AND('PROG FORMACIÓN TITULADA'!#REF!,"AAAAABe/g5g=")</f>
        <v>#REF!</v>
      </c>
      <c r="EX47" t="e">
        <f>AND('PROG FORMACIÓN TITULADA'!#REF!,"AAAAABe/g5k=")</f>
        <v>#REF!</v>
      </c>
      <c r="EY47" t="e">
        <f>AND('PROG FORMACIÓN TITULADA'!#REF!,"AAAAABe/g5o=")</f>
        <v>#REF!</v>
      </c>
      <c r="EZ47" t="e">
        <f>AND('PROG FORMACIÓN TITULADA'!#REF!,"AAAAABe/g5s=")</f>
        <v>#REF!</v>
      </c>
      <c r="FA47" t="e">
        <f>AND('PROG FORMACIÓN TITULADA'!#REF!,"AAAAABe/g5w=")</f>
        <v>#REF!</v>
      </c>
      <c r="FB47" t="e">
        <f>AND('PROG FORMACIÓN TITULADA'!#REF!,"AAAAABe/g50=")</f>
        <v>#REF!</v>
      </c>
      <c r="FC47" t="e">
        <f>AND('PROG FORMACIÓN TITULADA'!#REF!,"AAAAABe/g54=")</f>
        <v>#REF!</v>
      </c>
      <c r="FD47" t="e">
        <f>AND('PROG FORMACIÓN TITULADA'!#REF!,"AAAAABe/g58=")</f>
        <v>#REF!</v>
      </c>
      <c r="FE47" t="e">
        <f>AND('PROG FORMACIÓN TITULADA'!#REF!,"AAAAABe/g6A=")</f>
        <v>#REF!</v>
      </c>
      <c r="FF47" t="e">
        <f>AND('PROG FORMACIÓN TITULADA'!#REF!,"AAAAABe/g6E=")</f>
        <v>#REF!</v>
      </c>
      <c r="FG47" t="e">
        <f>AND('PROG FORMACIÓN TITULADA'!#REF!,"AAAAABe/g6I=")</f>
        <v>#REF!</v>
      </c>
      <c r="FH47" t="e">
        <f>AND('PROG FORMACIÓN TITULADA'!#REF!,"AAAAABe/g6M=")</f>
        <v>#REF!</v>
      </c>
      <c r="FI47" t="e">
        <f>AND('PROG FORMACIÓN TITULADA'!#REF!,"AAAAABe/g6Q=")</f>
        <v>#REF!</v>
      </c>
      <c r="FJ47" t="e">
        <f>AND('PROG FORMACIÓN TITULADA'!#REF!,"AAAAABe/g6U=")</f>
        <v>#REF!</v>
      </c>
      <c r="FK47" t="e">
        <f>AND('PROG FORMACIÓN TITULADA'!#REF!,"AAAAABe/g6Y=")</f>
        <v>#REF!</v>
      </c>
      <c r="FL47" t="e">
        <f>AND('PROG FORMACIÓN TITULADA'!#REF!,"AAAAABe/g6c=")</f>
        <v>#REF!</v>
      </c>
      <c r="FM47" t="e">
        <f>AND('PROG FORMACIÓN TITULADA'!#REF!,"AAAAABe/g6g=")</f>
        <v>#REF!</v>
      </c>
      <c r="FN47" t="e">
        <f>AND('PROG FORMACIÓN TITULADA'!#REF!,"AAAAABe/g6k=")</f>
        <v>#REF!</v>
      </c>
      <c r="FO47" t="e">
        <f>AND('PROG FORMACIÓN TITULADA'!#REF!,"AAAAABe/g6o=")</f>
        <v>#REF!</v>
      </c>
      <c r="FP47" t="e">
        <f>AND('PROG FORMACIÓN TITULADA'!#REF!,"AAAAABe/g6s=")</f>
        <v>#REF!</v>
      </c>
      <c r="FQ47" t="e">
        <f>IF('PROG FORMACIÓN TITULADA'!#REF!,"AAAAABe/g6w=",0)</f>
        <v>#REF!</v>
      </c>
      <c r="FR47" t="e">
        <f>AND('PROG FORMACIÓN TITULADA'!#REF!,"AAAAABe/g60=")</f>
        <v>#REF!</v>
      </c>
      <c r="FS47" t="e">
        <f>AND('PROG FORMACIÓN TITULADA'!#REF!,"AAAAABe/g64=")</f>
        <v>#REF!</v>
      </c>
      <c r="FT47" t="e">
        <f>AND('PROG FORMACIÓN TITULADA'!#REF!,"AAAAABe/g68=")</f>
        <v>#REF!</v>
      </c>
      <c r="FU47" t="e">
        <f>AND('PROG FORMACIÓN TITULADA'!#REF!,"AAAAABe/g7A=")</f>
        <v>#REF!</v>
      </c>
      <c r="FV47" t="e">
        <f>AND('PROG FORMACIÓN TITULADA'!#REF!,"AAAAABe/g7E=")</f>
        <v>#REF!</v>
      </c>
      <c r="FW47" t="e">
        <f>AND('PROG FORMACIÓN TITULADA'!#REF!,"AAAAABe/g7I=")</f>
        <v>#REF!</v>
      </c>
      <c r="FX47" t="e">
        <f>AND('PROG FORMACIÓN TITULADA'!#REF!,"AAAAABe/g7M=")</f>
        <v>#REF!</v>
      </c>
      <c r="FY47" t="e">
        <f>AND('PROG FORMACIÓN TITULADA'!#REF!,"AAAAABe/g7Q=")</f>
        <v>#REF!</v>
      </c>
      <c r="FZ47" t="e">
        <f>AND('PROG FORMACIÓN TITULADA'!#REF!,"AAAAABe/g7U=")</f>
        <v>#REF!</v>
      </c>
      <c r="GA47" t="e">
        <f>AND('PROG FORMACIÓN TITULADA'!#REF!,"AAAAABe/g7Y=")</f>
        <v>#REF!</v>
      </c>
      <c r="GB47" t="e">
        <f>AND('PROG FORMACIÓN TITULADA'!#REF!,"AAAAABe/g7c=")</f>
        <v>#REF!</v>
      </c>
      <c r="GC47" t="e">
        <f>AND('PROG FORMACIÓN TITULADA'!#REF!,"AAAAABe/g7g=")</f>
        <v>#REF!</v>
      </c>
      <c r="GD47" t="e">
        <f>AND('PROG FORMACIÓN TITULADA'!#REF!,"AAAAABe/g7k=")</f>
        <v>#REF!</v>
      </c>
      <c r="GE47" t="e">
        <f>AND('PROG FORMACIÓN TITULADA'!#REF!,"AAAAABe/g7o=")</f>
        <v>#REF!</v>
      </c>
      <c r="GF47" t="e">
        <f>AND('PROG FORMACIÓN TITULADA'!#REF!,"AAAAABe/g7s=")</f>
        <v>#REF!</v>
      </c>
      <c r="GG47" t="e">
        <f>AND('PROG FORMACIÓN TITULADA'!#REF!,"AAAAABe/g7w=")</f>
        <v>#REF!</v>
      </c>
      <c r="GH47" t="e">
        <f>AND('PROG FORMACIÓN TITULADA'!#REF!,"AAAAABe/g70=")</f>
        <v>#REF!</v>
      </c>
      <c r="GI47" t="e">
        <f>AND('PROG FORMACIÓN TITULADA'!#REF!,"AAAAABe/g74=")</f>
        <v>#REF!</v>
      </c>
      <c r="GJ47" t="e">
        <f>AND('PROG FORMACIÓN TITULADA'!#REF!,"AAAAABe/g78=")</f>
        <v>#REF!</v>
      </c>
      <c r="GK47" t="e">
        <f>AND('PROG FORMACIÓN TITULADA'!#REF!,"AAAAABe/g8A=")</f>
        <v>#REF!</v>
      </c>
      <c r="GL47" t="e">
        <f>AND('PROG FORMACIÓN TITULADA'!#REF!,"AAAAABe/g8E=")</f>
        <v>#REF!</v>
      </c>
      <c r="GM47" t="e">
        <f>AND('PROG FORMACIÓN TITULADA'!#REF!,"AAAAABe/g8I=")</f>
        <v>#REF!</v>
      </c>
      <c r="GN47" t="e">
        <f>AND('PROG FORMACIÓN TITULADA'!#REF!,"AAAAABe/g8M=")</f>
        <v>#REF!</v>
      </c>
      <c r="GO47" t="e">
        <f>AND('PROG FORMACIÓN TITULADA'!#REF!,"AAAAABe/g8Q=")</f>
        <v>#REF!</v>
      </c>
      <c r="GP47" t="e">
        <f>AND('PROG FORMACIÓN TITULADA'!#REF!,"AAAAABe/g8U=")</f>
        <v>#REF!</v>
      </c>
      <c r="GQ47" t="e">
        <f>AND('PROG FORMACIÓN TITULADA'!#REF!,"AAAAABe/g8Y=")</f>
        <v>#REF!</v>
      </c>
      <c r="GR47" t="e">
        <f>IF('PROG FORMACIÓN TITULADA'!#REF!,"AAAAABe/g8c=",0)</f>
        <v>#REF!</v>
      </c>
      <c r="GS47" t="e">
        <f>AND('PROG FORMACIÓN TITULADA'!#REF!,"AAAAABe/g8g=")</f>
        <v>#REF!</v>
      </c>
      <c r="GT47" t="e">
        <f>AND('PROG FORMACIÓN TITULADA'!#REF!,"AAAAABe/g8k=")</f>
        <v>#REF!</v>
      </c>
      <c r="GU47" t="e">
        <f>AND('PROG FORMACIÓN TITULADA'!#REF!,"AAAAABe/g8o=")</f>
        <v>#REF!</v>
      </c>
      <c r="GV47" t="e">
        <f>AND('PROG FORMACIÓN TITULADA'!#REF!,"AAAAABe/g8s=")</f>
        <v>#REF!</v>
      </c>
      <c r="GW47" t="e">
        <f>AND('PROG FORMACIÓN TITULADA'!#REF!,"AAAAABe/g8w=")</f>
        <v>#REF!</v>
      </c>
      <c r="GX47" t="e">
        <f>AND('PROG FORMACIÓN TITULADA'!#REF!,"AAAAABe/g80=")</f>
        <v>#REF!</v>
      </c>
      <c r="GY47" t="e">
        <f>AND('PROG FORMACIÓN TITULADA'!#REF!,"AAAAABe/g84=")</f>
        <v>#REF!</v>
      </c>
      <c r="GZ47" t="e">
        <f>AND('PROG FORMACIÓN TITULADA'!#REF!,"AAAAABe/g88=")</f>
        <v>#REF!</v>
      </c>
      <c r="HA47" t="e">
        <f>AND('PROG FORMACIÓN TITULADA'!#REF!,"AAAAABe/g9A=")</f>
        <v>#REF!</v>
      </c>
      <c r="HB47" t="e">
        <f>AND('PROG FORMACIÓN TITULADA'!#REF!,"AAAAABe/g9E=")</f>
        <v>#REF!</v>
      </c>
      <c r="HC47" t="e">
        <f>AND('PROG FORMACIÓN TITULADA'!#REF!,"AAAAABe/g9I=")</f>
        <v>#REF!</v>
      </c>
      <c r="HD47" t="e">
        <f>AND('PROG FORMACIÓN TITULADA'!#REF!,"AAAAABe/g9M=")</f>
        <v>#REF!</v>
      </c>
      <c r="HE47" t="e">
        <f>AND('PROG FORMACIÓN TITULADA'!#REF!,"AAAAABe/g9Q=")</f>
        <v>#REF!</v>
      </c>
      <c r="HF47" t="e">
        <f>AND('PROG FORMACIÓN TITULADA'!#REF!,"AAAAABe/g9U=")</f>
        <v>#REF!</v>
      </c>
      <c r="HG47" t="e">
        <f>AND('PROG FORMACIÓN TITULADA'!#REF!,"AAAAABe/g9Y=")</f>
        <v>#REF!</v>
      </c>
      <c r="HH47" t="e">
        <f>AND('PROG FORMACIÓN TITULADA'!#REF!,"AAAAABe/g9c=")</f>
        <v>#REF!</v>
      </c>
      <c r="HI47" t="e">
        <f>AND('PROG FORMACIÓN TITULADA'!#REF!,"AAAAABe/g9g=")</f>
        <v>#REF!</v>
      </c>
      <c r="HJ47" t="e">
        <f>AND('PROG FORMACIÓN TITULADA'!#REF!,"AAAAABe/g9k=")</f>
        <v>#REF!</v>
      </c>
      <c r="HK47" t="e">
        <f>AND('PROG FORMACIÓN TITULADA'!#REF!,"AAAAABe/g9o=")</f>
        <v>#REF!</v>
      </c>
      <c r="HL47" t="e">
        <f>AND('PROG FORMACIÓN TITULADA'!#REF!,"AAAAABe/g9s=")</f>
        <v>#REF!</v>
      </c>
      <c r="HM47" t="e">
        <f>AND('PROG FORMACIÓN TITULADA'!#REF!,"AAAAABe/g9w=")</f>
        <v>#REF!</v>
      </c>
      <c r="HN47" t="e">
        <f>AND('PROG FORMACIÓN TITULADA'!#REF!,"AAAAABe/g90=")</f>
        <v>#REF!</v>
      </c>
      <c r="HO47" t="e">
        <f>AND('PROG FORMACIÓN TITULADA'!#REF!,"AAAAABe/g94=")</f>
        <v>#REF!</v>
      </c>
      <c r="HP47" t="e">
        <f>AND('PROG FORMACIÓN TITULADA'!#REF!,"AAAAABe/g98=")</f>
        <v>#REF!</v>
      </c>
      <c r="HQ47" t="e">
        <f>AND('PROG FORMACIÓN TITULADA'!#REF!,"AAAAABe/g+A=")</f>
        <v>#REF!</v>
      </c>
      <c r="HR47" t="e">
        <f>AND('PROG FORMACIÓN TITULADA'!#REF!,"AAAAABe/g+E=")</f>
        <v>#REF!</v>
      </c>
      <c r="HS47" t="e">
        <f>IF('PROG FORMACIÓN TITULADA'!#REF!,"AAAAABe/g+I=",0)</f>
        <v>#REF!</v>
      </c>
      <c r="HT47" t="e">
        <f>AND('PROG FORMACIÓN TITULADA'!#REF!,"AAAAABe/g+M=")</f>
        <v>#REF!</v>
      </c>
      <c r="HU47" t="e">
        <f>AND('PROG FORMACIÓN TITULADA'!#REF!,"AAAAABe/g+Q=")</f>
        <v>#REF!</v>
      </c>
      <c r="HV47" t="e">
        <f>AND('PROG FORMACIÓN TITULADA'!#REF!,"AAAAABe/g+U=")</f>
        <v>#REF!</v>
      </c>
      <c r="HW47" t="e">
        <f>AND('PROG FORMACIÓN TITULADA'!#REF!,"AAAAABe/g+Y=")</f>
        <v>#REF!</v>
      </c>
      <c r="HX47" t="e">
        <f>AND('PROG FORMACIÓN TITULADA'!#REF!,"AAAAABe/g+c=")</f>
        <v>#REF!</v>
      </c>
      <c r="HY47" t="e">
        <f>AND('PROG FORMACIÓN TITULADA'!#REF!,"AAAAABe/g+g=")</f>
        <v>#REF!</v>
      </c>
      <c r="HZ47" t="e">
        <f>AND('PROG FORMACIÓN TITULADA'!#REF!,"AAAAABe/g+k=")</f>
        <v>#REF!</v>
      </c>
      <c r="IA47" t="e">
        <f>AND('PROG FORMACIÓN TITULADA'!#REF!,"AAAAABe/g+o=")</f>
        <v>#REF!</v>
      </c>
      <c r="IB47" t="e">
        <f>AND('PROG FORMACIÓN TITULADA'!#REF!,"AAAAABe/g+s=")</f>
        <v>#REF!</v>
      </c>
      <c r="IC47" t="e">
        <f>AND('PROG FORMACIÓN TITULADA'!#REF!,"AAAAABe/g+w=")</f>
        <v>#REF!</v>
      </c>
      <c r="ID47" t="e">
        <f>AND('PROG FORMACIÓN TITULADA'!#REF!,"AAAAABe/g+0=")</f>
        <v>#REF!</v>
      </c>
      <c r="IE47" t="e">
        <f>AND('PROG FORMACIÓN TITULADA'!#REF!,"AAAAABe/g+4=")</f>
        <v>#REF!</v>
      </c>
      <c r="IF47" t="e">
        <f>AND('PROG FORMACIÓN TITULADA'!#REF!,"AAAAABe/g+8=")</f>
        <v>#REF!</v>
      </c>
      <c r="IG47" t="e">
        <f>AND('PROG FORMACIÓN TITULADA'!#REF!,"AAAAABe/g/A=")</f>
        <v>#REF!</v>
      </c>
      <c r="IH47" t="e">
        <f>AND('PROG FORMACIÓN TITULADA'!#REF!,"AAAAABe/g/E=")</f>
        <v>#REF!</v>
      </c>
      <c r="II47" t="e">
        <f>AND('PROG FORMACIÓN TITULADA'!#REF!,"AAAAABe/g/I=")</f>
        <v>#REF!</v>
      </c>
      <c r="IJ47" t="e">
        <f>AND('PROG FORMACIÓN TITULADA'!#REF!,"AAAAABe/g/M=")</f>
        <v>#REF!</v>
      </c>
      <c r="IK47" t="e">
        <f>AND('PROG FORMACIÓN TITULADA'!#REF!,"AAAAABe/g/Q=")</f>
        <v>#REF!</v>
      </c>
      <c r="IL47" t="e">
        <f>AND('PROG FORMACIÓN TITULADA'!#REF!,"AAAAABe/g/U=")</f>
        <v>#REF!</v>
      </c>
      <c r="IM47" t="e">
        <f>AND('PROG FORMACIÓN TITULADA'!#REF!,"AAAAABe/g/Y=")</f>
        <v>#REF!</v>
      </c>
      <c r="IN47" t="e">
        <f>AND('PROG FORMACIÓN TITULADA'!#REF!,"AAAAABe/g/c=")</f>
        <v>#REF!</v>
      </c>
      <c r="IO47" t="e">
        <f>AND('PROG FORMACIÓN TITULADA'!#REF!,"AAAAABe/g/g=")</f>
        <v>#REF!</v>
      </c>
      <c r="IP47" t="e">
        <f>AND('PROG FORMACIÓN TITULADA'!#REF!,"AAAAABe/g/k=")</f>
        <v>#REF!</v>
      </c>
      <c r="IQ47" t="e">
        <f>AND('PROG FORMACIÓN TITULADA'!#REF!,"AAAAABe/g/o=")</f>
        <v>#REF!</v>
      </c>
      <c r="IR47" t="e">
        <f>AND('PROG FORMACIÓN TITULADA'!#REF!,"AAAAABe/g/s=")</f>
        <v>#REF!</v>
      </c>
      <c r="IS47" t="e">
        <f>AND('PROG FORMACIÓN TITULADA'!#REF!,"AAAAABe/g/w=")</f>
        <v>#REF!</v>
      </c>
      <c r="IT47" t="e">
        <f>IF('PROG FORMACIÓN TITULADA'!#REF!,"AAAAABe/g/0=",0)</f>
        <v>#REF!</v>
      </c>
      <c r="IU47" t="e">
        <f>AND('PROG FORMACIÓN TITULADA'!#REF!,"AAAAABe/g/4=")</f>
        <v>#REF!</v>
      </c>
      <c r="IV47" t="e">
        <f>AND('PROG FORMACIÓN TITULADA'!#REF!,"AAAAABe/g/8=")</f>
        <v>#REF!</v>
      </c>
    </row>
    <row r="48" spans="1:256" x14ac:dyDescent="0.2">
      <c r="A48" t="e">
        <f>AND('PROG FORMACIÓN TITULADA'!#REF!,"AAAAAHa/4wA=")</f>
        <v>#REF!</v>
      </c>
      <c r="B48" t="e">
        <f>AND('PROG FORMACIÓN TITULADA'!#REF!,"AAAAAHa/4wE=")</f>
        <v>#REF!</v>
      </c>
      <c r="C48" t="e">
        <f>AND('PROG FORMACIÓN TITULADA'!#REF!,"AAAAAHa/4wI=")</f>
        <v>#REF!</v>
      </c>
      <c r="D48" t="e">
        <f>AND('PROG FORMACIÓN TITULADA'!#REF!,"AAAAAHa/4wM=")</f>
        <v>#REF!</v>
      </c>
      <c r="E48" t="e">
        <f>AND('PROG FORMACIÓN TITULADA'!#REF!,"AAAAAHa/4wQ=")</f>
        <v>#REF!</v>
      </c>
      <c r="F48" t="e">
        <f>AND('PROG FORMACIÓN TITULADA'!#REF!,"AAAAAHa/4wU=")</f>
        <v>#REF!</v>
      </c>
      <c r="G48" t="e">
        <f>AND('PROG FORMACIÓN TITULADA'!#REF!,"AAAAAHa/4wY=")</f>
        <v>#REF!</v>
      </c>
      <c r="H48" t="e">
        <f>AND('PROG FORMACIÓN TITULADA'!#REF!,"AAAAAHa/4wc=")</f>
        <v>#REF!</v>
      </c>
      <c r="I48" t="e">
        <f>AND('PROG FORMACIÓN TITULADA'!#REF!,"AAAAAHa/4wg=")</f>
        <v>#REF!</v>
      </c>
      <c r="J48" t="e">
        <f>AND('PROG FORMACIÓN TITULADA'!#REF!,"AAAAAHa/4wk=")</f>
        <v>#REF!</v>
      </c>
      <c r="K48" t="e">
        <f>AND('PROG FORMACIÓN TITULADA'!#REF!,"AAAAAHa/4wo=")</f>
        <v>#REF!</v>
      </c>
      <c r="L48" t="e">
        <f>AND('PROG FORMACIÓN TITULADA'!#REF!,"AAAAAHa/4ws=")</f>
        <v>#REF!</v>
      </c>
      <c r="M48" t="e">
        <f>AND('PROG FORMACIÓN TITULADA'!#REF!,"AAAAAHa/4ww=")</f>
        <v>#REF!</v>
      </c>
      <c r="N48" t="e">
        <f>AND('PROG FORMACIÓN TITULADA'!#REF!,"AAAAAHa/4w0=")</f>
        <v>#REF!</v>
      </c>
      <c r="O48" t="e">
        <f>AND('PROG FORMACIÓN TITULADA'!#REF!,"AAAAAHa/4w4=")</f>
        <v>#REF!</v>
      </c>
      <c r="P48" t="e">
        <f>AND('PROG FORMACIÓN TITULADA'!#REF!,"AAAAAHa/4w8=")</f>
        <v>#REF!</v>
      </c>
      <c r="Q48" t="e">
        <f>AND('PROG FORMACIÓN TITULADA'!#REF!,"AAAAAHa/4xA=")</f>
        <v>#REF!</v>
      </c>
      <c r="R48" t="e">
        <f>AND('PROG FORMACIÓN TITULADA'!#REF!,"AAAAAHa/4xE=")</f>
        <v>#REF!</v>
      </c>
      <c r="S48" t="e">
        <f>AND('PROG FORMACIÓN TITULADA'!#REF!,"AAAAAHa/4xI=")</f>
        <v>#REF!</v>
      </c>
      <c r="T48" t="e">
        <f>AND('PROG FORMACIÓN TITULADA'!#REF!,"AAAAAHa/4xM=")</f>
        <v>#REF!</v>
      </c>
      <c r="U48" t="e">
        <f>AND('PROG FORMACIÓN TITULADA'!#REF!,"AAAAAHa/4xQ=")</f>
        <v>#REF!</v>
      </c>
      <c r="V48" t="e">
        <f>AND('PROG FORMACIÓN TITULADA'!#REF!,"AAAAAHa/4xU=")</f>
        <v>#REF!</v>
      </c>
      <c r="W48" t="e">
        <f>AND('PROG FORMACIÓN TITULADA'!#REF!,"AAAAAHa/4xY=")</f>
        <v>#REF!</v>
      </c>
      <c r="X48" t="e">
        <f>AND('PROG FORMACIÓN TITULADA'!#REF!,"AAAAAHa/4xc=")</f>
        <v>#REF!</v>
      </c>
      <c r="Y48" t="e">
        <f>IF('PROG FORMACIÓN TITULADA'!#REF!,"AAAAAHa/4xg=",0)</f>
        <v>#REF!</v>
      </c>
      <c r="Z48" t="e">
        <f>AND('PROG FORMACIÓN TITULADA'!#REF!,"AAAAAHa/4xk=")</f>
        <v>#REF!</v>
      </c>
      <c r="AA48" t="e">
        <f>AND('PROG FORMACIÓN TITULADA'!#REF!,"AAAAAHa/4xo=")</f>
        <v>#REF!</v>
      </c>
      <c r="AB48" t="e">
        <f>AND('PROG FORMACIÓN TITULADA'!#REF!,"AAAAAHa/4xs=")</f>
        <v>#REF!</v>
      </c>
      <c r="AC48" t="e">
        <f>AND('PROG FORMACIÓN TITULADA'!#REF!,"AAAAAHa/4xw=")</f>
        <v>#REF!</v>
      </c>
      <c r="AD48" t="e">
        <f>AND('PROG FORMACIÓN TITULADA'!#REF!,"AAAAAHa/4x0=")</f>
        <v>#REF!</v>
      </c>
      <c r="AE48" t="e">
        <f>AND('PROG FORMACIÓN TITULADA'!#REF!,"AAAAAHa/4x4=")</f>
        <v>#REF!</v>
      </c>
      <c r="AF48" t="e">
        <f>AND('PROG FORMACIÓN TITULADA'!#REF!,"AAAAAHa/4x8=")</f>
        <v>#REF!</v>
      </c>
      <c r="AG48" t="e">
        <f>AND('PROG FORMACIÓN TITULADA'!#REF!,"AAAAAHa/4yA=")</f>
        <v>#REF!</v>
      </c>
      <c r="AH48" t="e">
        <f>AND('PROG FORMACIÓN TITULADA'!#REF!,"AAAAAHa/4yE=")</f>
        <v>#REF!</v>
      </c>
      <c r="AI48" t="e">
        <f>AND('PROG FORMACIÓN TITULADA'!#REF!,"AAAAAHa/4yI=")</f>
        <v>#REF!</v>
      </c>
      <c r="AJ48" t="e">
        <f>AND('PROG FORMACIÓN TITULADA'!#REF!,"AAAAAHa/4yM=")</f>
        <v>#REF!</v>
      </c>
      <c r="AK48" t="e">
        <f>AND('PROG FORMACIÓN TITULADA'!#REF!,"AAAAAHa/4yQ=")</f>
        <v>#REF!</v>
      </c>
      <c r="AL48" t="e">
        <f>AND('PROG FORMACIÓN TITULADA'!#REF!,"AAAAAHa/4yU=")</f>
        <v>#REF!</v>
      </c>
      <c r="AM48" t="e">
        <f>AND('PROG FORMACIÓN TITULADA'!#REF!,"AAAAAHa/4yY=")</f>
        <v>#REF!</v>
      </c>
      <c r="AN48" t="e">
        <f>AND('PROG FORMACIÓN TITULADA'!#REF!,"AAAAAHa/4yc=")</f>
        <v>#REF!</v>
      </c>
      <c r="AO48" t="e">
        <f>AND('PROG FORMACIÓN TITULADA'!#REF!,"AAAAAHa/4yg=")</f>
        <v>#REF!</v>
      </c>
      <c r="AP48" t="e">
        <f>AND('PROG FORMACIÓN TITULADA'!#REF!,"AAAAAHa/4yk=")</f>
        <v>#REF!</v>
      </c>
      <c r="AQ48" t="e">
        <f>AND('PROG FORMACIÓN TITULADA'!#REF!,"AAAAAHa/4yo=")</f>
        <v>#REF!</v>
      </c>
      <c r="AR48" t="e">
        <f>AND('PROG FORMACIÓN TITULADA'!#REF!,"AAAAAHa/4ys=")</f>
        <v>#REF!</v>
      </c>
      <c r="AS48" t="e">
        <f>AND('PROG FORMACIÓN TITULADA'!#REF!,"AAAAAHa/4yw=")</f>
        <v>#REF!</v>
      </c>
      <c r="AT48" t="e">
        <f>AND('PROG FORMACIÓN TITULADA'!#REF!,"AAAAAHa/4y0=")</f>
        <v>#REF!</v>
      </c>
      <c r="AU48" t="e">
        <f>AND('PROG FORMACIÓN TITULADA'!#REF!,"AAAAAHa/4y4=")</f>
        <v>#REF!</v>
      </c>
      <c r="AV48" t="e">
        <f>AND('PROG FORMACIÓN TITULADA'!#REF!,"AAAAAHa/4y8=")</f>
        <v>#REF!</v>
      </c>
      <c r="AW48" t="e">
        <f>AND('PROG FORMACIÓN TITULADA'!#REF!,"AAAAAHa/4zA=")</f>
        <v>#REF!</v>
      </c>
      <c r="AX48" t="e">
        <f>AND('PROG FORMACIÓN TITULADA'!#REF!,"AAAAAHa/4zE=")</f>
        <v>#REF!</v>
      </c>
      <c r="AY48" t="e">
        <f>AND('PROG FORMACIÓN TITULADA'!#REF!,"AAAAAHa/4zI=")</f>
        <v>#REF!</v>
      </c>
      <c r="AZ48" t="e">
        <f>IF('PROG FORMACIÓN TITULADA'!#REF!,"AAAAAHa/4zM=",0)</f>
        <v>#REF!</v>
      </c>
      <c r="BA48" t="e">
        <f>AND('PROG FORMACIÓN TITULADA'!#REF!,"AAAAAHa/4zQ=")</f>
        <v>#REF!</v>
      </c>
      <c r="BB48" t="e">
        <f>AND('PROG FORMACIÓN TITULADA'!#REF!,"AAAAAHa/4zU=")</f>
        <v>#REF!</v>
      </c>
      <c r="BC48" t="e">
        <f>AND('PROG FORMACIÓN TITULADA'!#REF!,"AAAAAHa/4zY=")</f>
        <v>#REF!</v>
      </c>
      <c r="BD48" t="e">
        <f>AND('PROG FORMACIÓN TITULADA'!#REF!,"AAAAAHa/4zc=")</f>
        <v>#REF!</v>
      </c>
      <c r="BE48" t="e">
        <f>AND('PROG FORMACIÓN TITULADA'!#REF!,"AAAAAHa/4zg=")</f>
        <v>#REF!</v>
      </c>
      <c r="BF48" t="e">
        <f>AND('PROG FORMACIÓN TITULADA'!#REF!,"AAAAAHa/4zk=")</f>
        <v>#REF!</v>
      </c>
      <c r="BG48" t="e">
        <f>AND('PROG FORMACIÓN TITULADA'!#REF!,"AAAAAHa/4zo=")</f>
        <v>#REF!</v>
      </c>
      <c r="BH48" t="e">
        <f>AND('PROG FORMACIÓN TITULADA'!#REF!,"AAAAAHa/4zs=")</f>
        <v>#REF!</v>
      </c>
      <c r="BI48" t="e">
        <f>AND('PROG FORMACIÓN TITULADA'!#REF!,"AAAAAHa/4zw=")</f>
        <v>#REF!</v>
      </c>
      <c r="BJ48" t="e">
        <f>AND('PROG FORMACIÓN TITULADA'!#REF!,"AAAAAHa/4z0=")</f>
        <v>#REF!</v>
      </c>
      <c r="BK48" t="e">
        <f>AND('PROG FORMACIÓN TITULADA'!#REF!,"AAAAAHa/4z4=")</f>
        <v>#REF!</v>
      </c>
      <c r="BL48" t="e">
        <f>AND('PROG FORMACIÓN TITULADA'!#REF!,"AAAAAHa/4z8=")</f>
        <v>#REF!</v>
      </c>
      <c r="BM48" t="e">
        <f>AND('PROG FORMACIÓN TITULADA'!#REF!,"AAAAAHa/40A=")</f>
        <v>#REF!</v>
      </c>
      <c r="BN48" t="e">
        <f>AND('PROG FORMACIÓN TITULADA'!#REF!,"AAAAAHa/40E=")</f>
        <v>#REF!</v>
      </c>
      <c r="BO48" t="e">
        <f>AND('PROG FORMACIÓN TITULADA'!#REF!,"AAAAAHa/40I=")</f>
        <v>#REF!</v>
      </c>
      <c r="BP48" t="e">
        <f>AND('PROG FORMACIÓN TITULADA'!#REF!,"AAAAAHa/40M=")</f>
        <v>#REF!</v>
      </c>
      <c r="BQ48" t="e">
        <f>AND('PROG FORMACIÓN TITULADA'!#REF!,"AAAAAHa/40Q=")</f>
        <v>#REF!</v>
      </c>
      <c r="BR48" t="e">
        <f>AND('PROG FORMACIÓN TITULADA'!#REF!,"AAAAAHa/40U=")</f>
        <v>#REF!</v>
      </c>
      <c r="BS48" t="e">
        <f>AND('PROG FORMACIÓN TITULADA'!#REF!,"AAAAAHa/40Y=")</f>
        <v>#REF!</v>
      </c>
      <c r="BT48" t="e">
        <f>AND('PROG FORMACIÓN TITULADA'!#REF!,"AAAAAHa/40c=")</f>
        <v>#REF!</v>
      </c>
      <c r="BU48" t="e">
        <f>AND('PROG FORMACIÓN TITULADA'!#REF!,"AAAAAHa/40g=")</f>
        <v>#REF!</v>
      </c>
      <c r="BV48" t="e">
        <f>AND('PROG FORMACIÓN TITULADA'!#REF!,"AAAAAHa/40k=")</f>
        <v>#REF!</v>
      </c>
      <c r="BW48" t="e">
        <f>AND('PROG FORMACIÓN TITULADA'!#REF!,"AAAAAHa/40o=")</f>
        <v>#REF!</v>
      </c>
      <c r="BX48" t="e">
        <f>AND('PROG FORMACIÓN TITULADA'!#REF!,"AAAAAHa/40s=")</f>
        <v>#REF!</v>
      </c>
      <c r="BY48" t="e">
        <f>AND('PROG FORMACIÓN TITULADA'!#REF!,"AAAAAHa/40w=")</f>
        <v>#REF!</v>
      </c>
      <c r="BZ48" t="e">
        <f>AND('PROG FORMACIÓN TITULADA'!#REF!,"AAAAAHa/400=")</f>
        <v>#REF!</v>
      </c>
      <c r="CA48" t="e">
        <f>IF('PROG FORMACIÓN TITULADA'!#REF!,"AAAAAHa/404=",0)</f>
        <v>#REF!</v>
      </c>
      <c r="CB48" t="e">
        <f>AND('PROG FORMACIÓN TITULADA'!#REF!,"AAAAAHa/408=")</f>
        <v>#REF!</v>
      </c>
      <c r="CC48" t="e">
        <f>AND('PROG FORMACIÓN TITULADA'!#REF!,"AAAAAHa/41A=")</f>
        <v>#REF!</v>
      </c>
      <c r="CD48" t="e">
        <f>AND('PROG FORMACIÓN TITULADA'!#REF!,"AAAAAHa/41E=")</f>
        <v>#REF!</v>
      </c>
      <c r="CE48" t="e">
        <f>AND('PROG FORMACIÓN TITULADA'!#REF!,"AAAAAHa/41I=")</f>
        <v>#REF!</v>
      </c>
      <c r="CF48" t="e">
        <f>AND('PROG FORMACIÓN TITULADA'!#REF!,"AAAAAHa/41M=")</f>
        <v>#REF!</v>
      </c>
      <c r="CG48" t="e">
        <f>AND('PROG FORMACIÓN TITULADA'!#REF!,"AAAAAHa/41Q=")</f>
        <v>#REF!</v>
      </c>
      <c r="CH48" t="e">
        <f>AND('PROG FORMACIÓN TITULADA'!#REF!,"AAAAAHa/41U=")</f>
        <v>#REF!</v>
      </c>
      <c r="CI48" t="e">
        <f>AND('PROG FORMACIÓN TITULADA'!#REF!,"AAAAAHa/41Y=")</f>
        <v>#REF!</v>
      </c>
      <c r="CJ48" t="e">
        <f>AND('PROG FORMACIÓN TITULADA'!#REF!,"AAAAAHa/41c=")</f>
        <v>#REF!</v>
      </c>
      <c r="CK48" t="e">
        <f>AND('PROG FORMACIÓN TITULADA'!#REF!,"AAAAAHa/41g=")</f>
        <v>#REF!</v>
      </c>
      <c r="CL48" t="e">
        <f>AND('PROG FORMACIÓN TITULADA'!#REF!,"AAAAAHa/41k=")</f>
        <v>#REF!</v>
      </c>
      <c r="CM48" t="e">
        <f>AND('PROG FORMACIÓN TITULADA'!#REF!,"AAAAAHa/41o=")</f>
        <v>#REF!</v>
      </c>
      <c r="CN48" t="e">
        <f>AND('PROG FORMACIÓN TITULADA'!#REF!,"AAAAAHa/41s=")</f>
        <v>#REF!</v>
      </c>
      <c r="CO48" t="e">
        <f>AND('PROG FORMACIÓN TITULADA'!#REF!,"AAAAAHa/41w=")</f>
        <v>#REF!</v>
      </c>
      <c r="CP48" t="e">
        <f>AND('PROG FORMACIÓN TITULADA'!#REF!,"AAAAAHa/410=")</f>
        <v>#REF!</v>
      </c>
      <c r="CQ48" t="e">
        <f>AND('PROG FORMACIÓN TITULADA'!#REF!,"AAAAAHa/414=")</f>
        <v>#REF!</v>
      </c>
      <c r="CR48" t="e">
        <f>AND('PROG FORMACIÓN TITULADA'!#REF!,"AAAAAHa/418=")</f>
        <v>#REF!</v>
      </c>
      <c r="CS48" t="e">
        <f>AND('PROG FORMACIÓN TITULADA'!#REF!,"AAAAAHa/42A=")</f>
        <v>#REF!</v>
      </c>
      <c r="CT48" t="e">
        <f>AND('PROG FORMACIÓN TITULADA'!#REF!,"AAAAAHa/42E=")</f>
        <v>#REF!</v>
      </c>
      <c r="CU48" t="e">
        <f>AND('PROG FORMACIÓN TITULADA'!#REF!,"AAAAAHa/42I=")</f>
        <v>#REF!</v>
      </c>
      <c r="CV48" t="e">
        <f>AND('PROG FORMACIÓN TITULADA'!#REF!,"AAAAAHa/42M=")</f>
        <v>#REF!</v>
      </c>
      <c r="CW48" t="e">
        <f>AND('PROG FORMACIÓN TITULADA'!#REF!,"AAAAAHa/42Q=")</f>
        <v>#REF!</v>
      </c>
      <c r="CX48" t="e">
        <f>AND('PROG FORMACIÓN TITULADA'!#REF!,"AAAAAHa/42U=")</f>
        <v>#REF!</v>
      </c>
      <c r="CY48" t="e">
        <f>AND('PROG FORMACIÓN TITULADA'!#REF!,"AAAAAHa/42Y=")</f>
        <v>#REF!</v>
      </c>
      <c r="CZ48" t="e">
        <f>AND('PROG FORMACIÓN TITULADA'!#REF!,"AAAAAHa/42c=")</f>
        <v>#REF!</v>
      </c>
      <c r="DA48" t="e">
        <f>AND('PROG FORMACIÓN TITULADA'!#REF!,"AAAAAHa/42g=")</f>
        <v>#REF!</v>
      </c>
      <c r="DB48" t="e">
        <f>IF('PROG FORMACIÓN TITULADA'!#REF!,"AAAAAHa/42k=",0)</f>
        <v>#REF!</v>
      </c>
      <c r="DC48" t="e">
        <f>AND('PROG FORMACIÓN TITULADA'!#REF!,"AAAAAHa/42o=")</f>
        <v>#REF!</v>
      </c>
      <c r="DD48" t="e">
        <f>AND('PROG FORMACIÓN TITULADA'!#REF!,"AAAAAHa/42s=")</f>
        <v>#REF!</v>
      </c>
      <c r="DE48" t="e">
        <f>AND('PROG FORMACIÓN TITULADA'!#REF!,"AAAAAHa/42w=")</f>
        <v>#REF!</v>
      </c>
      <c r="DF48" t="e">
        <f>AND('PROG FORMACIÓN TITULADA'!#REF!,"AAAAAHa/420=")</f>
        <v>#REF!</v>
      </c>
      <c r="DG48" t="e">
        <f>AND('PROG FORMACIÓN TITULADA'!#REF!,"AAAAAHa/424=")</f>
        <v>#REF!</v>
      </c>
      <c r="DH48" t="e">
        <f>AND('PROG FORMACIÓN TITULADA'!#REF!,"AAAAAHa/428=")</f>
        <v>#REF!</v>
      </c>
      <c r="DI48" t="e">
        <f>AND('PROG FORMACIÓN TITULADA'!#REF!,"AAAAAHa/43A=")</f>
        <v>#REF!</v>
      </c>
      <c r="DJ48" t="e">
        <f>AND('PROG FORMACIÓN TITULADA'!#REF!,"AAAAAHa/43E=")</f>
        <v>#REF!</v>
      </c>
      <c r="DK48" t="e">
        <f>AND('PROG FORMACIÓN TITULADA'!#REF!,"AAAAAHa/43I=")</f>
        <v>#REF!</v>
      </c>
      <c r="DL48" t="e">
        <f>AND('PROG FORMACIÓN TITULADA'!#REF!,"AAAAAHa/43M=")</f>
        <v>#REF!</v>
      </c>
      <c r="DM48" t="e">
        <f>AND('PROG FORMACIÓN TITULADA'!#REF!,"AAAAAHa/43Q=")</f>
        <v>#REF!</v>
      </c>
      <c r="DN48" t="e">
        <f>AND('PROG FORMACIÓN TITULADA'!#REF!,"AAAAAHa/43U=")</f>
        <v>#REF!</v>
      </c>
      <c r="DO48" t="e">
        <f>AND('PROG FORMACIÓN TITULADA'!#REF!,"AAAAAHa/43Y=")</f>
        <v>#REF!</v>
      </c>
      <c r="DP48" t="e">
        <f>AND('PROG FORMACIÓN TITULADA'!#REF!,"AAAAAHa/43c=")</f>
        <v>#REF!</v>
      </c>
      <c r="DQ48" t="e">
        <f>AND('PROG FORMACIÓN TITULADA'!#REF!,"AAAAAHa/43g=")</f>
        <v>#REF!</v>
      </c>
      <c r="DR48" t="e">
        <f>AND('PROG FORMACIÓN TITULADA'!#REF!,"AAAAAHa/43k=")</f>
        <v>#REF!</v>
      </c>
      <c r="DS48" t="e">
        <f>AND('PROG FORMACIÓN TITULADA'!#REF!,"AAAAAHa/43o=")</f>
        <v>#REF!</v>
      </c>
      <c r="DT48" t="e">
        <f>AND('PROG FORMACIÓN TITULADA'!#REF!,"AAAAAHa/43s=")</f>
        <v>#REF!</v>
      </c>
      <c r="DU48" t="e">
        <f>AND('PROG FORMACIÓN TITULADA'!#REF!,"AAAAAHa/43w=")</f>
        <v>#REF!</v>
      </c>
      <c r="DV48" t="e">
        <f>AND('PROG FORMACIÓN TITULADA'!#REF!,"AAAAAHa/430=")</f>
        <v>#REF!</v>
      </c>
      <c r="DW48" t="e">
        <f>AND('PROG FORMACIÓN TITULADA'!#REF!,"AAAAAHa/434=")</f>
        <v>#REF!</v>
      </c>
      <c r="DX48" t="e">
        <f>AND('PROG FORMACIÓN TITULADA'!#REF!,"AAAAAHa/438=")</f>
        <v>#REF!</v>
      </c>
      <c r="DY48" t="e">
        <f>AND('PROG FORMACIÓN TITULADA'!#REF!,"AAAAAHa/44A=")</f>
        <v>#REF!</v>
      </c>
      <c r="DZ48" t="e">
        <f>AND('PROG FORMACIÓN TITULADA'!#REF!,"AAAAAHa/44E=")</f>
        <v>#REF!</v>
      </c>
      <c r="EA48" t="e">
        <f>AND('PROG FORMACIÓN TITULADA'!#REF!,"AAAAAHa/44I=")</f>
        <v>#REF!</v>
      </c>
      <c r="EB48" t="e">
        <f>AND('PROG FORMACIÓN TITULADA'!#REF!,"AAAAAHa/44M=")</f>
        <v>#REF!</v>
      </c>
      <c r="EC48" t="e">
        <f>IF('PROG FORMACIÓN TITULADA'!#REF!,"AAAAAHa/44Q=",0)</f>
        <v>#REF!</v>
      </c>
      <c r="ED48" t="e">
        <f>AND('PROG FORMACIÓN TITULADA'!#REF!,"AAAAAHa/44U=")</f>
        <v>#REF!</v>
      </c>
      <c r="EE48" t="e">
        <f>AND('PROG FORMACIÓN TITULADA'!#REF!,"AAAAAHa/44Y=")</f>
        <v>#REF!</v>
      </c>
      <c r="EF48" t="e">
        <f>AND('PROG FORMACIÓN TITULADA'!#REF!,"AAAAAHa/44c=")</f>
        <v>#REF!</v>
      </c>
      <c r="EG48" t="e">
        <f>AND('PROG FORMACIÓN TITULADA'!#REF!,"AAAAAHa/44g=")</f>
        <v>#REF!</v>
      </c>
      <c r="EH48" t="e">
        <f>AND('PROG FORMACIÓN TITULADA'!#REF!,"AAAAAHa/44k=")</f>
        <v>#REF!</v>
      </c>
      <c r="EI48" t="e">
        <f>AND('PROG FORMACIÓN TITULADA'!#REF!,"AAAAAHa/44o=")</f>
        <v>#REF!</v>
      </c>
      <c r="EJ48" t="e">
        <f>AND('PROG FORMACIÓN TITULADA'!#REF!,"AAAAAHa/44s=")</f>
        <v>#REF!</v>
      </c>
      <c r="EK48" t="e">
        <f>AND('PROG FORMACIÓN TITULADA'!#REF!,"AAAAAHa/44w=")</f>
        <v>#REF!</v>
      </c>
      <c r="EL48" t="e">
        <f>AND('PROG FORMACIÓN TITULADA'!#REF!,"AAAAAHa/440=")</f>
        <v>#REF!</v>
      </c>
      <c r="EM48" t="e">
        <f>AND('PROG FORMACIÓN TITULADA'!#REF!,"AAAAAHa/444=")</f>
        <v>#REF!</v>
      </c>
      <c r="EN48" t="e">
        <f>AND('PROG FORMACIÓN TITULADA'!#REF!,"AAAAAHa/448=")</f>
        <v>#REF!</v>
      </c>
      <c r="EO48" t="e">
        <f>AND('PROG FORMACIÓN TITULADA'!#REF!,"AAAAAHa/45A=")</f>
        <v>#REF!</v>
      </c>
      <c r="EP48" t="e">
        <f>AND('PROG FORMACIÓN TITULADA'!#REF!,"AAAAAHa/45E=")</f>
        <v>#REF!</v>
      </c>
      <c r="EQ48" t="e">
        <f>AND('PROG FORMACIÓN TITULADA'!#REF!,"AAAAAHa/45I=")</f>
        <v>#REF!</v>
      </c>
      <c r="ER48" t="e">
        <f>AND('PROG FORMACIÓN TITULADA'!#REF!,"AAAAAHa/45M=")</f>
        <v>#REF!</v>
      </c>
      <c r="ES48" t="e">
        <f>AND('PROG FORMACIÓN TITULADA'!#REF!,"AAAAAHa/45Q=")</f>
        <v>#REF!</v>
      </c>
      <c r="ET48" t="e">
        <f>AND('PROG FORMACIÓN TITULADA'!#REF!,"AAAAAHa/45U=")</f>
        <v>#REF!</v>
      </c>
      <c r="EU48" t="e">
        <f>AND('PROG FORMACIÓN TITULADA'!#REF!,"AAAAAHa/45Y=")</f>
        <v>#REF!</v>
      </c>
      <c r="EV48" t="e">
        <f>AND('PROG FORMACIÓN TITULADA'!#REF!,"AAAAAHa/45c=")</f>
        <v>#REF!</v>
      </c>
      <c r="EW48" t="e">
        <f>AND('PROG FORMACIÓN TITULADA'!#REF!,"AAAAAHa/45g=")</f>
        <v>#REF!</v>
      </c>
      <c r="EX48" t="e">
        <f>AND('PROG FORMACIÓN TITULADA'!#REF!,"AAAAAHa/45k=")</f>
        <v>#REF!</v>
      </c>
      <c r="EY48" t="e">
        <f>AND('PROG FORMACIÓN TITULADA'!#REF!,"AAAAAHa/45o=")</f>
        <v>#REF!</v>
      </c>
      <c r="EZ48" t="e">
        <f>AND('PROG FORMACIÓN TITULADA'!#REF!,"AAAAAHa/45s=")</f>
        <v>#REF!</v>
      </c>
      <c r="FA48" t="e">
        <f>AND('PROG FORMACIÓN TITULADA'!#REF!,"AAAAAHa/45w=")</f>
        <v>#REF!</v>
      </c>
      <c r="FB48" t="e">
        <f>AND('PROG FORMACIÓN TITULADA'!#REF!,"AAAAAHa/450=")</f>
        <v>#REF!</v>
      </c>
      <c r="FC48" t="e">
        <f>AND('PROG FORMACIÓN TITULADA'!#REF!,"AAAAAHa/454=")</f>
        <v>#REF!</v>
      </c>
      <c r="FD48" t="e">
        <f>IF('PROG FORMACIÓN TITULADA'!#REF!,"AAAAAHa/458=",0)</f>
        <v>#REF!</v>
      </c>
      <c r="FE48" t="e">
        <f>AND('PROG FORMACIÓN TITULADA'!#REF!,"AAAAAHa/46A=")</f>
        <v>#REF!</v>
      </c>
      <c r="FF48" t="e">
        <f>AND('PROG FORMACIÓN TITULADA'!#REF!,"AAAAAHa/46E=")</f>
        <v>#REF!</v>
      </c>
      <c r="FG48" t="e">
        <f>AND('PROG FORMACIÓN TITULADA'!#REF!,"AAAAAHa/46I=")</f>
        <v>#REF!</v>
      </c>
      <c r="FH48" t="e">
        <f>AND('PROG FORMACIÓN TITULADA'!#REF!,"AAAAAHa/46M=")</f>
        <v>#REF!</v>
      </c>
      <c r="FI48" t="e">
        <f>AND('PROG FORMACIÓN TITULADA'!#REF!,"AAAAAHa/46Q=")</f>
        <v>#REF!</v>
      </c>
      <c r="FJ48" t="e">
        <f>AND('PROG FORMACIÓN TITULADA'!#REF!,"AAAAAHa/46U=")</f>
        <v>#REF!</v>
      </c>
      <c r="FK48" t="e">
        <f>AND('PROG FORMACIÓN TITULADA'!#REF!,"AAAAAHa/46Y=")</f>
        <v>#REF!</v>
      </c>
      <c r="FL48" t="e">
        <f>AND('PROG FORMACIÓN TITULADA'!#REF!,"AAAAAHa/46c=")</f>
        <v>#REF!</v>
      </c>
      <c r="FM48" t="e">
        <f>AND('PROG FORMACIÓN TITULADA'!#REF!,"AAAAAHa/46g=")</f>
        <v>#REF!</v>
      </c>
      <c r="FN48" t="e">
        <f>AND('PROG FORMACIÓN TITULADA'!#REF!,"AAAAAHa/46k=")</f>
        <v>#REF!</v>
      </c>
      <c r="FO48" t="e">
        <f>AND('PROG FORMACIÓN TITULADA'!#REF!,"AAAAAHa/46o=")</f>
        <v>#REF!</v>
      </c>
      <c r="FP48" t="e">
        <f>AND('PROG FORMACIÓN TITULADA'!#REF!,"AAAAAHa/46s=")</f>
        <v>#REF!</v>
      </c>
      <c r="FQ48" t="e">
        <f>AND('PROG FORMACIÓN TITULADA'!#REF!,"AAAAAHa/46w=")</f>
        <v>#REF!</v>
      </c>
      <c r="FR48" t="e">
        <f>AND('PROG FORMACIÓN TITULADA'!#REF!,"AAAAAHa/460=")</f>
        <v>#REF!</v>
      </c>
      <c r="FS48" t="e">
        <f>AND('PROG FORMACIÓN TITULADA'!#REF!,"AAAAAHa/464=")</f>
        <v>#REF!</v>
      </c>
      <c r="FT48" t="e">
        <f>AND('PROG FORMACIÓN TITULADA'!#REF!,"AAAAAHa/468=")</f>
        <v>#REF!</v>
      </c>
      <c r="FU48" t="e">
        <f>AND('PROG FORMACIÓN TITULADA'!#REF!,"AAAAAHa/47A=")</f>
        <v>#REF!</v>
      </c>
      <c r="FV48" t="e">
        <f>AND('PROG FORMACIÓN TITULADA'!#REF!,"AAAAAHa/47E=")</f>
        <v>#REF!</v>
      </c>
      <c r="FW48" t="e">
        <f>AND('PROG FORMACIÓN TITULADA'!#REF!,"AAAAAHa/47I=")</f>
        <v>#REF!</v>
      </c>
      <c r="FX48" t="e">
        <f>AND('PROG FORMACIÓN TITULADA'!#REF!,"AAAAAHa/47M=")</f>
        <v>#REF!</v>
      </c>
      <c r="FY48" t="e">
        <f>AND('PROG FORMACIÓN TITULADA'!#REF!,"AAAAAHa/47Q=")</f>
        <v>#REF!</v>
      </c>
      <c r="FZ48" t="e">
        <f>AND('PROG FORMACIÓN TITULADA'!#REF!,"AAAAAHa/47U=")</f>
        <v>#REF!</v>
      </c>
      <c r="GA48" t="e">
        <f>AND('PROG FORMACIÓN TITULADA'!#REF!,"AAAAAHa/47Y=")</f>
        <v>#REF!</v>
      </c>
      <c r="GB48" t="e">
        <f>AND('PROG FORMACIÓN TITULADA'!#REF!,"AAAAAHa/47c=")</f>
        <v>#REF!</v>
      </c>
      <c r="GC48" t="e">
        <f>AND('PROG FORMACIÓN TITULADA'!#REF!,"AAAAAHa/47g=")</f>
        <v>#REF!</v>
      </c>
      <c r="GD48" t="e">
        <f>AND('PROG FORMACIÓN TITULADA'!#REF!,"AAAAAHa/47k=")</f>
        <v>#REF!</v>
      </c>
      <c r="GE48" t="e">
        <f>IF('PROG FORMACIÓN TITULADA'!#REF!,"AAAAAHa/47o=",0)</f>
        <v>#REF!</v>
      </c>
      <c r="GF48" t="e">
        <f>AND('PROG FORMACIÓN TITULADA'!#REF!,"AAAAAHa/47s=")</f>
        <v>#REF!</v>
      </c>
      <c r="GG48" t="e">
        <f>AND('PROG FORMACIÓN TITULADA'!#REF!,"AAAAAHa/47w=")</f>
        <v>#REF!</v>
      </c>
      <c r="GH48" t="e">
        <f>AND('PROG FORMACIÓN TITULADA'!#REF!,"AAAAAHa/470=")</f>
        <v>#REF!</v>
      </c>
      <c r="GI48" t="e">
        <f>AND('PROG FORMACIÓN TITULADA'!#REF!,"AAAAAHa/474=")</f>
        <v>#REF!</v>
      </c>
      <c r="GJ48" t="e">
        <f>AND('PROG FORMACIÓN TITULADA'!#REF!,"AAAAAHa/478=")</f>
        <v>#REF!</v>
      </c>
      <c r="GK48" t="e">
        <f>AND('PROG FORMACIÓN TITULADA'!#REF!,"AAAAAHa/48A=")</f>
        <v>#REF!</v>
      </c>
      <c r="GL48" t="e">
        <f>AND('PROG FORMACIÓN TITULADA'!#REF!,"AAAAAHa/48E=")</f>
        <v>#REF!</v>
      </c>
      <c r="GM48" t="e">
        <f>AND('PROG FORMACIÓN TITULADA'!#REF!,"AAAAAHa/48I=")</f>
        <v>#REF!</v>
      </c>
      <c r="GN48" t="e">
        <f>AND('PROG FORMACIÓN TITULADA'!#REF!,"AAAAAHa/48M=")</f>
        <v>#REF!</v>
      </c>
      <c r="GO48" t="e">
        <f>AND('PROG FORMACIÓN TITULADA'!#REF!,"AAAAAHa/48Q=")</f>
        <v>#REF!</v>
      </c>
      <c r="GP48" t="e">
        <f>AND('PROG FORMACIÓN TITULADA'!#REF!,"AAAAAHa/48U=")</f>
        <v>#REF!</v>
      </c>
      <c r="GQ48" t="e">
        <f>AND('PROG FORMACIÓN TITULADA'!#REF!,"AAAAAHa/48Y=")</f>
        <v>#REF!</v>
      </c>
      <c r="GR48" t="e">
        <f>AND('PROG FORMACIÓN TITULADA'!#REF!,"AAAAAHa/48c=")</f>
        <v>#REF!</v>
      </c>
      <c r="GS48" t="e">
        <f>AND('PROG FORMACIÓN TITULADA'!#REF!,"AAAAAHa/48g=")</f>
        <v>#REF!</v>
      </c>
      <c r="GT48" t="e">
        <f>AND('PROG FORMACIÓN TITULADA'!#REF!,"AAAAAHa/48k=")</f>
        <v>#REF!</v>
      </c>
      <c r="GU48" t="e">
        <f>AND('PROG FORMACIÓN TITULADA'!#REF!,"AAAAAHa/48o=")</f>
        <v>#REF!</v>
      </c>
      <c r="GV48" t="e">
        <f>AND('PROG FORMACIÓN TITULADA'!#REF!,"AAAAAHa/48s=")</f>
        <v>#REF!</v>
      </c>
      <c r="GW48" t="e">
        <f>AND('PROG FORMACIÓN TITULADA'!#REF!,"AAAAAHa/48w=")</f>
        <v>#REF!</v>
      </c>
      <c r="GX48" t="e">
        <f>AND('PROG FORMACIÓN TITULADA'!#REF!,"AAAAAHa/480=")</f>
        <v>#REF!</v>
      </c>
      <c r="GY48" t="e">
        <f>AND('PROG FORMACIÓN TITULADA'!#REF!,"AAAAAHa/484=")</f>
        <v>#REF!</v>
      </c>
      <c r="GZ48" t="e">
        <f>AND('PROG FORMACIÓN TITULADA'!#REF!,"AAAAAHa/488=")</f>
        <v>#REF!</v>
      </c>
      <c r="HA48" t="e">
        <f>AND('PROG FORMACIÓN TITULADA'!#REF!,"AAAAAHa/49A=")</f>
        <v>#REF!</v>
      </c>
      <c r="HB48" t="e">
        <f>AND('PROG FORMACIÓN TITULADA'!#REF!,"AAAAAHa/49E=")</f>
        <v>#REF!</v>
      </c>
      <c r="HC48" t="e">
        <f>AND('PROG FORMACIÓN TITULADA'!#REF!,"AAAAAHa/49I=")</f>
        <v>#REF!</v>
      </c>
      <c r="HD48" t="e">
        <f>AND('PROG FORMACIÓN TITULADA'!#REF!,"AAAAAHa/49M=")</f>
        <v>#REF!</v>
      </c>
      <c r="HE48" t="e">
        <f>AND('PROG FORMACIÓN TITULADA'!#REF!,"AAAAAHa/49Q=")</f>
        <v>#REF!</v>
      </c>
      <c r="HF48" t="e">
        <f>IF('PROG FORMACIÓN TITULADA'!#REF!,"AAAAAHa/49U=",0)</f>
        <v>#REF!</v>
      </c>
      <c r="HG48" t="e">
        <f>AND('PROG FORMACIÓN TITULADA'!#REF!,"AAAAAHa/49Y=")</f>
        <v>#REF!</v>
      </c>
      <c r="HH48" t="e">
        <f>AND('PROG FORMACIÓN TITULADA'!#REF!,"AAAAAHa/49c=")</f>
        <v>#REF!</v>
      </c>
      <c r="HI48" t="e">
        <f>AND('PROG FORMACIÓN TITULADA'!#REF!,"AAAAAHa/49g=")</f>
        <v>#REF!</v>
      </c>
      <c r="HJ48" t="e">
        <f>AND('PROG FORMACIÓN TITULADA'!#REF!,"AAAAAHa/49k=")</f>
        <v>#REF!</v>
      </c>
      <c r="HK48" t="e">
        <f>AND('PROG FORMACIÓN TITULADA'!#REF!,"AAAAAHa/49o=")</f>
        <v>#REF!</v>
      </c>
      <c r="HL48" t="e">
        <f>AND('PROG FORMACIÓN TITULADA'!#REF!,"AAAAAHa/49s=")</f>
        <v>#REF!</v>
      </c>
      <c r="HM48" t="e">
        <f>AND('PROG FORMACIÓN TITULADA'!#REF!,"AAAAAHa/49w=")</f>
        <v>#REF!</v>
      </c>
      <c r="HN48" t="e">
        <f>AND('PROG FORMACIÓN TITULADA'!#REF!,"AAAAAHa/490=")</f>
        <v>#REF!</v>
      </c>
      <c r="HO48" t="e">
        <f>AND('PROG FORMACIÓN TITULADA'!#REF!,"AAAAAHa/494=")</f>
        <v>#REF!</v>
      </c>
      <c r="HP48" t="e">
        <f>AND('PROG FORMACIÓN TITULADA'!#REF!,"AAAAAHa/498=")</f>
        <v>#REF!</v>
      </c>
      <c r="HQ48" t="e">
        <f>AND('PROG FORMACIÓN TITULADA'!#REF!,"AAAAAHa/4+A=")</f>
        <v>#REF!</v>
      </c>
      <c r="HR48" t="e">
        <f>AND('PROG FORMACIÓN TITULADA'!#REF!,"AAAAAHa/4+E=")</f>
        <v>#REF!</v>
      </c>
      <c r="HS48" t="e">
        <f>AND('PROG FORMACIÓN TITULADA'!#REF!,"AAAAAHa/4+I=")</f>
        <v>#REF!</v>
      </c>
      <c r="HT48" t="e">
        <f>AND('PROG FORMACIÓN TITULADA'!#REF!,"AAAAAHa/4+M=")</f>
        <v>#REF!</v>
      </c>
      <c r="HU48" t="e">
        <f>AND('PROG FORMACIÓN TITULADA'!#REF!,"AAAAAHa/4+Q=")</f>
        <v>#REF!</v>
      </c>
      <c r="HV48" t="e">
        <f>AND('PROG FORMACIÓN TITULADA'!#REF!,"AAAAAHa/4+U=")</f>
        <v>#REF!</v>
      </c>
      <c r="HW48" t="e">
        <f>AND('PROG FORMACIÓN TITULADA'!#REF!,"AAAAAHa/4+Y=")</f>
        <v>#REF!</v>
      </c>
      <c r="HX48" t="e">
        <f>AND('PROG FORMACIÓN TITULADA'!#REF!,"AAAAAHa/4+c=")</f>
        <v>#REF!</v>
      </c>
      <c r="HY48" t="e">
        <f>AND('PROG FORMACIÓN TITULADA'!#REF!,"AAAAAHa/4+g=")</f>
        <v>#REF!</v>
      </c>
      <c r="HZ48" t="e">
        <f>AND('PROG FORMACIÓN TITULADA'!#REF!,"AAAAAHa/4+k=")</f>
        <v>#REF!</v>
      </c>
      <c r="IA48" t="e">
        <f>AND('PROG FORMACIÓN TITULADA'!#REF!,"AAAAAHa/4+o=")</f>
        <v>#REF!</v>
      </c>
      <c r="IB48" t="e">
        <f>AND('PROG FORMACIÓN TITULADA'!#REF!,"AAAAAHa/4+s=")</f>
        <v>#REF!</v>
      </c>
      <c r="IC48" t="e">
        <f>AND('PROG FORMACIÓN TITULADA'!#REF!,"AAAAAHa/4+w=")</f>
        <v>#REF!</v>
      </c>
      <c r="ID48" t="e">
        <f>AND('PROG FORMACIÓN TITULADA'!#REF!,"AAAAAHa/4+0=")</f>
        <v>#REF!</v>
      </c>
      <c r="IE48" t="e">
        <f>AND('PROG FORMACIÓN TITULADA'!#REF!,"AAAAAHa/4+4=")</f>
        <v>#REF!</v>
      </c>
      <c r="IF48" t="e">
        <f>AND('PROG FORMACIÓN TITULADA'!#REF!,"AAAAAHa/4+8=")</f>
        <v>#REF!</v>
      </c>
      <c r="IG48" t="e">
        <f>IF('PROG FORMACIÓN TITULADA'!#REF!,"AAAAAHa/4/A=",0)</f>
        <v>#REF!</v>
      </c>
      <c r="IH48" t="e">
        <f>AND('PROG FORMACIÓN TITULADA'!#REF!,"AAAAAHa/4/E=")</f>
        <v>#REF!</v>
      </c>
      <c r="II48" t="e">
        <f>AND('PROG FORMACIÓN TITULADA'!#REF!,"AAAAAHa/4/I=")</f>
        <v>#REF!</v>
      </c>
      <c r="IJ48" t="e">
        <f>AND('PROG FORMACIÓN TITULADA'!#REF!,"AAAAAHa/4/M=")</f>
        <v>#REF!</v>
      </c>
      <c r="IK48" t="e">
        <f>AND('PROG FORMACIÓN TITULADA'!#REF!,"AAAAAHa/4/Q=")</f>
        <v>#REF!</v>
      </c>
      <c r="IL48" t="e">
        <f>AND('PROG FORMACIÓN TITULADA'!#REF!,"AAAAAHa/4/U=")</f>
        <v>#REF!</v>
      </c>
      <c r="IM48" t="e">
        <f>AND('PROG FORMACIÓN TITULADA'!#REF!,"AAAAAHa/4/Y=")</f>
        <v>#REF!</v>
      </c>
      <c r="IN48" t="e">
        <f>AND('PROG FORMACIÓN TITULADA'!#REF!,"AAAAAHa/4/c=")</f>
        <v>#REF!</v>
      </c>
      <c r="IO48" t="e">
        <f>AND('PROG FORMACIÓN TITULADA'!#REF!,"AAAAAHa/4/g=")</f>
        <v>#REF!</v>
      </c>
      <c r="IP48" t="e">
        <f>AND('PROG FORMACIÓN TITULADA'!#REF!,"AAAAAHa/4/k=")</f>
        <v>#REF!</v>
      </c>
      <c r="IQ48" t="e">
        <f>AND('PROG FORMACIÓN TITULADA'!#REF!,"AAAAAHa/4/o=")</f>
        <v>#REF!</v>
      </c>
      <c r="IR48" t="e">
        <f>AND('PROG FORMACIÓN TITULADA'!#REF!,"AAAAAHa/4/s=")</f>
        <v>#REF!</v>
      </c>
      <c r="IS48" t="e">
        <f>AND('PROG FORMACIÓN TITULADA'!#REF!,"AAAAAHa/4/w=")</f>
        <v>#REF!</v>
      </c>
      <c r="IT48" t="e">
        <f>AND('PROG FORMACIÓN TITULADA'!#REF!,"AAAAAHa/4/0=")</f>
        <v>#REF!</v>
      </c>
      <c r="IU48" t="e">
        <f>AND('PROG FORMACIÓN TITULADA'!#REF!,"AAAAAHa/4/4=")</f>
        <v>#REF!</v>
      </c>
      <c r="IV48" t="e">
        <f>AND('PROG FORMACIÓN TITULADA'!#REF!,"AAAAAHa/4/8=")</f>
        <v>#REF!</v>
      </c>
    </row>
    <row r="49" spans="1:256" x14ac:dyDescent="0.2">
      <c r="A49" t="e">
        <f>AND('PROG FORMACIÓN TITULADA'!#REF!,"AAAAAG97fQA=")</f>
        <v>#REF!</v>
      </c>
      <c r="B49" t="e">
        <f>AND('PROG FORMACIÓN TITULADA'!#REF!,"AAAAAG97fQE=")</f>
        <v>#REF!</v>
      </c>
      <c r="C49" t="e">
        <f>AND('PROG FORMACIÓN TITULADA'!#REF!,"AAAAAG97fQI=")</f>
        <v>#REF!</v>
      </c>
      <c r="D49" t="e">
        <f>AND('PROG FORMACIÓN TITULADA'!#REF!,"AAAAAG97fQM=")</f>
        <v>#REF!</v>
      </c>
      <c r="E49" t="e">
        <f>AND('PROG FORMACIÓN TITULADA'!#REF!,"AAAAAG97fQQ=")</f>
        <v>#REF!</v>
      </c>
      <c r="F49" t="e">
        <f>AND('PROG FORMACIÓN TITULADA'!#REF!,"AAAAAG97fQU=")</f>
        <v>#REF!</v>
      </c>
      <c r="G49" t="e">
        <f>AND('PROG FORMACIÓN TITULADA'!#REF!,"AAAAAG97fQY=")</f>
        <v>#REF!</v>
      </c>
      <c r="H49" t="e">
        <f>AND('PROG FORMACIÓN TITULADA'!#REF!,"AAAAAG97fQc=")</f>
        <v>#REF!</v>
      </c>
      <c r="I49" t="e">
        <f>AND('PROG FORMACIÓN TITULADA'!#REF!,"AAAAAG97fQg=")</f>
        <v>#REF!</v>
      </c>
      <c r="J49" t="e">
        <f>AND('PROG FORMACIÓN TITULADA'!#REF!,"AAAAAG97fQk=")</f>
        <v>#REF!</v>
      </c>
      <c r="K49" t="e">
        <f>AND('PROG FORMACIÓN TITULADA'!#REF!,"AAAAAG97fQo=")</f>
        <v>#REF!</v>
      </c>
      <c r="L49" t="e">
        <f>IF('PROG FORMACIÓN TITULADA'!#REF!,"AAAAAG97fQs=",0)</f>
        <v>#REF!</v>
      </c>
      <c r="M49" t="e">
        <f>AND('PROG FORMACIÓN TITULADA'!#REF!,"AAAAAG97fQw=")</f>
        <v>#REF!</v>
      </c>
      <c r="N49" t="e">
        <f>AND('PROG FORMACIÓN TITULADA'!#REF!,"AAAAAG97fQ0=")</f>
        <v>#REF!</v>
      </c>
      <c r="O49" t="e">
        <f>AND('PROG FORMACIÓN TITULADA'!#REF!,"AAAAAG97fQ4=")</f>
        <v>#REF!</v>
      </c>
      <c r="P49" t="e">
        <f>AND('PROG FORMACIÓN TITULADA'!#REF!,"AAAAAG97fQ8=")</f>
        <v>#REF!</v>
      </c>
      <c r="Q49" t="e">
        <f>AND('PROG FORMACIÓN TITULADA'!#REF!,"AAAAAG97fRA=")</f>
        <v>#REF!</v>
      </c>
      <c r="R49" t="e">
        <f>AND('PROG FORMACIÓN TITULADA'!#REF!,"AAAAAG97fRE=")</f>
        <v>#REF!</v>
      </c>
      <c r="S49" t="e">
        <f>AND('PROG FORMACIÓN TITULADA'!#REF!,"AAAAAG97fRI=")</f>
        <v>#REF!</v>
      </c>
      <c r="T49" t="e">
        <f>AND('PROG FORMACIÓN TITULADA'!#REF!,"AAAAAG97fRM=")</f>
        <v>#REF!</v>
      </c>
      <c r="U49" t="e">
        <f>AND('PROG FORMACIÓN TITULADA'!#REF!,"AAAAAG97fRQ=")</f>
        <v>#REF!</v>
      </c>
      <c r="V49" t="e">
        <f>AND('PROG FORMACIÓN TITULADA'!#REF!,"AAAAAG97fRU=")</f>
        <v>#REF!</v>
      </c>
      <c r="W49" t="e">
        <f>AND('PROG FORMACIÓN TITULADA'!#REF!,"AAAAAG97fRY=")</f>
        <v>#REF!</v>
      </c>
      <c r="X49" t="e">
        <f>AND('PROG FORMACIÓN TITULADA'!#REF!,"AAAAAG97fRc=")</f>
        <v>#REF!</v>
      </c>
      <c r="Y49" t="e">
        <f>AND('PROG FORMACIÓN TITULADA'!#REF!,"AAAAAG97fRg=")</f>
        <v>#REF!</v>
      </c>
      <c r="Z49" t="e">
        <f>AND('PROG FORMACIÓN TITULADA'!#REF!,"AAAAAG97fRk=")</f>
        <v>#REF!</v>
      </c>
      <c r="AA49" t="e">
        <f>AND('PROG FORMACIÓN TITULADA'!#REF!,"AAAAAG97fRo=")</f>
        <v>#REF!</v>
      </c>
      <c r="AB49" t="e">
        <f>AND('PROG FORMACIÓN TITULADA'!#REF!,"AAAAAG97fRs=")</f>
        <v>#REF!</v>
      </c>
      <c r="AC49" t="e">
        <f>AND('PROG FORMACIÓN TITULADA'!#REF!,"AAAAAG97fRw=")</f>
        <v>#REF!</v>
      </c>
      <c r="AD49" t="e">
        <f>AND('PROG FORMACIÓN TITULADA'!#REF!,"AAAAAG97fR0=")</f>
        <v>#REF!</v>
      </c>
      <c r="AE49" t="e">
        <f>AND('PROG FORMACIÓN TITULADA'!#REF!,"AAAAAG97fR4=")</f>
        <v>#REF!</v>
      </c>
      <c r="AF49" t="e">
        <f>AND('PROG FORMACIÓN TITULADA'!#REF!,"AAAAAG97fR8=")</f>
        <v>#REF!</v>
      </c>
      <c r="AG49" t="e">
        <f>AND('PROG FORMACIÓN TITULADA'!#REF!,"AAAAAG97fSA=")</f>
        <v>#REF!</v>
      </c>
      <c r="AH49" t="e">
        <f>AND('PROG FORMACIÓN TITULADA'!#REF!,"AAAAAG97fSE=")</f>
        <v>#REF!</v>
      </c>
      <c r="AI49" t="e">
        <f>AND('PROG FORMACIÓN TITULADA'!#REF!,"AAAAAG97fSI=")</f>
        <v>#REF!</v>
      </c>
      <c r="AJ49" t="e">
        <f>AND('PROG FORMACIÓN TITULADA'!#REF!,"AAAAAG97fSM=")</f>
        <v>#REF!</v>
      </c>
      <c r="AK49" t="e">
        <f>AND('PROG FORMACIÓN TITULADA'!#REF!,"AAAAAG97fSQ=")</f>
        <v>#REF!</v>
      </c>
      <c r="AL49" t="e">
        <f>AND('PROG FORMACIÓN TITULADA'!#REF!,"AAAAAG97fSU=")</f>
        <v>#REF!</v>
      </c>
      <c r="AM49" t="e">
        <f>IF('PROG FORMACIÓN TITULADA'!#REF!,"AAAAAG97fSY=",0)</f>
        <v>#REF!</v>
      </c>
      <c r="AN49" t="e">
        <f>AND('PROG FORMACIÓN TITULADA'!#REF!,"AAAAAG97fSc=")</f>
        <v>#REF!</v>
      </c>
      <c r="AO49" t="e">
        <f>AND('PROG FORMACIÓN TITULADA'!#REF!,"AAAAAG97fSg=")</f>
        <v>#REF!</v>
      </c>
      <c r="AP49" t="e">
        <f>AND('PROG FORMACIÓN TITULADA'!#REF!,"AAAAAG97fSk=")</f>
        <v>#REF!</v>
      </c>
      <c r="AQ49" t="e">
        <f>AND('PROG FORMACIÓN TITULADA'!#REF!,"AAAAAG97fSo=")</f>
        <v>#REF!</v>
      </c>
      <c r="AR49" t="e">
        <f>AND('PROG FORMACIÓN TITULADA'!#REF!,"AAAAAG97fSs=")</f>
        <v>#REF!</v>
      </c>
      <c r="AS49" t="e">
        <f>AND('PROG FORMACIÓN TITULADA'!#REF!,"AAAAAG97fSw=")</f>
        <v>#REF!</v>
      </c>
      <c r="AT49" t="e">
        <f>AND('PROG FORMACIÓN TITULADA'!#REF!,"AAAAAG97fS0=")</f>
        <v>#REF!</v>
      </c>
      <c r="AU49" t="e">
        <f>AND('PROG FORMACIÓN TITULADA'!#REF!,"AAAAAG97fS4=")</f>
        <v>#REF!</v>
      </c>
      <c r="AV49" t="e">
        <f>AND('PROG FORMACIÓN TITULADA'!#REF!,"AAAAAG97fS8=")</f>
        <v>#REF!</v>
      </c>
      <c r="AW49" t="e">
        <f>AND('PROG FORMACIÓN TITULADA'!#REF!,"AAAAAG97fTA=")</f>
        <v>#REF!</v>
      </c>
      <c r="AX49" t="e">
        <f>AND('PROG FORMACIÓN TITULADA'!#REF!,"AAAAAG97fTE=")</f>
        <v>#REF!</v>
      </c>
      <c r="AY49" t="e">
        <f>AND('PROG FORMACIÓN TITULADA'!#REF!,"AAAAAG97fTI=")</f>
        <v>#REF!</v>
      </c>
      <c r="AZ49" t="e">
        <f>AND('PROG FORMACIÓN TITULADA'!#REF!,"AAAAAG97fTM=")</f>
        <v>#REF!</v>
      </c>
      <c r="BA49" t="e">
        <f>AND('PROG FORMACIÓN TITULADA'!#REF!,"AAAAAG97fTQ=")</f>
        <v>#REF!</v>
      </c>
      <c r="BB49" t="e">
        <f>AND('PROG FORMACIÓN TITULADA'!#REF!,"AAAAAG97fTU=")</f>
        <v>#REF!</v>
      </c>
      <c r="BC49" t="e">
        <f>AND('PROG FORMACIÓN TITULADA'!#REF!,"AAAAAG97fTY=")</f>
        <v>#REF!</v>
      </c>
      <c r="BD49" t="e">
        <f>AND('PROG FORMACIÓN TITULADA'!#REF!,"AAAAAG97fTc=")</f>
        <v>#REF!</v>
      </c>
      <c r="BE49" t="e">
        <f>AND('PROG FORMACIÓN TITULADA'!#REF!,"AAAAAG97fTg=")</f>
        <v>#REF!</v>
      </c>
      <c r="BF49" t="e">
        <f>AND('PROG FORMACIÓN TITULADA'!#REF!,"AAAAAG97fTk=")</f>
        <v>#REF!</v>
      </c>
      <c r="BG49" t="e">
        <f>AND('PROG FORMACIÓN TITULADA'!#REF!,"AAAAAG97fTo=")</f>
        <v>#REF!</v>
      </c>
      <c r="BH49" t="e">
        <f>AND('PROG FORMACIÓN TITULADA'!#REF!,"AAAAAG97fTs=")</f>
        <v>#REF!</v>
      </c>
      <c r="BI49" t="e">
        <f>AND('PROG FORMACIÓN TITULADA'!#REF!,"AAAAAG97fTw=")</f>
        <v>#REF!</v>
      </c>
      <c r="BJ49" t="e">
        <f>AND('PROG FORMACIÓN TITULADA'!#REF!,"AAAAAG97fT0=")</f>
        <v>#REF!</v>
      </c>
      <c r="BK49" t="e">
        <f>AND('PROG FORMACIÓN TITULADA'!#REF!,"AAAAAG97fT4=")</f>
        <v>#REF!</v>
      </c>
      <c r="BL49" t="e">
        <f>AND('PROG FORMACIÓN TITULADA'!#REF!,"AAAAAG97fT8=")</f>
        <v>#REF!</v>
      </c>
      <c r="BM49" t="e">
        <f>AND('PROG FORMACIÓN TITULADA'!#REF!,"AAAAAG97fUA=")</f>
        <v>#REF!</v>
      </c>
      <c r="BN49" t="e">
        <f>IF('PROG FORMACIÓN TITULADA'!#REF!,"AAAAAG97fUE=",0)</f>
        <v>#REF!</v>
      </c>
      <c r="BO49" t="e">
        <f>AND('PROG FORMACIÓN TITULADA'!#REF!,"AAAAAG97fUI=")</f>
        <v>#REF!</v>
      </c>
      <c r="BP49" t="e">
        <f>AND('PROG FORMACIÓN TITULADA'!#REF!,"AAAAAG97fUM=")</f>
        <v>#REF!</v>
      </c>
      <c r="BQ49" t="e">
        <f>AND('PROG FORMACIÓN TITULADA'!#REF!,"AAAAAG97fUQ=")</f>
        <v>#REF!</v>
      </c>
      <c r="BR49" t="e">
        <f>AND('PROG FORMACIÓN TITULADA'!#REF!,"AAAAAG97fUU=")</f>
        <v>#REF!</v>
      </c>
      <c r="BS49" t="e">
        <f>AND('PROG FORMACIÓN TITULADA'!#REF!,"AAAAAG97fUY=")</f>
        <v>#REF!</v>
      </c>
      <c r="BT49" t="e">
        <f>AND('PROG FORMACIÓN TITULADA'!#REF!,"AAAAAG97fUc=")</f>
        <v>#REF!</v>
      </c>
      <c r="BU49" t="e">
        <f>AND('PROG FORMACIÓN TITULADA'!#REF!,"AAAAAG97fUg=")</f>
        <v>#REF!</v>
      </c>
      <c r="BV49" t="e">
        <f>AND('PROG FORMACIÓN TITULADA'!#REF!,"AAAAAG97fUk=")</f>
        <v>#REF!</v>
      </c>
      <c r="BW49" t="e">
        <f>AND('PROG FORMACIÓN TITULADA'!#REF!,"AAAAAG97fUo=")</f>
        <v>#REF!</v>
      </c>
      <c r="BX49" t="e">
        <f>AND('PROG FORMACIÓN TITULADA'!#REF!,"AAAAAG97fUs=")</f>
        <v>#REF!</v>
      </c>
      <c r="BY49" t="e">
        <f>AND('PROG FORMACIÓN TITULADA'!#REF!,"AAAAAG97fUw=")</f>
        <v>#REF!</v>
      </c>
      <c r="BZ49" t="e">
        <f>AND('PROG FORMACIÓN TITULADA'!#REF!,"AAAAAG97fU0=")</f>
        <v>#REF!</v>
      </c>
      <c r="CA49" t="e">
        <f>AND('PROG FORMACIÓN TITULADA'!#REF!,"AAAAAG97fU4=")</f>
        <v>#REF!</v>
      </c>
      <c r="CB49" t="e">
        <f>AND('PROG FORMACIÓN TITULADA'!#REF!,"AAAAAG97fU8=")</f>
        <v>#REF!</v>
      </c>
      <c r="CC49" t="e">
        <f>AND('PROG FORMACIÓN TITULADA'!#REF!,"AAAAAG97fVA=")</f>
        <v>#REF!</v>
      </c>
      <c r="CD49" t="e">
        <f>AND('PROG FORMACIÓN TITULADA'!#REF!,"AAAAAG97fVE=")</f>
        <v>#REF!</v>
      </c>
      <c r="CE49" t="e">
        <f>AND('PROG FORMACIÓN TITULADA'!#REF!,"AAAAAG97fVI=")</f>
        <v>#REF!</v>
      </c>
      <c r="CF49" t="e">
        <f>AND('PROG FORMACIÓN TITULADA'!#REF!,"AAAAAG97fVM=")</f>
        <v>#REF!</v>
      </c>
      <c r="CG49" t="e">
        <f>AND('PROG FORMACIÓN TITULADA'!#REF!,"AAAAAG97fVQ=")</f>
        <v>#REF!</v>
      </c>
      <c r="CH49" t="e">
        <f>AND('PROG FORMACIÓN TITULADA'!#REF!,"AAAAAG97fVU=")</f>
        <v>#REF!</v>
      </c>
      <c r="CI49" t="e">
        <f>AND('PROG FORMACIÓN TITULADA'!#REF!,"AAAAAG97fVY=")</f>
        <v>#REF!</v>
      </c>
      <c r="CJ49" t="e">
        <f>AND('PROG FORMACIÓN TITULADA'!#REF!,"AAAAAG97fVc=")</f>
        <v>#REF!</v>
      </c>
      <c r="CK49" t="e">
        <f>AND('PROG FORMACIÓN TITULADA'!#REF!,"AAAAAG97fVg=")</f>
        <v>#REF!</v>
      </c>
      <c r="CL49" t="e">
        <f>AND('PROG FORMACIÓN TITULADA'!#REF!,"AAAAAG97fVk=")</f>
        <v>#REF!</v>
      </c>
      <c r="CM49" t="e">
        <f>AND('PROG FORMACIÓN TITULADA'!#REF!,"AAAAAG97fVo=")</f>
        <v>#REF!</v>
      </c>
      <c r="CN49" t="e">
        <f>AND('PROG FORMACIÓN TITULADA'!#REF!,"AAAAAG97fVs=")</f>
        <v>#REF!</v>
      </c>
      <c r="CO49" t="e">
        <f>IF('PROG FORMACIÓN TITULADA'!#REF!,"AAAAAG97fVw=",0)</f>
        <v>#REF!</v>
      </c>
      <c r="CP49" t="e">
        <f>AND('PROG FORMACIÓN TITULADA'!#REF!,"AAAAAG97fV0=")</f>
        <v>#REF!</v>
      </c>
      <c r="CQ49" t="e">
        <f>AND('PROG FORMACIÓN TITULADA'!#REF!,"AAAAAG97fV4=")</f>
        <v>#REF!</v>
      </c>
      <c r="CR49" t="e">
        <f>AND('PROG FORMACIÓN TITULADA'!#REF!,"AAAAAG97fV8=")</f>
        <v>#REF!</v>
      </c>
      <c r="CS49" t="e">
        <f>AND('PROG FORMACIÓN TITULADA'!#REF!,"AAAAAG97fWA=")</f>
        <v>#REF!</v>
      </c>
      <c r="CT49" t="e">
        <f>AND('PROG FORMACIÓN TITULADA'!#REF!,"AAAAAG97fWE=")</f>
        <v>#REF!</v>
      </c>
      <c r="CU49" t="e">
        <f>AND('PROG FORMACIÓN TITULADA'!#REF!,"AAAAAG97fWI=")</f>
        <v>#REF!</v>
      </c>
      <c r="CV49" t="e">
        <f>AND('PROG FORMACIÓN TITULADA'!#REF!,"AAAAAG97fWM=")</f>
        <v>#REF!</v>
      </c>
      <c r="CW49" t="e">
        <f>AND('PROG FORMACIÓN TITULADA'!#REF!,"AAAAAG97fWQ=")</f>
        <v>#REF!</v>
      </c>
      <c r="CX49" t="e">
        <f>AND('PROG FORMACIÓN TITULADA'!#REF!,"AAAAAG97fWU=")</f>
        <v>#REF!</v>
      </c>
      <c r="CY49" t="e">
        <f>AND('PROG FORMACIÓN TITULADA'!#REF!,"AAAAAG97fWY=")</f>
        <v>#REF!</v>
      </c>
      <c r="CZ49" t="e">
        <f>AND('PROG FORMACIÓN TITULADA'!#REF!,"AAAAAG97fWc=")</f>
        <v>#REF!</v>
      </c>
      <c r="DA49" t="e">
        <f>AND('PROG FORMACIÓN TITULADA'!#REF!,"AAAAAG97fWg=")</f>
        <v>#REF!</v>
      </c>
      <c r="DB49" t="e">
        <f>AND('PROG FORMACIÓN TITULADA'!#REF!,"AAAAAG97fWk=")</f>
        <v>#REF!</v>
      </c>
      <c r="DC49" t="e">
        <f>AND('PROG FORMACIÓN TITULADA'!#REF!,"AAAAAG97fWo=")</f>
        <v>#REF!</v>
      </c>
      <c r="DD49" t="e">
        <f>AND('PROG FORMACIÓN TITULADA'!#REF!,"AAAAAG97fWs=")</f>
        <v>#REF!</v>
      </c>
      <c r="DE49" t="e">
        <f>AND('PROG FORMACIÓN TITULADA'!#REF!,"AAAAAG97fWw=")</f>
        <v>#REF!</v>
      </c>
      <c r="DF49" t="e">
        <f>AND('PROG FORMACIÓN TITULADA'!#REF!,"AAAAAG97fW0=")</f>
        <v>#REF!</v>
      </c>
      <c r="DG49" t="e">
        <f>AND('PROG FORMACIÓN TITULADA'!#REF!,"AAAAAG97fW4=")</f>
        <v>#REF!</v>
      </c>
      <c r="DH49" t="e">
        <f>AND('PROG FORMACIÓN TITULADA'!#REF!,"AAAAAG97fW8=")</f>
        <v>#REF!</v>
      </c>
      <c r="DI49" t="e">
        <f>AND('PROG FORMACIÓN TITULADA'!#REF!,"AAAAAG97fXA=")</f>
        <v>#REF!</v>
      </c>
      <c r="DJ49" t="e">
        <f>AND('PROG FORMACIÓN TITULADA'!#REF!,"AAAAAG97fXE=")</f>
        <v>#REF!</v>
      </c>
      <c r="DK49" t="e">
        <f>AND('PROG FORMACIÓN TITULADA'!#REF!,"AAAAAG97fXI=")</f>
        <v>#REF!</v>
      </c>
      <c r="DL49" t="e">
        <f>AND('PROG FORMACIÓN TITULADA'!#REF!,"AAAAAG97fXM=")</f>
        <v>#REF!</v>
      </c>
      <c r="DM49" t="e">
        <f>AND('PROG FORMACIÓN TITULADA'!#REF!,"AAAAAG97fXQ=")</f>
        <v>#REF!</v>
      </c>
      <c r="DN49" t="e">
        <f>AND('PROG FORMACIÓN TITULADA'!#REF!,"AAAAAG97fXU=")</f>
        <v>#REF!</v>
      </c>
      <c r="DO49" t="e">
        <f>AND('PROG FORMACIÓN TITULADA'!#REF!,"AAAAAG97fXY=")</f>
        <v>#REF!</v>
      </c>
      <c r="DP49" t="e">
        <f>IF('PROG FORMACIÓN TITULADA'!#REF!,"AAAAAG97fXc=",0)</f>
        <v>#REF!</v>
      </c>
      <c r="DQ49" t="e">
        <f>AND('PROG FORMACIÓN TITULADA'!#REF!,"AAAAAG97fXg=")</f>
        <v>#REF!</v>
      </c>
      <c r="DR49" t="e">
        <f>AND('PROG FORMACIÓN TITULADA'!#REF!,"AAAAAG97fXk=")</f>
        <v>#REF!</v>
      </c>
      <c r="DS49" t="e">
        <f>AND('PROG FORMACIÓN TITULADA'!#REF!,"AAAAAG97fXo=")</f>
        <v>#REF!</v>
      </c>
      <c r="DT49" t="e">
        <f>AND('PROG FORMACIÓN TITULADA'!#REF!,"AAAAAG97fXs=")</f>
        <v>#REF!</v>
      </c>
      <c r="DU49" t="e">
        <f>AND('PROG FORMACIÓN TITULADA'!#REF!,"AAAAAG97fXw=")</f>
        <v>#REF!</v>
      </c>
      <c r="DV49" t="e">
        <f>AND('PROG FORMACIÓN TITULADA'!#REF!,"AAAAAG97fX0=")</f>
        <v>#REF!</v>
      </c>
      <c r="DW49" t="e">
        <f>AND('PROG FORMACIÓN TITULADA'!#REF!,"AAAAAG97fX4=")</f>
        <v>#REF!</v>
      </c>
      <c r="DX49" t="e">
        <f>AND('PROG FORMACIÓN TITULADA'!#REF!,"AAAAAG97fX8=")</f>
        <v>#REF!</v>
      </c>
      <c r="DY49" t="e">
        <f>AND('PROG FORMACIÓN TITULADA'!#REF!,"AAAAAG97fYA=")</f>
        <v>#REF!</v>
      </c>
      <c r="DZ49" t="e">
        <f>AND('PROG FORMACIÓN TITULADA'!#REF!,"AAAAAG97fYE=")</f>
        <v>#REF!</v>
      </c>
      <c r="EA49" t="e">
        <f>AND('PROG FORMACIÓN TITULADA'!#REF!,"AAAAAG97fYI=")</f>
        <v>#REF!</v>
      </c>
      <c r="EB49" t="e">
        <f>AND('PROG FORMACIÓN TITULADA'!#REF!,"AAAAAG97fYM=")</f>
        <v>#REF!</v>
      </c>
      <c r="EC49" t="e">
        <f>AND('PROG FORMACIÓN TITULADA'!#REF!,"AAAAAG97fYQ=")</f>
        <v>#REF!</v>
      </c>
      <c r="ED49" t="e">
        <f>AND('PROG FORMACIÓN TITULADA'!#REF!,"AAAAAG97fYU=")</f>
        <v>#REF!</v>
      </c>
      <c r="EE49" t="e">
        <f>AND('PROG FORMACIÓN TITULADA'!#REF!,"AAAAAG97fYY=")</f>
        <v>#REF!</v>
      </c>
      <c r="EF49" t="e">
        <f>AND('PROG FORMACIÓN TITULADA'!#REF!,"AAAAAG97fYc=")</f>
        <v>#REF!</v>
      </c>
      <c r="EG49" t="e">
        <f>AND('PROG FORMACIÓN TITULADA'!#REF!,"AAAAAG97fYg=")</f>
        <v>#REF!</v>
      </c>
      <c r="EH49" t="e">
        <f>AND('PROG FORMACIÓN TITULADA'!#REF!,"AAAAAG97fYk=")</f>
        <v>#REF!</v>
      </c>
      <c r="EI49" t="e">
        <f>AND('PROG FORMACIÓN TITULADA'!#REF!,"AAAAAG97fYo=")</f>
        <v>#REF!</v>
      </c>
      <c r="EJ49" t="e">
        <f>AND('PROG FORMACIÓN TITULADA'!#REF!,"AAAAAG97fYs=")</f>
        <v>#REF!</v>
      </c>
      <c r="EK49" t="e">
        <f>AND('PROG FORMACIÓN TITULADA'!#REF!,"AAAAAG97fYw=")</f>
        <v>#REF!</v>
      </c>
      <c r="EL49" t="e">
        <f>AND('PROG FORMACIÓN TITULADA'!#REF!,"AAAAAG97fY0=")</f>
        <v>#REF!</v>
      </c>
      <c r="EM49" t="e">
        <f>AND('PROG FORMACIÓN TITULADA'!#REF!,"AAAAAG97fY4=")</f>
        <v>#REF!</v>
      </c>
      <c r="EN49" t="e">
        <f>AND('PROG FORMACIÓN TITULADA'!#REF!,"AAAAAG97fY8=")</f>
        <v>#REF!</v>
      </c>
      <c r="EO49" t="e">
        <f>AND('PROG FORMACIÓN TITULADA'!#REF!,"AAAAAG97fZA=")</f>
        <v>#REF!</v>
      </c>
      <c r="EP49" t="e">
        <f>AND('PROG FORMACIÓN TITULADA'!#REF!,"AAAAAG97fZE=")</f>
        <v>#REF!</v>
      </c>
      <c r="EQ49" t="e">
        <f>IF('PROG FORMACIÓN TITULADA'!#REF!,"AAAAAG97fZI=",0)</f>
        <v>#REF!</v>
      </c>
      <c r="ER49" t="e">
        <f>AND('PROG FORMACIÓN TITULADA'!#REF!,"AAAAAG97fZM=")</f>
        <v>#REF!</v>
      </c>
      <c r="ES49" t="e">
        <f>AND('PROG FORMACIÓN TITULADA'!#REF!,"AAAAAG97fZQ=")</f>
        <v>#REF!</v>
      </c>
      <c r="ET49" t="e">
        <f>AND('PROG FORMACIÓN TITULADA'!#REF!,"AAAAAG97fZU=")</f>
        <v>#REF!</v>
      </c>
      <c r="EU49" t="e">
        <f>AND('PROG FORMACIÓN TITULADA'!#REF!,"AAAAAG97fZY=")</f>
        <v>#REF!</v>
      </c>
      <c r="EV49" t="e">
        <f>AND('PROG FORMACIÓN TITULADA'!#REF!,"AAAAAG97fZc=")</f>
        <v>#REF!</v>
      </c>
      <c r="EW49" t="e">
        <f>AND('PROG FORMACIÓN TITULADA'!#REF!,"AAAAAG97fZg=")</f>
        <v>#REF!</v>
      </c>
      <c r="EX49" t="e">
        <f>AND('PROG FORMACIÓN TITULADA'!#REF!,"AAAAAG97fZk=")</f>
        <v>#REF!</v>
      </c>
      <c r="EY49" t="e">
        <f>AND('PROG FORMACIÓN TITULADA'!#REF!,"AAAAAG97fZo=")</f>
        <v>#REF!</v>
      </c>
      <c r="EZ49" t="e">
        <f>AND('PROG FORMACIÓN TITULADA'!#REF!,"AAAAAG97fZs=")</f>
        <v>#REF!</v>
      </c>
      <c r="FA49" t="e">
        <f>AND('PROG FORMACIÓN TITULADA'!#REF!,"AAAAAG97fZw=")</f>
        <v>#REF!</v>
      </c>
      <c r="FB49" t="e">
        <f>AND('PROG FORMACIÓN TITULADA'!#REF!,"AAAAAG97fZ0=")</f>
        <v>#REF!</v>
      </c>
      <c r="FC49" t="e">
        <f>AND('PROG FORMACIÓN TITULADA'!#REF!,"AAAAAG97fZ4=")</f>
        <v>#REF!</v>
      </c>
      <c r="FD49" t="e">
        <f>AND('PROG FORMACIÓN TITULADA'!#REF!,"AAAAAG97fZ8=")</f>
        <v>#REF!</v>
      </c>
      <c r="FE49" t="e">
        <f>AND('PROG FORMACIÓN TITULADA'!#REF!,"AAAAAG97faA=")</f>
        <v>#REF!</v>
      </c>
      <c r="FF49" t="e">
        <f>AND('PROG FORMACIÓN TITULADA'!#REF!,"AAAAAG97faE=")</f>
        <v>#REF!</v>
      </c>
      <c r="FG49" t="e">
        <f>AND('PROG FORMACIÓN TITULADA'!#REF!,"AAAAAG97faI=")</f>
        <v>#REF!</v>
      </c>
      <c r="FH49" t="e">
        <f>AND('PROG FORMACIÓN TITULADA'!#REF!,"AAAAAG97faM=")</f>
        <v>#REF!</v>
      </c>
      <c r="FI49" t="e">
        <f>AND('PROG FORMACIÓN TITULADA'!#REF!,"AAAAAG97faQ=")</f>
        <v>#REF!</v>
      </c>
      <c r="FJ49" t="e">
        <f>AND('PROG FORMACIÓN TITULADA'!#REF!,"AAAAAG97faU=")</f>
        <v>#REF!</v>
      </c>
      <c r="FK49" t="e">
        <f>AND('PROG FORMACIÓN TITULADA'!#REF!,"AAAAAG97faY=")</f>
        <v>#REF!</v>
      </c>
      <c r="FL49" t="e">
        <f>AND('PROG FORMACIÓN TITULADA'!#REF!,"AAAAAG97fac=")</f>
        <v>#REF!</v>
      </c>
      <c r="FM49" t="e">
        <f>AND('PROG FORMACIÓN TITULADA'!#REF!,"AAAAAG97fag=")</f>
        <v>#REF!</v>
      </c>
      <c r="FN49" t="e">
        <f>AND('PROG FORMACIÓN TITULADA'!#REF!,"AAAAAG97fak=")</f>
        <v>#REF!</v>
      </c>
      <c r="FO49" t="e">
        <f>AND('PROG FORMACIÓN TITULADA'!#REF!,"AAAAAG97fao=")</f>
        <v>#REF!</v>
      </c>
      <c r="FP49" t="e">
        <f>AND('PROG FORMACIÓN TITULADA'!#REF!,"AAAAAG97fas=")</f>
        <v>#REF!</v>
      </c>
      <c r="FQ49" t="e">
        <f>AND('PROG FORMACIÓN TITULADA'!#REF!,"AAAAAG97faw=")</f>
        <v>#REF!</v>
      </c>
      <c r="FR49" t="e">
        <f>IF('PROG FORMACIÓN TITULADA'!#REF!,"AAAAAG97fa0=",0)</f>
        <v>#REF!</v>
      </c>
      <c r="FS49" t="e">
        <f>AND('PROG FORMACIÓN TITULADA'!#REF!,"AAAAAG97fa4=")</f>
        <v>#REF!</v>
      </c>
      <c r="FT49" t="e">
        <f>AND('PROG FORMACIÓN TITULADA'!#REF!,"AAAAAG97fa8=")</f>
        <v>#REF!</v>
      </c>
      <c r="FU49" t="e">
        <f>AND('PROG FORMACIÓN TITULADA'!#REF!,"AAAAAG97fbA=")</f>
        <v>#REF!</v>
      </c>
      <c r="FV49" t="e">
        <f>AND('PROG FORMACIÓN TITULADA'!#REF!,"AAAAAG97fbE=")</f>
        <v>#REF!</v>
      </c>
      <c r="FW49" t="e">
        <f>AND('PROG FORMACIÓN TITULADA'!#REF!,"AAAAAG97fbI=")</f>
        <v>#REF!</v>
      </c>
      <c r="FX49" t="e">
        <f>AND('PROG FORMACIÓN TITULADA'!#REF!,"AAAAAG97fbM=")</f>
        <v>#REF!</v>
      </c>
      <c r="FY49" t="e">
        <f>AND('PROG FORMACIÓN TITULADA'!#REF!,"AAAAAG97fbQ=")</f>
        <v>#REF!</v>
      </c>
      <c r="FZ49" t="e">
        <f>AND('PROG FORMACIÓN TITULADA'!#REF!,"AAAAAG97fbU=")</f>
        <v>#REF!</v>
      </c>
      <c r="GA49" t="e">
        <f>AND('PROG FORMACIÓN TITULADA'!#REF!,"AAAAAG97fbY=")</f>
        <v>#REF!</v>
      </c>
      <c r="GB49" t="e">
        <f>AND('PROG FORMACIÓN TITULADA'!#REF!,"AAAAAG97fbc=")</f>
        <v>#REF!</v>
      </c>
      <c r="GC49" t="e">
        <f>AND('PROG FORMACIÓN TITULADA'!#REF!,"AAAAAG97fbg=")</f>
        <v>#REF!</v>
      </c>
      <c r="GD49" t="e">
        <f>AND('PROG FORMACIÓN TITULADA'!#REF!,"AAAAAG97fbk=")</f>
        <v>#REF!</v>
      </c>
      <c r="GE49" t="e">
        <f>AND('PROG FORMACIÓN TITULADA'!#REF!,"AAAAAG97fbo=")</f>
        <v>#REF!</v>
      </c>
      <c r="GF49" t="e">
        <f>AND('PROG FORMACIÓN TITULADA'!#REF!,"AAAAAG97fbs=")</f>
        <v>#REF!</v>
      </c>
      <c r="GG49" t="e">
        <f>AND('PROG FORMACIÓN TITULADA'!#REF!,"AAAAAG97fbw=")</f>
        <v>#REF!</v>
      </c>
      <c r="GH49" t="e">
        <f>AND('PROG FORMACIÓN TITULADA'!#REF!,"AAAAAG97fb0=")</f>
        <v>#REF!</v>
      </c>
      <c r="GI49" t="e">
        <f>AND('PROG FORMACIÓN TITULADA'!#REF!,"AAAAAG97fb4=")</f>
        <v>#REF!</v>
      </c>
      <c r="GJ49" t="e">
        <f>AND('PROG FORMACIÓN TITULADA'!#REF!,"AAAAAG97fb8=")</f>
        <v>#REF!</v>
      </c>
      <c r="GK49" t="e">
        <f>AND('PROG FORMACIÓN TITULADA'!#REF!,"AAAAAG97fcA=")</f>
        <v>#REF!</v>
      </c>
      <c r="GL49" t="e">
        <f>AND('PROG FORMACIÓN TITULADA'!#REF!,"AAAAAG97fcE=")</f>
        <v>#REF!</v>
      </c>
      <c r="GM49" t="e">
        <f>AND('PROG FORMACIÓN TITULADA'!#REF!,"AAAAAG97fcI=")</f>
        <v>#REF!</v>
      </c>
      <c r="GN49" t="e">
        <f>AND('PROG FORMACIÓN TITULADA'!#REF!,"AAAAAG97fcM=")</f>
        <v>#REF!</v>
      </c>
      <c r="GO49" t="e">
        <f>AND('PROG FORMACIÓN TITULADA'!#REF!,"AAAAAG97fcQ=")</f>
        <v>#REF!</v>
      </c>
      <c r="GP49" t="e">
        <f>AND('PROG FORMACIÓN TITULADA'!#REF!,"AAAAAG97fcU=")</f>
        <v>#REF!</v>
      </c>
      <c r="GQ49" t="e">
        <f>AND('PROG FORMACIÓN TITULADA'!#REF!,"AAAAAG97fcY=")</f>
        <v>#REF!</v>
      </c>
      <c r="GR49" t="e">
        <f>AND('PROG FORMACIÓN TITULADA'!#REF!,"AAAAAG97fcc=")</f>
        <v>#REF!</v>
      </c>
      <c r="GS49" t="e">
        <f>IF('PROG FORMACIÓN TITULADA'!#REF!,"AAAAAG97fcg=",0)</f>
        <v>#REF!</v>
      </c>
      <c r="GT49" t="e">
        <f>AND('PROG FORMACIÓN TITULADA'!#REF!,"AAAAAG97fck=")</f>
        <v>#REF!</v>
      </c>
      <c r="GU49" t="e">
        <f>AND('PROG FORMACIÓN TITULADA'!#REF!,"AAAAAG97fco=")</f>
        <v>#REF!</v>
      </c>
      <c r="GV49" t="e">
        <f>AND('PROG FORMACIÓN TITULADA'!#REF!,"AAAAAG97fcs=")</f>
        <v>#REF!</v>
      </c>
      <c r="GW49" t="e">
        <f>AND('PROG FORMACIÓN TITULADA'!#REF!,"AAAAAG97fcw=")</f>
        <v>#REF!</v>
      </c>
      <c r="GX49" t="e">
        <f>AND('PROG FORMACIÓN TITULADA'!#REF!,"AAAAAG97fc0=")</f>
        <v>#REF!</v>
      </c>
      <c r="GY49" t="e">
        <f>AND('PROG FORMACIÓN TITULADA'!#REF!,"AAAAAG97fc4=")</f>
        <v>#REF!</v>
      </c>
      <c r="GZ49" t="e">
        <f>AND('PROG FORMACIÓN TITULADA'!#REF!,"AAAAAG97fc8=")</f>
        <v>#REF!</v>
      </c>
      <c r="HA49" t="e">
        <f>AND('PROG FORMACIÓN TITULADA'!#REF!,"AAAAAG97fdA=")</f>
        <v>#REF!</v>
      </c>
      <c r="HB49" t="e">
        <f>AND('PROG FORMACIÓN TITULADA'!#REF!,"AAAAAG97fdE=")</f>
        <v>#REF!</v>
      </c>
      <c r="HC49" t="e">
        <f>AND('PROG FORMACIÓN TITULADA'!#REF!,"AAAAAG97fdI=")</f>
        <v>#REF!</v>
      </c>
      <c r="HD49" t="e">
        <f>AND('PROG FORMACIÓN TITULADA'!#REF!,"AAAAAG97fdM=")</f>
        <v>#REF!</v>
      </c>
      <c r="HE49" t="e">
        <f>AND('PROG FORMACIÓN TITULADA'!#REF!,"AAAAAG97fdQ=")</f>
        <v>#REF!</v>
      </c>
      <c r="HF49" t="e">
        <f>AND('PROG FORMACIÓN TITULADA'!#REF!,"AAAAAG97fdU=")</f>
        <v>#REF!</v>
      </c>
      <c r="HG49" t="e">
        <f>AND('PROG FORMACIÓN TITULADA'!#REF!,"AAAAAG97fdY=")</f>
        <v>#REF!</v>
      </c>
      <c r="HH49" t="e">
        <f>AND('PROG FORMACIÓN TITULADA'!#REF!,"AAAAAG97fdc=")</f>
        <v>#REF!</v>
      </c>
      <c r="HI49" t="e">
        <f>AND('PROG FORMACIÓN TITULADA'!#REF!,"AAAAAG97fdg=")</f>
        <v>#REF!</v>
      </c>
      <c r="HJ49" t="e">
        <f>AND('PROG FORMACIÓN TITULADA'!#REF!,"AAAAAG97fdk=")</f>
        <v>#REF!</v>
      </c>
      <c r="HK49" t="e">
        <f>AND('PROG FORMACIÓN TITULADA'!#REF!,"AAAAAG97fdo=")</f>
        <v>#REF!</v>
      </c>
      <c r="HL49" t="e">
        <f>AND('PROG FORMACIÓN TITULADA'!#REF!,"AAAAAG97fds=")</f>
        <v>#REF!</v>
      </c>
      <c r="HM49" t="e">
        <f>AND('PROG FORMACIÓN TITULADA'!#REF!,"AAAAAG97fdw=")</f>
        <v>#REF!</v>
      </c>
      <c r="HN49" t="e">
        <f>AND('PROG FORMACIÓN TITULADA'!#REF!,"AAAAAG97fd0=")</f>
        <v>#REF!</v>
      </c>
      <c r="HO49" t="e">
        <f>AND('PROG FORMACIÓN TITULADA'!#REF!,"AAAAAG97fd4=")</f>
        <v>#REF!</v>
      </c>
      <c r="HP49" t="e">
        <f>AND('PROG FORMACIÓN TITULADA'!#REF!,"AAAAAG97fd8=")</f>
        <v>#REF!</v>
      </c>
      <c r="HQ49" t="e">
        <f>AND('PROG FORMACIÓN TITULADA'!#REF!,"AAAAAG97feA=")</f>
        <v>#REF!</v>
      </c>
      <c r="HR49" t="e">
        <f>AND('PROG FORMACIÓN TITULADA'!#REF!,"AAAAAG97feE=")</f>
        <v>#REF!</v>
      </c>
      <c r="HS49" t="e">
        <f>AND('PROG FORMACIÓN TITULADA'!#REF!,"AAAAAG97feI=")</f>
        <v>#REF!</v>
      </c>
      <c r="HT49" t="e">
        <f>IF('PROG FORMACIÓN TITULADA'!#REF!,"AAAAAG97feM=",0)</f>
        <v>#REF!</v>
      </c>
      <c r="HU49" t="e">
        <f>AND('PROG FORMACIÓN TITULADA'!#REF!,"AAAAAG97feQ=")</f>
        <v>#REF!</v>
      </c>
      <c r="HV49" t="e">
        <f>AND('PROG FORMACIÓN TITULADA'!#REF!,"AAAAAG97feU=")</f>
        <v>#REF!</v>
      </c>
      <c r="HW49" t="e">
        <f>AND('PROG FORMACIÓN TITULADA'!#REF!,"AAAAAG97feY=")</f>
        <v>#REF!</v>
      </c>
      <c r="HX49" t="e">
        <f>AND('PROG FORMACIÓN TITULADA'!#REF!,"AAAAAG97fec=")</f>
        <v>#REF!</v>
      </c>
      <c r="HY49" t="e">
        <f>AND('PROG FORMACIÓN TITULADA'!#REF!,"AAAAAG97feg=")</f>
        <v>#REF!</v>
      </c>
      <c r="HZ49" t="e">
        <f>AND('PROG FORMACIÓN TITULADA'!#REF!,"AAAAAG97fek=")</f>
        <v>#REF!</v>
      </c>
      <c r="IA49" t="e">
        <f>AND('PROG FORMACIÓN TITULADA'!#REF!,"AAAAAG97feo=")</f>
        <v>#REF!</v>
      </c>
      <c r="IB49" t="e">
        <f>AND('PROG FORMACIÓN TITULADA'!#REF!,"AAAAAG97fes=")</f>
        <v>#REF!</v>
      </c>
      <c r="IC49" t="e">
        <f>AND('PROG FORMACIÓN TITULADA'!#REF!,"AAAAAG97few=")</f>
        <v>#REF!</v>
      </c>
      <c r="ID49" t="e">
        <f>AND('PROG FORMACIÓN TITULADA'!#REF!,"AAAAAG97fe0=")</f>
        <v>#REF!</v>
      </c>
      <c r="IE49" t="e">
        <f>AND('PROG FORMACIÓN TITULADA'!#REF!,"AAAAAG97fe4=")</f>
        <v>#REF!</v>
      </c>
      <c r="IF49" t="e">
        <f>AND('PROG FORMACIÓN TITULADA'!#REF!,"AAAAAG97fe8=")</f>
        <v>#REF!</v>
      </c>
      <c r="IG49" t="e">
        <f>AND('PROG FORMACIÓN TITULADA'!#REF!,"AAAAAG97ffA=")</f>
        <v>#REF!</v>
      </c>
      <c r="IH49" t="e">
        <f>AND('PROG FORMACIÓN TITULADA'!#REF!,"AAAAAG97ffE=")</f>
        <v>#REF!</v>
      </c>
      <c r="II49" t="e">
        <f>AND('PROG FORMACIÓN TITULADA'!#REF!,"AAAAAG97ffI=")</f>
        <v>#REF!</v>
      </c>
      <c r="IJ49" t="e">
        <f>AND('PROG FORMACIÓN TITULADA'!#REF!,"AAAAAG97ffM=")</f>
        <v>#REF!</v>
      </c>
      <c r="IK49" t="e">
        <f>AND('PROG FORMACIÓN TITULADA'!#REF!,"AAAAAG97ffQ=")</f>
        <v>#REF!</v>
      </c>
      <c r="IL49" t="e">
        <f>AND('PROG FORMACIÓN TITULADA'!#REF!,"AAAAAG97ffU=")</f>
        <v>#REF!</v>
      </c>
      <c r="IM49" t="e">
        <f>AND('PROG FORMACIÓN TITULADA'!#REF!,"AAAAAG97ffY=")</f>
        <v>#REF!</v>
      </c>
      <c r="IN49" t="e">
        <f>AND('PROG FORMACIÓN TITULADA'!#REF!,"AAAAAG97ffc=")</f>
        <v>#REF!</v>
      </c>
      <c r="IO49" t="e">
        <f>AND('PROG FORMACIÓN TITULADA'!#REF!,"AAAAAG97ffg=")</f>
        <v>#REF!</v>
      </c>
      <c r="IP49" t="e">
        <f>AND('PROG FORMACIÓN TITULADA'!#REF!,"AAAAAG97ffk=")</f>
        <v>#REF!</v>
      </c>
      <c r="IQ49" t="e">
        <f>AND('PROG FORMACIÓN TITULADA'!#REF!,"AAAAAG97ffo=")</f>
        <v>#REF!</v>
      </c>
      <c r="IR49" t="e">
        <f>AND('PROG FORMACIÓN TITULADA'!#REF!,"AAAAAG97ffs=")</f>
        <v>#REF!</v>
      </c>
      <c r="IS49" t="e">
        <f>AND('PROG FORMACIÓN TITULADA'!#REF!,"AAAAAG97ffw=")</f>
        <v>#REF!</v>
      </c>
      <c r="IT49" t="e">
        <f>AND('PROG FORMACIÓN TITULADA'!#REF!,"AAAAAG97ff0=")</f>
        <v>#REF!</v>
      </c>
      <c r="IU49" t="e">
        <f>IF('PROG FORMACIÓN TITULADA'!#REF!,"AAAAAG97ff4=",0)</f>
        <v>#REF!</v>
      </c>
      <c r="IV49" t="e">
        <f>AND('PROG FORMACIÓN TITULADA'!#REF!,"AAAAAG97ff8=")</f>
        <v>#REF!</v>
      </c>
    </row>
    <row r="50" spans="1:256" x14ac:dyDescent="0.2">
      <c r="A50" t="e">
        <f>AND('PROG FORMACIÓN TITULADA'!#REF!,"AAAAAF/P/wA=")</f>
        <v>#REF!</v>
      </c>
      <c r="B50" t="e">
        <f>AND('PROG FORMACIÓN TITULADA'!#REF!,"AAAAAF/P/wE=")</f>
        <v>#REF!</v>
      </c>
      <c r="C50" t="e">
        <f>AND('PROG FORMACIÓN TITULADA'!#REF!,"AAAAAF/P/wI=")</f>
        <v>#REF!</v>
      </c>
      <c r="D50" t="e">
        <f>AND('PROG FORMACIÓN TITULADA'!#REF!,"AAAAAF/P/wM=")</f>
        <v>#REF!</v>
      </c>
      <c r="E50" t="e">
        <f>AND('PROG FORMACIÓN TITULADA'!#REF!,"AAAAAF/P/wQ=")</f>
        <v>#REF!</v>
      </c>
      <c r="F50" t="e">
        <f>AND('PROG FORMACIÓN TITULADA'!#REF!,"AAAAAF/P/wU=")</f>
        <v>#REF!</v>
      </c>
      <c r="G50" t="e">
        <f>AND('PROG FORMACIÓN TITULADA'!#REF!,"AAAAAF/P/wY=")</f>
        <v>#REF!</v>
      </c>
      <c r="H50" t="e">
        <f>AND('PROG FORMACIÓN TITULADA'!#REF!,"AAAAAF/P/wc=")</f>
        <v>#REF!</v>
      </c>
      <c r="I50" t="e">
        <f>AND('PROG FORMACIÓN TITULADA'!#REF!,"AAAAAF/P/wg=")</f>
        <v>#REF!</v>
      </c>
      <c r="J50" t="e">
        <f>AND('PROG FORMACIÓN TITULADA'!#REF!,"AAAAAF/P/wk=")</f>
        <v>#REF!</v>
      </c>
      <c r="K50" t="e">
        <f>AND('PROG FORMACIÓN TITULADA'!#REF!,"AAAAAF/P/wo=")</f>
        <v>#REF!</v>
      </c>
      <c r="L50" t="e">
        <f>AND('PROG FORMACIÓN TITULADA'!#REF!,"AAAAAF/P/ws=")</f>
        <v>#REF!</v>
      </c>
      <c r="M50" t="e">
        <f>AND('PROG FORMACIÓN TITULADA'!#REF!,"AAAAAF/P/ww=")</f>
        <v>#REF!</v>
      </c>
      <c r="N50" t="e">
        <f>AND('PROG FORMACIÓN TITULADA'!#REF!,"AAAAAF/P/w0=")</f>
        <v>#REF!</v>
      </c>
      <c r="O50" t="e">
        <f>AND('PROG FORMACIÓN TITULADA'!#REF!,"AAAAAF/P/w4=")</f>
        <v>#REF!</v>
      </c>
      <c r="P50" t="e">
        <f>AND('PROG FORMACIÓN TITULADA'!#REF!,"AAAAAF/P/w8=")</f>
        <v>#REF!</v>
      </c>
      <c r="Q50" t="e">
        <f>AND('PROG FORMACIÓN TITULADA'!#REF!,"AAAAAF/P/xA=")</f>
        <v>#REF!</v>
      </c>
      <c r="R50" t="e">
        <f>AND('PROG FORMACIÓN TITULADA'!#REF!,"AAAAAF/P/xE=")</f>
        <v>#REF!</v>
      </c>
      <c r="S50" t="e">
        <f>AND('PROG FORMACIÓN TITULADA'!#REF!,"AAAAAF/P/xI=")</f>
        <v>#REF!</v>
      </c>
      <c r="T50" t="e">
        <f>AND('PROG FORMACIÓN TITULADA'!#REF!,"AAAAAF/P/xM=")</f>
        <v>#REF!</v>
      </c>
      <c r="U50" t="e">
        <f>AND('PROG FORMACIÓN TITULADA'!#REF!,"AAAAAF/P/xQ=")</f>
        <v>#REF!</v>
      </c>
      <c r="V50" t="e">
        <f>AND('PROG FORMACIÓN TITULADA'!#REF!,"AAAAAF/P/xU=")</f>
        <v>#REF!</v>
      </c>
      <c r="W50" t="e">
        <f>AND('PROG FORMACIÓN TITULADA'!#REF!,"AAAAAF/P/xY=")</f>
        <v>#REF!</v>
      </c>
      <c r="X50" t="e">
        <f>AND('PROG FORMACIÓN TITULADA'!#REF!,"AAAAAF/P/xc=")</f>
        <v>#REF!</v>
      </c>
      <c r="Y50" t="e">
        <f>AND('PROG FORMACIÓN TITULADA'!#REF!,"AAAAAF/P/xg=")</f>
        <v>#REF!</v>
      </c>
      <c r="Z50" t="e">
        <f>IF('PROG FORMACIÓN TITULADA'!#REF!,"AAAAAF/P/xk=",0)</f>
        <v>#REF!</v>
      </c>
      <c r="AA50" t="e">
        <f>AND('PROG FORMACIÓN TITULADA'!#REF!,"AAAAAF/P/xo=")</f>
        <v>#REF!</v>
      </c>
      <c r="AB50" t="e">
        <f>AND('PROG FORMACIÓN TITULADA'!#REF!,"AAAAAF/P/xs=")</f>
        <v>#REF!</v>
      </c>
      <c r="AC50" t="e">
        <f>AND('PROG FORMACIÓN TITULADA'!#REF!,"AAAAAF/P/xw=")</f>
        <v>#REF!</v>
      </c>
      <c r="AD50" t="e">
        <f>AND('PROG FORMACIÓN TITULADA'!#REF!,"AAAAAF/P/x0=")</f>
        <v>#REF!</v>
      </c>
      <c r="AE50" t="e">
        <f>AND('PROG FORMACIÓN TITULADA'!#REF!,"AAAAAF/P/x4=")</f>
        <v>#REF!</v>
      </c>
      <c r="AF50" t="e">
        <f>AND('PROG FORMACIÓN TITULADA'!#REF!,"AAAAAF/P/x8=")</f>
        <v>#REF!</v>
      </c>
      <c r="AG50" t="e">
        <f>AND('PROG FORMACIÓN TITULADA'!#REF!,"AAAAAF/P/yA=")</f>
        <v>#REF!</v>
      </c>
      <c r="AH50" t="e">
        <f>AND('PROG FORMACIÓN TITULADA'!#REF!,"AAAAAF/P/yE=")</f>
        <v>#REF!</v>
      </c>
      <c r="AI50" t="e">
        <f>AND('PROG FORMACIÓN TITULADA'!#REF!,"AAAAAF/P/yI=")</f>
        <v>#REF!</v>
      </c>
      <c r="AJ50" t="e">
        <f>AND('PROG FORMACIÓN TITULADA'!#REF!,"AAAAAF/P/yM=")</f>
        <v>#REF!</v>
      </c>
      <c r="AK50" t="e">
        <f>AND('PROG FORMACIÓN TITULADA'!#REF!,"AAAAAF/P/yQ=")</f>
        <v>#REF!</v>
      </c>
      <c r="AL50" t="e">
        <f>AND('PROG FORMACIÓN TITULADA'!#REF!,"AAAAAF/P/yU=")</f>
        <v>#REF!</v>
      </c>
      <c r="AM50" t="e">
        <f>AND('PROG FORMACIÓN TITULADA'!#REF!,"AAAAAF/P/yY=")</f>
        <v>#REF!</v>
      </c>
      <c r="AN50" t="e">
        <f>AND('PROG FORMACIÓN TITULADA'!#REF!,"AAAAAF/P/yc=")</f>
        <v>#REF!</v>
      </c>
      <c r="AO50" t="e">
        <f>AND('PROG FORMACIÓN TITULADA'!#REF!,"AAAAAF/P/yg=")</f>
        <v>#REF!</v>
      </c>
      <c r="AP50" t="e">
        <f>AND('PROG FORMACIÓN TITULADA'!#REF!,"AAAAAF/P/yk=")</f>
        <v>#REF!</v>
      </c>
      <c r="AQ50" t="e">
        <f>AND('PROG FORMACIÓN TITULADA'!#REF!,"AAAAAF/P/yo=")</f>
        <v>#REF!</v>
      </c>
      <c r="AR50" t="e">
        <f>AND('PROG FORMACIÓN TITULADA'!#REF!,"AAAAAF/P/ys=")</f>
        <v>#REF!</v>
      </c>
      <c r="AS50" t="e">
        <f>AND('PROG FORMACIÓN TITULADA'!#REF!,"AAAAAF/P/yw=")</f>
        <v>#REF!</v>
      </c>
      <c r="AT50" t="e">
        <f>AND('PROG FORMACIÓN TITULADA'!#REF!,"AAAAAF/P/y0=")</f>
        <v>#REF!</v>
      </c>
      <c r="AU50" t="e">
        <f>AND('PROG FORMACIÓN TITULADA'!#REF!,"AAAAAF/P/y4=")</f>
        <v>#REF!</v>
      </c>
      <c r="AV50" t="e">
        <f>AND('PROG FORMACIÓN TITULADA'!#REF!,"AAAAAF/P/y8=")</f>
        <v>#REF!</v>
      </c>
      <c r="AW50" t="e">
        <f>AND('PROG FORMACIÓN TITULADA'!#REF!,"AAAAAF/P/zA=")</f>
        <v>#REF!</v>
      </c>
      <c r="AX50" t="e">
        <f>AND('PROG FORMACIÓN TITULADA'!#REF!,"AAAAAF/P/zE=")</f>
        <v>#REF!</v>
      </c>
      <c r="AY50" t="e">
        <f>AND('PROG FORMACIÓN TITULADA'!#REF!,"AAAAAF/P/zI=")</f>
        <v>#REF!</v>
      </c>
      <c r="AZ50" t="e">
        <f>AND('PROG FORMACIÓN TITULADA'!#REF!,"AAAAAF/P/zM=")</f>
        <v>#REF!</v>
      </c>
      <c r="BA50" t="e">
        <f>IF('PROG FORMACIÓN TITULADA'!#REF!,"AAAAAF/P/zQ=",0)</f>
        <v>#REF!</v>
      </c>
      <c r="BB50" t="e">
        <f>AND('PROG FORMACIÓN TITULADA'!#REF!,"AAAAAF/P/zU=")</f>
        <v>#REF!</v>
      </c>
      <c r="BC50" t="e">
        <f>AND('PROG FORMACIÓN TITULADA'!#REF!,"AAAAAF/P/zY=")</f>
        <v>#REF!</v>
      </c>
      <c r="BD50" t="e">
        <f>AND('PROG FORMACIÓN TITULADA'!#REF!,"AAAAAF/P/zc=")</f>
        <v>#REF!</v>
      </c>
      <c r="BE50" t="e">
        <f>AND('PROG FORMACIÓN TITULADA'!#REF!,"AAAAAF/P/zg=")</f>
        <v>#REF!</v>
      </c>
      <c r="BF50" t="e">
        <f>AND('PROG FORMACIÓN TITULADA'!#REF!,"AAAAAF/P/zk=")</f>
        <v>#REF!</v>
      </c>
      <c r="BG50" t="e">
        <f>AND('PROG FORMACIÓN TITULADA'!#REF!,"AAAAAF/P/zo=")</f>
        <v>#REF!</v>
      </c>
      <c r="BH50" t="e">
        <f>AND('PROG FORMACIÓN TITULADA'!#REF!,"AAAAAF/P/zs=")</f>
        <v>#REF!</v>
      </c>
      <c r="BI50" t="e">
        <f>AND('PROG FORMACIÓN TITULADA'!#REF!,"AAAAAF/P/zw=")</f>
        <v>#REF!</v>
      </c>
      <c r="BJ50" t="e">
        <f>AND('PROG FORMACIÓN TITULADA'!#REF!,"AAAAAF/P/z0=")</f>
        <v>#REF!</v>
      </c>
      <c r="BK50" t="e">
        <f>AND('PROG FORMACIÓN TITULADA'!#REF!,"AAAAAF/P/z4=")</f>
        <v>#REF!</v>
      </c>
      <c r="BL50" t="e">
        <f>AND('PROG FORMACIÓN TITULADA'!#REF!,"AAAAAF/P/z8=")</f>
        <v>#REF!</v>
      </c>
      <c r="BM50" t="e">
        <f>AND('PROG FORMACIÓN TITULADA'!#REF!,"AAAAAF/P/0A=")</f>
        <v>#REF!</v>
      </c>
      <c r="BN50" t="e">
        <f>AND('PROG FORMACIÓN TITULADA'!#REF!,"AAAAAF/P/0E=")</f>
        <v>#REF!</v>
      </c>
      <c r="BO50" t="e">
        <f>AND('PROG FORMACIÓN TITULADA'!#REF!,"AAAAAF/P/0I=")</f>
        <v>#REF!</v>
      </c>
      <c r="BP50" t="e">
        <f>AND('PROG FORMACIÓN TITULADA'!#REF!,"AAAAAF/P/0M=")</f>
        <v>#REF!</v>
      </c>
      <c r="BQ50" t="e">
        <f>AND('PROG FORMACIÓN TITULADA'!#REF!,"AAAAAF/P/0Q=")</f>
        <v>#REF!</v>
      </c>
      <c r="BR50" t="e">
        <f>AND('PROG FORMACIÓN TITULADA'!#REF!,"AAAAAF/P/0U=")</f>
        <v>#REF!</v>
      </c>
      <c r="BS50" t="e">
        <f>AND('PROG FORMACIÓN TITULADA'!#REF!,"AAAAAF/P/0Y=")</f>
        <v>#REF!</v>
      </c>
      <c r="BT50" t="e">
        <f>AND('PROG FORMACIÓN TITULADA'!#REF!,"AAAAAF/P/0c=")</f>
        <v>#REF!</v>
      </c>
      <c r="BU50" t="e">
        <f>AND('PROG FORMACIÓN TITULADA'!#REF!,"AAAAAF/P/0g=")</f>
        <v>#REF!</v>
      </c>
      <c r="BV50" t="e">
        <f>AND('PROG FORMACIÓN TITULADA'!#REF!,"AAAAAF/P/0k=")</f>
        <v>#REF!</v>
      </c>
      <c r="BW50" t="e">
        <f>AND('PROG FORMACIÓN TITULADA'!#REF!,"AAAAAF/P/0o=")</f>
        <v>#REF!</v>
      </c>
      <c r="BX50" t="e">
        <f>AND('PROG FORMACIÓN TITULADA'!#REF!,"AAAAAF/P/0s=")</f>
        <v>#REF!</v>
      </c>
      <c r="BY50" t="e">
        <f>AND('PROG FORMACIÓN TITULADA'!#REF!,"AAAAAF/P/0w=")</f>
        <v>#REF!</v>
      </c>
      <c r="BZ50" t="e">
        <f>AND('PROG FORMACIÓN TITULADA'!#REF!,"AAAAAF/P/00=")</f>
        <v>#REF!</v>
      </c>
      <c r="CA50" t="e">
        <f>AND('PROG FORMACIÓN TITULADA'!#REF!,"AAAAAF/P/04=")</f>
        <v>#REF!</v>
      </c>
      <c r="CB50" t="e">
        <f>IF('PROG FORMACIÓN TITULADA'!#REF!,"AAAAAF/P/08=",0)</f>
        <v>#REF!</v>
      </c>
      <c r="CC50" t="e">
        <f>AND('PROG FORMACIÓN TITULADA'!#REF!,"AAAAAF/P/1A=")</f>
        <v>#REF!</v>
      </c>
      <c r="CD50" t="e">
        <f>AND('PROG FORMACIÓN TITULADA'!#REF!,"AAAAAF/P/1E=")</f>
        <v>#REF!</v>
      </c>
      <c r="CE50" t="e">
        <f>AND('PROG FORMACIÓN TITULADA'!#REF!,"AAAAAF/P/1I=")</f>
        <v>#REF!</v>
      </c>
      <c r="CF50" t="e">
        <f>AND('PROG FORMACIÓN TITULADA'!#REF!,"AAAAAF/P/1M=")</f>
        <v>#REF!</v>
      </c>
      <c r="CG50" t="e">
        <f>AND('PROG FORMACIÓN TITULADA'!#REF!,"AAAAAF/P/1Q=")</f>
        <v>#REF!</v>
      </c>
      <c r="CH50" t="e">
        <f>AND('PROG FORMACIÓN TITULADA'!#REF!,"AAAAAF/P/1U=")</f>
        <v>#REF!</v>
      </c>
      <c r="CI50" t="e">
        <f>AND('PROG FORMACIÓN TITULADA'!#REF!,"AAAAAF/P/1Y=")</f>
        <v>#REF!</v>
      </c>
      <c r="CJ50" t="e">
        <f>AND('PROG FORMACIÓN TITULADA'!#REF!,"AAAAAF/P/1c=")</f>
        <v>#REF!</v>
      </c>
      <c r="CK50" t="e">
        <f>AND('PROG FORMACIÓN TITULADA'!#REF!,"AAAAAF/P/1g=")</f>
        <v>#REF!</v>
      </c>
      <c r="CL50" t="e">
        <f>AND('PROG FORMACIÓN TITULADA'!#REF!,"AAAAAF/P/1k=")</f>
        <v>#REF!</v>
      </c>
      <c r="CM50" t="e">
        <f>AND('PROG FORMACIÓN TITULADA'!#REF!,"AAAAAF/P/1o=")</f>
        <v>#REF!</v>
      </c>
      <c r="CN50" t="e">
        <f>AND('PROG FORMACIÓN TITULADA'!#REF!,"AAAAAF/P/1s=")</f>
        <v>#REF!</v>
      </c>
      <c r="CO50" t="e">
        <f>AND('PROG FORMACIÓN TITULADA'!#REF!,"AAAAAF/P/1w=")</f>
        <v>#REF!</v>
      </c>
      <c r="CP50" t="e">
        <f>AND('PROG FORMACIÓN TITULADA'!#REF!,"AAAAAF/P/10=")</f>
        <v>#REF!</v>
      </c>
      <c r="CQ50" t="e">
        <f>AND('PROG FORMACIÓN TITULADA'!#REF!,"AAAAAF/P/14=")</f>
        <v>#REF!</v>
      </c>
      <c r="CR50" t="e">
        <f>AND('PROG FORMACIÓN TITULADA'!#REF!,"AAAAAF/P/18=")</f>
        <v>#REF!</v>
      </c>
      <c r="CS50" t="e">
        <f>AND('PROG FORMACIÓN TITULADA'!#REF!,"AAAAAF/P/2A=")</f>
        <v>#REF!</v>
      </c>
      <c r="CT50" t="e">
        <f>AND('PROG FORMACIÓN TITULADA'!#REF!,"AAAAAF/P/2E=")</f>
        <v>#REF!</v>
      </c>
      <c r="CU50" t="e">
        <f>AND('PROG FORMACIÓN TITULADA'!#REF!,"AAAAAF/P/2I=")</f>
        <v>#REF!</v>
      </c>
      <c r="CV50" t="e">
        <f>AND('PROG FORMACIÓN TITULADA'!#REF!,"AAAAAF/P/2M=")</f>
        <v>#REF!</v>
      </c>
      <c r="CW50" t="e">
        <f>AND('PROG FORMACIÓN TITULADA'!#REF!,"AAAAAF/P/2Q=")</f>
        <v>#REF!</v>
      </c>
      <c r="CX50" t="e">
        <f>AND('PROG FORMACIÓN TITULADA'!#REF!,"AAAAAF/P/2U=")</f>
        <v>#REF!</v>
      </c>
      <c r="CY50" t="e">
        <f>AND('PROG FORMACIÓN TITULADA'!#REF!,"AAAAAF/P/2Y=")</f>
        <v>#REF!</v>
      </c>
      <c r="CZ50" t="e">
        <f>AND('PROG FORMACIÓN TITULADA'!#REF!,"AAAAAF/P/2c=")</f>
        <v>#REF!</v>
      </c>
      <c r="DA50" t="e">
        <f>AND('PROG FORMACIÓN TITULADA'!#REF!,"AAAAAF/P/2g=")</f>
        <v>#REF!</v>
      </c>
      <c r="DB50" t="e">
        <f>AND('PROG FORMACIÓN TITULADA'!#REF!,"AAAAAF/P/2k=")</f>
        <v>#REF!</v>
      </c>
      <c r="DC50" t="e">
        <f>IF('PROG FORMACIÓN TITULADA'!#REF!,"AAAAAF/P/2o=",0)</f>
        <v>#REF!</v>
      </c>
      <c r="DD50" t="e">
        <f>AND('PROG FORMACIÓN TITULADA'!#REF!,"AAAAAF/P/2s=")</f>
        <v>#REF!</v>
      </c>
      <c r="DE50" t="e">
        <f>AND('PROG FORMACIÓN TITULADA'!#REF!,"AAAAAF/P/2w=")</f>
        <v>#REF!</v>
      </c>
      <c r="DF50" t="e">
        <f>AND('PROG FORMACIÓN TITULADA'!#REF!,"AAAAAF/P/20=")</f>
        <v>#REF!</v>
      </c>
      <c r="DG50" t="e">
        <f>AND('PROG FORMACIÓN TITULADA'!#REF!,"AAAAAF/P/24=")</f>
        <v>#REF!</v>
      </c>
      <c r="DH50" t="e">
        <f>AND('PROG FORMACIÓN TITULADA'!#REF!,"AAAAAF/P/28=")</f>
        <v>#REF!</v>
      </c>
      <c r="DI50" t="e">
        <f>AND('PROG FORMACIÓN TITULADA'!#REF!,"AAAAAF/P/3A=")</f>
        <v>#REF!</v>
      </c>
      <c r="DJ50" t="e">
        <f>AND('PROG FORMACIÓN TITULADA'!#REF!,"AAAAAF/P/3E=")</f>
        <v>#REF!</v>
      </c>
      <c r="DK50" t="e">
        <f>AND('PROG FORMACIÓN TITULADA'!#REF!,"AAAAAF/P/3I=")</f>
        <v>#REF!</v>
      </c>
      <c r="DL50" t="e">
        <f>AND('PROG FORMACIÓN TITULADA'!#REF!,"AAAAAF/P/3M=")</f>
        <v>#REF!</v>
      </c>
      <c r="DM50" t="e">
        <f>AND('PROG FORMACIÓN TITULADA'!#REF!,"AAAAAF/P/3Q=")</f>
        <v>#REF!</v>
      </c>
      <c r="DN50" t="e">
        <f>AND('PROG FORMACIÓN TITULADA'!#REF!,"AAAAAF/P/3U=")</f>
        <v>#REF!</v>
      </c>
      <c r="DO50" t="e">
        <f>AND('PROG FORMACIÓN TITULADA'!#REF!,"AAAAAF/P/3Y=")</f>
        <v>#REF!</v>
      </c>
      <c r="DP50" t="e">
        <f>AND('PROG FORMACIÓN TITULADA'!#REF!,"AAAAAF/P/3c=")</f>
        <v>#REF!</v>
      </c>
      <c r="DQ50" t="e">
        <f>AND('PROG FORMACIÓN TITULADA'!#REF!,"AAAAAF/P/3g=")</f>
        <v>#REF!</v>
      </c>
      <c r="DR50" t="e">
        <f>AND('PROG FORMACIÓN TITULADA'!#REF!,"AAAAAF/P/3k=")</f>
        <v>#REF!</v>
      </c>
      <c r="DS50" t="e">
        <f>AND('PROG FORMACIÓN TITULADA'!#REF!,"AAAAAF/P/3o=")</f>
        <v>#REF!</v>
      </c>
      <c r="DT50" t="e">
        <f>AND('PROG FORMACIÓN TITULADA'!#REF!,"AAAAAF/P/3s=")</f>
        <v>#REF!</v>
      </c>
      <c r="DU50" t="e">
        <f>AND('PROG FORMACIÓN TITULADA'!#REF!,"AAAAAF/P/3w=")</f>
        <v>#REF!</v>
      </c>
      <c r="DV50" t="e">
        <f>AND('PROG FORMACIÓN TITULADA'!#REF!,"AAAAAF/P/30=")</f>
        <v>#REF!</v>
      </c>
      <c r="DW50" t="e">
        <f>AND('PROG FORMACIÓN TITULADA'!#REF!,"AAAAAF/P/34=")</f>
        <v>#REF!</v>
      </c>
      <c r="DX50" t="e">
        <f>AND('PROG FORMACIÓN TITULADA'!#REF!,"AAAAAF/P/38=")</f>
        <v>#REF!</v>
      </c>
      <c r="DY50" t="e">
        <f>AND('PROG FORMACIÓN TITULADA'!#REF!,"AAAAAF/P/4A=")</f>
        <v>#REF!</v>
      </c>
      <c r="DZ50" t="e">
        <f>AND('PROG FORMACIÓN TITULADA'!#REF!,"AAAAAF/P/4E=")</f>
        <v>#REF!</v>
      </c>
      <c r="EA50" t="e">
        <f>AND('PROG FORMACIÓN TITULADA'!#REF!,"AAAAAF/P/4I=")</f>
        <v>#REF!</v>
      </c>
      <c r="EB50" t="e">
        <f>AND('PROG FORMACIÓN TITULADA'!#REF!,"AAAAAF/P/4M=")</f>
        <v>#REF!</v>
      </c>
      <c r="EC50" t="e">
        <f>AND('PROG FORMACIÓN TITULADA'!#REF!,"AAAAAF/P/4Q=")</f>
        <v>#REF!</v>
      </c>
      <c r="ED50" t="e">
        <f>IF('PROG FORMACIÓN TITULADA'!#REF!,"AAAAAF/P/4U=",0)</f>
        <v>#REF!</v>
      </c>
      <c r="EE50" t="e">
        <f>AND('PROG FORMACIÓN TITULADA'!#REF!,"AAAAAF/P/4Y=")</f>
        <v>#REF!</v>
      </c>
      <c r="EF50" t="e">
        <f>AND('PROG FORMACIÓN TITULADA'!#REF!,"AAAAAF/P/4c=")</f>
        <v>#REF!</v>
      </c>
      <c r="EG50" t="e">
        <f>AND('PROG FORMACIÓN TITULADA'!#REF!,"AAAAAF/P/4g=")</f>
        <v>#REF!</v>
      </c>
      <c r="EH50" t="e">
        <f>AND('PROG FORMACIÓN TITULADA'!#REF!,"AAAAAF/P/4k=")</f>
        <v>#REF!</v>
      </c>
      <c r="EI50" t="e">
        <f>AND('PROG FORMACIÓN TITULADA'!#REF!,"AAAAAF/P/4o=")</f>
        <v>#REF!</v>
      </c>
      <c r="EJ50" t="e">
        <f>AND('PROG FORMACIÓN TITULADA'!#REF!,"AAAAAF/P/4s=")</f>
        <v>#REF!</v>
      </c>
      <c r="EK50" t="e">
        <f>AND('PROG FORMACIÓN TITULADA'!#REF!,"AAAAAF/P/4w=")</f>
        <v>#REF!</v>
      </c>
      <c r="EL50" t="e">
        <f>AND('PROG FORMACIÓN TITULADA'!#REF!,"AAAAAF/P/40=")</f>
        <v>#REF!</v>
      </c>
      <c r="EM50" t="e">
        <f>AND('PROG FORMACIÓN TITULADA'!#REF!,"AAAAAF/P/44=")</f>
        <v>#REF!</v>
      </c>
      <c r="EN50" t="e">
        <f>AND('PROG FORMACIÓN TITULADA'!#REF!,"AAAAAF/P/48=")</f>
        <v>#REF!</v>
      </c>
      <c r="EO50" t="e">
        <f>AND('PROG FORMACIÓN TITULADA'!#REF!,"AAAAAF/P/5A=")</f>
        <v>#REF!</v>
      </c>
      <c r="EP50" t="e">
        <f>AND('PROG FORMACIÓN TITULADA'!#REF!,"AAAAAF/P/5E=")</f>
        <v>#REF!</v>
      </c>
      <c r="EQ50" t="e">
        <f>AND('PROG FORMACIÓN TITULADA'!#REF!,"AAAAAF/P/5I=")</f>
        <v>#REF!</v>
      </c>
      <c r="ER50" t="e">
        <f>AND('PROG FORMACIÓN TITULADA'!#REF!,"AAAAAF/P/5M=")</f>
        <v>#REF!</v>
      </c>
      <c r="ES50" t="e">
        <f>AND('PROG FORMACIÓN TITULADA'!#REF!,"AAAAAF/P/5Q=")</f>
        <v>#REF!</v>
      </c>
      <c r="ET50" t="e">
        <f>AND('PROG FORMACIÓN TITULADA'!#REF!,"AAAAAF/P/5U=")</f>
        <v>#REF!</v>
      </c>
      <c r="EU50" t="e">
        <f>AND('PROG FORMACIÓN TITULADA'!#REF!,"AAAAAF/P/5Y=")</f>
        <v>#REF!</v>
      </c>
      <c r="EV50" t="e">
        <f>AND('PROG FORMACIÓN TITULADA'!#REF!,"AAAAAF/P/5c=")</f>
        <v>#REF!</v>
      </c>
      <c r="EW50" t="e">
        <f>AND('PROG FORMACIÓN TITULADA'!#REF!,"AAAAAF/P/5g=")</f>
        <v>#REF!</v>
      </c>
      <c r="EX50" t="e">
        <f>AND('PROG FORMACIÓN TITULADA'!#REF!,"AAAAAF/P/5k=")</f>
        <v>#REF!</v>
      </c>
      <c r="EY50" t="e">
        <f>AND('PROG FORMACIÓN TITULADA'!#REF!,"AAAAAF/P/5o=")</f>
        <v>#REF!</v>
      </c>
      <c r="EZ50" t="e">
        <f>AND('PROG FORMACIÓN TITULADA'!#REF!,"AAAAAF/P/5s=")</f>
        <v>#REF!</v>
      </c>
      <c r="FA50" t="e">
        <f>AND('PROG FORMACIÓN TITULADA'!#REF!,"AAAAAF/P/5w=")</f>
        <v>#REF!</v>
      </c>
      <c r="FB50" t="e">
        <f>AND('PROG FORMACIÓN TITULADA'!#REF!,"AAAAAF/P/50=")</f>
        <v>#REF!</v>
      </c>
      <c r="FC50" t="e">
        <f>AND('PROG FORMACIÓN TITULADA'!#REF!,"AAAAAF/P/54=")</f>
        <v>#REF!</v>
      </c>
      <c r="FD50" t="e">
        <f>AND('PROG FORMACIÓN TITULADA'!#REF!,"AAAAAF/P/58=")</f>
        <v>#REF!</v>
      </c>
      <c r="FE50" t="e">
        <f>IF('PROG FORMACIÓN TITULADA'!#REF!,"AAAAAF/P/6A=",0)</f>
        <v>#REF!</v>
      </c>
      <c r="FF50" t="e">
        <f>AND('PROG FORMACIÓN TITULADA'!#REF!,"AAAAAF/P/6E=")</f>
        <v>#REF!</v>
      </c>
      <c r="FG50" t="e">
        <f>AND('PROG FORMACIÓN TITULADA'!#REF!,"AAAAAF/P/6I=")</f>
        <v>#REF!</v>
      </c>
      <c r="FH50" t="e">
        <f>AND('PROG FORMACIÓN TITULADA'!#REF!,"AAAAAF/P/6M=")</f>
        <v>#REF!</v>
      </c>
      <c r="FI50" t="e">
        <f>AND('PROG FORMACIÓN TITULADA'!#REF!,"AAAAAF/P/6Q=")</f>
        <v>#REF!</v>
      </c>
      <c r="FJ50" t="e">
        <f>AND('PROG FORMACIÓN TITULADA'!#REF!,"AAAAAF/P/6U=")</f>
        <v>#REF!</v>
      </c>
      <c r="FK50" t="e">
        <f>AND('PROG FORMACIÓN TITULADA'!#REF!,"AAAAAF/P/6Y=")</f>
        <v>#REF!</v>
      </c>
      <c r="FL50" t="e">
        <f>AND('PROG FORMACIÓN TITULADA'!#REF!,"AAAAAF/P/6c=")</f>
        <v>#REF!</v>
      </c>
      <c r="FM50" t="e">
        <f>AND('PROG FORMACIÓN TITULADA'!#REF!,"AAAAAF/P/6g=")</f>
        <v>#REF!</v>
      </c>
      <c r="FN50" t="e">
        <f>AND('PROG FORMACIÓN TITULADA'!#REF!,"AAAAAF/P/6k=")</f>
        <v>#REF!</v>
      </c>
      <c r="FO50" t="e">
        <f>AND('PROG FORMACIÓN TITULADA'!#REF!,"AAAAAF/P/6o=")</f>
        <v>#REF!</v>
      </c>
      <c r="FP50" t="e">
        <f>AND('PROG FORMACIÓN TITULADA'!#REF!,"AAAAAF/P/6s=")</f>
        <v>#REF!</v>
      </c>
      <c r="FQ50" t="e">
        <f>AND('PROG FORMACIÓN TITULADA'!#REF!,"AAAAAF/P/6w=")</f>
        <v>#REF!</v>
      </c>
      <c r="FR50" t="e">
        <f>AND('PROG FORMACIÓN TITULADA'!#REF!,"AAAAAF/P/60=")</f>
        <v>#REF!</v>
      </c>
      <c r="FS50" t="e">
        <f>AND('PROG FORMACIÓN TITULADA'!#REF!,"AAAAAF/P/64=")</f>
        <v>#REF!</v>
      </c>
      <c r="FT50" t="e">
        <f>AND('PROG FORMACIÓN TITULADA'!#REF!,"AAAAAF/P/68=")</f>
        <v>#REF!</v>
      </c>
      <c r="FU50" t="e">
        <f>AND('PROG FORMACIÓN TITULADA'!#REF!,"AAAAAF/P/7A=")</f>
        <v>#REF!</v>
      </c>
      <c r="FV50" t="e">
        <f>AND('PROG FORMACIÓN TITULADA'!#REF!,"AAAAAF/P/7E=")</f>
        <v>#REF!</v>
      </c>
      <c r="FW50" t="e">
        <f>AND('PROG FORMACIÓN TITULADA'!#REF!,"AAAAAF/P/7I=")</f>
        <v>#REF!</v>
      </c>
      <c r="FX50" t="e">
        <f>AND('PROG FORMACIÓN TITULADA'!#REF!,"AAAAAF/P/7M=")</f>
        <v>#REF!</v>
      </c>
      <c r="FY50" t="e">
        <f>AND('PROG FORMACIÓN TITULADA'!#REF!,"AAAAAF/P/7Q=")</f>
        <v>#REF!</v>
      </c>
      <c r="FZ50" t="e">
        <f>AND('PROG FORMACIÓN TITULADA'!#REF!,"AAAAAF/P/7U=")</f>
        <v>#REF!</v>
      </c>
      <c r="GA50" t="e">
        <f>AND('PROG FORMACIÓN TITULADA'!#REF!,"AAAAAF/P/7Y=")</f>
        <v>#REF!</v>
      </c>
      <c r="GB50" t="e">
        <f>AND('PROG FORMACIÓN TITULADA'!#REF!,"AAAAAF/P/7c=")</f>
        <v>#REF!</v>
      </c>
      <c r="GC50" t="e">
        <f>AND('PROG FORMACIÓN TITULADA'!#REF!,"AAAAAF/P/7g=")</f>
        <v>#REF!</v>
      </c>
      <c r="GD50" t="e">
        <f>AND('PROG FORMACIÓN TITULADA'!#REF!,"AAAAAF/P/7k=")</f>
        <v>#REF!</v>
      </c>
      <c r="GE50" t="e">
        <f>AND('PROG FORMACIÓN TITULADA'!#REF!,"AAAAAF/P/7o=")</f>
        <v>#REF!</v>
      </c>
      <c r="GF50" t="e">
        <f>IF('PROG FORMACIÓN TITULADA'!#REF!,"AAAAAF/P/7s=",0)</f>
        <v>#REF!</v>
      </c>
      <c r="GG50" t="e">
        <f>AND('PROG FORMACIÓN TITULADA'!#REF!,"AAAAAF/P/7w=")</f>
        <v>#REF!</v>
      </c>
      <c r="GH50" t="e">
        <f>AND('PROG FORMACIÓN TITULADA'!#REF!,"AAAAAF/P/70=")</f>
        <v>#REF!</v>
      </c>
      <c r="GI50" t="e">
        <f>AND('PROG FORMACIÓN TITULADA'!#REF!,"AAAAAF/P/74=")</f>
        <v>#REF!</v>
      </c>
      <c r="GJ50" t="e">
        <f>AND('PROG FORMACIÓN TITULADA'!#REF!,"AAAAAF/P/78=")</f>
        <v>#REF!</v>
      </c>
      <c r="GK50" t="e">
        <f>AND('PROG FORMACIÓN TITULADA'!#REF!,"AAAAAF/P/8A=")</f>
        <v>#REF!</v>
      </c>
      <c r="GL50" t="e">
        <f>AND('PROG FORMACIÓN TITULADA'!#REF!,"AAAAAF/P/8E=")</f>
        <v>#REF!</v>
      </c>
      <c r="GM50" t="e">
        <f>AND('PROG FORMACIÓN TITULADA'!#REF!,"AAAAAF/P/8I=")</f>
        <v>#REF!</v>
      </c>
      <c r="GN50" t="e">
        <f>AND('PROG FORMACIÓN TITULADA'!#REF!,"AAAAAF/P/8M=")</f>
        <v>#REF!</v>
      </c>
      <c r="GO50" t="e">
        <f>AND('PROG FORMACIÓN TITULADA'!#REF!,"AAAAAF/P/8Q=")</f>
        <v>#REF!</v>
      </c>
      <c r="GP50" t="e">
        <f>AND('PROG FORMACIÓN TITULADA'!#REF!,"AAAAAF/P/8U=")</f>
        <v>#REF!</v>
      </c>
      <c r="GQ50" t="e">
        <f>AND('PROG FORMACIÓN TITULADA'!#REF!,"AAAAAF/P/8Y=")</f>
        <v>#REF!</v>
      </c>
      <c r="GR50" t="e">
        <f>AND('PROG FORMACIÓN TITULADA'!#REF!,"AAAAAF/P/8c=")</f>
        <v>#REF!</v>
      </c>
      <c r="GS50" t="e">
        <f>AND('PROG FORMACIÓN TITULADA'!#REF!,"AAAAAF/P/8g=")</f>
        <v>#REF!</v>
      </c>
      <c r="GT50" t="e">
        <f>AND('PROG FORMACIÓN TITULADA'!#REF!,"AAAAAF/P/8k=")</f>
        <v>#REF!</v>
      </c>
      <c r="GU50" t="e">
        <f>AND('PROG FORMACIÓN TITULADA'!#REF!,"AAAAAF/P/8o=")</f>
        <v>#REF!</v>
      </c>
      <c r="GV50" t="e">
        <f>AND('PROG FORMACIÓN TITULADA'!#REF!,"AAAAAF/P/8s=")</f>
        <v>#REF!</v>
      </c>
      <c r="GW50" t="e">
        <f>AND('PROG FORMACIÓN TITULADA'!#REF!,"AAAAAF/P/8w=")</f>
        <v>#REF!</v>
      </c>
      <c r="GX50" t="e">
        <f>AND('PROG FORMACIÓN TITULADA'!#REF!,"AAAAAF/P/80=")</f>
        <v>#REF!</v>
      </c>
      <c r="GY50" t="e">
        <f>AND('PROG FORMACIÓN TITULADA'!#REF!,"AAAAAF/P/84=")</f>
        <v>#REF!</v>
      </c>
      <c r="GZ50" t="e">
        <f>AND('PROG FORMACIÓN TITULADA'!#REF!,"AAAAAF/P/88=")</f>
        <v>#REF!</v>
      </c>
      <c r="HA50" t="e">
        <f>AND('PROG FORMACIÓN TITULADA'!#REF!,"AAAAAF/P/9A=")</f>
        <v>#REF!</v>
      </c>
      <c r="HB50" t="e">
        <f>AND('PROG FORMACIÓN TITULADA'!#REF!,"AAAAAF/P/9E=")</f>
        <v>#REF!</v>
      </c>
      <c r="HC50" t="e">
        <f>AND('PROG FORMACIÓN TITULADA'!#REF!,"AAAAAF/P/9I=")</f>
        <v>#REF!</v>
      </c>
      <c r="HD50" t="e">
        <f>AND('PROG FORMACIÓN TITULADA'!#REF!,"AAAAAF/P/9M=")</f>
        <v>#REF!</v>
      </c>
      <c r="HE50" t="e">
        <f>AND('PROG FORMACIÓN TITULADA'!#REF!,"AAAAAF/P/9Q=")</f>
        <v>#REF!</v>
      </c>
      <c r="HF50" t="e">
        <f>AND('PROG FORMACIÓN TITULADA'!#REF!,"AAAAAF/P/9U=")</f>
        <v>#REF!</v>
      </c>
      <c r="HG50" t="e">
        <f>IF('PROG FORMACIÓN TITULADA'!#REF!,"AAAAAF/P/9Y=",0)</f>
        <v>#REF!</v>
      </c>
      <c r="HH50" t="e">
        <f>AND('PROG FORMACIÓN TITULADA'!#REF!,"AAAAAF/P/9c=")</f>
        <v>#REF!</v>
      </c>
      <c r="HI50" t="e">
        <f>AND('PROG FORMACIÓN TITULADA'!#REF!,"AAAAAF/P/9g=")</f>
        <v>#REF!</v>
      </c>
      <c r="HJ50" t="e">
        <f>AND('PROG FORMACIÓN TITULADA'!#REF!,"AAAAAF/P/9k=")</f>
        <v>#REF!</v>
      </c>
      <c r="HK50" t="e">
        <f>AND('PROG FORMACIÓN TITULADA'!#REF!,"AAAAAF/P/9o=")</f>
        <v>#REF!</v>
      </c>
      <c r="HL50" t="e">
        <f>AND('PROG FORMACIÓN TITULADA'!#REF!,"AAAAAF/P/9s=")</f>
        <v>#REF!</v>
      </c>
      <c r="HM50" t="e">
        <f>AND('PROG FORMACIÓN TITULADA'!#REF!,"AAAAAF/P/9w=")</f>
        <v>#REF!</v>
      </c>
      <c r="HN50" t="e">
        <f>AND('PROG FORMACIÓN TITULADA'!#REF!,"AAAAAF/P/90=")</f>
        <v>#REF!</v>
      </c>
      <c r="HO50" t="e">
        <f>AND('PROG FORMACIÓN TITULADA'!#REF!,"AAAAAF/P/94=")</f>
        <v>#REF!</v>
      </c>
      <c r="HP50" t="e">
        <f>AND('PROG FORMACIÓN TITULADA'!#REF!,"AAAAAF/P/98=")</f>
        <v>#REF!</v>
      </c>
      <c r="HQ50" t="e">
        <f>AND('PROG FORMACIÓN TITULADA'!#REF!,"AAAAAF/P/+A=")</f>
        <v>#REF!</v>
      </c>
      <c r="HR50" t="e">
        <f>AND('PROG FORMACIÓN TITULADA'!#REF!,"AAAAAF/P/+E=")</f>
        <v>#REF!</v>
      </c>
      <c r="HS50" t="e">
        <f>AND('PROG FORMACIÓN TITULADA'!#REF!,"AAAAAF/P/+I=")</f>
        <v>#REF!</v>
      </c>
      <c r="HT50" t="e">
        <f>AND('PROG FORMACIÓN TITULADA'!#REF!,"AAAAAF/P/+M=")</f>
        <v>#REF!</v>
      </c>
      <c r="HU50" t="e">
        <f>AND('PROG FORMACIÓN TITULADA'!#REF!,"AAAAAF/P/+Q=")</f>
        <v>#REF!</v>
      </c>
      <c r="HV50" t="e">
        <f>AND('PROG FORMACIÓN TITULADA'!#REF!,"AAAAAF/P/+U=")</f>
        <v>#REF!</v>
      </c>
      <c r="HW50" t="e">
        <f>AND('PROG FORMACIÓN TITULADA'!#REF!,"AAAAAF/P/+Y=")</f>
        <v>#REF!</v>
      </c>
      <c r="HX50" t="e">
        <f>AND('PROG FORMACIÓN TITULADA'!#REF!,"AAAAAF/P/+c=")</f>
        <v>#REF!</v>
      </c>
      <c r="HY50" t="e">
        <f>AND('PROG FORMACIÓN TITULADA'!#REF!,"AAAAAF/P/+g=")</f>
        <v>#REF!</v>
      </c>
      <c r="HZ50" t="e">
        <f>AND('PROG FORMACIÓN TITULADA'!#REF!,"AAAAAF/P/+k=")</f>
        <v>#REF!</v>
      </c>
      <c r="IA50" t="e">
        <f>AND('PROG FORMACIÓN TITULADA'!#REF!,"AAAAAF/P/+o=")</f>
        <v>#REF!</v>
      </c>
      <c r="IB50" t="e">
        <f>AND('PROG FORMACIÓN TITULADA'!#REF!,"AAAAAF/P/+s=")</f>
        <v>#REF!</v>
      </c>
      <c r="IC50" t="e">
        <f>AND('PROG FORMACIÓN TITULADA'!#REF!,"AAAAAF/P/+w=")</f>
        <v>#REF!</v>
      </c>
      <c r="ID50" t="e">
        <f>AND('PROG FORMACIÓN TITULADA'!#REF!,"AAAAAF/P/+0=")</f>
        <v>#REF!</v>
      </c>
      <c r="IE50" t="e">
        <f>AND('PROG FORMACIÓN TITULADA'!#REF!,"AAAAAF/P/+4=")</f>
        <v>#REF!</v>
      </c>
      <c r="IF50" t="e">
        <f>AND('PROG FORMACIÓN TITULADA'!#REF!,"AAAAAF/P/+8=")</f>
        <v>#REF!</v>
      </c>
      <c r="IG50" t="e">
        <f>AND('PROG FORMACIÓN TITULADA'!#REF!,"AAAAAF/P//A=")</f>
        <v>#REF!</v>
      </c>
      <c r="IH50" t="e">
        <f>IF('PROG FORMACIÓN TITULADA'!#REF!,"AAAAAF/P//E=",0)</f>
        <v>#REF!</v>
      </c>
      <c r="II50" t="e">
        <f>AND('PROG FORMACIÓN TITULADA'!#REF!,"AAAAAF/P//I=")</f>
        <v>#REF!</v>
      </c>
      <c r="IJ50" t="e">
        <f>AND('PROG FORMACIÓN TITULADA'!#REF!,"AAAAAF/P//M=")</f>
        <v>#REF!</v>
      </c>
      <c r="IK50" t="e">
        <f>AND('PROG FORMACIÓN TITULADA'!#REF!,"AAAAAF/P//Q=")</f>
        <v>#REF!</v>
      </c>
      <c r="IL50" t="e">
        <f>AND('PROG FORMACIÓN TITULADA'!#REF!,"AAAAAF/P//U=")</f>
        <v>#REF!</v>
      </c>
      <c r="IM50" t="e">
        <f>AND('PROG FORMACIÓN TITULADA'!#REF!,"AAAAAF/P//Y=")</f>
        <v>#REF!</v>
      </c>
      <c r="IN50" t="e">
        <f>AND('PROG FORMACIÓN TITULADA'!#REF!,"AAAAAF/P//c=")</f>
        <v>#REF!</v>
      </c>
      <c r="IO50" t="e">
        <f>AND('PROG FORMACIÓN TITULADA'!#REF!,"AAAAAF/P//g=")</f>
        <v>#REF!</v>
      </c>
      <c r="IP50" t="e">
        <f>AND('PROG FORMACIÓN TITULADA'!#REF!,"AAAAAF/P//k=")</f>
        <v>#REF!</v>
      </c>
      <c r="IQ50" t="e">
        <f>AND('PROG FORMACIÓN TITULADA'!#REF!,"AAAAAF/P//o=")</f>
        <v>#REF!</v>
      </c>
      <c r="IR50" t="e">
        <f>AND('PROG FORMACIÓN TITULADA'!#REF!,"AAAAAF/P//s=")</f>
        <v>#REF!</v>
      </c>
      <c r="IS50" t="e">
        <f>AND('PROG FORMACIÓN TITULADA'!#REF!,"AAAAAF/P//w=")</f>
        <v>#REF!</v>
      </c>
      <c r="IT50" t="e">
        <f>AND('PROG FORMACIÓN TITULADA'!#REF!,"AAAAAF/P//0=")</f>
        <v>#REF!</v>
      </c>
      <c r="IU50" t="e">
        <f>AND('PROG FORMACIÓN TITULADA'!#REF!,"AAAAAF/P//4=")</f>
        <v>#REF!</v>
      </c>
      <c r="IV50" t="e">
        <f>AND('PROG FORMACIÓN TITULADA'!#REF!,"AAAAAF/P//8=")</f>
        <v>#REF!</v>
      </c>
    </row>
    <row r="51" spans="1:256" x14ac:dyDescent="0.2">
      <c r="A51" t="e">
        <f>AND('PROG FORMACIÓN TITULADA'!#REF!,"AAAAAHX7xwA=")</f>
        <v>#REF!</v>
      </c>
      <c r="B51" t="e">
        <f>AND('PROG FORMACIÓN TITULADA'!#REF!,"AAAAAHX7xwE=")</f>
        <v>#REF!</v>
      </c>
      <c r="C51" t="e">
        <f>AND('PROG FORMACIÓN TITULADA'!#REF!,"AAAAAHX7xwI=")</f>
        <v>#REF!</v>
      </c>
      <c r="D51" t="e">
        <f>AND('PROG FORMACIÓN TITULADA'!#REF!,"AAAAAHX7xwM=")</f>
        <v>#REF!</v>
      </c>
      <c r="E51" t="e">
        <f>AND('PROG FORMACIÓN TITULADA'!#REF!,"AAAAAHX7xwQ=")</f>
        <v>#REF!</v>
      </c>
      <c r="F51" t="e">
        <f>AND('PROG FORMACIÓN TITULADA'!#REF!,"AAAAAHX7xwU=")</f>
        <v>#REF!</v>
      </c>
      <c r="G51" t="e">
        <f>AND('PROG FORMACIÓN TITULADA'!#REF!,"AAAAAHX7xwY=")</f>
        <v>#REF!</v>
      </c>
      <c r="H51" t="e">
        <f>AND('PROG FORMACIÓN TITULADA'!#REF!,"AAAAAHX7xwc=")</f>
        <v>#REF!</v>
      </c>
      <c r="I51" t="e">
        <f>AND('PROG FORMACIÓN TITULADA'!#REF!,"AAAAAHX7xwg=")</f>
        <v>#REF!</v>
      </c>
      <c r="J51" t="e">
        <f>AND('PROG FORMACIÓN TITULADA'!#REF!,"AAAAAHX7xwk=")</f>
        <v>#REF!</v>
      </c>
      <c r="K51" t="e">
        <f>AND('PROG FORMACIÓN TITULADA'!#REF!,"AAAAAHX7xwo=")</f>
        <v>#REF!</v>
      </c>
      <c r="L51" t="e">
        <f>AND('PROG FORMACIÓN TITULADA'!#REF!,"AAAAAHX7xws=")</f>
        <v>#REF!</v>
      </c>
      <c r="M51" t="e">
        <f>IF('PROG FORMACIÓN TITULADA'!#REF!,"AAAAAHX7xww=",0)</f>
        <v>#REF!</v>
      </c>
      <c r="N51" t="e">
        <f>AND('PROG FORMACIÓN TITULADA'!#REF!,"AAAAAHX7xw0=")</f>
        <v>#REF!</v>
      </c>
      <c r="O51" t="e">
        <f>AND('PROG FORMACIÓN TITULADA'!#REF!,"AAAAAHX7xw4=")</f>
        <v>#REF!</v>
      </c>
      <c r="P51" t="e">
        <f>AND('PROG FORMACIÓN TITULADA'!#REF!,"AAAAAHX7xw8=")</f>
        <v>#REF!</v>
      </c>
      <c r="Q51" t="e">
        <f>AND('PROG FORMACIÓN TITULADA'!#REF!,"AAAAAHX7xxA=")</f>
        <v>#REF!</v>
      </c>
      <c r="R51" t="e">
        <f>AND('PROG FORMACIÓN TITULADA'!#REF!,"AAAAAHX7xxE=")</f>
        <v>#REF!</v>
      </c>
      <c r="S51" t="e">
        <f>AND('PROG FORMACIÓN TITULADA'!#REF!,"AAAAAHX7xxI=")</f>
        <v>#REF!</v>
      </c>
      <c r="T51" t="e">
        <f>AND('PROG FORMACIÓN TITULADA'!#REF!,"AAAAAHX7xxM=")</f>
        <v>#REF!</v>
      </c>
      <c r="U51" t="e">
        <f>AND('PROG FORMACIÓN TITULADA'!#REF!,"AAAAAHX7xxQ=")</f>
        <v>#REF!</v>
      </c>
      <c r="V51" t="e">
        <f>AND('PROG FORMACIÓN TITULADA'!#REF!,"AAAAAHX7xxU=")</f>
        <v>#REF!</v>
      </c>
      <c r="W51" t="e">
        <f>AND('PROG FORMACIÓN TITULADA'!#REF!,"AAAAAHX7xxY=")</f>
        <v>#REF!</v>
      </c>
      <c r="X51" t="e">
        <f>AND('PROG FORMACIÓN TITULADA'!#REF!,"AAAAAHX7xxc=")</f>
        <v>#REF!</v>
      </c>
      <c r="Y51" t="e">
        <f>AND('PROG FORMACIÓN TITULADA'!#REF!,"AAAAAHX7xxg=")</f>
        <v>#REF!</v>
      </c>
      <c r="Z51" t="e">
        <f>AND('PROG FORMACIÓN TITULADA'!#REF!,"AAAAAHX7xxk=")</f>
        <v>#REF!</v>
      </c>
      <c r="AA51" t="e">
        <f>AND('PROG FORMACIÓN TITULADA'!#REF!,"AAAAAHX7xxo=")</f>
        <v>#REF!</v>
      </c>
      <c r="AB51" t="e">
        <f>AND('PROG FORMACIÓN TITULADA'!#REF!,"AAAAAHX7xxs=")</f>
        <v>#REF!</v>
      </c>
      <c r="AC51" t="e">
        <f>AND('PROG FORMACIÓN TITULADA'!#REF!,"AAAAAHX7xxw=")</f>
        <v>#REF!</v>
      </c>
      <c r="AD51" t="e">
        <f>AND('PROG FORMACIÓN TITULADA'!#REF!,"AAAAAHX7xx0=")</f>
        <v>#REF!</v>
      </c>
      <c r="AE51" t="e">
        <f>AND('PROG FORMACIÓN TITULADA'!#REF!,"AAAAAHX7xx4=")</f>
        <v>#REF!</v>
      </c>
      <c r="AF51" t="e">
        <f>AND('PROG FORMACIÓN TITULADA'!#REF!,"AAAAAHX7xx8=")</f>
        <v>#REF!</v>
      </c>
      <c r="AG51" t="e">
        <f>AND('PROG FORMACIÓN TITULADA'!#REF!,"AAAAAHX7xyA=")</f>
        <v>#REF!</v>
      </c>
      <c r="AH51" t="e">
        <f>AND('PROG FORMACIÓN TITULADA'!#REF!,"AAAAAHX7xyE=")</f>
        <v>#REF!</v>
      </c>
      <c r="AI51" t="e">
        <f>AND('PROG FORMACIÓN TITULADA'!#REF!,"AAAAAHX7xyI=")</f>
        <v>#REF!</v>
      </c>
      <c r="AJ51" t="e">
        <f>AND('PROG FORMACIÓN TITULADA'!#REF!,"AAAAAHX7xyM=")</f>
        <v>#REF!</v>
      </c>
      <c r="AK51" t="e">
        <f>AND('PROG FORMACIÓN TITULADA'!#REF!,"AAAAAHX7xyQ=")</f>
        <v>#REF!</v>
      </c>
      <c r="AL51" t="e">
        <f>AND('PROG FORMACIÓN TITULADA'!#REF!,"AAAAAHX7xyU=")</f>
        <v>#REF!</v>
      </c>
      <c r="AM51" t="e">
        <f>AND('PROG FORMACIÓN TITULADA'!#REF!,"AAAAAHX7xyY=")</f>
        <v>#REF!</v>
      </c>
      <c r="AN51" t="e">
        <f>IF('PROG FORMACIÓN TITULADA'!#REF!,"AAAAAHX7xyc=",0)</f>
        <v>#REF!</v>
      </c>
      <c r="AO51" t="e">
        <f>AND('PROG FORMACIÓN TITULADA'!#REF!,"AAAAAHX7xyg=")</f>
        <v>#REF!</v>
      </c>
      <c r="AP51" t="e">
        <f>AND('PROG FORMACIÓN TITULADA'!#REF!,"AAAAAHX7xyk=")</f>
        <v>#REF!</v>
      </c>
      <c r="AQ51" t="e">
        <f>AND('PROG FORMACIÓN TITULADA'!#REF!,"AAAAAHX7xyo=")</f>
        <v>#REF!</v>
      </c>
      <c r="AR51" t="e">
        <f>AND('PROG FORMACIÓN TITULADA'!#REF!,"AAAAAHX7xys=")</f>
        <v>#REF!</v>
      </c>
      <c r="AS51" t="e">
        <f>AND('PROG FORMACIÓN TITULADA'!#REF!,"AAAAAHX7xyw=")</f>
        <v>#REF!</v>
      </c>
      <c r="AT51" t="e">
        <f>AND('PROG FORMACIÓN TITULADA'!#REF!,"AAAAAHX7xy0=")</f>
        <v>#REF!</v>
      </c>
      <c r="AU51" t="e">
        <f>AND('PROG FORMACIÓN TITULADA'!#REF!,"AAAAAHX7xy4=")</f>
        <v>#REF!</v>
      </c>
      <c r="AV51" t="e">
        <f>AND('PROG FORMACIÓN TITULADA'!#REF!,"AAAAAHX7xy8=")</f>
        <v>#REF!</v>
      </c>
      <c r="AW51" t="e">
        <f>AND('PROG FORMACIÓN TITULADA'!#REF!,"AAAAAHX7xzA=")</f>
        <v>#REF!</v>
      </c>
      <c r="AX51" t="e">
        <f>AND('PROG FORMACIÓN TITULADA'!#REF!,"AAAAAHX7xzE=")</f>
        <v>#REF!</v>
      </c>
      <c r="AY51" t="e">
        <f>AND('PROG FORMACIÓN TITULADA'!#REF!,"AAAAAHX7xzI=")</f>
        <v>#REF!</v>
      </c>
      <c r="AZ51" t="e">
        <f>AND('PROG FORMACIÓN TITULADA'!#REF!,"AAAAAHX7xzM=")</f>
        <v>#REF!</v>
      </c>
      <c r="BA51" t="e">
        <f>AND('PROG FORMACIÓN TITULADA'!#REF!,"AAAAAHX7xzQ=")</f>
        <v>#REF!</v>
      </c>
      <c r="BB51" t="e">
        <f>AND('PROG FORMACIÓN TITULADA'!#REF!,"AAAAAHX7xzU=")</f>
        <v>#REF!</v>
      </c>
      <c r="BC51" t="e">
        <f>AND('PROG FORMACIÓN TITULADA'!#REF!,"AAAAAHX7xzY=")</f>
        <v>#REF!</v>
      </c>
      <c r="BD51" t="e">
        <f>AND('PROG FORMACIÓN TITULADA'!#REF!,"AAAAAHX7xzc=")</f>
        <v>#REF!</v>
      </c>
      <c r="BE51" t="e">
        <f>AND('PROG FORMACIÓN TITULADA'!#REF!,"AAAAAHX7xzg=")</f>
        <v>#REF!</v>
      </c>
      <c r="BF51" t="e">
        <f>AND('PROG FORMACIÓN TITULADA'!#REF!,"AAAAAHX7xzk=")</f>
        <v>#REF!</v>
      </c>
      <c r="BG51" t="e">
        <f>AND('PROG FORMACIÓN TITULADA'!#REF!,"AAAAAHX7xzo=")</f>
        <v>#REF!</v>
      </c>
      <c r="BH51" t="e">
        <f>AND('PROG FORMACIÓN TITULADA'!#REF!,"AAAAAHX7xzs=")</f>
        <v>#REF!</v>
      </c>
      <c r="BI51" t="e">
        <f>AND('PROG FORMACIÓN TITULADA'!#REF!,"AAAAAHX7xzw=")</f>
        <v>#REF!</v>
      </c>
      <c r="BJ51" t="e">
        <f>AND('PROG FORMACIÓN TITULADA'!#REF!,"AAAAAHX7xz0=")</f>
        <v>#REF!</v>
      </c>
      <c r="BK51" t="e">
        <f>AND('PROG FORMACIÓN TITULADA'!#REF!,"AAAAAHX7xz4=")</f>
        <v>#REF!</v>
      </c>
      <c r="BL51" t="e">
        <f>AND('PROG FORMACIÓN TITULADA'!#REF!,"AAAAAHX7xz8=")</f>
        <v>#REF!</v>
      </c>
      <c r="BM51" t="e">
        <f>AND('PROG FORMACIÓN TITULADA'!#REF!,"AAAAAHX7x0A=")</f>
        <v>#REF!</v>
      </c>
      <c r="BN51" t="e">
        <f>AND('PROG FORMACIÓN TITULADA'!#REF!,"AAAAAHX7x0E=")</f>
        <v>#REF!</v>
      </c>
      <c r="BO51" t="e">
        <f>IF('PROG FORMACIÓN TITULADA'!#REF!,"AAAAAHX7x0I=",0)</f>
        <v>#REF!</v>
      </c>
      <c r="BP51" t="e">
        <f>AND('PROG FORMACIÓN TITULADA'!#REF!,"AAAAAHX7x0M=")</f>
        <v>#REF!</v>
      </c>
      <c r="BQ51" t="e">
        <f>AND('PROG FORMACIÓN TITULADA'!#REF!,"AAAAAHX7x0Q=")</f>
        <v>#REF!</v>
      </c>
      <c r="BR51" t="e">
        <f>AND('PROG FORMACIÓN TITULADA'!#REF!,"AAAAAHX7x0U=")</f>
        <v>#REF!</v>
      </c>
      <c r="BS51" t="e">
        <f>AND('PROG FORMACIÓN TITULADA'!#REF!,"AAAAAHX7x0Y=")</f>
        <v>#REF!</v>
      </c>
      <c r="BT51" t="e">
        <f>AND('PROG FORMACIÓN TITULADA'!#REF!,"AAAAAHX7x0c=")</f>
        <v>#REF!</v>
      </c>
      <c r="BU51" t="e">
        <f>AND('PROG FORMACIÓN TITULADA'!#REF!,"AAAAAHX7x0g=")</f>
        <v>#REF!</v>
      </c>
      <c r="BV51" t="e">
        <f>AND('PROG FORMACIÓN TITULADA'!#REF!,"AAAAAHX7x0k=")</f>
        <v>#REF!</v>
      </c>
      <c r="BW51" t="e">
        <f>AND('PROG FORMACIÓN TITULADA'!#REF!,"AAAAAHX7x0o=")</f>
        <v>#REF!</v>
      </c>
      <c r="BX51" t="e">
        <f>AND('PROG FORMACIÓN TITULADA'!#REF!,"AAAAAHX7x0s=")</f>
        <v>#REF!</v>
      </c>
      <c r="BY51" t="e">
        <f>AND('PROG FORMACIÓN TITULADA'!#REF!,"AAAAAHX7x0w=")</f>
        <v>#REF!</v>
      </c>
      <c r="BZ51" t="e">
        <f>AND('PROG FORMACIÓN TITULADA'!#REF!,"AAAAAHX7x00=")</f>
        <v>#REF!</v>
      </c>
      <c r="CA51" t="e">
        <f>AND('PROG FORMACIÓN TITULADA'!#REF!,"AAAAAHX7x04=")</f>
        <v>#REF!</v>
      </c>
      <c r="CB51" t="e">
        <f>AND('PROG FORMACIÓN TITULADA'!#REF!,"AAAAAHX7x08=")</f>
        <v>#REF!</v>
      </c>
      <c r="CC51" t="e">
        <f>AND('PROG FORMACIÓN TITULADA'!#REF!,"AAAAAHX7x1A=")</f>
        <v>#REF!</v>
      </c>
      <c r="CD51" t="e">
        <f>AND('PROG FORMACIÓN TITULADA'!#REF!,"AAAAAHX7x1E=")</f>
        <v>#REF!</v>
      </c>
      <c r="CE51" t="e">
        <f>AND('PROG FORMACIÓN TITULADA'!#REF!,"AAAAAHX7x1I=")</f>
        <v>#REF!</v>
      </c>
      <c r="CF51" t="e">
        <f>AND('PROG FORMACIÓN TITULADA'!#REF!,"AAAAAHX7x1M=")</f>
        <v>#REF!</v>
      </c>
      <c r="CG51" t="e">
        <f>AND('PROG FORMACIÓN TITULADA'!#REF!,"AAAAAHX7x1Q=")</f>
        <v>#REF!</v>
      </c>
      <c r="CH51" t="e">
        <f>AND('PROG FORMACIÓN TITULADA'!#REF!,"AAAAAHX7x1U=")</f>
        <v>#REF!</v>
      </c>
      <c r="CI51" t="e">
        <f>AND('PROG FORMACIÓN TITULADA'!#REF!,"AAAAAHX7x1Y=")</f>
        <v>#REF!</v>
      </c>
      <c r="CJ51" t="e">
        <f>AND('PROG FORMACIÓN TITULADA'!#REF!,"AAAAAHX7x1c=")</f>
        <v>#REF!</v>
      </c>
      <c r="CK51" t="e">
        <f>AND('PROG FORMACIÓN TITULADA'!#REF!,"AAAAAHX7x1g=")</f>
        <v>#REF!</v>
      </c>
      <c r="CL51" t="e">
        <f>AND('PROG FORMACIÓN TITULADA'!#REF!,"AAAAAHX7x1k=")</f>
        <v>#REF!</v>
      </c>
      <c r="CM51" t="e">
        <f>AND('PROG FORMACIÓN TITULADA'!#REF!,"AAAAAHX7x1o=")</f>
        <v>#REF!</v>
      </c>
      <c r="CN51" t="e">
        <f>AND('PROG FORMACIÓN TITULADA'!#REF!,"AAAAAHX7x1s=")</f>
        <v>#REF!</v>
      </c>
      <c r="CO51" t="e">
        <f>AND('PROG FORMACIÓN TITULADA'!#REF!,"AAAAAHX7x1w=")</f>
        <v>#REF!</v>
      </c>
      <c r="CP51" t="e">
        <f>IF('PROG FORMACIÓN TITULADA'!#REF!,"AAAAAHX7x10=",0)</f>
        <v>#REF!</v>
      </c>
      <c r="CQ51" t="e">
        <f>AND('PROG FORMACIÓN TITULADA'!#REF!,"AAAAAHX7x14=")</f>
        <v>#REF!</v>
      </c>
      <c r="CR51" t="e">
        <f>AND('PROG FORMACIÓN TITULADA'!#REF!,"AAAAAHX7x18=")</f>
        <v>#REF!</v>
      </c>
      <c r="CS51" t="e">
        <f>AND('PROG FORMACIÓN TITULADA'!#REF!,"AAAAAHX7x2A=")</f>
        <v>#REF!</v>
      </c>
      <c r="CT51" t="e">
        <f>AND('PROG FORMACIÓN TITULADA'!#REF!,"AAAAAHX7x2E=")</f>
        <v>#REF!</v>
      </c>
      <c r="CU51" t="e">
        <f>AND('PROG FORMACIÓN TITULADA'!#REF!,"AAAAAHX7x2I=")</f>
        <v>#REF!</v>
      </c>
      <c r="CV51" t="e">
        <f>AND('PROG FORMACIÓN TITULADA'!#REF!,"AAAAAHX7x2M=")</f>
        <v>#REF!</v>
      </c>
      <c r="CW51" t="e">
        <f>AND('PROG FORMACIÓN TITULADA'!#REF!,"AAAAAHX7x2Q=")</f>
        <v>#REF!</v>
      </c>
      <c r="CX51" t="e">
        <f>AND('PROG FORMACIÓN TITULADA'!#REF!,"AAAAAHX7x2U=")</f>
        <v>#REF!</v>
      </c>
      <c r="CY51" t="e">
        <f>AND('PROG FORMACIÓN TITULADA'!#REF!,"AAAAAHX7x2Y=")</f>
        <v>#REF!</v>
      </c>
      <c r="CZ51" t="e">
        <f>AND('PROG FORMACIÓN TITULADA'!#REF!,"AAAAAHX7x2c=")</f>
        <v>#REF!</v>
      </c>
      <c r="DA51" t="e">
        <f>AND('PROG FORMACIÓN TITULADA'!#REF!,"AAAAAHX7x2g=")</f>
        <v>#REF!</v>
      </c>
      <c r="DB51" t="e">
        <f>AND('PROG FORMACIÓN TITULADA'!#REF!,"AAAAAHX7x2k=")</f>
        <v>#REF!</v>
      </c>
      <c r="DC51" t="e">
        <f>AND('PROG FORMACIÓN TITULADA'!#REF!,"AAAAAHX7x2o=")</f>
        <v>#REF!</v>
      </c>
      <c r="DD51" t="e">
        <f>AND('PROG FORMACIÓN TITULADA'!#REF!,"AAAAAHX7x2s=")</f>
        <v>#REF!</v>
      </c>
      <c r="DE51" t="e">
        <f>AND('PROG FORMACIÓN TITULADA'!#REF!,"AAAAAHX7x2w=")</f>
        <v>#REF!</v>
      </c>
      <c r="DF51" t="e">
        <f>AND('PROG FORMACIÓN TITULADA'!#REF!,"AAAAAHX7x20=")</f>
        <v>#REF!</v>
      </c>
      <c r="DG51" t="e">
        <f>AND('PROG FORMACIÓN TITULADA'!#REF!,"AAAAAHX7x24=")</f>
        <v>#REF!</v>
      </c>
      <c r="DH51" t="e">
        <f>AND('PROG FORMACIÓN TITULADA'!#REF!,"AAAAAHX7x28=")</f>
        <v>#REF!</v>
      </c>
      <c r="DI51" t="e">
        <f>AND('PROG FORMACIÓN TITULADA'!#REF!,"AAAAAHX7x3A=")</f>
        <v>#REF!</v>
      </c>
      <c r="DJ51" t="e">
        <f>AND('PROG FORMACIÓN TITULADA'!#REF!,"AAAAAHX7x3E=")</f>
        <v>#REF!</v>
      </c>
      <c r="DK51" t="e">
        <f>AND('PROG FORMACIÓN TITULADA'!#REF!,"AAAAAHX7x3I=")</f>
        <v>#REF!</v>
      </c>
      <c r="DL51" t="e">
        <f>AND('PROG FORMACIÓN TITULADA'!#REF!,"AAAAAHX7x3M=")</f>
        <v>#REF!</v>
      </c>
      <c r="DM51" t="e">
        <f>AND('PROG FORMACIÓN TITULADA'!#REF!,"AAAAAHX7x3Q=")</f>
        <v>#REF!</v>
      </c>
      <c r="DN51" t="e">
        <f>AND('PROG FORMACIÓN TITULADA'!#REF!,"AAAAAHX7x3U=")</f>
        <v>#REF!</v>
      </c>
      <c r="DO51" t="e">
        <f>AND('PROG FORMACIÓN TITULADA'!#REF!,"AAAAAHX7x3Y=")</f>
        <v>#REF!</v>
      </c>
      <c r="DP51" t="e">
        <f>AND('PROG FORMACIÓN TITULADA'!#REF!,"AAAAAHX7x3c=")</f>
        <v>#REF!</v>
      </c>
      <c r="DQ51" t="e">
        <f>IF('PROG FORMACIÓN TITULADA'!#REF!,"AAAAAHX7x3g=",0)</f>
        <v>#REF!</v>
      </c>
      <c r="DR51" t="e">
        <f>AND('PROG FORMACIÓN TITULADA'!#REF!,"AAAAAHX7x3k=")</f>
        <v>#REF!</v>
      </c>
      <c r="DS51" t="e">
        <f>AND('PROG FORMACIÓN TITULADA'!#REF!,"AAAAAHX7x3o=")</f>
        <v>#REF!</v>
      </c>
      <c r="DT51" t="e">
        <f>AND('PROG FORMACIÓN TITULADA'!#REF!,"AAAAAHX7x3s=")</f>
        <v>#REF!</v>
      </c>
      <c r="DU51" t="e">
        <f>AND('PROG FORMACIÓN TITULADA'!#REF!,"AAAAAHX7x3w=")</f>
        <v>#REF!</v>
      </c>
      <c r="DV51" t="e">
        <f>AND('PROG FORMACIÓN TITULADA'!#REF!,"AAAAAHX7x30=")</f>
        <v>#REF!</v>
      </c>
      <c r="DW51" t="e">
        <f>AND('PROG FORMACIÓN TITULADA'!#REF!,"AAAAAHX7x34=")</f>
        <v>#REF!</v>
      </c>
      <c r="DX51" t="e">
        <f>AND('PROG FORMACIÓN TITULADA'!#REF!,"AAAAAHX7x38=")</f>
        <v>#REF!</v>
      </c>
      <c r="DY51" t="e">
        <f>AND('PROG FORMACIÓN TITULADA'!#REF!,"AAAAAHX7x4A=")</f>
        <v>#REF!</v>
      </c>
      <c r="DZ51" t="e">
        <f>AND('PROG FORMACIÓN TITULADA'!#REF!,"AAAAAHX7x4E=")</f>
        <v>#REF!</v>
      </c>
      <c r="EA51" t="e">
        <f>AND('PROG FORMACIÓN TITULADA'!#REF!,"AAAAAHX7x4I=")</f>
        <v>#REF!</v>
      </c>
      <c r="EB51" t="e">
        <f>AND('PROG FORMACIÓN TITULADA'!#REF!,"AAAAAHX7x4M=")</f>
        <v>#REF!</v>
      </c>
      <c r="EC51" t="e">
        <f>AND('PROG FORMACIÓN TITULADA'!#REF!,"AAAAAHX7x4Q=")</f>
        <v>#REF!</v>
      </c>
      <c r="ED51" t="e">
        <f>AND('PROG FORMACIÓN TITULADA'!#REF!,"AAAAAHX7x4U=")</f>
        <v>#REF!</v>
      </c>
      <c r="EE51" t="e">
        <f>AND('PROG FORMACIÓN TITULADA'!#REF!,"AAAAAHX7x4Y=")</f>
        <v>#REF!</v>
      </c>
      <c r="EF51" t="e">
        <f>AND('PROG FORMACIÓN TITULADA'!#REF!,"AAAAAHX7x4c=")</f>
        <v>#REF!</v>
      </c>
      <c r="EG51" t="e">
        <f>AND('PROG FORMACIÓN TITULADA'!#REF!,"AAAAAHX7x4g=")</f>
        <v>#REF!</v>
      </c>
      <c r="EH51" t="e">
        <f>AND('PROG FORMACIÓN TITULADA'!#REF!,"AAAAAHX7x4k=")</f>
        <v>#REF!</v>
      </c>
      <c r="EI51" t="e">
        <f>AND('PROG FORMACIÓN TITULADA'!#REF!,"AAAAAHX7x4o=")</f>
        <v>#REF!</v>
      </c>
      <c r="EJ51" t="e">
        <f>AND('PROG FORMACIÓN TITULADA'!#REF!,"AAAAAHX7x4s=")</f>
        <v>#REF!</v>
      </c>
      <c r="EK51" t="e">
        <f>AND('PROG FORMACIÓN TITULADA'!#REF!,"AAAAAHX7x4w=")</f>
        <v>#REF!</v>
      </c>
      <c r="EL51" t="e">
        <f>AND('PROG FORMACIÓN TITULADA'!#REF!,"AAAAAHX7x40=")</f>
        <v>#REF!</v>
      </c>
      <c r="EM51" t="e">
        <f>AND('PROG FORMACIÓN TITULADA'!#REF!,"AAAAAHX7x44=")</f>
        <v>#REF!</v>
      </c>
      <c r="EN51" t="e">
        <f>AND('PROG FORMACIÓN TITULADA'!#REF!,"AAAAAHX7x48=")</f>
        <v>#REF!</v>
      </c>
      <c r="EO51" t="e">
        <f>AND('PROG FORMACIÓN TITULADA'!#REF!,"AAAAAHX7x5A=")</f>
        <v>#REF!</v>
      </c>
      <c r="EP51" t="e">
        <f>AND('PROG FORMACIÓN TITULADA'!#REF!,"AAAAAHX7x5E=")</f>
        <v>#REF!</v>
      </c>
      <c r="EQ51" t="e">
        <f>AND('PROG FORMACIÓN TITULADA'!#REF!,"AAAAAHX7x5I=")</f>
        <v>#REF!</v>
      </c>
      <c r="ER51" t="e">
        <f>IF('PROG FORMACIÓN TITULADA'!#REF!,"AAAAAHX7x5M=",0)</f>
        <v>#REF!</v>
      </c>
      <c r="ES51" t="e">
        <f>AND('PROG FORMACIÓN TITULADA'!#REF!,"AAAAAHX7x5Q=")</f>
        <v>#REF!</v>
      </c>
      <c r="ET51" t="e">
        <f>AND('PROG FORMACIÓN TITULADA'!#REF!,"AAAAAHX7x5U=")</f>
        <v>#REF!</v>
      </c>
      <c r="EU51" t="e">
        <f>AND('PROG FORMACIÓN TITULADA'!#REF!,"AAAAAHX7x5Y=")</f>
        <v>#REF!</v>
      </c>
      <c r="EV51" t="e">
        <f>AND('PROG FORMACIÓN TITULADA'!#REF!,"AAAAAHX7x5c=")</f>
        <v>#REF!</v>
      </c>
      <c r="EW51" t="e">
        <f>AND('PROG FORMACIÓN TITULADA'!#REF!,"AAAAAHX7x5g=")</f>
        <v>#REF!</v>
      </c>
      <c r="EX51" t="e">
        <f>AND('PROG FORMACIÓN TITULADA'!#REF!,"AAAAAHX7x5k=")</f>
        <v>#REF!</v>
      </c>
      <c r="EY51" t="e">
        <f>AND('PROG FORMACIÓN TITULADA'!#REF!,"AAAAAHX7x5o=")</f>
        <v>#REF!</v>
      </c>
      <c r="EZ51" t="e">
        <f>AND('PROG FORMACIÓN TITULADA'!#REF!,"AAAAAHX7x5s=")</f>
        <v>#REF!</v>
      </c>
      <c r="FA51" t="e">
        <f>AND('PROG FORMACIÓN TITULADA'!#REF!,"AAAAAHX7x5w=")</f>
        <v>#REF!</v>
      </c>
      <c r="FB51" t="e">
        <f>AND('PROG FORMACIÓN TITULADA'!#REF!,"AAAAAHX7x50=")</f>
        <v>#REF!</v>
      </c>
      <c r="FC51" t="e">
        <f>AND('PROG FORMACIÓN TITULADA'!#REF!,"AAAAAHX7x54=")</f>
        <v>#REF!</v>
      </c>
      <c r="FD51" t="e">
        <f>AND('PROG FORMACIÓN TITULADA'!#REF!,"AAAAAHX7x58=")</f>
        <v>#REF!</v>
      </c>
      <c r="FE51" t="e">
        <f>AND('PROG FORMACIÓN TITULADA'!#REF!,"AAAAAHX7x6A=")</f>
        <v>#REF!</v>
      </c>
      <c r="FF51" t="e">
        <f>AND('PROG FORMACIÓN TITULADA'!#REF!,"AAAAAHX7x6E=")</f>
        <v>#REF!</v>
      </c>
      <c r="FG51" t="e">
        <f>AND('PROG FORMACIÓN TITULADA'!#REF!,"AAAAAHX7x6I=")</f>
        <v>#REF!</v>
      </c>
      <c r="FH51" t="e">
        <f>AND('PROG FORMACIÓN TITULADA'!#REF!,"AAAAAHX7x6M=")</f>
        <v>#REF!</v>
      </c>
      <c r="FI51" t="e">
        <f>AND('PROG FORMACIÓN TITULADA'!#REF!,"AAAAAHX7x6Q=")</f>
        <v>#REF!</v>
      </c>
      <c r="FJ51" t="e">
        <f>AND('PROG FORMACIÓN TITULADA'!#REF!,"AAAAAHX7x6U=")</f>
        <v>#REF!</v>
      </c>
      <c r="FK51" t="e">
        <f>AND('PROG FORMACIÓN TITULADA'!#REF!,"AAAAAHX7x6Y=")</f>
        <v>#REF!</v>
      </c>
      <c r="FL51" t="e">
        <f>AND('PROG FORMACIÓN TITULADA'!#REF!,"AAAAAHX7x6c=")</f>
        <v>#REF!</v>
      </c>
      <c r="FM51" t="e">
        <f>AND('PROG FORMACIÓN TITULADA'!#REF!,"AAAAAHX7x6g=")</f>
        <v>#REF!</v>
      </c>
      <c r="FN51" t="e">
        <f>AND('PROG FORMACIÓN TITULADA'!#REF!,"AAAAAHX7x6k=")</f>
        <v>#REF!</v>
      </c>
      <c r="FO51" t="e">
        <f>AND('PROG FORMACIÓN TITULADA'!#REF!,"AAAAAHX7x6o=")</f>
        <v>#REF!</v>
      </c>
      <c r="FP51" t="e">
        <f>AND('PROG FORMACIÓN TITULADA'!#REF!,"AAAAAHX7x6s=")</f>
        <v>#REF!</v>
      </c>
      <c r="FQ51" t="e">
        <f>AND('PROG FORMACIÓN TITULADA'!#REF!,"AAAAAHX7x6w=")</f>
        <v>#REF!</v>
      </c>
      <c r="FR51" t="e">
        <f>AND('PROG FORMACIÓN TITULADA'!#REF!,"AAAAAHX7x60=")</f>
        <v>#REF!</v>
      </c>
      <c r="FS51" t="e">
        <f>IF('PROG FORMACIÓN TITULADA'!#REF!,"AAAAAHX7x64=",0)</f>
        <v>#REF!</v>
      </c>
      <c r="FT51" t="e">
        <f>AND('PROG FORMACIÓN TITULADA'!#REF!,"AAAAAHX7x68=")</f>
        <v>#REF!</v>
      </c>
      <c r="FU51" t="e">
        <f>AND('PROG FORMACIÓN TITULADA'!#REF!,"AAAAAHX7x7A=")</f>
        <v>#REF!</v>
      </c>
      <c r="FV51" t="e">
        <f>AND('PROG FORMACIÓN TITULADA'!#REF!,"AAAAAHX7x7E=")</f>
        <v>#REF!</v>
      </c>
      <c r="FW51" t="e">
        <f>AND('PROG FORMACIÓN TITULADA'!#REF!,"AAAAAHX7x7I=")</f>
        <v>#REF!</v>
      </c>
      <c r="FX51" t="e">
        <f>AND('PROG FORMACIÓN TITULADA'!#REF!,"AAAAAHX7x7M=")</f>
        <v>#REF!</v>
      </c>
      <c r="FY51" t="e">
        <f>AND('PROG FORMACIÓN TITULADA'!#REF!,"AAAAAHX7x7Q=")</f>
        <v>#REF!</v>
      </c>
      <c r="FZ51" t="e">
        <f>AND('PROG FORMACIÓN TITULADA'!#REF!,"AAAAAHX7x7U=")</f>
        <v>#REF!</v>
      </c>
      <c r="GA51" t="e">
        <f>AND('PROG FORMACIÓN TITULADA'!#REF!,"AAAAAHX7x7Y=")</f>
        <v>#REF!</v>
      </c>
      <c r="GB51" t="e">
        <f>AND('PROG FORMACIÓN TITULADA'!#REF!,"AAAAAHX7x7c=")</f>
        <v>#REF!</v>
      </c>
      <c r="GC51" t="e">
        <f>AND('PROG FORMACIÓN TITULADA'!#REF!,"AAAAAHX7x7g=")</f>
        <v>#REF!</v>
      </c>
      <c r="GD51" t="e">
        <f>AND('PROG FORMACIÓN TITULADA'!#REF!,"AAAAAHX7x7k=")</f>
        <v>#REF!</v>
      </c>
      <c r="GE51" t="e">
        <f>AND('PROG FORMACIÓN TITULADA'!#REF!,"AAAAAHX7x7o=")</f>
        <v>#REF!</v>
      </c>
      <c r="GF51" t="e">
        <f>AND('PROG FORMACIÓN TITULADA'!#REF!,"AAAAAHX7x7s=")</f>
        <v>#REF!</v>
      </c>
      <c r="GG51" t="e">
        <f>AND('PROG FORMACIÓN TITULADA'!#REF!,"AAAAAHX7x7w=")</f>
        <v>#REF!</v>
      </c>
      <c r="GH51" t="e">
        <f>AND('PROG FORMACIÓN TITULADA'!#REF!,"AAAAAHX7x70=")</f>
        <v>#REF!</v>
      </c>
      <c r="GI51" t="e">
        <f>AND('PROG FORMACIÓN TITULADA'!#REF!,"AAAAAHX7x74=")</f>
        <v>#REF!</v>
      </c>
      <c r="GJ51" t="e">
        <f>AND('PROG FORMACIÓN TITULADA'!#REF!,"AAAAAHX7x78=")</f>
        <v>#REF!</v>
      </c>
      <c r="GK51" t="e">
        <f>AND('PROG FORMACIÓN TITULADA'!#REF!,"AAAAAHX7x8A=")</f>
        <v>#REF!</v>
      </c>
      <c r="GL51" t="e">
        <f>AND('PROG FORMACIÓN TITULADA'!#REF!,"AAAAAHX7x8E=")</f>
        <v>#REF!</v>
      </c>
      <c r="GM51" t="e">
        <f>AND('PROG FORMACIÓN TITULADA'!#REF!,"AAAAAHX7x8I=")</f>
        <v>#REF!</v>
      </c>
      <c r="GN51" t="e">
        <f>AND('PROG FORMACIÓN TITULADA'!#REF!,"AAAAAHX7x8M=")</f>
        <v>#REF!</v>
      </c>
      <c r="GO51" t="e">
        <f>AND('PROG FORMACIÓN TITULADA'!#REF!,"AAAAAHX7x8Q=")</f>
        <v>#REF!</v>
      </c>
      <c r="GP51" t="e">
        <f>AND('PROG FORMACIÓN TITULADA'!#REF!,"AAAAAHX7x8U=")</f>
        <v>#REF!</v>
      </c>
      <c r="GQ51" t="e">
        <f>AND('PROG FORMACIÓN TITULADA'!#REF!,"AAAAAHX7x8Y=")</f>
        <v>#REF!</v>
      </c>
      <c r="GR51" t="e">
        <f>AND('PROG FORMACIÓN TITULADA'!#REF!,"AAAAAHX7x8c=")</f>
        <v>#REF!</v>
      </c>
      <c r="GS51" t="e">
        <f>AND('PROG FORMACIÓN TITULADA'!#REF!,"AAAAAHX7x8g=")</f>
        <v>#REF!</v>
      </c>
      <c r="GT51" t="e">
        <f>IF('PROG FORMACIÓN TITULADA'!#REF!,"AAAAAHX7x8k=",0)</f>
        <v>#REF!</v>
      </c>
      <c r="GU51" t="e">
        <f>AND('PROG FORMACIÓN TITULADA'!#REF!,"AAAAAHX7x8o=")</f>
        <v>#REF!</v>
      </c>
      <c r="GV51" t="e">
        <f>AND('PROG FORMACIÓN TITULADA'!#REF!,"AAAAAHX7x8s=")</f>
        <v>#REF!</v>
      </c>
      <c r="GW51" t="e">
        <f>AND('PROG FORMACIÓN TITULADA'!#REF!,"AAAAAHX7x8w=")</f>
        <v>#REF!</v>
      </c>
      <c r="GX51" t="e">
        <f>AND('PROG FORMACIÓN TITULADA'!#REF!,"AAAAAHX7x80=")</f>
        <v>#REF!</v>
      </c>
      <c r="GY51" t="e">
        <f>AND('PROG FORMACIÓN TITULADA'!#REF!,"AAAAAHX7x84=")</f>
        <v>#REF!</v>
      </c>
      <c r="GZ51" t="e">
        <f>AND('PROG FORMACIÓN TITULADA'!#REF!,"AAAAAHX7x88=")</f>
        <v>#REF!</v>
      </c>
      <c r="HA51" t="e">
        <f>AND('PROG FORMACIÓN TITULADA'!#REF!,"AAAAAHX7x9A=")</f>
        <v>#REF!</v>
      </c>
      <c r="HB51" t="e">
        <f>AND('PROG FORMACIÓN TITULADA'!#REF!,"AAAAAHX7x9E=")</f>
        <v>#REF!</v>
      </c>
      <c r="HC51" t="e">
        <f>AND('PROG FORMACIÓN TITULADA'!#REF!,"AAAAAHX7x9I=")</f>
        <v>#REF!</v>
      </c>
      <c r="HD51" t="e">
        <f>AND('PROG FORMACIÓN TITULADA'!#REF!,"AAAAAHX7x9M=")</f>
        <v>#REF!</v>
      </c>
      <c r="HE51" t="e">
        <f>AND('PROG FORMACIÓN TITULADA'!#REF!,"AAAAAHX7x9Q=")</f>
        <v>#REF!</v>
      </c>
      <c r="HF51" t="e">
        <f>AND('PROG FORMACIÓN TITULADA'!#REF!,"AAAAAHX7x9U=")</f>
        <v>#REF!</v>
      </c>
      <c r="HG51" t="e">
        <f>AND('PROG FORMACIÓN TITULADA'!#REF!,"AAAAAHX7x9Y=")</f>
        <v>#REF!</v>
      </c>
      <c r="HH51" t="e">
        <f>AND('PROG FORMACIÓN TITULADA'!#REF!,"AAAAAHX7x9c=")</f>
        <v>#REF!</v>
      </c>
      <c r="HI51" t="e">
        <f>AND('PROG FORMACIÓN TITULADA'!#REF!,"AAAAAHX7x9g=")</f>
        <v>#REF!</v>
      </c>
      <c r="HJ51" t="e">
        <f>AND('PROG FORMACIÓN TITULADA'!#REF!,"AAAAAHX7x9k=")</f>
        <v>#REF!</v>
      </c>
      <c r="HK51" t="e">
        <f>AND('PROG FORMACIÓN TITULADA'!#REF!,"AAAAAHX7x9o=")</f>
        <v>#REF!</v>
      </c>
      <c r="HL51" t="e">
        <f>AND('PROG FORMACIÓN TITULADA'!#REF!,"AAAAAHX7x9s=")</f>
        <v>#REF!</v>
      </c>
      <c r="HM51" t="e">
        <f>AND('PROG FORMACIÓN TITULADA'!#REF!,"AAAAAHX7x9w=")</f>
        <v>#REF!</v>
      </c>
      <c r="HN51" t="e">
        <f>AND('PROG FORMACIÓN TITULADA'!#REF!,"AAAAAHX7x90=")</f>
        <v>#REF!</v>
      </c>
      <c r="HO51" t="e">
        <f>AND('PROG FORMACIÓN TITULADA'!#REF!,"AAAAAHX7x94=")</f>
        <v>#REF!</v>
      </c>
      <c r="HP51" t="e">
        <f>AND('PROG FORMACIÓN TITULADA'!#REF!,"AAAAAHX7x98=")</f>
        <v>#REF!</v>
      </c>
      <c r="HQ51" t="e">
        <f>AND('PROG FORMACIÓN TITULADA'!#REF!,"AAAAAHX7x+A=")</f>
        <v>#REF!</v>
      </c>
      <c r="HR51" t="e">
        <f>AND('PROG FORMACIÓN TITULADA'!#REF!,"AAAAAHX7x+E=")</f>
        <v>#REF!</v>
      </c>
      <c r="HS51" t="e">
        <f>AND('PROG FORMACIÓN TITULADA'!#REF!,"AAAAAHX7x+I=")</f>
        <v>#REF!</v>
      </c>
      <c r="HT51" t="e">
        <f>AND('PROG FORMACIÓN TITULADA'!#REF!,"AAAAAHX7x+M=")</f>
        <v>#REF!</v>
      </c>
      <c r="HU51" t="e">
        <f>IF('PROG FORMACIÓN TITULADA'!#REF!,"AAAAAHX7x+Q=",0)</f>
        <v>#REF!</v>
      </c>
      <c r="HV51" t="e">
        <f>AND('PROG FORMACIÓN TITULADA'!#REF!,"AAAAAHX7x+U=")</f>
        <v>#REF!</v>
      </c>
      <c r="HW51" t="e">
        <f>AND('PROG FORMACIÓN TITULADA'!#REF!,"AAAAAHX7x+Y=")</f>
        <v>#REF!</v>
      </c>
      <c r="HX51" t="e">
        <f>AND('PROG FORMACIÓN TITULADA'!#REF!,"AAAAAHX7x+c=")</f>
        <v>#REF!</v>
      </c>
      <c r="HY51" t="e">
        <f>AND('PROG FORMACIÓN TITULADA'!#REF!,"AAAAAHX7x+g=")</f>
        <v>#REF!</v>
      </c>
      <c r="HZ51" t="e">
        <f>AND('PROG FORMACIÓN TITULADA'!#REF!,"AAAAAHX7x+k=")</f>
        <v>#REF!</v>
      </c>
      <c r="IA51" t="e">
        <f>AND('PROG FORMACIÓN TITULADA'!#REF!,"AAAAAHX7x+o=")</f>
        <v>#REF!</v>
      </c>
      <c r="IB51" t="e">
        <f>AND('PROG FORMACIÓN TITULADA'!#REF!,"AAAAAHX7x+s=")</f>
        <v>#REF!</v>
      </c>
      <c r="IC51" t="e">
        <f>AND('PROG FORMACIÓN TITULADA'!#REF!,"AAAAAHX7x+w=")</f>
        <v>#REF!</v>
      </c>
      <c r="ID51" t="e">
        <f>AND('PROG FORMACIÓN TITULADA'!#REF!,"AAAAAHX7x+0=")</f>
        <v>#REF!</v>
      </c>
      <c r="IE51" t="e">
        <f>AND('PROG FORMACIÓN TITULADA'!#REF!,"AAAAAHX7x+4=")</f>
        <v>#REF!</v>
      </c>
      <c r="IF51" t="e">
        <f>AND('PROG FORMACIÓN TITULADA'!#REF!,"AAAAAHX7x+8=")</f>
        <v>#REF!</v>
      </c>
      <c r="IG51" t="e">
        <f>AND('PROG FORMACIÓN TITULADA'!#REF!,"AAAAAHX7x/A=")</f>
        <v>#REF!</v>
      </c>
      <c r="IH51" t="e">
        <f>AND('PROG FORMACIÓN TITULADA'!#REF!,"AAAAAHX7x/E=")</f>
        <v>#REF!</v>
      </c>
      <c r="II51" t="e">
        <f>AND('PROG FORMACIÓN TITULADA'!#REF!,"AAAAAHX7x/I=")</f>
        <v>#REF!</v>
      </c>
      <c r="IJ51" t="e">
        <f>AND('PROG FORMACIÓN TITULADA'!#REF!,"AAAAAHX7x/M=")</f>
        <v>#REF!</v>
      </c>
      <c r="IK51" t="e">
        <f>AND('PROG FORMACIÓN TITULADA'!#REF!,"AAAAAHX7x/Q=")</f>
        <v>#REF!</v>
      </c>
      <c r="IL51" t="e">
        <f>AND('PROG FORMACIÓN TITULADA'!#REF!,"AAAAAHX7x/U=")</f>
        <v>#REF!</v>
      </c>
      <c r="IM51" t="e">
        <f>AND('PROG FORMACIÓN TITULADA'!#REF!,"AAAAAHX7x/Y=")</f>
        <v>#REF!</v>
      </c>
      <c r="IN51" t="e">
        <f>AND('PROG FORMACIÓN TITULADA'!#REF!,"AAAAAHX7x/c=")</f>
        <v>#REF!</v>
      </c>
      <c r="IO51" t="e">
        <f>AND('PROG FORMACIÓN TITULADA'!#REF!,"AAAAAHX7x/g=")</f>
        <v>#REF!</v>
      </c>
      <c r="IP51" t="e">
        <f>AND('PROG FORMACIÓN TITULADA'!#REF!,"AAAAAHX7x/k=")</f>
        <v>#REF!</v>
      </c>
      <c r="IQ51" t="e">
        <f>AND('PROG FORMACIÓN TITULADA'!#REF!,"AAAAAHX7x/o=")</f>
        <v>#REF!</v>
      </c>
      <c r="IR51" t="e">
        <f>AND('PROG FORMACIÓN TITULADA'!#REF!,"AAAAAHX7x/s=")</f>
        <v>#REF!</v>
      </c>
      <c r="IS51" t="e">
        <f>AND('PROG FORMACIÓN TITULADA'!#REF!,"AAAAAHX7x/w=")</f>
        <v>#REF!</v>
      </c>
      <c r="IT51" t="e">
        <f>AND('PROG FORMACIÓN TITULADA'!#REF!,"AAAAAHX7x/0=")</f>
        <v>#REF!</v>
      </c>
      <c r="IU51" t="e">
        <f>AND('PROG FORMACIÓN TITULADA'!#REF!,"AAAAAHX7x/4=")</f>
        <v>#REF!</v>
      </c>
      <c r="IV51" t="e">
        <f>IF('PROG FORMACIÓN TITULADA'!#REF!,"AAAAAHX7x/8=",0)</f>
        <v>#REF!</v>
      </c>
    </row>
    <row r="52" spans="1:256" x14ac:dyDescent="0.2">
      <c r="A52" t="e">
        <f>AND('PROG FORMACIÓN TITULADA'!#REF!,"AAAAADfObwA=")</f>
        <v>#REF!</v>
      </c>
      <c r="B52" t="e">
        <f>AND('PROG FORMACIÓN TITULADA'!#REF!,"AAAAADfObwE=")</f>
        <v>#REF!</v>
      </c>
      <c r="C52" t="e">
        <f>AND('PROG FORMACIÓN TITULADA'!#REF!,"AAAAADfObwI=")</f>
        <v>#REF!</v>
      </c>
      <c r="D52" t="e">
        <f>AND('PROG FORMACIÓN TITULADA'!#REF!,"AAAAADfObwM=")</f>
        <v>#REF!</v>
      </c>
      <c r="E52" t="e">
        <f>AND('PROG FORMACIÓN TITULADA'!#REF!,"AAAAADfObwQ=")</f>
        <v>#REF!</v>
      </c>
      <c r="F52" t="e">
        <f>AND('PROG FORMACIÓN TITULADA'!#REF!,"AAAAADfObwU=")</f>
        <v>#REF!</v>
      </c>
      <c r="G52" t="e">
        <f>AND('PROG FORMACIÓN TITULADA'!#REF!,"AAAAADfObwY=")</f>
        <v>#REF!</v>
      </c>
      <c r="H52" t="e">
        <f>AND('PROG FORMACIÓN TITULADA'!#REF!,"AAAAADfObwc=")</f>
        <v>#REF!</v>
      </c>
      <c r="I52" t="e">
        <f>AND('PROG FORMACIÓN TITULADA'!#REF!,"AAAAADfObwg=")</f>
        <v>#REF!</v>
      </c>
      <c r="J52" t="e">
        <f>AND('PROG FORMACIÓN TITULADA'!#REF!,"AAAAADfObwk=")</f>
        <v>#REF!</v>
      </c>
      <c r="K52" t="e">
        <f>AND('PROG FORMACIÓN TITULADA'!#REF!,"AAAAADfObwo=")</f>
        <v>#REF!</v>
      </c>
      <c r="L52" t="e">
        <f>AND('PROG FORMACIÓN TITULADA'!#REF!,"AAAAADfObws=")</f>
        <v>#REF!</v>
      </c>
      <c r="M52" t="e">
        <f>AND('PROG FORMACIÓN TITULADA'!#REF!,"AAAAADfObww=")</f>
        <v>#REF!</v>
      </c>
      <c r="N52" t="e">
        <f>AND('PROG FORMACIÓN TITULADA'!#REF!,"AAAAADfObw0=")</f>
        <v>#REF!</v>
      </c>
      <c r="O52" t="e">
        <f>AND('PROG FORMACIÓN TITULADA'!#REF!,"AAAAADfObw4=")</f>
        <v>#REF!</v>
      </c>
      <c r="P52" t="e">
        <f>AND('PROG FORMACIÓN TITULADA'!#REF!,"AAAAADfObw8=")</f>
        <v>#REF!</v>
      </c>
      <c r="Q52" t="e">
        <f>AND('PROG FORMACIÓN TITULADA'!#REF!,"AAAAADfObxA=")</f>
        <v>#REF!</v>
      </c>
      <c r="R52" t="e">
        <f>AND('PROG FORMACIÓN TITULADA'!#REF!,"AAAAADfObxE=")</f>
        <v>#REF!</v>
      </c>
      <c r="S52" t="e">
        <f>AND('PROG FORMACIÓN TITULADA'!#REF!,"AAAAADfObxI=")</f>
        <v>#REF!</v>
      </c>
      <c r="T52" t="e">
        <f>AND('PROG FORMACIÓN TITULADA'!#REF!,"AAAAADfObxM=")</f>
        <v>#REF!</v>
      </c>
      <c r="U52" t="e">
        <f>AND('PROG FORMACIÓN TITULADA'!#REF!,"AAAAADfObxQ=")</f>
        <v>#REF!</v>
      </c>
      <c r="V52" t="e">
        <f>AND('PROG FORMACIÓN TITULADA'!#REF!,"AAAAADfObxU=")</f>
        <v>#REF!</v>
      </c>
      <c r="W52" t="e">
        <f>AND('PROG FORMACIÓN TITULADA'!#REF!,"AAAAADfObxY=")</f>
        <v>#REF!</v>
      </c>
      <c r="X52" t="e">
        <f>AND('PROG FORMACIÓN TITULADA'!#REF!,"AAAAADfObxc=")</f>
        <v>#REF!</v>
      </c>
      <c r="Y52" t="e">
        <f>AND('PROG FORMACIÓN TITULADA'!#REF!,"AAAAADfObxg=")</f>
        <v>#REF!</v>
      </c>
      <c r="Z52" t="e">
        <f>AND('PROG FORMACIÓN TITULADA'!#REF!,"AAAAADfObxk=")</f>
        <v>#REF!</v>
      </c>
      <c r="AA52" t="e">
        <f>IF('PROG FORMACIÓN TITULADA'!#REF!,"AAAAADfObxo=",0)</f>
        <v>#REF!</v>
      </c>
      <c r="AB52" t="e">
        <f>AND('PROG FORMACIÓN TITULADA'!#REF!,"AAAAADfObxs=")</f>
        <v>#REF!</v>
      </c>
      <c r="AC52" t="e">
        <f>AND('PROG FORMACIÓN TITULADA'!#REF!,"AAAAADfObxw=")</f>
        <v>#REF!</v>
      </c>
      <c r="AD52" t="e">
        <f>AND('PROG FORMACIÓN TITULADA'!#REF!,"AAAAADfObx0=")</f>
        <v>#REF!</v>
      </c>
      <c r="AE52" t="e">
        <f>AND('PROG FORMACIÓN TITULADA'!#REF!,"AAAAADfObx4=")</f>
        <v>#REF!</v>
      </c>
      <c r="AF52" t="e">
        <f>AND('PROG FORMACIÓN TITULADA'!#REF!,"AAAAADfObx8=")</f>
        <v>#REF!</v>
      </c>
      <c r="AG52" t="e">
        <f>AND('PROG FORMACIÓN TITULADA'!#REF!,"AAAAADfObyA=")</f>
        <v>#REF!</v>
      </c>
      <c r="AH52" t="e">
        <f>AND('PROG FORMACIÓN TITULADA'!#REF!,"AAAAADfObyE=")</f>
        <v>#REF!</v>
      </c>
      <c r="AI52" t="e">
        <f>AND('PROG FORMACIÓN TITULADA'!#REF!,"AAAAADfObyI=")</f>
        <v>#REF!</v>
      </c>
      <c r="AJ52" t="e">
        <f>AND('PROG FORMACIÓN TITULADA'!#REF!,"AAAAADfObyM=")</f>
        <v>#REF!</v>
      </c>
      <c r="AK52" t="e">
        <f>AND('PROG FORMACIÓN TITULADA'!#REF!,"AAAAADfObyQ=")</f>
        <v>#REF!</v>
      </c>
      <c r="AL52" t="e">
        <f>AND('PROG FORMACIÓN TITULADA'!#REF!,"AAAAADfObyU=")</f>
        <v>#REF!</v>
      </c>
      <c r="AM52" t="e">
        <f>AND('PROG FORMACIÓN TITULADA'!#REF!,"AAAAADfObyY=")</f>
        <v>#REF!</v>
      </c>
      <c r="AN52" t="e">
        <f>AND('PROG FORMACIÓN TITULADA'!#REF!,"AAAAADfObyc=")</f>
        <v>#REF!</v>
      </c>
      <c r="AO52" t="e">
        <f>AND('PROG FORMACIÓN TITULADA'!#REF!,"AAAAADfObyg=")</f>
        <v>#REF!</v>
      </c>
      <c r="AP52" t="e">
        <f>AND('PROG FORMACIÓN TITULADA'!#REF!,"AAAAADfObyk=")</f>
        <v>#REF!</v>
      </c>
      <c r="AQ52" t="e">
        <f>AND('PROG FORMACIÓN TITULADA'!#REF!,"AAAAADfObyo=")</f>
        <v>#REF!</v>
      </c>
      <c r="AR52" t="e">
        <f>AND('PROG FORMACIÓN TITULADA'!#REF!,"AAAAADfObys=")</f>
        <v>#REF!</v>
      </c>
      <c r="AS52" t="e">
        <f>AND('PROG FORMACIÓN TITULADA'!#REF!,"AAAAADfObyw=")</f>
        <v>#REF!</v>
      </c>
      <c r="AT52" t="e">
        <f>AND('PROG FORMACIÓN TITULADA'!#REF!,"AAAAADfOby0=")</f>
        <v>#REF!</v>
      </c>
      <c r="AU52" t="e">
        <f>AND('PROG FORMACIÓN TITULADA'!#REF!,"AAAAADfOby4=")</f>
        <v>#REF!</v>
      </c>
      <c r="AV52" t="e">
        <f>AND('PROG FORMACIÓN TITULADA'!#REF!,"AAAAADfOby8=")</f>
        <v>#REF!</v>
      </c>
      <c r="AW52" t="e">
        <f>AND('PROG FORMACIÓN TITULADA'!#REF!,"AAAAADfObzA=")</f>
        <v>#REF!</v>
      </c>
      <c r="AX52" t="e">
        <f>AND('PROG FORMACIÓN TITULADA'!#REF!,"AAAAADfObzE=")</f>
        <v>#REF!</v>
      </c>
      <c r="AY52" t="e">
        <f>AND('PROG FORMACIÓN TITULADA'!#REF!,"AAAAADfObzI=")</f>
        <v>#REF!</v>
      </c>
      <c r="AZ52" t="e">
        <f>AND('PROG FORMACIÓN TITULADA'!#REF!,"AAAAADfObzM=")</f>
        <v>#REF!</v>
      </c>
      <c r="BA52" t="e">
        <f>AND('PROG FORMACIÓN TITULADA'!#REF!,"AAAAADfObzQ=")</f>
        <v>#REF!</v>
      </c>
      <c r="BB52" t="e">
        <f>IF('PROG FORMACIÓN TITULADA'!#REF!,"AAAAADfObzU=",0)</f>
        <v>#REF!</v>
      </c>
      <c r="BC52" t="e">
        <f>AND('PROG FORMACIÓN TITULADA'!#REF!,"AAAAADfObzY=")</f>
        <v>#REF!</v>
      </c>
      <c r="BD52" t="e">
        <f>AND('PROG FORMACIÓN TITULADA'!#REF!,"AAAAADfObzc=")</f>
        <v>#REF!</v>
      </c>
      <c r="BE52" t="e">
        <f>AND('PROG FORMACIÓN TITULADA'!#REF!,"AAAAADfObzg=")</f>
        <v>#REF!</v>
      </c>
      <c r="BF52" t="e">
        <f>AND('PROG FORMACIÓN TITULADA'!#REF!,"AAAAADfObzk=")</f>
        <v>#REF!</v>
      </c>
      <c r="BG52" t="e">
        <f>AND('PROG FORMACIÓN TITULADA'!#REF!,"AAAAADfObzo=")</f>
        <v>#REF!</v>
      </c>
      <c r="BH52" t="e">
        <f>AND('PROG FORMACIÓN TITULADA'!#REF!,"AAAAADfObzs=")</f>
        <v>#REF!</v>
      </c>
      <c r="BI52" t="e">
        <f>AND('PROG FORMACIÓN TITULADA'!#REF!,"AAAAADfObzw=")</f>
        <v>#REF!</v>
      </c>
      <c r="BJ52" t="e">
        <f>AND('PROG FORMACIÓN TITULADA'!#REF!,"AAAAADfObz0=")</f>
        <v>#REF!</v>
      </c>
      <c r="BK52" t="e">
        <f>AND('PROG FORMACIÓN TITULADA'!#REF!,"AAAAADfObz4=")</f>
        <v>#REF!</v>
      </c>
      <c r="BL52" t="e">
        <f>AND('PROG FORMACIÓN TITULADA'!#REF!,"AAAAADfObz8=")</f>
        <v>#REF!</v>
      </c>
      <c r="BM52" t="e">
        <f>AND('PROG FORMACIÓN TITULADA'!#REF!,"AAAAADfOb0A=")</f>
        <v>#REF!</v>
      </c>
      <c r="BN52" t="e">
        <f>AND('PROG FORMACIÓN TITULADA'!#REF!,"AAAAADfOb0E=")</f>
        <v>#REF!</v>
      </c>
      <c r="BO52" t="e">
        <f>AND('PROG FORMACIÓN TITULADA'!#REF!,"AAAAADfOb0I=")</f>
        <v>#REF!</v>
      </c>
      <c r="BP52" t="e">
        <f>AND('PROG FORMACIÓN TITULADA'!#REF!,"AAAAADfOb0M=")</f>
        <v>#REF!</v>
      </c>
      <c r="BQ52" t="e">
        <f>AND('PROG FORMACIÓN TITULADA'!#REF!,"AAAAADfOb0Q=")</f>
        <v>#REF!</v>
      </c>
      <c r="BR52" t="e">
        <f>AND('PROG FORMACIÓN TITULADA'!#REF!,"AAAAADfOb0U=")</f>
        <v>#REF!</v>
      </c>
      <c r="BS52" t="e">
        <f>AND('PROG FORMACIÓN TITULADA'!#REF!,"AAAAADfOb0Y=")</f>
        <v>#REF!</v>
      </c>
      <c r="BT52" t="e">
        <f>AND('PROG FORMACIÓN TITULADA'!#REF!,"AAAAADfOb0c=")</f>
        <v>#REF!</v>
      </c>
      <c r="BU52" t="e">
        <f>AND('PROG FORMACIÓN TITULADA'!#REF!,"AAAAADfOb0g=")</f>
        <v>#REF!</v>
      </c>
      <c r="BV52" t="e">
        <f>AND('PROG FORMACIÓN TITULADA'!#REF!,"AAAAADfOb0k=")</f>
        <v>#REF!</v>
      </c>
      <c r="BW52" t="e">
        <f>AND('PROG FORMACIÓN TITULADA'!#REF!,"AAAAADfOb0o=")</f>
        <v>#REF!</v>
      </c>
      <c r="BX52" t="e">
        <f>AND('PROG FORMACIÓN TITULADA'!#REF!,"AAAAADfOb0s=")</f>
        <v>#REF!</v>
      </c>
      <c r="BY52" t="e">
        <f>AND('PROG FORMACIÓN TITULADA'!#REF!,"AAAAADfOb0w=")</f>
        <v>#REF!</v>
      </c>
      <c r="BZ52" t="e">
        <f>AND('PROG FORMACIÓN TITULADA'!#REF!,"AAAAADfOb00=")</f>
        <v>#REF!</v>
      </c>
      <c r="CA52" t="e">
        <f>AND('PROG FORMACIÓN TITULADA'!#REF!,"AAAAADfOb04=")</f>
        <v>#REF!</v>
      </c>
      <c r="CB52" t="e">
        <f>AND('PROG FORMACIÓN TITULADA'!#REF!,"AAAAADfOb08=")</f>
        <v>#REF!</v>
      </c>
      <c r="CC52" t="e">
        <f>IF('PROG FORMACIÓN TITULADA'!#REF!,"AAAAADfOb1A=",0)</f>
        <v>#REF!</v>
      </c>
      <c r="CD52" t="e">
        <f>AND('PROG FORMACIÓN TITULADA'!#REF!,"AAAAADfOb1E=")</f>
        <v>#REF!</v>
      </c>
      <c r="CE52" t="e">
        <f>AND('PROG FORMACIÓN TITULADA'!#REF!,"AAAAADfOb1I=")</f>
        <v>#REF!</v>
      </c>
      <c r="CF52" t="e">
        <f>AND('PROG FORMACIÓN TITULADA'!#REF!,"AAAAADfOb1M=")</f>
        <v>#REF!</v>
      </c>
      <c r="CG52" t="e">
        <f>AND('PROG FORMACIÓN TITULADA'!#REF!,"AAAAADfOb1Q=")</f>
        <v>#REF!</v>
      </c>
      <c r="CH52" t="e">
        <f>AND('PROG FORMACIÓN TITULADA'!#REF!,"AAAAADfOb1U=")</f>
        <v>#REF!</v>
      </c>
      <c r="CI52" t="e">
        <f>AND('PROG FORMACIÓN TITULADA'!#REF!,"AAAAADfOb1Y=")</f>
        <v>#REF!</v>
      </c>
      <c r="CJ52" t="e">
        <f>AND('PROG FORMACIÓN TITULADA'!#REF!,"AAAAADfOb1c=")</f>
        <v>#REF!</v>
      </c>
      <c r="CK52" t="e">
        <f>AND('PROG FORMACIÓN TITULADA'!#REF!,"AAAAADfOb1g=")</f>
        <v>#REF!</v>
      </c>
      <c r="CL52" t="e">
        <f>AND('PROG FORMACIÓN TITULADA'!#REF!,"AAAAADfOb1k=")</f>
        <v>#REF!</v>
      </c>
      <c r="CM52" t="e">
        <f>AND('PROG FORMACIÓN TITULADA'!#REF!,"AAAAADfOb1o=")</f>
        <v>#REF!</v>
      </c>
      <c r="CN52" t="e">
        <f>AND('PROG FORMACIÓN TITULADA'!#REF!,"AAAAADfOb1s=")</f>
        <v>#REF!</v>
      </c>
      <c r="CO52" t="e">
        <f>AND('PROG FORMACIÓN TITULADA'!#REF!,"AAAAADfOb1w=")</f>
        <v>#REF!</v>
      </c>
      <c r="CP52" t="e">
        <f>AND('PROG FORMACIÓN TITULADA'!#REF!,"AAAAADfOb10=")</f>
        <v>#REF!</v>
      </c>
      <c r="CQ52" t="e">
        <f>AND('PROG FORMACIÓN TITULADA'!#REF!,"AAAAADfOb14=")</f>
        <v>#REF!</v>
      </c>
      <c r="CR52" t="e">
        <f>AND('PROG FORMACIÓN TITULADA'!#REF!,"AAAAADfOb18=")</f>
        <v>#REF!</v>
      </c>
      <c r="CS52" t="e">
        <f>AND('PROG FORMACIÓN TITULADA'!#REF!,"AAAAADfOb2A=")</f>
        <v>#REF!</v>
      </c>
      <c r="CT52" t="e">
        <f>AND('PROG FORMACIÓN TITULADA'!#REF!,"AAAAADfOb2E=")</f>
        <v>#REF!</v>
      </c>
      <c r="CU52" t="e">
        <f>AND('PROG FORMACIÓN TITULADA'!#REF!,"AAAAADfOb2I=")</f>
        <v>#REF!</v>
      </c>
      <c r="CV52" t="e">
        <f>AND('PROG FORMACIÓN TITULADA'!#REF!,"AAAAADfOb2M=")</f>
        <v>#REF!</v>
      </c>
      <c r="CW52" t="e">
        <f>AND('PROG FORMACIÓN TITULADA'!#REF!,"AAAAADfOb2Q=")</f>
        <v>#REF!</v>
      </c>
      <c r="CX52" t="e">
        <f>AND('PROG FORMACIÓN TITULADA'!#REF!,"AAAAADfOb2U=")</f>
        <v>#REF!</v>
      </c>
      <c r="CY52" t="e">
        <f>AND('PROG FORMACIÓN TITULADA'!#REF!,"AAAAADfOb2Y=")</f>
        <v>#REF!</v>
      </c>
      <c r="CZ52" t="e">
        <f>AND('PROG FORMACIÓN TITULADA'!#REF!,"AAAAADfOb2c=")</f>
        <v>#REF!</v>
      </c>
      <c r="DA52" t="e">
        <f>AND('PROG FORMACIÓN TITULADA'!#REF!,"AAAAADfOb2g=")</f>
        <v>#REF!</v>
      </c>
      <c r="DB52" t="e">
        <f>AND('PROG FORMACIÓN TITULADA'!#REF!,"AAAAADfOb2k=")</f>
        <v>#REF!</v>
      </c>
      <c r="DC52" t="e">
        <f>AND('PROG FORMACIÓN TITULADA'!#REF!,"AAAAADfOb2o=")</f>
        <v>#REF!</v>
      </c>
      <c r="DD52" t="e">
        <f>IF('PROG FORMACIÓN TITULADA'!#REF!,"AAAAADfOb2s=",0)</f>
        <v>#REF!</v>
      </c>
      <c r="DE52" t="e">
        <f>AND('PROG FORMACIÓN TITULADA'!#REF!,"AAAAADfOb2w=")</f>
        <v>#REF!</v>
      </c>
      <c r="DF52" t="e">
        <f>AND('PROG FORMACIÓN TITULADA'!#REF!,"AAAAADfOb20=")</f>
        <v>#REF!</v>
      </c>
      <c r="DG52" t="e">
        <f>AND('PROG FORMACIÓN TITULADA'!#REF!,"AAAAADfOb24=")</f>
        <v>#REF!</v>
      </c>
      <c r="DH52" t="e">
        <f>AND('PROG FORMACIÓN TITULADA'!#REF!,"AAAAADfOb28=")</f>
        <v>#REF!</v>
      </c>
      <c r="DI52" t="e">
        <f>AND('PROG FORMACIÓN TITULADA'!#REF!,"AAAAADfOb3A=")</f>
        <v>#REF!</v>
      </c>
      <c r="DJ52" t="e">
        <f>AND('PROG FORMACIÓN TITULADA'!#REF!,"AAAAADfOb3E=")</f>
        <v>#REF!</v>
      </c>
      <c r="DK52" t="e">
        <f>AND('PROG FORMACIÓN TITULADA'!#REF!,"AAAAADfOb3I=")</f>
        <v>#REF!</v>
      </c>
      <c r="DL52" t="e">
        <f>AND('PROG FORMACIÓN TITULADA'!#REF!,"AAAAADfOb3M=")</f>
        <v>#REF!</v>
      </c>
      <c r="DM52" t="e">
        <f>AND('PROG FORMACIÓN TITULADA'!#REF!,"AAAAADfOb3Q=")</f>
        <v>#REF!</v>
      </c>
      <c r="DN52" t="e">
        <f>AND('PROG FORMACIÓN TITULADA'!#REF!,"AAAAADfOb3U=")</f>
        <v>#REF!</v>
      </c>
      <c r="DO52" t="e">
        <f>AND('PROG FORMACIÓN TITULADA'!#REF!,"AAAAADfOb3Y=")</f>
        <v>#REF!</v>
      </c>
      <c r="DP52" t="e">
        <f>AND('PROG FORMACIÓN TITULADA'!#REF!,"AAAAADfOb3c=")</f>
        <v>#REF!</v>
      </c>
      <c r="DQ52" t="e">
        <f>AND('PROG FORMACIÓN TITULADA'!#REF!,"AAAAADfOb3g=")</f>
        <v>#REF!</v>
      </c>
      <c r="DR52" t="e">
        <f>AND('PROG FORMACIÓN TITULADA'!#REF!,"AAAAADfOb3k=")</f>
        <v>#REF!</v>
      </c>
      <c r="DS52" t="e">
        <f>AND('PROG FORMACIÓN TITULADA'!#REF!,"AAAAADfOb3o=")</f>
        <v>#REF!</v>
      </c>
      <c r="DT52" t="e">
        <f>AND('PROG FORMACIÓN TITULADA'!#REF!,"AAAAADfOb3s=")</f>
        <v>#REF!</v>
      </c>
      <c r="DU52" t="e">
        <f>AND('PROG FORMACIÓN TITULADA'!#REF!,"AAAAADfOb3w=")</f>
        <v>#REF!</v>
      </c>
      <c r="DV52" t="e">
        <f>AND('PROG FORMACIÓN TITULADA'!#REF!,"AAAAADfOb30=")</f>
        <v>#REF!</v>
      </c>
      <c r="DW52" t="e">
        <f>AND('PROG FORMACIÓN TITULADA'!#REF!,"AAAAADfOb34=")</f>
        <v>#REF!</v>
      </c>
      <c r="DX52" t="e">
        <f>AND('PROG FORMACIÓN TITULADA'!#REF!,"AAAAADfOb38=")</f>
        <v>#REF!</v>
      </c>
      <c r="DY52" t="e">
        <f>AND('PROG FORMACIÓN TITULADA'!#REF!,"AAAAADfOb4A=")</f>
        <v>#REF!</v>
      </c>
      <c r="DZ52" t="e">
        <f>AND('PROG FORMACIÓN TITULADA'!#REF!,"AAAAADfOb4E=")</f>
        <v>#REF!</v>
      </c>
      <c r="EA52" t="e">
        <f>AND('PROG FORMACIÓN TITULADA'!#REF!,"AAAAADfOb4I=")</f>
        <v>#REF!</v>
      </c>
      <c r="EB52" t="e">
        <f>AND('PROG FORMACIÓN TITULADA'!#REF!,"AAAAADfOb4M=")</f>
        <v>#REF!</v>
      </c>
      <c r="EC52" t="e">
        <f>AND('PROG FORMACIÓN TITULADA'!#REF!,"AAAAADfOb4Q=")</f>
        <v>#REF!</v>
      </c>
      <c r="ED52" t="e">
        <f>AND('PROG FORMACIÓN TITULADA'!#REF!,"AAAAADfOb4U=")</f>
        <v>#REF!</v>
      </c>
      <c r="EE52" t="e">
        <f>IF('PROG FORMACIÓN TITULADA'!#REF!,"AAAAADfOb4Y=",0)</f>
        <v>#REF!</v>
      </c>
      <c r="EF52" t="e">
        <f>AND('PROG FORMACIÓN TITULADA'!#REF!,"AAAAADfOb4c=")</f>
        <v>#REF!</v>
      </c>
      <c r="EG52" t="e">
        <f>AND('PROG FORMACIÓN TITULADA'!#REF!,"AAAAADfOb4g=")</f>
        <v>#REF!</v>
      </c>
      <c r="EH52" t="e">
        <f>AND('PROG FORMACIÓN TITULADA'!#REF!,"AAAAADfOb4k=")</f>
        <v>#REF!</v>
      </c>
      <c r="EI52" t="e">
        <f>AND('PROG FORMACIÓN TITULADA'!#REF!,"AAAAADfOb4o=")</f>
        <v>#REF!</v>
      </c>
      <c r="EJ52" t="e">
        <f>AND('PROG FORMACIÓN TITULADA'!#REF!,"AAAAADfOb4s=")</f>
        <v>#REF!</v>
      </c>
      <c r="EK52" t="e">
        <f>AND('PROG FORMACIÓN TITULADA'!#REF!,"AAAAADfOb4w=")</f>
        <v>#REF!</v>
      </c>
      <c r="EL52" t="e">
        <f>AND('PROG FORMACIÓN TITULADA'!#REF!,"AAAAADfOb40=")</f>
        <v>#REF!</v>
      </c>
      <c r="EM52" t="e">
        <f>AND('PROG FORMACIÓN TITULADA'!#REF!,"AAAAADfOb44=")</f>
        <v>#REF!</v>
      </c>
      <c r="EN52" t="e">
        <f>AND('PROG FORMACIÓN TITULADA'!#REF!,"AAAAADfOb48=")</f>
        <v>#REF!</v>
      </c>
      <c r="EO52" t="e">
        <f>AND('PROG FORMACIÓN TITULADA'!#REF!,"AAAAADfOb5A=")</f>
        <v>#REF!</v>
      </c>
      <c r="EP52" t="e">
        <f>AND('PROG FORMACIÓN TITULADA'!#REF!,"AAAAADfOb5E=")</f>
        <v>#REF!</v>
      </c>
      <c r="EQ52" t="e">
        <f>AND('PROG FORMACIÓN TITULADA'!#REF!,"AAAAADfOb5I=")</f>
        <v>#REF!</v>
      </c>
      <c r="ER52" t="e">
        <f>AND('PROG FORMACIÓN TITULADA'!#REF!,"AAAAADfOb5M=")</f>
        <v>#REF!</v>
      </c>
      <c r="ES52" t="e">
        <f>AND('PROG FORMACIÓN TITULADA'!#REF!,"AAAAADfOb5Q=")</f>
        <v>#REF!</v>
      </c>
      <c r="ET52" t="e">
        <f>AND('PROG FORMACIÓN TITULADA'!#REF!,"AAAAADfOb5U=")</f>
        <v>#REF!</v>
      </c>
      <c r="EU52" t="e">
        <f>AND('PROG FORMACIÓN TITULADA'!#REF!,"AAAAADfOb5Y=")</f>
        <v>#REF!</v>
      </c>
      <c r="EV52" t="e">
        <f>AND('PROG FORMACIÓN TITULADA'!#REF!,"AAAAADfOb5c=")</f>
        <v>#REF!</v>
      </c>
      <c r="EW52" t="e">
        <f>AND('PROG FORMACIÓN TITULADA'!#REF!,"AAAAADfOb5g=")</f>
        <v>#REF!</v>
      </c>
      <c r="EX52" t="e">
        <f>AND('PROG FORMACIÓN TITULADA'!#REF!,"AAAAADfOb5k=")</f>
        <v>#REF!</v>
      </c>
      <c r="EY52" t="e">
        <f>AND('PROG FORMACIÓN TITULADA'!#REF!,"AAAAADfOb5o=")</f>
        <v>#REF!</v>
      </c>
      <c r="EZ52" t="e">
        <f>AND('PROG FORMACIÓN TITULADA'!#REF!,"AAAAADfOb5s=")</f>
        <v>#REF!</v>
      </c>
      <c r="FA52" t="e">
        <f>AND('PROG FORMACIÓN TITULADA'!#REF!,"AAAAADfOb5w=")</f>
        <v>#REF!</v>
      </c>
      <c r="FB52" t="e">
        <f>AND('PROG FORMACIÓN TITULADA'!#REF!,"AAAAADfOb50=")</f>
        <v>#REF!</v>
      </c>
      <c r="FC52" t="e">
        <f>AND('PROG FORMACIÓN TITULADA'!#REF!,"AAAAADfOb54=")</f>
        <v>#REF!</v>
      </c>
      <c r="FD52" t="e">
        <f>AND('PROG FORMACIÓN TITULADA'!#REF!,"AAAAADfOb58=")</f>
        <v>#REF!</v>
      </c>
      <c r="FE52" t="e">
        <f>AND('PROG FORMACIÓN TITULADA'!#REF!,"AAAAADfOb6A=")</f>
        <v>#REF!</v>
      </c>
      <c r="FF52" t="e">
        <f>IF('PROG FORMACIÓN TITULADA'!#REF!,"AAAAADfOb6E=",0)</f>
        <v>#REF!</v>
      </c>
      <c r="FG52" t="e">
        <f>AND('PROG FORMACIÓN TITULADA'!#REF!,"AAAAADfOb6I=")</f>
        <v>#REF!</v>
      </c>
      <c r="FH52" t="e">
        <f>AND('PROG FORMACIÓN TITULADA'!#REF!,"AAAAADfOb6M=")</f>
        <v>#REF!</v>
      </c>
      <c r="FI52" t="e">
        <f>AND('PROG FORMACIÓN TITULADA'!#REF!,"AAAAADfOb6Q=")</f>
        <v>#REF!</v>
      </c>
      <c r="FJ52" t="e">
        <f>AND('PROG FORMACIÓN TITULADA'!#REF!,"AAAAADfOb6U=")</f>
        <v>#REF!</v>
      </c>
      <c r="FK52" t="e">
        <f>AND('PROG FORMACIÓN TITULADA'!#REF!,"AAAAADfOb6Y=")</f>
        <v>#REF!</v>
      </c>
      <c r="FL52" t="e">
        <f>AND('PROG FORMACIÓN TITULADA'!#REF!,"AAAAADfOb6c=")</f>
        <v>#REF!</v>
      </c>
      <c r="FM52" t="e">
        <f>AND('PROG FORMACIÓN TITULADA'!#REF!,"AAAAADfOb6g=")</f>
        <v>#REF!</v>
      </c>
      <c r="FN52" t="e">
        <f>AND('PROG FORMACIÓN TITULADA'!#REF!,"AAAAADfOb6k=")</f>
        <v>#REF!</v>
      </c>
      <c r="FO52" t="e">
        <f>AND('PROG FORMACIÓN TITULADA'!#REF!,"AAAAADfOb6o=")</f>
        <v>#REF!</v>
      </c>
      <c r="FP52" t="e">
        <f>AND('PROG FORMACIÓN TITULADA'!#REF!,"AAAAADfOb6s=")</f>
        <v>#REF!</v>
      </c>
      <c r="FQ52" t="e">
        <f>AND('PROG FORMACIÓN TITULADA'!#REF!,"AAAAADfOb6w=")</f>
        <v>#REF!</v>
      </c>
      <c r="FR52" t="e">
        <f>AND('PROG FORMACIÓN TITULADA'!#REF!,"AAAAADfOb60=")</f>
        <v>#REF!</v>
      </c>
      <c r="FS52" t="e">
        <f>AND('PROG FORMACIÓN TITULADA'!#REF!,"AAAAADfOb64=")</f>
        <v>#REF!</v>
      </c>
      <c r="FT52" t="e">
        <f>AND('PROG FORMACIÓN TITULADA'!#REF!,"AAAAADfOb68=")</f>
        <v>#REF!</v>
      </c>
      <c r="FU52" t="e">
        <f>AND('PROG FORMACIÓN TITULADA'!#REF!,"AAAAADfOb7A=")</f>
        <v>#REF!</v>
      </c>
      <c r="FV52" t="e">
        <f>AND('PROG FORMACIÓN TITULADA'!#REF!,"AAAAADfOb7E=")</f>
        <v>#REF!</v>
      </c>
      <c r="FW52" t="e">
        <f>AND('PROG FORMACIÓN TITULADA'!#REF!,"AAAAADfOb7I=")</f>
        <v>#REF!</v>
      </c>
      <c r="FX52" t="e">
        <f>AND('PROG FORMACIÓN TITULADA'!#REF!,"AAAAADfOb7M=")</f>
        <v>#REF!</v>
      </c>
      <c r="FY52" t="e">
        <f>AND('PROG FORMACIÓN TITULADA'!#REF!,"AAAAADfOb7Q=")</f>
        <v>#REF!</v>
      </c>
      <c r="FZ52" t="e">
        <f>AND('PROG FORMACIÓN TITULADA'!#REF!,"AAAAADfOb7U=")</f>
        <v>#REF!</v>
      </c>
      <c r="GA52" t="e">
        <f>AND('PROG FORMACIÓN TITULADA'!#REF!,"AAAAADfOb7Y=")</f>
        <v>#REF!</v>
      </c>
      <c r="GB52" t="e">
        <f>AND('PROG FORMACIÓN TITULADA'!#REF!,"AAAAADfOb7c=")</f>
        <v>#REF!</v>
      </c>
      <c r="GC52" t="e">
        <f>AND('PROG FORMACIÓN TITULADA'!#REF!,"AAAAADfOb7g=")</f>
        <v>#REF!</v>
      </c>
      <c r="GD52" t="e">
        <f>AND('PROG FORMACIÓN TITULADA'!#REF!,"AAAAADfOb7k=")</f>
        <v>#REF!</v>
      </c>
      <c r="GE52" t="e">
        <f>AND('PROG FORMACIÓN TITULADA'!#REF!,"AAAAADfOb7o=")</f>
        <v>#REF!</v>
      </c>
      <c r="GF52" t="e">
        <f>AND('PROG FORMACIÓN TITULADA'!#REF!,"AAAAADfOb7s=")</f>
        <v>#REF!</v>
      </c>
      <c r="GG52" t="e">
        <f>IF('PROG FORMACIÓN TITULADA'!#REF!,"AAAAADfOb7w=",0)</f>
        <v>#REF!</v>
      </c>
      <c r="GH52" t="e">
        <f>AND('PROG FORMACIÓN TITULADA'!#REF!,"AAAAADfOb70=")</f>
        <v>#REF!</v>
      </c>
      <c r="GI52" t="e">
        <f>AND('PROG FORMACIÓN TITULADA'!#REF!,"AAAAADfOb74=")</f>
        <v>#REF!</v>
      </c>
      <c r="GJ52" t="e">
        <f>AND('PROG FORMACIÓN TITULADA'!#REF!,"AAAAADfOb78=")</f>
        <v>#REF!</v>
      </c>
      <c r="GK52" t="e">
        <f>AND('PROG FORMACIÓN TITULADA'!#REF!,"AAAAADfOb8A=")</f>
        <v>#REF!</v>
      </c>
      <c r="GL52" t="e">
        <f>AND('PROG FORMACIÓN TITULADA'!#REF!,"AAAAADfOb8E=")</f>
        <v>#REF!</v>
      </c>
      <c r="GM52" t="e">
        <f>AND('PROG FORMACIÓN TITULADA'!#REF!,"AAAAADfOb8I=")</f>
        <v>#REF!</v>
      </c>
      <c r="GN52" t="e">
        <f>AND('PROG FORMACIÓN TITULADA'!#REF!,"AAAAADfOb8M=")</f>
        <v>#REF!</v>
      </c>
      <c r="GO52" t="e">
        <f>AND('PROG FORMACIÓN TITULADA'!#REF!,"AAAAADfOb8Q=")</f>
        <v>#REF!</v>
      </c>
      <c r="GP52" t="e">
        <f>AND('PROG FORMACIÓN TITULADA'!#REF!,"AAAAADfOb8U=")</f>
        <v>#REF!</v>
      </c>
      <c r="GQ52" t="e">
        <f>AND('PROG FORMACIÓN TITULADA'!#REF!,"AAAAADfOb8Y=")</f>
        <v>#REF!</v>
      </c>
      <c r="GR52" t="e">
        <f>AND('PROG FORMACIÓN TITULADA'!#REF!,"AAAAADfOb8c=")</f>
        <v>#REF!</v>
      </c>
      <c r="GS52" t="e">
        <f>AND('PROG FORMACIÓN TITULADA'!#REF!,"AAAAADfOb8g=")</f>
        <v>#REF!</v>
      </c>
      <c r="GT52" t="e">
        <f>AND('PROG FORMACIÓN TITULADA'!#REF!,"AAAAADfOb8k=")</f>
        <v>#REF!</v>
      </c>
      <c r="GU52" t="e">
        <f>AND('PROG FORMACIÓN TITULADA'!#REF!,"AAAAADfOb8o=")</f>
        <v>#REF!</v>
      </c>
      <c r="GV52" t="e">
        <f>AND('PROG FORMACIÓN TITULADA'!#REF!,"AAAAADfOb8s=")</f>
        <v>#REF!</v>
      </c>
      <c r="GW52" t="e">
        <f>AND('PROG FORMACIÓN TITULADA'!#REF!,"AAAAADfOb8w=")</f>
        <v>#REF!</v>
      </c>
      <c r="GX52" t="e">
        <f>AND('PROG FORMACIÓN TITULADA'!#REF!,"AAAAADfOb80=")</f>
        <v>#REF!</v>
      </c>
      <c r="GY52" t="e">
        <f>AND('PROG FORMACIÓN TITULADA'!#REF!,"AAAAADfOb84=")</f>
        <v>#REF!</v>
      </c>
      <c r="GZ52" t="e">
        <f>AND('PROG FORMACIÓN TITULADA'!#REF!,"AAAAADfOb88=")</f>
        <v>#REF!</v>
      </c>
      <c r="HA52" t="e">
        <f>AND('PROG FORMACIÓN TITULADA'!#REF!,"AAAAADfOb9A=")</f>
        <v>#REF!</v>
      </c>
      <c r="HB52" t="e">
        <f>AND('PROG FORMACIÓN TITULADA'!#REF!,"AAAAADfOb9E=")</f>
        <v>#REF!</v>
      </c>
      <c r="HC52" t="e">
        <f>AND('PROG FORMACIÓN TITULADA'!#REF!,"AAAAADfOb9I=")</f>
        <v>#REF!</v>
      </c>
      <c r="HD52" t="e">
        <f>AND('PROG FORMACIÓN TITULADA'!#REF!,"AAAAADfOb9M=")</f>
        <v>#REF!</v>
      </c>
      <c r="HE52" t="e">
        <f>AND('PROG FORMACIÓN TITULADA'!#REF!,"AAAAADfOb9Q=")</f>
        <v>#REF!</v>
      </c>
      <c r="HF52" t="e">
        <f>AND('PROG FORMACIÓN TITULADA'!#REF!,"AAAAADfOb9U=")</f>
        <v>#REF!</v>
      </c>
      <c r="HG52" t="e">
        <f>AND('PROG FORMACIÓN TITULADA'!#REF!,"AAAAADfOb9Y=")</f>
        <v>#REF!</v>
      </c>
      <c r="HH52" t="e">
        <f>IF('PROG FORMACIÓN TITULADA'!#REF!,"AAAAADfOb9c=",0)</f>
        <v>#REF!</v>
      </c>
      <c r="HI52" t="e">
        <f>AND('PROG FORMACIÓN TITULADA'!#REF!,"AAAAADfOb9g=")</f>
        <v>#REF!</v>
      </c>
      <c r="HJ52" t="e">
        <f>AND('PROG FORMACIÓN TITULADA'!#REF!,"AAAAADfOb9k=")</f>
        <v>#REF!</v>
      </c>
      <c r="HK52" t="e">
        <f>AND('PROG FORMACIÓN TITULADA'!#REF!,"AAAAADfOb9o=")</f>
        <v>#REF!</v>
      </c>
      <c r="HL52" t="e">
        <f>AND('PROG FORMACIÓN TITULADA'!#REF!,"AAAAADfOb9s=")</f>
        <v>#REF!</v>
      </c>
      <c r="HM52" t="e">
        <f>AND('PROG FORMACIÓN TITULADA'!#REF!,"AAAAADfOb9w=")</f>
        <v>#REF!</v>
      </c>
      <c r="HN52" t="e">
        <f>AND('PROG FORMACIÓN TITULADA'!#REF!,"AAAAADfOb90=")</f>
        <v>#REF!</v>
      </c>
      <c r="HO52" t="e">
        <f>AND('PROG FORMACIÓN TITULADA'!#REF!,"AAAAADfOb94=")</f>
        <v>#REF!</v>
      </c>
      <c r="HP52" t="e">
        <f>AND('PROG FORMACIÓN TITULADA'!#REF!,"AAAAADfOb98=")</f>
        <v>#REF!</v>
      </c>
      <c r="HQ52" t="e">
        <f>AND('PROG FORMACIÓN TITULADA'!#REF!,"AAAAADfOb+A=")</f>
        <v>#REF!</v>
      </c>
      <c r="HR52" t="e">
        <f>AND('PROG FORMACIÓN TITULADA'!#REF!,"AAAAADfOb+E=")</f>
        <v>#REF!</v>
      </c>
      <c r="HS52" t="e">
        <f>AND('PROG FORMACIÓN TITULADA'!#REF!,"AAAAADfOb+I=")</f>
        <v>#REF!</v>
      </c>
      <c r="HT52" t="e">
        <f>AND('PROG FORMACIÓN TITULADA'!#REF!,"AAAAADfOb+M=")</f>
        <v>#REF!</v>
      </c>
      <c r="HU52" t="e">
        <f>AND('PROG FORMACIÓN TITULADA'!#REF!,"AAAAADfOb+Q=")</f>
        <v>#REF!</v>
      </c>
      <c r="HV52" t="e">
        <f>AND('PROG FORMACIÓN TITULADA'!#REF!,"AAAAADfOb+U=")</f>
        <v>#REF!</v>
      </c>
      <c r="HW52" t="e">
        <f>AND('PROG FORMACIÓN TITULADA'!#REF!,"AAAAADfOb+Y=")</f>
        <v>#REF!</v>
      </c>
      <c r="HX52" t="e">
        <f>AND('PROG FORMACIÓN TITULADA'!#REF!,"AAAAADfOb+c=")</f>
        <v>#REF!</v>
      </c>
      <c r="HY52" t="e">
        <f>AND('PROG FORMACIÓN TITULADA'!#REF!,"AAAAADfOb+g=")</f>
        <v>#REF!</v>
      </c>
      <c r="HZ52" t="e">
        <f>AND('PROG FORMACIÓN TITULADA'!#REF!,"AAAAADfOb+k=")</f>
        <v>#REF!</v>
      </c>
      <c r="IA52" t="e">
        <f>AND('PROG FORMACIÓN TITULADA'!#REF!,"AAAAADfOb+o=")</f>
        <v>#REF!</v>
      </c>
      <c r="IB52" t="e">
        <f>AND('PROG FORMACIÓN TITULADA'!#REF!,"AAAAADfOb+s=")</f>
        <v>#REF!</v>
      </c>
      <c r="IC52" t="e">
        <f>AND('PROG FORMACIÓN TITULADA'!#REF!,"AAAAADfOb+w=")</f>
        <v>#REF!</v>
      </c>
      <c r="ID52" t="e">
        <f>AND('PROG FORMACIÓN TITULADA'!#REF!,"AAAAADfOb+0=")</f>
        <v>#REF!</v>
      </c>
      <c r="IE52" t="e">
        <f>AND('PROG FORMACIÓN TITULADA'!#REF!,"AAAAADfOb+4=")</f>
        <v>#REF!</v>
      </c>
      <c r="IF52" t="e">
        <f>AND('PROG FORMACIÓN TITULADA'!#REF!,"AAAAADfOb+8=")</f>
        <v>#REF!</v>
      </c>
      <c r="IG52" t="e">
        <f>AND('PROG FORMACIÓN TITULADA'!#REF!,"AAAAADfOb/A=")</f>
        <v>#REF!</v>
      </c>
      <c r="IH52" t="e">
        <f>AND('PROG FORMACIÓN TITULADA'!#REF!,"AAAAADfOb/E=")</f>
        <v>#REF!</v>
      </c>
      <c r="II52" t="e">
        <f>IF('PROG FORMACIÓN TITULADA'!#REF!,"AAAAADfOb/I=",0)</f>
        <v>#REF!</v>
      </c>
      <c r="IJ52" t="e">
        <f>AND('PROG FORMACIÓN TITULADA'!#REF!,"AAAAADfOb/M=")</f>
        <v>#REF!</v>
      </c>
      <c r="IK52" t="e">
        <f>AND('PROG FORMACIÓN TITULADA'!#REF!,"AAAAADfOb/Q=")</f>
        <v>#REF!</v>
      </c>
      <c r="IL52" t="e">
        <f>AND('PROG FORMACIÓN TITULADA'!#REF!,"AAAAADfOb/U=")</f>
        <v>#REF!</v>
      </c>
      <c r="IM52" t="e">
        <f>AND('PROG FORMACIÓN TITULADA'!#REF!,"AAAAADfOb/Y=")</f>
        <v>#REF!</v>
      </c>
      <c r="IN52" t="e">
        <f>AND('PROG FORMACIÓN TITULADA'!#REF!,"AAAAADfOb/c=")</f>
        <v>#REF!</v>
      </c>
      <c r="IO52" t="e">
        <f>AND('PROG FORMACIÓN TITULADA'!#REF!,"AAAAADfOb/g=")</f>
        <v>#REF!</v>
      </c>
      <c r="IP52" t="e">
        <f>AND('PROG FORMACIÓN TITULADA'!#REF!,"AAAAADfOb/k=")</f>
        <v>#REF!</v>
      </c>
      <c r="IQ52" t="e">
        <f>AND('PROG FORMACIÓN TITULADA'!#REF!,"AAAAADfOb/o=")</f>
        <v>#REF!</v>
      </c>
      <c r="IR52" t="e">
        <f>AND('PROG FORMACIÓN TITULADA'!#REF!,"AAAAADfOb/s=")</f>
        <v>#REF!</v>
      </c>
      <c r="IS52" t="e">
        <f>AND('PROG FORMACIÓN TITULADA'!#REF!,"AAAAADfOb/w=")</f>
        <v>#REF!</v>
      </c>
      <c r="IT52" t="e">
        <f>AND('PROG FORMACIÓN TITULADA'!#REF!,"AAAAADfOb/0=")</f>
        <v>#REF!</v>
      </c>
      <c r="IU52" t="e">
        <f>AND('PROG FORMACIÓN TITULADA'!#REF!,"AAAAADfOb/4=")</f>
        <v>#REF!</v>
      </c>
      <c r="IV52" t="e">
        <f>AND('PROG FORMACIÓN TITULADA'!#REF!,"AAAAADfOb/8=")</f>
        <v>#REF!</v>
      </c>
    </row>
    <row r="53" spans="1:256" x14ac:dyDescent="0.2">
      <c r="A53" t="e">
        <f>AND('PROG FORMACIÓN TITULADA'!#REF!,"AAAAAH36fQA=")</f>
        <v>#REF!</v>
      </c>
      <c r="B53" t="e">
        <f>AND('PROG FORMACIÓN TITULADA'!#REF!,"AAAAAH36fQE=")</f>
        <v>#REF!</v>
      </c>
      <c r="C53" t="e">
        <f>AND('PROG FORMACIÓN TITULADA'!#REF!,"AAAAAH36fQI=")</f>
        <v>#REF!</v>
      </c>
      <c r="D53" t="e">
        <f>AND('PROG FORMACIÓN TITULADA'!#REF!,"AAAAAH36fQM=")</f>
        <v>#REF!</v>
      </c>
      <c r="E53" t="e">
        <f>AND('PROG FORMACIÓN TITULADA'!#REF!,"AAAAAH36fQQ=")</f>
        <v>#REF!</v>
      </c>
      <c r="F53" t="e">
        <f>AND('PROG FORMACIÓN TITULADA'!#REF!,"AAAAAH36fQU=")</f>
        <v>#REF!</v>
      </c>
      <c r="G53" t="e">
        <f>AND('PROG FORMACIÓN TITULADA'!#REF!,"AAAAAH36fQY=")</f>
        <v>#REF!</v>
      </c>
      <c r="H53" t="e">
        <f>AND('PROG FORMACIÓN TITULADA'!#REF!,"AAAAAH36fQc=")</f>
        <v>#REF!</v>
      </c>
      <c r="I53" t="e">
        <f>AND('PROG FORMACIÓN TITULADA'!#REF!,"AAAAAH36fQg=")</f>
        <v>#REF!</v>
      </c>
      <c r="J53" t="e">
        <f>AND('PROG FORMACIÓN TITULADA'!#REF!,"AAAAAH36fQk=")</f>
        <v>#REF!</v>
      </c>
      <c r="K53" t="e">
        <f>AND('PROG FORMACIÓN TITULADA'!#REF!,"AAAAAH36fQo=")</f>
        <v>#REF!</v>
      </c>
      <c r="L53" t="e">
        <f>AND('PROG FORMACIÓN TITULADA'!#REF!,"AAAAAH36fQs=")</f>
        <v>#REF!</v>
      </c>
      <c r="M53" t="e">
        <f>AND('PROG FORMACIÓN TITULADA'!#REF!,"AAAAAH36fQw=")</f>
        <v>#REF!</v>
      </c>
      <c r="N53" t="e">
        <f>IF('PROG FORMACIÓN TITULADA'!#REF!,"AAAAAH36fQ0=",0)</f>
        <v>#REF!</v>
      </c>
      <c r="O53" t="e">
        <f>AND('PROG FORMACIÓN TITULADA'!#REF!,"AAAAAH36fQ4=")</f>
        <v>#REF!</v>
      </c>
      <c r="P53" t="e">
        <f>AND('PROG FORMACIÓN TITULADA'!#REF!,"AAAAAH36fQ8=")</f>
        <v>#REF!</v>
      </c>
      <c r="Q53" t="e">
        <f>AND('PROG FORMACIÓN TITULADA'!#REF!,"AAAAAH36fRA=")</f>
        <v>#REF!</v>
      </c>
      <c r="R53" t="e">
        <f>AND('PROG FORMACIÓN TITULADA'!#REF!,"AAAAAH36fRE=")</f>
        <v>#REF!</v>
      </c>
      <c r="S53" t="e">
        <f>AND('PROG FORMACIÓN TITULADA'!#REF!,"AAAAAH36fRI=")</f>
        <v>#REF!</v>
      </c>
      <c r="T53" t="e">
        <f>AND('PROG FORMACIÓN TITULADA'!#REF!,"AAAAAH36fRM=")</f>
        <v>#REF!</v>
      </c>
      <c r="U53" t="e">
        <f>AND('PROG FORMACIÓN TITULADA'!#REF!,"AAAAAH36fRQ=")</f>
        <v>#REF!</v>
      </c>
      <c r="V53" t="e">
        <f>AND('PROG FORMACIÓN TITULADA'!#REF!,"AAAAAH36fRU=")</f>
        <v>#REF!</v>
      </c>
      <c r="W53" t="e">
        <f>AND('PROG FORMACIÓN TITULADA'!#REF!,"AAAAAH36fRY=")</f>
        <v>#REF!</v>
      </c>
      <c r="X53" t="e">
        <f>AND('PROG FORMACIÓN TITULADA'!#REF!,"AAAAAH36fRc=")</f>
        <v>#REF!</v>
      </c>
      <c r="Y53" t="e">
        <f>AND('PROG FORMACIÓN TITULADA'!#REF!,"AAAAAH36fRg=")</f>
        <v>#REF!</v>
      </c>
      <c r="Z53" t="e">
        <f>AND('PROG FORMACIÓN TITULADA'!#REF!,"AAAAAH36fRk=")</f>
        <v>#REF!</v>
      </c>
      <c r="AA53" t="e">
        <f>AND('PROG FORMACIÓN TITULADA'!#REF!,"AAAAAH36fRo=")</f>
        <v>#REF!</v>
      </c>
      <c r="AB53" t="e">
        <f>AND('PROG FORMACIÓN TITULADA'!#REF!,"AAAAAH36fRs=")</f>
        <v>#REF!</v>
      </c>
      <c r="AC53" t="e">
        <f>AND('PROG FORMACIÓN TITULADA'!#REF!,"AAAAAH36fRw=")</f>
        <v>#REF!</v>
      </c>
      <c r="AD53" t="e">
        <f>AND('PROG FORMACIÓN TITULADA'!#REF!,"AAAAAH36fR0=")</f>
        <v>#REF!</v>
      </c>
      <c r="AE53" t="e">
        <f>AND('PROG FORMACIÓN TITULADA'!#REF!,"AAAAAH36fR4=")</f>
        <v>#REF!</v>
      </c>
      <c r="AF53" t="e">
        <f>AND('PROG FORMACIÓN TITULADA'!#REF!,"AAAAAH36fR8=")</f>
        <v>#REF!</v>
      </c>
      <c r="AG53" t="e">
        <f>AND('PROG FORMACIÓN TITULADA'!#REF!,"AAAAAH36fSA=")</f>
        <v>#REF!</v>
      </c>
      <c r="AH53" t="e">
        <f>AND('PROG FORMACIÓN TITULADA'!#REF!,"AAAAAH36fSE=")</f>
        <v>#REF!</v>
      </c>
      <c r="AI53" t="e">
        <f>AND('PROG FORMACIÓN TITULADA'!#REF!,"AAAAAH36fSI=")</f>
        <v>#REF!</v>
      </c>
      <c r="AJ53" t="e">
        <f>AND('PROG FORMACIÓN TITULADA'!#REF!,"AAAAAH36fSM=")</f>
        <v>#REF!</v>
      </c>
      <c r="AK53" t="e">
        <f>AND('PROG FORMACIÓN TITULADA'!#REF!,"AAAAAH36fSQ=")</f>
        <v>#REF!</v>
      </c>
      <c r="AL53" t="e">
        <f>AND('PROG FORMACIÓN TITULADA'!#REF!,"AAAAAH36fSU=")</f>
        <v>#REF!</v>
      </c>
      <c r="AM53" t="e">
        <f>AND('PROG FORMACIÓN TITULADA'!#REF!,"AAAAAH36fSY=")</f>
        <v>#REF!</v>
      </c>
      <c r="AN53" t="e">
        <f>AND('PROG FORMACIÓN TITULADA'!#REF!,"AAAAAH36fSc=")</f>
        <v>#REF!</v>
      </c>
      <c r="AO53" t="e">
        <f>IF('PROG FORMACIÓN TITULADA'!#REF!,"AAAAAH36fSg=",0)</f>
        <v>#REF!</v>
      </c>
      <c r="AP53" t="e">
        <f>AND('PROG FORMACIÓN TITULADA'!#REF!,"AAAAAH36fSk=")</f>
        <v>#REF!</v>
      </c>
      <c r="AQ53" t="e">
        <f>AND('PROG FORMACIÓN TITULADA'!#REF!,"AAAAAH36fSo=")</f>
        <v>#REF!</v>
      </c>
      <c r="AR53" t="e">
        <f>AND('PROG FORMACIÓN TITULADA'!#REF!,"AAAAAH36fSs=")</f>
        <v>#REF!</v>
      </c>
      <c r="AS53" t="e">
        <f>AND('PROG FORMACIÓN TITULADA'!#REF!,"AAAAAH36fSw=")</f>
        <v>#REF!</v>
      </c>
      <c r="AT53" t="e">
        <f>AND('PROG FORMACIÓN TITULADA'!#REF!,"AAAAAH36fS0=")</f>
        <v>#REF!</v>
      </c>
      <c r="AU53" t="e">
        <f>AND('PROG FORMACIÓN TITULADA'!#REF!,"AAAAAH36fS4=")</f>
        <v>#REF!</v>
      </c>
      <c r="AV53" t="e">
        <f>AND('PROG FORMACIÓN TITULADA'!#REF!,"AAAAAH36fS8=")</f>
        <v>#REF!</v>
      </c>
      <c r="AW53" t="e">
        <f>AND('PROG FORMACIÓN TITULADA'!#REF!,"AAAAAH36fTA=")</f>
        <v>#REF!</v>
      </c>
      <c r="AX53" t="e">
        <f>AND('PROG FORMACIÓN TITULADA'!#REF!,"AAAAAH36fTE=")</f>
        <v>#REF!</v>
      </c>
      <c r="AY53" t="e">
        <f>AND('PROG FORMACIÓN TITULADA'!#REF!,"AAAAAH36fTI=")</f>
        <v>#REF!</v>
      </c>
      <c r="AZ53" t="e">
        <f>AND('PROG FORMACIÓN TITULADA'!#REF!,"AAAAAH36fTM=")</f>
        <v>#REF!</v>
      </c>
      <c r="BA53" t="e">
        <f>AND('PROG FORMACIÓN TITULADA'!#REF!,"AAAAAH36fTQ=")</f>
        <v>#REF!</v>
      </c>
      <c r="BB53" t="e">
        <f>AND('PROG FORMACIÓN TITULADA'!#REF!,"AAAAAH36fTU=")</f>
        <v>#REF!</v>
      </c>
      <c r="BC53" t="e">
        <f>AND('PROG FORMACIÓN TITULADA'!#REF!,"AAAAAH36fTY=")</f>
        <v>#REF!</v>
      </c>
      <c r="BD53" t="e">
        <f>AND('PROG FORMACIÓN TITULADA'!#REF!,"AAAAAH36fTc=")</f>
        <v>#REF!</v>
      </c>
      <c r="BE53" t="e">
        <f>AND('PROG FORMACIÓN TITULADA'!#REF!,"AAAAAH36fTg=")</f>
        <v>#REF!</v>
      </c>
      <c r="BF53" t="e">
        <f>AND('PROG FORMACIÓN TITULADA'!#REF!,"AAAAAH36fTk=")</f>
        <v>#REF!</v>
      </c>
      <c r="BG53" t="e">
        <f>AND('PROG FORMACIÓN TITULADA'!#REF!,"AAAAAH36fTo=")</f>
        <v>#REF!</v>
      </c>
      <c r="BH53" t="e">
        <f>AND('PROG FORMACIÓN TITULADA'!#REF!,"AAAAAH36fTs=")</f>
        <v>#REF!</v>
      </c>
      <c r="BI53" t="e">
        <f>AND('PROG FORMACIÓN TITULADA'!#REF!,"AAAAAH36fTw=")</f>
        <v>#REF!</v>
      </c>
      <c r="BJ53" t="e">
        <f>AND('PROG FORMACIÓN TITULADA'!#REF!,"AAAAAH36fT0=")</f>
        <v>#REF!</v>
      </c>
      <c r="BK53" t="e">
        <f>AND('PROG FORMACIÓN TITULADA'!#REF!,"AAAAAH36fT4=")</f>
        <v>#REF!</v>
      </c>
      <c r="BL53" t="e">
        <f>AND('PROG FORMACIÓN TITULADA'!#REF!,"AAAAAH36fT8=")</f>
        <v>#REF!</v>
      </c>
      <c r="BM53" t="e">
        <f>AND('PROG FORMACIÓN TITULADA'!#REF!,"AAAAAH36fUA=")</f>
        <v>#REF!</v>
      </c>
      <c r="BN53" t="e">
        <f>AND('PROG FORMACIÓN TITULADA'!#REF!,"AAAAAH36fUE=")</f>
        <v>#REF!</v>
      </c>
      <c r="BO53" t="e">
        <f>AND('PROG FORMACIÓN TITULADA'!#REF!,"AAAAAH36fUI=")</f>
        <v>#REF!</v>
      </c>
      <c r="BP53" t="e">
        <f>IF('PROG FORMACIÓN TITULADA'!#REF!,"AAAAAH36fUM=",0)</f>
        <v>#REF!</v>
      </c>
      <c r="BQ53" t="e">
        <f>AND('PROG FORMACIÓN TITULADA'!#REF!,"AAAAAH36fUQ=")</f>
        <v>#REF!</v>
      </c>
      <c r="BR53" t="e">
        <f>AND('PROG FORMACIÓN TITULADA'!#REF!,"AAAAAH36fUU=")</f>
        <v>#REF!</v>
      </c>
      <c r="BS53" t="e">
        <f>AND('PROG FORMACIÓN TITULADA'!#REF!,"AAAAAH36fUY=")</f>
        <v>#REF!</v>
      </c>
      <c r="BT53" t="e">
        <f>AND('PROG FORMACIÓN TITULADA'!#REF!,"AAAAAH36fUc=")</f>
        <v>#REF!</v>
      </c>
      <c r="BU53" t="e">
        <f>AND('PROG FORMACIÓN TITULADA'!#REF!,"AAAAAH36fUg=")</f>
        <v>#REF!</v>
      </c>
      <c r="BV53" t="e">
        <f>AND('PROG FORMACIÓN TITULADA'!#REF!,"AAAAAH36fUk=")</f>
        <v>#REF!</v>
      </c>
      <c r="BW53" t="e">
        <f>AND('PROG FORMACIÓN TITULADA'!#REF!,"AAAAAH36fUo=")</f>
        <v>#REF!</v>
      </c>
      <c r="BX53" t="e">
        <f>AND('PROG FORMACIÓN TITULADA'!#REF!,"AAAAAH36fUs=")</f>
        <v>#REF!</v>
      </c>
      <c r="BY53" t="e">
        <f>AND('PROG FORMACIÓN TITULADA'!#REF!,"AAAAAH36fUw=")</f>
        <v>#REF!</v>
      </c>
      <c r="BZ53" t="e">
        <f>AND('PROG FORMACIÓN TITULADA'!#REF!,"AAAAAH36fU0=")</f>
        <v>#REF!</v>
      </c>
      <c r="CA53" t="e">
        <f>AND('PROG FORMACIÓN TITULADA'!#REF!,"AAAAAH36fU4=")</f>
        <v>#REF!</v>
      </c>
      <c r="CB53" t="e">
        <f>AND('PROG FORMACIÓN TITULADA'!#REF!,"AAAAAH36fU8=")</f>
        <v>#REF!</v>
      </c>
      <c r="CC53" t="e">
        <f>AND('PROG FORMACIÓN TITULADA'!#REF!,"AAAAAH36fVA=")</f>
        <v>#REF!</v>
      </c>
      <c r="CD53" t="e">
        <f>AND('PROG FORMACIÓN TITULADA'!#REF!,"AAAAAH36fVE=")</f>
        <v>#REF!</v>
      </c>
      <c r="CE53" t="e">
        <f>AND('PROG FORMACIÓN TITULADA'!#REF!,"AAAAAH36fVI=")</f>
        <v>#REF!</v>
      </c>
      <c r="CF53" t="e">
        <f>AND('PROG FORMACIÓN TITULADA'!#REF!,"AAAAAH36fVM=")</f>
        <v>#REF!</v>
      </c>
      <c r="CG53" t="e">
        <f>AND('PROG FORMACIÓN TITULADA'!#REF!,"AAAAAH36fVQ=")</f>
        <v>#REF!</v>
      </c>
      <c r="CH53" t="e">
        <f>AND('PROG FORMACIÓN TITULADA'!#REF!,"AAAAAH36fVU=")</f>
        <v>#REF!</v>
      </c>
      <c r="CI53" t="e">
        <f>AND('PROG FORMACIÓN TITULADA'!#REF!,"AAAAAH36fVY=")</f>
        <v>#REF!</v>
      </c>
      <c r="CJ53" t="e">
        <f>AND('PROG FORMACIÓN TITULADA'!#REF!,"AAAAAH36fVc=")</f>
        <v>#REF!</v>
      </c>
      <c r="CK53" t="e">
        <f>AND('PROG FORMACIÓN TITULADA'!#REF!,"AAAAAH36fVg=")</f>
        <v>#REF!</v>
      </c>
      <c r="CL53" t="e">
        <f>AND('PROG FORMACIÓN TITULADA'!#REF!,"AAAAAH36fVk=")</f>
        <v>#REF!</v>
      </c>
      <c r="CM53" t="e">
        <f>AND('PROG FORMACIÓN TITULADA'!#REF!,"AAAAAH36fVo=")</f>
        <v>#REF!</v>
      </c>
      <c r="CN53" t="e">
        <f>AND('PROG FORMACIÓN TITULADA'!#REF!,"AAAAAH36fVs=")</f>
        <v>#REF!</v>
      </c>
      <c r="CO53" t="e">
        <f>AND('PROG FORMACIÓN TITULADA'!#REF!,"AAAAAH36fVw=")</f>
        <v>#REF!</v>
      </c>
      <c r="CP53" t="e">
        <f>AND('PROG FORMACIÓN TITULADA'!#REF!,"AAAAAH36fV0=")</f>
        <v>#REF!</v>
      </c>
      <c r="CQ53" t="e">
        <f>IF('PROG FORMACIÓN TITULADA'!#REF!,"AAAAAH36fV4=",0)</f>
        <v>#REF!</v>
      </c>
      <c r="CR53" t="e">
        <f>AND('PROG FORMACIÓN TITULADA'!#REF!,"AAAAAH36fV8=")</f>
        <v>#REF!</v>
      </c>
      <c r="CS53" t="e">
        <f>AND('PROG FORMACIÓN TITULADA'!#REF!,"AAAAAH36fWA=")</f>
        <v>#REF!</v>
      </c>
      <c r="CT53" t="e">
        <f>AND('PROG FORMACIÓN TITULADA'!#REF!,"AAAAAH36fWE=")</f>
        <v>#REF!</v>
      </c>
      <c r="CU53" t="e">
        <f>AND('PROG FORMACIÓN TITULADA'!#REF!,"AAAAAH36fWI=")</f>
        <v>#REF!</v>
      </c>
      <c r="CV53" t="e">
        <f>AND('PROG FORMACIÓN TITULADA'!#REF!,"AAAAAH36fWM=")</f>
        <v>#REF!</v>
      </c>
      <c r="CW53" t="e">
        <f>AND('PROG FORMACIÓN TITULADA'!#REF!,"AAAAAH36fWQ=")</f>
        <v>#REF!</v>
      </c>
      <c r="CX53" t="e">
        <f>AND('PROG FORMACIÓN TITULADA'!#REF!,"AAAAAH36fWU=")</f>
        <v>#REF!</v>
      </c>
      <c r="CY53" t="e">
        <f>AND('PROG FORMACIÓN TITULADA'!#REF!,"AAAAAH36fWY=")</f>
        <v>#REF!</v>
      </c>
      <c r="CZ53" t="e">
        <f>AND('PROG FORMACIÓN TITULADA'!#REF!,"AAAAAH36fWc=")</f>
        <v>#REF!</v>
      </c>
      <c r="DA53" t="e">
        <f>AND('PROG FORMACIÓN TITULADA'!#REF!,"AAAAAH36fWg=")</f>
        <v>#REF!</v>
      </c>
      <c r="DB53" t="e">
        <f>AND('PROG FORMACIÓN TITULADA'!#REF!,"AAAAAH36fWk=")</f>
        <v>#REF!</v>
      </c>
      <c r="DC53" t="e">
        <f>AND('PROG FORMACIÓN TITULADA'!#REF!,"AAAAAH36fWo=")</f>
        <v>#REF!</v>
      </c>
      <c r="DD53" t="e">
        <f>AND('PROG FORMACIÓN TITULADA'!#REF!,"AAAAAH36fWs=")</f>
        <v>#REF!</v>
      </c>
      <c r="DE53" t="e">
        <f>AND('PROG FORMACIÓN TITULADA'!#REF!,"AAAAAH36fWw=")</f>
        <v>#REF!</v>
      </c>
      <c r="DF53" t="e">
        <f>AND('PROG FORMACIÓN TITULADA'!#REF!,"AAAAAH36fW0=")</f>
        <v>#REF!</v>
      </c>
      <c r="DG53" t="e">
        <f>AND('PROG FORMACIÓN TITULADA'!#REF!,"AAAAAH36fW4=")</f>
        <v>#REF!</v>
      </c>
      <c r="DH53" t="e">
        <f>AND('PROG FORMACIÓN TITULADA'!#REF!,"AAAAAH36fW8=")</f>
        <v>#REF!</v>
      </c>
      <c r="DI53" t="e">
        <f>AND('PROG FORMACIÓN TITULADA'!#REF!,"AAAAAH36fXA=")</f>
        <v>#REF!</v>
      </c>
      <c r="DJ53" t="e">
        <f>AND('PROG FORMACIÓN TITULADA'!#REF!,"AAAAAH36fXE=")</f>
        <v>#REF!</v>
      </c>
      <c r="DK53" t="e">
        <f>AND('PROG FORMACIÓN TITULADA'!#REF!,"AAAAAH36fXI=")</f>
        <v>#REF!</v>
      </c>
      <c r="DL53" t="e">
        <f>AND('PROG FORMACIÓN TITULADA'!#REF!,"AAAAAH36fXM=")</f>
        <v>#REF!</v>
      </c>
      <c r="DM53" t="e">
        <f>AND('PROG FORMACIÓN TITULADA'!#REF!,"AAAAAH36fXQ=")</f>
        <v>#REF!</v>
      </c>
      <c r="DN53" t="e">
        <f>AND('PROG FORMACIÓN TITULADA'!#REF!,"AAAAAH36fXU=")</f>
        <v>#REF!</v>
      </c>
      <c r="DO53" t="e">
        <f>AND('PROG FORMACIÓN TITULADA'!#REF!,"AAAAAH36fXY=")</f>
        <v>#REF!</v>
      </c>
      <c r="DP53" t="e">
        <f>AND('PROG FORMACIÓN TITULADA'!#REF!,"AAAAAH36fXc=")</f>
        <v>#REF!</v>
      </c>
      <c r="DQ53" t="e">
        <f>AND('PROG FORMACIÓN TITULADA'!#REF!,"AAAAAH36fXg=")</f>
        <v>#REF!</v>
      </c>
      <c r="DR53" t="e">
        <f>IF('PROG FORMACIÓN TITULADA'!#REF!,"AAAAAH36fXk=",0)</f>
        <v>#REF!</v>
      </c>
      <c r="DS53" t="e">
        <f>AND('PROG FORMACIÓN TITULADA'!#REF!,"AAAAAH36fXo=")</f>
        <v>#REF!</v>
      </c>
      <c r="DT53" t="e">
        <f>AND('PROG FORMACIÓN TITULADA'!#REF!,"AAAAAH36fXs=")</f>
        <v>#REF!</v>
      </c>
      <c r="DU53" t="e">
        <f>AND('PROG FORMACIÓN TITULADA'!#REF!,"AAAAAH36fXw=")</f>
        <v>#REF!</v>
      </c>
      <c r="DV53" t="e">
        <f>AND('PROG FORMACIÓN TITULADA'!#REF!,"AAAAAH36fX0=")</f>
        <v>#REF!</v>
      </c>
      <c r="DW53" t="e">
        <f>AND('PROG FORMACIÓN TITULADA'!#REF!,"AAAAAH36fX4=")</f>
        <v>#REF!</v>
      </c>
      <c r="DX53" t="e">
        <f>AND('PROG FORMACIÓN TITULADA'!#REF!,"AAAAAH36fX8=")</f>
        <v>#REF!</v>
      </c>
      <c r="DY53" t="e">
        <f>AND('PROG FORMACIÓN TITULADA'!#REF!,"AAAAAH36fYA=")</f>
        <v>#REF!</v>
      </c>
      <c r="DZ53" t="e">
        <f>AND('PROG FORMACIÓN TITULADA'!#REF!,"AAAAAH36fYE=")</f>
        <v>#REF!</v>
      </c>
      <c r="EA53" t="e">
        <f>AND('PROG FORMACIÓN TITULADA'!#REF!,"AAAAAH36fYI=")</f>
        <v>#REF!</v>
      </c>
      <c r="EB53" t="e">
        <f>AND('PROG FORMACIÓN TITULADA'!#REF!,"AAAAAH36fYM=")</f>
        <v>#REF!</v>
      </c>
      <c r="EC53" t="e">
        <f>AND('PROG FORMACIÓN TITULADA'!#REF!,"AAAAAH36fYQ=")</f>
        <v>#REF!</v>
      </c>
      <c r="ED53" t="e">
        <f>AND('PROG FORMACIÓN TITULADA'!#REF!,"AAAAAH36fYU=")</f>
        <v>#REF!</v>
      </c>
      <c r="EE53" t="e">
        <f>AND('PROG FORMACIÓN TITULADA'!#REF!,"AAAAAH36fYY=")</f>
        <v>#REF!</v>
      </c>
      <c r="EF53" t="e">
        <f>AND('PROG FORMACIÓN TITULADA'!#REF!,"AAAAAH36fYc=")</f>
        <v>#REF!</v>
      </c>
      <c r="EG53" t="e">
        <f>AND('PROG FORMACIÓN TITULADA'!#REF!,"AAAAAH36fYg=")</f>
        <v>#REF!</v>
      </c>
      <c r="EH53" t="e">
        <f>AND('PROG FORMACIÓN TITULADA'!#REF!,"AAAAAH36fYk=")</f>
        <v>#REF!</v>
      </c>
      <c r="EI53" t="e">
        <f>AND('PROG FORMACIÓN TITULADA'!#REF!,"AAAAAH36fYo=")</f>
        <v>#REF!</v>
      </c>
      <c r="EJ53" t="e">
        <f>AND('PROG FORMACIÓN TITULADA'!#REF!,"AAAAAH36fYs=")</f>
        <v>#REF!</v>
      </c>
      <c r="EK53" t="e">
        <f>AND('PROG FORMACIÓN TITULADA'!#REF!,"AAAAAH36fYw=")</f>
        <v>#REF!</v>
      </c>
      <c r="EL53" t="e">
        <f>AND('PROG FORMACIÓN TITULADA'!#REF!,"AAAAAH36fY0=")</f>
        <v>#REF!</v>
      </c>
      <c r="EM53" t="e">
        <f>AND('PROG FORMACIÓN TITULADA'!#REF!,"AAAAAH36fY4=")</f>
        <v>#REF!</v>
      </c>
      <c r="EN53" t="e">
        <f>AND('PROG FORMACIÓN TITULADA'!#REF!,"AAAAAH36fY8=")</f>
        <v>#REF!</v>
      </c>
      <c r="EO53" t="e">
        <f>AND('PROG FORMACIÓN TITULADA'!#REF!,"AAAAAH36fZA=")</f>
        <v>#REF!</v>
      </c>
      <c r="EP53" t="e">
        <f>AND('PROG FORMACIÓN TITULADA'!#REF!,"AAAAAH36fZE=")</f>
        <v>#REF!</v>
      </c>
      <c r="EQ53" t="e">
        <f>AND('PROG FORMACIÓN TITULADA'!#REF!,"AAAAAH36fZI=")</f>
        <v>#REF!</v>
      </c>
      <c r="ER53" t="e">
        <f>AND('PROG FORMACIÓN TITULADA'!#REF!,"AAAAAH36fZM=")</f>
        <v>#REF!</v>
      </c>
      <c r="ES53" t="e">
        <f>IF('PROG FORMACIÓN TITULADA'!#REF!,"AAAAAH36fZQ=",0)</f>
        <v>#REF!</v>
      </c>
      <c r="ET53" t="e">
        <f>AND('PROG FORMACIÓN TITULADA'!#REF!,"AAAAAH36fZU=")</f>
        <v>#REF!</v>
      </c>
      <c r="EU53" t="e">
        <f>AND('PROG FORMACIÓN TITULADA'!#REF!,"AAAAAH36fZY=")</f>
        <v>#REF!</v>
      </c>
      <c r="EV53" t="e">
        <f>AND('PROG FORMACIÓN TITULADA'!#REF!,"AAAAAH36fZc=")</f>
        <v>#REF!</v>
      </c>
      <c r="EW53" t="e">
        <f>AND('PROG FORMACIÓN TITULADA'!#REF!,"AAAAAH36fZg=")</f>
        <v>#REF!</v>
      </c>
      <c r="EX53" t="e">
        <f>AND('PROG FORMACIÓN TITULADA'!#REF!,"AAAAAH36fZk=")</f>
        <v>#REF!</v>
      </c>
      <c r="EY53" t="e">
        <f>AND('PROG FORMACIÓN TITULADA'!#REF!,"AAAAAH36fZo=")</f>
        <v>#REF!</v>
      </c>
      <c r="EZ53" t="e">
        <f>AND('PROG FORMACIÓN TITULADA'!#REF!,"AAAAAH36fZs=")</f>
        <v>#REF!</v>
      </c>
      <c r="FA53" t="e">
        <f>AND('PROG FORMACIÓN TITULADA'!#REF!,"AAAAAH36fZw=")</f>
        <v>#REF!</v>
      </c>
      <c r="FB53" t="e">
        <f>AND('PROG FORMACIÓN TITULADA'!#REF!,"AAAAAH36fZ0=")</f>
        <v>#REF!</v>
      </c>
      <c r="FC53" t="e">
        <f>AND('PROG FORMACIÓN TITULADA'!#REF!,"AAAAAH36fZ4=")</f>
        <v>#REF!</v>
      </c>
      <c r="FD53" t="e">
        <f>AND('PROG FORMACIÓN TITULADA'!#REF!,"AAAAAH36fZ8=")</f>
        <v>#REF!</v>
      </c>
      <c r="FE53" t="e">
        <f>AND('PROG FORMACIÓN TITULADA'!#REF!,"AAAAAH36faA=")</f>
        <v>#REF!</v>
      </c>
      <c r="FF53" t="e">
        <f>AND('PROG FORMACIÓN TITULADA'!#REF!,"AAAAAH36faE=")</f>
        <v>#REF!</v>
      </c>
      <c r="FG53" t="e">
        <f>AND('PROG FORMACIÓN TITULADA'!#REF!,"AAAAAH36faI=")</f>
        <v>#REF!</v>
      </c>
      <c r="FH53" t="e">
        <f>AND('PROG FORMACIÓN TITULADA'!#REF!,"AAAAAH36faM=")</f>
        <v>#REF!</v>
      </c>
      <c r="FI53" t="e">
        <f>AND('PROG FORMACIÓN TITULADA'!#REF!,"AAAAAH36faQ=")</f>
        <v>#REF!</v>
      </c>
      <c r="FJ53" t="e">
        <f>AND('PROG FORMACIÓN TITULADA'!#REF!,"AAAAAH36faU=")</f>
        <v>#REF!</v>
      </c>
      <c r="FK53" t="e">
        <f>AND('PROG FORMACIÓN TITULADA'!#REF!,"AAAAAH36faY=")</f>
        <v>#REF!</v>
      </c>
      <c r="FL53" t="e">
        <f>AND('PROG FORMACIÓN TITULADA'!#REF!,"AAAAAH36fac=")</f>
        <v>#REF!</v>
      </c>
      <c r="FM53" t="e">
        <f>AND('PROG FORMACIÓN TITULADA'!#REF!,"AAAAAH36fag=")</f>
        <v>#REF!</v>
      </c>
      <c r="FN53" t="e">
        <f>AND('PROG FORMACIÓN TITULADA'!#REF!,"AAAAAH36fak=")</f>
        <v>#REF!</v>
      </c>
      <c r="FO53" t="e">
        <f>AND('PROG FORMACIÓN TITULADA'!#REF!,"AAAAAH36fao=")</f>
        <v>#REF!</v>
      </c>
      <c r="FP53" t="e">
        <f>AND('PROG FORMACIÓN TITULADA'!#REF!,"AAAAAH36fas=")</f>
        <v>#REF!</v>
      </c>
      <c r="FQ53" t="e">
        <f>AND('PROG FORMACIÓN TITULADA'!#REF!,"AAAAAH36faw=")</f>
        <v>#REF!</v>
      </c>
      <c r="FR53" t="e">
        <f>AND('PROG FORMACIÓN TITULADA'!#REF!,"AAAAAH36fa0=")</f>
        <v>#REF!</v>
      </c>
      <c r="FS53" t="e">
        <f>AND('PROG FORMACIÓN TITULADA'!#REF!,"AAAAAH36fa4=")</f>
        <v>#REF!</v>
      </c>
      <c r="FT53" t="e">
        <f>IF('PROG FORMACIÓN TITULADA'!#REF!,"AAAAAH36fa8=",0)</f>
        <v>#REF!</v>
      </c>
      <c r="FU53" t="e">
        <f>AND('PROG FORMACIÓN TITULADA'!#REF!,"AAAAAH36fbA=")</f>
        <v>#REF!</v>
      </c>
      <c r="FV53" t="e">
        <f>AND('PROG FORMACIÓN TITULADA'!#REF!,"AAAAAH36fbE=")</f>
        <v>#REF!</v>
      </c>
      <c r="FW53" t="e">
        <f>AND('PROG FORMACIÓN TITULADA'!#REF!,"AAAAAH36fbI=")</f>
        <v>#REF!</v>
      </c>
      <c r="FX53" t="e">
        <f>AND('PROG FORMACIÓN TITULADA'!#REF!,"AAAAAH36fbM=")</f>
        <v>#REF!</v>
      </c>
      <c r="FY53" t="e">
        <f>AND('PROG FORMACIÓN TITULADA'!#REF!,"AAAAAH36fbQ=")</f>
        <v>#REF!</v>
      </c>
      <c r="FZ53" t="e">
        <f>AND('PROG FORMACIÓN TITULADA'!#REF!,"AAAAAH36fbU=")</f>
        <v>#REF!</v>
      </c>
      <c r="GA53" t="e">
        <f>AND('PROG FORMACIÓN TITULADA'!#REF!,"AAAAAH36fbY=")</f>
        <v>#REF!</v>
      </c>
      <c r="GB53" t="e">
        <f>AND('PROG FORMACIÓN TITULADA'!#REF!,"AAAAAH36fbc=")</f>
        <v>#REF!</v>
      </c>
      <c r="GC53" t="e">
        <f>AND('PROG FORMACIÓN TITULADA'!#REF!,"AAAAAH36fbg=")</f>
        <v>#REF!</v>
      </c>
      <c r="GD53" t="e">
        <f>AND('PROG FORMACIÓN TITULADA'!#REF!,"AAAAAH36fbk=")</f>
        <v>#REF!</v>
      </c>
      <c r="GE53" t="e">
        <f>AND('PROG FORMACIÓN TITULADA'!#REF!,"AAAAAH36fbo=")</f>
        <v>#REF!</v>
      </c>
      <c r="GF53" t="e">
        <f>AND('PROG FORMACIÓN TITULADA'!#REF!,"AAAAAH36fbs=")</f>
        <v>#REF!</v>
      </c>
      <c r="GG53" t="e">
        <f>AND('PROG FORMACIÓN TITULADA'!#REF!,"AAAAAH36fbw=")</f>
        <v>#REF!</v>
      </c>
      <c r="GH53" t="e">
        <f>AND('PROG FORMACIÓN TITULADA'!#REF!,"AAAAAH36fb0=")</f>
        <v>#REF!</v>
      </c>
      <c r="GI53" t="e">
        <f>AND('PROG FORMACIÓN TITULADA'!#REF!,"AAAAAH36fb4=")</f>
        <v>#REF!</v>
      </c>
      <c r="GJ53" t="e">
        <f>AND('PROG FORMACIÓN TITULADA'!#REF!,"AAAAAH36fb8=")</f>
        <v>#REF!</v>
      </c>
      <c r="GK53" t="e">
        <f>AND('PROG FORMACIÓN TITULADA'!#REF!,"AAAAAH36fcA=")</f>
        <v>#REF!</v>
      </c>
      <c r="GL53" t="e">
        <f>AND('PROG FORMACIÓN TITULADA'!#REF!,"AAAAAH36fcE=")</f>
        <v>#REF!</v>
      </c>
      <c r="GM53" t="e">
        <f>AND('PROG FORMACIÓN TITULADA'!#REF!,"AAAAAH36fcI=")</f>
        <v>#REF!</v>
      </c>
      <c r="GN53" t="e">
        <f>AND('PROG FORMACIÓN TITULADA'!#REF!,"AAAAAH36fcM=")</f>
        <v>#REF!</v>
      </c>
      <c r="GO53" t="e">
        <f>AND('PROG FORMACIÓN TITULADA'!#REF!,"AAAAAH36fcQ=")</f>
        <v>#REF!</v>
      </c>
      <c r="GP53" t="e">
        <f>AND('PROG FORMACIÓN TITULADA'!#REF!,"AAAAAH36fcU=")</f>
        <v>#REF!</v>
      </c>
      <c r="GQ53" t="e">
        <f>AND('PROG FORMACIÓN TITULADA'!#REF!,"AAAAAH36fcY=")</f>
        <v>#REF!</v>
      </c>
      <c r="GR53" t="e">
        <f>AND('PROG FORMACIÓN TITULADA'!#REF!,"AAAAAH36fcc=")</f>
        <v>#REF!</v>
      </c>
      <c r="GS53" t="e">
        <f>AND('PROG FORMACIÓN TITULADA'!#REF!,"AAAAAH36fcg=")</f>
        <v>#REF!</v>
      </c>
      <c r="GT53" t="e">
        <f>AND('PROG FORMACIÓN TITULADA'!#REF!,"AAAAAH36fck=")</f>
        <v>#REF!</v>
      </c>
      <c r="GU53" t="e">
        <f>IF('PROG FORMACIÓN TITULADA'!#REF!,"AAAAAH36fco=",0)</f>
        <v>#REF!</v>
      </c>
      <c r="GV53" t="e">
        <f>AND('PROG FORMACIÓN TITULADA'!#REF!,"AAAAAH36fcs=")</f>
        <v>#REF!</v>
      </c>
      <c r="GW53" t="e">
        <f>AND('PROG FORMACIÓN TITULADA'!#REF!,"AAAAAH36fcw=")</f>
        <v>#REF!</v>
      </c>
      <c r="GX53" t="e">
        <f>AND('PROG FORMACIÓN TITULADA'!#REF!,"AAAAAH36fc0=")</f>
        <v>#REF!</v>
      </c>
      <c r="GY53" t="e">
        <f>AND('PROG FORMACIÓN TITULADA'!#REF!,"AAAAAH36fc4=")</f>
        <v>#REF!</v>
      </c>
      <c r="GZ53" t="e">
        <f>AND('PROG FORMACIÓN TITULADA'!#REF!,"AAAAAH36fc8=")</f>
        <v>#REF!</v>
      </c>
      <c r="HA53" t="e">
        <f>AND('PROG FORMACIÓN TITULADA'!#REF!,"AAAAAH36fdA=")</f>
        <v>#REF!</v>
      </c>
      <c r="HB53" t="e">
        <f>AND('PROG FORMACIÓN TITULADA'!#REF!,"AAAAAH36fdE=")</f>
        <v>#REF!</v>
      </c>
      <c r="HC53" t="e">
        <f>AND('PROG FORMACIÓN TITULADA'!#REF!,"AAAAAH36fdI=")</f>
        <v>#REF!</v>
      </c>
      <c r="HD53" t="e">
        <f>AND('PROG FORMACIÓN TITULADA'!#REF!,"AAAAAH36fdM=")</f>
        <v>#REF!</v>
      </c>
      <c r="HE53" t="e">
        <f>AND('PROG FORMACIÓN TITULADA'!#REF!,"AAAAAH36fdQ=")</f>
        <v>#REF!</v>
      </c>
      <c r="HF53" t="e">
        <f>AND('PROG FORMACIÓN TITULADA'!#REF!,"AAAAAH36fdU=")</f>
        <v>#REF!</v>
      </c>
      <c r="HG53" t="e">
        <f>AND('PROG FORMACIÓN TITULADA'!#REF!,"AAAAAH36fdY=")</f>
        <v>#REF!</v>
      </c>
      <c r="HH53" t="e">
        <f>AND('PROG FORMACIÓN TITULADA'!#REF!,"AAAAAH36fdc=")</f>
        <v>#REF!</v>
      </c>
      <c r="HI53" t="e">
        <f>AND('PROG FORMACIÓN TITULADA'!#REF!,"AAAAAH36fdg=")</f>
        <v>#REF!</v>
      </c>
      <c r="HJ53" t="e">
        <f>AND('PROG FORMACIÓN TITULADA'!#REF!,"AAAAAH36fdk=")</f>
        <v>#REF!</v>
      </c>
      <c r="HK53" t="e">
        <f>AND('PROG FORMACIÓN TITULADA'!#REF!,"AAAAAH36fdo=")</f>
        <v>#REF!</v>
      </c>
      <c r="HL53" t="e">
        <f>AND('PROG FORMACIÓN TITULADA'!#REF!,"AAAAAH36fds=")</f>
        <v>#REF!</v>
      </c>
      <c r="HM53" t="e">
        <f>AND('PROG FORMACIÓN TITULADA'!#REF!,"AAAAAH36fdw=")</f>
        <v>#REF!</v>
      </c>
      <c r="HN53" t="e">
        <f>AND('PROG FORMACIÓN TITULADA'!#REF!,"AAAAAH36fd0=")</f>
        <v>#REF!</v>
      </c>
      <c r="HO53" t="e">
        <f>AND('PROG FORMACIÓN TITULADA'!#REF!,"AAAAAH36fd4=")</f>
        <v>#REF!</v>
      </c>
      <c r="HP53" t="e">
        <f>AND('PROG FORMACIÓN TITULADA'!#REF!,"AAAAAH36fd8=")</f>
        <v>#REF!</v>
      </c>
      <c r="HQ53" t="e">
        <f>AND('PROG FORMACIÓN TITULADA'!#REF!,"AAAAAH36feA=")</f>
        <v>#REF!</v>
      </c>
      <c r="HR53" t="e">
        <f>AND('PROG FORMACIÓN TITULADA'!#REF!,"AAAAAH36feE=")</f>
        <v>#REF!</v>
      </c>
      <c r="HS53" t="e">
        <f>AND('PROG FORMACIÓN TITULADA'!#REF!,"AAAAAH36feI=")</f>
        <v>#REF!</v>
      </c>
      <c r="HT53" t="e">
        <f>AND('PROG FORMACIÓN TITULADA'!#REF!,"AAAAAH36feM=")</f>
        <v>#REF!</v>
      </c>
      <c r="HU53" t="e">
        <f>AND('PROG FORMACIÓN TITULADA'!#REF!,"AAAAAH36feQ=")</f>
        <v>#REF!</v>
      </c>
      <c r="HV53" t="e">
        <f>IF('PROG FORMACIÓN TITULADA'!#REF!,"AAAAAH36feU=",0)</f>
        <v>#REF!</v>
      </c>
      <c r="HW53" t="e">
        <f>AND('PROG FORMACIÓN TITULADA'!#REF!,"AAAAAH36feY=")</f>
        <v>#REF!</v>
      </c>
      <c r="HX53" t="e">
        <f>AND('PROG FORMACIÓN TITULADA'!#REF!,"AAAAAH36fec=")</f>
        <v>#REF!</v>
      </c>
      <c r="HY53" t="e">
        <f>AND('PROG FORMACIÓN TITULADA'!#REF!,"AAAAAH36feg=")</f>
        <v>#REF!</v>
      </c>
      <c r="HZ53" t="e">
        <f>AND('PROG FORMACIÓN TITULADA'!#REF!,"AAAAAH36fek=")</f>
        <v>#REF!</v>
      </c>
      <c r="IA53" t="e">
        <f>AND('PROG FORMACIÓN TITULADA'!#REF!,"AAAAAH36feo=")</f>
        <v>#REF!</v>
      </c>
      <c r="IB53" t="e">
        <f>AND('PROG FORMACIÓN TITULADA'!#REF!,"AAAAAH36fes=")</f>
        <v>#REF!</v>
      </c>
      <c r="IC53" t="e">
        <f>AND('PROG FORMACIÓN TITULADA'!#REF!,"AAAAAH36few=")</f>
        <v>#REF!</v>
      </c>
      <c r="ID53" t="e">
        <f>AND('PROG FORMACIÓN TITULADA'!#REF!,"AAAAAH36fe0=")</f>
        <v>#REF!</v>
      </c>
      <c r="IE53" t="e">
        <f>AND('PROG FORMACIÓN TITULADA'!#REF!,"AAAAAH36fe4=")</f>
        <v>#REF!</v>
      </c>
      <c r="IF53" t="e">
        <f>AND('PROG FORMACIÓN TITULADA'!#REF!,"AAAAAH36fe8=")</f>
        <v>#REF!</v>
      </c>
      <c r="IG53" t="e">
        <f>AND('PROG FORMACIÓN TITULADA'!#REF!,"AAAAAH36ffA=")</f>
        <v>#REF!</v>
      </c>
      <c r="IH53" t="e">
        <f>AND('PROG FORMACIÓN TITULADA'!#REF!,"AAAAAH36ffE=")</f>
        <v>#REF!</v>
      </c>
      <c r="II53" t="e">
        <f>AND('PROG FORMACIÓN TITULADA'!#REF!,"AAAAAH36ffI=")</f>
        <v>#REF!</v>
      </c>
      <c r="IJ53" t="e">
        <f>AND('PROG FORMACIÓN TITULADA'!#REF!,"AAAAAH36ffM=")</f>
        <v>#REF!</v>
      </c>
      <c r="IK53" t="e">
        <f>AND('PROG FORMACIÓN TITULADA'!#REF!,"AAAAAH36ffQ=")</f>
        <v>#REF!</v>
      </c>
      <c r="IL53" t="e">
        <f>AND('PROG FORMACIÓN TITULADA'!#REF!,"AAAAAH36ffU=")</f>
        <v>#REF!</v>
      </c>
      <c r="IM53" t="e">
        <f>AND('PROG FORMACIÓN TITULADA'!#REF!,"AAAAAH36ffY=")</f>
        <v>#REF!</v>
      </c>
      <c r="IN53" t="e">
        <f>AND('PROG FORMACIÓN TITULADA'!#REF!,"AAAAAH36ffc=")</f>
        <v>#REF!</v>
      </c>
      <c r="IO53" t="e">
        <f>AND('PROG FORMACIÓN TITULADA'!#REF!,"AAAAAH36ffg=")</f>
        <v>#REF!</v>
      </c>
      <c r="IP53" t="e">
        <f>AND('PROG FORMACIÓN TITULADA'!#REF!,"AAAAAH36ffk=")</f>
        <v>#REF!</v>
      </c>
      <c r="IQ53" t="e">
        <f>AND('PROG FORMACIÓN TITULADA'!#REF!,"AAAAAH36ffo=")</f>
        <v>#REF!</v>
      </c>
      <c r="IR53" t="e">
        <f>AND('PROG FORMACIÓN TITULADA'!#REF!,"AAAAAH36ffs=")</f>
        <v>#REF!</v>
      </c>
      <c r="IS53" t="e">
        <f>AND('PROG FORMACIÓN TITULADA'!#REF!,"AAAAAH36ffw=")</f>
        <v>#REF!</v>
      </c>
      <c r="IT53" t="e">
        <f>AND('PROG FORMACIÓN TITULADA'!#REF!,"AAAAAH36ff0=")</f>
        <v>#REF!</v>
      </c>
      <c r="IU53" t="e">
        <f>AND('PROG FORMACIÓN TITULADA'!#REF!,"AAAAAH36ff4=")</f>
        <v>#REF!</v>
      </c>
      <c r="IV53" t="e">
        <f>AND('PROG FORMACIÓN TITULADA'!#REF!,"AAAAAH36ff8=")</f>
        <v>#REF!</v>
      </c>
    </row>
    <row r="54" spans="1:256" x14ac:dyDescent="0.2">
      <c r="A54" t="e">
        <f>IF('PROG FORMACIÓN TITULADA'!#REF!,"AAAAAH/3pwA=",0)</f>
        <v>#REF!</v>
      </c>
      <c r="B54" t="e">
        <f>AND('PROG FORMACIÓN TITULADA'!#REF!,"AAAAAH/3pwE=")</f>
        <v>#REF!</v>
      </c>
      <c r="C54" t="e">
        <f>AND('PROG FORMACIÓN TITULADA'!#REF!,"AAAAAH/3pwI=")</f>
        <v>#REF!</v>
      </c>
      <c r="D54" t="e">
        <f>AND('PROG FORMACIÓN TITULADA'!#REF!,"AAAAAH/3pwM=")</f>
        <v>#REF!</v>
      </c>
      <c r="E54" t="e">
        <f>AND('PROG FORMACIÓN TITULADA'!#REF!,"AAAAAH/3pwQ=")</f>
        <v>#REF!</v>
      </c>
      <c r="F54" t="e">
        <f>AND('PROG FORMACIÓN TITULADA'!#REF!,"AAAAAH/3pwU=")</f>
        <v>#REF!</v>
      </c>
      <c r="G54" t="e">
        <f>AND('PROG FORMACIÓN TITULADA'!#REF!,"AAAAAH/3pwY=")</f>
        <v>#REF!</v>
      </c>
      <c r="H54" t="e">
        <f>AND('PROG FORMACIÓN TITULADA'!#REF!,"AAAAAH/3pwc=")</f>
        <v>#REF!</v>
      </c>
      <c r="I54" t="e">
        <f>AND('PROG FORMACIÓN TITULADA'!#REF!,"AAAAAH/3pwg=")</f>
        <v>#REF!</v>
      </c>
      <c r="J54" t="e">
        <f>AND('PROG FORMACIÓN TITULADA'!#REF!,"AAAAAH/3pwk=")</f>
        <v>#REF!</v>
      </c>
      <c r="K54" t="e">
        <f>AND('PROG FORMACIÓN TITULADA'!#REF!,"AAAAAH/3pwo=")</f>
        <v>#REF!</v>
      </c>
      <c r="L54" t="e">
        <f>AND('PROG FORMACIÓN TITULADA'!#REF!,"AAAAAH/3pws=")</f>
        <v>#REF!</v>
      </c>
      <c r="M54" t="e">
        <f>AND('PROG FORMACIÓN TITULADA'!#REF!,"AAAAAH/3pww=")</f>
        <v>#REF!</v>
      </c>
      <c r="N54" t="e">
        <f>AND('PROG FORMACIÓN TITULADA'!#REF!,"AAAAAH/3pw0=")</f>
        <v>#REF!</v>
      </c>
      <c r="O54" t="e">
        <f>AND('PROG FORMACIÓN TITULADA'!#REF!,"AAAAAH/3pw4=")</f>
        <v>#REF!</v>
      </c>
      <c r="P54" t="e">
        <f>AND('PROG FORMACIÓN TITULADA'!#REF!,"AAAAAH/3pw8=")</f>
        <v>#REF!</v>
      </c>
      <c r="Q54" t="e">
        <f>AND('PROG FORMACIÓN TITULADA'!#REF!,"AAAAAH/3pxA=")</f>
        <v>#REF!</v>
      </c>
      <c r="R54" t="e">
        <f>AND('PROG FORMACIÓN TITULADA'!#REF!,"AAAAAH/3pxE=")</f>
        <v>#REF!</v>
      </c>
      <c r="S54" t="e">
        <f>AND('PROG FORMACIÓN TITULADA'!#REF!,"AAAAAH/3pxI=")</f>
        <v>#REF!</v>
      </c>
      <c r="T54" t="e">
        <f>AND('PROG FORMACIÓN TITULADA'!#REF!,"AAAAAH/3pxM=")</f>
        <v>#REF!</v>
      </c>
      <c r="U54" t="e">
        <f>AND('PROG FORMACIÓN TITULADA'!#REF!,"AAAAAH/3pxQ=")</f>
        <v>#REF!</v>
      </c>
      <c r="V54" t="e">
        <f>AND('PROG FORMACIÓN TITULADA'!#REF!,"AAAAAH/3pxU=")</f>
        <v>#REF!</v>
      </c>
      <c r="W54" t="e">
        <f>AND('PROG FORMACIÓN TITULADA'!#REF!,"AAAAAH/3pxY=")</f>
        <v>#REF!</v>
      </c>
      <c r="X54" t="e">
        <f>AND('PROG FORMACIÓN TITULADA'!#REF!,"AAAAAH/3pxc=")</f>
        <v>#REF!</v>
      </c>
      <c r="Y54" t="e">
        <f>AND('PROG FORMACIÓN TITULADA'!#REF!,"AAAAAH/3pxg=")</f>
        <v>#REF!</v>
      </c>
      <c r="Z54" t="e">
        <f>AND('PROG FORMACIÓN TITULADA'!#REF!,"AAAAAH/3pxk=")</f>
        <v>#REF!</v>
      </c>
      <c r="AA54" t="e">
        <f>AND('PROG FORMACIÓN TITULADA'!#REF!,"AAAAAH/3pxo=")</f>
        <v>#REF!</v>
      </c>
      <c r="AB54" t="e">
        <f>IF('PROG FORMACIÓN TITULADA'!#REF!,"AAAAAH/3pxs=",0)</f>
        <v>#REF!</v>
      </c>
      <c r="AC54" t="e">
        <f>AND('PROG FORMACIÓN TITULADA'!#REF!,"AAAAAH/3pxw=")</f>
        <v>#REF!</v>
      </c>
      <c r="AD54" t="e">
        <f>AND('PROG FORMACIÓN TITULADA'!#REF!,"AAAAAH/3px0=")</f>
        <v>#REF!</v>
      </c>
      <c r="AE54" t="e">
        <f>AND('PROG FORMACIÓN TITULADA'!#REF!,"AAAAAH/3px4=")</f>
        <v>#REF!</v>
      </c>
      <c r="AF54" t="e">
        <f>AND('PROG FORMACIÓN TITULADA'!#REF!,"AAAAAH/3px8=")</f>
        <v>#REF!</v>
      </c>
      <c r="AG54" t="e">
        <f>AND('PROG FORMACIÓN TITULADA'!#REF!,"AAAAAH/3pyA=")</f>
        <v>#REF!</v>
      </c>
      <c r="AH54" t="e">
        <f>AND('PROG FORMACIÓN TITULADA'!#REF!,"AAAAAH/3pyE=")</f>
        <v>#REF!</v>
      </c>
      <c r="AI54" t="e">
        <f>AND('PROG FORMACIÓN TITULADA'!#REF!,"AAAAAH/3pyI=")</f>
        <v>#REF!</v>
      </c>
      <c r="AJ54" t="e">
        <f>AND('PROG FORMACIÓN TITULADA'!#REF!,"AAAAAH/3pyM=")</f>
        <v>#REF!</v>
      </c>
      <c r="AK54" t="e">
        <f>AND('PROG FORMACIÓN TITULADA'!#REF!,"AAAAAH/3pyQ=")</f>
        <v>#REF!</v>
      </c>
      <c r="AL54" t="e">
        <f>AND('PROG FORMACIÓN TITULADA'!#REF!,"AAAAAH/3pyU=")</f>
        <v>#REF!</v>
      </c>
      <c r="AM54" t="e">
        <f>AND('PROG FORMACIÓN TITULADA'!#REF!,"AAAAAH/3pyY=")</f>
        <v>#REF!</v>
      </c>
      <c r="AN54" t="e">
        <f>AND('PROG FORMACIÓN TITULADA'!#REF!,"AAAAAH/3pyc=")</f>
        <v>#REF!</v>
      </c>
      <c r="AO54" t="e">
        <f>AND('PROG FORMACIÓN TITULADA'!#REF!,"AAAAAH/3pyg=")</f>
        <v>#REF!</v>
      </c>
      <c r="AP54" t="e">
        <f>AND('PROG FORMACIÓN TITULADA'!#REF!,"AAAAAH/3pyk=")</f>
        <v>#REF!</v>
      </c>
      <c r="AQ54" t="e">
        <f>AND('PROG FORMACIÓN TITULADA'!#REF!,"AAAAAH/3pyo=")</f>
        <v>#REF!</v>
      </c>
      <c r="AR54" t="e">
        <f>AND('PROG FORMACIÓN TITULADA'!#REF!,"AAAAAH/3pys=")</f>
        <v>#REF!</v>
      </c>
      <c r="AS54" t="e">
        <f>AND('PROG FORMACIÓN TITULADA'!#REF!,"AAAAAH/3pyw=")</f>
        <v>#REF!</v>
      </c>
      <c r="AT54" t="e">
        <f>AND('PROG FORMACIÓN TITULADA'!#REF!,"AAAAAH/3py0=")</f>
        <v>#REF!</v>
      </c>
      <c r="AU54" t="e">
        <f>AND('PROG FORMACIÓN TITULADA'!#REF!,"AAAAAH/3py4=")</f>
        <v>#REF!</v>
      </c>
      <c r="AV54" t="e">
        <f>AND('PROG FORMACIÓN TITULADA'!#REF!,"AAAAAH/3py8=")</f>
        <v>#REF!</v>
      </c>
      <c r="AW54" t="e">
        <f>AND('PROG FORMACIÓN TITULADA'!#REF!,"AAAAAH/3pzA=")</f>
        <v>#REF!</v>
      </c>
      <c r="AX54" t="e">
        <f>AND('PROG FORMACIÓN TITULADA'!#REF!,"AAAAAH/3pzE=")</f>
        <v>#REF!</v>
      </c>
      <c r="AY54" t="e">
        <f>AND('PROG FORMACIÓN TITULADA'!#REF!,"AAAAAH/3pzI=")</f>
        <v>#REF!</v>
      </c>
      <c r="AZ54" t="e">
        <f>AND('PROG FORMACIÓN TITULADA'!#REF!,"AAAAAH/3pzM=")</f>
        <v>#REF!</v>
      </c>
      <c r="BA54" t="e">
        <f>AND('PROG FORMACIÓN TITULADA'!#REF!,"AAAAAH/3pzQ=")</f>
        <v>#REF!</v>
      </c>
      <c r="BB54" t="e">
        <f>AND('PROG FORMACIÓN TITULADA'!#REF!,"AAAAAH/3pzU=")</f>
        <v>#REF!</v>
      </c>
      <c r="BC54" t="e">
        <f>IF('PROG FORMACIÓN TITULADA'!#REF!,"AAAAAH/3pzY=",0)</f>
        <v>#REF!</v>
      </c>
      <c r="BD54" t="e">
        <f>AND('PROG FORMACIÓN TITULADA'!#REF!,"AAAAAH/3pzc=")</f>
        <v>#REF!</v>
      </c>
      <c r="BE54" t="e">
        <f>AND('PROG FORMACIÓN TITULADA'!#REF!,"AAAAAH/3pzg=")</f>
        <v>#REF!</v>
      </c>
      <c r="BF54" t="e">
        <f>AND('PROG FORMACIÓN TITULADA'!#REF!,"AAAAAH/3pzk=")</f>
        <v>#REF!</v>
      </c>
      <c r="BG54" t="e">
        <f>AND('PROG FORMACIÓN TITULADA'!#REF!,"AAAAAH/3pzo=")</f>
        <v>#REF!</v>
      </c>
      <c r="BH54" t="e">
        <f>AND('PROG FORMACIÓN TITULADA'!#REF!,"AAAAAH/3pzs=")</f>
        <v>#REF!</v>
      </c>
      <c r="BI54" t="e">
        <f>AND('PROG FORMACIÓN TITULADA'!#REF!,"AAAAAH/3pzw=")</f>
        <v>#REF!</v>
      </c>
      <c r="BJ54" t="e">
        <f>AND('PROG FORMACIÓN TITULADA'!#REF!,"AAAAAH/3pz0=")</f>
        <v>#REF!</v>
      </c>
      <c r="BK54" t="e">
        <f>AND('PROG FORMACIÓN TITULADA'!#REF!,"AAAAAH/3pz4=")</f>
        <v>#REF!</v>
      </c>
      <c r="BL54" t="e">
        <f>AND('PROG FORMACIÓN TITULADA'!#REF!,"AAAAAH/3pz8=")</f>
        <v>#REF!</v>
      </c>
      <c r="BM54" t="e">
        <f>AND('PROG FORMACIÓN TITULADA'!#REF!,"AAAAAH/3p0A=")</f>
        <v>#REF!</v>
      </c>
      <c r="BN54" t="e">
        <f>AND('PROG FORMACIÓN TITULADA'!#REF!,"AAAAAH/3p0E=")</f>
        <v>#REF!</v>
      </c>
      <c r="BO54" t="e">
        <f>AND('PROG FORMACIÓN TITULADA'!#REF!,"AAAAAH/3p0I=")</f>
        <v>#REF!</v>
      </c>
      <c r="BP54" t="e">
        <f>AND('PROG FORMACIÓN TITULADA'!#REF!,"AAAAAH/3p0M=")</f>
        <v>#REF!</v>
      </c>
      <c r="BQ54" t="e">
        <f>AND('PROG FORMACIÓN TITULADA'!#REF!,"AAAAAH/3p0Q=")</f>
        <v>#REF!</v>
      </c>
      <c r="BR54" t="e">
        <f>AND('PROG FORMACIÓN TITULADA'!#REF!,"AAAAAH/3p0U=")</f>
        <v>#REF!</v>
      </c>
      <c r="BS54" t="e">
        <f>AND('PROG FORMACIÓN TITULADA'!#REF!,"AAAAAH/3p0Y=")</f>
        <v>#REF!</v>
      </c>
      <c r="BT54" t="e">
        <f>AND('PROG FORMACIÓN TITULADA'!#REF!,"AAAAAH/3p0c=")</f>
        <v>#REF!</v>
      </c>
      <c r="BU54" t="e">
        <f>AND('PROG FORMACIÓN TITULADA'!#REF!,"AAAAAH/3p0g=")</f>
        <v>#REF!</v>
      </c>
      <c r="BV54" t="e">
        <f>AND('PROG FORMACIÓN TITULADA'!#REF!,"AAAAAH/3p0k=")</f>
        <v>#REF!</v>
      </c>
      <c r="BW54" t="e">
        <f>AND('PROG FORMACIÓN TITULADA'!#REF!,"AAAAAH/3p0o=")</f>
        <v>#REF!</v>
      </c>
      <c r="BX54" t="e">
        <f>AND('PROG FORMACIÓN TITULADA'!#REF!,"AAAAAH/3p0s=")</f>
        <v>#REF!</v>
      </c>
      <c r="BY54" t="e">
        <f>AND('PROG FORMACIÓN TITULADA'!#REF!,"AAAAAH/3p0w=")</f>
        <v>#REF!</v>
      </c>
      <c r="BZ54" t="e">
        <f>AND('PROG FORMACIÓN TITULADA'!#REF!,"AAAAAH/3p00=")</f>
        <v>#REF!</v>
      </c>
      <c r="CA54" t="e">
        <f>AND('PROG FORMACIÓN TITULADA'!#REF!,"AAAAAH/3p04=")</f>
        <v>#REF!</v>
      </c>
      <c r="CB54" t="e">
        <f>AND('PROG FORMACIÓN TITULADA'!#REF!,"AAAAAH/3p08=")</f>
        <v>#REF!</v>
      </c>
      <c r="CC54" t="e">
        <f>AND('PROG FORMACIÓN TITULADA'!#REF!,"AAAAAH/3p1A=")</f>
        <v>#REF!</v>
      </c>
      <c r="CD54" t="e">
        <f>IF('PROG FORMACIÓN TITULADA'!#REF!,"AAAAAH/3p1E=",0)</f>
        <v>#REF!</v>
      </c>
      <c r="CE54" t="e">
        <f>AND('PROG FORMACIÓN TITULADA'!#REF!,"AAAAAH/3p1I=")</f>
        <v>#REF!</v>
      </c>
      <c r="CF54" t="e">
        <f>AND('PROG FORMACIÓN TITULADA'!#REF!,"AAAAAH/3p1M=")</f>
        <v>#REF!</v>
      </c>
      <c r="CG54" t="e">
        <f>AND('PROG FORMACIÓN TITULADA'!#REF!,"AAAAAH/3p1Q=")</f>
        <v>#REF!</v>
      </c>
      <c r="CH54" t="e">
        <f>AND('PROG FORMACIÓN TITULADA'!#REF!,"AAAAAH/3p1U=")</f>
        <v>#REF!</v>
      </c>
      <c r="CI54" t="e">
        <f>AND('PROG FORMACIÓN TITULADA'!#REF!,"AAAAAH/3p1Y=")</f>
        <v>#REF!</v>
      </c>
      <c r="CJ54" t="e">
        <f>AND('PROG FORMACIÓN TITULADA'!#REF!,"AAAAAH/3p1c=")</f>
        <v>#REF!</v>
      </c>
      <c r="CK54" t="e">
        <f>AND('PROG FORMACIÓN TITULADA'!#REF!,"AAAAAH/3p1g=")</f>
        <v>#REF!</v>
      </c>
      <c r="CL54" t="e">
        <f>AND('PROG FORMACIÓN TITULADA'!#REF!,"AAAAAH/3p1k=")</f>
        <v>#REF!</v>
      </c>
      <c r="CM54" t="e">
        <f>AND('PROG FORMACIÓN TITULADA'!#REF!,"AAAAAH/3p1o=")</f>
        <v>#REF!</v>
      </c>
      <c r="CN54" t="e">
        <f>AND('PROG FORMACIÓN TITULADA'!#REF!,"AAAAAH/3p1s=")</f>
        <v>#REF!</v>
      </c>
      <c r="CO54" t="e">
        <f>AND('PROG FORMACIÓN TITULADA'!#REF!,"AAAAAH/3p1w=")</f>
        <v>#REF!</v>
      </c>
      <c r="CP54" t="e">
        <f>AND('PROG FORMACIÓN TITULADA'!#REF!,"AAAAAH/3p10=")</f>
        <v>#REF!</v>
      </c>
      <c r="CQ54" t="e">
        <f>AND('PROG FORMACIÓN TITULADA'!#REF!,"AAAAAH/3p14=")</f>
        <v>#REF!</v>
      </c>
      <c r="CR54" t="e">
        <f>AND('PROG FORMACIÓN TITULADA'!#REF!,"AAAAAH/3p18=")</f>
        <v>#REF!</v>
      </c>
      <c r="CS54" t="e">
        <f>AND('PROG FORMACIÓN TITULADA'!#REF!,"AAAAAH/3p2A=")</f>
        <v>#REF!</v>
      </c>
      <c r="CT54" t="e">
        <f>AND('PROG FORMACIÓN TITULADA'!#REF!,"AAAAAH/3p2E=")</f>
        <v>#REF!</v>
      </c>
      <c r="CU54" t="e">
        <f>AND('PROG FORMACIÓN TITULADA'!#REF!,"AAAAAH/3p2I=")</f>
        <v>#REF!</v>
      </c>
      <c r="CV54" t="e">
        <f>AND('PROG FORMACIÓN TITULADA'!#REF!,"AAAAAH/3p2M=")</f>
        <v>#REF!</v>
      </c>
      <c r="CW54" t="e">
        <f>AND('PROG FORMACIÓN TITULADA'!#REF!,"AAAAAH/3p2Q=")</f>
        <v>#REF!</v>
      </c>
      <c r="CX54" t="e">
        <f>AND('PROG FORMACIÓN TITULADA'!#REF!,"AAAAAH/3p2U=")</f>
        <v>#REF!</v>
      </c>
      <c r="CY54" t="e">
        <f>AND('PROG FORMACIÓN TITULADA'!#REF!,"AAAAAH/3p2Y=")</f>
        <v>#REF!</v>
      </c>
      <c r="CZ54" t="e">
        <f>AND('PROG FORMACIÓN TITULADA'!#REF!,"AAAAAH/3p2c=")</f>
        <v>#REF!</v>
      </c>
      <c r="DA54" t="e">
        <f>AND('PROG FORMACIÓN TITULADA'!#REF!,"AAAAAH/3p2g=")</f>
        <v>#REF!</v>
      </c>
      <c r="DB54" t="e">
        <f>AND('PROG FORMACIÓN TITULADA'!#REF!,"AAAAAH/3p2k=")</f>
        <v>#REF!</v>
      </c>
      <c r="DC54" t="e">
        <f>AND('PROG FORMACIÓN TITULADA'!#REF!,"AAAAAH/3p2o=")</f>
        <v>#REF!</v>
      </c>
      <c r="DD54" t="e">
        <f>AND('PROG FORMACIÓN TITULADA'!#REF!,"AAAAAH/3p2s=")</f>
        <v>#REF!</v>
      </c>
      <c r="DE54" t="e">
        <f>IF('PROG FORMACIÓN TITULADA'!#REF!,"AAAAAH/3p2w=",0)</f>
        <v>#REF!</v>
      </c>
      <c r="DF54" t="e">
        <f>AND('PROG FORMACIÓN TITULADA'!#REF!,"AAAAAH/3p20=")</f>
        <v>#REF!</v>
      </c>
      <c r="DG54" t="e">
        <f>AND('PROG FORMACIÓN TITULADA'!#REF!,"AAAAAH/3p24=")</f>
        <v>#REF!</v>
      </c>
      <c r="DH54" t="e">
        <f>AND('PROG FORMACIÓN TITULADA'!#REF!,"AAAAAH/3p28=")</f>
        <v>#REF!</v>
      </c>
      <c r="DI54" t="e">
        <f>AND('PROG FORMACIÓN TITULADA'!#REF!,"AAAAAH/3p3A=")</f>
        <v>#REF!</v>
      </c>
      <c r="DJ54" t="e">
        <f>AND('PROG FORMACIÓN TITULADA'!#REF!,"AAAAAH/3p3E=")</f>
        <v>#REF!</v>
      </c>
      <c r="DK54" t="e">
        <f>AND('PROG FORMACIÓN TITULADA'!#REF!,"AAAAAH/3p3I=")</f>
        <v>#REF!</v>
      </c>
      <c r="DL54" t="e">
        <f>AND('PROG FORMACIÓN TITULADA'!#REF!,"AAAAAH/3p3M=")</f>
        <v>#REF!</v>
      </c>
      <c r="DM54" t="e">
        <f>AND('PROG FORMACIÓN TITULADA'!#REF!,"AAAAAH/3p3Q=")</f>
        <v>#REF!</v>
      </c>
      <c r="DN54" t="e">
        <f>AND('PROG FORMACIÓN TITULADA'!#REF!,"AAAAAH/3p3U=")</f>
        <v>#REF!</v>
      </c>
      <c r="DO54" t="e">
        <f>AND('PROG FORMACIÓN TITULADA'!#REF!,"AAAAAH/3p3Y=")</f>
        <v>#REF!</v>
      </c>
      <c r="DP54" t="e">
        <f>AND('PROG FORMACIÓN TITULADA'!#REF!,"AAAAAH/3p3c=")</f>
        <v>#REF!</v>
      </c>
      <c r="DQ54" t="e">
        <f>AND('PROG FORMACIÓN TITULADA'!#REF!,"AAAAAH/3p3g=")</f>
        <v>#REF!</v>
      </c>
      <c r="DR54" t="e">
        <f>AND('PROG FORMACIÓN TITULADA'!#REF!,"AAAAAH/3p3k=")</f>
        <v>#REF!</v>
      </c>
      <c r="DS54" t="e">
        <f>AND('PROG FORMACIÓN TITULADA'!#REF!,"AAAAAH/3p3o=")</f>
        <v>#REF!</v>
      </c>
      <c r="DT54" t="e">
        <f>AND('PROG FORMACIÓN TITULADA'!#REF!,"AAAAAH/3p3s=")</f>
        <v>#REF!</v>
      </c>
      <c r="DU54" t="e">
        <f>AND('PROG FORMACIÓN TITULADA'!#REF!,"AAAAAH/3p3w=")</f>
        <v>#REF!</v>
      </c>
      <c r="DV54" t="e">
        <f>AND('PROG FORMACIÓN TITULADA'!#REF!,"AAAAAH/3p30=")</f>
        <v>#REF!</v>
      </c>
      <c r="DW54" t="e">
        <f>AND('PROG FORMACIÓN TITULADA'!#REF!,"AAAAAH/3p34=")</f>
        <v>#REF!</v>
      </c>
      <c r="DX54" t="e">
        <f>AND('PROG FORMACIÓN TITULADA'!#REF!,"AAAAAH/3p38=")</f>
        <v>#REF!</v>
      </c>
      <c r="DY54" t="e">
        <f>AND('PROG FORMACIÓN TITULADA'!#REF!,"AAAAAH/3p4A=")</f>
        <v>#REF!</v>
      </c>
      <c r="DZ54" t="e">
        <f>AND('PROG FORMACIÓN TITULADA'!#REF!,"AAAAAH/3p4E=")</f>
        <v>#REF!</v>
      </c>
      <c r="EA54" t="e">
        <f>AND('PROG FORMACIÓN TITULADA'!#REF!,"AAAAAH/3p4I=")</f>
        <v>#REF!</v>
      </c>
      <c r="EB54" t="e">
        <f>AND('PROG FORMACIÓN TITULADA'!#REF!,"AAAAAH/3p4M=")</f>
        <v>#REF!</v>
      </c>
      <c r="EC54" t="e">
        <f>AND('PROG FORMACIÓN TITULADA'!#REF!,"AAAAAH/3p4Q=")</f>
        <v>#REF!</v>
      </c>
      <c r="ED54" t="e">
        <f>AND('PROG FORMACIÓN TITULADA'!#REF!,"AAAAAH/3p4U=")</f>
        <v>#REF!</v>
      </c>
      <c r="EE54" t="e">
        <f>AND('PROG FORMACIÓN TITULADA'!#REF!,"AAAAAH/3p4Y=")</f>
        <v>#REF!</v>
      </c>
      <c r="EF54" t="e">
        <f>IF('PROG FORMACIÓN TITULADA'!#REF!,"AAAAAH/3p4c=",0)</f>
        <v>#REF!</v>
      </c>
      <c r="EG54" t="e">
        <f>AND('PROG FORMACIÓN TITULADA'!#REF!,"AAAAAH/3p4g=")</f>
        <v>#REF!</v>
      </c>
      <c r="EH54" t="e">
        <f>AND('PROG FORMACIÓN TITULADA'!#REF!,"AAAAAH/3p4k=")</f>
        <v>#REF!</v>
      </c>
      <c r="EI54" t="e">
        <f>AND('PROG FORMACIÓN TITULADA'!#REF!,"AAAAAH/3p4o=")</f>
        <v>#REF!</v>
      </c>
      <c r="EJ54" t="e">
        <f>AND('PROG FORMACIÓN TITULADA'!#REF!,"AAAAAH/3p4s=")</f>
        <v>#REF!</v>
      </c>
      <c r="EK54" t="e">
        <f>AND('PROG FORMACIÓN TITULADA'!#REF!,"AAAAAH/3p4w=")</f>
        <v>#REF!</v>
      </c>
      <c r="EL54" t="e">
        <f>AND('PROG FORMACIÓN TITULADA'!#REF!,"AAAAAH/3p40=")</f>
        <v>#REF!</v>
      </c>
      <c r="EM54" t="e">
        <f>AND('PROG FORMACIÓN TITULADA'!#REF!,"AAAAAH/3p44=")</f>
        <v>#REF!</v>
      </c>
      <c r="EN54" t="e">
        <f>AND('PROG FORMACIÓN TITULADA'!#REF!,"AAAAAH/3p48=")</f>
        <v>#REF!</v>
      </c>
      <c r="EO54" t="e">
        <f>AND('PROG FORMACIÓN TITULADA'!#REF!,"AAAAAH/3p5A=")</f>
        <v>#REF!</v>
      </c>
      <c r="EP54" t="e">
        <f>AND('PROG FORMACIÓN TITULADA'!#REF!,"AAAAAH/3p5E=")</f>
        <v>#REF!</v>
      </c>
      <c r="EQ54" t="e">
        <f>AND('PROG FORMACIÓN TITULADA'!#REF!,"AAAAAH/3p5I=")</f>
        <v>#REF!</v>
      </c>
      <c r="ER54" t="e">
        <f>AND('PROG FORMACIÓN TITULADA'!#REF!,"AAAAAH/3p5M=")</f>
        <v>#REF!</v>
      </c>
      <c r="ES54" t="e">
        <f>AND('PROG FORMACIÓN TITULADA'!#REF!,"AAAAAH/3p5Q=")</f>
        <v>#REF!</v>
      </c>
      <c r="ET54" t="e">
        <f>AND('PROG FORMACIÓN TITULADA'!#REF!,"AAAAAH/3p5U=")</f>
        <v>#REF!</v>
      </c>
      <c r="EU54" t="e">
        <f>AND('PROG FORMACIÓN TITULADA'!#REF!,"AAAAAH/3p5Y=")</f>
        <v>#REF!</v>
      </c>
      <c r="EV54" t="e">
        <f>AND('PROG FORMACIÓN TITULADA'!#REF!,"AAAAAH/3p5c=")</f>
        <v>#REF!</v>
      </c>
      <c r="EW54" t="e">
        <f>AND('PROG FORMACIÓN TITULADA'!#REF!,"AAAAAH/3p5g=")</f>
        <v>#REF!</v>
      </c>
      <c r="EX54" t="e">
        <f>AND('PROG FORMACIÓN TITULADA'!#REF!,"AAAAAH/3p5k=")</f>
        <v>#REF!</v>
      </c>
      <c r="EY54" t="e">
        <f>AND('PROG FORMACIÓN TITULADA'!#REF!,"AAAAAH/3p5o=")</f>
        <v>#REF!</v>
      </c>
      <c r="EZ54" t="e">
        <f>AND('PROG FORMACIÓN TITULADA'!#REF!,"AAAAAH/3p5s=")</f>
        <v>#REF!</v>
      </c>
      <c r="FA54" t="e">
        <f>AND('PROG FORMACIÓN TITULADA'!#REF!,"AAAAAH/3p5w=")</f>
        <v>#REF!</v>
      </c>
      <c r="FB54" t="e">
        <f>AND('PROG FORMACIÓN TITULADA'!#REF!,"AAAAAH/3p50=")</f>
        <v>#REF!</v>
      </c>
      <c r="FC54" t="e">
        <f>AND('PROG FORMACIÓN TITULADA'!#REF!,"AAAAAH/3p54=")</f>
        <v>#REF!</v>
      </c>
      <c r="FD54" t="e">
        <f>AND('PROG FORMACIÓN TITULADA'!#REF!,"AAAAAH/3p58=")</f>
        <v>#REF!</v>
      </c>
      <c r="FE54" t="e">
        <f>AND('PROG FORMACIÓN TITULADA'!#REF!,"AAAAAH/3p6A=")</f>
        <v>#REF!</v>
      </c>
      <c r="FF54" t="e">
        <f>AND('PROG FORMACIÓN TITULADA'!#REF!,"AAAAAH/3p6E=")</f>
        <v>#REF!</v>
      </c>
      <c r="FG54" t="e">
        <f>IF('PROG FORMACIÓN TITULADA'!#REF!,"AAAAAH/3p6I=",0)</f>
        <v>#REF!</v>
      </c>
      <c r="FH54" t="e">
        <f>AND('PROG FORMACIÓN TITULADA'!#REF!,"AAAAAH/3p6M=")</f>
        <v>#REF!</v>
      </c>
      <c r="FI54" t="e">
        <f>AND('PROG FORMACIÓN TITULADA'!#REF!,"AAAAAH/3p6Q=")</f>
        <v>#REF!</v>
      </c>
      <c r="FJ54" t="e">
        <f>AND('PROG FORMACIÓN TITULADA'!#REF!,"AAAAAH/3p6U=")</f>
        <v>#REF!</v>
      </c>
      <c r="FK54" t="e">
        <f>AND('PROG FORMACIÓN TITULADA'!#REF!,"AAAAAH/3p6Y=")</f>
        <v>#REF!</v>
      </c>
      <c r="FL54" t="e">
        <f>AND('PROG FORMACIÓN TITULADA'!#REF!,"AAAAAH/3p6c=")</f>
        <v>#REF!</v>
      </c>
      <c r="FM54" t="e">
        <f>AND('PROG FORMACIÓN TITULADA'!#REF!,"AAAAAH/3p6g=")</f>
        <v>#REF!</v>
      </c>
      <c r="FN54" t="e">
        <f>AND('PROG FORMACIÓN TITULADA'!#REF!,"AAAAAH/3p6k=")</f>
        <v>#REF!</v>
      </c>
      <c r="FO54" t="e">
        <f>AND('PROG FORMACIÓN TITULADA'!#REF!,"AAAAAH/3p6o=")</f>
        <v>#REF!</v>
      </c>
      <c r="FP54" t="e">
        <f>AND('PROG FORMACIÓN TITULADA'!#REF!,"AAAAAH/3p6s=")</f>
        <v>#REF!</v>
      </c>
      <c r="FQ54" t="e">
        <f>AND('PROG FORMACIÓN TITULADA'!#REF!,"AAAAAH/3p6w=")</f>
        <v>#REF!</v>
      </c>
      <c r="FR54" t="e">
        <f>AND('PROG FORMACIÓN TITULADA'!#REF!,"AAAAAH/3p60=")</f>
        <v>#REF!</v>
      </c>
      <c r="FS54" t="e">
        <f>AND('PROG FORMACIÓN TITULADA'!#REF!,"AAAAAH/3p64=")</f>
        <v>#REF!</v>
      </c>
      <c r="FT54" t="e">
        <f>AND('PROG FORMACIÓN TITULADA'!#REF!,"AAAAAH/3p68=")</f>
        <v>#REF!</v>
      </c>
      <c r="FU54" t="e">
        <f>AND('PROG FORMACIÓN TITULADA'!#REF!,"AAAAAH/3p7A=")</f>
        <v>#REF!</v>
      </c>
      <c r="FV54" t="e">
        <f>AND('PROG FORMACIÓN TITULADA'!#REF!,"AAAAAH/3p7E=")</f>
        <v>#REF!</v>
      </c>
      <c r="FW54" t="e">
        <f>AND('PROG FORMACIÓN TITULADA'!#REF!,"AAAAAH/3p7I=")</f>
        <v>#REF!</v>
      </c>
      <c r="FX54" t="e">
        <f>AND('PROG FORMACIÓN TITULADA'!#REF!,"AAAAAH/3p7M=")</f>
        <v>#REF!</v>
      </c>
      <c r="FY54" t="e">
        <f>AND('PROG FORMACIÓN TITULADA'!#REF!,"AAAAAH/3p7Q=")</f>
        <v>#REF!</v>
      </c>
      <c r="FZ54" t="e">
        <f>AND('PROG FORMACIÓN TITULADA'!#REF!,"AAAAAH/3p7U=")</f>
        <v>#REF!</v>
      </c>
      <c r="GA54" t="e">
        <f>AND('PROG FORMACIÓN TITULADA'!#REF!,"AAAAAH/3p7Y=")</f>
        <v>#REF!</v>
      </c>
      <c r="GB54" t="e">
        <f>AND('PROG FORMACIÓN TITULADA'!#REF!,"AAAAAH/3p7c=")</f>
        <v>#REF!</v>
      </c>
      <c r="GC54" t="e">
        <f>AND('PROG FORMACIÓN TITULADA'!#REF!,"AAAAAH/3p7g=")</f>
        <v>#REF!</v>
      </c>
      <c r="GD54" t="e">
        <f>AND('PROG FORMACIÓN TITULADA'!#REF!,"AAAAAH/3p7k=")</f>
        <v>#REF!</v>
      </c>
      <c r="GE54" t="e">
        <f>AND('PROG FORMACIÓN TITULADA'!#REF!,"AAAAAH/3p7o=")</f>
        <v>#REF!</v>
      </c>
      <c r="GF54" t="e">
        <f>AND('PROG FORMACIÓN TITULADA'!#REF!,"AAAAAH/3p7s=")</f>
        <v>#REF!</v>
      </c>
      <c r="GG54" t="e">
        <f>AND('PROG FORMACIÓN TITULADA'!#REF!,"AAAAAH/3p7w=")</f>
        <v>#REF!</v>
      </c>
      <c r="GH54" t="e">
        <f>IF('PROG FORMACIÓN TITULADA'!#REF!,"AAAAAH/3p70=",0)</f>
        <v>#REF!</v>
      </c>
      <c r="GI54" t="e">
        <f>AND('PROG FORMACIÓN TITULADA'!#REF!,"AAAAAH/3p74=")</f>
        <v>#REF!</v>
      </c>
      <c r="GJ54" t="e">
        <f>AND('PROG FORMACIÓN TITULADA'!#REF!,"AAAAAH/3p78=")</f>
        <v>#REF!</v>
      </c>
      <c r="GK54" t="e">
        <f>AND('PROG FORMACIÓN TITULADA'!#REF!,"AAAAAH/3p8A=")</f>
        <v>#REF!</v>
      </c>
      <c r="GL54" t="e">
        <f>AND('PROG FORMACIÓN TITULADA'!#REF!,"AAAAAH/3p8E=")</f>
        <v>#REF!</v>
      </c>
      <c r="GM54" t="e">
        <f>AND('PROG FORMACIÓN TITULADA'!#REF!,"AAAAAH/3p8I=")</f>
        <v>#REF!</v>
      </c>
      <c r="GN54" t="e">
        <f>AND('PROG FORMACIÓN TITULADA'!#REF!,"AAAAAH/3p8M=")</f>
        <v>#REF!</v>
      </c>
      <c r="GO54" t="e">
        <f>AND('PROG FORMACIÓN TITULADA'!#REF!,"AAAAAH/3p8Q=")</f>
        <v>#REF!</v>
      </c>
      <c r="GP54" t="e">
        <f>AND('PROG FORMACIÓN TITULADA'!#REF!,"AAAAAH/3p8U=")</f>
        <v>#REF!</v>
      </c>
      <c r="GQ54" t="e">
        <f>AND('PROG FORMACIÓN TITULADA'!#REF!,"AAAAAH/3p8Y=")</f>
        <v>#REF!</v>
      </c>
      <c r="GR54" t="e">
        <f>AND('PROG FORMACIÓN TITULADA'!#REF!,"AAAAAH/3p8c=")</f>
        <v>#REF!</v>
      </c>
      <c r="GS54" t="e">
        <f>AND('PROG FORMACIÓN TITULADA'!#REF!,"AAAAAH/3p8g=")</f>
        <v>#REF!</v>
      </c>
      <c r="GT54" t="e">
        <f>AND('PROG FORMACIÓN TITULADA'!#REF!,"AAAAAH/3p8k=")</f>
        <v>#REF!</v>
      </c>
      <c r="GU54" t="e">
        <f>AND('PROG FORMACIÓN TITULADA'!#REF!,"AAAAAH/3p8o=")</f>
        <v>#REF!</v>
      </c>
      <c r="GV54" t="e">
        <f>AND('PROG FORMACIÓN TITULADA'!#REF!,"AAAAAH/3p8s=")</f>
        <v>#REF!</v>
      </c>
      <c r="GW54" t="e">
        <f>AND('PROG FORMACIÓN TITULADA'!#REF!,"AAAAAH/3p8w=")</f>
        <v>#REF!</v>
      </c>
      <c r="GX54" t="e">
        <f>AND('PROG FORMACIÓN TITULADA'!#REF!,"AAAAAH/3p80=")</f>
        <v>#REF!</v>
      </c>
      <c r="GY54" t="e">
        <f>AND('PROG FORMACIÓN TITULADA'!#REF!,"AAAAAH/3p84=")</f>
        <v>#REF!</v>
      </c>
      <c r="GZ54" t="e">
        <f>AND('PROG FORMACIÓN TITULADA'!#REF!,"AAAAAH/3p88=")</f>
        <v>#REF!</v>
      </c>
      <c r="HA54" t="e">
        <f>AND('PROG FORMACIÓN TITULADA'!#REF!,"AAAAAH/3p9A=")</f>
        <v>#REF!</v>
      </c>
      <c r="HB54" t="e">
        <f>AND('PROG FORMACIÓN TITULADA'!#REF!,"AAAAAH/3p9E=")</f>
        <v>#REF!</v>
      </c>
      <c r="HC54" t="e">
        <f>AND('PROG FORMACIÓN TITULADA'!#REF!,"AAAAAH/3p9I=")</f>
        <v>#REF!</v>
      </c>
      <c r="HD54" t="e">
        <f>AND('PROG FORMACIÓN TITULADA'!#REF!,"AAAAAH/3p9M=")</f>
        <v>#REF!</v>
      </c>
      <c r="HE54" t="e">
        <f>AND('PROG FORMACIÓN TITULADA'!#REF!,"AAAAAH/3p9Q=")</f>
        <v>#REF!</v>
      </c>
      <c r="HF54" t="e">
        <f>AND('PROG FORMACIÓN TITULADA'!#REF!,"AAAAAH/3p9U=")</f>
        <v>#REF!</v>
      </c>
      <c r="HG54" t="e">
        <f>AND('PROG FORMACIÓN TITULADA'!#REF!,"AAAAAH/3p9Y=")</f>
        <v>#REF!</v>
      </c>
      <c r="HH54" t="e">
        <f>AND('PROG FORMACIÓN TITULADA'!#REF!,"AAAAAH/3p9c=")</f>
        <v>#REF!</v>
      </c>
      <c r="HI54" t="e">
        <f>IF('PROG FORMACIÓN TITULADA'!#REF!,"AAAAAH/3p9g=",0)</f>
        <v>#REF!</v>
      </c>
      <c r="HJ54" t="e">
        <f>AND('PROG FORMACIÓN TITULADA'!#REF!,"AAAAAH/3p9k=")</f>
        <v>#REF!</v>
      </c>
      <c r="HK54" t="e">
        <f>AND('PROG FORMACIÓN TITULADA'!#REF!,"AAAAAH/3p9o=")</f>
        <v>#REF!</v>
      </c>
      <c r="HL54" t="e">
        <f>AND('PROG FORMACIÓN TITULADA'!#REF!,"AAAAAH/3p9s=")</f>
        <v>#REF!</v>
      </c>
      <c r="HM54" t="e">
        <f>AND('PROG FORMACIÓN TITULADA'!#REF!,"AAAAAH/3p9w=")</f>
        <v>#REF!</v>
      </c>
      <c r="HN54" t="e">
        <f>AND('PROG FORMACIÓN TITULADA'!#REF!,"AAAAAH/3p90=")</f>
        <v>#REF!</v>
      </c>
      <c r="HO54" t="e">
        <f>AND('PROG FORMACIÓN TITULADA'!#REF!,"AAAAAH/3p94=")</f>
        <v>#REF!</v>
      </c>
      <c r="HP54" t="e">
        <f>AND('PROG FORMACIÓN TITULADA'!#REF!,"AAAAAH/3p98=")</f>
        <v>#REF!</v>
      </c>
      <c r="HQ54" t="e">
        <f>AND('PROG FORMACIÓN TITULADA'!#REF!,"AAAAAH/3p+A=")</f>
        <v>#REF!</v>
      </c>
      <c r="HR54" t="e">
        <f>AND('PROG FORMACIÓN TITULADA'!#REF!,"AAAAAH/3p+E=")</f>
        <v>#REF!</v>
      </c>
      <c r="HS54" t="e">
        <f>AND('PROG FORMACIÓN TITULADA'!#REF!,"AAAAAH/3p+I=")</f>
        <v>#REF!</v>
      </c>
      <c r="HT54" t="e">
        <f>AND('PROG FORMACIÓN TITULADA'!#REF!,"AAAAAH/3p+M=")</f>
        <v>#REF!</v>
      </c>
      <c r="HU54" t="e">
        <f>AND('PROG FORMACIÓN TITULADA'!#REF!,"AAAAAH/3p+Q=")</f>
        <v>#REF!</v>
      </c>
      <c r="HV54" t="e">
        <f>AND('PROG FORMACIÓN TITULADA'!#REF!,"AAAAAH/3p+U=")</f>
        <v>#REF!</v>
      </c>
      <c r="HW54" t="e">
        <f>AND('PROG FORMACIÓN TITULADA'!#REF!,"AAAAAH/3p+Y=")</f>
        <v>#REF!</v>
      </c>
      <c r="HX54" t="e">
        <f>AND('PROG FORMACIÓN TITULADA'!#REF!,"AAAAAH/3p+c=")</f>
        <v>#REF!</v>
      </c>
      <c r="HY54" t="e">
        <f>AND('PROG FORMACIÓN TITULADA'!#REF!,"AAAAAH/3p+g=")</f>
        <v>#REF!</v>
      </c>
      <c r="HZ54" t="e">
        <f>AND('PROG FORMACIÓN TITULADA'!#REF!,"AAAAAH/3p+k=")</f>
        <v>#REF!</v>
      </c>
      <c r="IA54" t="e">
        <f>AND('PROG FORMACIÓN TITULADA'!#REF!,"AAAAAH/3p+o=")</f>
        <v>#REF!</v>
      </c>
      <c r="IB54" t="e">
        <f>AND('PROG FORMACIÓN TITULADA'!#REF!,"AAAAAH/3p+s=")</f>
        <v>#REF!</v>
      </c>
      <c r="IC54" t="e">
        <f>AND('PROG FORMACIÓN TITULADA'!#REF!,"AAAAAH/3p+w=")</f>
        <v>#REF!</v>
      </c>
      <c r="ID54" t="e">
        <f>AND('PROG FORMACIÓN TITULADA'!#REF!,"AAAAAH/3p+0=")</f>
        <v>#REF!</v>
      </c>
      <c r="IE54" t="e">
        <f>AND('PROG FORMACIÓN TITULADA'!#REF!,"AAAAAH/3p+4=")</f>
        <v>#REF!</v>
      </c>
      <c r="IF54" t="e">
        <f>AND('PROG FORMACIÓN TITULADA'!#REF!,"AAAAAH/3p+8=")</f>
        <v>#REF!</v>
      </c>
      <c r="IG54" t="e">
        <f>AND('PROG FORMACIÓN TITULADA'!#REF!,"AAAAAH/3p/A=")</f>
        <v>#REF!</v>
      </c>
      <c r="IH54" t="e">
        <f>AND('PROG FORMACIÓN TITULADA'!#REF!,"AAAAAH/3p/E=")</f>
        <v>#REF!</v>
      </c>
      <c r="II54" t="e">
        <f>AND('PROG FORMACIÓN TITULADA'!#REF!,"AAAAAH/3p/I=")</f>
        <v>#REF!</v>
      </c>
      <c r="IJ54" t="e">
        <f>IF('PROG FORMACIÓN TITULADA'!#REF!,"AAAAAH/3p/M=",0)</f>
        <v>#REF!</v>
      </c>
      <c r="IK54" t="e">
        <f>AND('PROG FORMACIÓN TITULADA'!#REF!,"AAAAAH/3p/Q=")</f>
        <v>#REF!</v>
      </c>
      <c r="IL54" t="e">
        <f>AND('PROG FORMACIÓN TITULADA'!#REF!,"AAAAAH/3p/U=")</f>
        <v>#REF!</v>
      </c>
      <c r="IM54" t="e">
        <f>AND('PROG FORMACIÓN TITULADA'!#REF!,"AAAAAH/3p/Y=")</f>
        <v>#REF!</v>
      </c>
      <c r="IN54" t="e">
        <f>AND('PROG FORMACIÓN TITULADA'!#REF!,"AAAAAH/3p/c=")</f>
        <v>#REF!</v>
      </c>
      <c r="IO54" t="e">
        <f>AND('PROG FORMACIÓN TITULADA'!#REF!,"AAAAAH/3p/g=")</f>
        <v>#REF!</v>
      </c>
      <c r="IP54" t="e">
        <f>AND('PROG FORMACIÓN TITULADA'!#REF!,"AAAAAH/3p/k=")</f>
        <v>#REF!</v>
      </c>
      <c r="IQ54" t="e">
        <f>AND('PROG FORMACIÓN TITULADA'!#REF!,"AAAAAH/3p/o=")</f>
        <v>#REF!</v>
      </c>
      <c r="IR54" t="e">
        <f>AND('PROG FORMACIÓN TITULADA'!#REF!,"AAAAAH/3p/s=")</f>
        <v>#REF!</v>
      </c>
      <c r="IS54" t="e">
        <f>AND('PROG FORMACIÓN TITULADA'!#REF!,"AAAAAH/3p/w=")</f>
        <v>#REF!</v>
      </c>
      <c r="IT54" t="e">
        <f>AND('PROG FORMACIÓN TITULADA'!#REF!,"AAAAAH/3p/0=")</f>
        <v>#REF!</v>
      </c>
      <c r="IU54" t="e">
        <f>AND('PROG FORMACIÓN TITULADA'!#REF!,"AAAAAH/3p/4=")</f>
        <v>#REF!</v>
      </c>
      <c r="IV54" t="e">
        <f>AND('PROG FORMACIÓN TITULADA'!#REF!,"AAAAAH/3p/8=")</f>
        <v>#REF!</v>
      </c>
    </row>
    <row r="55" spans="1:256" x14ac:dyDescent="0.2">
      <c r="A55" t="e">
        <f>AND('PROG FORMACIÓN TITULADA'!#REF!,"AAAAAG/f/wA=")</f>
        <v>#REF!</v>
      </c>
      <c r="B55" t="e">
        <f>AND('PROG FORMACIÓN TITULADA'!#REF!,"AAAAAG/f/wE=")</f>
        <v>#REF!</v>
      </c>
      <c r="C55" t="e">
        <f>AND('PROG FORMACIÓN TITULADA'!#REF!,"AAAAAG/f/wI=")</f>
        <v>#REF!</v>
      </c>
      <c r="D55" t="e">
        <f>AND('PROG FORMACIÓN TITULADA'!#REF!,"AAAAAG/f/wM=")</f>
        <v>#REF!</v>
      </c>
      <c r="E55" t="e">
        <f>AND('PROG FORMACIÓN TITULADA'!#REF!,"AAAAAG/f/wQ=")</f>
        <v>#REF!</v>
      </c>
      <c r="F55" t="e">
        <f>AND('PROG FORMACIÓN TITULADA'!#REF!,"AAAAAG/f/wU=")</f>
        <v>#REF!</v>
      </c>
      <c r="G55" t="e">
        <f>AND('PROG FORMACIÓN TITULADA'!#REF!,"AAAAAG/f/wY=")</f>
        <v>#REF!</v>
      </c>
      <c r="H55" t="e">
        <f>AND('PROG FORMACIÓN TITULADA'!#REF!,"AAAAAG/f/wc=")</f>
        <v>#REF!</v>
      </c>
      <c r="I55" t="e">
        <f>AND('PROG FORMACIÓN TITULADA'!#REF!,"AAAAAG/f/wg=")</f>
        <v>#REF!</v>
      </c>
      <c r="J55" t="e">
        <f>AND('PROG FORMACIÓN TITULADA'!#REF!,"AAAAAG/f/wk=")</f>
        <v>#REF!</v>
      </c>
      <c r="K55" t="e">
        <f>AND('PROG FORMACIÓN TITULADA'!#REF!,"AAAAAG/f/wo=")</f>
        <v>#REF!</v>
      </c>
      <c r="L55" t="e">
        <f>AND('PROG FORMACIÓN TITULADA'!#REF!,"AAAAAG/f/ws=")</f>
        <v>#REF!</v>
      </c>
      <c r="M55" t="e">
        <f>AND('PROG FORMACIÓN TITULADA'!#REF!,"AAAAAG/f/ww=")</f>
        <v>#REF!</v>
      </c>
      <c r="N55" t="e">
        <f>AND('PROG FORMACIÓN TITULADA'!#REF!,"AAAAAG/f/w0=")</f>
        <v>#REF!</v>
      </c>
      <c r="O55" t="e">
        <f>IF('PROG FORMACIÓN TITULADA'!#REF!,"AAAAAG/f/w4=",0)</f>
        <v>#REF!</v>
      </c>
      <c r="P55" t="e">
        <f>AND('PROG FORMACIÓN TITULADA'!#REF!,"AAAAAG/f/w8=")</f>
        <v>#REF!</v>
      </c>
      <c r="Q55" t="e">
        <f>AND('PROG FORMACIÓN TITULADA'!#REF!,"AAAAAG/f/xA=")</f>
        <v>#REF!</v>
      </c>
      <c r="R55" t="e">
        <f>AND('PROG FORMACIÓN TITULADA'!#REF!,"AAAAAG/f/xE=")</f>
        <v>#REF!</v>
      </c>
      <c r="S55" t="e">
        <f>AND('PROG FORMACIÓN TITULADA'!#REF!,"AAAAAG/f/xI=")</f>
        <v>#REF!</v>
      </c>
      <c r="T55" t="e">
        <f>AND('PROG FORMACIÓN TITULADA'!#REF!,"AAAAAG/f/xM=")</f>
        <v>#REF!</v>
      </c>
      <c r="U55" t="e">
        <f>AND('PROG FORMACIÓN TITULADA'!#REF!,"AAAAAG/f/xQ=")</f>
        <v>#REF!</v>
      </c>
      <c r="V55" t="e">
        <f>AND('PROG FORMACIÓN TITULADA'!#REF!,"AAAAAG/f/xU=")</f>
        <v>#REF!</v>
      </c>
      <c r="W55" t="e">
        <f>AND('PROG FORMACIÓN TITULADA'!#REF!,"AAAAAG/f/xY=")</f>
        <v>#REF!</v>
      </c>
      <c r="X55" t="e">
        <f>AND('PROG FORMACIÓN TITULADA'!#REF!,"AAAAAG/f/xc=")</f>
        <v>#REF!</v>
      </c>
      <c r="Y55" t="e">
        <f>AND('PROG FORMACIÓN TITULADA'!#REF!,"AAAAAG/f/xg=")</f>
        <v>#REF!</v>
      </c>
      <c r="Z55" t="e">
        <f>AND('PROG FORMACIÓN TITULADA'!#REF!,"AAAAAG/f/xk=")</f>
        <v>#REF!</v>
      </c>
      <c r="AA55" t="e">
        <f>AND('PROG FORMACIÓN TITULADA'!#REF!,"AAAAAG/f/xo=")</f>
        <v>#REF!</v>
      </c>
      <c r="AB55" t="e">
        <f>AND('PROG FORMACIÓN TITULADA'!#REF!,"AAAAAG/f/xs=")</f>
        <v>#REF!</v>
      </c>
      <c r="AC55" t="e">
        <f>AND('PROG FORMACIÓN TITULADA'!#REF!,"AAAAAG/f/xw=")</f>
        <v>#REF!</v>
      </c>
      <c r="AD55" t="e">
        <f>AND('PROG FORMACIÓN TITULADA'!#REF!,"AAAAAG/f/x0=")</f>
        <v>#REF!</v>
      </c>
      <c r="AE55" t="e">
        <f>AND('PROG FORMACIÓN TITULADA'!#REF!,"AAAAAG/f/x4=")</f>
        <v>#REF!</v>
      </c>
      <c r="AF55" t="e">
        <f>AND('PROG FORMACIÓN TITULADA'!#REF!,"AAAAAG/f/x8=")</f>
        <v>#REF!</v>
      </c>
      <c r="AG55" t="e">
        <f>AND('PROG FORMACIÓN TITULADA'!#REF!,"AAAAAG/f/yA=")</f>
        <v>#REF!</v>
      </c>
      <c r="AH55" t="e">
        <f>AND('PROG FORMACIÓN TITULADA'!#REF!,"AAAAAG/f/yE=")</f>
        <v>#REF!</v>
      </c>
      <c r="AI55" t="e">
        <f>AND('PROG FORMACIÓN TITULADA'!#REF!,"AAAAAG/f/yI=")</f>
        <v>#REF!</v>
      </c>
      <c r="AJ55" t="e">
        <f>AND('PROG FORMACIÓN TITULADA'!#REF!,"AAAAAG/f/yM=")</f>
        <v>#REF!</v>
      </c>
      <c r="AK55" t="e">
        <f>AND('PROG FORMACIÓN TITULADA'!#REF!,"AAAAAG/f/yQ=")</f>
        <v>#REF!</v>
      </c>
      <c r="AL55" t="e">
        <f>AND('PROG FORMACIÓN TITULADA'!#REF!,"AAAAAG/f/yU=")</f>
        <v>#REF!</v>
      </c>
      <c r="AM55" t="e">
        <f>AND('PROG FORMACIÓN TITULADA'!#REF!,"AAAAAG/f/yY=")</f>
        <v>#REF!</v>
      </c>
      <c r="AN55" t="e">
        <f>AND('PROG FORMACIÓN TITULADA'!#REF!,"AAAAAG/f/yc=")</f>
        <v>#REF!</v>
      </c>
      <c r="AO55" t="e">
        <f>AND('PROG FORMACIÓN TITULADA'!#REF!,"AAAAAG/f/yg=")</f>
        <v>#REF!</v>
      </c>
      <c r="AP55" t="e">
        <f>IF('PROG FORMACIÓN TITULADA'!#REF!,"AAAAAG/f/yk=",0)</f>
        <v>#REF!</v>
      </c>
      <c r="AQ55" t="e">
        <f>AND('PROG FORMACIÓN TITULADA'!#REF!,"AAAAAG/f/yo=")</f>
        <v>#REF!</v>
      </c>
      <c r="AR55" t="e">
        <f>AND('PROG FORMACIÓN TITULADA'!#REF!,"AAAAAG/f/ys=")</f>
        <v>#REF!</v>
      </c>
      <c r="AS55" t="e">
        <f>AND('PROG FORMACIÓN TITULADA'!#REF!,"AAAAAG/f/yw=")</f>
        <v>#REF!</v>
      </c>
      <c r="AT55" t="e">
        <f>AND('PROG FORMACIÓN TITULADA'!#REF!,"AAAAAG/f/y0=")</f>
        <v>#REF!</v>
      </c>
      <c r="AU55" t="e">
        <f>AND('PROG FORMACIÓN TITULADA'!#REF!,"AAAAAG/f/y4=")</f>
        <v>#REF!</v>
      </c>
      <c r="AV55" t="e">
        <f>AND('PROG FORMACIÓN TITULADA'!#REF!,"AAAAAG/f/y8=")</f>
        <v>#REF!</v>
      </c>
      <c r="AW55" t="e">
        <f>AND('PROG FORMACIÓN TITULADA'!#REF!,"AAAAAG/f/zA=")</f>
        <v>#REF!</v>
      </c>
      <c r="AX55" t="e">
        <f>AND('PROG FORMACIÓN TITULADA'!#REF!,"AAAAAG/f/zE=")</f>
        <v>#REF!</v>
      </c>
      <c r="AY55" t="e">
        <f>AND('PROG FORMACIÓN TITULADA'!#REF!,"AAAAAG/f/zI=")</f>
        <v>#REF!</v>
      </c>
      <c r="AZ55" t="e">
        <f>AND('PROG FORMACIÓN TITULADA'!#REF!,"AAAAAG/f/zM=")</f>
        <v>#REF!</v>
      </c>
      <c r="BA55" t="e">
        <f>AND('PROG FORMACIÓN TITULADA'!#REF!,"AAAAAG/f/zQ=")</f>
        <v>#REF!</v>
      </c>
      <c r="BB55" t="e">
        <f>AND('PROG FORMACIÓN TITULADA'!#REF!,"AAAAAG/f/zU=")</f>
        <v>#REF!</v>
      </c>
      <c r="BC55" t="e">
        <f>AND('PROG FORMACIÓN TITULADA'!#REF!,"AAAAAG/f/zY=")</f>
        <v>#REF!</v>
      </c>
      <c r="BD55" t="e">
        <f>AND('PROG FORMACIÓN TITULADA'!#REF!,"AAAAAG/f/zc=")</f>
        <v>#REF!</v>
      </c>
      <c r="BE55" t="e">
        <f>AND('PROG FORMACIÓN TITULADA'!#REF!,"AAAAAG/f/zg=")</f>
        <v>#REF!</v>
      </c>
      <c r="BF55" t="e">
        <f>AND('PROG FORMACIÓN TITULADA'!#REF!,"AAAAAG/f/zk=")</f>
        <v>#REF!</v>
      </c>
      <c r="BG55" t="e">
        <f>AND('PROG FORMACIÓN TITULADA'!#REF!,"AAAAAG/f/zo=")</f>
        <v>#REF!</v>
      </c>
      <c r="BH55" t="e">
        <f>AND('PROG FORMACIÓN TITULADA'!#REF!,"AAAAAG/f/zs=")</f>
        <v>#REF!</v>
      </c>
      <c r="BI55" t="e">
        <f>AND('PROG FORMACIÓN TITULADA'!#REF!,"AAAAAG/f/zw=")</f>
        <v>#REF!</v>
      </c>
      <c r="BJ55" t="e">
        <f>AND('PROG FORMACIÓN TITULADA'!#REF!,"AAAAAG/f/z0=")</f>
        <v>#REF!</v>
      </c>
      <c r="BK55" t="e">
        <f>AND('PROG FORMACIÓN TITULADA'!#REF!,"AAAAAG/f/z4=")</f>
        <v>#REF!</v>
      </c>
      <c r="BL55" t="e">
        <f>AND('PROG FORMACIÓN TITULADA'!#REF!,"AAAAAG/f/z8=")</f>
        <v>#REF!</v>
      </c>
      <c r="BM55" t="e">
        <f>AND('PROG FORMACIÓN TITULADA'!#REF!,"AAAAAG/f/0A=")</f>
        <v>#REF!</v>
      </c>
      <c r="BN55" t="e">
        <f>AND('PROG FORMACIÓN TITULADA'!#REF!,"AAAAAG/f/0E=")</f>
        <v>#REF!</v>
      </c>
      <c r="BO55" t="e">
        <f>AND('PROG FORMACIÓN TITULADA'!#REF!,"AAAAAG/f/0I=")</f>
        <v>#REF!</v>
      </c>
      <c r="BP55" t="e">
        <f>AND('PROG FORMACIÓN TITULADA'!#REF!,"AAAAAG/f/0M=")</f>
        <v>#REF!</v>
      </c>
      <c r="BQ55" t="e">
        <f>IF('PROG FORMACIÓN TITULADA'!#REF!,"AAAAAG/f/0Q=",0)</f>
        <v>#REF!</v>
      </c>
      <c r="BR55" t="e">
        <f>AND('PROG FORMACIÓN TITULADA'!#REF!,"AAAAAG/f/0U=")</f>
        <v>#REF!</v>
      </c>
      <c r="BS55" t="e">
        <f>AND('PROG FORMACIÓN TITULADA'!#REF!,"AAAAAG/f/0Y=")</f>
        <v>#REF!</v>
      </c>
      <c r="BT55" t="e">
        <f>AND('PROG FORMACIÓN TITULADA'!#REF!,"AAAAAG/f/0c=")</f>
        <v>#REF!</v>
      </c>
      <c r="BU55" t="e">
        <f>AND('PROG FORMACIÓN TITULADA'!#REF!,"AAAAAG/f/0g=")</f>
        <v>#REF!</v>
      </c>
      <c r="BV55" t="e">
        <f>AND('PROG FORMACIÓN TITULADA'!#REF!,"AAAAAG/f/0k=")</f>
        <v>#REF!</v>
      </c>
      <c r="BW55" t="e">
        <f>AND('PROG FORMACIÓN TITULADA'!#REF!,"AAAAAG/f/0o=")</f>
        <v>#REF!</v>
      </c>
      <c r="BX55" t="e">
        <f>AND('PROG FORMACIÓN TITULADA'!#REF!,"AAAAAG/f/0s=")</f>
        <v>#REF!</v>
      </c>
      <c r="BY55" t="e">
        <f>AND('PROG FORMACIÓN TITULADA'!#REF!,"AAAAAG/f/0w=")</f>
        <v>#REF!</v>
      </c>
      <c r="BZ55" t="e">
        <f>AND('PROG FORMACIÓN TITULADA'!#REF!,"AAAAAG/f/00=")</f>
        <v>#REF!</v>
      </c>
      <c r="CA55" t="e">
        <f>AND('PROG FORMACIÓN TITULADA'!#REF!,"AAAAAG/f/04=")</f>
        <v>#REF!</v>
      </c>
      <c r="CB55" t="e">
        <f>AND('PROG FORMACIÓN TITULADA'!#REF!,"AAAAAG/f/08=")</f>
        <v>#REF!</v>
      </c>
      <c r="CC55" t="e">
        <f>AND('PROG FORMACIÓN TITULADA'!#REF!,"AAAAAG/f/1A=")</f>
        <v>#REF!</v>
      </c>
      <c r="CD55" t="e">
        <f>AND('PROG FORMACIÓN TITULADA'!#REF!,"AAAAAG/f/1E=")</f>
        <v>#REF!</v>
      </c>
      <c r="CE55" t="e">
        <f>AND('PROG FORMACIÓN TITULADA'!#REF!,"AAAAAG/f/1I=")</f>
        <v>#REF!</v>
      </c>
      <c r="CF55" t="e">
        <f>AND('PROG FORMACIÓN TITULADA'!#REF!,"AAAAAG/f/1M=")</f>
        <v>#REF!</v>
      </c>
      <c r="CG55" t="e">
        <f>AND('PROG FORMACIÓN TITULADA'!#REF!,"AAAAAG/f/1Q=")</f>
        <v>#REF!</v>
      </c>
      <c r="CH55" t="e">
        <f>AND('PROG FORMACIÓN TITULADA'!#REF!,"AAAAAG/f/1U=")</f>
        <v>#REF!</v>
      </c>
      <c r="CI55" t="e">
        <f>AND('PROG FORMACIÓN TITULADA'!#REF!,"AAAAAG/f/1Y=")</f>
        <v>#REF!</v>
      </c>
      <c r="CJ55" t="e">
        <f>AND('PROG FORMACIÓN TITULADA'!#REF!,"AAAAAG/f/1c=")</f>
        <v>#REF!</v>
      </c>
      <c r="CK55" t="e">
        <f>AND('PROG FORMACIÓN TITULADA'!#REF!,"AAAAAG/f/1g=")</f>
        <v>#REF!</v>
      </c>
      <c r="CL55" t="e">
        <f>AND('PROG FORMACIÓN TITULADA'!#REF!,"AAAAAG/f/1k=")</f>
        <v>#REF!</v>
      </c>
      <c r="CM55" t="e">
        <f>AND('PROG FORMACIÓN TITULADA'!#REF!,"AAAAAG/f/1o=")</f>
        <v>#REF!</v>
      </c>
      <c r="CN55" t="e">
        <f>AND('PROG FORMACIÓN TITULADA'!#REF!,"AAAAAG/f/1s=")</f>
        <v>#REF!</v>
      </c>
      <c r="CO55" t="e">
        <f>AND('PROG FORMACIÓN TITULADA'!#REF!,"AAAAAG/f/1w=")</f>
        <v>#REF!</v>
      </c>
      <c r="CP55" t="e">
        <f>AND('PROG FORMACIÓN TITULADA'!#REF!,"AAAAAG/f/10=")</f>
        <v>#REF!</v>
      </c>
      <c r="CQ55" t="e">
        <f>AND('PROG FORMACIÓN TITULADA'!#REF!,"AAAAAG/f/14=")</f>
        <v>#REF!</v>
      </c>
      <c r="CR55" t="e">
        <f>IF('PROG FORMACIÓN TITULADA'!#REF!,"AAAAAG/f/18=",0)</f>
        <v>#REF!</v>
      </c>
      <c r="CS55" t="e">
        <f>AND('PROG FORMACIÓN TITULADA'!#REF!,"AAAAAG/f/2A=")</f>
        <v>#REF!</v>
      </c>
      <c r="CT55" t="e">
        <f>AND('PROG FORMACIÓN TITULADA'!#REF!,"AAAAAG/f/2E=")</f>
        <v>#REF!</v>
      </c>
      <c r="CU55" t="e">
        <f>AND('PROG FORMACIÓN TITULADA'!#REF!,"AAAAAG/f/2I=")</f>
        <v>#REF!</v>
      </c>
      <c r="CV55" t="e">
        <f>AND('PROG FORMACIÓN TITULADA'!#REF!,"AAAAAG/f/2M=")</f>
        <v>#REF!</v>
      </c>
      <c r="CW55" t="e">
        <f>AND('PROG FORMACIÓN TITULADA'!#REF!,"AAAAAG/f/2Q=")</f>
        <v>#REF!</v>
      </c>
      <c r="CX55" t="e">
        <f>AND('PROG FORMACIÓN TITULADA'!#REF!,"AAAAAG/f/2U=")</f>
        <v>#REF!</v>
      </c>
      <c r="CY55" t="e">
        <f>AND('PROG FORMACIÓN TITULADA'!#REF!,"AAAAAG/f/2Y=")</f>
        <v>#REF!</v>
      </c>
      <c r="CZ55" t="e">
        <f>AND('PROG FORMACIÓN TITULADA'!#REF!,"AAAAAG/f/2c=")</f>
        <v>#REF!</v>
      </c>
      <c r="DA55" t="e">
        <f>AND('PROG FORMACIÓN TITULADA'!#REF!,"AAAAAG/f/2g=")</f>
        <v>#REF!</v>
      </c>
      <c r="DB55" t="e">
        <f>AND('PROG FORMACIÓN TITULADA'!#REF!,"AAAAAG/f/2k=")</f>
        <v>#REF!</v>
      </c>
      <c r="DC55" t="e">
        <f>AND('PROG FORMACIÓN TITULADA'!#REF!,"AAAAAG/f/2o=")</f>
        <v>#REF!</v>
      </c>
      <c r="DD55" t="e">
        <f>AND('PROG FORMACIÓN TITULADA'!#REF!,"AAAAAG/f/2s=")</f>
        <v>#REF!</v>
      </c>
      <c r="DE55" t="e">
        <f>AND('PROG FORMACIÓN TITULADA'!#REF!,"AAAAAG/f/2w=")</f>
        <v>#REF!</v>
      </c>
      <c r="DF55" t="e">
        <f>AND('PROG FORMACIÓN TITULADA'!#REF!,"AAAAAG/f/20=")</f>
        <v>#REF!</v>
      </c>
      <c r="DG55" t="e">
        <f>AND('PROG FORMACIÓN TITULADA'!#REF!,"AAAAAG/f/24=")</f>
        <v>#REF!</v>
      </c>
      <c r="DH55" t="e">
        <f>AND('PROG FORMACIÓN TITULADA'!#REF!,"AAAAAG/f/28=")</f>
        <v>#REF!</v>
      </c>
      <c r="DI55" t="e">
        <f>AND('PROG FORMACIÓN TITULADA'!#REF!,"AAAAAG/f/3A=")</f>
        <v>#REF!</v>
      </c>
      <c r="DJ55" t="e">
        <f>AND('PROG FORMACIÓN TITULADA'!#REF!,"AAAAAG/f/3E=")</f>
        <v>#REF!</v>
      </c>
      <c r="DK55" t="e">
        <f>AND('PROG FORMACIÓN TITULADA'!#REF!,"AAAAAG/f/3I=")</f>
        <v>#REF!</v>
      </c>
      <c r="DL55" t="e">
        <f>AND('PROG FORMACIÓN TITULADA'!#REF!,"AAAAAG/f/3M=")</f>
        <v>#REF!</v>
      </c>
      <c r="DM55" t="e">
        <f>AND('PROG FORMACIÓN TITULADA'!#REF!,"AAAAAG/f/3Q=")</f>
        <v>#REF!</v>
      </c>
      <c r="DN55" t="e">
        <f>AND('PROG FORMACIÓN TITULADA'!#REF!,"AAAAAG/f/3U=")</f>
        <v>#REF!</v>
      </c>
      <c r="DO55" t="e">
        <f>AND('PROG FORMACIÓN TITULADA'!#REF!,"AAAAAG/f/3Y=")</f>
        <v>#REF!</v>
      </c>
      <c r="DP55" t="e">
        <f>AND('PROG FORMACIÓN TITULADA'!#REF!,"AAAAAG/f/3c=")</f>
        <v>#REF!</v>
      </c>
      <c r="DQ55" t="e">
        <f>AND('PROG FORMACIÓN TITULADA'!#REF!,"AAAAAG/f/3g=")</f>
        <v>#REF!</v>
      </c>
      <c r="DR55" t="e">
        <f>AND('PROG FORMACIÓN TITULADA'!#REF!,"AAAAAG/f/3k=")</f>
        <v>#REF!</v>
      </c>
      <c r="DS55" t="e">
        <f>IF('PROG FORMACIÓN TITULADA'!#REF!,"AAAAAG/f/3o=",0)</f>
        <v>#REF!</v>
      </c>
      <c r="DT55" t="e">
        <f>AND('PROG FORMACIÓN TITULADA'!#REF!,"AAAAAG/f/3s=")</f>
        <v>#REF!</v>
      </c>
      <c r="DU55" t="e">
        <f>AND('PROG FORMACIÓN TITULADA'!#REF!,"AAAAAG/f/3w=")</f>
        <v>#REF!</v>
      </c>
      <c r="DV55" t="e">
        <f>AND('PROG FORMACIÓN TITULADA'!#REF!,"AAAAAG/f/30=")</f>
        <v>#REF!</v>
      </c>
      <c r="DW55" t="e">
        <f>AND('PROG FORMACIÓN TITULADA'!#REF!,"AAAAAG/f/34=")</f>
        <v>#REF!</v>
      </c>
      <c r="DX55" t="e">
        <f>AND('PROG FORMACIÓN TITULADA'!#REF!,"AAAAAG/f/38=")</f>
        <v>#REF!</v>
      </c>
      <c r="DY55" t="e">
        <f>AND('PROG FORMACIÓN TITULADA'!#REF!,"AAAAAG/f/4A=")</f>
        <v>#REF!</v>
      </c>
      <c r="DZ55" t="e">
        <f>AND('PROG FORMACIÓN TITULADA'!#REF!,"AAAAAG/f/4E=")</f>
        <v>#REF!</v>
      </c>
      <c r="EA55" t="e">
        <f>AND('PROG FORMACIÓN TITULADA'!#REF!,"AAAAAG/f/4I=")</f>
        <v>#REF!</v>
      </c>
      <c r="EB55" t="e">
        <f>AND('PROG FORMACIÓN TITULADA'!#REF!,"AAAAAG/f/4M=")</f>
        <v>#REF!</v>
      </c>
      <c r="EC55" t="e">
        <f>AND('PROG FORMACIÓN TITULADA'!#REF!,"AAAAAG/f/4Q=")</f>
        <v>#REF!</v>
      </c>
      <c r="ED55" t="e">
        <f>AND('PROG FORMACIÓN TITULADA'!#REF!,"AAAAAG/f/4U=")</f>
        <v>#REF!</v>
      </c>
      <c r="EE55" t="e">
        <f>AND('PROG FORMACIÓN TITULADA'!#REF!,"AAAAAG/f/4Y=")</f>
        <v>#REF!</v>
      </c>
      <c r="EF55" t="e">
        <f>AND('PROG FORMACIÓN TITULADA'!#REF!,"AAAAAG/f/4c=")</f>
        <v>#REF!</v>
      </c>
      <c r="EG55" t="e">
        <f>AND('PROG FORMACIÓN TITULADA'!#REF!,"AAAAAG/f/4g=")</f>
        <v>#REF!</v>
      </c>
      <c r="EH55" t="e">
        <f>AND('PROG FORMACIÓN TITULADA'!#REF!,"AAAAAG/f/4k=")</f>
        <v>#REF!</v>
      </c>
      <c r="EI55" t="e">
        <f>AND('PROG FORMACIÓN TITULADA'!#REF!,"AAAAAG/f/4o=")</f>
        <v>#REF!</v>
      </c>
      <c r="EJ55" t="e">
        <f>AND('PROG FORMACIÓN TITULADA'!#REF!,"AAAAAG/f/4s=")</f>
        <v>#REF!</v>
      </c>
      <c r="EK55" t="e">
        <f>AND('PROG FORMACIÓN TITULADA'!#REF!,"AAAAAG/f/4w=")</f>
        <v>#REF!</v>
      </c>
      <c r="EL55" t="e">
        <f>AND('PROG FORMACIÓN TITULADA'!#REF!,"AAAAAG/f/40=")</f>
        <v>#REF!</v>
      </c>
      <c r="EM55" t="e">
        <f>AND('PROG FORMACIÓN TITULADA'!#REF!,"AAAAAG/f/44=")</f>
        <v>#REF!</v>
      </c>
      <c r="EN55" t="e">
        <f>AND('PROG FORMACIÓN TITULADA'!#REF!,"AAAAAG/f/48=")</f>
        <v>#REF!</v>
      </c>
      <c r="EO55" t="e">
        <f>AND('PROG FORMACIÓN TITULADA'!#REF!,"AAAAAG/f/5A=")</f>
        <v>#REF!</v>
      </c>
      <c r="EP55" t="e">
        <f>AND('PROG FORMACIÓN TITULADA'!#REF!,"AAAAAG/f/5E=")</f>
        <v>#REF!</v>
      </c>
      <c r="EQ55" t="e">
        <f>AND('PROG FORMACIÓN TITULADA'!#REF!,"AAAAAG/f/5I=")</f>
        <v>#REF!</v>
      </c>
      <c r="ER55" t="e">
        <f>AND('PROG FORMACIÓN TITULADA'!#REF!,"AAAAAG/f/5M=")</f>
        <v>#REF!</v>
      </c>
      <c r="ES55" t="e">
        <f>AND('PROG FORMACIÓN TITULADA'!#REF!,"AAAAAG/f/5Q=")</f>
        <v>#REF!</v>
      </c>
      <c r="ET55" t="e">
        <f>IF('PROG FORMACIÓN TITULADA'!#REF!,"AAAAAG/f/5U=",0)</f>
        <v>#REF!</v>
      </c>
      <c r="EU55" t="e">
        <f>AND('PROG FORMACIÓN TITULADA'!#REF!,"AAAAAG/f/5Y=")</f>
        <v>#REF!</v>
      </c>
      <c r="EV55" t="e">
        <f>AND('PROG FORMACIÓN TITULADA'!#REF!,"AAAAAG/f/5c=")</f>
        <v>#REF!</v>
      </c>
      <c r="EW55" t="e">
        <f>AND('PROG FORMACIÓN TITULADA'!#REF!,"AAAAAG/f/5g=")</f>
        <v>#REF!</v>
      </c>
      <c r="EX55" t="e">
        <f>AND('PROG FORMACIÓN TITULADA'!#REF!,"AAAAAG/f/5k=")</f>
        <v>#REF!</v>
      </c>
      <c r="EY55" t="e">
        <f>AND('PROG FORMACIÓN TITULADA'!#REF!,"AAAAAG/f/5o=")</f>
        <v>#REF!</v>
      </c>
      <c r="EZ55" t="e">
        <f>AND('PROG FORMACIÓN TITULADA'!#REF!,"AAAAAG/f/5s=")</f>
        <v>#REF!</v>
      </c>
      <c r="FA55" t="e">
        <f>AND('PROG FORMACIÓN TITULADA'!#REF!,"AAAAAG/f/5w=")</f>
        <v>#REF!</v>
      </c>
      <c r="FB55" t="e">
        <f>AND('PROG FORMACIÓN TITULADA'!#REF!,"AAAAAG/f/50=")</f>
        <v>#REF!</v>
      </c>
      <c r="FC55" t="e">
        <f>AND('PROG FORMACIÓN TITULADA'!#REF!,"AAAAAG/f/54=")</f>
        <v>#REF!</v>
      </c>
      <c r="FD55" t="e">
        <f>AND('PROG FORMACIÓN TITULADA'!#REF!,"AAAAAG/f/58=")</f>
        <v>#REF!</v>
      </c>
      <c r="FE55" t="e">
        <f>AND('PROG FORMACIÓN TITULADA'!#REF!,"AAAAAG/f/6A=")</f>
        <v>#REF!</v>
      </c>
      <c r="FF55" t="e">
        <f>AND('PROG FORMACIÓN TITULADA'!#REF!,"AAAAAG/f/6E=")</f>
        <v>#REF!</v>
      </c>
      <c r="FG55" t="e">
        <f>AND('PROG FORMACIÓN TITULADA'!#REF!,"AAAAAG/f/6I=")</f>
        <v>#REF!</v>
      </c>
      <c r="FH55" t="e">
        <f>AND('PROG FORMACIÓN TITULADA'!#REF!,"AAAAAG/f/6M=")</f>
        <v>#REF!</v>
      </c>
      <c r="FI55" t="e">
        <f>AND('PROG FORMACIÓN TITULADA'!#REF!,"AAAAAG/f/6Q=")</f>
        <v>#REF!</v>
      </c>
      <c r="FJ55" t="e">
        <f>AND('PROG FORMACIÓN TITULADA'!#REF!,"AAAAAG/f/6U=")</f>
        <v>#REF!</v>
      </c>
      <c r="FK55" t="e">
        <f>AND('PROG FORMACIÓN TITULADA'!#REF!,"AAAAAG/f/6Y=")</f>
        <v>#REF!</v>
      </c>
      <c r="FL55" t="e">
        <f>AND('PROG FORMACIÓN TITULADA'!#REF!,"AAAAAG/f/6c=")</f>
        <v>#REF!</v>
      </c>
      <c r="FM55" t="e">
        <f>AND('PROG FORMACIÓN TITULADA'!#REF!,"AAAAAG/f/6g=")</f>
        <v>#REF!</v>
      </c>
      <c r="FN55" t="e">
        <f>AND('PROG FORMACIÓN TITULADA'!#REF!,"AAAAAG/f/6k=")</f>
        <v>#REF!</v>
      </c>
      <c r="FO55" t="e">
        <f>AND('PROG FORMACIÓN TITULADA'!#REF!,"AAAAAG/f/6o=")</f>
        <v>#REF!</v>
      </c>
      <c r="FP55" t="e">
        <f>AND('PROG FORMACIÓN TITULADA'!#REF!,"AAAAAG/f/6s=")</f>
        <v>#REF!</v>
      </c>
      <c r="FQ55" t="e">
        <f>AND('PROG FORMACIÓN TITULADA'!#REF!,"AAAAAG/f/6w=")</f>
        <v>#REF!</v>
      </c>
      <c r="FR55" t="e">
        <f>AND('PROG FORMACIÓN TITULADA'!#REF!,"AAAAAG/f/60=")</f>
        <v>#REF!</v>
      </c>
      <c r="FS55" t="e">
        <f>AND('PROG FORMACIÓN TITULADA'!#REF!,"AAAAAG/f/64=")</f>
        <v>#REF!</v>
      </c>
      <c r="FT55" t="e">
        <f>AND('PROG FORMACIÓN TITULADA'!#REF!,"AAAAAG/f/68=")</f>
        <v>#REF!</v>
      </c>
      <c r="FU55" t="e">
        <f>IF('PROG FORMACIÓN TITULADA'!#REF!,"AAAAAG/f/7A=",0)</f>
        <v>#REF!</v>
      </c>
      <c r="FV55" t="e">
        <f>AND('PROG FORMACIÓN TITULADA'!#REF!,"AAAAAG/f/7E=")</f>
        <v>#REF!</v>
      </c>
      <c r="FW55" t="e">
        <f>AND('PROG FORMACIÓN TITULADA'!#REF!,"AAAAAG/f/7I=")</f>
        <v>#REF!</v>
      </c>
      <c r="FX55" t="e">
        <f>AND('PROG FORMACIÓN TITULADA'!#REF!,"AAAAAG/f/7M=")</f>
        <v>#REF!</v>
      </c>
      <c r="FY55" t="e">
        <f>AND('PROG FORMACIÓN TITULADA'!#REF!,"AAAAAG/f/7Q=")</f>
        <v>#REF!</v>
      </c>
      <c r="FZ55" t="e">
        <f>AND('PROG FORMACIÓN TITULADA'!#REF!,"AAAAAG/f/7U=")</f>
        <v>#REF!</v>
      </c>
      <c r="GA55" t="e">
        <f>AND('PROG FORMACIÓN TITULADA'!#REF!,"AAAAAG/f/7Y=")</f>
        <v>#REF!</v>
      </c>
      <c r="GB55" t="e">
        <f>AND('PROG FORMACIÓN TITULADA'!#REF!,"AAAAAG/f/7c=")</f>
        <v>#REF!</v>
      </c>
      <c r="GC55" t="e">
        <f>AND('PROG FORMACIÓN TITULADA'!#REF!,"AAAAAG/f/7g=")</f>
        <v>#REF!</v>
      </c>
      <c r="GD55" t="e">
        <f>AND('PROG FORMACIÓN TITULADA'!#REF!,"AAAAAG/f/7k=")</f>
        <v>#REF!</v>
      </c>
      <c r="GE55" t="e">
        <f>AND('PROG FORMACIÓN TITULADA'!#REF!,"AAAAAG/f/7o=")</f>
        <v>#REF!</v>
      </c>
      <c r="GF55" t="e">
        <f>AND('PROG FORMACIÓN TITULADA'!#REF!,"AAAAAG/f/7s=")</f>
        <v>#REF!</v>
      </c>
      <c r="GG55" t="e">
        <f>AND('PROG FORMACIÓN TITULADA'!#REF!,"AAAAAG/f/7w=")</f>
        <v>#REF!</v>
      </c>
      <c r="GH55" t="e">
        <f>AND('PROG FORMACIÓN TITULADA'!#REF!,"AAAAAG/f/70=")</f>
        <v>#REF!</v>
      </c>
      <c r="GI55" t="e">
        <f>AND('PROG FORMACIÓN TITULADA'!#REF!,"AAAAAG/f/74=")</f>
        <v>#REF!</v>
      </c>
      <c r="GJ55" t="e">
        <f>AND('PROG FORMACIÓN TITULADA'!#REF!,"AAAAAG/f/78=")</f>
        <v>#REF!</v>
      </c>
      <c r="GK55" t="e">
        <f>AND('PROG FORMACIÓN TITULADA'!#REF!,"AAAAAG/f/8A=")</f>
        <v>#REF!</v>
      </c>
      <c r="GL55" t="e">
        <f>AND('PROG FORMACIÓN TITULADA'!#REF!,"AAAAAG/f/8E=")</f>
        <v>#REF!</v>
      </c>
      <c r="GM55" t="e">
        <f>AND('PROG FORMACIÓN TITULADA'!#REF!,"AAAAAG/f/8I=")</f>
        <v>#REF!</v>
      </c>
      <c r="GN55" t="e">
        <f>AND('PROG FORMACIÓN TITULADA'!#REF!,"AAAAAG/f/8M=")</f>
        <v>#REF!</v>
      </c>
      <c r="GO55" t="e">
        <f>AND('PROG FORMACIÓN TITULADA'!#REF!,"AAAAAG/f/8Q=")</f>
        <v>#REF!</v>
      </c>
      <c r="GP55" t="e">
        <f>AND('PROG FORMACIÓN TITULADA'!#REF!,"AAAAAG/f/8U=")</f>
        <v>#REF!</v>
      </c>
      <c r="GQ55" t="e">
        <f>AND('PROG FORMACIÓN TITULADA'!#REF!,"AAAAAG/f/8Y=")</f>
        <v>#REF!</v>
      </c>
      <c r="GR55" t="e">
        <f>AND('PROG FORMACIÓN TITULADA'!#REF!,"AAAAAG/f/8c=")</f>
        <v>#REF!</v>
      </c>
      <c r="GS55" t="e">
        <f>AND('PROG FORMACIÓN TITULADA'!#REF!,"AAAAAG/f/8g=")</f>
        <v>#REF!</v>
      </c>
      <c r="GT55" t="e">
        <f>AND('PROG FORMACIÓN TITULADA'!#REF!,"AAAAAG/f/8k=")</f>
        <v>#REF!</v>
      </c>
      <c r="GU55" t="e">
        <f>AND('PROG FORMACIÓN TITULADA'!#REF!,"AAAAAG/f/8o=")</f>
        <v>#REF!</v>
      </c>
      <c r="GV55" t="e">
        <f>IF('PROG FORMACIÓN TITULADA'!#REF!,"AAAAAG/f/8s=",0)</f>
        <v>#REF!</v>
      </c>
      <c r="GW55" t="e">
        <f>AND('PROG FORMACIÓN TITULADA'!#REF!,"AAAAAG/f/8w=")</f>
        <v>#REF!</v>
      </c>
      <c r="GX55" t="e">
        <f>AND('PROG FORMACIÓN TITULADA'!#REF!,"AAAAAG/f/80=")</f>
        <v>#REF!</v>
      </c>
      <c r="GY55" t="e">
        <f>AND('PROG FORMACIÓN TITULADA'!#REF!,"AAAAAG/f/84=")</f>
        <v>#REF!</v>
      </c>
      <c r="GZ55" t="e">
        <f>AND('PROG FORMACIÓN TITULADA'!#REF!,"AAAAAG/f/88=")</f>
        <v>#REF!</v>
      </c>
      <c r="HA55" t="e">
        <f>AND('PROG FORMACIÓN TITULADA'!#REF!,"AAAAAG/f/9A=")</f>
        <v>#REF!</v>
      </c>
      <c r="HB55" t="e">
        <f>AND('PROG FORMACIÓN TITULADA'!#REF!,"AAAAAG/f/9E=")</f>
        <v>#REF!</v>
      </c>
      <c r="HC55" t="e">
        <f>AND('PROG FORMACIÓN TITULADA'!#REF!,"AAAAAG/f/9I=")</f>
        <v>#REF!</v>
      </c>
      <c r="HD55" t="e">
        <f>AND('PROG FORMACIÓN TITULADA'!#REF!,"AAAAAG/f/9M=")</f>
        <v>#REF!</v>
      </c>
      <c r="HE55" t="e">
        <f>AND('PROG FORMACIÓN TITULADA'!#REF!,"AAAAAG/f/9Q=")</f>
        <v>#REF!</v>
      </c>
      <c r="HF55" t="e">
        <f>AND('PROG FORMACIÓN TITULADA'!#REF!,"AAAAAG/f/9U=")</f>
        <v>#REF!</v>
      </c>
      <c r="HG55" t="e">
        <f>AND('PROG FORMACIÓN TITULADA'!#REF!,"AAAAAG/f/9Y=")</f>
        <v>#REF!</v>
      </c>
      <c r="HH55" t="e">
        <f>AND('PROG FORMACIÓN TITULADA'!#REF!,"AAAAAG/f/9c=")</f>
        <v>#REF!</v>
      </c>
      <c r="HI55" t="e">
        <f>AND('PROG FORMACIÓN TITULADA'!#REF!,"AAAAAG/f/9g=")</f>
        <v>#REF!</v>
      </c>
      <c r="HJ55" t="e">
        <f>AND('PROG FORMACIÓN TITULADA'!#REF!,"AAAAAG/f/9k=")</f>
        <v>#REF!</v>
      </c>
      <c r="HK55" t="e">
        <f>AND('PROG FORMACIÓN TITULADA'!#REF!,"AAAAAG/f/9o=")</f>
        <v>#REF!</v>
      </c>
      <c r="HL55" t="e">
        <f>AND('PROG FORMACIÓN TITULADA'!#REF!,"AAAAAG/f/9s=")</f>
        <v>#REF!</v>
      </c>
      <c r="HM55" t="e">
        <f>AND('PROG FORMACIÓN TITULADA'!#REF!,"AAAAAG/f/9w=")</f>
        <v>#REF!</v>
      </c>
      <c r="HN55" t="e">
        <f>AND('PROG FORMACIÓN TITULADA'!#REF!,"AAAAAG/f/90=")</f>
        <v>#REF!</v>
      </c>
      <c r="HO55" t="e">
        <f>AND('PROG FORMACIÓN TITULADA'!#REF!,"AAAAAG/f/94=")</f>
        <v>#REF!</v>
      </c>
      <c r="HP55" t="e">
        <f>AND('PROG FORMACIÓN TITULADA'!#REF!,"AAAAAG/f/98=")</f>
        <v>#REF!</v>
      </c>
      <c r="HQ55" t="e">
        <f>AND('PROG FORMACIÓN TITULADA'!#REF!,"AAAAAG/f/+A=")</f>
        <v>#REF!</v>
      </c>
      <c r="HR55" t="e">
        <f>AND('PROG FORMACIÓN TITULADA'!#REF!,"AAAAAG/f/+E=")</f>
        <v>#REF!</v>
      </c>
      <c r="HS55" t="e">
        <f>AND('PROG FORMACIÓN TITULADA'!#REF!,"AAAAAG/f/+I=")</f>
        <v>#REF!</v>
      </c>
      <c r="HT55" t="e">
        <f>AND('PROG FORMACIÓN TITULADA'!#REF!,"AAAAAG/f/+M=")</f>
        <v>#REF!</v>
      </c>
      <c r="HU55" t="e">
        <f>AND('PROG FORMACIÓN TITULADA'!#REF!,"AAAAAG/f/+Q=")</f>
        <v>#REF!</v>
      </c>
      <c r="HV55" t="e">
        <f>AND('PROG FORMACIÓN TITULADA'!#REF!,"AAAAAG/f/+U=")</f>
        <v>#REF!</v>
      </c>
      <c r="HW55" t="e">
        <f>IF('PROG FORMACIÓN TITULADA'!#REF!,"AAAAAG/f/+Y=",0)</f>
        <v>#REF!</v>
      </c>
      <c r="HX55" t="e">
        <f>AND('PROG FORMACIÓN TITULADA'!#REF!,"AAAAAG/f/+c=")</f>
        <v>#REF!</v>
      </c>
      <c r="HY55" t="e">
        <f>AND('PROG FORMACIÓN TITULADA'!#REF!,"AAAAAG/f/+g=")</f>
        <v>#REF!</v>
      </c>
      <c r="HZ55" t="e">
        <f>AND('PROG FORMACIÓN TITULADA'!#REF!,"AAAAAG/f/+k=")</f>
        <v>#REF!</v>
      </c>
      <c r="IA55" t="e">
        <f>AND('PROG FORMACIÓN TITULADA'!#REF!,"AAAAAG/f/+o=")</f>
        <v>#REF!</v>
      </c>
      <c r="IB55" t="e">
        <f>AND('PROG FORMACIÓN TITULADA'!#REF!,"AAAAAG/f/+s=")</f>
        <v>#REF!</v>
      </c>
      <c r="IC55" t="e">
        <f>AND('PROG FORMACIÓN TITULADA'!#REF!,"AAAAAG/f/+w=")</f>
        <v>#REF!</v>
      </c>
      <c r="ID55" t="e">
        <f>AND('PROG FORMACIÓN TITULADA'!#REF!,"AAAAAG/f/+0=")</f>
        <v>#REF!</v>
      </c>
      <c r="IE55" t="e">
        <f>AND('PROG FORMACIÓN TITULADA'!#REF!,"AAAAAG/f/+4=")</f>
        <v>#REF!</v>
      </c>
      <c r="IF55" t="e">
        <f>AND('PROG FORMACIÓN TITULADA'!#REF!,"AAAAAG/f/+8=")</f>
        <v>#REF!</v>
      </c>
      <c r="IG55" t="e">
        <f>AND('PROG FORMACIÓN TITULADA'!#REF!,"AAAAAG/f//A=")</f>
        <v>#REF!</v>
      </c>
      <c r="IH55" t="e">
        <f>AND('PROG FORMACIÓN TITULADA'!#REF!,"AAAAAG/f//E=")</f>
        <v>#REF!</v>
      </c>
      <c r="II55" t="e">
        <f>AND('PROG FORMACIÓN TITULADA'!#REF!,"AAAAAG/f//I=")</f>
        <v>#REF!</v>
      </c>
      <c r="IJ55" t="e">
        <f>AND('PROG FORMACIÓN TITULADA'!#REF!,"AAAAAG/f//M=")</f>
        <v>#REF!</v>
      </c>
      <c r="IK55" t="e">
        <f>AND('PROG FORMACIÓN TITULADA'!#REF!,"AAAAAG/f//Q=")</f>
        <v>#REF!</v>
      </c>
      <c r="IL55" t="e">
        <f>AND('PROG FORMACIÓN TITULADA'!#REF!,"AAAAAG/f//U=")</f>
        <v>#REF!</v>
      </c>
      <c r="IM55" t="e">
        <f>AND('PROG FORMACIÓN TITULADA'!#REF!,"AAAAAG/f//Y=")</f>
        <v>#REF!</v>
      </c>
      <c r="IN55" t="e">
        <f>AND('PROG FORMACIÓN TITULADA'!#REF!,"AAAAAG/f//c=")</f>
        <v>#REF!</v>
      </c>
      <c r="IO55" t="e">
        <f>AND('PROG FORMACIÓN TITULADA'!#REF!,"AAAAAG/f//g=")</f>
        <v>#REF!</v>
      </c>
      <c r="IP55" t="e">
        <f>AND('PROG FORMACIÓN TITULADA'!#REF!,"AAAAAG/f//k=")</f>
        <v>#REF!</v>
      </c>
      <c r="IQ55" t="e">
        <f>AND('PROG FORMACIÓN TITULADA'!#REF!,"AAAAAG/f//o=")</f>
        <v>#REF!</v>
      </c>
      <c r="IR55" t="e">
        <f>AND('PROG FORMACIÓN TITULADA'!#REF!,"AAAAAG/f//s=")</f>
        <v>#REF!</v>
      </c>
      <c r="IS55" t="e">
        <f>AND('PROG FORMACIÓN TITULADA'!#REF!,"AAAAAG/f//w=")</f>
        <v>#REF!</v>
      </c>
      <c r="IT55" t="e">
        <f>AND('PROG FORMACIÓN TITULADA'!#REF!,"AAAAAG/f//0=")</f>
        <v>#REF!</v>
      </c>
      <c r="IU55" t="e">
        <f>AND('PROG FORMACIÓN TITULADA'!#REF!,"AAAAAG/f//4=")</f>
        <v>#REF!</v>
      </c>
      <c r="IV55" t="e">
        <f>AND('PROG FORMACIÓN TITULADA'!#REF!,"AAAAAG/f//8=")</f>
        <v>#REF!</v>
      </c>
    </row>
    <row r="56" spans="1:256" x14ac:dyDescent="0.2">
      <c r="A56" t="e">
        <f>AND('PROG FORMACIÓN TITULADA'!#REF!,"AAAAAEczfwA=")</f>
        <v>#REF!</v>
      </c>
      <c r="B56" t="e">
        <f>IF('PROG FORMACIÓN TITULADA'!#REF!,"AAAAAEczfwE=",0)</f>
        <v>#REF!</v>
      </c>
      <c r="C56" t="e">
        <f>AND('PROG FORMACIÓN TITULADA'!#REF!,"AAAAAEczfwI=")</f>
        <v>#REF!</v>
      </c>
      <c r="D56" t="e">
        <f>AND('PROG FORMACIÓN TITULADA'!#REF!,"AAAAAEczfwM=")</f>
        <v>#REF!</v>
      </c>
      <c r="E56" t="e">
        <f>AND('PROG FORMACIÓN TITULADA'!#REF!,"AAAAAEczfwQ=")</f>
        <v>#REF!</v>
      </c>
      <c r="F56" t="e">
        <f>AND('PROG FORMACIÓN TITULADA'!#REF!,"AAAAAEczfwU=")</f>
        <v>#REF!</v>
      </c>
      <c r="G56" t="e">
        <f>AND('PROG FORMACIÓN TITULADA'!#REF!,"AAAAAEczfwY=")</f>
        <v>#REF!</v>
      </c>
      <c r="H56" t="e">
        <f>AND('PROG FORMACIÓN TITULADA'!#REF!,"AAAAAEczfwc=")</f>
        <v>#REF!</v>
      </c>
      <c r="I56" t="e">
        <f>AND('PROG FORMACIÓN TITULADA'!#REF!,"AAAAAEczfwg=")</f>
        <v>#REF!</v>
      </c>
      <c r="J56" t="e">
        <f>AND('PROG FORMACIÓN TITULADA'!#REF!,"AAAAAEczfwk=")</f>
        <v>#REF!</v>
      </c>
      <c r="K56" t="e">
        <f>AND('PROG FORMACIÓN TITULADA'!#REF!,"AAAAAEczfwo=")</f>
        <v>#REF!</v>
      </c>
      <c r="L56" t="e">
        <f>AND('PROG FORMACIÓN TITULADA'!#REF!,"AAAAAEczfws=")</f>
        <v>#REF!</v>
      </c>
      <c r="M56" t="e">
        <f>AND('PROG FORMACIÓN TITULADA'!#REF!,"AAAAAEczfww=")</f>
        <v>#REF!</v>
      </c>
      <c r="N56" t="e">
        <f>AND('PROG FORMACIÓN TITULADA'!#REF!,"AAAAAEczfw0=")</f>
        <v>#REF!</v>
      </c>
      <c r="O56" t="e">
        <f>AND('PROG FORMACIÓN TITULADA'!#REF!,"AAAAAEczfw4=")</f>
        <v>#REF!</v>
      </c>
      <c r="P56" t="e">
        <f>AND('PROG FORMACIÓN TITULADA'!#REF!,"AAAAAEczfw8=")</f>
        <v>#REF!</v>
      </c>
      <c r="Q56" t="e">
        <f>AND('PROG FORMACIÓN TITULADA'!#REF!,"AAAAAEczfxA=")</f>
        <v>#REF!</v>
      </c>
      <c r="R56" t="e">
        <f>AND('PROG FORMACIÓN TITULADA'!#REF!,"AAAAAEczfxE=")</f>
        <v>#REF!</v>
      </c>
      <c r="S56" t="e">
        <f>AND('PROG FORMACIÓN TITULADA'!#REF!,"AAAAAEczfxI=")</f>
        <v>#REF!</v>
      </c>
      <c r="T56" t="e">
        <f>AND('PROG FORMACIÓN TITULADA'!#REF!,"AAAAAEczfxM=")</f>
        <v>#REF!</v>
      </c>
      <c r="U56" t="e">
        <f>AND('PROG FORMACIÓN TITULADA'!#REF!,"AAAAAEczfxQ=")</f>
        <v>#REF!</v>
      </c>
      <c r="V56" t="e">
        <f>AND('PROG FORMACIÓN TITULADA'!#REF!,"AAAAAEczfxU=")</f>
        <v>#REF!</v>
      </c>
      <c r="W56" t="e">
        <f>AND('PROG FORMACIÓN TITULADA'!#REF!,"AAAAAEczfxY=")</f>
        <v>#REF!</v>
      </c>
      <c r="X56" t="e">
        <f>AND('PROG FORMACIÓN TITULADA'!#REF!,"AAAAAEczfxc=")</f>
        <v>#REF!</v>
      </c>
      <c r="Y56" t="e">
        <f>AND('PROG FORMACIÓN TITULADA'!#REF!,"AAAAAEczfxg=")</f>
        <v>#REF!</v>
      </c>
      <c r="Z56" t="e">
        <f>AND('PROG FORMACIÓN TITULADA'!#REF!,"AAAAAEczfxk=")</f>
        <v>#REF!</v>
      </c>
      <c r="AA56" t="e">
        <f>AND('PROG FORMACIÓN TITULADA'!#REF!,"AAAAAEczfxo=")</f>
        <v>#REF!</v>
      </c>
      <c r="AB56" t="e">
        <f>AND('PROG FORMACIÓN TITULADA'!#REF!,"AAAAAEczfxs=")</f>
        <v>#REF!</v>
      </c>
      <c r="AC56" t="e">
        <f>IF('PROG FORMACIÓN TITULADA'!#REF!,"AAAAAEczfxw=",0)</f>
        <v>#REF!</v>
      </c>
      <c r="AD56" t="e">
        <f>AND('PROG FORMACIÓN TITULADA'!#REF!,"AAAAAEczfx0=")</f>
        <v>#REF!</v>
      </c>
      <c r="AE56" t="e">
        <f>AND('PROG FORMACIÓN TITULADA'!#REF!,"AAAAAEczfx4=")</f>
        <v>#REF!</v>
      </c>
      <c r="AF56" t="e">
        <f>AND('PROG FORMACIÓN TITULADA'!#REF!,"AAAAAEczfx8=")</f>
        <v>#REF!</v>
      </c>
      <c r="AG56" t="e">
        <f>AND('PROG FORMACIÓN TITULADA'!#REF!,"AAAAAEczfyA=")</f>
        <v>#REF!</v>
      </c>
      <c r="AH56" t="e">
        <f>AND('PROG FORMACIÓN TITULADA'!#REF!,"AAAAAEczfyE=")</f>
        <v>#REF!</v>
      </c>
      <c r="AI56" t="e">
        <f>AND('PROG FORMACIÓN TITULADA'!#REF!,"AAAAAEczfyI=")</f>
        <v>#REF!</v>
      </c>
      <c r="AJ56" t="e">
        <f>AND('PROG FORMACIÓN TITULADA'!#REF!,"AAAAAEczfyM=")</f>
        <v>#REF!</v>
      </c>
      <c r="AK56" t="e">
        <f>AND('PROG FORMACIÓN TITULADA'!#REF!,"AAAAAEczfyQ=")</f>
        <v>#REF!</v>
      </c>
      <c r="AL56" t="e">
        <f>AND('PROG FORMACIÓN TITULADA'!#REF!,"AAAAAEczfyU=")</f>
        <v>#REF!</v>
      </c>
      <c r="AM56" t="e">
        <f>AND('PROG FORMACIÓN TITULADA'!#REF!,"AAAAAEczfyY=")</f>
        <v>#REF!</v>
      </c>
      <c r="AN56" t="e">
        <f>AND('PROG FORMACIÓN TITULADA'!#REF!,"AAAAAEczfyc=")</f>
        <v>#REF!</v>
      </c>
      <c r="AO56" t="e">
        <f>AND('PROG FORMACIÓN TITULADA'!#REF!,"AAAAAEczfyg=")</f>
        <v>#REF!</v>
      </c>
      <c r="AP56" t="e">
        <f>AND('PROG FORMACIÓN TITULADA'!#REF!,"AAAAAEczfyk=")</f>
        <v>#REF!</v>
      </c>
      <c r="AQ56" t="e">
        <f>AND('PROG FORMACIÓN TITULADA'!#REF!,"AAAAAEczfyo=")</f>
        <v>#REF!</v>
      </c>
      <c r="AR56" t="e">
        <f>AND('PROG FORMACIÓN TITULADA'!#REF!,"AAAAAEczfys=")</f>
        <v>#REF!</v>
      </c>
      <c r="AS56" t="e">
        <f>AND('PROG FORMACIÓN TITULADA'!#REF!,"AAAAAEczfyw=")</f>
        <v>#REF!</v>
      </c>
      <c r="AT56" t="e">
        <f>AND('PROG FORMACIÓN TITULADA'!#REF!,"AAAAAEczfy0=")</f>
        <v>#REF!</v>
      </c>
      <c r="AU56" t="e">
        <f>AND('PROG FORMACIÓN TITULADA'!#REF!,"AAAAAEczfy4=")</f>
        <v>#REF!</v>
      </c>
      <c r="AV56" t="e">
        <f>AND('PROG FORMACIÓN TITULADA'!#REF!,"AAAAAEczfy8=")</f>
        <v>#REF!</v>
      </c>
      <c r="AW56" t="e">
        <f>AND('PROG FORMACIÓN TITULADA'!#REF!,"AAAAAEczfzA=")</f>
        <v>#REF!</v>
      </c>
      <c r="AX56" t="e">
        <f>AND('PROG FORMACIÓN TITULADA'!#REF!,"AAAAAEczfzE=")</f>
        <v>#REF!</v>
      </c>
      <c r="AY56" t="e">
        <f>AND('PROG FORMACIÓN TITULADA'!#REF!,"AAAAAEczfzI=")</f>
        <v>#REF!</v>
      </c>
      <c r="AZ56" t="e">
        <f>AND('PROG FORMACIÓN TITULADA'!#REF!,"AAAAAEczfzM=")</f>
        <v>#REF!</v>
      </c>
      <c r="BA56" t="e">
        <f>AND('PROG FORMACIÓN TITULADA'!#REF!,"AAAAAEczfzQ=")</f>
        <v>#REF!</v>
      </c>
      <c r="BB56" t="e">
        <f>AND('PROG FORMACIÓN TITULADA'!#REF!,"AAAAAEczfzU=")</f>
        <v>#REF!</v>
      </c>
      <c r="BC56" t="e">
        <f>AND('PROG FORMACIÓN TITULADA'!#REF!,"AAAAAEczfzY=")</f>
        <v>#REF!</v>
      </c>
      <c r="BD56" t="e">
        <f>IF('PROG FORMACIÓN TITULADA'!#REF!,"AAAAAEczfzc=",0)</f>
        <v>#REF!</v>
      </c>
      <c r="BE56" t="e">
        <f>AND('PROG FORMACIÓN TITULADA'!#REF!,"AAAAAEczfzg=")</f>
        <v>#REF!</v>
      </c>
      <c r="BF56" t="e">
        <f>AND('PROG FORMACIÓN TITULADA'!#REF!,"AAAAAEczfzk=")</f>
        <v>#REF!</v>
      </c>
      <c r="BG56" t="e">
        <f>AND('PROG FORMACIÓN TITULADA'!#REF!,"AAAAAEczfzo=")</f>
        <v>#REF!</v>
      </c>
      <c r="BH56" t="e">
        <f>AND('PROG FORMACIÓN TITULADA'!#REF!,"AAAAAEczfzs=")</f>
        <v>#REF!</v>
      </c>
      <c r="BI56" t="e">
        <f>AND('PROG FORMACIÓN TITULADA'!#REF!,"AAAAAEczfzw=")</f>
        <v>#REF!</v>
      </c>
      <c r="BJ56" t="e">
        <f>AND('PROG FORMACIÓN TITULADA'!#REF!,"AAAAAEczfz0=")</f>
        <v>#REF!</v>
      </c>
      <c r="BK56" t="e">
        <f>AND('PROG FORMACIÓN TITULADA'!#REF!,"AAAAAEczfz4=")</f>
        <v>#REF!</v>
      </c>
      <c r="BL56" t="e">
        <f>AND('PROG FORMACIÓN TITULADA'!#REF!,"AAAAAEczfz8=")</f>
        <v>#REF!</v>
      </c>
      <c r="BM56" t="e">
        <f>AND('PROG FORMACIÓN TITULADA'!#REF!,"AAAAAEczf0A=")</f>
        <v>#REF!</v>
      </c>
      <c r="BN56" t="e">
        <f>AND('PROG FORMACIÓN TITULADA'!#REF!,"AAAAAEczf0E=")</f>
        <v>#REF!</v>
      </c>
      <c r="BO56" t="e">
        <f>AND('PROG FORMACIÓN TITULADA'!#REF!,"AAAAAEczf0I=")</f>
        <v>#REF!</v>
      </c>
      <c r="BP56" t="e">
        <f>AND('PROG FORMACIÓN TITULADA'!#REF!,"AAAAAEczf0M=")</f>
        <v>#REF!</v>
      </c>
      <c r="BQ56" t="e">
        <f>AND('PROG FORMACIÓN TITULADA'!#REF!,"AAAAAEczf0Q=")</f>
        <v>#REF!</v>
      </c>
      <c r="BR56" t="e">
        <f>AND('PROG FORMACIÓN TITULADA'!#REF!,"AAAAAEczf0U=")</f>
        <v>#REF!</v>
      </c>
      <c r="BS56" t="e">
        <f>AND('PROG FORMACIÓN TITULADA'!#REF!,"AAAAAEczf0Y=")</f>
        <v>#REF!</v>
      </c>
      <c r="BT56" t="e">
        <f>AND('PROG FORMACIÓN TITULADA'!#REF!,"AAAAAEczf0c=")</f>
        <v>#REF!</v>
      </c>
      <c r="BU56" t="e">
        <f>AND('PROG FORMACIÓN TITULADA'!#REF!,"AAAAAEczf0g=")</f>
        <v>#REF!</v>
      </c>
      <c r="BV56" t="e">
        <f>AND('PROG FORMACIÓN TITULADA'!#REF!,"AAAAAEczf0k=")</f>
        <v>#REF!</v>
      </c>
      <c r="BW56" t="e">
        <f>AND('PROG FORMACIÓN TITULADA'!#REF!,"AAAAAEczf0o=")</f>
        <v>#REF!</v>
      </c>
      <c r="BX56" t="e">
        <f>AND('PROG FORMACIÓN TITULADA'!#REF!,"AAAAAEczf0s=")</f>
        <v>#REF!</v>
      </c>
      <c r="BY56" t="e">
        <f>AND('PROG FORMACIÓN TITULADA'!#REF!,"AAAAAEczf0w=")</f>
        <v>#REF!</v>
      </c>
      <c r="BZ56" t="e">
        <f>AND('PROG FORMACIÓN TITULADA'!#REF!,"AAAAAEczf00=")</f>
        <v>#REF!</v>
      </c>
      <c r="CA56" t="e">
        <f>AND('PROG FORMACIÓN TITULADA'!#REF!,"AAAAAEczf04=")</f>
        <v>#REF!</v>
      </c>
      <c r="CB56" t="e">
        <f>AND('PROG FORMACIÓN TITULADA'!#REF!,"AAAAAEczf08=")</f>
        <v>#REF!</v>
      </c>
      <c r="CC56" t="e">
        <f>AND('PROG FORMACIÓN TITULADA'!#REF!,"AAAAAEczf1A=")</f>
        <v>#REF!</v>
      </c>
      <c r="CD56" t="e">
        <f>AND('PROG FORMACIÓN TITULADA'!#REF!,"AAAAAEczf1E=")</f>
        <v>#REF!</v>
      </c>
      <c r="CE56" t="e">
        <f>IF('PROG FORMACIÓN TITULADA'!#REF!,"AAAAAEczf1I=",0)</f>
        <v>#REF!</v>
      </c>
      <c r="CF56" t="e">
        <f>AND('PROG FORMACIÓN TITULADA'!#REF!,"AAAAAEczf1M=")</f>
        <v>#REF!</v>
      </c>
      <c r="CG56" t="e">
        <f>AND('PROG FORMACIÓN TITULADA'!#REF!,"AAAAAEczf1Q=")</f>
        <v>#REF!</v>
      </c>
      <c r="CH56" t="e">
        <f>AND('PROG FORMACIÓN TITULADA'!#REF!,"AAAAAEczf1U=")</f>
        <v>#REF!</v>
      </c>
      <c r="CI56" t="e">
        <f>AND('PROG FORMACIÓN TITULADA'!#REF!,"AAAAAEczf1Y=")</f>
        <v>#REF!</v>
      </c>
      <c r="CJ56" t="e">
        <f>AND('PROG FORMACIÓN TITULADA'!#REF!,"AAAAAEczf1c=")</f>
        <v>#REF!</v>
      </c>
      <c r="CK56" t="e">
        <f>AND('PROG FORMACIÓN TITULADA'!#REF!,"AAAAAEczf1g=")</f>
        <v>#REF!</v>
      </c>
      <c r="CL56" t="e">
        <f>AND('PROG FORMACIÓN TITULADA'!#REF!,"AAAAAEczf1k=")</f>
        <v>#REF!</v>
      </c>
      <c r="CM56" t="e">
        <f>AND('PROG FORMACIÓN TITULADA'!#REF!,"AAAAAEczf1o=")</f>
        <v>#REF!</v>
      </c>
      <c r="CN56" t="e">
        <f>AND('PROG FORMACIÓN TITULADA'!#REF!,"AAAAAEczf1s=")</f>
        <v>#REF!</v>
      </c>
      <c r="CO56" t="e">
        <f>AND('PROG FORMACIÓN TITULADA'!#REF!,"AAAAAEczf1w=")</f>
        <v>#REF!</v>
      </c>
      <c r="CP56" t="e">
        <f>AND('PROG FORMACIÓN TITULADA'!#REF!,"AAAAAEczf10=")</f>
        <v>#REF!</v>
      </c>
      <c r="CQ56" t="e">
        <f>AND('PROG FORMACIÓN TITULADA'!#REF!,"AAAAAEczf14=")</f>
        <v>#REF!</v>
      </c>
      <c r="CR56" t="e">
        <f>AND('PROG FORMACIÓN TITULADA'!#REF!,"AAAAAEczf18=")</f>
        <v>#REF!</v>
      </c>
      <c r="CS56" t="e">
        <f>AND('PROG FORMACIÓN TITULADA'!#REF!,"AAAAAEczf2A=")</f>
        <v>#REF!</v>
      </c>
      <c r="CT56" t="e">
        <f>AND('PROG FORMACIÓN TITULADA'!#REF!,"AAAAAEczf2E=")</f>
        <v>#REF!</v>
      </c>
      <c r="CU56" t="e">
        <f>AND('PROG FORMACIÓN TITULADA'!#REF!,"AAAAAEczf2I=")</f>
        <v>#REF!</v>
      </c>
      <c r="CV56" t="e">
        <f>AND('PROG FORMACIÓN TITULADA'!#REF!,"AAAAAEczf2M=")</f>
        <v>#REF!</v>
      </c>
      <c r="CW56" t="e">
        <f>AND('PROG FORMACIÓN TITULADA'!#REF!,"AAAAAEczf2Q=")</f>
        <v>#REF!</v>
      </c>
      <c r="CX56" t="e">
        <f>AND('PROG FORMACIÓN TITULADA'!#REF!,"AAAAAEczf2U=")</f>
        <v>#REF!</v>
      </c>
      <c r="CY56" t="e">
        <f>AND('PROG FORMACIÓN TITULADA'!#REF!,"AAAAAEczf2Y=")</f>
        <v>#REF!</v>
      </c>
      <c r="CZ56" t="e">
        <f>AND('PROG FORMACIÓN TITULADA'!#REF!,"AAAAAEczf2c=")</f>
        <v>#REF!</v>
      </c>
      <c r="DA56" t="e">
        <f>AND('PROG FORMACIÓN TITULADA'!#REF!,"AAAAAEczf2g=")</f>
        <v>#REF!</v>
      </c>
      <c r="DB56" t="e">
        <f>AND('PROG FORMACIÓN TITULADA'!#REF!,"AAAAAEczf2k=")</f>
        <v>#REF!</v>
      </c>
      <c r="DC56" t="e">
        <f>AND('PROG FORMACIÓN TITULADA'!#REF!,"AAAAAEczf2o=")</f>
        <v>#REF!</v>
      </c>
      <c r="DD56" t="e">
        <f>AND('PROG FORMACIÓN TITULADA'!#REF!,"AAAAAEczf2s=")</f>
        <v>#REF!</v>
      </c>
      <c r="DE56" t="e">
        <f>AND('PROG FORMACIÓN TITULADA'!#REF!,"AAAAAEczf2w=")</f>
        <v>#REF!</v>
      </c>
      <c r="DF56" t="e">
        <f>IF('PROG FORMACIÓN TITULADA'!#REF!,"AAAAAEczf20=",0)</f>
        <v>#REF!</v>
      </c>
      <c r="DG56" t="e">
        <f>AND('PROG FORMACIÓN TITULADA'!#REF!,"AAAAAEczf24=")</f>
        <v>#REF!</v>
      </c>
      <c r="DH56" t="e">
        <f>AND('PROG FORMACIÓN TITULADA'!#REF!,"AAAAAEczf28=")</f>
        <v>#REF!</v>
      </c>
      <c r="DI56" t="e">
        <f>AND('PROG FORMACIÓN TITULADA'!#REF!,"AAAAAEczf3A=")</f>
        <v>#REF!</v>
      </c>
      <c r="DJ56" t="e">
        <f>AND('PROG FORMACIÓN TITULADA'!#REF!,"AAAAAEczf3E=")</f>
        <v>#REF!</v>
      </c>
      <c r="DK56" t="e">
        <f>AND('PROG FORMACIÓN TITULADA'!#REF!,"AAAAAEczf3I=")</f>
        <v>#REF!</v>
      </c>
      <c r="DL56" t="e">
        <f>AND('PROG FORMACIÓN TITULADA'!#REF!,"AAAAAEczf3M=")</f>
        <v>#REF!</v>
      </c>
      <c r="DM56" t="e">
        <f>AND('PROG FORMACIÓN TITULADA'!#REF!,"AAAAAEczf3Q=")</f>
        <v>#REF!</v>
      </c>
      <c r="DN56" t="e">
        <f>AND('PROG FORMACIÓN TITULADA'!#REF!,"AAAAAEczf3U=")</f>
        <v>#REF!</v>
      </c>
      <c r="DO56" t="e">
        <f>AND('PROG FORMACIÓN TITULADA'!#REF!,"AAAAAEczf3Y=")</f>
        <v>#REF!</v>
      </c>
      <c r="DP56" t="e">
        <f>AND('PROG FORMACIÓN TITULADA'!#REF!,"AAAAAEczf3c=")</f>
        <v>#REF!</v>
      </c>
      <c r="DQ56" t="e">
        <f>AND('PROG FORMACIÓN TITULADA'!#REF!,"AAAAAEczf3g=")</f>
        <v>#REF!</v>
      </c>
      <c r="DR56" t="e">
        <f>AND('PROG FORMACIÓN TITULADA'!#REF!,"AAAAAEczf3k=")</f>
        <v>#REF!</v>
      </c>
      <c r="DS56" t="e">
        <f>AND('PROG FORMACIÓN TITULADA'!#REF!,"AAAAAEczf3o=")</f>
        <v>#REF!</v>
      </c>
      <c r="DT56" t="e">
        <f>AND('PROG FORMACIÓN TITULADA'!#REF!,"AAAAAEczf3s=")</f>
        <v>#REF!</v>
      </c>
      <c r="DU56" t="e">
        <f>AND('PROG FORMACIÓN TITULADA'!#REF!,"AAAAAEczf3w=")</f>
        <v>#REF!</v>
      </c>
      <c r="DV56" t="e">
        <f>AND('PROG FORMACIÓN TITULADA'!#REF!,"AAAAAEczf30=")</f>
        <v>#REF!</v>
      </c>
      <c r="DW56" t="e">
        <f>AND('PROG FORMACIÓN TITULADA'!#REF!,"AAAAAEczf34=")</f>
        <v>#REF!</v>
      </c>
      <c r="DX56" t="e">
        <f>AND('PROG FORMACIÓN TITULADA'!#REF!,"AAAAAEczf38=")</f>
        <v>#REF!</v>
      </c>
      <c r="DY56" t="e">
        <f>AND('PROG FORMACIÓN TITULADA'!#REF!,"AAAAAEczf4A=")</f>
        <v>#REF!</v>
      </c>
      <c r="DZ56" t="e">
        <f>AND('PROG FORMACIÓN TITULADA'!#REF!,"AAAAAEczf4E=")</f>
        <v>#REF!</v>
      </c>
      <c r="EA56" t="e">
        <f>AND('PROG FORMACIÓN TITULADA'!#REF!,"AAAAAEczf4I=")</f>
        <v>#REF!</v>
      </c>
      <c r="EB56" t="e">
        <f>AND('PROG FORMACIÓN TITULADA'!#REF!,"AAAAAEczf4M=")</f>
        <v>#REF!</v>
      </c>
      <c r="EC56" t="e">
        <f>AND('PROG FORMACIÓN TITULADA'!#REF!,"AAAAAEczf4Q=")</f>
        <v>#REF!</v>
      </c>
      <c r="ED56" t="e">
        <f>AND('PROG FORMACIÓN TITULADA'!#REF!,"AAAAAEczf4U=")</f>
        <v>#REF!</v>
      </c>
      <c r="EE56" t="e">
        <f>AND('PROG FORMACIÓN TITULADA'!#REF!,"AAAAAEczf4Y=")</f>
        <v>#REF!</v>
      </c>
      <c r="EF56" t="e">
        <f>AND('PROG FORMACIÓN TITULADA'!#REF!,"AAAAAEczf4c=")</f>
        <v>#REF!</v>
      </c>
      <c r="EG56" t="e">
        <f>IF('PROG FORMACIÓN TITULADA'!#REF!,"AAAAAEczf4g=",0)</f>
        <v>#REF!</v>
      </c>
      <c r="EH56" t="e">
        <f>AND('PROG FORMACIÓN TITULADA'!#REF!,"AAAAAEczf4k=")</f>
        <v>#REF!</v>
      </c>
      <c r="EI56" t="e">
        <f>AND('PROG FORMACIÓN TITULADA'!#REF!,"AAAAAEczf4o=")</f>
        <v>#REF!</v>
      </c>
      <c r="EJ56" t="e">
        <f>AND('PROG FORMACIÓN TITULADA'!#REF!,"AAAAAEczf4s=")</f>
        <v>#REF!</v>
      </c>
      <c r="EK56" t="e">
        <f>AND('PROG FORMACIÓN TITULADA'!#REF!,"AAAAAEczf4w=")</f>
        <v>#REF!</v>
      </c>
      <c r="EL56" t="e">
        <f>AND('PROG FORMACIÓN TITULADA'!#REF!,"AAAAAEczf40=")</f>
        <v>#REF!</v>
      </c>
      <c r="EM56" t="e">
        <f>AND('PROG FORMACIÓN TITULADA'!#REF!,"AAAAAEczf44=")</f>
        <v>#REF!</v>
      </c>
      <c r="EN56" t="e">
        <f>AND('PROG FORMACIÓN TITULADA'!#REF!,"AAAAAEczf48=")</f>
        <v>#REF!</v>
      </c>
      <c r="EO56" t="e">
        <f>AND('PROG FORMACIÓN TITULADA'!#REF!,"AAAAAEczf5A=")</f>
        <v>#REF!</v>
      </c>
      <c r="EP56" t="e">
        <f>AND('PROG FORMACIÓN TITULADA'!#REF!,"AAAAAEczf5E=")</f>
        <v>#REF!</v>
      </c>
      <c r="EQ56" t="e">
        <f>AND('PROG FORMACIÓN TITULADA'!#REF!,"AAAAAEczf5I=")</f>
        <v>#REF!</v>
      </c>
      <c r="ER56" t="e">
        <f>AND('PROG FORMACIÓN TITULADA'!#REF!,"AAAAAEczf5M=")</f>
        <v>#REF!</v>
      </c>
      <c r="ES56" t="e">
        <f>AND('PROG FORMACIÓN TITULADA'!#REF!,"AAAAAEczf5Q=")</f>
        <v>#REF!</v>
      </c>
      <c r="ET56" t="e">
        <f>AND('PROG FORMACIÓN TITULADA'!#REF!,"AAAAAEczf5U=")</f>
        <v>#REF!</v>
      </c>
      <c r="EU56" t="e">
        <f>AND('PROG FORMACIÓN TITULADA'!#REF!,"AAAAAEczf5Y=")</f>
        <v>#REF!</v>
      </c>
      <c r="EV56" t="e">
        <f>AND('PROG FORMACIÓN TITULADA'!#REF!,"AAAAAEczf5c=")</f>
        <v>#REF!</v>
      </c>
      <c r="EW56" t="e">
        <f>AND('PROG FORMACIÓN TITULADA'!#REF!,"AAAAAEczf5g=")</f>
        <v>#REF!</v>
      </c>
      <c r="EX56" t="e">
        <f>AND('PROG FORMACIÓN TITULADA'!#REF!,"AAAAAEczf5k=")</f>
        <v>#REF!</v>
      </c>
      <c r="EY56" t="e">
        <f>AND('PROG FORMACIÓN TITULADA'!#REF!,"AAAAAEczf5o=")</f>
        <v>#REF!</v>
      </c>
      <c r="EZ56" t="e">
        <f>AND('PROG FORMACIÓN TITULADA'!#REF!,"AAAAAEczf5s=")</f>
        <v>#REF!</v>
      </c>
      <c r="FA56" t="e">
        <f>AND('PROG FORMACIÓN TITULADA'!#REF!,"AAAAAEczf5w=")</f>
        <v>#REF!</v>
      </c>
      <c r="FB56" t="e">
        <f>AND('PROG FORMACIÓN TITULADA'!#REF!,"AAAAAEczf50=")</f>
        <v>#REF!</v>
      </c>
      <c r="FC56" t="e">
        <f>AND('PROG FORMACIÓN TITULADA'!#REF!,"AAAAAEczf54=")</f>
        <v>#REF!</v>
      </c>
      <c r="FD56" t="e">
        <f>AND('PROG FORMACIÓN TITULADA'!#REF!,"AAAAAEczf58=")</f>
        <v>#REF!</v>
      </c>
      <c r="FE56" t="e">
        <f>AND('PROG FORMACIÓN TITULADA'!#REF!,"AAAAAEczf6A=")</f>
        <v>#REF!</v>
      </c>
      <c r="FF56" t="e">
        <f>AND('PROG FORMACIÓN TITULADA'!#REF!,"AAAAAEczf6E=")</f>
        <v>#REF!</v>
      </c>
      <c r="FG56" t="e">
        <f>AND('PROG FORMACIÓN TITULADA'!#REF!,"AAAAAEczf6I=")</f>
        <v>#REF!</v>
      </c>
      <c r="FH56" t="e">
        <f>IF('PROG FORMACIÓN TITULADA'!#REF!,"AAAAAEczf6M=",0)</f>
        <v>#REF!</v>
      </c>
      <c r="FI56" t="e">
        <f>AND('PROG FORMACIÓN TITULADA'!#REF!,"AAAAAEczf6Q=")</f>
        <v>#REF!</v>
      </c>
      <c r="FJ56" t="e">
        <f>AND('PROG FORMACIÓN TITULADA'!#REF!,"AAAAAEczf6U=")</f>
        <v>#REF!</v>
      </c>
      <c r="FK56" t="e">
        <f>AND('PROG FORMACIÓN TITULADA'!#REF!,"AAAAAEczf6Y=")</f>
        <v>#REF!</v>
      </c>
      <c r="FL56" t="e">
        <f>AND('PROG FORMACIÓN TITULADA'!#REF!,"AAAAAEczf6c=")</f>
        <v>#REF!</v>
      </c>
      <c r="FM56" t="e">
        <f>AND('PROG FORMACIÓN TITULADA'!#REF!,"AAAAAEczf6g=")</f>
        <v>#REF!</v>
      </c>
      <c r="FN56" t="e">
        <f>AND('PROG FORMACIÓN TITULADA'!#REF!,"AAAAAEczf6k=")</f>
        <v>#REF!</v>
      </c>
      <c r="FO56" t="e">
        <f>AND('PROG FORMACIÓN TITULADA'!#REF!,"AAAAAEczf6o=")</f>
        <v>#REF!</v>
      </c>
      <c r="FP56" t="e">
        <f>AND('PROG FORMACIÓN TITULADA'!#REF!,"AAAAAEczf6s=")</f>
        <v>#REF!</v>
      </c>
      <c r="FQ56" t="e">
        <f>AND('PROG FORMACIÓN TITULADA'!#REF!,"AAAAAEczf6w=")</f>
        <v>#REF!</v>
      </c>
      <c r="FR56" t="e">
        <f>AND('PROG FORMACIÓN TITULADA'!#REF!,"AAAAAEczf60=")</f>
        <v>#REF!</v>
      </c>
      <c r="FS56" t="e">
        <f>AND('PROG FORMACIÓN TITULADA'!#REF!,"AAAAAEczf64=")</f>
        <v>#REF!</v>
      </c>
      <c r="FT56" t="e">
        <f>AND('PROG FORMACIÓN TITULADA'!#REF!,"AAAAAEczf68=")</f>
        <v>#REF!</v>
      </c>
      <c r="FU56" t="e">
        <f>AND('PROG FORMACIÓN TITULADA'!#REF!,"AAAAAEczf7A=")</f>
        <v>#REF!</v>
      </c>
      <c r="FV56" t="e">
        <f>AND('PROG FORMACIÓN TITULADA'!#REF!,"AAAAAEczf7E=")</f>
        <v>#REF!</v>
      </c>
      <c r="FW56" t="e">
        <f>AND('PROG FORMACIÓN TITULADA'!#REF!,"AAAAAEczf7I=")</f>
        <v>#REF!</v>
      </c>
      <c r="FX56" t="e">
        <f>AND('PROG FORMACIÓN TITULADA'!#REF!,"AAAAAEczf7M=")</f>
        <v>#REF!</v>
      </c>
      <c r="FY56" t="e">
        <f>AND('PROG FORMACIÓN TITULADA'!#REF!,"AAAAAEczf7Q=")</f>
        <v>#REF!</v>
      </c>
      <c r="FZ56" t="e">
        <f>AND('PROG FORMACIÓN TITULADA'!#REF!,"AAAAAEczf7U=")</f>
        <v>#REF!</v>
      </c>
      <c r="GA56" t="e">
        <f>AND('PROG FORMACIÓN TITULADA'!#REF!,"AAAAAEczf7Y=")</f>
        <v>#REF!</v>
      </c>
      <c r="GB56" t="e">
        <f>AND('PROG FORMACIÓN TITULADA'!#REF!,"AAAAAEczf7c=")</f>
        <v>#REF!</v>
      </c>
      <c r="GC56" t="e">
        <f>AND('PROG FORMACIÓN TITULADA'!#REF!,"AAAAAEczf7g=")</f>
        <v>#REF!</v>
      </c>
      <c r="GD56" t="e">
        <f>AND('PROG FORMACIÓN TITULADA'!#REF!,"AAAAAEczf7k=")</f>
        <v>#REF!</v>
      </c>
      <c r="GE56" t="e">
        <f>AND('PROG FORMACIÓN TITULADA'!#REF!,"AAAAAEczf7o=")</f>
        <v>#REF!</v>
      </c>
      <c r="GF56" t="e">
        <f>AND('PROG FORMACIÓN TITULADA'!#REF!,"AAAAAEczf7s=")</f>
        <v>#REF!</v>
      </c>
      <c r="GG56" t="e">
        <f>AND('PROG FORMACIÓN TITULADA'!#REF!,"AAAAAEczf7w=")</f>
        <v>#REF!</v>
      </c>
      <c r="GH56" t="e">
        <f>AND('PROG FORMACIÓN TITULADA'!#REF!,"AAAAAEczf70=")</f>
        <v>#REF!</v>
      </c>
      <c r="GI56" t="e">
        <f>IF('PROG FORMACIÓN TITULADA'!#REF!,"AAAAAEczf74=",0)</f>
        <v>#REF!</v>
      </c>
      <c r="GJ56" t="e">
        <f>AND('PROG FORMACIÓN TITULADA'!#REF!,"AAAAAEczf78=")</f>
        <v>#REF!</v>
      </c>
      <c r="GK56" t="e">
        <f>AND('PROG FORMACIÓN TITULADA'!#REF!,"AAAAAEczf8A=")</f>
        <v>#REF!</v>
      </c>
      <c r="GL56" t="e">
        <f>AND('PROG FORMACIÓN TITULADA'!#REF!,"AAAAAEczf8E=")</f>
        <v>#REF!</v>
      </c>
      <c r="GM56" t="e">
        <f>AND('PROG FORMACIÓN TITULADA'!#REF!,"AAAAAEczf8I=")</f>
        <v>#REF!</v>
      </c>
      <c r="GN56" t="e">
        <f>AND('PROG FORMACIÓN TITULADA'!#REF!,"AAAAAEczf8M=")</f>
        <v>#REF!</v>
      </c>
      <c r="GO56" t="e">
        <f>AND('PROG FORMACIÓN TITULADA'!#REF!,"AAAAAEczf8Q=")</f>
        <v>#REF!</v>
      </c>
      <c r="GP56" t="e">
        <f>AND('PROG FORMACIÓN TITULADA'!#REF!,"AAAAAEczf8U=")</f>
        <v>#REF!</v>
      </c>
      <c r="GQ56" t="e">
        <f>AND('PROG FORMACIÓN TITULADA'!#REF!,"AAAAAEczf8Y=")</f>
        <v>#REF!</v>
      </c>
      <c r="GR56" t="e">
        <f>AND('PROG FORMACIÓN TITULADA'!#REF!,"AAAAAEczf8c=")</f>
        <v>#REF!</v>
      </c>
      <c r="GS56" t="e">
        <f>AND('PROG FORMACIÓN TITULADA'!#REF!,"AAAAAEczf8g=")</f>
        <v>#REF!</v>
      </c>
      <c r="GT56" t="e">
        <f>AND('PROG FORMACIÓN TITULADA'!#REF!,"AAAAAEczf8k=")</f>
        <v>#REF!</v>
      </c>
      <c r="GU56" t="e">
        <f>AND('PROG FORMACIÓN TITULADA'!#REF!,"AAAAAEczf8o=")</f>
        <v>#REF!</v>
      </c>
      <c r="GV56" t="e">
        <f>AND('PROG FORMACIÓN TITULADA'!#REF!,"AAAAAEczf8s=")</f>
        <v>#REF!</v>
      </c>
      <c r="GW56" t="e">
        <f>AND('PROG FORMACIÓN TITULADA'!#REF!,"AAAAAEczf8w=")</f>
        <v>#REF!</v>
      </c>
      <c r="GX56" t="e">
        <f>AND('PROG FORMACIÓN TITULADA'!#REF!,"AAAAAEczf80=")</f>
        <v>#REF!</v>
      </c>
      <c r="GY56" t="e">
        <f>AND('PROG FORMACIÓN TITULADA'!#REF!,"AAAAAEczf84=")</f>
        <v>#REF!</v>
      </c>
      <c r="GZ56" t="e">
        <f>AND('PROG FORMACIÓN TITULADA'!#REF!,"AAAAAEczf88=")</f>
        <v>#REF!</v>
      </c>
      <c r="HA56" t="e">
        <f>AND('PROG FORMACIÓN TITULADA'!#REF!,"AAAAAEczf9A=")</f>
        <v>#REF!</v>
      </c>
      <c r="HB56" t="e">
        <f>AND('PROG FORMACIÓN TITULADA'!#REF!,"AAAAAEczf9E=")</f>
        <v>#REF!</v>
      </c>
      <c r="HC56" t="e">
        <f>AND('PROG FORMACIÓN TITULADA'!#REF!,"AAAAAEczf9I=")</f>
        <v>#REF!</v>
      </c>
      <c r="HD56" t="e">
        <f>AND('PROG FORMACIÓN TITULADA'!#REF!,"AAAAAEczf9M=")</f>
        <v>#REF!</v>
      </c>
      <c r="HE56" t="e">
        <f>AND('PROG FORMACIÓN TITULADA'!#REF!,"AAAAAEczf9Q=")</f>
        <v>#REF!</v>
      </c>
      <c r="HF56" t="e">
        <f>AND('PROG FORMACIÓN TITULADA'!#REF!,"AAAAAEczf9U=")</f>
        <v>#REF!</v>
      </c>
      <c r="HG56" t="e">
        <f>AND('PROG FORMACIÓN TITULADA'!#REF!,"AAAAAEczf9Y=")</f>
        <v>#REF!</v>
      </c>
      <c r="HH56" t="e">
        <f>AND('PROG FORMACIÓN TITULADA'!#REF!,"AAAAAEczf9c=")</f>
        <v>#REF!</v>
      </c>
      <c r="HI56" t="e">
        <f>AND('PROG FORMACIÓN TITULADA'!#REF!,"AAAAAEczf9g=")</f>
        <v>#REF!</v>
      </c>
      <c r="HJ56" t="e">
        <f>IF('PROG FORMACIÓN TITULADA'!#REF!,"AAAAAEczf9k=",0)</f>
        <v>#REF!</v>
      </c>
      <c r="HK56" t="e">
        <f>AND('PROG FORMACIÓN TITULADA'!#REF!,"AAAAAEczf9o=")</f>
        <v>#REF!</v>
      </c>
      <c r="HL56" t="e">
        <f>AND('PROG FORMACIÓN TITULADA'!#REF!,"AAAAAEczf9s=")</f>
        <v>#REF!</v>
      </c>
      <c r="HM56" t="e">
        <f>AND('PROG FORMACIÓN TITULADA'!#REF!,"AAAAAEczf9w=")</f>
        <v>#REF!</v>
      </c>
      <c r="HN56" t="e">
        <f>AND('PROG FORMACIÓN TITULADA'!#REF!,"AAAAAEczf90=")</f>
        <v>#REF!</v>
      </c>
      <c r="HO56" t="e">
        <f>AND('PROG FORMACIÓN TITULADA'!#REF!,"AAAAAEczf94=")</f>
        <v>#REF!</v>
      </c>
      <c r="HP56" t="e">
        <f>AND('PROG FORMACIÓN TITULADA'!#REF!,"AAAAAEczf98=")</f>
        <v>#REF!</v>
      </c>
      <c r="HQ56" t="e">
        <f>AND('PROG FORMACIÓN TITULADA'!#REF!,"AAAAAEczf+A=")</f>
        <v>#REF!</v>
      </c>
      <c r="HR56" t="e">
        <f>AND('PROG FORMACIÓN TITULADA'!#REF!,"AAAAAEczf+E=")</f>
        <v>#REF!</v>
      </c>
      <c r="HS56" t="e">
        <f>AND('PROG FORMACIÓN TITULADA'!#REF!,"AAAAAEczf+I=")</f>
        <v>#REF!</v>
      </c>
      <c r="HT56" t="e">
        <f>AND('PROG FORMACIÓN TITULADA'!#REF!,"AAAAAEczf+M=")</f>
        <v>#REF!</v>
      </c>
      <c r="HU56" t="e">
        <f>AND('PROG FORMACIÓN TITULADA'!#REF!,"AAAAAEczf+Q=")</f>
        <v>#REF!</v>
      </c>
      <c r="HV56" t="e">
        <f>AND('PROG FORMACIÓN TITULADA'!#REF!,"AAAAAEczf+U=")</f>
        <v>#REF!</v>
      </c>
      <c r="HW56" t="e">
        <f>AND('PROG FORMACIÓN TITULADA'!#REF!,"AAAAAEczf+Y=")</f>
        <v>#REF!</v>
      </c>
      <c r="HX56" t="e">
        <f>AND('PROG FORMACIÓN TITULADA'!#REF!,"AAAAAEczf+c=")</f>
        <v>#REF!</v>
      </c>
      <c r="HY56" t="e">
        <f>AND('PROG FORMACIÓN TITULADA'!#REF!,"AAAAAEczf+g=")</f>
        <v>#REF!</v>
      </c>
      <c r="HZ56" t="e">
        <f>AND('PROG FORMACIÓN TITULADA'!#REF!,"AAAAAEczf+k=")</f>
        <v>#REF!</v>
      </c>
      <c r="IA56" t="e">
        <f>AND('PROG FORMACIÓN TITULADA'!#REF!,"AAAAAEczf+o=")</f>
        <v>#REF!</v>
      </c>
      <c r="IB56" t="e">
        <f>AND('PROG FORMACIÓN TITULADA'!#REF!,"AAAAAEczf+s=")</f>
        <v>#REF!</v>
      </c>
      <c r="IC56" t="e">
        <f>AND('PROG FORMACIÓN TITULADA'!#REF!,"AAAAAEczf+w=")</f>
        <v>#REF!</v>
      </c>
      <c r="ID56" t="e">
        <f>AND('PROG FORMACIÓN TITULADA'!#REF!,"AAAAAEczf+0=")</f>
        <v>#REF!</v>
      </c>
      <c r="IE56" t="e">
        <f>AND('PROG FORMACIÓN TITULADA'!#REF!,"AAAAAEczf+4=")</f>
        <v>#REF!</v>
      </c>
      <c r="IF56" t="e">
        <f>AND('PROG FORMACIÓN TITULADA'!#REF!,"AAAAAEczf+8=")</f>
        <v>#REF!</v>
      </c>
      <c r="IG56" t="e">
        <f>AND('PROG FORMACIÓN TITULADA'!#REF!,"AAAAAEczf/A=")</f>
        <v>#REF!</v>
      </c>
      <c r="IH56" t="e">
        <f>AND('PROG FORMACIÓN TITULADA'!#REF!,"AAAAAEczf/E=")</f>
        <v>#REF!</v>
      </c>
      <c r="II56" t="e">
        <f>AND('PROG FORMACIÓN TITULADA'!#REF!,"AAAAAEczf/I=")</f>
        <v>#REF!</v>
      </c>
      <c r="IJ56" t="e">
        <f>AND('PROG FORMACIÓN TITULADA'!#REF!,"AAAAAEczf/M=")</f>
        <v>#REF!</v>
      </c>
      <c r="IK56" t="e">
        <f>IF('PROG FORMACIÓN TITULADA'!#REF!,"AAAAAEczf/Q=",0)</f>
        <v>#REF!</v>
      </c>
      <c r="IL56" t="e">
        <f>AND('PROG FORMACIÓN TITULADA'!#REF!,"AAAAAEczf/U=")</f>
        <v>#REF!</v>
      </c>
      <c r="IM56" t="e">
        <f>AND('PROG FORMACIÓN TITULADA'!#REF!,"AAAAAEczf/Y=")</f>
        <v>#REF!</v>
      </c>
      <c r="IN56" t="e">
        <f>AND('PROG FORMACIÓN TITULADA'!#REF!,"AAAAAEczf/c=")</f>
        <v>#REF!</v>
      </c>
      <c r="IO56" t="e">
        <f>AND('PROG FORMACIÓN TITULADA'!#REF!,"AAAAAEczf/g=")</f>
        <v>#REF!</v>
      </c>
      <c r="IP56" t="e">
        <f>AND('PROG FORMACIÓN TITULADA'!#REF!,"AAAAAEczf/k=")</f>
        <v>#REF!</v>
      </c>
      <c r="IQ56" t="e">
        <f>AND('PROG FORMACIÓN TITULADA'!#REF!,"AAAAAEczf/o=")</f>
        <v>#REF!</v>
      </c>
      <c r="IR56" t="e">
        <f>AND('PROG FORMACIÓN TITULADA'!#REF!,"AAAAAEczf/s=")</f>
        <v>#REF!</v>
      </c>
      <c r="IS56" t="e">
        <f>AND('PROG FORMACIÓN TITULADA'!#REF!,"AAAAAEczf/w=")</f>
        <v>#REF!</v>
      </c>
      <c r="IT56" t="e">
        <f>AND('PROG FORMACIÓN TITULADA'!#REF!,"AAAAAEczf/0=")</f>
        <v>#REF!</v>
      </c>
      <c r="IU56" t="e">
        <f>AND('PROG FORMACIÓN TITULADA'!#REF!,"AAAAAEczf/4=")</f>
        <v>#REF!</v>
      </c>
      <c r="IV56" t="e">
        <f>AND('PROG FORMACIÓN TITULADA'!#REF!,"AAAAAEczf/8=")</f>
        <v>#REF!</v>
      </c>
    </row>
    <row r="57" spans="1:256" x14ac:dyDescent="0.2">
      <c r="A57" t="e">
        <f>AND('PROG FORMACIÓN TITULADA'!#REF!,"AAAAAH5YrwA=")</f>
        <v>#REF!</v>
      </c>
      <c r="B57" t="e">
        <f>AND('PROG FORMACIÓN TITULADA'!#REF!,"AAAAAH5YrwE=")</f>
        <v>#REF!</v>
      </c>
      <c r="C57" t="e">
        <f>AND('PROG FORMACIÓN TITULADA'!#REF!,"AAAAAH5YrwI=")</f>
        <v>#REF!</v>
      </c>
      <c r="D57" t="e">
        <f>AND('PROG FORMACIÓN TITULADA'!#REF!,"AAAAAH5YrwM=")</f>
        <v>#REF!</v>
      </c>
      <c r="E57" t="e">
        <f>AND('PROG FORMACIÓN TITULADA'!#REF!,"AAAAAH5YrwQ=")</f>
        <v>#REF!</v>
      </c>
      <c r="F57" t="e">
        <f>AND('PROG FORMACIÓN TITULADA'!#REF!,"AAAAAH5YrwU=")</f>
        <v>#REF!</v>
      </c>
      <c r="G57" t="e">
        <f>AND('PROG FORMACIÓN TITULADA'!#REF!,"AAAAAH5YrwY=")</f>
        <v>#REF!</v>
      </c>
      <c r="H57" t="e">
        <f>AND('PROG FORMACIÓN TITULADA'!#REF!,"AAAAAH5Yrwc=")</f>
        <v>#REF!</v>
      </c>
      <c r="I57" t="e">
        <f>AND('PROG FORMACIÓN TITULADA'!#REF!,"AAAAAH5Yrwg=")</f>
        <v>#REF!</v>
      </c>
      <c r="J57" t="e">
        <f>AND('PROG FORMACIÓN TITULADA'!#REF!,"AAAAAH5Yrwk=")</f>
        <v>#REF!</v>
      </c>
      <c r="K57" t="e">
        <f>AND('PROG FORMACIÓN TITULADA'!#REF!,"AAAAAH5Yrwo=")</f>
        <v>#REF!</v>
      </c>
      <c r="L57" t="e">
        <f>AND('PROG FORMACIÓN TITULADA'!#REF!,"AAAAAH5Yrws=")</f>
        <v>#REF!</v>
      </c>
      <c r="M57" t="e">
        <f>AND('PROG FORMACIÓN TITULADA'!#REF!,"AAAAAH5Yrww=")</f>
        <v>#REF!</v>
      </c>
      <c r="N57" t="e">
        <f>AND('PROG FORMACIÓN TITULADA'!#REF!,"AAAAAH5Yrw0=")</f>
        <v>#REF!</v>
      </c>
      <c r="O57" t="e">
        <f>AND('PROG FORMACIÓN TITULADA'!#REF!,"AAAAAH5Yrw4=")</f>
        <v>#REF!</v>
      </c>
      <c r="P57" t="e">
        <f>IF('PROG FORMACIÓN TITULADA'!#REF!,"AAAAAH5Yrw8=",0)</f>
        <v>#REF!</v>
      </c>
      <c r="Q57" t="e">
        <f>AND('PROG FORMACIÓN TITULADA'!#REF!,"AAAAAH5YrxA=")</f>
        <v>#REF!</v>
      </c>
      <c r="R57" t="e">
        <f>AND('PROG FORMACIÓN TITULADA'!#REF!,"AAAAAH5YrxE=")</f>
        <v>#REF!</v>
      </c>
      <c r="S57" t="e">
        <f>AND('PROG FORMACIÓN TITULADA'!#REF!,"AAAAAH5YrxI=")</f>
        <v>#REF!</v>
      </c>
      <c r="T57" t="e">
        <f>AND('PROG FORMACIÓN TITULADA'!#REF!,"AAAAAH5YrxM=")</f>
        <v>#REF!</v>
      </c>
      <c r="U57" t="e">
        <f>AND('PROG FORMACIÓN TITULADA'!#REF!,"AAAAAH5YrxQ=")</f>
        <v>#REF!</v>
      </c>
      <c r="V57" t="e">
        <f>AND('PROG FORMACIÓN TITULADA'!#REF!,"AAAAAH5YrxU=")</f>
        <v>#REF!</v>
      </c>
      <c r="W57" t="e">
        <f>AND('PROG FORMACIÓN TITULADA'!#REF!,"AAAAAH5YrxY=")</f>
        <v>#REF!</v>
      </c>
      <c r="X57" t="e">
        <f>AND('PROG FORMACIÓN TITULADA'!#REF!,"AAAAAH5Yrxc=")</f>
        <v>#REF!</v>
      </c>
      <c r="Y57" t="e">
        <f>AND('PROG FORMACIÓN TITULADA'!#REF!,"AAAAAH5Yrxg=")</f>
        <v>#REF!</v>
      </c>
      <c r="Z57" t="e">
        <f>AND('PROG FORMACIÓN TITULADA'!#REF!,"AAAAAH5Yrxk=")</f>
        <v>#REF!</v>
      </c>
      <c r="AA57" t="e">
        <f>AND('PROG FORMACIÓN TITULADA'!#REF!,"AAAAAH5Yrxo=")</f>
        <v>#REF!</v>
      </c>
      <c r="AB57" t="e">
        <f>AND('PROG FORMACIÓN TITULADA'!#REF!,"AAAAAH5Yrxs=")</f>
        <v>#REF!</v>
      </c>
      <c r="AC57" t="e">
        <f>AND('PROG FORMACIÓN TITULADA'!#REF!,"AAAAAH5Yrxw=")</f>
        <v>#REF!</v>
      </c>
      <c r="AD57" t="e">
        <f>AND('PROG FORMACIÓN TITULADA'!#REF!,"AAAAAH5Yrx0=")</f>
        <v>#REF!</v>
      </c>
      <c r="AE57" t="e">
        <f>AND('PROG FORMACIÓN TITULADA'!#REF!,"AAAAAH5Yrx4=")</f>
        <v>#REF!</v>
      </c>
      <c r="AF57" t="e">
        <f>AND('PROG FORMACIÓN TITULADA'!#REF!,"AAAAAH5Yrx8=")</f>
        <v>#REF!</v>
      </c>
      <c r="AG57" t="e">
        <f>AND('PROG FORMACIÓN TITULADA'!#REF!,"AAAAAH5YryA=")</f>
        <v>#REF!</v>
      </c>
      <c r="AH57" t="e">
        <f>AND('PROG FORMACIÓN TITULADA'!#REF!,"AAAAAH5YryE=")</f>
        <v>#REF!</v>
      </c>
      <c r="AI57" t="e">
        <f>AND('PROG FORMACIÓN TITULADA'!#REF!,"AAAAAH5YryI=")</f>
        <v>#REF!</v>
      </c>
      <c r="AJ57" t="e">
        <f>AND('PROG FORMACIÓN TITULADA'!#REF!,"AAAAAH5YryM=")</f>
        <v>#REF!</v>
      </c>
      <c r="AK57" t="e">
        <f>AND('PROG FORMACIÓN TITULADA'!#REF!,"AAAAAH5YryQ=")</f>
        <v>#REF!</v>
      </c>
      <c r="AL57" t="e">
        <f>AND('PROG FORMACIÓN TITULADA'!#REF!,"AAAAAH5YryU=")</f>
        <v>#REF!</v>
      </c>
      <c r="AM57" t="e">
        <f>AND('PROG FORMACIÓN TITULADA'!#REF!,"AAAAAH5YryY=")</f>
        <v>#REF!</v>
      </c>
      <c r="AN57" t="e">
        <f>AND('PROG FORMACIÓN TITULADA'!#REF!,"AAAAAH5Yryc=")</f>
        <v>#REF!</v>
      </c>
      <c r="AO57" t="e">
        <f>AND('PROG FORMACIÓN TITULADA'!#REF!,"AAAAAH5Yryg=")</f>
        <v>#REF!</v>
      </c>
      <c r="AP57" t="e">
        <f>AND('PROG FORMACIÓN TITULADA'!#REF!,"AAAAAH5Yryk=")</f>
        <v>#REF!</v>
      </c>
      <c r="AQ57" t="e">
        <f>IF('PROG FORMACIÓN TITULADA'!#REF!,"AAAAAH5Yryo=",0)</f>
        <v>#REF!</v>
      </c>
      <c r="AR57" t="e">
        <f>AND('PROG FORMACIÓN TITULADA'!#REF!,"AAAAAH5Yrys=")</f>
        <v>#REF!</v>
      </c>
      <c r="AS57" t="e">
        <f>AND('PROG FORMACIÓN TITULADA'!#REF!,"AAAAAH5Yryw=")</f>
        <v>#REF!</v>
      </c>
      <c r="AT57" t="e">
        <f>AND('PROG FORMACIÓN TITULADA'!#REF!,"AAAAAH5Yry0=")</f>
        <v>#REF!</v>
      </c>
      <c r="AU57" t="e">
        <f>AND('PROG FORMACIÓN TITULADA'!#REF!,"AAAAAH5Yry4=")</f>
        <v>#REF!</v>
      </c>
      <c r="AV57" t="e">
        <f>AND('PROG FORMACIÓN TITULADA'!#REF!,"AAAAAH5Yry8=")</f>
        <v>#REF!</v>
      </c>
      <c r="AW57" t="e">
        <f>AND('PROG FORMACIÓN TITULADA'!#REF!,"AAAAAH5YrzA=")</f>
        <v>#REF!</v>
      </c>
      <c r="AX57" t="e">
        <f>AND('PROG FORMACIÓN TITULADA'!#REF!,"AAAAAH5YrzE=")</f>
        <v>#REF!</v>
      </c>
      <c r="AY57" t="e">
        <f>AND('PROG FORMACIÓN TITULADA'!#REF!,"AAAAAH5YrzI=")</f>
        <v>#REF!</v>
      </c>
      <c r="AZ57" t="e">
        <f>AND('PROG FORMACIÓN TITULADA'!#REF!,"AAAAAH5YrzM=")</f>
        <v>#REF!</v>
      </c>
      <c r="BA57" t="e">
        <f>AND('PROG FORMACIÓN TITULADA'!#REF!,"AAAAAH5YrzQ=")</f>
        <v>#REF!</v>
      </c>
      <c r="BB57" t="e">
        <f>AND('PROG FORMACIÓN TITULADA'!#REF!,"AAAAAH5YrzU=")</f>
        <v>#REF!</v>
      </c>
      <c r="BC57" t="e">
        <f>AND('PROG FORMACIÓN TITULADA'!#REF!,"AAAAAH5YrzY=")</f>
        <v>#REF!</v>
      </c>
      <c r="BD57" t="e">
        <f>AND('PROG FORMACIÓN TITULADA'!#REF!,"AAAAAH5Yrzc=")</f>
        <v>#REF!</v>
      </c>
      <c r="BE57" t="e">
        <f>AND('PROG FORMACIÓN TITULADA'!#REF!,"AAAAAH5Yrzg=")</f>
        <v>#REF!</v>
      </c>
      <c r="BF57" t="e">
        <f>AND('PROG FORMACIÓN TITULADA'!#REF!,"AAAAAH5Yrzk=")</f>
        <v>#REF!</v>
      </c>
      <c r="BG57" t="e">
        <f>AND('PROG FORMACIÓN TITULADA'!#REF!,"AAAAAH5Yrzo=")</f>
        <v>#REF!</v>
      </c>
      <c r="BH57" t="e">
        <f>AND('PROG FORMACIÓN TITULADA'!#REF!,"AAAAAH5Yrzs=")</f>
        <v>#REF!</v>
      </c>
      <c r="BI57" t="e">
        <f>AND('PROG FORMACIÓN TITULADA'!#REF!,"AAAAAH5Yrzw=")</f>
        <v>#REF!</v>
      </c>
      <c r="BJ57" t="e">
        <f>AND('PROG FORMACIÓN TITULADA'!#REF!,"AAAAAH5Yrz0=")</f>
        <v>#REF!</v>
      </c>
      <c r="BK57" t="e">
        <f>AND('PROG FORMACIÓN TITULADA'!#REF!,"AAAAAH5Yrz4=")</f>
        <v>#REF!</v>
      </c>
      <c r="BL57" t="e">
        <f>AND('PROG FORMACIÓN TITULADA'!#REF!,"AAAAAH5Yrz8=")</f>
        <v>#REF!</v>
      </c>
      <c r="BM57" t="e">
        <f>AND('PROG FORMACIÓN TITULADA'!#REF!,"AAAAAH5Yr0A=")</f>
        <v>#REF!</v>
      </c>
      <c r="BN57" t="e">
        <f>AND('PROG FORMACIÓN TITULADA'!#REF!,"AAAAAH5Yr0E=")</f>
        <v>#REF!</v>
      </c>
      <c r="BO57" t="e">
        <f>AND('PROG FORMACIÓN TITULADA'!#REF!,"AAAAAH5Yr0I=")</f>
        <v>#REF!</v>
      </c>
      <c r="BP57" t="e">
        <f>AND('PROG FORMACIÓN TITULADA'!#REF!,"AAAAAH5Yr0M=")</f>
        <v>#REF!</v>
      </c>
      <c r="BQ57" t="e">
        <f>AND('PROG FORMACIÓN TITULADA'!#REF!,"AAAAAH5Yr0Q=")</f>
        <v>#REF!</v>
      </c>
      <c r="BR57" t="e">
        <f>IF('PROG FORMACIÓN TITULADA'!#REF!,"AAAAAH5Yr0U=",0)</f>
        <v>#REF!</v>
      </c>
      <c r="BS57" t="e">
        <f>AND('PROG FORMACIÓN TITULADA'!#REF!,"AAAAAH5Yr0Y=")</f>
        <v>#REF!</v>
      </c>
      <c r="BT57" t="e">
        <f>AND('PROG FORMACIÓN TITULADA'!#REF!,"AAAAAH5Yr0c=")</f>
        <v>#REF!</v>
      </c>
      <c r="BU57" t="e">
        <f>AND('PROG FORMACIÓN TITULADA'!#REF!,"AAAAAH5Yr0g=")</f>
        <v>#REF!</v>
      </c>
      <c r="BV57" t="e">
        <f>AND('PROG FORMACIÓN TITULADA'!#REF!,"AAAAAH5Yr0k=")</f>
        <v>#REF!</v>
      </c>
      <c r="BW57" t="e">
        <f>AND('PROG FORMACIÓN TITULADA'!#REF!,"AAAAAH5Yr0o=")</f>
        <v>#REF!</v>
      </c>
      <c r="BX57" t="e">
        <f>AND('PROG FORMACIÓN TITULADA'!#REF!,"AAAAAH5Yr0s=")</f>
        <v>#REF!</v>
      </c>
      <c r="BY57" t="e">
        <f>AND('PROG FORMACIÓN TITULADA'!#REF!,"AAAAAH5Yr0w=")</f>
        <v>#REF!</v>
      </c>
      <c r="BZ57" t="e">
        <f>AND('PROG FORMACIÓN TITULADA'!#REF!,"AAAAAH5Yr00=")</f>
        <v>#REF!</v>
      </c>
      <c r="CA57" t="e">
        <f>AND('PROG FORMACIÓN TITULADA'!#REF!,"AAAAAH5Yr04=")</f>
        <v>#REF!</v>
      </c>
      <c r="CB57" t="e">
        <f>AND('PROG FORMACIÓN TITULADA'!#REF!,"AAAAAH5Yr08=")</f>
        <v>#REF!</v>
      </c>
      <c r="CC57" t="e">
        <f>AND('PROG FORMACIÓN TITULADA'!#REF!,"AAAAAH5Yr1A=")</f>
        <v>#REF!</v>
      </c>
      <c r="CD57" t="e">
        <f>AND('PROG FORMACIÓN TITULADA'!#REF!,"AAAAAH5Yr1E=")</f>
        <v>#REF!</v>
      </c>
      <c r="CE57" t="e">
        <f>AND('PROG FORMACIÓN TITULADA'!#REF!,"AAAAAH5Yr1I=")</f>
        <v>#REF!</v>
      </c>
      <c r="CF57" t="e">
        <f>AND('PROG FORMACIÓN TITULADA'!#REF!,"AAAAAH5Yr1M=")</f>
        <v>#REF!</v>
      </c>
      <c r="CG57" t="e">
        <f>AND('PROG FORMACIÓN TITULADA'!#REF!,"AAAAAH5Yr1Q=")</f>
        <v>#REF!</v>
      </c>
      <c r="CH57" t="e">
        <f>AND('PROG FORMACIÓN TITULADA'!#REF!,"AAAAAH5Yr1U=")</f>
        <v>#REF!</v>
      </c>
      <c r="CI57" t="e">
        <f>AND('PROG FORMACIÓN TITULADA'!#REF!,"AAAAAH5Yr1Y=")</f>
        <v>#REF!</v>
      </c>
      <c r="CJ57" t="e">
        <f>AND('PROG FORMACIÓN TITULADA'!#REF!,"AAAAAH5Yr1c=")</f>
        <v>#REF!</v>
      </c>
      <c r="CK57" t="e">
        <f>AND('PROG FORMACIÓN TITULADA'!#REF!,"AAAAAH5Yr1g=")</f>
        <v>#REF!</v>
      </c>
      <c r="CL57" t="e">
        <f>AND('PROG FORMACIÓN TITULADA'!#REF!,"AAAAAH5Yr1k=")</f>
        <v>#REF!</v>
      </c>
      <c r="CM57" t="e">
        <f>AND('PROG FORMACIÓN TITULADA'!#REF!,"AAAAAH5Yr1o=")</f>
        <v>#REF!</v>
      </c>
      <c r="CN57" t="e">
        <f>AND('PROG FORMACIÓN TITULADA'!#REF!,"AAAAAH5Yr1s=")</f>
        <v>#REF!</v>
      </c>
      <c r="CO57" t="e">
        <f>AND('PROG FORMACIÓN TITULADA'!#REF!,"AAAAAH5Yr1w=")</f>
        <v>#REF!</v>
      </c>
      <c r="CP57" t="e">
        <f>AND('PROG FORMACIÓN TITULADA'!#REF!,"AAAAAH5Yr10=")</f>
        <v>#REF!</v>
      </c>
      <c r="CQ57" t="e">
        <f>AND('PROG FORMACIÓN TITULADA'!#REF!,"AAAAAH5Yr14=")</f>
        <v>#REF!</v>
      </c>
      <c r="CR57" t="e">
        <f>AND('PROG FORMACIÓN TITULADA'!#REF!,"AAAAAH5Yr18=")</f>
        <v>#REF!</v>
      </c>
      <c r="CS57" t="e">
        <f>IF('PROG FORMACIÓN TITULADA'!#REF!,"AAAAAH5Yr2A=",0)</f>
        <v>#REF!</v>
      </c>
      <c r="CT57" t="e">
        <f>AND('PROG FORMACIÓN TITULADA'!#REF!,"AAAAAH5Yr2E=")</f>
        <v>#REF!</v>
      </c>
      <c r="CU57" t="e">
        <f>AND('PROG FORMACIÓN TITULADA'!#REF!,"AAAAAH5Yr2I=")</f>
        <v>#REF!</v>
      </c>
      <c r="CV57" t="e">
        <f>AND('PROG FORMACIÓN TITULADA'!#REF!,"AAAAAH5Yr2M=")</f>
        <v>#REF!</v>
      </c>
      <c r="CW57" t="e">
        <f>AND('PROG FORMACIÓN TITULADA'!#REF!,"AAAAAH5Yr2Q=")</f>
        <v>#REF!</v>
      </c>
      <c r="CX57" t="e">
        <f>AND('PROG FORMACIÓN TITULADA'!#REF!,"AAAAAH5Yr2U=")</f>
        <v>#REF!</v>
      </c>
      <c r="CY57" t="e">
        <f>AND('PROG FORMACIÓN TITULADA'!#REF!,"AAAAAH5Yr2Y=")</f>
        <v>#REF!</v>
      </c>
      <c r="CZ57" t="e">
        <f>AND('PROG FORMACIÓN TITULADA'!#REF!,"AAAAAH5Yr2c=")</f>
        <v>#REF!</v>
      </c>
      <c r="DA57" t="e">
        <f>AND('PROG FORMACIÓN TITULADA'!#REF!,"AAAAAH5Yr2g=")</f>
        <v>#REF!</v>
      </c>
      <c r="DB57" t="e">
        <f>AND('PROG FORMACIÓN TITULADA'!#REF!,"AAAAAH5Yr2k=")</f>
        <v>#REF!</v>
      </c>
      <c r="DC57" t="e">
        <f>AND('PROG FORMACIÓN TITULADA'!#REF!,"AAAAAH5Yr2o=")</f>
        <v>#REF!</v>
      </c>
      <c r="DD57" t="e">
        <f>AND('PROG FORMACIÓN TITULADA'!#REF!,"AAAAAH5Yr2s=")</f>
        <v>#REF!</v>
      </c>
      <c r="DE57" t="e">
        <f>AND('PROG FORMACIÓN TITULADA'!#REF!,"AAAAAH5Yr2w=")</f>
        <v>#REF!</v>
      </c>
      <c r="DF57" t="e">
        <f>AND('PROG FORMACIÓN TITULADA'!#REF!,"AAAAAH5Yr20=")</f>
        <v>#REF!</v>
      </c>
      <c r="DG57" t="e">
        <f>AND('PROG FORMACIÓN TITULADA'!#REF!,"AAAAAH5Yr24=")</f>
        <v>#REF!</v>
      </c>
      <c r="DH57" t="e">
        <f>AND('PROG FORMACIÓN TITULADA'!#REF!,"AAAAAH5Yr28=")</f>
        <v>#REF!</v>
      </c>
      <c r="DI57" t="e">
        <f>AND('PROG FORMACIÓN TITULADA'!#REF!,"AAAAAH5Yr3A=")</f>
        <v>#REF!</v>
      </c>
      <c r="DJ57" t="e">
        <f>AND('PROG FORMACIÓN TITULADA'!#REF!,"AAAAAH5Yr3E=")</f>
        <v>#REF!</v>
      </c>
      <c r="DK57" t="e">
        <f>AND('PROG FORMACIÓN TITULADA'!#REF!,"AAAAAH5Yr3I=")</f>
        <v>#REF!</v>
      </c>
      <c r="DL57" t="e">
        <f>AND('PROG FORMACIÓN TITULADA'!#REF!,"AAAAAH5Yr3M=")</f>
        <v>#REF!</v>
      </c>
      <c r="DM57" t="e">
        <f>AND('PROG FORMACIÓN TITULADA'!#REF!,"AAAAAH5Yr3Q=")</f>
        <v>#REF!</v>
      </c>
      <c r="DN57" t="e">
        <f>AND('PROG FORMACIÓN TITULADA'!#REF!,"AAAAAH5Yr3U=")</f>
        <v>#REF!</v>
      </c>
      <c r="DO57" t="e">
        <f>AND('PROG FORMACIÓN TITULADA'!#REF!,"AAAAAH5Yr3Y=")</f>
        <v>#REF!</v>
      </c>
      <c r="DP57" t="e">
        <f>AND('PROG FORMACIÓN TITULADA'!#REF!,"AAAAAH5Yr3c=")</f>
        <v>#REF!</v>
      </c>
      <c r="DQ57" t="e">
        <f>AND('PROG FORMACIÓN TITULADA'!#REF!,"AAAAAH5Yr3g=")</f>
        <v>#REF!</v>
      </c>
      <c r="DR57" t="e">
        <f>AND('PROG FORMACIÓN TITULADA'!#REF!,"AAAAAH5Yr3k=")</f>
        <v>#REF!</v>
      </c>
      <c r="DS57" t="e">
        <f>AND('PROG FORMACIÓN TITULADA'!#REF!,"AAAAAH5Yr3o=")</f>
        <v>#REF!</v>
      </c>
      <c r="DT57" t="e">
        <f>IF('PROG FORMACIÓN TITULADA'!#REF!,"AAAAAH5Yr3s=",0)</f>
        <v>#REF!</v>
      </c>
      <c r="DU57" t="e">
        <f>AND('PROG FORMACIÓN TITULADA'!#REF!,"AAAAAH5Yr3w=")</f>
        <v>#REF!</v>
      </c>
      <c r="DV57" t="e">
        <f>AND('PROG FORMACIÓN TITULADA'!#REF!,"AAAAAH5Yr30=")</f>
        <v>#REF!</v>
      </c>
      <c r="DW57" t="e">
        <f>AND('PROG FORMACIÓN TITULADA'!#REF!,"AAAAAH5Yr34=")</f>
        <v>#REF!</v>
      </c>
      <c r="DX57" t="e">
        <f>AND('PROG FORMACIÓN TITULADA'!#REF!,"AAAAAH5Yr38=")</f>
        <v>#REF!</v>
      </c>
      <c r="DY57" t="e">
        <f>AND('PROG FORMACIÓN TITULADA'!#REF!,"AAAAAH5Yr4A=")</f>
        <v>#REF!</v>
      </c>
      <c r="DZ57" t="e">
        <f>AND('PROG FORMACIÓN TITULADA'!#REF!,"AAAAAH5Yr4E=")</f>
        <v>#REF!</v>
      </c>
      <c r="EA57" t="e">
        <f>AND('PROG FORMACIÓN TITULADA'!#REF!,"AAAAAH5Yr4I=")</f>
        <v>#REF!</v>
      </c>
      <c r="EB57" t="e">
        <f>AND('PROG FORMACIÓN TITULADA'!#REF!,"AAAAAH5Yr4M=")</f>
        <v>#REF!</v>
      </c>
      <c r="EC57" t="e">
        <f>AND('PROG FORMACIÓN TITULADA'!#REF!,"AAAAAH5Yr4Q=")</f>
        <v>#REF!</v>
      </c>
      <c r="ED57" t="e">
        <f>AND('PROG FORMACIÓN TITULADA'!#REF!,"AAAAAH5Yr4U=")</f>
        <v>#REF!</v>
      </c>
      <c r="EE57" t="e">
        <f>AND('PROG FORMACIÓN TITULADA'!#REF!,"AAAAAH5Yr4Y=")</f>
        <v>#REF!</v>
      </c>
      <c r="EF57" t="e">
        <f>AND('PROG FORMACIÓN TITULADA'!#REF!,"AAAAAH5Yr4c=")</f>
        <v>#REF!</v>
      </c>
      <c r="EG57" t="e">
        <f>AND('PROG FORMACIÓN TITULADA'!#REF!,"AAAAAH5Yr4g=")</f>
        <v>#REF!</v>
      </c>
      <c r="EH57" t="e">
        <f>AND('PROG FORMACIÓN TITULADA'!#REF!,"AAAAAH5Yr4k=")</f>
        <v>#REF!</v>
      </c>
      <c r="EI57" t="e">
        <f>AND('PROG FORMACIÓN TITULADA'!#REF!,"AAAAAH5Yr4o=")</f>
        <v>#REF!</v>
      </c>
      <c r="EJ57" t="e">
        <f>AND('PROG FORMACIÓN TITULADA'!#REF!,"AAAAAH5Yr4s=")</f>
        <v>#REF!</v>
      </c>
      <c r="EK57" t="e">
        <f>AND('PROG FORMACIÓN TITULADA'!#REF!,"AAAAAH5Yr4w=")</f>
        <v>#REF!</v>
      </c>
      <c r="EL57" t="e">
        <f>AND('PROG FORMACIÓN TITULADA'!#REF!,"AAAAAH5Yr40=")</f>
        <v>#REF!</v>
      </c>
      <c r="EM57" t="e">
        <f>AND('PROG FORMACIÓN TITULADA'!#REF!,"AAAAAH5Yr44=")</f>
        <v>#REF!</v>
      </c>
      <c r="EN57" t="e">
        <f>AND('PROG FORMACIÓN TITULADA'!#REF!,"AAAAAH5Yr48=")</f>
        <v>#REF!</v>
      </c>
      <c r="EO57" t="e">
        <f>AND('PROG FORMACIÓN TITULADA'!#REF!,"AAAAAH5Yr5A=")</f>
        <v>#REF!</v>
      </c>
      <c r="EP57" t="e">
        <f>AND('PROG FORMACIÓN TITULADA'!#REF!,"AAAAAH5Yr5E=")</f>
        <v>#REF!</v>
      </c>
      <c r="EQ57" t="e">
        <f>AND('PROG FORMACIÓN TITULADA'!#REF!,"AAAAAH5Yr5I=")</f>
        <v>#REF!</v>
      </c>
      <c r="ER57" t="e">
        <f>AND('PROG FORMACIÓN TITULADA'!#REF!,"AAAAAH5Yr5M=")</f>
        <v>#REF!</v>
      </c>
      <c r="ES57" t="e">
        <f>AND('PROG FORMACIÓN TITULADA'!#REF!,"AAAAAH5Yr5Q=")</f>
        <v>#REF!</v>
      </c>
      <c r="ET57" t="e">
        <f>AND('PROG FORMACIÓN TITULADA'!#REF!,"AAAAAH5Yr5U=")</f>
        <v>#REF!</v>
      </c>
      <c r="EU57" t="e">
        <f>IF('PROG FORMACIÓN TITULADA'!#REF!,"AAAAAH5Yr5Y=",0)</f>
        <v>#REF!</v>
      </c>
      <c r="EV57" t="e">
        <f>AND('PROG FORMACIÓN TITULADA'!#REF!,"AAAAAH5Yr5c=")</f>
        <v>#REF!</v>
      </c>
      <c r="EW57" t="e">
        <f>AND('PROG FORMACIÓN TITULADA'!#REF!,"AAAAAH5Yr5g=")</f>
        <v>#REF!</v>
      </c>
      <c r="EX57" t="e">
        <f>AND('PROG FORMACIÓN TITULADA'!#REF!,"AAAAAH5Yr5k=")</f>
        <v>#REF!</v>
      </c>
      <c r="EY57" t="e">
        <f>AND('PROG FORMACIÓN TITULADA'!#REF!,"AAAAAH5Yr5o=")</f>
        <v>#REF!</v>
      </c>
      <c r="EZ57" t="e">
        <f>AND('PROG FORMACIÓN TITULADA'!#REF!,"AAAAAH5Yr5s=")</f>
        <v>#REF!</v>
      </c>
      <c r="FA57" t="e">
        <f>AND('PROG FORMACIÓN TITULADA'!#REF!,"AAAAAH5Yr5w=")</f>
        <v>#REF!</v>
      </c>
      <c r="FB57" t="e">
        <f>AND('PROG FORMACIÓN TITULADA'!#REF!,"AAAAAH5Yr50=")</f>
        <v>#REF!</v>
      </c>
      <c r="FC57" t="e">
        <f>AND('PROG FORMACIÓN TITULADA'!#REF!,"AAAAAH5Yr54=")</f>
        <v>#REF!</v>
      </c>
      <c r="FD57" t="e">
        <f>AND('PROG FORMACIÓN TITULADA'!#REF!,"AAAAAH5Yr58=")</f>
        <v>#REF!</v>
      </c>
      <c r="FE57" t="e">
        <f>AND('PROG FORMACIÓN TITULADA'!#REF!,"AAAAAH5Yr6A=")</f>
        <v>#REF!</v>
      </c>
      <c r="FF57" t="e">
        <f>AND('PROG FORMACIÓN TITULADA'!#REF!,"AAAAAH5Yr6E=")</f>
        <v>#REF!</v>
      </c>
      <c r="FG57" t="e">
        <f>AND('PROG FORMACIÓN TITULADA'!#REF!,"AAAAAH5Yr6I=")</f>
        <v>#REF!</v>
      </c>
      <c r="FH57" t="e">
        <f>AND('PROG FORMACIÓN TITULADA'!#REF!,"AAAAAH5Yr6M=")</f>
        <v>#REF!</v>
      </c>
      <c r="FI57" t="e">
        <f>AND('PROG FORMACIÓN TITULADA'!#REF!,"AAAAAH5Yr6Q=")</f>
        <v>#REF!</v>
      </c>
      <c r="FJ57" t="e">
        <f>AND('PROG FORMACIÓN TITULADA'!#REF!,"AAAAAH5Yr6U=")</f>
        <v>#REF!</v>
      </c>
      <c r="FK57" t="e">
        <f>AND('PROG FORMACIÓN TITULADA'!#REF!,"AAAAAH5Yr6Y=")</f>
        <v>#REF!</v>
      </c>
      <c r="FL57" t="e">
        <f>AND('PROG FORMACIÓN TITULADA'!#REF!,"AAAAAH5Yr6c=")</f>
        <v>#REF!</v>
      </c>
      <c r="FM57" t="e">
        <f>AND('PROG FORMACIÓN TITULADA'!#REF!,"AAAAAH5Yr6g=")</f>
        <v>#REF!</v>
      </c>
      <c r="FN57" t="e">
        <f>AND('PROG FORMACIÓN TITULADA'!#REF!,"AAAAAH5Yr6k=")</f>
        <v>#REF!</v>
      </c>
      <c r="FO57" t="e">
        <f>AND('PROG FORMACIÓN TITULADA'!#REF!,"AAAAAH5Yr6o=")</f>
        <v>#REF!</v>
      </c>
      <c r="FP57" t="e">
        <f>AND('PROG FORMACIÓN TITULADA'!#REF!,"AAAAAH5Yr6s=")</f>
        <v>#REF!</v>
      </c>
      <c r="FQ57" t="e">
        <f>AND('PROG FORMACIÓN TITULADA'!#REF!,"AAAAAH5Yr6w=")</f>
        <v>#REF!</v>
      </c>
      <c r="FR57" t="e">
        <f>AND('PROG FORMACIÓN TITULADA'!#REF!,"AAAAAH5Yr60=")</f>
        <v>#REF!</v>
      </c>
      <c r="FS57" t="e">
        <f>AND('PROG FORMACIÓN TITULADA'!#REF!,"AAAAAH5Yr64=")</f>
        <v>#REF!</v>
      </c>
      <c r="FT57" t="e">
        <f>AND('PROG FORMACIÓN TITULADA'!#REF!,"AAAAAH5Yr68=")</f>
        <v>#REF!</v>
      </c>
      <c r="FU57" t="e">
        <f>AND('PROG FORMACIÓN TITULADA'!#REF!,"AAAAAH5Yr7A=")</f>
        <v>#REF!</v>
      </c>
      <c r="FV57" t="e">
        <f>IF('PROG FORMACIÓN TITULADA'!#REF!,"AAAAAH5Yr7E=",0)</f>
        <v>#REF!</v>
      </c>
      <c r="FW57" t="e">
        <f>AND('PROG FORMACIÓN TITULADA'!#REF!,"AAAAAH5Yr7I=")</f>
        <v>#REF!</v>
      </c>
      <c r="FX57" t="e">
        <f>AND('PROG FORMACIÓN TITULADA'!#REF!,"AAAAAH5Yr7M=")</f>
        <v>#REF!</v>
      </c>
      <c r="FY57" t="e">
        <f>AND('PROG FORMACIÓN TITULADA'!#REF!,"AAAAAH5Yr7Q=")</f>
        <v>#REF!</v>
      </c>
      <c r="FZ57" t="e">
        <f>AND('PROG FORMACIÓN TITULADA'!#REF!,"AAAAAH5Yr7U=")</f>
        <v>#REF!</v>
      </c>
      <c r="GA57" t="e">
        <f>AND('PROG FORMACIÓN TITULADA'!#REF!,"AAAAAH5Yr7Y=")</f>
        <v>#REF!</v>
      </c>
      <c r="GB57" t="e">
        <f>AND('PROG FORMACIÓN TITULADA'!#REF!,"AAAAAH5Yr7c=")</f>
        <v>#REF!</v>
      </c>
      <c r="GC57" t="e">
        <f>AND('PROG FORMACIÓN TITULADA'!#REF!,"AAAAAH5Yr7g=")</f>
        <v>#REF!</v>
      </c>
      <c r="GD57" t="e">
        <f>AND('PROG FORMACIÓN TITULADA'!#REF!,"AAAAAH5Yr7k=")</f>
        <v>#REF!</v>
      </c>
      <c r="GE57" t="e">
        <f>AND('PROG FORMACIÓN TITULADA'!#REF!,"AAAAAH5Yr7o=")</f>
        <v>#REF!</v>
      </c>
      <c r="GF57" t="e">
        <f>AND('PROG FORMACIÓN TITULADA'!#REF!,"AAAAAH5Yr7s=")</f>
        <v>#REF!</v>
      </c>
      <c r="GG57" t="e">
        <f>AND('PROG FORMACIÓN TITULADA'!#REF!,"AAAAAH5Yr7w=")</f>
        <v>#REF!</v>
      </c>
      <c r="GH57" t="e">
        <f>AND('PROG FORMACIÓN TITULADA'!#REF!,"AAAAAH5Yr70=")</f>
        <v>#REF!</v>
      </c>
      <c r="GI57" t="e">
        <f>AND('PROG FORMACIÓN TITULADA'!#REF!,"AAAAAH5Yr74=")</f>
        <v>#REF!</v>
      </c>
      <c r="GJ57" t="e">
        <f>AND('PROG FORMACIÓN TITULADA'!#REF!,"AAAAAH5Yr78=")</f>
        <v>#REF!</v>
      </c>
      <c r="GK57" t="e">
        <f>AND('PROG FORMACIÓN TITULADA'!#REF!,"AAAAAH5Yr8A=")</f>
        <v>#REF!</v>
      </c>
      <c r="GL57" t="e">
        <f>AND('PROG FORMACIÓN TITULADA'!#REF!,"AAAAAH5Yr8E=")</f>
        <v>#REF!</v>
      </c>
      <c r="GM57" t="e">
        <f>AND('PROG FORMACIÓN TITULADA'!#REF!,"AAAAAH5Yr8I=")</f>
        <v>#REF!</v>
      </c>
      <c r="GN57" t="e">
        <f>AND('PROG FORMACIÓN TITULADA'!#REF!,"AAAAAH5Yr8M=")</f>
        <v>#REF!</v>
      </c>
      <c r="GO57" t="e">
        <f>AND('PROG FORMACIÓN TITULADA'!#REF!,"AAAAAH5Yr8Q=")</f>
        <v>#REF!</v>
      </c>
      <c r="GP57" t="e">
        <f>AND('PROG FORMACIÓN TITULADA'!#REF!,"AAAAAH5Yr8U=")</f>
        <v>#REF!</v>
      </c>
      <c r="GQ57" t="e">
        <f>AND('PROG FORMACIÓN TITULADA'!#REF!,"AAAAAH5Yr8Y=")</f>
        <v>#REF!</v>
      </c>
      <c r="GR57" t="e">
        <f>AND('PROG FORMACIÓN TITULADA'!#REF!,"AAAAAH5Yr8c=")</f>
        <v>#REF!</v>
      </c>
      <c r="GS57" t="e">
        <f>AND('PROG FORMACIÓN TITULADA'!#REF!,"AAAAAH5Yr8g=")</f>
        <v>#REF!</v>
      </c>
      <c r="GT57" t="e">
        <f>AND('PROG FORMACIÓN TITULADA'!#REF!,"AAAAAH5Yr8k=")</f>
        <v>#REF!</v>
      </c>
      <c r="GU57" t="e">
        <f>AND('PROG FORMACIÓN TITULADA'!#REF!,"AAAAAH5Yr8o=")</f>
        <v>#REF!</v>
      </c>
      <c r="GV57" t="e">
        <f>AND('PROG FORMACIÓN TITULADA'!#REF!,"AAAAAH5Yr8s=")</f>
        <v>#REF!</v>
      </c>
      <c r="GW57" t="e">
        <f>IF('PROG FORMACIÓN TITULADA'!#REF!,"AAAAAH5Yr8w=",0)</f>
        <v>#REF!</v>
      </c>
      <c r="GX57" t="e">
        <f>AND('PROG FORMACIÓN TITULADA'!#REF!,"AAAAAH5Yr80=")</f>
        <v>#REF!</v>
      </c>
      <c r="GY57" t="e">
        <f>AND('PROG FORMACIÓN TITULADA'!#REF!,"AAAAAH5Yr84=")</f>
        <v>#REF!</v>
      </c>
      <c r="GZ57" t="e">
        <f>AND('PROG FORMACIÓN TITULADA'!#REF!,"AAAAAH5Yr88=")</f>
        <v>#REF!</v>
      </c>
      <c r="HA57" t="e">
        <f>AND('PROG FORMACIÓN TITULADA'!#REF!,"AAAAAH5Yr9A=")</f>
        <v>#REF!</v>
      </c>
      <c r="HB57" t="e">
        <f>AND('PROG FORMACIÓN TITULADA'!#REF!,"AAAAAH5Yr9E=")</f>
        <v>#REF!</v>
      </c>
      <c r="HC57" t="e">
        <f>AND('PROG FORMACIÓN TITULADA'!#REF!,"AAAAAH5Yr9I=")</f>
        <v>#REF!</v>
      </c>
      <c r="HD57" t="e">
        <f>AND('PROG FORMACIÓN TITULADA'!#REF!,"AAAAAH5Yr9M=")</f>
        <v>#REF!</v>
      </c>
      <c r="HE57" t="e">
        <f>AND('PROG FORMACIÓN TITULADA'!#REF!,"AAAAAH5Yr9Q=")</f>
        <v>#REF!</v>
      </c>
      <c r="HF57" t="e">
        <f>AND('PROG FORMACIÓN TITULADA'!#REF!,"AAAAAH5Yr9U=")</f>
        <v>#REF!</v>
      </c>
      <c r="HG57" t="e">
        <f>AND('PROG FORMACIÓN TITULADA'!#REF!,"AAAAAH5Yr9Y=")</f>
        <v>#REF!</v>
      </c>
      <c r="HH57" t="e">
        <f>AND('PROG FORMACIÓN TITULADA'!#REF!,"AAAAAH5Yr9c=")</f>
        <v>#REF!</v>
      </c>
      <c r="HI57" t="e">
        <f>AND('PROG FORMACIÓN TITULADA'!#REF!,"AAAAAH5Yr9g=")</f>
        <v>#REF!</v>
      </c>
      <c r="HJ57" t="e">
        <f>AND('PROG FORMACIÓN TITULADA'!#REF!,"AAAAAH5Yr9k=")</f>
        <v>#REF!</v>
      </c>
      <c r="HK57" t="e">
        <f>AND('PROG FORMACIÓN TITULADA'!#REF!,"AAAAAH5Yr9o=")</f>
        <v>#REF!</v>
      </c>
      <c r="HL57" t="e">
        <f>AND('PROG FORMACIÓN TITULADA'!#REF!,"AAAAAH5Yr9s=")</f>
        <v>#REF!</v>
      </c>
      <c r="HM57" t="e">
        <f>AND('PROG FORMACIÓN TITULADA'!#REF!,"AAAAAH5Yr9w=")</f>
        <v>#REF!</v>
      </c>
      <c r="HN57" t="e">
        <f>AND('PROG FORMACIÓN TITULADA'!#REF!,"AAAAAH5Yr90=")</f>
        <v>#REF!</v>
      </c>
      <c r="HO57" t="e">
        <f>AND('PROG FORMACIÓN TITULADA'!#REF!,"AAAAAH5Yr94=")</f>
        <v>#REF!</v>
      </c>
      <c r="HP57" t="e">
        <f>AND('PROG FORMACIÓN TITULADA'!#REF!,"AAAAAH5Yr98=")</f>
        <v>#REF!</v>
      </c>
      <c r="HQ57" t="e">
        <f>AND('PROG FORMACIÓN TITULADA'!#REF!,"AAAAAH5Yr+A=")</f>
        <v>#REF!</v>
      </c>
      <c r="HR57" t="e">
        <f>AND('PROG FORMACIÓN TITULADA'!#REF!,"AAAAAH5Yr+E=")</f>
        <v>#REF!</v>
      </c>
      <c r="HS57" t="e">
        <f>AND('PROG FORMACIÓN TITULADA'!#REF!,"AAAAAH5Yr+I=")</f>
        <v>#REF!</v>
      </c>
      <c r="HT57" t="e">
        <f>AND('PROG FORMACIÓN TITULADA'!#REF!,"AAAAAH5Yr+M=")</f>
        <v>#REF!</v>
      </c>
      <c r="HU57" t="e">
        <f>AND('PROG FORMACIÓN TITULADA'!#REF!,"AAAAAH5Yr+Q=")</f>
        <v>#REF!</v>
      </c>
      <c r="HV57" t="e">
        <f>AND('PROG FORMACIÓN TITULADA'!#REF!,"AAAAAH5Yr+U=")</f>
        <v>#REF!</v>
      </c>
      <c r="HW57" t="e">
        <f>AND('PROG FORMACIÓN TITULADA'!#REF!,"AAAAAH5Yr+Y=")</f>
        <v>#REF!</v>
      </c>
      <c r="HX57" t="e">
        <f>IF('PROG FORMACIÓN TITULADA'!#REF!,"AAAAAH5Yr+c=",0)</f>
        <v>#REF!</v>
      </c>
      <c r="HY57" t="e">
        <f>AND('PROG FORMACIÓN TITULADA'!#REF!,"AAAAAH5Yr+g=")</f>
        <v>#REF!</v>
      </c>
      <c r="HZ57" t="e">
        <f>AND('PROG FORMACIÓN TITULADA'!#REF!,"AAAAAH5Yr+k=")</f>
        <v>#REF!</v>
      </c>
      <c r="IA57" t="e">
        <f>AND('PROG FORMACIÓN TITULADA'!#REF!,"AAAAAH5Yr+o=")</f>
        <v>#REF!</v>
      </c>
      <c r="IB57" t="e">
        <f>AND('PROG FORMACIÓN TITULADA'!#REF!,"AAAAAH5Yr+s=")</f>
        <v>#REF!</v>
      </c>
      <c r="IC57" t="e">
        <f>AND('PROG FORMACIÓN TITULADA'!#REF!,"AAAAAH5Yr+w=")</f>
        <v>#REF!</v>
      </c>
      <c r="ID57" t="e">
        <f>AND('PROG FORMACIÓN TITULADA'!#REF!,"AAAAAH5Yr+0=")</f>
        <v>#REF!</v>
      </c>
      <c r="IE57" t="e">
        <f>AND('PROG FORMACIÓN TITULADA'!#REF!,"AAAAAH5Yr+4=")</f>
        <v>#REF!</v>
      </c>
      <c r="IF57" t="e">
        <f>AND('PROG FORMACIÓN TITULADA'!#REF!,"AAAAAH5Yr+8=")</f>
        <v>#REF!</v>
      </c>
      <c r="IG57" t="e">
        <f>AND('PROG FORMACIÓN TITULADA'!#REF!,"AAAAAH5Yr/A=")</f>
        <v>#REF!</v>
      </c>
      <c r="IH57" t="e">
        <f>AND('PROG FORMACIÓN TITULADA'!#REF!,"AAAAAH5Yr/E=")</f>
        <v>#REF!</v>
      </c>
      <c r="II57" t="e">
        <f>AND('PROG FORMACIÓN TITULADA'!#REF!,"AAAAAH5Yr/I=")</f>
        <v>#REF!</v>
      </c>
      <c r="IJ57" t="e">
        <f>AND('PROG FORMACIÓN TITULADA'!#REF!,"AAAAAH5Yr/M=")</f>
        <v>#REF!</v>
      </c>
      <c r="IK57" t="e">
        <f>AND('PROG FORMACIÓN TITULADA'!#REF!,"AAAAAH5Yr/Q=")</f>
        <v>#REF!</v>
      </c>
      <c r="IL57" t="e">
        <f>AND('PROG FORMACIÓN TITULADA'!#REF!,"AAAAAH5Yr/U=")</f>
        <v>#REF!</v>
      </c>
      <c r="IM57" t="e">
        <f>AND('PROG FORMACIÓN TITULADA'!#REF!,"AAAAAH5Yr/Y=")</f>
        <v>#REF!</v>
      </c>
      <c r="IN57" t="e">
        <f>AND('PROG FORMACIÓN TITULADA'!#REF!,"AAAAAH5Yr/c=")</f>
        <v>#REF!</v>
      </c>
      <c r="IO57" t="e">
        <f>AND('PROG FORMACIÓN TITULADA'!#REF!,"AAAAAH5Yr/g=")</f>
        <v>#REF!</v>
      </c>
      <c r="IP57" t="e">
        <f>AND('PROG FORMACIÓN TITULADA'!#REF!,"AAAAAH5Yr/k=")</f>
        <v>#REF!</v>
      </c>
      <c r="IQ57" t="e">
        <f>AND('PROG FORMACIÓN TITULADA'!#REF!,"AAAAAH5Yr/o=")</f>
        <v>#REF!</v>
      </c>
      <c r="IR57" t="e">
        <f>AND('PROG FORMACIÓN TITULADA'!#REF!,"AAAAAH5Yr/s=")</f>
        <v>#REF!</v>
      </c>
      <c r="IS57" t="e">
        <f>AND('PROG FORMACIÓN TITULADA'!#REF!,"AAAAAH5Yr/w=")</f>
        <v>#REF!</v>
      </c>
      <c r="IT57" t="e">
        <f>AND('PROG FORMACIÓN TITULADA'!#REF!,"AAAAAH5Yr/0=")</f>
        <v>#REF!</v>
      </c>
      <c r="IU57" t="e">
        <f>AND('PROG FORMACIÓN TITULADA'!#REF!,"AAAAAH5Yr/4=")</f>
        <v>#REF!</v>
      </c>
      <c r="IV57" t="e">
        <f>AND('PROG FORMACIÓN TITULADA'!#REF!,"AAAAAH5Yr/8=")</f>
        <v>#REF!</v>
      </c>
    </row>
    <row r="58" spans="1:256" x14ac:dyDescent="0.2">
      <c r="A58" t="e">
        <f>AND('PROG FORMACIÓN TITULADA'!#REF!,"AAAAAGzt/wA=")</f>
        <v>#REF!</v>
      </c>
      <c r="B58" t="e">
        <f>AND('PROG FORMACIÓN TITULADA'!#REF!,"AAAAAGzt/wE=")</f>
        <v>#REF!</v>
      </c>
      <c r="C58" t="e">
        <f>IF('PROG FORMACIÓN TITULADA'!#REF!,"AAAAAGzt/wI=",0)</f>
        <v>#REF!</v>
      </c>
      <c r="D58" t="e">
        <f>AND('PROG FORMACIÓN TITULADA'!#REF!,"AAAAAGzt/wM=")</f>
        <v>#REF!</v>
      </c>
      <c r="E58" t="e">
        <f>AND('PROG FORMACIÓN TITULADA'!#REF!,"AAAAAGzt/wQ=")</f>
        <v>#REF!</v>
      </c>
      <c r="F58" t="e">
        <f>AND('PROG FORMACIÓN TITULADA'!#REF!,"AAAAAGzt/wU=")</f>
        <v>#REF!</v>
      </c>
      <c r="G58" t="e">
        <f>AND('PROG FORMACIÓN TITULADA'!#REF!,"AAAAAGzt/wY=")</f>
        <v>#REF!</v>
      </c>
      <c r="H58" t="e">
        <f>AND('PROG FORMACIÓN TITULADA'!#REF!,"AAAAAGzt/wc=")</f>
        <v>#REF!</v>
      </c>
      <c r="I58" t="e">
        <f>AND('PROG FORMACIÓN TITULADA'!#REF!,"AAAAAGzt/wg=")</f>
        <v>#REF!</v>
      </c>
      <c r="J58" t="e">
        <f>AND('PROG FORMACIÓN TITULADA'!#REF!,"AAAAAGzt/wk=")</f>
        <v>#REF!</v>
      </c>
      <c r="K58" t="e">
        <f>AND('PROG FORMACIÓN TITULADA'!#REF!,"AAAAAGzt/wo=")</f>
        <v>#REF!</v>
      </c>
      <c r="L58" t="e">
        <f>AND('PROG FORMACIÓN TITULADA'!#REF!,"AAAAAGzt/ws=")</f>
        <v>#REF!</v>
      </c>
      <c r="M58" t="e">
        <f>AND('PROG FORMACIÓN TITULADA'!#REF!,"AAAAAGzt/ww=")</f>
        <v>#REF!</v>
      </c>
      <c r="N58" t="e">
        <f>AND('PROG FORMACIÓN TITULADA'!#REF!,"AAAAAGzt/w0=")</f>
        <v>#REF!</v>
      </c>
      <c r="O58" t="e">
        <f>AND('PROG FORMACIÓN TITULADA'!#REF!,"AAAAAGzt/w4=")</f>
        <v>#REF!</v>
      </c>
      <c r="P58" t="e">
        <f>AND('PROG FORMACIÓN TITULADA'!#REF!,"AAAAAGzt/w8=")</f>
        <v>#REF!</v>
      </c>
      <c r="Q58" t="e">
        <f>AND('PROG FORMACIÓN TITULADA'!#REF!,"AAAAAGzt/xA=")</f>
        <v>#REF!</v>
      </c>
      <c r="R58" t="e">
        <f>AND('PROG FORMACIÓN TITULADA'!#REF!,"AAAAAGzt/xE=")</f>
        <v>#REF!</v>
      </c>
      <c r="S58" t="e">
        <f>AND('PROG FORMACIÓN TITULADA'!#REF!,"AAAAAGzt/xI=")</f>
        <v>#REF!</v>
      </c>
      <c r="T58" t="e">
        <f>AND('PROG FORMACIÓN TITULADA'!#REF!,"AAAAAGzt/xM=")</f>
        <v>#REF!</v>
      </c>
      <c r="U58" t="e">
        <f>AND('PROG FORMACIÓN TITULADA'!#REF!,"AAAAAGzt/xQ=")</f>
        <v>#REF!</v>
      </c>
      <c r="V58" t="e">
        <f>AND('PROG FORMACIÓN TITULADA'!#REF!,"AAAAAGzt/xU=")</f>
        <v>#REF!</v>
      </c>
      <c r="W58" t="e">
        <f>AND('PROG FORMACIÓN TITULADA'!#REF!,"AAAAAGzt/xY=")</f>
        <v>#REF!</v>
      </c>
      <c r="X58" t="e">
        <f>AND('PROG FORMACIÓN TITULADA'!#REF!,"AAAAAGzt/xc=")</f>
        <v>#REF!</v>
      </c>
      <c r="Y58" t="e">
        <f>AND('PROG FORMACIÓN TITULADA'!#REF!,"AAAAAGzt/xg=")</f>
        <v>#REF!</v>
      </c>
      <c r="Z58" t="e">
        <f>AND('PROG FORMACIÓN TITULADA'!#REF!,"AAAAAGzt/xk=")</f>
        <v>#REF!</v>
      </c>
      <c r="AA58" t="e">
        <f>AND('PROG FORMACIÓN TITULADA'!#REF!,"AAAAAGzt/xo=")</f>
        <v>#REF!</v>
      </c>
      <c r="AB58" t="e">
        <f>AND('PROG FORMACIÓN TITULADA'!#REF!,"AAAAAGzt/xs=")</f>
        <v>#REF!</v>
      </c>
      <c r="AC58" t="e">
        <f>AND('PROG FORMACIÓN TITULADA'!#REF!,"AAAAAGzt/xw=")</f>
        <v>#REF!</v>
      </c>
      <c r="AD58" t="e">
        <f>IF('PROG FORMACIÓN TITULADA'!#REF!,"AAAAAGzt/x0=",0)</f>
        <v>#REF!</v>
      </c>
      <c r="AE58" t="e">
        <f>AND('PROG FORMACIÓN TITULADA'!#REF!,"AAAAAGzt/x4=")</f>
        <v>#REF!</v>
      </c>
      <c r="AF58" t="e">
        <f>AND('PROG FORMACIÓN TITULADA'!#REF!,"AAAAAGzt/x8=")</f>
        <v>#REF!</v>
      </c>
      <c r="AG58" t="e">
        <f>AND('PROG FORMACIÓN TITULADA'!#REF!,"AAAAAGzt/yA=")</f>
        <v>#REF!</v>
      </c>
      <c r="AH58" t="e">
        <f>AND('PROG FORMACIÓN TITULADA'!#REF!,"AAAAAGzt/yE=")</f>
        <v>#REF!</v>
      </c>
      <c r="AI58" t="e">
        <f>AND('PROG FORMACIÓN TITULADA'!#REF!,"AAAAAGzt/yI=")</f>
        <v>#REF!</v>
      </c>
      <c r="AJ58" t="e">
        <f>AND('PROG FORMACIÓN TITULADA'!#REF!,"AAAAAGzt/yM=")</f>
        <v>#REF!</v>
      </c>
      <c r="AK58" t="e">
        <f>AND('PROG FORMACIÓN TITULADA'!#REF!,"AAAAAGzt/yQ=")</f>
        <v>#REF!</v>
      </c>
      <c r="AL58" t="e">
        <f>AND('PROG FORMACIÓN TITULADA'!#REF!,"AAAAAGzt/yU=")</f>
        <v>#REF!</v>
      </c>
      <c r="AM58" t="e">
        <f>AND('PROG FORMACIÓN TITULADA'!#REF!,"AAAAAGzt/yY=")</f>
        <v>#REF!</v>
      </c>
      <c r="AN58" t="e">
        <f>AND('PROG FORMACIÓN TITULADA'!#REF!,"AAAAAGzt/yc=")</f>
        <v>#REF!</v>
      </c>
      <c r="AO58" t="e">
        <f>AND('PROG FORMACIÓN TITULADA'!#REF!,"AAAAAGzt/yg=")</f>
        <v>#REF!</v>
      </c>
      <c r="AP58" t="e">
        <f>AND('PROG FORMACIÓN TITULADA'!#REF!,"AAAAAGzt/yk=")</f>
        <v>#REF!</v>
      </c>
      <c r="AQ58" t="e">
        <f>AND('PROG FORMACIÓN TITULADA'!#REF!,"AAAAAGzt/yo=")</f>
        <v>#REF!</v>
      </c>
      <c r="AR58" t="e">
        <f>AND('PROG FORMACIÓN TITULADA'!#REF!,"AAAAAGzt/ys=")</f>
        <v>#REF!</v>
      </c>
      <c r="AS58" t="e">
        <f>AND('PROG FORMACIÓN TITULADA'!#REF!,"AAAAAGzt/yw=")</f>
        <v>#REF!</v>
      </c>
      <c r="AT58" t="e">
        <f>AND('PROG FORMACIÓN TITULADA'!#REF!,"AAAAAGzt/y0=")</f>
        <v>#REF!</v>
      </c>
      <c r="AU58" t="e">
        <f>AND('PROG FORMACIÓN TITULADA'!#REF!,"AAAAAGzt/y4=")</f>
        <v>#REF!</v>
      </c>
      <c r="AV58" t="e">
        <f>AND('PROG FORMACIÓN TITULADA'!#REF!,"AAAAAGzt/y8=")</f>
        <v>#REF!</v>
      </c>
      <c r="AW58" t="e">
        <f>AND('PROG FORMACIÓN TITULADA'!#REF!,"AAAAAGzt/zA=")</f>
        <v>#REF!</v>
      </c>
      <c r="AX58" t="e">
        <f>AND('PROG FORMACIÓN TITULADA'!#REF!,"AAAAAGzt/zE=")</f>
        <v>#REF!</v>
      </c>
      <c r="AY58" t="e">
        <f>AND('PROG FORMACIÓN TITULADA'!#REF!,"AAAAAGzt/zI=")</f>
        <v>#REF!</v>
      </c>
      <c r="AZ58" t="e">
        <f>AND('PROG FORMACIÓN TITULADA'!#REF!,"AAAAAGzt/zM=")</f>
        <v>#REF!</v>
      </c>
      <c r="BA58" t="e">
        <f>AND('PROG FORMACIÓN TITULADA'!#REF!,"AAAAAGzt/zQ=")</f>
        <v>#REF!</v>
      </c>
      <c r="BB58" t="e">
        <f>AND('PROG FORMACIÓN TITULADA'!#REF!,"AAAAAGzt/zU=")</f>
        <v>#REF!</v>
      </c>
      <c r="BC58" t="e">
        <f>AND('PROG FORMACIÓN TITULADA'!#REF!,"AAAAAGzt/zY=")</f>
        <v>#REF!</v>
      </c>
      <c r="BD58" t="e">
        <f>AND('PROG FORMACIÓN TITULADA'!#REF!,"AAAAAGzt/zc=")</f>
        <v>#REF!</v>
      </c>
      <c r="BE58" t="e">
        <f>IF('PROG FORMACIÓN TITULADA'!#REF!,"AAAAAGzt/zg=",0)</f>
        <v>#REF!</v>
      </c>
      <c r="BF58" t="e">
        <f>AND('PROG FORMACIÓN TITULADA'!#REF!,"AAAAAGzt/zk=")</f>
        <v>#REF!</v>
      </c>
      <c r="BG58" t="e">
        <f>AND('PROG FORMACIÓN TITULADA'!#REF!,"AAAAAGzt/zo=")</f>
        <v>#REF!</v>
      </c>
      <c r="BH58" t="e">
        <f>AND('PROG FORMACIÓN TITULADA'!#REF!,"AAAAAGzt/zs=")</f>
        <v>#REF!</v>
      </c>
      <c r="BI58" t="e">
        <f>AND('PROG FORMACIÓN TITULADA'!#REF!,"AAAAAGzt/zw=")</f>
        <v>#REF!</v>
      </c>
      <c r="BJ58" t="e">
        <f>AND('PROG FORMACIÓN TITULADA'!#REF!,"AAAAAGzt/z0=")</f>
        <v>#REF!</v>
      </c>
      <c r="BK58" t="e">
        <f>AND('PROG FORMACIÓN TITULADA'!#REF!,"AAAAAGzt/z4=")</f>
        <v>#REF!</v>
      </c>
      <c r="BL58" t="e">
        <f>AND('PROG FORMACIÓN TITULADA'!#REF!,"AAAAAGzt/z8=")</f>
        <v>#REF!</v>
      </c>
      <c r="BM58" t="e">
        <f>AND('PROG FORMACIÓN TITULADA'!#REF!,"AAAAAGzt/0A=")</f>
        <v>#REF!</v>
      </c>
      <c r="BN58" t="e">
        <f>AND('PROG FORMACIÓN TITULADA'!#REF!,"AAAAAGzt/0E=")</f>
        <v>#REF!</v>
      </c>
      <c r="BO58" t="e">
        <f>AND('PROG FORMACIÓN TITULADA'!#REF!,"AAAAAGzt/0I=")</f>
        <v>#REF!</v>
      </c>
      <c r="BP58" t="e">
        <f>AND('PROG FORMACIÓN TITULADA'!#REF!,"AAAAAGzt/0M=")</f>
        <v>#REF!</v>
      </c>
      <c r="BQ58" t="e">
        <f>AND('PROG FORMACIÓN TITULADA'!#REF!,"AAAAAGzt/0Q=")</f>
        <v>#REF!</v>
      </c>
      <c r="BR58" t="e">
        <f>AND('PROG FORMACIÓN TITULADA'!#REF!,"AAAAAGzt/0U=")</f>
        <v>#REF!</v>
      </c>
      <c r="BS58" t="e">
        <f>AND('PROG FORMACIÓN TITULADA'!#REF!,"AAAAAGzt/0Y=")</f>
        <v>#REF!</v>
      </c>
      <c r="BT58" t="e">
        <f>AND('PROG FORMACIÓN TITULADA'!#REF!,"AAAAAGzt/0c=")</f>
        <v>#REF!</v>
      </c>
      <c r="BU58" t="e">
        <f>AND('PROG FORMACIÓN TITULADA'!#REF!,"AAAAAGzt/0g=")</f>
        <v>#REF!</v>
      </c>
      <c r="BV58" t="e">
        <f>AND('PROG FORMACIÓN TITULADA'!#REF!,"AAAAAGzt/0k=")</f>
        <v>#REF!</v>
      </c>
      <c r="BW58" t="e">
        <f>AND('PROG FORMACIÓN TITULADA'!#REF!,"AAAAAGzt/0o=")</f>
        <v>#REF!</v>
      </c>
      <c r="BX58" t="e">
        <f>AND('PROG FORMACIÓN TITULADA'!#REF!,"AAAAAGzt/0s=")</f>
        <v>#REF!</v>
      </c>
      <c r="BY58" t="e">
        <f>AND('PROG FORMACIÓN TITULADA'!#REF!,"AAAAAGzt/0w=")</f>
        <v>#REF!</v>
      </c>
      <c r="BZ58" t="e">
        <f>AND('PROG FORMACIÓN TITULADA'!#REF!,"AAAAAGzt/00=")</f>
        <v>#REF!</v>
      </c>
      <c r="CA58" t="e">
        <f>AND('PROG FORMACIÓN TITULADA'!#REF!,"AAAAAGzt/04=")</f>
        <v>#REF!</v>
      </c>
      <c r="CB58" t="e">
        <f>AND('PROG FORMACIÓN TITULADA'!#REF!,"AAAAAGzt/08=")</f>
        <v>#REF!</v>
      </c>
      <c r="CC58" t="e">
        <f>AND('PROG FORMACIÓN TITULADA'!#REF!,"AAAAAGzt/1A=")</f>
        <v>#REF!</v>
      </c>
      <c r="CD58" t="e">
        <f>AND('PROG FORMACIÓN TITULADA'!#REF!,"AAAAAGzt/1E=")</f>
        <v>#REF!</v>
      </c>
      <c r="CE58" t="e">
        <f>AND('PROG FORMACIÓN TITULADA'!#REF!,"AAAAAGzt/1I=")</f>
        <v>#REF!</v>
      </c>
      <c r="CF58" t="e">
        <f>IF('PROG FORMACIÓN TITULADA'!#REF!,"AAAAAGzt/1M=",0)</f>
        <v>#REF!</v>
      </c>
      <c r="CG58" t="e">
        <f>AND('PROG FORMACIÓN TITULADA'!#REF!,"AAAAAGzt/1Q=")</f>
        <v>#REF!</v>
      </c>
      <c r="CH58" t="e">
        <f>AND('PROG FORMACIÓN TITULADA'!#REF!,"AAAAAGzt/1U=")</f>
        <v>#REF!</v>
      </c>
      <c r="CI58" t="e">
        <f>AND('PROG FORMACIÓN TITULADA'!#REF!,"AAAAAGzt/1Y=")</f>
        <v>#REF!</v>
      </c>
      <c r="CJ58" t="e">
        <f>AND('PROG FORMACIÓN TITULADA'!#REF!,"AAAAAGzt/1c=")</f>
        <v>#REF!</v>
      </c>
      <c r="CK58" t="e">
        <f>AND('PROG FORMACIÓN TITULADA'!#REF!,"AAAAAGzt/1g=")</f>
        <v>#REF!</v>
      </c>
      <c r="CL58" t="e">
        <f>AND('PROG FORMACIÓN TITULADA'!#REF!,"AAAAAGzt/1k=")</f>
        <v>#REF!</v>
      </c>
      <c r="CM58" t="e">
        <f>AND('PROG FORMACIÓN TITULADA'!#REF!,"AAAAAGzt/1o=")</f>
        <v>#REF!</v>
      </c>
      <c r="CN58" t="e">
        <f>AND('PROG FORMACIÓN TITULADA'!#REF!,"AAAAAGzt/1s=")</f>
        <v>#REF!</v>
      </c>
      <c r="CO58" t="e">
        <f>AND('PROG FORMACIÓN TITULADA'!#REF!,"AAAAAGzt/1w=")</f>
        <v>#REF!</v>
      </c>
      <c r="CP58" t="e">
        <f>AND('PROG FORMACIÓN TITULADA'!#REF!,"AAAAAGzt/10=")</f>
        <v>#REF!</v>
      </c>
      <c r="CQ58" t="e">
        <f>AND('PROG FORMACIÓN TITULADA'!#REF!,"AAAAAGzt/14=")</f>
        <v>#REF!</v>
      </c>
      <c r="CR58" t="e">
        <f>AND('PROG FORMACIÓN TITULADA'!#REF!,"AAAAAGzt/18=")</f>
        <v>#REF!</v>
      </c>
      <c r="CS58" t="e">
        <f>AND('PROG FORMACIÓN TITULADA'!#REF!,"AAAAAGzt/2A=")</f>
        <v>#REF!</v>
      </c>
      <c r="CT58" t="e">
        <f>AND('PROG FORMACIÓN TITULADA'!#REF!,"AAAAAGzt/2E=")</f>
        <v>#REF!</v>
      </c>
      <c r="CU58" t="e">
        <f>AND('PROG FORMACIÓN TITULADA'!#REF!,"AAAAAGzt/2I=")</f>
        <v>#REF!</v>
      </c>
      <c r="CV58" t="e">
        <f>AND('PROG FORMACIÓN TITULADA'!#REF!,"AAAAAGzt/2M=")</f>
        <v>#REF!</v>
      </c>
      <c r="CW58" t="e">
        <f>AND('PROG FORMACIÓN TITULADA'!#REF!,"AAAAAGzt/2Q=")</f>
        <v>#REF!</v>
      </c>
      <c r="CX58" t="e">
        <f>AND('PROG FORMACIÓN TITULADA'!#REF!,"AAAAAGzt/2U=")</f>
        <v>#REF!</v>
      </c>
      <c r="CY58" t="e">
        <f>AND('PROG FORMACIÓN TITULADA'!#REF!,"AAAAAGzt/2Y=")</f>
        <v>#REF!</v>
      </c>
      <c r="CZ58" t="e">
        <f>AND('PROG FORMACIÓN TITULADA'!#REF!,"AAAAAGzt/2c=")</f>
        <v>#REF!</v>
      </c>
      <c r="DA58" t="e">
        <f>AND('PROG FORMACIÓN TITULADA'!#REF!,"AAAAAGzt/2g=")</f>
        <v>#REF!</v>
      </c>
      <c r="DB58" t="e">
        <f>AND('PROG FORMACIÓN TITULADA'!#REF!,"AAAAAGzt/2k=")</f>
        <v>#REF!</v>
      </c>
      <c r="DC58" t="e">
        <f>AND('PROG FORMACIÓN TITULADA'!#REF!,"AAAAAGzt/2o=")</f>
        <v>#REF!</v>
      </c>
      <c r="DD58" t="e">
        <f>AND('PROG FORMACIÓN TITULADA'!#REF!,"AAAAAGzt/2s=")</f>
        <v>#REF!</v>
      </c>
      <c r="DE58" t="e">
        <f>AND('PROG FORMACIÓN TITULADA'!#REF!,"AAAAAGzt/2w=")</f>
        <v>#REF!</v>
      </c>
      <c r="DF58" t="e">
        <f>AND('PROG FORMACIÓN TITULADA'!#REF!,"AAAAAGzt/20=")</f>
        <v>#REF!</v>
      </c>
      <c r="DG58" t="e">
        <f>IF('PROG FORMACIÓN TITULADA'!#REF!,"AAAAAGzt/24=",0)</f>
        <v>#REF!</v>
      </c>
      <c r="DH58" t="e">
        <f>AND('PROG FORMACIÓN TITULADA'!#REF!,"AAAAAGzt/28=")</f>
        <v>#REF!</v>
      </c>
      <c r="DI58" t="e">
        <f>AND('PROG FORMACIÓN TITULADA'!#REF!,"AAAAAGzt/3A=")</f>
        <v>#REF!</v>
      </c>
      <c r="DJ58" t="e">
        <f>AND('PROG FORMACIÓN TITULADA'!#REF!,"AAAAAGzt/3E=")</f>
        <v>#REF!</v>
      </c>
      <c r="DK58" t="e">
        <f>AND('PROG FORMACIÓN TITULADA'!#REF!,"AAAAAGzt/3I=")</f>
        <v>#REF!</v>
      </c>
      <c r="DL58" t="e">
        <f>AND('PROG FORMACIÓN TITULADA'!#REF!,"AAAAAGzt/3M=")</f>
        <v>#REF!</v>
      </c>
      <c r="DM58" t="e">
        <f>AND('PROG FORMACIÓN TITULADA'!#REF!,"AAAAAGzt/3Q=")</f>
        <v>#REF!</v>
      </c>
      <c r="DN58" t="e">
        <f>AND('PROG FORMACIÓN TITULADA'!#REF!,"AAAAAGzt/3U=")</f>
        <v>#REF!</v>
      </c>
      <c r="DO58" t="e">
        <f>AND('PROG FORMACIÓN TITULADA'!#REF!,"AAAAAGzt/3Y=")</f>
        <v>#REF!</v>
      </c>
      <c r="DP58" t="e">
        <f>AND('PROG FORMACIÓN TITULADA'!#REF!,"AAAAAGzt/3c=")</f>
        <v>#REF!</v>
      </c>
      <c r="DQ58" t="e">
        <f>AND('PROG FORMACIÓN TITULADA'!#REF!,"AAAAAGzt/3g=")</f>
        <v>#REF!</v>
      </c>
      <c r="DR58" t="e">
        <f>AND('PROG FORMACIÓN TITULADA'!#REF!,"AAAAAGzt/3k=")</f>
        <v>#REF!</v>
      </c>
      <c r="DS58" t="e">
        <f>AND('PROG FORMACIÓN TITULADA'!#REF!,"AAAAAGzt/3o=")</f>
        <v>#REF!</v>
      </c>
      <c r="DT58" t="e">
        <f>AND('PROG FORMACIÓN TITULADA'!#REF!,"AAAAAGzt/3s=")</f>
        <v>#REF!</v>
      </c>
      <c r="DU58" t="e">
        <f>AND('PROG FORMACIÓN TITULADA'!#REF!,"AAAAAGzt/3w=")</f>
        <v>#REF!</v>
      </c>
      <c r="DV58" t="e">
        <f>AND('PROG FORMACIÓN TITULADA'!#REF!,"AAAAAGzt/30=")</f>
        <v>#REF!</v>
      </c>
      <c r="DW58" t="e">
        <f>AND('PROG FORMACIÓN TITULADA'!#REF!,"AAAAAGzt/34=")</f>
        <v>#REF!</v>
      </c>
      <c r="DX58" t="e">
        <f>AND('PROG FORMACIÓN TITULADA'!#REF!,"AAAAAGzt/38=")</f>
        <v>#REF!</v>
      </c>
      <c r="DY58" t="e">
        <f>AND('PROG FORMACIÓN TITULADA'!#REF!,"AAAAAGzt/4A=")</f>
        <v>#REF!</v>
      </c>
      <c r="DZ58" t="e">
        <f>AND('PROG FORMACIÓN TITULADA'!#REF!,"AAAAAGzt/4E=")</f>
        <v>#REF!</v>
      </c>
      <c r="EA58" t="e">
        <f>AND('PROG FORMACIÓN TITULADA'!#REF!,"AAAAAGzt/4I=")</f>
        <v>#REF!</v>
      </c>
      <c r="EB58" t="e">
        <f>AND('PROG FORMACIÓN TITULADA'!#REF!,"AAAAAGzt/4M=")</f>
        <v>#REF!</v>
      </c>
      <c r="EC58" t="e">
        <f>AND('PROG FORMACIÓN TITULADA'!#REF!,"AAAAAGzt/4Q=")</f>
        <v>#REF!</v>
      </c>
      <c r="ED58" t="e">
        <f>AND('PROG FORMACIÓN TITULADA'!#REF!,"AAAAAGzt/4U=")</f>
        <v>#REF!</v>
      </c>
      <c r="EE58" t="e">
        <f>AND('PROG FORMACIÓN TITULADA'!#REF!,"AAAAAGzt/4Y=")</f>
        <v>#REF!</v>
      </c>
      <c r="EF58" t="e">
        <f>AND('PROG FORMACIÓN TITULADA'!#REF!,"AAAAAGzt/4c=")</f>
        <v>#REF!</v>
      </c>
      <c r="EG58" t="e">
        <f>AND('PROG FORMACIÓN TITULADA'!#REF!,"AAAAAGzt/4g=")</f>
        <v>#REF!</v>
      </c>
      <c r="EH58" t="e">
        <f>IF('PROG FORMACIÓN TITULADA'!#REF!,"AAAAAGzt/4k=",0)</f>
        <v>#REF!</v>
      </c>
      <c r="EI58" t="e">
        <f>AND('PROG FORMACIÓN TITULADA'!#REF!,"AAAAAGzt/4o=")</f>
        <v>#REF!</v>
      </c>
      <c r="EJ58" t="e">
        <f>AND('PROG FORMACIÓN TITULADA'!#REF!,"AAAAAGzt/4s=")</f>
        <v>#REF!</v>
      </c>
      <c r="EK58" t="e">
        <f>AND('PROG FORMACIÓN TITULADA'!#REF!,"AAAAAGzt/4w=")</f>
        <v>#REF!</v>
      </c>
      <c r="EL58" t="e">
        <f>AND('PROG FORMACIÓN TITULADA'!#REF!,"AAAAAGzt/40=")</f>
        <v>#REF!</v>
      </c>
      <c r="EM58" t="e">
        <f>AND('PROG FORMACIÓN TITULADA'!#REF!,"AAAAAGzt/44=")</f>
        <v>#REF!</v>
      </c>
      <c r="EN58" t="e">
        <f>AND('PROG FORMACIÓN TITULADA'!#REF!,"AAAAAGzt/48=")</f>
        <v>#REF!</v>
      </c>
      <c r="EO58" t="e">
        <f>AND('PROG FORMACIÓN TITULADA'!#REF!,"AAAAAGzt/5A=")</f>
        <v>#REF!</v>
      </c>
      <c r="EP58" t="e">
        <f>AND('PROG FORMACIÓN TITULADA'!#REF!,"AAAAAGzt/5E=")</f>
        <v>#REF!</v>
      </c>
      <c r="EQ58" t="e">
        <f>AND('PROG FORMACIÓN TITULADA'!#REF!,"AAAAAGzt/5I=")</f>
        <v>#REF!</v>
      </c>
      <c r="ER58" t="e">
        <f>AND('PROG FORMACIÓN TITULADA'!#REF!,"AAAAAGzt/5M=")</f>
        <v>#REF!</v>
      </c>
      <c r="ES58" t="e">
        <f>AND('PROG FORMACIÓN TITULADA'!#REF!,"AAAAAGzt/5Q=")</f>
        <v>#REF!</v>
      </c>
      <c r="ET58" t="e">
        <f>AND('PROG FORMACIÓN TITULADA'!#REF!,"AAAAAGzt/5U=")</f>
        <v>#REF!</v>
      </c>
      <c r="EU58" t="e">
        <f>AND('PROG FORMACIÓN TITULADA'!#REF!,"AAAAAGzt/5Y=")</f>
        <v>#REF!</v>
      </c>
      <c r="EV58" t="e">
        <f>AND('PROG FORMACIÓN TITULADA'!#REF!,"AAAAAGzt/5c=")</f>
        <v>#REF!</v>
      </c>
      <c r="EW58" t="e">
        <f>AND('PROG FORMACIÓN TITULADA'!#REF!,"AAAAAGzt/5g=")</f>
        <v>#REF!</v>
      </c>
      <c r="EX58" t="e">
        <f>AND('PROG FORMACIÓN TITULADA'!#REF!,"AAAAAGzt/5k=")</f>
        <v>#REF!</v>
      </c>
      <c r="EY58" t="e">
        <f>AND('PROG FORMACIÓN TITULADA'!#REF!,"AAAAAGzt/5o=")</f>
        <v>#REF!</v>
      </c>
      <c r="EZ58" t="e">
        <f>AND('PROG FORMACIÓN TITULADA'!#REF!,"AAAAAGzt/5s=")</f>
        <v>#REF!</v>
      </c>
      <c r="FA58" t="e">
        <f>AND('PROG FORMACIÓN TITULADA'!#REF!,"AAAAAGzt/5w=")</f>
        <v>#REF!</v>
      </c>
      <c r="FB58" t="e">
        <f>AND('PROG FORMACIÓN TITULADA'!#REF!,"AAAAAGzt/50=")</f>
        <v>#REF!</v>
      </c>
      <c r="FC58" t="e">
        <f>AND('PROG FORMACIÓN TITULADA'!#REF!,"AAAAAGzt/54=")</f>
        <v>#REF!</v>
      </c>
      <c r="FD58" t="e">
        <f>AND('PROG FORMACIÓN TITULADA'!#REF!,"AAAAAGzt/58=")</f>
        <v>#REF!</v>
      </c>
      <c r="FE58" t="e">
        <f>AND('PROG FORMACIÓN TITULADA'!#REF!,"AAAAAGzt/6A=")</f>
        <v>#REF!</v>
      </c>
      <c r="FF58" t="e">
        <f>AND('PROG FORMACIÓN TITULADA'!#REF!,"AAAAAGzt/6E=")</f>
        <v>#REF!</v>
      </c>
      <c r="FG58" t="e">
        <f>AND('PROG FORMACIÓN TITULADA'!#REF!,"AAAAAGzt/6I=")</f>
        <v>#REF!</v>
      </c>
      <c r="FH58" t="e">
        <f>AND('PROG FORMACIÓN TITULADA'!#REF!,"AAAAAGzt/6M=")</f>
        <v>#REF!</v>
      </c>
      <c r="FI58" t="e">
        <f>IF('PROG FORMACIÓN TITULADA'!#REF!,"AAAAAGzt/6Q=",0)</f>
        <v>#REF!</v>
      </c>
      <c r="FJ58" t="e">
        <f>AND('PROG FORMACIÓN TITULADA'!#REF!,"AAAAAGzt/6U=")</f>
        <v>#REF!</v>
      </c>
      <c r="FK58" t="e">
        <f>AND('PROG FORMACIÓN TITULADA'!#REF!,"AAAAAGzt/6Y=")</f>
        <v>#REF!</v>
      </c>
      <c r="FL58" t="e">
        <f>AND('PROG FORMACIÓN TITULADA'!#REF!,"AAAAAGzt/6c=")</f>
        <v>#REF!</v>
      </c>
      <c r="FM58" t="e">
        <f>AND('PROG FORMACIÓN TITULADA'!#REF!,"AAAAAGzt/6g=")</f>
        <v>#REF!</v>
      </c>
      <c r="FN58" t="e">
        <f>AND('PROG FORMACIÓN TITULADA'!#REF!,"AAAAAGzt/6k=")</f>
        <v>#REF!</v>
      </c>
      <c r="FO58" t="e">
        <f>AND('PROG FORMACIÓN TITULADA'!#REF!,"AAAAAGzt/6o=")</f>
        <v>#REF!</v>
      </c>
      <c r="FP58" t="e">
        <f>AND('PROG FORMACIÓN TITULADA'!#REF!,"AAAAAGzt/6s=")</f>
        <v>#REF!</v>
      </c>
      <c r="FQ58" t="e">
        <f>AND('PROG FORMACIÓN TITULADA'!#REF!,"AAAAAGzt/6w=")</f>
        <v>#REF!</v>
      </c>
      <c r="FR58" t="e">
        <f>AND('PROG FORMACIÓN TITULADA'!#REF!,"AAAAAGzt/60=")</f>
        <v>#REF!</v>
      </c>
      <c r="FS58" t="e">
        <f>AND('PROG FORMACIÓN TITULADA'!#REF!,"AAAAAGzt/64=")</f>
        <v>#REF!</v>
      </c>
      <c r="FT58" t="e">
        <f>AND('PROG FORMACIÓN TITULADA'!#REF!,"AAAAAGzt/68=")</f>
        <v>#REF!</v>
      </c>
      <c r="FU58" t="e">
        <f>AND('PROG FORMACIÓN TITULADA'!#REF!,"AAAAAGzt/7A=")</f>
        <v>#REF!</v>
      </c>
      <c r="FV58" t="e">
        <f>AND('PROG FORMACIÓN TITULADA'!#REF!,"AAAAAGzt/7E=")</f>
        <v>#REF!</v>
      </c>
      <c r="FW58" t="e">
        <f>AND('PROG FORMACIÓN TITULADA'!#REF!,"AAAAAGzt/7I=")</f>
        <v>#REF!</v>
      </c>
      <c r="FX58" t="e">
        <f>AND('PROG FORMACIÓN TITULADA'!#REF!,"AAAAAGzt/7M=")</f>
        <v>#REF!</v>
      </c>
      <c r="FY58" t="e">
        <f>AND('PROG FORMACIÓN TITULADA'!#REF!,"AAAAAGzt/7Q=")</f>
        <v>#REF!</v>
      </c>
      <c r="FZ58" t="e">
        <f>AND('PROG FORMACIÓN TITULADA'!#REF!,"AAAAAGzt/7U=")</f>
        <v>#REF!</v>
      </c>
      <c r="GA58" t="e">
        <f>AND('PROG FORMACIÓN TITULADA'!#REF!,"AAAAAGzt/7Y=")</f>
        <v>#REF!</v>
      </c>
      <c r="GB58" t="e">
        <f>AND('PROG FORMACIÓN TITULADA'!#REF!,"AAAAAGzt/7c=")</f>
        <v>#REF!</v>
      </c>
      <c r="GC58" t="e">
        <f>AND('PROG FORMACIÓN TITULADA'!#REF!,"AAAAAGzt/7g=")</f>
        <v>#REF!</v>
      </c>
      <c r="GD58" t="e">
        <f>AND('PROG FORMACIÓN TITULADA'!#REF!,"AAAAAGzt/7k=")</f>
        <v>#REF!</v>
      </c>
      <c r="GE58" t="e">
        <f>AND('PROG FORMACIÓN TITULADA'!#REF!,"AAAAAGzt/7o=")</f>
        <v>#REF!</v>
      </c>
      <c r="GF58" t="e">
        <f>AND('PROG FORMACIÓN TITULADA'!#REF!,"AAAAAGzt/7s=")</f>
        <v>#REF!</v>
      </c>
      <c r="GG58" t="e">
        <f>AND('PROG FORMACIÓN TITULADA'!#REF!,"AAAAAGzt/7w=")</f>
        <v>#REF!</v>
      </c>
      <c r="GH58" t="e">
        <f>AND('PROG FORMACIÓN TITULADA'!#REF!,"AAAAAGzt/70=")</f>
        <v>#REF!</v>
      </c>
      <c r="GI58" t="e">
        <f>AND('PROG FORMACIÓN TITULADA'!#REF!,"AAAAAGzt/74=")</f>
        <v>#REF!</v>
      </c>
      <c r="GJ58" t="e">
        <f>IF('PROG FORMACIÓN TITULADA'!#REF!,"AAAAAGzt/78=",0)</f>
        <v>#REF!</v>
      </c>
      <c r="GK58" t="e">
        <f>AND('PROG FORMACIÓN TITULADA'!#REF!,"AAAAAGzt/8A=")</f>
        <v>#REF!</v>
      </c>
      <c r="GL58" t="e">
        <f>AND('PROG FORMACIÓN TITULADA'!#REF!,"AAAAAGzt/8E=")</f>
        <v>#REF!</v>
      </c>
      <c r="GM58" t="e">
        <f>AND('PROG FORMACIÓN TITULADA'!#REF!,"AAAAAGzt/8I=")</f>
        <v>#REF!</v>
      </c>
      <c r="GN58" t="e">
        <f>AND('PROG FORMACIÓN TITULADA'!#REF!,"AAAAAGzt/8M=")</f>
        <v>#REF!</v>
      </c>
      <c r="GO58" t="e">
        <f>AND('PROG FORMACIÓN TITULADA'!#REF!,"AAAAAGzt/8Q=")</f>
        <v>#REF!</v>
      </c>
      <c r="GP58" t="e">
        <f>AND('PROG FORMACIÓN TITULADA'!#REF!,"AAAAAGzt/8U=")</f>
        <v>#REF!</v>
      </c>
      <c r="GQ58" t="e">
        <f>AND('PROG FORMACIÓN TITULADA'!#REF!,"AAAAAGzt/8Y=")</f>
        <v>#REF!</v>
      </c>
      <c r="GR58" t="e">
        <f>AND('PROG FORMACIÓN TITULADA'!#REF!,"AAAAAGzt/8c=")</f>
        <v>#REF!</v>
      </c>
      <c r="GS58" t="e">
        <f>AND('PROG FORMACIÓN TITULADA'!#REF!,"AAAAAGzt/8g=")</f>
        <v>#REF!</v>
      </c>
      <c r="GT58" t="e">
        <f>AND('PROG FORMACIÓN TITULADA'!#REF!,"AAAAAGzt/8k=")</f>
        <v>#REF!</v>
      </c>
      <c r="GU58" t="e">
        <f>AND('PROG FORMACIÓN TITULADA'!#REF!,"AAAAAGzt/8o=")</f>
        <v>#REF!</v>
      </c>
      <c r="GV58" t="e">
        <f>AND('PROG FORMACIÓN TITULADA'!#REF!,"AAAAAGzt/8s=")</f>
        <v>#REF!</v>
      </c>
      <c r="GW58" t="e">
        <f>AND('PROG FORMACIÓN TITULADA'!#REF!,"AAAAAGzt/8w=")</f>
        <v>#REF!</v>
      </c>
      <c r="GX58" t="e">
        <f>AND('PROG FORMACIÓN TITULADA'!#REF!,"AAAAAGzt/80=")</f>
        <v>#REF!</v>
      </c>
      <c r="GY58" t="e">
        <f>AND('PROG FORMACIÓN TITULADA'!#REF!,"AAAAAGzt/84=")</f>
        <v>#REF!</v>
      </c>
      <c r="GZ58" t="e">
        <f>AND('PROG FORMACIÓN TITULADA'!#REF!,"AAAAAGzt/88=")</f>
        <v>#REF!</v>
      </c>
      <c r="HA58" t="e">
        <f>AND('PROG FORMACIÓN TITULADA'!#REF!,"AAAAAGzt/9A=")</f>
        <v>#REF!</v>
      </c>
      <c r="HB58" t="e">
        <f>AND('PROG FORMACIÓN TITULADA'!#REF!,"AAAAAGzt/9E=")</f>
        <v>#REF!</v>
      </c>
      <c r="HC58" t="e">
        <f>AND('PROG FORMACIÓN TITULADA'!#REF!,"AAAAAGzt/9I=")</f>
        <v>#REF!</v>
      </c>
      <c r="HD58" t="e">
        <f>AND('PROG FORMACIÓN TITULADA'!#REF!,"AAAAAGzt/9M=")</f>
        <v>#REF!</v>
      </c>
      <c r="HE58" t="e">
        <f>AND('PROG FORMACIÓN TITULADA'!#REF!,"AAAAAGzt/9Q=")</f>
        <v>#REF!</v>
      </c>
      <c r="HF58" t="e">
        <f>AND('PROG FORMACIÓN TITULADA'!#REF!,"AAAAAGzt/9U=")</f>
        <v>#REF!</v>
      </c>
      <c r="HG58" t="e">
        <f>AND('PROG FORMACIÓN TITULADA'!#REF!,"AAAAAGzt/9Y=")</f>
        <v>#REF!</v>
      </c>
      <c r="HH58" t="e">
        <f>AND('PROG FORMACIÓN TITULADA'!#REF!,"AAAAAGzt/9c=")</f>
        <v>#REF!</v>
      </c>
      <c r="HI58" t="e">
        <f>AND('PROG FORMACIÓN TITULADA'!#REF!,"AAAAAGzt/9g=")</f>
        <v>#REF!</v>
      </c>
      <c r="HJ58" t="e">
        <f>AND('PROG FORMACIÓN TITULADA'!#REF!,"AAAAAGzt/9k=")</f>
        <v>#REF!</v>
      </c>
      <c r="HK58" t="e">
        <f>IF('PROG FORMACIÓN TITULADA'!#REF!,"AAAAAGzt/9o=",0)</f>
        <v>#REF!</v>
      </c>
      <c r="HL58" t="e">
        <f>AND('PROG FORMACIÓN TITULADA'!#REF!,"AAAAAGzt/9s=")</f>
        <v>#REF!</v>
      </c>
      <c r="HM58" t="e">
        <f>AND('PROG FORMACIÓN TITULADA'!#REF!,"AAAAAGzt/9w=")</f>
        <v>#REF!</v>
      </c>
      <c r="HN58" t="e">
        <f>AND('PROG FORMACIÓN TITULADA'!#REF!,"AAAAAGzt/90=")</f>
        <v>#REF!</v>
      </c>
      <c r="HO58" t="e">
        <f>AND('PROG FORMACIÓN TITULADA'!#REF!,"AAAAAGzt/94=")</f>
        <v>#REF!</v>
      </c>
      <c r="HP58" t="e">
        <f>AND('PROG FORMACIÓN TITULADA'!#REF!,"AAAAAGzt/98=")</f>
        <v>#REF!</v>
      </c>
      <c r="HQ58" t="e">
        <f>AND('PROG FORMACIÓN TITULADA'!#REF!,"AAAAAGzt/+A=")</f>
        <v>#REF!</v>
      </c>
      <c r="HR58" t="e">
        <f>AND('PROG FORMACIÓN TITULADA'!#REF!,"AAAAAGzt/+E=")</f>
        <v>#REF!</v>
      </c>
      <c r="HS58" t="e">
        <f>AND('PROG FORMACIÓN TITULADA'!#REF!,"AAAAAGzt/+I=")</f>
        <v>#REF!</v>
      </c>
      <c r="HT58" t="e">
        <f>AND('PROG FORMACIÓN TITULADA'!#REF!,"AAAAAGzt/+M=")</f>
        <v>#REF!</v>
      </c>
      <c r="HU58" t="e">
        <f>AND('PROG FORMACIÓN TITULADA'!#REF!,"AAAAAGzt/+Q=")</f>
        <v>#REF!</v>
      </c>
      <c r="HV58" t="e">
        <f>AND('PROG FORMACIÓN TITULADA'!#REF!,"AAAAAGzt/+U=")</f>
        <v>#REF!</v>
      </c>
      <c r="HW58" t="e">
        <f>AND('PROG FORMACIÓN TITULADA'!#REF!,"AAAAAGzt/+Y=")</f>
        <v>#REF!</v>
      </c>
      <c r="HX58" t="e">
        <f>AND('PROG FORMACIÓN TITULADA'!#REF!,"AAAAAGzt/+c=")</f>
        <v>#REF!</v>
      </c>
      <c r="HY58" t="e">
        <f>AND('PROG FORMACIÓN TITULADA'!#REF!,"AAAAAGzt/+g=")</f>
        <v>#REF!</v>
      </c>
      <c r="HZ58" t="e">
        <f>AND('PROG FORMACIÓN TITULADA'!#REF!,"AAAAAGzt/+k=")</f>
        <v>#REF!</v>
      </c>
      <c r="IA58" t="e">
        <f>AND('PROG FORMACIÓN TITULADA'!#REF!,"AAAAAGzt/+o=")</f>
        <v>#REF!</v>
      </c>
      <c r="IB58" t="e">
        <f>AND('PROG FORMACIÓN TITULADA'!#REF!,"AAAAAGzt/+s=")</f>
        <v>#REF!</v>
      </c>
      <c r="IC58" t="e">
        <f>AND('PROG FORMACIÓN TITULADA'!#REF!,"AAAAAGzt/+w=")</f>
        <v>#REF!</v>
      </c>
      <c r="ID58" t="e">
        <f>AND('PROG FORMACIÓN TITULADA'!#REF!,"AAAAAGzt/+0=")</f>
        <v>#REF!</v>
      </c>
      <c r="IE58" t="e">
        <f>AND('PROG FORMACIÓN TITULADA'!#REF!,"AAAAAGzt/+4=")</f>
        <v>#REF!</v>
      </c>
      <c r="IF58" t="e">
        <f>AND('PROG FORMACIÓN TITULADA'!#REF!,"AAAAAGzt/+8=")</f>
        <v>#REF!</v>
      </c>
      <c r="IG58" t="e">
        <f>AND('PROG FORMACIÓN TITULADA'!#REF!,"AAAAAGzt//A=")</f>
        <v>#REF!</v>
      </c>
      <c r="IH58" t="e">
        <f>AND('PROG FORMACIÓN TITULADA'!#REF!,"AAAAAGzt//E=")</f>
        <v>#REF!</v>
      </c>
      <c r="II58" t="e">
        <f>AND('PROG FORMACIÓN TITULADA'!#REF!,"AAAAAGzt//I=")</f>
        <v>#REF!</v>
      </c>
      <c r="IJ58" t="e">
        <f>AND('PROG FORMACIÓN TITULADA'!#REF!,"AAAAAGzt//M=")</f>
        <v>#REF!</v>
      </c>
      <c r="IK58" t="e">
        <f>AND('PROG FORMACIÓN TITULADA'!#REF!,"AAAAAGzt//Q=")</f>
        <v>#REF!</v>
      </c>
      <c r="IL58" t="e">
        <f>IF('PROG FORMACIÓN TITULADA'!#REF!,"AAAAAGzt//U=",0)</f>
        <v>#REF!</v>
      </c>
      <c r="IM58" t="e">
        <f>AND('PROG FORMACIÓN TITULADA'!#REF!,"AAAAAGzt//Y=")</f>
        <v>#REF!</v>
      </c>
      <c r="IN58" t="e">
        <f>AND('PROG FORMACIÓN TITULADA'!#REF!,"AAAAAGzt//c=")</f>
        <v>#REF!</v>
      </c>
      <c r="IO58" t="e">
        <f>AND('PROG FORMACIÓN TITULADA'!#REF!,"AAAAAGzt//g=")</f>
        <v>#REF!</v>
      </c>
      <c r="IP58" t="e">
        <f>AND('PROG FORMACIÓN TITULADA'!#REF!,"AAAAAGzt//k=")</f>
        <v>#REF!</v>
      </c>
      <c r="IQ58" t="e">
        <f>AND('PROG FORMACIÓN TITULADA'!#REF!,"AAAAAGzt//o=")</f>
        <v>#REF!</v>
      </c>
      <c r="IR58" t="e">
        <f>AND('PROG FORMACIÓN TITULADA'!#REF!,"AAAAAGzt//s=")</f>
        <v>#REF!</v>
      </c>
      <c r="IS58" t="e">
        <f>AND('PROG FORMACIÓN TITULADA'!#REF!,"AAAAAGzt//w=")</f>
        <v>#REF!</v>
      </c>
      <c r="IT58" t="e">
        <f>AND('PROG FORMACIÓN TITULADA'!#REF!,"AAAAAGzt//0=")</f>
        <v>#REF!</v>
      </c>
      <c r="IU58" t="e">
        <f>AND('PROG FORMACIÓN TITULADA'!#REF!,"AAAAAGzt//4=")</f>
        <v>#REF!</v>
      </c>
      <c r="IV58" t="e">
        <f>AND('PROG FORMACIÓN TITULADA'!#REF!,"AAAAAGzt//8=")</f>
        <v>#REF!</v>
      </c>
    </row>
    <row r="59" spans="1:256" x14ac:dyDescent="0.2">
      <c r="A59" t="e">
        <f>AND('PROG FORMACIÓN TITULADA'!#REF!,"AAAAADc+5wA=")</f>
        <v>#REF!</v>
      </c>
      <c r="B59" t="e">
        <f>AND('PROG FORMACIÓN TITULADA'!#REF!,"AAAAADc+5wE=")</f>
        <v>#REF!</v>
      </c>
      <c r="C59" t="e">
        <f>AND('PROG FORMACIÓN TITULADA'!#REF!,"AAAAADc+5wI=")</f>
        <v>#REF!</v>
      </c>
      <c r="D59" t="e">
        <f>AND('PROG FORMACIÓN TITULADA'!#REF!,"AAAAADc+5wM=")</f>
        <v>#REF!</v>
      </c>
      <c r="E59" t="e">
        <f>AND('PROG FORMACIÓN TITULADA'!#REF!,"AAAAADc+5wQ=")</f>
        <v>#REF!</v>
      </c>
      <c r="F59" t="e">
        <f>AND('PROG FORMACIÓN TITULADA'!#REF!,"AAAAADc+5wU=")</f>
        <v>#REF!</v>
      </c>
      <c r="G59" t="e">
        <f>AND('PROG FORMACIÓN TITULADA'!#REF!,"AAAAADc+5wY=")</f>
        <v>#REF!</v>
      </c>
      <c r="H59" t="e">
        <f>AND('PROG FORMACIÓN TITULADA'!#REF!,"AAAAADc+5wc=")</f>
        <v>#REF!</v>
      </c>
      <c r="I59" t="e">
        <f>AND('PROG FORMACIÓN TITULADA'!#REF!,"AAAAADc+5wg=")</f>
        <v>#REF!</v>
      </c>
      <c r="J59" t="e">
        <f>AND('PROG FORMACIÓN TITULADA'!#REF!,"AAAAADc+5wk=")</f>
        <v>#REF!</v>
      </c>
      <c r="K59" t="e">
        <f>AND('PROG FORMACIÓN TITULADA'!#REF!,"AAAAADc+5wo=")</f>
        <v>#REF!</v>
      </c>
      <c r="L59" t="e">
        <f>AND('PROG FORMACIÓN TITULADA'!#REF!,"AAAAADc+5ws=")</f>
        <v>#REF!</v>
      </c>
      <c r="M59" t="e">
        <f>AND('PROG FORMACIÓN TITULADA'!#REF!,"AAAAADc+5ww=")</f>
        <v>#REF!</v>
      </c>
      <c r="N59" t="e">
        <f>AND('PROG FORMACIÓN TITULADA'!#REF!,"AAAAADc+5w0=")</f>
        <v>#REF!</v>
      </c>
      <c r="O59" t="e">
        <f>AND('PROG FORMACIÓN TITULADA'!#REF!,"AAAAADc+5w4=")</f>
        <v>#REF!</v>
      </c>
      <c r="P59" t="e">
        <f>AND('PROG FORMACIÓN TITULADA'!#REF!,"AAAAADc+5w8=")</f>
        <v>#REF!</v>
      </c>
      <c r="Q59" t="e">
        <f>IF('PROG FORMACIÓN TITULADA'!#REF!,"AAAAADc+5xA=",0)</f>
        <v>#REF!</v>
      </c>
      <c r="R59" t="e">
        <f>AND('PROG FORMACIÓN TITULADA'!#REF!,"AAAAADc+5xE=")</f>
        <v>#REF!</v>
      </c>
      <c r="S59" t="e">
        <f>AND('PROG FORMACIÓN TITULADA'!#REF!,"AAAAADc+5xI=")</f>
        <v>#REF!</v>
      </c>
      <c r="T59" t="e">
        <f>AND('PROG FORMACIÓN TITULADA'!#REF!,"AAAAADc+5xM=")</f>
        <v>#REF!</v>
      </c>
      <c r="U59" t="e">
        <f>AND('PROG FORMACIÓN TITULADA'!#REF!,"AAAAADc+5xQ=")</f>
        <v>#REF!</v>
      </c>
      <c r="V59" t="e">
        <f>AND('PROG FORMACIÓN TITULADA'!#REF!,"AAAAADc+5xU=")</f>
        <v>#REF!</v>
      </c>
      <c r="W59" t="e">
        <f>AND('PROG FORMACIÓN TITULADA'!#REF!,"AAAAADc+5xY=")</f>
        <v>#REF!</v>
      </c>
      <c r="X59" t="e">
        <f>AND('PROG FORMACIÓN TITULADA'!#REF!,"AAAAADc+5xc=")</f>
        <v>#REF!</v>
      </c>
      <c r="Y59" t="e">
        <f>AND('PROG FORMACIÓN TITULADA'!#REF!,"AAAAADc+5xg=")</f>
        <v>#REF!</v>
      </c>
      <c r="Z59" t="e">
        <f>AND('PROG FORMACIÓN TITULADA'!#REF!,"AAAAADc+5xk=")</f>
        <v>#REF!</v>
      </c>
      <c r="AA59" t="e">
        <f>AND('PROG FORMACIÓN TITULADA'!#REF!,"AAAAADc+5xo=")</f>
        <v>#REF!</v>
      </c>
      <c r="AB59" t="e">
        <f>AND('PROG FORMACIÓN TITULADA'!#REF!,"AAAAADc+5xs=")</f>
        <v>#REF!</v>
      </c>
      <c r="AC59" t="e">
        <f>AND('PROG FORMACIÓN TITULADA'!#REF!,"AAAAADc+5xw=")</f>
        <v>#REF!</v>
      </c>
      <c r="AD59" t="e">
        <f>AND('PROG FORMACIÓN TITULADA'!#REF!,"AAAAADc+5x0=")</f>
        <v>#REF!</v>
      </c>
      <c r="AE59" t="e">
        <f>AND('PROG FORMACIÓN TITULADA'!#REF!,"AAAAADc+5x4=")</f>
        <v>#REF!</v>
      </c>
      <c r="AF59" t="e">
        <f>AND('PROG FORMACIÓN TITULADA'!#REF!,"AAAAADc+5x8=")</f>
        <v>#REF!</v>
      </c>
      <c r="AG59" t="e">
        <f>AND('PROG FORMACIÓN TITULADA'!#REF!,"AAAAADc+5yA=")</f>
        <v>#REF!</v>
      </c>
      <c r="AH59" t="e">
        <f>AND('PROG FORMACIÓN TITULADA'!#REF!,"AAAAADc+5yE=")</f>
        <v>#REF!</v>
      </c>
      <c r="AI59" t="e">
        <f>AND('PROG FORMACIÓN TITULADA'!#REF!,"AAAAADc+5yI=")</f>
        <v>#REF!</v>
      </c>
      <c r="AJ59" t="e">
        <f>AND('PROG FORMACIÓN TITULADA'!#REF!,"AAAAADc+5yM=")</f>
        <v>#REF!</v>
      </c>
      <c r="AK59" t="e">
        <f>AND('PROG FORMACIÓN TITULADA'!#REF!,"AAAAADc+5yQ=")</f>
        <v>#REF!</v>
      </c>
      <c r="AL59" t="e">
        <f>AND('PROG FORMACIÓN TITULADA'!#REF!,"AAAAADc+5yU=")</f>
        <v>#REF!</v>
      </c>
      <c r="AM59" t="e">
        <f>AND('PROG FORMACIÓN TITULADA'!#REF!,"AAAAADc+5yY=")</f>
        <v>#REF!</v>
      </c>
      <c r="AN59" t="e">
        <f>AND('PROG FORMACIÓN TITULADA'!#REF!,"AAAAADc+5yc=")</f>
        <v>#REF!</v>
      </c>
      <c r="AO59" t="e">
        <f>AND('PROG FORMACIÓN TITULADA'!#REF!,"AAAAADc+5yg=")</f>
        <v>#REF!</v>
      </c>
      <c r="AP59" t="e">
        <f>AND('PROG FORMACIÓN TITULADA'!#REF!,"AAAAADc+5yk=")</f>
        <v>#REF!</v>
      </c>
      <c r="AQ59" t="e">
        <f>AND('PROG FORMACIÓN TITULADA'!#REF!,"AAAAADc+5yo=")</f>
        <v>#REF!</v>
      </c>
      <c r="AR59" t="e">
        <f>IF('PROG FORMACIÓN TITULADA'!#REF!,"AAAAADc+5ys=",0)</f>
        <v>#REF!</v>
      </c>
      <c r="AS59" t="e">
        <f>AND('PROG FORMACIÓN TITULADA'!#REF!,"AAAAADc+5yw=")</f>
        <v>#REF!</v>
      </c>
      <c r="AT59" t="e">
        <f>AND('PROG FORMACIÓN TITULADA'!#REF!,"AAAAADc+5y0=")</f>
        <v>#REF!</v>
      </c>
      <c r="AU59" t="e">
        <f>AND('PROG FORMACIÓN TITULADA'!#REF!,"AAAAADc+5y4=")</f>
        <v>#REF!</v>
      </c>
      <c r="AV59" t="e">
        <f>AND('PROG FORMACIÓN TITULADA'!#REF!,"AAAAADc+5y8=")</f>
        <v>#REF!</v>
      </c>
      <c r="AW59" t="e">
        <f>AND('PROG FORMACIÓN TITULADA'!#REF!,"AAAAADc+5zA=")</f>
        <v>#REF!</v>
      </c>
      <c r="AX59" t="e">
        <f>AND('PROG FORMACIÓN TITULADA'!#REF!,"AAAAADc+5zE=")</f>
        <v>#REF!</v>
      </c>
      <c r="AY59" t="e">
        <f>AND('PROG FORMACIÓN TITULADA'!#REF!,"AAAAADc+5zI=")</f>
        <v>#REF!</v>
      </c>
      <c r="AZ59" t="e">
        <f>AND('PROG FORMACIÓN TITULADA'!#REF!,"AAAAADc+5zM=")</f>
        <v>#REF!</v>
      </c>
      <c r="BA59" t="e">
        <f>AND('PROG FORMACIÓN TITULADA'!#REF!,"AAAAADc+5zQ=")</f>
        <v>#REF!</v>
      </c>
      <c r="BB59" t="e">
        <f>AND('PROG FORMACIÓN TITULADA'!#REF!,"AAAAADc+5zU=")</f>
        <v>#REF!</v>
      </c>
      <c r="BC59" t="e">
        <f>AND('PROG FORMACIÓN TITULADA'!#REF!,"AAAAADc+5zY=")</f>
        <v>#REF!</v>
      </c>
      <c r="BD59" t="e">
        <f>AND('PROG FORMACIÓN TITULADA'!#REF!,"AAAAADc+5zc=")</f>
        <v>#REF!</v>
      </c>
      <c r="BE59" t="e">
        <f>AND('PROG FORMACIÓN TITULADA'!#REF!,"AAAAADc+5zg=")</f>
        <v>#REF!</v>
      </c>
      <c r="BF59" t="e">
        <f>AND('PROG FORMACIÓN TITULADA'!#REF!,"AAAAADc+5zk=")</f>
        <v>#REF!</v>
      </c>
      <c r="BG59" t="e">
        <f>AND('PROG FORMACIÓN TITULADA'!#REF!,"AAAAADc+5zo=")</f>
        <v>#REF!</v>
      </c>
      <c r="BH59" t="e">
        <f>AND('PROG FORMACIÓN TITULADA'!#REF!,"AAAAADc+5zs=")</f>
        <v>#REF!</v>
      </c>
      <c r="BI59" t="e">
        <f>AND('PROG FORMACIÓN TITULADA'!#REF!,"AAAAADc+5zw=")</f>
        <v>#REF!</v>
      </c>
      <c r="BJ59" t="e">
        <f>AND('PROG FORMACIÓN TITULADA'!#REF!,"AAAAADc+5z0=")</f>
        <v>#REF!</v>
      </c>
      <c r="BK59" t="e">
        <f>AND('PROG FORMACIÓN TITULADA'!#REF!,"AAAAADc+5z4=")</f>
        <v>#REF!</v>
      </c>
      <c r="BL59" t="e">
        <f>AND('PROG FORMACIÓN TITULADA'!#REF!,"AAAAADc+5z8=")</f>
        <v>#REF!</v>
      </c>
      <c r="BM59" t="e">
        <f>AND('PROG FORMACIÓN TITULADA'!#REF!,"AAAAADc+50A=")</f>
        <v>#REF!</v>
      </c>
      <c r="BN59" t="e">
        <f>AND('PROG FORMACIÓN TITULADA'!#REF!,"AAAAADc+50E=")</f>
        <v>#REF!</v>
      </c>
      <c r="BO59" t="e">
        <f>AND('PROG FORMACIÓN TITULADA'!#REF!,"AAAAADc+50I=")</f>
        <v>#REF!</v>
      </c>
      <c r="BP59" t="e">
        <f>AND('PROG FORMACIÓN TITULADA'!#REF!,"AAAAADc+50M=")</f>
        <v>#REF!</v>
      </c>
      <c r="BQ59" t="e">
        <f>AND('PROG FORMACIÓN TITULADA'!#REF!,"AAAAADc+50Q=")</f>
        <v>#REF!</v>
      </c>
      <c r="BR59" t="e">
        <f>AND('PROG FORMACIÓN TITULADA'!#REF!,"AAAAADc+50U=")</f>
        <v>#REF!</v>
      </c>
      <c r="BS59" t="e">
        <f>IF('PROG FORMACIÓN TITULADA'!#REF!,"AAAAADc+50Y=",0)</f>
        <v>#REF!</v>
      </c>
      <c r="BT59" t="e">
        <f>AND('PROG FORMACIÓN TITULADA'!#REF!,"AAAAADc+50c=")</f>
        <v>#REF!</v>
      </c>
      <c r="BU59" t="e">
        <f>AND('PROG FORMACIÓN TITULADA'!#REF!,"AAAAADc+50g=")</f>
        <v>#REF!</v>
      </c>
      <c r="BV59" t="e">
        <f>AND('PROG FORMACIÓN TITULADA'!#REF!,"AAAAADc+50k=")</f>
        <v>#REF!</v>
      </c>
      <c r="BW59" t="e">
        <f>AND('PROG FORMACIÓN TITULADA'!#REF!,"AAAAADc+50o=")</f>
        <v>#REF!</v>
      </c>
      <c r="BX59" t="e">
        <f>AND('PROG FORMACIÓN TITULADA'!#REF!,"AAAAADc+50s=")</f>
        <v>#REF!</v>
      </c>
      <c r="BY59" t="e">
        <f>AND('PROG FORMACIÓN TITULADA'!#REF!,"AAAAADc+50w=")</f>
        <v>#REF!</v>
      </c>
      <c r="BZ59" t="e">
        <f>AND('PROG FORMACIÓN TITULADA'!#REF!,"AAAAADc+500=")</f>
        <v>#REF!</v>
      </c>
      <c r="CA59" t="e">
        <f>AND('PROG FORMACIÓN TITULADA'!#REF!,"AAAAADc+504=")</f>
        <v>#REF!</v>
      </c>
      <c r="CB59" t="e">
        <f>AND('PROG FORMACIÓN TITULADA'!#REF!,"AAAAADc+508=")</f>
        <v>#REF!</v>
      </c>
      <c r="CC59" t="e">
        <f>AND('PROG FORMACIÓN TITULADA'!#REF!,"AAAAADc+51A=")</f>
        <v>#REF!</v>
      </c>
      <c r="CD59" t="e">
        <f>AND('PROG FORMACIÓN TITULADA'!#REF!,"AAAAADc+51E=")</f>
        <v>#REF!</v>
      </c>
      <c r="CE59" t="e">
        <f>AND('PROG FORMACIÓN TITULADA'!#REF!,"AAAAADc+51I=")</f>
        <v>#REF!</v>
      </c>
      <c r="CF59" t="e">
        <f>AND('PROG FORMACIÓN TITULADA'!#REF!,"AAAAADc+51M=")</f>
        <v>#REF!</v>
      </c>
      <c r="CG59" t="e">
        <f>AND('PROG FORMACIÓN TITULADA'!#REF!,"AAAAADc+51Q=")</f>
        <v>#REF!</v>
      </c>
      <c r="CH59" t="e">
        <f>AND('PROG FORMACIÓN TITULADA'!#REF!,"AAAAADc+51U=")</f>
        <v>#REF!</v>
      </c>
      <c r="CI59" t="e">
        <f>AND('PROG FORMACIÓN TITULADA'!#REF!,"AAAAADc+51Y=")</f>
        <v>#REF!</v>
      </c>
      <c r="CJ59" t="e">
        <f>AND('PROG FORMACIÓN TITULADA'!#REF!,"AAAAADc+51c=")</f>
        <v>#REF!</v>
      </c>
      <c r="CK59" t="e">
        <f>AND('PROG FORMACIÓN TITULADA'!#REF!,"AAAAADc+51g=")</f>
        <v>#REF!</v>
      </c>
      <c r="CL59" t="e">
        <f>AND('PROG FORMACIÓN TITULADA'!#REF!,"AAAAADc+51k=")</f>
        <v>#REF!</v>
      </c>
      <c r="CM59" t="e">
        <f>AND('PROG FORMACIÓN TITULADA'!#REF!,"AAAAADc+51o=")</f>
        <v>#REF!</v>
      </c>
      <c r="CN59" t="e">
        <f>AND('PROG FORMACIÓN TITULADA'!#REF!,"AAAAADc+51s=")</f>
        <v>#REF!</v>
      </c>
      <c r="CO59" t="e">
        <f>AND('PROG FORMACIÓN TITULADA'!#REF!,"AAAAADc+51w=")</f>
        <v>#REF!</v>
      </c>
      <c r="CP59" t="e">
        <f>AND('PROG FORMACIÓN TITULADA'!#REF!,"AAAAADc+510=")</f>
        <v>#REF!</v>
      </c>
      <c r="CQ59" t="e">
        <f>AND('PROG FORMACIÓN TITULADA'!#REF!,"AAAAADc+514=")</f>
        <v>#REF!</v>
      </c>
      <c r="CR59" t="e">
        <f>AND('PROG FORMACIÓN TITULADA'!#REF!,"AAAAADc+518=")</f>
        <v>#REF!</v>
      </c>
      <c r="CS59" t="e">
        <f>AND('PROG FORMACIÓN TITULADA'!#REF!,"AAAAADc+52A=")</f>
        <v>#REF!</v>
      </c>
      <c r="CT59" t="e">
        <f>IF('PROG FORMACIÓN TITULADA'!#REF!,"AAAAADc+52E=",0)</f>
        <v>#REF!</v>
      </c>
      <c r="CU59" t="e">
        <f>AND('PROG FORMACIÓN TITULADA'!#REF!,"AAAAADc+52I=")</f>
        <v>#REF!</v>
      </c>
      <c r="CV59" t="e">
        <f>AND('PROG FORMACIÓN TITULADA'!#REF!,"AAAAADc+52M=")</f>
        <v>#REF!</v>
      </c>
      <c r="CW59" t="e">
        <f>AND('PROG FORMACIÓN TITULADA'!#REF!,"AAAAADc+52Q=")</f>
        <v>#REF!</v>
      </c>
      <c r="CX59" t="e">
        <f>AND('PROG FORMACIÓN TITULADA'!#REF!,"AAAAADc+52U=")</f>
        <v>#REF!</v>
      </c>
      <c r="CY59" t="e">
        <f>AND('PROG FORMACIÓN TITULADA'!#REF!,"AAAAADc+52Y=")</f>
        <v>#REF!</v>
      </c>
      <c r="CZ59" t="e">
        <f>AND('PROG FORMACIÓN TITULADA'!#REF!,"AAAAADc+52c=")</f>
        <v>#REF!</v>
      </c>
      <c r="DA59" t="e">
        <f>AND('PROG FORMACIÓN TITULADA'!#REF!,"AAAAADc+52g=")</f>
        <v>#REF!</v>
      </c>
      <c r="DB59" t="e">
        <f>AND('PROG FORMACIÓN TITULADA'!#REF!,"AAAAADc+52k=")</f>
        <v>#REF!</v>
      </c>
      <c r="DC59" t="e">
        <f>AND('PROG FORMACIÓN TITULADA'!#REF!,"AAAAADc+52o=")</f>
        <v>#REF!</v>
      </c>
      <c r="DD59" t="e">
        <f>AND('PROG FORMACIÓN TITULADA'!#REF!,"AAAAADc+52s=")</f>
        <v>#REF!</v>
      </c>
      <c r="DE59" t="e">
        <f>AND('PROG FORMACIÓN TITULADA'!#REF!,"AAAAADc+52w=")</f>
        <v>#REF!</v>
      </c>
      <c r="DF59" t="e">
        <f>AND('PROG FORMACIÓN TITULADA'!#REF!,"AAAAADc+520=")</f>
        <v>#REF!</v>
      </c>
      <c r="DG59" t="e">
        <f>AND('PROG FORMACIÓN TITULADA'!#REF!,"AAAAADc+524=")</f>
        <v>#REF!</v>
      </c>
      <c r="DH59" t="e">
        <f>AND('PROG FORMACIÓN TITULADA'!#REF!,"AAAAADc+528=")</f>
        <v>#REF!</v>
      </c>
      <c r="DI59" t="e">
        <f>AND('PROG FORMACIÓN TITULADA'!#REF!,"AAAAADc+53A=")</f>
        <v>#REF!</v>
      </c>
      <c r="DJ59" t="e">
        <f>AND('PROG FORMACIÓN TITULADA'!#REF!,"AAAAADc+53E=")</f>
        <v>#REF!</v>
      </c>
      <c r="DK59" t="e">
        <f>AND('PROG FORMACIÓN TITULADA'!#REF!,"AAAAADc+53I=")</f>
        <v>#REF!</v>
      </c>
      <c r="DL59" t="e">
        <f>AND('PROG FORMACIÓN TITULADA'!#REF!,"AAAAADc+53M=")</f>
        <v>#REF!</v>
      </c>
      <c r="DM59" t="e">
        <f>AND('PROG FORMACIÓN TITULADA'!#REF!,"AAAAADc+53Q=")</f>
        <v>#REF!</v>
      </c>
      <c r="DN59" t="e">
        <f>AND('PROG FORMACIÓN TITULADA'!#REF!,"AAAAADc+53U=")</f>
        <v>#REF!</v>
      </c>
      <c r="DO59" t="e">
        <f>AND('PROG FORMACIÓN TITULADA'!#REF!,"AAAAADc+53Y=")</f>
        <v>#REF!</v>
      </c>
      <c r="DP59" t="e">
        <f>AND('PROG FORMACIÓN TITULADA'!#REF!,"AAAAADc+53c=")</f>
        <v>#REF!</v>
      </c>
      <c r="DQ59" t="e">
        <f>AND('PROG FORMACIÓN TITULADA'!#REF!,"AAAAADc+53g=")</f>
        <v>#REF!</v>
      </c>
      <c r="DR59" t="e">
        <f>AND('PROG FORMACIÓN TITULADA'!#REF!,"AAAAADc+53k=")</f>
        <v>#REF!</v>
      </c>
      <c r="DS59" t="e">
        <f>AND('PROG FORMACIÓN TITULADA'!#REF!,"AAAAADc+53o=")</f>
        <v>#REF!</v>
      </c>
      <c r="DT59" t="e">
        <f>AND('PROG FORMACIÓN TITULADA'!#REF!,"AAAAADc+53s=")</f>
        <v>#REF!</v>
      </c>
      <c r="DU59" t="e">
        <f>IF('PROG FORMACIÓN TITULADA'!#REF!,"AAAAADc+53w=",0)</f>
        <v>#REF!</v>
      </c>
      <c r="DV59" t="e">
        <f>AND('PROG FORMACIÓN TITULADA'!#REF!,"AAAAADc+530=")</f>
        <v>#REF!</v>
      </c>
      <c r="DW59" t="e">
        <f>AND('PROG FORMACIÓN TITULADA'!#REF!,"AAAAADc+534=")</f>
        <v>#REF!</v>
      </c>
      <c r="DX59" t="e">
        <f>AND('PROG FORMACIÓN TITULADA'!#REF!,"AAAAADc+538=")</f>
        <v>#REF!</v>
      </c>
      <c r="DY59" t="e">
        <f>AND('PROG FORMACIÓN TITULADA'!#REF!,"AAAAADc+54A=")</f>
        <v>#REF!</v>
      </c>
      <c r="DZ59" t="e">
        <f>AND('PROG FORMACIÓN TITULADA'!#REF!,"AAAAADc+54E=")</f>
        <v>#REF!</v>
      </c>
      <c r="EA59" t="e">
        <f>AND('PROG FORMACIÓN TITULADA'!#REF!,"AAAAADc+54I=")</f>
        <v>#REF!</v>
      </c>
      <c r="EB59" t="e">
        <f>AND('PROG FORMACIÓN TITULADA'!#REF!,"AAAAADc+54M=")</f>
        <v>#REF!</v>
      </c>
      <c r="EC59" t="e">
        <f>AND('PROG FORMACIÓN TITULADA'!#REF!,"AAAAADc+54Q=")</f>
        <v>#REF!</v>
      </c>
      <c r="ED59" t="e">
        <f>AND('PROG FORMACIÓN TITULADA'!#REF!,"AAAAADc+54U=")</f>
        <v>#REF!</v>
      </c>
      <c r="EE59" t="e">
        <f>AND('PROG FORMACIÓN TITULADA'!#REF!,"AAAAADc+54Y=")</f>
        <v>#REF!</v>
      </c>
      <c r="EF59" t="e">
        <f>AND('PROG FORMACIÓN TITULADA'!#REF!,"AAAAADc+54c=")</f>
        <v>#REF!</v>
      </c>
      <c r="EG59" t="e">
        <f>AND('PROG FORMACIÓN TITULADA'!#REF!,"AAAAADc+54g=")</f>
        <v>#REF!</v>
      </c>
      <c r="EH59" t="e">
        <f>AND('PROG FORMACIÓN TITULADA'!#REF!,"AAAAADc+54k=")</f>
        <v>#REF!</v>
      </c>
      <c r="EI59" t="e">
        <f>AND('PROG FORMACIÓN TITULADA'!#REF!,"AAAAADc+54o=")</f>
        <v>#REF!</v>
      </c>
      <c r="EJ59" t="e">
        <f>AND('PROG FORMACIÓN TITULADA'!#REF!,"AAAAADc+54s=")</f>
        <v>#REF!</v>
      </c>
      <c r="EK59" t="e">
        <f>AND('PROG FORMACIÓN TITULADA'!#REF!,"AAAAADc+54w=")</f>
        <v>#REF!</v>
      </c>
      <c r="EL59" t="e">
        <f>AND('PROG FORMACIÓN TITULADA'!#REF!,"AAAAADc+540=")</f>
        <v>#REF!</v>
      </c>
      <c r="EM59" t="e">
        <f>AND('PROG FORMACIÓN TITULADA'!#REF!,"AAAAADc+544=")</f>
        <v>#REF!</v>
      </c>
      <c r="EN59" t="e">
        <f>AND('PROG FORMACIÓN TITULADA'!#REF!,"AAAAADc+548=")</f>
        <v>#REF!</v>
      </c>
      <c r="EO59" t="e">
        <f>AND('PROG FORMACIÓN TITULADA'!#REF!,"AAAAADc+55A=")</f>
        <v>#REF!</v>
      </c>
      <c r="EP59" t="e">
        <f>AND('PROG FORMACIÓN TITULADA'!#REF!,"AAAAADc+55E=")</f>
        <v>#REF!</v>
      </c>
      <c r="EQ59" t="e">
        <f>AND('PROG FORMACIÓN TITULADA'!#REF!,"AAAAADc+55I=")</f>
        <v>#REF!</v>
      </c>
      <c r="ER59" t="e">
        <f>AND('PROG FORMACIÓN TITULADA'!#REF!,"AAAAADc+55M=")</f>
        <v>#REF!</v>
      </c>
      <c r="ES59" t="e">
        <f>AND('PROG FORMACIÓN TITULADA'!#REF!,"AAAAADc+55Q=")</f>
        <v>#REF!</v>
      </c>
      <c r="ET59" t="e">
        <f>AND('PROG FORMACIÓN TITULADA'!#REF!,"AAAAADc+55U=")</f>
        <v>#REF!</v>
      </c>
      <c r="EU59" t="e">
        <f>AND('PROG FORMACIÓN TITULADA'!#REF!,"AAAAADc+55Y=")</f>
        <v>#REF!</v>
      </c>
      <c r="EV59" t="e">
        <f>IF('PROG FORMACIÓN TITULADA'!#REF!,"AAAAADc+55c=",0)</f>
        <v>#REF!</v>
      </c>
      <c r="EW59" t="e">
        <f>AND('PROG FORMACIÓN TITULADA'!#REF!,"AAAAADc+55g=")</f>
        <v>#REF!</v>
      </c>
      <c r="EX59" t="e">
        <f>AND('PROG FORMACIÓN TITULADA'!#REF!,"AAAAADc+55k=")</f>
        <v>#REF!</v>
      </c>
      <c r="EY59" t="e">
        <f>AND('PROG FORMACIÓN TITULADA'!#REF!,"AAAAADc+55o=")</f>
        <v>#REF!</v>
      </c>
      <c r="EZ59" t="e">
        <f>AND('PROG FORMACIÓN TITULADA'!#REF!,"AAAAADc+55s=")</f>
        <v>#REF!</v>
      </c>
      <c r="FA59" t="e">
        <f>AND('PROG FORMACIÓN TITULADA'!#REF!,"AAAAADc+55w=")</f>
        <v>#REF!</v>
      </c>
      <c r="FB59" t="e">
        <f>AND('PROG FORMACIÓN TITULADA'!#REF!,"AAAAADc+550=")</f>
        <v>#REF!</v>
      </c>
      <c r="FC59" t="e">
        <f>AND('PROG FORMACIÓN TITULADA'!#REF!,"AAAAADc+554=")</f>
        <v>#REF!</v>
      </c>
      <c r="FD59" t="e">
        <f>AND('PROG FORMACIÓN TITULADA'!#REF!,"AAAAADc+558=")</f>
        <v>#REF!</v>
      </c>
      <c r="FE59" t="e">
        <f>AND('PROG FORMACIÓN TITULADA'!#REF!,"AAAAADc+56A=")</f>
        <v>#REF!</v>
      </c>
      <c r="FF59" t="e">
        <f>AND('PROG FORMACIÓN TITULADA'!#REF!,"AAAAADc+56E=")</f>
        <v>#REF!</v>
      </c>
      <c r="FG59" t="e">
        <f>AND('PROG FORMACIÓN TITULADA'!#REF!,"AAAAADc+56I=")</f>
        <v>#REF!</v>
      </c>
      <c r="FH59" t="e">
        <f>AND('PROG FORMACIÓN TITULADA'!#REF!,"AAAAADc+56M=")</f>
        <v>#REF!</v>
      </c>
      <c r="FI59" t="e">
        <f>AND('PROG FORMACIÓN TITULADA'!#REF!,"AAAAADc+56Q=")</f>
        <v>#REF!</v>
      </c>
      <c r="FJ59" t="e">
        <f>AND('PROG FORMACIÓN TITULADA'!#REF!,"AAAAADc+56U=")</f>
        <v>#REF!</v>
      </c>
      <c r="FK59" t="e">
        <f>AND('PROG FORMACIÓN TITULADA'!#REF!,"AAAAADc+56Y=")</f>
        <v>#REF!</v>
      </c>
      <c r="FL59" t="e">
        <f>AND('PROG FORMACIÓN TITULADA'!#REF!,"AAAAADc+56c=")</f>
        <v>#REF!</v>
      </c>
      <c r="FM59" t="e">
        <f>AND('PROG FORMACIÓN TITULADA'!#REF!,"AAAAADc+56g=")</f>
        <v>#REF!</v>
      </c>
      <c r="FN59" t="e">
        <f>AND('PROG FORMACIÓN TITULADA'!#REF!,"AAAAADc+56k=")</f>
        <v>#REF!</v>
      </c>
      <c r="FO59" t="e">
        <f>AND('PROG FORMACIÓN TITULADA'!#REF!,"AAAAADc+56o=")</f>
        <v>#REF!</v>
      </c>
      <c r="FP59" t="e">
        <f>AND('PROG FORMACIÓN TITULADA'!#REF!,"AAAAADc+56s=")</f>
        <v>#REF!</v>
      </c>
      <c r="FQ59" t="e">
        <f>AND('PROG FORMACIÓN TITULADA'!#REF!,"AAAAADc+56w=")</f>
        <v>#REF!</v>
      </c>
      <c r="FR59" t="e">
        <f>AND('PROG FORMACIÓN TITULADA'!#REF!,"AAAAADc+560=")</f>
        <v>#REF!</v>
      </c>
      <c r="FS59" t="e">
        <f>AND('PROG FORMACIÓN TITULADA'!#REF!,"AAAAADc+564=")</f>
        <v>#REF!</v>
      </c>
      <c r="FT59" t="e">
        <f>AND('PROG FORMACIÓN TITULADA'!#REF!,"AAAAADc+568=")</f>
        <v>#REF!</v>
      </c>
      <c r="FU59" t="e">
        <f>AND('PROG FORMACIÓN TITULADA'!#REF!,"AAAAADc+57A=")</f>
        <v>#REF!</v>
      </c>
      <c r="FV59" t="e">
        <f>AND('PROG FORMACIÓN TITULADA'!#REF!,"AAAAADc+57E=")</f>
        <v>#REF!</v>
      </c>
      <c r="FW59" t="e">
        <f>IF('PROG FORMACIÓN TITULADA'!#REF!,"AAAAADc+57I=",0)</f>
        <v>#REF!</v>
      </c>
      <c r="FX59" t="e">
        <f>AND('PROG FORMACIÓN TITULADA'!#REF!,"AAAAADc+57M=")</f>
        <v>#REF!</v>
      </c>
      <c r="FY59" t="e">
        <f>AND('PROG FORMACIÓN TITULADA'!#REF!,"AAAAADc+57Q=")</f>
        <v>#REF!</v>
      </c>
      <c r="FZ59" t="e">
        <f>AND('PROG FORMACIÓN TITULADA'!#REF!,"AAAAADc+57U=")</f>
        <v>#REF!</v>
      </c>
      <c r="GA59" t="e">
        <f>AND('PROG FORMACIÓN TITULADA'!#REF!,"AAAAADc+57Y=")</f>
        <v>#REF!</v>
      </c>
      <c r="GB59" t="e">
        <f>AND('PROG FORMACIÓN TITULADA'!#REF!,"AAAAADc+57c=")</f>
        <v>#REF!</v>
      </c>
      <c r="GC59" t="e">
        <f>AND('PROG FORMACIÓN TITULADA'!#REF!,"AAAAADc+57g=")</f>
        <v>#REF!</v>
      </c>
      <c r="GD59" t="e">
        <f>AND('PROG FORMACIÓN TITULADA'!#REF!,"AAAAADc+57k=")</f>
        <v>#REF!</v>
      </c>
      <c r="GE59" t="e">
        <f>AND('PROG FORMACIÓN TITULADA'!#REF!,"AAAAADc+57o=")</f>
        <v>#REF!</v>
      </c>
      <c r="GF59" t="e">
        <f>AND('PROG FORMACIÓN TITULADA'!#REF!,"AAAAADc+57s=")</f>
        <v>#REF!</v>
      </c>
      <c r="GG59" t="e">
        <f>AND('PROG FORMACIÓN TITULADA'!#REF!,"AAAAADc+57w=")</f>
        <v>#REF!</v>
      </c>
      <c r="GH59" t="e">
        <f>AND('PROG FORMACIÓN TITULADA'!#REF!,"AAAAADc+570=")</f>
        <v>#REF!</v>
      </c>
      <c r="GI59" t="e">
        <f>AND('PROG FORMACIÓN TITULADA'!#REF!,"AAAAADc+574=")</f>
        <v>#REF!</v>
      </c>
      <c r="GJ59" t="e">
        <f>AND('PROG FORMACIÓN TITULADA'!#REF!,"AAAAADc+578=")</f>
        <v>#REF!</v>
      </c>
      <c r="GK59" t="e">
        <f>AND('PROG FORMACIÓN TITULADA'!#REF!,"AAAAADc+58A=")</f>
        <v>#REF!</v>
      </c>
      <c r="GL59" t="e">
        <f>AND('PROG FORMACIÓN TITULADA'!#REF!,"AAAAADc+58E=")</f>
        <v>#REF!</v>
      </c>
      <c r="GM59" t="e">
        <f>AND('PROG FORMACIÓN TITULADA'!#REF!,"AAAAADc+58I=")</f>
        <v>#REF!</v>
      </c>
      <c r="GN59" t="e">
        <f>AND('PROG FORMACIÓN TITULADA'!#REF!,"AAAAADc+58M=")</f>
        <v>#REF!</v>
      </c>
      <c r="GO59" t="e">
        <f>AND('PROG FORMACIÓN TITULADA'!#REF!,"AAAAADc+58Q=")</f>
        <v>#REF!</v>
      </c>
      <c r="GP59" t="e">
        <f>AND('PROG FORMACIÓN TITULADA'!#REF!,"AAAAADc+58U=")</f>
        <v>#REF!</v>
      </c>
      <c r="GQ59" t="e">
        <f>AND('PROG FORMACIÓN TITULADA'!#REF!,"AAAAADc+58Y=")</f>
        <v>#REF!</v>
      </c>
      <c r="GR59" t="e">
        <f>AND('PROG FORMACIÓN TITULADA'!#REF!,"AAAAADc+58c=")</f>
        <v>#REF!</v>
      </c>
      <c r="GS59" t="e">
        <f>AND('PROG FORMACIÓN TITULADA'!#REF!,"AAAAADc+58g=")</f>
        <v>#REF!</v>
      </c>
      <c r="GT59" t="e">
        <f>AND('PROG FORMACIÓN TITULADA'!#REF!,"AAAAADc+58k=")</f>
        <v>#REF!</v>
      </c>
      <c r="GU59" t="e">
        <f>AND('PROG FORMACIÓN TITULADA'!#REF!,"AAAAADc+58o=")</f>
        <v>#REF!</v>
      </c>
      <c r="GV59" t="e">
        <f>AND('PROG FORMACIÓN TITULADA'!#REF!,"AAAAADc+58s=")</f>
        <v>#REF!</v>
      </c>
      <c r="GW59" t="e">
        <f>AND('PROG FORMACIÓN TITULADA'!#REF!,"AAAAADc+58w=")</f>
        <v>#REF!</v>
      </c>
      <c r="GX59" t="e">
        <f>IF('PROG FORMACIÓN TITULADA'!#REF!,"AAAAADc+580=",0)</f>
        <v>#REF!</v>
      </c>
      <c r="GY59" t="e">
        <f>AND('PROG FORMACIÓN TITULADA'!#REF!,"AAAAADc+584=")</f>
        <v>#REF!</v>
      </c>
      <c r="GZ59" t="e">
        <f>AND('PROG FORMACIÓN TITULADA'!#REF!,"AAAAADc+588=")</f>
        <v>#REF!</v>
      </c>
      <c r="HA59" t="e">
        <f>AND('PROG FORMACIÓN TITULADA'!#REF!,"AAAAADc+59A=")</f>
        <v>#REF!</v>
      </c>
      <c r="HB59" t="e">
        <f>AND('PROG FORMACIÓN TITULADA'!#REF!,"AAAAADc+59E=")</f>
        <v>#REF!</v>
      </c>
      <c r="HC59" t="e">
        <f>AND('PROG FORMACIÓN TITULADA'!#REF!,"AAAAADc+59I=")</f>
        <v>#REF!</v>
      </c>
      <c r="HD59" t="e">
        <f>AND('PROG FORMACIÓN TITULADA'!#REF!,"AAAAADc+59M=")</f>
        <v>#REF!</v>
      </c>
      <c r="HE59" t="e">
        <f>AND('PROG FORMACIÓN TITULADA'!#REF!,"AAAAADc+59Q=")</f>
        <v>#REF!</v>
      </c>
      <c r="HF59" t="e">
        <f>AND('PROG FORMACIÓN TITULADA'!#REF!,"AAAAADc+59U=")</f>
        <v>#REF!</v>
      </c>
      <c r="HG59" t="e">
        <f>AND('PROG FORMACIÓN TITULADA'!#REF!,"AAAAADc+59Y=")</f>
        <v>#REF!</v>
      </c>
      <c r="HH59" t="e">
        <f>AND('PROG FORMACIÓN TITULADA'!#REF!,"AAAAADc+59c=")</f>
        <v>#REF!</v>
      </c>
      <c r="HI59" t="e">
        <f>AND('PROG FORMACIÓN TITULADA'!#REF!,"AAAAADc+59g=")</f>
        <v>#REF!</v>
      </c>
      <c r="HJ59" t="e">
        <f>AND('PROG FORMACIÓN TITULADA'!#REF!,"AAAAADc+59k=")</f>
        <v>#REF!</v>
      </c>
      <c r="HK59" t="e">
        <f>AND('PROG FORMACIÓN TITULADA'!#REF!,"AAAAADc+59o=")</f>
        <v>#REF!</v>
      </c>
      <c r="HL59" t="e">
        <f>AND('PROG FORMACIÓN TITULADA'!#REF!,"AAAAADc+59s=")</f>
        <v>#REF!</v>
      </c>
      <c r="HM59" t="e">
        <f>AND('PROG FORMACIÓN TITULADA'!#REF!,"AAAAADc+59w=")</f>
        <v>#REF!</v>
      </c>
      <c r="HN59" t="e">
        <f>AND('PROG FORMACIÓN TITULADA'!#REF!,"AAAAADc+590=")</f>
        <v>#REF!</v>
      </c>
      <c r="HO59" t="e">
        <f>AND('PROG FORMACIÓN TITULADA'!#REF!,"AAAAADc+594=")</f>
        <v>#REF!</v>
      </c>
      <c r="HP59" t="e">
        <f>AND('PROG FORMACIÓN TITULADA'!#REF!,"AAAAADc+598=")</f>
        <v>#REF!</v>
      </c>
      <c r="HQ59" t="e">
        <f>AND('PROG FORMACIÓN TITULADA'!#REF!,"AAAAADc+5+A=")</f>
        <v>#REF!</v>
      </c>
      <c r="HR59" t="e">
        <f>AND('PROG FORMACIÓN TITULADA'!#REF!,"AAAAADc+5+E=")</f>
        <v>#REF!</v>
      </c>
      <c r="HS59" t="e">
        <f>AND('PROG FORMACIÓN TITULADA'!#REF!,"AAAAADc+5+I=")</f>
        <v>#REF!</v>
      </c>
      <c r="HT59" t="e">
        <f>AND('PROG FORMACIÓN TITULADA'!#REF!,"AAAAADc+5+M=")</f>
        <v>#REF!</v>
      </c>
      <c r="HU59" t="e">
        <f>AND('PROG FORMACIÓN TITULADA'!#REF!,"AAAAADc+5+Q=")</f>
        <v>#REF!</v>
      </c>
      <c r="HV59" t="e">
        <f>AND('PROG FORMACIÓN TITULADA'!#REF!,"AAAAADc+5+U=")</f>
        <v>#REF!</v>
      </c>
      <c r="HW59" t="e">
        <f>AND('PROG FORMACIÓN TITULADA'!#REF!,"AAAAADc+5+Y=")</f>
        <v>#REF!</v>
      </c>
      <c r="HX59" t="e">
        <f>AND('PROG FORMACIÓN TITULADA'!#REF!,"AAAAADc+5+c=")</f>
        <v>#REF!</v>
      </c>
      <c r="HY59" t="e">
        <f>IF('PROG FORMACIÓN TITULADA'!#REF!,"AAAAADc+5+g=",0)</f>
        <v>#REF!</v>
      </c>
      <c r="HZ59" t="e">
        <f>AND('PROG FORMACIÓN TITULADA'!#REF!,"AAAAADc+5+k=")</f>
        <v>#REF!</v>
      </c>
      <c r="IA59" t="e">
        <f>AND('PROG FORMACIÓN TITULADA'!#REF!,"AAAAADc+5+o=")</f>
        <v>#REF!</v>
      </c>
      <c r="IB59" t="e">
        <f>AND('PROG FORMACIÓN TITULADA'!#REF!,"AAAAADc+5+s=")</f>
        <v>#REF!</v>
      </c>
      <c r="IC59" t="e">
        <f>AND('PROG FORMACIÓN TITULADA'!#REF!,"AAAAADc+5+w=")</f>
        <v>#REF!</v>
      </c>
      <c r="ID59" t="e">
        <f>AND('PROG FORMACIÓN TITULADA'!#REF!,"AAAAADc+5+0=")</f>
        <v>#REF!</v>
      </c>
      <c r="IE59" t="e">
        <f>AND('PROG FORMACIÓN TITULADA'!#REF!,"AAAAADc+5+4=")</f>
        <v>#REF!</v>
      </c>
      <c r="IF59" t="e">
        <f>AND('PROG FORMACIÓN TITULADA'!#REF!,"AAAAADc+5+8=")</f>
        <v>#REF!</v>
      </c>
      <c r="IG59" t="e">
        <f>AND('PROG FORMACIÓN TITULADA'!#REF!,"AAAAADc+5/A=")</f>
        <v>#REF!</v>
      </c>
      <c r="IH59" t="e">
        <f>AND('PROG FORMACIÓN TITULADA'!#REF!,"AAAAADc+5/E=")</f>
        <v>#REF!</v>
      </c>
      <c r="II59" t="e">
        <f>AND('PROG FORMACIÓN TITULADA'!#REF!,"AAAAADc+5/I=")</f>
        <v>#REF!</v>
      </c>
      <c r="IJ59" t="e">
        <f>AND('PROG FORMACIÓN TITULADA'!#REF!,"AAAAADc+5/M=")</f>
        <v>#REF!</v>
      </c>
      <c r="IK59" t="e">
        <f>AND('PROG FORMACIÓN TITULADA'!#REF!,"AAAAADc+5/Q=")</f>
        <v>#REF!</v>
      </c>
      <c r="IL59" t="e">
        <f>AND('PROG FORMACIÓN TITULADA'!#REF!,"AAAAADc+5/U=")</f>
        <v>#REF!</v>
      </c>
      <c r="IM59" t="e">
        <f>AND('PROG FORMACIÓN TITULADA'!#REF!,"AAAAADc+5/Y=")</f>
        <v>#REF!</v>
      </c>
      <c r="IN59" t="e">
        <f>AND('PROG FORMACIÓN TITULADA'!#REF!,"AAAAADc+5/c=")</f>
        <v>#REF!</v>
      </c>
      <c r="IO59" t="e">
        <f>AND('PROG FORMACIÓN TITULADA'!#REF!,"AAAAADc+5/g=")</f>
        <v>#REF!</v>
      </c>
      <c r="IP59" t="e">
        <f>AND('PROG FORMACIÓN TITULADA'!#REF!,"AAAAADc+5/k=")</f>
        <v>#REF!</v>
      </c>
      <c r="IQ59" t="e">
        <f>AND('PROG FORMACIÓN TITULADA'!#REF!,"AAAAADc+5/o=")</f>
        <v>#REF!</v>
      </c>
      <c r="IR59" t="e">
        <f>AND('PROG FORMACIÓN TITULADA'!#REF!,"AAAAADc+5/s=")</f>
        <v>#REF!</v>
      </c>
      <c r="IS59" t="e">
        <f>AND('PROG FORMACIÓN TITULADA'!#REF!,"AAAAADc+5/w=")</f>
        <v>#REF!</v>
      </c>
      <c r="IT59" t="e">
        <f>AND('PROG FORMACIÓN TITULADA'!#REF!,"AAAAADc+5/0=")</f>
        <v>#REF!</v>
      </c>
      <c r="IU59" t="e">
        <f>AND('PROG FORMACIÓN TITULADA'!#REF!,"AAAAADc+5/4=")</f>
        <v>#REF!</v>
      </c>
      <c r="IV59" t="e">
        <f>AND('PROG FORMACIÓN TITULADA'!#REF!,"AAAAADc+5/8=")</f>
        <v>#REF!</v>
      </c>
    </row>
    <row r="60" spans="1:256" x14ac:dyDescent="0.2">
      <c r="A60" t="e">
        <f>AND('PROG FORMACIÓN TITULADA'!#REF!,"AAAAAH3/fwA=")</f>
        <v>#REF!</v>
      </c>
      <c r="B60" t="e">
        <f>AND('PROG FORMACIÓN TITULADA'!#REF!,"AAAAAH3/fwE=")</f>
        <v>#REF!</v>
      </c>
      <c r="C60" t="e">
        <f>AND('PROG FORMACIÓN TITULADA'!#REF!,"AAAAAH3/fwI=")</f>
        <v>#REF!</v>
      </c>
      <c r="D60" t="e">
        <f>IF('PROG FORMACIÓN TITULADA'!#REF!,"AAAAAH3/fwM=",0)</f>
        <v>#REF!</v>
      </c>
      <c r="E60" t="e">
        <f>AND('PROG FORMACIÓN TITULADA'!#REF!,"AAAAAH3/fwQ=")</f>
        <v>#REF!</v>
      </c>
      <c r="F60" t="e">
        <f>AND('PROG FORMACIÓN TITULADA'!#REF!,"AAAAAH3/fwU=")</f>
        <v>#REF!</v>
      </c>
      <c r="G60" t="e">
        <f>AND('PROG FORMACIÓN TITULADA'!#REF!,"AAAAAH3/fwY=")</f>
        <v>#REF!</v>
      </c>
      <c r="H60" t="e">
        <f>AND('PROG FORMACIÓN TITULADA'!#REF!,"AAAAAH3/fwc=")</f>
        <v>#REF!</v>
      </c>
      <c r="I60" t="e">
        <f>AND('PROG FORMACIÓN TITULADA'!#REF!,"AAAAAH3/fwg=")</f>
        <v>#REF!</v>
      </c>
      <c r="J60" t="e">
        <f>AND('PROG FORMACIÓN TITULADA'!#REF!,"AAAAAH3/fwk=")</f>
        <v>#REF!</v>
      </c>
      <c r="K60" t="e">
        <f>AND('PROG FORMACIÓN TITULADA'!#REF!,"AAAAAH3/fwo=")</f>
        <v>#REF!</v>
      </c>
      <c r="L60" t="e">
        <f>AND('PROG FORMACIÓN TITULADA'!#REF!,"AAAAAH3/fws=")</f>
        <v>#REF!</v>
      </c>
      <c r="M60" t="e">
        <f>AND('PROG FORMACIÓN TITULADA'!#REF!,"AAAAAH3/fww=")</f>
        <v>#REF!</v>
      </c>
      <c r="N60" t="e">
        <f>AND('PROG FORMACIÓN TITULADA'!#REF!,"AAAAAH3/fw0=")</f>
        <v>#REF!</v>
      </c>
      <c r="O60" t="e">
        <f>AND('PROG FORMACIÓN TITULADA'!#REF!,"AAAAAH3/fw4=")</f>
        <v>#REF!</v>
      </c>
      <c r="P60" t="e">
        <f>AND('PROG FORMACIÓN TITULADA'!#REF!,"AAAAAH3/fw8=")</f>
        <v>#REF!</v>
      </c>
      <c r="Q60" t="e">
        <f>AND('PROG FORMACIÓN TITULADA'!#REF!,"AAAAAH3/fxA=")</f>
        <v>#REF!</v>
      </c>
      <c r="R60" t="e">
        <f>AND('PROG FORMACIÓN TITULADA'!#REF!,"AAAAAH3/fxE=")</f>
        <v>#REF!</v>
      </c>
      <c r="S60" t="e">
        <f>AND('PROG FORMACIÓN TITULADA'!#REF!,"AAAAAH3/fxI=")</f>
        <v>#REF!</v>
      </c>
      <c r="T60" t="e">
        <f>AND('PROG FORMACIÓN TITULADA'!#REF!,"AAAAAH3/fxM=")</f>
        <v>#REF!</v>
      </c>
      <c r="U60" t="e">
        <f>AND('PROG FORMACIÓN TITULADA'!#REF!,"AAAAAH3/fxQ=")</f>
        <v>#REF!</v>
      </c>
      <c r="V60" t="e">
        <f>AND('PROG FORMACIÓN TITULADA'!#REF!,"AAAAAH3/fxU=")</f>
        <v>#REF!</v>
      </c>
      <c r="W60" t="e">
        <f>AND('PROG FORMACIÓN TITULADA'!#REF!,"AAAAAH3/fxY=")</f>
        <v>#REF!</v>
      </c>
      <c r="X60" t="e">
        <f>AND('PROG FORMACIÓN TITULADA'!#REF!,"AAAAAH3/fxc=")</f>
        <v>#REF!</v>
      </c>
      <c r="Y60" t="e">
        <f>AND('PROG FORMACIÓN TITULADA'!#REF!,"AAAAAH3/fxg=")</f>
        <v>#REF!</v>
      </c>
      <c r="Z60" t="e">
        <f>AND('PROG FORMACIÓN TITULADA'!#REF!,"AAAAAH3/fxk=")</f>
        <v>#REF!</v>
      </c>
      <c r="AA60" t="e">
        <f>AND('PROG FORMACIÓN TITULADA'!#REF!,"AAAAAH3/fxo=")</f>
        <v>#REF!</v>
      </c>
      <c r="AB60" t="e">
        <f>AND('PROG FORMACIÓN TITULADA'!#REF!,"AAAAAH3/fxs=")</f>
        <v>#REF!</v>
      </c>
      <c r="AC60" t="e">
        <f>AND('PROG FORMACIÓN TITULADA'!#REF!,"AAAAAH3/fxw=")</f>
        <v>#REF!</v>
      </c>
      <c r="AD60" t="e">
        <f>AND('PROG FORMACIÓN TITULADA'!#REF!,"AAAAAH3/fx0=")</f>
        <v>#REF!</v>
      </c>
      <c r="AE60" t="e">
        <f>IF('PROG FORMACIÓN TITULADA'!#REF!,"AAAAAH3/fx4=",0)</f>
        <v>#REF!</v>
      </c>
      <c r="AF60" t="e">
        <f>AND('PROG FORMACIÓN TITULADA'!#REF!,"AAAAAH3/fx8=")</f>
        <v>#REF!</v>
      </c>
      <c r="AG60" t="e">
        <f>AND('PROG FORMACIÓN TITULADA'!#REF!,"AAAAAH3/fyA=")</f>
        <v>#REF!</v>
      </c>
      <c r="AH60" t="e">
        <f>AND('PROG FORMACIÓN TITULADA'!#REF!,"AAAAAH3/fyE=")</f>
        <v>#REF!</v>
      </c>
      <c r="AI60" t="e">
        <f>AND('PROG FORMACIÓN TITULADA'!#REF!,"AAAAAH3/fyI=")</f>
        <v>#REF!</v>
      </c>
      <c r="AJ60" t="e">
        <f>AND('PROG FORMACIÓN TITULADA'!#REF!,"AAAAAH3/fyM=")</f>
        <v>#REF!</v>
      </c>
      <c r="AK60" t="e">
        <f>AND('PROG FORMACIÓN TITULADA'!#REF!,"AAAAAH3/fyQ=")</f>
        <v>#REF!</v>
      </c>
      <c r="AL60" t="e">
        <f>AND('PROG FORMACIÓN TITULADA'!#REF!,"AAAAAH3/fyU=")</f>
        <v>#REF!</v>
      </c>
      <c r="AM60" t="e">
        <f>AND('PROG FORMACIÓN TITULADA'!#REF!,"AAAAAH3/fyY=")</f>
        <v>#REF!</v>
      </c>
      <c r="AN60" t="e">
        <f>AND('PROG FORMACIÓN TITULADA'!#REF!,"AAAAAH3/fyc=")</f>
        <v>#REF!</v>
      </c>
      <c r="AO60" t="e">
        <f>AND('PROG FORMACIÓN TITULADA'!#REF!,"AAAAAH3/fyg=")</f>
        <v>#REF!</v>
      </c>
      <c r="AP60" t="e">
        <f>AND('PROG FORMACIÓN TITULADA'!#REF!,"AAAAAH3/fyk=")</f>
        <v>#REF!</v>
      </c>
      <c r="AQ60" t="e">
        <f>AND('PROG FORMACIÓN TITULADA'!#REF!,"AAAAAH3/fyo=")</f>
        <v>#REF!</v>
      </c>
      <c r="AR60" t="e">
        <f>AND('PROG FORMACIÓN TITULADA'!#REF!,"AAAAAH3/fys=")</f>
        <v>#REF!</v>
      </c>
      <c r="AS60" t="e">
        <f>AND('PROG FORMACIÓN TITULADA'!#REF!,"AAAAAH3/fyw=")</f>
        <v>#REF!</v>
      </c>
      <c r="AT60" t="e">
        <f>AND('PROG FORMACIÓN TITULADA'!#REF!,"AAAAAH3/fy0=")</f>
        <v>#REF!</v>
      </c>
      <c r="AU60" t="e">
        <f>AND('PROG FORMACIÓN TITULADA'!#REF!,"AAAAAH3/fy4=")</f>
        <v>#REF!</v>
      </c>
      <c r="AV60" t="e">
        <f>AND('PROG FORMACIÓN TITULADA'!#REF!,"AAAAAH3/fy8=")</f>
        <v>#REF!</v>
      </c>
      <c r="AW60" t="e">
        <f>AND('PROG FORMACIÓN TITULADA'!#REF!,"AAAAAH3/fzA=")</f>
        <v>#REF!</v>
      </c>
      <c r="AX60" t="e">
        <f>AND('PROG FORMACIÓN TITULADA'!#REF!,"AAAAAH3/fzE=")</f>
        <v>#REF!</v>
      </c>
      <c r="AY60" t="e">
        <f>AND('PROG FORMACIÓN TITULADA'!#REF!,"AAAAAH3/fzI=")</f>
        <v>#REF!</v>
      </c>
      <c r="AZ60" t="e">
        <f>AND('PROG FORMACIÓN TITULADA'!#REF!,"AAAAAH3/fzM=")</f>
        <v>#REF!</v>
      </c>
      <c r="BA60" t="e">
        <f>AND('PROG FORMACIÓN TITULADA'!#REF!,"AAAAAH3/fzQ=")</f>
        <v>#REF!</v>
      </c>
      <c r="BB60" t="e">
        <f>AND('PROG FORMACIÓN TITULADA'!#REF!,"AAAAAH3/fzU=")</f>
        <v>#REF!</v>
      </c>
      <c r="BC60" t="e">
        <f>AND('PROG FORMACIÓN TITULADA'!#REF!,"AAAAAH3/fzY=")</f>
        <v>#REF!</v>
      </c>
      <c r="BD60" t="e">
        <f>AND('PROG FORMACIÓN TITULADA'!#REF!,"AAAAAH3/fzc=")</f>
        <v>#REF!</v>
      </c>
      <c r="BE60" t="e">
        <f>AND('PROG FORMACIÓN TITULADA'!#REF!,"AAAAAH3/fzg=")</f>
        <v>#REF!</v>
      </c>
      <c r="BF60" t="e">
        <f>IF('PROG FORMACIÓN TITULADA'!#REF!,"AAAAAH3/fzk=",0)</f>
        <v>#REF!</v>
      </c>
      <c r="BG60" t="e">
        <f>AND('PROG FORMACIÓN TITULADA'!#REF!,"AAAAAH3/fzo=")</f>
        <v>#REF!</v>
      </c>
      <c r="BH60" t="e">
        <f>AND('PROG FORMACIÓN TITULADA'!#REF!,"AAAAAH3/fzs=")</f>
        <v>#REF!</v>
      </c>
      <c r="BI60" t="e">
        <f>AND('PROG FORMACIÓN TITULADA'!#REF!,"AAAAAH3/fzw=")</f>
        <v>#REF!</v>
      </c>
      <c r="BJ60" t="e">
        <f>AND('PROG FORMACIÓN TITULADA'!#REF!,"AAAAAH3/fz0=")</f>
        <v>#REF!</v>
      </c>
      <c r="BK60" t="e">
        <f>AND('PROG FORMACIÓN TITULADA'!#REF!,"AAAAAH3/fz4=")</f>
        <v>#REF!</v>
      </c>
      <c r="BL60" t="e">
        <f>AND('PROG FORMACIÓN TITULADA'!#REF!,"AAAAAH3/fz8=")</f>
        <v>#REF!</v>
      </c>
      <c r="BM60" t="e">
        <f>AND('PROG FORMACIÓN TITULADA'!#REF!,"AAAAAH3/f0A=")</f>
        <v>#REF!</v>
      </c>
      <c r="BN60" t="e">
        <f>AND('PROG FORMACIÓN TITULADA'!#REF!,"AAAAAH3/f0E=")</f>
        <v>#REF!</v>
      </c>
      <c r="BO60" t="e">
        <f>AND('PROG FORMACIÓN TITULADA'!#REF!,"AAAAAH3/f0I=")</f>
        <v>#REF!</v>
      </c>
      <c r="BP60" t="e">
        <f>AND('PROG FORMACIÓN TITULADA'!#REF!,"AAAAAH3/f0M=")</f>
        <v>#REF!</v>
      </c>
      <c r="BQ60" t="e">
        <f>AND('PROG FORMACIÓN TITULADA'!#REF!,"AAAAAH3/f0Q=")</f>
        <v>#REF!</v>
      </c>
      <c r="BR60" t="e">
        <f>AND('PROG FORMACIÓN TITULADA'!#REF!,"AAAAAH3/f0U=")</f>
        <v>#REF!</v>
      </c>
      <c r="BS60" t="e">
        <f>AND('PROG FORMACIÓN TITULADA'!#REF!,"AAAAAH3/f0Y=")</f>
        <v>#REF!</v>
      </c>
      <c r="BT60" t="e">
        <f>AND('PROG FORMACIÓN TITULADA'!#REF!,"AAAAAH3/f0c=")</f>
        <v>#REF!</v>
      </c>
      <c r="BU60" t="e">
        <f>AND('PROG FORMACIÓN TITULADA'!#REF!,"AAAAAH3/f0g=")</f>
        <v>#REF!</v>
      </c>
      <c r="BV60" t="e">
        <f>AND('PROG FORMACIÓN TITULADA'!#REF!,"AAAAAH3/f0k=")</f>
        <v>#REF!</v>
      </c>
      <c r="BW60" t="e">
        <f>AND('PROG FORMACIÓN TITULADA'!#REF!,"AAAAAH3/f0o=")</f>
        <v>#REF!</v>
      </c>
      <c r="BX60" t="e">
        <f>AND('PROG FORMACIÓN TITULADA'!#REF!,"AAAAAH3/f0s=")</f>
        <v>#REF!</v>
      </c>
      <c r="BY60" t="e">
        <f>AND('PROG FORMACIÓN TITULADA'!#REF!,"AAAAAH3/f0w=")</f>
        <v>#REF!</v>
      </c>
      <c r="BZ60" t="e">
        <f>AND('PROG FORMACIÓN TITULADA'!#REF!,"AAAAAH3/f00=")</f>
        <v>#REF!</v>
      </c>
      <c r="CA60" t="e">
        <f>AND('PROG FORMACIÓN TITULADA'!#REF!,"AAAAAH3/f04=")</f>
        <v>#REF!</v>
      </c>
      <c r="CB60" t="e">
        <f>AND('PROG FORMACIÓN TITULADA'!#REF!,"AAAAAH3/f08=")</f>
        <v>#REF!</v>
      </c>
      <c r="CC60" t="e">
        <f>AND('PROG FORMACIÓN TITULADA'!#REF!,"AAAAAH3/f1A=")</f>
        <v>#REF!</v>
      </c>
      <c r="CD60" t="e">
        <f>AND('PROG FORMACIÓN TITULADA'!#REF!,"AAAAAH3/f1E=")</f>
        <v>#REF!</v>
      </c>
      <c r="CE60" t="e">
        <f>AND('PROG FORMACIÓN TITULADA'!#REF!,"AAAAAH3/f1I=")</f>
        <v>#REF!</v>
      </c>
      <c r="CF60" t="e">
        <f>AND('PROG FORMACIÓN TITULADA'!#REF!,"AAAAAH3/f1M=")</f>
        <v>#REF!</v>
      </c>
      <c r="CG60" t="e">
        <f>IF('PROG FORMACIÓN TITULADA'!#REF!,"AAAAAH3/f1Q=",0)</f>
        <v>#REF!</v>
      </c>
      <c r="CH60" t="e">
        <f>AND('PROG FORMACIÓN TITULADA'!#REF!,"AAAAAH3/f1U=")</f>
        <v>#REF!</v>
      </c>
      <c r="CI60" t="e">
        <f>AND('PROG FORMACIÓN TITULADA'!#REF!,"AAAAAH3/f1Y=")</f>
        <v>#REF!</v>
      </c>
      <c r="CJ60" t="e">
        <f>AND('PROG FORMACIÓN TITULADA'!#REF!,"AAAAAH3/f1c=")</f>
        <v>#REF!</v>
      </c>
      <c r="CK60" t="e">
        <f>AND('PROG FORMACIÓN TITULADA'!#REF!,"AAAAAH3/f1g=")</f>
        <v>#REF!</v>
      </c>
      <c r="CL60" t="e">
        <f>AND('PROG FORMACIÓN TITULADA'!#REF!,"AAAAAH3/f1k=")</f>
        <v>#REF!</v>
      </c>
      <c r="CM60" t="e">
        <f>AND('PROG FORMACIÓN TITULADA'!#REF!,"AAAAAH3/f1o=")</f>
        <v>#REF!</v>
      </c>
      <c r="CN60" t="e">
        <f>AND('PROG FORMACIÓN TITULADA'!#REF!,"AAAAAH3/f1s=")</f>
        <v>#REF!</v>
      </c>
      <c r="CO60" t="e">
        <f>AND('PROG FORMACIÓN TITULADA'!#REF!,"AAAAAH3/f1w=")</f>
        <v>#REF!</v>
      </c>
      <c r="CP60" t="e">
        <f>AND('PROG FORMACIÓN TITULADA'!#REF!,"AAAAAH3/f10=")</f>
        <v>#REF!</v>
      </c>
      <c r="CQ60" t="e">
        <f>AND('PROG FORMACIÓN TITULADA'!#REF!,"AAAAAH3/f14=")</f>
        <v>#REF!</v>
      </c>
      <c r="CR60" t="e">
        <f>AND('PROG FORMACIÓN TITULADA'!#REF!,"AAAAAH3/f18=")</f>
        <v>#REF!</v>
      </c>
      <c r="CS60" t="e">
        <f>AND('PROG FORMACIÓN TITULADA'!#REF!,"AAAAAH3/f2A=")</f>
        <v>#REF!</v>
      </c>
      <c r="CT60" t="e">
        <f>AND('PROG FORMACIÓN TITULADA'!#REF!,"AAAAAH3/f2E=")</f>
        <v>#REF!</v>
      </c>
      <c r="CU60" t="e">
        <f>AND('PROG FORMACIÓN TITULADA'!#REF!,"AAAAAH3/f2I=")</f>
        <v>#REF!</v>
      </c>
      <c r="CV60" t="e">
        <f>AND('PROG FORMACIÓN TITULADA'!#REF!,"AAAAAH3/f2M=")</f>
        <v>#REF!</v>
      </c>
      <c r="CW60" t="e">
        <f>AND('PROG FORMACIÓN TITULADA'!#REF!,"AAAAAH3/f2Q=")</f>
        <v>#REF!</v>
      </c>
      <c r="CX60" t="e">
        <f>AND('PROG FORMACIÓN TITULADA'!#REF!,"AAAAAH3/f2U=")</f>
        <v>#REF!</v>
      </c>
      <c r="CY60" t="e">
        <f>AND('PROG FORMACIÓN TITULADA'!#REF!,"AAAAAH3/f2Y=")</f>
        <v>#REF!</v>
      </c>
      <c r="CZ60" t="e">
        <f>AND('PROG FORMACIÓN TITULADA'!#REF!,"AAAAAH3/f2c=")</f>
        <v>#REF!</v>
      </c>
      <c r="DA60" t="e">
        <f>AND('PROG FORMACIÓN TITULADA'!#REF!,"AAAAAH3/f2g=")</f>
        <v>#REF!</v>
      </c>
      <c r="DB60" t="e">
        <f>AND('PROG FORMACIÓN TITULADA'!#REF!,"AAAAAH3/f2k=")</f>
        <v>#REF!</v>
      </c>
      <c r="DC60" t="e">
        <f>AND('PROG FORMACIÓN TITULADA'!#REF!,"AAAAAH3/f2o=")</f>
        <v>#REF!</v>
      </c>
      <c r="DD60" t="e">
        <f>AND('PROG FORMACIÓN TITULADA'!#REF!,"AAAAAH3/f2s=")</f>
        <v>#REF!</v>
      </c>
      <c r="DE60" t="e">
        <f>AND('PROG FORMACIÓN TITULADA'!#REF!,"AAAAAH3/f2w=")</f>
        <v>#REF!</v>
      </c>
      <c r="DF60" t="e">
        <f>AND('PROG FORMACIÓN TITULADA'!#REF!,"AAAAAH3/f20=")</f>
        <v>#REF!</v>
      </c>
      <c r="DG60" t="e">
        <f>AND('PROG FORMACIÓN TITULADA'!#REF!,"AAAAAH3/f24=")</f>
        <v>#REF!</v>
      </c>
      <c r="DH60" t="e">
        <f>IF('PROG FORMACIÓN TITULADA'!#REF!,"AAAAAH3/f28=",0)</f>
        <v>#REF!</v>
      </c>
      <c r="DI60" t="e">
        <f>AND('PROG FORMACIÓN TITULADA'!#REF!,"AAAAAH3/f3A=")</f>
        <v>#REF!</v>
      </c>
      <c r="DJ60" t="e">
        <f>AND('PROG FORMACIÓN TITULADA'!#REF!,"AAAAAH3/f3E=")</f>
        <v>#REF!</v>
      </c>
      <c r="DK60" t="e">
        <f>AND('PROG FORMACIÓN TITULADA'!#REF!,"AAAAAH3/f3I=")</f>
        <v>#REF!</v>
      </c>
      <c r="DL60" t="e">
        <f>AND('PROG FORMACIÓN TITULADA'!#REF!,"AAAAAH3/f3M=")</f>
        <v>#REF!</v>
      </c>
      <c r="DM60" t="e">
        <f>AND('PROG FORMACIÓN TITULADA'!#REF!,"AAAAAH3/f3Q=")</f>
        <v>#REF!</v>
      </c>
      <c r="DN60" t="e">
        <f>AND('PROG FORMACIÓN TITULADA'!#REF!,"AAAAAH3/f3U=")</f>
        <v>#REF!</v>
      </c>
      <c r="DO60" t="e">
        <f>AND('PROG FORMACIÓN TITULADA'!#REF!,"AAAAAH3/f3Y=")</f>
        <v>#REF!</v>
      </c>
      <c r="DP60" t="e">
        <f>AND('PROG FORMACIÓN TITULADA'!#REF!,"AAAAAH3/f3c=")</f>
        <v>#REF!</v>
      </c>
      <c r="DQ60" t="e">
        <f>AND('PROG FORMACIÓN TITULADA'!#REF!,"AAAAAH3/f3g=")</f>
        <v>#REF!</v>
      </c>
      <c r="DR60" t="e">
        <f>AND('PROG FORMACIÓN TITULADA'!#REF!,"AAAAAH3/f3k=")</f>
        <v>#REF!</v>
      </c>
      <c r="DS60" t="e">
        <f>AND('PROG FORMACIÓN TITULADA'!#REF!,"AAAAAH3/f3o=")</f>
        <v>#REF!</v>
      </c>
      <c r="DT60" t="e">
        <f>AND('PROG FORMACIÓN TITULADA'!#REF!,"AAAAAH3/f3s=")</f>
        <v>#REF!</v>
      </c>
      <c r="DU60" t="e">
        <f>AND('PROG FORMACIÓN TITULADA'!#REF!,"AAAAAH3/f3w=")</f>
        <v>#REF!</v>
      </c>
      <c r="DV60" t="e">
        <f>AND('PROG FORMACIÓN TITULADA'!#REF!,"AAAAAH3/f30=")</f>
        <v>#REF!</v>
      </c>
      <c r="DW60" t="e">
        <f>AND('PROG FORMACIÓN TITULADA'!#REF!,"AAAAAH3/f34=")</f>
        <v>#REF!</v>
      </c>
      <c r="DX60" t="e">
        <f>AND('PROG FORMACIÓN TITULADA'!#REF!,"AAAAAH3/f38=")</f>
        <v>#REF!</v>
      </c>
      <c r="DY60" t="e">
        <f>AND('PROG FORMACIÓN TITULADA'!#REF!,"AAAAAH3/f4A=")</f>
        <v>#REF!</v>
      </c>
      <c r="DZ60" t="e">
        <f>AND('PROG FORMACIÓN TITULADA'!#REF!,"AAAAAH3/f4E=")</f>
        <v>#REF!</v>
      </c>
      <c r="EA60" t="e">
        <f>AND('PROG FORMACIÓN TITULADA'!#REF!,"AAAAAH3/f4I=")</f>
        <v>#REF!</v>
      </c>
      <c r="EB60" t="e">
        <f>AND('PROG FORMACIÓN TITULADA'!#REF!,"AAAAAH3/f4M=")</f>
        <v>#REF!</v>
      </c>
      <c r="EC60" t="e">
        <f>AND('PROG FORMACIÓN TITULADA'!#REF!,"AAAAAH3/f4Q=")</f>
        <v>#REF!</v>
      </c>
      <c r="ED60" t="e">
        <f>AND('PROG FORMACIÓN TITULADA'!#REF!,"AAAAAH3/f4U=")</f>
        <v>#REF!</v>
      </c>
      <c r="EE60" t="e">
        <f>AND('PROG FORMACIÓN TITULADA'!#REF!,"AAAAAH3/f4Y=")</f>
        <v>#REF!</v>
      </c>
      <c r="EF60" t="e">
        <f>AND('PROG FORMACIÓN TITULADA'!#REF!,"AAAAAH3/f4c=")</f>
        <v>#REF!</v>
      </c>
      <c r="EG60" t="e">
        <f>AND('PROG FORMACIÓN TITULADA'!#REF!,"AAAAAH3/f4g=")</f>
        <v>#REF!</v>
      </c>
      <c r="EH60" t="e">
        <f>AND('PROG FORMACIÓN TITULADA'!#REF!,"AAAAAH3/f4k=")</f>
        <v>#REF!</v>
      </c>
      <c r="EI60" t="e">
        <f>IF('PROG FORMACIÓN TITULADA'!#REF!,"AAAAAH3/f4o=",0)</f>
        <v>#REF!</v>
      </c>
      <c r="EJ60" t="e">
        <f>AND('PROG FORMACIÓN TITULADA'!#REF!,"AAAAAH3/f4s=")</f>
        <v>#REF!</v>
      </c>
      <c r="EK60" t="e">
        <f>AND('PROG FORMACIÓN TITULADA'!#REF!,"AAAAAH3/f4w=")</f>
        <v>#REF!</v>
      </c>
      <c r="EL60" t="e">
        <f>AND('PROG FORMACIÓN TITULADA'!#REF!,"AAAAAH3/f40=")</f>
        <v>#REF!</v>
      </c>
      <c r="EM60" t="e">
        <f>AND('PROG FORMACIÓN TITULADA'!#REF!,"AAAAAH3/f44=")</f>
        <v>#REF!</v>
      </c>
      <c r="EN60" t="e">
        <f>AND('PROG FORMACIÓN TITULADA'!#REF!,"AAAAAH3/f48=")</f>
        <v>#REF!</v>
      </c>
      <c r="EO60" t="e">
        <f>AND('PROG FORMACIÓN TITULADA'!#REF!,"AAAAAH3/f5A=")</f>
        <v>#REF!</v>
      </c>
      <c r="EP60" t="e">
        <f>AND('PROG FORMACIÓN TITULADA'!#REF!,"AAAAAH3/f5E=")</f>
        <v>#REF!</v>
      </c>
      <c r="EQ60" t="e">
        <f>AND('PROG FORMACIÓN TITULADA'!#REF!,"AAAAAH3/f5I=")</f>
        <v>#REF!</v>
      </c>
      <c r="ER60" t="e">
        <f>AND('PROG FORMACIÓN TITULADA'!#REF!,"AAAAAH3/f5M=")</f>
        <v>#REF!</v>
      </c>
      <c r="ES60" t="e">
        <f>AND('PROG FORMACIÓN TITULADA'!#REF!,"AAAAAH3/f5Q=")</f>
        <v>#REF!</v>
      </c>
      <c r="ET60" t="e">
        <f>AND('PROG FORMACIÓN TITULADA'!#REF!,"AAAAAH3/f5U=")</f>
        <v>#REF!</v>
      </c>
      <c r="EU60" t="e">
        <f>AND('PROG FORMACIÓN TITULADA'!#REF!,"AAAAAH3/f5Y=")</f>
        <v>#REF!</v>
      </c>
      <c r="EV60" t="e">
        <f>AND('PROG FORMACIÓN TITULADA'!#REF!,"AAAAAH3/f5c=")</f>
        <v>#REF!</v>
      </c>
      <c r="EW60" t="e">
        <f>AND('PROG FORMACIÓN TITULADA'!#REF!,"AAAAAH3/f5g=")</f>
        <v>#REF!</v>
      </c>
      <c r="EX60" t="e">
        <f>AND('PROG FORMACIÓN TITULADA'!#REF!,"AAAAAH3/f5k=")</f>
        <v>#REF!</v>
      </c>
      <c r="EY60" t="e">
        <f>AND('PROG FORMACIÓN TITULADA'!#REF!,"AAAAAH3/f5o=")</f>
        <v>#REF!</v>
      </c>
      <c r="EZ60" t="e">
        <f>AND('PROG FORMACIÓN TITULADA'!#REF!,"AAAAAH3/f5s=")</f>
        <v>#REF!</v>
      </c>
      <c r="FA60" t="e">
        <f>AND('PROG FORMACIÓN TITULADA'!#REF!,"AAAAAH3/f5w=")</f>
        <v>#REF!</v>
      </c>
      <c r="FB60" t="e">
        <f>AND('PROG FORMACIÓN TITULADA'!#REF!,"AAAAAH3/f50=")</f>
        <v>#REF!</v>
      </c>
      <c r="FC60" t="e">
        <f>AND('PROG FORMACIÓN TITULADA'!#REF!,"AAAAAH3/f54=")</f>
        <v>#REF!</v>
      </c>
      <c r="FD60" t="e">
        <f>AND('PROG FORMACIÓN TITULADA'!#REF!,"AAAAAH3/f58=")</f>
        <v>#REF!</v>
      </c>
      <c r="FE60" t="e">
        <f>AND('PROG FORMACIÓN TITULADA'!#REF!,"AAAAAH3/f6A=")</f>
        <v>#REF!</v>
      </c>
      <c r="FF60" t="e">
        <f>AND('PROG FORMACIÓN TITULADA'!#REF!,"AAAAAH3/f6E=")</f>
        <v>#REF!</v>
      </c>
      <c r="FG60" t="e">
        <f>AND('PROG FORMACIÓN TITULADA'!#REF!,"AAAAAH3/f6I=")</f>
        <v>#REF!</v>
      </c>
      <c r="FH60" t="e">
        <f>AND('PROG FORMACIÓN TITULADA'!#REF!,"AAAAAH3/f6M=")</f>
        <v>#REF!</v>
      </c>
      <c r="FI60" t="e">
        <f>AND('PROG FORMACIÓN TITULADA'!#REF!,"AAAAAH3/f6Q=")</f>
        <v>#REF!</v>
      </c>
      <c r="FJ60" t="e">
        <f>IF('PROG FORMACIÓN TITULADA'!#REF!,"AAAAAH3/f6U=",0)</f>
        <v>#REF!</v>
      </c>
      <c r="FK60" t="e">
        <f>AND('PROG FORMACIÓN TITULADA'!#REF!,"AAAAAH3/f6Y=")</f>
        <v>#REF!</v>
      </c>
      <c r="FL60" t="e">
        <f>AND('PROG FORMACIÓN TITULADA'!#REF!,"AAAAAH3/f6c=")</f>
        <v>#REF!</v>
      </c>
      <c r="FM60" t="e">
        <f>AND('PROG FORMACIÓN TITULADA'!#REF!,"AAAAAH3/f6g=")</f>
        <v>#REF!</v>
      </c>
      <c r="FN60" t="e">
        <f>AND('PROG FORMACIÓN TITULADA'!#REF!,"AAAAAH3/f6k=")</f>
        <v>#REF!</v>
      </c>
      <c r="FO60" t="e">
        <f>AND('PROG FORMACIÓN TITULADA'!#REF!,"AAAAAH3/f6o=")</f>
        <v>#REF!</v>
      </c>
      <c r="FP60" t="e">
        <f>AND('PROG FORMACIÓN TITULADA'!#REF!,"AAAAAH3/f6s=")</f>
        <v>#REF!</v>
      </c>
      <c r="FQ60" t="e">
        <f>AND('PROG FORMACIÓN TITULADA'!#REF!,"AAAAAH3/f6w=")</f>
        <v>#REF!</v>
      </c>
      <c r="FR60" t="e">
        <f>AND('PROG FORMACIÓN TITULADA'!#REF!,"AAAAAH3/f60=")</f>
        <v>#REF!</v>
      </c>
      <c r="FS60" t="e">
        <f>AND('PROG FORMACIÓN TITULADA'!#REF!,"AAAAAH3/f64=")</f>
        <v>#REF!</v>
      </c>
      <c r="FT60" t="e">
        <f>AND('PROG FORMACIÓN TITULADA'!#REF!,"AAAAAH3/f68=")</f>
        <v>#REF!</v>
      </c>
      <c r="FU60" t="e">
        <f>AND('PROG FORMACIÓN TITULADA'!#REF!,"AAAAAH3/f7A=")</f>
        <v>#REF!</v>
      </c>
      <c r="FV60" t="e">
        <f>AND('PROG FORMACIÓN TITULADA'!#REF!,"AAAAAH3/f7E=")</f>
        <v>#REF!</v>
      </c>
      <c r="FW60" t="e">
        <f>AND('PROG FORMACIÓN TITULADA'!#REF!,"AAAAAH3/f7I=")</f>
        <v>#REF!</v>
      </c>
      <c r="FX60" t="e">
        <f>AND('PROG FORMACIÓN TITULADA'!#REF!,"AAAAAH3/f7M=")</f>
        <v>#REF!</v>
      </c>
      <c r="FY60" t="e">
        <f>AND('PROG FORMACIÓN TITULADA'!#REF!,"AAAAAH3/f7Q=")</f>
        <v>#REF!</v>
      </c>
      <c r="FZ60" t="e">
        <f>AND('PROG FORMACIÓN TITULADA'!#REF!,"AAAAAH3/f7U=")</f>
        <v>#REF!</v>
      </c>
      <c r="GA60" t="e">
        <f>AND('PROG FORMACIÓN TITULADA'!#REF!,"AAAAAH3/f7Y=")</f>
        <v>#REF!</v>
      </c>
      <c r="GB60" t="e">
        <f>AND('PROG FORMACIÓN TITULADA'!#REF!,"AAAAAH3/f7c=")</f>
        <v>#REF!</v>
      </c>
      <c r="GC60" t="e">
        <f>AND('PROG FORMACIÓN TITULADA'!#REF!,"AAAAAH3/f7g=")</f>
        <v>#REF!</v>
      </c>
      <c r="GD60" t="e">
        <f>AND('PROG FORMACIÓN TITULADA'!#REF!,"AAAAAH3/f7k=")</f>
        <v>#REF!</v>
      </c>
      <c r="GE60" t="e">
        <f>AND('PROG FORMACIÓN TITULADA'!#REF!,"AAAAAH3/f7o=")</f>
        <v>#REF!</v>
      </c>
      <c r="GF60" t="e">
        <f>AND('PROG FORMACIÓN TITULADA'!#REF!,"AAAAAH3/f7s=")</f>
        <v>#REF!</v>
      </c>
      <c r="GG60" t="e">
        <f>AND('PROG FORMACIÓN TITULADA'!#REF!,"AAAAAH3/f7w=")</f>
        <v>#REF!</v>
      </c>
      <c r="GH60" t="e">
        <f>AND('PROG FORMACIÓN TITULADA'!#REF!,"AAAAAH3/f70=")</f>
        <v>#REF!</v>
      </c>
      <c r="GI60" t="e">
        <f>AND('PROG FORMACIÓN TITULADA'!#REF!,"AAAAAH3/f74=")</f>
        <v>#REF!</v>
      </c>
      <c r="GJ60" t="e">
        <f>AND('PROG FORMACIÓN TITULADA'!#REF!,"AAAAAH3/f78=")</f>
        <v>#REF!</v>
      </c>
      <c r="GK60" t="e">
        <f>IF('PROG FORMACIÓN TITULADA'!#REF!,"AAAAAH3/f8A=",0)</f>
        <v>#REF!</v>
      </c>
      <c r="GL60" t="e">
        <f>AND('PROG FORMACIÓN TITULADA'!#REF!,"AAAAAH3/f8E=")</f>
        <v>#REF!</v>
      </c>
      <c r="GM60" t="e">
        <f>AND('PROG FORMACIÓN TITULADA'!#REF!,"AAAAAH3/f8I=")</f>
        <v>#REF!</v>
      </c>
      <c r="GN60" t="e">
        <f>AND('PROG FORMACIÓN TITULADA'!#REF!,"AAAAAH3/f8M=")</f>
        <v>#REF!</v>
      </c>
      <c r="GO60" t="e">
        <f>AND('PROG FORMACIÓN TITULADA'!#REF!,"AAAAAH3/f8Q=")</f>
        <v>#REF!</v>
      </c>
      <c r="GP60" t="e">
        <f>AND('PROG FORMACIÓN TITULADA'!#REF!,"AAAAAH3/f8U=")</f>
        <v>#REF!</v>
      </c>
      <c r="GQ60" t="e">
        <f>AND('PROG FORMACIÓN TITULADA'!#REF!,"AAAAAH3/f8Y=")</f>
        <v>#REF!</v>
      </c>
      <c r="GR60" t="e">
        <f>AND('PROG FORMACIÓN TITULADA'!#REF!,"AAAAAH3/f8c=")</f>
        <v>#REF!</v>
      </c>
      <c r="GS60" t="e">
        <f>AND('PROG FORMACIÓN TITULADA'!#REF!,"AAAAAH3/f8g=")</f>
        <v>#REF!</v>
      </c>
      <c r="GT60" t="e">
        <f>AND('PROG FORMACIÓN TITULADA'!#REF!,"AAAAAH3/f8k=")</f>
        <v>#REF!</v>
      </c>
      <c r="GU60" t="e">
        <f>AND('PROG FORMACIÓN TITULADA'!#REF!,"AAAAAH3/f8o=")</f>
        <v>#REF!</v>
      </c>
      <c r="GV60" t="e">
        <f>AND('PROG FORMACIÓN TITULADA'!#REF!,"AAAAAH3/f8s=")</f>
        <v>#REF!</v>
      </c>
      <c r="GW60" t="e">
        <f>AND('PROG FORMACIÓN TITULADA'!#REF!,"AAAAAH3/f8w=")</f>
        <v>#REF!</v>
      </c>
      <c r="GX60" t="e">
        <f>AND('PROG FORMACIÓN TITULADA'!#REF!,"AAAAAH3/f80=")</f>
        <v>#REF!</v>
      </c>
      <c r="GY60" t="e">
        <f>AND('PROG FORMACIÓN TITULADA'!#REF!,"AAAAAH3/f84=")</f>
        <v>#REF!</v>
      </c>
      <c r="GZ60" t="e">
        <f>AND('PROG FORMACIÓN TITULADA'!#REF!,"AAAAAH3/f88=")</f>
        <v>#REF!</v>
      </c>
      <c r="HA60" t="e">
        <f>AND('PROG FORMACIÓN TITULADA'!#REF!,"AAAAAH3/f9A=")</f>
        <v>#REF!</v>
      </c>
      <c r="HB60" t="e">
        <f>AND('PROG FORMACIÓN TITULADA'!#REF!,"AAAAAH3/f9E=")</f>
        <v>#REF!</v>
      </c>
      <c r="HC60" t="e">
        <f>AND('PROG FORMACIÓN TITULADA'!#REF!,"AAAAAH3/f9I=")</f>
        <v>#REF!</v>
      </c>
      <c r="HD60" t="e">
        <f>AND('PROG FORMACIÓN TITULADA'!#REF!,"AAAAAH3/f9M=")</f>
        <v>#REF!</v>
      </c>
      <c r="HE60" t="e">
        <f>AND('PROG FORMACIÓN TITULADA'!#REF!,"AAAAAH3/f9Q=")</f>
        <v>#REF!</v>
      </c>
      <c r="HF60" t="e">
        <f>AND('PROG FORMACIÓN TITULADA'!#REF!,"AAAAAH3/f9U=")</f>
        <v>#REF!</v>
      </c>
      <c r="HG60" t="e">
        <f>AND('PROG FORMACIÓN TITULADA'!#REF!,"AAAAAH3/f9Y=")</f>
        <v>#REF!</v>
      </c>
      <c r="HH60" t="e">
        <f>AND('PROG FORMACIÓN TITULADA'!#REF!,"AAAAAH3/f9c=")</f>
        <v>#REF!</v>
      </c>
      <c r="HI60" t="e">
        <f>AND('PROG FORMACIÓN TITULADA'!#REF!,"AAAAAH3/f9g=")</f>
        <v>#REF!</v>
      </c>
      <c r="HJ60" t="e">
        <f>AND('PROG FORMACIÓN TITULADA'!#REF!,"AAAAAH3/f9k=")</f>
        <v>#REF!</v>
      </c>
      <c r="HK60" t="e">
        <f>AND('PROG FORMACIÓN TITULADA'!#REF!,"AAAAAH3/f9o=")</f>
        <v>#REF!</v>
      </c>
      <c r="HL60" t="e">
        <f>IF('PROG FORMACIÓN TITULADA'!#REF!,"AAAAAH3/f9s=",0)</f>
        <v>#REF!</v>
      </c>
      <c r="HM60" t="e">
        <f>AND('PROG FORMACIÓN TITULADA'!#REF!,"AAAAAH3/f9w=")</f>
        <v>#REF!</v>
      </c>
      <c r="HN60" t="e">
        <f>AND('PROG FORMACIÓN TITULADA'!#REF!,"AAAAAH3/f90=")</f>
        <v>#REF!</v>
      </c>
      <c r="HO60" t="e">
        <f>AND('PROG FORMACIÓN TITULADA'!#REF!,"AAAAAH3/f94=")</f>
        <v>#REF!</v>
      </c>
      <c r="HP60" t="e">
        <f>AND('PROG FORMACIÓN TITULADA'!#REF!,"AAAAAH3/f98=")</f>
        <v>#REF!</v>
      </c>
      <c r="HQ60" t="e">
        <f>AND('PROG FORMACIÓN TITULADA'!#REF!,"AAAAAH3/f+A=")</f>
        <v>#REF!</v>
      </c>
      <c r="HR60" t="e">
        <f>AND('PROG FORMACIÓN TITULADA'!#REF!,"AAAAAH3/f+E=")</f>
        <v>#REF!</v>
      </c>
      <c r="HS60" t="e">
        <f>AND('PROG FORMACIÓN TITULADA'!#REF!,"AAAAAH3/f+I=")</f>
        <v>#REF!</v>
      </c>
      <c r="HT60" t="e">
        <f>AND('PROG FORMACIÓN TITULADA'!#REF!,"AAAAAH3/f+M=")</f>
        <v>#REF!</v>
      </c>
      <c r="HU60" t="e">
        <f>AND('PROG FORMACIÓN TITULADA'!#REF!,"AAAAAH3/f+Q=")</f>
        <v>#REF!</v>
      </c>
      <c r="HV60" t="e">
        <f>AND('PROG FORMACIÓN TITULADA'!#REF!,"AAAAAH3/f+U=")</f>
        <v>#REF!</v>
      </c>
      <c r="HW60" t="e">
        <f>AND('PROG FORMACIÓN TITULADA'!#REF!,"AAAAAH3/f+Y=")</f>
        <v>#REF!</v>
      </c>
      <c r="HX60" t="e">
        <f>AND('PROG FORMACIÓN TITULADA'!#REF!,"AAAAAH3/f+c=")</f>
        <v>#REF!</v>
      </c>
      <c r="HY60" t="e">
        <f>AND('PROG FORMACIÓN TITULADA'!#REF!,"AAAAAH3/f+g=")</f>
        <v>#REF!</v>
      </c>
      <c r="HZ60" t="e">
        <f>AND('PROG FORMACIÓN TITULADA'!#REF!,"AAAAAH3/f+k=")</f>
        <v>#REF!</v>
      </c>
      <c r="IA60" t="e">
        <f>AND('PROG FORMACIÓN TITULADA'!#REF!,"AAAAAH3/f+o=")</f>
        <v>#REF!</v>
      </c>
      <c r="IB60" t="e">
        <f>AND('PROG FORMACIÓN TITULADA'!#REF!,"AAAAAH3/f+s=")</f>
        <v>#REF!</v>
      </c>
      <c r="IC60" t="e">
        <f>AND('PROG FORMACIÓN TITULADA'!#REF!,"AAAAAH3/f+w=")</f>
        <v>#REF!</v>
      </c>
      <c r="ID60" t="e">
        <f>AND('PROG FORMACIÓN TITULADA'!#REF!,"AAAAAH3/f+0=")</f>
        <v>#REF!</v>
      </c>
      <c r="IE60" t="e">
        <f>AND('PROG FORMACIÓN TITULADA'!#REF!,"AAAAAH3/f+4=")</f>
        <v>#REF!</v>
      </c>
      <c r="IF60" t="e">
        <f>AND('PROG FORMACIÓN TITULADA'!#REF!,"AAAAAH3/f+8=")</f>
        <v>#REF!</v>
      </c>
      <c r="IG60" t="e">
        <f>AND('PROG FORMACIÓN TITULADA'!#REF!,"AAAAAH3/f/A=")</f>
        <v>#REF!</v>
      </c>
      <c r="IH60" t="e">
        <f>AND('PROG FORMACIÓN TITULADA'!#REF!,"AAAAAH3/f/E=")</f>
        <v>#REF!</v>
      </c>
      <c r="II60" t="e">
        <f>AND('PROG FORMACIÓN TITULADA'!#REF!,"AAAAAH3/f/I=")</f>
        <v>#REF!</v>
      </c>
      <c r="IJ60" t="e">
        <f>AND('PROG FORMACIÓN TITULADA'!#REF!,"AAAAAH3/f/M=")</f>
        <v>#REF!</v>
      </c>
      <c r="IK60" t="e">
        <f>AND('PROG FORMACIÓN TITULADA'!#REF!,"AAAAAH3/f/Q=")</f>
        <v>#REF!</v>
      </c>
      <c r="IL60" t="e">
        <f>AND('PROG FORMACIÓN TITULADA'!#REF!,"AAAAAH3/f/U=")</f>
        <v>#REF!</v>
      </c>
      <c r="IM60" t="e">
        <f>IF('PROG FORMACIÓN TITULADA'!#REF!,"AAAAAH3/f/Y=",0)</f>
        <v>#REF!</v>
      </c>
      <c r="IN60" t="e">
        <f>AND('PROG FORMACIÓN TITULADA'!#REF!,"AAAAAH3/f/c=")</f>
        <v>#REF!</v>
      </c>
      <c r="IO60" t="e">
        <f>AND('PROG FORMACIÓN TITULADA'!#REF!,"AAAAAH3/f/g=")</f>
        <v>#REF!</v>
      </c>
      <c r="IP60" t="e">
        <f>AND('PROG FORMACIÓN TITULADA'!#REF!,"AAAAAH3/f/k=")</f>
        <v>#REF!</v>
      </c>
      <c r="IQ60" t="e">
        <f>AND('PROG FORMACIÓN TITULADA'!#REF!,"AAAAAH3/f/o=")</f>
        <v>#REF!</v>
      </c>
      <c r="IR60" t="e">
        <f>AND('PROG FORMACIÓN TITULADA'!#REF!,"AAAAAH3/f/s=")</f>
        <v>#REF!</v>
      </c>
      <c r="IS60" t="e">
        <f>AND('PROG FORMACIÓN TITULADA'!#REF!,"AAAAAH3/f/w=")</f>
        <v>#REF!</v>
      </c>
      <c r="IT60" t="e">
        <f>AND('PROG FORMACIÓN TITULADA'!#REF!,"AAAAAH3/f/0=")</f>
        <v>#REF!</v>
      </c>
      <c r="IU60" t="e">
        <f>AND('PROG FORMACIÓN TITULADA'!#REF!,"AAAAAH3/f/4=")</f>
        <v>#REF!</v>
      </c>
      <c r="IV60" t="e">
        <f>AND('PROG FORMACIÓN TITULADA'!#REF!,"AAAAAH3/f/8=")</f>
        <v>#REF!</v>
      </c>
    </row>
    <row r="61" spans="1:256" x14ac:dyDescent="0.2">
      <c r="A61" t="e">
        <f>AND('PROG FORMACIÓN TITULADA'!#REF!,"AAAAAEz/7wA=")</f>
        <v>#REF!</v>
      </c>
      <c r="B61" t="e">
        <f>AND('PROG FORMACIÓN TITULADA'!#REF!,"AAAAAEz/7wE=")</f>
        <v>#REF!</v>
      </c>
      <c r="C61" t="e">
        <f>AND('PROG FORMACIÓN TITULADA'!#REF!,"AAAAAEz/7wI=")</f>
        <v>#REF!</v>
      </c>
      <c r="D61" t="e">
        <f>AND('PROG FORMACIÓN TITULADA'!#REF!,"AAAAAEz/7wM=")</f>
        <v>#REF!</v>
      </c>
      <c r="E61" t="e">
        <f>AND('PROG FORMACIÓN TITULADA'!#REF!,"AAAAAEz/7wQ=")</f>
        <v>#REF!</v>
      </c>
      <c r="F61" t="e">
        <f>AND('PROG FORMACIÓN TITULADA'!#REF!,"AAAAAEz/7wU=")</f>
        <v>#REF!</v>
      </c>
      <c r="G61" t="e">
        <f>AND('PROG FORMACIÓN TITULADA'!#REF!,"AAAAAEz/7wY=")</f>
        <v>#REF!</v>
      </c>
      <c r="H61" t="e">
        <f>AND('PROG FORMACIÓN TITULADA'!#REF!,"AAAAAEz/7wc=")</f>
        <v>#REF!</v>
      </c>
      <c r="I61" t="e">
        <f>AND('PROG FORMACIÓN TITULADA'!#REF!,"AAAAAEz/7wg=")</f>
        <v>#REF!</v>
      </c>
      <c r="J61" t="e">
        <f>AND('PROG FORMACIÓN TITULADA'!#REF!,"AAAAAEz/7wk=")</f>
        <v>#REF!</v>
      </c>
      <c r="K61" t="e">
        <f>AND('PROG FORMACIÓN TITULADA'!#REF!,"AAAAAEz/7wo=")</f>
        <v>#REF!</v>
      </c>
      <c r="L61" t="e">
        <f>AND('PROG FORMACIÓN TITULADA'!#REF!,"AAAAAEz/7ws=")</f>
        <v>#REF!</v>
      </c>
      <c r="M61" t="e">
        <f>AND('PROG FORMACIÓN TITULADA'!#REF!,"AAAAAEz/7ww=")</f>
        <v>#REF!</v>
      </c>
      <c r="N61" t="e">
        <f>AND('PROG FORMACIÓN TITULADA'!#REF!,"AAAAAEz/7w0=")</f>
        <v>#REF!</v>
      </c>
      <c r="O61" t="e">
        <f>AND('PROG FORMACIÓN TITULADA'!#REF!,"AAAAAEz/7w4=")</f>
        <v>#REF!</v>
      </c>
      <c r="P61" t="e">
        <f>AND('PROG FORMACIÓN TITULADA'!#REF!,"AAAAAEz/7w8=")</f>
        <v>#REF!</v>
      </c>
      <c r="Q61" t="e">
        <f>AND('PROG FORMACIÓN TITULADA'!#REF!,"AAAAAEz/7xA=")</f>
        <v>#REF!</v>
      </c>
      <c r="R61" t="e">
        <f>IF('PROG FORMACIÓN TITULADA'!#REF!,"AAAAAEz/7xE=",0)</f>
        <v>#REF!</v>
      </c>
      <c r="S61" t="e">
        <f>AND('PROG FORMACIÓN TITULADA'!#REF!,"AAAAAEz/7xI=")</f>
        <v>#REF!</v>
      </c>
      <c r="T61" t="e">
        <f>AND('PROG FORMACIÓN TITULADA'!#REF!,"AAAAAEz/7xM=")</f>
        <v>#REF!</v>
      </c>
      <c r="U61" t="e">
        <f>AND('PROG FORMACIÓN TITULADA'!#REF!,"AAAAAEz/7xQ=")</f>
        <v>#REF!</v>
      </c>
      <c r="V61" t="e">
        <f>AND('PROG FORMACIÓN TITULADA'!#REF!,"AAAAAEz/7xU=")</f>
        <v>#REF!</v>
      </c>
      <c r="W61" t="e">
        <f>AND('PROG FORMACIÓN TITULADA'!#REF!,"AAAAAEz/7xY=")</f>
        <v>#REF!</v>
      </c>
      <c r="X61" t="e">
        <f>AND('PROG FORMACIÓN TITULADA'!#REF!,"AAAAAEz/7xc=")</f>
        <v>#REF!</v>
      </c>
      <c r="Y61" t="e">
        <f>AND('PROG FORMACIÓN TITULADA'!#REF!,"AAAAAEz/7xg=")</f>
        <v>#REF!</v>
      </c>
      <c r="Z61" t="e">
        <f>AND('PROG FORMACIÓN TITULADA'!#REF!,"AAAAAEz/7xk=")</f>
        <v>#REF!</v>
      </c>
      <c r="AA61" t="e">
        <f>AND('PROG FORMACIÓN TITULADA'!#REF!,"AAAAAEz/7xo=")</f>
        <v>#REF!</v>
      </c>
      <c r="AB61" t="e">
        <f>AND('PROG FORMACIÓN TITULADA'!#REF!,"AAAAAEz/7xs=")</f>
        <v>#REF!</v>
      </c>
      <c r="AC61" t="e">
        <f>AND('PROG FORMACIÓN TITULADA'!#REF!,"AAAAAEz/7xw=")</f>
        <v>#REF!</v>
      </c>
      <c r="AD61" t="e">
        <f>AND('PROG FORMACIÓN TITULADA'!#REF!,"AAAAAEz/7x0=")</f>
        <v>#REF!</v>
      </c>
      <c r="AE61" t="e">
        <f>AND('PROG FORMACIÓN TITULADA'!#REF!,"AAAAAEz/7x4=")</f>
        <v>#REF!</v>
      </c>
      <c r="AF61" t="e">
        <f>AND('PROG FORMACIÓN TITULADA'!#REF!,"AAAAAEz/7x8=")</f>
        <v>#REF!</v>
      </c>
      <c r="AG61" t="e">
        <f>AND('PROG FORMACIÓN TITULADA'!#REF!,"AAAAAEz/7yA=")</f>
        <v>#REF!</v>
      </c>
      <c r="AH61" t="e">
        <f>AND('PROG FORMACIÓN TITULADA'!#REF!,"AAAAAEz/7yE=")</f>
        <v>#REF!</v>
      </c>
      <c r="AI61" t="e">
        <f>AND('PROG FORMACIÓN TITULADA'!#REF!,"AAAAAEz/7yI=")</f>
        <v>#REF!</v>
      </c>
      <c r="AJ61" t="e">
        <f>AND('PROG FORMACIÓN TITULADA'!#REF!,"AAAAAEz/7yM=")</f>
        <v>#REF!</v>
      </c>
      <c r="AK61" t="e">
        <f>AND('PROG FORMACIÓN TITULADA'!#REF!,"AAAAAEz/7yQ=")</f>
        <v>#REF!</v>
      </c>
      <c r="AL61" t="e">
        <f>AND('PROG FORMACIÓN TITULADA'!#REF!,"AAAAAEz/7yU=")</f>
        <v>#REF!</v>
      </c>
      <c r="AM61" t="e">
        <f>AND('PROG FORMACIÓN TITULADA'!#REF!,"AAAAAEz/7yY=")</f>
        <v>#REF!</v>
      </c>
      <c r="AN61" t="e">
        <f>AND('PROG FORMACIÓN TITULADA'!#REF!,"AAAAAEz/7yc=")</f>
        <v>#REF!</v>
      </c>
      <c r="AO61" t="e">
        <f>AND('PROG FORMACIÓN TITULADA'!#REF!,"AAAAAEz/7yg=")</f>
        <v>#REF!</v>
      </c>
      <c r="AP61" t="e">
        <f>AND('PROG FORMACIÓN TITULADA'!#REF!,"AAAAAEz/7yk=")</f>
        <v>#REF!</v>
      </c>
      <c r="AQ61" t="e">
        <f>AND('PROG FORMACIÓN TITULADA'!#REF!,"AAAAAEz/7yo=")</f>
        <v>#REF!</v>
      </c>
      <c r="AR61" t="e">
        <f>AND('PROG FORMACIÓN TITULADA'!#REF!,"AAAAAEz/7ys=")</f>
        <v>#REF!</v>
      </c>
      <c r="AS61" t="e">
        <f>IF('PROG FORMACIÓN TITULADA'!#REF!,"AAAAAEz/7yw=",0)</f>
        <v>#REF!</v>
      </c>
      <c r="AT61" t="e">
        <f>AND('PROG FORMACIÓN TITULADA'!#REF!,"AAAAAEz/7y0=")</f>
        <v>#REF!</v>
      </c>
      <c r="AU61" t="e">
        <f>AND('PROG FORMACIÓN TITULADA'!#REF!,"AAAAAEz/7y4=")</f>
        <v>#REF!</v>
      </c>
      <c r="AV61" t="e">
        <f>AND('PROG FORMACIÓN TITULADA'!#REF!,"AAAAAEz/7y8=")</f>
        <v>#REF!</v>
      </c>
      <c r="AW61" t="e">
        <f>AND('PROG FORMACIÓN TITULADA'!#REF!,"AAAAAEz/7zA=")</f>
        <v>#REF!</v>
      </c>
      <c r="AX61" t="e">
        <f>AND('PROG FORMACIÓN TITULADA'!#REF!,"AAAAAEz/7zE=")</f>
        <v>#REF!</v>
      </c>
      <c r="AY61" t="e">
        <f>AND('PROG FORMACIÓN TITULADA'!#REF!,"AAAAAEz/7zI=")</f>
        <v>#REF!</v>
      </c>
      <c r="AZ61" t="e">
        <f>AND('PROG FORMACIÓN TITULADA'!#REF!,"AAAAAEz/7zM=")</f>
        <v>#REF!</v>
      </c>
      <c r="BA61" t="e">
        <f>AND('PROG FORMACIÓN TITULADA'!#REF!,"AAAAAEz/7zQ=")</f>
        <v>#REF!</v>
      </c>
      <c r="BB61" t="e">
        <f>AND('PROG FORMACIÓN TITULADA'!#REF!,"AAAAAEz/7zU=")</f>
        <v>#REF!</v>
      </c>
      <c r="BC61" t="e">
        <f>AND('PROG FORMACIÓN TITULADA'!#REF!,"AAAAAEz/7zY=")</f>
        <v>#REF!</v>
      </c>
      <c r="BD61" t="e">
        <f>AND('PROG FORMACIÓN TITULADA'!#REF!,"AAAAAEz/7zc=")</f>
        <v>#REF!</v>
      </c>
      <c r="BE61" t="e">
        <f>AND('PROG FORMACIÓN TITULADA'!#REF!,"AAAAAEz/7zg=")</f>
        <v>#REF!</v>
      </c>
      <c r="BF61" t="e">
        <f>AND('PROG FORMACIÓN TITULADA'!#REF!,"AAAAAEz/7zk=")</f>
        <v>#REF!</v>
      </c>
      <c r="BG61" t="e">
        <f>AND('PROG FORMACIÓN TITULADA'!#REF!,"AAAAAEz/7zo=")</f>
        <v>#REF!</v>
      </c>
      <c r="BH61" t="e">
        <f>AND('PROG FORMACIÓN TITULADA'!#REF!,"AAAAAEz/7zs=")</f>
        <v>#REF!</v>
      </c>
      <c r="BI61" t="e">
        <f>AND('PROG FORMACIÓN TITULADA'!#REF!,"AAAAAEz/7zw=")</f>
        <v>#REF!</v>
      </c>
      <c r="BJ61" t="e">
        <f>AND('PROG FORMACIÓN TITULADA'!#REF!,"AAAAAEz/7z0=")</f>
        <v>#REF!</v>
      </c>
      <c r="BK61" t="e">
        <f>AND('PROG FORMACIÓN TITULADA'!#REF!,"AAAAAEz/7z4=")</f>
        <v>#REF!</v>
      </c>
      <c r="BL61" t="e">
        <f>AND('PROG FORMACIÓN TITULADA'!#REF!,"AAAAAEz/7z8=")</f>
        <v>#REF!</v>
      </c>
      <c r="BM61" t="e">
        <f>AND('PROG FORMACIÓN TITULADA'!#REF!,"AAAAAEz/70A=")</f>
        <v>#REF!</v>
      </c>
      <c r="BN61" t="e">
        <f>AND('PROG FORMACIÓN TITULADA'!#REF!,"AAAAAEz/70E=")</f>
        <v>#REF!</v>
      </c>
      <c r="BO61" t="e">
        <f>AND('PROG FORMACIÓN TITULADA'!#REF!,"AAAAAEz/70I=")</f>
        <v>#REF!</v>
      </c>
      <c r="BP61" t="e">
        <f>AND('PROG FORMACIÓN TITULADA'!#REF!,"AAAAAEz/70M=")</f>
        <v>#REF!</v>
      </c>
      <c r="BQ61" t="e">
        <f>AND('PROG FORMACIÓN TITULADA'!#REF!,"AAAAAEz/70Q=")</f>
        <v>#REF!</v>
      </c>
      <c r="BR61" t="e">
        <f>AND('PROG FORMACIÓN TITULADA'!#REF!,"AAAAAEz/70U=")</f>
        <v>#REF!</v>
      </c>
      <c r="BS61" t="e">
        <f>AND('PROG FORMACIÓN TITULADA'!#REF!,"AAAAAEz/70Y=")</f>
        <v>#REF!</v>
      </c>
      <c r="BT61" t="e">
        <f>IF('PROG FORMACIÓN TITULADA'!#REF!,"AAAAAEz/70c=",0)</f>
        <v>#REF!</v>
      </c>
      <c r="BU61" t="e">
        <f>AND('PROG FORMACIÓN TITULADA'!#REF!,"AAAAAEz/70g=")</f>
        <v>#REF!</v>
      </c>
      <c r="BV61" t="e">
        <f>AND('PROG FORMACIÓN TITULADA'!#REF!,"AAAAAEz/70k=")</f>
        <v>#REF!</v>
      </c>
      <c r="BW61" t="e">
        <f>AND('PROG FORMACIÓN TITULADA'!#REF!,"AAAAAEz/70o=")</f>
        <v>#REF!</v>
      </c>
      <c r="BX61" t="e">
        <f>AND('PROG FORMACIÓN TITULADA'!#REF!,"AAAAAEz/70s=")</f>
        <v>#REF!</v>
      </c>
      <c r="BY61" t="e">
        <f>AND('PROG FORMACIÓN TITULADA'!#REF!,"AAAAAEz/70w=")</f>
        <v>#REF!</v>
      </c>
      <c r="BZ61" t="e">
        <f>AND('PROG FORMACIÓN TITULADA'!#REF!,"AAAAAEz/700=")</f>
        <v>#REF!</v>
      </c>
      <c r="CA61" t="e">
        <f>AND('PROG FORMACIÓN TITULADA'!#REF!,"AAAAAEz/704=")</f>
        <v>#REF!</v>
      </c>
      <c r="CB61" t="e">
        <f>AND('PROG FORMACIÓN TITULADA'!#REF!,"AAAAAEz/708=")</f>
        <v>#REF!</v>
      </c>
      <c r="CC61" t="e">
        <f>AND('PROG FORMACIÓN TITULADA'!#REF!,"AAAAAEz/71A=")</f>
        <v>#REF!</v>
      </c>
      <c r="CD61" t="e">
        <f>AND('PROG FORMACIÓN TITULADA'!#REF!,"AAAAAEz/71E=")</f>
        <v>#REF!</v>
      </c>
      <c r="CE61" t="e">
        <f>AND('PROG FORMACIÓN TITULADA'!#REF!,"AAAAAEz/71I=")</f>
        <v>#REF!</v>
      </c>
      <c r="CF61" t="e">
        <f>AND('PROG FORMACIÓN TITULADA'!#REF!,"AAAAAEz/71M=")</f>
        <v>#REF!</v>
      </c>
      <c r="CG61" t="e">
        <f>AND('PROG FORMACIÓN TITULADA'!#REF!,"AAAAAEz/71Q=")</f>
        <v>#REF!</v>
      </c>
      <c r="CH61" t="e">
        <f>AND('PROG FORMACIÓN TITULADA'!#REF!,"AAAAAEz/71U=")</f>
        <v>#REF!</v>
      </c>
      <c r="CI61" t="e">
        <f>AND('PROG FORMACIÓN TITULADA'!#REF!,"AAAAAEz/71Y=")</f>
        <v>#REF!</v>
      </c>
      <c r="CJ61" t="e">
        <f>AND('PROG FORMACIÓN TITULADA'!#REF!,"AAAAAEz/71c=")</f>
        <v>#REF!</v>
      </c>
      <c r="CK61" t="e">
        <f>AND('PROG FORMACIÓN TITULADA'!#REF!,"AAAAAEz/71g=")</f>
        <v>#REF!</v>
      </c>
      <c r="CL61" t="e">
        <f>AND('PROG FORMACIÓN TITULADA'!#REF!,"AAAAAEz/71k=")</f>
        <v>#REF!</v>
      </c>
      <c r="CM61" t="e">
        <f>AND('PROG FORMACIÓN TITULADA'!#REF!,"AAAAAEz/71o=")</f>
        <v>#REF!</v>
      </c>
      <c r="CN61" t="e">
        <f>AND('PROG FORMACIÓN TITULADA'!#REF!,"AAAAAEz/71s=")</f>
        <v>#REF!</v>
      </c>
      <c r="CO61" t="e">
        <f>AND('PROG FORMACIÓN TITULADA'!#REF!,"AAAAAEz/71w=")</f>
        <v>#REF!</v>
      </c>
      <c r="CP61" t="e">
        <f>AND('PROG FORMACIÓN TITULADA'!#REF!,"AAAAAEz/710=")</f>
        <v>#REF!</v>
      </c>
      <c r="CQ61" t="e">
        <f>AND('PROG FORMACIÓN TITULADA'!#REF!,"AAAAAEz/714=")</f>
        <v>#REF!</v>
      </c>
      <c r="CR61" t="e">
        <f>AND('PROG FORMACIÓN TITULADA'!#REF!,"AAAAAEz/718=")</f>
        <v>#REF!</v>
      </c>
      <c r="CS61" t="e">
        <f>AND('PROG FORMACIÓN TITULADA'!#REF!,"AAAAAEz/72A=")</f>
        <v>#REF!</v>
      </c>
      <c r="CT61" t="e">
        <f>AND('PROG FORMACIÓN TITULADA'!#REF!,"AAAAAEz/72E=")</f>
        <v>#REF!</v>
      </c>
      <c r="CU61" t="e">
        <f>IF('PROG FORMACIÓN TITULADA'!#REF!,"AAAAAEz/72I=",0)</f>
        <v>#REF!</v>
      </c>
      <c r="CV61" t="e">
        <f>AND('PROG FORMACIÓN TITULADA'!#REF!,"AAAAAEz/72M=")</f>
        <v>#REF!</v>
      </c>
      <c r="CW61" t="e">
        <f>AND('PROG FORMACIÓN TITULADA'!#REF!,"AAAAAEz/72Q=")</f>
        <v>#REF!</v>
      </c>
      <c r="CX61" t="e">
        <f>AND('PROG FORMACIÓN TITULADA'!#REF!,"AAAAAEz/72U=")</f>
        <v>#REF!</v>
      </c>
      <c r="CY61" t="e">
        <f>AND('PROG FORMACIÓN TITULADA'!#REF!,"AAAAAEz/72Y=")</f>
        <v>#REF!</v>
      </c>
      <c r="CZ61" t="e">
        <f>AND('PROG FORMACIÓN TITULADA'!#REF!,"AAAAAEz/72c=")</f>
        <v>#REF!</v>
      </c>
      <c r="DA61" t="e">
        <f>AND('PROG FORMACIÓN TITULADA'!#REF!,"AAAAAEz/72g=")</f>
        <v>#REF!</v>
      </c>
      <c r="DB61" t="e">
        <f>AND('PROG FORMACIÓN TITULADA'!#REF!,"AAAAAEz/72k=")</f>
        <v>#REF!</v>
      </c>
      <c r="DC61" t="e">
        <f>AND('PROG FORMACIÓN TITULADA'!#REF!,"AAAAAEz/72o=")</f>
        <v>#REF!</v>
      </c>
      <c r="DD61" t="e">
        <f>AND('PROG FORMACIÓN TITULADA'!#REF!,"AAAAAEz/72s=")</f>
        <v>#REF!</v>
      </c>
      <c r="DE61" t="e">
        <f>AND('PROG FORMACIÓN TITULADA'!#REF!,"AAAAAEz/72w=")</f>
        <v>#REF!</v>
      </c>
      <c r="DF61" t="e">
        <f>AND('PROG FORMACIÓN TITULADA'!#REF!,"AAAAAEz/720=")</f>
        <v>#REF!</v>
      </c>
      <c r="DG61" t="e">
        <f>AND('PROG FORMACIÓN TITULADA'!#REF!,"AAAAAEz/724=")</f>
        <v>#REF!</v>
      </c>
      <c r="DH61" t="e">
        <f>AND('PROG FORMACIÓN TITULADA'!#REF!,"AAAAAEz/728=")</f>
        <v>#REF!</v>
      </c>
      <c r="DI61" t="e">
        <f>AND('PROG FORMACIÓN TITULADA'!#REF!,"AAAAAEz/73A=")</f>
        <v>#REF!</v>
      </c>
      <c r="DJ61" t="e">
        <f>AND('PROG FORMACIÓN TITULADA'!#REF!,"AAAAAEz/73E=")</f>
        <v>#REF!</v>
      </c>
      <c r="DK61" t="e">
        <f>AND('PROG FORMACIÓN TITULADA'!#REF!,"AAAAAEz/73I=")</f>
        <v>#REF!</v>
      </c>
      <c r="DL61" t="e">
        <f>AND('PROG FORMACIÓN TITULADA'!#REF!,"AAAAAEz/73M=")</f>
        <v>#REF!</v>
      </c>
      <c r="DM61" t="e">
        <f>AND('PROG FORMACIÓN TITULADA'!#REF!,"AAAAAEz/73Q=")</f>
        <v>#REF!</v>
      </c>
      <c r="DN61" t="e">
        <f>AND('PROG FORMACIÓN TITULADA'!#REF!,"AAAAAEz/73U=")</f>
        <v>#REF!</v>
      </c>
      <c r="DO61" t="e">
        <f>AND('PROG FORMACIÓN TITULADA'!#REF!,"AAAAAEz/73Y=")</f>
        <v>#REF!</v>
      </c>
      <c r="DP61" t="e">
        <f>AND('PROG FORMACIÓN TITULADA'!#REF!,"AAAAAEz/73c=")</f>
        <v>#REF!</v>
      </c>
      <c r="DQ61" t="e">
        <f>AND('PROG FORMACIÓN TITULADA'!#REF!,"AAAAAEz/73g=")</f>
        <v>#REF!</v>
      </c>
      <c r="DR61" t="e">
        <f>AND('PROG FORMACIÓN TITULADA'!#REF!,"AAAAAEz/73k=")</f>
        <v>#REF!</v>
      </c>
      <c r="DS61" t="e">
        <f>AND('PROG FORMACIÓN TITULADA'!#REF!,"AAAAAEz/73o=")</f>
        <v>#REF!</v>
      </c>
      <c r="DT61" t="e">
        <f>AND('PROG FORMACIÓN TITULADA'!#REF!,"AAAAAEz/73s=")</f>
        <v>#REF!</v>
      </c>
      <c r="DU61" t="e">
        <f>AND('PROG FORMACIÓN TITULADA'!#REF!,"AAAAAEz/73w=")</f>
        <v>#REF!</v>
      </c>
      <c r="DV61" t="e">
        <f>IF('PROG FORMACIÓN TITULADA'!#REF!,"AAAAAEz/730=",0)</f>
        <v>#REF!</v>
      </c>
      <c r="DW61" t="e">
        <f>AND('PROG FORMACIÓN TITULADA'!#REF!,"AAAAAEz/734=")</f>
        <v>#REF!</v>
      </c>
      <c r="DX61" t="e">
        <f>AND('PROG FORMACIÓN TITULADA'!#REF!,"AAAAAEz/738=")</f>
        <v>#REF!</v>
      </c>
      <c r="DY61" t="e">
        <f>AND('PROG FORMACIÓN TITULADA'!#REF!,"AAAAAEz/74A=")</f>
        <v>#REF!</v>
      </c>
      <c r="DZ61" t="e">
        <f>AND('PROG FORMACIÓN TITULADA'!#REF!,"AAAAAEz/74E=")</f>
        <v>#REF!</v>
      </c>
      <c r="EA61" t="e">
        <f>AND('PROG FORMACIÓN TITULADA'!#REF!,"AAAAAEz/74I=")</f>
        <v>#REF!</v>
      </c>
      <c r="EB61" t="e">
        <f>AND('PROG FORMACIÓN TITULADA'!#REF!,"AAAAAEz/74M=")</f>
        <v>#REF!</v>
      </c>
      <c r="EC61" t="e">
        <f>AND('PROG FORMACIÓN TITULADA'!#REF!,"AAAAAEz/74Q=")</f>
        <v>#REF!</v>
      </c>
      <c r="ED61" t="e">
        <f>AND('PROG FORMACIÓN TITULADA'!#REF!,"AAAAAEz/74U=")</f>
        <v>#REF!</v>
      </c>
      <c r="EE61" t="e">
        <f>AND('PROG FORMACIÓN TITULADA'!#REF!,"AAAAAEz/74Y=")</f>
        <v>#REF!</v>
      </c>
      <c r="EF61" t="e">
        <f>AND('PROG FORMACIÓN TITULADA'!#REF!,"AAAAAEz/74c=")</f>
        <v>#REF!</v>
      </c>
      <c r="EG61" t="e">
        <f>AND('PROG FORMACIÓN TITULADA'!#REF!,"AAAAAEz/74g=")</f>
        <v>#REF!</v>
      </c>
      <c r="EH61" t="e">
        <f>AND('PROG FORMACIÓN TITULADA'!#REF!,"AAAAAEz/74k=")</f>
        <v>#REF!</v>
      </c>
      <c r="EI61" t="e">
        <f>AND('PROG FORMACIÓN TITULADA'!#REF!,"AAAAAEz/74o=")</f>
        <v>#REF!</v>
      </c>
      <c r="EJ61" t="e">
        <f>AND('PROG FORMACIÓN TITULADA'!#REF!,"AAAAAEz/74s=")</f>
        <v>#REF!</v>
      </c>
      <c r="EK61" t="e">
        <f>AND('PROG FORMACIÓN TITULADA'!#REF!,"AAAAAEz/74w=")</f>
        <v>#REF!</v>
      </c>
      <c r="EL61" t="e">
        <f>AND('PROG FORMACIÓN TITULADA'!#REF!,"AAAAAEz/740=")</f>
        <v>#REF!</v>
      </c>
      <c r="EM61" t="e">
        <f>AND('PROG FORMACIÓN TITULADA'!#REF!,"AAAAAEz/744=")</f>
        <v>#REF!</v>
      </c>
      <c r="EN61" t="e">
        <f>AND('PROG FORMACIÓN TITULADA'!#REF!,"AAAAAEz/748=")</f>
        <v>#REF!</v>
      </c>
      <c r="EO61" t="e">
        <f>AND('PROG FORMACIÓN TITULADA'!#REF!,"AAAAAEz/75A=")</f>
        <v>#REF!</v>
      </c>
      <c r="EP61" t="e">
        <f>AND('PROG FORMACIÓN TITULADA'!#REF!,"AAAAAEz/75E=")</f>
        <v>#REF!</v>
      </c>
      <c r="EQ61" t="e">
        <f>AND('PROG FORMACIÓN TITULADA'!#REF!,"AAAAAEz/75I=")</f>
        <v>#REF!</v>
      </c>
      <c r="ER61" t="e">
        <f>AND('PROG FORMACIÓN TITULADA'!#REF!,"AAAAAEz/75M=")</f>
        <v>#REF!</v>
      </c>
      <c r="ES61" t="e">
        <f>AND('PROG FORMACIÓN TITULADA'!#REF!,"AAAAAEz/75Q=")</f>
        <v>#REF!</v>
      </c>
      <c r="ET61" t="e">
        <f>AND('PROG FORMACIÓN TITULADA'!#REF!,"AAAAAEz/75U=")</f>
        <v>#REF!</v>
      </c>
      <c r="EU61" t="e">
        <f>AND('PROG FORMACIÓN TITULADA'!#REF!,"AAAAAEz/75Y=")</f>
        <v>#REF!</v>
      </c>
      <c r="EV61" t="e">
        <f>AND('PROG FORMACIÓN TITULADA'!#REF!,"AAAAAEz/75c=")</f>
        <v>#REF!</v>
      </c>
      <c r="EW61" t="e">
        <f>IF('PROG FORMACIÓN TITULADA'!#REF!,"AAAAAEz/75g=",0)</f>
        <v>#REF!</v>
      </c>
      <c r="EX61" t="e">
        <f>AND('PROG FORMACIÓN TITULADA'!#REF!,"AAAAAEz/75k=")</f>
        <v>#REF!</v>
      </c>
      <c r="EY61" t="e">
        <f>AND('PROG FORMACIÓN TITULADA'!#REF!,"AAAAAEz/75o=")</f>
        <v>#REF!</v>
      </c>
      <c r="EZ61" t="e">
        <f>AND('PROG FORMACIÓN TITULADA'!#REF!,"AAAAAEz/75s=")</f>
        <v>#REF!</v>
      </c>
      <c r="FA61" t="e">
        <f>AND('PROG FORMACIÓN TITULADA'!#REF!,"AAAAAEz/75w=")</f>
        <v>#REF!</v>
      </c>
      <c r="FB61" t="e">
        <f>AND('PROG FORMACIÓN TITULADA'!#REF!,"AAAAAEz/750=")</f>
        <v>#REF!</v>
      </c>
      <c r="FC61" t="e">
        <f>AND('PROG FORMACIÓN TITULADA'!#REF!,"AAAAAEz/754=")</f>
        <v>#REF!</v>
      </c>
      <c r="FD61" t="e">
        <f>AND('PROG FORMACIÓN TITULADA'!#REF!,"AAAAAEz/758=")</f>
        <v>#REF!</v>
      </c>
      <c r="FE61" t="e">
        <f>AND('PROG FORMACIÓN TITULADA'!#REF!,"AAAAAEz/76A=")</f>
        <v>#REF!</v>
      </c>
      <c r="FF61" t="e">
        <f>AND('PROG FORMACIÓN TITULADA'!#REF!,"AAAAAEz/76E=")</f>
        <v>#REF!</v>
      </c>
      <c r="FG61" t="e">
        <f>AND('PROG FORMACIÓN TITULADA'!#REF!,"AAAAAEz/76I=")</f>
        <v>#REF!</v>
      </c>
      <c r="FH61" t="e">
        <f>AND('PROG FORMACIÓN TITULADA'!#REF!,"AAAAAEz/76M=")</f>
        <v>#REF!</v>
      </c>
      <c r="FI61" t="e">
        <f>AND('PROG FORMACIÓN TITULADA'!#REF!,"AAAAAEz/76Q=")</f>
        <v>#REF!</v>
      </c>
      <c r="FJ61" t="e">
        <f>AND('PROG FORMACIÓN TITULADA'!#REF!,"AAAAAEz/76U=")</f>
        <v>#REF!</v>
      </c>
      <c r="FK61" t="e">
        <f>AND('PROG FORMACIÓN TITULADA'!#REF!,"AAAAAEz/76Y=")</f>
        <v>#REF!</v>
      </c>
      <c r="FL61" t="e">
        <f>AND('PROG FORMACIÓN TITULADA'!#REF!,"AAAAAEz/76c=")</f>
        <v>#REF!</v>
      </c>
      <c r="FM61" t="e">
        <f>AND('PROG FORMACIÓN TITULADA'!#REF!,"AAAAAEz/76g=")</f>
        <v>#REF!</v>
      </c>
      <c r="FN61" t="e">
        <f>AND('PROG FORMACIÓN TITULADA'!#REF!,"AAAAAEz/76k=")</f>
        <v>#REF!</v>
      </c>
      <c r="FO61" t="e">
        <f>AND('PROG FORMACIÓN TITULADA'!#REF!,"AAAAAEz/76o=")</f>
        <v>#REF!</v>
      </c>
      <c r="FP61" t="e">
        <f>AND('PROG FORMACIÓN TITULADA'!#REF!,"AAAAAEz/76s=")</f>
        <v>#REF!</v>
      </c>
      <c r="FQ61" t="e">
        <f>AND('PROG FORMACIÓN TITULADA'!#REF!,"AAAAAEz/76w=")</f>
        <v>#REF!</v>
      </c>
      <c r="FR61" t="e">
        <f>AND('PROG FORMACIÓN TITULADA'!#REF!,"AAAAAEz/760=")</f>
        <v>#REF!</v>
      </c>
      <c r="FS61" t="e">
        <f>AND('PROG FORMACIÓN TITULADA'!#REF!,"AAAAAEz/764=")</f>
        <v>#REF!</v>
      </c>
      <c r="FT61" t="e">
        <f>AND('PROG FORMACIÓN TITULADA'!#REF!,"AAAAAEz/768=")</f>
        <v>#REF!</v>
      </c>
      <c r="FU61" t="e">
        <f>AND('PROG FORMACIÓN TITULADA'!#REF!,"AAAAAEz/77A=")</f>
        <v>#REF!</v>
      </c>
      <c r="FV61" t="e">
        <f>AND('PROG FORMACIÓN TITULADA'!#REF!,"AAAAAEz/77E=")</f>
        <v>#REF!</v>
      </c>
      <c r="FW61" t="e">
        <f>AND('PROG FORMACIÓN TITULADA'!#REF!,"AAAAAEz/77I=")</f>
        <v>#REF!</v>
      </c>
      <c r="FX61" t="e">
        <f>IF('PROG FORMACIÓN TITULADA'!#REF!,"AAAAAEz/77M=",0)</f>
        <v>#REF!</v>
      </c>
      <c r="FY61" t="e">
        <f>AND('PROG FORMACIÓN TITULADA'!#REF!,"AAAAAEz/77Q=")</f>
        <v>#REF!</v>
      </c>
      <c r="FZ61" t="e">
        <f>AND('PROG FORMACIÓN TITULADA'!#REF!,"AAAAAEz/77U=")</f>
        <v>#REF!</v>
      </c>
      <c r="GA61" t="e">
        <f>AND('PROG FORMACIÓN TITULADA'!#REF!,"AAAAAEz/77Y=")</f>
        <v>#REF!</v>
      </c>
      <c r="GB61" t="e">
        <f>AND('PROG FORMACIÓN TITULADA'!#REF!,"AAAAAEz/77c=")</f>
        <v>#REF!</v>
      </c>
      <c r="GC61" t="e">
        <f>AND('PROG FORMACIÓN TITULADA'!#REF!,"AAAAAEz/77g=")</f>
        <v>#REF!</v>
      </c>
      <c r="GD61" t="e">
        <f>AND('PROG FORMACIÓN TITULADA'!#REF!,"AAAAAEz/77k=")</f>
        <v>#REF!</v>
      </c>
      <c r="GE61" t="e">
        <f>AND('PROG FORMACIÓN TITULADA'!#REF!,"AAAAAEz/77o=")</f>
        <v>#REF!</v>
      </c>
      <c r="GF61" t="e">
        <f>AND('PROG FORMACIÓN TITULADA'!#REF!,"AAAAAEz/77s=")</f>
        <v>#REF!</v>
      </c>
      <c r="GG61" t="e">
        <f>AND('PROG FORMACIÓN TITULADA'!#REF!,"AAAAAEz/77w=")</f>
        <v>#REF!</v>
      </c>
      <c r="GH61" t="e">
        <f>AND('PROG FORMACIÓN TITULADA'!#REF!,"AAAAAEz/770=")</f>
        <v>#REF!</v>
      </c>
      <c r="GI61" t="e">
        <f>AND('PROG FORMACIÓN TITULADA'!#REF!,"AAAAAEz/774=")</f>
        <v>#REF!</v>
      </c>
      <c r="GJ61" t="e">
        <f>AND('PROG FORMACIÓN TITULADA'!#REF!,"AAAAAEz/778=")</f>
        <v>#REF!</v>
      </c>
      <c r="GK61" t="e">
        <f>AND('PROG FORMACIÓN TITULADA'!#REF!,"AAAAAEz/78A=")</f>
        <v>#REF!</v>
      </c>
      <c r="GL61" t="e">
        <f>AND('PROG FORMACIÓN TITULADA'!#REF!,"AAAAAEz/78E=")</f>
        <v>#REF!</v>
      </c>
      <c r="GM61" t="e">
        <f>AND('PROG FORMACIÓN TITULADA'!#REF!,"AAAAAEz/78I=")</f>
        <v>#REF!</v>
      </c>
      <c r="GN61" t="e">
        <f>AND('PROG FORMACIÓN TITULADA'!#REF!,"AAAAAEz/78M=")</f>
        <v>#REF!</v>
      </c>
      <c r="GO61" t="e">
        <f>AND('PROG FORMACIÓN TITULADA'!#REF!,"AAAAAEz/78Q=")</f>
        <v>#REF!</v>
      </c>
      <c r="GP61" t="e">
        <f>AND('PROG FORMACIÓN TITULADA'!#REF!,"AAAAAEz/78U=")</f>
        <v>#REF!</v>
      </c>
      <c r="GQ61" t="e">
        <f>AND('PROG FORMACIÓN TITULADA'!#REF!,"AAAAAEz/78Y=")</f>
        <v>#REF!</v>
      </c>
      <c r="GR61" t="e">
        <f>AND('PROG FORMACIÓN TITULADA'!#REF!,"AAAAAEz/78c=")</f>
        <v>#REF!</v>
      </c>
      <c r="GS61" t="e">
        <f>AND('PROG FORMACIÓN TITULADA'!#REF!,"AAAAAEz/78g=")</f>
        <v>#REF!</v>
      </c>
      <c r="GT61" t="e">
        <f>AND('PROG FORMACIÓN TITULADA'!#REF!,"AAAAAEz/78k=")</f>
        <v>#REF!</v>
      </c>
      <c r="GU61" t="e">
        <f>AND('PROG FORMACIÓN TITULADA'!#REF!,"AAAAAEz/78o=")</f>
        <v>#REF!</v>
      </c>
      <c r="GV61" t="e">
        <f>AND('PROG FORMACIÓN TITULADA'!#REF!,"AAAAAEz/78s=")</f>
        <v>#REF!</v>
      </c>
      <c r="GW61" t="e">
        <f>AND('PROG FORMACIÓN TITULADA'!#REF!,"AAAAAEz/78w=")</f>
        <v>#REF!</v>
      </c>
      <c r="GX61" t="e">
        <f>AND('PROG FORMACIÓN TITULADA'!#REF!,"AAAAAEz/780=")</f>
        <v>#REF!</v>
      </c>
      <c r="GY61" t="e">
        <f>IF('PROG FORMACIÓN TITULADA'!#REF!,"AAAAAEz/784=",0)</f>
        <v>#REF!</v>
      </c>
      <c r="GZ61" t="e">
        <f>AND('PROG FORMACIÓN TITULADA'!#REF!,"AAAAAEz/788=")</f>
        <v>#REF!</v>
      </c>
      <c r="HA61" t="e">
        <f>AND('PROG FORMACIÓN TITULADA'!#REF!,"AAAAAEz/79A=")</f>
        <v>#REF!</v>
      </c>
      <c r="HB61" t="e">
        <f>AND('PROG FORMACIÓN TITULADA'!#REF!,"AAAAAEz/79E=")</f>
        <v>#REF!</v>
      </c>
      <c r="HC61" t="e">
        <f>AND('PROG FORMACIÓN TITULADA'!#REF!,"AAAAAEz/79I=")</f>
        <v>#REF!</v>
      </c>
      <c r="HD61" t="e">
        <f>AND('PROG FORMACIÓN TITULADA'!#REF!,"AAAAAEz/79M=")</f>
        <v>#REF!</v>
      </c>
      <c r="HE61" t="e">
        <f>AND('PROG FORMACIÓN TITULADA'!#REF!,"AAAAAEz/79Q=")</f>
        <v>#REF!</v>
      </c>
      <c r="HF61" t="e">
        <f>AND('PROG FORMACIÓN TITULADA'!#REF!,"AAAAAEz/79U=")</f>
        <v>#REF!</v>
      </c>
      <c r="HG61" t="e">
        <f>AND('PROG FORMACIÓN TITULADA'!#REF!,"AAAAAEz/79Y=")</f>
        <v>#REF!</v>
      </c>
      <c r="HH61" t="e">
        <f>AND('PROG FORMACIÓN TITULADA'!#REF!,"AAAAAEz/79c=")</f>
        <v>#REF!</v>
      </c>
      <c r="HI61" t="e">
        <f>AND('PROG FORMACIÓN TITULADA'!#REF!,"AAAAAEz/79g=")</f>
        <v>#REF!</v>
      </c>
      <c r="HJ61" t="e">
        <f>AND('PROG FORMACIÓN TITULADA'!#REF!,"AAAAAEz/79k=")</f>
        <v>#REF!</v>
      </c>
      <c r="HK61" t="e">
        <f>AND('PROG FORMACIÓN TITULADA'!#REF!,"AAAAAEz/79o=")</f>
        <v>#REF!</v>
      </c>
      <c r="HL61" t="e">
        <f>AND('PROG FORMACIÓN TITULADA'!#REF!,"AAAAAEz/79s=")</f>
        <v>#REF!</v>
      </c>
      <c r="HM61" t="e">
        <f>AND('PROG FORMACIÓN TITULADA'!#REF!,"AAAAAEz/79w=")</f>
        <v>#REF!</v>
      </c>
      <c r="HN61" t="e">
        <f>AND('PROG FORMACIÓN TITULADA'!#REF!,"AAAAAEz/790=")</f>
        <v>#REF!</v>
      </c>
      <c r="HO61" t="e">
        <f>AND('PROG FORMACIÓN TITULADA'!#REF!,"AAAAAEz/794=")</f>
        <v>#REF!</v>
      </c>
      <c r="HP61" t="e">
        <f>AND('PROG FORMACIÓN TITULADA'!#REF!,"AAAAAEz/798=")</f>
        <v>#REF!</v>
      </c>
      <c r="HQ61" t="e">
        <f>AND('PROG FORMACIÓN TITULADA'!#REF!,"AAAAAEz/7+A=")</f>
        <v>#REF!</v>
      </c>
      <c r="HR61" t="e">
        <f>AND('PROG FORMACIÓN TITULADA'!#REF!,"AAAAAEz/7+E=")</f>
        <v>#REF!</v>
      </c>
      <c r="HS61" t="e">
        <f>AND('PROG FORMACIÓN TITULADA'!#REF!,"AAAAAEz/7+I=")</f>
        <v>#REF!</v>
      </c>
      <c r="HT61" t="e">
        <f>AND('PROG FORMACIÓN TITULADA'!#REF!,"AAAAAEz/7+M=")</f>
        <v>#REF!</v>
      </c>
      <c r="HU61" t="e">
        <f>AND('PROG FORMACIÓN TITULADA'!#REF!,"AAAAAEz/7+Q=")</f>
        <v>#REF!</v>
      </c>
      <c r="HV61" t="e">
        <f>AND('PROG FORMACIÓN TITULADA'!#REF!,"AAAAAEz/7+U=")</f>
        <v>#REF!</v>
      </c>
      <c r="HW61" t="e">
        <f>AND('PROG FORMACIÓN TITULADA'!#REF!,"AAAAAEz/7+Y=")</f>
        <v>#REF!</v>
      </c>
      <c r="HX61" t="e">
        <f>AND('PROG FORMACIÓN TITULADA'!#REF!,"AAAAAEz/7+c=")</f>
        <v>#REF!</v>
      </c>
      <c r="HY61" t="e">
        <f>AND('PROG FORMACIÓN TITULADA'!#REF!,"AAAAAEz/7+g=")</f>
        <v>#REF!</v>
      </c>
      <c r="HZ61" t="e">
        <f>IF('PROG FORMACIÓN TITULADA'!#REF!,"AAAAAEz/7+k=",0)</f>
        <v>#REF!</v>
      </c>
      <c r="IA61" t="e">
        <f>AND('PROG FORMACIÓN TITULADA'!#REF!,"AAAAAEz/7+o=")</f>
        <v>#REF!</v>
      </c>
      <c r="IB61" t="e">
        <f>AND('PROG FORMACIÓN TITULADA'!#REF!,"AAAAAEz/7+s=")</f>
        <v>#REF!</v>
      </c>
      <c r="IC61" t="e">
        <f>AND('PROG FORMACIÓN TITULADA'!#REF!,"AAAAAEz/7+w=")</f>
        <v>#REF!</v>
      </c>
      <c r="ID61" t="e">
        <f>AND('PROG FORMACIÓN TITULADA'!#REF!,"AAAAAEz/7+0=")</f>
        <v>#REF!</v>
      </c>
      <c r="IE61" t="e">
        <f>AND('PROG FORMACIÓN TITULADA'!#REF!,"AAAAAEz/7+4=")</f>
        <v>#REF!</v>
      </c>
      <c r="IF61" t="e">
        <f>AND('PROG FORMACIÓN TITULADA'!#REF!,"AAAAAEz/7+8=")</f>
        <v>#REF!</v>
      </c>
      <c r="IG61" t="e">
        <f>AND('PROG FORMACIÓN TITULADA'!#REF!,"AAAAAEz/7/A=")</f>
        <v>#REF!</v>
      </c>
      <c r="IH61" t="e">
        <f>AND('PROG FORMACIÓN TITULADA'!#REF!,"AAAAAEz/7/E=")</f>
        <v>#REF!</v>
      </c>
      <c r="II61" t="e">
        <f>AND('PROG FORMACIÓN TITULADA'!#REF!,"AAAAAEz/7/I=")</f>
        <v>#REF!</v>
      </c>
      <c r="IJ61" t="e">
        <f>AND('PROG FORMACIÓN TITULADA'!#REF!,"AAAAAEz/7/M=")</f>
        <v>#REF!</v>
      </c>
      <c r="IK61" t="e">
        <f>AND('PROG FORMACIÓN TITULADA'!#REF!,"AAAAAEz/7/Q=")</f>
        <v>#REF!</v>
      </c>
      <c r="IL61" t="e">
        <f>AND('PROG FORMACIÓN TITULADA'!#REF!,"AAAAAEz/7/U=")</f>
        <v>#REF!</v>
      </c>
      <c r="IM61" t="e">
        <f>AND('PROG FORMACIÓN TITULADA'!#REF!,"AAAAAEz/7/Y=")</f>
        <v>#REF!</v>
      </c>
      <c r="IN61" t="e">
        <f>AND('PROG FORMACIÓN TITULADA'!#REF!,"AAAAAEz/7/c=")</f>
        <v>#REF!</v>
      </c>
      <c r="IO61" t="e">
        <f>AND('PROG FORMACIÓN TITULADA'!#REF!,"AAAAAEz/7/g=")</f>
        <v>#REF!</v>
      </c>
      <c r="IP61" t="e">
        <f>AND('PROG FORMACIÓN TITULADA'!#REF!,"AAAAAEz/7/k=")</f>
        <v>#REF!</v>
      </c>
      <c r="IQ61" t="e">
        <f>AND('PROG FORMACIÓN TITULADA'!#REF!,"AAAAAEz/7/o=")</f>
        <v>#REF!</v>
      </c>
      <c r="IR61" t="e">
        <f>AND('PROG FORMACIÓN TITULADA'!#REF!,"AAAAAEz/7/s=")</f>
        <v>#REF!</v>
      </c>
      <c r="IS61" t="e">
        <f>AND('PROG FORMACIÓN TITULADA'!#REF!,"AAAAAEz/7/w=")</f>
        <v>#REF!</v>
      </c>
      <c r="IT61" t="e">
        <f>AND('PROG FORMACIÓN TITULADA'!#REF!,"AAAAAEz/7/0=")</f>
        <v>#REF!</v>
      </c>
      <c r="IU61" t="e">
        <f>AND('PROG FORMACIÓN TITULADA'!#REF!,"AAAAAEz/7/4=")</f>
        <v>#REF!</v>
      </c>
      <c r="IV61" t="e">
        <f>AND('PROG FORMACIÓN TITULADA'!#REF!,"AAAAAEz/7/8=")</f>
        <v>#REF!</v>
      </c>
    </row>
    <row r="62" spans="1:256" x14ac:dyDescent="0.2">
      <c r="A62" t="e">
        <f>AND('PROG FORMACIÓN TITULADA'!#REF!,"AAAAAH7+vwA=")</f>
        <v>#REF!</v>
      </c>
      <c r="B62" t="e">
        <f>AND('PROG FORMACIÓN TITULADA'!#REF!,"AAAAAH7+vwE=")</f>
        <v>#REF!</v>
      </c>
      <c r="C62" t="e">
        <f>AND('PROG FORMACIÓN TITULADA'!#REF!,"AAAAAH7+vwI=")</f>
        <v>#REF!</v>
      </c>
      <c r="D62" t="e">
        <f>AND('PROG FORMACIÓN TITULADA'!#REF!,"AAAAAH7+vwM=")</f>
        <v>#REF!</v>
      </c>
      <c r="E62" t="e">
        <f>IF('PROG FORMACIÓN TITULADA'!#REF!,"AAAAAH7+vwQ=",0)</f>
        <v>#REF!</v>
      </c>
      <c r="F62" t="e">
        <f>AND('PROG FORMACIÓN TITULADA'!#REF!,"AAAAAH7+vwU=")</f>
        <v>#REF!</v>
      </c>
      <c r="G62" t="e">
        <f>AND('PROG FORMACIÓN TITULADA'!#REF!,"AAAAAH7+vwY=")</f>
        <v>#REF!</v>
      </c>
      <c r="H62" t="e">
        <f>AND('PROG FORMACIÓN TITULADA'!#REF!,"AAAAAH7+vwc=")</f>
        <v>#REF!</v>
      </c>
      <c r="I62" t="e">
        <f>AND('PROG FORMACIÓN TITULADA'!#REF!,"AAAAAH7+vwg=")</f>
        <v>#REF!</v>
      </c>
      <c r="J62" t="e">
        <f>AND('PROG FORMACIÓN TITULADA'!#REF!,"AAAAAH7+vwk=")</f>
        <v>#REF!</v>
      </c>
      <c r="K62" t="e">
        <f>AND('PROG FORMACIÓN TITULADA'!#REF!,"AAAAAH7+vwo=")</f>
        <v>#REF!</v>
      </c>
      <c r="L62" t="e">
        <f>AND('PROG FORMACIÓN TITULADA'!#REF!,"AAAAAH7+vws=")</f>
        <v>#REF!</v>
      </c>
      <c r="M62" t="e">
        <f>AND('PROG FORMACIÓN TITULADA'!#REF!,"AAAAAH7+vww=")</f>
        <v>#REF!</v>
      </c>
      <c r="N62" t="e">
        <f>AND('PROG FORMACIÓN TITULADA'!#REF!,"AAAAAH7+vw0=")</f>
        <v>#REF!</v>
      </c>
      <c r="O62" t="e">
        <f>AND('PROG FORMACIÓN TITULADA'!#REF!,"AAAAAH7+vw4=")</f>
        <v>#REF!</v>
      </c>
      <c r="P62" t="e">
        <f>AND('PROG FORMACIÓN TITULADA'!#REF!,"AAAAAH7+vw8=")</f>
        <v>#REF!</v>
      </c>
      <c r="Q62" t="e">
        <f>AND('PROG FORMACIÓN TITULADA'!#REF!,"AAAAAH7+vxA=")</f>
        <v>#REF!</v>
      </c>
      <c r="R62" t="e">
        <f>AND('PROG FORMACIÓN TITULADA'!#REF!,"AAAAAH7+vxE=")</f>
        <v>#REF!</v>
      </c>
      <c r="S62" t="e">
        <f>AND('PROG FORMACIÓN TITULADA'!#REF!,"AAAAAH7+vxI=")</f>
        <v>#REF!</v>
      </c>
      <c r="T62" t="e">
        <f>AND('PROG FORMACIÓN TITULADA'!#REF!,"AAAAAH7+vxM=")</f>
        <v>#REF!</v>
      </c>
      <c r="U62" t="e">
        <f>AND('PROG FORMACIÓN TITULADA'!#REF!,"AAAAAH7+vxQ=")</f>
        <v>#REF!</v>
      </c>
      <c r="V62" t="e">
        <f>AND('PROG FORMACIÓN TITULADA'!#REF!,"AAAAAH7+vxU=")</f>
        <v>#REF!</v>
      </c>
      <c r="W62" t="e">
        <f>AND('PROG FORMACIÓN TITULADA'!#REF!,"AAAAAH7+vxY=")</f>
        <v>#REF!</v>
      </c>
      <c r="X62" t="e">
        <f>AND('PROG FORMACIÓN TITULADA'!#REF!,"AAAAAH7+vxc=")</f>
        <v>#REF!</v>
      </c>
      <c r="Y62" t="e">
        <f>AND('PROG FORMACIÓN TITULADA'!#REF!,"AAAAAH7+vxg=")</f>
        <v>#REF!</v>
      </c>
      <c r="Z62" t="e">
        <f>AND('PROG FORMACIÓN TITULADA'!#REF!,"AAAAAH7+vxk=")</f>
        <v>#REF!</v>
      </c>
      <c r="AA62" t="e">
        <f>AND('PROG FORMACIÓN TITULADA'!#REF!,"AAAAAH7+vxo=")</f>
        <v>#REF!</v>
      </c>
      <c r="AB62" t="e">
        <f>AND('PROG FORMACIÓN TITULADA'!#REF!,"AAAAAH7+vxs=")</f>
        <v>#REF!</v>
      </c>
      <c r="AC62" t="e">
        <f>AND('PROG FORMACIÓN TITULADA'!#REF!,"AAAAAH7+vxw=")</f>
        <v>#REF!</v>
      </c>
      <c r="AD62" t="e">
        <f>AND('PROG FORMACIÓN TITULADA'!#REF!,"AAAAAH7+vx0=")</f>
        <v>#REF!</v>
      </c>
      <c r="AE62" t="e">
        <f>AND('PROG FORMACIÓN TITULADA'!#REF!,"AAAAAH7+vx4=")</f>
        <v>#REF!</v>
      </c>
      <c r="AF62" t="e">
        <f>IF('PROG FORMACIÓN TITULADA'!#REF!,"AAAAAH7+vx8=",0)</f>
        <v>#REF!</v>
      </c>
      <c r="AG62" t="e">
        <f>AND('PROG FORMACIÓN TITULADA'!#REF!,"AAAAAH7+vyA=")</f>
        <v>#REF!</v>
      </c>
      <c r="AH62" t="e">
        <f>AND('PROG FORMACIÓN TITULADA'!#REF!,"AAAAAH7+vyE=")</f>
        <v>#REF!</v>
      </c>
      <c r="AI62" t="e">
        <f>AND('PROG FORMACIÓN TITULADA'!#REF!,"AAAAAH7+vyI=")</f>
        <v>#REF!</v>
      </c>
      <c r="AJ62" t="e">
        <f>AND('PROG FORMACIÓN TITULADA'!#REF!,"AAAAAH7+vyM=")</f>
        <v>#REF!</v>
      </c>
      <c r="AK62" t="e">
        <f>AND('PROG FORMACIÓN TITULADA'!#REF!,"AAAAAH7+vyQ=")</f>
        <v>#REF!</v>
      </c>
      <c r="AL62" t="e">
        <f>AND('PROG FORMACIÓN TITULADA'!#REF!,"AAAAAH7+vyU=")</f>
        <v>#REF!</v>
      </c>
      <c r="AM62" t="e">
        <f>AND('PROG FORMACIÓN TITULADA'!#REF!,"AAAAAH7+vyY=")</f>
        <v>#REF!</v>
      </c>
      <c r="AN62" t="e">
        <f>AND('PROG FORMACIÓN TITULADA'!#REF!,"AAAAAH7+vyc=")</f>
        <v>#REF!</v>
      </c>
      <c r="AO62" t="e">
        <f>AND('PROG FORMACIÓN TITULADA'!#REF!,"AAAAAH7+vyg=")</f>
        <v>#REF!</v>
      </c>
      <c r="AP62" t="e">
        <f>AND('PROG FORMACIÓN TITULADA'!#REF!,"AAAAAH7+vyk=")</f>
        <v>#REF!</v>
      </c>
      <c r="AQ62" t="e">
        <f>AND('PROG FORMACIÓN TITULADA'!#REF!,"AAAAAH7+vyo=")</f>
        <v>#REF!</v>
      </c>
      <c r="AR62" t="e">
        <f>AND('PROG FORMACIÓN TITULADA'!#REF!,"AAAAAH7+vys=")</f>
        <v>#REF!</v>
      </c>
      <c r="AS62" t="e">
        <f>AND('PROG FORMACIÓN TITULADA'!#REF!,"AAAAAH7+vyw=")</f>
        <v>#REF!</v>
      </c>
      <c r="AT62" t="e">
        <f>AND('PROG FORMACIÓN TITULADA'!#REF!,"AAAAAH7+vy0=")</f>
        <v>#REF!</v>
      </c>
      <c r="AU62" t="e">
        <f>AND('PROG FORMACIÓN TITULADA'!#REF!,"AAAAAH7+vy4=")</f>
        <v>#REF!</v>
      </c>
      <c r="AV62" t="e">
        <f>AND('PROG FORMACIÓN TITULADA'!#REF!,"AAAAAH7+vy8=")</f>
        <v>#REF!</v>
      </c>
      <c r="AW62" t="e">
        <f>AND('PROG FORMACIÓN TITULADA'!#REF!,"AAAAAH7+vzA=")</f>
        <v>#REF!</v>
      </c>
      <c r="AX62" t="e">
        <f>AND('PROG FORMACIÓN TITULADA'!#REF!,"AAAAAH7+vzE=")</f>
        <v>#REF!</v>
      </c>
      <c r="AY62" t="e">
        <f>AND('PROG FORMACIÓN TITULADA'!#REF!,"AAAAAH7+vzI=")</f>
        <v>#REF!</v>
      </c>
      <c r="AZ62" t="e">
        <f>AND('PROG FORMACIÓN TITULADA'!#REF!,"AAAAAH7+vzM=")</f>
        <v>#REF!</v>
      </c>
      <c r="BA62" t="e">
        <f>AND('PROG FORMACIÓN TITULADA'!#REF!,"AAAAAH7+vzQ=")</f>
        <v>#REF!</v>
      </c>
      <c r="BB62" t="e">
        <f>AND('PROG FORMACIÓN TITULADA'!#REF!,"AAAAAH7+vzU=")</f>
        <v>#REF!</v>
      </c>
      <c r="BC62" t="e">
        <f>AND('PROG FORMACIÓN TITULADA'!#REF!,"AAAAAH7+vzY=")</f>
        <v>#REF!</v>
      </c>
      <c r="BD62" t="e">
        <f>AND('PROG FORMACIÓN TITULADA'!#REF!,"AAAAAH7+vzc=")</f>
        <v>#REF!</v>
      </c>
      <c r="BE62" t="e">
        <f>AND('PROG FORMACIÓN TITULADA'!#REF!,"AAAAAH7+vzg=")</f>
        <v>#REF!</v>
      </c>
      <c r="BF62" t="e">
        <f>AND('PROG FORMACIÓN TITULADA'!#REF!,"AAAAAH7+vzk=")</f>
        <v>#REF!</v>
      </c>
      <c r="BG62" t="e">
        <f>IF('PROG FORMACIÓN TITULADA'!#REF!,"AAAAAH7+vzo=",0)</f>
        <v>#REF!</v>
      </c>
      <c r="BH62" t="e">
        <f>AND('PROG FORMACIÓN TITULADA'!#REF!,"AAAAAH7+vzs=")</f>
        <v>#REF!</v>
      </c>
      <c r="BI62" t="e">
        <f>AND('PROG FORMACIÓN TITULADA'!#REF!,"AAAAAH7+vzw=")</f>
        <v>#REF!</v>
      </c>
      <c r="BJ62" t="e">
        <f>AND('PROG FORMACIÓN TITULADA'!#REF!,"AAAAAH7+vz0=")</f>
        <v>#REF!</v>
      </c>
      <c r="BK62" t="e">
        <f>AND('PROG FORMACIÓN TITULADA'!#REF!,"AAAAAH7+vz4=")</f>
        <v>#REF!</v>
      </c>
      <c r="BL62" t="e">
        <f>AND('PROG FORMACIÓN TITULADA'!#REF!,"AAAAAH7+vz8=")</f>
        <v>#REF!</v>
      </c>
      <c r="BM62" t="e">
        <f>AND('PROG FORMACIÓN TITULADA'!#REF!,"AAAAAH7+v0A=")</f>
        <v>#REF!</v>
      </c>
      <c r="BN62" t="e">
        <f>AND('PROG FORMACIÓN TITULADA'!#REF!,"AAAAAH7+v0E=")</f>
        <v>#REF!</v>
      </c>
      <c r="BO62" t="e">
        <f>AND('PROG FORMACIÓN TITULADA'!#REF!,"AAAAAH7+v0I=")</f>
        <v>#REF!</v>
      </c>
      <c r="BP62" t="e">
        <f>AND('PROG FORMACIÓN TITULADA'!#REF!,"AAAAAH7+v0M=")</f>
        <v>#REF!</v>
      </c>
      <c r="BQ62" t="e">
        <f>AND('PROG FORMACIÓN TITULADA'!#REF!,"AAAAAH7+v0Q=")</f>
        <v>#REF!</v>
      </c>
      <c r="BR62" t="e">
        <f>AND('PROG FORMACIÓN TITULADA'!#REF!,"AAAAAH7+v0U=")</f>
        <v>#REF!</v>
      </c>
      <c r="BS62" t="e">
        <f>AND('PROG FORMACIÓN TITULADA'!#REF!,"AAAAAH7+v0Y=")</f>
        <v>#REF!</v>
      </c>
      <c r="BT62" t="e">
        <f>AND('PROG FORMACIÓN TITULADA'!#REF!,"AAAAAH7+v0c=")</f>
        <v>#REF!</v>
      </c>
      <c r="BU62" t="e">
        <f>AND('PROG FORMACIÓN TITULADA'!#REF!,"AAAAAH7+v0g=")</f>
        <v>#REF!</v>
      </c>
      <c r="BV62" t="e">
        <f>AND('PROG FORMACIÓN TITULADA'!#REF!,"AAAAAH7+v0k=")</f>
        <v>#REF!</v>
      </c>
      <c r="BW62" t="e">
        <f>AND('PROG FORMACIÓN TITULADA'!#REF!,"AAAAAH7+v0o=")</f>
        <v>#REF!</v>
      </c>
      <c r="BX62" t="e">
        <f>AND('PROG FORMACIÓN TITULADA'!#REF!,"AAAAAH7+v0s=")</f>
        <v>#REF!</v>
      </c>
      <c r="BY62" t="e">
        <f>AND('PROG FORMACIÓN TITULADA'!#REF!,"AAAAAH7+v0w=")</f>
        <v>#REF!</v>
      </c>
      <c r="BZ62" t="e">
        <f>AND('PROG FORMACIÓN TITULADA'!#REF!,"AAAAAH7+v00=")</f>
        <v>#REF!</v>
      </c>
      <c r="CA62" t="e">
        <f>AND('PROG FORMACIÓN TITULADA'!#REF!,"AAAAAH7+v04=")</f>
        <v>#REF!</v>
      </c>
      <c r="CB62" t="e">
        <f>AND('PROG FORMACIÓN TITULADA'!#REF!,"AAAAAH7+v08=")</f>
        <v>#REF!</v>
      </c>
      <c r="CC62" t="e">
        <f>AND('PROG FORMACIÓN TITULADA'!#REF!,"AAAAAH7+v1A=")</f>
        <v>#REF!</v>
      </c>
      <c r="CD62" t="e">
        <f>AND('PROG FORMACIÓN TITULADA'!#REF!,"AAAAAH7+v1E=")</f>
        <v>#REF!</v>
      </c>
      <c r="CE62" t="e">
        <f>AND('PROG FORMACIÓN TITULADA'!#REF!,"AAAAAH7+v1I=")</f>
        <v>#REF!</v>
      </c>
      <c r="CF62" t="e">
        <f>AND('PROG FORMACIÓN TITULADA'!#REF!,"AAAAAH7+v1M=")</f>
        <v>#REF!</v>
      </c>
      <c r="CG62" t="e">
        <f>AND('PROG FORMACIÓN TITULADA'!#REF!,"AAAAAH7+v1Q=")</f>
        <v>#REF!</v>
      </c>
      <c r="CH62" t="e">
        <f>IF('PROG FORMACIÓN TITULADA'!#REF!,"AAAAAH7+v1U=",0)</f>
        <v>#REF!</v>
      </c>
      <c r="CI62" t="e">
        <f>AND('PROG FORMACIÓN TITULADA'!#REF!,"AAAAAH7+v1Y=")</f>
        <v>#REF!</v>
      </c>
      <c r="CJ62" t="e">
        <f>AND('PROG FORMACIÓN TITULADA'!#REF!,"AAAAAH7+v1c=")</f>
        <v>#REF!</v>
      </c>
      <c r="CK62" t="e">
        <f>AND('PROG FORMACIÓN TITULADA'!#REF!,"AAAAAH7+v1g=")</f>
        <v>#REF!</v>
      </c>
      <c r="CL62" t="e">
        <f>AND('PROG FORMACIÓN TITULADA'!#REF!,"AAAAAH7+v1k=")</f>
        <v>#REF!</v>
      </c>
      <c r="CM62" t="e">
        <f>AND('PROG FORMACIÓN TITULADA'!#REF!,"AAAAAH7+v1o=")</f>
        <v>#REF!</v>
      </c>
      <c r="CN62" t="e">
        <f>AND('PROG FORMACIÓN TITULADA'!#REF!,"AAAAAH7+v1s=")</f>
        <v>#REF!</v>
      </c>
      <c r="CO62" t="e">
        <f>AND('PROG FORMACIÓN TITULADA'!#REF!,"AAAAAH7+v1w=")</f>
        <v>#REF!</v>
      </c>
      <c r="CP62" t="e">
        <f>AND('PROG FORMACIÓN TITULADA'!#REF!,"AAAAAH7+v10=")</f>
        <v>#REF!</v>
      </c>
      <c r="CQ62" t="e">
        <f>AND('PROG FORMACIÓN TITULADA'!#REF!,"AAAAAH7+v14=")</f>
        <v>#REF!</v>
      </c>
      <c r="CR62" t="e">
        <f>AND('PROG FORMACIÓN TITULADA'!#REF!,"AAAAAH7+v18=")</f>
        <v>#REF!</v>
      </c>
      <c r="CS62" t="e">
        <f>AND('PROG FORMACIÓN TITULADA'!#REF!,"AAAAAH7+v2A=")</f>
        <v>#REF!</v>
      </c>
      <c r="CT62" t="e">
        <f>AND('PROG FORMACIÓN TITULADA'!#REF!,"AAAAAH7+v2E=")</f>
        <v>#REF!</v>
      </c>
      <c r="CU62" t="e">
        <f>AND('PROG FORMACIÓN TITULADA'!#REF!,"AAAAAH7+v2I=")</f>
        <v>#REF!</v>
      </c>
      <c r="CV62" t="e">
        <f>AND('PROG FORMACIÓN TITULADA'!#REF!,"AAAAAH7+v2M=")</f>
        <v>#REF!</v>
      </c>
      <c r="CW62" t="e">
        <f>AND('PROG FORMACIÓN TITULADA'!#REF!,"AAAAAH7+v2Q=")</f>
        <v>#REF!</v>
      </c>
      <c r="CX62" t="e">
        <f>AND('PROG FORMACIÓN TITULADA'!#REF!,"AAAAAH7+v2U=")</f>
        <v>#REF!</v>
      </c>
      <c r="CY62" t="e">
        <f>AND('PROG FORMACIÓN TITULADA'!#REF!,"AAAAAH7+v2Y=")</f>
        <v>#REF!</v>
      </c>
      <c r="CZ62" t="e">
        <f>AND('PROG FORMACIÓN TITULADA'!#REF!,"AAAAAH7+v2c=")</f>
        <v>#REF!</v>
      </c>
      <c r="DA62" t="e">
        <f>AND('PROG FORMACIÓN TITULADA'!#REF!,"AAAAAH7+v2g=")</f>
        <v>#REF!</v>
      </c>
      <c r="DB62" t="e">
        <f>AND('PROG FORMACIÓN TITULADA'!#REF!,"AAAAAH7+v2k=")</f>
        <v>#REF!</v>
      </c>
      <c r="DC62" t="e">
        <f>AND('PROG FORMACIÓN TITULADA'!#REF!,"AAAAAH7+v2o=")</f>
        <v>#REF!</v>
      </c>
      <c r="DD62" t="e">
        <f>AND('PROG FORMACIÓN TITULADA'!#REF!,"AAAAAH7+v2s=")</f>
        <v>#REF!</v>
      </c>
      <c r="DE62" t="e">
        <f>AND('PROG FORMACIÓN TITULADA'!#REF!,"AAAAAH7+v2w=")</f>
        <v>#REF!</v>
      </c>
      <c r="DF62" t="e">
        <f>AND('PROG FORMACIÓN TITULADA'!#REF!,"AAAAAH7+v20=")</f>
        <v>#REF!</v>
      </c>
      <c r="DG62" t="e">
        <f>AND('PROG FORMACIÓN TITULADA'!#REF!,"AAAAAH7+v24=")</f>
        <v>#REF!</v>
      </c>
      <c r="DH62" t="e">
        <f>AND('PROG FORMACIÓN TITULADA'!#REF!,"AAAAAH7+v28=")</f>
        <v>#REF!</v>
      </c>
      <c r="DI62" t="e">
        <f>IF('PROG FORMACIÓN TITULADA'!#REF!,"AAAAAH7+v3A=",0)</f>
        <v>#REF!</v>
      </c>
      <c r="DJ62" t="e">
        <f>AND('PROG FORMACIÓN TITULADA'!#REF!,"AAAAAH7+v3E=")</f>
        <v>#REF!</v>
      </c>
      <c r="DK62" t="e">
        <f>AND('PROG FORMACIÓN TITULADA'!#REF!,"AAAAAH7+v3I=")</f>
        <v>#REF!</v>
      </c>
      <c r="DL62" t="e">
        <f>AND('PROG FORMACIÓN TITULADA'!#REF!,"AAAAAH7+v3M=")</f>
        <v>#REF!</v>
      </c>
      <c r="DM62" t="e">
        <f>AND('PROG FORMACIÓN TITULADA'!#REF!,"AAAAAH7+v3Q=")</f>
        <v>#REF!</v>
      </c>
      <c r="DN62" t="e">
        <f>AND('PROG FORMACIÓN TITULADA'!#REF!,"AAAAAH7+v3U=")</f>
        <v>#REF!</v>
      </c>
      <c r="DO62" t="e">
        <f>AND('PROG FORMACIÓN TITULADA'!#REF!,"AAAAAH7+v3Y=")</f>
        <v>#REF!</v>
      </c>
      <c r="DP62" t="e">
        <f>AND('PROG FORMACIÓN TITULADA'!#REF!,"AAAAAH7+v3c=")</f>
        <v>#REF!</v>
      </c>
      <c r="DQ62" t="e">
        <f>AND('PROG FORMACIÓN TITULADA'!#REF!,"AAAAAH7+v3g=")</f>
        <v>#REF!</v>
      </c>
      <c r="DR62" t="e">
        <f>AND('PROG FORMACIÓN TITULADA'!#REF!,"AAAAAH7+v3k=")</f>
        <v>#REF!</v>
      </c>
      <c r="DS62" t="e">
        <f>AND('PROG FORMACIÓN TITULADA'!#REF!,"AAAAAH7+v3o=")</f>
        <v>#REF!</v>
      </c>
      <c r="DT62" t="e">
        <f>AND('PROG FORMACIÓN TITULADA'!#REF!,"AAAAAH7+v3s=")</f>
        <v>#REF!</v>
      </c>
      <c r="DU62" t="e">
        <f>AND('PROG FORMACIÓN TITULADA'!#REF!,"AAAAAH7+v3w=")</f>
        <v>#REF!</v>
      </c>
      <c r="DV62" t="e">
        <f>AND('PROG FORMACIÓN TITULADA'!#REF!,"AAAAAH7+v30=")</f>
        <v>#REF!</v>
      </c>
      <c r="DW62" t="e">
        <f>AND('PROG FORMACIÓN TITULADA'!#REF!,"AAAAAH7+v34=")</f>
        <v>#REF!</v>
      </c>
      <c r="DX62" t="e">
        <f>AND('PROG FORMACIÓN TITULADA'!#REF!,"AAAAAH7+v38=")</f>
        <v>#REF!</v>
      </c>
      <c r="DY62" t="e">
        <f>AND('PROG FORMACIÓN TITULADA'!#REF!,"AAAAAH7+v4A=")</f>
        <v>#REF!</v>
      </c>
      <c r="DZ62" t="e">
        <f>AND('PROG FORMACIÓN TITULADA'!#REF!,"AAAAAH7+v4E=")</f>
        <v>#REF!</v>
      </c>
      <c r="EA62" t="e">
        <f>AND('PROG FORMACIÓN TITULADA'!#REF!,"AAAAAH7+v4I=")</f>
        <v>#REF!</v>
      </c>
      <c r="EB62" t="e">
        <f>AND('PROG FORMACIÓN TITULADA'!#REF!,"AAAAAH7+v4M=")</f>
        <v>#REF!</v>
      </c>
      <c r="EC62" t="e">
        <f>AND('PROG FORMACIÓN TITULADA'!#REF!,"AAAAAH7+v4Q=")</f>
        <v>#REF!</v>
      </c>
      <c r="ED62" t="e">
        <f>AND('PROG FORMACIÓN TITULADA'!#REF!,"AAAAAH7+v4U=")</f>
        <v>#REF!</v>
      </c>
      <c r="EE62" t="e">
        <f>AND('PROG FORMACIÓN TITULADA'!#REF!,"AAAAAH7+v4Y=")</f>
        <v>#REF!</v>
      </c>
      <c r="EF62" t="e">
        <f>AND('PROG FORMACIÓN TITULADA'!#REF!,"AAAAAH7+v4c=")</f>
        <v>#REF!</v>
      </c>
      <c r="EG62" t="e">
        <f>AND('PROG FORMACIÓN TITULADA'!#REF!,"AAAAAH7+v4g=")</f>
        <v>#REF!</v>
      </c>
      <c r="EH62" t="e">
        <f>AND('PROG FORMACIÓN TITULADA'!#REF!,"AAAAAH7+v4k=")</f>
        <v>#REF!</v>
      </c>
      <c r="EI62" t="e">
        <f>AND('PROG FORMACIÓN TITULADA'!#REF!,"AAAAAH7+v4o=")</f>
        <v>#REF!</v>
      </c>
      <c r="EJ62" t="e">
        <f>IF('PROG FORMACIÓN TITULADA'!#REF!,"AAAAAH7+v4s=",0)</f>
        <v>#REF!</v>
      </c>
      <c r="EK62" t="e">
        <f>AND('PROG FORMACIÓN TITULADA'!#REF!,"AAAAAH7+v4w=")</f>
        <v>#REF!</v>
      </c>
      <c r="EL62" t="e">
        <f>AND('PROG FORMACIÓN TITULADA'!#REF!,"AAAAAH7+v40=")</f>
        <v>#REF!</v>
      </c>
      <c r="EM62" t="e">
        <f>AND('PROG FORMACIÓN TITULADA'!#REF!,"AAAAAH7+v44=")</f>
        <v>#REF!</v>
      </c>
      <c r="EN62" t="e">
        <f>AND('PROG FORMACIÓN TITULADA'!#REF!,"AAAAAH7+v48=")</f>
        <v>#REF!</v>
      </c>
      <c r="EO62" t="e">
        <f>AND('PROG FORMACIÓN TITULADA'!#REF!,"AAAAAH7+v5A=")</f>
        <v>#REF!</v>
      </c>
      <c r="EP62" t="e">
        <f>AND('PROG FORMACIÓN TITULADA'!#REF!,"AAAAAH7+v5E=")</f>
        <v>#REF!</v>
      </c>
      <c r="EQ62" t="e">
        <f>AND('PROG FORMACIÓN TITULADA'!#REF!,"AAAAAH7+v5I=")</f>
        <v>#REF!</v>
      </c>
      <c r="ER62" t="e">
        <f>AND('PROG FORMACIÓN TITULADA'!#REF!,"AAAAAH7+v5M=")</f>
        <v>#REF!</v>
      </c>
      <c r="ES62" t="e">
        <f>AND('PROG FORMACIÓN TITULADA'!#REF!,"AAAAAH7+v5Q=")</f>
        <v>#REF!</v>
      </c>
      <c r="ET62" t="e">
        <f>AND('PROG FORMACIÓN TITULADA'!#REF!,"AAAAAH7+v5U=")</f>
        <v>#REF!</v>
      </c>
      <c r="EU62" t="e">
        <f>AND('PROG FORMACIÓN TITULADA'!#REF!,"AAAAAH7+v5Y=")</f>
        <v>#REF!</v>
      </c>
      <c r="EV62" t="e">
        <f>AND('PROG FORMACIÓN TITULADA'!#REF!,"AAAAAH7+v5c=")</f>
        <v>#REF!</v>
      </c>
      <c r="EW62" t="e">
        <f>AND('PROG FORMACIÓN TITULADA'!#REF!,"AAAAAH7+v5g=")</f>
        <v>#REF!</v>
      </c>
      <c r="EX62" t="e">
        <f>AND('PROG FORMACIÓN TITULADA'!#REF!,"AAAAAH7+v5k=")</f>
        <v>#REF!</v>
      </c>
      <c r="EY62" t="e">
        <f>AND('PROG FORMACIÓN TITULADA'!#REF!,"AAAAAH7+v5o=")</f>
        <v>#REF!</v>
      </c>
      <c r="EZ62" t="e">
        <f>AND('PROG FORMACIÓN TITULADA'!#REF!,"AAAAAH7+v5s=")</f>
        <v>#REF!</v>
      </c>
      <c r="FA62" t="e">
        <f>AND('PROG FORMACIÓN TITULADA'!#REF!,"AAAAAH7+v5w=")</f>
        <v>#REF!</v>
      </c>
      <c r="FB62" t="e">
        <f>AND('PROG FORMACIÓN TITULADA'!#REF!,"AAAAAH7+v50=")</f>
        <v>#REF!</v>
      </c>
      <c r="FC62" t="e">
        <f>AND('PROG FORMACIÓN TITULADA'!#REF!,"AAAAAH7+v54=")</f>
        <v>#REF!</v>
      </c>
      <c r="FD62" t="e">
        <f>AND('PROG FORMACIÓN TITULADA'!#REF!,"AAAAAH7+v58=")</f>
        <v>#REF!</v>
      </c>
      <c r="FE62" t="e">
        <f>AND('PROG FORMACIÓN TITULADA'!#REF!,"AAAAAH7+v6A=")</f>
        <v>#REF!</v>
      </c>
      <c r="FF62" t="e">
        <f>AND('PROG FORMACIÓN TITULADA'!#REF!,"AAAAAH7+v6E=")</f>
        <v>#REF!</v>
      </c>
      <c r="FG62" t="e">
        <f>AND('PROG FORMACIÓN TITULADA'!#REF!,"AAAAAH7+v6I=")</f>
        <v>#REF!</v>
      </c>
      <c r="FH62" t="e">
        <f>AND('PROG FORMACIÓN TITULADA'!#REF!,"AAAAAH7+v6M=")</f>
        <v>#REF!</v>
      </c>
      <c r="FI62" t="e">
        <f>AND('PROG FORMACIÓN TITULADA'!#REF!,"AAAAAH7+v6Q=")</f>
        <v>#REF!</v>
      </c>
      <c r="FJ62" t="e">
        <f>AND('PROG FORMACIÓN TITULADA'!#REF!,"AAAAAH7+v6U=")</f>
        <v>#REF!</v>
      </c>
      <c r="FK62" t="e">
        <f>IF('PROG FORMACIÓN TITULADA'!#REF!,"AAAAAH7+v6Y=",0)</f>
        <v>#REF!</v>
      </c>
      <c r="FL62" t="e">
        <f>AND('PROG FORMACIÓN TITULADA'!#REF!,"AAAAAH7+v6c=")</f>
        <v>#REF!</v>
      </c>
      <c r="FM62" t="e">
        <f>AND('PROG FORMACIÓN TITULADA'!#REF!,"AAAAAH7+v6g=")</f>
        <v>#REF!</v>
      </c>
      <c r="FN62" t="e">
        <f>AND('PROG FORMACIÓN TITULADA'!#REF!,"AAAAAH7+v6k=")</f>
        <v>#REF!</v>
      </c>
      <c r="FO62" t="e">
        <f>AND('PROG FORMACIÓN TITULADA'!#REF!,"AAAAAH7+v6o=")</f>
        <v>#REF!</v>
      </c>
      <c r="FP62" t="e">
        <f>AND('PROG FORMACIÓN TITULADA'!#REF!,"AAAAAH7+v6s=")</f>
        <v>#REF!</v>
      </c>
      <c r="FQ62" t="e">
        <f>AND('PROG FORMACIÓN TITULADA'!#REF!,"AAAAAH7+v6w=")</f>
        <v>#REF!</v>
      </c>
      <c r="FR62" t="e">
        <f>AND('PROG FORMACIÓN TITULADA'!#REF!,"AAAAAH7+v60=")</f>
        <v>#REF!</v>
      </c>
      <c r="FS62" t="e">
        <f>AND('PROG FORMACIÓN TITULADA'!#REF!,"AAAAAH7+v64=")</f>
        <v>#REF!</v>
      </c>
      <c r="FT62" t="e">
        <f>AND('PROG FORMACIÓN TITULADA'!#REF!,"AAAAAH7+v68=")</f>
        <v>#REF!</v>
      </c>
      <c r="FU62" t="e">
        <f>AND('PROG FORMACIÓN TITULADA'!#REF!,"AAAAAH7+v7A=")</f>
        <v>#REF!</v>
      </c>
      <c r="FV62" t="e">
        <f>AND('PROG FORMACIÓN TITULADA'!#REF!,"AAAAAH7+v7E=")</f>
        <v>#REF!</v>
      </c>
      <c r="FW62" t="e">
        <f>AND('PROG FORMACIÓN TITULADA'!#REF!,"AAAAAH7+v7I=")</f>
        <v>#REF!</v>
      </c>
      <c r="FX62" t="e">
        <f>AND('PROG FORMACIÓN TITULADA'!#REF!,"AAAAAH7+v7M=")</f>
        <v>#REF!</v>
      </c>
      <c r="FY62" t="e">
        <f>AND('PROG FORMACIÓN TITULADA'!#REF!,"AAAAAH7+v7Q=")</f>
        <v>#REF!</v>
      </c>
      <c r="FZ62" t="e">
        <f>AND('PROG FORMACIÓN TITULADA'!#REF!,"AAAAAH7+v7U=")</f>
        <v>#REF!</v>
      </c>
      <c r="GA62" t="e">
        <f>AND('PROG FORMACIÓN TITULADA'!#REF!,"AAAAAH7+v7Y=")</f>
        <v>#REF!</v>
      </c>
      <c r="GB62" t="e">
        <f>AND('PROG FORMACIÓN TITULADA'!#REF!,"AAAAAH7+v7c=")</f>
        <v>#REF!</v>
      </c>
      <c r="GC62" t="e">
        <f>AND('PROG FORMACIÓN TITULADA'!#REF!,"AAAAAH7+v7g=")</f>
        <v>#REF!</v>
      </c>
      <c r="GD62" t="e">
        <f>AND('PROG FORMACIÓN TITULADA'!#REF!,"AAAAAH7+v7k=")</f>
        <v>#REF!</v>
      </c>
      <c r="GE62" t="e">
        <f>AND('PROG FORMACIÓN TITULADA'!#REF!,"AAAAAH7+v7o=")</f>
        <v>#REF!</v>
      </c>
      <c r="GF62" t="e">
        <f>AND('PROG FORMACIÓN TITULADA'!#REF!,"AAAAAH7+v7s=")</f>
        <v>#REF!</v>
      </c>
      <c r="GG62" t="e">
        <f>AND('PROG FORMACIÓN TITULADA'!#REF!,"AAAAAH7+v7w=")</f>
        <v>#REF!</v>
      </c>
      <c r="GH62" t="e">
        <f>AND('PROG FORMACIÓN TITULADA'!#REF!,"AAAAAH7+v70=")</f>
        <v>#REF!</v>
      </c>
      <c r="GI62" t="e">
        <f>AND('PROG FORMACIÓN TITULADA'!#REF!,"AAAAAH7+v74=")</f>
        <v>#REF!</v>
      </c>
      <c r="GJ62" t="e">
        <f>AND('PROG FORMACIÓN TITULADA'!#REF!,"AAAAAH7+v78=")</f>
        <v>#REF!</v>
      </c>
      <c r="GK62" t="e">
        <f>AND('PROG FORMACIÓN TITULADA'!#REF!,"AAAAAH7+v8A=")</f>
        <v>#REF!</v>
      </c>
      <c r="GL62" t="e">
        <f>IF('PROG FORMACIÓN TITULADA'!#REF!,"AAAAAH7+v8E=",0)</f>
        <v>#REF!</v>
      </c>
      <c r="GM62" t="e">
        <f>AND('PROG FORMACIÓN TITULADA'!#REF!,"AAAAAH7+v8I=")</f>
        <v>#REF!</v>
      </c>
      <c r="GN62" t="e">
        <f>AND('PROG FORMACIÓN TITULADA'!#REF!,"AAAAAH7+v8M=")</f>
        <v>#REF!</v>
      </c>
      <c r="GO62" t="e">
        <f>AND('PROG FORMACIÓN TITULADA'!#REF!,"AAAAAH7+v8Q=")</f>
        <v>#REF!</v>
      </c>
      <c r="GP62" t="e">
        <f>AND('PROG FORMACIÓN TITULADA'!#REF!,"AAAAAH7+v8U=")</f>
        <v>#REF!</v>
      </c>
      <c r="GQ62" t="e">
        <f>AND('PROG FORMACIÓN TITULADA'!#REF!,"AAAAAH7+v8Y=")</f>
        <v>#REF!</v>
      </c>
      <c r="GR62" t="e">
        <f>AND('PROG FORMACIÓN TITULADA'!#REF!,"AAAAAH7+v8c=")</f>
        <v>#REF!</v>
      </c>
      <c r="GS62" t="e">
        <f>AND('PROG FORMACIÓN TITULADA'!#REF!,"AAAAAH7+v8g=")</f>
        <v>#REF!</v>
      </c>
      <c r="GT62" t="e">
        <f>AND('PROG FORMACIÓN TITULADA'!#REF!,"AAAAAH7+v8k=")</f>
        <v>#REF!</v>
      </c>
      <c r="GU62" t="e">
        <f>AND('PROG FORMACIÓN TITULADA'!#REF!,"AAAAAH7+v8o=")</f>
        <v>#REF!</v>
      </c>
      <c r="GV62" t="e">
        <f>AND('PROG FORMACIÓN TITULADA'!#REF!,"AAAAAH7+v8s=")</f>
        <v>#REF!</v>
      </c>
      <c r="GW62" t="e">
        <f>AND('PROG FORMACIÓN TITULADA'!#REF!,"AAAAAH7+v8w=")</f>
        <v>#REF!</v>
      </c>
      <c r="GX62" t="e">
        <f>AND('PROG FORMACIÓN TITULADA'!#REF!,"AAAAAH7+v80=")</f>
        <v>#REF!</v>
      </c>
      <c r="GY62" t="e">
        <f>AND('PROG FORMACIÓN TITULADA'!#REF!,"AAAAAH7+v84=")</f>
        <v>#REF!</v>
      </c>
      <c r="GZ62" t="e">
        <f>AND('PROG FORMACIÓN TITULADA'!#REF!,"AAAAAH7+v88=")</f>
        <v>#REF!</v>
      </c>
      <c r="HA62" t="e">
        <f>AND('PROG FORMACIÓN TITULADA'!#REF!,"AAAAAH7+v9A=")</f>
        <v>#REF!</v>
      </c>
      <c r="HB62" t="e">
        <f>AND('PROG FORMACIÓN TITULADA'!#REF!,"AAAAAH7+v9E=")</f>
        <v>#REF!</v>
      </c>
      <c r="HC62" t="e">
        <f>AND('PROG FORMACIÓN TITULADA'!#REF!,"AAAAAH7+v9I=")</f>
        <v>#REF!</v>
      </c>
      <c r="HD62" t="e">
        <f>AND('PROG FORMACIÓN TITULADA'!#REF!,"AAAAAH7+v9M=")</f>
        <v>#REF!</v>
      </c>
      <c r="HE62" t="e">
        <f>AND('PROG FORMACIÓN TITULADA'!#REF!,"AAAAAH7+v9Q=")</f>
        <v>#REF!</v>
      </c>
      <c r="HF62" t="e">
        <f>AND('PROG FORMACIÓN TITULADA'!#REF!,"AAAAAH7+v9U=")</f>
        <v>#REF!</v>
      </c>
      <c r="HG62" t="e">
        <f>AND('PROG FORMACIÓN TITULADA'!#REF!,"AAAAAH7+v9Y=")</f>
        <v>#REF!</v>
      </c>
      <c r="HH62" t="e">
        <f>AND('PROG FORMACIÓN TITULADA'!#REF!,"AAAAAH7+v9c=")</f>
        <v>#REF!</v>
      </c>
      <c r="HI62" t="e">
        <f>AND('PROG FORMACIÓN TITULADA'!#REF!,"AAAAAH7+v9g=")</f>
        <v>#REF!</v>
      </c>
      <c r="HJ62" t="e">
        <f>AND('PROG FORMACIÓN TITULADA'!#REF!,"AAAAAH7+v9k=")</f>
        <v>#REF!</v>
      </c>
      <c r="HK62" t="e">
        <f>AND('PROG FORMACIÓN TITULADA'!#REF!,"AAAAAH7+v9o=")</f>
        <v>#REF!</v>
      </c>
      <c r="HL62" t="e">
        <f>AND('PROG FORMACIÓN TITULADA'!#REF!,"AAAAAH7+v9s=")</f>
        <v>#REF!</v>
      </c>
      <c r="HM62" t="e">
        <f>IF('PROG FORMACIÓN TITULADA'!#REF!,"AAAAAH7+v9w=",0)</f>
        <v>#REF!</v>
      </c>
      <c r="HN62" t="e">
        <f>AND('PROG FORMACIÓN TITULADA'!#REF!,"AAAAAH7+v90=")</f>
        <v>#REF!</v>
      </c>
      <c r="HO62" t="e">
        <f>AND('PROG FORMACIÓN TITULADA'!#REF!,"AAAAAH7+v94=")</f>
        <v>#REF!</v>
      </c>
      <c r="HP62" t="e">
        <f>AND('PROG FORMACIÓN TITULADA'!#REF!,"AAAAAH7+v98=")</f>
        <v>#REF!</v>
      </c>
      <c r="HQ62" t="e">
        <f>AND('PROG FORMACIÓN TITULADA'!#REF!,"AAAAAH7+v+A=")</f>
        <v>#REF!</v>
      </c>
      <c r="HR62" t="e">
        <f>AND('PROG FORMACIÓN TITULADA'!#REF!,"AAAAAH7+v+E=")</f>
        <v>#REF!</v>
      </c>
      <c r="HS62" t="e">
        <f>AND('PROG FORMACIÓN TITULADA'!#REF!,"AAAAAH7+v+I=")</f>
        <v>#REF!</v>
      </c>
      <c r="HT62" t="e">
        <f>AND('PROG FORMACIÓN TITULADA'!#REF!,"AAAAAH7+v+M=")</f>
        <v>#REF!</v>
      </c>
      <c r="HU62" t="e">
        <f>AND('PROG FORMACIÓN TITULADA'!#REF!,"AAAAAH7+v+Q=")</f>
        <v>#REF!</v>
      </c>
      <c r="HV62" t="e">
        <f>AND('PROG FORMACIÓN TITULADA'!#REF!,"AAAAAH7+v+U=")</f>
        <v>#REF!</v>
      </c>
      <c r="HW62" t="e">
        <f>AND('PROG FORMACIÓN TITULADA'!#REF!,"AAAAAH7+v+Y=")</f>
        <v>#REF!</v>
      </c>
      <c r="HX62" t="e">
        <f>AND('PROG FORMACIÓN TITULADA'!#REF!,"AAAAAH7+v+c=")</f>
        <v>#REF!</v>
      </c>
      <c r="HY62" t="e">
        <f>AND('PROG FORMACIÓN TITULADA'!#REF!,"AAAAAH7+v+g=")</f>
        <v>#REF!</v>
      </c>
      <c r="HZ62" t="e">
        <f>AND('PROG FORMACIÓN TITULADA'!#REF!,"AAAAAH7+v+k=")</f>
        <v>#REF!</v>
      </c>
      <c r="IA62" t="e">
        <f>AND('PROG FORMACIÓN TITULADA'!#REF!,"AAAAAH7+v+o=")</f>
        <v>#REF!</v>
      </c>
      <c r="IB62" t="e">
        <f>AND('PROG FORMACIÓN TITULADA'!#REF!,"AAAAAH7+v+s=")</f>
        <v>#REF!</v>
      </c>
      <c r="IC62" t="e">
        <f>AND('PROG FORMACIÓN TITULADA'!#REF!,"AAAAAH7+v+w=")</f>
        <v>#REF!</v>
      </c>
      <c r="ID62" t="e">
        <f>AND('PROG FORMACIÓN TITULADA'!#REF!,"AAAAAH7+v+0=")</f>
        <v>#REF!</v>
      </c>
      <c r="IE62" t="e">
        <f>AND('PROG FORMACIÓN TITULADA'!#REF!,"AAAAAH7+v+4=")</f>
        <v>#REF!</v>
      </c>
      <c r="IF62" t="e">
        <f>AND('PROG FORMACIÓN TITULADA'!#REF!,"AAAAAH7+v+8=")</f>
        <v>#REF!</v>
      </c>
      <c r="IG62" t="e">
        <f>AND('PROG FORMACIÓN TITULADA'!#REF!,"AAAAAH7+v/A=")</f>
        <v>#REF!</v>
      </c>
      <c r="IH62" t="e">
        <f>AND('PROG FORMACIÓN TITULADA'!#REF!,"AAAAAH7+v/E=")</f>
        <v>#REF!</v>
      </c>
      <c r="II62" t="e">
        <f>AND('PROG FORMACIÓN TITULADA'!#REF!,"AAAAAH7+v/I=")</f>
        <v>#REF!</v>
      </c>
      <c r="IJ62" t="e">
        <f>AND('PROG FORMACIÓN TITULADA'!#REF!,"AAAAAH7+v/M=")</f>
        <v>#REF!</v>
      </c>
      <c r="IK62" t="e">
        <f>AND('PROG FORMACIÓN TITULADA'!#REF!,"AAAAAH7+v/Q=")</f>
        <v>#REF!</v>
      </c>
      <c r="IL62" t="e">
        <f>AND('PROG FORMACIÓN TITULADA'!#REF!,"AAAAAH7+v/U=")</f>
        <v>#REF!</v>
      </c>
      <c r="IM62" t="e">
        <f>AND('PROG FORMACIÓN TITULADA'!#REF!,"AAAAAH7+v/Y=")</f>
        <v>#REF!</v>
      </c>
      <c r="IN62" t="e">
        <f>IF('PROG FORMACIÓN TITULADA'!#REF!,"AAAAAH7+v/c=",0)</f>
        <v>#REF!</v>
      </c>
      <c r="IO62" t="e">
        <f>AND('PROG FORMACIÓN TITULADA'!#REF!,"AAAAAH7+v/g=")</f>
        <v>#REF!</v>
      </c>
      <c r="IP62" t="e">
        <f>AND('PROG FORMACIÓN TITULADA'!#REF!,"AAAAAH7+v/k=")</f>
        <v>#REF!</v>
      </c>
      <c r="IQ62" t="e">
        <f>AND('PROG FORMACIÓN TITULADA'!#REF!,"AAAAAH7+v/o=")</f>
        <v>#REF!</v>
      </c>
      <c r="IR62" t="e">
        <f>AND('PROG FORMACIÓN TITULADA'!#REF!,"AAAAAH7+v/s=")</f>
        <v>#REF!</v>
      </c>
      <c r="IS62" t="e">
        <f>AND('PROG FORMACIÓN TITULADA'!#REF!,"AAAAAH7+v/w=")</f>
        <v>#REF!</v>
      </c>
      <c r="IT62" t="e">
        <f>AND('PROG FORMACIÓN TITULADA'!#REF!,"AAAAAH7+v/0=")</f>
        <v>#REF!</v>
      </c>
      <c r="IU62" t="e">
        <f>AND('PROG FORMACIÓN TITULADA'!#REF!,"AAAAAH7+v/4=")</f>
        <v>#REF!</v>
      </c>
      <c r="IV62" t="e">
        <f>AND('PROG FORMACIÓN TITULADA'!#REF!,"AAAAAH7+v/8=")</f>
        <v>#REF!</v>
      </c>
    </row>
    <row r="63" spans="1:256" x14ac:dyDescent="0.2">
      <c r="A63" t="e">
        <f>AND('PROG FORMACIÓN TITULADA'!#REF!,"AAAAADvM7QA=")</f>
        <v>#REF!</v>
      </c>
      <c r="B63" t="e">
        <f>AND('PROG FORMACIÓN TITULADA'!#REF!,"AAAAADvM7QE=")</f>
        <v>#REF!</v>
      </c>
      <c r="C63" t="e">
        <f>AND('PROG FORMACIÓN TITULADA'!#REF!,"AAAAADvM7QI=")</f>
        <v>#REF!</v>
      </c>
      <c r="D63" t="e">
        <f>AND('PROG FORMACIÓN TITULADA'!#REF!,"AAAAADvM7QM=")</f>
        <v>#REF!</v>
      </c>
      <c r="E63" t="e">
        <f>AND('PROG FORMACIÓN TITULADA'!#REF!,"AAAAADvM7QQ=")</f>
        <v>#REF!</v>
      </c>
      <c r="F63" t="e">
        <f>AND('PROG FORMACIÓN TITULADA'!#REF!,"AAAAADvM7QU=")</f>
        <v>#REF!</v>
      </c>
      <c r="G63" t="e">
        <f>AND('PROG FORMACIÓN TITULADA'!#REF!,"AAAAADvM7QY=")</f>
        <v>#REF!</v>
      </c>
      <c r="H63" t="e">
        <f>AND('PROG FORMACIÓN TITULADA'!#REF!,"AAAAADvM7Qc=")</f>
        <v>#REF!</v>
      </c>
      <c r="I63" t="e">
        <f>AND('PROG FORMACIÓN TITULADA'!#REF!,"AAAAADvM7Qg=")</f>
        <v>#REF!</v>
      </c>
      <c r="J63" t="e">
        <f>AND('PROG FORMACIÓN TITULADA'!#REF!,"AAAAADvM7Qk=")</f>
        <v>#REF!</v>
      </c>
      <c r="K63" t="e">
        <f>AND('PROG FORMACIÓN TITULADA'!#REF!,"AAAAADvM7Qo=")</f>
        <v>#REF!</v>
      </c>
      <c r="L63" t="e">
        <f>AND('PROG FORMACIÓN TITULADA'!#REF!,"AAAAADvM7Qs=")</f>
        <v>#REF!</v>
      </c>
      <c r="M63" t="e">
        <f>AND('PROG FORMACIÓN TITULADA'!#REF!,"AAAAADvM7Qw=")</f>
        <v>#REF!</v>
      </c>
      <c r="N63" t="e">
        <f>AND('PROG FORMACIÓN TITULADA'!#REF!,"AAAAADvM7Q0=")</f>
        <v>#REF!</v>
      </c>
      <c r="O63" t="e">
        <f>AND('PROG FORMACIÓN TITULADA'!#REF!,"AAAAADvM7Q4=")</f>
        <v>#REF!</v>
      </c>
      <c r="P63" t="e">
        <f>AND('PROG FORMACIÓN TITULADA'!#REF!,"AAAAADvM7Q8=")</f>
        <v>#REF!</v>
      </c>
      <c r="Q63" t="e">
        <f>AND('PROG FORMACIÓN TITULADA'!#REF!,"AAAAADvM7RA=")</f>
        <v>#REF!</v>
      </c>
      <c r="R63" t="e">
        <f>AND('PROG FORMACIÓN TITULADA'!#REF!,"AAAAADvM7RE=")</f>
        <v>#REF!</v>
      </c>
      <c r="S63" t="e">
        <f>IF('PROG FORMACIÓN TITULADA'!#REF!,"AAAAADvM7RI=",0)</f>
        <v>#REF!</v>
      </c>
      <c r="T63" t="e">
        <f>AND('PROG FORMACIÓN TITULADA'!#REF!,"AAAAADvM7RM=")</f>
        <v>#REF!</v>
      </c>
      <c r="U63" t="e">
        <f>AND('PROG FORMACIÓN TITULADA'!#REF!,"AAAAADvM7RQ=")</f>
        <v>#REF!</v>
      </c>
      <c r="V63" t="e">
        <f>AND('PROG FORMACIÓN TITULADA'!#REF!,"AAAAADvM7RU=")</f>
        <v>#REF!</v>
      </c>
      <c r="W63" t="e">
        <f>AND('PROG FORMACIÓN TITULADA'!#REF!,"AAAAADvM7RY=")</f>
        <v>#REF!</v>
      </c>
      <c r="X63" t="e">
        <f>AND('PROG FORMACIÓN TITULADA'!#REF!,"AAAAADvM7Rc=")</f>
        <v>#REF!</v>
      </c>
      <c r="Y63" t="e">
        <f>AND('PROG FORMACIÓN TITULADA'!#REF!,"AAAAADvM7Rg=")</f>
        <v>#REF!</v>
      </c>
      <c r="Z63" t="e">
        <f>AND('PROG FORMACIÓN TITULADA'!#REF!,"AAAAADvM7Rk=")</f>
        <v>#REF!</v>
      </c>
      <c r="AA63" t="e">
        <f>AND('PROG FORMACIÓN TITULADA'!#REF!,"AAAAADvM7Ro=")</f>
        <v>#REF!</v>
      </c>
      <c r="AB63" t="e">
        <f>AND('PROG FORMACIÓN TITULADA'!#REF!,"AAAAADvM7Rs=")</f>
        <v>#REF!</v>
      </c>
      <c r="AC63" t="e">
        <f>AND('PROG FORMACIÓN TITULADA'!#REF!,"AAAAADvM7Rw=")</f>
        <v>#REF!</v>
      </c>
      <c r="AD63" t="e">
        <f>AND('PROG FORMACIÓN TITULADA'!#REF!,"AAAAADvM7R0=")</f>
        <v>#REF!</v>
      </c>
      <c r="AE63" t="e">
        <f>AND('PROG FORMACIÓN TITULADA'!#REF!,"AAAAADvM7R4=")</f>
        <v>#REF!</v>
      </c>
      <c r="AF63" t="e">
        <f>AND('PROG FORMACIÓN TITULADA'!#REF!,"AAAAADvM7R8=")</f>
        <v>#REF!</v>
      </c>
      <c r="AG63" t="e">
        <f>AND('PROG FORMACIÓN TITULADA'!#REF!,"AAAAADvM7SA=")</f>
        <v>#REF!</v>
      </c>
      <c r="AH63" t="e">
        <f>AND('PROG FORMACIÓN TITULADA'!#REF!,"AAAAADvM7SE=")</f>
        <v>#REF!</v>
      </c>
      <c r="AI63" t="e">
        <f>AND('PROG FORMACIÓN TITULADA'!#REF!,"AAAAADvM7SI=")</f>
        <v>#REF!</v>
      </c>
      <c r="AJ63" t="e">
        <f>AND('PROG FORMACIÓN TITULADA'!#REF!,"AAAAADvM7SM=")</f>
        <v>#REF!</v>
      </c>
      <c r="AK63" t="e">
        <f>AND('PROG FORMACIÓN TITULADA'!#REF!,"AAAAADvM7SQ=")</f>
        <v>#REF!</v>
      </c>
      <c r="AL63" t="e">
        <f>AND('PROG FORMACIÓN TITULADA'!#REF!,"AAAAADvM7SU=")</f>
        <v>#REF!</v>
      </c>
      <c r="AM63" t="e">
        <f>AND('PROG FORMACIÓN TITULADA'!#REF!,"AAAAADvM7SY=")</f>
        <v>#REF!</v>
      </c>
      <c r="AN63" t="e">
        <f>AND('PROG FORMACIÓN TITULADA'!#REF!,"AAAAADvM7Sc=")</f>
        <v>#REF!</v>
      </c>
      <c r="AO63" t="e">
        <f>AND('PROG FORMACIÓN TITULADA'!#REF!,"AAAAADvM7Sg=")</f>
        <v>#REF!</v>
      </c>
      <c r="AP63" t="e">
        <f>AND('PROG FORMACIÓN TITULADA'!#REF!,"AAAAADvM7Sk=")</f>
        <v>#REF!</v>
      </c>
      <c r="AQ63" t="e">
        <f>AND('PROG FORMACIÓN TITULADA'!#REF!,"AAAAADvM7So=")</f>
        <v>#REF!</v>
      </c>
      <c r="AR63" t="e">
        <f>AND('PROG FORMACIÓN TITULADA'!#REF!,"AAAAADvM7Ss=")</f>
        <v>#REF!</v>
      </c>
      <c r="AS63" t="e">
        <f>AND('PROG FORMACIÓN TITULADA'!#REF!,"AAAAADvM7Sw=")</f>
        <v>#REF!</v>
      </c>
      <c r="AT63" t="e">
        <f>IF('PROG FORMACIÓN TITULADA'!#REF!,"AAAAADvM7S0=",0)</f>
        <v>#REF!</v>
      </c>
      <c r="AU63" t="e">
        <f>AND('PROG FORMACIÓN TITULADA'!#REF!,"AAAAADvM7S4=")</f>
        <v>#REF!</v>
      </c>
      <c r="AV63" t="e">
        <f>AND('PROG FORMACIÓN TITULADA'!#REF!,"AAAAADvM7S8=")</f>
        <v>#REF!</v>
      </c>
      <c r="AW63" t="e">
        <f>AND('PROG FORMACIÓN TITULADA'!#REF!,"AAAAADvM7TA=")</f>
        <v>#REF!</v>
      </c>
      <c r="AX63" t="e">
        <f>AND('PROG FORMACIÓN TITULADA'!#REF!,"AAAAADvM7TE=")</f>
        <v>#REF!</v>
      </c>
      <c r="AY63" t="e">
        <f>AND('PROG FORMACIÓN TITULADA'!#REF!,"AAAAADvM7TI=")</f>
        <v>#REF!</v>
      </c>
      <c r="AZ63" t="e">
        <f>AND('PROG FORMACIÓN TITULADA'!#REF!,"AAAAADvM7TM=")</f>
        <v>#REF!</v>
      </c>
      <c r="BA63" t="e">
        <f>AND('PROG FORMACIÓN TITULADA'!#REF!,"AAAAADvM7TQ=")</f>
        <v>#REF!</v>
      </c>
      <c r="BB63" t="e">
        <f>AND('PROG FORMACIÓN TITULADA'!#REF!,"AAAAADvM7TU=")</f>
        <v>#REF!</v>
      </c>
      <c r="BC63" t="e">
        <f>AND('PROG FORMACIÓN TITULADA'!#REF!,"AAAAADvM7TY=")</f>
        <v>#REF!</v>
      </c>
      <c r="BD63" t="e">
        <f>AND('PROG FORMACIÓN TITULADA'!#REF!,"AAAAADvM7Tc=")</f>
        <v>#REF!</v>
      </c>
      <c r="BE63" t="e">
        <f>AND('PROG FORMACIÓN TITULADA'!#REF!,"AAAAADvM7Tg=")</f>
        <v>#REF!</v>
      </c>
      <c r="BF63" t="e">
        <f>AND('PROG FORMACIÓN TITULADA'!#REF!,"AAAAADvM7Tk=")</f>
        <v>#REF!</v>
      </c>
      <c r="BG63" t="e">
        <f>AND('PROG FORMACIÓN TITULADA'!#REF!,"AAAAADvM7To=")</f>
        <v>#REF!</v>
      </c>
      <c r="BH63" t="e">
        <f>AND('PROG FORMACIÓN TITULADA'!#REF!,"AAAAADvM7Ts=")</f>
        <v>#REF!</v>
      </c>
      <c r="BI63" t="e">
        <f>AND('PROG FORMACIÓN TITULADA'!#REF!,"AAAAADvM7Tw=")</f>
        <v>#REF!</v>
      </c>
      <c r="BJ63" t="e">
        <f>AND('PROG FORMACIÓN TITULADA'!#REF!,"AAAAADvM7T0=")</f>
        <v>#REF!</v>
      </c>
      <c r="BK63" t="e">
        <f>AND('PROG FORMACIÓN TITULADA'!#REF!,"AAAAADvM7T4=")</f>
        <v>#REF!</v>
      </c>
      <c r="BL63" t="e">
        <f>AND('PROG FORMACIÓN TITULADA'!#REF!,"AAAAADvM7T8=")</f>
        <v>#REF!</v>
      </c>
      <c r="BM63" t="e">
        <f>AND('PROG FORMACIÓN TITULADA'!#REF!,"AAAAADvM7UA=")</f>
        <v>#REF!</v>
      </c>
      <c r="BN63" t="e">
        <f>AND('PROG FORMACIÓN TITULADA'!#REF!,"AAAAADvM7UE=")</f>
        <v>#REF!</v>
      </c>
      <c r="BO63" t="e">
        <f>AND('PROG FORMACIÓN TITULADA'!#REF!,"AAAAADvM7UI=")</f>
        <v>#REF!</v>
      </c>
      <c r="BP63" t="e">
        <f>AND('PROG FORMACIÓN TITULADA'!#REF!,"AAAAADvM7UM=")</f>
        <v>#REF!</v>
      </c>
      <c r="BQ63" t="e">
        <f>AND('PROG FORMACIÓN TITULADA'!#REF!,"AAAAADvM7UQ=")</f>
        <v>#REF!</v>
      </c>
      <c r="BR63" t="e">
        <f>AND('PROG FORMACIÓN TITULADA'!#REF!,"AAAAADvM7UU=")</f>
        <v>#REF!</v>
      </c>
      <c r="BS63" t="e">
        <f>AND('PROG FORMACIÓN TITULADA'!#REF!,"AAAAADvM7UY=")</f>
        <v>#REF!</v>
      </c>
      <c r="BT63" t="e">
        <f>AND('PROG FORMACIÓN TITULADA'!#REF!,"AAAAADvM7Uc=")</f>
        <v>#REF!</v>
      </c>
      <c r="BU63" t="e">
        <f>IF('PROG FORMACIÓN TITULADA'!#REF!,"AAAAADvM7Ug=",0)</f>
        <v>#REF!</v>
      </c>
      <c r="BV63" t="e">
        <f>AND('PROG FORMACIÓN TITULADA'!#REF!,"AAAAADvM7Uk=")</f>
        <v>#REF!</v>
      </c>
      <c r="BW63" t="e">
        <f>AND('PROG FORMACIÓN TITULADA'!#REF!,"AAAAADvM7Uo=")</f>
        <v>#REF!</v>
      </c>
      <c r="BX63" t="e">
        <f>AND('PROG FORMACIÓN TITULADA'!#REF!,"AAAAADvM7Us=")</f>
        <v>#REF!</v>
      </c>
      <c r="BY63" t="e">
        <f>AND('PROG FORMACIÓN TITULADA'!#REF!,"AAAAADvM7Uw=")</f>
        <v>#REF!</v>
      </c>
      <c r="BZ63" t="e">
        <f>AND('PROG FORMACIÓN TITULADA'!#REF!,"AAAAADvM7U0=")</f>
        <v>#REF!</v>
      </c>
      <c r="CA63" t="e">
        <f>AND('PROG FORMACIÓN TITULADA'!#REF!,"AAAAADvM7U4=")</f>
        <v>#REF!</v>
      </c>
      <c r="CB63" t="e">
        <f>AND('PROG FORMACIÓN TITULADA'!#REF!,"AAAAADvM7U8=")</f>
        <v>#REF!</v>
      </c>
      <c r="CC63" t="e">
        <f>AND('PROG FORMACIÓN TITULADA'!#REF!,"AAAAADvM7VA=")</f>
        <v>#REF!</v>
      </c>
      <c r="CD63" t="e">
        <f>AND('PROG FORMACIÓN TITULADA'!#REF!,"AAAAADvM7VE=")</f>
        <v>#REF!</v>
      </c>
      <c r="CE63" t="e">
        <f>AND('PROG FORMACIÓN TITULADA'!#REF!,"AAAAADvM7VI=")</f>
        <v>#REF!</v>
      </c>
      <c r="CF63" t="e">
        <f>AND('PROG FORMACIÓN TITULADA'!#REF!,"AAAAADvM7VM=")</f>
        <v>#REF!</v>
      </c>
      <c r="CG63" t="e">
        <f>AND('PROG FORMACIÓN TITULADA'!#REF!,"AAAAADvM7VQ=")</f>
        <v>#REF!</v>
      </c>
      <c r="CH63" t="e">
        <f>AND('PROG FORMACIÓN TITULADA'!#REF!,"AAAAADvM7VU=")</f>
        <v>#REF!</v>
      </c>
      <c r="CI63" t="e">
        <f>AND('PROG FORMACIÓN TITULADA'!#REF!,"AAAAADvM7VY=")</f>
        <v>#REF!</v>
      </c>
      <c r="CJ63" t="e">
        <f>AND('PROG FORMACIÓN TITULADA'!#REF!,"AAAAADvM7Vc=")</f>
        <v>#REF!</v>
      </c>
      <c r="CK63" t="e">
        <f>AND('PROG FORMACIÓN TITULADA'!#REF!,"AAAAADvM7Vg=")</f>
        <v>#REF!</v>
      </c>
      <c r="CL63" t="e">
        <f>AND('PROG FORMACIÓN TITULADA'!#REF!,"AAAAADvM7Vk=")</f>
        <v>#REF!</v>
      </c>
      <c r="CM63" t="e">
        <f>AND('PROG FORMACIÓN TITULADA'!#REF!,"AAAAADvM7Vo=")</f>
        <v>#REF!</v>
      </c>
      <c r="CN63" t="e">
        <f>AND('PROG FORMACIÓN TITULADA'!#REF!,"AAAAADvM7Vs=")</f>
        <v>#REF!</v>
      </c>
      <c r="CO63" t="e">
        <f>AND('PROG FORMACIÓN TITULADA'!#REF!,"AAAAADvM7Vw=")</f>
        <v>#REF!</v>
      </c>
      <c r="CP63" t="e">
        <f>AND('PROG FORMACIÓN TITULADA'!#REF!,"AAAAADvM7V0=")</f>
        <v>#REF!</v>
      </c>
      <c r="CQ63" t="e">
        <f>AND('PROG FORMACIÓN TITULADA'!#REF!,"AAAAADvM7V4=")</f>
        <v>#REF!</v>
      </c>
      <c r="CR63" t="e">
        <f>AND('PROG FORMACIÓN TITULADA'!#REF!,"AAAAADvM7V8=")</f>
        <v>#REF!</v>
      </c>
      <c r="CS63" t="e">
        <f>AND('PROG FORMACIÓN TITULADA'!#REF!,"AAAAADvM7WA=")</f>
        <v>#REF!</v>
      </c>
      <c r="CT63" t="e">
        <f>AND('PROG FORMACIÓN TITULADA'!#REF!,"AAAAADvM7WE=")</f>
        <v>#REF!</v>
      </c>
      <c r="CU63" t="e">
        <f>AND('PROG FORMACIÓN TITULADA'!#REF!,"AAAAADvM7WI=")</f>
        <v>#REF!</v>
      </c>
      <c r="CV63" t="e">
        <f>IF('PROG FORMACIÓN TITULADA'!#REF!,"AAAAADvM7WM=",0)</f>
        <v>#REF!</v>
      </c>
      <c r="CW63" t="e">
        <f>AND('PROG FORMACIÓN TITULADA'!#REF!,"AAAAADvM7WQ=")</f>
        <v>#REF!</v>
      </c>
      <c r="CX63" t="e">
        <f>AND('PROG FORMACIÓN TITULADA'!#REF!,"AAAAADvM7WU=")</f>
        <v>#REF!</v>
      </c>
      <c r="CY63" t="e">
        <f>AND('PROG FORMACIÓN TITULADA'!#REF!,"AAAAADvM7WY=")</f>
        <v>#REF!</v>
      </c>
      <c r="CZ63" t="e">
        <f>AND('PROG FORMACIÓN TITULADA'!#REF!,"AAAAADvM7Wc=")</f>
        <v>#REF!</v>
      </c>
      <c r="DA63" t="e">
        <f>AND('PROG FORMACIÓN TITULADA'!#REF!,"AAAAADvM7Wg=")</f>
        <v>#REF!</v>
      </c>
      <c r="DB63" t="e">
        <f>AND('PROG FORMACIÓN TITULADA'!#REF!,"AAAAADvM7Wk=")</f>
        <v>#REF!</v>
      </c>
      <c r="DC63" t="e">
        <f>AND('PROG FORMACIÓN TITULADA'!#REF!,"AAAAADvM7Wo=")</f>
        <v>#REF!</v>
      </c>
      <c r="DD63" t="e">
        <f>AND('PROG FORMACIÓN TITULADA'!#REF!,"AAAAADvM7Ws=")</f>
        <v>#REF!</v>
      </c>
      <c r="DE63" t="e">
        <f>AND('PROG FORMACIÓN TITULADA'!#REF!,"AAAAADvM7Ww=")</f>
        <v>#REF!</v>
      </c>
      <c r="DF63" t="e">
        <f>AND('PROG FORMACIÓN TITULADA'!#REF!,"AAAAADvM7W0=")</f>
        <v>#REF!</v>
      </c>
      <c r="DG63" t="e">
        <f>AND('PROG FORMACIÓN TITULADA'!#REF!,"AAAAADvM7W4=")</f>
        <v>#REF!</v>
      </c>
      <c r="DH63" t="e">
        <f>AND('PROG FORMACIÓN TITULADA'!#REF!,"AAAAADvM7W8=")</f>
        <v>#REF!</v>
      </c>
      <c r="DI63" t="e">
        <f>AND('PROG FORMACIÓN TITULADA'!#REF!,"AAAAADvM7XA=")</f>
        <v>#REF!</v>
      </c>
      <c r="DJ63" t="e">
        <f>AND('PROG FORMACIÓN TITULADA'!#REF!,"AAAAADvM7XE=")</f>
        <v>#REF!</v>
      </c>
      <c r="DK63" t="e">
        <f>AND('PROG FORMACIÓN TITULADA'!#REF!,"AAAAADvM7XI=")</f>
        <v>#REF!</v>
      </c>
      <c r="DL63" t="e">
        <f>AND('PROG FORMACIÓN TITULADA'!#REF!,"AAAAADvM7XM=")</f>
        <v>#REF!</v>
      </c>
      <c r="DM63" t="e">
        <f>AND('PROG FORMACIÓN TITULADA'!#REF!,"AAAAADvM7XQ=")</f>
        <v>#REF!</v>
      </c>
      <c r="DN63" t="e">
        <f>AND('PROG FORMACIÓN TITULADA'!#REF!,"AAAAADvM7XU=")</f>
        <v>#REF!</v>
      </c>
      <c r="DO63" t="e">
        <f>AND('PROG FORMACIÓN TITULADA'!#REF!,"AAAAADvM7XY=")</f>
        <v>#REF!</v>
      </c>
      <c r="DP63" t="e">
        <f>AND('PROG FORMACIÓN TITULADA'!#REF!,"AAAAADvM7Xc=")</f>
        <v>#REF!</v>
      </c>
      <c r="DQ63" t="e">
        <f>AND('PROG FORMACIÓN TITULADA'!#REF!,"AAAAADvM7Xg=")</f>
        <v>#REF!</v>
      </c>
      <c r="DR63" t="e">
        <f>AND('PROG FORMACIÓN TITULADA'!#REF!,"AAAAADvM7Xk=")</f>
        <v>#REF!</v>
      </c>
      <c r="DS63" t="e">
        <f>AND('PROG FORMACIÓN TITULADA'!#REF!,"AAAAADvM7Xo=")</f>
        <v>#REF!</v>
      </c>
      <c r="DT63" t="e">
        <f>AND('PROG FORMACIÓN TITULADA'!#REF!,"AAAAADvM7Xs=")</f>
        <v>#REF!</v>
      </c>
      <c r="DU63" t="e">
        <f>AND('PROG FORMACIÓN TITULADA'!#REF!,"AAAAADvM7Xw=")</f>
        <v>#REF!</v>
      </c>
      <c r="DV63" t="e">
        <f>AND('PROG FORMACIÓN TITULADA'!#REF!,"AAAAADvM7X0=")</f>
        <v>#REF!</v>
      </c>
      <c r="DW63" t="e">
        <f>IF('PROG FORMACIÓN TITULADA'!#REF!,"AAAAADvM7X4=",0)</f>
        <v>#REF!</v>
      </c>
      <c r="DX63" t="e">
        <f>AND('PROG FORMACIÓN TITULADA'!#REF!,"AAAAADvM7X8=")</f>
        <v>#REF!</v>
      </c>
      <c r="DY63" t="e">
        <f>AND('PROG FORMACIÓN TITULADA'!#REF!,"AAAAADvM7YA=")</f>
        <v>#REF!</v>
      </c>
      <c r="DZ63" t="e">
        <f>AND('PROG FORMACIÓN TITULADA'!#REF!,"AAAAADvM7YE=")</f>
        <v>#REF!</v>
      </c>
      <c r="EA63" t="e">
        <f>AND('PROG FORMACIÓN TITULADA'!#REF!,"AAAAADvM7YI=")</f>
        <v>#REF!</v>
      </c>
      <c r="EB63" t="e">
        <f>AND('PROG FORMACIÓN TITULADA'!#REF!,"AAAAADvM7YM=")</f>
        <v>#REF!</v>
      </c>
      <c r="EC63" t="e">
        <f>AND('PROG FORMACIÓN TITULADA'!#REF!,"AAAAADvM7YQ=")</f>
        <v>#REF!</v>
      </c>
      <c r="ED63" t="e">
        <f>AND('PROG FORMACIÓN TITULADA'!#REF!,"AAAAADvM7YU=")</f>
        <v>#REF!</v>
      </c>
      <c r="EE63" t="e">
        <f>AND('PROG FORMACIÓN TITULADA'!#REF!,"AAAAADvM7YY=")</f>
        <v>#REF!</v>
      </c>
      <c r="EF63" t="e">
        <f>AND('PROG FORMACIÓN TITULADA'!#REF!,"AAAAADvM7Yc=")</f>
        <v>#REF!</v>
      </c>
      <c r="EG63" t="e">
        <f>AND('PROG FORMACIÓN TITULADA'!#REF!,"AAAAADvM7Yg=")</f>
        <v>#REF!</v>
      </c>
      <c r="EH63" t="e">
        <f>AND('PROG FORMACIÓN TITULADA'!#REF!,"AAAAADvM7Yk=")</f>
        <v>#REF!</v>
      </c>
      <c r="EI63" t="e">
        <f>AND('PROG FORMACIÓN TITULADA'!#REF!,"AAAAADvM7Yo=")</f>
        <v>#REF!</v>
      </c>
      <c r="EJ63" t="e">
        <f>AND('PROG FORMACIÓN TITULADA'!#REF!,"AAAAADvM7Ys=")</f>
        <v>#REF!</v>
      </c>
      <c r="EK63" t="e">
        <f>AND('PROG FORMACIÓN TITULADA'!#REF!,"AAAAADvM7Yw=")</f>
        <v>#REF!</v>
      </c>
      <c r="EL63" t="e">
        <f>AND('PROG FORMACIÓN TITULADA'!#REF!,"AAAAADvM7Y0=")</f>
        <v>#REF!</v>
      </c>
      <c r="EM63" t="e">
        <f>AND('PROG FORMACIÓN TITULADA'!#REF!,"AAAAADvM7Y4=")</f>
        <v>#REF!</v>
      </c>
      <c r="EN63" t="e">
        <f>AND('PROG FORMACIÓN TITULADA'!#REF!,"AAAAADvM7Y8=")</f>
        <v>#REF!</v>
      </c>
      <c r="EO63" t="e">
        <f>AND('PROG FORMACIÓN TITULADA'!#REF!,"AAAAADvM7ZA=")</f>
        <v>#REF!</v>
      </c>
      <c r="EP63" t="e">
        <f>AND('PROG FORMACIÓN TITULADA'!#REF!,"AAAAADvM7ZE=")</f>
        <v>#REF!</v>
      </c>
      <c r="EQ63" t="e">
        <f>AND('PROG FORMACIÓN TITULADA'!#REF!,"AAAAADvM7ZI=")</f>
        <v>#REF!</v>
      </c>
      <c r="ER63" t="e">
        <f>AND('PROG FORMACIÓN TITULADA'!#REF!,"AAAAADvM7ZM=")</f>
        <v>#REF!</v>
      </c>
      <c r="ES63" t="e">
        <f>AND('PROG FORMACIÓN TITULADA'!#REF!,"AAAAADvM7ZQ=")</f>
        <v>#REF!</v>
      </c>
      <c r="ET63" t="e">
        <f>AND('PROG FORMACIÓN TITULADA'!#REF!,"AAAAADvM7ZU=")</f>
        <v>#REF!</v>
      </c>
      <c r="EU63" t="e">
        <f>AND('PROG FORMACIÓN TITULADA'!#REF!,"AAAAADvM7ZY=")</f>
        <v>#REF!</v>
      </c>
      <c r="EV63" t="e">
        <f>AND('PROG FORMACIÓN TITULADA'!#REF!,"AAAAADvM7Zc=")</f>
        <v>#REF!</v>
      </c>
      <c r="EW63" t="e">
        <f>AND('PROG FORMACIÓN TITULADA'!#REF!,"AAAAADvM7Zg=")</f>
        <v>#REF!</v>
      </c>
      <c r="EX63" t="e">
        <f>IF('PROG FORMACIÓN TITULADA'!#REF!,"AAAAADvM7Zk=",0)</f>
        <v>#REF!</v>
      </c>
      <c r="EY63" t="e">
        <f>AND('PROG FORMACIÓN TITULADA'!#REF!,"AAAAADvM7Zo=")</f>
        <v>#REF!</v>
      </c>
      <c r="EZ63" t="e">
        <f>AND('PROG FORMACIÓN TITULADA'!#REF!,"AAAAADvM7Zs=")</f>
        <v>#REF!</v>
      </c>
      <c r="FA63" t="e">
        <f>AND('PROG FORMACIÓN TITULADA'!#REF!,"AAAAADvM7Zw=")</f>
        <v>#REF!</v>
      </c>
      <c r="FB63" t="e">
        <f>AND('PROG FORMACIÓN TITULADA'!#REF!,"AAAAADvM7Z0=")</f>
        <v>#REF!</v>
      </c>
      <c r="FC63" t="e">
        <f>AND('PROG FORMACIÓN TITULADA'!#REF!,"AAAAADvM7Z4=")</f>
        <v>#REF!</v>
      </c>
      <c r="FD63" t="e">
        <f>AND('PROG FORMACIÓN TITULADA'!#REF!,"AAAAADvM7Z8=")</f>
        <v>#REF!</v>
      </c>
      <c r="FE63" t="e">
        <f>AND('PROG FORMACIÓN TITULADA'!#REF!,"AAAAADvM7aA=")</f>
        <v>#REF!</v>
      </c>
      <c r="FF63" t="e">
        <f>AND('PROG FORMACIÓN TITULADA'!#REF!,"AAAAADvM7aE=")</f>
        <v>#REF!</v>
      </c>
      <c r="FG63" t="e">
        <f>AND('PROG FORMACIÓN TITULADA'!#REF!,"AAAAADvM7aI=")</f>
        <v>#REF!</v>
      </c>
      <c r="FH63" t="e">
        <f>AND('PROG FORMACIÓN TITULADA'!#REF!,"AAAAADvM7aM=")</f>
        <v>#REF!</v>
      </c>
      <c r="FI63" t="e">
        <f>AND('PROG FORMACIÓN TITULADA'!#REF!,"AAAAADvM7aQ=")</f>
        <v>#REF!</v>
      </c>
      <c r="FJ63" t="e">
        <f>AND('PROG FORMACIÓN TITULADA'!#REF!,"AAAAADvM7aU=")</f>
        <v>#REF!</v>
      </c>
      <c r="FK63" t="e">
        <f>AND('PROG FORMACIÓN TITULADA'!#REF!,"AAAAADvM7aY=")</f>
        <v>#REF!</v>
      </c>
      <c r="FL63" t="e">
        <f>AND('PROG FORMACIÓN TITULADA'!#REF!,"AAAAADvM7ac=")</f>
        <v>#REF!</v>
      </c>
      <c r="FM63" t="e">
        <f>AND('PROG FORMACIÓN TITULADA'!#REF!,"AAAAADvM7ag=")</f>
        <v>#REF!</v>
      </c>
      <c r="FN63" t="e">
        <f>AND('PROG FORMACIÓN TITULADA'!#REF!,"AAAAADvM7ak=")</f>
        <v>#REF!</v>
      </c>
      <c r="FO63" t="e">
        <f>AND('PROG FORMACIÓN TITULADA'!#REF!,"AAAAADvM7ao=")</f>
        <v>#REF!</v>
      </c>
      <c r="FP63" t="e">
        <f>AND('PROG FORMACIÓN TITULADA'!#REF!,"AAAAADvM7as=")</f>
        <v>#REF!</v>
      </c>
      <c r="FQ63" t="e">
        <f>AND('PROG FORMACIÓN TITULADA'!#REF!,"AAAAADvM7aw=")</f>
        <v>#REF!</v>
      </c>
      <c r="FR63" t="e">
        <f>AND('PROG FORMACIÓN TITULADA'!#REF!,"AAAAADvM7a0=")</f>
        <v>#REF!</v>
      </c>
      <c r="FS63" t="e">
        <f>AND('PROG FORMACIÓN TITULADA'!#REF!,"AAAAADvM7a4=")</f>
        <v>#REF!</v>
      </c>
      <c r="FT63" t="e">
        <f>AND('PROG FORMACIÓN TITULADA'!#REF!,"AAAAADvM7a8=")</f>
        <v>#REF!</v>
      </c>
      <c r="FU63" t="e">
        <f>AND('PROG FORMACIÓN TITULADA'!#REF!,"AAAAADvM7bA=")</f>
        <v>#REF!</v>
      </c>
      <c r="FV63" t="e">
        <f>AND('PROG FORMACIÓN TITULADA'!#REF!,"AAAAADvM7bE=")</f>
        <v>#REF!</v>
      </c>
      <c r="FW63" t="e">
        <f>AND('PROG FORMACIÓN TITULADA'!#REF!,"AAAAADvM7bI=")</f>
        <v>#REF!</v>
      </c>
      <c r="FX63" t="e">
        <f>AND('PROG FORMACIÓN TITULADA'!#REF!,"AAAAADvM7bM=")</f>
        <v>#REF!</v>
      </c>
      <c r="FY63" t="e">
        <f>IF('PROG FORMACIÓN TITULADA'!#REF!,"AAAAADvM7bQ=",0)</f>
        <v>#REF!</v>
      </c>
      <c r="FZ63" t="e">
        <f>AND('PROG FORMACIÓN TITULADA'!#REF!,"AAAAADvM7bU=")</f>
        <v>#REF!</v>
      </c>
      <c r="GA63" t="e">
        <f>AND('PROG FORMACIÓN TITULADA'!#REF!,"AAAAADvM7bY=")</f>
        <v>#REF!</v>
      </c>
      <c r="GB63" t="e">
        <f>AND('PROG FORMACIÓN TITULADA'!#REF!,"AAAAADvM7bc=")</f>
        <v>#REF!</v>
      </c>
      <c r="GC63" t="e">
        <f>AND('PROG FORMACIÓN TITULADA'!#REF!,"AAAAADvM7bg=")</f>
        <v>#REF!</v>
      </c>
      <c r="GD63" t="e">
        <f>AND('PROG FORMACIÓN TITULADA'!#REF!,"AAAAADvM7bk=")</f>
        <v>#REF!</v>
      </c>
      <c r="GE63" t="e">
        <f>AND('PROG FORMACIÓN TITULADA'!#REF!,"AAAAADvM7bo=")</f>
        <v>#REF!</v>
      </c>
      <c r="GF63" t="e">
        <f>AND('PROG FORMACIÓN TITULADA'!#REF!,"AAAAADvM7bs=")</f>
        <v>#REF!</v>
      </c>
      <c r="GG63" t="e">
        <f>AND('PROG FORMACIÓN TITULADA'!#REF!,"AAAAADvM7bw=")</f>
        <v>#REF!</v>
      </c>
      <c r="GH63" t="e">
        <f>AND('PROG FORMACIÓN TITULADA'!#REF!,"AAAAADvM7b0=")</f>
        <v>#REF!</v>
      </c>
      <c r="GI63" t="e">
        <f>AND('PROG FORMACIÓN TITULADA'!#REF!,"AAAAADvM7b4=")</f>
        <v>#REF!</v>
      </c>
      <c r="GJ63" t="e">
        <f>AND('PROG FORMACIÓN TITULADA'!#REF!,"AAAAADvM7b8=")</f>
        <v>#REF!</v>
      </c>
      <c r="GK63" t="e">
        <f>AND('PROG FORMACIÓN TITULADA'!#REF!,"AAAAADvM7cA=")</f>
        <v>#REF!</v>
      </c>
      <c r="GL63" t="e">
        <f>AND('PROG FORMACIÓN TITULADA'!#REF!,"AAAAADvM7cE=")</f>
        <v>#REF!</v>
      </c>
      <c r="GM63" t="e">
        <f>AND('PROG FORMACIÓN TITULADA'!#REF!,"AAAAADvM7cI=")</f>
        <v>#REF!</v>
      </c>
      <c r="GN63" t="e">
        <f>AND('PROG FORMACIÓN TITULADA'!#REF!,"AAAAADvM7cM=")</f>
        <v>#REF!</v>
      </c>
      <c r="GO63" t="e">
        <f>AND('PROG FORMACIÓN TITULADA'!#REF!,"AAAAADvM7cQ=")</f>
        <v>#REF!</v>
      </c>
      <c r="GP63" t="e">
        <f>AND('PROG FORMACIÓN TITULADA'!#REF!,"AAAAADvM7cU=")</f>
        <v>#REF!</v>
      </c>
      <c r="GQ63" t="e">
        <f>AND('PROG FORMACIÓN TITULADA'!#REF!,"AAAAADvM7cY=")</f>
        <v>#REF!</v>
      </c>
      <c r="GR63" t="e">
        <f>AND('PROG FORMACIÓN TITULADA'!#REF!,"AAAAADvM7cc=")</f>
        <v>#REF!</v>
      </c>
      <c r="GS63" t="e">
        <f>AND('PROG FORMACIÓN TITULADA'!#REF!,"AAAAADvM7cg=")</f>
        <v>#REF!</v>
      </c>
      <c r="GT63" t="e">
        <f>AND('PROG FORMACIÓN TITULADA'!#REF!,"AAAAADvM7ck=")</f>
        <v>#REF!</v>
      </c>
      <c r="GU63" t="e">
        <f>AND('PROG FORMACIÓN TITULADA'!#REF!,"AAAAADvM7co=")</f>
        <v>#REF!</v>
      </c>
      <c r="GV63" t="e">
        <f>AND('PROG FORMACIÓN TITULADA'!#REF!,"AAAAADvM7cs=")</f>
        <v>#REF!</v>
      </c>
      <c r="GW63" t="e">
        <f>AND('PROG FORMACIÓN TITULADA'!#REF!,"AAAAADvM7cw=")</f>
        <v>#REF!</v>
      </c>
      <c r="GX63" t="e">
        <f>AND('PROG FORMACIÓN TITULADA'!#REF!,"AAAAADvM7c0=")</f>
        <v>#REF!</v>
      </c>
      <c r="GY63" t="e">
        <f>AND('PROG FORMACIÓN TITULADA'!#REF!,"AAAAADvM7c4=")</f>
        <v>#REF!</v>
      </c>
      <c r="GZ63" t="e">
        <f>IF('PROG FORMACIÓN TITULADA'!#REF!,"AAAAADvM7c8=",0)</f>
        <v>#REF!</v>
      </c>
      <c r="HA63" t="e">
        <f>AND('PROG FORMACIÓN TITULADA'!#REF!,"AAAAADvM7dA=")</f>
        <v>#REF!</v>
      </c>
      <c r="HB63" t="e">
        <f>AND('PROG FORMACIÓN TITULADA'!#REF!,"AAAAADvM7dE=")</f>
        <v>#REF!</v>
      </c>
      <c r="HC63" t="e">
        <f>AND('PROG FORMACIÓN TITULADA'!#REF!,"AAAAADvM7dI=")</f>
        <v>#REF!</v>
      </c>
      <c r="HD63" t="e">
        <f>AND('PROG FORMACIÓN TITULADA'!#REF!,"AAAAADvM7dM=")</f>
        <v>#REF!</v>
      </c>
      <c r="HE63" t="e">
        <f>AND('PROG FORMACIÓN TITULADA'!#REF!,"AAAAADvM7dQ=")</f>
        <v>#REF!</v>
      </c>
      <c r="HF63" t="e">
        <f>AND('PROG FORMACIÓN TITULADA'!#REF!,"AAAAADvM7dU=")</f>
        <v>#REF!</v>
      </c>
      <c r="HG63" t="e">
        <f>AND('PROG FORMACIÓN TITULADA'!#REF!,"AAAAADvM7dY=")</f>
        <v>#REF!</v>
      </c>
      <c r="HH63" t="e">
        <f>AND('PROG FORMACIÓN TITULADA'!#REF!,"AAAAADvM7dc=")</f>
        <v>#REF!</v>
      </c>
      <c r="HI63" t="e">
        <f>AND('PROG FORMACIÓN TITULADA'!#REF!,"AAAAADvM7dg=")</f>
        <v>#REF!</v>
      </c>
      <c r="HJ63" t="e">
        <f>AND('PROG FORMACIÓN TITULADA'!#REF!,"AAAAADvM7dk=")</f>
        <v>#REF!</v>
      </c>
      <c r="HK63" t="e">
        <f>AND('PROG FORMACIÓN TITULADA'!#REF!,"AAAAADvM7do=")</f>
        <v>#REF!</v>
      </c>
      <c r="HL63" t="e">
        <f>AND('PROG FORMACIÓN TITULADA'!#REF!,"AAAAADvM7ds=")</f>
        <v>#REF!</v>
      </c>
      <c r="HM63" t="e">
        <f>AND('PROG FORMACIÓN TITULADA'!#REF!,"AAAAADvM7dw=")</f>
        <v>#REF!</v>
      </c>
      <c r="HN63" t="e">
        <f>AND('PROG FORMACIÓN TITULADA'!#REF!,"AAAAADvM7d0=")</f>
        <v>#REF!</v>
      </c>
      <c r="HO63" t="e">
        <f>AND('PROG FORMACIÓN TITULADA'!#REF!,"AAAAADvM7d4=")</f>
        <v>#REF!</v>
      </c>
      <c r="HP63" t="e">
        <f>AND('PROG FORMACIÓN TITULADA'!#REF!,"AAAAADvM7d8=")</f>
        <v>#REF!</v>
      </c>
      <c r="HQ63" t="e">
        <f>AND('PROG FORMACIÓN TITULADA'!#REF!,"AAAAADvM7eA=")</f>
        <v>#REF!</v>
      </c>
      <c r="HR63" t="e">
        <f>AND('PROG FORMACIÓN TITULADA'!#REF!,"AAAAADvM7eE=")</f>
        <v>#REF!</v>
      </c>
      <c r="HS63" t="e">
        <f>AND('PROG FORMACIÓN TITULADA'!#REF!,"AAAAADvM7eI=")</f>
        <v>#REF!</v>
      </c>
      <c r="HT63" t="e">
        <f>AND('PROG FORMACIÓN TITULADA'!#REF!,"AAAAADvM7eM=")</f>
        <v>#REF!</v>
      </c>
      <c r="HU63" t="e">
        <f>AND('PROG FORMACIÓN TITULADA'!#REF!,"AAAAADvM7eQ=")</f>
        <v>#REF!</v>
      </c>
      <c r="HV63" t="e">
        <f>AND('PROG FORMACIÓN TITULADA'!#REF!,"AAAAADvM7eU=")</f>
        <v>#REF!</v>
      </c>
      <c r="HW63" t="e">
        <f>AND('PROG FORMACIÓN TITULADA'!#REF!,"AAAAADvM7eY=")</f>
        <v>#REF!</v>
      </c>
      <c r="HX63" t="e">
        <f>AND('PROG FORMACIÓN TITULADA'!#REF!,"AAAAADvM7ec=")</f>
        <v>#REF!</v>
      </c>
      <c r="HY63" t="e">
        <f>AND('PROG FORMACIÓN TITULADA'!#REF!,"AAAAADvM7eg=")</f>
        <v>#REF!</v>
      </c>
      <c r="HZ63" t="e">
        <f>AND('PROG FORMACIÓN TITULADA'!#REF!,"AAAAADvM7ek=")</f>
        <v>#REF!</v>
      </c>
      <c r="IA63" t="e">
        <f>IF('PROG FORMACIÓN TITULADA'!#REF!,"AAAAADvM7eo=",0)</f>
        <v>#REF!</v>
      </c>
      <c r="IB63" t="e">
        <f>AND('PROG FORMACIÓN TITULADA'!#REF!,"AAAAADvM7es=")</f>
        <v>#REF!</v>
      </c>
      <c r="IC63" t="e">
        <f>AND('PROG FORMACIÓN TITULADA'!#REF!,"AAAAADvM7ew=")</f>
        <v>#REF!</v>
      </c>
      <c r="ID63" t="e">
        <f>AND('PROG FORMACIÓN TITULADA'!#REF!,"AAAAADvM7e0=")</f>
        <v>#REF!</v>
      </c>
      <c r="IE63" t="e">
        <f>AND('PROG FORMACIÓN TITULADA'!#REF!,"AAAAADvM7e4=")</f>
        <v>#REF!</v>
      </c>
      <c r="IF63" t="e">
        <f>AND('PROG FORMACIÓN TITULADA'!#REF!,"AAAAADvM7e8=")</f>
        <v>#REF!</v>
      </c>
      <c r="IG63" t="e">
        <f>AND('PROG FORMACIÓN TITULADA'!#REF!,"AAAAADvM7fA=")</f>
        <v>#REF!</v>
      </c>
      <c r="IH63" t="e">
        <f>AND('PROG FORMACIÓN TITULADA'!#REF!,"AAAAADvM7fE=")</f>
        <v>#REF!</v>
      </c>
      <c r="II63" t="e">
        <f>AND('PROG FORMACIÓN TITULADA'!#REF!,"AAAAADvM7fI=")</f>
        <v>#REF!</v>
      </c>
      <c r="IJ63" t="e">
        <f>AND('PROG FORMACIÓN TITULADA'!#REF!,"AAAAADvM7fM=")</f>
        <v>#REF!</v>
      </c>
      <c r="IK63" t="e">
        <f>AND('PROG FORMACIÓN TITULADA'!#REF!,"AAAAADvM7fQ=")</f>
        <v>#REF!</v>
      </c>
      <c r="IL63" t="e">
        <f>AND('PROG FORMACIÓN TITULADA'!#REF!,"AAAAADvM7fU=")</f>
        <v>#REF!</v>
      </c>
      <c r="IM63" t="e">
        <f>AND('PROG FORMACIÓN TITULADA'!#REF!,"AAAAADvM7fY=")</f>
        <v>#REF!</v>
      </c>
      <c r="IN63" t="e">
        <f>AND('PROG FORMACIÓN TITULADA'!#REF!,"AAAAADvM7fc=")</f>
        <v>#REF!</v>
      </c>
      <c r="IO63" t="e">
        <f>AND('PROG FORMACIÓN TITULADA'!#REF!,"AAAAADvM7fg=")</f>
        <v>#REF!</v>
      </c>
      <c r="IP63" t="e">
        <f>AND('PROG FORMACIÓN TITULADA'!#REF!,"AAAAADvM7fk=")</f>
        <v>#REF!</v>
      </c>
      <c r="IQ63" t="e">
        <f>AND('PROG FORMACIÓN TITULADA'!#REF!,"AAAAADvM7fo=")</f>
        <v>#REF!</v>
      </c>
      <c r="IR63" t="e">
        <f>AND('PROG FORMACIÓN TITULADA'!#REF!,"AAAAADvM7fs=")</f>
        <v>#REF!</v>
      </c>
      <c r="IS63" t="e">
        <f>AND('PROG FORMACIÓN TITULADA'!#REF!,"AAAAADvM7fw=")</f>
        <v>#REF!</v>
      </c>
      <c r="IT63" t="e">
        <f>AND('PROG FORMACIÓN TITULADA'!#REF!,"AAAAADvM7f0=")</f>
        <v>#REF!</v>
      </c>
      <c r="IU63" t="e">
        <f>AND('PROG FORMACIÓN TITULADA'!#REF!,"AAAAADvM7f4=")</f>
        <v>#REF!</v>
      </c>
      <c r="IV63" t="e">
        <f>AND('PROG FORMACIÓN TITULADA'!#REF!,"AAAAADvM7f8=")</f>
        <v>#REF!</v>
      </c>
    </row>
    <row r="64" spans="1:256" x14ac:dyDescent="0.2">
      <c r="A64" t="e">
        <f>AND('PROG FORMACIÓN TITULADA'!#REF!,"AAAAAA//3QA=")</f>
        <v>#REF!</v>
      </c>
      <c r="B64" t="e">
        <f>AND('PROG FORMACIÓN TITULADA'!#REF!,"AAAAAA//3QE=")</f>
        <v>#REF!</v>
      </c>
      <c r="C64" t="e">
        <f>AND('PROG FORMACIÓN TITULADA'!#REF!,"AAAAAA//3QI=")</f>
        <v>#REF!</v>
      </c>
      <c r="D64" t="e">
        <f>AND('PROG FORMACIÓN TITULADA'!#REF!,"AAAAAA//3QM=")</f>
        <v>#REF!</v>
      </c>
      <c r="E64" t="e">
        <f>AND('PROG FORMACIÓN TITULADA'!#REF!,"AAAAAA//3QQ=")</f>
        <v>#REF!</v>
      </c>
      <c r="F64" t="e">
        <f>IF('PROG FORMACIÓN TITULADA'!#REF!,"AAAAAA//3QU=",0)</f>
        <v>#REF!</v>
      </c>
      <c r="G64" t="e">
        <f>AND('PROG FORMACIÓN TITULADA'!#REF!,"AAAAAA//3QY=")</f>
        <v>#REF!</v>
      </c>
      <c r="H64" t="e">
        <f>AND('PROG FORMACIÓN TITULADA'!#REF!,"AAAAAA//3Qc=")</f>
        <v>#REF!</v>
      </c>
      <c r="I64" t="e">
        <f>AND('PROG FORMACIÓN TITULADA'!#REF!,"AAAAAA//3Qg=")</f>
        <v>#REF!</v>
      </c>
      <c r="J64" t="e">
        <f>AND('PROG FORMACIÓN TITULADA'!#REF!,"AAAAAA//3Qk=")</f>
        <v>#REF!</v>
      </c>
      <c r="K64" t="e">
        <f>AND('PROG FORMACIÓN TITULADA'!#REF!,"AAAAAA//3Qo=")</f>
        <v>#REF!</v>
      </c>
      <c r="L64" t="e">
        <f>AND('PROG FORMACIÓN TITULADA'!#REF!,"AAAAAA//3Qs=")</f>
        <v>#REF!</v>
      </c>
      <c r="M64" t="e">
        <f>AND('PROG FORMACIÓN TITULADA'!#REF!,"AAAAAA//3Qw=")</f>
        <v>#REF!</v>
      </c>
      <c r="N64" t="e">
        <f>AND('PROG FORMACIÓN TITULADA'!#REF!,"AAAAAA//3Q0=")</f>
        <v>#REF!</v>
      </c>
      <c r="O64" t="e">
        <f>AND('PROG FORMACIÓN TITULADA'!#REF!,"AAAAAA//3Q4=")</f>
        <v>#REF!</v>
      </c>
      <c r="P64" t="e">
        <f>AND('PROG FORMACIÓN TITULADA'!#REF!,"AAAAAA//3Q8=")</f>
        <v>#REF!</v>
      </c>
      <c r="Q64" t="e">
        <f>AND('PROG FORMACIÓN TITULADA'!#REF!,"AAAAAA//3RA=")</f>
        <v>#REF!</v>
      </c>
      <c r="R64" t="e">
        <f>AND('PROG FORMACIÓN TITULADA'!#REF!,"AAAAAA//3RE=")</f>
        <v>#REF!</v>
      </c>
      <c r="S64" t="e">
        <f>AND('PROG FORMACIÓN TITULADA'!#REF!,"AAAAAA//3RI=")</f>
        <v>#REF!</v>
      </c>
      <c r="T64" t="e">
        <f>AND('PROG FORMACIÓN TITULADA'!#REF!,"AAAAAA//3RM=")</f>
        <v>#REF!</v>
      </c>
      <c r="U64" t="e">
        <f>AND('PROG FORMACIÓN TITULADA'!#REF!,"AAAAAA//3RQ=")</f>
        <v>#REF!</v>
      </c>
      <c r="V64" t="e">
        <f>AND('PROG FORMACIÓN TITULADA'!#REF!,"AAAAAA//3RU=")</f>
        <v>#REF!</v>
      </c>
      <c r="W64" t="e">
        <f>AND('PROG FORMACIÓN TITULADA'!#REF!,"AAAAAA//3RY=")</f>
        <v>#REF!</v>
      </c>
      <c r="X64" t="e">
        <f>AND('PROG FORMACIÓN TITULADA'!#REF!,"AAAAAA//3Rc=")</f>
        <v>#REF!</v>
      </c>
      <c r="Y64" t="e">
        <f>AND('PROG FORMACIÓN TITULADA'!#REF!,"AAAAAA//3Rg=")</f>
        <v>#REF!</v>
      </c>
      <c r="Z64" t="e">
        <f>AND('PROG FORMACIÓN TITULADA'!#REF!,"AAAAAA//3Rk=")</f>
        <v>#REF!</v>
      </c>
      <c r="AA64" t="e">
        <f>AND('PROG FORMACIÓN TITULADA'!#REF!,"AAAAAA//3Ro=")</f>
        <v>#REF!</v>
      </c>
      <c r="AB64" t="e">
        <f>AND('PROG FORMACIÓN TITULADA'!#REF!,"AAAAAA//3Rs=")</f>
        <v>#REF!</v>
      </c>
      <c r="AC64" t="e">
        <f>AND('PROG FORMACIÓN TITULADA'!#REF!,"AAAAAA//3Rw=")</f>
        <v>#REF!</v>
      </c>
      <c r="AD64" t="e">
        <f>AND('PROG FORMACIÓN TITULADA'!#REF!,"AAAAAA//3R0=")</f>
        <v>#REF!</v>
      </c>
      <c r="AE64" t="e">
        <f>AND('PROG FORMACIÓN TITULADA'!#REF!,"AAAAAA//3R4=")</f>
        <v>#REF!</v>
      </c>
      <c r="AF64" t="e">
        <f>AND('PROG FORMACIÓN TITULADA'!#REF!,"AAAAAA//3R8=")</f>
        <v>#REF!</v>
      </c>
      <c r="AG64" t="e">
        <f>IF('PROG FORMACIÓN TITULADA'!#REF!,"AAAAAA//3SA=",0)</f>
        <v>#REF!</v>
      </c>
      <c r="AH64" t="e">
        <f>AND('PROG FORMACIÓN TITULADA'!#REF!,"AAAAAA//3SE=")</f>
        <v>#REF!</v>
      </c>
      <c r="AI64" t="e">
        <f>AND('PROG FORMACIÓN TITULADA'!#REF!,"AAAAAA//3SI=")</f>
        <v>#REF!</v>
      </c>
      <c r="AJ64" t="e">
        <f>AND('PROG FORMACIÓN TITULADA'!#REF!,"AAAAAA//3SM=")</f>
        <v>#REF!</v>
      </c>
      <c r="AK64" t="e">
        <f>AND('PROG FORMACIÓN TITULADA'!#REF!,"AAAAAA//3SQ=")</f>
        <v>#REF!</v>
      </c>
      <c r="AL64" t="e">
        <f>AND('PROG FORMACIÓN TITULADA'!#REF!,"AAAAAA//3SU=")</f>
        <v>#REF!</v>
      </c>
      <c r="AM64" t="e">
        <f>AND('PROG FORMACIÓN TITULADA'!#REF!,"AAAAAA//3SY=")</f>
        <v>#REF!</v>
      </c>
      <c r="AN64" t="e">
        <f>AND('PROG FORMACIÓN TITULADA'!#REF!,"AAAAAA//3Sc=")</f>
        <v>#REF!</v>
      </c>
      <c r="AO64" t="e">
        <f>AND('PROG FORMACIÓN TITULADA'!#REF!,"AAAAAA//3Sg=")</f>
        <v>#REF!</v>
      </c>
      <c r="AP64" t="e">
        <f>AND('PROG FORMACIÓN TITULADA'!#REF!,"AAAAAA//3Sk=")</f>
        <v>#REF!</v>
      </c>
      <c r="AQ64" t="e">
        <f>AND('PROG FORMACIÓN TITULADA'!#REF!,"AAAAAA//3So=")</f>
        <v>#REF!</v>
      </c>
      <c r="AR64" t="e">
        <f>AND('PROG FORMACIÓN TITULADA'!#REF!,"AAAAAA//3Ss=")</f>
        <v>#REF!</v>
      </c>
      <c r="AS64" t="e">
        <f>AND('PROG FORMACIÓN TITULADA'!#REF!,"AAAAAA//3Sw=")</f>
        <v>#REF!</v>
      </c>
      <c r="AT64" t="e">
        <f>AND('PROG FORMACIÓN TITULADA'!#REF!,"AAAAAA//3S0=")</f>
        <v>#REF!</v>
      </c>
      <c r="AU64" t="e">
        <f>AND('PROG FORMACIÓN TITULADA'!#REF!,"AAAAAA//3S4=")</f>
        <v>#REF!</v>
      </c>
      <c r="AV64" t="e">
        <f>AND('PROG FORMACIÓN TITULADA'!#REF!,"AAAAAA//3S8=")</f>
        <v>#REF!</v>
      </c>
      <c r="AW64" t="e">
        <f>AND('PROG FORMACIÓN TITULADA'!#REF!,"AAAAAA//3TA=")</f>
        <v>#REF!</v>
      </c>
      <c r="AX64" t="e">
        <f>AND('PROG FORMACIÓN TITULADA'!#REF!,"AAAAAA//3TE=")</f>
        <v>#REF!</v>
      </c>
      <c r="AY64" t="e">
        <f>AND('PROG FORMACIÓN TITULADA'!#REF!,"AAAAAA//3TI=")</f>
        <v>#REF!</v>
      </c>
      <c r="AZ64" t="e">
        <f>AND('PROG FORMACIÓN TITULADA'!#REF!,"AAAAAA//3TM=")</f>
        <v>#REF!</v>
      </c>
      <c r="BA64" t="e">
        <f>AND('PROG FORMACIÓN TITULADA'!#REF!,"AAAAAA//3TQ=")</f>
        <v>#REF!</v>
      </c>
      <c r="BB64" t="e">
        <f>AND('PROG FORMACIÓN TITULADA'!#REF!,"AAAAAA//3TU=")</f>
        <v>#REF!</v>
      </c>
      <c r="BC64" t="e">
        <f>AND('PROG FORMACIÓN TITULADA'!#REF!,"AAAAAA//3TY=")</f>
        <v>#REF!</v>
      </c>
      <c r="BD64" t="e">
        <f>AND('PROG FORMACIÓN TITULADA'!#REF!,"AAAAAA//3Tc=")</f>
        <v>#REF!</v>
      </c>
      <c r="BE64" t="e">
        <f>AND('PROG FORMACIÓN TITULADA'!#REF!,"AAAAAA//3Tg=")</f>
        <v>#REF!</v>
      </c>
      <c r="BF64" t="e">
        <f>AND('PROG FORMACIÓN TITULADA'!#REF!,"AAAAAA//3Tk=")</f>
        <v>#REF!</v>
      </c>
      <c r="BG64" t="e">
        <f>AND('PROG FORMACIÓN TITULADA'!#REF!,"AAAAAA//3To=")</f>
        <v>#REF!</v>
      </c>
      <c r="BH64" t="e">
        <f>IF('PROG FORMACIÓN TITULADA'!#REF!,"AAAAAA//3Ts=",0)</f>
        <v>#REF!</v>
      </c>
      <c r="BI64" t="e">
        <f>AND('PROG FORMACIÓN TITULADA'!#REF!,"AAAAAA//3Tw=")</f>
        <v>#REF!</v>
      </c>
      <c r="BJ64" t="e">
        <f>AND('PROG FORMACIÓN TITULADA'!#REF!,"AAAAAA//3T0=")</f>
        <v>#REF!</v>
      </c>
      <c r="BK64" t="e">
        <f>AND('PROG FORMACIÓN TITULADA'!#REF!,"AAAAAA//3T4=")</f>
        <v>#REF!</v>
      </c>
      <c r="BL64" t="e">
        <f>AND('PROG FORMACIÓN TITULADA'!#REF!,"AAAAAA//3T8=")</f>
        <v>#REF!</v>
      </c>
      <c r="BM64" t="e">
        <f>AND('PROG FORMACIÓN TITULADA'!#REF!,"AAAAAA//3UA=")</f>
        <v>#REF!</v>
      </c>
      <c r="BN64" t="e">
        <f>AND('PROG FORMACIÓN TITULADA'!#REF!,"AAAAAA//3UE=")</f>
        <v>#REF!</v>
      </c>
      <c r="BO64" t="e">
        <f>AND('PROG FORMACIÓN TITULADA'!#REF!,"AAAAAA//3UI=")</f>
        <v>#REF!</v>
      </c>
      <c r="BP64" t="e">
        <f>AND('PROG FORMACIÓN TITULADA'!#REF!,"AAAAAA//3UM=")</f>
        <v>#REF!</v>
      </c>
      <c r="BQ64" t="e">
        <f>AND('PROG FORMACIÓN TITULADA'!#REF!,"AAAAAA//3UQ=")</f>
        <v>#REF!</v>
      </c>
      <c r="BR64" t="e">
        <f>AND('PROG FORMACIÓN TITULADA'!#REF!,"AAAAAA//3UU=")</f>
        <v>#REF!</v>
      </c>
      <c r="BS64" t="e">
        <f>AND('PROG FORMACIÓN TITULADA'!#REF!,"AAAAAA//3UY=")</f>
        <v>#REF!</v>
      </c>
      <c r="BT64" t="e">
        <f>AND('PROG FORMACIÓN TITULADA'!#REF!,"AAAAAA//3Uc=")</f>
        <v>#REF!</v>
      </c>
      <c r="BU64" t="e">
        <f>AND('PROG FORMACIÓN TITULADA'!#REF!,"AAAAAA//3Ug=")</f>
        <v>#REF!</v>
      </c>
      <c r="BV64" t="e">
        <f>AND('PROG FORMACIÓN TITULADA'!#REF!,"AAAAAA//3Uk=")</f>
        <v>#REF!</v>
      </c>
      <c r="BW64" t="e">
        <f>AND('PROG FORMACIÓN TITULADA'!#REF!,"AAAAAA//3Uo=")</f>
        <v>#REF!</v>
      </c>
      <c r="BX64" t="e">
        <f>AND('PROG FORMACIÓN TITULADA'!#REF!,"AAAAAA//3Us=")</f>
        <v>#REF!</v>
      </c>
      <c r="BY64" t="e">
        <f>AND('PROG FORMACIÓN TITULADA'!#REF!,"AAAAAA//3Uw=")</f>
        <v>#REF!</v>
      </c>
      <c r="BZ64" t="e">
        <f>AND('PROG FORMACIÓN TITULADA'!#REF!,"AAAAAA//3U0=")</f>
        <v>#REF!</v>
      </c>
      <c r="CA64" t="e">
        <f>AND('PROG FORMACIÓN TITULADA'!#REF!,"AAAAAA//3U4=")</f>
        <v>#REF!</v>
      </c>
      <c r="CB64" t="e">
        <f>AND('PROG FORMACIÓN TITULADA'!#REF!,"AAAAAA//3U8=")</f>
        <v>#REF!</v>
      </c>
      <c r="CC64" t="e">
        <f>AND('PROG FORMACIÓN TITULADA'!#REF!,"AAAAAA//3VA=")</f>
        <v>#REF!</v>
      </c>
      <c r="CD64" t="e">
        <f>AND('PROG FORMACIÓN TITULADA'!#REF!,"AAAAAA//3VE=")</f>
        <v>#REF!</v>
      </c>
      <c r="CE64" t="e">
        <f>AND('PROG FORMACIÓN TITULADA'!#REF!,"AAAAAA//3VI=")</f>
        <v>#REF!</v>
      </c>
      <c r="CF64" t="e">
        <f>AND('PROG FORMACIÓN TITULADA'!#REF!,"AAAAAA//3VM=")</f>
        <v>#REF!</v>
      </c>
      <c r="CG64" t="e">
        <f>AND('PROG FORMACIÓN TITULADA'!#REF!,"AAAAAA//3VQ=")</f>
        <v>#REF!</v>
      </c>
      <c r="CH64" t="e">
        <f>AND('PROG FORMACIÓN TITULADA'!#REF!,"AAAAAA//3VU=")</f>
        <v>#REF!</v>
      </c>
      <c r="CI64" t="e">
        <f>IF('PROG FORMACIÓN TITULADA'!#REF!,"AAAAAA//3VY=",0)</f>
        <v>#REF!</v>
      </c>
      <c r="CJ64" t="e">
        <f>AND('PROG FORMACIÓN TITULADA'!#REF!,"AAAAAA//3Vc=")</f>
        <v>#REF!</v>
      </c>
      <c r="CK64" t="e">
        <f>AND('PROG FORMACIÓN TITULADA'!#REF!,"AAAAAA//3Vg=")</f>
        <v>#REF!</v>
      </c>
      <c r="CL64" t="e">
        <f>AND('PROG FORMACIÓN TITULADA'!#REF!,"AAAAAA//3Vk=")</f>
        <v>#REF!</v>
      </c>
      <c r="CM64" t="e">
        <f>AND('PROG FORMACIÓN TITULADA'!#REF!,"AAAAAA//3Vo=")</f>
        <v>#REF!</v>
      </c>
      <c r="CN64" t="e">
        <f>AND('PROG FORMACIÓN TITULADA'!#REF!,"AAAAAA//3Vs=")</f>
        <v>#REF!</v>
      </c>
      <c r="CO64" t="e">
        <f>AND('PROG FORMACIÓN TITULADA'!#REF!,"AAAAAA//3Vw=")</f>
        <v>#REF!</v>
      </c>
      <c r="CP64" t="e">
        <f>AND('PROG FORMACIÓN TITULADA'!#REF!,"AAAAAA//3V0=")</f>
        <v>#REF!</v>
      </c>
      <c r="CQ64" t="e">
        <f>AND('PROG FORMACIÓN TITULADA'!#REF!,"AAAAAA//3V4=")</f>
        <v>#REF!</v>
      </c>
      <c r="CR64" t="e">
        <f>AND('PROG FORMACIÓN TITULADA'!#REF!,"AAAAAA//3V8=")</f>
        <v>#REF!</v>
      </c>
      <c r="CS64" t="e">
        <f>AND('PROG FORMACIÓN TITULADA'!#REF!,"AAAAAA//3WA=")</f>
        <v>#REF!</v>
      </c>
      <c r="CT64" t="e">
        <f>AND('PROG FORMACIÓN TITULADA'!#REF!,"AAAAAA//3WE=")</f>
        <v>#REF!</v>
      </c>
      <c r="CU64" t="e">
        <f>AND('PROG FORMACIÓN TITULADA'!#REF!,"AAAAAA//3WI=")</f>
        <v>#REF!</v>
      </c>
      <c r="CV64" t="e">
        <f>AND('PROG FORMACIÓN TITULADA'!#REF!,"AAAAAA//3WM=")</f>
        <v>#REF!</v>
      </c>
      <c r="CW64" t="e">
        <f>AND('PROG FORMACIÓN TITULADA'!#REF!,"AAAAAA//3WQ=")</f>
        <v>#REF!</v>
      </c>
      <c r="CX64" t="e">
        <f>AND('PROG FORMACIÓN TITULADA'!#REF!,"AAAAAA//3WU=")</f>
        <v>#REF!</v>
      </c>
      <c r="CY64" t="e">
        <f>AND('PROG FORMACIÓN TITULADA'!#REF!,"AAAAAA//3WY=")</f>
        <v>#REF!</v>
      </c>
      <c r="CZ64" t="e">
        <f>AND('PROG FORMACIÓN TITULADA'!#REF!,"AAAAAA//3Wc=")</f>
        <v>#REF!</v>
      </c>
      <c r="DA64" t="e">
        <f>AND('PROG FORMACIÓN TITULADA'!#REF!,"AAAAAA//3Wg=")</f>
        <v>#REF!</v>
      </c>
      <c r="DB64" t="e">
        <f>AND('PROG FORMACIÓN TITULADA'!#REF!,"AAAAAA//3Wk=")</f>
        <v>#REF!</v>
      </c>
      <c r="DC64" t="e">
        <f>AND('PROG FORMACIÓN TITULADA'!#REF!,"AAAAAA//3Wo=")</f>
        <v>#REF!</v>
      </c>
      <c r="DD64" t="e">
        <f>AND('PROG FORMACIÓN TITULADA'!#REF!,"AAAAAA//3Ws=")</f>
        <v>#REF!</v>
      </c>
      <c r="DE64" t="e">
        <f>AND('PROG FORMACIÓN TITULADA'!#REF!,"AAAAAA//3Ww=")</f>
        <v>#REF!</v>
      </c>
      <c r="DF64" t="e">
        <f>AND('PROG FORMACIÓN TITULADA'!#REF!,"AAAAAA//3W0=")</f>
        <v>#REF!</v>
      </c>
      <c r="DG64" t="e">
        <f>AND('PROG FORMACIÓN TITULADA'!#REF!,"AAAAAA//3W4=")</f>
        <v>#REF!</v>
      </c>
      <c r="DH64" t="e">
        <f>AND('PROG FORMACIÓN TITULADA'!#REF!,"AAAAAA//3W8=")</f>
        <v>#REF!</v>
      </c>
      <c r="DI64" t="e">
        <f>AND('PROG FORMACIÓN TITULADA'!#REF!,"AAAAAA//3XA=")</f>
        <v>#REF!</v>
      </c>
      <c r="DJ64" t="e">
        <f>IF('PROG FORMACIÓN TITULADA'!#REF!,"AAAAAA//3XE=",0)</f>
        <v>#REF!</v>
      </c>
      <c r="DK64" t="e">
        <f>AND('PROG FORMACIÓN TITULADA'!#REF!,"AAAAAA//3XI=")</f>
        <v>#REF!</v>
      </c>
      <c r="DL64" t="e">
        <f>AND('PROG FORMACIÓN TITULADA'!#REF!,"AAAAAA//3XM=")</f>
        <v>#REF!</v>
      </c>
      <c r="DM64" t="e">
        <f>AND('PROG FORMACIÓN TITULADA'!#REF!,"AAAAAA//3XQ=")</f>
        <v>#REF!</v>
      </c>
      <c r="DN64" t="e">
        <f>AND('PROG FORMACIÓN TITULADA'!#REF!,"AAAAAA//3XU=")</f>
        <v>#REF!</v>
      </c>
      <c r="DO64" t="e">
        <f>AND('PROG FORMACIÓN TITULADA'!#REF!,"AAAAAA//3XY=")</f>
        <v>#REF!</v>
      </c>
      <c r="DP64" t="e">
        <f>AND('PROG FORMACIÓN TITULADA'!#REF!,"AAAAAA//3Xc=")</f>
        <v>#REF!</v>
      </c>
      <c r="DQ64" t="e">
        <f>AND('PROG FORMACIÓN TITULADA'!#REF!,"AAAAAA//3Xg=")</f>
        <v>#REF!</v>
      </c>
      <c r="DR64" t="e">
        <f>AND('PROG FORMACIÓN TITULADA'!#REF!,"AAAAAA//3Xk=")</f>
        <v>#REF!</v>
      </c>
      <c r="DS64" t="e">
        <f>AND('PROG FORMACIÓN TITULADA'!#REF!,"AAAAAA//3Xo=")</f>
        <v>#REF!</v>
      </c>
      <c r="DT64" t="e">
        <f>AND('PROG FORMACIÓN TITULADA'!#REF!,"AAAAAA//3Xs=")</f>
        <v>#REF!</v>
      </c>
      <c r="DU64" t="e">
        <f>AND('PROG FORMACIÓN TITULADA'!#REF!,"AAAAAA//3Xw=")</f>
        <v>#REF!</v>
      </c>
      <c r="DV64" t="e">
        <f>AND('PROG FORMACIÓN TITULADA'!#REF!,"AAAAAA//3X0=")</f>
        <v>#REF!</v>
      </c>
      <c r="DW64" t="e">
        <f>AND('PROG FORMACIÓN TITULADA'!#REF!,"AAAAAA//3X4=")</f>
        <v>#REF!</v>
      </c>
      <c r="DX64" t="e">
        <f>AND('PROG FORMACIÓN TITULADA'!#REF!,"AAAAAA//3X8=")</f>
        <v>#REF!</v>
      </c>
      <c r="DY64" t="e">
        <f>AND('PROG FORMACIÓN TITULADA'!#REF!,"AAAAAA//3YA=")</f>
        <v>#REF!</v>
      </c>
      <c r="DZ64" t="e">
        <f>AND('PROG FORMACIÓN TITULADA'!#REF!,"AAAAAA//3YE=")</f>
        <v>#REF!</v>
      </c>
      <c r="EA64" t="e">
        <f>AND('PROG FORMACIÓN TITULADA'!#REF!,"AAAAAA//3YI=")</f>
        <v>#REF!</v>
      </c>
      <c r="EB64" t="e">
        <f>AND('PROG FORMACIÓN TITULADA'!#REF!,"AAAAAA//3YM=")</f>
        <v>#REF!</v>
      </c>
      <c r="EC64" t="e">
        <f>AND('PROG FORMACIÓN TITULADA'!#REF!,"AAAAAA//3YQ=")</f>
        <v>#REF!</v>
      </c>
      <c r="ED64" t="e">
        <f>AND('PROG FORMACIÓN TITULADA'!#REF!,"AAAAAA//3YU=")</f>
        <v>#REF!</v>
      </c>
      <c r="EE64" t="e">
        <f>AND('PROG FORMACIÓN TITULADA'!#REF!,"AAAAAA//3YY=")</f>
        <v>#REF!</v>
      </c>
      <c r="EF64" t="e">
        <f>AND('PROG FORMACIÓN TITULADA'!#REF!,"AAAAAA//3Yc=")</f>
        <v>#REF!</v>
      </c>
      <c r="EG64" t="e">
        <f>AND('PROG FORMACIÓN TITULADA'!#REF!,"AAAAAA//3Yg=")</f>
        <v>#REF!</v>
      </c>
      <c r="EH64" t="e">
        <f>AND('PROG FORMACIÓN TITULADA'!#REF!,"AAAAAA//3Yk=")</f>
        <v>#REF!</v>
      </c>
      <c r="EI64" t="e">
        <f>AND('PROG FORMACIÓN TITULADA'!#REF!,"AAAAAA//3Yo=")</f>
        <v>#REF!</v>
      </c>
      <c r="EJ64" t="e">
        <f>AND('PROG FORMACIÓN TITULADA'!#REF!,"AAAAAA//3Ys=")</f>
        <v>#REF!</v>
      </c>
      <c r="EK64" t="e">
        <f>IF('PROG FORMACIÓN TITULADA'!#REF!,"AAAAAA//3Yw=",0)</f>
        <v>#REF!</v>
      </c>
      <c r="EL64" t="e">
        <f>AND('PROG FORMACIÓN TITULADA'!#REF!,"AAAAAA//3Y0=")</f>
        <v>#REF!</v>
      </c>
      <c r="EM64" t="e">
        <f>AND('PROG FORMACIÓN TITULADA'!#REF!,"AAAAAA//3Y4=")</f>
        <v>#REF!</v>
      </c>
      <c r="EN64" t="e">
        <f>AND('PROG FORMACIÓN TITULADA'!#REF!,"AAAAAA//3Y8=")</f>
        <v>#REF!</v>
      </c>
      <c r="EO64" t="e">
        <f>AND('PROG FORMACIÓN TITULADA'!#REF!,"AAAAAA//3ZA=")</f>
        <v>#REF!</v>
      </c>
      <c r="EP64" t="e">
        <f>AND('PROG FORMACIÓN TITULADA'!#REF!,"AAAAAA//3ZE=")</f>
        <v>#REF!</v>
      </c>
      <c r="EQ64" t="e">
        <f>AND('PROG FORMACIÓN TITULADA'!#REF!,"AAAAAA//3ZI=")</f>
        <v>#REF!</v>
      </c>
      <c r="ER64" t="e">
        <f>AND('PROG FORMACIÓN TITULADA'!#REF!,"AAAAAA//3ZM=")</f>
        <v>#REF!</v>
      </c>
      <c r="ES64" t="e">
        <f>AND('PROG FORMACIÓN TITULADA'!#REF!,"AAAAAA//3ZQ=")</f>
        <v>#REF!</v>
      </c>
      <c r="ET64" t="e">
        <f>AND('PROG FORMACIÓN TITULADA'!#REF!,"AAAAAA//3ZU=")</f>
        <v>#REF!</v>
      </c>
      <c r="EU64" t="e">
        <f>AND('PROG FORMACIÓN TITULADA'!#REF!,"AAAAAA//3ZY=")</f>
        <v>#REF!</v>
      </c>
      <c r="EV64" t="e">
        <f>AND('PROG FORMACIÓN TITULADA'!#REF!,"AAAAAA//3Zc=")</f>
        <v>#REF!</v>
      </c>
      <c r="EW64" t="e">
        <f>AND('PROG FORMACIÓN TITULADA'!#REF!,"AAAAAA//3Zg=")</f>
        <v>#REF!</v>
      </c>
      <c r="EX64" t="e">
        <f>AND('PROG FORMACIÓN TITULADA'!#REF!,"AAAAAA//3Zk=")</f>
        <v>#REF!</v>
      </c>
      <c r="EY64" t="e">
        <f>AND('PROG FORMACIÓN TITULADA'!#REF!,"AAAAAA//3Zo=")</f>
        <v>#REF!</v>
      </c>
      <c r="EZ64" t="e">
        <f>AND('PROG FORMACIÓN TITULADA'!#REF!,"AAAAAA//3Zs=")</f>
        <v>#REF!</v>
      </c>
      <c r="FA64" t="e">
        <f>AND('PROG FORMACIÓN TITULADA'!#REF!,"AAAAAA//3Zw=")</f>
        <v>#REF!</v>
      </c>
      <c r="FB64" t="e">
        <f>AND('PROG FORMACIÓN TITULADA'!#REF!,"AAAAAA//3Z0=")</f>
        <v>#REF!</v>
      </c>
      <c r="FC64" t="e">
        <f>AND('PROG FORMACIÓN TITULADA'!#REF!,"AAAAAA//3Z4=")</f>
        <v>#REF!</v>
      </c>
      <c r="FD64" t="e">
        <f>AND('PROG FORMACIÓN TITULADA'!#REF!,"AAAAAA//3Z8=")</f>
        <v>#REF!</v>
      </c>
      <c r="FE64" t="e">
        <f>AND('PROG FORMACIÓN TITULADA'!#REF!,"AAAAAA//3aA=")</f>
        <v>#REF!</v>
      </c>
      <c r="FF64" t="e">
        <f>AND('PROG FORMACIÓN TITULADA'!#REF!,"AAAAAA//3aE=")</f>
        <v>#REF!</v>
      </c>
      <c r="FG64" t="e">
        <f>AND('PROG FORMACIÓN TITULADA'!#REF!,"AAAAAA//3aI=")</f>
        <v>#REF!</v>
      </c>
      <c r="FH64" t="e">
        <f>AND('PROG FORMACIÓN TITULADA'!#REF!,"AAAAAA//3aM=")</f>
        <v>#REF!</v>
      </c>
      <c r="FI64" t="e">
        <f>AND('PROG FORMACIÓN TITULADA'!#REF!,"AAAAAA//3aQ=")</f>
        <v>#REF!</v>
      </c>
      <c r="FJ64" t="e">
        <f>AND('PROG FORMACIÓN TITULADA'!#REF!,"AAAAAA//3aU=")</f>
        <v>#REF!</v>
      </c>
      <c r="FK64" t="e">
        <f>AND('PROG FORMACIÓN TITULADA'!#REF!,"AAAAAA//3aY=")</f>
        <v>#REF!</v>
      </c>
      <c r="FL64" t="e">
        <f>IF('PROG FORMACIÓN TITULADA'!#REF!,"AAAAAA//3ac=",0)</f>
        <v>#REF!</v>
      </c>
      <c r="FM64" t="e">
        <f>AND('PROG FORMACIÓN TITULADA'!#REF!,"AAAAAA//3ag=")</f>
        <v>#REF!</v>
      </c>
      <c r="FN64" t="e">
        <f>AND('PROG FORMACIÓN TITULADA'!#REF!,"AAAAAA//3ak=")</f>
        <v>#REF!</v>
      </c>
      <c r="FO64" t="e">
        <f>AND('PROG FORMACIÓN TITULADA'!#REF!,"AAAAAA//3ao=")</f>
        <v>#REF!</v>
      </c>
      <c r="FP64" t="e">
        <f>AND('PROG FORMACIÓN TITULADA'!#REF!,"AAAAAA//3as=")</f>
        <v>#REF!</v>
      </c>
      <c r="FQ64" t="e">
        <f>AND('PROG FORMACIÓN TITULADA'!#REF!,"AAAAAA//3aw=")</f>
        <v>#REF!</v>
      </c>
      <c r="FR64" t="e">
        <f>AND('PROG FORMACIÓN TITULADA'!#REF!,"AAAAAA//3a0=")</f>
        <v>#REF!</v>
      </c>
      <c r="FS64" t="e">
        <f>AND('PROG FORMACIÓN TITULADA'!#REF!,"AAAAAA//3a4=")</f>
        <v>#REF!</v>
      </c>
      <c r="FT64" t="e">
        <f>AND('PROG FORMACIÓN TITULADA'!#REF!,"AAAAAA//3a8=")</f>
        <v>#REF!</v>
      </c>
      <c r="FU64" t="e">
        <f>AND('PROG FORMACIÓN TITULADA'!#REF!,"AAAAAA//3bA=")</f>
        <v>#REF!</v>
      </c>
      <c r="FV64" t="e">
        <f>AND('PROG FORMACIÓN TITULADA'!#REF!,"AAAAAA//3bE=")</f>
        <v>#REF!</v>
      </c>
      <c r="FW64" t="e">
        <f>AND('PROG FORMACIÓN TITULADA'!#REF!,"AAAAAA//3bI=")</f>
        <v>#REF!</v>
      </c>
      <c r="FX64" t="e">
        <f>AND('PROG FORMACIÓN TITULADA'!#REF!,"AAAAAA//3bM=")</f>
        <v>#REF!</v>
      </c>
      <c r="FY64" t="e">
        <f>AND('PROG FORMACIÓN TITULADA'!#REF!,"AAAAAA//3bQ=")</f>
        <v>#REF!</v>
      </c>
      <c r="FZ64" t="e">
        <f>AND('PROG FORMACIÓN TITULADA'!#REF!,"AAAAAA//3bU=")</f>
        <v>#REF!</v>
      </c>
      <c r="GA64" t="e">
        <f>AND('PROG FORMACIÓN TITULADA'!#REF!,"AAAAAA//3bY=")</f>
        <v>#REF!</v>
      </c>
      <c r="GB64" t="e">
        <f>AND('PROG FORMACIÓN TITULADA'!#REF!,"AAAAAA//3bc=")</f>
        <v>#REF!</v>
      </c>
      <c r="GC64" t="e">
        <f>AND('PROG FORMACIÓN TITULADA'!#REF!,"AAAAAA//3bg=")</f>
        <v>#REF!</v>
      </c>
      <c r="GD64" t="e">
        <f>AND('PROG FORMACIÓN TITULADA'!#REF!,"AAAAAA//3bk=")</f>
        <v>#REF!</v>
      </c>
      <c r="GE64" t="e">
        <f>AND('PROG FORMACIÓN TITULADA'!#REF!,"AAAAAA//3bo=")</f>
        <v>#REF!</v>
      </c>
      <c r="GF64" t="e">
        <f>AND('PROG FORMACIÓN TITULADA'!#REF!,"AAAAAA//3bs=")</f>
        <v>#REF!</v>
      </c>
      <c r="GG64" t="e">
        <f>AND('PROG FORMACIÓN TITULADA'!#REF!,"AAAAAA//3bw=")</f>
        <v>#REF!</v>
      </c>
      <c r="GH64" t="e">
        <f>AND('PROG FORMACIÓN TITULADA'!#REF!,"AAAAAA//3b0=")</f>
        <v>#REF!</v>
      </c>
      <c r="GI64" t="e">
        <f>AND('PROG FORMACIÓN TITULADA'!#REF!,"AAAAAA//3b4=")</f>
        <v>#REF!</v>
      </c>
      <c r="GJ64" t="e">
        <f>AND('PROG FORMACIÓN TITULADA'!#REF!,"AAAAAA//3b8=")</f>
        <v>#REF!</v>
      </c>
      <c r="GK64" t="e">
        <f>AND('PROG FORMACIÓN TITULADA'!#REF!,"AAAAAA//3cA=")</f>
        <v>#REF!</v>
      </c>
      <c r="GL64" t="e">
        <f>AND('PROG FORMACIÓN TITULADA'!#REF!,"AAAAAA//3cE=")</f>
        <v>#REF!</v>
      </c>
      <c r="GM64" t="e">
        <f>IF('PROG FORMACIÓN TITULADA'!#REF!,"AAAAAA//3cI=",0)</f>
        <v>#REF!</v>
      </c>
      <c r="GN64" t="e">
        <f>AND('PROG FORMACIÓN TITULADA'!#REF!,"AAAAAA//3cM=")</f>
        <v>#REF!</v>
      </c>
      <c r="GO64" t="e">
        <f>AND('PROG FORMACIÓN TITULADA'!#REF!,"AAAAAA//3cQ=")</f>
        <v>#REF!</v>
      </c>
      <c r="GP64" t="e">
        <f>AND('PROG FORMACIÓN TITULADA'!#REF!,"AAAAAA//3cU=")</f>
        <v>#REF!</v>
      </c>
      <c r="GQ64" t="e">
        <f>AND('PROG FORMACIÓN TITULADA'!#REF!,"AAAAAA//3cY=")</f>
        <v>#REF!</v>
      </c>
      <c r="GR64" t="e">
        <f>AND('PROG FORMACIÓN TITULADA'!#REF!,"AAAAAA//3cc=")</f>
        <v>#REF!</v>
      </c>
      <c r="GS64" t="e">
        <f>AND('PROG FORMACIÓN TITULADA'!#REF!,"AAAAAA//3cg=")</f>
        <v>#REF!</v>
      </c>
      <c r="GT64" t="e">
        <f>AND('PROG FORMACIÓN TITULADA'!#REF!,"AAAAAA//3ck=")</f>
        <v>#REF!</v>
      </c>
      <c r="GU64" t="e">
        <f>AND('PROG FORMACIÓN TITULADA'!#REF!,"AAAAAA//3co=")</f>
        <v>#REF!</v>
      </c>
      <c r="GV64" t="e">
        <f>AND('PROG FORMACIÓN TITULADA'!#REF!,"AAAAAA//3cs=")</f>
        <v>#REF!</v>
      </c>
      <c r="GW64" t="e">
        <f>AND('PROG FORMACIÓN TITULADA'!#REF!,"AAAAAA//3cw=")</f>
        <v>#REF!</v>
      </c>
      <c r="GX64" t="e">
        <f>AND('PROG FORMACIÓN TITULADA'!#REF!,"AAAAAA//3c0=")</f>
        <v>#REF!</v>
      </c>
      <c r="GY64" t="e">
        <f>AND('PROG FORMACIÓN TITULADA'!#REF!,"AAAAAA//3c4=")</f>
        <v>#REF!</v>
      </c>
      <c r="GZ64" t="e">
        <f>AND('PROG FORMACIÓN TITULADA'!#REF!,"AAAAAA//3c8=")</f>
        <v>#REF!</v>
      </c>
      <c r="HA64" t="e">
        <f>AND('PROG FORMACIÓN TITULADA'!#REF!,"AAAAAA//3dA=")</f>
        <v>#REF!</v>
      </c>
      <c r="HB64" t="e">
        <f>AND('PROG FORMACIÓN TITULADA'!#REF!,"AAAAAA//3dE=")</f>
        <v>#REF!</v>
      </c>
      <c r="HC64" t="e">
        <f>AND('PROG FORMACIÓN TITULADA'!#REF!,"AAAAAA//3dI=")</f>
        <v>#REF!</v>
      </c>
      <c r="HD64" t="e">
        <f>AND('PROG FORMACIÓN TITULADA'!#REF!,"AAAAAA//3dM=")</f>
        <v>#REF!</v>
      </c>
      <c r="HE64" t="e">
        <f>AND('PROG FORMACIÓN TITULADA'!#REF!,"AAAAAA//3dQ=")</f>
        <v>#REF!</v>
      </c>
      <c r="HF64" t="e">
        <f>AND('PROG FORMACIÓN TITULADA'!#REF!,"AAAAAA//3dU=")</f>
        <v>#REF!</v>
      </c>
      <c r="HG64" t="e">
        <f>AND('PROG FORMACIÓN TITULADA'!#REF!,"AAAAAA//3dY=")</f>
        <v>#REF!</v>
      </c>
      <c r="HH64" t="e">
        <f>AND('PROG FORMACIÓN TITULADA'!#REF!,"AAAAAA//3dc=")</f>
        <v>#REF!</v>
      </c>
      <c r="HI64" t="e">
        <f>AND('PROG FORMACIÓN TITULADA'!#REF!,"AAAAAA//3dg=")</f>
        <v>#REF!</v>
      </c>
      <c r="HJ64" t="e">
        <f>AND('PROG FORMACIÓN TITULADA'!#REF!,"AAAAAA//3dk=")</f>
        <v>#REF!</v>
      </c>
      <c r="HK64" t="e">
        <f>AND('PROG FORMACIÓN TITULADA'!#REF!,"AAAAAA//3do=")</f>
        <v>#REF!</v>
      </c>
      <c r="HL64" t="e">
        <f>AND('PROG FORMACIÓN TITULADA'!#REF!,"AAAAAA//3ds=")</f>
        <v>#REF!</v>
      </c>
      <c r="HM64" t="e">
        <f>AND('PROG FORMACIÓN TITULADA'!#REF!,"AAAAAA//3dw=")</f>
        <v>#REF!</v>
      </c>
      <c r="HN64" t="e">
        <f>IF('PROG FORMACIÓN TITULADA'!#REF!,"AAAAAA//3d0=",0)</f>
        <v>#REF!</v>
      </c>
      <c r="HO64" t="e">
        <f>AND('PROG FORMACIÓN TITULADA'!#REF!,"AAAAAA//3d4=")</f>
        <v>#REF!</v>
      </c>
      <c r="HP64" t="e">
        <f>AND('PROG FORMACIÓN TITULADA'!#REF!,"AAAAAA//3d8=")</f>
        <v>#REF!</v>
      </c>
      <c r="HQ64" t="e">
        <f>AND('PROG FORMACIÓN TITULADA'!#REF!,"AAAAAA//3eA=")</f>
        <v>#REF!</v>
      </c>
      <c r="HR64" t="e">
        <f>AND('PROG FORMACIÓN TITULADA'!#REF!,"AAAAAA//3eE=")</f>
        <v>#REF!</v>
      </c>
      <c r="HS64" t="e">
        <f>AND('PROG FORMACIÓN TITULADA'!#REF!,"AAAAAA//3eI=")</f>
        <v>#REF!</v>
      </c>
      <c r="HT64" t="e">
        <f>AND('PROG FORMACIÓN TITULADA'!#REF!,"AAAAAA//3eM=")</f>
        <v>#REF!</v>
      </c>
      <c r="HU64" t="e">
        <f>AND('PROG FORMACIÓN TITULADA'!#REF!,"AAAAAA//3eQ=")</f>
        <v>#REF!</v>
      </c>
      <c r="HV64" t="e">
        <f>AND('PROG FORMACIÓN TITULADA'!#REF!,"AAAAAA//3eU=")</f>
        <v>#REF!</v>
      </c>
      <c r="HW64" t="e">
        <f>AND('PROG FORMACIÓN TITULADA'!#REF!,"AAAAAA//3eY=")</f>
        <v>#REF!</v>
      </c>
      <c r="HX64" t="e">
        <f>AND('PROG FORMACIÓN TITULADA'!#REF!,"AAAAAA//3ec=")</f>
        <v>#REF!</v>
      </c>
      <c r="HY64" t="e">
        <f>AND('PROG FORMACIÓN TITULADA'!#REF!,"AAAAAA//3eg=")</f>
        <v>#REF!</v>
      </c>
      <c r="HZ64" t="e">
        <f>AND('PROG FORMACIÓN TITULADA'!#REF!,"AAAAAA//3ek=")</f>
        <v>#REF!</v>
      </c>
      <c r="IA64" t="e">
        <f>AND('PROG FORMACIÓN TITULADA'!#REF!,"AAAAAA//3eo=")</f>
        <v>#REF!</v>
      </c>
      <c r="IB64" t="e">
        <f>AND('PROG FORMACIÓN TITULADA'!#REF!,"AAAAAA//3es=")</f>
        <v>#REF!</v>
      </c>
      <c r="IC64" t="e">
        <f>AND('PROG FORMACIÓN TITULADA'!#REF!,"AAAAAA//3ew=")</f>
        <v>#REF!</v>
      </c>
      <c r="ID64" t="e">
        <f>AND('PROG FORMACIÓN TITULADA'!#REF!,"AAAAAA//3e0=")</f>
        <v>#REF!</v>
      </c>
      <c r="IE64" t="e">
        <f>AND('PROG FORMACIÓN TITULADA'!#REF!,"AAAAAA//3e4=")</f>
        <v>#REF!</v>
      </c>
      <c r="IF64" t="e">
        <f>AND('PROG FORMACIÓN TITULADA'!#REF!,"AAAAAA//3e8=")</f>
        <v>#REF!</v>
      </c>
      <c r="IG64" t="e">
        <f>AND('PROG FORMACIÓN TITULADA'!#REF!,"AAAAAA//3fA=")</f>
        <v>#REF!</v>
      </c>
      <c r="IH64" t="e">
        <f>AND('PROG FORMACIÓN TITULADA'!#REF!,"AAAAAA//3fE=")</f>
        <v>#REF!</v>
      </c>
      <c r="II64" t="e">
        <f>AND('PROG FORMACIÓN TITULADA'!#REF!,"AAAAAA//3fI=")</f>
        <v>#REF!</v>
      </c>
      <c r="IJ64" t="e">
        <f>AND('PROG FORMACIÓN TITULADA'!#REF!,"AAAAAA//3fM=")</f>
        <v>#REF!</v>
      </c>
      <c r="IK64" t="e">
        <f>AND('PROG FORMACIÓN TITULADA'!#REF!,"AAAAAA//3fQ=")</f>
        <v>#REF!</v>
      </c>
      <c r="IL64" t="e">
        <f>AND('PROG FORMACIÓN TITULADA'!#REF!,"AAAAAA//3fU=")</f>
        <v>#REF!</v>
      </c>
      <c r="IM64" t="e">
        <f>AND('PROG FORMACIÓN TITULADA'!#REF!,"AAAAAA//3fY=")</f>
        <v>#REF!</v>
      </c>
      <c r="IN64" t="e">
        <f>AND('PROG FORMACIÓN TITULADA'!#REF!,"AAAAAA//3fc=")</f>
        <v>#REF!</v>
      </c>
      <c r="IO64" t="e">
        <f>IF('PROG FORMACIÓN TITULADA'!#REF!,"AAAAAA//3fg=",0)</f>
        <v>#REF!</v>
      </c>
      <c r="IP64" t="e">
        <f>AND('PROG FORMACIÓN TITULADA'!#REF!,"AAAAAA//3fk=")</f>
        <v>#REF!</v>
      </c>
      <c r="IQ64" t="e">
        <f>AND('PROG FORMACIÓN TITULADA'!#REF!,"AAAAAA//3fo=")</f>
        <v>#REF!</v>
      </c>
      <c r="IR64" t="e">
        <f>AND('PROG FORMACIÓN TITULADA'!#REF!,"AAAAAA//3fs=")</f>
        <v>#REF!</v>
      </c>
      <c r="IS64" t="e">
        <f>AND('PROG FORMACIÓN TITULADA'!#REF!,"AAAAAA//3fw=")</f>
        <v>#REF!</v>
      </c>
      <c r="IT64" t="e">
        <f>AND('PROG FORMACIÓN TITULADA'!#REF!,"AAAAAA//3f0=")</f>
        <v>#REF!</v>
      </c>
      <c r="IU64" t="e">
        <f>AND('PROG FORMACIÓN TITULADA'!#REF!,"AAAAAA//3f4=")</f>
        <v>#REF!</v>
      </c>
      <c r="IV64" t="e">
        <f>AND('PROG FORMACIÓN TITULADA'!#REF!,"AAAAAA//3f8=")</f>
        <v>#REF!</v>
      </c>
    </row>
    <row r="65" spans="1:256" x14ac:dyDescent="0.2">
      <c r="A65" t="e">
        <f>AND('PROG FORMACIÓN TITULADA'!#REF!,"AAAAAH3/+QA=")</f>
        <v>#REF!</v>
      </c>
      <c r="B65" t="e">
        <f>AND('PROG FORMACIÓN TITULADA'!#REF!,"AAAAAH3/+QE=")</f>
        <v>#REF!</v>
      </c>
      <c r="C65" t="e">
        <f>AND('PROG FORMACIÓN TITULADA'!#REF!,"AAAAAH3/+QI=")</f>
        <v>#REF!</v>
      </c>
      <c r="D65" t="e">
        <f>AND('PROG FORMACIÓN TITULADA'!#REF!,"AAAAAH3/+QM=")</f>
        <v>#REF!</v>
      </c>
      <c r="E65" t="e">
        <f>AND('PROG FORMACIÓN TITULADA'!#REF!,"AAAAAH3/+QQ=")</f>
        <v>#REF!</v>
      </c>
      <c r="F65" t="e">
        <f>AND('PROG FORMACIÓN TITULADA'!#REF!,"AAAAAH3/+QU=")</f>
        <v>#REF!</v>
      </c>
      <c r="G65" t="e">
        <f>AND('PROG FORMACIÓN TITULADA'!#REF!,"AAAAAH3/+QY=")</f>
        <v>#REF!</v>
      </c>
      <c r="H65" t="e">
        <f>AND('PROG FORMACIÓN TITULADA'!#REF!,"AAAAAH3/+Qc=")</f>
        <v>#REF!</v>
      </c>
      <c r="I65" t="e">
        <f>AND('PROG FORMACIÓN TITULADA'!#REF!,"AAAAAH3/+Qg=")</f>
        <v>#REF!</v>
      </c>
      <c r="J65" t="e">
        <f>AND('PROG FORMACIÓN TITULADA'!#REF!,"AAAAAH3/+Qk=")</f>
        <v>#REF!</v>
      </c>
      <c r="K65" t="e">
        <f>AND('PROG FORMACIÓN TITULADA'!#REF!,"AAAAAH3/+Qo=")</f>
        <v>#REF!</v>
      </c>
      <c r="L65" t="e">
        <f>AND('PROG FORMACIÓN TITULADA'!#REF!,"AAAAAH3/+Qs=")</f>
        <v>#REF!</v>
      </c>
      <c r="M65" t="e">
        <f>AND('PROG FORMACIÓN TITULADA'!#REF!,"AAAAAH3/+Qw=")</f>
        <v>#REF!</v>
      </c>
      <c r="N65" t="e">
        <f>AND('PROG FORMACIÓN TITULADA'!#REF!,"AAAAAH3/+Q0=")</f>
        <v>#REF!</v>
      </c>
      <c r="O65" t="e">
        <f>AND('PROG FORMACIÓN TITULADA'!#REF!,"AAAAAH3/+Q4=")</f>
        <v>#REF!</v>
      </c>
      <c r="P65" t="e">
        <f>AND('PROG FORMACIÓN TITULADA'!#REF!,"AAAAAH3/+Q8=")</f>
        <v>#REF!</v>
      </c>
      <c r="Q65" t="e">
        <f>AND('PROG FORMACIÓN TITULADA'!#REF!,"AAAAAH3/+RA=")</f>
        <v>#REF!</v>
      </c>
      <c r="R65" t="e">
        <f>AND('PROG FORMACIÓN TITULADA'!#REF!,"AAAAAH3/+RE=")</f>
        <v>#REF!</v>
      </c>
      <c r="S65" t="e">
        <f>AND('PROG FORMACIÓN TITULADA'!#REF!,"AAAAAH3/+RI=")</f>
        <v>#REF!</v>
      </c>
      <c r="T65" t="e">
        <f>IF('PROG FORMACIÓN TITULADA'!#REF!,"AAAAAH3/+RM=",0)</f>
        <v>#REF!</v>
      </c>
      <c r="U65" t="e">
        <f>AND('PROG FORMACIÓN TITULADA'!#REF!,"AAAAAH3/+RQ=")</f>
        <v>#REF!</v>
      </c>
      <c r="V65" t="e">
        <f>AND('PROG FORMACIÓN TITULADA'!#REF!,"AAAAAH3/+RU=")</f>
        <v>#REF!</v>
      </c>
      <c r="W65" t="e">
        <f>AND('PROG FORMACIÓN TITULADA'!#REF!,"AAAAAH3/+RY=")</f>
        <v>#REF!</v>
      </c>
      <c r="X65" t="e">
        <f>AND('PROG FORMACIÓN TITULADA'!#REF!,"AAAAAH3/+Rc=")</f>
        <v>#REF!</v>
      </c>
      <c r="Y65" t="e">
        <f>AND('PROG FORMACIÓN TITULADA'!#REF!,"AAAAAH3/+Rg=")</f>
        <v>#REF!</v>
      </c>
      <c r="Z65" t="e">
        <f>AND('PROG FORMACIÓN TITULADA'!#REF!,"AAAAAH3/+Rk=")</f>
        <v>#REF!</v>
      </c>
      <c r="AA65" t="e">
        <f>AND('PROG FORMACIÓN TITULADA'!#REF!,"AAAAAH3/+Ro=")</f>
        <v>#REF!</v>
      </c>
      <c r="AB65" t="e">
        <f>AND('PROG FORMACIÓN TITULADA'!#REF!,"AAAAAH3/+Rs=")</f>
        <v>#REF!</v>
      </c>
      <c r="AC65" t="e">
        <f>AND('PROG FORMACIÓN TITULADA'!#REF!,"AAAAAH3/+Rw=")</f>
        <v>#REF!</v>
      </c>
      <c r="AD65" t="e">
        <f>AND('PROG FORMACIÓN TITULADA'!#REF!,"AAAAAH3/+R0=")</f>
        <v>#REF!</v>
      </c>
      <c r="AE65" t="e">
        <f>AND('PROG FORMACIÓN TITULADA'!#REF!,"AAAAAH3/+R4=")</f>
        <v>#REF!</v>
      </c>
      <c r="AF65" t="e">
        <f>AND('PROG FORMACIÓN TITULADA'!#REF!,"AAAAAH3/+R8=")</f>
        <v>#REF!</v>
      </c>
      <c r="AG65" t="e">
        <f>AND('PROG FORMACIÓN TITULADA'!#REF!,"AAAAAH3/+SA=")</f>
        <v>#REF!</v>
      </c>
      <c r="AH65" t="e">
        <f>AND('PROG FORMACIÓN TITULADA'!#REF!,"AAAAAH3/+SE=")</f>
        <v>#REF!</v>
      </c>
      <c r="AI65" t="e">
        <f>AND('PROG FORMACIÓN TITULADA'!#REF!,"AAAAAH3/+SI=")</f>
        <v>#REF!</v>
      </c>
      <c r="AJ65" t="e">
        <f>AND('PROG FORMACIÓN TITULADA'!#REF!,"AAAAAH3/+SM=")</f>
        <v>#REF!</v>
      </c>
      <c r="AK65" t="e">
        <f>AND('PROG FORMACIÓN TITULADA'!#REF!,"AAAAAH3/+SQ=")</f>
        <v>#REF!</v>
      </c>
      <c r="AL65" t="e">
        <f>AND('PROG FORMACIÓN TITULADA'!#REF!,"AAAAAH3/+SU=")</f>
        <v>#REF!</v>
      </c>
      <c r="AM65" t="e">
        <f>AND('PROG FORMACIÓN TITULADA'!#REF!,"AAAAAH3/+SY=")</f>
        <v>#REF!</v>
      </c>
      <c r="AN65" t="e">
        <f>AND('PROG FORMACIÓN TITULADA'!#REF!,"AAAAAH3/+Sc=")</f>
        <v>#REF!</v>
      </c>
      <c r="AO65" t="e">
        <f>AND('PROG FORMACIÓN TITULADA'!#REF!,"AAAAAH3/+Sg=")</f>
        <v>#REF!</v>
      </c>
      <c r="AP65" t="e">
        <f>AND('PROG FORMACIÓN TITULADA'!#REF!,"AAAAAH3/+Sk=")</f>
        <v>#REF!</v>
      </c>
      <c r="AQ65" t="e">
        <f>AND('PROG FORMACIÓN TITULADA'!#REF!,"AAAAAH3/+So=")</f>
        <v>#REF!</v>
      </c>
      <c r="AR65" t="e">
        <f>AND('PROG FORMACIÓN TITULADA'!#REF!,"AAAAAH3/+Ss=")</f>
        <v>#REF!</v>
      </c>
      <c r="AS65" t="e">
        <f>AND('PROG FORMACIÓN TITULADA'!#REF!,"AAAAAH3/+Sw=")</f>
        <v>#REF!</v>
      </c>
      <c r="AT65" t="e">
        <f>AND('PROG FORMACIÓN TITULADA'!#REF!,"AAAAAH3/+S0=")</f>
        <v>#REF!</v>
      </c>
      <c r="AU65" t="e">
        <f>IF('PROG FORMACIÓN TITULADA'!#REF!,"AAAAAH3/+S4=",0)</f>
        <v>#REF!</v>
      </c>
      <c r="AV65" t="e">
        <f>AND('PROG FORMACIÓN TITULADA'!#REF!,"AAAAAH3/+S8=")</f>
        <v>#REF!</v>
      </c>
      <c r="AW65" t="e">
        <f>AND('PROG FORMACIÓN TITULADA'!#REF!,"AAAAAH3/+TA=")</f>
        <v>#REF!</v>
      </c>
      <c r="AX65" t="e">
        <f>AND('PROG FORMACIÓN TITULADA'!#REF!,"AAAAAH3/+TE=")</f>
        <v>#REF!</v>
      </c>
      <c r="AY65" t="e">
        <f>AND('PROG FORMACIÓN TITULADA'!#REF!,"AAAAAH3/+TI=")</f>
        <v>#REF!</v>
      </c>
      <c r="AZ65" t="e">
        <f>AND('PROG FORMACIÓN TITULADA'!#REF!,"AAAAAH3/+TM=")</f>
        <v>#REF!</v>
      </c>
      <c r="BA65" t="e">
        <f>AND('PROG FORMACIÓN TITULADA'!#REF!,"AAAAAH3/+TQ=")</f>
        <v>#REF!</v>
      </c>
      <c r="BB65" t="e">
        <f>AND('PROG FORMACIÓN TITULADA'!#REF!,"AAAAAH3/+TU=")</f>
        <v>#REF!</v>
      </c>
      <c r="BC65" t="e">
        <f>AND('PROG FORMACIÓN TITULADA'!#REF!,"AAAAAH3/+TY=")</f>
        <v>#REF!</v>
      </c>
      <c r="BD65" t="e">
        <f>AND('PROG FORMACIÓN TITULADA'!#REF!,"AAAAAH3/+Tc=")</f>
        <v>#REF!</v>
      </c>
      <c r="BE65" t="e">
        <f>AND('PROG FORMACIÓN TITULADA'!#REF!,"AAAAAH3/+Tg=")</f>
        <v>#REF!</v>
      </c>
      <c r="BF65" t="e">
        <f>AND('PROG FORMACIÓN TITULADA'!#REF!,"AAAAAH3/+Tk=")</f>
        <v>#REF!</v>
      </c>
      <c r="BG65" t="e">
        <f>AND('PROG FORMACIÓN TITULADA'!#REF!,"AAAAAH3/+To=")</f>
        <v>#REF!</v>
      </c>
      <c r="BH65" t="e">
        <f>AND('PROG FORMACIÓN TITULADA'!#REF!,"AAAAAH3/+Ts=")</f>
        <v>#REF!</v>
      </c>
      <c r="BI65" t="e">
        <f>AND('PROG FORMACIÓN TITULADA'!#REF!,"AAAAAH3/+Tw=")</f>
        <v>#REF!</v>
      </c>
      <c r="BJ65" t="e">
        <f>AND('PROG FORMACIÓN TITULADA'!#REF!,"AAAAAH3/+T0=")</f>
        <v>#REF!</v>
      </c>
      <c r="BK65" t="e">
        <f>AND('PROG FORMACIÓN TITULADA'!#REF!,"AAAAAH3/+T4=")</f>
        <v>#REF!</v>
      </c>
      <c r="BL65" t="e">
        <f>AND('PROG FORMACIÓN TITULADA'!#REF!,"AAAAAH3/+T8=")</f>
        <v>#REF!</v>
      </c>
      <c r="BM65" t="e">
        <f>AND('PROG FORMACIÓN TITULADA'!#REF!,"AAAAAH3/+UA=")</f>
        <v>#REF!</v>
      </c>
      <c r="BN65" t="e">
        <f>AND('PROG FORMACIÓN TITULADA'!#REF!,"AAAAAH3/+UE=")</f>
        <v>#REF!</v>
      </c>
      <c r="BO65" t="e">
        <f>AND('PROG FORMACIÓN TITULADA'!#REF!,"AAAAAH3/+UI=")</f>
        <v>#REF!</v>
      </c>
      <c r="BP65" t="e">
        <f>AND('PROG FORMACIÓN TITULADA'!#REF!,"AAAAAH3/+UM=")</f>
        <v>#REF!</v>
      </c>
      <c r="BQ65" t="e">
        <f>AND('PROG FORMACIÓN TITULADA'!#REF!,"AAAAAH3/+UQ=")</f>
        <v>#REF!</v>
      </c>
      <c r="BR65" t="e">
        <f>AND('PROG FORMACIÓN TITULADA'!#REF!,"AAAAAH3/+UU=")</f>
        <v>#REF!</v>
      </c>
      <c r="BS65" t="e">
        <f>AND('PROG FORMACIÓN TITULADA'!#REF!,"AAAAAH3/+UY=")</f>
        <v>#REF!</v>
      </c>
      <c r="BT65" t="e">
        <f>AND('PROG FORMACIÓN TITULADA'!#REF!,"AAAAAH3/+Uc=")</f>
        <v>#REF!</v>
      </c>
      <c r="BU65" t="e">
        <f>AND('PROG FORMACIÓN TITULADA'!#REF!,"AAAAAH3/+Ug=")</f>
        <v>#REF!</v>
      </c>
      <c r="BV65" t="e">
        <f>IF('PROG FORMACIÓN TITULADA'!#REF!,"AAAAAH3/+Uk=",0)</f>
        <v>#REF!</v>
      </c>
      <c r="BW65" t="e">
        <f>AND('PROG FORMACIÓN TITULADA'!#REF!,"AAAAAH3/+Uo=")</f>
        <v>#REF!</v>
      </c>
      <c r="BX65" t="e">
        <f>AND('PROG FORMACIÓN TITULADA'!#REF!,"AAAAAH3/+Us=")</f>
        <v>#REF!</v>
      </c>
      <c r="BY65" t="e">
        <f>AND('PROG FORMACIÓN TITULADA'!#REF!,"AAAAAH3/+Uw=")</f>
        <v>#REF!</v>
      </c>
      <c r="BZ65" t="e">
        <f>AND('PROG FORMACIÓN TITULADA'!#REF!,"AAAAAH3/+U0=")</f>
        <v>#REF!</v>
      </c>
      <c r="CA65" t="e">
        <f>AND('PROG FORMACIÓN TITULADA'!#REF!,"AAAAAH3/+U4=")</f>
        <v>#REF!</v>
      </c>
      <c r="CB65" t="e">
        <f>AND('PROG FORMACIÓN TITULADA'!#REF!,"AAAAAH3/+U8=")</f>
        <v>#REF!</v>
      </c>
      <c r="CC65" t="e">
        <f>AND('PROG FORMACIÓN TITULADA'!#REF!,"AAAAAH3/+VA=")</f>
        <v>#REF!</v>
      </c>
      <c r="CD65" t="e">
        <f>AND('PROG FORMACIÓN TITULADA'!#REF!,"AAAAAH3/+VE=")</f>
        <v>#REF!</v>
      </c>
      <c r="CE65" t="e">
        <f>AND('PROG FORMACIÓN TITULADA'!#REF!,"AAAAAH3/+VI=")</f>
        <v>#REF!</v>
      </c>
      <c r="CF65" t="e">
        <f>AND('PROG FORMACIÓN TITULADA'!#REF!,"AAAAAH3/+VM=")</f>
        <v>#REF!</v>
      </c>
      <c r="CG65" t="e">
        <f>AND('PROG FORMACIÓN TITULADA'!#REF!,"AAAAAH3/+VQ=")</f>
        <v>#REF!</v>
      </c>
      <c r="CH65" t="e">
        <f>AND('PROG FORMACIÓN TITULADA'!#REF!,"AAAAAH3/+VU=")</f>
        <v>#REF!</v>
      </c>
      <c r="CI65" t="e">
        <f>AND('PROG FORMACIÓN TITULADA'!#REF!,"AAAAAH3/+VY=")</f>
        <v>#REF!</v>
      </c>
      <c r="CJ65" t="e">
        <f>AND('PROG FORMACIÓN TITULADA'!#REF!,"AAAAAH3/+Vc=")</f>
        <v>#REF!</v>
      </c>
      <c r="CK65" t="e">
        <f>AND('PROG FORMACIÓN TITULADA'!#REF!,"AAAAAH3/+Vg=")</f>
        <v>#REF!</v>
      </c>
      <c r="CL65" t="e">
        <f>AND('PROG FORMACIÓN TITULADA'!#REF!,"AAAAAH3/+Vk=")</f>
        <v>#REF!</v>
      </c>
      <c r="CM65" t="e">
        <f>AND('PROG FORMACIÓN TITULADA'!#REF!,"AAAAAH3/+Vo=")</f>
        <v>#REF!</v>
      </c>
      <c r="CN65" t="e">
        <f>AND('PROG FORMACIÓN TITULADA'!#REF!,"AAAAAH3/+Vs=")</f>
        <v>#REF!</v>
      </c>
      <c r="CO65" t="e">
        <f>AND('PROG FORMACIÓN TITULADA'!#REF!,"AAAAAH3/+Vw=")</f>
        <v>#REF!</v>
      </c>
      <c r="CP65" t="e">
        <f>AND('PROG FORMACIÓN TITULADA'!#REF!,"AAAAAH3/+V0=")</f>
        <v>#REF!</v>
      </c>
      <c r="CQ65" t="e">
        <f>AND('PROG FORMACIÓN TITULADA'!#REF!,"AAAAAH3/+V4=")</f>
        <v>#REF!</v>
      </c>
      <c r="CR65" t="e">
        <f>AND('PROG FORMACIÓN TITULADA'!#REF!,"AAAAAH3/+V8=")</f>
        <v>#REF!</v>
      </c>
      <c r="CS65" t="e">
        <f>AND('PROG FORMACIÓN TITULADA'!#REF!,"AAAAAH3/+WA=")</f>
        <v>#REF!</v>
      </c>
      <c r="CT65" t="e">
        <f>AND('PROG FORMACIÓN TITULADA'!#REF!,"AAAAAH3/+WE=")</f>
        <v>#REF!</v>
      </c>
      <c r="CU65" t="e">
        <f>AND('PROG FORMACIÓN TITULADA'!#REF!,"AAAAAH3/+WI=")</f>
        <v>#REF!</v>
      </c>
      <c r="CV65" t="e">
        <f>AND('PROG FORMACIÓN TITULADA'!#REF!,"AAAAAH3/+WM=")</f>
        <v>#REF!</v>
      </c>
      <c r="CW65" t="e">
        <f>IF('PROG FORMACIÓN TITULADA'!#REF!,"AAAAAH3/+WQ=",0)</f>
        <v>#REF!</v>
      </c>
      <c r="CX65" t="e">
        <f>AND('PROG FORMACIÓN TITULADA'!#REF!,"AAAAAH3/+WU=")</f>
        <v>#REF!</v>
      </c>
      <c r="CY65" t="e">
        <f>AND('PROG FORMACIÓN TITULADA'!#REF!,"AAAAAH3/+WY=")</f>
        <v>#REF!</v>
      </c>
      <c r="CZ65" t="e">
        <f>AND('PROG FORMACIÓN TITULADA'!#REF!,"AAAAAH3/+Wc=")</f>
        <v>#REF!</v>
      </c>
      <c r="DA65" t="e">
        <f>AND('PROG FORMACIÓN TITULADA'!#REF!,"AAAAAH3/+Wg=")</f>
        <v>#REF!</v>
      </c>
      <c r="DB65" t="e">
        <f>AND('PROG FORMACIÓN TITULADA'!#REF!,"AAAAAH3/+Wk=")</f>
        <v>#REF!</v>
      </c>
      <c r="DC65" t="e">
        <f>AND('PROG FORMACIÓN TITULADA'!#REF!,"AAAAAH3/+Wo=")</f>
        <v>#REF!</v>
      </c>
      <c r="DD65" t="e">
        <f>AND('PROG FORMACIÓN TITULADA'!#REF!,"AAAAAH3/+Ws=")</f>
        <v>#REF!</v>
      </c>
      <c r="DE65" t="e">
        <f>AND('PROG FORMACIÓN TITULADA'!#REF!,"AAAAAH3/+Ww=")</f>
        <v>#REF!</v>
      </c>
      <c r="DF65" t="e">
        <f>AND('PROG FORMACIÓN TITULADA'!#REF!,"AAAAAH3/+W0=")</f>
        <v>#REF!</v>
      </c>
      <c r="DG65" t="e">
        <f>AND('PROG FORMACIÓN TITULADA'!#REF!,"AAAAAH3/+W4=")</f>
        <v>#REF!</v>
      </c>
      <c r="DH65" t="e">
        <f>AND('PROG FORMACIÓN TITULADA'!#REF!,"AAAAAH3/+W8=")</f>
        <v>#REF!</v>
      </c>
      <c r="DI65" t="e">
        <f>AND('PROG FORMACIÓN TITULADA'!#REF!,"AAAAAH3/+XA=")</f>
        <v>#REF!</v>
      </c>
      <c r="DJ65" t="e">
        <f>AND('PROG FORMACIÓN TITULADA'!#REF!,"AAAAAH3/+XE=")</f>
        <v>#REF!</v>
      </c>
      <c r="DK65" t="e">
        <f>AND('PROG FORMACIÓN TITULADA'!#REF!,"AAAAAH3/+XI=")</f>
        <v>#REF!</v>
      </c>
      <c r="DL65" t="e">
        <f>AND('PROG FORMACIÓN TITULADA'!#REF!,"AAAAAH3/+XM=")</f>
        <v>#REF!</v>
      </c>
      <c r="DM65" t="e">
        <f>AND('PROG FORMACIÓN TITULADA'!#REF!,"AAAAAH3/+XQ=")</f>
        <v>#REF!</v>
      </c>
      <c r="DN65" t="e">
        <f>AND('PROG FORMACIÓN TITULADA'!#REF!,"AAAAAH3/+XU=")</f>
        <v>#REF!</v>
      </c>
      <c r="DO65" t="e">
        <f>AND('PROG FORMACIÓN TITULADA'!#REF!,"AAAAAH3/+XY=")</f>
        <v>#REF!</v>
      </c>
      <c r="DP65" t="e">
        <f>AND('PROG FORMACIÓN TITULADA'!#REF!,"AAAAAH3/+Xc=")</f>
        <v>#REF!</v>
      </c>
      <c r="DQ65" t="e">
        <f>AND('PROG FORMACIÓN TITULADA'!#REF!,"AAAAAH3/+Xg=")</f>
        <v>#REF!</v>
      </c>
      <c r="DR65" t="e">
        <f>AND('PROG FORMACIÓN TITULADA'!#REF!,"AAAAAH3/+Xk=")</f>
        <v>#REF!</v>
      </c>
      <c r="DS65" t="e">
        <f>AND('PROG FORMACIÓN TITULADA'!#REF!,"AAAAAH3/+Xo=")</f>
        <v>#REF!</v>
      </c>
      <c r="DT65" t="e">
        <f>AND('PROG FORMACIÓN TITULADA'!#REF!,"AAAAAH3/+Xs=")</f>
        <v>#REF!</v>
      </c>
      <c r="DU65" t="e">
        <f>AND('PROG FORMACIÓN TITULADA'!#REF!,"AAAAAH3/+Xw=")</f>
        <v>#REF!</v>
      </c>
      <c r="DV65" t="e">
        <f>AND('PROG FORMACIÓN TITULADA'!#REF!,"AAAAAH3/+X0=")</f>
        <v>#REF!</v>
      </c>
      <c r="DW65" t="e">
        <f>AND('PROG FORMACIÓN TITULADA'!#REF!,"AAAAAH3/+X4=")</f>
        <v>#REF!</v>
      </c>
      <c r="DX65" t="e">
        <f>IF('PROG FORMACIÓN TITULADA'!#REF!,"AAAAAH3/+X8=",0)</f>
        <v>#REF!</v>
      </c>
      <c r="DY65" t="e">
        <f>AND('PROG FORMACIÓN TITULADA'!#REF!,"AAAAAH3/+YA=")</f>
        <v>#REF!</v>
      </c>
      <c r="DZ65" t="e">
        <f>AND('PROG FORMACIÓN TITULADA'!#REF!,"AAAAAH3/+YE=")</f>
        <v>#REF!</v>
      </c>
      <c r="EA65" t="e">
        <f>AND('PROG FORMACIÓN TITULADA'!#REF!,"AAAAAH3/+YI=")</f>
        <v>#REF!</v>
      </c>
      <c r="EB65" t="e">
        <f>AND('PROG FORMACIÓN TITULADA'!#REF!,"AAAAAH3/+YM=")</f>
        <v>#REF!</v>
      </c>
      <c r="EC65" t="e">
        <f>AND('PROG FORMACIÓN TITULADA'!#REF!,"AAAAAH3/+YQ=")</f>
        <v>#REF!</v>
      </c>
      <c r="ED65" t="e">
        <f>AND('PROG FORMACIÓN TITULADA'!#REF!,"AAAAAH3/+YU=")</f>
        <v>#REF!</v>
      </c>
      <c r="EE65" t="e">
        <f>AND('PROG FORMACIÓN TITULADA'!#REF!,"AAAAAH3/+YY=")</f>
        <v>#REF!</v>
      </c>
      <c r="EF65" t="e">
        <f>AND('PROG FORMACIÓN TITULADA'!#REF!,"AAAAAH3/+Yc=")</f>
        <v>#REF!</v>
      </c>
      <c r="EG65" t="e">
        <f>AND('PROG FORMACIÓN TITULADA'!#REF!,"AAAAAH3/+Yg=")</f>
        <v>#REF!</v>
      </c>
      <c r="EH65" t="e">
        <f>AND('PROG FORMACIÓN TITULADA'!#REF!,"AAAAAH3/+Yk=")</f>
        <v>#REF!</v>
      </c>
      <c r="EI65" t="e">
        <f>AND('PROG FORMACIÓN TITULADA'!#REF!,"AAAAAH3/+Yo=")</f>
        <v>#REF!</v>
      </c>
      <c r="EJ65" t="e">
        <f>AND('PROG FORMACIÓN TITULADA'!#REF!,"AAAAAH3/+Ys=")</f>
        <v>#REF!</v>
      </c>
      <c r="EK65" t="e">
        <f>AND('PROG FORMACIÓN TITULADA'!#REF!,"AAAAAH3/+Yw=")</f>
        <v>#REF!</v>
      </c>
      <c r="EL65" t="e">
        <f>AND('PROG FORMACIÓN TITULADA'!#REF!,"AAAAAH3/+Y0=")</f>
        <v>#REF!</v>
      </c>
      <c r="EM65" t="e">
        <f>AND('PROG FORMACIÓN TITULADA'!#REF!,"AAAAAH3/+Y4=")</f>
        <v>#REF!</v>
      </c>
      <c r="EN65" t="e">
        <f>AND('PROG FORMACIÓN TITULADA'!#REF!,"AAAAAH3/+Y8=")</f>
        <v>#REF!</v>
      </c>
      <c r="EO65" t="e">
        <f>AND('PROG FORMACIÓN TITULADA'!#REF!,"AAAAAH3/+ZA=")</f>
        <v>#REF!</v>
      </c>
      <c r="EP65" t="e">
        <f>AND('PROG FORMACIÓN TITULADA'!#REF!,"AAAAAH3/+ZE=")</f>
        <v>#REF!</v>
      </c>
      <c r="EQ65" t="e">
        <f>AND('PROG FORMACIÓN TITULADA'!#REF!,"AAAAAH3/+ZI=")</f>
        <v>#REF!</v>
      </c>
      <c r="ER65" t="e">
        <f>AND('PROG FORMACIÓN TITULADA'!#REF!,"AAAAAH3/+ZM=")</f>
        <v>#REF!</v>
      </c>
      <c r="ES65" t="e">
        <f>AND('PROG FORMACIÓN TITULADA'!#REF!,"AAAAAH3/+ZQ=")</f>
        <v>#REF!</v>
      </c>
      <c r="ET65" t="e">
        <f>AND('PROG FORMACIÓN TITULADA'!#REF!,"AAAAAH3/+ZU=")</f>
        <v>#REF!</v>
      </c>
      <c r="EU65" t="e">
        <f>AND('PROG FORMACIÓN TITULADA'!#REF!,"AAAAAH3/+ZY=")</f>
        <v>#REF!</v>
      </c>
      <c r="EV65" t="e">
        <f>AND('PROG FORMACIÓN TITULADA'!#REF!,"AAAAAH3/+Zc=")</f>
        <v>#REF!</v>
      </c>
      <c r="EW65" t="e">
        <f>AND('PROG FORMACIÓN TITULADA'!#REF!,"AAAAAH3/+Zg=")</f>
        <v>#REF!</v>
      </c>
      <c r="EX65" t="e">
        <f>AND('PROG FORMACIÓN TITULADA'!#REF!,"AAAAAH3/+Zk=")</f>
        <v>#REF!</v>
      </c>
      <c r="EY65" t="e">
        <f>IF('PROG FORMACIÓN TITULADA'!#REF!,"AAAAAH3/+Zo=",0)</f>
        <v>#REF!</v>
      </c>
      <c r="EZ65" t="e">
        <f>AND('PROG FORMACIÓN TITULADA'!#REF!,"AAAAAH3/+Zs=")</f>
        <v>#REF!</v>
      </c>
      <c r="FA65" t="e">
        <f>AND('PROG FORMACIÓN TITULADA'!#REF!,"AAAAAH3/+Zw=")</f>
        <v>#REF!</v>
      </c>
      <c r="FB65" t="e">
        <f>AND('PROG FORMACIÓN TITULADA'!#REF!,"AAAAAH3/+Z0=")</f>
        <v>#REF!</v>
      </c>
      <c r="FC65" t="e">
        <f>AND('PROG FORMACIÓN TITULADA'!#REF!,"AAAAAH3/+Z4=")</f>
        <v>#REF!</v>
      </c>
      <c r="FD65" t="e">
        <f>AND('PROG FORMACIÓN TITULADA'!#REF!,"AAAAAH3/+Z8=")</f>
        <v>#REF!</v>
      </c>
      <c r="FE65" t="e">
        <f>AND('PROG FORMACIÓN TITULADA'!#REF!,"AAAAAH3/+aA=")</f>
        <v>#REF!</v>
      </c>
      <c r="FF65" t="e">
        <f>AND('PROG FORMACIÓN TITULADA'!#REF!,"AAAAAH3/+aE=")</f>
        <v>#REF!</v>
      </c>
      <c r="FG65" t="e">
        <f>AND('PROG FORMACIÓN TITULADA'!#REF!,"AAAAAH3/+aI=")</f>
        <v>#REF!</v>
      </c>
      <c r="FH65" t="e">
        <f>AND('PROG FORMACIÓN TITULADA'!#REF!,"AAAAAH3/+aM=")</f>
        <v>#REF!</v>
      </c>
      <c r="FI65" t="e">
        <f>AND('PROG FORMACIÓN TITULADA'!#REF!,"AAAAAH3/+aQ=")</f>
        <v>#REF!</v>
      </c>
      <c r="FJ65" t="e">
        <f>AND('PROG FORMACIÓN TITULADA'!#REF!,"AAAAAH3/+aU=")</f>
        <v>#REF!</v>
      </c>
      <c r="FK65" t="e">
        <f>AND('PROG FORMACIÓN TITULADA'!#REF!,"AAAAAH3/+aY=")</f>
        <v>#REF!</v>
      </c>
      <c r="FL65" t="e">
        <f>AND('PROG FORMACIÓN TITULADA'!#REF!,"AAAAAH3/+ac=")</f>
        <v>#REF!</v>
      </c>
      <c r="FM65" t="e">
        <f>AND('PROG FORMACIÓN TITULADA'!#REF!,"AAAAAH3/+ag=")</f>
        <v>#REF!</v>
      </c>
      <c r="FN65" t="e">
        <f>AND('PROG FORMACIÓN TITULADA'!#REF!,"AAAAAH3/+ak=")</f>
        <v>#REF!</v>
      </c>
      <c r="FO65" t="e">
        <f>AND('PROG FORMACIÓN TITULADA'!#REF!,"AAAAAH3/+ao=")</f>
        <v>#REF!</v>
      </c>
      <c r="FP65" t="e">
        <f>AND('PROG FORMACIÓN TITULADA'!#REF!,"AAAAAH3/+as=")</f>
        <v>#REF!</v>
      </c>
      <c r="FQ65" t="e">
        <f>AND('PROG FORMACIÓN TITULADA'!#REF!,"AAAAAH3/+aw=")</f>
        <v>#REF!</v>
      </c>
      <c r="FR65" t="e">
        <f>AND('PROG FORMACIÓN TITULADA'!#REF!,"AAAAAH3/+a0=")</f>
        <v>#REF!</v>
      </c>
      <c r="FS65" t="e">
        <f>AND('PROG FORMACIÓN TITULADA'!#REF!,"AAAAAH3/+a4=")</f>
        <v>#REF!</v>
      </c>
      <c r="FT65" t="e">
        <f>AND('PROG FORMACIÓN TITULADA'!#REF!,"AAAAAH3/+a8=")</f>
        <v>#REF!</v>
      </c>
      <c r="FU65" t="e">
        <f>AND('PROG FORMACIÓN TITULADA'!#REF!,"AAAAAH3/+bA=")</f>
        <v>#REF!</v>
      </c>
      <c r="FV65" t="e">
        <f>AND('PROG FORMACIÓN TITULADA'!#REF!,"AAAAAH3/+bE=")</f>
        <v>#REF!</v>
      </c>
      <c r="FW65" t="e">
        <f>AND('PROG FORMACIÓN TITULADA'!#REF!,"AAAAAH3/+bI=")</f>
        <v>#REF!</v>
      </c>
      <c r="FX65" t="e">
        <f>AND('PROG FORMACIÓN TITULADA'!#REF!,"AAAAAH3/+bM=")</f>
        <v>#REF!</v>
      </c>
      <c r="FY65" t="e">
        <f>AND('PROG FORMACIÓN TITULADA'!#REF!,"AAAAAH3/+bQ=")</f>
        <v>#REF!</v>
      </c>
      <c r="FZ65" t="e">
        <f>IF('PROG FORMACIÓN TITULADA'!#REF!,"AAAAAH3/+bU=",0)</f>
        <v>#REF!</v>
      </c>
      <c r="GA65" t="e">
        <f>AND('PROG FORMACIÓN TITULADA'!#REF!,"AAAAAH3/+bY=")</f>
        <v>#REF!</v>
      </c>
      <c r="GB65" t="e">
        <f>AND('PROG FORMACIÓN TITULADA'!#REF!,"AAAAAH3/+bc=")</f>
        <v>#REF!</v>
      </c>
      <c r="GC65" t="e">
        <f>AND('PROG FORMACIÓN TITULADA'!#REF!,"AAAAAH3/+bg=")</f>
        <v>#REF!</v>
      </c>
      <c r="GD65" t="e">
        <f>AND('PROG FORMACIÓN TITULADA'!#REF!,"AAAAAH3/+bk=")</f>
        <v>#REF!</v>
      </c>
      <c r="GE65" t="e">
        <f>AND('PROG FORMACIÓN TITULADA'!#REF!,"AAAAAH3/+bo=")</f>
        <v>#REF!</v>
      </c>
      <c r="GF65" t="e">
        <f>AND('PROG FORMACIÓN TITULADA'!#REF!,"AAAAAH3/+bs=")</f>
        <v>#REF!</v>
      </c>
      <c r="GG65" t="e">
        <f>AND('PROG FORMACIÓN TITULADA'!#REF!,"AAAAAH3/+bw=")</f>
        <v>#REF!</v>
      </c>
      <c r="GH65" t="e">
        <f>AND('PROG FORMACIÓN TITULADA'!#REF!,"AAAAAH3/+b0=")</f>
        <v>#REF!</v>
      </c>
      <c r="GI65" t="e">
        <f>AND('PROG FORMACIÓN TITULADA'!#REF!,"AAAAAH3/+b4=")</f>
        <v>#REF!</v>
      </c>
      <c r="GJ65" t="e">
        <f>AND('PROG FORMACIÓN TITULADA'!#REF!,"AAAAAH3/+b8=")</f>
        <v>#REF!</v>
      </c>
      <c r="GK65" t="e">
        <f>AND('PROG FORMACIÓN TITULADA'!#REF!,"AAAAAH3/+cA=")</f>
        <v>#REF!</v>
      </c>
      <c r="GL65" t="e">
        <f>AND('PROG FORMACIÓN TITULADA'!#REF!,"AAAAAH3/+cE=")</f>
        <v>#REF!</v>
      </c>
      <c r="GM65" t="e">
        <f>AND('PROG FORMACIÓN TITULADA'!#REF!,"AAAAAH3/+cI=")</f>
        <v>#REF!</v>
      </c>
      <c r="GN65" t="e">
        <f>AND('PROG FORMACIÓN TITULADA'!#REF!,"AAAAAH3/+cM=")</f>
        <v>#REF!</v>
      </c>
      <c r="GO65" t="e">
        <f>AND('PROG FORMACIÓN TITULADA'!#REF!,"AAAAAH3/+cQ=")</f>
        <v>#REF!</v>
      </c>
      <c r="GP65" t="e">
        <f>AND('PROG FORMACIÓN TITULADA'!#REF!,"AAAAAH3/+cU=")</f>
        <v>#REF!</v>
      </c>
      <c r="GQ65" t="e">
        <f>AND('PROG FORMACIÓN TITULADA'!#REF!,"AAAAAH3/+cY=")</f>
        <v>#REF!</v>
      </c>
      <c r="GR65" t="e">
        <f>AND('PROG FORMACIÓN TITULADA'!#REF!,"AAAAAH3/+cc=")</f>
        <v>#REF!</v>
      </c>
      <c r="GS65" t="e">
        <f>AND('PROG FORMACIÓN TITULADA'!#REF!,"AAAAAH3/+cg=")</f>
        <v>#REF!</v>
      </c>
      <c r="GT65" t="e">
        <f>AND('PROG FORMACIÓN TITULADA'!#REF!,"AAAAAH3/+ck=")</f>
        <v>#REF!</v>
      </c>
      <c r="GU65" t="e">
        <f>AND('PROG FORMACIÓN TITULADA'!#REF!,"AAAAAH3/+co=")</f>
        <v>#REF!</v>
      </c>
      <c r="GV65" t="e">
        <f>AND('PROG FORMACIÓN TITULADA'!#REF!,"AAAAAH3/+cs=")</f>
        <v>#REF!</v>
      </c>
      <c r="GW65" t="e">
        <f>AND('PROG FORMACIÓN TITULADA'!#REF!,"AAAAAH3/+cw=")</f>
        <v>#REF!</v>
      </c>
      <c r="GX65" t="e">
        <f>AND('PROG FORMACIÓN TITULADA'!#REF!,"AAAAAH3/+c0=")</f>
        <v>#REF!</v>
      </c>
      <c r="GY65" t="e">
        <f>AND('PROG FORMACIÓN TITULADA'!#REF!,"AAAAAH3/+c4=")</f>
        <v>#REF!</v>
      </c>
      <c r="GZ65" t="e">
        <f>AND('PROG FORMACIÓN TITULADA'!#REF!,"AAAAAH3/+c8=")</f>
        <v>#REF!</v>
      </c>
      <c r="HA65" t="e">
        <f>IF('PROG FORMACIÓN TITULADA'!#REF!,"AAAAAH3/+dA=",0)</f>
        <v>#REF!</v>
      </c>
      <c r="HB65" t="e">
        <f>AND('PROG FORMACIÓN TITULADA'!#REF!,"AAAAAH3/+dE=")</f>
        <v>#REF!</v>
      </c>
      <c r="HC65" t="e">
        <f>AND('PROG FORMACIÓN TITULADA'!#REF!,"AAAAAH3/+dI=")</f>
        <v>#REF!</v>
      </c>
      <c r="HD65" t="e">
        <f>AND('PROG FORMACIÓN TITULADA'!#REF!,"AAAAAH3/+dM=")</f>
        <v>#REF!</v>
      </c>
      <c r="HE65" t="e">
        <f>AND('PROG FORMACIÓN TITULADA'!#REF!,"AAAAAH3/+dQ=")</f>
        <v>#REF!</v>
      </c>
      <c r="HF65" t="e">
        <f>AND('PROG FORMACIÓN TITULADA'!#REF!,"AAAAAH3/+dU=")</f>
        <v>#REF!</v>
      </c>
      <c r="HG65" t="e">
        <f>AND('PROG FORMACIÓN TITULADA'!#REF!,"AAAAAH3/+dY=")</f>
        <v>#REF!</v>
      </c>
      <c r="HH65" t="e">
        <f>AND('PROG FORMACIÓN TITULADA'!#REF!,"AAAAAH3/+dc=")</f>
        <v>#REF!</v>
      </c>
      <c r="HI65" t="e">
        <f>AND('PROG FORMACIÓN TITULADA'!#REF!,"AAAAAH3/+dg=")</f>
        <v>#REF!</v>
      </c>
      <c r="HJ65" t="e">
        <f>AND('PROG FORMACIÓN TITULADA'!#REF!,"AAAAAH3/+dk=")</f>
        <v>#REF!</v>
      </c>
      <c r="HK65" t="e">
        <f>AND('PROG FORMACIÓN TITULADA'!#REF!,"AAAAAH3/+do=")</f>
        <v>#REF!</v>
      </c>
      <c r="HL65" t="e">
        <f>AND('PROG FORMACIÓN TITULADA'!#REF!,"AAAAAH3/+ds=")</f>
        <v>#REF!</v>
      </c>
      <c r="HM65" t="e">
        <f>AND('PROG FORMACIÓN TITULADA'!#REF!,"AAAAAH3/+dw=")</f>
        <v>#REF!</v>
      </c>
      <c r="HN65" t="e">
        <f>AND('PROG FORMACIÓN TITULADA'!#REF!,"AAAAAH3/+d0=")</f>
        <v>#REF!</v>
      </c>
      <c r="HO65" t="e">
        <f>AND('PROG FORMACIÓN TITULADA'!#REF!,"AAAAAH3/+d4=")</f>
        <v>#REF!</v>
      </c>
      <c r="HP65" t="e">
        <f>AND('PROG FORMACIÓN TITULADA'!#REF!,"AAAAAH3/+d8=")</f>
        <v>#REF!</v>
      </c>
      <c r="HQ65" t="e">
        <f>AND('PROG FORMACIÓN TITULADA'!#REF!,"AAAAAH3/+eA=")</f>
        <v>#REF!</v>
      </c>
      <c r="HR65" t="e">
        <f>AND('PROG FORMACIÓN TITULADA'!#REF!,"AAAAAH3/+eE=")</f>
        <v>#REF!</v>
      </c>
      <c r="HS65" t="e">
        <f>AND('PROG FORMACIÓN TITULADA'!#REF!,"AAAAAH3/+eI=")</f>
        <v>#REF!</v>
      </c>
      <c r="HT65" t="e">
        <f>AND('PROG FORMACIÓN TITULADA'!#REF!,"AAAAAH3/+eM=")</f>
        <v>#REF!</v>
      </c>
      <c r="HU65" t="e">
        <f>AND('PROG FORMACIÓN TITULADA'!#REF!,"AAAAAH3/+eQ=")</f>
        <v>#REF!</v>
      </c>
      <c r="HV65" t="e">
        <f>AND('PROG FORMACIÓN TITULADA'!#REF!,"AAAAAH3/+eU=")</f>
        <v>#REF!</v>
      </c>
      <c r="HW65" t="e">
        <f>AND('PROG FORMACIÓN TITULADA'!#REF!,"AAAAAH3/+eY=")</f>
        <v>#REF!</v>
      </c>
      <c r="HX65" t="e">
        <f>AND('PROG FORMACIÓN TITULADA'!#REF!,"AAAAAH3/+ec=")</f>
        <v>#REF!</v>
      </c>
      <c r="HY65" t="e">
        <f>AND('PROG FORMACIÓN TITULADA'!#REF!,"AAAAAH3/+eg=")</f>
        <v>#REF!</v>
      </c>
      <c r="HZ65" t="e">
        <f>AND('PROG FORMACIÓN TITULADA'!#REF!,"AAAAAH3/+ek=")</f>
        <v>#REF!</v>
      </c>
      <c r="IA65" t="e">
        <f>AND('PROG FORMACIÓN TITULADA'!#REF!,"AAAAAH3/+eo=")</f>
        <v>#REF!</v>
      </c>
      <c r="IB65" t="e">
        <f>IF('PROG FORMACIÓN TITULADA'!#REF!,"AAAAAH3/+es=",0)</f>
        <v>#REF!</v>
      </c>
      <c r="IC65" t="e">
        <f>AND('PROG FORMACIÓN TITULADA'!#REF!,"AAAAAH3/+ew=")</f>
        <v>#REF!</v>
      </c>
      <c r="ID65" t="e">
        <f>AND('PROG FORMACIÓN TITULADA'!#REF!,"AAAAAH3/+e0=")</f>
        <v>#REF!</v>
      </c>
      <c r="IE65" t="e">
        <f>AND('PROG FORMACIÓN TITULADA'!#REF!,"AAAAAH3/+e4=")</f>
        <v>#REF!</v>
      </c>
      <c r="IF65" t="e">
        <f>AND('PROG FORMACIÓN TITULADA'!#REF!,"AAAAAH3/+e8=")</f>
        <v>#REF!</v>
      </c>
      <c r="IG65" t="e">
        <f>AND('PROG FORMACIÓN TITULADA'!#REF!,"AAAAAH3/+fA=")</f>
        <v>#REF!</v>
      </c>
      <c r="IH65" t="e">
        <f>AND('PROG FORMACIÓN TITULADA'!#REF!,"AAAAAH3/+fE=")</f>
        <v>#REF!</v>
      </c>
      <c r="II65" t="e">
        <f>AND('PROG FORMACIÓN TITULADA'!#REF!,"AAAAAH3/+fI=")</f>
        <v>#REF!</v>
      </c>
      <c r="IJ65" t="e">
        <f>AND('PROG FORMACIÓN TITULADA'!#REF!,"AAAAAH3/+fM=")</f>
        <v>#REF!</v>
      </c>
      <c r="IK65" t="e">
        <f>AND('PROG FORMACIÓN TITULADA'!#REF!,"AAAAAH3/+fQ=")</f>
        <v>#REF!</v>
      </c>
      <c r="IL65" t="e">
        <f>AND('PROG FORMACIÓN TITULADA'!#REF!,"AAAAAH3/+fU=")</f>
        <v>#REF!</v>
      </c>
      <c r="IM65" t="e">
        <f>AND('PROG FORMACIÓN TITULADA'!#REF!,"AAAAAH3/+fY=")</f>
        <v>#REF!</v>
      </c>
      <c r="IN65" t="e">
        <f>AND('PROG FORMACIÓN TITULADA'!#REF!,"AAAAAH3/+fc=")</f>
        <v>#REF!</v>
      </c>
      <c r="IO65" t="e">
        <f>AND('PROG FORMACIÓN TITULADA'!#REF!,"AAAAAH3/+fg=")</f>
        <v>#REF!</v>
      </c>
      <c r="IP65" t="e">
        <f>AND('PROG FORMACIÓN TITULADA'!#REF!,"AAAAAH3/+fk=")</f>
        <v>#REF!</v>
      </c>
      <c r="IQ65" t="e">
        <f>AND('PROG FORMACIÓN TITULADA'!#REF!,"AAAAAH3/+fo=")</f>
        <v>#REF!</v>
      </c>
      <c r="IR65" t="e">
        <f>AND('PROG FORMACIÓN TITULADA'!#REF!,"AAAAAH3/+fs=")</f>
        <v>#REF!</v>
      </c>
      <c r="IS65" t="e">
        <f>AND('PROG FORMACIÓN TITULADA'!#REF!,"AAAAAH3/+fw=")</f>
        <v>#REF!</v>
      </c>
      <c r="IT65" t="e">
        <f>AND('PROG FORMACIÓN TITULADA'!#REF!,"AAAAAH3/+f0=")</f>
        <v>#REF!</v>
      </c>
      <c r="IU65" t="e">
        <f>AND('PROG FORMACIÓN TITULADA'!#REF!,"AAAAAH3/+f4=")</f>
        <v>#REF!</v>
      </c>
      <c r="IV65" t="e">
        <f>AND('PROG FORMACIÓN TITULADA'!#REF!,"AAAAAH3/+f8=")</f>
        <v>#REF!</v>
      </c>
    </row>
    <row r="66" spans="1:256" x14ac:dyDescent="0.2">
      <c r="A66" t="e">
        <f>AND('PROG FORMACIÓN TITULADA'!#REF!,"AAAAAH/8fwA=")</f>
        <v>#REF!</v>
      </c>
      <c r="B66" t="e">
        <f>AND('PROG FORMACIÓN TITULADA'!#REF!,"AAAAAH/8fwE=")</f>
        <v>#REF!</v>
      </c>
      <c r="C66" t="e">
        <f>AND('PROG FORMACIÓN TITULADA'!#REF!,"AAAAAH/8fwI=")</f>
        <v>#REF!</v>
      </c>
      <c r="D66" t="e">
        <f>AND('PROG FORMACIÓN TITULADA'!#REF!,"AAAAAH/8fwM=")</f>
        <v>#REF!</v>
      </c>
      <c r="E66" t="e">
        <f>AND('PROG FORMACIÓN TITULADA'!#REF!,"AAAAAH/8fwQ=")</f>
        <v>#REF!</v>
      </c>
      <c r="F66" t="e">
        <f>AND('PROG FORMACIÓN TITULADA'!#REF!,"AAAAAH/8fwU=")</f>
        <v>#REF!</v>
      </c>
      <c r="G66" t="e">
        <f>IF('PROG FORMACIÓN TITULADA'!#REF!,"AAAAAH/8fwY=",0)</f>
        <v>#REF!</v>
      </c>
      <c r="H66" t="e">
        <f>AND('PROG FORMACIÓN TITULADA'!#REF!,"AAAAAH/8fwc=")</f>
        <v>#REF!</v>
      </c>
      <c r="I66" t="e">
        <f>AND('PROG FORMACIÓN TITULADA'!#REF!,"AAAAAH/8fwg=")</f>
        <v>#REF!</v>
      </c>
      <c r="J66" t="e">
        <f>AND('PROG FORMACIÓN TITULADA'!#REF!,"AAAAAH/8fwk=")</f>
        <v>#REF!</v>
      </c>
      <c r="K66" t="e">
        <f>AND('PROG FORMACIÓN TITULADA'!#REF!,"AAAAAH/8fwo=")</f>
        <v>#REF!</v>
      </c>
      <c r="L66" t="e">
        <f>AND('PROG FORMACIÓN TITULADA'!#REF!,"AAAAAH/8fws=")</f>
        <v>#REF!</v>
      </c>
      <c r="M66" t="e">
        <f>AND('PROG FORMACIÓN TITULADA'!#REF!,"AAAAAH/8fww=")</f>
        <v>#REF!</v>
      </c>
      <c r="N66" t="e">
        <f>AND('PROG FORMACIÓN TITULADA'!#REF!,"AAAAAH/8fw0=")</f>
        <v>#REF!</v>
      </c>
      <c r="O66" t="e">
        <f>AND('PROG FORMACIÓN TITULADA'!#REF!,"AAAAAH/8fw4=")</f>
        <v>#REF!</v>
      </c>
      <c r="P66" t="e">
        <f>AND('PROG FORMACIÓN TITULADA'!#REF!,"AAAAAH/8fw8=")</f>
        <v>#REF!</v>
      </c>
      <c r="Q66" t="e">
        <f>AND('PROG FORMACIÓN TITULADA'!#REF!,"AAAAAH/8fxA=")</f>
        <v>#REF!</v>
      </c>
      <c r="R66" t="e">
        <f>AND('PROG FORMACIÓN TITULADA'!#REF!,"AAAAAH/8fxE=")</f>
        <v>#REF!</v>
      </c>
      <c r="S66" t="e">
        <f>AND('PROG FORMACIÓN TITULADA'!#REF!,"AAAAAH/8fxI=")</f>
        <v>#REF!</v>
      </c>
      <c r="T66" t="e">
        <f>AND('PROG FORMACIÓN TITULADA'!#REF!,"AAAAAH/8fxM=")</f>
        <v>#REF!</v>
      </c>
      <c r="U66" t="e">
        <f>AND('PROG FORMACIÓN TITULADA'!#REF!,"AAAAAH/8fxQ=")</f>
        <v>#REF!</v>
      </c>
      <c r="V66" t="e">
        <f>AND('PROG FORMACIÓN TITULADA'!#REF!,"AAAAAH/8fxU=")</f>
        <v>#REF!</v>
      </c>
      <c r="W66" t="e">
        <f>AND('PROG FORMACIÓN TITULADA'!#REF!,"AAAAAH/8fxY=")</f>
        <v>#REF!</v>
      </c>
      <c r="X66" t="e">
        <f>AND('PROG FORMACIÓN TITULADA'!#REF!,"AAAAAH/8fxc=")</f>
        <v>#REF!</v>
      </c>
      <c r="Y66" t="e">
        <f>AND('PROG FORMACIÓN TITULADA'!#REF!,"AAAAAH/8fxg=")</f>
        <v>#REF!</v>
      </c>
      <c r="Z66" t="e">
        <f>AND('PROG FORMACIÓN TITULADA'!#REF!,"AAAAAH/8fxk=")</f>
        <v>#REF!</v>
      </c>
      <c r="AA66" t="e">
        <f>AND('PROG FORMACIÓN TITULADA'!#REF!,"AAAAAH/8fxo=")</f>
        <v>#REF!</v>
      </c>
      <c r="AB66" t="e">
        <f>AND('PROG FORMACIÓN TITULADA'!#REF!,"AAAAAH/8fxs=")</f>
        <v>#REF!</v>
      </c>
      <c r="AC66" t="e">
        <f>AND('PROG FORMACIÓN TITULADA'!#REF!,"AAAAAH/8fxw=")</f>
        <v>#REF!</v>
      </c>
      <c r="AD66" t="e">
        <f>AND('PROG FORMACIÓN TITULADA'!#REF!,"AAAAAH/8fx0=")</f>
        <v>#REF!</v>
      </c>
      <c r="AE66" t="e">
        <f>AND('PROG FORMACIÓN TITULADA'!#REF!,"AAAAAH/8fx4=")</f>
        <v>#REF!</v>
      </c>
      <c r="AF66" t="e">
        <f>AND('PROG FORMACIÓN TITULADA'!#REF!,"AAAAAH/8fx8=")</f>
        <v>#REF!</v>
      </c>
      <c r="AG66" t="e">
        <f>AND('PROG FORMACIÓN TITULADA'!#REF!,"AAAAAH/8fyA=")</f>
        <v>#REF!</v>
      </c>
      <c r="AH66" t="e">
        <f>IF('PROG FORMACIÓN TITULADA'!#REF!,"AAAAAH/8fyE=",0)</f>
        <v>#REF!</v>
      </c>
      <c r="AI66" t="e">
        <f>AND('PROG FORMACIÓN TITULADA'!#REF!,"AAAAAH/8fyI=")</f>
        <v>#REF!</v>
      </c>
      <c r="AJ66" t="e">
        <f>AND('PROG FORMACIÓN TITULADA'!#REF!,"AAAAAH/8fyM=")</f>
        <v>#REF!</v>
      </c>
      <c r="AK66" t="e">
        <f>AND('PROG FORMACIÓN TITULADA'!#REF!,"AAAAAH/8fyQ=")</f>
        <v>#REF!</v>
      </c>
      <c r="AL66" t="e">
        <f>AND('PROG FORMACIÓN TITULADA'!#REF!,"AAAAAH/8fyU=")</f>
        <v>#REF!</v>
      </c>
      <c r="AM66" t="e">
        <f>AND('PROG FORMACIÓN TITULADA'!#REF!,"AAAAAH/8fyY=")</f>
        <v>#REF!</v>
      </c>
      <c r="AN66" t="e">
        <f>AND('PROG FORMACIÓN TITULADA'!#REF!,"AAAAAH/8fyc=")</f>
        <v>#REF!</v>
      </c>
      <c r="AO66" t="e">
        <f>AND('PROG FORMACIÓN TITULADA'!#REF!,"AAAAAH/8fyg=")</f>
        <v>#REF!</v>
      </c>
      <c r="AP66" t="e">
        <f>AND('PROG FORMACIÓN TITULADA'!#REF!,"AAAAAH/8fyk=")</f>
        <v>#REF!</v>
      </c>
      <c r="AQ66" t="e">
        <f>AND('PROG FORMACIÓN TITULADA'!#REF!,"AAAAAH/8fyo=")</f>
        <v>#REF!</v>
      </c>
      <c r="AR66" t="e">
        <f>AND('PROG FORMACIÓN TITULADA'!#REF!,"AAAAAH/8fys=")</f>
        <v>#REF!</v>
      </c>
      <c r="AS66" t="e">
        <f>AND('PROG FORMACIÓN TITULADA'!#REF!,"AAAAAH/8fyw=")</f>
        <v>#REF!</v>
      </c>
      <c r="AT66" t="e">
        <f>AND('PROG FORMACIÓN TITULADA'!#REF!,"AAAAAH/8fy0=")</f>
        <v>#REF!</v>
      </c>
      <c r="AU66" t="e">
        <f>AND('PROG FORMACIÓN TITULADA'!#REF!,"AAAAAH/8fy4=")</f>
        <v>#REF!</v>
      </c>
      <c r="AV66" t="e">
        <f>AND('PROG FORMACIÓN TITULADA'!#REF!,"AAAAAH/8fy8=")</f>
        <v>#REF!</v>
      </c>
      <c r="AW66" t="e">
        <f>AND('PROG FORMACIÓN TITULADA'!#REF!,"AAAAAH/8fzA=")</f>
        <v>#REF!</v>
      </c>
      <c r="AX66" t="e">
        <f>AND('PROG FORMACIÓN TITULADA'!#REF!,"AAAAAH/8fzE=")</f>
        <v>#REF!</v>
      </c>
      <c r="AY66" t="e">
        <f>AND('PROG FORMACIÓN TITULADA'!#REF!,"AAAAAH/8fzI=")</f>
        <v>#REF!</v>
      </c>
      <c r="AZ66" t="e">
        <f>AND('PROG FORMACIÓN TITULADA'!#REF!,"AAAAAH/8fzM=")</f>
        <v>#REF!</v>
      </c>
      <c r="BA66" t="e">
        <f>AND('PROG FORMACIÓN TITULADA'!#REF!,"AAAAAH/8fzQ=")</f>
        <v>#REF!</v>
      </c>
      <c r="BB66" t="e">
        <f>AND('PROG FORMACIÓN TITULADA'!#REF!,"AAAAAH/8fzU=")</f>
        <v>#REF!</v>
      </c>
      <c r="BC66" t="e">
        <f>AND('PROG FORMACIÓN TITULADA'!#REF!,"AAAAAH/8fzY=")</f>
        <v>#REF!</v>
      </c>
      <c r="BD66" t="e">
        <f>AND('PROG FORMACIÓN TITULADA'!#REF!,"AAAAAH/8fzc=")</f>
        <v>#REF!</v>
      </c>
      <c r="BE66" t="e">
        <f>AND('PROG FORMACIÓN TITULADA'!#REF!,"AAAAAH/8fzg=")</f>
        <v>#REF!</v>
      </c>
      <c r="BF66" t="e">
        <f>AND('PROG FORMACIÓN TITULADA'!#REF!,"AAAAAH/8fzk=")</f>
        <v>#REF!</v>
      </c>
      <c r="BG66" t="e">
        <f>AND('PROG FORMACIÓN TITULADA'!#REF!,"AAAAAH/8fzo=")</f>
        <v>#REF!</v>
      </c>
      <c r="BH66" t="e">
        <f>AND('PROG FORMACIÓN TITULADA'!#REF!,"AAAAAH/8fzs=")</f>
        <v>#REF!</v>
      </c>
      <c r="BI66" t="e">
        <f>IF('PROG FORMACIÓN TITULADA'!#REF!,"AAAAAH/8fzw=",0)</f>
        <v>#REF!</v>
      </c>
      <c r="BJ66" t="e">
        <f>AND('PROG FORMACIÓN TITULADA'!#REF!,"AAAAAH/8fz0=")</f>
        <v>#REF!</v>
      </c>
      <c r="BK66" t="e">
        <f>AND('PROG FORMACIÓN TITULADA'!#REF!,"AAAAAH/8fz4=")</f>
        <v>#REF!</v>
      </c>
      <c r="BL66" t="e">
        <f>AND('PROG FORMACIÓN TITULADA'!#REF!,"AAAAAH/8fz8=")</f>
        <v>#REF!</v>
      </c>
      <c r="BM66" t="e">
        <f>AND('PROG FORMACIÓN TITULADA'!#REF!,"AAAAAH/8f0A=")</f>
        <v>#REF!</v>
      </c>
      <c r="BN66" t="e">
        <f>AND('PROG FORMACIÓN TITULADA'!#REF!,"AAAAAH/8f0E=")</f>
        <v>#REF!</v>
      </c>
      <c r="BO66" t="e">
        <f>AND('PROG FORMACIÓN TITULADA'!#REF!,"AAAAAH/8f0I=")</f>
        <v>#REF!</v>
      </c>
      <c r="BP66" t="e">
        <f>AND('PROG FORMACIÓN TITULADA'!#REF!,"AAAAAH/8f0M=")</f>
        <v>#REF!</v>
      </c>
      <c r="BQ66" t="e">
        <f>AND('PROG FORMACIÓN TITULADA'!#REF!,"AAAAAH/8f0Q=")</f>
        <v>#REF!</v>
      </c>
      <c r="BR66" t="e">
        <f>AND('PROG FORMACIÓN TITULADA'!#REF!,"AAAAAH/8f0U=")</f>
        <v>#REF!</v>
      </c>
      <c r="BS66" t="e">
        <f>AND('PROG FORMACIÓN TITULADA'!#REF!,"AAAAAH/8f0Y=")</f>
        <v>#REF!</v>
      </c>
      <c r="BT66" t="e">
        <f>AND('PROG FORMACIÓN TITULADA'!#REF!,"AAAAAH/8f0c=")</f>
        <v>#REF!</v>
      </c>
      <c r="BU66" t="e">
        <f>AND('PROG FORMACIÓN TITULADA'!#REF!,"AAAAAH/8f0g=")</f>
        <v>#REF!</v>
      </c>
      <c r="BV66" t="e">
        <f>AND('PROG FORMACIÓN TITULADA'!#REF!,"AAAAAH/8f0k=")</f>
        <v>#REF!</v>
      </c>
      <c r="BW66" t="e">
        <f>AND('PROG FORMACIÓN TITULADA'!#REF!,"AAAAAH/8f0o=")</f>
        <v>#REF!</v>
      </c>
      <c r="BX66" t="e">
        <f>AND('PROG FORMACIÓN TITULADA'!#REF!,"AAAAAH/8f0s=")</f>
        <v>#REF!</v>
      </c>
      <c r="BY66" t="e">
        <f>AND('PROG FORMACIÓN TITULADA'!#REF!,"AAAAAH/8f0w=")</f>
        <v>#REF!</v>
      </c>
      <c r="BZ66" t="e">
        <f>AND('PROG FORMACIÓN TITULADA'!#REF!,"AAAAAH/8f00=")</f>
        <v>#REF!</v>
      </c>
      <c r="CA66" t="e">
        <f>AND('PROG FORMACIÓN TITULADA'!#REF!,"AAAAAH/8f04=")</f>
        <v>#REF!</v>
      </c>
      <c r="CB66" t="e">
        <f>AND('PROG FORMACIÓN TITULADA'!#REF!,"AAAAAH/8f08=")</f>
        <v>#REF!</v>
      </c>
      <c r="CC66" t="e">
        <f>AND('PROG FORMACIÓN TITULADA'!#REF!,"AAAAAH/8f1A=")</f>
        <v>#REF!</v>
      </c>
      <c r="CD66" t="e">
        <f>AND('PROG FORMACIÓN TITULADA'!#REF!,"AAAAAH/8f1E=")</f>
        <v>#REF!</v>
      </c>
      <c r="CE66" t="e">
        <f>AND('PROG FORMACIÓN TITULADA'!#REF!,"AAAAAH/8f1I=")</f>
        <v>#REF!</v>
      </c>
      <c r="CF66" t="e">
        <f>AND('PROG FORMACIÓN TITULADA'!#REF!,"AAAAAH/8f1M=")</f>
        <v>#REF!</v>
      </c>
      <c r="CG66" t="e">
        <f>AND('PROG FORMACIÓN TITULADA'!#REF!,"AAAAAH/8f1Q=")</f>
        <v>#REF!</v>
      </c>
      <c r="CH66" t="e">
        <f>AND('PROG FORMACIÓN TITULADA'!#REF!,"AAAAAH/8f1U=")</f>
        <v>#REF!</v>
      </c>
      <c r="CI66" t="e">
        <f>AND('PROG FORMACIÓN TITULADA'!#REF!,"AAAAAH/8f1Y=")</f>
        <v>#REF!</v>
      </c>
      <c r="CJ66" t="e">
        <f>IF('PROG FORMACIÓN TITULADA'!#REF!,"AAAAAH/8f1c=",0)</f>
        <v>#REF!</v>
      </c>
      <c r="CK66" t="e">
        <f>AND('PROG FORMACIÓN TITULADA'!#REF!,"AAAAAH/8f1g=")</f>
        <v>#REF!</v>
      </c>
      <c r="CL66" t="e">
        <f>AND('PROG FORMACIÓN TITULADA'!#REF!,"AAAAAH/8f1k=")</f>
        <v>#REF!</v>
      </c>
      <c r="CM66" t="e">
        <f>AND('PROG FORMACIÓN TITULADA'!#REF!,"AAAAAH/8f1o=")</f>
        <v>#REF!</v>
      </c>
      <c r="CN66" t="e">
        <f>AND('PROG FORMACIÓN TITULADA'!#REF!,"AAAAAH/8f1s=")</f>
        <v>#REF!</v>
      </c>
      <c r="CO66" t="e">
        <f>AND('PROG FORMACIÓN TITULADA'!#REF!,"AAAAAH/8f1w=")</f>
        <v>#REF!</v>
      </c>
      <c r="CP66" t="e">
        <f>AND('PROG FORMACIÓN TITULADA'!#REF!,"AAAAAH/8f10=")</f>
        <v>#REF!</v>
      </c>
      <c r="CQ66" t="e">
        <f>AND('PROG FORMACIÓN TITULADA'!#REF!,"AAAAAH/8f14=")</f>
        <v>#REF!</v>
      </c>
      <c r="CR66" t="e">
        <f>AND('PROG FORMACIÓN TITULADA'!#REF!,"AAAAAH/8f18=")</f>
        <v>#REF!</v>
      </c>
      <c r="CS66" t="e">
        <f>AND('PROG FORMACIÓN TITULADA'!#REF!,"AAAAAH/8f2A=")</f>
        <v>#REF!</v>
      </c>
      <c r="CT66" t="e">
        <f>AND('PROG FORMACIÓN TITULADA'!#REF!,"AAAAAH/8f2E=")</f>
        <v>#REF!</v>
      </c>
      <c r="CU66" t="e">
        <f>AND('PROG FORMACIÓN TITULADA'!#REF!,"AAAAAH/8f2I=")</f>
        <v>#REF!</v>
      </c>
      <c r="CV66" t="e">
        <f>AND('PROG FORMACIÓN TITULADA'!#REF!,"AAAAAH/8f2M=")</f>
        <v>#REF!</v>
      </c>
      <c r="CW66" t="e">
        <f>AND('PROG FORMACIÓN TITULADA'!#REF!,"AAAAAH/8f2Q=")</f>
        <v>#REF!</v>
      </c>
      <c r="CX66" t="e">
        <f>AND('PROG FORMACIÓN TITULADA'!#REF!,"AAAAAH/8f2U=")</f>
        <v>#REF!</v>
      </c>
      <c r="CY66" t="e">
        <f>AND('PROG FORMACIÓN TITULADA'!#REF!,"AAAAAH/8f2Y=")</f>
        <v>#REF!</v>
      </c>
      <c r="CZ66" t="e">
        <f>AND('PROG FORMACIÓN TITULADA'!#REF!,"AAAAAH/8f2c=")</f>
        <v>#REF!</v>
      </c>
      <c r="DA66" t="e">
        <f>AND('PROG FORMACIÓN TITULADA'!#REF!,"AAAAAH/8f2g=")</f>
        <v>#REF!</v>
      </c>
      <c r="DB66" t="e">
        <f>AND('PROG FORMACIÓN TITULADA'!#REF!,"AAAAAH/8f2k=")</f>
        <v>#REF!</v>
      </c>
      <c r="DC66" t="e">
        <f>AND('PROG FORMACIÓN TITULADA'!#REF!,"AAAAAH/8f2o=")</f>
        <v>#REF!</v>
      </c>
      <c r="DD66" t="e">
        <f>AND('PROG FORMACIÓN TITULADA'!#REF!,"AAAAAH/8f2s=")</f>
        <v>#REF!</v>
      </c>
      <c r="DE66" t="e">
        <f>AND('PROG FORMACIÓN TITULADA'!#REF!,"AAAAAH/8f2w=")</f>
        <v>#REF!</v>
      </c>
      <c r="DF66" t="e">
        <f>AND('PROG FORMACIÓN TITULADA'!#REF!,"AAAAAH/8f20=")</f>
        <v>#REF!</v>
      </c>
      <c r="DG66" t="e">
        <f>AND('PROG FORMACIÓN TITULADA'!#REF!,"AAAAAH/8f24=")</f>
        <v>#REF!</v>
      </c>
      <c r="DH66" t="e">
        <f>AND('PROG FORMACIÓN TITULADA'!#REF!,"AAAAAH/8f28=")</f>
        <v>#REF!</v>
      </c>
      <c r="DI66" t="e">
        <f>AND('PROG FORMACIÓN TITULADA'!#REF!,"AAAAAH/8f3A=")</f>
        <v>#REF!</v>
      </c>
      <c r="DJ66" t="e">
        <f>AND('PROG FORMACIÓN TITULADA'!#REF!,"AAAAAH/8f3E=")</f>
        <v>#REF!</v>
      </c>
      <c r="DK66" t="e">
        <f>IF('PROG FORMACIÓN TITULADA'!#REF!,"AAAAAH/8f3I=",0)</f>
        <v>#REF!</v>
      </c>
      <c r="DL66" t="e">
        <f>AND('PROG FORMACIÓN TITULADA'!#REF!,"AAAAAH/8f3M=")</f>
        <v>#REF!</v>
      </c>
      <c r="DM66" t="e">
        <f>AND('PROG FORMACIÓN TITULADA'!#REF!,"AAAAAH/8f3Q=")</f>
        <v>#REF!</v>
      </c>
      <c r="DN66" t="e">
        <f>AND('PROG FORMACIÓN TITULADA'!#REF!,"AAAAAH/8f3U=")</f>
        <v>#REF!</v>
      </c>
      <c r="DO66" t="e">
        <f>AND('PROG FORMACIÓN TITULADA'!#REF!,"AAAAAH/8f3Y=")</f>
        <v>#REF!</v>
      </c>
      <c r="DP66" t="e">
        <f>AND('PROG FORMACIÓN TITULADA'!#REF!,"AAAAAH/8f3c=")</f>
        <v>#REF!</v>
      </c>
      <c r="DQ66" t="e">
        <f>AND('PROG FORMACIÓN TITULADA'!#REF!,"AAAAAH/8f3g=")</f>
        <v>#REF!</v>
      </c>
      <c r="DR66" t="e">
        <f>AND('PROG FORMACIÓN TITULADA'!#REF!,"AAAAAH/8f3k=")</f>
        <v>#REF!</v>
      </c>
      <c r="DS66" t="e">
        <f>AND('PROG FORMACIÓN TITULADA'!#REF!,"AAAAAH/8f3o=")</f>
        <v>#REF!</v>
      </c>
      <c r="DT66" t="e">
        <f>AND('PROG FORMACIÓN TITULADA'!#REF!,"AAAAAH/8f3s=")</f>
        <v>#REF!</v>
      </c>
      <c r="DU66" t="e">
        <f>AND('PROG FORMACIÓN TITULADA'!#REF!,"AAAAAH/8f3w=")</f>
        <v>#REF!</v>
      </c>
      <c r="DV66" t="e">
        <f>AND('PROG FORMACIÓN TITULADA'!#REF!,"AAAAAH/8f30=")</f>
        <v>#REF!</v>
      </c>
      <c r="DW66" t="e">
        <f>AND('PROG FORMACIÓN TITULADA'!#REF!,"AAAAAH/8f34=")</f>
        <v>#REF!</v>
      </c>
      <c r="DX66" t="e">
        <f>AND('PROG FORMACIÓN TITULADA'!#REF!,"AAAAAH/8f38=")</f>
        <v>#REF!</v>
      </c>
      <c r="DY66" t="e">
        <f>AND('PROG FORMACIÓN TITULADA'!#REF!,"AAAAAH/8f4A=")</f>
        <v>#REF!</v>
      </c>
      <c r="DZ66" t="e">
        <f>AND('PROG FORMACIÓN TITULADA'!#REF!,"AAAAAH/8f4E=")</f>
        <v>#REF!</v>
      </c>
      <c r="EA66" t="e">
        <f>AND('PROG FORMACIÓN TITULADA'!#REF!,"AAAAAH/8f4I=")</f>
        <v>#REF!</v>
      </c>
      <c r="EB66" t="e">
        <f>AND('PROG FORMACIÓN TITULADA'!#REF!,"AAAAAH/8f4M=")</f>
        <v>#REF!</v>
      </c>
      <c r="EC66" t="e">
        <f>AND('PROG FORMACIÓN TITULADA'!#REF!,"AAAAAH/8f4Q=")</f>
        <v>#REF!</v>
      </c>
      <c r="ED66" t="e">
        <f>AND('PROG FORMACIÓN TITULADA'!#REF!,"AAAAAH/8f4U=")</f>
        <v>#REF!</v>
      </c>
      <c r="EE66" t="e">
        <f>AND('PROG FORMACIÓN TITULADA'!#REF!,"AAAAAH/8f4Y=")</f>
        <v>#REF!</v>
      </c>
      <c r="EF66" t="e">
        <f>AND('PROG FORMACIÓN TITULADA'!#REF!,"AAAAAH/8f4c=")</f>
        <v>#REF!</v>
      </c>
      <c r="EG66" t="e">
        <f>AND('PROG FORMACIÓN TITULADA'!#REF!,"AAAAAH/8f4g=")</f>
        <v>#REF!</v>
      </c>
      <c r="EH66" t="e">
        <f>AND('PROG FORMACIÓN TITULADA'!#REF!,"AAAAAH/8f4k=")</f>
        <v>#REF!</v>
      </c>
      <c r="EI66" t="e">
        <f>AND('PROG FORMACIÓN TITULADA'!#REF!,"AAAAAH/8f4o=")</f>
        <v>#REF!</v>
      </c>
      <c r="EJ66" t="e">
        <f>AND('PROG FORMACIÓN TITULADA'!#REF!,"AAAAAH/8f4s=")</f>
        <v>#REF!</v>
      </c>
      <c r="EK66" t="e">
        <f>AND('PROG FORMACIÓN TITULADA'!#REF!,"AAAAAH/8f4w=")</f>
        <v>#REF!</v>
      </c>
      <c r="EL66" t="e">
        <f>IF('PROG FORMACIÓN TITULADA'!#REF!,"AAAAAH/8f40=",0)</f>
        <v>#REF!</v>
      </c>
      <c r="EM66" t="e">
        <f>AND('PROG FORMACIÓN TITULADA'!#REF!,"AAAAAH/8f44=")</f>
        <v>#REF!</v>
      </c>
      <c r="EN66" t="e">
        <f>AND('PROG FORMACIÓN TITULADA'!#REF!,"AAAAAH/8f48=")</f>
        <v>#REF!</v>
      </c>
      <c r="EO66" t="e">
        <f>AND('PROG FORMACIÓN TITULADA'!#REF!,"AAAAAH/8f5A=")</f>
        <v>#REF!</v>
      </c>
      <c r="EP66" t="e">
        <f>AND('PROG FORMACIÓN TITULADA'!#REF!,"AAAAAH/8f5E=")</f>
        <v>#REF!</v>
      </c>
      <c r="EQ66" t="e">
        <f>AND('PROG FORMACIÓN TITULADA'!#REF!,"AAAAAH/8f5I=")</f>
        <v>#REF!</v>
      </c>
      <c r="ER66" t="e">
        <f>AND('PROG FORMACIÓN TITULADA'!#REF!,"AAAAAH/8f5M=")</f>
        <v>#REF!</v>
      </c>
      <c r="ES66" t="e">
        <f>AND('PROG FORMACIÓN TITULADA'!#REF!,"AAAAAH/8f5Q=")</f>
        <v>#REF!</v>
      </c>
      <c r="ET66" t="e">
        <f>AND('PROG FORMACIÓN TITULADA'!#REF!,"AAAAAH/8f5U=")</f>
        <v>#REF!</v>
      </c>
      <c r="EU66" t="e">
        <f>AND('PROG FORMACIÓN TITULADA'!#REF!,"AAAAAH/8f5Y=")</f>
        <v>#REF!</v>
      </c>
      <c r="EV66" t="e">
        <f>AND('PROG FORMACIÓN TITULADA'!#REF!,"AAAAAH/8f5c=")</f>
        <v>#REF!</v>
      </c>
      <c r="EW66" t="e">
        <f>AND('PROG FORMACIÓN TITULADA'!#REF!,"AAAAAH/8f5g=")</f>
        <v>#REF!</v>
      </c>
      <c r="EX66" t="e">
        <f>AND('PROG FORMACIÓN TITULADA'!#REF!,"AAAAAH/8f5k=")</f>
        <v>#REF!</v>
      </c>
      <c r="EY66" t="e">
        <f>AND('PROG FORMACIÓN TITULADA'!#REF!,"AAAAAH/8f5o=")</f>
        <v>#REF!</v>
      </c>
      <c r="EZ66" t="e">
        <f>AND('PROG FORMACIÓN TITULADA'!#REF!,"AAAAAH/8f5s=")</f>
        <v>#REF!</v>
      </c>
      <c r="FA66" t="e">
        <f>AND('PROG FORMACIÓN TITULADA'!#REF!,"AAAAAH/8f5w=")</f>
        <v>#REF!</v>
      </c>
      <c r="FB66" t="e">
        <f>AND('PROG FORMACIÓN TITULADA'!#REF!,"AAAAAH/8f50=")</f>
        <v>#REF!</v>
      </c>
      <c r="FC66" t="e">
        <f>AND('PROG FORMACIÓN TITULADA'!#REF!,"AAAAAH/8f54=")</f>
        <v>#REF!</v>
      </c>
      <c r="FD66" t="e">
        <f>AND('PROG FORMACIÓN TITULADA'!#REF!,"AAAAAH/8f58=")</f>
        <v>#REF!</v>
      </c>
      <c r="FE66" t="e">
        <f>AND('PROG FORMACIÓN TITULADA'!#REF!,"AAAAAH/8f6A=")</f>
        <v>#REF!</v>
      </c>
      <c r="FF66" t="e">
        <f>AND('PROG FORMACIÓN TITULADA'!#REF!,"AAAAAH/8f6E=")</f>
        <v>#REF!</v>
      </c>
      <c r="FG66" t="e">
        <f>AND('PROG FORMACIÓN TITULADA'!#REF!,"AAAAAH/8f6I=")</f>
        <v>#REF!</v>
      </c>
      <c r="FH66" t="e">
        <f>AND('PROG FORMACIÓN TITULADA'!#REF!,"AAAAAH/8f6M=")</f>
        <v>#REF!</v>
      </c>
      <c r="FI66" t="e">
        <f>AND('PROG FORMACIÓN TITULADA'!#REF!,"AAAAAH/8f6Q=")</f>
        <v>#REF!</v>
      </c>
      <c r="FJ66" t="e">
        <f>AND('PROG FORMACIÓN TITULADA'!#REF!,"AAAAAH/8f6U=")</f>
        <v>#REF!</v>
      </c>
      <c r="FK66" t="e">
        <f>AND('PROG FORMACIÓN TITULADA'!#REF!,"AAAAAH/8f6Y=")</f>
        <v>#REF!</v>
      </c>
      <c r="FL66" t="e">
        <f>AND('PROG FORMACIÓN TITULADA'!#REF!,"AAAAAH/8f6c=")</f>
        <v>#REF!</v>
      </c>
      <c r="FM66" t="e">
        <f>IF('PROG FORMACIÓN TITULADA'!#REF!,"AAAAAH/8f6g=",0)</f>
        <v>#REF!</v>
      </c>
      <c r="FN66" t="e">
        <f>AND('PROG FORMACIÓN TITULADA'!#REF!,"AAAAAH/8f6k=")</f>
        <v>#REF!</v>
      </c>
      <c r="FO66" t="e">
        <f>AND('PROG FORMACIÓN TITULADA'!#REF!,"AAAAAH/8f6o=")</f>
        <v>#REF!</v>
      </c>
      <c r="FP66" t="e">
        <f>AND('PROG FORMACIÓN TITULADA'!#REF!,"AAAAAH/8f6s=")</f>
        <v>#REF!</v>
      </c>
      <c r="FQ66" t="e">
        <f>AND('PROG FORMACIÓN TITULADA'!#REF!,"AAAAAH/8f6w=")</f>
        <v>#REF!</v>
      </c>
      <c r="FR66" t="e">
        <f>AND('PROG FORMACIÓN TITULADA'!#REF!,"AAAAAH/8f60=")</f>
        <v>#REF!</v>
      </c>
      <c r="FS66" t="e">
        <f>AND('PROG FORMACIÓN TITULADA'!#REF!,"AAAAAH/8f64=")</f>
        <v>#REF!</v>
      </c>
      <c r="FT66" t="e">
        <f>AND('PROG FORMACIÓN TITULADA'!#REF!,"AAAAAH/8f68=")</f>
        <v>#REF!</v>
      </c>
      <c r="FU66" t="e">
        <f>AND('PROG FORMACIÓN TITULADA'!#REF!,"AAAAAH/8f7A=")</f>
        <v>#REF!</v>
      </c>
      <c r="FV66" t="e">
        <f>AND('PROG FORMACIÓN TITULADA'!#REF!,"AAAAAH/8f7E=")</f>
        <v>#REF!</v>
      </c>
      <c r="FW66" t="e">
        <f>AND('PROG FORMACIÓN TITULADA'!#REF!,"AAAAAH/8f7I=")</f>
        <v>#REF!</v>
      </c>
      <c r="FX66" t="e">
        <f>AND('PROG FORMACIÓN TITULADA'!#REF!,"AAAAAH/8f7M=")</f>
        <v>#REF!</v>
      </c>
      <c r="FY66" t="e">
        <f>AND('PROG FORMACIÓN TITULADA'!#REF!,"AAAAAH/8f7Q=")</f>
        <v>#REF!</v>
      </c>
      <c r="FZ66" t="e">
        <f>AND('PROG FORMACIÓN TITULADA'!#REF!,"AAAAAH/8f7U=")</f>
        <v>#REF!</v>
      </c>
      <c r="GA66" t="e">
        <f>AND('PROG FORMACIÓN TITULADA'!#REF!,"AAAAAH/8f7Y=")</f>
        <v>#REF!</v>
      </c>
      <c r="GB66" t="e">
        <f>AND('PROG FORMACIÓN TITULADA'!#REF!,"AAAAAH/8f7c=")</f>
        <v>#REF!</v>
      </c>
      <c r="GC66" t="e">
        <f>AND('PROG FORMACIÓN TITULADA'!#REF!,"AAAAAH/8f7g=")</f>
        <v>#REF!</v>
      </c>
      <c r="GD66" t="e">
        <f>AND('PROG FORMACIÓN TITULADA'!#REF!,"AAAAAH/8f7k=")</f>
        <v>#REF!</v>
      </c>
      <c r="GE66" t="e">
        <f>AND('PROG FORMACIÓN TITULADA'!#REF!,"AAAAAH/8f7o=")</f>
        <v>#REF!</v>
      </c>
      <c r="GF66" t="e">
        <f>AND('PROG FORMACIÓN TITULADA'!#REF!,"AAAAAH/8f7s=")</f>
        <v>#REF!</v>
      </c>
      <c r="GG66" t="e">
        <f>AND('PROG FORMACIÓN TITULADA'!#REF!,"AAAAAH/8f7w=")</f>
        <v>#REF!</v>
      </c>
      <c r="GH66" t="e">
        <f>AND('PROG FORMACIÓN TITULADA'!#REF!,"AAAAAH/8f70=")</f>
        <v>#REF!</v>
      </c>
      <c r="GI66" t="e">
        <f>AND('PROG FORMACIÓN TITULADA'!#REF!,"AAAAAH/8f74=")</f>
        <v>#REF!</v>
      </c>
      <c r="GJ66" t="e">
        <f>AND('PROG FORMACIÓN TITULADA'!#REF!,"AAAAAH/8f78=")</f>
        <v>#REF!</v>
      </c>
      <c r="GK66" t="e">
        <f>AND('PROG FORMACIÓN TITULADA'!#REF!,"AAAAAH/8f8A=")</f>
        <v>#REF!</v>
      </c>
      <c r="GL66" t="e">
        <f>AND('PROG FORMACIÓN TITULADA'!#REF!,"AAAAAH/8f8E=")</f>
        <v>#REF!</v>
      </c>
      <c r="GM66" t="e">
        <f>AND('PROG FORMACIÓN TITULADA'!#REF!,"AAAAAH/8f8I=")</f>
        <v>#REF!</v>
      </c>
      <c r="GN66" t="e">
        <f>IF('PROG FORMACIÓN TITULADA'!#REF!,"AAAAAH/8f8M=",0)</f>
        <v>#REF!</v>
      </c>
      <c r="GO66" t="e">
        <f>AND('PROG FORMACIÓN TITULADA'!#REF!,"AAAAAH/8f8Q=")</f>
        <v>#REF!</v>
      </c>
      <c r="GP66" t="e">
        <f>AND('PROG FORMACIÓN TITULADA'!#REF!,"AAAAAH/8f8U=")</f>
        <v>#REF!</v>
      </c>
      <c r="GQ66" t="e">
        <f>AND('PROG FORMACIÓN TITULADA'!#REF!,"AAAAAH/8f8Y=")</f>
        <v>#REF!</v>
      </c>
      <c r="GR66" t="e">
        <f>AND('PROG FORMACIÓN TITULADA'!#REF!,"AAAAAH/8f8c=")</f>
        <v>#REF!</v>
      </c>
      <c r="GS66" t="e">
        <f>AND('PROG FORMACIÓN TITULADA'!#REF!,"AAAAAH/8f8g=")</f>
        <v>#REF!</v>
      </c>
      <c r="GT66" t="e">
        <f>AND('PROG FORMACIÓN TITULADA'!#REF!,"AAAAAH/8f8k=")</f>
        <v>#REF!</v>
      </c>
      <c r="GU66" t="e">
        <f>AND('PROG FORMACIÓN TITULADA'!#REF!,"AAAAAH/8f8o=")</f>
        <v>#REF!</v>
      </c>
      <c r="GV66" t="e">
        <f>AND('PROG FORMACIÓN TITULADA'!#REF!,"AAAAAH/8f8s=")</f>
        <v>#REF!</v>
      </c>
      <c r="GW66" t="e">
        <f>AND('PROG FORMACIÓN TITULADA'!#REF!,"AAAAAH/8f8w=")</f>
        <v>#REF!</v>
      </c>
      <c r="GX66" t="e">
        <f>AND('PROG FORMACIÓN TITULADA'!#REF!,"AAAAAH/8f80=")</f>
        <v>#REF!</v>
      </c>
      <c r="GY66" t="e">
        <f>AND('PROG FORMACIÓN TITULADA'!#REF!,"AAAAAH/8f84=")</f>
        <v>#REF!</v>
      </c>
      <c r="GZ66" t="e">
        <f>AND('PROG FORMACIÓN TITULADA'!#REF!,"AAAAAH/8f88=")</f>
        <v>#REF!</v>
      </c>
      <c r="HA66" t="e">
        <f>AND('PROG FORMACIÓN TITULADA'!#REF!,"AAAAAH/8f9A=")</f>
        <v>#REF!</v>
      </c>
      <c r="HB66" t="e">
        <f>AND('PROG FORMACIÓN TITULADA'!#REF!,"AAAAAH/8f9E=")</f>
        <v>#REF!</v>
      </c>
      <c r="HC66" t="e">
        <f>AND('PROG FORMACIÓN TITULADA'!#REF!,"AAAAAH/8f9I=")</f>
        <v>#REF!</v>
      </c>
      <c r="HD66" t="e">
        <f>AND('PROG FORMACIÓN TITULADA'!#REF!,"AAAAAH/8f9M=")</f>
        <v>#REF!</v>
      </c>
      <c r="HE66" t="e">
        <f>AND('PROG FORMACIÓN TITULADA'!#REF!,"AAAAAH/8f9Q=")</f>
        <v>#REF!</v>
      </c>
      <c r="HF66" t="e">
        <f>AND('PROG FORMACIÓN TITULADA'!#REF!,"AAAAAH/8f9U=")</f>
        <v>#REF!</v>
      </c>
      <c r="HG66" t="e">
        <f>AND('PROG FORMACIÓN TITULADA'!#REF!,"AAAAAH/8f9Y=")</f>
        <v>#REF!</v>
      </c>
      <c r="HH66" t="e">
        <f>AND('PROG FORMACIÓN TITULADA'!#REF!,"AAAAAH/8f9c=")</f>
        <v>#REF!</v>
      </c>
      <c r="HI66" t="e">
        <f>AND('PROG FORMACIÓN TITULADA'!#REF!,"AAAAAH/8f9g=")</f>
        <v>#REF!</v>
      </c>
      <c r="HJ66" t="e">
        <f>AND('PROG FORMACIÓN TITULADA'!#REF!,"AAAAAH/8f9k=")</f>
        <v>#REF!</v>
      </c>
      <c r="HK66" t="e">
        <f>AND('PROG FORMACIÓN TITULADA'!#REF!,"AAAAAH/8f9o=")</f>
        <v>#REF!</v>
      </c>
      <c r="HL66" t="e">
        <f>AND('PROG FORMACIÓN TITULADA'!#REF!,"AAAAAH/8f9s=")</f>
        <v>#REF!</v>
      </c>
      <c r="HM66" t="e">
        <f>AND('PROG FORMACIÓN TITULADA'!#REF!,"AAAAAH/8f9w=")</f>
        <v>#REF!</v>
      </c>
      <c r="HN66" t="e">
        <f>AND('PROG FORMACIÓN TITULADA'!#REF!,"AAAAAH/8f90=")</f>
        <v>#REF!</v>
      </c>
      <c r="HO66" t="e">
        <f>IF('PROG FORMACIÓN TITULADA'!#REF!,"AAAAAH/8f94=",0)</f>
        <v>#REF!</v>
      </c>
      <c r="HP66" t="e">
        <f>AND('PROG FORMACIÓN TITULADA'!#REF!,"AAAAAH/8f98=")</f>
        <v>#REF!</v>
      </c>
      <c r="HQ66" t="e">
        <f>AND('PROG FORMACIÓN TITULADA'!#REF!,"AAAAAH/8f+A=")</f>
        <v>#REF!</v>
      </c>
      <c r="HR66" t="e">
        <f>AND('PROG FORMACIÓN TITULADA'!#REF!,"AAAAAH/8f+E=")</f>
        <v>#REF!</v>
      </c>
      <c r="HS66" t="e">
        <f>AND('PROG FORMACIÓN TITULADA'!#REF!,"AAAAAH/8f+I=")</f>
        <v>#REF!</v>
      </c>
      <c r="HT66" t="e">
        <f>AND('PROG FORMACIÓN TITULADA'!#REF!,"AAAAAH/8f+M=")</f>
        <v>#REF!</v>
      </c>
      <c r="HU66" t="e">
        <f>AND('PROG FORMACIÓN TITULADA'!#REF!,"AAAAAH/8f+Q=")</f>
        <v>#REF!</v>
      </c>
      <c r="HV66" t="e">
        <f>AND('PROG FORMACIÓN TITULADA'!#REF!,"AAAAAH/8f+U=")</f>
        <v>#REF!</v>
      </c>
      <c r="HW66" t="e">
        <f>AND('PROG FORMACIÓN TITULADA'!#REF!,"AAAAAH/8f+Y=")</f>
        <v>#REF!</v>
      </c>
      <c r="HX66" t="e">
        <f>AND('PROG FORMACIÓN TITULADA'!#REF!,"AAAAAH/8f+c=")</f>
        <v>#REF!</v>
      </c>
      <c r="HY66" t="e">
        <f>AND('PROG FORMACIÓN TITULADA'!#REF!,"AAAAAH/8f+g=")</f>
        <v>#REF!</v>
      </c>
      <c r="HZ66" t="e">
        <f>AND('PROG FORMACIÓN TITULADA'!#REF!,"AAAAAH/8f+k=")</f>
        <v>#REF!</v>
      </c>
      <c r="IA66" t="e">
        <f>AND('PROG FORMACIÓN TITULADA'!#REF!,"AAAAAH/8f+o=")</f>
        <v>#REF!</v>
      </c>
      <c r="IB66" t="e">
        <f>AND('PROG FORMACIÓN TITULADA'!#REF!,"AAAAAH/8f+s=")</f>
        <v>#REF!</v>
      </c>
      <c r="IC66" t="e">
        <f>AND('PROG FORMACIÓN TITULADA'!#REF!,"AAAAAH/8f+w=")</f>
        <v>#REF!</v>
      </c>
      <c r="ID66" t="e">
        <f>AND('PROG FORMACIÓN TITULADA'!#REF!,"AAAAAH/8f+0=")</f>
        <v>#REF!</v>
      </c>
      <c r="IE66" t="e">
        <f>AND('PROG FORMACIÓN TITULADA'!#REF!,"AAAAAH/8f+4=")</f>
        <v>#REF!</v>
      </c>
      <c r="IF66" t="e">
        <f>AND('PROG FORMACIÓN TITULADA'!#REF!,"AAAAAH/8f+8=")</f>
        <v>#REF!</v>
      </c>
      <c r="IG66" t="e">
        <f>AND('PROG FORMACIÓN TITULADA'!#REF!,"AAAAAH/8f/A=")</f>
        <v>#REF!</v>
      </c>
      <c r="IH66" t="e">
        <f>AND('PROG FORMACIÓN TITULADA'!#REF!,"AAAAAH/8f/E=")</f>
        <v>#REF!</v>
      </c>
      <c r="II66" t="e">
        <f>AND('PROG FORMACIÓN TITULADA'!#REF!,"AAAAAH/8f/I=")</f>
        <v>#REF!</v>
      </c>
      <c r="IJ66" t="e">
        <f>AND('PROG FORMACIÓN TITULADA'!#REF!,"AAAAAH/8f/M=")</f>
        <v>#REF!</v>
      </c>
      <c r="IK66" t="e">
        <f>AND('PROG FORMACIÓN TITULADA'!#REF!,"AAAAAH/8f/Q=")</f>
        <v>#REF!</v>
      </c>
      <c r="IL66" t="e">
        <f>AND('PROG FORMACIÓN TITULADA'!#REF!,"AAAAAH/8f/U=")</f>
        <v>#REF!</v>
      </c>
      <c r="IM66" t="e">
        <f>AND('PROG FORMACIÓN TITULADA'!#REF!,"AAAAAH/8f/Y=")</f>
        <v>#REF!</v>
      </c>
      <c r="IN66" t="e">
        <f>AND('PROG FORMACIÓN TITULADA'!#REF!,"AAAAAH/8f/c=")</f>
        <v>#REF!</v>
      </c>
      <c r="IO66" t="e">
        <f>AND('PROG FORMACIÓN TITULADA'!#REF!,"AAAAAH/8f/g=")</f>
        <v>#REF!</v>
      </c>
      <c r="IP66" t="e">
        <f>IF('PROG FORMACIÓN TITULADA'!#REF!,"AAAAAH/8f/k=",0)</f>
        <v>#REF!</v>
      </c>
      <c r="IQ66" t="e">
        <f>AND('PROG FORMACIÓN TITULADA'!#REF!,"AAAAAH/8f/o=")</f>
        <v>#REF!</v>
      </c>
      <c r="IR66" t="e">
        <f>AND('PROG FORMACIÓN TITULADA'!#REF!,"AAAAAH/8f/s=")</f>
        <v>#REF!</v>
      </c>
      <c r="IS66" t="e">
        <f>AND('PROG FORMACIÓN TITULADA'!#REF!,"AAAAAH/8f/w=")</f>
        <v>#REF!</v>
      </c>
      <c r="IT66" t="e">
        <f>AND('PROG FORMACIÓN TITULADA'!#REF!,"AAAAAH/8f/0=")</f>
        <v>#REF!</v>
      </c>
      <c r="IU66" t="e">
        <f>AND('PROG FORMACIÓN TITULADA'!#REF!,"AAAAAH/8f/4=")</f>
        <v>#REF!</v>
      </c>
      <c r="IV66" t="e">
        <f>AND('PROG FORMACIÓN TITULADA'!#REF!,"AAAAAH/8f/8=")</f>
        <v>#REF!</v>
      </c>
    </row>
    <row r="67" spans="1:256" x14ac:dyDescent="0.2">
      <c r="A67" t="e">
        <f>AND('PROG FORMACIÓN TITULADA'!#REF!,"AAAAAB3/7wA=")</f>
        <v>#REF!</v>
      </c>
      <c r="B67" t="e">
        <f>AND('PROG FORMACIÓN TITULADA'!#REF!,"AAAAAB3/7wE=")</f>
        <v>#REF!</v>
      </c>
      <c r="C67" t="e">
        <f>AND('PROG FORMACIÓN TITULADA'!#REF!,"AAAAAB3/7wI=")</f>
        <v>#REF!</v>
      </c>
      <c r="D67" t="e">
        <f>AND('PROG FORMACIÓN TITULADA'!#REF!,"AAAAAB3/7wM=")</f>
        <v>#REF!</v>
      </c>
      <c r="E67" t="e">
        <f>AND('PROG FORMACIÓN TITULADA'!#REF!,"AAAAAB3/7wQ=")</f>
        <v>#REF!</v>
      </c>
      <c r="F67" t="e">
        <f>AND('PROG FORMACIÓN TITULADA'!#REF!,"AAAAAB3/7wU=")</f>
        <v>#REF!</v>
      </c>
      <c r="G67" t="e">
        <f>AND('PROG FORMACIÓN TITULADA'!#REF!,"AAAAAB3/7wY=")</f>
        <v>#REF!</v>
      </c>
      <c r="H67" t="e">
        <f>AND('PROG FORMACIÓN TITULADA'!#REF!,"AAAAAB3/7wc=")</f>
        <v>#REF!</v>
      </c>
      <c r="I67" t="e">
        <f>AND('PROG FORMACIÓN TITULADA'!#REF!,"AAAAAB3/7wg=")</f>
        <v>#REF!</v>
      </c>
      <c r="J67" t="e">
        <f>AND('PROG FORMACIÓN TITULADA'!#REF!,"AAAAAB3/7wk=")</f>
        <v>#REF!</v>
      </c>
      <c r="K67" t="e">
        <f>AND('PROG FORMACIÓN TITULADA'!#REF!,"AAAAAB3/7wo=")</f>
        <v>#REF!</v>
      </c>
      <c r="L67" t="e">
        <f>AND('PROG FORMACIÓN TITULADA'!#REF!,"AAAAAB3/7ws=")</f>
        <v>#REF!</v>
      </c>
      <c r="M67" t="e">
        <f>AND('PROG FORMACIÓN TITULADA'!#REF!,"AAAAAB3/7ww=")</f>
        <v>#REF!</v>
      </c>
      <c r="N67" t="e">
        <f>AND('PROG FORMACIÓN TITULADA'!#REF!,"AAAAAB3/7w0=")</f>
        <v>#REF!</v>
      </c>
      <c r="O67" t="e">
        <f>AND('PROG FORMACIÓN TITULADA'!#REF!,"AAAAAB3/7w4=")</f>
        <v>#REF!</v>
      </c>
      <c r="P67" t="e">
        <f>AND('PROG FORMACIÓN TITULADA'!#REF!,"AAAAAB3/7w8=")</f>
        <v>#REF!</v>
      </c>
      <c r="Q67" t="e">
        <f>AND('PROG FORMACIÓN TITULADA'!#REF!,"AAAAAB3/7xA=")</f>
        <v>#REF!</v>
      </c>
      <c r="R67" t="e">
        <f>AND('PROG FORMACIÓN TITULADA'!#REF!,"AAAAAB3/7xE=")</f>
        <v>#REF!</v>
      </c>
      <c r="S67" t="e">
        <f>AND('PROG FORMACIÓN TITULADA'!#REF!,"AAAAAB3/7xI=")</f>
        <v>#REF!</v>
      </c>
      <c r="T67" t="e">
        <f>AND('PROG FORMACIÓN TITULADA'!#REF!,"AAAAAB3/7xM=")</f>
        <v>#REF!</v>
      </c>
      <c r="U67" t="e">
        <f>IF('PROG FORMACIÓN TITULADA'!#REF!,"AAAAAB3/7xQ=",0)</f>
        <v>#REF!</v>
      </c>
      <c r="V67" t="e">
        <f>AND('PROG FORMACIÓN TITULADA'!#REF!,"AAAAAB3/7xU=")</f>
        <v>#REF!</v>
      </c>
      <c r="W67" t="e">
        <f>AND('PROG FORMACIÓN TITULADA'!#REF!,"AAAAAB3/7xY=")</f>
        <v>#REF!</v>
      </c>
      <c r="X67" t="e">
        <f>AND('PROG FORMACIÓN TITULADA'!#REF!,"AAAAAB3/7xc=")</f>
        <v>#REF!</v>
      </c>
      <c r="Y67" t="e">
        <f>AND('PROG FORMACIÓN TITULADA'!#REF!,"AAAAAB3/7xg=")</f>
        <v>#REF!</v>
      </c>
      <c r="Z67" t="e">
        <f>AND('PROG FORMACIÓN TITULADA'!#REF!,"AAAAAB3/7xk=")</f>
        <v>#REF!</v>
      </c>
      <c r="AA67" t="e">
        <f>AND('PROG FORMACIÓN TITULADA'!#REF!,"AAAAAB3/7xo=")</f>
        <v>#REF!</v>
      </c>
      <c r="AB67" t="e">
        <f>AND('PROG FORMACIÓN TITULADA'!#REF!,"AAAAAB3/7xs=")</f>
        <v>#REF!</v>
      </c>
      <c r="AC67" t="e">
        <f>AND('PROG FORMACIÓN TITULADA'!#REF!,"AAAAAB3/7xw=")</f>
        <v>#REF!</v>
      </c>
      <c r="AD67" t="e">
        <f>AND('PROG FORMACIÓN TITULADA'!#REF!,"AAAAAB3/7x0=")</f>
        <v>#REF!</v>
      </c>
      <c r="AE67" t="e">
        <f>AND('PROG FORMACIÓN TITULADA'!#REF!,"AAAAAB3/7x4=")</f>
        <v>#REF!</v>
      </c>
      <c r="AF67" t="e">
        <f>AND('PROG FORMACIÓN TITULADA'!#REF!,"AAAAAB3/7x8=")</f>
        <v>#REF!</v>
      </c>
      <c r="AG67" t="e">
        <f>AND('PROG FORMACIÓN TITULADA'!#REF!,"AAAAAB3/7yA=")</f>
        <v>#REF!</v>
      </c>
      <c r="AH67" t="e">
        <f>AND('PROG FORMACIÓN TITULADA'!#REF!,"AAAAAB3/7yE=")</f>
        <v>#REF!</v>
      </c>
      <c r="AI67" t="e">
        <f>AND('PROG FORMACIÓN TITULADA'!#REF!,"AAAAAB3/7yI=")</f>
        <v>#REF!</v>
      </c>
      <c r="AJ67" t="e">
        <f>AND('PROG FORMACIÓN TITULADA'!#REF!,"AAAAAB3/7yM=")</f>
        <v>#REF!</v>
      </c>
      <c r="AK67" t="e">
        <f>AND('PROG FORMACIÓN TITULADA'!#REF!,"AAAAAB3/7yQ=")</f>
        <v>#REF!</v>
      </c>
      <c r="AL67" t="e">
        <f>AND('PROG FORMACIÓN TITULADA'!#REF!,"AAAAAB3/7yU=")</f>
        <v>#REF!</v>
      </c>
      <c r="AM67" t="e">
        <f>AND('PROG FORMACIÓN TITULADA'!#REF!,"AAAAAB3/7yY=")</f>
        <v>#REF!</v>
      </c>
      <c r="AN67" t="e">
        <f>AND('PROG FORMACIÓN TITULADA'!#REF!,"AAAAAB3/7yc=")</f>
        <v>#REF!</v>
      </c>
      <c r="AO67" t="e">
        <f>AND('PROG FORMACIÓN TITULADA'!#REF!,"AAAAAB3/7yg=")</f>
        <v>#REF!</v>
      </c>
      <c r="AP67" t="e">
        <f>AND('PROG FORMACIÓN TITULADA'!#REF!,"AAAAAB3/7yk=")</f>
        <v>#REF!</v>
      </c>
      <c r="AQ67" t="e">
        <f>AND('PROG FORMACIÓN TITULADA'!#REF!,"AAAAAB3/7yo=")</f>
        <v>#REF!</v>
      </c>
      <c r="AR67" t="e">
        <f>AND('PROG FORMACIÓN TITULADA'!#REF!,"AAAAAB3/7ys=")</f>
        <v>#REF!</v>
      </c>
      <c r="AS67" t="e">
        <f>AND('PROG FORMACIÓN TITULADA'!#REF!,"AAAAAB3/7yw=")</f>
        <v>#REF!</v>
      </c>
      <c r="AT67" t="e">
        <f>AND('PROG FORMACIÓN TITULADA'!#REF!,"AAAAAB3/7y0=")</f>
        <v>#REF!</v>
      </c>
      <c r="AU67" t="e">
        <f>AND('PROG FORMACIÓN TITULADA'!#REF!,"AAAAAB3/7y4=")</f>
        <v>#REF!</v>
      </c>
      <c r="AV67" t="e">
        <f>IF('PROG FORMACIÓN TITULADA'!#REF!,"AAAAAB3/7y8=",0)</f>
        <v>#REF!</v>
      </c>
      <c r="AW67" t="e">
        <f>AND('PROG FORMACIÓN TITULADA'!#REF!,"AAAAAB3/7zA=")</f>
        <v>#REF!</v>
      </c>
      <c r="AX67" t="e">
        <f>AND('PROG FORMACIÓN TITULADA'!#REF!,"AAAAAB3/7zE=")</f>
        <v>#REF!</v>
      </c>
      <c r="AY67" t="e">
        <f>AND('PROG FORMACIÓN TITULADA'!#REF!,"AAAAAB3/7zI=")</f>
        <v>#REF!</v>
      </c>
      <c r="AZ67" t="e">
        <f>AND('PROG FORMACIÓN TITULADA'!#REF!,"AAAAAB3/7zM=")</f>
        <v>#REF!</v>
      </c>
      <c r="BA67" t="e">
        <f>AND('PROG FORMACIÓN TITULADA'!#REF!,"AAAAAB3/7zQ=")</f>
        <v>#REF!</v>
      </c>
      <c r="BB67" t="e">
        <f>AND('PROG FORMACIÓN TITULADA'!#REF!,"AAAAAB3/7zU=")</f>
        <v>#REF!</v>
      </c>
      <c r="BC67" t="e">
        <f>AND('PROG FORMACIÓN TITULADA'!#REF!,"AAAAAB3/7zY=")</f>
        <v>#REF!</v>
      </c>
      <c r="BD67" t="e">
        <f>AND('PROG FORMACIÓN TITULADA'!#REF!,"AAAAAB3/7zc=")</f>
        <v>#REF!</v>
      </c>
      <c r="BE67" t="e">
        <f>AND('PROG FORMACIÓN TITULADA'!#REF!,"AAAAAB3/7zg=")</f>
        <v>#REF!</v>
      </c>
      <c r="BF67" t="e">
        <f>AND('PROG FORMACIÓN TITULADA'!#REF!,"AAAAAB3/7zk=")</f>
        <v>#REF!</v>
      </c>
      <c r="BG67" t="e">
        <f>AND('PROG FORMACIÓN TITULADA'!#REF!,"AAAAAB3/7zo=")</f>
        <v>#REF!</v>
      </c>
      <c r="BH67" t="e">
        <f>AND('PROG FORMACIÓN TITULADA'!#REF!,"AAAAAB3/7zs=")</f>
        <v>#REF!</v>
      </c>
      <c r="BI67" t="e">
        <f>AND('PROG FORMACIÓN TITULADA'!#REF!,"AAAAAB3/7zw=")</f>
        <v>#REF!</v>
      </c>
      <c r="BJ67" t="e">
        <f>AND('PROG FORMACIÓN TITULADA'!#REF!,"AAAAAB3/7z0=")</f>
        <v>#REF!</v>
      </c>
      <c r="BK67" t="e">
        <f>AND('PROG FORMACIÓN TITULADA'!#REF!,"AAAAAB3/7z4=")</f>
        <v>#REF!</v>
      </c>
      <c r="BL67" t="e">
        <f>AND('PROG FORMACIÓN TITULADA'!#REF!,"AAAAAB3/7z8=")</f>
        <v>#REF!</v>
      </c>
      <c r="BM67" t="e">
        <f>AND('PROG FORMACIÓN TITULADA'!#REF!,"AAAAAB3/70A=")</f>
        <v>#REF!</v>
      </c>
      <c r="BN67" t="e">
        <f>AND('PROG FORMACIÓN TITULADA'!#REF!,"AAAAAB3/70E=")</f>
        <v>#REF!</v>
      </c>
      <c r="BO67" t="e">
        <f>AND('PROG FORMACIÓN TITULADA'!#REF!,"AAAAAB3/70I=")</f>
        <v>#REF!</v>
      </c>
      <c r="BP67" t="e">
        <f>AND('PROG FORMACIÓN TITULADA'!#REF!,"AAAAAB3/70M=")</f>
        <v>#REF!</v>
      </c>
      <c r="BQ67" t="e">
        <f>AND('PROG FORMACIÓN TITULADA'!#REF!,"AAAAAB3/70Q=")</f>
        <v>#REF!</v>
      </c>
      <c r="BR67" t="e">
        <f>AND('PROG FORMACIÓN TITULADA'!#REF!,"AAAAAB3/70U=")</f>
        <v>#REF!</v>
      </c>
      <c r="BS67" t="e">
        <f>AND('PROG FORMACIÓN TITULADA'!#REF!,"AAAAAB3/70Y=")</f>
        <v>#REF!</v>
      </c>
      <c r="BT67" t="e">
        <f>AND('PROG FORMACIÓN TITULADA'!#REF!,"AAAAAB3/70c=")</f>
        <v>#REF!</v>
      </c>
      <c r="BU67" t="e">
        <f>AND('PROG FORMACIÓN TITULADA'!#REF!,"AAAAAB3/70g=")</f>
        <v>#REF!</v>
      </c>
      <c r="BV67" t="e">
        <f>AND('PROG FORMACIÓN TITULADA'!#REF!,"AAAAAB3/70k=")</f>
        <v>#REF!</v>
      </c>
      <c r="BW67" t="e">
        <f>IF('PROG FORMACIÓN TITULADA'!#REF!,"AAAAAB3/70o=",0)</f>
        <v>#REF!</v>
      </c>
      <c r="BX67" t="e">
        <f>AND('PROG FORMACIÓN TITULADA'!#REF!,"AAAAAB3/70s=")</f>
        <v>#REF!</v>
      </c>
      <c r="BY67" t="e">
        <f>AND('PROG FORMACIÓN TITULADA'!#REF!,"AAAAAB3/70w=")</f>
        <v>#REF!</v>
      </c>
      <c r="BZ67" t="e">
        <f>AND('PROG FORMACIÓN TITULADA'!#REF!,"AAAAAB3/700=")</f>
        <v>#REF!</v>
      </c>
      <c r="CA67" t="e">
        <f>AND('PROG FORMACIÓN TITULADA'!#REF!,"AAAAAB3/704=")</f>
        <v>#REF!</v>
      </c>
      <c r="CB67" t="e">
        <f>AND('PROG FORMACIÓN TITULADA'!#REF!,"AAAAAB3/708=")</f>
        <v>#REF!</v>
      </c>
      <c r="CC67" t="e">
        <f>AND('PROG FORMACIÓN TITULADA'!#REF!,"AAAAAB3/71A=")</f>
        <v>#REF!</v>
      </c>
      <c r="CD67" t="e">
        <f>AND('PROG FORMACIÓN TITULADA'!#REF!,"AAAAAB3/71E=")</f>
        <v>#REF!</v>
      </c>
      <c r="CE67" t="e">
        <f>AND('PROG FORMACIÓN TITULADA'!#REF!,"AAAAAB3/71I=")</f>
        <v>#REF!</v>
      </c>
      <c r="CF67" t="e">
        <f>AND('PROG FORMACIÓN TITULADA'!#REF!,"AAAAAB3/71M=")</f>
        <v>#REF!</v>
      </c>
      <c r="CG67" t="e">
        <f>AND('PROG FORMACIÓN TITULADA'!#REF!,"AAAAAB3/71Q=")</f>
        <v>#REF!</v>
      </c>
      <c r="CH67" t="e">
        <f>AND('PROG FORMACIÓN TITULADA'!#REF!,"AAAAAB3/71U=")</f>
        <v>#REF!</v>
      </c>
      <c r="CI67" t="e">
        <f>AND('PROG FORMACIÓN TITULADA'!#REF!,"AAAAAB3/71Y=")</f>
        <v>#REF!</v>
      </c>
      <c r="CJ67" t="e">
        <f>AND('PROG FORMACIÓN TITULADA'!#REF!,"AAAAAB3/71c=")</f>
        <v>#REF!</v>
      </c>
      <c r="CK67" t="e">
        <f>AND('PROG FORMACIÓN TITULADA'!#REF!,"AAAAAB3/71g=")</f>
        <v>#REF!</v>
      </c>
      <c r="CL67" t="e">
        <f>AND('PROG FORMACIÓN TITULADA'!#REF!,"AAAAAB3/71k=")</f>
        <v>#REF!</v>
      </c>
      <c r="CM67" t="e">
        <f>AND('PROG FORMACIÓN TITULADA'!#REF!,"AAAAAB3/71o=")</f>
        <v>#REF!</v>
      </c>
      <c r="CN67" t="e">
        <f>AND('PROG FORMACIÓN TITULADA'!#REF!,"AAAAAB3/71s=")</f>
        <v>#REF!</v>
      </c>
      <c r="CO67" t="e">
        <f>AND('PROG FORMACIÓN TITULADA'!#REF!,"AAAAAB3/71w=")</f>
        <v>#REF!</v>
      </c>
      <c r="CP67" t="e">
        <f>AND('PROG FORMACIÓN TITULADA'!#REF!,"AAAAAB3/710=")</f>
        <v>#REF!</v>
      </c>
      <c r="CQ67" t="e">
        <f>AND('PROG FORMACIÓN TITULADA'!#REF!,"AAAAAB3/714=")</f>
        <v>#REF!</v>
      </c>
      <c r="CR67" t="e">
        <f>AND('PROG FORMACIÓN TITULADA'!#REF!,"AAAAAB3/718=")</f>
        <v>#REF!</v>
      </c>
      <c r="CS67" t="e">
        <f>AND('PROG FORMACIÓN TITULADA'!#REF!,"AAAAAB3/72A=")</f>
        <v>#REF!</v>
      </c>
      <c r="CT67" t="e">
        <f>AND('PROG FORMACIÓN TITULADA'!#REF!,"AAAAAB3/72E=")</f>
        <v>#REF!</v>
      </c>
      <c r="CU67" t="e">
        <f>AND('PROG FORMACIÓN TITULADA'!#REF!,"AAAAAB3/72I=")</f>
        <v>#REF!</v>
      </c>
      <c r="CV67" t="e">
        <f>AND('PROG FORMACIÓN TITULADA'!#REF!,"AAAAAB3/72M=")</f>
        <v>#REF!</v>
      </c>
      <c r="CW67" t="e">
        <f>AND('PROG FORMACIÓN TITULADA'!#REF!,"AAAAAB3/72Q=")</f>
        <v>#REF!</v>
      </c>
      <c r="CX67" t="e">
        <f>IF('PROG FORMACIÓN TITULADA'!#REF!,"AAAAAB3/72U=",0)</f>
        <v>#REF!</v>
      </c>
      <c r="CY67" t="e">
        <f>AND('PROG FORMACIÓN TITULADA'!#REF!,"AAAAAB3/72Y=")</f>
        <v>#REF!</v>
      </c>
      <c r="CZ67" t="e">
        <f>AND('PROG FORMACIÓN TITULADA'!#REF!,"AAAAAB3/72c=")</f>
        <v>#REF!</v>
      </c>
      <c r="DA67" t="e">
        <f>AND('PROG FORMACIÓN TITULADA'!#REF!,"AAAAAB3/72g=")</f>
        <v>#REF!</v>
      </c>
      <c r="DB67" t="e">
        <f>AND('PROG FORMACIÓN TITULADA'!#REF!,"AAAAAB3/72k=")</f>
        <v>#REF!</v>
      </c>
      <c r="DC67" t="e">
        <f>AND('PROG FORMACIÓN TITULADA'!#REF!,"AAAAAB3/72o=")</f>
        <v>#REF!</v>
      </c>
      <c r="DD67" t="e">
        <f>AND('PROG FORMACIÓN TITULADA'!#REF!,"AAAAAB3/72s=")</f>
        <v>#REF!</v>
      </c>
      <c r="DE67" t="e">
        <f>AND('PROG FORMACIÓN TITULADA'!#REF!,"AAAAAB3/72w=")</f>
        <v>#REF!</v>
      </c>
      <c r="DF67" t="e">
        <f>AND('PROG FORMACIÓN TITULADA'!#REF!,"AAAAAB3/720=")</f>
        <v>#REF!</v>
      </c>
      <c r="DG67" t="e">
        <f>AND('PROG FORMACIÓN TITULADA'!#REF!,"AAAAAB3/724=")</f>
        <v>#REF!</v>
      </c>
      <c r="DH67" t="e">
        <f>AND('PROG FORMACIÓN TITULADA'!#REF!,"AAAAAB3/728=")</f>
        <v>#REF!</v>
      </c>
      <c r="DI67" t="e">
        <f>AND('PROG FORMACIÓN TITULADA'!#REF!,"AAAAAB3/73A=")</f>
        <v>#REF!</v>
      </c>
      <c r="DJ67" t="e">
        <f>AND('PROG FORMACIÓN TITULADA'!#REF!,"AAAAAB3/73E=")</f>
        <v>#REF!</v>
      </c>
      <c r="DK67" t="e">
        <f>AND('PROG FORMACIÓN TITULADA'!#REF!,"AAAAAB3/73I=")</f>
        <v>#REF!</v>
      </c>
      <c r="DL67" t="e">
        <f>AND('PROG FORMACIÓN TITULADA'!#REF!,"AAAAAB3/73M=")</f>
        <v>#REF!</v>
      </c>
      <c r="DM67" t="e">
        <f>AND('PROG FORMACIÓN TITULADA'!#REF!,"AAAAAB3/73Q=")</f>
        <v>#REF!</v>
      </c>
      <c r="DN67" t="e">
        <f>AND('PROG FORMACIÓN TITULADA'!#REF!,"AAAAAB3/73U=")</f>
        <v>#REF!</v>
      </c>
      <c r="DO67" t="e">
        <f>AND('PROG FORMACIÓN TITULADA'!#REF!,"AAAAAB3/73Y=")</f>
        <v>#REF!</v>
      </c>
      <c r="DP67" t="e">
        <f>AND('PROG FORMACIÓN TITULADA'!#REF!,"AAAAAB3/73c=")</f>
        <v>#REF!</v>
      </c>
      <c r="DQ67" t="e">
        <f>AND('PROG FORMACIÓN TITULADA'!#REF!,"AAAAAB3/73g=")</f>
        <v>#REF!</v>
      </c>
      <c r="DR67" t="e">
        <f>AND('PROG FORMACIÓN TITULADA'!#REF!,"AAAAAB3/73k=")</f>
        <v>#REF!</v>
      </c>
      <c r="DS67" t="e">
        <f>AND('PROG FORMACIÓN TITULADA'!#REF!,"AAAAAB3/73o=")</f>
        <v>#REF!</v>
      </c>
      <c r="DT67" t="e">
        <f>AND('PROG FORMACIÓN TITULADA'!#REF!,"AAAAAB3/73s=")</f>
        <v>#REF!</v>
      </c>
      <c r="DU67" t="e">
        <f>AND('PROG FORMACIÓN TITULADA'!#REF!,"AAAAAB3/73w=")</f>
        <v>#REF!</v>
      </c>
      <c r="DV67" t="e">
        <f>AND('PROG FORMACIÓN TITULADA'!#REF!,"AAAAAB3/730=")</f>
        <v>#REF!</v>
      </c>
      <c r="DW67" t="e">
        <f>AND('PROG FORMACIÓN TITULADA'!#REF!,"AAAAAB3/734=")</f>
        <v>#REF!</v>
      </c>
      <c r="DX67" t="e">
        <f>AND('PROG FORMACIÓN TITULADA'!#REF!,"AAAAAB3/738=")</f>
        <v>#REF!</v>
      </c>
      <c r="DY67" t="e">
        <f>IF('PROG FORMACIÓN TITULADA'!#REF!,"AAAAAB3/74A=",0)</f>
        <v>#REF!</v>
      </c>
      <c r="DZ67" t="e">
        <f>AND('PROG FORMACIÓN TITULADA'!#REF!,"AAAAAB3/74E=")</f>
        <v>#REF!</v>
      </c>
      <c r="EA67" t="e">
        <f>AND('PROG FORMACIÓN TITULADA'!#REF!,"AAAAAB3/74I=")</f>
        <v>#REF!</v>
      </c>
      <c r="EB67" t="e">
        <f>AND('PROG FORMACIÓN TITULADA'!#REF!,"AAAAAB3/74M=")</f>
        <v>#REF!</v>
      </c>
      <c r="EC67" t="e">
        <f>AND('PROG FORMACIÓN TITULADA'!#REF!,"AAAAAB3/74Q=")</f>
        <v>#REF!</v>
      </c>
      <c r="ED67" t="e">
        <f>AND('PROG FORMACIÓN TITULADA'!#REF!,"AAAAAB3/74U=")</f>
        <v>#REF!</v>
      </c>
      <c r="EE67" t="e">
        <f>AND('PROG FORMACIÓN TITULADA'!#REF!,"AAAAAB3/74Y=")</f>
        <v>#REF!</v>
      </c>
      <c r="EF67" t="e">
        <f>AND('PROG FORMACIÓN TITULADA'!#REF!,"AAAAAB3/74c=")</f>
        <v>#REF!</v>
      </c>
      <c r="EG67" t="e">
        <f>AND('PROG FORMACIÓN TITULADA'!#REF!,"AAAAAB3/74g=")</f>
        <v>#REF!</v>
      </c>
      <c r="EH67" t="e">
        <f>AND('PROG FORMACIÓN TITULADA'!#REF!,"AAAAAB3/74k=")</f>
        <v>#REF!</v>
      </c>
      <c r="EI67" t="e">
        <f>AND('PROG FORMACIÓN TITULADA'!#REF!,"AAAAAB3/74o=")</f>
        <v>#REF!</v>
      </c>
      <c r="EJ67" t="e">
        <f>AND('PROG FORMACIÓN TITULADA'!#REF!,"AAAAAB3/74s=")</f>
        <v>#REF!</v>
      </c>
      <c r="EK67" t="e">
        <f>AND('PROG FORMACIÓN TITULADA'!#REF!,"AAAAAB3/74w=")</f>
        <v>#REF!</v>
      </c>
      <c r="EL67" t="e">
        <f>AND('PROG FORMACIÓN TITULADA'!#REF!,"AAAAAB3/740=")</f>
        <v>#REF!</v>
      </c>
      <c r="EM67" t="e">
        <f>AND('PROG FORMACIÓN TITULADA'!#REF!,"AAAAAB3/744=")</f>
        <v>#REF!</v>
      </c>
      <c r="EN67" t="e">
        <f>AND('PROG FORMACIÓN TITULADA'!#REF!,"AAAAAB3/748=")</f>
        <v>#REF!</v>
      </c>
      <c r="EO67" t="e">
        <f>AND('PROG FORMACIÓN TITULADA'!#REF!,"AAAAAB3/75A=")</f>
        <v>#REF!</v>
      </c>
      <c r="EP67" t="e">
        <f>AND('PROG FORMACIÓN TITULADA'!#REF!,"AAAAAB3/75E=")</f>
        <v>#REF!</v>
      </c>
      <c r="EQ67" t="e">
        <f>AND('PROG FORMACIÓN TITULADA'!#REF!,"AAAAAB3/75I=")</f>
        <v>#REF!</v>
      </c>
      <c r="ER67" t="e">
        <f>AND('PROG FORMACIÓN TITULADA'!#REF!,"AAAAAB3/75M=")</f>
        <v>#REF!</v>
      </c>
      <c r="ES67" t="e">
        <f>AND('PROG FORMACIÓN TITULADA'!#REF!,"AAAAAB3/75Q=")</f>
        <v>#REF!</v>
      </c>
      <c r="ET67" t="e">
        <f>AND('PROG FORMACIÓN TITULADA'!#REF!,"AAAAAB3/75U=")</f>
        <v>#REF!</v>
      </c>
      <c r="EU67" t="e">
        <f>AND('PROG FORMACIÓN TITULADA'!#REF!,"AAAAAB3/75Y=")</f>
        <v>#REF!</v>
      </c>
      <c r="EV67" t="e">
        <f>AND('PROG FORMACIÓN TITULADA'!#REF!,"AAAAAB3/75c=")</f>
        <v>#REF!</v>
      </c>
      <c r="EW67" t="e">
        <f>AND('PROG FORMACIÓN TITULADA'!#REF!,"AAAAAB3/75g=")</f>
        <v>#REF!</v>
      </c>
      <c r="EX67" t="e">
        <f>AND('PROG FORMACIÓN TITULADA'!#REF!,"AAAAAB3/75k=")</f>
        <v>#REF!</v>
      </c>
      <c r="EY67" t="e">
        <f>AND('PROG FORMACIÓN TITULADA'!#REF!,"AAAAAB3/75o=")</f>
        <v>#REF!</v>
      </c>
      <c r="EZ67" t="e">
        <f>IF('PROG FORMACIÓN TITULADA'!#REF!,"AAAAAB3/75s=",0)</f>
        <v>#REF!</v>
      </c>
      <c r="FA67" t="e">
        <f>AND('PROG FORMACIÓN TITULADA'!#REF!,"AAAAAB3/75w=")</f>
        <v>#REF!</v>
      </c>
      <c r="FB67" t="e">
        <f>AND('PROG FORMACIÓN TITULADA'!#REF!,"AAAAAB3/750=")</f>
        <v>#REF!</v>
      </c>
      <c r="FC67" t="e">
        <f>AND('PROG FORMACIÓN TITULADA'!#REF!,"AAAAAB3/754=")</f>
        <v>#REF!</v>
      </c>
      <c r="FD67" t="e">
        <f>AND('PROG FORMACIÓN TITULADA'!#REF!,"AAAAAB3/758=")</f>
        <v>#REF!</v>
      </c>
      <c r="FE67" t="e">
        <f>AND('PROG FORMACIÓN TITULADA'!#REF!,"AAAAAB3/76A=")</f>
        <v>#REF!</v>
      </c>
      <c r="FF67" t="e">
        <f>AND('PROG FORMACIÓN TITULADA'!#REF!,"AAAAAB3/76E=")</f>
        <v>#REF!</v>
      </c>
      <c r="FG67" t="e">
        <f>AND('PROG FORMACIÓN TITULADA'!#REF!,"AAAAAB3/76I=")</f>
        <v>#REF!</v>
      </c>
      <c r="FH67" t="e">
        <f>AND('PROG FORMACIÓN TITULADA'!#REF!,"AAAAAB3/76M=")</f>
        <v>#REF!</v>
      </c>
      <c r="FI67" t="e">
        <f>AND('PROG FORMACIÓN TITULADA'!#REF!,"AAAAAB3/76Q=")</f>
        <v>#REF!</v>
      </c>
      <c r="FJ67" t="e">
        <f>AND('PROG FORMACIÓN TITULADA'!#REF!,"AAAAAB3/76U=")</f>
        <v>#REF!</v>
      </c>
      <c r="FK67" t="e">
        <f>AND('PROG FORMACIÓN TITULADA'!#REF!,"AAAAAB3/76Y=")</f>
        <v>#REF!</v>
      </c>
      <c r="FL67" t="e">
        <f>AND('PROG FORMACIÓN TITULADA'!#REF!,"AAAAAB3/76c=")</f>
        <v>#REF!</v>
      </c>
      <c r="FM67" t="e">
        <f>AND('PROG FORMACIÓN TITULADA'!#REF!,"AAAAAB3/76g=")</f>
        <v>#REF!</v>
      </c>
      <c r="FN67" t="e">
        <f>AND('PROG FORMACIÓN TITULADA'!#REF!,"AAAAAB3/76k=")</f>
        <v>#REF!</v>
      </c>
      <c r="FO67" t="e">
        <f>AND('PROG FORMACIÓN TITULADA'!#REF!,"AAAAAB3/76o=")</f>
        <v>#REF!</v>
      </c>
      <c r="FP67" t="e">
        <f>AND('PROG FORMACIÓN TITULADA'!#REF!,"AAAAAB3/76s=")</f>
        <v>#REF!</v>
      </c>
      <c r="FQ67" t="e">
        <f>AND('PROG FORMACIÓN TITULADA'!#REF!,"AAAAAB3/76w=")</f>
        <v>#REF!</v>
      </c>
      <c r="FR67" t="e">
        <f>AND('PROG FORMACIÓN TITULADA'!#REF!,"AAAAAB3/760=")</f>
        <v>#REF!</v>
      </c>
      <c r="FS67" t="e">
        <f>AND('PROG FORMACIÓN TITULADA'!#REF!,"AAAAAB3/764=")</f>
        <v>#REF!</v>
      </c>
      <c r="FT67" t="e">
        <f>AND('PROG FORMACIÓN TITULADA'!#REF!,"AAAAAB3/768=")</f>
        <v>#REF!</v>
      </c>
      <c r="FU67" t="e">
        <f>AND('PROG FORMACIÓN TITULADA'!#REF!,"AAAAAB3/77A=")</f>
        <v>#REF!</v>
      </c>
      <c r="FV67" t="e">
        <f>AND('PROG FORMACIÓN TITULADA'!#REF!,"AAAAAB3/77E=")</f>
        <v>#REF!</v>
      </c>
      <c r="FW67" t="e">
        <f>AND('PROG FORMACIÓN TITULADA'!#REF!,"AAAAAB3/77I=")</f>
        <v>#REF!</v>
      </c>
      <c r="FX67" t="e">
        <f>AND('PROG FORMACIÓN TITULADA'!#REF!,"AAAAAB3/77M=")</f>
        <v>#REF!</v>
      </c>
      <c r="FY67" t="e">
        <f>AND('PROG FORMACIÓN TITULADA'!#REF!,"AAAAAB3/77Q=")</f>
        <v>#REF!</v>
      </c>
      <c r="FZ67" t="e">
        <f>AND('PROG FORMACIÓN TITULADA'!#REF!,"AAAAAB3/77U=")</f>
        <v>#REF!</v>
      </c>
      <c r="GA67" t="e">
        <f>IF('PROG FORMACIÓN TITULADA'!#REF!,"AAAAAB3/77Y=",0)</f>
        <v>#REF!</v>
      </c>
      <c r="GB67" t="e">
        <f>AND('PROG FORMACIÓN TITULADA'!#REF!,"AAAAAB3/77c=")</f>
        <v>#REF!</v>
      </c>
      <c r="GC67" t="e">
        <f>AND('PROG FORMACIÓN TITULADA'!#REF!,"AAAAAB3/77g=")</f>
        <v>#REF!</v>
      </c>
      <c r="GD67" t="e">
        <f>AND('PROG FORMACIÓN TITULADA'!#REF!,"AAAAAB3/77k=")</f>
        <v>#REF!</v>
      </c>
      <c r="GE67" t="e">
        <f>AND('PROG FORMACIÓN TITULADA'!#REF!,"AAAAAB3/77o=")</f>
        <v>#REF!</v>
      </c>
      <c r="GF67" t="e">
        <f>AND('PROG FORMACIÓN TITULADA'!#REF!,"AAAAAB3/77s=")</f>
        <v>#REF!</v>
      </c>
      <c r="GG67" t="e">
        <f>AND('PROG FORMACIÓN TITULADA'!#REF!,"AAAAAB3/77w=")</f>
        <v>#REF!</v>
      </c>
      <c r="GH67" t="e">
        <f>AND('PROG FORMACIÓN TITULADA'!#REF!,"AAAAAB3/770=")</f>
        <v>#REF!</v>
      </c>
      <c r="GI67" t="e">
        <f>AND('PROG FORMACIÓN TITULADA'!#REF!,"AAAAAB3/774=")</f>
        <v>#REF!</v>
      </c>
      <c r="GJ67" t="e">
        <f>AND('PROG FORMACIÓN TITULADA'!#REF!,"AAAAAB3/778=")</f>
        <v>#REF!</v>
      </c>
      <c r="GK67" t="e">
        <f>AND('PROG FORMACIÓN TITULADA'!#REF!,"AAAAAB3/78A=")</f>
        <v>#REF!</v>
      </c>
      <c r="GL67" t="e">
        <f>AND('PROG FORMACIÓN TITULADA'!#REF!,"AAAAAB3/78E=")</f>
        <v>#REF!</v>
      </c>
      <c r="GM67" t="e">
        <f>AND('PROG FORMACIÓN TITULADA'!#REF!,"AAAAAB3/78I=")</f>
        <v>#REF!</v>
      </c>
      <c r="GN67" t="e">
        <f>AND('PROG FORMACIÓN TITULADA'!#REF!,"AAAAAB3/78M=")</f>
        <v>#REF!</v>
      </c>
      <c r="GO67" t="e">
        <f>AND('PROG FORMACIÓN TITULADA'!#REF!,"AAAAAB3/78Q=")</f>
        <v>#REF!</v>
      </c>
      <c r="GP67" t="e">
        <f>AND('PROG FORMACIÓN TITULADA'!#REF!,"AAAAAB3/78U=")</f>
        <v>#REF!</v>
      </c>
      <c r="GQ67" t="e">
        <f>AND('PROG FORMACIÓN TITULADA'!#REF!,"AAAAAB3/78Y=")</f>
        <v>#REF!</v>
      </c>
      <c r="GR67" t="e">
        <f>AND('PROG FORMACIÓN TITULADA'!#REF!,"AAAAAB3/78c=")</f>
        <v>#REF!</v>
      </c>
      <c r="GS67" t="e">
        <f>AND('PROG FORMACIÓN TITULADA'!#REF!,"AAAAAB3/78g=")</f>
        <v>#REF!</v>
      </c>
      <c r="GT67" t="e">
        <f>AND('PROG FORMACIÓN TITULADA'!#REF!,"AAAAAB3/78k=")</f>
        <v>#REF!</v>
      </c>
      <c r="GU67" t="e">
        <f>AND('PROG FORMACIÓN TITULADA'!#REF!,"AAAAAB3/78o=")</f>
        <v>#REF!</v>
      </c>
      <c r="GV67" t="e">
        <f>AND('PROG FORMACIÓN TITULADA'!#REF!,"AAAAAB3/78s=")</f>
        <v>#REF!</v>
      </c>
      <c r="GW67" t="e">
        <f>AND('PROG FORMACIÓN TITULADA'!#REF!,"AAAAAB3/78w=")</f>
        <v>#REF!</v>
      </c>
      <c r="GX67" t="e">
        <f>AND('PROG FORMACIÓN TITULADA'!#REF!,"AAAAAB3/780=")</f>
        <v>#REF!</v>
      </c>
      <c r="GY67" t="e">
        <f>AND('PROG FORMACIÓN TITULADA'!#REF!,"AAAAAB3/784=")</f>
        <v>#REF!</v>
      </c>
      <c r="GZ67" t="e">
        <f>AND('PROG FORMACIÓN TITULADA'!#REF!,"AAAAAB3/788=")</f>
        <v>#REF!</v>
      </c>
      <c r="HA67" t="e">
        <f>AND('PROG FORMACIÓN TITULADA'!#REF!,"AAAAAB3/79A=")</f>
        <v>#REF!</v>
      </c>
      <c r="HB67" t="e">
        <f>IF('PROG FORMACIÓN TITULADA'!#REF!,"AAAAAB3/79E=",0)</f>
        <v>#REF!</v>
      </c>
      <c r="HC67" t="e">
        <f>AND('PROG FORMACIÓN TITULADA'!#REF!,"AAAAAB3/79I=")</f>
        <v>#REF!</v>
      </c>
      <c r="HD67" t="e">
        <f>AND('PROG FORMACIÓN TITULADA'!#REF!,"AAAAAB3/79M=")</f>
        <v>#REF!</v>
      </c>
      <c r="HE67" t="e">
        <f>AND('PROG FORMACIÓN TITULADA'!#REF!,"AAAAAB3/79Q=")</f>
        <v>#REF!</v>
      </c>
      <c r="HF67" t="e">
        <f>AND('PROG FORMACIÓN TITULADA'!#REF!,"AAAAAB3/79U=")</f>
        <v>#REF!</v>
      </c>
      <c r="HG67" t="e">
        <f>AND('PROG FORMACIÓN TITULADA'!#REF!,"AAAAAB3/79Y=")</f>
        <v>#REF!</v>
      </c>
      <c r="HH67" t="e">
        <f>AND('PROG FORMACIÓN TITULADA'!#REF!,"AAAAAB3/79c=")</f>
        <v>#REF!</v>
      </c>
      <c r="HI67" t="e">
        <f>AND('PROG FORMACIÓN TITULADA'!#REF!,"AAAAAB3/79g=")</f>
        <v>#REF!</v>
      </c>
      <c r="HJ67" t="e">
        <f>AND('PROG FORMACIÓN TITULADA'!#REF!,"AAAAAB3/79k=")</f>
        <v>#REF!</v>
      </c>
      <c r="HK67" t="e">
        <f>AND('PROG FORMACIÓN TITULADA'!#REF!,"AAAAAB3/79o=")</f>
        <v>#REF!</v>
      </c>
      <c r="HL67" t="e">
        <f>AND('PROG FORMACIÓN TITULADA'!#REF!,"AAAAAB3/79s=")</f>
        <v>#REF!</v>
      </c>
      <c r="HM67" t="e">
        <f>AND('PROG FORMACIÓN TITULADA'!#REF!,"AAAAAB3/79w=")</f>
        <v>#REF!</v>
      </c>
      <c r="HN67" t="e">
        <f>AND('PROG FORMACIÓN TITULADA'!#REF!,"AAAAAB3/790=")</f>
        <v>#REF!</v>
      </c>
      <c r="HO67" t="e">
        <f>AND('PROG FORMACIÓN TITULADA'!#REF!,"AAAAAB3/794=")</f>
        <v>#REF!</v>
      </c>
      <c r="HP67" t="e">
        <f>AND('PROG FORMACIÓN TITULADA'!#REF!,"AAAAAB3/798=")</f>
        <v>#REF!</v>
      </c>
      <c r="HQ67" t="e">
        <f>AND('PROG FORMACIÓN TITULADA'!#REF!,"AAAAAB3/7+A=")</f>
        <v>#REF!</v>
      </c>
      <c r="HR67" t="e">
        <f>AND('PROG FORMACIÓN TITULADA'!#REF!,"AAAAAB3/7+E=")</f>
        <v>#REF!</v>
      </c>
      <c r="HS67" t="e">
        <f>AND('PROG FORMACIÓN TITULADA'!#REF!,"AAAAAB3/7+I=")</f>
        <v>#REF!</v>
      </c>
      <c r="HT67" t="e">
        <f>AND('PROG FORMACIÓN TITULADA'!#REF!,"AAAAAB3/7+M=")</f>
        <v>#REF!</v>
      </c>
      <c r="HU67" t="e">
        <f>AND('PROG FORMACIÓN TITULADA'!#REF!,"AAAAAB3/7+Q=")</f>
        <v>#REF!</v>
      </c>
      <c r="HV67" t="e">
        <f>AND('PROG FORMACIÓN TITULADA'!#REF!,"AAAAAB3/7+U=")</f>
        <v>#REF!</v>
      </c>
      <c r="HW67" t="e">
        <f>AND('PROG FORMACIÓN TITULADA'!#REF!,"AAAAAB3/7+Y=")</f>
        <v>#REF!</v>
      </c>
      <c r="HX67" t="e">
        <f>AND('PROG FORMACIÓN TITULADA'!#REF!,"AAAAAB3/7+c=")</f>
        <v>#REF!</v>
      </c>
      <c r="HY67" t="e">
        <f>AND('PROG FORMACIÓN TITULADA'!#REF!,"AAAAAB3/7+g=")</f>
        <v>#REF!</v>
      </c>
      <c r="HZ67" t="e">
        <f>AND('PROG FORMACIÓN TITULADA'!#REF!,"AAAAAB3/7+k=")</f>
        <v>#REF!</v>
      </c>
      <c r="IA67" t="e">
        <f>AND('PROG FORMACIÓN TITULADA'!#REF!,"AAAAAB3/7+o=")</f>
        <v>#REF!</v>
      </c>
      <c r="IB67" t="e">
        <f>AND('PROG FORMACIÓN TITULADA'!#REF!,"AAAAAB3/7+s=")</f>
        <v>#REF!</v>
      </c>
      <c r="IC67" t="e">
        <f>IF('PROG FORMACIÓN TITULADA'!#REF!,"AAAAAB3/7+w=",0)</f>
        <v>#REF!</v>
      </c>
      <c r="ID67" t="e">
        <f>AND('PROG FORMACIÓN TITULADA'!#REF!,"AAAAAB3/7+0=")</f>
        <v>#REF!</v>
      </c>
      <c r="IE67" t="e">
        <f>AND('PROG FORMACIÓN TITULADA'!#REF!,"AAAAAB3/7+4=")</f>
        <v>#REF!</v>
      </c>
      <c r="IF67" t="e">
        <f>AND('PROG FORMACIÓN TITULADA'!#REF!,"AAAAAB3/7+8=")</f>
        <v>#REF!</v>
      </c>
      <c r="IG67" t="e">
        <f>AND('PROG FORMACIÓN TITULADA'!#REF!,"AAAAAB3/7/A=")</f>
        <v>#REF!</v>
      </c>
      <c r="IH67" t="e">
        <f>AND('PROG FORMACIÓN TITULADA'!#REF!,"AAAAAB3/7/E=")</f>
        <v>#REF!</v>
      </c>
      <c r="II67" t="e">
        <f>AND('PROG FORMACIÓN TITULADA'!#REF!,"AAAAAB3/7/I=")</f>
        <v>#REF!</v>
      </c>
      <c r="IJ67" t="e">
        <f>AND('PROG FORMACIÓN TITULADA'!#REF!,"AAAAAB3/7/M=")</f>
        <v>#REF!</v>
      </c>
      <c r="IK67" t="e">
        <f>AND('PROG FORMACIÓN TITULADA'!#REF!,"AAAAAB3/7/Q=")</f>
        <v>#REF!</v>
      </c>
      <c r="IL67" t="e">
        <f>AND('PROG FORMACIÓN TITULADA'!#REF!,"AAAAAB3/7/U=")</f>
        <v>#REF!</v>
      </c>
      <c r="IM67" t="e">
        <f>AND('PROG FORMACIÓN TITULADA'!#REF!,"AAAAAB3/7/Y=")</f>
        <v>#REF!</v>
      </c>
      <c r="IN67" t="e">
        <f>AND('PROG FORMACIÓN TITULADA'!#REF!,"AAAAAB3/7/c=")</f>
        <v>#REF!</v>
      </c>
      <c r="IO67" t="e">
        <f>AND('PROG FORMACIÓN TITULADA'!#REF!,"AAAAAB3/7/g=")</f>
        <v>#REF!</v>
      </c>
      <c r="IP67" t="e">
        <f>AND('PROG FORMACIÓN TITULADA'!#REF!,"AAAAAB3/7/k=")</f>
        <v>#REF!</v>
      </c>
      <c r="IQ67" t="e">
        <f>AND('PROG FORMACIÓN TITULADA'!#REF!,"AAAAAB3/7/o=")</f>
        <v>#REF!</v>
      </c>
      <c r="IR67" t="e">
        <f>AND('PROG FORMACIÓN TITULADA'!#REF!,"AAAAAB3/7/s=")</f>
        <v>#REF!</v>
      </c>
      <c r="IS67" t="e">
        <f>AND('PROG FORMACIÓN TITULADA'!#REF!,"AAAAAB3/7/w=")</f>
        <v>#REF!</v>
      </c>
      <c r="IT67" t="e">
        <f>AND('PROG FORMACIÓN TITULADA'!#REF!,"AAAAAB3/7/0=")</f>
        <v>#REF!</v>
      </c>
      <c r="IU67" t="e">
        <f>AND('PROG FORMACIÓN TITULADA'!#REF!,"AAAAAB3/7/4=")</f>
        <v>#REF!</v>
      </c>
      <c r="IV67" t="e">
        <f>AND('PROG FORMACIÓN TITULADA'!#REF!,"AAAAAB3/7/8=")</f>
        <v>#REF!</v>
      </c>
    </row>
    <row r="68" spans="1:256" x14ac:dyDescent="0.2">
      <c r="A68" t="e">
        <f>AND('PROG FORMACIÓN TITULADA'!#REF!,"AAAAAH27zwA=")</f>
        <v>#REF!</v>
      </c>
      <c r="B68" t="e">
        <f>AND('PROG FORMACIÓN TITULADA'!#REF!,"AAAAAH27zwE=")</f>
        <v>#REF!</v>
      </c>
      <c r="C68" t="e">
        <f>AND('PROG FORMACIÓN TITULADA'!#REF!,"AAAAAH27zwI=")</f>
        <v>#REF!</v>
      </c>
      <c r="D68" t="e">
        <f>AND('PROG FORMACIÓN TITULADA'!#REF!,"AAAAAH27zwM=")</f>
        <v>#REF!</v>
      </c>
      <c r="E68" t="e">
        <f>AND('PROG FORMACIÓN TITULADA'!#REF!,"AAAAAH27zwQ=")</f>
        <v>#REF!</v>
      </c>
      <c r="F68" t="e">
        <f>AND('PROG FORMACIÓN TITULADA'!#REF!,"AAAAAH27zwU=")</f>
        <v>#REF!</v>
      </c>
      <c r="G68" t="e">
        <f>AND('PROG FORMACIÓN TITULADA'!#REF!,"AAAAAH27zwY=")</f>
        <v>#REF!</v>
      </c>
      <c r="H68" t="e">
        <f>IF('PROG FORMACIÓN TITULADA'!#REF!,"AAAAAH27zwc=",0)</f>
        <v>#REF!</v>
      </c>
      <c r="I68" t="e">
        <f>AND('PROG FORMACIÓN TITULADA'!#REF!,"AAAAAH27zwg=")</f>
        <v>#REF!</v>
      </c>
      <c r="J68" t="e">
        <f>AND('PROG FORMACIÓN TITULADA'!#REF!,"AAAAAH27zwk=")</f>
        <v>#REF!</v>
      </c>
      <c r="K68" t="e">
        <f>AND('PROG FORMACIÓN TITULADA'!#REF!,"AAAAAH27zwo=")</f>
        <v>#REF!</v>
      </c>
      <c r="L68" t="e">
        <f>AND('PROG FORMACIÓN TITULADA'!#REF!,"AAAAAH27zws=")</f>
        <v>#REF!</v>
      </c>
      <c r="M68" t="e">
        <f>AND('PROG FORMACIÓN TITULADA'!#REF!,"AAAAAH27zww=")</f>
        <v>#REF!</v>
      </c>
      <c r="N68" t="e">
        <f>AND('PROG FORMACIÓN TITULADA'!#REF!,"AAAAAH27zw0=")</f>
        <v>#REF!</v>
      </c>
      <c r="O68" t="e">
        <f>AND('PROG FORMACIÓN TITULADA'!#REF!,"AAAAAH27zw4=")</f>
        <v>#REF!</v>
      </c>
      <c r="P68" t="e">
        <f>AND('PROG FORMACIÓN TITULADA'!#REF!,"AAAAAH27zw8=")</f>
        <v>#REF!</v>
      </c>
      <c r="Q68" t="e">
        <f>AND('PROG FORMACIÓN TITULADA'!#REF!,"AAAAAH27zxA=")</f>
        <v>#REF!</v>
      </c>
      <c r="R68" t="e">
        <f>AND('PROG FORMACIÓN TITULADA'!#REF!,"AAAAAH27zxE=")</f>
        <v>#REF!</v>
      </c>
      <c r="S68" t="e">
        <f>AND('PROG FORMACIÓN TITULADA'!#REF!,"AAAAAH27zxI=")</f>
        <v>#REF!</v>
      </c>
      <c r="T68" t="e">
        <f>AND('PROG FORMACIÓN TITULADA'!#REF!,"AAAAAH27zxM=")</f>
        <v>#REF!</v>
      </c>
      <c r="U68" t="e">
        <f>AND('PROG FORMACIÓN TITULADA'!#REF!,"AAAAAH27zxQ=")</f>
        <v>#REF!</v>
      </c>
      <c r="V68" t="e">
        <f>AND('PROG FORMACIÓN TITULADA'!#REF!,"AAAAAH27zxU=")</f>
        <v>#REF!</v>
      </c>
      <c r="W68" t="e">
        <f>AND('PROG FORMACIÓN TITULADA'!#REF!,"AAAAAH27zxY=")</f>
        <v>#REF!</v>
      </c>
      <c r="X68" t="e">
        <f>AND('PROG FORMACIÓN TITULADA'!#REF!,"AAAAAH27zxc=")</f>
        <v>#REF!</v>
      </c>
      <c r="Y68" t="e">
        <f>AND('PROG FORMACIÓN TITULADA'!#REF!,"AAAAAH27zxg=")</f>
        <v>#REF!</v>
      </c>
      <c r="Z68" t="e">
        <f>AND('PROG FORMACIÓN TITULADA'!#REF!,"AAAAAH27zxk=")</f>
        <v>#REF!</v>
      </c>
      <c r="AA68" t="e">
        <f>AND('PROG FORMACIÓN TITULADA'!#REF!,"AAAAAH27zxo=")</f>
        <v>#REF!</v>
      </c>
      <c r="AB68" t="e">
        <f>AND('PROG FORMACIÓN TITULADA'!#REF!,"AAAAAH27zxs=")</f>
        <v>#REF!</v>
      </c>
      <c r="AC68" t="e">
        <f>AND('PROG FORMACIÓN TITULADA'!#REF!,"AAAAAH27zxw=")</f>
        <v>#REF!</v>
      </c>
      <c r="AD68" t="e">
        <f>AND('PROG FORMACIÓN TITULADA'!#REF!,"AAAAAH27zx0=")</f>
        <v>#REF!</v>
      </c>
      <c r="AE68" t="e">
        <f>AND('PROG FORMACIÓN TITULADA'!#REF!,"AAAAAH27zx4=")</f>
        <v>#REF!</v>
      </c>
      <c r="AF68" t="e">
        <f>AND('PROG FORMACIÓN TITULADA'!#REF!,"AAAAAH27zx8=")</f>
        <v>#REF!</v>
      </c>
      <c r="AG68" t="e">
        <f>AND('PROG FORMACIÓN TITULADA'!#REF!,"AAAAAH27zyA=")</f>
        <v>#REF!</v>
      </c>
      <c r="AH68" t="e">
        <f>AND('PROG FORMACIÓN TITULADA'!#REF!,"AAAAAH27zyE=")</f>
        <v>#REF!</v>
      </c>
      <c r="AI68" t="e">
        <f>IF('PROG FORMACIÓN TITULADA'!#REF!,"AAAAAH27zyI=",0)</f>
        <v>#REF!</v>
      </c>
      <c r="AJ68" t="e">
        <f>AND('PROG FORMACIÓN TITULADA'!#REF!,"AAAAAH27zyM=")</f>
        <v>#REF!</v>
      </c>
      <c r="AK68" t="e">
        <f>AND('PROG FORMACIÓN TITULADA'!#REF!,"AAAAAH27zyQ=")</f>
        <v>#REF!</v>
      </c>
      <c r="AL68" t="e">
        <f>AND('PROG FORMACIÓN TITULADA'!#REF!,"AAAAAH27zyU=")</f>
        <v>#REF!</v>
      </c>
      <c r="AM68" t="e">
        <f>AND('PROG FORMACIÓN TITULADA'!#REF!,"AAAAAH27zyY=")</f>
        <v>#REF!</v>
      </c>
      <c r="AN68" t="e">
        <f>AND('PROG FORMACIÓN TITULADA'!#REF!,"AAAAAH27zyc=")</f>
        <v>#REF!</v>
      </c>
      <c r="AO68" t="e">
        <f>AND('PROG FORMACIÓN TITULADA'!#REF!,"AAAAAH27zyg=")</f>
        <v>#REF!</v>
      </c>
      <c r="AP68" t="e">
        <f>AND('PROG FORMACIÓN TITULADA'!#REF!,"AAAAAH27zyk=")</f>
        <v>#REF!</v>
      </c>
      <c r="AQ68" t="e">
        <f>AND('PROG FORMACIÓN TITULADA'!#REF!,"AAAAAH27zyo=")</f>
        <v>#REF!</v>
      </c>
      <c r="AR68" t="e">
        <f>AND('PROG FORMACIÓN TITULADA'!#REF!,"AAAAAH27zys=")</f>
        <v>#REF!</v>
      </c>
      <c r="AS68" t="e">
        <f>AND('PROG FORMACIÓN TITULADA'!#REF!,"AAAAAH27zyw=")</f>
        <v>#REF!</v>
      </c>
      <c r="AT68" t="e">
        <f>AND('PROG FORMACIÓN TITULADA'!#REF!,"AAAAAH27zy0=")</f>
        <v>#REF!</v>
      </c>
      <c r="AU68" t="e">
        <f>AND('PROG FORMACIÓN TITULADA'!#REF!,"AAAAAH27zy4=")</f>
        <v>#REF!</v>
      </c>
      <c r="AV68" t="e">
        <f>AND('PROG FORMACIÓN TITULADA'!#REF!,"AAAAAH27zy8=")</f>
        <v>#REF!</v>
      </c>
      <c r="AW68" t="e">
        <f>AND('PROG FORMACIÓN TITULADA'!#REF!,"AAAAAH27zzA=")</f>
        <v>#REF!</v>
      </c>
      <c r="AX68" t="e">
        <f>AND('PROG FORMACIÓN TITULADA'!#REF!,"AAAAAH27zzE=")</f>
        <v>#REF!</v>
      </c>
      <c r="AY68" t="e">
        <f>AND('PROG FORMACIÓN TITULADA'!#REF!,"AAAAAH27zzI=")</f>
        <v>#REF!</v>
      </c>
      <c r="AZ68" t="e">
        <f>AND('PROG FORMACIÓN TITULADA'!#REF!,"AAAAAH27zzM=")</f>
        <v>#REF!</v>
      </c>
      <c r="BA68" t="e">
        <f>AND('PROG FORMACIÓN TITULADA'!#REF!,"AAAAAH27zzQ=")</f>
        <v>#REF!</v>
      </c>
      <c r="BB68" t="e">
        <f>AND('PROG FORMACIÓN TITULADA'!#REF!,"AAAAAH27zzU=")</f>
        <v>#REF!</v>
      </c>
      <c r="BC68" t="e">
        <f>AND('PROG FORMACIÓN TITULADA'!#REF!,"AAAAAH27zzY=")</f>
        <v>#REF!</v>
      </c>
      <c r="BD68" t="e">
        <f>AND('PROG FORMACIÓN TITULADA'!#REF!,"AAAAAH27zzc=")</f>
        <v>#REF!</v>
      </c>
      <c r="BE68" t="e">
        <f>AND('PROG FORMACIÓN TITULADA'!#REF!,"AAAAAH27zzg=")</f>
        <v>#REF!</v>
      </c>
      <c r="BF68" t="e">
        <f>AND('PROG FORMACIÓN TITULADA'!#REF!,"AAAAAH27zzk=")</f>
        <v>#REF!</v>
      </c>
      <c r="BG68" t="e">
        <f>AND('PROG FORMACIÓN TITULADA'!#REF!,"AAAAAH27zzo=")</f>
        <v>#REF!</v>
      </c>
      <c r="BH68" t="e">
        <f>AND('PROG FORMACIÓN TITULADA'!#REF!,"AAAAAH27zzs=")</f>
        <v>#REF!</v>
      </c>
      <c r="BI68" t="e">
        <f>AND('PROG FORMACIÓN TITULADA'!#REF!,"AAAAAH27zzw=")</f>
        <v>#REF!</v>
      </c>
      <c r="BJ68" t="e">
        <f>IF('PROG FORMACIÓN TITULADA'!#REF!,"AAAAAH27zz0=",0)</f>
        <v>#REF!</v>
      </c>
      <c r="BK68" t="e">
        <f>AND('PROG FORMACIÓN TITULADA'!#REF!,"AAAAAH27zz4=")</f>
        <v>#REF!</v>
      </c>
      <c r="BL68" t="e">
        <f>AND('PROG FORMACIÓN TITULADA'!#REF!,"AAAAAH27zz8=")</f>
        <v>#REF!</v>
      </c>
      <c r="BM68" t="e">
        <f>AND('PROG FORMACIÓN TITULADA'!#REF!,"AAAAAH27z0A=")</f>
        <v>#REF!</v>
      </c>
      <c r="BN68" t="e">
        <f>AND('PROG FORMACIÓN TITULADA'!#REF!,"AAAAAH27z0E=")</f>
        <v>#REF!</v>
      </c>
      <c r="BO68" t="e">
        <f>AND('PROG FORMACIÓN TITULADA'!#REF!,"AAAAAH27z0I=")</f>
        <v>#REF!</v>
      </c>
      <c r="BP68" t="e">
        <f>AND('PROG FORMACIÓN TITULADA'!#REF!,"AAAAAH27z0M=")</f>
        <v>#REF!</v>
      </c>
      <c r="BQ68" t="e">
        <f>AND('PROG FORMACIÓN TITULADA'!#REF!,"AAAAAH27z0Q=")</f>
        <v>#REF!</v>
      </c>
      <c r="BR68" t="e">
        <f>AND('PROG FORMACIÓN TITULADA'!#REF!,"AAAAAH27z0U=")</f>
        <v>#REF!</v>
      </c>
      <c r="BS68" t="e">
        <f>AND('PROG FORMACIÓN TITULADA'!#REF!,"AAAAAH27z0Y=")</f>
        <v>#REF!</v>
      </c>
      <c r="BT68" t="e">
        <f>AND('PROG FORMACIÓN TITULADA'!#REF!,"AAAAAH27z0c=")</f>
        <v>#REF!</v>
      </c>
      <c r="BU68" t="e">
        <f>AND('PROG FORMACIÓN TITULADA'!#REF!,"AAAAAH27z0g=")</f>
        <v>#REF!</v>
      </c>
      <c r="BV68" t="e">
        <f>AND('PROG FORMACIÓN TITULADA'!#REF!,"AAAAAH27z0k=")</f>
        <v>#REF!</v>
      </c>
      <c r="BW68" t="e">
        <f>AND('PROG FORMACIÓN TITULADA'!#REF!,"AAAAAH27z0o=")</f>
        <v>#REF!</v>
      </c>
      <c r="BX68" t="e">
        <f>AND('PROG FORMACIÓN TITULADA'!#REF!,"AAAAAH27z0s=")</f>
        <v>#REF!</v>
      </c>
      <c r="BY68" t="e">
        <f>AND('PROG FORMACIÓN TITULADA'!#REF!,"AAAAAH27z0w=")</f>
        <v>#REF!</v>
      </c>
      <c r="BZ68" t="e">
        <f>AND('PROG FORMACIÓN TITULADA'!#REF!,"AAAAAH27z00=")</f>
        <v>#REF!</v>
      </c>
      <c r="CA68" t="e">
        <f>AND('PROG FORMACIÓN TITULADA'!#REF!,"AAAAAH27z04=")</f>
        <v>#REF!</v>
      </c>
      <c r="CB68" t="e">
        <f>AND('PROG FORMACIÓN TITULADA'!#REF!,"AAAAAH27z08=")</f>
        <v>#REF!</v>
      </c>
      <c r="CC68" t="e">
        <f>AND('PROG FORMACIÓN TITULADA'!#REF!,"AAAAAH27z1A=")</f>
        <v>#REF!</v>
      </c>
      <c r="CD68" t="e">
        <f>AND('PROG FORMACIÓN TITULADA'!#REF!,"AAAAAH27z1E=")</f>
        <v>#REF!</v>
      </c>
      <c r="CE68" t="e">
        <f>AND('PROG FORMACIÓN TITULADA'!#REF!,"AAAAAH27z1I=")</f>
        <v>#REF!</v>
      </c>
      <c r="CF68" t="e">
        <f>AND('PROG FORMACIÓN TITULADA'!#REF!,"AAAAAH27z1M=")</f>
        <v>#REF!</v>
      </c>
      <c r="CG68" t="e">
        <f>AND('PROG FORMACIÓN TITULADA'!#REF!,"AAAAAH27z1Q=")</f>
        <v>#REF!</v>
      </c>
      <c r="CH68" t="e">
        <f>AND('PROG FORMACIÓN TITULADA'!#REF!,"AAAAAH27z1U=")</f>
        <v>#REF!</v>
      </c>
      <c r="CI68" t="e">
        <f>AND('PROG FORMACIÓN TITULADA'!#REF!,"AAAAAH27z1Y=")</f>
        <v>#REF!</v>
      </c>
      <c r="CJ68" t="e">
        <f>AND('PROG FORMACIÓN TITULADA'!#REF!,"AAAAAH27z1c=")</f>
        <v>#REF!</v>
      </c>
      <c r="CK68" t="e">
        <f>IF('PROG FORMACIÓN TITULADA'!#REF!,"AAAAAH27z1g=",0)</f>
        <v>#REF!</v>
      </c>
      <c r="CL68" t="e">
        <f>AND('PROG FORMACIÓN TITULADA'!#REF!,"AAAAAH27z1k=")</f>
        <v>#REF!</v>
      </c>
      <c r="CM68" t="e">
        <f>AND('PROG FORMACIÓN TITULADA'!#REF!,"AAAAAH27z1o=")</f>
        <v>#REF!</v>
      </c>
      <c r="CN68" t="e">
        <f>AND('PROG FORMACIÓN TITULADA'!#REF!,"AAAAAH27z1s=")</f>
        <v>#REF!</v>
      </c>
      <c r="CO68" t="e">
        <f>AND('PROG FORMACIÓN TITULADA'!#REF!,"AAAAAH27z1w=")</f>
        <v>#REF!</v>
      </c>
      <c r="CP68" t="e">
        <f>AND('PROG FORMACIÓN TITULADA'!#REF!,"AAAAAH27z10=")</f>
        <v>#REF!</v>
      </c>
      <c r="CQ68" t="e">
        <f>AND('PROG FORMACIÓN TITULADA'!#REF!,"AAAAAH27z14=")</f>
        <v>#REF!</v>
      </c>
      <c r="CR68" t="e">
        <f>AND('PROG FORMACIÓN TITULADA'!#REF!,"AAAAAH27z18=")</f>
        <v>#REF!</v>
      </c>
      <c r="CS68" t="e">
        <f>AND('PROG FORMACIÓN TITULADA'!#REF!,"AAAAAH27z2A=")</f>
        <v>#REF!</v>
      </c>
      <c r="CT68" t="e">
        <f>AND('PROG FORMACIÓN TITULADA'!#REF!,"AAAAAH27z2E=")</f>
        <v>#REF!</v>
      </c>
      <c r="CU68" t="e">
        <f>AND('PROG FORMACIÓN TITULADA'!#REF!,"AAAAAH27z2I=")</f>
        <v>#REF!</v>
      </c>
      <c r="CV68" t="e">
        <f>AND('PROG FORMACIÓN TITULADA'!#REF!,"AAAAAH27z2M=")</f>
        <v>#REF!</v>
      </c>
      <c r="CW68" t="e">
        <f>AND('PROG FORMACIÓN TITULADA'!#REF!,"AAAAAH27z2Q=")</f>
        <v>#REF!</v>
      </c>
      <c r="CX68" t="e">
        <f>AND('PROG FORMACIÓN TITULADA'!#REF!,"AAAAAH27z2U=")</f>
        <v>#REF!</v>
      </c>
      <c r="CY68" t="e">
        <f>AND('PROG FORMACIÓN TITULADA'!#REF!,"AAAAAH27z2Y=")</f>
        <v>#REF!</v>
      </c>
      <c r="CZ68" t="e">
        <f>AND('PROG FORMACIÓN TITULADA'!#REF!,"AAAAAH27z2c=")</f>
        <v>#REF!</v>
      </c>
      <c r="DA68" t="e">
        <f>AND('PROG FORMACIÓN TITULADA'!#REF!,"AAAAAH27z2g=")</f>
        <v>#REF!</v>
      </c>
      <c r="DB68" t="e">
        <f>AND('PROG FORMACIÓN TITULADA'!#REF!,"AAAAAH27z2k=")</f>
        <v>#REF!</v>
      </c>
      <c r="DC68" t="e">
        <f>AND('PROG FORMACIÓN TITULADA'!#REF!,"AAAAAH27z2o=")</f>
        <v>#REF!</v>
      </c>
      <c r="DD68" t="e">
        <f>AND('PROG FORMACIÓN TITULADA'!#REF!,"AAAAAH27z2s=")</f>
        <v>#REF!</v>
      </c>
      <c r="DE68" t="e">
        <f>AND('PROG FORMACIÓN TITULADA'!#REF!,"AAAAAH27z2w=")</f>
        <v>#REF!</v>
      </c>
      <c r="DF68" t="e">
        <f>AND('PROG FORMACIÓN TITULADA'!#REF!,"AAAAAH27z20=")</f>
        <v>#REF!</v>
      </c>
      <c r="DG68" t="e">
        <f>AND('PROG FORMACIÓN TITULADA'!#REF!,"AAAAAH27z24=")</f>
        <v>#REF!</v>
      </c>
      <c r="DH68" t="e">
        <f>AND('PROG FORMACIÓN TITULADA'!#REF!,"AAAAAH27z28=")</f>
        <v>#REF!</v>
      </c>
      <c r="DI68" t="e">
        <f>AND('PROG FORMACIÓN TITULADA'!#REF!,"AAAAAH27z3A=")</f>
        <v>#REF!</v>
      </c>
      <c r="DJ68" t="e">
        <f>AND('PROG FORMACIÓN TITULADA'!#REF!,"AAAAAH27z3E=")</f>
        <v>#REF!</v>
      </c>
      <c r="DK68" t="e">
        <f>AND('PROG FORMACIÓN TITULADA'!#REF!,"AAAAAH27z3I=")</f>
        <v>#REF!</v>
      </c>
      <c r="DL68" t="e">
        <f>IF('PROG FORMACIÓN TITULADA'!#REF!,"AAAAAH27z3M=",0)</f>
        <v>#REF!</v>
      </c>
      <c r="DM68" t="e">
        <f>AND('PROG FORMACIÓN TITULADA'!#REF!,"AAAAAH27z3Q=")</f>
        <v>#REF!</v>
      </c>
      <c r="DN68" t="e">
        <f>AND('PROG FORMACIÓN TITULADA'!#REF!,"AAAAAH27z3U=")</f>
        <v>#REF!</v>
      </c>
      <c r="DO68" t="e">
        <f>AND('PROG FORMACIÓN TITULADA'!#REF!,"AAAAAH27z3Y=")</f>
        <v>#REF!</v>
      </c>
      <c r="DP68" t="e">
        <f>AND('PROG FORMACIÓN TITULADA'!#REF!,"AAAAAH27z3c=")</f>
        <v>#REF!</v>
      </c>
      <c r="DQ68" t="e">
        <f>AND('PROG FORMACIÓN TITULADA'!#REF!,"AAAAAH27z3g=")</f>
        <v>#REF!</v>
      </c>
      <c r="DR68" t="e">
        <f>AND('PROG FORMACIÓN TITULADA'!#REF!,"AAAAAH27z3k=")</f>
        <v>#REF!</v>
      </c>
      <c r="DS68" t="e">
        <f>AND('PROG FORMACIÓN TITULADA'!#REF!,"AAAAAH27z3o=")</f>
        <v>#REF!</v>
      </c>
      <c r="DT68" t="e">
        <f>AND('PROG FORMACIÓN TITULADA'!#REF!,"AAAAAH27z3s=")</f>
        <v>#REF!</v>
      </c>
      <c r="DU68" t="e">
        <f>AND('PROG FORMACIÓN TITULADA'!#REF!,"AAAAAH27z3w=")</f>
        <v>#REF!</v>
      </c>
      <c r="DV68" t="e">
        <f>AND('PROG FORMACIÓN TITULADA'!#REF!,"AAAAAH27z30=")</f>
        <v>#REF!</v>
      </c>
      <c r="DW68" t="e">
        <f>AND('PROG FORMACIÓN TITULADA'!#REF!,"AAAAAH27z34=")</f>
        <v>#REF!</v>
      </c>
      <c r="DX68" t="e">
        <f>AND('PROG FORMACIÓN TITULADA'!#REF!,"AAAAAH27z38=")</f>
        <v>#REF!</v>
      </c>
      <c r="DY68" t="e">
        <f>AND('PROG FORMACIÓN TITULADA'!#REF!,"AAAAAH27z4A=")</f>
        <v>#REF!</v>
      </c>
      <c r="DZ68" t="e">
        <f>AND('PROG FORMACIÓN TITULADA'!#REF!,"AAAAAH27z4E=")</f>
        <v>#REF!</v>
      </c>
      <c r="EA68" t="e">
        <f>AND('PROG FORMACIÓN TITULADA'!#REF!,"AAAAAH27z4I=")</f>
        <v>#REF!</v>
      </c>
      <c r="EB68" t="e">
        <f>AND('PROG FORMACIÓN TITULADA'!#REF!,"AAAAAH27z4M=")</f>
        <v>#REF!</v>
      </c>
      <c r="EC68" t="e">
        <f>AND('PROG FORMACIÓN TITULADA'!#REF!,"AAAAAH27z4Q=")</f>
        <v>#REF!</v>
      </c>
      <c r="ED68" t="e">
        <f>AND('PROG FORMACIÓN TITULADA'!#REF!,"AAAAAH27z4U=")</f>
        <v>#REF!</v>
      </c>
      <c r="EE68" t="e">
        <f>AND('PROG FORMACIÓN TITULADA'!#REF!,"AAAAAH27z4Y=")</f>
        <v>#REF!</v>
      </c>
      <c r="EF68" t="e">
        <f>AND('PROG FORMACIÓN TITULADA'!#REF!,"AAAAAH27z4c=")</f>
        <v>#REF!</v>
      </c>
      <c r="EG68" t="e">
        <f>AND('PROG FORMACIÓN TITULADA'!#REF!,"AAAAAH27z4g=")</f>
        <v>#REF!</v>
      </c>
      <c r="EH68" t="e">
        <f>AND('PROG FORMACIÓN TITULADA'!#REF!,"AAAAAH27z4k=")</f>
        <v>#REF!</v>
      </c>
      <c r="EI68" t="e">
        <f>AND('PROG FORMACIÓN TITULADA'!#REF!,"AAAAAH27z4o=")</f>
        <v>#REF!</v>
      </c>
      <c r="EJ68" t="e">
        <f>AND('PROG FORMACIÓN TITULADA'!#REF!,"AAAAAH27z4s=")</f>
        <v>#REF!</v>
      </c>
      <c r="EK68" t="e">
        <f>AND('PROG FORMACIÓN TITULADA'!#REF!,"AAAAAH27z4w=")</f>
        <v>#REF!</v>
      </c>
      <c r="EL68" t="e">
        <f>AND('PROG FORMACIÓN TITULADA'!#REF!,"AAAAAH27z40=")</f>
        <v>#REF!</v>
      </c>
      <c r="EM68" t="e">
        <f>IF('PROG FORMACIÓN TITULADA'!#REF!,"AAAAAH27z44=",0)</f>
        <v>#REF!</v>
      </c>
      <c r="EN68" t="e">
        <f>AND('PROG FORMACIÓN TITULADA'!#REF!,"AAAAAH27z48=")</f>
        <v>#REF!</v>
      </c>
      <c r="EO68" t="e">
        <f>AND('PROG FORMACIÓN TITULADA'!#REF!,"AAAAAH27z5A=")</f>
        <v>#REF!</v>
      </c>
      <c r="EP68" t="e">
        <f>AND('PROG FORMACIÓN TITULADA'!#REF!,"AAAAAH27z5E=")</f>
        <v>#REF!</v>
      </c>
      <c r="EQ68" t="e">
        <f>AND('PROG FORMACIÓN TITULADA'!#REF!,"AAAAAH27z5I=")</f>
        <v>#REF!</v>
      </c>
      <c r="ER68" t="e">
        <f>AND('PROG FORMACIÓN TITULADA'!#REF!,"AAAAAH27z5M=")</f>
        <v>#REF!</v>
      </c>
      <c r="ES68" t="e">
        <f>AND('PROG FORMACIÓN TITULADA'!#REF!,"AAAAAH27z5Q=")</f>
        <v>#REF!</v>
      </c>
      <c r="ET68" t="e">
        <f>AND('PROG FORMACIÓN TITULADA'!#REF!,"AAAAAH27z5U=")</f>
        <v>#REF!</v>
      </c>
      <c r="EU68" t="e">
        <f>AND('PROG FORMACIÓN TITULADA'!#REF!,"AAAAAH27z5Y=")</f>
        <v>#REF!</v>
      </c>
      <c r="EV68" t="e">
        <f>AND('PROG FORMACIÓN TITULADA'!#REF!,"AAAAAH27z5c=")</f>
        <v>#REF!</v>
      </c>
      <c r="EW68" t="e">
        <f>AND('PROG FORMACIÓN TITULADA'!#REF!,"AAAAAH27z5g=")</f>
        <v>#REF!</v>
      </c>
      <c r="EX68" t="e">
        <f>AND('PROG FORMACIÓN TITULADA'!#REF!,"AAAAAH27z5k=")</f>
        <v>#REF!</v>
      </c>
      <c r="EY68" t="e">
        <f>AND('PROG FORMACIÓN TITULADA'!#REF!,"AAAAAH27z5o=")</f>
        <v>#REF!</v>
      </c>
      <c r="EZ68" t="e">
        <f>AND('PROG FORMACIÓN TITULADA'!#REF!,"AAAAAH27z5s=")</f>
        <v>#REF!</v>
      </c>
      <c r="FA68" t="e">
        <f>AND('PROG FORMACIÓN TITULADA'!#REF!,"AAAAAH27z5w=")</f>
        <v>#REF!</v>
      </c>
      <c r="FB68" t="e">
        <f>AND('PROG FORMACIÓN TITULADA'!#REF!,"AAAAAH27z50=")</f>
        <v>#REF!</v>
      </c>
      <c r="FC68" t="e">
        <f>AND('PROG FORMACIÓN TITULADA'!#REF!,"AAAAAH27z54=")</f>
        <v>#REF!</v>
      </c>
      <c r="FD68" t="e">
        <f>AND('PROG FORMACIÓN TITULADA'!#REF!,"AAAAAH27z58=")</f>
        <v>#REF!</v>
      </c>
      <c r="FE68" t="e">
        <f>AND('PROG FORMACIÓN TITULADA'!#REF!,"AAAAAH27z6A=")</f>
        <v>#REF!</v>
      </c>
      <c r="FF68" t="e">
        <f>AND('PROG FORMACIÓN TITULADA'!#REF!,"AAAAAH27z6E=")</f>
        <v>#REF!</v>
      </c>
      <c r="FG68" t="e">
        <f>AND('PROG FORMACIÓN TITULADA'!#REF!,"AAAAAH27z6I=")</f>
        <v>#REF!</v>
      </c>
      <c r="FH68" t="e">
        <f>AND('PROG FORMACIÓN TITULADA'!#REF!,"AAAAAH27z6M=")</f>
        <v>#REF!</v>
      </c>
      <c r="FI68" t="e">
        <f>AND('PROG FORMACIÓN TITULADA'!#REF!,"AAAAAH27z6Q=")</f>
        <v>#REF!</v>
      </c>
      <c r="FJ68" t="e">
        <f>AND('PROG FORMACIÓN TITULADA'!#REF!,"AAAAAH27z6U=")</f>
        <v>#REF!</v>
      </c>
      <c r="FK68" t="e">
        <f>AND('PROG FORMACIÓN TITULADA'!#REF!,"AAAAAH27z6Y=")</f>
        <v>#REF!</v>
      </c>
      <c r="FL68" t="e">
        <f>AND('PROG FORMACIÓN TITULADA'!#REF!,"AAAAAH27z6c=")</f>
        <v>#REF!</v>
      </c>
      <c r="FM68" t="e">
        <f>AND('PROG FORMACIÓN TITULADA'!#REF!,"AAAAAH27z6g=")</f>
        <v>#REF!</v>
      </c>
      <c r="FN68" t="e">
        <f>IF('PROG FORMACIÓN TITULADA'!#REF!,"AAAAAH27z6k=",0)</f>
        <v>#REF!</v>
      </c>
      <c r="FO68" t="e">
        <f>AND('PROG FORMACIÓN TITULADA'!#REF!,"AAAAAH27z6o=")</f>
        <v>#REF!</v>
      </c>
      <c r="FP68" t="e">
        <f>AND('PROG FORMACIÓN TITULADA'!#REF!,"AAAAAH27z6s=")</f>
        <v>#REF!</v>
      </c>
      <c r="FQ68" t="e">
        <f>AND('PROG FORMACIÓN TITULADA'!#REF!,"AAAAAH27z6w=")</f>
        <v>#REF!</v>
      </c>
      <c r="FR68" t="e">
        <f>AND('PROG FORMACIÓN TITULADA'!#REF!,"AAAAAH27z60=")</f>
        <v>#REF!</v>
      </c>
      <c r="FS68" t="e">
        <f>AND('PROG FORMACIÓN TITULADA'!#REF!,"AAAAAH27z64=")</f>
        <v>#REF!</v>
      </c>
      <c r="FT68" t="e">
        <f>AND('PROG FORMACIÓN TITULADA'!#REF!,"AAAAAH27z68=")</f>
        <v>#REF!</v>
      </c>
      <c r="FU68" t="e">
        <f>AND('PROG FORMACIÓN TITULADA'!#REF!,"AAAAAH27z7A=")</f>
        <v>#REF!</v>
      </c>
      <c r="FV68" t="e">
        <f>AND('PROG FORMACIÓN TITULADA'!#REF!,"AAAAAH27z7E=")</f>
        <v>#REF!</v>
      </c>
      <c r="FW68" t="e">
        <f>AND('PROG FORMACIÓN TITULADA'!#REF!,"AAAAAH27z7I=")</f>
        <v>#REF!</v>
      </c>
      <c r="FX68" t="e">
        <f>AND('PROG FORMACIÓN TITULADA'!#REF!,"AAAAAH27z7M=")</f>
        <v>#REF!</v>
      </c>
      <c r="FY68" t="e">
        <f>AND('PROG FORMACIÓN TITULADA'!#REF!,"AAAAAH27z7Q=")</f>
        <v>#REF!</v>
      </c>
      <c r="FZ68" t="e">
        <f>AND('PROG FORMACIÓN TITULADA'!#REF!,"AAAAAH27z7U=")</f>
        <v>#REF!</v>
      </c>
      <c r="GA68" t="e">
        <f>AND('PROG FORMACIÓN TITULADA'!#REF!,"AAAAAH27z7Y=")</f>
        <v>#REF!</v>
      </c>
      <c r="GB68" t="e">
        <f>AND('PROG FORMACIÓN TITULADA'!#REF!,"AAAAAH27z7c=")</f>
        <v>#REF!</v>
      </c>
      <c r="GC68" t="e">
        <f>AND('PROG FORMACIÓN TITULADA'!#REF!,"AAAAAH27z7g=")</f>
        <v>#REF!</v>
      </c>
      <c r="GD68" t="e">
        <f>AND('PROG FORMACIÓN TITULADA'!#REF!,"AAAAAH27z7k=")</f>
        <v>#REF!</v>
      </c>
      <c r="GE68" t="e">
        <f>AND('PROG FORMACIÓN TITULADA'!#REF!,"AAAAAH27z7o=")</f>
        <v>#REF!</v>
      </c>
      <c r="GF68" t="e">
        <f>AND('PROG FORMACIÓN TITULADA'!#REF!,"AAAAAH27z7s=")</f>
        <v>#REF!</v>
      </c>
      <c r="GG68" t="e">
        <f>AND('PROG FORMACIÓN TITULADA'!#REF!,"AAAAAH27z7w=")</f>
        <v>#REF!</v>
      </c>
      <c r="GH68" t="e">
        <f>AND('PROG FORMACIÓN TITULADA'!#REF!,"AAAAAH27z70=")</f>
        <v>#REF!</v>
      </c>
      <c r="GI68" t="e">
        <f>AND('PROG FORMACIÓN TITULADA'!#REF!,"AAAAAH27z74=")</f>
        <v>#REF!</v>
      </c>
      <c r="GJ68" t="e">
        <f>AND('PROG FORMACIÓN TITULADA'!#REF!,"AAAAAH27z78=")</f>
        <v>#REF!</v>
      </c>
      <c r="GK68" t="e">
        <f>AND('PROG FORMACIÓN TITULADA'!#REF!,"AAAAAH27z8A=")</f>
        <v>#REF!</v>
      </c>
      <c r="GL68" t="e">
        <f>AND('PROG FORMACIÓN TITULADA'!#REF!,"AAAAAH27z8E=")</f>
        <v>#REF!</v>
      </c>
      <c r="GM68" t="e">
        <f>AND('PROG FORMACIÓN TITULADA'!#REF!,"AAAAAH27z8I=")</f>
        <v>#REF!</v>
      </c>
      <c r="GN68" t="e">
        <f>AND('PROG FORMACIÓN TITULADA'!#REF!,"AAAAAH27z8M=")</f>
        <v>#REF!</v>
      </c>
      <c r="GO68" t="e">
        <f>IF('PROG FORMACIÓN TITULADA'!#REF!,"AAAAAH27z8Q=",0)</f>
        <v>#REF!</v>
      </c>
      <c r="GP68" t="e">
        <f>AND('PROG FORMACIÓN TITULADA'!#REF!,"AAAAAH27z8U=")</f>
        <v>#REF!</v>
      </c>
      <c r="GQ68" t="e">
        <f>AND('PROG FORMACIÓN TITULADA'!#REF!,"AAAAAH27z8Y=")</f>
        <v>#REF!</v>
      </c>
      <c r="GR68" t="e">
        <f>AND('PROG FORMACIÓN TITULADA'!#REF!,"AAAAAH27z8c=")</f>
        <v>#REF!</v>
      </c>
      <c r="GS68" t="e">
        <f>AND('PROG FORMACIÓN TITULADA'!#REF!,"AAAAAH27z8g=")</f>
        <v>#REF!</v>
      </c>
      <c r="GT68" t="e">
        <f>AND('PROG FORMACIÓN TITULADA'!#REF!,"AAAAAH27z8k=")</f>
        <v>#REF!</v>
      </c>
      <c r="GU68" t="e">
        <f>AND('PROG FORMACIÓN TITULADA'!#REF!,"AAAAAH27z8o=")</f>
        <v>#REF!</v>
      </c>
      <c r="GV68" t="e">
        <f>AND('PROG FORMACIÓN TITULADA'!#REF!,"AAAAAH27z8s=")</f>
        <v>#REF!</v>
      </c>
      <c r="GW68" t="e">
        <f>AND('PROG FORMACIÓN TITULADA'!#REF!,"AAAAAH27z8w=")</f>
        <v>#REF!</v>
      </c>
      <c r="GX68" t="e">
        <f>AND('PROG FORMACIÓN TITULADA'!#REF!,"AAAAAH27z80=")</f>
        <v>#REF!</v>
      </c>
      <c r="GY68" t="e">
        <f>AND('PROG FORMACIÓN TITULADA'!#REF!,"AAAAAH27z84=")</f>
        <v>#REF!</v>
      </c>
      <c r="GZ68" t="e">
        <f>AND('PROG FORMACIÓN TITULADA'!#REF!,"AAAAAH27z88=")</f>
        <v>#REF!</v>
      </c>
      <c r="HA68" t="e">
        <f>AND('PROG FORMACIÓN TITULADA'!#REF!,"AAAAAH27z9A=")</f>
        <v>#REF!</v>
      </c>
      <c r="HB68" t="e">
        <f>AND('PROG FORMACIÓN TITULADA'!#REF!,"AAAAAH27z9E=")</f>
        <v>#REF!</v>
      </c>
      <c r="HC68" t="e">
        <f>AND('PROG FORMACIÓN TITULADA'!#REF!,"AAAAAH27z9I=")</f>
        <v>#REF!</v>
      </c>
      <c r="HD68" t="e">
        <f>AND('PROG FORMACIÓN TITULADA'!#REF!,"AAAAAH27z9M=")</f>
        <v>#REF!</v>
      </c>
      <c r="HE68" t="e">
        <f>AND('PROG FORMACIÓN TITULADA'!#REF!,"AAAAAH27z9Q=")</f>
        <v>#REF!</v>
      </c>
      <c r="HF68" t="e">
        <f>AND('PROG FORMACIÓN TITULADA'!#REF!,"AAAAAH27z9U=")</f>
        <v>#REF!</v>
      </c>
      <c r="HG68" t="e">
        <f>AND('PROG FORMACIÓN TITULADA'!#REF!,"AAAAAH27z9Y=")</f>
        <v>#REF!</v>
      </c>
      <c r="HH68" t="e">
        <f>AND('PROG FORMACIÓN TITULADA'!#REF!,"AAAAAH27z9c=")</f>
        <v>#REF!</v>
      </c>
      <c r="HI68" t="e">
        <f>AND('PROG FORMACIÓN TITULADA'!#REF!,"AAAAAH27z9g=")</f>
        <v>#REF!</v>
      </c>
      <c r="HJ68" t="e">
        <f>AND('PROG FORMACIÓN TITULADA'!#REF!,"AAAAAH27z9k=")</f>
        <v>#REF!</v>
      </c>
      <c r="HK68" t="e">
        <f>AND('PROG FORMACIÓN TITULADA'!#REF!,"AAAAAH27z9o=")</f>
        <v>#REF!</v>
      </c>
      <c r="HL68" t="e">
        <f>AND('PROG FORMACIÓN TITULADA'!#REF!,"AAAAAH27z9s=")</f>
        <v>#REF!</v>
      </c>
      <c r="HM68" t="e">
        <f>AND('PROG FORMACIÓN TITULADA'!#REF!,"AAAAAH27z9w=")</f>
        <v>#REF!</v>
      </c>
      <c r="HN68" t="e">
        <f>AND('PROG FORMACIÓN TITULADA'!#REF!,"AAAAAH27z90=")</f>
        <v>#REF!</v>
      </c>
      <c r="HO68" t="e">
        <f>AND('PROG FORMACIÓN TITULADA'!#REF!,"AAAAAH27z94=")</f>
        <v>#REF!</v>
      </c>
      <c r="HP68" t="e">
        <f>IF('PROG FORMACIÓN TITULADA'!#REF!,"AAAAAH27z98=",0)</f>
        <v>#REF!</v>
      </c>
      <c r="HQ68" t="e">
        <f>AND('PROG FORMACIÓN TITULADA'!#REF!,"AAAAAH27z+A=")</f>
        <v>#REF!</v>
      </c>
      <c r="HR68" t="e">
        <f>AND('PROG FORMACIÓN TITULADA'!#REF!,"AAAAAH27z+E=")</f>
        <v>#REF!</v>
      </c>
      <c r="HS68" t="e">
        <f>AND('PROG FORMACIÓN TITULADA'!#REF!,"AAAAAH27z+I=")</f>
        <v>#REF!</v>
      </c>
      <c r="HT68" t="e">
        <f>AND('PROG FORMACIÓN TITULADA'!#REF!,"AAAAAH27z+M=")</f>
        <v>#REF!</v>
      </c>
      <c r="HU68" t="e">
        <f>AND('PROG FORMACIÓN TITULADA'!#REF!,"AAAAAH27z+Q=")</f>
        <v>#REF!</v>
      </c>
      <c r="HV68" t="e">
        <f>AND('PROG FORMACIÓN TITULADA'!#REF!,"AAAAAH27z+U=")</f>
        <v>#REF!</v>
      </c>
      <c r="HW68" t="e">
        <f>AND('PROG FORMACIÓN TITULADA'!#REF!,"AAAAAH27z+Y=")</f>
        <v>#REF!</v>
      </c>
      <c r="HX68" t="e">
        <f>AND('PROG FORMACIÓN TITULADA'!#REF!,"AAAAAH27z+c=")</f>
        <v>#REF!</v>
      </c>
      <c r="HY68" t="e">
        <f>AND('PROG FORMACIÓN TITULADA'!#REF!,"AAAAAH27z+g=")</f>
        <v>#REF!</v>
      </c>
      <c r="HZ68" t="e">
        <f>AND('PROG FORMACIÓN TITULADA'!#REF!,"AAAAAH27z+k=")</f>
        <v>#REF!</v>
      </c>
      <c r="IA68" t="e">
        <f>AND('PROG FORMACIÓN TITULADA'!#REF!,"AAAAAH27z+o=")</f>
        <v>#REF!</v>
      </c>
      <c r="IB68" t="e">
        <f>AND('PROG FORMACIÓN TITULADA'!#REF!,"AAAAAH27z+s=")</f>
        <v>#REF!</v>
      </c>
      <c r="IC68" t="e">
        <f>AND('PROG FORMACIÓN TITULADA'!#REF!,"AAAAAH27z+w=")</f>
        <v>#REF!</v>
      </c>
      <c r="ID68" t="e">
        <f>AND('PROG FORMACIÓN TITULADA'!#REF!,"AAAAAH27z+0=")</f>
        <v>#REF!</v>
      </c>
      <c r="IE68" t="e">
        <f>AND('PROG FORMACIÓN TITULADA'!#REF!,"AAAAAH27z+4=")</f>
        <v>#REF!</v>
      </c>
      <c r="IF68" t="e">
        <f>AND('PROG FORMACIÓN TITULADA'!#REF!,"AAAAAH27z+8=")</f>
        <v>#REF!</v>
      </c>
      <c r="IG68" t="e">
        <f>AND('PROG FORMACIÓN TITULADA'!#REF!,"AAAAAH27z/A=")</f>
        <v>#REF!</v>
      </c>
      <c r="IH68" t="e">
        <f>AND('PROG FORMACIÓN TITULADA'!#REF!,"AAAAAH27z/E=")</f>
        <v>#REF!</v>
      </c>
      <c r="II68" t="e">
        <f>AND('PROG FORMACIÓN TITULADA'!#REF!,"AAAAAH27z/I=")</f>
        <v>#REF!</v>
      </c>
      <c r="IJ68" t="e">
        <f>AND('PROG FORMACIÓN TITULADA'!#REF!,"AAAAAH27z/M=")</f>
        <v>#REF!</v>
      </c>
      <c r="IK68" t="e">
        <f>AND('PROG FORMACIÓN TITULADA'!#REF!,"AAAAAH27z/Q=")</f>
        <v>#REF!</v>
      </c>
      <c r="IL68" t="e">
        <f>AND('PROG FORMACIÓN TITULADA'!#REF!,"AAAAAH27z/U=")</f>
        <v>#REF!</v>
      </c>
      <c r="IM68" t="e">
        <f>AND('PROG FORMACIÓN TITULADA'!#REF!,"AAAAAH27z/Y=")</f>
        <v>#REF!</v>
      </c>
      <c r="IN68" t="e">
        <f>AND('PROG FORMACIÓN TITULADA'!#REF!,"AAAAAH27z/c=")</f>
        <v>#REF!</v>
      </c>
      <c r="IO68" t="e">
        <f>AND('PROG FORMACIÓN TITULADA'!#REF!,"AAAAAH27z/g=")</f>
        <v>#REF!</v>
      </c>
      <c r="IP68" t="e">
        <f>AND('PROG FORMACIÓN TITULADA'!#REF!,"AAAAAH27z/k=")</f>
        <v>#REF!</v>
      </c>
      <c r="IQ68" t="e">
        <f>IF('PROG FORMACIÓN TITULADA'!#REF!,"AAAAAH27z/o=",0)</f>
        <v>#REF!</v>
      </c>
      <c r="IR68" t="e">
        <f>AND('PROG FORMACIÓN TITULADA'!#REF!,"AAAAAH27z/s=")</f>
        <v>#REF!</v>
      </c>
      <c r="IS68" t="e">
        <f>AND('PROG FORMACIÓN TITULADA'!#REF!,"AAAAAH27z/w=")</f>
        <v>#REF!</v>
      </c>
      <c r="IT68" t="e">
        <f>AND('PROG FORMACIÓN TITULADA'!#REF!,"AAAAAH27z/0=")</f>
        <v>#REF!</v>
      </c>
      <c r="IU68" t="e">
        <f>AND('PROG FORMACIÓN TITULADA'!#REF!,"AAAAAH27z/4=")</f>
        <v>#REF!</v>
      </c>
      <c r="IV68" t="e">
        <f>AND('PROG FORMACIÓN TITULADA'!#REF!,"AAAAAH27z/8=")</f>
        <v>#REF!</v>
      </c>
    </row>
    <row r="69" spans="1:256" x14ac:dyDescent="0.2">
      <c r="A69" t="e">
        <f>AND('PROG FORMACIÓN TITULADA'!#REF!,"AAAAAD11/wA=")</f>
        <v>#REF!</v>
      </c>
      <c r="B69" t="e">
        <f>AND('PROG FORMACIÓN TITULADA'!#REF!,"AAAAAD11/wE=")</f>
        <v>#REF!</v>
      </c>
      <c r="C69" t="e">
        <f>AND('PROG FORMACIÓN TITULADA'!#REF!,"AAAAAD11/wI=")</f>
        <v>#REF!</v>
      </c>
      <c r="D69" t="e">
        <f>AND('PROG FORMACIÓN TITULADA'!#REF!,"AAAAAD11/wM=")</f>
        <v>#REF!</v>
      </c>
      <c r="E69" t="e">
        <f>AND('PROG FORMACIÓN TITULADA'!#REF!,"AAAAAD11/wQ=")</f>
        <v>#REF!</v>
      </c>
      <c r="F69" t="e">
        <f>AND('PROG FORMACIÓN TITULADA'!#REF!,"AAAAAD11/wU=")</f>
        <v>#REF!</v>
      </c>
      <c r="G69" t="e">
        <f>AND('PROG FORMACIÓN TITULADA'!#REF!,"AAAAAD11/wY=")</f>
        <v>#REF!</v>
      </c>
      <c r="H69" t="e">
        <f>AND('PROG FORMACIÓN TITULADA'!#REF!,"AAAAAD11/wc=")</f>
        <v>#REF!</v>
      </c>
      <c r="I69" t="e">
        <f>AND('PROG FORMACIÓN TITULADA'!#REF!,"AAAAAD11/wg=")</f>
        <v>#REF!</v>
      </c>
      <c r="J69" t="e">
        <f>AND('PROG FORMACIÓN TITULADA'!#REF!,"AAAAAD11/wk=")</f>
        <v>#REF!</v>
      </c>
      <c r="K69" t="e">
        <f>AND('PROG FORMACIÓN TITULADA'!#REF!,"AAAAAD11/wo=")</f>
        <v>#REF!</v>
      </c>
      <c r="L69" t="e">
        <f>AND('PROG FORMACIÓN TITULADA'!#REF!,"AAAAAD11/ws=")</f>
        <v>#REF!</v>
      </c>
      <c r="M69" t="e">
        <f>AND('PROG FORMACIÓN TITULADA'!#REF!,"AAAAAD11/ww=")</f>
        <v>#REF!</v>
      </c>
      <c r="N69" t="e">
        <f>AND('PROG FORMACIÓN TITULADA'!#REF!,"AAAAAD11/w0=")</f>
        <v>#REF!</v>
      </c>
      <c r="O69" t="e">
        <f>AND('PROG FORMACIÓN TITULADA'!#REF!,"AAAAAD11/w4=")</f>
        <v>#REF!</v>
      </c>
      <c r="P69" t="e">
        <f>AND('PROG FORMACIÓN TITULADA'!#REF!,"AAAAAD11/w8=")</f>
        <v>#REF!</v>
      </c>
      <c r="Q69" t="e">
        <f>AND('PROG FORMACIÓN TITULADA'!#REF!,"AAAAAD11/xA=")</f>
        <v>#REF!</v>
      </c>
      <c r="R69" t="e">
        <f>AND('PROG FORMACIÓN TITULADA'!#REF!,"AAAAAD11/xE=")</f>
        <v>#REF!</v>
      </c>
      <c r="S69" t="e">
        <f>AND('PROG FORMACIÓN TITULADA'!#REF!,"AAAAAD11/xI=")</f>
        <v>#REF!</v>
      </c>
      <c r="T69" t="e">
        <f>AND('PROG FORMACIÓN TITULADA'!#REF!,"AAAAAD11/xM=")</f>
        <v>#REF!</v>
      </c>
      <c r="U69" t="e">
        <f>AND('PROG FORMACIÓN TITULADA'!#REF!,"AAAAAD11/xQ=")</f>
        <v>#REF!</v>
      </c>
      <c r="V69" t="e">
        <f>IF('PROG FORMACIÓN TITULADA'!#REF!,"AAAAAD11/xU=",0)</f>
        <v>#REF!</v>
      </c>
      <c r="W69" t="e">
        <f>AND('PROG FORMACIÓN TITULADA'!#REF!,"AAAAAD11/xY=")</f>
        <v>#REF!</v>
      </c>
      <c r="X69" t="e">
        <f>AND('PROG FORMACIÓN TITULADA'!#REF!,"AAAAAD11/xc=")</f>
        <v>#REF!</v>
      </c>
      <c r="Y69" t="e">
        <f>AND('PROG FORMACIÓN TITULADA'!#REF!,"AAAAAD11/xg=")</f>
        <v>#REF!</v>
      </c>
      <c r="Z69" t="e">
        <f>AND('PROG FORMACIÓN TITULADA'!#REF!,"AAAAAD11/xk=")</f>
        <v>#REF!</v>
      </c>
      <c r="AA69" t="e">
        <f>AND('PROG FORMACIÓN TITULADA'!#REF!,"AAAAAD11/xo=")</f>
        <v>#REF!</v>
      </c>
      <c r="AB69" t="e">
        <f>AND('PROG FORMACIÓN TITULADA'!#REF!,"AAAAAD11/xs=")</f>
        <v>#REF!</v>
      </c>
      <c r="AC69" t="e">
        <f>AND('PROG FORMACIÓN TITULADA'!#REF!,"AAAAAD11/xw=")</f>
        <v>#REF!</v>
      </c>
      <c r="AD69" t="e">
        <f>AND('PROG FORMACIÓN TITULADA'!#REF!,"AAAAAD11/x0=")</f>
        <v>#REF!</v>
      </c>
      <c r="AE69" t="e">
        <f>AND('PROG FORMACIÓN TITULADA'!#REF!,"AAAAAD11/x4=")</f>
        <v>#REF!</v>
      </c>
      <c r="AF69" t="e">
        <f>AND('PROG FORMACIÓN TITULADA'!#REF!,"AAAAAD11/x8=")</f>
        <v>#REF!</v>
      </c>
      <c r="AG69" t="e">
        <f>AND('PROG FORMACIÓN TITULADA'!#REF!,"AAAAAD11/yA=")</f>
        <v>#REF!</v>
      </c>
      <c r="AH69" t="e">
        <f>AND('PROG FORMACIÓN TITULADA'!#REF!,"AAAAAD11/yE=")</f>
        <v>#REF!</v>
      </c>
      <c r="AI69" t="e">
        <f>AND('PROG FORMACIÓN TITULADA'!#REF!,"AAAAAD11/yI=")</f>
        <v>#REF!</v>
      </c>
      <c r="AJ69" t="e">
        <f>AND('PROG FORMACIÓN TITULADA'!#REF!,"AAAAAD11/yM=")</f>
        <v>#REF!</v>
      </c>
      <c r="AK69" t="e">
        <f>AND('PROG FORMACIÓN TITULADA'!#REF!,"AAAAAD11/yQ=")</f>
        <v>#REF!</v>
      </c>
      <c r="AL69" t="e">
        <f>AND('PROG FORMACIÓN TITULADA'!#REF!,"AAAAAD11/yU=")</f>
        <v>#REF!</v>
      </c>
      <c r="AM69" t="e">
        <f>AND('PROG FORMACIÓN TITULADA'!#REF!,"AAAAAD11/yY=")</f>
        <v>#REF!</v>
      </c>
      <c r="AN69" t="e">
        <f>AND('PROG FORMACIÓN TITULADA'!#REF!,"AAAAAD11/yc=")</f>
        <v>#REF!</v>
      </c>
      <c r="AO69" t="e">
        <f>AND('PROG FORMACIÓN TITULADA'!#REF!,"AAAAAD11/yg=")</f>
        <v>#REF!</v>
      </c>
      <c r="AP69" t="e">
        <f>AND('PROG FORMACIÓN TITULADA'!#REF!,"AAAAAD11/yk=")</f>
        <v>#REF!</v>
      </c>
      <c r="AQ69" t="e">
        <f>AND('PROG FORMACIÓN TITULADA'!#REF!,"AAAAAD11/yo=")</f>
        <v>#REF!</v>
      </c>
      <c r="AR69" t="e">
        <f>AND('PROG FORMACIÓN TITULADA'!#REF!,"AAAAAD11/ys=")</f>
        <v>#REF!</v>
      </c>
      <c r="AS69" t="e">
        <f>AND('PROG FORMACIÓN TITULADA'!#REF!,"AAAAAD11/yw=")</f>
        <v>#REF!</v>
      </c>
      <c r="AT69" t="e">
        <f>AND('PROG FORMACIÓN TITULADA'!#REF!,"AAAAAD11/y0=")</f>
        <v>#REF!</v>
      </c>
      <c r="AU69" t="e">
        <f>AND('PROG FORMACIÓN TITULADA'!#REF!,"AAAAAD11/y4=")</f>
        <v>#REF!</v>
      </c>
      <c r="AV69" t="e">
        <f>AND('PROG FORMACIÓN TITULADA'!#REF!,"AAAAAD11/y8=")</f>
        <v>#REF!</v>
      </c>
      <c r="AW69" t="e">
        <f>IF('PROG FORMACIÓN TITULADA'!#REF!,"AAAAAD11/zA=",0)</f>
        <v>#REF!</v>
      </c>
      <c r="AX69" t="e">
        <f>AND('PROG FORMACIÓN TITULADA'!#REF!,"AAAAAD11/zE=")</f>
        <v>#REF!</v>
      </c>
      <c r="AY69" t="e">
        <f>AND('PROG FORMACIÓN TITULADA'!#REF!,"AAAAAD11/zI=")</f>
        <v>#REF!</v>
      </c>
      <c r="AZ69" t="e">
        <f>AND('PROG FORMACIÓN TITULADA'!#REF!,"AAAAAD11/zM=")</f>
        <v>#REF!</v>
      </c>
      <c r="BA69" t="e">
        <f>AND('PROG FORMACIÓN TITULADA'!#REF!,"AAAAAD11/zQ=")</f>
        <v>#REF!</v>
      </c>
      <c r="BB69" t="e">
        <f>AND('PROG FORMACIÓN TITULADA'!#REF!,"AAAAAD11/zU=")</f>
        <v>#REF!</v>
      </c>
      <c r="BC69" t="e">
        <f>AND('PROG FORMACIÓN TITULADA'!#REF!,"AAAAAD11/zY=")</f>
        <v>#REF!</v>
      </c>
      <c r="BD69" t="e">
        <f>AND('PROG FORMACIÓN TITULADA'!#REF!,"AAAAAD11/zc=")</f>
        <v>#REF!</v>
      </c>
      <c r="BE69" t="e">
        <f>AND('PROG FORMACIÓN TITULADA'!#REF!,"AAAAAD11/zg=")</f>
        <v>#REF!</v>
      </c>
      <c r="BF69" t="e">
        <f>AND('PROG FORMACIÓN TITULADA'!#REF!,"AAAAAD11/zk=")</f>
        <v>#REF!</v>
      </c>
      <c r="BG69" t="e">
        <f>AND('PROG FORMACIÓN TITULADA'!#REF!,"AAAAAD11/zo=")</f>
        <v>#REF!</v>
      </c>
      <c r="BH69" t="e">
        <f>AND('PROG FORMACIÓN TITULADA'!#REF!,"AAAAAD11/zs=")</f>
        <v>#REF!</v>
      </c>
      <c r="BI69" t="e">
        <f>AND('PROG FORMACIÓN TITULADA'!#REF!,"AAAAAD11/zw=")</f>
        <v>#REF!</v>
      </c>
      <c r="BJ69" t="e">
        <f>AND('PROG FORMACIÓN TITULADA'!#REF!,"AAAAAD11/z0=")</f>
        <v>#REF!</v>
      </c>
      <c r="BK69" t="e">
        <f>AND('PROG FORMACIÓN TITULADA'!#REF!,"AAAAAD11/z4=")</f>
        <v>#REF!</v>
      </c>
      <c r="BL69" t="e">
        <f>AND('PROG FORMACIÓN TITULADA'!#REF!,"AAAAAD11/z8=")</f>
        <v>#REF!</v>
      </c>
      <c r="BM69" t="e">
        <f>AND('PROG FORMACIÓN TITULADA'!#REF!,"AAAAAD11/0A=")</f>
        <v>#REF!</v>
      </c>
      <c r="BN69" t="e">
        <f>AND('PROG FORMACIÓN TITULADA'!#REF!,"AAAAAD11/0E=")</f>
        <v>#REF!</v>
      </c>
      <c r="BO69" t="e">
        <f>AND('PROG FORMACIÓN TITULADA'!#REF!,"AAAAAD11/0I=")</f>
        <v>#REF!</v>
      </c>
      <c r="BP69" t="e">
        <f>AND('PROG FORMACIÓN TITULADA'!#REF!,"AAAAAD11/0M=")</f>
        <v>#REF!</v>
      </c>
      <c r="BQ69" t="e">
        <f>AND('PROG FORMACIÓN TITULADA'!#REF!,"AAAAAD11/0Q=")</f>
        <v>#REF!</v>
      </c>
      <c r="BR69" t="e">
        <f>AND('PROG FORMACIÓN TITULADA'!#REF!,"AAAAAD11/0U=")</f>
        <v>#REF!</v>
      </c>
      <c r="BS69" t="e">
        <f>AND('PROG FORMACIÓN TITULADA'!#REF!,"AAAAAD11/0Y=")</f>
        <v>#REF!</v>
      </c>
      <c r="BT69" t="e">
        <f>AND('PROG FORMACIÓN TITULADA'!#REF!,"AAAAAD11/0c=")</f>
        <v>#REF!</v>
      </c>
      <c r="BU69" t="e">
        <f>AND('PROG FORMACIÓN TITULADA'!#REF!,"AAAAAD11/0g=")</f>
        <v>#REF!</v>
      </c>
      <c r="BV69" t="e">
        <f>AND('PROG FORMACIÓN TITULADA'!#REF!,"AAAAAD11/0k=")</f>
        <v>#REF!</v>
      </c>
      <c r="BW69" t="e">
        <f>AND('PROG FORMACIÓN TITULADA'!#REF!,"AAAAAD11/0o=")</f>
        <v>#REF!</v>
      </c>
      <c r="BX69" t="e">
        <f>IF('PROG FORMACIÓN TITULADA'!#REF!,"AAAAAD11/0s=",0)</f>
        <v>#REF!</v>
      </c>
      <c r="BY69" t="e">
        <f>AND('PROG FORMACIÓN TITULADA'!#REF!,"AAAAAD11/0w=")</f>
        <v>#REF!</v>
      </c>
      <c r="BZ69" t="e">
        <f>AND('PROG FORMACIÓN TITULADA'!#REF!,"AAAAAD11/00=")</f>
        <v>#REF!</v>
      </c>
      <c r="CA69" t="e">
        <f>AND('PROG FORMACIÓN TITULADA'!#REF!,"AAAAAD11/04=")</f>
        <v>#REF!</v>
      </c>
      <c r="CB69" t="e">
        <f>AND('PROG FORMACIÓN TITULADA'!#REF!,"AAAAAD11/08=")</f>
        <v>#REF!</v>
      </c>
      <c r="CC69" t="e">
        <f>AND('PROG FORMACIÓN TITULADA'!#REF!,"AAAAAD11/1A=")</f>
        <v>#REF!</v>
      </c>
      <c r="CD69" t="e">
        <f>AND('PROG FORMACIÓN TITULADA'!#REF!,"AAAAAD11/1E=")</f>
        <v>#REF!</v>
      </c>
      <c r="CE69" t="e">
        <f>AND('PROG FORMACIÓN TITULADA'!#REF!,"AAAAAD11/1I=")</f>
        <v>#REF!</v>
      </c>
      <c r="CF69" t="e">
        <f>AND('PROG FORMACIÓN TITULADA'!#REF!,"AAAAAD11/1M=")</f>
        <v>#REF!</v>
      </c>
      <c r="CG69" t="e">
        <f>AND('PROG FORMACIÓN TITULADA'!#REF!,"AAAAAD11/1Q=")</f>
        <v>#REF!</v>
      </c>
      <c r="CH69" t="e">
        <f>AND('PROG FORMACIÓN TITULADA'!#REF!,"AAAAAD11/1U=")</f>
        <v>#REF!</v>
      </c>
      <c r="CI69" t="e">
        <f>AND('PROG FORMACIÓN TITULADA'!#REF!,"AAAAAD11/1Y=")</f>
        <v>#REF!</v>
      </c>
      <c r="CJ69" t="e">
        <f>AND('PROG FORMACIÓN TITULADA'!#REF!,"AAAAAD11/1c=")</f>
        <v>#REF!</v>
      </c>
      <c r="CK69" t="e">
        <f>AND('PROG FORMACIÓN TITULADA'!#REF!,"AAAAAD11/1g=")</f>
        <v>#REF!</v>
      </c>
      <c r="CL69" t="e">
        <f>AND('PROG FORMACIÓN TITULADA'!#REF!,"AAAAAD11/1k=")</f>
        <v>#REF!</v>
      </c>
      <c r="CM69" t="e">
        <f>AND('PROG FORMACIÓN TITULADA'!#REF!,"AAAAAD11/1o=")</f>
        <v>#REF!</v>
      </c>
      <c r="CN69" t="e">
        <f>AND('PROG FORMACIÓN TITULADA'!#REF!,"AAAAAD11/1s=")</f>
        <v>#REF!</v>
      </c>
      <c r="CO69" t="e">
        <f>AND('PROG FORMACIÓN TITULADA'!#REF!,"AAAAAD11/1w=")</f>
        <v>#REF!</v>
      </c>
      <c r="CP69" t="e">
        <f>AND('PROG FORMACIÓN TITULADA'!#REF!,"AAAAAD11/10=")</f>
        <v>#REF!</v>
      </c>
      <c r="CQ69" t="e">
        <f>AND('PROG FORMACIÓN TITULADA'!#REF!,"AAAAAD11/14=")</f>
        <v>#REF!</v>
      </c>
      <c r="CR69" t="e">
        <f>AND('PROG FORMACIÓN TITULADA'!#REF!,"AAAAAD11/18=")</f>
        <v>#REF!</v>
      </c>
      <c r="CS69" t="e">
        <f>AND('PROG FORMACIÓN TITULADA'!#REF!,"AAAAAD11/2A=")</f>
        <v>#REF!</v>
      </c>
      <c r="CT69" t="e">
        <f>AND('PROG FORMACIÓN TITULADA'!#REF!,"AAAAAD11/2E=")</f>
        <v>#REF!</v>
      </c>
      <c r="CU69" t="e">
        <f>AND('PROG FORMACIÓN TITULADA'!#REF!,"AAAAAD11/2I=")</f>
        <v>#REF!</v>
      </c>
      <c r="CV69" t="e">
        <f>AND('PROG FORMACIÓN TITULADA'!#REF!,"AAAAAD11/2M=")</f>
        <v>#REF!</v>
      </c>
      <c r="CW69" t="e">
        <f>AND('PROG FORMACIÓN TITULADA'!#REF!,"AAAAAD11/2Q=")</f>
        <v>#REF!</v>
      </c>
      <c r="CX69" t="e">
        <f>AND('PROG FORMACIÓN TITULADA'!#REF!,"AAAAAD11/2U=")</f>
        <v>#REF!</v>
      </c>
      <c r="CY69" t="e">
        <f>IF('PROG FORMACIÓN TITULADA'!#REF!,"AAAAAD11/2Y=",0)</f>
        <v>#REF!</v>
      </c>
      <c r="CZ69" t="e">
        <f>AND('PROG FORMACIÓN TITULADA'!#REF!,"AAAAAD11/2c=")</f>
        <v>#REF!</v>
      </c>
      <c r="DA69" t="e">
        <f>AND('PROG FORMACIÓN TITULADA'!#REF!,"AAAAAD11/2g=")</f>
        <v>#REF!</v>
      </c>
      <c r="DB69" t="e">
        <f>AND('PROG FORMACIÓN TITULADA'!#REF!,"AAAAAD11/2k=")</f>
        <v>#REF!</v>
      </c>
      <c r="DC69" t="e">
        <f>AND('PROG FORMACIÓN TITULADA'!#REF!,"AAAAAD11/2o=")</f>
        <v>#REF!</v>
      </c>
      <c r="DD69" t="e">
        <f>AND('PROG FORMACIÓN TITULADA'!#REF!,"AAAAAD11/2s=")</f>
        <v>#REF!</v>
      </c>
      <c r="DE69" t="e">
        <f>AND('PROG FORMACIÓN TITULADA'!#REF!,"AAAAAD11/2w=")</f>
        <v>#REF!</v>
      </c>
      <c r="DF69" t="e">
        <f>AND('PROG FORMACIÓN TITULADA'!#REF!,"AAAAAD11/20=")</f>
        <v>#REF!</v>
      </c>
      <c r="DG69" t="e">
        <f>AND('PROG FORMACIÓN TITULADA'!#REF!,"AAAAAD11/24=")</f>
        <v>#REF!</v>
      </c>
      <c r="DH69" t="e">
        <f>AND('PROG FORMACIÓN TITULADA'!#REF!,"AAAAAD11/28=")</f>
        <v>#REF!</v>
      </c>
      <c r="DI69" t="e">
        <f>AND('PROG FORMACIÓN TITULADA'!#REF!,"AAAAAD11/3A=")</f>
        <v>#REF!</v>
      </c>
      <c r="DJ69" t="e">
        <f>AND('PROG FORMACIÓN TITULADA'!#REF!,"AAAAAD11/3E=")</f>
        <v>#REF!</v>
      </c>
      <c r="DK69" t="e">
        <f>AND('PROG FORMACIÓN TITULADA'!#REF!,"AAAAAD11/3I=")</f>
        <v>#REF!</v>
      </c>
      <c r="DL69" t="e">
        <f>AND('PROG FORMACIÓN TITULADA'!#REF!,"AAAAAD11/3M=")</f>
        <v>#REF!</v>
      </c>
      <c r="DM69" t="e">
        <f>AND('PROG FORMACIÓN TITULADA'!#REF!,"AAAAAD11/3Q=")</f>
        <v>#REF!</v>
      </c>
      <c r="DN69" t="e">
        <f>AND('PROG FORMACIÓN TITULADA'!#REF!,"AAAAAD11/3U=")</f>
        <v>#REF!</v>
      </c>
      <c r="DO69" t="e">
        <f>AND('PROG FORMACIÓN TITULADA'!#REF!,"AAAAAD11/3Y=")</f>
        <v>#REF!</v>
      </c>
      <c r="DP69" t="e">
        <f>AND('PROG FORMACIÓN TITULADA'!#REF!,"AAAAAD11/3c=")</f>
        <v>#REF!</v>
      </c>
      <c r="DQ69" t="e">
        <f>AND('PROG FORMACIÓN TITULADA'!#REF!,"AAAAAD11/3g=")</f>
        <v>#REF!</v>
      </c>
      <c r="DR69" t="e">
        <f>AND('PROG FORMACIÓN TITULADA'!#REF!,"AAAAAD11/3k=")</f>
        <v>#REF!</v>
      </c>
      <c r="DS69" t="e">
        <f>AND('PROG FORMACIÓN TITULADA'!#REF!,"AAAAAD11/3o=")</f>
        <v>#REF!</v>
      </c>
      <c r="DT69" t="e">
        <f>AND('PROG FORMACIÓN TITULADA'!#REF!,"AAAAAD11/3s=")</f>
        <v>#REF!</v>
      </c>
      <c r="DU69" t="e">
        <f>AND('PROG FORMACIÓN TITULADA'!#REF!,"AAAAAD11/3w=")</f>
        <v>#REF!</v>
      </c>
      <c r="DV69" t="e">
        <f>AND('PROG FORMACIÓN TITULADA'!#REF!,"AAAAAD11/30=")</f>
        <v>#REF!</v>
      </c>
      <c r="DW69" t="e">
        <f>AND('PROG FORMACIÓN TITULADA'!#REF!,"AAAAAD11/34=")</f>
        <v>#REF!</v>
      </c>
      <c r="DX69" t="e">
        <f>AND('PROG FORMACIÓN TITULADA'!#REF!,"AAAAAD11/38=")</f>
        <v>#REF!</v>
      </c>
      <c r="DY69" t="e">
        <f>AND('PROG FORMACIÓN TITULADA'!#REF!,"AAAAAD11/4A=")</f>
        <v>#REF!</v>
      </c>
      <c r="DZ69" t="e">
        <f>IF('PROG FORMACIÓN TITULADA'!#REF!,"AAAAAD11/4E=",0)</f>
        <v>#REF!</v>
      </c>
      <c r="EA69" t="e">
        <f>AND('PROG FORMACIÓN TITULADA'!#REF!,"AAAAAD11/4I=")</f>
        <v>#REF!</v>
      </c>
      <c r="EB69" t="e">
        <f>AND('PROG FORMACIÓN TITULADA'!#REF!,"AAAAAD11/4M=")</f>
        <v>#REF!</v>
      </c>
      <c r="EC69" t="e">
        <f>AND('PROG FORMACIÓN TITULADA'!#REF!,"AAAAAD11/4Q=")</f>
        <v>#REF!</v>
      </c>
      <c r="ED69" t="e">
        <f>AND('PROG FORMACIÓN TITULADA'!#REF!,"AAAAAD11/4U=")</f>
        <v>#REF!</v>
      </c>
      <c r="EE69" t="e">
        <f>AND('PROG FORMACIÓN TITULADA'!#REF!,"AAAAAD11/4Y=")</f>
        <v>#REF!</v>
      </c>
      <c r="EF69" t="e">
        <f>AND('PROG FORMACIÓN TITULADA'!#REF!,"AAAAAD11/4c=")</f>
        <v>#REF!</v>
      </c>
      <c r="EG69" t="e">
        <f>AND('PROG FORMACIÓN TITULADA'!#REF!,"AAAAAD11/4g=")</f>
        <v>#REF!</v>
      </c>
      <c r="EH69" t="e">
        <f>AND('PROG FORMACIÓN TITULADA'!#REF!,"AAAAAD11/4k=")</f>
        <v>#REF!</v>
      </c>
      <c r="EI69" t="e">
        <f>AND('PROG FORMACIÓN TITULADA'!#REF!,"AAAAAD11/4o=")</f>
        <v>#REF!</v>
      </c>
      <c r="EJ69" t="e">
        <f>AND('PROG FORMACIÓN TITULADA'!#REF!,"AAAAAD11/4s=")</f>
        <v>#REF!</v>
      </c>
      <c r="EK69" t="e">
        <f>AND('PROG FORMACIÓN TITULADA'!#REF!,"AAAAAD11/4w=")</f>
        <v>#REF!</v>
      </c>
      <c r="EL69" t="e">
        <f>AND('PROG FORMACIÓN TITULADA'!#REF!,"AAAAAD11/40=")</f>
        <v>#REF!</v>
      </c>
      <c r="EM69" t="e">
        <f>AND('PROG FORMACIÓN TITULADA'!#REF!,"AAAAAD11/44=")</f>
        <v>#REF!</v>
      </c>
      <c r="EN69" t="e">
        <f>AND('PROG FORMACIÓN TITULADA'!#REF!,"AAAAAD11/48=")</f>
        <v>#REF!</v>
      </c>
      <c r="EO69" t="e">
        <f>AND('PROG FORMACIÓN TITULADA'!#REF!,"AAAAAD11/5A=")</f>
        <v>#REF!</v>
      </c>
      <c r="EP69" t="e">
        <f>AND('PROG FORMACIÓN TITULADA'!#REF!,"AAAAAD11/5E=")</f>
        <v>#REF!</v>
      </c>
      <c r="EQ69" t="e">
        <f>AND('PROG FORMACIÓN TITULADA'!#REF!,"AAAAAD11/5I=")</f>
        <v>#REF!</v>
      </c>
      <c r="ER69" t="e">
        <f>AND('PROG FORMACIÓN TITULADA'!#REF!,"AAAAAD11/5M=")</f>
        <v>#REF!</v>
      </c>
      <c r="ES69" t="e">
        <f>AND('PROG FORMACIÓN TITULADA'!#REF!,"AAAAAD11/5Q=")</f>
        <v>#REF!</v>
      </c>
      <c r="ET69" t="e">
        <f>AND('PROG FORMACIÓN TITULADA'!#REF!,"AAAAAD11/5U=")</f>
        <v>#REF!</v>
      </c>
      <c r="EU69" t="e">
        <f>AND('PROG FORMACIÓN TITULADA'!#REF!,"AAAAAD11/5Y=")</f>
        <v>#REF!</v>
      </c>
      <c r="EV69" t="e">
        <f>AND('PROG FORMACIÓN TITULADA'!#REF!,"AAAAAD11/5c=")</f>
        <v>#REF!</v>
      </c>
      <c r="EW69" t="e">
        <f>AND('PROG FORMACIÓN TITULADA'!#REF!,"AAAAAD11/5g=")</f>
        <v>#REF!</v>
      </c>
      <c r="EX69" t="e">
        <f>AND('PROG FORMACIÓN TITULADA'!#REF!,"AAAAAD11/5k=")</f>
        <v>#REF!</v>
      </c>
      <c r="EY69" t="e">
        <f>AND('PROG FORMACIÓN TITULADA'!#REF!,"AAAAAD11/5o=")</f>
        <v>#REF!</v>
      </c>
      <c r="EZ69" t="e">
        <f>AND('PROG FORMACIÓN TITULADA'!#REF!,"AAAAAD11/5s=")</f>
        <v>#REF!</v>
      </c>
      <c r="FA69" t="e">
        <f>IF('PROG FORMACIÓN TITULADA'!#REF!,"AAAAAD11/5w=",0)</f>
        <v>#REF!</v>
      </c>
      <c r="FB69" t="e">
        <f>AND('PROG FORMACIÓN TITULADA'!#REF!,"AAAAAD11/50=")</f>
        <v>#REF!</v>
      </c>
      <c r="FC69" t="e">
        <f>AND('PROG FORMACIÓN TITULADA'!#REF!,"AAAAAD11/54=")</f>
        <v>#REF!</v>
      </c>
      <c r="FD69" t="e">
        <f>AND('PROG FORMACIÓN TITULADA'!#REF!,"AAAAAD11/58=")</f>
        <v>#REF!</v>
      </c>
      <c r="FE69" t="e">
        <f>AND('PROG FORMACIÓN TITULADA'!#REF!,"AAAAAD11/6A=")</f>
        <v>#REF!</v>
      </c>
      <c r="FF69" t="e">
        <f>AND('PROG FORMACIÓN TITULADA'!#REF!,"AAAAAD11/6E=")</f>
        <v>#REF!</v>
      </c>
      <c r="FG69" t="e">
        <f>AND('PROG FORMACIÓN TITULADA'!#REF!,"AAAAAD11/6I=")</f>
        <v>#REF!</v>
      </c>
      <c r="FH69" t="e">
        <f>AND('PROG FORMACIÓN TITULADA'!#REF!,"AAAAAD11/6M=")</f>
        <v>#REF!</v>
      </c>
      <c r="FI69" t="e">
        <f>AND('PROG FORMACIÓN TITULADA'!#REF!,"AAAAAD11/6Q=")</f>
        <v>#REF!</v>
      </c>
      <c r="FJ69" t="e">
        <f>AND('PROG FORMACIÓN TITULADA'!#REF!,"AAAAAD11/6U=")</f>
        <v>#REF!</v>
      </c>
      <c r="FK69" t="e">
        <f>AND('PROG FORMACIÓN TITULADA'!#REF!,"AAAAAD11/6Y=")</f>
        <v>#REF!</v>
      </c>
      <c r="FL69" t="e">
        <f>AND('PROG FORMACIÓN TITULADA'!#REF!,"AAAAAD11/6c=")</f>
        <v>#REF!</v>
      </c>
      <c r="FM69" t="e">
        <f>AND('PROG FORMACIÓN TITULADA'!#REF!,"AAAAAD11/6g=")</f>
        <v>#REF!</v>
      </c>
      <c r="FN69" t="e">
        <f>AND('PROG FORMACIÓN TITULADA'!#REF!,"AAAAAD11/6k=")</f>
        <v>#REF!</v>
      </c>
      <c r="FO69" t="e">
        <f>AND('PROG FORMACIÓN TITULADA'!#REF!,"AAAAAD11/6o=")</f>
        <v>#REF!</v>
      </c>
      <c r="FP69" t="e">
        <f>AND('PROG FORMACIÓN TITULADA'!#REF!,"AAAAAD11/6s=")</f>
        <v>#REF!</v>
      </c>
      <c r="FQ69" t="e">
        <f>AND('PROG FORMACIÓN TITULADA'!#REF!,"AAAAAD11/6w=")</f>
        <v>#REF!</v>
      </c>
      <c r="FR69" t="e">
        <f>AND('PROG FORMACIÓN TITULADA'!#REF!,"AAAAAD11/60=")</f>
        <v>#REF!</v>
      </c>
      <c r="FS69" t="e">
        <f>AND('PROG FORMACIÓN TITULADA'!#REF!,"AAAAAD11/64=")</f>
        <v>#REF!</v>
      </c>
      <c r="FT69" t="e">
        <f>AND('PROG FORMACIÓN TITULADA'!#REF!,"AAAAAD11/68=")</f>
        <v>#REF!</v>
      </c>
      <c r="FU69" t="e">
        <f>AND('PROG FORMACIÓN TITULADA'!#REF!,"AAAAAD11/7A=")</f>
        <v>#REF!</v>
      </c>
      <c r="FV69" t="e">
        <f>AND('PROG FORMACIÓN TITULADA'!#REF!,"AAAAAD11/7E=")</f>
        <v>#REF!</v>
      </c>
      <c r="FW69" t="e">
        <f>AND('PROG FORMACIÓN TITULADA'!#REF!,"AAAAAD11/7I=")</f>
        <v>#REF!</v>
      </c>
      <c r="FX69" t="e">
        <f>AND('PROG FORMACIÓN TITULADA'!#REF!,"AAAAAD11/7M=")</f>
        <v>#REF!</v>
      </c>
      <c r="FY69" t="e">
        <f>AND('PROG FORMACIÓN TITULADA'!#REF!,"AAAAAD11/7Q=")</f>
        <v>#REF!</v>
      </c>
      <c r="FZ69" t="e">
        <f>AND('PROG FORMACIÓN TITULADA'!#REF!,"AAAAAD11/7U=")</f>
        <v>#REF!</v>
      </c>
      <c r="GA69" t="e">
        <f>AND('PROG FORMACIÓN TITULADA'!#REF!,"AAAAAD11/7Y=")</f>
        <v>#REF!</v>
      </c>
      <c r="GB69" t="e">
        <f>IF('PROG FORMACIÓN TITULADA'!#REF!,"AAAAAD11/7c=",0)</f>
        <v>#REF!</v>
      </c>
      <c r="GC69" t="e">
        <f>AND('PROG FORMACIÓN TITULADA'!#REF!,"AAAAAD11/7g=")</f>
        <v>#REF!</v>
      </c>
      <c r="GD69" t="e">
        <f>AND('PROG FORMACIÓN TITULADA'!#REF!,"AAAAAD11/7k=")</f>
        <v>#REF!</v>
      </c>
      <c r="GE69" t="e">
        <f>AND('PROG FORMACIÓN TITULADA'!#REF!,"AAAAAD11/7o=")</f>
        <v>#REF!</v>
      </c>
      <c r="GF69" t="e">
        <f>AND('PROG FORMACIÓN TITULADA'!#REF!,"AAAAAD11/7s=")</f>
        <v>#REF!</v>
      </c>
      <c r="GG69" t="e">
        <f>AND('PROG FORMACIÓN TITULADA'!#REF!,"AAAAAD11/7w=")</f>
        <v>#REF!</v>
      </c>
      <c r="GH69" t="e">
        <f>AND('PROG FORMACIÓN TITULADA'!#REF!,"AAAAAD11/70=")</f>
        <v>#REF!</v>
      </c>
      <c r="GI69" t="e">
        <f>AND('PROG FORMACIÓN TITULADA'!#REF!,"AAAAAD11/74=")</f>
        <v>#REF!</v>
      </c>
      <c r="GJ69" t="e">
        <f>AND('PROG FORMACIÓN TITULADA'!#REF!,"AAAAAD11/78=")</f>
        <v>#REF!</v>
      </c>
      <c r="GK69" t="e">
        <f>AND('PROG FORMACIÓN TITULADA'!#REF!,"AAAAAD11/8A=")</f>
        <v>#REF!</v>
      </c>
      <c r="GL69" t="e">
        <f>AND('PROG FORMACIÓN TITULADA'!#REF!,"AAAAAD11/8E=")</f>
        <v>#REF!</v>
      </c>
      <c r="GM69" t="e">
        <f>AND('PROG FORMACIÓN TITULADA'!#REF!,"AAAAAD11/8I=")</f>
        <v>#REF!</v>
      </c>
      <c r="GN69" t="e">
        <f>AND('PROG FORMACIÓN TITULADA'!#REF!,"AAAAAD11/8M=")</f>
        <v>#REF!</v>
      </c>
      <c r="GO69" t="e">
        <f>AND('PROG FORMACIÓN TITULADA'!#REF!,"AAAAAD11/8Q=")</f>
        <v>#REF!</v>
      </c>
      <c r="GP69" t="e">
        <f>AND('PROG FORMACIÓN TITULADA'!#REF!,"AAAAAD11/8U=")</f>
        <v>#REF!</v>
      </c>
      <c r="GQ69" t="e">
        <f>AND('PROG FORMACIÓN TITULADA'!#REF!,"AAAAAD11/8Y=")</f>
        <v>#REF!</v>
      </c>
      <c r="GR69" t="e">
        <f>AND('PROG FORMACIÓN TITULADA'!#REF!,"AAAAAD11/8c=")</f>
        <v>#REF!</v>
      </c>
      <c r="GS69" t="e">
        <f>AND('PROG FORMACIÓN TITULADA'!#REF!,"AAAAAD11/8g=")</f>
        <v>#REF!</v>
      </c>
      <c r="GT69" t="e">
        <f>AND('PROG FORMACIÓN TITULADA'!#REF!,"AAAAAD11/8k=")</f>
        <v>#REF!</v>
      </c>
      <c r="GU69" t="e">
        <f>AND('PROG FORMACIÓN TITULADA'!#REF!,"AAAAAD11/8o=")</f>
        <v>#REF!</v>
      </c>
      <c r="GV69" t="e">
        <f>AND('PROG FORMACIÓN TITULADA'!#REF!,"AAAAAD11/8s=")</f>
        <v>#REF!</v>
      </c>
      <c r="GW69" t="e">
        <f>AND('PROG FORMACIÓN TITULADA'!#REF!,"AAAAAD11/8w=")</f>
        <v>#REF!</v>
      </c>
      <c r="GX69" t="e">
        <f>AND('PROG FORMACIÓN TITULADA'!#REF!,"AAAAAD11/80=")</f>
        <v>#REF!</v>
      </c>
      <c r="GY69" t="e">
        <f>AND('PROG FORMACIÓN TITULADA'!#REF!,"AAAAAD11/84=")</f>
        <v>#REF!</v>
      </c>
      <c r="GZ69" t="e">
        <f>AND('PROG FORMACIÓN TITULADA'!#REF!,"AAAAAD11/88=")</f>
        <v>#REF!</v>
      </c>
      <c r="HA69" t="e">
        <f>AND('PROG FORMACIÓN TITULADA'!#REF!,"AAAAAD11/9A=")</f>
        <v>#REF!</v>
      </c>
      <c r="HB69" t="e">
        <f>AND('PROG FORMACIÓN TITULADA'!#REF!,"AAAAAD11/9E=")</f>
        <v>#REF!</v>
      </c>
      <c r="HC69" t="e">
        <f>IF('PROG FORMACIÓN TITULADA'!#REF!,"AAAAAD11/9I=",0)</f>
        <v>#REF!</v>
      </c>
      <c r="HD69" t="e">
        <f>AND('PROG FORMACIÓN TITULADA'!#REF!,"AAAAAD11/9M=")</f>
        <v>#REF!</v>
      </c>
      <c r="HE69" t="e">
        <f>AND('PROG FORMACIÓN TITULADA'!#REF!,"AAAAAD11/9Q=")</f>
        <v>#REF!</v>
      </c>
      <c r="HF69" t="e">
        <f>AND('PROG FORMACIÓN TITULADA'!#REF!,"AAAAAD11/9U=")</f>
        <v>#REF!</v>
      </c>
      <c r="HG69" t="e">
        <f>AND('PROG FORMACIÓN TITULADA'!#REF!,"AAAAAD11/9Y=")</f>
        <v>#REF!</v>
      </c>
      <c r="HH69" t="e">
        <f>AND('PROG FORMACIÓN TITULADA'!#REF!,"AAAAAD11/9c=")</f>
        <v>#REF!</v>
      </c>
      <c r="HI69" t="e">
        <f>AND('PROG FORMACIÓN TITULADA'!#REF!,"AAAAAD11/9g=")</f>
        <v>#REF!</v>
      </c>
      <c r="HJ69" t="e">
        <f>AND('PROG FORMACIÓN TITULADA'!#REF!,"AAAAAD11/9k=")</f>
        <v>#REF!</v>
      </c>
      <c r="HK69" t="e">
        <f>AND('PROG FORMACIÓN TITULADA'!#REF!,"AAAAAD11/9o=")</f>
        <v>#REF!</v>
      </c>
      <c r="HL69" t="e">
        <f>AND('PROG FORMACIÓN TITULADA'!#REF!,"AAAAAD11/9s=")</f>
        <v>#REF!</v>
      </c>
      <c r="HM69" t="e">
        <f>AND('PROG FORMACIÓN TITULADA'!#REF!,"AAAAAD11/9w=")</f>
        <v>#REF!</v>
      </c>
      <c r="HN69" t="e">
        <f>AND('PROG FORMACIÓN TITULADA'!#REF!,"AAAAAD11/90=")</f>
        <v>#REF!</v>
      </c>
      <c r="HO69" t="e">
        <f>AND('PROG FORMACIÓN TITULADA'!#REF!,"AAAAAD11/94=")</f>
        <v>#REF!</v>
      </c>
      <c r="HP69" t="e">
        <f>AND('PROG FORMACIÓN TITULADA'!#REF!,"AAAAAD11/98=")</f>
        <v>#REF!</v>
      </c>
      <c r="HQ69" t="e">
        <f>AND('PROG FORMACIÓN TITULADA'!#REF!,"AAAAAD11/+A=")</f>
        <v>#REF!</v>
      </c>
      <c r="HR69" t="e">
        <f>AND('PROG FORMACIÓN TITULADA'!#REF!,"AAAAAD11/+E=")</f>
        <v>#REF!</v>
      </c>
      <c r="HS69" t="e">
        <f>AND('PROG FORMACIÓN TITULADA'!#REF!,"AAAAAD11/+I=")</f>
        <v>#REF!</v>
      </c>
      <c r="HT69" t="e">
        <f>AND('PROG FORMACIÓN TITULADA'!#REF!,"AAAAAD11/+M=")</f>
        <v>#REF!</v>
      </c>
      <c r="HU69" t="e">
        <f>AND('PROG FORMACIÓN TITULADA'!#REF!,"AAAAAD11/+Q=")</f>
        <v>#REF!</v>
      </c>
      <c r="HV69" t="e">
        <f>AND('PROG FORMACIÓN TITULADA'!#REF!,"AAAAAD11/+U=")</f>
        <v>#REF!</v>
      </c>
      <c r="HW69" t="e">
        <f>AND('PROG FORMACIÓN TITULADA'!#REF!,"AAAAAD11/+Y=")</f>
        <v>#REF!</v>
      </c>
      <c r="HX69" t="e">
        <f>AND('PROG FORMACIÓN TITULADA'!#REF!,"AAAAAD11/+c=")</f>
        <v>#REF!</v>
      </c>
      <c r="HY69" t="e">
        <f>AND('PROG FORMACIÓN TITULADA'!#REF!,"AAAAAD11/+g=")</f>
        <v>#REF!</v>
      </c>
      <c r="HZ69" t="e">
        <f>AND('PROG FORMACIÓN TITULADA'!#REF!,"AAAAAD11/+k=")</f>
        <v>#REF!</v>
      </c>
      <c r="IA69" t="e">
        <f>AND('PROG FORMACIÓN TITULADA'!#REF!,"AAAAAD11/+o=")</f>
        <v>#REF!</v>
      </c>
      <c r="IB69" t="e">
        <f>AND('PROG FORMACIÓN TITULADA'!#REF!,"AAAAAD11/+s=")</f>
        <v>#REF!</v>
      </c>
      <c r="IC69" t="e">
        <f>AND('PROG FORMACIÓN TITULADA'!#REF!,"AAAAAD11/+w=")</f>
        <v>#REF!</v>
      </c>
      <c r="ID69" t="e">
        <f>IF('PROG FORMACIÓN TITULADA'!#REF!,"AAAAAD11/+0=",0)</f>
        <v>#REF!</v>
      </c>
      <c r="IE69" t="e">
        <f>AND('PROG FORMACIÓN TITULADA'!#REF!,"AAAAAD11/+4=")</f>
        <v>#REF!</v>
      </c>
      <c r="IF69" t="e">
        <f>AND('PROG FORMACIÓN TITULADA'!#REF!,"AAAAAD11/+8=")</f>
        <v>#REF!</v>
      </c>
      <c r="IG69" t="e">
        <f>AND('PROG FORMACIÓN TITULADA'!#REF!,"AAAAAD11//A=")</f>
        <v>#REF!</v>
      </c>
      <c r="IH69" t="e">
        <f>AND('PROG FORMACIÓN TITULADA'!#REF!,"AAAAAD11//E=")</f>
        <v>#REF!</v>
      </c>
      <c r="II69" t="e">
        <f>AND('PROG FORMACIÓN TITULADA'!#REF!,"AAAAAD11//I=")</f>
        <v>#REF!</v>
      </c>
      <c r="IJ69" t="e">
        <f>AND('PROG FORMACIÓN TITULADA'!#REF!,"AAAAAD11//M=")</f>
        <v>#REF!</v>
      </c>
      <c r="IK69" t="e">
        <f>AND('PROG FORMACIÓN TITULADA'!#REF!,"AAAAAD11//Q=")</f>
        <v>#REF!</v>
      </c>
      <c r="IL69" t="e">
        <f>AND('PROG FORMACIÓN TITULADA'!#REF!,"AAAAAD11//U=")</f>
        <v>#REF!</v>
      </c>
      <c r="IM69" t="e">
        <f>AND('PROG FORMACIÓN TITULADA'!#REF!,"AAAAAD11//Y=")</f>
        <v>#REF!</v>
      </c>
      <c r="IN69" t="e">
        <f>AND('PROG FORMACIÓN TITULADA'!#REF!,"AAAAAD11//c=")</f>
        <v>#REF!</v>
      </c>
      <c r="IO69" t="e">
        <f>AND('PROG FORMACIÓN TITULADA'!#REF!,"AAAAAD11//g=")</f>
        <v>#REF!</v>
      </c>
      <c r="IP69" t="e">
        <f>AND('PROG FORMACIÓN TITULADA'!#REF!,"AAAAAD11//k=")</f>
        <v>#REF!</v>
      </c>
      <c r="IQ69" t="e">
        <f>AND('PROG FORMACIÓN TITULADA'!#REF!,"AAAAAD11//o=")</f>
        <v>#REF!</v>
      </c>
      <c r="IR69" t="e">
        <f>AND('PROG FORMACIÓN TITULADA'!#REF!,"AAAAAD11//s=")</f>
        <v>#REF!</v>
      </c>
      <c r="IS69" t="e">
        <f>AND('PROG FORMACIÓN TITULADA'!#REF!,"AAAAAD11//w=")</f>
        <v>#REF!</v>
      </c>
      <c r="IT69" t="e">
        <f>AND('PROG FORMACIÓN TITULADA'!#REF!,"AAAAAD11//0=")</f>
        <v>#REF!</v>
      </c>
      <c r="IU69" t="e">
        <f>AND('PROG FORMACIÓN TITULADA'!#REF!,"AAAAAD11//4=")</f>
        <v>#REF!</v>
      </c>
      <c r="IV69" t="e">
        <f>AND('PROG FORMACIÓN TITULADA'!#REF!,"AAAAAD11//8=")</f>
        <v>#REF!</v>
      </c>
    </row>
    <row r="70" spans="1:256" x14ac:dyDescent="0.2">
      <c r="A70" t="e">
        <f>AND('PROG FORMACIÓN TITULADA'!#REF!,"AAAAAF65nQA=")</f>
        <v>#REF!</v>
      </c>
      <c r="B70" t="e">
        <f>AND('PROG FORMACIÓN TITULADA'!#REF!,"AAAAAF65nQE=")</f>
        <v>#REF!</v>
      </c>
      <c r="C70" t="e">
        <f>AND('PROG FORMACIÓN TITULADA'!#REF!,"AAAAAF65nQI=")</f>
        <v>#REF!</v>
      </c>
      <c r="D70" t="e">
        <f>AND('PROG FORMACIÓN TITULADA'!#REF!,"AAAAAF65nQM=")</f>
        <v>#REF!</v>
      </c>
      <c r="E70" t="e">
        <f>AND('PROG FORMACIÓN TITULADA'!#REF!,"AAAAAF65nQQ=")</f>
        <v>#REF!</v>
      </c>
      <c r="F70" t="e">
        <f>AND('PROG FORMACIÓN TITULADA'!#REF!,"AAAAAF65nQU=")</f>
        <v>#REF!</v>
      </c>
      <c r="G70" t="e">
        <f>AND('PROG FORMACIÓN TITULADA'!#REF!,"AAAAAF65nQY=")</f>
        <v>#REF!</v>
      </c>
      <c r="H70" t="e">
        <f>AND('PROG FORMACIÓN TITULADA'!#REF!,"AAAAAF65nQc=")</f>
        <v>#REF!</v>
      </c>
      <c r="I70" t="e">
        <f>IF('PROG FORMACIÓN TITULADA'!#REF!,"AAAAAF65nQg=",0)</f>
        <v>#REF!</v>
      </c>
      <c r="J70" t="e">
        <f>AND('PROG FORMACIÓN TITULADA'!#REF!,"AAAAAF65nQk=")</f>
        <v>#REF!</v>
      </c>
      <c r="K70" t="e">
        <f>AND('PROG FORMACIÓN TITULADA'!#REF!,"AAAAAF65nQo=")</f>
        <v>#REF!</v>
      </c>
      <c r="L70" t="e">
        <f>AND('PROG FORMACIÓN TITULADA'!#REF!,"AAAAAF65nQs=")</f>
        <v>#REF!</v>
      </c>
      <c r="M70" t="e">
        <f>AND('PROG FORMACIÓN TITULADA'!#REF!,"AAAAAF65nQw=")</f>
        <v>#REF!</v>
      </c>
      <c r="N70" t="e">
        <f>AND('PROG FORMACIÓN TITULADA'!#REF!,"AAAAAF65nQ0=")</f>
        <v>#REF!</v>
      </c>
      <c r="O70" t="e">
        <f>AND('PROG FORMACIÓN TITULADA'!#REF!,"AAAAAF65nQ4=")</f>
        <v>#REF!</v>
      </c>
      <c r="P70" t="e">
        <f>AND('PROG FORMACIÓN TITULADA'!#REF!,"AAAAAF65nQ8=")</f>
        <v>#REF!</v>
      </c>
      <c r="Q70" t="e">
        <f>AND('PROG FORMACIÓN TITULADA'!#REF!,"AAAAAF65nRA=")</f>
        <v>#REF!</v>
      </c>
      <c r="R70" t="e">
        <f>AND('PROG FORMACIÓN TITULADA'!#REF!,"AAAAAF65nRE=")</f>
        <v>#REF!</v>
      </c>
      <c r="S70" t="e">
        <f>AND('PROG FORMACIÓN TITULADA'!#REF!,"AAAAAF65nRI=")</f>
        <v>#REF!</v>
      </c>
      <c r="T70" t="e">
        <f>AND('PROG FORMACIÓN TITULADA'!#REF!,"AAAAAF65nRM=")</f>
        <v>#REF!</v>
      </c>
      <c r="U70" t="e">
        <f>AND('PROG FORMACIÓN TITULADA'!#REF!,"AAAAAF65nRQ=")</f>
        <v>#REF!</v>
      </c>
      <c r="V70" t="e">
        <f>AND('PROG FORMACIÓN TITULADA'!#REF!,"AAAAAF65nRU=")</f>
        <v>#REF!</v>
      </c>
      <c r="W70" t="e">
        <f>AND('PROG FORMACIÓN TITULADA'!#REF!,"AAAAAF65nRY=")</f>
        <v>#REF!</v>
      </c>
      <c r="X70" t="e">
        <f>AND('PROG FORMACIÓN TITULADA'!#REF!,"AAAAAF65nRc=")</f>
        <v>#REF!</v>
      </c>
      <c r="Y70" t="e">
        <f>AND('PROG FORMACIÓN TITULADA'!#REF!,"AAAAAF65nRg=")</f>
        <v>#REF!</v>
      </c>
      <c r="Z70" t="e">
        <f>AND('PROG FORMACIÓN TITULADA'!#REF!,"AAAAAF65nRk=")</f>
        <v>#REF!</v>
      </c>
      <c r="AA70" t="e">
        <f>AND('PROG FORMACIÓN TITULADA'!#REF!,"AAAAAF65nRo=")</f>
        <v>#REF!</v>
      </c>
      <c r="AB70" t="e">
        <f>AND('PROG FORMACIÓN TITULADA'!#REF!,"AAAAAF65nRs=")</f>
        <v>#REF!</v>
      </c>
      <c r="AC70" t="e">
        <f>AND('PROG FORMACIÓN TITULADA'!#REF!,"AAAAAF65nRw=")</f>
        <v>#REF!</v>
      </c>
      <c r="AD70" t="e">
        <f>AND('PROG FORMACIÓN TITULADA'!#REF!,"AAAAAF65nR0=")</f>
        <v>#REF!</v>
      </c>
      <c r="AE70" t="e">
        <f>AND('PROG FORMACIÓN TITULADA'!#REF!,"AAAAAF65nR4=")</f>
        <v>#REF!</v>
      </c>
      <c r="AF70" t="e">
        <f>AND('PROG FORMACIÓN TITULADA'!#REF!,"AAAAAF65nR8=")</f>
        <v>#REF!</v>
      </c>
      <c r="AG70" t="e">
        <f>AND('PROG FORMACIÓN TITULADA'!#REF!,"AAAAAF65nSA=")</f>
        <v>#REF!</v>
      </c>
      <c r="AH70" t="e">
        <f>AND('PROG FORMACIÓN TITULADA'!#REF!,"AAAAAF65nSE=")</f>
        <v>#REF!</v>
      </c>
      <c r="AI70" t="e">
        <f>AND('PROG FORMACIÓN TITULADA'!#REF!,"AAAAAF65nSI=")</f>
        <v>#REF!</v>
      </c>
      <c r="AJ70" t="e">
        <f>IF('PROG FORMACIÓN TITULADA'!#REF!,"AAAAAF65nSM=",0)</f>
        <v>#REF!</v>
      </c>
      <c r="AK70" t="e">
        <f>AND('PROG FORMACIÓN TITULADA'!#REF!,"AAAAAF65nSQ=")</f>
        <v>#REF!</v>
      </c>
      <c r="AL70" t="e">
        <f>AND('PROG FORMACIÓN TITULADA'!#REF!,"AAAAAF65nSU=")</f>
        <v>#REF!</v>
      </c>
      <c r="AM70" t="e">
        <f>AND('PROG FORMACIÓN TITULADA'!#REF!,"AAAAAF65nSY=")</f>
        <v>#REF!</v>
      </c>
      <c r="AN70" t="e">
        <f>AND('PROG FORMACIÓN TITULADA'!#REF!,"AAAAAF65nSc=")</f>
        <v>#REF!</v>
      </c>
      <c r="AO70" t="e">
        <f>AND('PROG FORMACIÓN TITULADA'!#REF!,"AAAAAF65nSg=")</f>
        <v>#REF!</v>
      </c>
      <c r="AP70" t="e">
        <f>AND('PROG FORMACIÓN TITULADA'!#REF!,"AAAAAF65nSk=")</f>
        <v>#REF!</v>
      </c>
      <c r="AQ70" t="e">
        <f>AND('PROG FORMACIÓN TITULADA'!#REF!,"AAAAAF65nSo=")</f>
        <v>#REF!</v>
      </c>
      <c r="AR70" t="e">
        <f>AND('PROG FORMACIÓN TITULADA'!#REF!,"AAAAAF65nSs=")</f>
        <v>#REF!</v>
      </c>
      <c r="AS70" t="e">
        <f>AND('PROG FORMACIÓN TITULADA'!#REF!,"AAAAAF65nSw=")</f>
        <v>#REF!</v>
      </c>
      <c r="AT70" t="e">
        <f>AND('PROG FORMACIÓN TITULADA'!#REF!,"AAAAAF65nS0=")</f>
        <v>#REF!</v>
      </c>
      <c r="AU70" t="e">
        <f>AND('PROG FORMACIÓN TITULADA'!#REF!,"AAAAAF65nS4=")</f>
        <v>#REF!</v>
      </c>
      <c r="AV70" t="e">
        <f>AND('PROG FORMACIÓN TITULADA'!#REF!,"AAAAAF65nS8=")</f>
        <v>#REF!</v>
      </c>
      <c r="AW70" t="e">
        <f>AND('PROG FORMACIÓN TITULADA'!#REF!,"AAAAAF65nTA=")</f>
        <v>#REF!</v>
      </c>
      <c r="AX70" t="e">
        <f>AND('PROG FORMACIÓN TITULADA'!#REF!,"AAAAAF65nTE=")</f>
        <v>#REF!</v>
      </c>
      <c r="AY70" t="e">
        <f>AND('PROG FORMACIÓN TITULADA'!#REF!,"AAAAAF65nTI=")</f>
        <v>#REF!</v>
      </c>
      <c r="AZ70" t="e">
        <f>AND('PROG FORMACIÓN TITULADA'!#REF!,"AAAAAF65nTM=")</f>
        <v>#REF!</v>
      </c>
      <c r="BA70" t="e">
        <f>AND('PROG FORMACIÓN TITULADA'!#REF!,"AAAAAF65nTQ=")</f>
        <v>#REF!</v>
      </c>
      <c r="BB70" t="e">
        <f>AND('PROG FORMACIÓN TITULADA'!#REF!,"AAAAAF65nTU=")</f>
        <v>#REF!</v>
      </c>
      <c r="BC70" t="e">
        <f>AND('PROG FORMACIÓN TITULADA'!#REF!,"AAAAAF65nTY=")</f>
        <v>#REF!</v>
      </c>
      <c r="BD70" t="e">
        <f>AND('PROG FORMACIÓN TITULADA'!#REF!,"AAAAAF65nTc=")</f>
        <v>#REF!</v>
      </c>
      <c r="BE70" t="e">
        <f>AND('PROG FORMACIÓN TITULADA'!#REF!,"AAAAAF65nTg=")</f>
        <v>#REF!</v>
      </c>
      <c r="BF70" t="e">
        <f>AND('PROG FORMACIÓN TITULADA'!#REF!,"AAAAAF65nTk=")</f>
        <v>#REF!</v>
      </c>
      <c r="BG70" t="e">
        <f>AND('PROG FORMACIÓN TITULADA'!#REF!,"AAAAAF65nTo=")</f>
        <v>#REF!</v>
      </c>
      <c r="BH70" t="e">
        <f>AND('PROG FORMACIÓN TITULADA'!#REF!,"AAAAAF65nTs=")</f>
        <v>#REF!</v>
      </c>
      <c r="BI70" t="e">
        <f>AND('PROG FORMACIÓN TITULADA'!#REF!,"AAAAAF65nTw=")</f>
        <v>#REF!</v>
      </c>
      <c r="BJ70" t="e">
        <f>AND('PROG FORMACIÓN TITULADA'!#REF!,"AAAAAF65nT0=")</f>
        <v>#REF!</v>
      </c>
      <c r="BK70" t="e">
        <f>IF('PROG FORMACIÓN TITULADA'!#REF!,"AAAAAF65nT4=",0)</f>
        <v>#REF!</v>
      </c>
      <c r="BL70" t="e">
        <f>AND('PROG FORMACIÓN TITULADA'!#REF!,"AAAAAF65nT8=")</f>
        <v>#REF!</v>
      </c>
      <c r="BM70" t="e">
        <f>AND('PROG FORMACIÓN TITULADA'!#REF!,"AAAAAF65nUA=")</f>
        <v>#REF!</v>
      </c>
      <c r="BN70" t="e">
        <f>AND('PROG FORMACIÓN TITULADA'!#REF!,"AAAAAF65nUE=")</f>
        <v>#REF!</v>
      </c>
      <c r="BO70" t="e">
        <f>AND('PROG FORMACIÓN TITULADA'!#REF!,"AAAAAF65nUI=")</f>
        <v>#REF!</v>
      </c>
      <c r="BP70" t="e">
        <f>AND('PROG FORMACIÓN TITULADA'!#REF!,"AAAAAF65nUM=")</f>
        <v>#REF!</v>
      </c>
      <c r="BQ70" t="e">
        <f>AND('PROG FORMACIÓN TITULADA'!#REF!,"AAAAAF65nUQ=")</f>
        <v>#REF!</v>
      </c>
      <c r="BR70" t="e">
        <f>AND('PROG FORMACIÓN TITULADA'!#REF!,"AAAAAF65nUU=")</f>
        <v>#REF!</v>
      </c>
      <c r="BS70" t="e">
        <f>AND('PROG FORMACIÓN TITULADA'!#REF!,"AAAAAF65nUY=")</f>
        <v>#REF!</v>
      </c>
      <c r="BT70" t="e">
        <f>AND('PROG FORMACIÓN TITULADA'!#REF!,"AAAAAF65nUc=")</f>
        <v>#REF!</v>
      </c>
      <c r="BU70" t="e">
        <f>AND('PROG FORMACIÓN TITULADA'!#REF!,"AAAAAF65nUg=")</f>
        <v>#REF!</v>
      </c>
      <c r="BV70" t="e">
        <f>AND('PROG FORMACIÓN TITULADA'!#REF!,"AAAAAF65nUk=")</f>
        <v>#REF!</v>
      </c>
      <c r="BW70" t="e">
        <f>AND('PROG FORMACIÓN TITULADA'!#REF!,"AAAAAF65nUo=")</f>
        <v>#REF!</v>
      </c>
      <c r="BX70" t="e">
        <f>AND('PROG FORMACIÓN TITULADA'!#REF!,"AAAAAF65nUs=")</f>
        <v>#REF!</v>
      </c>
      <c r="BY70" t="e">
        <f>AND('PROG FORMACIÓN TITULADA'!#REF!,"AAAAAF65nUw=")</f>
        <v>#REF!</v>
      </c>
      <c r="BZ70" t="e">
        <f>AND('PROG FORMACIÓN TITULADA'!#REF!,"AAAAAF65nU0=")</f>
        <v>#REF!</v>
      </c>
      <c r="CA70" t="e">
        <f>AND('PROG FORMACIÓN TITULADA'!#REF!,"AAAAAF65nU4=")</f>
        <v>#REF!</v>
      </c>
      <c r="CB70" t="e">
        <f>AND('PROG FORMACIÓN TITULADA'!#REF!,"AAAAAF65nU8=")</f>
        <v>#REF!</v>
      </c>
      <c r="CC70" t="e">
        <f>AND('PROG FORMACIÓN TITULADA'!#REF!,"AAAAAF65nVA=")</f>
        <v>#REF!</v>
      </c>
      <c r="CD70" t="e">
        <f>AND('PROG FORMACIÓN TITULADA'!#REF!,"AAAAAF65nVE=")</f>
        <v>#REF!</v>
      </c>
      <c r="CE70" t="e">
        <f>AND('PROG FORMACIÓN TITULADA'!#REF!,"AAAAAF65nVI=")</f>
        <v>#REF!</v>
      </c>
      <c r="CF70" t="e">
        <f>AND('PROG FORMACIÓN TITULADA'!#REF!,"AAAAAF65nVM=")</f>
        <v>#REF!</v>
      </c>
      <c r="CG70" t="e">
        <f>AND('PROG FORMACIÓN TITULADA'!#REF!,"AAAAAF65nVQ=")</f>
        <v>#REF!</v>
      </c>
      <c r="CH70" t="e">
        <f>AND('PROG FORMACIÓN TITULADA'!#REF!,"AAAAAF65nVU=")</f>
        <v>#REF!</v>
      </c>
      <c r="CI70" t="e">
        <f>AND('PROG FORMACIÓN TITULADA'!#REF!,"AAAAAF65nVY=")</f>
        <v>#REF!</v>
      </c>
      <c r="CJ70" t="e">
        <f>AND('PROG FORMACIÓN TITULADA'!#REF!,"AAAAAF65nVc=")</f>
        <v>#REF!</v>
      </c>
      <c r="CK70" t="e">
        <f>AND('PROG FORMACIÓN TITULADA'!#REF!,"AAAAAF65nVg=")</f>
        <v>#REF!</v>
      </c>
      <c r="CL70" t="e">
        <f>IF('PROG FORMACIÓN TITULADA'!#REF!,"AAAAAF65nVk=",0)</f>
        <v>#REF!</v>
      </c>
      <c r="CM70" t="e">
        <f>AND('PROG FORMACIÓN TITULADA'!#REF!,"AAAAAF65nVo=")</f>
        <v>#REF!</v>
      </c>
      <c r="CN70" t="e">
        <f>AND('PROG FORMACIÓN TITULADA'!#REF!,"AAAAAF65nVs=")</f>
        <v>#REF!</v>
      </c>
      <c r="CO70" t="e">
        <f>AND('PROG FORMACIÓN TITULADA'!#REF!,"AAAAAF65nVw=")</f>
        <v>#REF!</v>
      </c>
      <c r="CP70" t="e">
        <f>AND('PROG FORMACIÓN TITULADA'!#REF!,"AAAAAF65nV0=")</f>
        <v>#REF!</v>
      </c>
      <c r="CQ70" t="e">
        <f>AND('PROG FORMACIÓN TITULADA'!#REF!,"AAAAAF65nV4=")</f>
        <v>#REF!</v>
      </c>
      <c r="CR70" t="e">
        <f>AND('PROG FORMACIÓN TITULADA'!#REF!,"AAAAAF65nV8=")</f>
        <v>#REF!</v>
      </c>
      <c r="CS70" t="e">
        <f>AND('PROG FORMACIÓN TITULADA'!#REF!,"AAAAAF65nWA=")</f>
        <v>#REF!</v>
      </c>
      <c r="CT70" t="e">
        <f>AND('PROG FORMACIÓN TITULADA'!#REF!,"AAAAAF65nWE=")</f>
        <v>#REF!</v>
      </c>
      <c r="CU70" t="e">
        <f>AND('PROG FORMACIÓN TITULADA'!#REF!,"AAAAAF65nWI=")</f>
        <v>#REF!</v>
      </c>
      <c r="CV70" t="e">
        <f>AND('PROG FORMACIÓN TITULADA'!#REF!,"AAAAAF65nWM=")</f>
        <v>#REF!</v>
      </c>
      <c r="CW70" t="e">
        <f>AND('PROG FORMACIÓN TITULADA'!#REF!,"AAAAAF65nWQ=")</f>
        <v>#REF!</v>
      </c>
      <c r="CX70" t="e">
        <f>AND('PROG FORMACIÓN TITULADA'!#REF!,"AAAAAF65nWU=")</f>
        <v>#REF!</v>
      </c>
      <c r="CY70" t="e">
        <f>AND('PROG FORMACIÓN TITULADA'!#REF!,"AAAAAF65nWY=")</f>
        <v>#REF!</v>
      </c>
      <c r="CZ70" t="e">
        <f>AND('PROG FORMACIÓN TITULADA'!#REF!,"AAAAAF65nWc=")</f>
        <v>#REF!</v>
      </c>
      <c r="DA70" t="e">
        <f>AND('PROG FORMACIÓN TITULADA'!#REF!,"AAAAAF65nWg=")</f>
        <v>#REF!</v>
      </c>
      <c r="DB70" t="e">
        <f>AND('PROG FORMACIÓN TITULADA'!#REF!,"AAAAAF65nWk=")</f>
        <v>#REF!</v>
      </c>
      <c r="DC70" t="e">
        <f>AND('PROG FORMACIÓN TITULADA'!#REF!,"AAAAAF65nWo=")</f>
        <v>#REF!</v>
      </c>
      <c r="DD70" t="e">
        <f>AND('PROG FORMACIÓN TITULADA'!#REF!,"AAAAAF65nWs=")</f>
        <v>#REF!</v>
      </c>
      <c r="DE70" t="e">
        <f>AND('PROG FORMACIÓN TITULADA'!#REF!,"AAAAAF65nWw=")</f>
        <v>#REF!</v>
      </c>
      <c r="DF70" t="e">
        <f>AND('PROG FORMACIÓN TITULADA'!#REF!,"AAAAAF65nW0=")</f>
        <v>#REF!</v>
      </c>
      <c r="DG70" t="e">
        <f>AND('PROG FORMACIÓN TITULADA'!#REF!,"AAAAAF65nW4=")</f>
        <v>#REF!</v>
      </c>
      <c r="DH70" t="e">
        <f>AND('PROG FORMACIÓN TITULADA'!#REF!,"AAAAAF65nW8=")</f>
        <v>#REF!</v>
      </c>
      <c r="DI70" t="e">
        <f>AND('PROG FORMACIÓN TITULADA'!#REF!,"AAAAAF65nXA=")</f>
        <v>#REF!</v>
      </c>
      <c r="DJ70" t="e">
        <f>AND('PROG FORMACIÓN TITULADA'!#REF!,"AAAAAF65nXE=")</f>
        <v>#REF!</v>
      </c>
      <c r="DK70" t="e">
        <f>AND('PROG FORMACIÓN TITULADA'!#REF!,"AAAAAF65nXI=")</f>
        <v>#REF!</v>
      </c>
      <c r="DL70" t="e">
        <f>AND('PROG FORMACIÓN TITULADA'!#REF!,"AAAAAF65nXM=")</f>
        <v>#REF!</v>
      </c>
      <c r="DM70" t="e">
        <f>IF('PROG FORMACIÓN TITULADA'!#REF!,"AAAAAF65nXQ=",0)</f>
        <v>#REF!</v>
      </c>
      <c r="DN70" t="e">
        <f>AND('PROG FORMACIÓN TITULADA'!#REF!,"AAAAAF65nXU=")</f>
        <v>#REF!</v>
      </c>
      <c r="DO70" t="e">
        <f>AND('PROG FORMACIÓN TITULADA'!#REF!,"AAAAAF65nXY=")</f>
        <v>#REF!</v>
      </c>
      <c r="DP70" t="e">
        <f>AND('PROG FORMACIÓN TITULADA'!#REF!,"AAAAAF65nXc=")</f>
        <v>#REF!</v>
      </c>
      <c r="DQ70" t="e">
        <f>AND('PROG FORMACIÓN TITULADA'!#REF!,"AAAAAF65nXg=")</f>
        <v>#REF!</v>
      </c>
      <c r="DR70" t="e">
        <f>AND('PROG FORMACIÓN TITULADA'!#REF!,"AAAAAF65nXk=")</f>
        <v>#REF!</v>
      </c>
      <c r="DS70" t="e">
        <f>AND('PROG FORMACIÓN TITULADA'!#REF!,"AAAAAF65nXo=")</f>
        <v>#REF!</v>
      </c>
      <c r="DT70" t="e">
        <f>AND('PROG FORMACIÓN TITULADA'!#REF!,"AAAAAF65nXs=")</f>
        <v>#REF!</v>
      </c>
      <c r="DU70" t="e">
        <f>AND('PROG FORMACIÓN TITULADA'!#REF!,"AAAAAF65nXw=")</f>
        <v>#REF!</v>
      </c>
      <c r="DV70" t="e">
        <f>AND('PROG FORMACIÓN TITULADA'!#REF!,"AAAAAF65nX0=")</f>
        <v>#REF!</v>
      </c>
      <c r="DW70" t="e">
        <f>AND('PROG FORMACIÓN TITULADA'!#REF!,"AAAAAF65nX4=")</f>
        <v>#REF!</v>
      </c>
      <c r="DX70" t="e">
        <f>AND('PROG FORMACIÓN TITULADA'!#REF!,"AAAAAF65nX8=")</f>
        <v>#REF!</v>
      </c>
      <c r="DY70" t="e">
        <f>AND('PROG FORMACIÓN TITULADA'!#REF!,"AAAAAF65nYA=")</f>
        <v>#REF!</v>
      </c>
      <c r="DZ70" t="e">
        <f>AND('PROG FORMACIÓN TITULADA'!#REF!,"AAAAAF65nYE=")</f>
        <v>#REF!</v>
      </c>
      <c r="EA70" t="e">
        <f>AND('PROG FORMACIÓN TITULADA'!#REF!,"AAAAAF65nYI=")</f>
        <v>#REF!</v>
      </c>
      <c r="EB70" t="e">
        <f>AND('PROG FORMACIÓN TITULADA'!#REF!,"AAAAAF65nYM=")</f>
        <v>#REF!</v>
      </c>
      <c r="EC70" t="e">
        <f>AND('PROG FORMACIÓN TITULADA'!#REF!,"AAAAAF65nYQ=")</f>
        <v>#REF!</v>
      </c>
      <c r="ED70" t="e">
        <f>AND('PROG FORMACIÓN TITULADA'!#REF!,"AAAAAF65nYU=")</f>
        <v>#REF!</v>
      </c>
      <c r="EE70" t="e">
        <f>AND('PROG FORMACIÓN TITULADA'!#REF!,"AAAAAF65nYY=")</f>
        <v>#REF!</v>
      </c>
      <c r="EF70" t="e">
        <f>AND('PROG FORMACIÓN TITULADA'!#REF!,"AAAAAF65nYc=")</f>
        <v>#REF!</v>
      </c>
      <c r="EG70" t="e">
        <f>AND('PROG FORMACIÓN TITULADA'!#REF!,"AAAAAF65nYg=")</f>
        <v>#REF!</v>
      </c>
      <c r="EH70" t="e">
        <f>AND('PROG FORMACIÓN TITULADA'!#REF!,"AAAAAF65nYk=")</f>
        <v>#REF!</v>
      </c>
      <c r="EI70" t="e">
        <f>AND('PROG FORMACIÓN TITULADA'!#REF!,"AAAAAF65nYo=")</f>
        <v>#REF!</v>
      </c>
      <c r="EJ70" t="e">
        <f>AND('PROG FORMACIÓN TITULADA'!#REF!,"AAAAAF65nYs=")</f>
        <v>#REF!</v>
      </c>
      <c r="EK70" t="e">
        <f>AND('PROG FORMACIÓN TITULADA'!#REF!,"AAAAAF65nYw=")</f>
        <v>#REF!</v>
      </c>
      <c r="EL70" t="e">
        <f>AND('PROG FORMACIÓN TITULADA'!#REF!,"AAAAAF65nY0=")</f>
        <v>#REF!</v>
      </c>
      <c r="EM70" t="e">
        <f>AND('PROG FORMACIÓN TITULADA'!#REF!,"AAAAAF65nY4=")</f>
        <v>#REF!</v>
      </c>
      <c r="EN70" t="e">
        <f>IF('PROG FORMACIÓN TITULADA'!#REF!,"AAAAAF65nY8=",0)</f>
        <v>#REF!</v>
      </c>
      <c r="EO70" t="e">
        <f>AND('PROG FORMACIÓN TITULADA'!#REF!,"AAAAAF65nZA=")</f>
        <v>#REF!</v>
      </c>
      <c r="EP70" t="e">
        <f>AND('PROG FORMACIÓN TITULADA'!#REF!,"AAAAAF65nZE=")</f>
        <v>#REF!</v>
      </c>
      <c r="EQ70" t="e">
        <f>AND('PROG FORMACIÓN TITULADA'!#REF!,"AAAAAF65nZI=")</f>
        <v>#REF!</v>
      </c>
      <c r="ER70" t="e">
        <f>AND('PROG FORMACIÓN TITULADA'!#REF!,"AAAAAF65nZM=")</f>
        <v>#REF!</v>
      </c>
      <c r="ES70" t="e">
        <f>AND('PROG FORMACIÓN TITULADA'!#REF!,"AAAAAF65nZQ=")</f>
        <v>#REF!</v>
      </c>
      <c r="ET70" t="e">
        <f>AND('PROG FORMACIÓN TITULADA'!#REF!,"AAAAAF65nZU=")</f>
        <v>#REF!</v>
      </c>
      <c r="EU70" t="e">
        <f>AND('PROG FORMACIÓN TITULADA'!#REF!,"AAAAAF65nZY=")</f>
        <v>#REF!</v>
      </c>
      <c r="EV70" t="e">
        <f>AND('PROG FORMACIÓN TITULADA'!#REF!,"AAAAAF65nZc=")</f>
        <v>#REF!</v>
      </c>
      <c r="EW70" t="e">
        <f>AND('PROG FORMACIÓN TITULADA'!#REF!,"AAAAAF65nZg=")</f>
        <v>#REF!</v>
      </c>
      <c r="EX70" t="e">
        <f>AND('PROG FORMACIÓN TITULADA'!#REF!,"AAAAAF65nZk=")</f>
        <v>#REF!</v>
      </c>
      <c r="EY70" t="e">
        <f>AND('PROG FORMACIÓN TITULADA'!#REF!,"AAAAAF65nZo=")</f>
        <v>#REF!</v>
      </c>
      <c r="EZ70" t="e">
        <f>AND('PROG FORMACIÓN TITULADA'!#REF!,"AAAAAF65nZs=")</f>
        <v>#REF!</v>
      </c>
      <c r="FA70" t="e">
        <f>AND('PROG FORMACIÓN TITULADA'!#REF!,"AAAAAF65nZw=")</f>
        <v>#REF!</v>
      </c>
      <c r="FB70" t="e">
        <f>AND('PROG FORMACIÓN TITULADA'!#REF!,"AAAAAF65nZ0=")</f>
        <v>#REF!</v>
      </c>
      <c r="FC70" t="e">
        <f>AND('PROG FORMACIÓN TITULADA'!#REF!,"AAAAAF65nZ4=")</f>
        <v>#REF!</v>
      </c>
      <c r="FD70" t="e">
        <f>AND('PROG FORMACIÓN TITULADA'!#REF!,"AAAAAF65nZ8=")</f>
        <v>#REF!</v>
      </c>
      <c r="FE70" t="e">
        <f>AND('PROG FORMACIÓN TITULADA'!#REF!,"AAAAAF65naA=")</f>
        <v>#REF!</v>
      </c>
      <c r="FF70" t="e">
        <f>AND('PROG FORMACIÓN TITULADA'!#REF!,"AAAAAF65naE=")</f>
        <v>#REF!</v>
      </c>
      <c r="FG70" t="e">
        <f>AND('PROG FORMACIÓN TITULADA'!#REF!,"AAAAAF65naI=")</f>
        <v>#REF!</v>
      </c>
      <c r="FH70" t="e">
        <f>AND('PROG FORMACIÓN TITULADA'!#REF!,"AAAAAF65naM=")</f>
        <v>#REF!</v>
      </c>
      <c r="FI70" t="e">
        <f>AND('PROG FORMACIÓN TITULADA'!#REF!,"AAAAAF65naQ=")</f>
        <v>#REF!</v>
      </c>
      <c r="FJ70" t="e">
        <f>AND('PROG FORMACIÓN TITULADA'!#REF!,"AAAAAF65naU=")</f>
        <v>#REF!</v>
      </c>
      <c r="FK70" t="e">
        <f>AND('PROG FORMACIÓN TITULADA'!#REF!,"AAAAAF65naY=")</f>
        <v>#REF!</v>
      </c>
      <c r="FL70" t="e">
        <f>AND('PROG FORMACIÓN TITULADA'!#REF!,"AAAAAF65nac=")</f>
        <v>#REF!</v>
      </c>
      <c r="FM70" t="e">
        <f>AND('PROG FORMACIÓN TITULADA'!#REF!,"AAAAAF65nag=")</f>
        <v>#REF!</v>
      </c>
      <c r="FN70" t="e">
        <f>AND('PROG FORMACIÓN TITULADA'!#REF!,"AAAAAF65nak=")</f>
        <v>#REF!</v>
      </c>
      <c r="FO70" t="e">
        <f>IF('PROG FORMACIÓN TITULADA'!#REF!,"AAAAAF65nao=",0)</f>
        <v>#REF!</v>
      </c>
      <c r="FP70" t="e">
        <f>AND('PROG FORMACIÓN TITULADA'!#REF!,"AAAAAF65nas=")</f>
        <v>#REF!</v>
      </c>
      <c r="FQ70" t="e">
        <f>AND('PROG FORMACIÓN TITULADA'!#REF!,"AAAAAF65naw=")</f>
        <v>#REF!</v>
      </c>
      <c r="FR70" t="e">
        <f>AND('PROG FORMACIÓN TITULADA'!#REF!,"AAAAAF65na0=")</f>
        <v>#REF!</v>
      </c>
      <c r="FS70" t="e">
        <f>AND('PROG FORMACIÓN TITULADA'!#REF!,"AAAAAF65na4=")</f>
        <v>#REF!</v>
      </c>
      <c r="FT70" t="e">
        <f>AND('PROG FORMACIÓN TITULADA'!#REF!,"AAAAAF65na8=")</f>
        <v>#REF!</v>
      </c>
      <c r="FU70" t="e">
        <f>AND('PROG FORMACIÓN TITULADA'!#REF!,"AAAAAF65nbA=")</f>
        <v>#REF!</v>
      </c>
      <c r="FV70" t="e">
        <f>AND('PROG FORMACIÓN TITULADA'!#REF!,"AAAAAF65nbE=")</f>
        <v>#REF!</v>
      </c>
      <c r="FW70" t="e">
        <f>AND('PROG FORMACIÓN TITULADA'!#REF!,"AAAAAF65nbI=")</f>
        <v>#REF!</v>
      </c>
      <c r="FX70" t="e">
        <f>AND('PROG FORMACIÓN TITULADA'!#REF!,"AAAAAF65nbM=")</f>
        <v>#REF!</v>
      </c>
      <c r="FY70" t="e">
        <f>AND('PROG FORMACIÓN TITULADA'!#REF!,"AAAAAF65nbQ=")</f>
        <v>#REF!</v>
      </c>
      <c r="FZ70" t="e">
        <f>AND('PROG FORMACIÓN TITULADA'!#REF!,"AAAAAF65nbU=")</f>
        <v>#REF!</v>
      </c>
      <c r="GA70" t="e">
        <f>AND('PROG FORMACIÓN TITULADA'!#REF!,"AAAAAF65nbY=")</f>
        <v>#REF!</v>
      </c>
      <c r="GB70" t="e">
        <f>AND('PROG FORMACIÓN TITULADA'!#REF!,"AAAAAF65nbc=")</f>
        <v>#REF!</v>
      </c>
      <c r="GC70" t="e">
        <f>AND('PROG FORMACIÓN TITULADA'!#REF!,"AAAAAF65nbg=")</f>
        <v>#REF!</v>
      </c>
      <c r="GD70" t="e">
        <f>AND('PROG FORMACIÓN TITULADA'!#REF!,"AAAAAF65nbk=")</f>
        <v>#REF!</v>
      </c>
      <c r="GE70" t="e">
        <f>AND('PROG FORMACIÓN TITULADA'!#REF!,"AAAAAF65nbo=")</f>
        <v>#REF!</v>
      </c>
      <c r="GF70" t="e">
        <f>AND('PROG FORMACIÓN TITULADA'!#REF!,"AAAAAF65nbs=")</f>
        <v>#REF!</v>
      </c>
      <c r="GG70" t="e">
        <f>AND('PROG FORMACIÓN TITULADA'!#REF!,"AAAAAF65nbw=")</f>
        <v>#REF!</v>
      </c>
      <c r="GH70" t="e">
        <f>AND('PROG FORMACIÓN TITULADA'!#REF!,"AAAAAF65nb0=")</f>
        <v>#REF!</v>
      </c>
      <c r="GI70" t="e">
        <f>AND('PROG FORMACIÓN TITULADA'!#REF!,"AAAAAF65nb4=")</f>
        <v>#REF!</v>
      </c>
      <c r="GJ70" t="e">
        <f>AND('PROG FORMACIÓN TITULADA'!#REF!,"AAAAAF65nb8=")</f>
        <v>#REF!</v>
      </c>
      <c r="GK70" t="e">
        <f>AND('PROG FORMACIÓN TITULADA'!#REF!,"AAAAAF65ncA=")</f>
        <v>#REF!</v>
      </c>
      <c r="GL70" t="e">
        <f>AND('PROG FORMACIÓN TITULADA'!#REF!,"AAAAAF65ncE=")</f>
        <v>#REF!</v>
      </c>
      <c r="GM70" t="e">
        <f>AND('PROG FORMACIÓN TITULADA'!#REF!,"AAAAAF65ncI=")</f>
        <v>#REF!</v>
      </c>
      <c r="GN70" t="e">
        <f>AND('PROG FORMACIÓN TITULADA'!#REF!,"AAAAAF65ncM=")</f>
        <v>#REF!</v>
      </c>
      <c r="GO70" t="e">
        <f>AND('PROG FORMACIÓN TITULADA'!#REF!,"AAAAAF65ncQ=")</f>
        <v>#REF!</v>
      </c>
      <c r="GP70" t="e">
        <f>IF('PROG FORMACIÓN TITULADA'!#REF!,"AAAAAF65ncU=",0)</f>
        <v>#REF!</v>
      </c>
      <c r="GQ70" t="e">
        <f>AND('PROG FORMACIÓN TITULADA'!#REF!,"AAAAAF65ncY=")</f>
        <v>#REF!</v>
      </c>
      <c r="GR70" t="e">
        <f>AND('PROG FORMACIÓN TITULADA'!#REF!,"AAAAAF65ncc=")</f>
        <v>#REF!</v>
      </c>
      <c r="GS70" t="e">
        <f>AND('PROG FORMACIÓN TITULADA'!#REF!,"AAAAAF65ncg=")</f>
        <v>#REF!</v>
      </c>
      <c r="GT70" t="e">
        <f>AND('PROG FORMACIÓN TITULADA'!#REF!,"AAAAAF65nck=")</f>
        <v>#REF!</v>
      </c>
      <c r="GU70" t="e">
        <f>AND('PROG FORMACIÓN TITULADA'!#REF!,"AAAAAF65nco=")</f>
        <v>#REF!</v>
      </c>
      <c r="GV70" t="e">
        <f>AND('PROG FORMACIÓN TITULADA'!#REF!,"AAAAAF65ncs=")</f>
        <v>#REF!</v>
      </c>
      <c r="GW70" t="e">
        <f>AND('PROG FORMACIÓN TITULADA'!#REF!,"AAAAAF65ncw=")</f>
        <v>#REF!</v>
      </c>
      <c r="GX70" t="e">
        <f>AND('PROG FORMACIÓN TITULADA'!#REF!,"AAAAAF65nc0=")</f>
        <v>#REF!</v>
      </c>
      <c r="GY70" t="e">
        <f>AND('PROG FORMACIÓN TITULADA'!#REF!,"AAAAAF65nc4=")</f>
        <v>#REF!</v>
      </c>
      <c r="GZ70" t="e">
        <f>AND('PROG FORMACIÓN TITULADA'!#REF!,"AAAAAF65nc8=")</f>
        <v>#REF!</v>
      </c>
      <c r="HA70" t="e">
        <f>AND('PROG FORMACIÓN TITULADA'!#REF!,"AAAAAF65ndA=")</f>
        <v>#REF!</v>
      </c>
      <c r="HB70" t="e">
        <f>AND('PROG FORMACIÓN TITULADA'!#REF!,"AAAAAF65ndE=")</f>
        <v>#REF!</v>
      </c>
      <c r="HC70" t="e">
        <f>AND('PROG FORMACIÓN TITULADA'!#REF!,"AAAAAF65ndI=")</f>
        <v>#REF!</v>
      </c>
      <c r="HD70" t="e">
        <f>AND('PROG FORMACIÓN TITULADA'!#REF!,"AAAAAF65ndM=")</f>
        <v>#REF!</v>
      </c>
      <c r="HE70" t="e">
        <f>AND('PROG FORMACIÓN TITULADA'!#REF!,"AAAAAF65ndQ=")</f>
        <v>#REF!</v>
      </c>
      <c r="HF70" t="e">
        <f>AND('PROG FORMACIÓN TITULADA'!#REF!,"AAAAAF65ndU=")</f>
        <v>#REF!</v>
      </c>
      <c r="HG70" t="e">
        <f>AND('PROG FORMACIÓN TITULADA'!#REF!,"AAAAAF65ndY=")</f>
        <v>#REF!</v>
      </c>
      <c r="HH70" t="e">
        <f>AND('PROG FORMACIÓN TITULADA'!#REF!,"AAAAAF65ndc=")</f>
        <v>#REF!</v>
      </c>
      <c r="HI70" t="e">
        <f>AND('PROG FORMACIÓN TITULADA'!#REF!,"AAAAAF65ndg=")</f>
        <v>#REF!</v>
      </c>
      <c r="HJ70" t="e">
        <f>AND('PROG FORMACIÓN TITULADA'!#REF!,"AAAAAF65ndk=")</f>
        <v>#REF!</v>
      </c>
      <c r="HK70" t="e">
        <f>AND('PROG FORMACIÓN TITULADA'!#REF!,"AAAAAF65ndo=")</f>
        <v>#REF!</v>
      </c>
      <c r="HL70" t="e">
        <f>AND('PROG FORMACIÓN TITULADA'!#REF!,"AAAAAF65nds=")</f>
        <v>#REF!</v>
      </c>
      <c r="HM70" t="e">
        <f>AND('PROG FORMACIÓN TITULADA'!#REF!,"AAAAAF65ndw=")</f>
        <v>#REF!</v>
      </c>
      <c r="HN70" t="e">
        <f>AND('PROG FORMACIÓN TITULADA'!#REF!,"AAAAAF65nd0=")</f>
        <v>#REF!</v>
      </c>
      <c r="HO70" t="e">
        <f>AND('PROG FORMACIÓN TITULADA'!#REF!,"AAAAAF65nd4=")</f>
        <v>#REF!</v>
      </c>
      <c r="HP70" t="e">
        <f>AND('PROG FORMACIÓN TITULADA'!#REF!,"AAAAAF65nd8=")</f>
        <v>#REF!</v>
      </c>
      <c r="HQ70" t="e">
        <f>IF('PROG FORMACIÓN TITULADA'!#REF!,"AAAAAF65neA=",0)</f>
        <v>#REF!</v>
      </c>
      <c r="HR70" t="e">
        <f>AND('PROG FORMACIÓN TITULADA'!#REF!,"AAAAAF65neE=")</f>
        <v>#REF!</v>
      </c>
      <c r="HS70" t="e">
        <f>AND('PROG FORMACIÓN TITULADA'!#REF!,"AAAAAF65neI=")</f>
        <v>#REF!</v>
      </c>
      <c r="HT70" t="e">
        <f>AND('PROG FORMACIÓN TITULADA'!#REF!,"AAAAAF65neM=")</f>
        <v>#REF!</v>
      </c>
      <c r="HU70" t="e">
        <f>AND('PROG FORMACIÓN TITULADA'!#REF!,"AAAAAF65neQ=")</f>
        <v>#REF!</v>
      </c>
      <c r="HV70" t="e">
        <f>AND('PROG FORMACIÓN TITULADA'!#REF!,"AAAAAF65neU=")</f>
        <v>#REF!</v>
      </c>
      <c r="HW70" t="e">
        <f>AND('PROG FORMACIÓN TITULADA'!#REF!,"AAAAAF65neY=")</f>
        <v>#REF!</v>
      </c>
      <c r="HX70" t="e">
        <f>AND('PROG FORMACIÓN TITULADA'!#REF!,"AAAAAF65nec=")</f>
        <v>#REF!</v>
      </c>
      <c r="HY70" t="e">
        <f>AND('PROG FORMACIÓN TITULADA'!#REF!,"AAAAAF65neg=")</f>
        <v>#REF!</v>
      </c>
      <c r="HZ70" t="e">
        <f>AND('PROG FORMACIÓN TITULADA'!#REF!,"AAAAAF65nek=")</f>
        <v>#REF!</v>
      </c>
      <c r="IA70" t="e">
        <f>AND('PROG FORMACIÓN TITULADA'!#REF!,"AAAAAF65neo=")</f>
        <v>#REF!</v>
      </c>
      <c r="IB70" t="e">
        <f>AND('PROG FORMACIÓN TITULADA'!#REF!,"AAAAAF65nes=")</f>
        <v>#REF!</v>
      </c>
      <c r="IC70" t="e">
        <f>AND('PROG FORMACIÓN TITULADA'!#REF!,"AAAAAF65new=")</f>
        <v>#REF!</v>
      </c>
      <c r="ID70" t="e">
        <f>AND('PROG FORMACIÓN TITULADA'!#REF!,"AAAAAF65ne0=")</f>
        <v>#REF!</v>
      </c>
      <c r="IE70" t="e">
        <f>AND('PROG FORMACIÓN TITULADA'!#REF!,"AAAAAF65ne4=")</f>
        <v>#REF!</v>
      </c>
      <c r="IF70" t="e">
        <f>AND('PROG FORMACIÓN TITULADA'!#REF!,"AAAAAF65ne8=")</f>
        <v>#REF!</v>
      </c>
      <c r="IG70" t="e">
        <f>AND('PROG FORMACIÓN TITULADA'!#REF!,"AAAAAF65nfA=")</f>
        <v>#REF!</v>
      </c>
      <c r="IH70" t="e">
        <f>AND('PROG FORMACIÓN TITULADA'!#REF!,"AAAAAF65nfE=")</f>
        <v>#REF!</v>
      </c>
      <c r="II70" t="e">
        <f>AND('PROG FORMACIÓN TITULADA'!#REF!,"AAAAAF65nfI=")</f>
        <v>#REF!</v>
      </c>
      <c r="IJ70" t="e">
        <f>AND('PROG FORMACIÓN TITULADA'!#REF!,"AAAAAF65nfM=")</f>
        <v>#REF!</v>
      </c>
      <c r="IK70" t="e">
        <f>AND('PROG FORMACIÓN TITULADA'!#REF!,"AAAAAF65nfQ=")</f>
        <v>#REF!</v>
      </c>
      <c r="IL70" t="e">
        <f>AND('PROG FORMACIÓN TITULADA'!#REF!,"AAAAAF65nfU=")</f>
        <v>#REF!</v>
      </c>
      <c r="IM70" t="e">
        <f>AND('PROG FORMACIÓN TITULADA'!#REF!,"AAAAAF65nfY=")</f>
        <v>#REF!</v>
      </c>
      <c r="IN70" t="e">
        <f>AND('PROG FORMACIÓN TITULADA'!#REF!,"AAAAAF65nfc=")</f>
        <v>#REF!</v>
      </c>
      <c r="IO70" t="e">
        <f>AND('PROG FORMACIÓN TITULADA'!#REF!,"AAAAAF65nfg=")</f>
        <v>#REF!</v>
      </c>
      <c r="IP70" t="e">
        <f>AND('PROG FORMACIÓN TITULADA'!#REF!,"AAAAAF65nfk=")</f>
        <v>#REF!</v>
      </c>
      <c r="IQ70" t="e">
        <f>AND('PROG FORMACIÓN TITULADA'!#REF!,"AAAAAF65nfo=")</f>
        <v>#REF!</v>
      </c>
      <c r="IR70" t="e">
        <f>IF('PROG FORMACIÓN TITULADA'!#REF!,"AAAAAF65nfs=",0)</f>
        <v>#REF!</v>
      </c>
      <c r="IS70" t="e">
        <f>AND('PROG FORMACIÓN TITULADA'!#REF!,"AAAAAF65nfw=")</f>
        <v>#REF!</v>
      </c>
      <c r="IT70" t="e">
        <f>AND('PROG FORMACIÓN TITULADA'!#REF!,"AAAAAF65nf0=")</f>
        <v>#REF!</v>
      </c>
      <c r="IU70" t="e">
        <f>AND('PROG FORMACIÓN TITULADA'!#REF!,"AAAAAF65nf4=")</f>
        <v>#REF!</v>
      </c>
      <c r="IV70" t="e">
        <f>AND('PROG FORMACIÓN TITULADA'!#REF!,"AAAAAF65nf8=")</f>
        <v>#REF!</v>
      </c>
    </row>
    <row r="71" spans="1:256" x14ac:dyDescent="0.2">
      <c r="A71" t="e">
        <f>AND('PROG FORMACIÓN TITULADA'!#REF!,"AAAAAHrddwA=")</f>
        <v>#REF!</v>
      </c>
      <c r="B71" t="e">
        <f>AND('PROG FORMACIÓN TITULADA'!#REF!,"AAAAAHrddwE=")</f>
        <v>#REF!</v>
      </c>
      <c r="C71" t="e">
        <f>AND('PROG FORMACIÓN TITULADA'!#REF!,"AAAAAHrddwI=")</f>
        <v>#REF!</v>
      </c>
      <c r="D71" t="e">
        <f>AND('PROG FORMACIÓN TITULADA'!#REF!,"AAAAAHrddwM=")</f>
        <v>#REF!</v>
      </c>
      <c r="E71" t="e">
        <f>AND('PROG FORMACIÓN TITULADA'!#REF!,"AAAAAHrddwQ=")</f>
        <v>#REF!</v>
      </c>
      <c r="F71" t="e">
        <f>AND('PROG FORMACIÓN TITULADA'!#REF!,"AAAAAHrddwU=")</f>
        <v>#REF!</v>
      </c>
      <c r="G71" t="e">
        <f>AND('PROG FORMACIÓN TITULADA'!#REF!,"AAAAAHrddwY=")</f>
        <v>#REF!</v>
      </c>
      <c r="H71" t="e">
        <f>AND('PROG FORMACIÓN TITULADA'!#REF!,"AAAAAHrddwc=")</f>
        <v>#REF!</v>
      </c>
      <c r="I71" t="e">
        <f>AND('PROG FORMACIÓN TITULADA'!#REF!,"AAAAAHrddwg=")</f>
        <v>#REF!</v>
      </c>
      <c r="J71" t="e">
        <f>AND('PROG FORMACIÓN TITULADA'!#REF!,"AAAAAHrddwk=")</f>
        <v>#REF!</v>
      </c>
      <c r="K71" t="e">
        <f>AND('PROG FORMACIÓN TITULADA'!#REF!,"AAAAAHrddwo=")</f>
        <v>#REF!</v>
      </c>
      <c r="L71" t="e">
        <f>AND('PROG FORMACIÓN TITULADA'!#REF!,"AAAAAHrddws=")</f>
        <v>#REF!</v>
      </c>
      <c r="M71" t="e">
        <f>AND('PROG FORMACIÓN TITULADA'!#REF!,"AAAAAHrddww=")</f>
        <v>#REF!</v>
      </c>
      <c r="N71" t="e">
        <f>AND('PROG FORMACIÓN TITULADA'!#REF!,"AAAAAHrddw0=")</f>
        <v>#REF!</v>
      </c>
      <c r="O71" t="e">
        <f>AND('PROG FORMACIÓN TITULADA'!#REF!,"AAAAAHrddw4=")</f>
        <v>#REF!</v>
      </c>
      <c r="P71" t="e">
        <f>AND('PROG FORMACIÓN TITULADA'!#REF!,"AAAAAHrddw8=")</f>
        <v>#REF!</v>
      </c>
      <c r="Q71" t="e">
        <f>AND('PROG FORMACIÓN TITULADA'!#REF!,"AAAAAHrddxA=")</f>
        <v>#REF!</v>
      </c>
      <c r="R71" t="e">
        <f>AND('PROG FORMACIÓN TITULADA'!#REF!,"AAAAAHrddxE=")</f>
        <v>#REF!</v>
      </c>
      <c r="S71" t="e">
        <f>AND('PROG FORMACIÓN TITULADA'!#REF!,"AAAAAHrddxI=")</f>
        <v>#REF!</v>
      </c>
      <c r="T71" t="e">
        <f>AND('PROG FORMACIÓN TITULADA'!#REF!,"AAAAAHrddxM=")</f>
        <v>#REF!</v>
      </c>
      <c r="U71" t="e">
        <f>AND('PROG FORMACIÓN TITULADA'!#REF!,"AAAAAHrddxQ=")</f>
        <v>#REF!</v>
      </c>
      <c r="V71" t="e">
        <f>AND('PROG FORMACIÓN TITULADA'!#REF!,"AAAAAHrddxU=")</f>
        <v>#REF!</v>
      </c>
      <c r="W71" t="e">
        <f>IF('PROG FORMACIÓN TITULADA'!#REF!,"AAAAAHrddxY=",0)</f>
        <v>#REF!</v>
      </c>
      <c r="X71" t="e">
        <f>AND('PROG FORMACIÓN TITULADA'!#REF!,"AAAAAHrddxc=")</f>
        <v>#REF!</v>
      </c>
      <c r="Y71" t="e">
        <f>AND('PROG FORMACIÓN TITULADA'!#REF!,"AAAAAHrddxg=")</f>
        <v>#REF!</v>
      </c>
      <c r="Z71" t="e">
        <f>AND('PROG FORMACIÓN TITULADA'!#REF!,"AAAAAHrddxk=")</f>
        <v>#REF!</v>
      </c>
      <c r="AA71" t="e">
        <f>AND('PROG FORMACIÓN TITULADA'!#REF!,"AAAAAHrddxo=")</f>
        <v>#REF!</v>
      </c>
      <c r="AB71" t="e">
        <f>AND('PROG FORMACIÓN TITULADA'!#REF!,"AAAAAHrddxs=")</f>
        <v>#REF!</v>
      </c>
      <c r="AC71" t="e">
        <f>AND('PROG FORMACIÓN TITULADA'!#REF!,"AAAAAHrddxw=")</f>
        <v>#REF!</v>
      </c>
      <c r="AD71" t="e">
        <f>AND('PROG FORMACIÓN TITULADA'!#REF!,"AAAAAHrddx0=")</f>
        <v>#REF!</v>
      </c>
      <c r="AE71" t="e">
        <f>AND('PROG FORMACIÓN TITULADA'!#REF!,"AAAAAHrddx4=")</f>
        <v>#REF!</v>
      </c>
      <c r="AF71" t="e">
        <f>AND('PROG FORMACIÓN TITULADA'!#REF!,"AAAAAHrddx8=")</f>
        <v>#REF!</v>
      </c>
      <c r="AG71" t="e">
        <f>AND('PROG FORMACIÓN TITULADA'!#REF!,"AAAAAHrddyA=")</f>
        <v>#REF!</v>
      </c>
      <c r="AH71" t="e">
        <f>AND('PROG FORMACIÓN TITULADA'!#REF!,"AAAAAHrddyE=")</f>
        <v>#REF!</v>
      </c>
      <c r="AI71" t="e">
        <f>AND('PROG FORMACIÓN TITULADA'!#REF!,"AAAAAHrddyI=")</f>
        <v>#REF!</v>
      </c>
      <c r="AJ71" t="e">
        <f>AND('PROG FORMACIÓN TITULADA'!#REF!,"AAAAAHrddyM=")</f>
        <v>#REF!</v>
      </c>
      <c r="AK71" t="e">
        <f>AND('PROG FORMACIÓN TITULADA'!#REF!,"AAAAAHrddyQ=")</f>
        <v>#REF!</v>
      </c>
      <c r="AL71" t="e">
        <f>AND('PROG FORMACIÓN TITULADA'!#REF!,"AAAAAHrddyU=")</f>
        <v>#REF!</v>
      </c>
      <c r="AM71" t="e">
        <f>AND('PROG FORMACIÓN TITULADA'!#REF!,"AAAAAHrddyY=")</f>
        <v>#REF!</v>
      </c>
      <c r="AN71" t="e">
        <f>AND('PROG FORMACIÓN TITULADA'!#REF!,"AAAAAHrddyc=")</f>
        <v>#REF!</v>
      </c>
      <c r="AO71" t="e">
        <f>AND('PROG FORMACIÓN TITULADA'!#REF!,"AAAAAHrddyg=")</f>
        <v>#REF!</v>
      </c>
      <c r="AP71" t="e">
        <f>AND('PROG FORMACIÓN TITULADA'!#REF!,"AAAAAHrddyk=")</f>
        <v>#REF!</v>
      </c>
      <c r="AQ71" t="e">
        <f>AND('PROG FORMACIÓN TITULADA'!#REF!,"AAAAAHrddyo=")</f>
        <v>#REF!</v>
      </c>
      <c r="AR71" t="e">
        <f>AND('PROG FORMACIÓN TITULADA'!#REF!,"AAAAAHrddys=")</f>
        <v>#REF!</v>
      </c>
      <c r="AS71" t="e">
        <f>AND('PROG FORMACIÓN TITULADA'!#REF!,"AAAAAHrddyw=")</f>
        <v>#REF!</v>
      </c>
      <c r="AT71" t="e">
        <f>AND('PROG FORMACIÓN TITULADA'!#REF!,"AAAAAHrddy0=")</f>
        <v>#REF!</v>
      </c>
      <c r="AU71" t="e">
        <f>AND('PROG FORMACIÓN TITULADA'!#REF!,"AAAAAHrddy4=")</f>
        <v>#REF!</v>
      </c>
      <c r="AV71" t="e">
        <f>AND('PROG FORMACIÓN TITULADA'!#REF!,"AAAAAHrddy8=")</f>
        <v>#REF!</v>
      </c>
      <c r="AW71" t="e">
        <f>AND('PROG FORMACIÓN TITULADA'!#REF!,"AAAAAHrddzA=")</f>
        <v>#REF!</v>
      </c>
      <c r="AX71" t="e">
        <f>IF('PROG FORMACIÓN TITULADA'!#REF!,"AAAAAHrddzE=",0)</f>
        <v>#REF!</v>
      </c>
      <c r="AY71" t="e">
        <f>AND('PROG FORMACIÓN TITULADA'!#REF!,"AAAAAHrddzI=")</f>
        <v>#REF!</v>
      </c>
      <c r="AZ71" t="e">
        <f>AND('PROG FORMACIÓN TITULADA'!#REF!,"AAAAAHrddzM=")</f>
        <v>#REF!</v>
      </c>
      <c r="BA71" t="e">
        <f>AND('PROG FORMACIÓN TITULADA'!#REF!,"AAAAAHrddzQ=")</f>
        <v>#REF!</v>
      </c>
      <c r="BB71" t="e">
        <f>AND('PROG FORMACIÓN TITULADA'!#REF!,"AAAAAHrddzU=")</f>
        <v>#REF!</v>
      </c>
      <c r="BC71" t="e">
        <f>AND('PROG FORMACIÓN TITULADA'!#REF!,"AAAAAHrddzY=")</f>
        <v>#REF!</v>
      </c>
      <c r="BD71" t="e">
        <f>AND('PROG FORMACIÓN TITULADA'!#REF!,"AAAAAHrddzc=")</f>
        <v>#REF!</v>
      </c>
      <c r="BE71" t="e">
        <f>AND('PROG FORMACIÓN TITULADA'!#REF!,"AAAAAHrddzg=")</f>
        <v>#REF!</v>
      </c>
      <c r="BF71" t="e">
        <f>AND('PROG FORMACIÓN TITULADA'!#REF!,"AAAAAHrddzk=")</f>
        <v>#REF!</v>
      </c>
      <c r="BG71" t="e">
        <f>AND('PROG FORMACIÓN TITULADA'!#REF!,"AAAAAHrddzo=")</f>
        <v>#REF!</v>
      </c>
      <c r="BH71" t="e">
        <f>AND('PROG FORMACIÓN TITULADA'!#REF!,"AAAAAHrddzs=")</f>
        <v>#REF!</v>
      </c>
      <c r="BI71" t="e">
        <f>AND('PROG FORMACIÓN TITULADA'!#REF!,"AAAAAHrddzw=")</f>
        <v>#REF!</v>
      </c>
      <c r="BJ71" t="e">
        <f>AND('PROG FORMACIÓN TITULADA'!#REF!,"AAAAAHrddz0=")</f>
        <v>#REF!</v>
      </c>
      <c r="BK71" t="e">
        <f>AND('PROG FORMACIÓN TITULADA'!#REF!,"AAAAAHrddz4=")</f>
        <v>#REF!</v>
      </c>
      <c r="BL71" t="e">
        <f>AND('PROG FORMACIÓN TITULADA'!#REF!,"AAAAAHrddz8=")</f>
        <v>#REF!</v>
      </c>
      <c r="BM71" t="e">
        <f>AND('PROG FORMACIÓN TITULADA'!#REF!,"AAAAAHrdd0A=")</f>
        <v>#REF!</v>
      </c>
      <c r="BN71" t="e">
        <f>AND('PROG FORMACIÓN TITULADA'!#REF!,"AAAAAHrdd0E=")</f>
        <v>#REF!</v>
      </c>
      <c r="BO71" t="e">
        <f>AND('PROG FORMACIÓN TITULADA'!#REF!,"AAAAAHrdd0I=")</f>
        <v>#REF!</v>
      </c>
      <c r="BP71" t="e">
        <f>AND('PROG FORMACIÓN TITULADA'!#REF!,"AAAAAHrdd0M=")</f>
        <v>#REF!</v>
      </c>
      <c r="BQ71" t="e">
        <f>AND('PROG FORMACIÓN TITULADA'!#REF!,"AAAAAHrdd0Q=")</f>
        <v>#REF!</v>
      </c>
      <c r="BR71" t="e">
        <f>AND('PROG FORMACIÓN TITULADA'!#REF!,"AAAAAHrdd0U=")</f>
        <v>#REF!</v>
      </c>
      <c r="BS71" t="e">
        <f>AND('PROG FORMACIÓN TITULADA'!#REF!,"AAAAAHrdd0Y=")</f>
        <v>#REF!</v>
      </c>
      <c r="BT71" t="e">
        <f>AND('PROG FORMACIÓN TITULADA'!#REF!,"AAAAAHrdd0c=")</f>
        <v>#REF!</v>
      </c>
      <c r="BU71" t="e">
        <f>AND('PROG FORMACIÓN TITULADA'!#REF!,"AAAAAHrdd0g=")</f>
        <v>#REF!</v>
      </c>
      <c r="BV71" t="e">
        <f>AND('PROG FORMACIÓN TITULADA'!#REF!,"AAAAAHrdd0k=")</f>
        <v>#REF!</v>
      </c>
      <c r="BW71" t="e">
        <f>AND('PROG FORMACIÓN TITULADA'!#REF!,"AAAAAHrdd0o=")</f>
        <v>#REF!</v>
      </c>
      <c r="BX71" t="e">
        <f>AND('PROG FORMACIÓN TITULADA'!#REF!,"AAAAAHrdd0s=")</f>
        <v>#REF!</v>
      </c>
      <c r="BY71" t="e">
        <f>IF('PROG FORMACIÓN TITULADA'!#REF!,"AAAAAHrdd0w=",0)</f>
        <v>#REF!</v>
      </c>
      <c r="BZ71" t="e">
        <f>AND('PROG FORMACIÓN TITULADA'!#REF!,"AAAAAHrdd00=")</f>
        <v>#REF!</v>
      </c>
      <c r="CA71" t="e">
        <f>AND('PROG FORMACIÓN TITULADA'!#REF!,"AAAAAHrdd04=")</f>
        <v>#REF!</v>
      </c>
      <c r="CB71" t="e">
        <f>AND('PROG FORMACIÓN TITULADA'!#REF!,"AAAAAHrdd08=")</f>
        <v>#REF!</v>
      </c>
      <c r="CC71" t="e">
        <f>AND('PROG FORMACIÓN TITULADA'!#REF!,"AAAAAHrdd1A=")</f>
        <v>#REF!</v>
      </c>
      <c r="CD71" t="e">
        <f>AND('PROG FORMACIÓN TITULADA'!#REF!,"AAAAAHrdd1E=")</f>
        <v>#REF!</v>
      </c>
      <c r="CE71" t="e">
        <f>AND('PROG FORMACIÓN TITULADA'!#REF!,"AAAAAHrdd1I=")</f>
        <v>#REF!</v>
      </c>
      <c r="CF71" t="e">
        <f>AND('PROG FORMACIÓN TITULADA'!#REF!,"AAAAAHrdd1M=")</f>
        <v>#REF!</v>
      </c>
      <c r="CG71" t="e">
        <f>AND('PROG FORMACIÓN TITULADA'!#REF!,"AAAAAHrdd1Q=")</f>
        <v>#REF!</v>
      </c>
      <c r="CH71" t="e">
        <f>AND('PROG FORMACIÓN TITULADA'!#REF!,"AAAAAHrdd1U=")</f>
        <v>#REF!</v>
      </c>
      <c r="CI71" t="e">
        <f>AND('PROG FORMACIÓN TITULADA'!#REF!,"AAAAAHrdd1Y=")</f>
        <v>#REF!</v>
      </c>
      <c r="CJ71" t="e">
        <f>AND('PROG FORMACIÓN TITULADA'!#REF!,"AAAAAHrdd1c=")</f>
        <v>#REF!</v>
      </c>
      <c r="CK71" t="e">
        <f>AND('PROG FORMACIÓN TITULADA'!#REF!,"AAAAAHrdd1g=")</f>
        <v>#REF!</v>
      </c>
      <c r="CL71" t="e">
        <f>AND('PROG FORMACIÓN TITULADA'!#REF!,"AAAAAHrdd1k=")</f>
        <v>#REF!</v>
      </c>
      <c r="CM71" t="e">
        <f>AND('PROG FORMACIÓN TITULADA'!#REF!,"AAAAAHrdd1o=")</f>
        <v>#REF!</v>
      </c>
      <c r="CN71" t="e">
        <f>AND('PROG FORMACIÓN TITULADA'!#REF!,"AAAAAHrdd1s=")</f>
        <v>#REF!</v>
      </c>
      <c r="CO71" t="e">
        <f>AND('PROG FORMACIÓN TITULADA'!#REF!,"AAAAAHrdd1w=")</f>
        <v>#REF!</v>
      </c>
      <c r="CP71" t="e">
        <f>AND('PROG FORMACIÓN TITULADA'!#REF!,"AAAAAHrdd10=")</f>
        <v>#REF!</v>
      </c>
      <c r="CQ71" t="e">
        <f>AND('PROG FORMACIÓN TITULADA'!#REF!,"AAAAAHrdd14=")</f>
        <v>#REF!</v>
      </c>
      <c r="CR71" t="e">
        <f>AND('PROG FORMACIÓN TITULADA'!#REF!,"AAAAAHrdd18=")</f>
        <v>#REF!</v>
      </c>
      <c r="CS71" t="e">
        <f>AND('PROG FORMACIÓN TITULADA'!#REF!,"AAAAAHrdd2A=")</f>
        <v>#REF!</v>
      </c>
      <c r="CT71" t="e">
        <f>AND('PROG FORMACIÓN TITULADA'!#REF!,"AAAAAHrdd2E=")</f>
        <v>#REF!</v>
      </c>
      <c r="CU71" t="e">
        <f>AND('PROG FORMACIÓN TITULADA'!#REF!,"AAAAAHrdd2I=")</f>
        <v>#REF!</v>
      </c>
      <c r="CV71" t="e">
        <f>AND('PROG FORMACIÓN TITULADA'!#REF!,"AAAAAHrdd2M=")</f>
        <v>#REF!</v>
      </c>
      <c r="CW71" t="e">
        <f>AND('PROG FORMACIÓN TITULADA'!#REF!,"AAAAAHrdd2Q=")</f>
        <v>#REF!</v>
      </c>
      <c r="CX71" t="e">
        <f>AND('PROG FORMACIÓN TITULADA'!#REF!,"AAAAAHrdd2U=")</f>
        <v>#REF!</v>
      </c>
      <c r="CY71" t="e">
        <f>AND('PROG FORMACIÓN TITULADA'!#REF!,"AAAAAHrdd2Y=")</f>
        <v>#REF!</v>
      </c>
      <c r="CZ71" t="e">
        <f>IF('PROG FORMACIÓN TITULADA'!#REF!,"AAAAAHrdd2c=",0)</f>
        <v>#REF!</v>
      </c>
      <c r="DA71" t="e">
        <f>AND('PROG FORMACIÓN TITULADA'!#REF!,"AAAAAHrdd2g=")</f>
        <v>#REF!</v>
      </c>
      <c r="DB71" t="e">
        <f>AND('PROG FORMACIÓN TITULADA'!#REF!,"AAAAAHrdd2k=")</f>
        <v>#REF!</v>
      </c>
      <c r="DC71" t="e">
        <f>AND('PROG FORMACIÓN TITULADA'!#REF!,"AAAAAHrdd2o=")</f>
        <v>#REF!</v>
      </c>
      <c r="DD71" t="e">
        <f>AND('PROG FORMACIÓN TITULADA'!#REF!,"AAAAAHrdd2s=")</f>
        <v>#REF!</v>
      </c>
      <c r="DE71" t="e">
        <f>AND('PROG FORMACIÓN TITULADA'!#REF!,"AAAAAHrdd2w=")</f>
        <v>#REF!</v>
      </c>
      <c r="DF71" t="e">
        <f>AND('PROG FORMACIÓN TITULADA'!#REF!,"AAAAAHrdd20=")</f>
        <v>#REF!</v>
      </c>
      <c r="DG71" t="e">
        <f>AND('PROG FORMACIÓN TITULADA'!#REF!,"AAAAAHrdd24=")</f>
        <v>#REF!</v>
      </c>
      <c r="DH71" t="e">
        <f>AND('PROG FORMACIÓN TITULADA'!#REF!,"AAAAAHrdd28=")</f>
        <v>#REF!</v>
      </c>
      <c r="DI71" t="e">
        <f>AND('PROG FORMACIÓN TITULADA'!#REF!,"AAAAAHrdd3A=")</f>
        <v>#REF!</v>
      </c>
      <c r="DJ71" t="e">
        <f>AND('PROG FORMACIÓN TITULADA'!#REF!,"AAAAAHrdd3E=")</f>
        <v>#REF!</v>
      </c>
      <c r="DK71" t="e">
        <f>AND('PROG FORMACIÓN TITULADA'!#REF!,"AAAAAHrdd3I=")</f>
        <v>#REF!</v>
      </c>
      <c r="DL71" t="e">
        <f>AND('PROG FORMACIÓN TITULADA'!#REF!,"AAAAAHrdd3M=")</f>
        <v>#REF!</v>
      </c>
      <c r="DM71" t="e">
        <f>AND('PROG FORMACIÓN TITULADA'!#REF!,"AAAAAHrdd3Q=")</f>
        <v>#REF!</v>
      </c>
      <c r="DN71" t="e">
        <f>AND('PROG FORMACIÓN TITULADA'!#REF!,"AAAAAHrdd3U=")</f>
        <v>#REF!</v>
      </c>
      <c r="DO71" t="e">
        <f>AND('PROG FORMACIÓN TITULADA'!#REF!,"AAAAAHrdd3Y=")</f>
        <v>#REF!</v>
      </c>
      <c r="DP71" t="e">
        <f>AND('PROG FORMACIÓN TITULADA'!#REF!,"AAAAAHrdd3c=")</f>
        <v>#REF!</v>
      </c>
      <c r="DQ71" t="e">
        <f>AND('PROG FORMACIÓN TITULADA'!#REF!,"AAAAAHrdd3g=")</f>
        <v>#REF!</v>
      </c>
      <c r="DR71" t="e">
        <f>AND('PROG FORMACIÓN TITULADA'!#REF!,"AAAAAHrdd3k=")</f>
        <v>#REF!</v>
      </c>
      <c r="DS71" t="e">
        <f>AND('PROG FORMACIÓN TITULADA'!#REF!,"AAAAAHrdd3o=")</f>
        <v>#REF!</v>
      </c>
      <c r="DT71" t="e">
        <f>AND('PROG FORMACIÓN TITULADA'!#REF!,"AAAAAHrdd3s=")</f>
        <v>#REF!</v>
      </c>
      <c r="DU71" t="e">
        <f>AND('PROG FORMACIÓN TITULADA'!#REF!,"AAAAAHrdd3w=")</f>
        <v>#REF!</v>
      </c>
      <c r="DV71" t="e">
        <f>AND('PROG FORMACIÓN TITULADA'!#REF!,"AAAAAHrdd30=")</f>
        <v>#REF!</v>
      </c>
      <c r="DW71" t="e">
        <f>AND('PROG FORMACIÓN TITULADA'!#REF!,"AAAAAHrdd34=")</f>
        <v>#REF!</v>
      </c>
      <c r="DX71" t="e">
        <f>AND('PROG FORMACIÓN TITULADA'!#REF!,"AAAAAHrdd38=")</f>
        <v>#REF!</v>
      </c>
      <c r="DY71" t="e">
        <f>AND('PROG FORMACIÓN TITULADA'!#REF!,"AAAAAHrdd4A=")</f>
        <v>#REF!</v>
      </c>
      <c r="DZ71" t="e">
        <f>AND('PROG FORMACIÓN TITULADA'!#REF!,"AAAAAHrdd4E=")</f>
        <v>#REF!</v>
      </c>
      <c r="EA71" t="e">
        <f>IF('PROG FORMACIÓN TITULADA'!#REF!,"AAAAAHrdd4I=",0)</f>
        <v>#REF!</v>
      </c>
      <c r="EB71" t="e">
        <f>AND('PROG FORMACIÓN TITULADA'!#REF!,"AAAAAHrdd4M=")</f>
        <v>#REF!</v>
      </c>
      <c r="EC71" t="e">
        <f>AND('PROG FORMACIÓN TITULADA'!#REF!,"AAAAAHrdd4Q=")</f>
        <v>#REF!</v>
      </c>
      <c r="ED71" t="e">
        <f>AND('PROG FORMACIÓN TITULADA'!#REF!,"AAAAAHrdd4U=")</f>
        <v>#REF!</v>
      </c>
      <c r="EE71" t="e">
        <f>AND('PROG FORMACIÓN TITULADA'!#REF!,"AAAAAHrdd4Y=")</f>
        <v>#REF!</v>
      </c>
      <c r="EF71" t="e">
        <f>AND('PROG FORMACIÓN TITULADA'!#REF!,"AAAAAHrdd4c=")</f>
        <v>#REF!</v>
      </c>
      <c r="EG71" t="e">
        <f>AND('PROG FORMACIÓN TITULADA'!#REF!,"AAAAAHrdd4g=")</f>
        <v>#REF!</v>
      </c>
      <c r="EH71" t="e">
        <f>AND('PROG FORMACIÓN TITULADA'!#REF!,"AAAAAHrdd4k=")</f>
        <v>#REF!</v>
      </c>
      <c r="EI71" t="e">
        <f>AND('PROG FORMACIÓN TITULADA'!#REF!,"AAAAAHrdd4o=")</f>
        <v>#REF!</v>
      </c>
      <c r="EJ71" t="e">
        <f>AND('PROG FORMACIÓN TITULADA'!#REF!,"AAAAAHrdd4s=")</f>
        <v>#REF!</v>
      </c>
      <c r="EK71" t="e">
        <f>AND('PROG FORMACIÓN TITULADA'!#REF!,"AAAAAHrdd4w=")</f>
        <v>#REF!</v>
      </c>
      <c r="EL71" t="e">
        <f>AND('PROG FORMACIÓN TITULADA'!#REF!,"AAAAAHrdd40=")</f>
        <v>#REF!</v>
      </c>
      <c r="EM71" t="e">
        <f>AND('PROG FORMACIÓN TITULADA'!#REF!,"AAAAAHrdd44=")</f>
        <v>#REF!</v>
      </c>
      <c r="EN71" t="e">
        <f>AND('PROG FORMACIÓN TITULADA'!#REF!,"AAAAAHrdd48=")</f>
        <v>#REF!</v>
      </c>
      <c r="EO71" t="e">
        <f>AND('PROG FORMACIÓN TITULADA'!#REF!,"AAAAAHrdd5A=")</f>
        <v>#REF!</v>
      </c>
      <c r="EP71" t="e">
        <f>AND('PROG FORMACIÓN TITULADA'!#REF!,"AAAAAHrdd5E=")</f>
        <v>#REF!</v>
      </c>
      <c r="EQ71" t="e">
        <f>AND('PROG FORMACIÓN TITULADA'!#REF!,"AAAAAHrdd5I=")</f>
        <v>#REF!</v>
      </c>
      <c r="ER71" t="e">
        <f>AND('PROG FORMACIÓN TITULADA'!#REF!,"AAAAAHrdd5M=")</f>
        <v>#REF!</v>
      </c>
      <c r="ES71" t="e">
        <f>AND('PROG FORMACIÓN TITULADA'!#REF!,"AAAAAHrdd5Q=")</f>
        <v>#REF!</v>
      </c>
      <c r="ET71" t="e">
        <f>AND('PROG FORMACIÓN TITULADA'!#REF!,"AAAAAHrdd5U=")</f>
        <v>#REF!</v>
      </c>
      <c r="EU71" t="e">
        <f>AND('PROG FORMACIÓN TITULADA'!#REF!,"AAAAAHrdd5Y=")</f>
        <v>#REF!</v>
      </c>
      <c r="EV71" t="e">
        <f>AND('PROG FORMACIÓN TITULADA'!#REF!,"AAAAAHrdd5c=")</f>
        <v>#REF!</v>
      </c>
      <c r="EW71" t="e">
        <f>AND('PROG FORMACIÓN TITULADA'!#REF!,"AAAAAHrdd5g=")</f>
        <v>#REF!</v>
      </c>
      <c r="EX71" t="e">
        <f>AND('PROG FORMACIÓN TITULADA'!#REF!,"AAAAAHrdd5k=")</f>
        <v>#REF!</v>
      </c>
      <c r="EY71" t="e">
        <f>AND('PROG FORMACIÓN TITULADA'!#REF!,"AAAAAHrdd5o=")</f>
        <v>#REF!</v>
      </c>
      <c r="EZ71" t="e">
        <f>AND('PROG FORMACIÓN TITULADA'!#REF!,"AAAAAHrdd5s=")</f>
        <v>#REF!</v>
      </c>
      <c r="FA71" t="e">
        <f>AND('PROG FORMACIÓN TITULADA'!#REF!,"AAAAAHrdd5w=")</f>
        <v>#REF!</v>
      </c>
      <c r="FB71" t="e">
        <f>IF('PROG FORMACIÓN TITULADA'!#REF!,"AAAAAHrdd50=",0)</f>
        <v>#REF!</v>
      </c>
      <c r="FC71" t="e">
        <f>AND('PROG FORMACIÓN TITULADA'!#REF!,"AAAAAHrdd54=")</f>
        <v>#REF!</v>
      </c>
      <c r="FD71" t="e">
        <f>AND('PROG FORMACIÓN TITULADA'!#REF!,"AAAAAHrdd58=")</f>
        <v>#REF!</v>
      </c>
      <c r="FE71" t="e">
        <f>AND('PROG FORMACIÓN TITULADA'!#REF!,"AAAAAHrdd6A=")</f>
        <v>#REF!</v>
      </c>
      <c r="FF71" t="e">
        <f>AND('PROG FORMACIÓN TITULADA'!#REF!,"AAAAAHrdd6E=")</f>
        <v>#REF!</v>
      </c>
      <c r="FG71" t="e">
        <f>AND('PROG FORMACIÓN TITULADA'!#REF!,"AAAAAHrdd6I=")</f>
        <v>#REF!</v>
      </c>
      <c r="FH71" t="e">
        <f>AND('PROG FORMACIÓN TITULADA'!#REF!,"AAAAAHrdd6M=")</f>
        <v>#REF!</v>
      </c>
      <c r="FI71" t="e">
        <f>AND('PROG FORMACIÓN TITULADA'!#REF!,"AAAAAHrdd6Q=")</f>
        <v>#REF!</v>
      </c>
      <c r="FJ71" t="e">
        <f>AND('PROG FORMACIÓN TITULADA'!#REF!,"AAAAAHrdd6U=")</f>
        <v>#REF!</v>
      </c>
      <c r="FK71" t="e">
        <f>AND('PROG FORMACIÓN TITULADA'!#REF!,"AAAAAHrdd6Y=")</f>
        <v>#REF!</v>
      </c>
      <c r="FL71" t="e">
        <f>AND('PROG FORMACIÓN TITULADA'!#REF!,"AAAAAHrdd6c=")</f>
        <v>#REF!</v>
      </c>
      <c r="FM71" t="e">
        <f>AND('PROG FORMACIÓN TITULADA'!#REF!,"AAAAAHrdd6g=")</f>
        <v>#REF!</v>
      </c>
      <c r="FN71" t="e">
        <f>AND('PROG FORMACIÓN TITULADA'!#REF!,"AAAAAHrdd6k=")</f>
        <v>#REF!</v>
      </c>
      <c r="FO71" t="e">
        <f>AND('PROG FORMACIÓN TITULADA'!#REF!,"AAAAAHrdd6o=")</f>
        <v>#REF!</v>
      </c>
      <c r="FP71" t="e">
        <f>AND('PROG FORMACIÓN TITULADA'!#REF!,"AAAAAHrdd6s=")</f>
        <v>#REF!</v>
      </c>
      <c r="FQ71" t="e">
        <f>AND('PROG FORMACIÓN TITULADA'!#REF!,"AAAAAHrdd6w=")</f>
        <v>#REF!</v>
      </c>
      <c r="FR71" t="e">
        <f>AND('PROG FORMACIÓN TITULADA'!#REF!,"AAAAAHrdd60=")</f>
        <v>#REF!</v>
      </c>
      <c r="FS71" t="e">
        <f>AND('PROG FORMACIÓN TITULADA'!#REF!,"AAAAAHrdd64=")</f>
        <v>#REF!</v>
      </c>
      <c r="FT71" t="e">
        <f>AND('PROG FORMACIÓN TITULADA'!#REF!,"AAAAAHrdd68=")</f>
        <v>#REF!</v>
      </c>
      <c r="FU71" t="e">
        <f>AND('PROG FORMACIÓN TITULADA'!#REF!,"AAAAAHrdd7A=")</f>
        <v>#REF!</v>
      </c>
      <c r="FV71" t="e">
        <f>AND('PROG FORMACIÓN TITULADA'!#REF!,"AAAAAHrdd7E=")</f>
        <v>#REF!</v>
      </c>
      <c r="FW71" t="e">
        <f>AND('PROG FORMACIÓN TITULADA'!#REF!,"AAAAAHrdd7I=")</f>
        <v>#REF!</v>
      </c>
      <c r="FX71" t="e">
        <f>AND('PROG FORMACIÓN TITULADA'!#REF!,"AAAAAHrdd7M=")</f>
        <v>#REF!</v>
      </c>
      <c r="FY71" t="e">
        <f>AND('PROG FORMACIÓN TITULADA'!#REF!,"AAAAAHrdd7Q=")</f>
        <v>#REF!</v>
      </c>
      <c r="FZ71" t="e">
        <f>AND('PROG FORMACIÓN TITULADA'!#REF!,"AAAAAHrdd7U=")</f>
        <v>#REF!</v>
      </c>
      <c r="GA71" t="e">
        <f>AND('PROG FORMACIÓN TITULADA'!#REF!,"AAAAAHrdd7Y=")</f>
        <v>#REF!</v>
      </c>
      <c r="GB71" t="e">
        <f>AND('PROG FORMACIÓN TITULADA'!#REF!,"AAAAAHrdd7c=")</f>
        <v>#REF!</v>
      </c>
      <c r="GC71" t="e">
        <f>IF('PROG FORMACIÓN TITULADA'!#REF!,"AAAAAHrdd7g=",0)</f>
        <v>#REF!</v>
      </c>
      <c r="GD71" t="e">
        <f>AND('PROG FORMACIÓN TITULADA'!#REF!,"AAAAAHrdd7k=")</f>
        <v>#REF!</v>
      </c>
      <c r="GE71" t="e">
        <f>AND('PROG FORMACIÓN TITULADA'!#REF!,"AAAAAHrdd7o=")</f>
        <v>#REF!</v>
      </c>
      <c r="GF71" t="e">
        <f>AND('PROG FORMACIÓN TITULADA'!#REF!,"AAAAAHrdd7s=")</f>
        <v>#REF!</v>
      </c>
      <c r="GG71" t="e">
        <f>AND('PROG FORMACIÓN TITULADA'!#REF!,"AAAAAHrdd7w=")</f>
        <v>#REF!</v>
      </c>
      <c r="GH71" t="e">
        <f>AND('PROG FORMACIÓN TITULADA'!#REF!,"AAAAAHrdd70=")</f>
        <v>#REF!</v>
      </c>
      <c r="GI71" t="e">
        <f>AND('PROG FORMACIÓN TITULADA'!#REF!,"AAAAAHrdd74=")</f>
        <v>#REF!</v>
      </c>
      <c r="GJ71" t="e">
        <f>AND('PROG FORMACIÓN TITULADA'!#REF!,"AAAAAHrdd78=")</f>
        <v>#REF!</v>
      </c>
      <c r="GK71" t="e">
        <f>AND('PROG FORMACIÓN TITULADA'!#REF!,"AAAAAHrdd8A=")</f>
        <v>#REF!</v>
      </c>
      <c r="GL71" t="e">
        <f>AND('PROG FORMACIÓN TITULADA'!#REF!,"AAAAAHrdd8E=")</f>
        <v>#REF!</v>
      </c>
      <c r="GM71" t="e">
        <f>AND('PROG FORMACIÓN TITULADA'!#REF!,"AAAAAHrdd8I=")</f>
        <v>#REF!</v>
      </c>
      <c r="GN71" t="e">
        <f>AND('PROG FORMACIÓN TITULADA'!#REF!,"AAAAAHrdd8M=")</f>
        <v>#REF!</v>
      </c>
      <c r="GO71" t="e">
        <f>AND('PROG FORMACIÓN TITULADA'!#REF!,"AAAAAHrdd8Q=")</f>
        <v>#REF!</v>
      </c>
      <c r="GP71" t="e">
        <f>AND('PROG FORMACIÓN TITULADA'!#REF!,"AAAAAHrdd8U=")</f>
        <v>#REF!</v>
      </c>
      <c r="GQ71" t="e">
        <f>AND('PROG FORMACIÓN TITULADA'!#REF!,"AAAAAHrdd8Y=")</f>
        <v>#REF!</v>
      </c>
      <c r="GR71" t="e">
        <f>AND('PROG FORMACIÓN TITULADA'!#REF!,"AAAAAHrdd8c=")</f>
        <v>#REF!</v>
      </c>
      <c r="GS71" t="e">
        <f>AND('PROG FORMACIÓN TITULADA'!#REF!,"AAAAAHrdd8g=")</f>
        <v>#REF!</v>
      </c>
      <c r="GT71" t="e">
        <f>AND('PROG FORMACIÓN TITULADA'!#REF!,"AAAAAHrdd8k=")</f>
        <v>#REF!</v>
      </c>
      <c r="GU71" t="e">
        <f>AND('PROG FORMACIÓN TITULADA'!#REF!,"AAAAAHrdd8o=")</f>
        <v>#REF!</v>
      </c>
      <c r="GV71" t="e">
        <f>AND('PROG FORMACIÓN TITULADA'!#REF!,"AAAAAHrdd8s=")</f>
        <v>#REF!</v>
      </c>
      <c r="GW71" t="e">
        <f>AND('PROG FORMACIÓN TITULADA'!#REF!,"AAAAAHrdd8w=")</f>
        <v>#REF!</v>
      </c>
      <c r="GX71" t="e">
        <f>AND('PROG FORMACIÓN TITULADA'!#REF!,"AAAAAHrdd80=")</f>
        <v>#REF!</v>
      </c>
      <c r="GY71" t="e">
        <f>AND('PROG FORMACIÓN TITULADA'!#REF!,"AAAAAHrdd84=")</f>
        <v>#REF!</v>
      </c>
      <c r="GZ71" t="e">
        <f>AND('PROG FORMACIÓN TITULADA'!#REF!,"AAAAAHrdd88=")</f>
        <v>#REF!</v>
      </c>
      <c r="HA71" t="e">
        <f>AND('PROG FORMACIÓN TITULADA'!#REF!,"AAAAAHrdd9A=")</f>
        <v>#REF!</v>
      </c>
      <c r="HB71" t="e">
        <f>AND('PROG FORMACIÓN TITULADA'!#REF!,"AAAAAHrdd9E=")</f>
        <v>#REF!</v>
      </c>
      <c r="HC71" t="e">
        <f>AND('PROG FORMACIÓN TITULADA'!#REF!,"AAAAAHrdd9I=")</f>
        <v>#REF!</v>
      </c>
      <c r="HD71" t="e">
        <f>IF('PROG FORMACIÓN TITULADA'!#REF!,"AAAAAHrdd9M=",0)</f>
        <v>#REF!</v>
      </c>
      <c r="HE71" t="e">
        <f>AND('PROG FORMACIÓN TITULADA'!#REF!,"AAAAAHrdd9Q=")</f>
        <v>#REF!</v>
      </c>
      <c r="HF71" t="e">
        <f>AND('PROG FORMACIÓN TITULADA'!#REF!,"AAAAAHrdd9U=")</f>
        <v>#REF!</v>
      </c>
      <c r="HG71" t="e">
        <f>AND('PROG FORMACIÓN TITULADA'!#REF!,"AAAAAHrdd9Y=")</f>
        <v>#REF!</v>
      </c>
      <c r="HH71" t="e">
        <f>AND('PROG FORMACIÓN TITULADA'!#REF!,"AAAAAHrdd9c=")</f>
        <v>#REF!</v>
      </c>
      <c r="HI71" t="e">
        <f>AND('PROG FORMACIÓN TITULADA'!#REF!,"AAAAAHrdd9g=")</f>
        <v>#REF!</v>
      </c>
      <c r="HJ71" t="e">
        <f>AND('PROG FORMACIÓN TITULADA'!#REF!,"AAAAAHrdd9k=")</f>
        <v>#REF!</v>
      </c>
      <c r="HK71" t="e">
        <f>AND('PROG FORMACIÓN TITULADA'!#REF!,"AAAAAHrdd9o=")</f>
        <v>#REF!</v>
      </c>
      <c r="HL71" t="e">
        <f>AND('PROG FORMACIÓN TITULADA'!#REF!,"AAAAAHrdd9s=")</f>
        <v>#REF!</v>
      </c>
      <c r="HM71" t="e">
        <f>AND('PROG FORMACIÓN TITULADA'!#REF!,"AAAAAHrdd9w=")</f>
        <v>#REF!</v>
      </c>
      <c r="HN71" t="e">
        <f>AND('PROG FORMACIÓN TITULADA'!#REF!,"AAAAAHrdd90=")</f>
        <v>#REF!</v>
      </c>
      <c r="HO71" t="e">
        <f>AND('PROG FORMACIÓN TITULADA'!#REF!,"AAAAAHrdd94=")</f>
        <v>#REF!</v>
      </c>
      <c r="HP71" t="e">
        <f>AND('PROG FORMACIÓN TITULADA'!#REF!,"AAAAAHrdd98=")</f>
        <v>#REF!</v>
      </c>
      <c r="HQ71" t="e">
        <f>AND('PROG FORMACIÓN TITULADA'!#REF!,"AAAAAHrdd+A=")</f>
        <v>#REF!</v>
      </c>
      <c r="HR71" t="e">
        <f>AND('PROG FORMACIÓN TITULADA'!#REF!,"AAAAAHrdd+E=")</f>
        <v>#REF!</v>
      </c>
      <c r="HS71" t="e">
        <f>AND('PROG FORMACIÓN TITULADA'!#REF!,"AAAAAHrdd+I=")</f>
        <v>#REF!</v>
      </c>
      <c r="HT71" t="e">
        <f>AND('PROG FORMACIÓN TITULADA'!#REF!,"AAAAAHrdd+M=")</f>
        <v>#REF!</v>
      </c>
      <c r="HU71" t="e">
        <f>AND('PROG FORMACIÓN TITULADA'!#REF!,"AAAAAHrdd+Q=")</f>
        <v>#REF!</v>
      </c>
      <c r="HV71" t="e">
        <f>AND('PROG FORMACIÓN TITULADA'!#REF!,"AAAAAHrdd+U=")</f>
        <v>#REF!</v>
      </c>
      <c r="HW71" t="e">
        <f>AND('PROG FORMACIÓN TITULADA'!#REF!,"AAAAAHrdd+Y=")</f>
        <v>#REF!</v>
      </c>
      <c r="HX71" t="e">
        <f>AND('PROG FORMACIÓN TITULADA'!#REF!,"AAAAAHrdd+c=")</f>
        <v>#REF!</v>
      </c>
      <c r="HY71" t="e">
        <f>AND('PROG FORMACIÓN TITULADA'!#REF!,"AAAAAHrdd+g=")</f>
        <v>#REF!</v>
      </c>
      <c r="HZ71" t="e">
        <f>AND('PROG FORMACIÓN TITULADA'!#REF!,"AAAAAHrdd+k=")</f>
        <v>#REF!</v>
      </c>
      <c r="IA71" t="e">
        <f>AND('PROG FORMACIÓN TITULADA'!#REF!,"AAAAAHrdd+o=")</f>
        <v>#REF!</v>
      </c>
      <c r="IB71" t="e">
        <f>AND('PROG FORMACIÓN TITULADA'!#REF!,"AAAAAHrdd+s=")</f>
        <v>#REF!</v>
      </c>
      <c r="IC71" t="e">
        <f>AND('PROG FORMACIÓN TITULADA'!#REF!,"AAAAAHrdd+w=")</f>
        <v>#REF!</v>
      </c>
      <c r="ID71" t="e">
        <f>AND('PROG FORMACIÓN TITULADA'!#REF!,"AAAAAHrdd+0=")</f>
        <v>#REF!</v>
      </c>
      <c r="IE71" t="e">
        <f>IF('PROG FORMACIÓN TITULADA'!#REF!,"AAAAAHrdd+4=",0)</f>
        <v>#REF!</v>
      </c>
      <c r="IF71" t="e">
        <f>AND('PROG FORMACIÓN TITULADA'!#REF!,"AAAAAHrdd+8=")</f>
        <v>#REF!</v>
      </c>
      <c r="IG71" t="e">
        <f>AND('PROG FORMACIÓN TITULADA'!#REF!,"AAAAAHrdd/A=")</f>
        <v>#REF!</v>
      </c>
      <c r="IH71" t="e">
        <f>AND('PROG FORMACIÓN TITULADA'!#REF!,"AAAAAHrdd/E=")</f>
        <v>#REF!</v>
      </c>
      <c r="II71" t="e">
        <f>AND('PROG FORMACIÓN TITULADA'!#REF!,"AAAAAHrdd/I=")</f>
        <v>#REF!</v>
      </c>
      <c r="IJ71" t="e">
        <f>AND('PROG FORMACIÓN TITULADA'!#REF!,"AAAAAHrdd/M=")</f>
        <v>#REF!</v>
      </c>
      <c r="IK71" t="e">
        <f>AND('PROG FORMACIÓN TITULADA'!#REF!,"AAAAAHrdd/Q=")</f>
        <v>#REF!</v>
      </c>
      <c r="IL71" t="e">
        <f>AND('PROG FORMACIÓN TITULADA'!#REF!,"AAAAAHrdd/U=")</f>
        <v>#REF!</v>
      </c>
      <c r="IM71" t="e">
        <f>AND('PROG FORMACIÓN TITULADA'!#REF!,"AAAAAHrdd/Y=")</f>
        <v>#REF!</v>
      </c>
      <c r="IN71" t="e">
        <f>AND('PROG FORMACIÓN TITULADA'!#REF!,"AAAAAHrdd/c=")</f>
        <v>#REF!</v>
      </c>
      <c r="IO71" t="e">
        <f>AND('PROG FORMACIÓN TITULADA'!#REF!,"AAAAAHrdd/g=")</f>
        <v>#REF!</v>
      </c>
      <c r="IP71" t="e">
        <f>AND('PROG FORMACIÓN TITULADA'!#REF!,"AAAAAHrdd/k=")</f>
        <v>#REF!</v>
      </c>
      <c r="IQ71" t="e">
        <f>AND('PROG FORMACIÓN TITULADA'!#REF!,"AAAAAHrdd/o=")</f>
        <v>#REF!</v>
      </c>
      <c r="IR71" t="e">
        <f>AND('PROG FORMACIÓN TITULADA'!#REF!,"AAAAAHrdd/s=")</f>
        <v>#REF!</v>
      </c>
      <c r="IS71" t="e">
        <f>AND('PROG FORMACIÓN TITULADA'!#REF!,"AAAAAHrdd/w=")</f>
        <v>#REF!</v>
      </c>
      <c r="IT71" t="e">
        <f>AND('PROG FORMACIÓN TITULADA'!#REF!,"AAAAAHrdd/0=")</f>
        <v>#REF!</v>
      </c>
      <c r="IU71" t="e">
        <f>AND('PROG FORMACIÓN TITULADA'!#REF!,"AAAAAHrdd/4=")</f>
        <v>#REF!</v>
      </c>
      <c r="IV71" t="e">
        <f>AND('PROG FORMACIÓN TITULADA'!#REF!,"AAAAAHrdd/8=")</f>
        <v>#REF!</v>
      </c>
    </row>
    <row r="72" spans="1:256" x14ac:dyDescent="0.2">
      <c r="A72" t="e">
        <f>AND('PROG FORMACIÓN TITULADA'!#REF!,"AAAAAHt+7wA=")</f>
        <v>#REF!</v>
      </c>
      <c r="B72" t="e">
        <f>AND('PROG FORMACIÓN TITULADA'!#REF!,"AAAAAHt+7wE=")</f>
        <v>#REF!</v>
      </c>
      <c r="C72" t="e">
        <f>AND('PROG FORMACIÓN TITULADA'!#REF!,"AAAAAHt+7wI=")</f>
        <v>#REF!</v>
      </c>
      <c r="D72" t="e">
        <f>AND('PROG FORMACIÓN TITULADA'!#REF!,"AAAAAHt+7wM=")</f>
        <v>#REF!</v>
      </c>
      <c r="E72" t="e">
        <f>AND('PROG FORMACIÓN TITULADA'!#REF!,"AAAAAHt+7wQ=")</f>
        <v>#REF!</v>
      </c>
      <c r="F72" t="e">
        <f>AND('PROG FORMACIÓN TITULADA'!#REF!,"AAAAAHt+7wU=")</f>
        <v>#REF!</v>
      </c>
      <c r="G72" t="e">
        <f>AND('PROG FORMACIÓN TITULADA'!#REF!,"AAAAAHt+7wY=")</f>
        <v>#REF!</v>
      </c>
      <c r="H72" t="e">
        <f>AND('PROG FORMACIÓN TITULADA'!#REF!,"AAAAAHt+7wc=")</f>
        <v>#REF!</v>
      </c>
      <c r="I72" t="e">
        <f>AND('PROG FORMACIÓN TITULADA'!#REF!,"AAAAAHt+7wg=")</f>
        <v>#REF!</v>
      </c>
      <c r="J72" t="e">
        <f>IF('PROG FORMACIÓN TITULADA'!#REF!,"AAAAAHt+7wk=",0)</f>
        <v>#REF!</v>
      </c>
      <c r="K72" t="e">
        <f>AND('PROG FORMACIÓN TITULADA'!#REF!,"AAAAAHt+7wo=")</f>
        <v>#REF!</v>
      </c>
      <c r="L72" t="e">
        <f>AND('PROG FORMACIÓN TITULADA'!#REF!,"AAAAAHt+7ws=")</f>
        <v>#REF!</v>
      </c>
      <c r="M72" t="e">
        <f>AND('PROG FORMACIÓN TITULADA'!#REF!,"AAAAAHt+7ww=")</f>
        <v>#REF!</v>
      </c>
      <c r="N72" t="e">
        <f>AND('PROG FORMACIÓN TITULADA'!#REF!,"AAAAAHt+7w0=")</f>
        <v>#REF!</v>
      </c>
      <c r="O72" t="e">
        <f>AND('PROG FORMACIÓN TITULADA'!#REF!,"AAAAAHt+7w4=")</f>
        <v>#REF!</v>
      </c>
      <c r="P72" t="e">
        <f>AND('PROG FORMACIÓN TITULADA'!#REF!,"AAAAAHt+7w8=")</f>
        <v>#REF!</v>
      </c>
      <c r="Q72" t="e">
        <f>AND('PROG FORMACIÓN TITULADA'!#REF!,"AAAAAHt+7xA=")</f>
        <v>#REF!</v>
      </c>
      <c r="R72" t="e">
        <f>AND('PROG FORMACIÓN TITULADA'!#REF!,"AAAAAHt+7xE=")</f>
        <v>#REF!</v>
      </c>
      <c r="S72" t="e">
        <f>AND('PROG FORMACIÓN TITULADA'!#REF!,"AAAAAHt+7xI=")</f>
        <v>#REF!</v>
      </c>
      <c r="T72" t="e">
        <f>AND('PROG FORMACIÓN TITULADA'!#REF!,"AAAAAHt+7xM=")</f>
        <v>#REF!</v>
      </c>
      <c r="U72" t="e">
        <f>AND('PROG FORMACIÓN TITULADA'!#REF!,"AAAAAHt+7xQ=")</f>
        <v>#REF!</v>
      </c>
      <c r="V72" t="e">
        <f>AND('PROG FORMACIÓN TITULADA'!#REF!,"AAAAAHt+7xU=")</f>
        <v>#REF!</v>
      </c>
      <c r="W72" t="e">
        <f>AND('PROG FORMACIÓN TITULADA'!#REF!,"AAAAAHt+7xY=")</f>
        <v>#REF!</v>
      </c>
      <c r="X72" t="e">
        <f>AND('PROG FORMACIÓN TITULADA'!#REF!,"AAAAAHt+7xc=")</f>
        <v>#REF!</v>
      </c>
      <c r="Y72" t="e">
        <f>AND('PROG FORMACIÓN TITULADA'!#REF!,"AAAAAHt+7xg=")</f>
        <v>#REF!</v>
      </c>
      <c r="Z72" t="e">
        <f>AND('PROG FORMACIÓN TITULADA'!#REF!,"AAAAAHt+7xk=")</f>
        <v>#REF!</v>
      </c>
      <c r="AA72" t="e">
        <f>AND('PROG FORMACIÓN TITULADA'!#REF!,"AAAAAHt+7xo=")</f>
        <v>#REF!</v>
      </c>
      <c r="AB72" t="e">
        <f>AND('PROG FORMACIÓN TITULADA'!#REF!,"AAAAAHt+7xs=")</f>
        <v>#REF!</v>
      </c>
      <c r="AC72" t="e">
        <f>AND('PROG FORMACIÓN TITULADA'!#REF!,"AAAAAHt+7xw=")</f>
        <v>#REF!</v>
      </c>
      <c r="AD72" t="e">
        <f>AND('PROG FORMACIÓN TITULADA'!#REF!,"AAAAAHt+7x0=")</f>
        <v>#REF!</v>
      </c>
      <c r="AE72" t="e">
        <f>AND('PROG FORMACIÓN TITULADA'!#REF!,"AAAAAHt+7x4=")</f>
        <v>#REF!</v>
      </c>
      <c r="AF72" t="e">
        <f>AND('PROG FORMACIÓN TITULADA'!#REF!,"AAAAAHt+7x8=")</f>
        <v>#REF!</v>
      </c>
      <c r="AG72" t="e">
        <f>AND('PROG FORMACIÓN TITULADA'!#REF!,"AAAAAHt+7yA=")</f>
        <v>#REF!</v>
      </c>
      <c r="AH72" t="e">
        <f>AND('PROG FORMACIÓN TITULADA'!#REF!,"AAAAAHt+7yE=")</f>
        <v>#REF!</v>
      </c>
      <c r="AI72" t="e">
        <f>AND('PROG FORMACIÓN TITULADA'!#REF!,"AAAAAHt+7yI=")</f>
        <v>#REF!</v>
      </c>
      <c r="AJ72" t="e">
        <f>AND('PROG FORMACIÓN TITULADA'!#REF!,"AAAAAHt+7yM=")</f>
        <v>#REF!</v>
      </c>
      <c r="AK72" t="e">
        <f>IF('PROG FORMACIÓN TITULADA'!#REF!,"AAAAAHt+7yQ=",0)</f>
        <v>#REF!</v>
      </c>
      <c r="AL72" t="e">
        <f>AND('PROG FORMACIÓN TITULADA'!#REF!,"AAAAAHt+7yU=")</f>
        <v>#REF!</v>
      </c>
      <c r="AM72" t="e">
        <f>AND('PROG FORMACIÓN TITULADA'!#REF!,"AAAAAHt+7yY=")</f>
        <v>#REF!</v>
      </c>
      <c r="AN72" t="e">
        <f>AND('PROG FORMACIÓN TITULADA'!#REF!,"AAAAAHt+7yc=")</f>
        <v>#REF!</v>
      </c>
      <c r="AO72" t="e">
        <f>AND('PROG FORMACIÓN TITULADA'!#REF!,"AAAAAHt+7yg=")</f>
        <v>#REF!</v>
      </c>
      <c r="AP72" t="e">
        <f>AND('PROG FORMACIÓN TITULADA'!#REF!,"AAAAAHt+7yk=")</f>
        <v>#REF!</v>
      </c>
      <c r="AQ72" t="e">
        <f>AND('PROG FORMACIÓN TITULADA'!#REF!,"AAAAAHt+7yo=")</f>
        <v>#REF!</v>
      </c>
      <c r="AR72" t="e">
        <f>AND('PROG FORMACIÓN TITULADA'!#REF!,"AAAAAHt+7ys=")</f>
        <v>#REF!</v>
      </c>
      <c r="AS72" t="e">
        <f>AND('PROG FORMACIÓN TITULADA'!#REF!,"AAAAAHt+7yw=")</f>
        <v>#REF!</v>
      </c>
      <c r="AT72" t="e">
        <f>AND('PROG FORMACIÓN TITULADA'!#REF!,"AAAAAHt+7y0=")</f>
        <v>#REF!</v>
      </c>
      <c r="AU72" t="e">
        <f>AND('PROG FORMACIÓN TITULADA'!#REF!,"AAAAAHt+7y4=")</f>
        <v>#REF!</v>
      </c>
      <c r="AV72" t="e">
        <f>AND('PROG FORMACIÓN TITULADA'!#REF!,"AAAAAHt+7y8=")</f>
        <v>#REF!</v>
      </c>
      <c r="AW72" t="e">
        <f>AND('PROG FORMACIÓN TITULADA'!#REF!,"AAAAAHt+7zA=")</f>
        <v>#REF!</v>
      </c>
      <c r="AX72" t="e">
        <f>AND('PROG FORMACIÓN TITULADA'!#REF!,"AAAAAHt+7zE=")</f>
        <v>#REF!</v>
      </c>
      <c r="AY72" t="e">
        <f>AND('PROG FORMACIÓN TITULADA'!#REF!,"AAAAAHt+7zI=")</f>
        <v>#REF!</v>
      </c>
      <c r="AZ72" t="e">
        <f>AND('PROG FORMACIÓN TITULADA'!#REF!,"AAAAAHt+7zM=")</f>
        <v>#REF!</v>
      </c>
      <c r="BA72" t="e">
        <f>AND('PROG FORMACIÓN TITULADA'!#REF!,"AAAAAHt+7zQ=")</f>
        <v>#REF!</v>
      </c>
      <c r="BB72" t="e">
        <f>AND('PROG FORMACIÓN TITULADA'!#REF!,"AAAAAHt+7zU=")</f>
        <v>#REF!</v>
      </c>
      <c r="BC72" t="e">
        <f>AND('PROG FORMACIÓN TITULADA'!#REF!,"AAAAAHt+7zY=")</f>
        <v>#REF!</v>
      </c>
      <c r="BD72" t="e">
        <f>AND('PROG FORMACIÓN TITULADA'!#REF!,"AAAAAHt+7zc=")</f>
        <v>#REF!</v>
      </c>
      <c r="BE72" t="e">
        <f>AND('PROG FORMACIÓN TITULADA'!#REF!,"AAAAAHt+7zg=")</f>
        <v>#REF!</v>
      </c>
      <c r="BF72" t="e">
        <f>AND('PROG FORMACIÓN TITULADA'!#REF!,"AAAAAHt+7zk=")</f>
        <v>#REF!</v>
      </c>
      <c r="BG72" t="e">
        <f>AND('PROG FORMACIÓN TITULADA'!#REF!,"AAAAAHt+7zo=")</f>
        <v>#REF!</v>
      </c>
      <c r="BH72" t="e">
        <f>AND('PROG FORMACIÓN TITULADA'!#REF!,"AAAAAHt+7zs=")</f>
        <v>#REF!</v>
      </c>
      <c r="BI72" t="e">
        <f>AND('PROG FORMACIÓN TITULADA'!#REF!,"AAAAAHt+7zw=")</f>
        <v>#REF!</v>
      </c>
      <c r="BJ72" t="e">
        <f>AND('PROG FORMACIÓN TITULADA'!#REF!,"AAAAAHt+7z0=")</f>
        <v>#REF!</v>
      </c>
      <c r="BK72" t="e">
        <f>AND('PROG FORMACIÓN TITULADA'!#REF!,"AAAAAHt+7z4=")</f>
        <v>#REF!</v>
      </c>
      <c r="BL72" t="e">
        <f>IF('PROG FORMACIÓN TITULADA'!#REF!,"AAAAAHt+7z8=",0)</f>
        <v>#REF!</v>
      </c>
      <c r="BM72" t="e">
        <f>AND('PROG FORMACIÓN TITULADA'!#REF!,"AAAAAHt+70A=")</f>
        <v>#REF!</v>
      </c>
      <c r="BN72" t="e">
        <f>AND('PROG FORMACIÓN TITULADA'!#REF!,"AAAAAHt+70E=")</f>
        <v>#REF!</v>
      </c>
      <c r="BO72" t="e">
        <f>AND('PROG FORMACIÓN TITULADA'!#REF!,"AAAAAHt+70I=")</f>
        <v>#REF!</v>
      </c>
      <c r="BP72" t="e">
        <f>AND('PROG FORMACIÓN TITULADA'!#REF!,"AAAAAHt+70M=")</f>
        <v>#REF!</v>
      </c>
      <c r="BQ72" t="e">
        <f>AND('PROG FORMACIÓN TITULADA'!#REF!,"AAAAAHt+70Q=")</f>
        <v>#REF!</v>
      </c>
      <c r="BR72" t="e">
        <f>AND('PROG FORMACIÓN TITULADA'!#REF!,"AAAAAHt+70U=")</f>
        <v>#REF!</v>
      </c>
      <c r="BS72" t="e">
        <f>AND('PROG FORMACIÓN TITULADA'!#REF!,"AAAAAHt+70Y=")</f>
        <v>#REF!</v>
      </c>
      <c r="BT72" t="e">
        <f>AND('PROG FORMACIÓN TITULADA'!#REF!,"AAAAAHt+70c=")</f>
        <v>#REF!</v>
      </c>
      <c r="BU72" t="e">
        <f>AND('PROG FORMACIÓN TITULADA'!#REF!,"AAAAAHt+70g=")</f>
        <v>#REF!</v>
      </c>
      <c r="BV72" t="e">
        <f>AND('PROG FORMACIÓN TITULADA'!#REF!,"AAAAAHt+70k=")</f>
        <v>#REF!</v>
      </c>
      <c r="BW72" t="e">
        <f>AND('PROG FORMACIÓN TITULADA'!#REF!,"AAAAAHt+70o=")</f>
        <v>#REF!</v>
      </c>
      <c r="BX72" t="e">
        <f>AND('PROG FORMACIÓN TITULADA'!#REF!,"AAAAAHt+70s=")</f>
        <v>#REF!</v>
      </c>
      <c r="BY72" t="e">
        <f>AND('PROG FORMACIÓN TITULADA'!#REF!,"AAAAAHt+70w=")</f>
        <v>#REF!</v>
      </c>
      <c r="BZ72" t="e">
        <f>AND('PROG FORMACIÓN TITULADA'!#REF!,"AAAAAHt+700=")</f>
        <v>#REF!</v>
      </c>
      <c r="CA72" t="e">
        <f>AND('PROG FORMACIÓN TITULADA'!#REF!,"AAAAAHt+704=")</f>
        <v>#REF!</v>
      </c>
      <c r="CB72" t="e">
        <f>AND('PROG FORMACIÓN TITULADA'!#REF!,"AAAAAHt+708=")</f>
        <v>#REF!</v>
      </c>
      <c r="CC72" t="e">
        <f>AND('PROG FORMACIÓN TITULADA'!#REF!,"AAAAAHt+71A=")</f>
        <v>#REF!</v>
      </c>
      <c r="CD72" t="e">
        <f>AND('PROG FORMACIÓN TITULADA'!#REF!,"AAAAAHt+71E=")</f>
        <v>#REF!</v>
      </c>
      <c r="CE72" t="e">
        <f>AND('PROG FORMACIÓN TITULADA'!#REF!,"AAAAAHt+71I=")</f>
        <v>#REF!</v>
      </c>
      <c r="CF72" t="e">
        <f>AND('PROG FORMACIÓN TITULADA'!#REF!,"AAAAAHt+71M=")</f>
        <v>#REF!</v>
      </c>
      <c r="CG72" t="e">
        <f>AND('PROG FORMACIÓN TITULADA'!#REF!,"AAAAAHt+71Q=")</f>
        <v>#REF!</v>
      </c>
      <c r="CH72" t="e">
        <f>AND('PROG FORMACIÓN TITULADA'!#REF!,"AAAAAHt+71U=")</f>
        <v>#REF!</v>
      </c>
      <c r="CI72" t="e">
        <f>AND('PROG FORMACIÓN TITULADA'!#REF!,"AAAAAHt+71Y=")</f>
        <v>#REF!</v>
      </c>
      <c r="CJ72" t="e">
        <f>AND('PROG FORMACIÓN TITULADA'!#REF!,"AAAAAHt+71c=")</f>
        <v>#REF!</v>
      </c>
      <c r="CK72" t="e">
        <f>AND('PROG FORMACIÓN TITULADA'!#REF!,"AAAAAHt+71g=")</f>
        <v>#REF!</v>
      </c>
      <c r="CL72" t="e">
        <f>AND('PROG FORMACIÓN TITULADA'!#REF!,"AAAAAHt+71k=")</f>
        <v>#REF!</v>
      </c>
      <c r="CM72" t="e">
        <f>IF('PROG FORMACIÓN TITULADA'!#REF!,"AAAAAHt+71o=",0)</f>
        <v>#REF!</v>
      </c>
      <c r="CN72" t="e">
        <f>AND('PROG FORMACIÓN TITULADA'!#REF!,"AAAAAHt+71s=")</f>
        <v>#REF!</v>
      </c>
      <c r="CO72" t="e">
        <f>AND('PROG FORMACIÓN TITULADA'!#REF!,"AAAAAHt+71w=")</f>
        <v>#REF!</v>
      </c>
      <c r="CP72" t="e">
        <f>AND('PROG FORMACIÓN TITULADA'!#REF!,"AAAAAHt+710=")</f>
        <v>#REF!</v>
      </c>
      <c r="CQ72" t="e">
        <f>AND('PROG FORMACIÓN TITULADA'!#REF!,"AAAAAHt+714=")</f>
        <v>#REF!</v>
      </c>
      <c r="CR72" t="e">
        <f>AND('PROG FORMACIÓN TITULADA'!#REF!,"AAAAAHt+718=")</f>
        <v>#REF!</v>
      </c>
      <c r="CS72" t="e">
        <f>AND('PROG FORMACIÓN TITULADA'!#REF!,"AAAAAHt+72A=")</f>
        <v>#REF!</v>
      </c>
      <c r="CT72" t="e">
        <f>AND('PROG FORMACIÓN TITULADA'!#REF!,"AAAAAHt+72E=")</f>
        <v>#REF!</v>
      </c>
      <c r="CU72" t="e">
        <f>AND('PROG FORMACIÓN TITULADA'!#REF!,"AAAAAHt+72I=")</f>
        <v>#REF!</v>
      </c>
      <c r="CV72" t="e">
        <f>AND('PROG FORMACIÓN TITULADA'!#REF!,"AAAAAHt+72M=")</f>
        <v>#REF!</v>
      </c>
      <c r="CW72" t="e">
        <f>AND('PROG FORMACIÓN TITULADA'!#REF!,"AAAAAHt+72Q=")</f>
        <v>#REF!</v>
      </c>
      <c r="CX72" t="e">
        <f>AND('PROG FORMACIÓN TITULADA'!#REF!,"AAAAAHt+72U=")</f>
        <v>#REF!</v>
      </c>
      <c r="CY72" t="e">
        <f>AND('PROG FORMACIÓN TITULADA'!#REF!,"AAAAAHt+72Y=")</f>
        <v>#REF!</v>
      </c>
      <c r="CZ72" t="e">
        <f>AND('PROG FORMACIÓN TITULADA'!#REF!,"AAAAAHt+72c=")</f>
        <v>#REF!</v>
      </c>
      <c r="DA72" t="e">
        <f>AND('PROG FORMACIÓN TITULADA'!#REF!,"AAAAAHt+72g=")</f>
        <v>#REF!</v>
      </c>
      <c r="DB72" t="e">
        <f>AND('PROG FORMACIÓN TITULADA'!#REF!,"AAAAAHt+72k=")</f>
        <v>#REF!</v>
      </c>
      <c r="DC72" t="e">
        <f>AND('PROG FORMACIÓN TITULADA'!#REF!,"AAAAAHt+72o=")</f>
        <v>#REF!</v>
      </c>
      <c r="DD72" t="e">
        <f>AND('PROG FORMACIÓN TITULADA'!#REF!,"AAAAAHt+72s=")</f>
        <v>#REF!</v>
      </c>
      <c r="DE72" t="e">
        <f>AND('PROG FORMACIÓN TITULADA'!#REF!,"AAAAAHt+72w=")</f>
        <v>#REF!</v>
      </c>
      <c r="DF72" t="e">
        <f>AND('PROG FORMACIÓN TITULADA'!#REF!,"AAAAAHt+720=")</f>
        <v>#REF!</v>
      </c>
      <c r="DG72" t="e">
        <f>AND('PROG FORMACIÓN TITULADA'!#REF!,"AAAAAHt+724=")</f>
        <v>#REF!</v>
      </c>
      <c r="DH72" t="e">
        <f>AND('PROG FORMACIÓN TITULADA'!#REF!,"AAAAAHt+728=")</f>
        <v>#REF!</v>
      </c>
      <c r="DI72" t="e">
        <f>AND('PROG FORMACIÓN TITULADA'!#REF!,"AAAAAHt+73A=")</f>
        <v>#REF!</v>
      </c>
      <c r="DJ72" t="e">
        <f>AND('PROG FORMACIÓN TITULADA'!#REF!,"AAAAAHt+73E=")</f>
        <v>#REF!</v>
      </c>
      <c r="DK72" t="e">
        <f>AND('PROG FORMACIÓN TITULADA'!#REF!,"AAAAAHt+73I=")</f>
        <v>#REF!</v>
      </c>
      <c r="DL72" t="e">
        <f>AND('PROG FORMACIÓN TITULADA'!#REF!,"AAAAAHt+73M=")</f>
        <v>#REF!</v>
      </c>
      <c r="DM72" t="e">
        <f>AND('PROG FORMACIÓN TITULADA'!#REF!,"AAAAAHt+73Q=")</f>
        <v>#REF!</v>
      </c>
      <c r="DN72" t="e">
        <f>IF('PROG FORMACIÓN TITULADA'!#REF!,"AAAAAHt+73U=",0)</f>
        <v>#REF!</v>
      </c>
      <c r="DO72" t="e">
        <f>AND('PROG FORMACIÓN TITULADA'!#REF!,"AAAAAHt+73Y=")</f>
        <v>#REF!</v>
      </c>
      <c r="DP72" t="e">
        <f>AND('PROG FORMACIÓN TITULADA'!#REF!,"AAAAAHt+73c=")</f>
        <v>#REF!</v>
      </c>
      <c r="DQ72" t="e">
        <f>AND('PROG FORMACIÓN TITULADA'!#REF!,"AAAAAHt+73g=")</f>
        <v>#REF!</v>
      </c>
      <c r="DR72" t="e">
        <f>AND('PROG FORMACIÓN TITULADA'!#REF!,"AAAAAHt+73k=")</f>
        <v>#REF!</v>
      </c>
      <c r="DS72" t="e">
        <f>AND('PROG FORMACIÓN TITULADA'!#REF!,"AAAAAHt+73o=")</f>
        <v>#REF!</v>
      </c>
      <c r="DT72" t="e">
        <f>AND('PROG FORMACIÓN TITULADA'!#REF!,"AAAAAHt+73s=")</f>
        <v>#REF!</v>
      </c>
      <c r="DU72" t="e">
        <f>AND('PROG FORMACIÓN TITULADA'!#REF!,"AAAAAHt+73w=")</f>
        <v>#REF!</v>
      </c>
      <c r="DV72" t="e">
        <f>AND('PROG FORMACIÓN TITULADA'!#REF!,"AAAAAHt+730=")</f>
        <v>#REF!</v>
      </c>
      <c r="DW72" t="e">
        <f>AND('PROG FORMACIÓN TITULADA'!#REF!,"AAAAAHt+734=")</f>
        <v>#REF!</v>
      </c>
      <c r="DX72" t="e">
        <f>AND('PROG FORMACIÓN TITULADA'!#REF!,"AAAAAHt+738=")</f>
        <v>#REF!</v>
      </c>
      <c r="DY72" t="e">
        <f>AND('PROG FORMACIÓN TITULADA'!#REF!,"AAAAAHt+74A=")</f>
        <v>#REF!</v>
      </c>
      <c r="DZ72" t="e">
        <f>AND('PROG FORMACIÓN TITULADA'!#REF!,"AAAAAHt+74E=")</f>
        <v>#REF!</v>
      </c>
      <c r="EA72" t="e">
        <f>AND('PROG FORMACIÓN TITULADA'!#REF!,"AAAAAHt+74I=")</f>
        <v>#REF!</v>
      </c>
      <c r="EB72" t="e">
        <f>AND('PROG FORMACIÓN TITULADA'!#REF!,"AAAAAHt+74M=")</f>
        <v>#REF!</v>
      </c>
      <c r="EC72" t="e">
        <f>AND('PROG FORMACIÓN TITULADA'!#REF!,"AAAAAHt+74Q=")</f>
        <v>#REF!</v>
      </c>
      <c r="ED72" t="e">
        <f>AND('PROG FORMACIÓN TITULADA'!#REF!,"AAAAAHt+74U=")</f>
        <v>#REF!</v>
      </c>
      <c r="EE72" t="e">
        <f>AND('PROG FORMACIÓN TITULADA'!#REF!,"AAAAAHt+74Y=")</f>
        <v>#REF!</v>
      </c>
      <c r="EF72" t="e">
        <f>AND('PROG FORMACIÓN TITULADA'!#REF!,"AAAAAHt+74c=")</f>
        <v>#REF!</v>
      </c>
      <c r="EG72" t="e">
        <f>AND('PROG FORMACIÓN TITULADA'!#REF!,"AAAAAHt+74g=")</f>
        <v>#REF!</v>
      </c>
      <c r="EH72" t="e">
        <f>AND('PROG FORMACIÓN TITULADA'!#REF!,"AAAAAHt+74k=")</f>
        <v>#REF!</v>
      </c>
      <c r="EI72" t="e">
        <f>AND('PROG FORMACIÓN TITULADA'!#REF!,"AAAAAHt+74o=")</f>
        <v>#REF!</v>
      </c>
      <c r="EJ72" t="e">
        <f>AND('PROG FORMACIÓN TITULADA'!#REF!,"AAAAAHt+74s=")</f>
        <v>#REF!</v>
      </c>
      <c r="EK72" t="e">
        <f>AND('PROG FORMACIÓN TITULADA'!#REF!,"AAAAAHt+74w=")</f>
        <v>#REF!</v>
      </c>
      <c r="EL72" t="e">
        <f>AND('PROG FORMACIÓN TITULADA'!#REF!,"AAAAAHt+740=")</f>
        <v>#REF!</v>
      </c>
      <c r="EM72" t="e">
        <f>AND('PROG FORMACIÓN TITULADA'!#REF!,"AAAAAHt+744=")</f>
        <v>#REF!</v>
      </c>
      <c r="EN72" t="e">
        <f>AND('PROG FORMACIÓN TITULADA'!#REF!,"AAAAAHt+748=")</f>
        <v>#REF!</v>
      </c>
      <c r="EO72" t="e">
        <f>IF('PROG FORMACIÓN TITULADA'!#REF!,"AAAAAHt+75A=",0)</f>
        <v>#REF!</v>
      </c>
      <c r="EP72" t="e">
        <f>AND('PROG FORMACIÓN TITULADA'!#REF!,"AAAAAHt+75E=")</f>
        <v>#REF!</v>
      </c>
      <c r="EQ72" t="e">
        <f>AND('PROG FORMACIÓN TITULADA'!#REF!,"AAAAAHt+75I=")</f>
        <v>#REF!</v>
      </c>
      <c r="ER72" t="e">
        <f>AND('PROG FORMACIÓN TITULADA'!#REF!,"AAAAAHt+75M=")</f>
        <v>#REF!</v>
      </c>
      <c r="ES72" t="e">
        <f>AND('PROG FORMACIÓN TITULADA'!#REF!,"AAAAAHt+75Q=")</f>
        <v>#REF!</v>
      </c>
      <c r="ET72" t="e">
        <f>AND('PROG FORMACIÓN TITULADA'!#REF!,"AAAAAHt+75U=")</f>
        <v>#REF!</v>
      </c>
      <c r="EU72" t="e">
        <f>AND('PROG FORMACIÓN TITULADA'!#REF!,"AAAAAHt+75Y=")</f>
        <v>#REF!</v>
      </c>
      <c r="EV72" t="e">
        <f>AND('PROG FORMACIÓN TITULADA'!#REF!,"AAAAAHt+75c=")</f>
        <v>#REF!</v>
      </c>
      <c r="EW72" t="e">
        <f>AND('PROG FORMACIÓN TITULADA'!#REF!,"AAAAAHt+75g=")</f>
        <v>#REF!</v>
      </c>
      <c r="EX72" t="e">
        <f>AND('PROG FORMACIÓN TITULADA'!#REF!,"AAAAAHt+75k=")</f>
        <v>#REF!</v>
      </c>
      <c r="EY72" t="e">
        <f>AND('PROG FORMACIÓN TITULADA'!#REF!,"AAAAAHt+75o=")</f>
        <v>#REF!</v>
      </c>
      <c r="EZ72" t="e">
        <f>AND('PROG FORMACIÓN TITULADA'!#REF!,"AAAAAHt+75s=")</f>
        <v>#REF!</v>
      </c>
      <c r="FA72" t="e">
        <f>AND('PROG FORMACIÓN TITULADA'!#REF!,"AAAAAHt+75w=")</f>
        <v>#REF!</v>
      </c>
      <c r="FB72" t="e">
        <f>AND('PROG FORMACIÓN TITULADA'!#REF!,"AAAAAHt+750=")</f>
        <v>#REF!</v>
      </c>
      <c r="FC72" t="e">
        <f>AND('PROG FORMACIÓN TITULADA'!#REF!,"AAAAAHt+754=")</f>
        <v>#REF!</v>
      </c>
      <c r="FD72" t="e">
        <f>AND('PROG FORMACIÓN TITULADA'!#REF!,"AAAAAHt+758=")</f>
        <v>#REF!</v>
      </c>
      <c r="FE72" t="e">
        <f>AND('PROG FORMACIÓN TITULADA'!#REF!,"AAAAAHt+76A=")</f>
        <v>#REF!</v>
      </c>
      <c r="FF72" t="e">
        <f>AND('PROG FORMACIÓN TITULADA'!#REF!,"AAAAAHt+76E=")</f>
        <v>#REF!</v>
      </c>
      <c r="FG72" t="e">
        <f>AND('PROG FORMACIÓN TITULADA'!#REF!,"AAAAAHt+76I=")</f>
        <v>#REF!</v>
      </c>
      <c r="FH72" t="e">
        <f>AND('PROG FORMACIÓN TITULADA'!#REF!,"AAAAAHt+76M=")</f>
        <v>#REF!</v>
      </c>
      <c r="FI72" t="e">
        <f>AND('PROG FORMACIÓN TITULADA'!#REF!,"AAAAAHt+76Q=")</f>
        <v>#REF!</v>
      </c>
      <c r="FJ72" t="e">
        <f>AND('PROG FORMACIÓN TITULADA'!#REF!,"AAAAAHt+76U=")</f>
        <v>#REF!</v>
      </c>
      <c r="FK72" t="e">
        <f>AND('PROG FORMACIÓN TITULADA'!#REF!,"AAAAAHt+76Y=")</f>
        <v>#REF!</v>
      </c>
      <c r="FL72" t="e">
        <f>AND('PROG FORMACIÓN TITULADA'!#REF!,"AAAAAHt+76c=")</f>
        <v>#REF!</v>
      </c>
      <c r="FM72" t="e">
        <f>AND('PROG FORMACIÓN TITULADA'!#REF!,"AAAAAHt+76g=")</f>
        <v>#REF!</v>
      </c>
      <c r="FN72" t="e">
        <f>AND('PROG FORMACIÓN TITULADA'!#REF!,"AAAAAHt+76k=")</f>
        <v>#REF!</v>
      </c>
      <c r="FO72" t="e">
        <f>AND('PROG FORMACIÓN TITULADA'!#REF!,"AAAAAHt+76o=")</f>
        <v>#REF!</v>
      </c>
      <c r="FP72" t="e">
        <f>IF('PROG FORMACIÓN TITULADA'!#REF!,"AAAAAHt+76s=",0)</f>
        <v>#REF!</v>
      </c>
      <c r="FQ72" t="e">
        <f>AND('PROG FORMACIÓN TITULADA'!#REF!,"AAAAAHt+76w=")</f>
        <v>#REF!</v>
      </c>
      <c r="FR72" t="e">
        <f>AND('PROG FORMACIÓN TITULADA'!#REF!,"AAAAAHt+760=")</f>
        <v>#REF!</v>
      </c>
      <c r="FS72" t="e">
        <f>AND('PROG FORMACIÓN TITULADA'!#REF!,"AAAAAHt+764=")</f>
        <v>#REF!</v>
      </c>
      <c r="FT72" t="e">
        <f>AND('PROG FORMACIÓN TITULADA'!#REF!,"AAAAAHt+768=")</f>
        <v>#REF!</v>
      </c>
      <c r="FU72" t="e">
        <f>AND('PROG FORMACIÓN TITULADA'!#REF!,"AAAAAHt+77A=")</f>
        <v>#REF!</v>
      </c>
      <c r="FV72" t="e">
        <f>AND('PROG FORMACIÓN TITULADA'!#REF!,"AAAAAHt+77E=")</f>
        <v>#REF!</v>
      </c>
      <c r="FW72" t="e">
        <f>AND('PROG FORMACIÓN TITULADA'!#REF!,"AAAAAHt+77I=")</f>
        <v>#REF!</v>
      </c>
      <c r="FX72" t="e">
        <f>AND('PROG FORMACIÓN TITULADA'!#REF!,"AAAAAHt+77M=")</f>
        <v>#REF!</v>
      </c>
      <c r="FY72" t="e">
        <f>AND('PROG FORMACIÓN TITULADA'!#REF!,"AAAAAHt+77Q=")</f>
        <v>#REF!</v>
      </c>
      <c r="FZ72" t="e">
        <f>AND('PROG FORMACIÓN TITULADA'!#REF!,"AAAAAHt+77U=")</f>
        <v>#REF!</v>
      </c>
      <c r="GA72" t="e">
        <f>AND('PROG FORMACIÓN TITULADA'!#REF!,"AAAAAHt+77Y=")</f>
        <v>#REF!</v>
      </c>
      <c r="GB72" t="e">
        <f>AND('PROG FORMACIÓN TITULADA'!#REF!,"AAAAAHt+77c=")</f>
        <v>#REF!</v>
      </c>
      <c r="GC72" t="e">
        <f>AND('PROG FORMACIÓN TITULADA'!#REF!,"AAAAAHt+77g=")</f>
        <v>#REF!</v>
      </c>
      <c r="GD72" t="e">
        <f>AND('PROG FORMACIÓN TITULADA'!#REF!,"AAAAAHt+77k=")</f>
        <v>#REF!</v>
      </c>
      <c r="GE72" t="e">
        <f>AND('PROG FORMACIÓN TITULADA'!#REF!,"AAAAAHt+77o=")</f>
        <v>#REF!</v>
      </c>
      <c r="GF72" t="e">
        <f>AND('PROG FORMACIÓN TITULADA'!#REF!,"AAAAAHt+77s=")</f>
        <v>#REF!</v>
      </c>
      <c r="GG72" t="e">
        <f>AND('PROG FORMACIÓN TITULADA'!#REF!,"AAAAAHt+77w=")</f>
        <v>#REF!</v>
      </c>
      <c r="GH72" t="e">
        <f>AND('PROG FORMACIÓN TITULADA'!#REF!,"AAAAAHt+770=")</f>
        <v>#REF!</v>
      </c>
      <c r="GI72" t="e">
        <f>AND('PROG FORMACIÓN TITULADA'!#REF!,"AAAAAHt+774=")</f>
        <v>#REF!</v>
      </c>
      <c r="GJ72" t="e">
        <f>AND('PROG FORMACIÓN TITULADA'!#REF!,"AAAAAHt+778=")</f>
        <v>#REF!</v>
      </c>
      <c r="GK72" t="e">
        <f>AND('PROG FORMACIÓN TITULADA'!#REF!,"AAAAAHt+78A=")</f>
        <v>#REF!</v>
      </c>
      <c r="GL72" t="e">
        <f>AND('PROG FORMACIÓN TITULADA'!#REF!,"AAAAAHt+78E=")</f>
        <v>#REF!</v>
      </c>
      <c r="GM72" t="e">
        <f>AND('PROG FORMACIÓN TITULADA'!#REF!,"AAAAAHt+78I=")</f>
        <v>#REF!</v>
      </c>
      <c r="GN72" t="e">
        <f>AND('PROG FORMACIÓN TITULADA'!#REF!,"AAAAAHt+78M=")</f>
        <v>#REF!</v>
      </c>
      <c r="GO72" t="e">
        <f>AND('PROG FORMACIÓN TITULADA'!#REF!,"AAAAAHt+78Q=")</f>
        <v>#REF!</v>
      </c>
      <c r="GP72" t="e">
        <f>AND('PROG FORMACIÓN TITULADA'!#REF!,"AAAAAHt+78U=")</f>
        <v>#REF!</v>
      </c>
      <c r="GQ72" t="e">
        <f>IF('PROG FORMACIÓN TITULADA'!#REF!,"AAAAAHt+78Y=",0)</f>
        <v>#REF!</v>
      </c>
      <c r="GR72" t="e">
        <f>AND('PROG FORMACIÓN TITULADA'!#REF!,"AAAAAHt+78c=")</f>
        <v>#REF!</v>
      </c>
      <c r="GS72" t="e">
        <f>AND('PROG FORMACIÓN TITULADA'!#REF!,"AAAAAHt+78g=")</f>
        <v>#REF!</v>
      </c>
      <c r="GT72" t="e">
        <f>AND('PROG FORMACIÓN TITULADA'!#REF!,"AAAAAHt+78k=")</f>
        <v>#REF!</v>
      </c>
      <c r="GU72" t="e">
        <f>AND('PROG FORMACIÓN TITULADA'!#REF!,"AAAAAHt+78o=")</f>
        <v>#REF!</v>
      </c>
      <c r="GV72" t="e">
        <f>AND('PROG FORMACIÓN TITULADA'!#REF!,"AAAAAHt+78s=")</f>
        <v>#REF!</v>
      </c>
      <c r="GW72" t="e">
        <f>AND('PROG FORMACIÓN TITULADA'!#REF!,"AAAAAHt+78w=")</f>
        <v>#REF!</v>
      </c>
      <c r="GX72" t="e">
        <f>AND('PROG FORMACIÓN TITULADA'!#REF!,"AAAAAHt+780=")</f>
        <v>#REF!</v>
      </c>
      <c r="GY72" t="e">
        <f>AND('PROG FORMACIÓN TITULADA'!#REF!,"AAAAAHt+784=")</f>
        <v>#REF!</v>
      </c>
      <c r="GZ72" t="e">
        <f>AND('PROG FORMACIÓN TITULADA'!#REF!,"AAAAAHt+788=")</f>
        <v>#REF!</v>
      </c>
      <c r="HA72" t="e">
        <f>AND('PROG FORMACIÓN TITULADA'!#REF!,"AAAAAHt+79A=")</f>
        <v>#REF!</v>
      </c>
      <c r="HB72" t="e">
        <f>AND('PROG FORMACIÓN TITULADA'!#REF!,"AAAAAHt+79E=")</f>
        <v>#REF!</v>
      </c>
      <c r="HC72" t="e">
        <f>AND('PROG FORMACIÓN TITULADA'!#REF!,"AAAAAHt+79I=")</f>
        <v>#REF!</v>
      </c>
      <c r="HD72" t="e">
        <f>AND('PROG FORMACIÓN TITULADA'!#REF!,"AAAAAHt+79M=")</f>
        <v>#REF!</v>
      </c>
      <c r="HE72" t="e">
        <f>AND('PROG FORMACIÓN TITULADA'!#REF!,"AAAAAHt+79Q=")</f>
        <v>#REF!</v>
      </c>
      <c r="HF72" t="e">
        <f>AND('PROG FORMACIÓN TITULADA'!#REF!,"AAAAAHt+79U=")</f>
        <v>#REF!</v>
      </c>
      <c r="HG72" t="e">
        <f>AND('PROG FORMACIÓN TITULADA'!#REF!,"AAAAAHt+79Y=")</f>
        <v>#REF!</v>
      </c>
      <c r="HH72" t="e">
        <f>AND('PROG FORMACIÓN TITULADA'!#REF!,"AAAAAHt+79c=")</f>
        <v>#REF!</v>
      </c>
      <c r="HI72" t="e">
        <f>AND('PROG FORMACIÓN TITULADA'!#REF!,"AAAAAHt+79g=")</f>
        <v>#REF!</v>
      </c>
      <c r="HJ72" t="e">
        <f>AND('PROG FORMACIÓN TITULADA'!#REF!,"AAAAAHt+79k=")</f>
        <v>#REF!</v>
      </c>
      <c r="HK72" t="e">
        <f>AND('PROG FORMACIÓN TITULADA'!#REF!,"AAAAAHt+79o=")</f>
        <v>#REF!</v>
      </c>
      <c r="HL72" t="e">
        <f>AND('PROG FORMACIÓN TITULADA'!#REF!,"AAAAAHt+79s=")</f>
        <v>#REF!</v>
      </c>
      <c r="HM72" t="e">
        <f>AND('PROG FORMACIÓN TITULADA'!#REF!,"AAAAAHt+79w=")</f>
        <v>#REF!</v>
      </c>
      <c r="HN72" t="e">
        <f>AND('PROG FORMACIÓN TITULADA'!#REF!,"AAAAAHt+790=")</f>
        <v>#REF!</v>
      </c>
      <c r="HO72" t="e">
        <f>AND('PROG FORMACIÓN TITULADA'!#REF!,"AAAAAHt+794=")</f>
        <v>#REF!</v>
      </c>
      <c r="HP72" t="e">
        <f>AND('PROG FORMACIÓN TITULADA'!#REF!,"AAAAAHt+798=")</f>
        <v>#REF!</v>
      </c>
      <c r="HQ72" t="e">
        <f>AND('PROG FORMACIÓN TITULADA'!#REF!,"AAAAAHt+7+A=")</f>
        <v>#REF!</v>
      </c>
      <c r="HR72" t="e">
        <f>IF('PROG FORMACIÓN TITULADA'!#REF!,"AAAAAHt+7+E=",0)</f>
        <v>#REF!</v>
      </c>
      <c r="HS72" t="e">
        <f>AND('PROG FORMACIÓN TITULADA'!#REF!,"AAAAAHt+7+I=")</f>
        <v>#REF!</v>
      </c>
      <c r="HT72" t="e">
        <f>AND('PROG FORMACIÓN TITULADA'!#REF!,"AAAAAHt+7+M=")</f>
        <v>#REF!</v>
      </c>
      <c r="HU72" t="e">
        <f>AND('PROG FORMACIÓN TITULADA'!#REF!,"AAAAAHt+7+Q=")</f>
        <v>#REF!</v>
      </c>
      <c r="HV72" t="e">
        <f>AND('PROG FORMACIÓN TITULADA'!#REF!,"AAAAAHt+7+U=")</f>
        <v>#REF!</v>
      </c>
      <c r="HW72" t="e">
        <f>AND('PROG FORMACIÓN TITULADA'!#REF!,"AAAAAHt+7+Y=")</f>
        <v>#REF!</v>
      </c>
      <c r="HX72" t="e">
        <f>AND('PROG FORMACIÓN TITULADA'!#REF!,"AAAAAHt+7+c=")</f>
        <v>#REF!</v>
      </c>
      <c r="HY72" t="e">
        <f>AND('PROG FORMACIÓN TITULADA'!#REF!,"AAAAAHt+7+g=")</f>
        <v>#REF!</v>
      </c>
      <c r="HZ72" t="e">
        <f>AND('PROG FORMACIÓN TITULADA'!#REF!,"AAAAAHt+7+k=")</f>
        <v>#REF!</v>
      </c>
      <c r="IA72" t="e">
        <f>AND('PROG FORMACIÓN TITULADA'!#REF!,"AAAAAHt+7+o=")</f>
        <v>#REF!</v>
      </c>
      <c r="IB72" t="e">
        <f>AND('PROG FORMACIÓN TITULADA'!#REF!,"AAAAAHt+7+s=")</f>
        <v>#REF!</v>
      </c>
      <c r="IC72" t="e">
        <f>AND('PROG FORMACIÓN TITULADA'!#REF!,"AAAAAHt+7+w=")</f>
        <v>#REF!</v>
      </c>
      <c r="ID72" t="e">
        <f>AND('PROG FORMACIÓN TITULADA'!#REF!,"AAAAAHt+7+0=")</f>
        <v>#REF!</v>
      </c>
      <c r="IE72" t="e">
        <f>AND('PROG FORMACIÓN TITULADA'!#REF!,"AAAAAHt+7+4=")</f>
        <v>#REF!</v>
      </c>
      <c r="IF72" t="e">
        <f>AND('PROG FORMACIÓN TITULADA'!#REF!,"AAAAAHt+7+8=")</f>
        <v>#REF!</v>
      </c>
      <c r="IG72" t="e">
        <f>AND('PROG FORMACIÓN TITULADA'!#REF!,"AAAAAHt+7/A=")</f>
        <v>#REF!</v>
      </c>
      <c r="IH72" t="e">
        <f>AND('PROG FORMACIÓN TITULADA'!#REF!,"AAAAAHt+7/E=")</f>
        <v>#REF!</v>
      </c>
      <c r="II72" t="e">
        <f>AND('PROG FORMACIÓN TITULADA'!#REF!,"AAAAAHt+7/I=")</f>
        <v>#REF!</v>
      </c>
      <c r="IJ72" t="e">
        <f>AND('PROG FORMACIÓN TITULADA'!#REF!,"AAAAAHt+7/M=")</f>
        <v>#REF!</v>
      </c>
      <c r="IK72" t="e">
        <f>AND('PROG FORMACIÓN TITULADA'!#REF!,"AAAAAHt+7/Q=")</f>
        <v>#REF!</v>
      </c>
      <c r="IL72" t="e">
        <f>AND('PROG FORMACIÓN TITULADA'!#REF!,"AAAAAHt+7/U=")</f>
        <v>#REF!</v>
      </c>
      <c r="IM72" t="e">
        <f>AND('PROG FORMACIÓN TITULADA'!#REF!,"AAAAAHt+7/Y=")</f>
        <v>#REF!</v>
      </c>
      <c r="IN72" t="e">
        <f>AND('PROG FORMACIÓN TITULADA'!#REF!,"AAAAAHt+7/c=")</f>
        <v>#REF!</v>
      </c>
      <c r="IO72" t="e">
        <f>AND('PROG FORMACIÓN TITULADA'!#REF!,"AAAAAHt+7/g=")</f>
        <v>#REF!</v>
      </c>
      <c r="IP72" t="e">
        <f>AND('PROG FORMACIÓN TITULADA'!#REF!,"AAAAAHt+7/k=")</f>
        <v>#REF!</v>
      </c>
      <c r="IQ72" t="e">
        <f>AND('PROG FORMACIÓN TITULADA'!#REF!,"AAAAAHt+7/o=")</f>
        <v>#REF!</v>
      </c>
      <c r="IR72" t="e">
        <f>AND('PROG FORMACIÓN TITULADA'!#REF!,"AAAAAHt+7/s=")</f>
        <v>#REF!</v>
      </c>
      <c r="IS72" t="e">
        <f>IF('PROG FORMACIÓN TITULADA'!#REF!,"AAAAAHt+7/w=",0)</f>
        <v>#REF!</v>
      </c>
      <c r="IT72" t="e">
        <f>AND('PROG FORMACIÓN TITULADA'!#REF!,"AAAAAHt+7/0=")</f>
        <v>#REF!</v>
      </c>
      <c r="IU72" t="e">
        <f>AND('PROG FORMACIÓN TITULADA'!#REF!,"AAAAAHt+7/4=")</f>
        <v>#REF!</v>
      </c>
      <c r="IV72" t="e">
        <f>AND('PROG FORMACIÓN TITULADA'!#REF!,"AAAAAHt+7/8=")</f>
        <v>#REF!</v>
      </c>
    </row>
    <row r="73" spans="1:256" x14ac:dyDescent="0.2">
      <c r="A73" t="e">
        <f>AND('PROG FORMACIÓN TITULADA'!#REF!,"AAAAAFd/2gA=")</f>
        <v>#REF!</v>
      </c>
      <c r="B73" t="e">
        <f>AND('PROG FORMACIÓN TITULADA'!#REF!,"AAAAAFd/2gE=")</f>
        <v>#REF!</v>
      </c>
      <c r="C73" t="e">
        <f>AND('PROG FORMACIÓN TITULADA'!#REF!,"AAAAAFd/2gI=")</f>
        <v>#REF!</v>
      </c>
      <c r="D73" t="e">
        <f>AND('PROG FORMACIÓN TITULADA'!#REF!,"AAAAAFd/2gM=")</f>
        <v>#REF!</v>
      </c>
      <c r="E73" t="e">
        <f>AND('PROG FORMACIÓN TITULADA'!#REF!,"AAAAAFd/2gQ=")</f>
        <v>#REF!</v>
      </c>
      <c r="F73" t="e">
        <f>AND('PROG FORMACIÓN TITULADA'!#REF!,"AAAAAFd/2gU=")</f>
        <v>#REF!</v>
      </c>
      <c r="G73" t="e">
        <f>AND('PROG FORMACIÓN TITULADA'!#REF!,"AAAAAFd/2gY=")</f>
        <v>#REF!</v>
      </c>
      <c r="H73" t="e">
        <f>AND('PROG FORMACIÓN TITULADA'!#REF!,"AAAAAFd/2gc=")</f>
        <v>#REF!</v>
      </c>
      <c r="I73" t="e">
        <f>AND('PROG FORMACIÓN TITULADA'!#REF!,"AAAAAFd/2gg=")</f>
        <v>#REF!</v>
      </c>
      <c r="J73" t="e">
        <f>AND('PROG FORMACIÓN TITULADA'!#REF!,"AAAAAFd/2gk=")</f>
        <v>#REF!</v>
      </c>
      <c r="K73" t="e">
        <f>AND('PROG FORMACIÓN TITULADA'!#REF!,"AAAAAFd/2go=")</f>
        <v>#REF!</v>
      </c>
      <c r="L73" t="e">
        <f>AND('PROG FORMACIÓN TITULADA'!#REF!,"AAAAAFd/2gs=")</f>
        <v>#REF!</v>
      </c>
      <c r="M73" t="e">
        <f>AND('PROG FORMACIÓN TITULADA'!#REF!,"AAAAAFd/2gw=")</f>
        <v>#REF!</v>
      </c>
      <c r="N73" t="e">
        <f>AND('PROG FORMACIÓN TITULADA'!#REF!,"AAAAAFd/2g0=")</f>
        <v>#REF!</v>
      </c>
      <c r="O73" t="e">
        <f>AND('PROG FORMACIÓN TITULADA'!#REF!,"AAAAAFd/2g4=")</f>
        <v>#REF!</v>
      </c>
      <c r="P73" t="e">
        <f>AND('PROG FORMACIÓN TITULADA'!#REF!,"AAAAAFd/2g8=")</f>
        <v>#REF!</v>
      </c>
      <c r="Q73" t="e">
        <f>AND('PROG FORMACIÓN TITULADA'!#REF!,"AAAAAFd/2hA=")</f>
        <v>#REF!</v>
      </c>
      <c r="R73" t="e">
        <f>AND('PROG FORMACIÓN TITULADA'!#REF!,"AAAAAFd/2hE=")</f>
        <v>#REF!</v>
      </c>
      <c r="S73" t="e">
        <f>AND('PROG FORMACIÓN TITULADA'!#REF!,"AAAAAFd/2hI=")</f>
        <v>#REF!</v>
      </c>
      <c r="T73" t="e">
        <f>AND('PROG FORMACIÓN TITULADA'!#REF!,"AAAAAFd/2hM=")</f>
        <v>#REF!</v>
      </c>
      <c r="U73" t="e">
        <f>AND('PROG FORMACIÓN TITULADA'!#REF!,"AAAAAFd/2hQ=")</f>
        <v>#REF!</v>
      </c>
      <c r="V73" t="e">
        <f>AND('PROG FORMACIÓN TITULADA'!#REF!,"AAAAAFd/2hU=")</f>
        <v>#REF!</v>
      </c>
      <c r="W73" t="e">
        <f>AND('PROG FORMACIÓN TITULADA'!#REF!,"AAAAAFd/2hY=")</f>
        <v>#REF!</v>
      </c>
      <c r="X73" t="e">
        <f>IF('PROG FORMACIÓN TITULADA'!#REF!,"AAAAAFd/2hc=",0)</f>
        <v>#REF!</v>
      </c>
      <c r="Y73" t="e">
        <f>AND('PROG FORMACIÓN TITULADA'!#REF!,"AAAAAFd/2hg=")</f>
        <v>#REF!</v>
      </c>
      <c r="Z73" t="e">
        <f>AND('PROG FORMACIÓN TITULADA'!#REF!,"AAAAAFd/2hk=")</f>
        <v>#REF!</v>
      </c>
      <c r="AA73" t="e">
        <f>AND('PROG FORMACIÓN TITULADA'!#REF!,"AAAAAFd/2ho=")</f>
        <v>#REF!</v>
      </c>
      <c r="AB73" t="e">
        <f>AND('PROG FORMACIÓN TITULADA'!#REF!,"AAAAAFd/2hs=")</f>
        <v>#REF!</v>
      </c>
      <c r="AC73" t="e">
        <f>AND('PROG FORMACIÓN TITULADA'!#REF!,"AAAAAFd/2hw=")</f>
        <v>#REF!</v>
      </c>
      <c r="AD73" t="e">
        <f>AND('PROG FORMACIÓN TITULADA'!#REF!,"AAAAAFd/2h0=")</f>
        <v>#REF!</v>
      </c>
      <c r="AE73" t="e">
        <f>AND('PROG FORMACIÓN TITULADA'!#REF!,"AAAAAFd/2h4=")</f>
        <v>#REF!</v>
      </c>
      <c r="AF73" t="e">
        <f>AND('PROG FORMACIÓN TITULADA'!#REF!,"AAAAAFd/2h8=")</f>
        <v>#REF!</v>
      </c>
      <c r="AG73" t="e">
        <f>AND('PROG FORMACIÓN TITULADA'!#REF!,"AAAAAFd/2iA=")</f>
        <v>#REF!</v>
      </c>
      <c r="AH73" t="e">
        <f>AND('PROG FORMACIÓN TITULADA'!#REF!,"AAAAAFd/2iE=")</f>
        <v>#REF!</v>
      </c>
      <c r="AI73" t="e">
        <f>AND('PROG FORMACIÓN TITULADA'!#REF!,"AAAAAFd/2iI=")</f>
        <v>#REF!</v>
      </c>
      <c r="AJ73" t="e">
        <f>AND('PROG FORMACIÓN TITULADA'!#REF!,"AAAAAFd/2iM=")</f>
        <v>#REF!</v>
      </c>
      <c r="AK73" t="e">
        <f>AND('PROG FORMACIÓN TITULADA'!#REF!,"AAAAAFd/2iQ=")</f>
        <v>#REF!</v>
      </c>
      <c r="AL73" t="e">
        <f>AND('PROG FORMACIÓN TITULADA'!#REF!,"AAAAAFd/2iU=")</f>
        <v>#REF!</v>
      </c>
      <c r="AM73" t="e">
        <f>AND('PROG FORMACIÓN TITULADA'!#REF!,"AAAAAFd/2iY=")</f>
        <v>#REF!</v>
      </c>
      <c r="AN73" t="e">
        <f>AND('PROG FORMACIÓN TITULADA'!#REF!,"AAAAAFd/2ic=")</f>
        <v>#REF!</v>
      </c>
      <c r="AO73" t="e">
        <f>AND('PROG FORMACIÓN TITULADA'!#REF!,"AAAAAFd/2ig=")</f>
        <v>#REF!</v>
      </c>
      <c r="AP73" t="e">
        <f>AND('PROG FORMACIÓN TITULADA'!#REF!,"AAAAAFd/2ik=")</f>
        <v>#REF!</v>
      </c>
      <c r="AQ73" t="e">
        <f>AND('PROG FORMACIÓN TITULADA'!#REF!,"AAAAAFd/2io=")</f>
        <v>#REF!</v>
      </c>
      <c r="AR73" t="e">
        <f>AND('PROG FORMACIÓN TITULADA'!#REF!,"AAAAAFd/2is=")</f>
        <v>#REF!</v>
      </c>
      <c r="AS73" t="e">
        <f>AND('PROG FORMACIÓN TITULADA'!#REF!,"AAAAAFd/2iw=")</f>
        <v>#REF!</v>
      </c>
      <c r="AT73" t="e">
        <f>AND('PROG FORMACIÓN TITULADA'!#REF!,"AAAAAFd/2i0=")</f>
        <v>#REF!</v>
      </c>
      <c r="AU73" t="e">
        <f>AND('PROG FORMACIÓN TITULADA'!#REF!,"AAAAAFd/2i4=")</f>
        <v>#REF!</v>
      </c>
      <c r="AV73" t="e">
        <f>AND('PROG FORMACIÓN TITULADA'!#REF!,"AAAAAFd/2i8=")</f>
        <v>#REF!</v>
      </c>
      <c r="AW73" t="e">
        <f>AND('PROG FORMACIÓN TITULADA'!#REF!,"AAAAAFd/2jA=")</f>
        <v>#REF!</v>
      </c>
      <c r="AX73" t="e">
        <f>AND('PROG FORMACIÓN TITULADA'!#REF!,"AAAAAFd/2jE=")</f>
        <v>#REF!</v>
      </c>
      <c r="AY73" t="e">
        <f>IF('PROG FORMACIÓN TITULADA'!#REF!,"AAAAAFd/2jI=",0)</f>
        <v>#REF!</v>
      </c>
      <c r="AZ73" t="e">
        <f>AND('PROG FORMACIÓN TITULADA'!#REF!,"AAAAAFd/2jM=")</f>
        <v>#REF!</v>
      </c>
      <c r="BA73" t="e">
        <f>AND('PROG FORMACIÓN TITULADA'!#REF!,"AAAAAFd/2jQ=")</f>
        <v>#REF!</v>
      </c>
      <c r="BB73" t="e">
        <f>AND('PROG FORMACIÓN TITULADA'!#REF!,"AAAAAFd/2jU=")</f>
        <v>#REF!</v>
      </c>
      <c r="BC73" t="e">
        <f>AND('PROG FORMACIÓN TITULADA'!#REF!,"AAAAAFd/2jY=")</f>
        <v>#REF!</v>
      </c>
      <c r="BD73" t="e">
        <f>AND('PROG FORMACIÓN TITULADA'!#REF!,"AAAAAFd/2jc=")</f>
        <v>#REF!</v>
      </c>
      <c r="BE73" t="e">
        <f>AND('PROG FORMACIÓN TITULADA'!#REF!,"AAAAAFd/2jg=")</f>
        <v>#REF!</v>
      </c>
      <c r="BF73" t="e">
        <f>AND('PROG FORMACIÓN TITULADA'!#REF!,"AAAAAFd/2jk=")</f>
        <v>#REF!</v>
      </c>
      <c r="BG73" t="e">
        <f>AND('PROG FORMACIÓN TITULADA'!#REF!,"AAAAAFd/2jo=")</f>
        <v>#REF!</v>
      </c>
      <c r="BH73" t="e">
        <f>AND('PROG FORMACIÓN TITULADA'!#REF!,"AAAAAFd/2js=")</f>
        <v>#REF!</v>
      </c>
      <c r="BI73" t="e">
        <f>AND('PROG FORMACIÓN TITULADA'!#REF!,"AAAAAFd/2jw=")</f>
        <v>#REF!</v>
      </c>
      <c r="BJ73" t="e">
        <f>AND('PROG FORMACIÓN TITULADA'!#REF!,"AAAAAFd/2j0=")</f>
        <v>#REF!</v>
      </c>
      <c r="BK73" t="e">
        <f>AND('PROG FORMACIÓN TITULADA'!#REF!,"AAAAAFd/2j4=")</f>
        <v>#REF!</v>
      </c>
      <c r="BL73" t="e">
        <f>AND('PROG FORMACIÓN TITULADA'!#REF!,"AAAAAFd/2j8=")</f>
        <v>#REF!</v>
      </c>
      <c r="BM73" t="e">
        <f>AND('PROG FORMACIÓN TITULADA'!#REF!,"AAAAAFd/2kA=")</f>
        <v>#REF!</v>
      </c>
      <c r="BN73" t="e">
        <f>AND('PROG FORMACIÓN TITULADA'!#REF!,"AAAAAFd/2kE=")</f>
        <v>#REF!</v>
      </c>
      <c r="BO73" t="e">
        <f>AND('PROG FORMACIÓN TITULADA'!#REF!,"AAAAAFd/2kI=")</f>
        <v>#REF!</v>
      </c>
      <c r="BP73" t="e">
        <f>AND('PROG FORMACIÓN TITULADA'!#REF!,"AAAAAFd/2kM=")</f>
        <v>#REF!</v>
      </c>
      <c r="BQ73" t="e">
        <f>AND('PROG FORMACIÓN TITULADA'!#REF!,"AAAAAFd/2kQ=")</f>
        <v>#REF!</v>
      </c>
      <c r="BR73" t="e">
        <f>AND('PROG FORMACIÓN TITULADA'!#REF!,"AAAAAFd/2kU=")</f>
        <v>#REF!</v>
      </c>
      <c r="BS73" t="e">
        <f>AND('PROG FORMACIÓN TITULADA'!#REF!,"AAAAAFd/2kY=")</f>
        <v>#REF!</v>
      </c>
      <c r="BT73" t="e">
        <f>AND('PROG FORMACIÓN TITULADA'!#REF!,"AAAAAFd/2kc=")</f>
        <v>#REF!</v>
      </c>
      <c r="BU73" t="e">
        <f>AND('PROG FORMACIÓN TITULADA'!#REF!,"AAAAAFd/2kg=")</f>
        <v>#REF!</v>
      </c>
      <c r="BV73" t="e">
        <f>AND('PROG FORMACIÓN TITULADA'!#REF!,"AAAAAFd/2kk=")</f>
        <v>#REF!</v>
      </c>
      <c r="BW73" t="e">
        <f>AND('PROG FORMACIÓN TITULADA'!#REF!,"AAAAAFd/2ko=")</f>
        <v>#REF!</v>
      </c>
      <c r="BX73" t="e">
        <f>AND('PROG FORMACIÓN TITULADA'!#REF!,"AAAAAFd/2ks=")</f>
        <v>#REF!</v>
      </c>
      <c r="BY73" t="e">
        <f>AND('PROG FORMACIÓN TITULADA'!#REF!,"AAAAAFd/2kw=")</f>
        <v>#REF!</v>
      </c>
      <c r="BZ73" t="e">
        <f>IF('PROG FORMACIÓN TITULADA'!#REF!,"AAAAAFd/2k0=",0)</f>
        <v>#REF!</v>
      </c>
      <c r="CA73" t="e">
        <f>AND('PROG FORMACIÓN TITULADA'!#REF!,"AAAAAFd/2k4=")</f>
        <v>#REF!</v>
      </c>
      <c r="CB73" t="e">
        <f>AND('PROG FORMACIÓN TITULADA'!#REF!,"AAAAAFd/2k8=")</f>
        <v>#REF!</v>
      </c>
      <c r="CC73" t="e">
        <f>AND('PROG FORMACIÓN TITULADA'!#REF!,"AAAAAFd/2lA=")</f>
        <v>#REF!</v>
      </c>
      <c r="CD73" t="e">
        <f>AND('PROG FORMACIÓN TITULADA'!#REF!,"AAAAAFd/2lE=")</f>
        <v>#REF!</v>
      </c>
      <c r="CE73" t="e">
        <f>AND('PROG FORMACIÓN TITULADA'!#REF!,"AAAAAFd/2lI=")</f>
        <v>#REF!</v>
      </c>
      <c r="CF73" t="e">
        <f>AND('PROG FORMACIÓN TITULADA'!#REF!,"AAAAAFd/2lM=")</f>
        <v>#REF!</v>
      </c>
      <c r="CG73" t="e">
        <f>AND('PROG FORMACIÓN TITULADA'!#REF!,"AAAAAFd/2lQ=")</f>
        <v>#REF!</v>
      </c>
      <c r="CH73" t="e">
        <f>AND('PROG FORMACIÓN TITULADA'!#REF!,"AAAAAFd/2lU=")</f>
        <v>#REF!</v>
      </c>
      <c r="CI73" t="e">
        <f>AND('PROG FORMACIÓN TITULADA'!#REF!,"AAAAAFd/2lY=")</f>
        <v>#REF!</v>
      </c>
      <c r="CJ73" t="e">
        <f>AND('PROG FORMACIÓN TITULADA'!#REF!,"AAAAAFd/2lc=")</f>
        <v>#REF!</v>
      </c>
      <c r="CK73" t="e">
        <f>AND('PROG FORMACIÓN TITULADA'!#REF!,"AAAAAFd/2lg=")</f>
        <v>#REF!</v>
      </c>
      <c r="CL73" t="e">
        <f>AND('PROG FORMACIÓN TITULADA'!#REF!,"AAAAAFd/2lk=")</f>
        <v>#REF!</v>
      </c>
      <c r="CM73" t="e">
        <f>AND('PROG FORMACIÓN TITULADA'!#REF!,"AAAAAFd/2lo=")</f>
        <v>#REF!</v>
      </c>
      <c r="CN73" t="e">
        <f>AND('PROG FORMACIÓN TITULADA'!#REF!,"AAAAAFd/2ls=")</f>
        <v>#REF!</v>
      </c>
      <c r="CO73" t="e">
        <f>AND('PROG FORMACIÓN TITULADA'!#REF!,"AAAAAFd/2lw=")</f>
        <v>#REF!</v>
      </c>
      <c r="CP73" t="e">
        <f>AND('PROG FORMACIÓN TITULADA'!#REF!,"AAAAAFd/2l0=")</f>
        <v>#REF!</v>
      </c>
      <c r="CQ73" t="e">
        <f>AND('PROG FORMACIÓN TITULADA'!#REF!,"AAAAAFd/2l4=")</f>
        <v>#REF!</v>
      </c>
      <c r="CR73" t="e">
        <f>AND('PROG FORMACIÓN TITULADA'!#REF!,"AAAAAFd/2l8=")</f>
        <v>#REF!</v>
      </c>
      <c r="CS73" t="e">
        <f>AND('PROG FORMACIÓN TITULADA'!#REF!,"AAAAAFd/2mA=")</f>
        <v>#REF!</v>
      </c>
      <c r="CT73" t="e">
        <f>AND('PROG FORMACIÓN TITULADA'!#REF!,"AAAAAFd/2mE=")</f>
        <v>#REF!</v>
      </c>
      <c r="CU73" t="e">
        <f>AND('PROG FORMACIÓN TITULADA'!#REF!,"AAAAAFd/2mI=")</f>
        <v>#REF!</v>
      </c>
      <c r="CV73" t="e">
        <f>AND('PROG FORMACIÓN TITULADA'!#REF!,"AAAAAFd/2mM=")</f>
        <v>#REF!</v>
      </c>
      <c r="CW73" t="e">
        <f>AND('PROG FORMACIÓN TITULADA'!#REF!,"AAAAAFd/2mQ=")</f>
        <v>#REF!</v>
      </c>
      <c r="CX73" t="e">
        <f>AND('PROG FORMACIÓN TITULADA'!#REF!,"AAAAAFd/2mU=")</f>
        <v>#REF!</v>
      </c>
      <c r="CY73" t="e">
        <f>AND('PROG FORMACIÓN TITULADA'!#REF!,"AAAAAFd/2mY=")</f>
        <v>#REF!</v>
      </c>
      <c r="CZ73" t="e">
        <f>AND('PROG FORMACIÓN TITULADA'!#REF!,"AAAAAFd/2mc=")</f>
        <v>#REF!</v>
      </c>
      <c r="DA73" t="e">
        <f>IF('PROG FORMACIÓN TITULADA'!#REF!,"AAAAAFd/2mg=",0)</f>
        <v>#REF!</v>
      </c>
      <c r="DB73" t="e">
        <f>AND('PROG FORMACIÓN TITULADA'!#REF!,"AAAAAFd/2mk=")</f>
        <v>#REF!</v>
      </c>
      <c r="DC73" t="e">
        <f>AND('PROG FORMACIÓN TITULADA'!#REF!,"AAAAAFd/2mo=")</f>
        <v>#REF!</v>
      </c>
      <c r="DD73" t="e">
        <f>AND('PROG FORMACIÓN TITULADA'!#REF!,"AAAAAFd/2ms=")</f>
        <v>#REF!</v>
      </c>
      <c r="DE73" t="e">
        <f>AND('PROG FORMACIÓN TITULADA'!#REF!,"AAAAAFd/2mw=")</f>
        <v>#REF!</v>
      </c>
      <c r="DF73" t="e">
        <f>AND('PROG FORMACIÓN TITULADA'!#REF!,"AAAAAFd/2m0=")</f>
        <v>#REF!</v>
      </c>
      <c r="DG73" t="e">
        <f>AND('PROG FORMACIÓN TITULADA'!#REF!,"AAAAAFd/2m4=")</f>
        <v>#REF!</v>
      </c>
      <c r="DH73" t="e">
        <f>AND('PROG FORMACIÓN TITULADA'!#REF!,"AAAAAFd/2m8=")</f>
        <v>#REF!</v>
      </c>
      <c r="DI73" t="e">
        <f>AND('PROG FORMACIÓN TITULADA'!#REF!,"AAAAAFd/2nA=")</f>
        <v>#REF!</v>
      </c>
      <c r="DJ73" t="e">
        <f>AND('PROG FORMACIÓN TITULADA'!#REF!,"AAAAAFd/2nE=")</f>
        <v>#REF!</v>
      </c>
      <c r="DK73" t="e">
        <f>AND('PROG FORMACIÓN TITULADA'!#REF!,"AAAAAFd/2nI=")</f>
        <v>#REF!</v>
      </c>
      <c r="DL73" t="e">
        <f>AND('PROG FORMACIÓN TITULADA'!#REF!,"AAAAAFd/2nM=")</f>
        <v>#REF!</v>
      </c>
      <c r="DM73" t="e">
        <f>AND('PROG FORMACIÓN TITULADA'!#REF!,"AAAAAFd/2nQ=")</f>
        <v>#REF!</v>
      </c>
      <c r="DN73" t="e">
        <f>AND('PROG FORMACIÓN TITULADA'!#REF!,"AAAAAFd/2nU=")</f>
        <v>#REF!</v>
      </c>
      <c r="DO73" t="e">
        <f>AND('PROG FORMACIÓN TITULADA'!#REF!,"AAAAAFd/2nY=")</f>
        <v>#REF!</v>
      </c>
      <c r="DP73" t="e">
        <f>AND('PROG FORMACIÓN TITULADA'!#REF!,"AAAAAFd/2nc=")</f>
        <v>#REF!</v>
      </c>
      <c r="DQ73" t="e">
        <f>AND('PROG FORMACIÓN TITULADA'!#REF!,"AAAAAFd/2ng=")</f>
        <v>#REF!</v>
      </c>
      <c r="DR73" t="e">
        <f>AND('PROG FORMACIÓN TITULADA'!#REF!,"AAAAAFd/2nk=")</f>
        <v>#REF!</v>
      </c>
      <c r="DS73" t="e">
        <f>AND('PROG FORMACIÓN TITULADA'!#REF!,"AAAAAFd/2no=")</f>
        <v>#REF!</v>
      </c>
      <c r="DT73" t="e">
        <f>AND('PROG FORMACIÓN TITULADA'!#REF!,"AAAAAFd/2ns=")</f>
        <v>#REF!</v>
      </c>
      <c r="DU73" t="e">
        <f>AND('PROG FORMACIÓN TITULADA'!#REF!,"AAAAAFd/2nw=")</f>
        <v>#REF!</v>
      </c>
      <c r="DV73" t="e">
        <f>AND('PROG FORMACIÓN TITULADA'!#REF!,"AAAAAFd/2n0=")</f>
        <v>#REF!</v>
      </c>
      <c r="DW73" t="e">
        <f>AND('PROG FORMACIÓN TITULADA'!#REF!,"AAAAAFd/2n4=")</f>
        <v>#REF!</v>
      </c>
      <c r="DX73" t="e">
        <f>AND('PROG FORMACIÓN TITULADA'!#REF!,"AAAAAFd/2n8=")</f>
        <v>#REF!</v>
      </c>
      <c r="DY73" t="e">
        <f>AND('PROG FORMACIÓN TITULADA'!#REF!,"AAAAAFd/2oA=")</f>
        <v>#REF!</v>
      </c>
      <c r="DZ73" t="e">
        <f>AND('PROG FORMACIÓN TITULADA'!#REF!,"AAAAAFd/2oE=")</f>
        <v>#REF!</v>
      </c>
      <c r="EA73" t="e">
        <f>AND('PROG FORMACIÓN TITULADA'!#REF!,"AAAAAFd/2oI=")</f>
        <v>#REF!</v>
      </c>
      <c r="EB73" t="e">
        <f>IF('PROG FORMACIÓN TITULADA'!#REF!,"AAAAAFd/2oM=",0)</f>
        <v>#REF!</v>
      </c>
      <c r="EC73" t="e">
        <f>AND('PROG FORMACIÓN TITULADA'!#REF!,"AAAAAFd/2oQ=")</f>
        <v>#REF!</v>
      </c>
      <c r="ED73" t="e">
        <f>AND('PROG FORMACIÓN TITULADA'!#REF!,"AAAAAFd/2oU=")</f>
        <v>#REF!</v>
      </c>
      <c r="EE73" t="e">
        <f>AND('PROG FORMACIÓN TITULADA'!#REF!,"AAAAAFd/2oY=")</f>
        <v>#REF!</v>
      </c>
      <c r="EF73" t="e">
        <f>AND('PROG FORMACIÓN TITULADA'!#REF!,"AAAAAFd/2oc=")</f>
        <v>#REF!</v>
      </c>
      <c r="EG73" t="e">
        <f>AND('PROG FORMACIÓN TITULADA'!#REF!,"AAAAAFd/2og=")</f>
        <v>#REF!</v>
      </c>
      <c r="EH73" t="e">
        <f>AND('PROG FORMACIÓN TITULADA'!#REF!,"AAAAAFd/2ok=")</f>
        <v>#REF!</v>
      </c>
      <c r="EI73" t="e">
        <f>AND('PROG FORMACIÓN TITULADA'!#REF!,"AAAAAFd/2oo=")</f>
        <v>#REF!</v>
      </c>
      <c r="EJ73" t="e">
        <f>AND('PROG FORMACIÓN TITULADA'!#REF!,"AAAAAFd/2os=")</f>
        <v>#REF!</v>
      </c>
      <c r="EK73" t="e">
        <f>AND('PROG FORMACIÓN TITULADA'!#REF!,"AAAAAFd/2ow=")</f>
        <v>#REF!</v>
      </c>
      <c r="EL73" t="e">
        <f>AND('PROG FORMACIÓN TITULADA'!#REF!,"AAAAAFd/2o0=")</f>
        <v>#REF!</v>
      </c>
      <c r="EM73" t="e">
        <f>AND('PROG FORMACIÓN TITULADA'!#REF!,"AAAAAFd/2o4=")</f>
        <v>#REF!</v>
      </c>
      <c r="EN73" t="e">
        <f>AND('PROG FORMACIÓN TITULADA'!#REF!,"AAAAAFd/2o8=")</f>
        <v>#REF!</v>
      </c>
      <c r="EO73" t="e">
        <f>AND('PROG FORMACIÓN TITULADA'!#REF!,"AAAAAFd/2pA=")</f>
        <v>#REF!</v>
      </c>
      <c r="EP73" t="e">
        <f>AND('PROG FORMACIÓN TITULADA'!#REF!,"AAAAAFd/2pE=")</f>
        <v>#REF!</v>
      </c>
      <c r="EQ73" t="e">
        <f>AND('PROG FORMACIÓN TITULADA'!#REF!,"AAAAAFd/2pI=")</f>
        <v>#REF!</v>
      </c>
      <c r="ER73" t="e">
        <f>AND('PROG FORMACIÓN TITULADA'!#REF!,"AAAAAFd/2pM=")</f>
        <v>#REF!</v>
      </c>
      <c r="ES73" t="e">
        <f>AND('PROG FORMACIÓN TITULADA'!#REF!,"AAAAAFd/2pQ=")</f>
        <v>#REF!</v>
      </c>
      <c r="ET73" t="e">
        <f>AND('PROG FORMACIÓN TITULADA'!#REF!,"AAAAAFd/2pU=")</f>
        <v>#REF!</v>
      </c>
      <c r="EU73" t="e">
        <f>AND('PROG FORMACIÓN TITULADA'!#REF!,"AAAAAFd/2pY=")</f>
        <v>#REF!</v>
      </c>
      <c r="EV73" t="e">
        <f>AND('PROG FORMACIÓN TITULADA'!#REF!,"AAAAAFd/2pc=")</f>
        <v>#REF!</v>
      </c>
      <c r="EW73" t="e">
        <f>AND('PROG FORMACIÓN TITULADA'!#REF!,"AAAAAFd/2pg=")</f>
        <v>#REF!</v>
      </c>
      <c r="EX73" t="e">
        <f>AND('PROG FORMACIÓN TITULADA'!#REF!,"AAAAAFd/2pk=")</f>
        <v>#REF!</v>
      </c>
      <c r="EY73" t="e">
        <f>AND('PROG FORMACIÓN TITULADA'!#REF!,"AAAAAFd/2po=")</f>
        <v>#REF!</v>
      </c>
      <c r="EZ73" t="e">
        <f>AND('PROG FORMACIÓN TITULADA'!#REF!,"AAAAAFd/2ps=")</f>
        <v>#REF!</v>
      </c>
      <c r="FA73" t="e">
        <f>AND('PROG FORMACIÓN TITULADA'!#REF!,"AAAAAFd/2pw=")</f>
        <v>#REF!</v>
      </c>
      <c r="FB73" t="e">
        <f>AND('PROG FORMACIÓN TITULADA'!#REF!,"AAAAAFd/2p0=")</f>
        <v>#REF!</v>
      </c>
      <c r="FC73" t="e">
        <f>IF('PROG FORMACIÓN TITULADA'!#REF!,"AAAAAFd/2p4=",0)</f>
        <v>#REF!</v>
      </c>
      <c r="FD73" t="e">
        <f>AND('PROG FORMACIÓN TITULADA'!#REF!,"AAAAAFd/2p8=")</f>
        <v>#REF!</v>
      </c>
      <c r="FE73" t="e">
        <f>AND('PROG FORMACIÓN TITULADA'!#REF!,"AAAAAFd/2qA=")</f>
        <v>#REF!</v>
      </c>
      <c r="FF73" t="e">
        <f>AND('PROG FORMACIÓN TITULADA'!#REF!,"AAAAAFd/2qE=")</f>
        <v>#REF!</v>
      </c>
      <c r="FG73" t="e">
        <f>AND('PROG FORMACIÓN TITULADA'!#REF!,"AAAAAFd/2qI=")</f>
        <v>#REF!</v>
      </c>
      <c r="FH73" t="e">
        <f>AND('PROG FORMACIÓN TITULADA'!#REF!,"AAAAAFd/2qM=")</f>
        <v>#REF!</v>
      </c>
      <c r="FI73" t="e">
        <f>AND('PROG FORMACIÓN TITULADA'!#REF!,"AAAAAFd/2qQ=")</f>
        <v>#REF!</v>
      </c>
      <c r="FJ73" t="e">
        <f>AND('PROG FORMACIÓN TITULADA'!#REF!,"AAAAAFd/2qU=")</f>
        <v>#REF!</v>
      </c>
      <c r="FK73" t="e">
        <f>AND('PROG FORMACIÓN TITULADA'!#REF!,"AAAAAFd/2qY=")</f>
        <v>#REF!</v>
      </c>
      <c r="FL73" t="e">
        <f>AND('PROG FORMACIÓN TITULADA'!#REF!,"AAAAAFd/2qc=")</f>
        <v>#REF!</v>
      </c>
      <c r="FM73" t="e">
        <f>AND('PROG FORMACIÓN TITULADA'!#REF!,"AAAAAFd/2qg=")</f>
        <v>#REF!</v>
      </c>
      <c r="FN73" t="e">
        <f>AND('PROG FORMACIÓN TITULADA'!#REF!,"AAAAAFd/2qk=")</f>
        <v>#REF!</v>
      </c>
      <c r="FO73" t="e">
        <f>AND('PROG FORMACIÓN TITULADA'!#REF!,"AAAAAFd/2qo=")</f>
        <v>#REF!</v>
      </c>
      <c r="FP73" t="e">
        <f>AND('PROG FORMACIÓN TITULADA'!#REF!,"AAAAAFd/2qs=")</f>
        <v>#REF!</v>
      </c>
      <c r="FQ73" t="e">
        <f>AND('PROG FORMACIÓN TITULADA'!#REF!,"AAAAAFd/2qw=")</f>
        <v>#REF!</v>
      </c>
      <c r="FR73" t="e">
        <f>AND('PROG FORMACIÓN TITULADA'!#REF!,"AAAAAFd/2q0=")</f>
        <v>#REF!</v>
      </c>
      <c r="FS73" t="e">
        <f>AND('PROG FORMACIÓN TITULADA'!#REF!,"AAAAAFd/2q4=")</f>
        <v>#REF!</v>
      </c>
      <c r="FT73" t="e">
        <f>AND('PROG FORMACIÓN TITULADA'!#REF!,"AAAAAFd/2q8=")</f>
        <v>#REF!</v>
      </c>
      <c r="FU73" t="e">
        <f>AND('PROG FORMACIÓN TITULADA'!#REF!,"AAAAAFd/2rA=")</f>
        <v>#REF!</v>
      </c>
      <c r="FV73" t="e">
        <f>AND('PROG FORMACIÓN TITULADA'!#REF!,"AAAAAFd/2rE=")</f>
        <v>#REF!</v>
      </c>
      <c r="FW73" t="e">
        <f>AND('PROG FORMACIÓN TITULADA'!#REF!,"AAAAAFd/2rI=")</f>
        <v>#REF!</v>
      </c>
      <c r="FX73" t="e">
        <f>AND('PROG FORMACIÓN TITULADA'!#REF!,"AAAAAFd/2rM=")</f>
        <v>#REF!</v>
      </c>
      <c r="FY73" t="e">
        <f>AND('PROG FORMACIÓN TITULADA'!#REF!,"AAAAAFd/2rQ=")</f>
        <v>#REF!</v>
      </c>
      <c r="FZ73" t="e">
        <f>AND('PROG FORMACIÓN TITULADA'!#REF!,"AAAAAFd/2rU=")</f>
        <v>#REF!</v>
      </c>
      <c r="GA73" t="e">
        <f>AND('PROG FORMACIÓN TITULADA'!#REF!,"AAAAAFd/2rY=")</f>
        <v>#REF!</v>
      </c>
      <c r="GB73" t="e">
        <f>AND('PROG FORMACIÓN TITULADA'!#REF!,"AAAAAFd/2rc=")</f>
        <v>#REF!</v>
      </c>
      <c r="GC73" t="e">
        <f>AND('PROG FORMACIÓN TITULADA'!#REF!,"AAAAAFd/2rg=")</f>
        <v>#REF!</v>
      </c>
      <c r="GD73" t="e">
        <f>IF('PROG FORMACIÓN TITULADA'!#REF!,"AAAAAFd/2rk=",0)</f>
        <v>#REF!</v>
      </c>
      <c r="GE73" t="e">
        <f>AND('PROG FORMACIÓN TITULADA'!#REF!,"AAAAAFd/2ro=")</f>
        <v>#REF!</v>
      </c>
      <c r="GF73" t="e">
        <f>AND('PROG FORMACIÓN TITULADA'!#REF!,"AAAAAFd/2rs=")</f>
        <v>#REF!</v>
      </c>
      <c r="GG73" t="e">
        <f>AND('PROG FORMACIÓN TITULADA'!#REF!,"AAAAAFd/2rw=")</f>
        <v>#REF!</v>
      </c>
      <c r="GH73" t="e">
        <f>AND('PROG FORMACIÓN TITULADA'!#REF!,"AAAAAFd/2r0=")</f>
        <v>#REF!</v>
      </c>
      <c r="GI73" t="e">
        <f>AND('PROG FORMACIÓN TITULADA'!#REF!,"AAAAAFd/2r4=")</f>
        <v>#REF!</v>
      </c>
      <c r="GJ73" t="e">
        <f>AND('PROG FORMACIÓN TITULADA'!#REF!,"AAAAAFd/2r8=")</f>
        <v>#REF!</v>
      </c>
      <c r="GK73" t="e">
        <f>AND('PROG FORMACIÓN TITULADA'!#REF!,"AAAAAFd/2sA=")</f>
        <v>#REF!</v>
      </c>
      <c r="GL73" t="e">
        <f>AND('PROG FORMACIÓN TITULADA'!#REF!,"AAAAAFd/2sE=")</f>
        <v>#REF!</v>
      </c>
      <c r="GM73" t="e">
        <f>AND('PROG FORMACIÓN TITULADA'!#REF!,"AAAAAFd/2sI=")</f>
        <v>#REF!</v>
      </c>
      <c r="GN73" t="e">
        <f>AND('PROG FORMACIÓN TITULADA'!#REF!,"AAAAAFd/2sM=")</f>
        <v>#REF!</v>
      </c>
      <c r="GO73" t="e">
        <f>AND('PROG FORMACIÓN TITULADA'!#REF!,"AAAAAFd/2sQ=")</f>
        <v>#REF!</v>
      </c>
      <c r="GP73" t="e">
        <f>AND('PROG FORMACIÓN TITULADA'!#REF!,"AAAAAFd/2sU=")</f>
        <v>#REF!</v>
      </c>
      <c r="GQ73" t="e">
        <f>AND('PROG FORMACIÓN TITULADA'!#REF!,"AAAAAFd/2sY=")</f>
        <v>#REF!</v>
      </c>
      <c r="GR73" t="e">
        <f>AND('PROG FORMACIÓN TITULADA'!#REF!,"AAAAAFd/2sc=")</f>
        <v>#REF!</v>
      </c>
      <c r="GS73" t="e">
        <f>AND('PROG FORMACIÓN TITULADA'!#REF!,"AAAAAFd/2sg=")</f>
        <v>#REF!</v>
      </c>
      <c r="GT73" t="e">
        <f>AND('PROG FORMACIÓN TITULADA'!#REF!,"AAAAAFd/2sk=")</f>
        <v>#REF!</v>
      </c>
      <c r="GU73" t="e">
        <f>AND('PROG FORMACIÓN TITULADA'!#REF!,"AAAAAFd/2so=")</f>
        <v>#REF!</v>
      </c>
      <c r="GV73" t="e">
        <f>AND('PROG FORMACIÓN TITULADA'!#REF!,"AAAAAFd/2ss=")</f>
        <v>#REF!</v>
      </c>
      <c r="GW73" t="e">
        <f>AND('PROG FORMACIÓN TITULADA'!#REF!,"AAAAAFd/2sw=")</f>
        <v>#REF!</v>
      </c>
      <c r="GX73" t="e">
        <f>AND('PROG FORMACIÓN TITULADA'!#REF!,"AAAAAFd/2s0=")</f>
        <v>#REF!</v>
      </c>
      <c r="GY73" t="e">
        <f>AND('PROG FORMACIÓN TITULADA'!#REF!,"AAAAAFd/2s4=")</f>
        <v>#REF!</v>
      </c>
      <c r="GZ73" t="e">
        <f>AND('PROG FORMACIÓN TITULADA'!#REF!,"AAAAAFd/2s8=")</f>
        <v>#REF!</v>
      </c>
      <c r="HA73" t="e">
        <f>AND('PROG FORMACIÓN TITULADA'!#REF!,"AAAAAFd/2tA=")</f>
        <v>#REF!</v>
      </c>
      <c r="HB73" t="e">
        <f>AND('PROG FORMACIÓN TITULADA'!#REF!,"AAAAAFd/2tE=")</f>
        <v>#REF!</v>
      </c>
      <c r="HC73" t="e">
        <f>AND('PROG FORMACIÓN TITULADA'!#REF!,"AAAAAFd/2tI=")</f>
        <v>#REF!</v>
      </c>
      <c r="HD73" t="e">
        <f>AND('PROG FORMACIÓN TITULADA'!#REF!,"AAAAAFd/2tM=")</f>
        <v>#REF!</v>
      </c>
      <c r="HE73" t="e">
        <f>IF('PROG FORMACIÓN TITULADA'!#REF!,"AAAAAFd/2tQ=",0)</f>
        <v>#REF!</v>
      </c>
      <c r="HF73" t="e">
        <f>AND('PROG FORMACIÓN TITULADA'!#REF!,"AAAAAFd/2tU=")</f>
        <v>#REF!</v>
      </c>
      <c r="HG73" t="e">
        <f>AND('PROG FORMACIÓN TITULADA'!#REF!,"AAAAAFd/2tY=")</f>
        <v>#REF!</v>
      </c>
      <c r="HH73" t="e">
        <f>AND('PROG FORMACIÓN TITULADA'!#REF!,"AAAAAFd/2tc=")</f>
        <v>#REF!</v>
      </c>
      <c r="HI73" t="e">
        <f>AND('PROG FORMACIÓN TITULADA'!#REF!,"AAAAAFd/2tg=")</f>
        <v>#REF!</v>
      </c>
      <c r="HJ73" t="e">
        <f>AND('PROG FORMACIÓN TITULADA'!#REF!,"AAAAAFd/2tk=")</f>
        <v>#REF!</v>
      </c>
      <c r="HK73" t="e">
        <f>AND('PROG FORMACIÓN TITULADA'!#REF!,"AAAAAFd/2to=")</f>
        <v>#REF!</v>
      </c>
      <c r="HL73" t="e">
        <f>AND('PROG FORMACIÓN TITULADA'!#REF!,"AAAAAFd/2ts=")</f>
        <v>#REF!</v>
      </c>
      <c r="HM73" t="e">
        <f>AND('PROG FORMACIÓN TITULADA'!#REF!,"AAAAAFd/2tw=")</f>
        <v>#REF!</v>
      </c>
      <c r="HN73" t="e">
        <f>AND('PROG FORMACIÓN TITULADA'!#REF!,"AAAAAFd/2t0=")</f>
        <v>#REF!</v>
      </c>
      <c r="HO73" t="e">
        <f>AND('PROG FORMACIÓN TITULADA'!#REF!,"AAAAAFd/2t4=")</f>
        <v>#REF!</v>
      </c>
      <c r="HP73" t="e">
        <f>AND('PROG FORMACIÓN TITULADA'!#REF!,"AAAAAFd/2t8=")</f>
        <v>#REF!</v>
      </c>
      <c r="HQ73" t="e">
        <f>AND('PROG FORMACIÓN TITULADA'!#REF!,"AAAAAFd/2uA=")</f>
        <v>#REF!</v>
      </c>
      <c r="HR73" t="e">
        <f>AND('PROG FORMACIÓN TITULADA'!#REF!,"AAAAAFd/2uE=")</f>
        <v>#REF!</v>
      </c>
      <c r="HS73" t="e">
        <f>AND('PROG FORMACIÓN TITULADA'!#REF!,"AAAAAFd/2uI=")</f>
        <v>#REF!</v>
      </c>
      <c r="HT73" t="e">
        <f>AND('PROG FORMACIÓN TITULADA'!#REF!,"AAAAAFd/2uM=")</f>
        <v>#REF!</v>
      </c>
      <c r="HU73" t="e">
        <f>AND('PROG FORMACIÓN TITULADA'!#REF!,"AAAAAFd/2uQ=")</f>
        <v>#REF!</v>
      </c>
      <c r="HV73" t="e">
        <f>AND('PROG FORMACIÓN TITULADA'!#REF!,"AAAAAFd/2uU=")</f>
        <v>#REF!</v>
      </c>
      <c r="HW73" t="e">
        <f>AND('PROG FORMACIÓN TITULADA'!#REF!,"AAAAAFd/2uY=")</f>
        <v>#REF!</v>
      </c>
      <c r="HX73" t="e">
        <f>AND('PROG FORMACIÓN TITULADA'!#REF!,"AAAAAFd/2uc=")</f>
        <v>#REF!</v>
      </c>
      <c r="HY73" t="e">
        <f>AND('PROG FORMACIÓN TITULADA'!#REF!,"AAAAAFd/2ug=")</f>
        <v>#REF!</v>
      </c>
      <c r="HZ73" t="e">
        <f>AND('PROG FORMACIÓN TITULADA'!#REF!,"AAAAAFd/2uk=")</f>
        <v>#REF!</v>
      </c>
      <c r="IA73" t="e">
        <f>AND('PROG FORMACIÓN TITULADA'!#REF!,"AAAAAFd/2uo=")</f>
        <v>#REF!</v>
      </c>
      <c r="IB73" t="e">
        <f>AND('PROG FORMACIÓN TITULADA'!#REF!,"AAAAAFd/2us=")</f>
        <v>#REF!</v>
      </c>
      <c r="IC73" t="e">
        <f>AND('PROG FORMACIÓN TITULADA'!#REF!,"AAAAAFd/2uw=")</f>
        <v>#REF!</v>
      </c>
      <c r="ID73" t="e">
        <f>AND('PROG FORMACIÓN TITULADA'!#REF!,"AAAAAFd/2u0=")</f>
        <v>#REF!</v>
      </c>
      <c r="IE73" t="e">
        <f>AND('PROG FORMACIÓN TITULADA'!#REF!,"AAAAAFd/2u4=")</f>
        <v>#REF!</v>
      </c>
      <c r="IF73" t="e">
        <f>IF('PROG FORMACIÓN TITULADA'!#REF!,"AAAAAFd/2u8=",0)</f>
        <v>#REF!</v>
      </c>
      <c r="IG73" t="e">
        <f>AND('PROG FORMACIÓN TITULADA'!#REF!,"AAAAAFd/2vA=")</f>
        <v>#REF!</v>
      </c>
      <c r="IH73" t="e">
        <f>AND('PROG FORMACIÓN TITULADA'!#REF!,"AAAAAFd/2vE=")</f>
        <v>#REF!</v>
      </c>
      <c r="II73" t="e">
        <f>AND('PROG FORMACIÓN TITULADA'!#REF!,"AAAAAFd/2vI=")</f>
        <v>#REF!</v>
      </c>
      <c r="IJ73" t="e">
        <f>AND('PROG FORMACIÓN TITULADA'!#REF!,"AAAAAFd/2vM=")</f>
        <v>#REF!</v>
      </c>
      <c r="IK73" t="e">
        <f>AND('PROG FORMACIÓN TITULADA'!#REF!,"AAAAAFd/2vQ=")</f>
        <v>#REF!</v>
      </c>
      <c r="IL73" t="e">
        <f>AND('PROG FORMACIÓN TITULADA'!#REF!,"AAAAAFd/2vU=")</f>
        <v>#REF!</v>
      </c>
      <c r="IM73" t="e">
        <f>AND('PROG FORMACIÓN TITULADA'!#REF!,"AAAAAFd/2vY=")</f>
        <v>#REF!</v>
      </c>
      <c r="IN73" t="e">
        <f>AND('PROG FORMACIÓN TITULADA'!#REF!,"AAAAAFd/2vc=")</f>
        <v>#REF!</v>
      </c>
      <c r="IO73" t="e">
        <f>AND('PROG FORMACIÓN TITULADA'!#REF!,"AAAAAFd/2vg=")</f>
        <v>#REF!</v>
      </c>
      <c r="IP73" t="e">
        <f>AND('PROG FORMACIÓN TITULADA'!#REF!,"AAAAAFd/2vk=")</f>
        <v>#REF!</v>
      </c>
      <c r="IQ73" t="e">
        <f>AND('PROG FORMACIÓN TITULADA'!#REF!,"AAAAAFd/2vo=")</f>
        <v>#REF!</v>
      </c>
      <c r="IR73" t="e">
        <f>AND('PROG FORMACIÓN TITULADA'!#REF!,"AAAAAFd/2vs=")</f>
        <v>#REF!</v>
      </c>
      <c r="IS73" t="e">
        <f>AND('PROG FORMACIÓN TITULADA'!#REF!,"AAAAAFd/2vw=")</f>
        <v>#REF!</v>
      </c>
      <c r="IT73" t="e">
        <f>AND('PROG FORMACIÓN TITULADA'!#REF!,"AAAAAFd/2v0=")</f>
        <v>#REF!</v>
      </c>
      <c r="IU73" t="e">
        <f>AND('PROG FORMACIÓN TITULADA'!#REF!,"AAAAAFd/2v4=")</f>
        <v>#REF!</v>
      </c>
      <c r="IV73" t="e">
        <f>AND('PROG FORMACIÓN TITULADA'!#REF!,"AAAAAFd/2v8=")</f>
        <v>#REF!</v>
      </c>
    </row>
    <row r="74" spans="1:256" x14ac:dyDescent="0.2">
      <c r="A74" t="e">
        <f>AND('PROG FORMACIÓN TITULADA'!#REF!,"AAAAAH11/wA=")</f>
        <v>#REF!</v>
      </c>
      <c r="B74" t="e">
        <f>AND('PROG FORMACIÓN TITULADA'!#REF!,"AAAAAH11/wE=")</f>
        <v>#REF!</v>
      </c>
      <c r="C74" t="e">
        <f>AND('PROG FORMACIÓN TITULADA'!#REF!,"AAAAAH11/wI=")</f>
        <v>#REF!</v>
      </c>
      <c r="D74" t="e">
        <f>AND('PROG FORMACIÓN TITULADA'!#REF!,"AAAAAH11/wM=")</f>
        <v>#REF!</v>
      </c>
      <c r="E74" t="e">
        <f>AND('PROG FORMACIÓN TITULADA'!#REF!,"AAAAAH11/wQ=")</f>
        <v>#REF!</v>
      </c>
      <c r="F74" t="e">
        <f>AND('PROG FORMACIÓN TITULADA'!#REF!,"AAAAAH11/wU=")</f>
        <v>#REF!</v>
      </c>
      <c r="G74" t="e">
        <f>AND('PROG FORMACIÓN TITULADA'!#REF!,"AAAAAH11/wY=")</f>
        <v>#REF!</v>
      </c>
      <c r="H74" t="e">
        <f>AND('PROG FORMACIÓN TITULADA'!#REF!,"AAAAAH11/wc=")</f>
        <v>#REF!</v>
      </c>
      <c r="I74" t="e">
        <f>AND('PROG FORMACIÓN TITULADA'!#REF!,"AAAAAH11/wg=")</f>
        <v>#REF!</v>
      </c>
      <c r="J74" t="e">
        <f>AND('PROG FORMACIÓN TITULADA'!#REF!,"AAAAAH11/wk=")</f>
        <v>#REF!</v>
      </c>
      <c r="K74" t="e">
        <f>IF('PROG FORMACIÓN TITULADA'!#REF!,"AAAAAH11/wo=",0)</f>
        <v>#REF!</v>
      </c>
      <c r="L74" t="e">
        <f>AND('PROG FORMACIÓN TITULADA'!#REF!,"AAAAAH11/ws=")</f>
        <v>#REF!</v>
      </c>
      <c r="M74" t="e">
        <f>AND('PROG FORMACIÓN TITULADA'!#REF!,"AAAAAH11/ww=")</f>
        <v>#REF!</v>
      </c>
      <c r="N74" t="e">
        <f>AND('PROG FORMACIÓN TITULADA'!#REF!,"AAAAAH11/w0=")</f>
        <v>#REF!</v>
      </c>
      <c r="O74" t="e">
        <f>AND('PROG FORMACIÓN TITULADA'!#REF!,"AAAAAH11/w4=")</f>
        <v>#REF!</v>
      </c>
      <c r="P74" t="e">
        <f>AND('PROG FORMACIÓN TITULADA'!#REF!,"AAAAAH11/w8=")</f>
        <v>#REF!</v>
      </c>
      <c r="Q74" t="e">
        <f>AND('PROG FORMACIÓN TITULADA'!#REF!,"AAAAAH11/xA=")</f>
        <v>#REF!</v>
      </c>
      <c r="R74" t="e">
        <f>AND('PROG FORMACIÓN TITULADA'!#REF!,"AAAAAH11/xE=")</f>
        <v>#REF!</v>
      </c>
      <c r="S74" t="e">
        <f>AND('PROG FORMACIÓN TITULADA'!#REF!,"AAAAAH11/xI=")</f>
        <v>#REF!</v>
      </c>
      <c r="T74" t="e">
        <f>AND('PROG FORMACIÓN TITULADA'!#REF!,"AAAAAH11/xM=")</f>
        <v>#REF!</v>
      </c>
      <c r="U74" t="e">
        <f>AND('PROG FORMACIÓN TITULADA'!#REF!,"AAAAAH11/xQ=")</f>
        <v>#REF!</v>
      </c>
      <c r="V74" t="e">
        <f>AND('PROG FORMACIÓN TITULADA'!#REF!,"AAAAAH11/xU=")</f>
        <v>#REF!</v>
      </c>
      <c r="W74" t="e">
        <f>AND('PROG FORMACIÓN TITULADA'!#REF!,"AAAAAH11/xY=")</f>
        <v>#REF!</v>
      </c>
      <c r="X74" t="e">
        <f>AND('PROG FORMACIÓN TITULADA'!#REF!,"AAAAAH11/xc=")</f>
        <v>#REF!</v>
      </c>
      <c r="Y74" t="e">
        <f>AND('PROG FORMACIÓN TITULADA'!#REF!,"AAAAAH11/xg=")</f>
        <v>#REF!</v>
      </c>
      <c r="Z74" t="e">
        <f>AND('PROG FORMACIÓN TITULADA'!#REF!,"AAAAAH11/xk=")</f>
        <v>#REF!</v>
      </c>
      <c r="AA74" t="e">
        <f>AND('PROG FORMACIÓN TITULADA'!#REF!,"AAAAAH11/xo=")</f>
        <v>#REF!</v>
      </c>
      <c r="AB74" t="e">
        <f>AND('PROG FORMACIÓN TITULADA'!#REF!,"AAAAAH11/xs=")</f>
        <v>#REF!</v>
      </c>
      <c r="AC74" t="e">
        <f>AND('PROG FORMACIÓN TITULADA'!#REF!,"AAAAAH11/xw=")</f>
        <v>#REF!</v>
      </c>
      <c r="AD74" t="e">
        <f>AND('PROG FORMACIÓN TITULADA'!#REF!,"AAAAAH11/x0=")</f>
        <v>#REF!</v>
      </c>
      <c r="AE74" t="e">
        <f>AND('PROG FORMACIÓN TITULADA'!#REF!,"AAAAAH11/x4=")</f>
        <v>#REF!</v>
      </c>
      <c r="AF74" t="e">
        <f>AND('PROG FORMACIÓN TITULADA'!#REF!,"AAAAAH11/x8=")</f>
        <v>#REF!</v>
      </c>
      <c r="AG74" t="e">
        <f>AND('PROG FORMACIÓN TITULADA'!#REF!,"AAAAAH11/yA=")</f>
        <v>#REF!</v>
      </c>
      <c r="AH74" t="e">
        <f>AND('PROG FORMACIÓN TITULADA'!#REF!,"AAAAAH11/yE=")</f>
        <v>#REF!</v>
      </c>
      <c r="AI74" t="e">
        <f>AND('PROG FORMACIÓN TITULADA'!#REF!,"AAAAAH11/yI=")</f>
        <v>#REF!</v>
      </c>
      <c r="AJ74" t="e">
        <f>AND('PROG FORMACIÓN TITULADA'!#REF!,"AAAAAH11/yM=")</f>
        <v>#REF!</v>
      </c>
      <c r="AK74" t="e">
        <f>AND('PROG FORMACIÓN TITULADA'!#REF!,"AAAAAH11/yQ=")</f>
        <v>#REF!</v>
      </c>
      <c r="AL74" t="e">
        <f>IF('PROG FORMACIÓN TITULADA'!#REF!,"AAAAAH11/yU=",0)</f>
        <v>#REF!</v>
      </c>
      <c r="AM74" t="e">
        <f>AND('PROG FORMACIÓN TITULADA'!#REF!,"AAAAAH11/yY=")</f>
        <v>#REF!</v>
      </c>
      <c r="AN74" t="e">
        <f>AND('PROG FORMACIÓN TITULADA'!#REF!,"AAAAAH11/yc=")</f>
        <v>#REF!</v>
      </c>
      <c r="AO74" t="e">
        <f>AND('PROG FORMACIÓN TITULADA'!#REF!,"AAAAAH11/yg=")</f>
        <v>#REF!</v>
      </c>
      <c r="AP74" t="e">
        <f>AND('PROG FORMACIÓN TITULADA'!#REF!,"AAAAAH11/yk=")</f>
        <v>#REF!</v>
      </c>
      <c r="AQ74" t="e">
        <f>AND('PROG FORMACIÓN TITULADA'!#REF!,"AAAAAH11/yo=")</f>
        <v>#REF!</v>
      </c>
      <c r="AR74" t="e">
        <f>AND('PROG FORMACIÓN TITULADA'!#REF!,"AAAAAH11/ys=")</f>
        <v>#REF!</v>
      </c>
      <c r="AS74" t="e">
        <f>AND('PROG FORMACIÓN TITULADA'!#REF!,"AAAAAH11/yw=")</f>
        <v>#REF!</v>
      </c>
      <c r="AT74" t="e">
        <f>AND('PROG FORMACIÓN TITULADA'!#REF!,"AAAAAH11/y0=")</f>
        <v>#REF!</v>
      </c>
      <c r="AU74" t="e">
        <f>AND('PROG FORMACIÓN TITULADA'!#REF!,"AAAAAH11/y4=")</f>
        <v>#REF!</v>
      </c>
      <c r="AV74" t="e">
        <f>AND('PROG FORMACIÓN TITULADA'!#REF!,"AAAAAH11/y8=")</f>
        <v>#REF!</v>
      </c>
      <c r="AW74" t="e">
        <f>AND('PROG FORMACIÓN TITULADA'!#REF!,"AAAAAH11/zA=")</f>
        <v>#REF!</v>
      </c>
      <c r="AX74" t="e">
        <f>AND('PROG FORMACIÓN TITULADA'!#REF!,"AAAAAH11/zE=")</f>
        <v>#REF!</v>
      </c>
      <c r="AY74" t="e">
        <f>AND('PROG FORMACIÓN TITULADA'!#REF!,"AAAAAH11/zI=")</f>
        <v>#REF!</v>
      </c>
      <c r="AZ74" t="e">
        <f>AND('PROG FORMACIÓN TITULADA'!#REF!,"AAAAAH11/zM=")</f>
        <v>#REF!</v>
      </c>
      <c r="BA74" t="e">
        <f>AND('PROG FORMACIÓN TITULADA'!#REF!,"AAAAAH11/zQ=")</f>
        <v>#REF!</v>
      </c>
      <c r="BB74" t="e">
        <f>AND('PROG FORMACIÓN TITULADA'!#REF!,"AAAAAH11/zU=")</f>
        <v>#REF!</v>
      </c>
      <c r="BC74" t="e">
        <f>AND('PROG FORMACIÓN TITULADA'!#REF!,"AAAAAH11/zY=")</f>
        <v>#REF!</v>
      </c>
      <c r="BD74" t="e">
        <f>AND('PROG FORMACIÓN TITULADA'!#REF!,"AAAAAH11/zc=")</f>
        <v>#REF!</v>
      </c>
      <c r="BE74" t="e">
        <f>AND('PROG FORMACIÓN TITULADA'!#REF!,"AAAAAH11/zg=")</f>
        <v>#REF!</v>
      </c>
      <c r="BF74" t="e">
        <f>AND('PROG FORMACIÓN TITULADA'!#REF!,"AAAAAH11/zk=")</f>
        <v>#REF!</v>
      </c>
      <c r="BG74" t="e">
        <f>AND('PROG FORMACIÓN TITULADA'!#REF!,"AAAAAH11/zo=")</f>
        <v>#REF!</v>
      </c>
      <c r="BH74" t="e">
        <f>AND('PROG FORMACIÓN TITULADA'!#REF!,"AAAAAH11/zs=")</f>
        <v>#REF!</v>
      </c>
      <c r="BI74" t="e">
        <f>AND('PROG FORMACIÓN TITULADA'!#REF!,"AAAAAH11/zw=")</f>
        <v>#REF!</v>
      </c>
      <c r="BJ74" t="e">
        <f>AND('PROG FORMACIÓN TITULADA'!#REF!,"AAAAAH11/z0=")</f>
        <v>#REF!</v>
      </c>
      <c r="BK74" t="e">
        <f>AND('PROG FORMACIÓN TITULADA'!#REF!,"AAAAAH11/z4=")</f>
        <v>#REF!</v>
      </c>
      <c r="BL74" t="e">
        <f>AND('PROG FORMACIÓN TITULADA'!#REF!,"AAAAAH11/z8=")</f>
        <v>#REF!</v>
      </c>
      <c r="BM74" t="e">
        <f>IF('PROG FORMACIÓN TITULADA'!#REF!,"AAAAAH11/0A=",0)</f>
        <v>#REF!</v>
      </c>
      <c r="BN74" t="e">
        <f>AND('PROG FORMACIÓN TITULADA'!#REF!,"AAAAAH11/0E=")</f>
        <v>#REF!</v>
      </c>
      <c r="BO74" t="e">
        <f>AND('PROG FORMACIÓN TITULADA'!#REF!,"AAAAAH11/0I=")</f>
        <v>#REF!</v>
      </c>
      <c r="BP74" t="e">
        <f>AND('PROG FORMACIÓN TITULADA'!#REF!,"AAAAAH11/0M=")</f>
        <v>#REF!</v>
      </c>
      <c r="BQ74" t="e">
        <f>AND('PROG FORMACIÓN TITULADA'!#REF!,"AAAAAH11/0Q=")</f>
        <v>#REF!</v>
      </c>
      <c r="BR74" t="e">
        <f>AND('PROG FORMACIÓN TITULADA'!#REF!,"AAAAAH11/0U=")</f>
        <v>#REF!</v>
      </c>
      <c r="BS74" t="e">
        <f>AND('PROG FORMACIÓN TITULADA'!#REF!,"AAAAAH11/0Y=")</f>
        <v>#REF!</v>
      </c>
      <c r="BT74" t="e">
        <f>AND('PROG FORMACIÓN TITULADA'!#REF!,"AAAAAH11/0c=")</f>
        <v>#REF!</v>
      </c>
      <c r="BU74" t="e">
        <f>AND('PROG FORMACIÓN TITULADA'!#REF!,"AAAAAH11/0g=")</f>
        <v>#REF!</v>
      </c>
      <c r="BV74" t="e">
        <f>AND('PROG FORMACIÓN TITULADA'!#REF!,"AAAAAH11/0k=")</f>
        <v>#REF!</v>
      </c>
      <c r="BW74" t="e">
        <f>AND('PROG FORMACIÓN TITULADA'!#REF!,"AAAAAH11/0o=")</f>
        <v>#REF!</v>
      </c>
      <c r="BX74" t="e">
        <f>AND('PROG FORMACIÓN TITULADA'!#REF!,"AAAAAH11/0s=")</f>
        <v>#REF!</v>
      </c>
      <c r="BY74" t="e">
        <f>AND('PROG FORMACIÓN TITULADA'!#REF!,"AAAAAH11/0w=")</f>
        <v>#REF!</v>
      </c>
      <c r="BZ74" t="e">
        <f>AND('PROG FORMACIÓN TITULADA'!#REF!,"AAAAAH11/00=")</f>
        <v>#REF!</v>
      </c>
      <c r="CA74" t="e">
        <f>AND('PROG FORMACIÓN TITULADA'!#REF!,"AAAAAH11/04=")</f>
        <v>#REF!</v>
      </c>
      <c r="CB74" t="e">
        <f>AND('PROG FORMACIÓN TITULADA'!#REF!,"AAAAAH11/08=")</f>
        <v>#REF!</v>
      </c>
      <c r="CC74" t="e">
        <f>AND('PROG FORMACIÓN TITULADA'!#REF!,"AAAAAH11/1A=")</f>
        <v>#REF!</v>
      </c>
      <c r="CD74" t="e">
        <f>AND('PROG FORMACIÓN TITULADA'!#REF!,"AAAAAH11/1E=")</f>
        <v>#REF!</v>
      </c>
      <c r="CE74" t="e">
        <f>AND('PROG FORMACIÓN TITULADA'!#REF!,"AAAAAH11/1I=")</f>
        <v>#REF!</v>
      </c>
      <c r="CF74" t="e">
        <f>AND('PROG FORMACIÓN TITULADA'!#REF!,"AAAAAH11/1M=")</f>
        <v>#REF!</v>
      </c>
      <c r="CG74" t="e">
        <f>AND('PROG FORMACIÓN TITULADA'!#REF!,"AAAAAH11/1Q=")</f>
        <v>#REF!</v>
      </c>
      <c r="CH74" t="e">
        <f>AND('PROG FORMACIÓN TITULADA'!#REF!,"AAAAAH11/1U=")</f>
        <v>#REF!</v>
      </c>
      <c r="CI74" t="e">
        <f>AND('PROG FORMACIÓN TITULADA'!#REF!,"AAAAAH11/1Y=")</f>
        <v>#REF!</v>
      </c>
      <c r="CJ74" t="e">
        <f>AND('PROG FORMACIÓN TITULADA'!#REF!,"AAAAAH11/1c=")</f>
        <v>#REF!</v>
      </c>
      <c r="CK74" t="e">
        <f>AND('PROG FORMACIÓN TITULADA'!#REF!,"AAAAAH11/1g=")</f>
        <v>#REF!</v>
      </c>
      <c r="CL74" t="e">
        <f>AND('PROG FORMACIÓN TITULADA'!#REF!,"AAAAAH11/1k=")</f>
        <v>#REF!</v>
      </c>
      <c r="CM74" t="e">
        <f>AND('PROG FORMACIÓN TITULADA'!#REF!,"AAAAAH11/1o=")</f>
        <v>#REF!</v>
      </c>
      <c r="CN74" t="e">
        <f>IF('PROG FORMACIÓN TITULADA'!#REF!,"AAAAAH11/1s=",0)</f>
        <v>#REF!</v>
      </c>
      <c r="CO74" t="e">
        <f>AND('PROG FORMACIÓN TITULADA'!#REF!,"AAAAAH11/1w=")</f>
        <v>#REF!</v>
      </c>
      <c r="CP74" t="e">
        <f>AND('PROG FORMACIÓN TITULADA'!#REF!,"AAAAAH11/10=")</f>
        <v>#REF!</v>
      </c>
      <c r="CQ74" t="e">
        <f>AND('PROG FORMACIÓN TITULADA'!#REF!,"AAAAAH11/14=")</f>
        <v>#REF!</v>
      </c>
      <c r="CR74" t="e">
        <f>AND('PROG FORMACIÓN TITULADA'!#REF!,"AAAAAH11/18=")</f>
        <v>#REF!</v>
      </c>
      <c r="CS74" t="e">
        <f>AND('PROG FORMACIÓN TITULADA'!#REF!,"AAAAAH11/2A=")</f>
        <v>#REF!</v>
      </c>
      <c r="CT74" t="e">
        <f>AND('PROG FORMACIÓN TITULADA'!#REF!,"AAAAAH11/2E=")</f>
        <v>#REF!</v>
      </c>
      <c r="CU74" t="e">
        <f>AND('PROG FORMACIÓN TITULADA'!#REF!,"AAAAAH11/2I=")</f>
        <v>#REF!</v>
      </c>
      <c r="CV74" t="e">
        <f>AND('PROG FORMACIÓN TITULADA'!#REF!,"AAAAAH11/2M=")</f>
        <v>#REF!</v>
      </c>
      <c r="CW74" t="e">
        <f>AND('PROG FORMACIÓN TITULADA'!#REF!,"AAAAAH11/2Q=")</f>
        <v>#REF!</v>
      </c>
      <c r="CX74" t="e">
        <f>AND('PROG FORMACIÓN TITULADA'!#REF!,"AAAAAH11/2U=")</f>
        <v>#REF!</v>
      </c>
      <c r="CY74" t="e">
        <f>AND('PROG FORMACIÓN TITULADA'!#REF!,"AAAAAH11/2Y=")</f>
        <v>#REF!</v>
      </c>
      <c r="CZ74" t="e">
        <f>AND('PROG FORMACIÓN TITULADA'!#REF!,"AAAAAH11/2c=")</f>
        <v>#REF!</v>
      </c>
      <c r="DA74" t="e">
        <f>AND('PROG FORMACIÓN TITULADA'!#REF!,"AAAAAH11/2g=")</f>
        <v>#REF!</v>
      </c>
      <c r="DB74" t="e">
        <f>AND('PROG FORMACIÓN TITULADA'!#REF!,"AAAAAH11/2k=")</f>
        <v>#REF!</v>
      </c>
      <c r="DC74" t="e">
        <f>AND('PROG FORMACIÓN TITULADA'!#REF!,"AAAAAH11/2o=")</f>
        <v>#REF!</v>
      </c>
      <c r="DD74" t="e">
        <f>AND('PROG FORMACIÓN TITULADA'!#REF!,"AAAAAH11/2s=")</f>
        <v>#REF!</v>
      </c>
      <c r="DE74" t="e">
        <f>AND('PROG FORMACIÓN TITULADA'!#REF!,"AAAAAH11/2w=")</f>
        <v>#REF!</v>
      </c>
      <c r="DF74" t="e">
        <f>AND('PROG FORMACIÓN TITULADA'!#REF!,"AAAAAH11/20=")</f>
        <v>#REF!</v>
      </c>
      <c r="DG74" t="e">
        <f>AND('PROG FORMACIÓN TITULADA'!#REF!,"AAAAAH11/24=")</f>
        <v>#REF!</v>
      </c>
      <c r="DH74" t="e">
        <f>AND('PROG FORMACIÓN TITULADA'!#REF!,"AAAAAH11/28=")</f>
        <v>#REF!</v>
      </c>
      <c r="DI74" t="e">
        <f>AND('PROG FORMACIÓN TITULADA'!#REF!,"AAAAAH11/3A=")</f>
        <v>#REF!</v>
      </c>
      <c r="DJ74" t="e">
        <f>AND('PROG FORMACIÓN TITULADA'!#REF!,"AAAAAH11/3E=")</f>
        <v>#REF!</v>
      </c>
      <c r="DK74" t="e">
        <f>AND('PROG FORMACIÓN TITULADA'!#REF!,"AAAAAH11/3I=")</f>
        <v>#REF!</v>
      </c>
      <c r="DL74" t="e">
        <f>AND('PROG FORMACIÓN TITULADA'!#REF!,"AAAAAH11/3M=")</f>
        <v>#REF!</v>
      </c>
      <c r="DM74" t="e">
        <f>AND('PROG FORMACIÓN TITULADA'!#REF!,"AAAAAH11/3Q=")</f>
        <v>#REF!</v>
      </c>
      <c r="DN74" t="e">
        <f>AND('PROG FORMACIÓN TITULADA'!#REF!,"AAAAAH11/3U=")</f>
        <v>#REF!</v>
      </c>
      <c r="DO74" t="e">
        <f>IF('PROG FORMACIÓN TITULADA'!#REF!,"AAAAAH11/3Y=",0)</f>
        <v>#REF!</v>
      </c>
      <c r="DP74" t="e">
        <f>AND('PROG FORMACIÓN TITULADA'!#REF!,"AAAAAH11/3c=")</f>
        <v>#REF!</v>
      </c>
      <c r="DQ74" t="e">
        <f>AND('PROG FORMACIÓN TITULADA'!#REF!,"AAAAAH11/3g=")</f>
        <v>#REF!</v>
      </c>
      <c r="DR74" t="e">
        <f>AND('PROG FORMACIÓN TITULADA'!#REF!,"AAAAAH11/3k=")</f>
        <v>#REF!</v>
      </c>
      <c r="DS74" t="e">
        <f>AND('PROG FORMACIÓN TITULADA'!#REF!,"AAAAAH11/3o=")</f>
        <v>#REF!</v>
      </c>
      <c r="DT74" t="e">
        <f>AND('PROG FORMACIÓN TITULADA'!#REF!,"AAAAAH11/3s=")</f>
        <v>#REF!</v>
      </c>
      <c r="DU74" t="e">
        <f>AND('PROG FORMACIÓN TITULADA'!#REF!,"AAAAAH11/3w=")</f>
        <v>#REF!</v>
      </c>
      <c r="DV74" t="e">
        <f>AND('PROG FORMACIÓN TITULADA'!#REF!,"AAAAAH11/30=")</f>
        <v>#REF!</v>
      </c>
      <c r="DW74" t="e">
        <f>AND('PROG FORMACIÓN TITULADA'!#REF!,"AAAAAH11/34=")</f>
        <v>#REF!</v>
      </c>
      <c r="DX74" t="e">
        <f>AND('PROG FORMACIÓN TITULADA'!#REF!,"AAAAAH11/38=")</f>
        <v>#REF!</v>
      </c>
      <c r="DY74" t="e">
        <f>AND('PROG FORMACIÓN TITULADA'!#REF!,"AAAAAH11/4A=")</f>
        <v>#REF!</v>
      </c>
      <c r="DZ74" t="e">
        <f>AND('PROG FORMACIÓN TITULADA'!#REF!,"AAAAAH11/4E=")</f>
        <v>#REF!</v>
      </c>
      <c r="EA74" t="e">
        <f>AND('PROG FORMACIÓN TITULADA'!#REF!,"AAAAAH11/4I=")</f>
        <v>#REF!</v>
      </c>
      <c r="EB74" t="e">
        <f>AND('PROG FORMACIÓN TITULADA'!#REF!,"AAAAAH11/4M=")</f>
        <v>#REF!</v>
      </c>
      <c r="EC74" t="e">
        <f>AND('PROG FORMACIÓN TITULADA'!#REF!,"AAAAAH11/4Q=")</f>
        <v>#REF!</v>
      </c>
      <c r="ED74" t="e">
        <f>AND('PROG FORMACIÓN TITULADA'!#REF!,"AAAAAH11/4U=")</f>
        <v>#REF!</v>
      </c>
      <c r="EE74" t="e">
        <f>AND('PROG FORMACIÓN TITULADA'!#REF!,"AAAAAH11/4Y=")</f>
        <v>#REF!</v>
      </c>
      <c r="EF74" t="e">
        <f>AND('PROG FORMACIÓN TITULADA'!#REF!,"AAAAAH11/4c=")</f>
        <v>#REF!</v>
      </c>
      <c r="EG74" t="e">
        <f>AND('PROG FORMACIÓN TITULADA'!#REF!,"AAAAAH11/4g=")</f>
        <v>#REF!</v>
      </c>
      <c r="EH74" t="e">
        <f>AND('PROG FORMACIÓN TITULADA'!#REF!,"AAAAAH11/4k=")</f>
        <v>#REF!</v>
      </c>
      <c r="EI74" t="e">
        <f>AND('PROG FORMACIÓN TITULADA'!#REF!,"AAAAAH11/4o=")</f>
        <v>#REF!</v>
      </c>
      <c r="EJ74" t="e">
        <f>AND('PROG FORMACIÓN TITULADA'!#REF!,"AAAAAH11/4s=")</f>
        <v>#REF!</v>
      </c>
      <c r="EK74" t="e">
        <f>AND('PROG FORMACIÓN TITULADA'!#REF!,"AAAAAH11/4w=")</f>
        <v>#REF!</v>
      </c>
      <c r="EL74" t="e">
        <f>AND('PROG FORMACIÓN TITULADA'!#REF!,"AAAAAH11/40=")</f>
        <v>#REF!</v>
      </c>
      <c r="EM74" t="e">
        <f>AND('PROG FORMACIÓN TITULADA'!#REF!,"AAAAAH11/44=")</f>
        <v>#REF!</v>
      </c>
      <c r="EN74" t="e">
        <f>AND('PROG FORMACIÓN TITULADA'!#REF!,"AAAAAH11/48=")</f>
        <v>#REF!</v>
      </c>
      <c r="EO74" t="e">
        <f>AND('PROG FORMACIÓN TITULADA'!#REF!,"AAAAAH11/5A=")</f>
        <v>#REF!</v>
      </c>
      <c r="EP74" t="e">
        <f>IF('PROG FORMACIÓN TITULADA'!#REF!,"AAAAAH11/5E=",0)</f>
        <v>#REF!</v>
      </c>
      <c r="EQ74" t="e">
        <f>AND('PROG FORMACIÓN TITULADA'!#REF!,"AAAAAH11/5I=")</f>
        <v>#REF!</v>
      </c>
      <c r="ER74" t="e">
        <f>AND('PROG FORMACIÓN TITULADA'!#REF!,"AAAAAH11/5M=")</f>
        <v>#REF!</v>
      </c>
      <c r="ES74" t="e">
        <f>AND('PROG FORMACIÓN TITULADA'!#REF!,"AAAAAH11/5Q=")</f>
        <v>#REF!</v>
      </c>
      <c r="ET74" t="e">
        <f>AND('PROG FORMACIÓN TITULADA'!#REF!,"AAAAAH11/5U=")</f>
        <v>#REF!</v>
      </c>
      <c r="EU74" t="e">
        <f>AND('PROG FORMACIÓN TITULADA'!#REF!,"AAAAAH11/5Y=")</f>
        <v>#REF!</v>
      </c>
      <c r="EV74" t="e">
        <f>AND('PROG FORMACIÓN TITULADA'!#REF!,"AAAAAH11/5c=")</f>
        <v>#REF!</v>
      </c>
      <c r="EW74" t="e">
        <f>AND('PROG FORMACIÓN TITULADA'!#REF!,"AAAAAH11/5g=")</f>
        <v>#REF!</v>
      </c>
      <c r="EX74" t="e">
        <f>AND('PROG FORMACIÓN TITULADA'!#REF!,"AAAAAH11/5k=")</f>
        <v>#REF!</v>
      </c>
      <c r="EY74" t="e">
        <f>AND('PROG FORMACIÓN TITULADA'!#REF!,"AAAAAH11/5o=")</f>
        <v>#REF!</v>
      </c>
      <c r="EZ74" t="e">
        <f>AND('PROG FORMACIÓN TITULADA'!#REF!,"AAAAAH11/5s=")</f>
        <v>#REF!</v>
      </c>
      <c r="FA74" t="e">
        <f>AND('PROG FORMACIÓN TITULADA'!#REF!,"AAAAAH11/5w=")</f>
        <v>#REF!</v>
      </c>
      <c r="FB74" t="e">
        <f>AND('PROG FORMACIÓN TITULADA'!#REF!,"AAAAAH11/50=")</f>
        <v>#REF!</v>
      </c>
      <c r="FC74" t="e">
        <f>AND('PROG FORMACIÓN TITULADA'!#REF!,"AAAAAH11/54=")</f>
        <v>#REF!</v>
      </c>
      <c r="FD74" t="e">
        <f>AND('PROG FORMACIÓN TITULADA'!#REF!,"AAAAAH11/58=")</f>
        <v>#REF!</v>
      </c>
      <c r="FE74" t="e">
        <f>AND('PROG FORMACIÓN TITULADA'!#REF!,"AAAAAH11/6A=")</f>
        <v>#REF!</v>
      </c>
      <c r="FF74" t="e">
        <f>AND('PROG FORMACIÓN TITULADA'!#REF!,"AAAAAH11/6E=")</f>
        <v>#REF!</v>
      </c>
      <c r="FG74" t="e">
        <f>AND('PROG FORMACIÓN TITULADA'!#REF!,"AAAAAH11/6I=")</f>
        <v>#REF!</v>
      </c>
      <c r="FH74" t="e">
        <f>AND('PROG FORMACIÓN TITULADA'!#REF!,"AAAAAH11/6M=")</f>
        <v>#REF!</v>
      </c>
      <c r="FI74" t="e">
        <f>AND('PROG FORMACIÓN TITULADA'!#REF!,"AAAAAH11/6Q=")</f>
        <v>#REF!</v>
      </c>
      <c r="FJ74" t="e">
        <f>AND('PROG FORMACIÓN TITULADA'!#REF!,"AAAAAH11/6U=")</f>
        <v>#REF!</v>
      </c>
      <c r="FK74" t="e">
        <f>AND('PROG FORMACIÓN TITULADA'!#REF!,"AAAAAH11/6Y=")</f>
        <v>#REF!</v>
      </c>
      <c r="FL74" t="e">
        <f>AND('PROG FORMACIÓN TITULADA'!#REF!,"AAAAAH11/6c=")</f>
        <v>#REF!</v>
      </c>
      <c r="FM74" t="e">
        <f>AND('PROG FORMACIÓN TITULADA'!#REF!,"AAAAAH11/6g=")</f>
        <v>#REF!</v>
      </c>
      <c r="FN74" t="e">
        <f>AND('PROG FORMACIÓN TITULADA'!#REF!,"AAAAAH11/6k=")</f>
        <v>#REF!</v>
      </c>
      <c r="FO74" t="e">
        <f>AND('PROG FORMACIÓN TITULADA'!#REF!,"AAAAAH11/6o=")</f>
        <v>#REF!</v>
      </c>
      <c r="FP74" t="e">
        <f>AND('PROG FORMACIÓN TITULADA'!#REF!,"AAAAAH11/6s=")</f>
        <v>#REF!</v>
      </c>
      <c r="FQ74" t="e">
        <f>IF('PROG FORMACIÓN TITULADA'!#REF!,"AAAAAH11/6w=",0)</f>
        <v>#REF!</v>
      </c>
      <c r="FR74" t="e">
        <f>AND('PROG FORMACIÓN TITULADA'!#REF!,"AAAAAH11/60=")</f>
        <v>#REF!</v>
      </c>
      <c r="FS74" t="e">
        <f>AND('PROG FORMACIÓN TITULADA'!#REF!,"AAAAAH11/64=")</f>
        <v>#REF!</v>
      </c>
      <c r="FT74" t="e">
        <f>AND('PROG FORMACIÓN TITULADA'!#REF!,"AAAAAH11/68=")</f>
        <v>#REF!</v>
      </c>
      <c r="FU74" t="e">
        <f>AND('PROG FORMACIÓN TITULADA'!#REF!,"AAAAAH11/7A=")</f>
        <v>#REF!</v>
      </c>
      <c r="FV74" t="e">
        <f>AND('PROG FORMACIÓN TITULADA'!#REF!,"AAAAAH11/7E=")</f>
        <v>#REF!</v>
      </c>
      <c r="FW74" t="e">
        <f>AND('PROG FORMACIÓN TITULADA'!#REF!,"AAAAAH11/7I=")</f>
        <v>#REF!</v>
      </c>
      <c r="FX74" t="e">
        <f>AND('PROG FORMACIÓN TITULADA'!#REF!,"AAAAAH11/7M=")</f>
        <v>#REF!</v>
      </c>
      <c r="FY74" t="e">
        <f>AND('PROG FORMACIÓN TITULADA'!#REF!,"AAAAAH11/7Q=")</f>
        <v>#REF!</v>
      </c>
      <c r="FZ74" t="e">
        <f>AND('PROG FORMACIÓN TITULADA'!#REF!,"AAAAAH11/7U=")</f>
        <v>#REF!</v>
      </c>
      <c r="GA74" t="e">
        <f>AND('PROG FORMACIÓN TITULADA'!#REF!,"AAAAAH11/7Y=")</f>
        <v>#REF!</v>
      </c>
      <c r="GB74" t="e">
        <f>AND('PROG FORMACIÓN TITULADA'!#REF!,"AAAAAH11/7c=")</f>
        <v>#REF!</v>
      </c>
      <c r="GC74" t="e">
        <f>AND('PROG FORMACIÓN TITULADA'!#REF!,"AAAAAH11/7g=")</f>
        <v>#REF!</v>
      </c>
      <c r="GD74" t="e">
        <f>AND('PROG FORMACIÓN TITULADA'!#REF!,"AAAAAH11/7k=")</f>
        <v>#REF!</v>
      </c>
      <c r="GE74" t="e">
        <f>AND('PROG FORMACIÓN TITULADA'!#REF!,"AAAAAH11/7o=")</f>
        <v>#REF!</v>
      </c>
      <c r="GF74" t="e">
        <f>AND('PROG FORMACIÓN TITULADA'!#REF!,"AAAAAH11/7s=")</f>
        <v>#REF!</v>
      </c>
      <c r="GG74" t="e">
        <f>AND('PROG FORMACIÓN TITULADA'!#REF!,"AAAAAH11/7w=")</f>
        <v>#REF!</v>
      </c>
      <c r="GH74" t="e">
        <f>AND('PROG FORMACIÓN TITULADA'!#REF!,"AAAAAH11/70=")</f>
        <v>#REF!</v>
      </c>
      <c r="GI74" t="e">
        <f>AND('PROG FORMACIÓN TITULADA'!#REF!,"AAAAAH11/74=")</f>
        <v>#REF!</v>
      </c>
      <c r="GJ74" t="e">
        <f>AND('PROG FORMACIÓN TITULADA'!#REF!,"AAAAAH11/78=")</f>
        <v>#REF!</v>
      </c>
      <c r="GK74" t="e">
        <f>AND('PROG FORMACIÓN TITULADA'!#REF!,"AAAAAH11/8A=")</f>
        <v>#REF!</v>
      </c>
      <c r="GL74" t="e">
        <f>AND('PROG FORMACIÓN TITULADA'!#REF!,"AAAAAH11/8E=")</f>
        <v>#REF!</v>
      </c>
      <c r="GM74" t="e">
        <f>AND('PROG FORMACIÓN TITULADA'!#REF!,"AAAAAH11/8I=")</f>
        <v>#REF!</v>
      </c>
      <c r="GN74" t="e">
        <f>AND('PROG FORMACIÓN TITULADA'!#REF!,"AAAAAH11/8M=")</f>
        <v>#REF!</v>
      </c>
      <c r="GO74" t="e">
        <f>AND('PROG FORMACIÓN TITULADA'!#REF!,"AAAAAH11/8Q=")</f>
        <v>#REF!</v>
      </c>
      <c r="GP74" t="e">
        <f>AND('PROG FORMACIÓN TITULADA'!#REF!,"AAAAAH11/8U=")</f>
        <v>#REF!</v>
      </c>
      <c r="GQ74" t="e">
        <f>AND('PROG FORMACIÓN TITULADA'!#REF!,"AAAAAH11/8Y=")</f>
        <v>#REF!</v>
      </c>
      <c r="GR74">
        <f>IF('PROG FORMACIÓN TITULADA'!433:433,"AAAAAH11/8c=",0)</f>
        <v>0</v>
      </c>
      <c r="GS74" t="e">
        <f>AND('PROG FORMACIÓN TITULADA'!#REF!,"AAAAAH11/8g=")</f>
        <v>#REF!</v>
      </c>
      <c r="GT74" t="e">
        <f>AND('PROG FORMACIÓN TITULADA'!B433,"AAAAAH11/8k=")</f>
        <v>#VALUE!</v>
      </c>
      <c r="GU74" t="e">
        <f>AND('PROG FORMACIÓN TITULADA'!A433,"AAAAAH11/8o=")</f>
        <v>#VALUE!</v>
      </c>
      <c r="GV74" t="e">
        <f>AND('PROG FORMACIÓN TITULADA'!D433,"AAAAAH11/8s=")</f>
        <v>#VALUE!</v>
      </c>
      <c r="GW74" t="e">
        <f>AND('PROG FORMACIÓN TITULADA'!E433,"AAAAAH11/8w=")</f>
        <v>#VALUE!</v>
      </c>
      <c r="GX74" t="e">
        <f>AND('PROG FORMACIÓN TITULADA'!F433,"AAAAAH11/80=")</f>
        <v>#VALUE!</v>
      </c>
      <c r="GY74" t="e">
        <f>AND('PROG FORMACIÓN TITULADA'!G433,"AAAAAH11/84=")</f>
        <v>#VALUE!</v>
      </c>
      <c r="GZ74" t="e">
        <f>AND('PROG FORMACIÓN TITULADA'!H433,"AAAAAH11/88=")</f>
        <v>#VALUE!</v>
      </c>
      <c r="HA74" t="e">
        <f>AND('PROG FORMACIÓN TITULADA'!I433,"AAAAAH11/9A=")</f>
        <v>#VALUE!</v>
      </c>
      <c r="HB74" t="e">
        <f>AND('PROG FORMACIÓN TITULADA'!J433,"AAAAAH11/9E=")</f>
        <v>#VALUE!</v>
      </c>
      <c r="HC74" t="e">
        <f>AND('PROG FORMACIÓN TITULADA'!K433,"AAAAAH11/9I=")</f>
        <v>#VALUE!</v>
      </c>
      <c r="HD74" t="e">
        <f>AND('PROG FORMACIÓN TITULADA'!L433,"AAAAAH11/9M=")</f>
        <v>#VALUE!</v>
      </c>
      <c r="HE74" t="e">
        <f>AND('PROG FORMACIÓN TITULADA'!M433,"AAAAAH11/9Q=")</f>
        <v>#VALUE!</v>
      </c>
      <c r="HF74" t="e">
        <f>AND('PROG FORMACIÓN TITULADA'!N433,"AAAAAH11/9U=")</f>
        <v>#VALUE!</v>
      </c>
      <c r="HG74" t="e">
        <f>AND('PROG FORMACIÓN TITULADA'!O433,"AAAAAH11/9Y=")</f>
        <v>#VALUE!</v>
      </c>
      <c r="HH74" t="e">
        <f>AND('PROG FORMACIÓN TITULADA'!P433,"AAAAAH11/9c=")</f>
        <v>#VALUE!</v>
      </c>
      <c r="HI74" t="e">
        <f>AND('PROG FORMACIÓN TITULADA'!Q433,"AAAAAH11/9g=")</f>
        <v>#VALUE!</v>
      </c>
      <c r="HJ74" t="e">
        <f>AND('PROG FORMACIÓN TITULADA'!R433,"AAAAAH11/9k=")</f>
        <v>#VALUE!</v>
      </c>
      <c r="HK74" t="e">
        <f>AND('PROG FORMACIÓN TITULADA'!S433,"AAAAAH11/9o=")</f>
        <v>#VALUE!</v>
      </c>
      <c r="HL74" t="e">
        <f>AND('PROG FORMACIÓN TITULADA'!T433,"AAAAAH11/9s=")</f>
        <v>#VALUE!</v>
      </c>
      <c r="HM74" t="e">
        <f>AND('PROG FORMACIÓN TITULADA'!U433,"AAAAAH11/9w=")</f>
        <v>#VALUE!</v>
      </c>
      <c r="HN74" t="e">
        <f>AND('PROG FORMACIÓN TITULADA'!V433,"AAAAAH11/90=")</f>
        <v>#VALUE!</v>
      </c>
      <c r="HO74" t="e">
        <f>AND('PROG FORMACIÓN TITULADA'!W433,"AAAAAH11/94=")</f>
        <v>#VALUE!</v>
      </c>
      <c r="HP74" t="e">
        <f>AND('PROG FORMACIÓN TITULADA'!X433,"AAAAAH11/98=")</f>
        <v>#VALUE!</v>
      </c>
      <c r="HQ74" t="e">
        <f>AND('PROG FORMACIÓN TITULADA'!Y433,"AAAAAH11/+A=")</f>
        <v>#VALUE!</v>
      </c>
      <c r="HR74" t="e">
        <f>AND('PROG FORMACIÓN TITULADA'!Z433,"AAAAAH11/+E=")</f>
        <v>#VALUE!</v>
      </c>
      <c r="HS74" t="e">
        <f>IF('PROG FORMACIÓN TITULADA'!#REF!,"AAAAAH11/+I=",0)</f>
        <v>#REF!</v>
      </c>
      <c r="HT74" t="e">
        <f>AND('PROG FORMACIÓN TITULADA'!#REF!,"AAAAAH11/+M=")</f>
        <v>#REF!</v>
      </c>
      <c r="HU74" t="e">
        <f>AND('PROG FORMACIÓN TITULADA'!#REF!,"AAAAAH11/+Q=")</f>
        <v>#REF!</v>
      </c>
      <c r="HV74" t="e">
        <f>AND('PROG FORMACIÓN TITULADA'!#REF!,"AAAAAH11/+U=")</f>
        <v>#REF!</v>
      </c>
      <c r="HW74" t="e">
        <f>AND('PROG FORMACIÓN TITULADA'!#REF!,"AAAAAH11/+Y=")</f>
        <v>#REF!</v>
      </c>
      <c r="HX74" t="e">
        <f>AND('PROG FORMACIÓN TITULADA'!#REF!,"AAAAAH11/+c=")</f>
        <v>#REF!</v>
      </c>
      <c r="HY74" t="e">
        <f>AND('PROG FORMACIÓN TITULADA'!#REF!,"AAAAAH11/+g=")</f>
        <v>#REF!</v>
      </c>
      <c r="HZ74" t="e">
        <f>AND('PROG FORMACIÓN TITULADA'!#REF!,"AAAAAH11/+k=")</f>
        <v>#REF!</v>
      </c>
      <c r="IA74" t="e">
        <f>AND('PROG FORMACIÓN TITULADA'!#REF!,"AAAAAH11/+o=")</f>
        <v>#REF!</v>
      </c>
      <c r="IB74" t="e">
        <f>AND('PROG FORMACIÓN TITULADA'!#REF!,"AAAAAH11/+s=")</f>
        <v>#REF!</v>
      </c>
      <c r="IC74" t="e">
        <f>AND('PROG FORMACIÓN TITULADA'!#REF!,"AAAAAH11/+w=")</f>
        <v>#REF!</v>
      </c>
      <c r="ID74" t="e">
        <f>AND('PROG FORMACIÓN TITULADA'!#REF!,"AAAAAH11/+0=")</f>
        <v>#REF!</v>
      </c>
      <c r="IE74" t="e">
        <f>AND('PROG FORMACIÓN TITULADA'!#REF!,"AAAAAH11/+4=")</f>
        <v>#REF!</v>
      </c>
      <c r="IF74" t="e">
        <f>AND('PROG FORMACIÓN TITULADA'!#REF!,"AAAAAH11/+8=")</f>
        <v>#REF!</v>
      </c>
      <c r="IG74" t="e">
        <f>AND('PROG FORMACIÓN TITULADA'!#REF!,"AAAAAH11//A=")</f>
        <v>#REF!</v>
      </c>
      <c r="IH74" t="e">
        <f>AND('PROG FORMACIÓN TITULADA'!#REF!,"AAAAAH11//E=")</f>
        <v>#REF!</v>
      </c>
      <c r="II74" t="e">
        <f>AND('PROG FORMACIÓN TITULADA'!#REF!,"AAAAAH11//I=")</f>
        <v>#REF!</v>
      </c>
      <c r="IJ74" t="e">
        <f>AND('PROG FORMACIÓN TITULADA'!#REF!,"AAAAAH11//M=")</f>
        <v>#REF!</v>
      </c>
      <c r="IK74" t="e">
        <f>AND('PROG FORMACIÓN TITULADA'!#REF!,"AAAAAH11//Q=")</f>
        <v>#REF!</v>
      </c>
      <c r="IL74" t="e">
        <f>AND('PROG FORMACIÓN TITULADA'!#REF!,"AAAAAH11//U=")</f>
        <v>#REF!</v>
      </c>
      <c r="IM74" t="e">
        <f>AND('PROG FORMACIÓN TITULADA'!#REF!,"AAAAAH11//Y=")</f>
        <v>#REF!</v>
      </c>
      <c r="IN74" t="e">
        <f>AND('PROG FORMACIÓN TITULADA'!#REF!,"AAAAAH11//c=")</f>
        <v>#REF!</v>
      </c>
      <c r="IO74" t="e">
        <f>AND('PROG FORMACIÓN TITULADA'!#REF!,"AAAAAH11//g=")</f>
        <v>#REF!</v>
      </c>
      <c r="IP74" t="e">
        <f>AND('PROG FORMACIÓN TITULADA'!#REF!,"AAAAAH11//k=")</f>
        <v>#REF!</v>
      </c>
      <c r="IQ74" t="e">
        <f>AND('PROG FORMACIÓN TITULADA'!#REF!,"AAAAAH11//o=")</f>
        <v>#REF!</v>
      </c>
      <c r="IR74" t="e">
        <f>AND('PROG FORMACIÓN TITULADA'!#REF!,"AAAAAH11//s=")</f>
        <v>#REF!</v>
      </c>
      <c r="IS74" t="e">
        <f>AND('PROG FORMACIÓN TITULADA'!#REF!,"AAAAAH11//w=")</f>
        <v>#REF!</v>
      </c>
      <c r="IT74">
        <f>IF('PROG FORMACIÓN TITULADA'!434:434,"AAAAAH11//0=",0)</f>
        <v>0</v>
      </c>
      <c r="IU74" t="e">
        <f>AND('PROG FORMACIÓN TITULADA'!#REF!,"AAAAAH11//4=")</f>
        <v>#REF!</v>
      </c>
      <c r="IV74" t="e">
        <f>AND('PROG FORMACIÓN TITULADA'!B434,"AAAAAH11//8=")</f>
        <v>#VALUE!</v>
      </c>
    </row>
    <row r="75" spans="1:256" x14ac:dyDescent="0.2">
      <c r="A75" t="e">
        <f>AND('PROG FORMACIÓN TITULADA'!A434,"AAAAAFn6/wA=")</f>
        <v>#VALUE!</v>
      </c>
      <c r="B75" t="e">
        <f>AND('PROG FORMACIÓN TITULADA'!D434,"AAAAAFn6/wE=")</f>
        <v>#VALUE!</v>
      </c>
      <c r="C75" t="e">
        <f>AND('PROG FORMACIÓN TITULADA'!E434,"AAAAAFn6/wI=")</f>
        <v>#VALUE!</v>
      </c>
      <c r="D75" t="e">
        <f>AND('PROG FORMACIÓN TITULADA'!F434,"AAAAAFn6/wM=")</f>
        <v>#VALUE!</v>
      </c>
      <c r="E75" t="e">
        <f>AND('PROG FORMACIÓN TITULADA'!G434,"AAAAAFn6/wQ=")</f>
        <v>#VALUE!</v>
      </c>
      <c r="F75" t="e">
        <f>AND('PROG FORMACIÓN TITULADA'!H434,"AAAAAFn6/wU=")</f>
        <v>#VALUE!</v>
      </c>
      <c r="G75" t="e">
        <f>AND('PROG FORMACIÓN TITULADA'!I434,"AAAAAFn6/wY=")</f>
        <v>#VALUE!</v>
      </c>
      <c r="H75" t="e">
        <f>AND('PROG FORMACIÓN TITULADA'!J434,"AAAAAFn6/wc=")</f>
        <v>#VALUE!</v>
      </c>
      <c r="I75" t="e">
        <f>AND('PROG FORMACIÓN TITULADA'!K434,"AAAAAFn6/wg=")</f>
        <v>#VALUE!</v>
      </c>
      <c r="J75" t="e">
        <f>AND('PROG FORMACIÓN TITULADA'!L434,"AAAAAFn6/wk=")</f>
        <v>#VALUE!</v>
      </c>
      <c r="K75" t="e">
        <f>AND('PROG FORMACIÓN TITULADA'!M434,"AAAAAFn6/wo=")</f>
        <v>#VALUE!</v>
      </c>
      <c r="L75" t="e">
        <f>AND('PROG FORMACIÓN TITULADA'!N434,"AAAAAFn6/ws=")</f>
        <v>#VALUE!</v>
      </c>
      <c r="M75" t="e">
        <f>AND('PROG FORMACIÓN TITULADA'!O434,"AAAAAFn6/ww=")</f>
        <v>#VALUE!</v>
      </c>
      <c r="N75" t="e">
        <f>AND('PROG FORMACIÓN TITULADA'!P434,"AAAAAFn6/w0=")</f>
        <v>#VALUE!</v>
      </c>
      <c r="O75" t="e">
        <f>AND('PROG FORMACIÓN TITULADA'!Q434,"AAAAAFn6/w4=")</f>
        <v>#VALUE!</v>
      </c>
      <c r="P75" t="e">
        <f>AND('PROG FORMACIÓN TITULADA'!R434,"AAAAAFn6/w8=")</f>
        <v>#VALUE!</v>
      </c>
      <c r="Q75" t="e">
        <f>AND('PROG FORMACIÓN TITULADA'!S434,"AAAAAFn6/xA=")</f>
        <v>#VALUE!</v>
      </c>
      <c r="R75" t="e">
        <f>AND('PROG FORMACIÓN TITULADA'!T434,"AAAAAFn6/xE=")</f>
        <v>#VALUE!</v>
      </c>
      <c r="S75" t="e">
        <f>AND('PROG FORMACIÓN TITULADA'!U434,"AAAAAFn6/xI=")</f>
        <v>#VALUE!</v>
      </c>
      <c r="T75" t="e">
        <f>AND('PROG FORMACIÓN TITULADA'!V434,"AAAAAFn6/xM=")</f>
        <v>#VALUE!</v>
      </c>
      <c r="U75" t="e">
        <f>AND('PROG FORMACIÓN TITULADA'!W434,"AAAAAFn6/xQ=")</f>
        <v>#VALUE!</v>
      </c>
      <c r="V75" t="e">
        <f>AND('PROG FORMACIÓN TITULADA'!X434,"AAAAAFn6/xU=")</f>
        <v>#VALUE!</v>
      </c>
      <c r="W75" t="e">
        <f>AND('PROG FORMACIÓN TITULADA'!Y434,"AAAAAFn6/xY=")</f>
        <v>#VALUE!</v>
      </c>
      <c r="X75" t="e">
        <f>AND('PROG FORMACIÓN TITULADA'!Z434,"AAAAAFn6/xc=")</f>
        <v>#VALUE!</v>
      </c>
      <c r="Y75">
        <f>IF('PROG FORMACIÓN TITULADA'!435:435,"AAAAAFn6/xg=",0)</f>
        <v>0</v>
      </c>
      <c r="Z75" t="e">
        <f>AND('PROG FORMACIÓN TITULADA'!#REF!,"AAAAAFn6/xk=")</f>
        <v>#REF!</v>
      </c>
      <c r="AA75" t="e">
        <f>AND('PROG FORMACIÓN TITULADA'!B435,"AAAAAFn6/xo=")</f>
        <v>#VALUE!</v>
      </c>
      <c r="AB75" t="e">
        <f>AND('PROG FORMACIÓN TITULADA'!A435,"AAAAAFn6/xs=")</f>
        <v>#VALUE!</v>
      </c>
      <c r="AC75" t="e">
        <f>AND('PROG FORMACIÓN TITULADA'!D435,"AAAAAFn6/xw=")</f>
        <v>#VALUE!</v>
      </c>
      <c r="AD75" t="e">
        <f>AND('PROG FORMACIÓN TITULADA'!E435,"AAAAAFn6/x0=")</f>
        <v>#VALUE!</v>
      </c>
      <c r="AE75" t="e">
        <f>AND('PROG FORMACIÓN TITULADA'!F435,"AAAAAFn6/x4=")</f>
        <v>#VALUE!</v>
      </c>
      <c r="AF75" t="e">
        <f>AND('PROG FORMACIÓN TITULADA'!G435,"AAAAAFn6/x8=")</f>
        <v>#VALUE!</v>
      </c>
      <c r="AG75" t="e">
        <f>AND('PROG FORMACIÓN TITULADA'!H435,"AAAAAFn6/yA=")</f>
        <v>#VALUE!</v>
      </c>
      <c r="AH75" t="e">
        <f>AND('PROG FORMACIÓN TITULADA'!I435,"AAAAAFn6/yE=")</f>
        <v>#VALUE!</v>
      </c>
      <c r="AI75" t="e">
        <f>AND('PROG FORMACIÓN TITULADA'!J435,"AAAAAFn6/yI=")</f>
        <v>#VALUE!</v>
      </c>
      <c r="AJ75" t="e">
        <f>AND('PROG FORMACIÓN TITULADA'!K435,"AAAAAFn6/yM=")</f>
        <v>#VALUE!</v>
      </c>
      <c r="AK75" t="e">
        <f>AND('PROG FORMACIÓN TITULADA'!L435,"AAAAAFn6/yQ=")</f>
        <v>#VALUE!</v>
      </c>
      <c r="AL75" t="e">
        <f>AND('PROG FORMACIÓN TITULADA'!M435,"AAAAAFn6/yU=")</f>
        <v>#VALUE!</v>
      </c>
      <c r="AM75" t="e">
        <f>AND('PROG FORMACIÓN TITULADA'!N435,"AAAAAFn6/yY=")</f>
        <v>#VALUE!</v>
      </c>
      <c r="AN75" t="e">
        <f>AND('PROG FORMACIÓN TITULADA'!O435,"AAAAAFn6/yc=")</f>
        <v>#VALUE!</v>
      </c>
      <c r="AO75" t="e">
        <f>AND('PROG FORMACIÓN TITULADA'!P435,"AAAAAFn6/yg=")</f>
        <v>#VALUE!</v>
      </c>
      <c r="AP75" t="e">
        <f>AND('PROG FORMACIÓN TITULADA'!Q435,"AAAAAFn6/yk=")</f>
        <v>#VALUE!</v>
      </c>
      <c r="AQ75" t="e">
        <f>AND('PROG FORMACIÓN TITULADA'!R435,"AAAAAFn6/yo=")</f>
        <v>#VALUE!</v>
      </c>
      <c r="AR75" t="e">
        <f>AND('PROG FORMACIÓN TITULADA'!S435,"AAAAAFn6/ys=")</f>
        <v>#VALUE!</v>
      </c>
      <c r="AS75" t="e">
        <f>AND('PROG FORMACIÓN TITULADA'!T435,"AAAAAFn6/yw=")</f>
        <v>#VALUE!</v>
      </c>
      <c r="AT75" t="e">
        <f>AND('PROG FORMACIÓN TITULADA'!U435,"AAAAAFn6/y0=")</f>
        <v>#VALUE!</v>
      </c>
      <c r="AU75" t="e">
        <f>AND('PROG FORMACIÓN TITULADA'!V435,"AAAAAFn6/y4=")</f>
        <v>#VALUE!</v>
      </c>
      <c r="AV75" t="e">
        <f>AND('PROG FORMACIÓN TITULADA'!W435,"AAAAAFn6/y8=")</f>
        <v>#VALUE!</v>
      </c>
      <c r="AW75" t="e">
        <f>AND('PROG FORMACIÓN TITULADA'!X435,"AAAAAFn6/zA=")</f>
        <v>#VALUE!</v>
      </c>
      <c r="AX75" t="e">
        <f>AND('PROG FORMACIÓN TITULADA'!Y435,"AAAAAFn6/zE=")</f>
        <v>#VALUE!</v>
      </c>
      <c r="AY75" t="e">
        <f>AND('PROG FORMACIÓN TITULADA'!Z435,"AAAAAFn6/zI=")</f>
        <v>#VALUE!</v>
      </c>
      <c r="AZ75">
        <f>IF('PROG FORMACIÓN TITULADA'!436:436,"AAAAAFn6/zM=",0)</f>
        <v>0</v>
      </c>
      <c r="BA75" t="e">
        <f>AND('PROG FORMACIÓN TITULADA'!#REF!,"AAAAAFn6/zQ=")</f>
        <v>#REF!</v>
      </c>
      <c r="BB75" t="e">
        <f>AND('PROG FORMACIÓN TITULADA'!B436,"AAAAAFn6/zU=")</f>
        <v>#VALUE!</v>
      </c>
      <c r="BC75" t="e">
        <f>AND('PROG FORMACIÓN TITULADA'!A436,"AAAAAFn6/zY=")</f>
        <v>#VALUE!</v>
      </c>
      <c r="BD75" t="e">
        <f>AND('PROG FORMACIÓN TITULADA'!D436,"AAAAAFn6/zc=")</f>
        <v>#VALUE!</v>
      </c>
      <c r="BE75" t="e">
        <f>AND('PROG FORMACIÓN TITULADA'!E436,"AAAAAFn6/zg=")</f>
        <v>#VALUE!</v>
      </c>
      <c r="BF75" t="e">
        <f>AND('PROG FORMACIÓN TITULADA'!F436,"AAAAAFn6/zk=")</f>
        <v>#VALUE!</v>
      </c>
      <c r="BG75" t="e">
        <f>AND('PROG FORMACIÓN TITULADA'!G436,"AAAAAFn6/zo=")</f>
        <v>#VALUE!</v>
      </c>
      <c r="BH75" t="e">
        <f>AND('PROG FORMACIÓN TITULADA'!H436,"AAAAAFn6/zs=")</f>
        <v>#VALUE!</v>
      </c>
      <c r="BI75" t="e">
        <f>AND('PROG FORMACIÓN TITULADA'!I436,"AAAAAFn6/zw=")</f>
        <v>#VALUE!</v>
      </c>
      <c r="BJ75" t="e">
        <f>AND('PROG FORMACIÓN TITULADA'!J436,"AAAAAFn6/z0=")</f>
        <v>#VALUE!</v>
      </c>
      <c r="BK75" t="e">
        <f>AND('PROG FORMACIÓN TITULADA'!K436,"AAAAAFn6/z4=")</f>
        <v>#VALUE!</v>
      </c>
      <c r="BL75" t="e">
        <f>AND('PROG FORMACIÓN TITULADA'!L436,"AAAAAFn6/z8=")</f>
        <v>#VALUE!</v>
      </c>
      <c r="BM75" t="e">
        <f>AND('PROG FORMACIÓN TITULADA'!M436,"AAAAAFn6/0A=")</f>
        <v>#VALUE!</v>
      </c>
      <c r="BN75" t="e">
        <f>AND('PROG FORMACIÓN TITULADA'!N436,"AAAAAFn6/0E=")</f>
        <v>#VALUE!</v>
      </c>
      <c r="BO75" t="e">
        <f>AND('PROG FORMACIÓN TITULADA'!O436,"AAAAAFn6/0I=")</f>
        <v>#VALUE!</v>
      </c>
      <c r="BP75" t="e">
        <f>AND('PROG FORMACIÓN TITULADA'!P436,"AAAAAFn6/0M=")</f>
        <v>#VALUE!</v>
      </c>
      <c r="BQ75" t="e">
        <f>AND('PROG FORMACIÓN TITULADA'!Q436,"AAAAAFn6/0Q=")</f>
        <v>#VALUE!</v>
      </c>
      <c r="BR75" t="e">
        <f>AND('PROG FORMACIÓN TITULADA'!R436,"AAAAAFn6/0U=")</f>
        <v>#VALUE!</v>
      </c>
      <c r="BS75" t="e">
        <f>AND('PROG FORMACIÓN TITULADA'!S436,"AAAAAFn6/0Y=")</f>
        <v>#VALUE!</v>
      </c>
      <c r="BT75" t="e">
        <f>AND('PROG FORMACIÓN TITULADA'!T436,"AAAAAFn6/0c=")</f>
        <v>#VALUE!</v>
      </c>
      <c r="BU75" t="e">
        <f>AND('PROG FORMACIÓN TITULADA'!U436,"AAAAAFn6/0g=")</f>
        <v>#VALUE!</v>
      </c>
      <c r="BV75" t="e">
        <f>AND('PROG FORMACIÓN TITULADA'!V436,"AAAAAFn6/0k=")</f>
        <v>#VALUE!</v>
      </c>
      <c r="BW75" t="e">
        <f>AND('PROG FORMACIÓN TITULADA'!W436,"AAAAAFn6/0o=")</f>
        <v>#VALUE!</v>
      </c>
      <c r="BX75" t="e">
        <f>AND('PROG FORMACIÓN TITULADA'!X436,"AAAAAFn6/0s=")</f>
        <v>#VALUE!</v>
      </c>
      <c r="BY75" t="e">
        <f>AND('PROG FORMACIÓN TITULADA'!Y436,"AAAAAFn6/0w=")</f>
        <v>#VALUE!</v>
      </c>
      <c r="BZ75" t="e">
        <f>AND('PROG FORMACIÓN TITULADA'!Z436,"AAAAAFn6/00=")</f>
        <v>#VALUE!</v>
      </c>
      <c r="CA75">
        <f>IF('PROG FORMACIÓN TITULADA'!437:437,"AAAAAFn6/04=",0)</f>
        <v>0</v>
      </c>
      <c r="CB75" t="e">
        <f>AND('PROG FORMACIÓN TITULADA'!#REF!,"AAAAAFn6/08=")</f>
        <v>#REF!</v>
      </c>
      <c r="CC75" t="e">
        <f>AND('PROG FORMACIÓN TITULADA'!B437,"AAAAAFn6/1A=")</f>
        <v>#VALUE!</v>
      </c>
      <c r="CD75" t="e">
        <f>AND('PROG FORMACIÓN TITULADA'!A437,"AAAAAFn6/1E=")</f>
        <v>#VALUE!</v>
      </c>
      <c r="CE75" t="e">
        <f>AND('PROG FORMACIÓN TITULADA'!D437,"AAAAAFn6/1I=")</f>
        <v>#VALUE!</v>
      </c>
      <c r="CF75" t="e">
        <f>AND('PROG FORMACIÓN TITULADA'!E437,"AAAAAFn6/1M=")</f>
        <v>#VALUE!</v>
      </c>
      <c r="CG75" t="e">
        <f>AND('PROG FORMACIÓN TITULADA'!F437,"AAAAAFn6/1Q=")</f>
        <v>#VALUE!</v>
      </c>
      <c r="CH75" t="e">
        <f>AND('PROG FORMACIÓN TITULADA'!G437,"AAAAAFn6/1U=")</f>
        <v>#VALUE!</v>
      </c>
      <c r="CI75" t="e">
        <f>AND('PROG FORMACIÓN TITULADA'!H437,"AAAAAFn6/1Y=")</f>
        <v>#VALUE!</v>
      </c>
      <c r="CJ75" t="e">
        <f>AND('PROG FORMACIÓN TITULADA'!I437,"AAAAAFn6/1c=")</f>
        <v>#VALUE!</v>
      </c>
      <c r="CK75" t="e">
        <f>AND('PROG FORMACIÓN TITULADA'!J437,"AAAAAFn6/1g=")</f>
        <v>#VALUE!</v>
      </c>
      <c r="CL75" t="e">
        <f>AND('PROG FORMACIÓN TITULADA'!K437,"AAAAAFn6/1k=")</f>
        <v>#VALUE!</v>
      </c>
      <c r="CM75" t="e">
        <f>AND('PROG FORMACIÓN TITULADA'!L437,"AAAAAFn6/1o=")</f>
        <v>#VALUE!</v>
      </c>
      <c r="CN75" t="e">
        <f>AND('PROG FORMACIÓN TITULADA'!M437,"AAAAAFn6/1s=")</f>
        <v>#VALUE!</v>
      </c>
      <c r="CO75" t="e">
        <f>AND('PROG FORMACIÓN TITULADA'!N437,"AAAAAFn6/1w=")</f>
        <v>#VALUE!</v>
      </c>
      <c r="CP75" t="e">
        <f>AND('PROG FORMACIÓN TITULADA'!O437,"AAAAAFn6/10=")</f>
        <v>#VALUE!</v>
      </c>
      <c r="CQ75" t="e">
        <f>AND('PROG FORMACIÓN TITULADA'!P437,"AAAAAFn6/14=")</f>
        <v>#VALUE!</v>
      </c>
      <c r="CR75" t="e">
        <f>AND('PROG FORMACIÓN TITULADA'!Q437,"AAAAAFn6/18=")</f>
        <v>#VALUE!</v>
      </c>
      <c r="CS75" t="e">
        <f>AND('PROG FORMACIÓN TITULADA'!R437,"AAAAAFn6/2A=")</f>
        <v>#VALUE!</v>
      </c>
      <c r="CT75" t="e">
        <f>AND('PROG FORMACIÓN TITULADA'!S437,"AAAAAFn6/2E=")</f>
        <v>#VALUE!</v>
      </c>
      <c r="CU75" t="e">
        <f>AND('PROG FORMACIÓN TITULADA'!T437,"AAAAAFn6/2I=")</f>
        <v>#VALUE!</v>
      </c>
      <c r="CV75" t="e">
        <f>AND('PROG FORMACIÓN TITULADA'!U437,"AAAAAFn6/2M=")</f>
        <v>#VALUE!</v>
      </c>
      <c r="CW75" t="e">
        <f>AND('PROG FORMACIÓN TITULADA'!V437,"AAAAAFn6/2Q=")</f>
        <v>#VALUE!</v>
      </c>
      <c r="CX75" t="e">
        <f>AND('PROG FORMACIÓN TITULADA'!W437,"AAAAAFn6/2U=")</f>
        <v>#VALUE!</v>
      </c>
      <c r="CY75" t="e">
        <f>AND('PROG FORMACIÓN TITULADA'!X437,"AAAAAFn6/2Y=")</f>
        <v>#VALUE!</v>
      </c>
      <c r="CZ75" t="e">
        <f>AND('PROG FORMACIÓN TITULADA'!Y437,"AAAAAFn6/2c=")</f>
        <v>#VALUE!</v>
      </c>
      <c r="DA75" t="e">
        <f>AND('PROG FORMACIÓN TITULADA'!Z437,"AAAAAFn6/2g=")</f>
        <v>#VALUE!</v>
      </c>
      <c r="DB75">
        <f>IF('PROG FORMACIÓN TITULADA'!438:438,"AAAAAFn6/2k=",0)</f>
        <v>0</v>
      </c>
      <c r="DC75" t="e">
        <f>AND('PROG FORMACIÓN TITULADA'!#REF!,"AAAAAFn6/2o=")</f>
        <v>#REF!</v>
      </c>
      <c r="DD75" t="e">
        <f>AND('PROG FORMACIÓN TITULADA'!B438,"AAAAAFn6/2s=")</f>
        <v>#VALUE!</v>
      </c>
      <c r="DE75" t="e">
        <f>AND('PROG FORMACIÓN TITULADA'!A438,"AAAAAFn6/2w=")</f>
        <v>#VALUE!</v>
      </c>
      <c r="DF75" t="e">
        <f>AND('PROG FORMACIÓN TITULADA'!D438,"AAAAAFn6/20=")</f>
        <v>#VALUE!</v>
      </c>
      <c r="DG75" t="e">
        <f>AND('PROG FORMACIÓN TITULADA'!E438,"AAAAAFn6/24=")</f>
        <v>#VALUE!</v>
      </c>
      <c r="DH75" t="e">
        <f>AND('PROG FORMACIÓN TITULADA'!F438,"AAAAAFn6/28=")</f>
        <v>#VALUE!</v>
      </c>
      <c r="DI75" t="e">
        <f>AND('PROG FORMACIÓN TITULADA'!G438,"AAAAAFn6/3A=")</f>
        <v>#VALUE!</v>
      </c>
      <c r="DJ75" t="e">
        <f>AND('PROG FORMACIÓN TITULADA'!H438,"AAAAAFn6/3E=")</f>
        <v>#VALUE!</v>
      </c>
      <c r="DK75" t="e">
        <f>AND('PROG FORMACIÓN TITULADA'!I438,"AAAAAFn6/3I=")</f>
        <v>#VALUE!</v>
      </c>
      <c r="DL75" t="e">
        <f>AND('PROG FORMACIÓN TITULADA'!J438,"AAAAAFn6/3M=")</f>
        <v>#VALUE!</v>
      </c>
      <c r="DM75" t="e">
        <f>AND('PROG FORMACIÓN TITULADA'!K438,"AAAAAFn6/3Q=")</f>
        <v>#VALUE!</v>
      </c>
      <c r="DN75" t="e">
        <f>AND('PROG FORMACIÓN TITULADA'!L438,"AAAAAFn6/3U=")</f>
        <v>#VALUE!</v>
      </c>
      <c r="DO75" t="e">
        <f>AND('PROG FORMACIÓN TITULADA'!M438,"AAAAAFn6/3Y=")</f>
        <v>#VALUE!</v>
      </c>
      <c r="DP75" t="e">
        <f>AND('PROG FORMACIÓN TITULADA'!N438,"AAAAAFn6/3c=")</f>
        <v>#VALUE!</v>
      </c>
      <c r="DQ75" t="e">
        <f>AND('PROG FORMACIÓN TITULADA'!O438,"AAAAAFn6/3g=")</f>
        <v>#VALUE!</v>
      </c>
      <c r="DR75" t="e">
        <f>AND('PROG FORMACIÓN TITULADA'!P438,"AAAAAFn6/3k=")</f>
        <v>#VALUE!</v>
      </c>
      <c r="DS75" t="e">
        <f>AND('PROG FORMACIÓN TITULADA'!Q438,"AAAAAFn6/3o=")</f>
        <v>#VALUE!</v>
      </c>
      <c r="DT75" t="e">
        <f>AND('PROG FORMACIÓN TITULADA'!R438,"AAAAAFn6/3s=")</f>
        <v>#VALUE!</v>
      </c>
      <c r="DU75" t="e">
        <f>AND('PROG FORMACIÓN TITULADA'!S438,"AAAAAFn6/3w=")</f>
        <v>#VALUE!</v>
      </c>
      <c r="DV75" t="e">
        <f>AND('PROG FORMACIÓN TITULADA'!T438,"AAAAAFn6/30=")</f>
        <v>#VALUE!</v>
      </c>
      <c r="DW75" t="e">
        <f>AND('PROG FORMACIÓN TITULADA'!U438,"AAAAAFn6/34=")</f>
        <v>#VALUE!</v>
      </c>
      <c r="DX75" t="e">
        <f>AND('PROG FORMACIÓN TITULADA'!V438,"AAAAAFn6/38=")</f>
        <v>#VALUE!</v>
      </c>
      <c r="DY75" t="e">
        <f>AND('PROG FORMACIÓN TITULADA'!W438,"AAAAAFn6/4A=")</f>
        <v>#VALUE!</v>
      </c>
      <c r="DZ75" t="e">
        <f>AND('PROG FORMACIÓN TITULADA'!X438,"AAAAAFn6/4E=")</f>
        <v>#VALUE!</v>
      </c>
      <c r="EA75" t="e">
        <f>AND('PROG FORMACIÓN TITULADA'!Y438,"AAAAAFn6/4I=")</f>
        <v>#VALUE!</v>
      </c>
      <c r="EB75" t="e">
        <f>AND('PROG FORMACIÓN TITULADA'!Z438,"AAAAAFn6/4M=")</f>
        <v>#VALUE!</v>
      </c>
      <c r="EC75">
        <f>IF('PROG FORMACIÓN TITULADA'!439:439,"AAAAAFn6/4Q=",0)</f>
        <v>0</v>
      </c>
      <c r="ED75" t="e">
        <f>AND('PROG FORMACIÓN TITULADA'!#REF!,"AAAAAFn6/4U=")</f>
        <v>#REF!</v>
      </c>
      <c r="EE75" t="e">
        <f>AND('PROG FORMACIÓN TITULADA'!B439,"AAAAAFn6/4Y=")</f>
        <v>#VALUE!</v>
      </c>
      <c r="EF75" t="e">
        <f>AND('PROG FORMACIÓN TITULADA'!A439,"AAAAAFn6/4c=")</f>
        <v>#VALUE!</v>
      </c>
      <c r="EG75" t="e">
        <f>AND('PROG FORMACIÓN TITULADA'!D439,"AAAAAFn6/4g=")</f>
        <v>#VALUE!</v>
      </c>
      <c r="EH75" t="e">
        <f>AND('PROG FORMACIÓN TITULADA'!E439,"AAAAAFn6/4k=")</f>
        <v>#VALUE!</v>
      </c>
      <c r="EI75" t="e">
        <f>AND('PROG FORMACIÓN TITULADA'!F439,"AAAAAFn6/4o=")</f>
        <v>#VALUE!</v>
      </c>
      <c r="EJ75" t="e">
        <f>AND('PROG FORMACIÓN TITULADA'!G439,"AAAAAFn6/4s=")</f>
        <v>#VALUE!</v>
      </c>
      <c r="EK75" t="e">
        <f>AND('PROG FORMACIÓN TITULADA'!H439,"AAAAAFn6/4w=")</f>
        <v>#VALUE!</v>
      </c>
      <c r="EL75" t="e">
        <f>AND('PROG FORMACIÓN TITULADA'!I439,"AAAAAFn6/40=")</f>
        <v>#VALUE!</v>
      </c>
      <c r="EM75" t="e">
        <f>AND('PROG FORMACIÓN TITULADA'!J439,"AAAAAFn6/44=")</f>
        <v>#VALUE!</v>
      </c>
      <c r="EN75" t="e">
        <f>AND('PROG FORMACIÓN TITULADA'!K439,"AAAAAFn6/48=")</f>
        <v>#VALUE!</v>
      </c>
      <c r="EO75" t="e">
        <f>AND('PROG FORMACIÓN TITULADA'!L439,"AAAAAFn6/5A=")</f>
        <v>#VALUE!</v>
      </c>
      <c r="EP75" t="e">
        <f>AND('PROG FORMACIÓN TITULADA'!M439,"AAAAAFn6/5E=")</f>
        <v>#VALUE!</v>
      </c>
      <c r="EQ75" t="e">
        <f>AND('PROG FORMACIÓN TITULADA'!N439,"AAAAAFn6/5I=")</f>
        <v>#VALUE!</v>
      </c>
      <c r="ER75" t="e">
        <f>AND('PROG FORMACIÓN TITULADA'!O439,"AAAAAFn6/5M=")</f>
        <v>#VALUE!</v>
      </c>
      <c r="ES75" t="e">
        <f>AND('PROG FORMACIÓN TITULADA'!P439,"AAAAAFn6/5Q=")</f>
        <v>#VALUE!</v>
      </c>
      <c r="ET75" t="e">
        <f>AND('PROG FORMACIÓN TITULADA'!Q439,"AAAAAFn6/5U=")</f>
        <v>#VALUE!</v>
      </c>
      <c r="EU75" t="e">
        <f>AND('PROG FORMACIÓN TITULADA'!R439,"AAAAAFn6/5Y=")</f>
        <v>#VALUE!</v>
      </c>
      <c r="EV75" t="e">
        <f>AND('PROG FORMACIÓN TITULADA'!S439,"AAAAAFn6/5c=")</f>
        <v>#VALUE!</v>
      </c>
      <c r="EW75" t="e">
        <f>AND('PROG FORMACIÓN TITULADA'!T439,"AAAAAFn6/5g=")</f>
        <v>#VALUE!</v>
      </c>
      <c r="EX75" t="e">
        <f>AND('PROG FORMACIÓN TITULADA'!U439,"AAAAAFn6/5k=")</f>
        <v>#VALUE!</v>
      </c>
      <c r="EY75" t="e">
        <f>AND('PROG FORMACIÓN TITULADA'!V439,"AAAAAFn6/5o=")</f>
        <v>#VALUE!</v>
      </c>
      <c r="EZ75" t="e">
        <f>AND('PROG FORMACIÓN TITULADA'!W439,"AAAAAFn6/5s=")</f>
        <v>#VALUE!</v>
      </c>
      <c r="FA75" t="e">
        <f>AND('PROG FORMACIÓN TITULADA'!X439,"AAAAAFn6/5w=")</f>
        <v>#VALUE!</v>
      </c>
      <c r="FB75" t="e">
        <f>AND('PROG FORMACIÓN TITULADA'!Y439,"AAAAAFn6/50=")</f>
        <v>#VALUE!</v>
      </c>
      <c r="FC75" t="e">
        <f>AND('PROG FORMACIÓN TITULADA'!Z439,"AAAAAFn6/54=")</f>
        <v>#VALUE!</v>
      </c>
      <c r="FD75">
        <f>IF('PROG FORMACIÓN TITULADA'!440:440,"AAAAAFn6/58=",0)</f>
        <v>0</v>
      </c>
      <c r="FE75" t="e">
        <f>AND('PROG FORMACIÓN TITULADA'!#REF!,"AAAAAFn6/6A=")</f>
        <v>#REF!</v>
      </c>
      <c r="FF75" t="e">
        <f>AND('PROG FORMACIÓN TITULADA'!B440,"AAAAAFn6/6E=")</f>
        <v>#VALUE!</v>
      </c>
      <c r="FG75" t="e">
        <f>AND('PROG FORMACIÓN TITULADA'!A440,"AAAAAFn6/6I=")</f>
        <v>#VALUE!</v>
      </c>
      <c r="FH75" t="e">
        <f>AND('PROG FORMACIÓN TITULADA'!D440,"AAAAAFn6/6M=")</f>
        <v>#VALUE!</v>
      </c>
      <c r="FI75" t="e">
        <f>AND('PROG FORMACIÓN TITULADA'!E440,"AAAAAFn6/6Q=")</f>
        <v>#VALUE!</v>
      </c>
      <c r="FJ75" t="e">
        <f>AND('PROG FORMACIÓN TITULADA'!F440,"AAAAAFn6/6U=")</f>
        <v>#VALUE!</v>
      </c>
      <c r="FK75" t="e">
        <f>AND('PROG FORMACIÓN TITULADA'!G440,"AAAAAFn6/6Y=")</f>
        <v>#VALUE!</v>
      </c>
      <c r="FL75" t="e">
        <f>AND('PROG FORMACIÓN TITULADA'!H440,"AAAAAFn6/6c=")</f>
        <v>#VALUE!</v>
      </c>
      <c r="FM75" t="e">
        <f>AND('PROG FORMACIÓN TITULADA'!I440,"AAAAAFn6/6g=")</f>
        <v>#VALUE!</v>
      </c>
      <c r="FN75" t="e">
        <f>AND('PROG FORMACIÓN TITULADA'!J440,"AAAAAFn6/6k=")</f>
        <v>#VALUE!</v>
      </c>
      <c r="FO75" t="e">
        <f>AND('PROG FORMACIÓN TITULADA'!K440,"AAAAAFn6/6o=")</f>
        <v>#VALUE!</v>
      </c>
      <c r="FP75" t="e">
        <f>AND('PROG FORMACIÓN TITULADA'!L440,"AAAAAFn6/6s=")</f>
        <v>#VALUE!</v>
      </c>
      <c r="FQ75" t="e">
        <f>AND('PROG FORMACIÓN TITULADA'!M440,"AAAAAFn6/6w=")</f>
        <v>#VALUE!</v>
      </c>
      <c r="FR75" t="e">
        <f>AND('PROG FORMACIÓN TITULADA'!N440,"AAAAAFn6/60=")</f>
        <v>#VALUE!</v>
      </c>
      <c r="FS75" t="e">
        <f>AND('PROG FORMACIÓN TITULADA'!O440,"AAAAAFn6/64=")</f>
        <v>#VALUE!</v>
      </c>
      <c r="FT75" t="e">
        <f>AND('PROG FORMACIÓN TITULADA'!P440,"AAAAAFn6/68=")</f>
        <v>#VALUE!</v>
      </c>
      <c r="FU75" t="e">
        <f>AND('PROG FORMACIÓN TITULADA'!Q440,"AAAAAFn6/7A=")</f>
        <v>#VALUE!</v>
      </c>
      <c r="FV75" t="e">
        <f>AND('PROG FORMACIÓN TITULADA'!R440,"AAAAAFn6/7E=")</f>
        <v>#VALUE!</v>
      </c>
      <c r="FW75" t="e">
        <f>AND('PROG FORMACIÓN TITULADA'!S440,"AAAAAFn6/7I=")</f>
        <v>#VALUE!</v>
      </c>
      <c r="FX75" t="e">
        <f>AND('PROG FORMACIÓN TITULADA'!T440,"AAAAAFn6/7M=")</f>
        <v>#VALUE!</v>
      </c>
      <c r="FY75" t="e">
        <f>AND('PROG FORMACIÓN TITULADA'!U440,"AAAAAFn6/7Q=")</f>
        <v>#VALUE!</v>
      </c>
      <c r="FZ75" t="e">
        <f>AND('PROG FORMACIÓN TITULADA'!V440,"AAAAAFn6/7U=")</f>
        <v>#VALUE!</v>
      </c>
      <c r="GA75" t="e">
        <f>AND('PROG FORMACIÓN TITULADA'!W440,"AAAAAFn6/7Y=")</f>
        <v>#VALUE!</v>
      </c>
      <c r="GB75" t="e">
        <f>AND('PROG FORMACIÓN TITULADA'!X440,"AAAAAFn6/7c=")</f>
        <v>#VALUE!</v>
      </c>
      <c r="GC75" t="e">
        <f>AND('PROG FORMACIÓN TITULADA'!Y440,"AAAAAFn6/7g=")</f>
        <v>#VALUE!</v>
      </c>
      <c r="GD75" t="e">
        <f>AND('PROG FORMACIÓN TITULADA'!Z440,"AAAAAFn6/7k=")</f>
        <v>#VALUE!</v>
      </c>
      <c r="GE75">
        <f>IF('PROG FORMACIÓN TITULADA'!441:441,"AAAAAFn6/7o=",0)</f>
        <v>0</v>
      </c>
      <c r="GF75" t="e">
        <f>AND('PROG FORMACIÓN TITULADA'!#REF!,"AAAAAFn6/7s=")</f>
        <v>#REF!</v>
      </c>
      <c r="GG75" t="e">
        <f>AND('PROG FORMACIÓN TITULADA'!B441,"AAAAAFn6/7w=")</f>
        <v>#VALUE!</v>
      </c>
      <c r="GH75" t="e">
        <f>AND('PROG FORMACIÓN TITULADA'!A441,"AAAAAFn6/70=")</f>
        <v>#VALUE!</v>
      </c>
      <c r="GI75" t="e">
        <f>AND('PROG FORMACIÓN TITULADA'!D441,"AAAAAFn6/74=")</f>
        <v>#VALUE!</v>
      </c>
      <c r="GJ75" t="e">
        <f>AND('PROG FORMACIÓN TITULADA'!E441,"AAAAAFn6/78=")</f>
        <v>#VALUE!</v>
      </c>
      <c r="GK75" t="e">
        <f>AND('PROG FORMACIÓN TITULADA'!F441,"AAAAAFn6/8A=")</f>
        <v>#VALUE!</v>
      </c>
      <c r="GL75" t="e">
        <f>AND('PROG FORMACIÓN TITULADA'!G441,"AAAAAFn6/8E=")</f>
        <v>#VALUE!</v>
      </c>
      <c r="GM75" t="e">
        <f>AND('PROG FORMACIÓN TITULADA'!H441,"AAAAAFn6/8I=")</f>
        <v>#VALUE!</v>
      </c>
      <c r="GN75" t="e">
        <f>AND('PROG FORMACIÓN TITULADA'!I441,"AAAAAFn6/8M=")</f>
        <v>#VALUE!</v>
      </c>
      <c r="GO75" t="e">
        <f>AND('PROG FORMACIÓN TITULADA'!J441,"AAAAAFn6/8Q=")</f>
        <v>#VALUE!</v>
      </c>
      <c r="GP75" t="e">
        <f>AND('PROG FORMACIÓN TITULADA'!K441,"AAAAAFn6/8U=")</f>
        <v>#VALUE!</v>
      </c>
      <c r="GQ75" t="e">
        <f>AND('PROG FORMACIÓN TITULADA'!L441,"AAAAAFn6/8Y=")</f>
        <v>#VALUE!</v>
      </c>
      <c r="GR75" t="e">
        <f>AND('PROG FORMACIÓN TITULADA'!M441,"AAAAAFn6/8c=")</f>
        <v>#VALUE!</v>
      </c>
      <c r="GS75" t="e">
        <f>AND('PROG FORMACIÓN TITULADA'!N441,"AAAAAFn6/8g=")</f>
        <v>#VALUE!</v>
      </c>
      <c r="GT75" t="e">
        <f>AND('PROG FORMACIÓN TITULADA'!O441,"AAAAAFn6/8k=")</f>
        <v>#VALUE!</v>
      </c>
      <c r="GU75" t="e">
        <f>AND('PROG FORMACIÓN TITULADA'!P441,"AAAAAFn6/8o=")</f>
        <v>#VALUE!</v>
      </c>
      <c r="GV75" t="e">
        <f>AND('PROG FORMACIÓN TITULADA'!Q441,"AAAAAFn6/8s=")</f>
        <v>#VALUE!</v>
      </c>
      <c r="GW75" t="e">
        <f>AND('PROG FORMACIÓN TITULADA'!R441,"AAAAAFn6/8w=")</f>
        <v>#VALUE!</v>
      </c>
      <c r="GX75" t="e">
        <f>AND('PROG FORMACIÓN TITULADA'!S441,"AAAAAFn6/80=")</f>
        <v>#VALUE!</v>
      </c>
      <c r="GY75" t="e">
        <f>AND('PROG FORMACIÓN TITULADA'!T441,"AAAAAFn6/84=")</f>
        <v>#VALUE!</v>
      </c>
      <c r="GZ75" t="e">
        <f>AND('PROG FORMACIÓN TITULADA'!U441,"AAAAAFn6/88=")</f>
        <v>#VALUE!</v>
      </c>
      <c r="HA75" t="e">
        <f>AND('PROG FORMACIÓN TITULADA'!V441,"AAAAAFn6/9A=")</f>
        <v>#VALUE!</v>
      </c>
      <c r="HB75" t="e">
        <f>AND('PROG FORMACIÓN TITULADA'!W441,"AAAAAFn6/9E=")</f>
        <v>#VALUE!</v>
      </c>
      <c r="HC75" t="e">
        <f>AND('PROG FORMACIÓN TITULADA'!X441,"AAAAAFn6/9I=")</f>
        <v>#VALUE!</v>
      </c>
      <c r="HD75" t="e">
        <f>AND('PROG FORMACIÓN TITULADA'!Y441,"AAAAAFn6/9M=")</f>
        <v>#VALUE!</v>
      </c>
      <c r="HE75" t="e">
        <f>AND('PROG FORMACIÓN TITULADA'!Z441,"AAAAAFn6/9Q=")</f>
        <v>#VALUE!</v>
      </c>
      <c r="HF75" t="e">
        <f>IF('PROG FORMACIÓN TITULADA'!#REF!,"AAAAAFn6/9U=",0)</f>
        <v>#REF!</v>
      </c>
      <c r="HG75" t="e">
        <f>AND('PROG FORMACIÓN TITULADA'!#REF!,"AAAAAFn6/9Y=")</f>
        <v>#REF!</v>
      </c>
      <c r="HH75" t="e">
        <f>AND('PROG FORMACIÓN TITULADA'!#REF!,"AAAAAFn6/9c=")</f>
        <v>#REF!</v>
      </c>
      <c r="HI75" t="e">
        <f>AND('PROG FORMACIÓN TITULADA'!#REF!,"AAAAAFn6/9g=")</f>
        <v>#REF!</v>
      </c>
      <c r="HJ75" t="e">
        <f>AND('PROG FORMACIÓN TITULADA'!#REF!,"AAAAAFn6/9k=")</f>
        <v>#REF!</v>
      </c>
      <c r="HK75" t="e">
        <f>AND('PROG FORMACIÓN TITULADA'!#REF!,"AAAAAFn6/9o=")</f>
        <v>#REF!</v>
      </c>
      <c r="HL75" t="e">
        <f>AND('PROG FORMACIÓN TITULADA'!#REF!,"AAAAAFn6/9s=")</f>
        <v>#REF!</v>
      </c>
      <c r="HM75" t="e">
        <f>AND('PROG FORMACIÓN TITULADA'!#REF!,"AAAAAFn6/9w=")</f>
        <v>#REF!</v>
      </c>
      <c r="HN75" t="e">
        <f>AND('PROG FORMACIÓN TITULADA'!#REF!,"AAAAAFn6/90=")</f>
        <v>#REF!</v>
      </c>
      <c r="HO75" t="e">
        <f>AND('PROG FORMACIÓN TITULADA'!#REF!,"AAAAAFn6/94=")</f>
        <v>#REF!</v>
      </c>
      <c r="HP75" t="e">
        <f>AND('PROG FORMACIÓN TITULADA'!#REF!,"AAAAAFn6/98=")</f>
        <v>#REF!</v>
      </c>
      <c r="HQ75" t="e">
        <f>AND('PROG FORMACIÓN TITULADA'!#REF!,"AAAAAFn6/+A=")</f>
        <v>#REF!</v>
      </c>
      <c r="HR75" t="e">
        <f>AND('PROG FORMACIÓN TITULADA'!#REF!,"AAAAAFn6/+E=")</f>
        <v>#REF!</v>
      </c>
      <c r="HS75" t="e">
        <f>AND('PROG FORMACIÓN TITULADA'!#REF!,"AAAAAFn6/+I=")</f>
        <v>#REF!</v>
      </c>
      <c r="HT75" t="e">
        <f>AND('PROG FORMACIÓN TITULADA'!#REF!,"AAAAAFn6/+M=")</f>
        <v>#REF!</v>
      </c>
      <c r="HU75" t="e">
        <f>AND('PROG FORMACIÓN TITULADA'!#REF!,"AAAAAFn6/+Q=")</f>
        <v>#REF!</v>
      </c>
      <c r="HV75" t="e">
        <f>AND('PROG FORMACIÓN TITULADA'!#REF!,"AAAAAFn6/+U=")</f>
        <v>#REF!</v>
      </c>
      <c r="HW75" t="e">
        <f>AND('PROG FORMACIÓN TITULADA'!#REF!,"AAAAAFn6/+Y=")</f>
        <v>#REF!</v>
      </c>
      <c r="HX75" t="e">
        <f>AND('PROG FORMACIÓN TITULADA'!#REF!,"AAAAAFn6/+c=")</f>
        <v>#REF!</v>
      </c>
      <c r="HY75" t="e">
        <f>AND('PROG FORMACIÓN TITULADA'!#REF!,"AAAAAFn6/+g=")</f>
        <v>#REF!</v>
      </c>
      <c r="HZ75" t="e">
        <f>AND('PROG FORMACIÓN TITULADA'!#REF!,"AAAAAFn6/+k=")</f>
        <v>#REF!</v>
      </c>
      <c r="IA75" t="e">
        <f>AND('PROG FORMACIÓN TITULADA'!#REF!,"AAAAAFn6/+o=")</f>
        <v>#REF!</v>
      </c>
      <c r="IB75" t="e">
        <f>AND('PROG FORMACIÓN TITULADA'!#REF!,"AAAAAFn6/+s=")</f>
        <v>#REF!</v>
      </c>
      <c r="IC75" t="e">
        <f>AND('PROG FORMACIÓN TITULADA'!#REF!,"AAAAAFn6/+w=")</f>
        <v>#REF!</v>
      </c>
      <c r="ID75" t="e">
        <f>AND('PROG FORMACIÓN TITULADA'!#REF!,"AAAAAFn6/+0=")</f>
        <v>#REF!</v>
      </c>
      <c r="IE75" t="e">
        <f>AND('PROG FORMACIÓN TITULADA'!#REF!,"AAAAAFn6/+4=")</f>
        <v>#REF!</v>
      </c>
      <c r="IF75" t="e">
        <f>AND('PROG FORMACIÓN TITULADA'!#REF!,"AAAAAFn6/+8=")</f>
        <v>#REF!</v>
      </c>
      <c r="IG75" t="e">
        <f>IF('PROG FORMACIÓN TITULADA'!#REF!,"AAAAAFn6//A=",0)</f>
        <v>#REF!</v>
      </c>
      <c r="IH75" t="e">
        <f>AND('PROG FORMACIÓN TITULADA'!#REF!,"AAAAAFn6//E=")</f>
        <v>#REF!</v>
      </c>
      <c r="II75" t="e">
        <f>AND('PROG FORMACIÓN TITULADA'!#REF!,"AAAAAFn6//I=")</f>
        <v>#REF!</v>
      </c>
      <c r="IJ75" t="e">
        <f>AND('PROG FORMACIÓN TITULADA'!#REF!,"AAAAAFn6//M=")</f>
        <v>#REF!</v>
      </c>
      <c r="IK75" t="e">
        <f>AND('PROG FORMACIÓN TITULADA'!#REF!,"AAAAAFn6//Q=")</f>
        <v>#REF!</v>
      </c>
      <c r="IL75" t="e">
        <f>AND('PROG FORMACIÓN TITULADA'!#REF!,"AAAAAFn6//U=")</f>
        <v>#REF!</v>
      </c>
      <c r="IM75" t="e">
        <f>AND('PROG FORMACIÓN TITULADA'!#REF!,"AAAAAFn6//Y=")</f>
        <v>#REF!</v>
      </c>
      <c r="IN75" t="e">
        <f>AND('PROG FORMACIÓN TITULADA'!#REF!,"AAAAAFn6//c=")</f>
        <v>#REF!</v>
      </c>
      <c r="IO75" t="e">
        <f>AND('PROG FORMACIÓN TITULADA'!#REF!,"AAAAAFn6//g=")</f>
        <v>#REF!</v>
      </c>
      <c r="IP75" t="e">
        <f>AND('PROG FORMACIÓN TITULADA'!#REF!,"AAAAAFn6//k=")</f>
        <v>#REF!</v>
      </c>
      <c r="IQ75" t="e">
        <f>AND('PROG FORMACIÓN TITULADA'!#REF!,"AAAAAFn6//o=")</f>
        <v>#REF!</v>
      </c>
      <c r="IR75" t="e">
        <f>AND('PROG FORMACIÓN TITULADA'!#REF!,"AAAAAFn6//s=")</f>
        <v>#REF!</v>
      </c>
      <c r="IS75" t="e">
        <f>AND('PROG FORMACIÓN TITULADA'!#REF!,"AAAAAFn6//w=")</f>
        <v>#REF!</v>
      </c>
      <c r="IT75" t="e">
        <f>AND('PROG FORMACIÓN TITULADA'!#REF!,"AAAAAFn6//0=")</f>
        <v>#REF!</v>
      </c>
      <c r="IU75" t="e">
        <f>AND('PROG FORMACIÓN TITULADA'!#REF!,"AAAAAFn6//4=")</f>
        <v>#REF!</v>
      </c>
      <c r="IV75" t="e">
        <f>AND('PROG FORMACIÓN TITULADA'!#REF!,"AAAAAFn6//8=")</f>
        <v>#REF!</v>
      </c>
    </row>
    <row r="76" spans="1:256" x14ac:dyDescent="0.2">
      <c r="A76" t="e">
        <f>AND('PROG FORMACIÓN TITULADA'!#REF!,"AAAAAFP/3wA=")</f>
        <v>#REF!</v>
      </c>
      <c r="B76" t="e">
        <f>AND('PROG FORMACIÓN TITULADA'!#REF!,"AAAAAFP/3wE=")</f>
        <v>#REF!</v>
      </c>
      <c r="C76" t="e">
        <f>AND('PROG FORMACIÓN TITULADA'!#REF!,"AAAAAFP/3wI=")</f>
        <v>#REF!</v>
      </c>
      <c r="D76" t="e">
        <f>AND('PROG FORMACIÓN TITULADA'!#REF!,"AAAAAFP/3wM=")</f>
        <v>#REF!</v>
      </c>
      <c r="E76" t="e">
        <f>AND('PROG FORMACIÓN TITULADA'!#REF!,"AAAAAFP/3wQ=")</f>
        <v>#REF!</v>
      </c>
      <c r="F76" t="e">
        <f>AND('PROG FORMACIÓN TITULADA'!#REF!,"AAAAAFP/3wU=")</f>
        <v>#REF!</v>
      </c>
      <c r="G76" t="e">
        <f>AND('PROG FORMACIÓN TITULADA'!#REF!,"AAAAAFP/3wY=")</f>
        <v>#REF!</v>
      </c>
      <c r="H76" t="e">
        <f>AND('PROG FORMACIÓN TITULADA'!#REF!,"AAAAAFP/3wc=")</f>
        <v>#REF!</v>
      </c>
      <c r="I76" t="e">
        <f>AND('PROG FORMACIÓN TITULADA'!#REF!,"AAAAAFP/3wg=")</f>
        <v>#REF!</v>
      </c>
      <c r="J76" t="e">
        <f>AND('PROG FORMACIÓN TITULADA'!#REF!,"AAAAAFP/3wk=")</f>
        <v>#REF!</v>
      </c>
      <c r="K76" t="e">
        <f>AND('PROG FORMACIÓN TITULADA'!#REF!,"AAAAAFP/3wo=")</f>
        <v>#REF!</v>
      </c>
      <c r="L76" t="str">
        <f>IF('PROG FORMACIÓN TITULADA'!442:442,"AAAAAFP/3ws=",0)</f>
        <v>AAAAAFP/3ws=</v>
      </c>
      <c r="M76" t="e">
        <f>AND('PROG FORMACIÓN TITULADA'!#REF!,"AAAAAFP/3ww=")</f>
        <v>#REF!</v>
      </c>
      <c r="N76" t="e">
        <f>AND('PROG FORMACIÓN TITULADA'!B442,"AAAAAFP/3w0=")</f>
        <v>#VALUE!</v>
      </c>
      <c r="O76" t="e">
        <f>AND('PROG FORMACIÓN TITULADA'!A442,"AAAAAFP/3w4=")</f>
        <v>#VALUE!</v>
      </c>
      <c r="P76" t="e">
        <f>AND('PROG FORMACIÓN TITULADA'!D442,"AAAAAFP/3w8=")</f>
        <v>#VALUE!</v>
      </c>
      <c r="Q76" t="e">
        <f>AND('PROG FORMACIÓN TITULADA'!E442,"AAAAAFP/3xA=")</f>
        <v>#VALUE!</v>
      </c>
      <c r="R76" t="e">
        <f>AND('PROG FORMACIÓN TITULADA'!F442,"AAAAAFP/3xE=")</f>
        <v>#VALUE!</v>
      </c>
      <c r="S76" t="e">
        <f>AND('PROG FORMACIÓN TITULADA'!G442,"AAAAAFP/3xI=")</f>
        <v>#VALUE!</v>
      </c>
      <c r="T76" t="e">
        <f>AND('PROG FORMACIÓN TITULADA'!H442,"AAAAAFP/3xM=")</f>
        <v>#VALUE!</v>
      </c>
      <c r="U76" t="e">
        <f>AND('PROG FORMACIÓN TITULADA'!I442,"AAAAAFP/3xQ=")</f>
        <v>#VALUE!</v>
      </c>
      <c r="V76" t="e">
        <f>AND('PROG FORMACIÓN TITULADA'!J442,"AAAAAFP/3xU=")</f>
        <v>#VALUE!</v>
      </c>
      <c r="W76" t="e">
        <f>AND('PROG FORMACIÓN TITULADA'!K442,"AAAAAFP/3xY=")</f>
        <v>#VALUE!</v>
      </c>
      <c r="X76" t="e">
        <f>AND('PROG FORMACIÓN TITULADA'!L442,"AAAAAFP/3xc=")</f>
        <v>#VALUE!</v>
      </c>
      <c r="Y76" t="e">
        <f>AND('PROG FORMACIÓN TITULADA'!M442,"AAAAAFP/3xg=")</f>
        <v>#VALUE!</v>
      </c>
      <c r="Z76" t="e">
        <f>AND('PROG FORMACIÓN TITULADA'!N442,"AAAAAFP/3xk=")</f>
        <v>#VALUE!</v>
      </c>
      <c r="AA76" t="e">
        <f>AND('PROG FORMACIÓN TITULADA'!O442,"AAAAAFP/3xo=")</f>
        <v>#VALUE!</v>
      </c>
      <c r="AB76" t="e">
        <f>AND('PROG FORMACIÓN TITULADA'!P442,"AAAAAFP/3xs=")</f>
        <v>#VALUE!</v>
      </c>
      <c r="AC76" t="e">
        <f>AND('PROG FORMACIÓN TITULADA'!Q442,"AAAAAFP/3xw=")</f>
        <v>#VALUE!</v>
      </c>
      <c r="AD76" t="e">
        <f>AND('PROG FORMACIÓN TITULADA'!R442,"AAAAAFP/3x0=")</f>
        <v>#VALUE!</v>
      </c>
      <c r="AE76" t="e">
        <f>AND('PROG FORMACIÓN TITULADA'!S442,"AAAAAFP/3x4=")</f>
        <v>#VALUE!</v>
      </c>
      <c r="AF76" t="e">
        <f>AND('PROG FORMACIÓN TITULADA'!T442,"AAAAAFP/3x8=")</f>
        <v>#VALUE!</v>
      </c>
      <c r="AG76" t="e">
        <f>AND('PROG FORMACIÓN TITULADA'!U442,"AAAAAFP/3yA=")</f>
        <v>#VALUE!</v>
      </c>
      <c r="AH76" t="e">
        <f>AND('PROG FORMACIÓN TITULADA'!V442,"AAAAAFP/3yE=")</f>
        <v>#VALUE!</v>
      </c>
      <c r="AI76" t="e">
        <f>AND('PROG FORMACIÓN TITULADA'!W442,"AAAAAFP/3yI=")</f>
        <v>#VALUE!</v>
      </c>
      <c r="AJ76" t="e">
        <f>AND('PROG FORMACIÓN TITULADA'!X442,"AAAAAFP/3yM=")</f>
        <v>#VALUE!</v>
      </c>
      <c r="AK76" t="e">
        <f>AND('PROG FORMACIÓN TITULADA'!Y442,"AAAAAFP/3yQ=")</f>
        <v>#VALUE!</v>
      </c>
      <c r="AL76" t="e">
        <f>AND('PROG FORMACIÓN TITULADA'!Z442,"AAAAAFP/3yU=")</f>
        <v>#VALUE!</v>
      </c>
      <c r="AM76">
        <f>IF('PROG FORMACIÓN TITULADA'!443:443,"AAAAAFP/3yY=",0)</f>
        <v>0</v>
      </c>
      <c r="AN76" t="e">
        <f>AND('PROG FORMACIÓN TITULADA'!#REF!,"AAAAAFP/3yc=")</f>
        <v>#REF!</v>
      </c>
      <c r="AO76" t="e">
        <f>AND('PROG FORMACIÓN TITULADA'!B443,"AAAAAFP/3yg=")</f>
        <v>#VALUE!</v>
      </c>
      <c r="AP76" t="e">
        <f>AND('PROG FORMACIÓN TITULADA'!A443,"AAAAAFP/3yk=")</f>
        <v>#VALUE!</v>
      </c>
      <c r="AQ76" t="e">
        <f>AND('PROG FORMACIÓN TITULADA'!D443,"AAAAAFP/3yo=")</f>
        <v>#VALUE!</v>
      </c>
      <c r="AR76" t="e">
        <f>AND('PROG FORMACIÓN TITULADA'!E443,"AAAAAFP/3ys=")</f>
        <v>#VALUE!</v>
      </c>
      <c r="AS76" t="e">
        <f>AND('PROG FORMACIÓN TITULADA'!F443,"AAAAAFP/3yw=")</f>
        <v>#VALUE!</v>
      </c>
      <c r="AT76" t="e">
        <f>AND('PROG FORMACIÓN TITULADA'!G443,"AAAAAFP/3y0=")</f>
        <v>#VALUE!</v>
      </c>
      <c r="AU76" t="e">
        <f>AND('PROG FORMACIÓN TITULADA'!H443,"AAAAAFP/3y4=")</f>
        <v>#VALUE!</v>
      </c>
      <c r="AV76" t="e">
        <f>AND('PROG FORMACIÓN TITULADA'!I443,"AAAAAFP/3y8=")</f>
        <v>#VALUE!</v>
      </c>
      <c r="AW76" t="e">
        <f>AND('PROG FORMACIÓN TITULADA'!J443,"AAAAAFP/3zA=")</f>
        <v>#VALUE!</v>
      </c>
      <c r="AX76" t="e">
        <f>AND('PROG FORMACIÓN TITULADA'!K443,"AAAAAFP/3zE=")</f>
        <v>#VALUE!</v>
      </c>
      <c r="AY76" t="e">
        <f>AND('PROG FORMACIÓN TITULADA'!L443,"AAAAAFP/3zI=")</f>
        <v>#VALUE!</v>
      </c>
      <c r="AZ76" t="e">
        <f>AND('PROG FORMACIÓN TITULADA'!M443,"AAAAAFP/3zM=")</f>
        <v>#VALUE!</v>
      </c>
      <c r="BA76" t="e">
        <f>AND('PROG FORMACIÓN TITULADA'!N443,"AAAAAFP/3zQ=")</f>
        <v>#VALUE!</v>
      </c>
      <c r="BB76" t="e">
        <f>AND('PROG FORMACIÓN TITULADA'!O443,"AAAAAFP/3zU=")</f>
        <v>#VALUE!</v>
      </c>
      <c r="BC76" t="e">
        <f>AND('PROG FORMACIÓN TITULADA'!P443,"AAAAAFP/3zY=")</f>
        <v>#VALUE!</v>
      </c>
      <c r="BD76" t="e">
        <f>AND('PROG FORMACIÓN TITULADA'!Q443,"AAAAAFP/3zc=")</f>
        <v>#VALUE!</v>
      </c>
      <c r="BE76" t="e">
        <f>AND('PROG FORMACIÓN TITULADA'!R443,"AAAAAFP/3zg=")</f>
        <v>#VALUE!</v>
      </c>
      <c r="BF76" t="e">
        <f>AND('PROG FORMACIÓN TITULADA'!S443,"AAAAAFP/3zk=")</f>
        <v>#VALUE!</v>
      </c>
      <c r="BG76" t="e">
        <f>AND('PROG FORMACIÓN TITULADA'!T443,"AAAAAFP/3zo=")</f>
        <v>#VALUE!</v>
      </c>
      <c r="BH76" t="e">
        <f>AND('PROG FORMACIÓN TITULADA'!U443,"AAAAAFP/3zs=")</f>
        <v>#VALUE!</v>
      </c>
      <c r="BI76" t="e">
        <f>AND('PROG FORMACIÓN TITULADA'!V443,"AAAAAFP/3zw=")</f>
        <v>#VALUE!</v>
      </c>
      <c r="BJ76" t="e">
        <f>AND('PROG FORMACIÓN TITULADA'!W443,"AAAAAFP/3z0=")</f>
        <v>#VALUE!</v>
      </c>
      <c r="BK76" t="e">
        <f>AND('PROG FORMACIÓN TITULADA'!X443,"AAAAAFP/3z4=")</f>
        <v>#VALUE!</v>
      </c>
      <c r="BL76" t="e">
        <f>AND('PROG FORMACIÓN TITULADA'!Y443,"AAAAAFP/3z8=")</f>
        <v>#VALUE!</v>
      </c>
      <c r="BM76" t="e">
        <f>AND('PROG FORMACIÓN TITULADA'!Z443,"AAAAAFP/30A=")</f>
        <v>#VALUE!</v>
      </c>
      <c r="BN76" t="e">
        <f>IF('PROG FORMACIÓN TITULADA'!#REF!,"AAAAAFP/30E=",0)</f>
        <v>#REF!</v>
      </c>
      <c r="BO76" t="e">
        <f>AND('PROG FORMACIÓN TITULADA'!#REF!,"AAAAAFP/30I=")</f>
        <v>#REF!</v>
      </c>
      <c r="BP76" t="e">
        <f>AND('PROG FORMACIÓN TITULADA'!#REF!,"AAAAAFP/30M=")</f>
        <v>#REF!</v>
      </c>
      <c r="BQ76" t="e">
        <f>AND('PROG FORMACIÓN TITULADA'!#REF!,"AAAAAFP/30Q=")</f>
        <v>#REF!</v>
      </c>
      <c r="BR76" t="e">
        <f>AND('PROG FORMACIÓN TITULADA'!#REF!,"AAAAAFP/30U=")</f>
        <v>#REF!</v>
      </c>
      <c r="BS76" t="e">
        <f>AND('PROG FORMACIÓN TITULADA'!#REF!,"AAAAAFP/30Y=")</f>
        <v>#REF!</v>
      </c>
      <c r="BT76" t="e">
        <f>AND('PROG FORMACIÓN TITULADA'!#REF!,"AAAAAFP/30c=")</f>
        <v>#REF!</v>
      </c>
      <c r="BU76" t="e">
        <f>AND('PROG FORMACIÓN TITULADA'!#REF!,"AAAAAFP/30g=")</f>
        <v>#REF!</v>
      </c>
      <c r="BV76" t="e">
        <f>AND('PROG FORMACIÓN TITULADA'!#REF!,"AAAAAFP/30k=")</f>
        <v>#REF!</v>
      </c>
      <c r="BW76" t="e">
        <f>AND('PROG FORMACIÓN TITULADA'!#REF!,"AAAAAFP/30o=")</f>
        <v>#REF!</v>
      </c>
      <c r="BX76" t="e">
        <f>AND('PROG FORMACIÓN TITULADA'!#REF!,"AAAAAFP/30s=")</f>
        <v>#REF!</v>
      </c>
      <c r="BY76" t="e">
        <f>AND('PROG FORMACIÓN TITULADA'!#REF!,"AAAAAFP/30w=")</f>
        <v>#REF!</v>
      </c>
      <c r="BZ76" t="e">
        <f>AND('PROG FORMACIÓN TITULADA'!#REF!,"AAAAAFP/300=")</f>
        <v>#REF!</v>
      </c>
      <c r="CA76" t="e">
        <f>AND('PROG FORMACIÓN TITULADA'!#REF!,"AAAAAFP/304=")</f>
        <v>#REF!</v>
      </c>
      <c r="CB76" t="e">
        <f>AND('PROG FORMACIÓN TITULADA'!#REF!,"AAAAAFP/308=")</f>
        <v>#REF!</v>
      </c>
      <c r="CC76" t="e">
        <f>AND('PROG FORMACIÓN TITULADA'!#REF!,"AAAAAFP/31A=")</f>
        <v>#REF!</v>
      </c>
      <c r="CD76" t="e">
        <f>AND('PROG FORMACIÓN TITULADA'!#REF!,"AAAAAFP/31E=")</f>
        <v>#REF!</v>
      </c>
      <c r="CE76" t="e">
        <f>AND('PROG FORMACIÓN TITULADA'!#REF!,"AAAAAFP/31I=")</f>
        <v>#REF!</v>
      </c>
      <c r="CF76" t="e">
        <f>AND('PROG FORMACIÓN TITULADA'!#REF!,"AAAAAFP/31M=")</f>
        <v>#REF!</v>
      </c>
      <c r="CG76" t="e">
        <f>AND('PROG FORMACIÓN TITULADA'!#REF!,"AAAAAFP/31Q=")</f>
        <v>#REF!</v>
      </c>
      <c r="CH76" t="e">
        <f>AND('PROG FORMACIÓN TITULADA'!#REF!,"AAAAAFP/31U=")</f>
        <v>#REF!</v>
      </c>
      <c r="CI76" t="e">
        <f>AND('PROG FORMACIÓN TITULADA'!#REF!,"AAAAAFP/31Y=")</f>
        <v>#REF!</v>
      </c>
      <c r="CJ76" t="e">
        <f>AND('PROG FORMACIÓN TITULADA'!#REF!,"AAAAAFP/31c=")</f>
        <v>#REF!</v>
      </c>
      <c r="CK76" t="e">
        <f>AND('PROG FORMACIÓN TITULADA'!#REF!,"AAAAAFP/31g=")</f>
        <v>#REF!</v>
      </c>
      <c r="CL76" t="e">
        <f>AND('PROG FORMACIÓN TITULADA'!#REF!,"AAAAAFP/31k=")</f>
        <v>#REF!</v>
      </c>
      <c r="CM76" t="e">
        <f>AND('PROG FORMACIÓN TITULADA'!#REF!,"AAAAAFP/31o=")</f>
        <v>#REF!</v>
      </c>
      <c r="CN76" t="e">
        <f>AND('PROG FORMACIÓN TITULADA'!#REF!,"AAAAAFP/31s=")</f>
        <v>#REF!</v>
      </c>
      <c r="CO76">
        <f>IF('PROG FORMACIÓN TITULADA'!444:444,"AAAAAFP/31w=",0)</f>
        <v>0</v>
      </c>
      <c r="CP76" t="e">
        <f>AND('PROG FORMACIÓN TITULADA'!#REF!,"AAAAAFP/310=")</f>
        <v>#REF!</v>
      </c>
      <c r="CQ76" t="e">
        <f>AND('PROG FORMACIÓN TITULADA'!B444,"AAAAAFP/314=")</f>
        <v>#VALUE!</v>
      </c>
      <c r="CR76" t="e">
        <f>AND('PROG FORMACIÓN TITULADA'!A444,"AAAAAFP/318=")</f>
        <v>#VALUE!</v>
      </c>
      <c r="CS76" t="e">
        <f>AND('PROG FORMACIÓN TITULADA'!D444,"AAAAAFP/32A=")</f>
        <v>#VALUE!</v>
      </c>
      <c r="CT76" t="e">
        <f>AND('PROG FORMACIÓN TITULADA'!E444,"AAAAAFP/32E=")</f>
        <v>#VALUE!</v>
      </c>
      <c r="CU76" t="e">
        <f>AND('PROG FORMACIÓN TITULADA'!F444,"AAAAAFP/32I=")</f>
        <v>#VALUE!</v>
      </c>
      <c r="CV76" t="e">
        <f>AND('PROG FORMACIÓN TITULADA'!G444,"AAAAAFP/32M=")</f>
        <v>#VALUE!</v>
      </c>
      <c r="CW76" t="e">
        <f>AND('PROG FORMACIÓN TITULADA'!H444,"AAAAAFP/32Q=")</f>
        <v>#VALUE!</v>
      </c>
      <c r="CX76" t="e">
        <f>AND('PROG FORMACIÓN TITULADA'!I444,"AAAAAFP/32U=")</f>
        <v>#VALUE!</v>
      </c>
      <c r="CY76" t="e">
        <f>AND('PROG FORMACIÓN TITULADA'!J444,"AAAAAFP/32Y=")</f>
        <v>#VALUE!</v>
      </c>
      <c r="CZ76" t="e">
        <f>AND('PROG FORMACIÓN TITULADA'!K444,"AAAAAFP/32c=")</f>
        <v>#VALUE!</v>
      </c>
      <c r="DA76" t="e">
        <f>AND('PROG FORMACIÓN TITULADA'!L444,"AAAAAFP/32g=")</f>
        <v>#VALUE!</v>
      </c>
      <c r="DB76" t="e">
        <f>AND('PROG FORMACIÓN TITULADA'!M444,"AAAAAFP/32k=")</f>
        <v>#VALUE!</v>
      </c>
      <c r="DC76" t="e">
        <f>AND('PROG FORMACIÓN TITULADA'!N444,"AAAAAFP/32o=")</f>
        <v>#VALUE!</v>
      </c>
      <c r="DD76" t="e">
        <f>AND('PROG FORMACIÓN TITULADA'!O444,"AAAAAFP/32s=")</f>
        <v>#VALUE!</v>
      </c>
      <c r="DE76" t="e">
        <f>AND('PROG FORMACIÓN TITULADA'!P444,"AAAAAFP/32w=")</f>
        <v>#VALUE!</v>
      </c>
      <c r="DF76" t="e">
        <f>AND('PROG FORMACIÓN TITULADA'!Q444,"AAAAAFP/320=")</f>
        <v>#VALUE!</v>
      </c>
      <c r="DG76" t="e">
        <f>AND('PROG FORMACIÓN TITULADA'!R444,"AAAAAFP/324=")</f>
        <v>#VALUE!</v>
      </c>
      <c r="DH76" t="e">
        <f>AND('PROG FORMACIÓN TITULADA'!S444,"AAAAAFP/328=")</f>
        <v>#VALUE!</v>
      </c>
      <c r="DI76" t="e">
        <f>AND('PROG FORMACIÓN TITULADA'!T444,"AAAAAFP/33A=")</f>
        <v>#VALUE!</v>
      </c>
      <c r="DJ76" t="e">
        <f>AND('PROG FORMACIÓN TITULADA'!U444,"AAAAAFP/33E=")</f>
        <v>#VALUE!</v>
      </c>
      <c r="DK76" t="e">
        <f>AND('PROG FORMACIÓN TITULADA'!V444,"AAAAAFP/33I=")</f>
        <v>#VALUE!</v>
      </c>
      <c r="DL76" t="e">
        <f>AND('PROG FORMACIÓN TITULADA'!W444,"AAAAAFP/33M=")</f>
        <v>#VALUE!</v>
      </c>
      <c r="DM76" t="e">
        <f>AND('PROG FORMACIÓN TITULADA'!X444,"AAAAAFP/33Q=")</f>
        <v>#VALUE!</v>
      </c>
      <c r="DN76" t="e">
        <f>AND('PROG FORMACIÓN TITULADA'!Y444,"AAAAAFP/33U=")</f>
        <v>#VALUE!</v>
      </c>
      <c r="DO76" t="e">
        <f>AND('PROG FORMACIÓN TITULADA'!Z444,"AAAAAFP/33Y=")</f>
        <v>#VALUE!</v>
      </c>
      <c r="DP76">
        <f>IF('PROG FORMACIÓN TITULADA'!445:445,"AAAAAFP/33c=",0)</f>
        <v>0</v>
      </c>
      <c r="DQ76" t="e">
        <f>AND('PROG FORMACIÓN TITULADA'!#REF!,"AAAAAFP/33g=")</f>
        <v>#REF!</v>
      </c>
      <c r="DR76" t="e">
        <f>AND('PROG FORMACIÓN TITULADA'!B445,"AAAAAFP/33k=")</f>
        <v>#VALUE!</v>
      </c>
      <c r="DS76" t="e">
        <f>AND('PROG FORMACIÓN TITULADA'!A445,"AAAAAFP/33o=")</f>
        <v>#VALUE!</v>
      </c>
      <c r="DT76" t="e">
        <f>AND('PROG FORMACIÓN TITULADA'!D445,"AAAAAFP/33s=")</f>
        <v>#VALUE!</v>
      </c>
      <c r="DU76" t="e">
        <f>AND('PROG FORMACIÓN TITULADA'!E445,"AAAAAFP/33w=")</f>
        <v>#VALUE!</v>
      </c>
      <c r="DV76" t="e">
        <f>AND('PROG FORMACIÓN TITULADA'!F445,"AAAAAFP/330=")</f>
        <v>#VALUE!</v>
      </c>
      <c r="DW76" t="e">
        <f>AND('PROG FORMACIÓN TITULADA'!G445,"AAAAAFP/334=")</f>
        <v>#VALUE!</v>
      </c>
      <c r="DX76" t="e">
        <f>AND('PROG FORMACIÓN TITULADA'!H445,"AAAAAFP/338=")</f>
        <v>#VALUE!</v>
      </c>
      <c r="DY76" t="e">
        <f>AND('PROG FORMACIÓN TITULADA'!I445,"AAAAAFP/34A=")</f>
        <v>#VALUE!</v>
      </c>
      <c r="DZ76" t="e">
        <f>AND('PROG FORMACIÓN TITULADA'!J445,"AAAAAFP/34E=")</f>
        <v>#VALUE!</v>
      </c>
      <c r="EA76" t="e">
        <f>AND('PROG FORMACIÓN TITULADA'!K445,"AAAAAFP/34I=")</f>
        <v>#VALUE!</v>
      </c>
      <c r="EB76" t="e">
        <f>AND('PROG FORMACIÓN TITULADA'!L445,"AAAAAFP/34M=")</f>
        <v>#VALUE!</v>
      </c>
      <c r="EC76" t="e">
        <f>AND('PROG FORMACIÓN TITULADA'!M445,"AAAAAFP/34Q=")</f>
        <v>#VALUE!</v>
      </c>
      <c r="ED76" t="e">
        <f>AND('PROG FORMACIÓN TITULADA'!N445,"AAAAAFP/34U=")</f>
        <v>#VALUE!</v>
      </c>
      <c r="EE76" t="e">
        <f>AND('PROG FORMACIÓN TITULADA'!O445,"AAAAAFP/34Y=")</f>
        <v>#VALUE!</v>
      </c>
      <c r="EF76" t="e">
        <f>AND('PROG FORMACIÓN TITULADA'!P445,"AAAAAFP/34c=")</f>
        <v>#VALUE!</v>
      </c>
      <c r="EG76" t="e">
        <f>AND('PROG FORMACIÓN TITULADA'!Q445,"AAAAAFP/34g=")</f>
        <v>#VALUE!</v>
      </c>
      <c r="EH76" t="e">
        <f>AND('PROG FORMACIÓN TITULADA'!R445,"AAAAAFP/34k=")</f>
        <v>#VALUE!</v>
      </c>
      <c r="EI76" t="e">
        <f>AND('PROG FORMACIÓN TITULADA'!S445,"AAAAAFP/34o=")</f>
        <v>#VALUE!</v>
      </c>
      <c r="EJ76" t="e">
        <f>AND('PROG FORMACIÓN TITULADA'!T445,"AAAAAFP/34s=")</f>
        <v>#VALUE!</v>
      </c>
      <c r="EK76" t="e">
        <f>AND('PROG FORMACIÓN TITULADA'!U445,"AAAAAFP/34w=")</f>
        <v>#VALUE!</v>
      </c>
      <c r="EL76" t="e">
        <f>AND('PROG FORMACIÓN TITULADA'!V445,"AAAAAFP/340=")</f>
        <v>#VALUE!</v>
      </c>
      <c r="EM76" t="e">
        <f>AND('PROG FORMACIÓN TITULADA'!W445,"AAAAAFP/344=")</f>
        <v>#VALUE!</v>
      </c>
      <c r="EN76" t="e">
        <f>AND('PROG FORMACIÓN TITULADA'!X445,"AAAAAFP/348=")</f>
        <v>#VALUE!</v>
      </c>
      <c r="EO76" t="e">
        <f>AND('PROG FORMACIÓN TITULADA'!Y445,"AAAAAFP/35A=")</f>
        <v>#VALUE!</v>
      </c>
      <c r="EP76" t="e">
        <f>AND('PROG FORMACIÓN TITULADA'!Z445,"AAAAAFP/35E=")</f>
        <v>#VALUE!</v>
      </c>
      <c r="EQ76">
        <f>IF('PROG FORMACIÓN TITULADA'!446:446,"AAAAAFP/35I=",0)</f>
        <v>0</v>
      </c>
      <c r="ER76" t="e">
        <f>AND('PROG FORMACIÓN TITULADA'!#REF!,"AAAAAFP/35M=")</f>
        <v>#REF!</v>
      </c>
      <c r="ES76" t="e">
        <f>AND('PROG FORMACIÓN TITULADA'!B446,"AAAAAFP/35Q=")</f>
        <v>#VALUE!</v>
      </c>
      <c r="ET76" t="e">
        <f>AND('PROG FORMACIÓN TITULADA'!A446,"AAAAAFP/35U=")</f>
        <v>#VALUE!</v>
      </c>
      <c r="EU76" t="e">
        <f>AND('PROG FORMACIÓN TITULADA'!D446,"AAAAAFP/35Y=")</f>
        <v>#VALUE!</v>
      </c>
      <c r="EV76" t="e">
        <f>AND('PROG FORMACIÓN TITULADA'!E446,"AAAAAFP/35c=")</f>
        <v>#VALUE!</v>
      </c>
      <c r="EW76" t="e">
        <f>AND('PROG FORMACIÓN TITULADA'!F446,"AAAAAFP/35g=")</f>
        <v>#VALUE!</v>
      </c>
      <c r="EX76" t="e">
        <f>AND('PROG FORMACIÓN TITULADA'!G446,"AAAAAFP/35k=")</f>
        <v>#VALUE!</v>
      </c>
      <c r="EY76" t="e">
        <f>AND('PROG FORMACIÓN TITULADA'!H446,"AAAAAFP/35o=")</f>
        <v>#VALUE!</v>
      </c>
      <c r="EZ76" t="e">
        <f>AND('PROG FORMACIÓN TITULADA'!I446,"AAAAAFP/35s=")</f>
        <v>#VALUE!</v>
      </c>
      <c r="FA76" t="e">
        <f>AND('PROG FORMACIÓN TITULADA'!J446,"AAAAAFP/35w=")</f>
        <v>#VALUE!</v>
      </c>
      <c r="FB76" t="e">
        <f>AND('PROG FORMACIÓN TITULADA'!K446,"AAAAAFP/350=")</f>
        <v>#VALUE!</v>
      </c>
      <c r="FC76" t="e">
        <f>AND('PROG FORMACIÓN TITULADA'!L446,"AAAAAFP/354=")</f>
        <v>#VALUE!</v>
      </c>
      <c r="FD76" t="e">
        <f>AND('PROG FORMACIÓN TITULADA'!M446,"AAAAAFP/358=")</f>
        <v>#VALUE!</v>
      </c>
      <c r="FE76" t="e">
        <f>AND('PROG FORMACIÓN TITULADA'!N446,"AAAAAFP/36A=")</f>
        <v>#VALUE!</v>
      </c>
      <c r="FF76" t="e">
        <f>AND('PROG FORMACIÓN TITULADA'!O446,"AAAAAFP/36E=")</f>
        <v>#VALUE!</v>
      </c>
      <c r="FG76" t="e">
        <f>AND('PROG FORMACIÓN TITULADA'!P446,"AAAAAFP/36I=")</f>
        <v>#VALUE!</v>
      </c>
      <c r="FH76" t="e">
        <f>AND('PROG FORMACIÓN TITULADA'!Q446,"AAAAAFP/36M=")</f>
        <v>#VALUE!</v>
      </c>
      <c r="FI76" t="e">
        <f>AND('PROG FORMACIÓN TITULADA'!R446,"AAAAAFP/36Q=")</f>
        <v>#VALUE!</v>
      </c>
      <c r="FJ76" t="e">
        <f>AND('PROG FORMACIÓN TITULADA'!S446,"AAAAAFP/36U=")</f>
        <v>#VALUE!</v>
      </c>
      <c r="FK76" t="e">
        <f>AND('PROG FORMACIÓN TITULADA'!T446,"AAAAAFP/36Y=")</f>
        <v>#VALUE!</v>
      </c>
      <c r="FL76" t="e">
        <f>AND('PROG FORMACIÓN TITULADA'!U446,"AAAAAFP/36c=")</f>
        <v>#VALUE!</v>
      </c>
      <c r="FM76" t="e">
        <f>AND('PROG FORMACIÓN TITULADA'!V446,"AAAAAFP/36g=")</f>
        <v>#VALUE!</v>
      </c>
      <c r="FN76" t="e">
        <f>AND('PROG FORMACIÓN TITULADA'!W446,"AAAAAFP/36k=")</f>
        <v>#VALUE!</v>
      </c>
      <c r="FO76" t="e">
        <f>AND('PROG FORMACIÓN TITULADA'!X446,"AAAAAFP/36o=")</f>
        <v>#VALUE!</v>
      </c>
      <c r="FP76" t="e">
        <f>AND('PROG FORMACIÓN TITULADA'!Y446,"AAAAAFP/36s=")</f>
        <v>#VALUE!</v>
      </c>
      <c r="FQ76" t="e">
        <f>AND('PROG FORMACIÓN TITULADA'!Z446,"AAAAAFP/36w=")</f>
        <v>#VALUE!</v>
      </c>
      <c r="FR76">
        <f>IF('PROG FORMACIÓN TITULADA'!447:447,"AAAAAFP/360=",0)</f>
        <v>0</v>
      </c>
      <c r="FS76" t="e">
        <f>AND('PROG FORMACIÓN TITULADA'!#REF!,"AAAAAFP/364=")</f>
        <v>#REF!</v>
      </c>
      <c r="FT76" t="e">
        <f>AND('PROG FORMACIÓN TITULADA'!B447,"AAAAAFP/368=")</f>
        <v>#VALUE!</v>
      </c>
      <c r="FU76" t="e">
        <f>AND('PROG FORMACIÓN TITULADA'!A447,"AAAAAFP/37A=")</f>
        <v>#VALUE!</v>
      </c>
      <c r="FV76" t="e">
        <f>AND('PROG FORMACIÓN TITULADA'!D447,"AAAAAFP/37E=")</f>
        <v>#VALUE!</v>
      </c>
      <c r="FW76" t="e">
        <f>AND('PROG FORMACIÓN TITULADA'!E447,"AAAAAFP/37I=")</f>
        <v>#VALUE!</v>
      </c>
      <c r="FX76" t="e">
        <f>AND('PROG FORMACIÓN TITULADA'!F447,"AAAAAFP/37M=")</f>
        <v>#VALUE!</v>
      </c>
      <c r="FY76" t="e">
        <f>AND('PROG FORMACIÓN TITULADA'!G447,"AAAAAFP/37Q=")</f>
        <v>#VALUE!</v>
      </c>
      <c r="FZ76" t="e">
        <f>AND('PROG FORMACIÓN TITULADA'!H447,"AAAAAFP/37U=")</f>
        <v>#VALUE!</v>
      </c>
      <c r="GA76" t="e">
        <f>AND('PROG FORMACIÓN TITULADA'!I447,"AAAAAFP/37Y=")</f>
        <v>#VALUE!</v>
      </c>
      <c r="GB76" t="e">
        <f>AND('PROG FORMACIÓN TITULADA'!J447,"AAAAAFP/37c=")</f>
        <v>#VALUE!</v>
      </c>
      <c r="GC76" t="e">
        <f>AND('PROG FORMACIÓN TITULADA'!K447,"AAAAAFP/37g=")</f>
        <v>#VALUE!</v>
      </c>
      <c r="GD76" t="e">
        <f>AND('PROG FORMACIÓN TITULADA'!L447,"AAAAAFP/37k=")</f>
        <v>#VALUE!</v>
      </c>
      <c r="GE76" t="e">
        <f>AND('PROG FORMACIÓN TITULADA'!M447,"AAAAAFP/37o=")</f>
        <v>#VALUE!</v>
      </c>
      <c r="GF76" t="e">
        <f>AND('PROG FORMACIÓN TITULADA'!N447,"AAAAAFP/37s=")</f>
        <v>#VALUE!</v>
      </c>
      <c r="GG76" t="e">
        <f>AND('PROG FORMACIÓN TITULADA'!O447,"AAAAAFP/37w=")</f>
        <v>#VALUE!</v>
      </c>
      <c r="GH76" t="e">
        <f>AND('PROG FORMACIÓN TITULADA'!P447,"AAAAAFP/370=")</f>
        <v>#VALUE!</v>
      </c>
      <c r="GI76" t="e">
        <f>AND('PROG FORMACIÓN TITULADA'!Q447,"AAAAAFP/374=")</f>
        <v>#VALUE!</v>
      </c>
      <c r="GJ76" t="e">
        <f>AND('PROG FORMACIÓN TITULADA'!R447,"AAAAAFP/378=")</f>
        <v>#VALUE!</v>
      </c>
      <c r="GK76" t="e">
        <f>AND('PROG FORMACIÓN TITULADA'!S447,"AAAAAFP/38A=")</f>
        <v>#VALUE!</v>
      </c>
      <c r="GL76" t="e">
        <f>AND('PROG FORMACIÓN TITULADA'!T447,"AAAAAFP/38E=")</f>
        <v>#VALUE!</v>
      </c>
      <c r="GM76" t="e">
        <f>AND('PROG FORMACIÓN TITULADA'!U447,"AAAAAFP/38I=")</f>
        <v>#VALUE!</v>
      </c>
      <c r="GN76" t="e">
        <f>AND('PROG FORMACIÓN TITULADA'!V447,"AAAAAFP/38M=")</f>
        <v>#VALUE!</v>
      </c>
      <c r="GO76" t="e">
        <f>AND('PROG FORMACIÓN TITULADA'!W447,"AAAAAFP/38Q=")</f>
        <v>#VALUE!</v>
      </c>
      <c r="GP76" t="e">
        <f>AND('PROG FORMACIÓN TITULADA'!X447,"AAAAAFP/38U=")</f>
        <v>#VALUE!</v>
      </c>
      <c r="GQ76" t="e">
        <f>AND('PROG FORMACIÓN TITULADA'!Y447,"AAAAAFP/38Y=")</f>
        <v>#VALUE!</v>
      </c>
      <c r="GR76" t="e">
        <f>AND('PROG FORMACIÓN TITULADA'!Z447,"AAAAAFP/38c=")</f>
        <v>#VALUE!</v>
      </c>
      <c r="GS76">
        <f>IF('PROG FORMACIÓN TITULADA'!448:448,"AAAAAFP/38g=",0)</f>
        <v>0</v>
      </c>
      <c r="GT76" t="e">
        <f>AND('PROG FORMACIÓN TITULADA'!#REF!,"AAAAAFP/38k=")</f>
        <v>#REF!</v>
      </c>
      <c r="GU76" t="e">
        <f>AND('PROG FORMACIÓN TITULADA'!B448,"AAAAAFP/38o=")</f>
        <v>#VALUE!</v>
      </c>
      <c r="GV76" t="e">
        <f>AND('PROG FORMACIÓN TITULADA'!A448,"AAAAAFP/38s=")</f>
        <v>#VALUE!</v>
      </c>
      <c r="GW76" t="e">
        <f>AND('PROG FORMACIÓN TITULADA'!D448,"AAAAAFP/38w=")</f>
        <v>#VALUE!</v>
      </c>
      <c r="GX76" t="e">
        <f>AND('PROG FORMACIÓN TITULADA'!E448,"AAAAAFP/380=")</f>
        <v>#VALUE!</v>
      </c>
      <c r="GY76" t="e">
        <f>AND('PROG FORMACIÓN TITULADA'!F448,"AAAAAFP/384=")</f>
        <v>#VALUE!</v>
      </c>
      <c r="GZ76" t="e">
        <f>AND('PROG FORMACIÓN TITULADA'!G448,"AAAAAFP/388=")</f>
        <v>#VALUE!</v>
      </c>
      <c r="HA76" t="e">
        <f>AND('PROG FORMACIÓN TITULADA'!H448,"AAAAAFP/39A=")</f>
        <v>#VALUE!</v>
      </c>
      <c r="HB76" t="e">
        <f>AND('PROG FORMACIÓN TITULADA'!I448,"AAAAAFP/39E=")</f>
        <v>#VALUE!</v>
      </c>
      <c r="HC76" t="e">
        <f>AND('PROG FORMACIÓN TITULADA'!J448,"AAAAAFP/39I=")</f>
        <v>#VALUE!</v>
      </c>
      <c r="HD76" t="e">
        <f>AND('PROG FORMACIÓN TITULADA'!K448,"AAAAAFP/39M=")</f>
        <v>#VALUE!</v>
      </c>
      <c r="HE76" t="e">
        <f>AND('PROG FORMACIÓN TITULADA'!L448,"AAAAAFP/39Q=")</f>
        <v>#VALUE!</v>
      </c>
      <c r="HF76" t="e">
        <f>AND('PROG FORMACIÓN TITULADA'!M448,"AAAAAFP/39U=")</f>
        <v>#VALUE!</v>
      </c>
      <c r="HG76" t="e">
        <f>AND('PROG FORMACIÓN TITULADA'!N448,"AAAAAFP/39Y=")</f>
        <v>#VALUE!</v>
      </c>
      <c r="HH76" t="e">
        <f>AND('PROG FORMACIÓN TITULADA'!O448,"AAAAAFP/39c=")</f>
        <v>#VALUE!</v>
      </c>
      <c r="HI76" t="e">
        <f>AND('PROG FORMACIÓN TITULADA'!P448,"AAAAAFP/39g=")</f>
        <v>#VALUE!</v>
      </c>
      <c r="HJ76" t="e">
        <f>AND('PROG FORMACIÓN TITULADA'!Q448,"AAAAAFP/39k=")</f>
        <v>#VALUE!</v>
      </c>
      <c r="HK76" t="e">
        <f>AND('PROG FORMACIÓN TITULADA'!R448,"AAAAAFP/39o=")</f>
        <v>#VALUE!</v>
      </c>
      <c r="HL76" t="e">
        <f>AND('PROG FORMACIÓN TITULADA'!S448,"AAAAAFP/39s=")</f>
        <v>#VALUE!</v>
      </c>
      <c r="HM76" t="e">
        <f>AND('PROG FORMACIÓN TITULADA'!T448,"AAAAAFP/39w=")</f>
        <v>#VALUE!</v>
      </c>
      <c r="HN76" t="e">
        <f>AND('PROG FORMACIÓN TITULADA'!U448,"AAAAAFP/390=")</f>
        <v>#VALUE!</v>
      </c>
      <c r="HO76" t="e">
        <f>AND('PROG FORMACIÓN TITULADA'!V448,"AAAAAFP/394=")</f>
        <v>#VALUE!</v>
      </c>
      <c r="HP76" t="e">
        <f>AND('PROG FORMACIÓN TITULADA'!W448,"AAAAAFP/398=")</f>
        <v>#VALUE!</v>
      </c>
      <c r="HQ76" t="e">
        <f>AND('PROG FORMACIÓN TITULADA'!X448,"AAAAAFP/3+A=")</f>
        <v>#VALUE!</v>
      </c>
      <c r="HR76" t="e">
        <f>AND('PROG FORMACIÓN TITULADA'!Y448,"AAAAAFP/3+E=")</f>
        <v>#VALUE!</v>
      </c>
      <c r="HS76" t="e">
        <f>AND('PROG FORMACIÓN TITULADA'!Z448,"AAAAAFP/3+I=")</f>
        <v>#VALUE!</v>
      </c>
      <c r="HT76">
        <f>IF('PROG FORMACIÓN TITULADA'!449:449,"AAAAAFP/3+M=",0)</f>
        <v>0</v>
      </c>
      <c r="HU76" t="e">
        <f>AND('PROG FORMACIÓN TITULADA'!#REF!,"AAAAAFP/3+Q=")</f>
        <v>#REF!</v>
      </c>
      <c r="HV76" t="e">
        <f>AND('PROG FORMACIÓN TITULADA'!B449,"AAAAAFP/3+U=")</f>
        <v>#VALUE!</v>
      </c>
      <c r="HW76" t="e">
        <f>AND('PROG FORMACIÓN TITULADA'!A450,"AAAAAFP/3+Y=")</f>
        <v>#VALUE!</v>
      </c>
      <c r="HX76" t="e">
        <f>AND('PROG FORMACIÓN TITULADA'!D449,"AAAAAFP/3+c=")</f>
        <v>#VALUE!</v>
      </c>
      <c r="HY76" t="e">
        <f>AND('PROG FORMACIÓN TITULADA'!E449,"AAAAAFP/3+g=")</f>
        <v>#VALUE!</v>
      </c>
      <c r="HZ76" t="e">
        <f>AND('PROG FORMACIÓN TITULADA'!F449,"AAAAAFP/3+k=")</f>
        <v>#VALUE!</v>
      </c>
      <c r="IA76" t="e">
        <f>AND('PROG FORMACIÓN TITULADA'!G449,"AAAAAFP/3+o=")</f>
        <v>#VALUE!</v>
      </c>
      <c r="IB76" t="e">
        <f>AND('PROG FORMACIÓN TITULADA'!H449,"AAAAAFP/3+s=")</f>
        <v>#VALUE!</v>
      </c>
      <c r="IC76" t="e">
        <f>AND('PROG FORMACIÓN TITULADA'!I449,"AAAAAFP/3+w=")</f>
        <v>#VALUE!</v>
      </c>
      <c r="ID76" t="e">
        <f>AND('PROG FORMACIÓN TITULADA'!J449,"AAAAAFP/3+0=")</f>
        <v>#VALUE!</v>
      </c>
      <c r="IE76" t="e">
        <f>AND('PROG FORMACIÓN TITULADA'!K449,"AAAAAFP/3+4=")</f>
        <v>#VALUE!</v>
      </c>
      <c r="IF76" t="e">
        <f>AND('PROG FORMACIÓN TITULADA'!L449,"AAAAAFP/3+8=")</f>
        <v>#VALUE!</v>
      </c>
      <c r="IG76" t="e">
        <f>AND('PROG FORMACIÓN TITULADA'!M449,"AAAAAFP/3/A=")</f>
        <v>#VALUE!</v>
      </c>
      <c r="IH76" t="e">
        <f>AND('PROG FORMACIÓN TITULADA'!N449,"AAAAAFP/3/E=")</f>
        <v>#VALUE!</v>
      </c>
      <c r="II76" t="e">
        <f>AND('PROG FORMACIÓN TITULADA'!O449,"AAAAAFP/3/I=")</f>
        <v>#VALUE!</v>
      </c>
      <c r="IJ76" t="e">
        <f>AND('PROG FORMACIÓN TITULADA'!P449,"AAAAAFP/3/M=")</f>
        <v>#VALUE!</v>
      </c>
      <c r="IK76" t="e">
        <f>AND('PROG FORMACIÓN TITULADA'!Q449,"AAAAAFP/3/Q=")</f>
        <v>#VALUE!</v>
      </c>
      <c r="IL76" t="e">
        <f>AND('PROG FORMACIÓN TITULADA'!R449,"AAAAAFP/3/U=")</f>
        <v>#VALUE!</v>
      </c>
      <c r="IM76" t="e">
        <f>AND('PROG FORMACIÓN TITULADA'!S449,"AAAAAFP/3/Y=")</f>
        <v>#VALUE!</v>
      </c>
      <c r="IN76" t="e">
        <f>AND('PROG FORMACIÓN TITULADA'!T449,"AAAAAFP/3/c=")</f>
        <v>#VALUE!</v>
      </c>
      <c r="IO76" t="e">
        <f>AND('PROG FORMACIÓN TITULADA'!U449,"AAAAAFP/3/g=")</f>
        <v>#VALUE!</v>
      </c>
      <c r="IP76" t="e">
        <f>AND('PROG FORMACIÓN TITULADA'!V449,"AAAAAFP/3/k=")</f>
        <v>#VALUE!</v>
      </c>
      <c r="IQ76" t="e">
        <f>AND('PROG FORMACIÓN TITULADA'!W449,"AAAAAFP/3/o=")</f>
        <v>#VALUE!</v>
      </c>
      <c r="IR76" t="e">
        <f>AND('PROG FORMACIÓN TITULADA'!X449,"AAAAAFP/3/s=")</f>
        <v>#VALUE!</v>
      </c>
      <c r="IS76" t="e">
        <f>AND('PROG FORMACIÓN TITULADA'!Y449,"AAAAAFP/3/w=")</f>
        <v>#VALUE!</v>
      </c>
      <c r="IT76" t="e">
        <f>AND('PROG FORMACIÓN TITULADA'!Z449,"AAAAAFP/3/0=")</f>
        <v>#VALUE!</v>
      </c>
      <c r="IU76">
        <f>IF('PROG FORMACIÓN TITULADA'!450:450,"AAAAAFP/3/4=",0)</f>
        <v>0</v>
      </c>
      <c r="IV76" t="e">
        <f>AND('PROG FORMACIÓN TITULADA'!#REF!,"AAAAAFP/3/8=")</f>
        <v>#REF!</v>
      </c>
    </row>
    <row r="77" spans="1:256" x14ac:dyDescent="0.2">
      <c r="A77" t="e">
        <f>AND('PROG FORMACIÓN TITULADA'!B450,"AAAAAFb4rQA=")</f>
        <v>#VALUE!</v>
      </c>
      <c r="B77" t="e">
        <f>AND('PROG FORMACIÓN TITULADA'!#REF!,"AAAAAFb4rQE=")</f>
        <v>#REF!</v>
      </c>
      <c r="C77" t="e">
        <f>AND('PROG FORMACIÓN TITULADA'!D450,"AAAAAFb4rQI=")</f>
        <v>#VALUE!</v>
      </c>
      <c r="D77" t="e">
        <f>AND('PROG FORMACIÓN TITULADA'!E450,"AAAAAFb4rQM=")</f>
        <v>#VALUE!</v>
      </c>
      <c r="E77" t="e">
        <f>AND('PROG FORMACIÓN TITULADA'!F450,"AAAAAFb4rQQ=")</f>
        <v>#VALUE!</v>
      </c>
      <c r="F77" t="e">
        <f>AND('PROG FORMACIÓN TITULADA'!G450,"AAAAAFb4rQU=")</f>
        <v>#VALUE!</v>
      </c>
      <c r="G77" t="e">
        <f>AND('PROG FORMACIÓN TITULADA'!H450,"AAAAAFb4rQY=")</f>
        <v>#VALUE!</v>
      </c>
      <c r="H77" t="e">
        <f>AND('PROG FORMACIÓN TITULADA'!I450,"AAAAAFb4rQc=")</f>
        <v>#VALUE!</v>
      </c>
      <c r="I77" t="e">
        <f>AND('PROG FORMACIÓN TITULADA'!J450,"AAAAAFb4rQg=")</f>
        <v>#VALUE!</v>
      </c>
      <c r="J77" t="e">
        <f>AND('PROG FORMACIÓN TITULADA'!K450,"AAAAAFb4rQk=")</f>
        <v>#VALUE!</v>
      </c>
      <c r="K77" t="e">
        <f>AND('PROG FORMACIÓN TITULADA'!L450,"AAAAAFb4rQo=")</f>
        <v>#VALUE!</v>
      </c>
      <c r="L77" t="e">
        <f>AND('PROG FORMACIÓN TITULADA'!M450,"AAAAAFb4rQs=")</f>
        <v>#VALUE!</v>
      </c>
      <c r="M77" t="e">
        <f>AND('PROG FORMACIÓN TITULADA'!N450,"AAAAAFb4rQw=")</f>
        <v>#VALUE!</v>
      </c>
      <c r="N77" t="e">
        <f>AND('PROG FORMACIÓN TITULADA'!O450,"AAAAAFb4rQ0=")</f>
        <v>#VALUE!</v>
      </c>
      <c r="O77" t="e">
        <f>AND('PROG FORMACIÓN TITULADA'!P450,"AAAAAFb4rQ4=")</f>
        <v>#VALUE!</v>
      </c>
      <c r="P77" t="e">
        <f>AND('PROG FORMACIÓN TITULADA'!Q450,"AAAAAFb4rQ8=")</f>
        <v>#VALUE!</v>
      </c>
      <c r="Q77" t="e">
        <f>AND('PROG FORMACIÓN TITULADA'!R450,"AAAAAFb4rRA=")</f>
        <v>#VALUE!</v>
      </c>
      <c r="R77" t="e">
        <f>AND('PROG FORMACIÓN TITULADA'!S450,"AAAAAFb4rRE=")</f>
        <v>#VALUE!</v>
      </c>
      <c r="S77" t="e">
        <f>AND('PROG FORMACIÓN TITULADA'!T450,"AAAAAFb4rRI=")</f>
        <v>#VALUE!</v>
      </c>
      <c r="T77" t="e">
        <f>AND('PROG FORMACIÓN TITULADA'!U450,"AAAAAFb4rRM=")</f>
        <v>#VALUE!</v>
      </c>
      <c r="U77" t="e">
        <f>AND('PROG FORMACIÓN TITULADA'!V450,"AAAAAFb4rRQ=")</f>
        <v>#VALUE!</v>
      </c>
      <c r="V77" t="e">
        <f>AND('PROG FORMACIÓN TITULADA'!W450,"AAAAAFb4rRU=")</f>
        <v>#VALUE!</v>
      </c>
      <c r="W77" t="e">
        <f>AND('PROG FORMACIÓN TITULADA'!X450,"AAAAAFb4rRY=")</f>
        <v>#VALUE!</v>
      </c>
      <c r="X77" t="e">
        <f>AND('PROG FORMACIÓN TITULADA'!Y450,"AAAAAFb4rRc=")</f>
        <v>#VALUE!</v>
      </c>
      <c r="Y77" t="e">
        <f>AND('PROG FORMACIÓN TITULADA'!Z450,"AAAAAFb4rRg=")</f>
        <v>#VALUE!</v>
      </c>
      <c r="Z77">
        <f>IF('PROG FORMACIÓN TITULADA'!451:451,"AAAAAFb4rRk=",0)</f>
        <v>0</v>
      </c>
      <c r="AA77" t="e">
        <f>AND('PROG FORMACIÓN TITULADA'!#REF!,"AAAAAFb4rRo=")</f>
        <v>#REF!</v>
      </c>
      <c r="AB77" t="e">
        <f>AND('PROG FORMACIÓN TITULADA'!B451,"AAAAAFb4rRs=")</f>
        <v>#VALUE!</v>
      </c>
      <c r="AC77" t="e">
        <f>AND('PROG FORMACIÓN TITULADA'!A451,"AAAAAFb4rRw=")</f>
        <v>#VALUE!</v>
      </c>
      <c r="AD77" t="e">
        <f>AND('PROG FORMACIÓN TITULADA'!D451,"AAAAAFb4rR0=")</f>
        <v>#VALUE!</v>
      </c>
      <c r="AE77" t="e">
        <f>AND('PROG FORMACIÓN TITULADA'!E451,"AAAAAFb4rR4=")</f>
        <v>#VALUE!</v>
      </c>
      <c r="AF77" t="e">
        <f>AND('PROG FORMACIÓN TITULADA'!F451,"AAAAAFb4rR8=")</f>
        <v>#VALUE!</v>
      </c>
      <c r="AG77" t="e">
        <f>AND('PROG FORMACIÓN TITULADA'!G451,"AAAAAFb4rSA=")</f>
        <v>#VALUE!</v>
      </c>
      <c r="AH77" t="e">
        <f>AND('PROG FORMACIÓN TITULADA'!H451,"AAAAAFb4rSE=")</f>
        <v>#VALUE!</v>
      </c>
      <c r="AI77" t="e">
        <f>AND('PROG FORMACIÓN TITULADA'!I451,"AAAAAFb4rSI=")</f>
        <v>#VALUE!</v>
      </c>
      <c r="AJ77" t="e">
        <f>AND('PROG FORMACIÓN TITULADA'!J451,"AAAAAFb4rSM=")</f>
        <v>#VALUE!</v>
      </c>
      <c r="AK77" t="e">
        <f>AND('PROG FORMACIÓN TITULADA'!K451,"AAAAAFb4rSQ=")</f>
        <v>#VALUE!</v>
      </c>
      <c r="AL77" t="e">
        <f>AND('PROG FORMACIÓN TITULADA'!L451,"AAAAAFb4rSU=")</f>
        <v>#VALUE!</v>
      </c>
      <c r="AM77" t="e">
        <f>AND('PROG FORMACIÓN TITULADA'!M451,"AAAAAFb4rSY=")</f>
        <v>#VALUE!</v>
      </c>
      <c r="AN77" t="e">
        <f>AND('PROG FORMACIÓN TITULADA'!N451,"AAAAAFb4rSc=")</f>
        <v>#VALUE!</v>
      </c>
      <c r="AO77" t="e">
        <f>AND('PROG FORMACIÓN TITULADA'!O451,"AAAAAFb4rSg=")</f>
        <v>#VALUE!</v>
      </c>
      <c r="AP77" t="e">
        <f>AND('PROG FORMACIÓN TITULADA'!P451,"AAAAAFb4rSk=")</f>
        <v>#VALUE!</v>
      </c>
      <c r="AQ77" t="e">
        <f>AND('PROG FORMACIÓN TITULADA'!Q451,"AAAAAFb4rSo=")</f>
        <v>#VALUE!</v>
      </c>
      <c r="AR77" t="e">
        <f>AND('PROG FORMACIÓN TITULADA'!R451,"AAAAAFb4rSs=")</f>
        <v>#VALUE!</v>
      </c>
      <c r="AS77" t="e">
        <f>AND('PROG FORMACIÓN TITULADA'!S451,"AAAAAFb4rSw=")</f>
        <v>#VALUE!</v>
      </c>
      <c r="AT77" t="e">
        <f>AND('PROG FORMACIÓN TITULADA'!T451,"AAAAAFb4rS0=")</f>
        <v>#VALUE!</v>
      </c>
      <c r="AU77" t="e">
        <f>AND('PROG FORMACIÓN TITULADA'!U451,"AAAAAFb4rS4=")</f>
        <v>#VALUE!</v>
      </c>
      <c r="AV77" t="e">
        <f>AND('PROG FORMACIÓN TITULADA'!V451,"AAAAAFb4rS8=")</f>
        <v>#VALUE!</v>
      </c>
      <c r="AW77" t="e">
        <f>AND('PROG FORMACIÓN TITULADA'!W451,"AAAAAFb4rTA=")</f>
        <v>#VALUE!</v>
      </c>
      <c r="AX77" t="e">
        <f>AND('PROG FORMACIÓN TITULADA'!X451,"AAAAAFb4rTE=")</f>
        <v>#VALUE!</v>
      </c>
      <c r="AY77" t="e">
        <f>AND('PROG FORMACIÓN TITULADA'!Y451,"AAAAAFb4rTI=")</f>
        <v>#VALUE!</v>
      </c>
      <c r="AZ77" t="e">
        <f>AND('PROG FORMACIÓN TITULADA'!Z451,"AAAAAFb4rTM=")</f>
        <v>#VALUE!</v>
      </c>
      <c r="BA77">
        <f>IF('PROG FORMACIÓN TITULADA'!452:452,"AAAAAFb4rTQ=",0)</f>
        <v>0</v>
      </c>
      <c r="BB77" t="e">
        <f>AND('PROG FORMACIÓN TITULADA'!#REF!,"AAAAAFb4rTU=")</f>
        <v>#REF!</v>
      </c>
      <c r="BC77" t="e">
        <f>AND('PROG FORMACIÓN TITULADA'!B452,"AAAAAFb4rTY=")</f>
        <v>#VALUE!</v>
      </c>
      <c r="BD77" t="e">
        <f>AND('PROG FORMACIÓN TITULADA'!A452,"AAAAAFb4rTc=")</f>
        <v>#VALUE!</v>
      </c>
      <c r="BE77" t="e">
        <f>AND('PROG FORMACIÓN TITULADA'!D452,"AAAAAFb4rTg=")</f>
        <v>#VALUE!</v>
      </c>
      <c r="BF77" t="e">
        <f>AND('PROG FORMACIÓN TITULADA'!E452,"AAAAAFb4rTk=")</f>
        <v>#VALUE!</v>
      </c>
      <c r="BG77" t="e">
        <f>AND('PROG FORMACIÓN TITULADA'!F452,"AAAAAFb4rTo=")</f>
        <v>#VALUE!</v>
      </c>
      <c r="BH77" t="e">
        <f>AND('PROG FORMACIÓN TITULADA'!G452,"AAAAAFb4rTs=")</f>
        <v>#VALUE!</v>
      </c>
      <c r="BI77" t="e">
        <f>AND('PROG FORMACIÓN TITULADA'!H452,"AAAAAFb4rTw=")</f>
        <v>#VALUE!</v>
      </c>
      <c r="BJ77" t="e">
        <f>AND('PROG FORMACIÓN TITULADA'!I452,"AAAAAFb4rT0=")</f>
        <v>#VALUE!</v>
      </c>
      <c r="BK77" t="e">
        <f>AND('PROG FORMACIÓN TITULADA'!J452,"AAAAAFb4rT4=")</f>
        <v>#VALUE!</v>
      </c>
      <c r="BL77" t="e">
        <f>AND('PROG FORMACIÓN TITULADA'!K452,"AAAAAFb4rT8=")</f>
        <v>#VALUE!</v>
      </c>
      <c r="BM77" t="e">
        <f>AND('PROG FORMACIÓN TITULADA'!L452,"AAAAAFb4rUA=")</f>
        <v>#VALUE!</v>
      </c>
      <c r="BN77" t="e">
        <f>AND('PROG FORMACIÓN TITULADA'!M452,"AAAAAFb4rUE=")</f>
        <v>#VALUE!</v>
      </c>
      <c r="BO77" t="e">
        <f>AND('PROG FORMACIÓN TITULADA'!N452,"AAAAAFb4rUI=")</f>
        <v>#VALUE!</v>
      </c>
      <c r="BP77" t="e">
        <f>AND('PROG FORMACIÓN TITULADA'!O452,"AAAAAFb4rUM=")</f>
        <v>#VALUE!</v>
      </c>
      <c r="BQ77" t="e">
        <f>AND('PROG FORMACIÓN TITULADA'!P452,"AAAAAFb4rUQ=")</f>
        <v>#VALUE!</v>
      </c>
      <c r="BR77" t="e">
        <f>AND('PROG FORMACIÓN TITULADA'!Q452,"AAAAAFb4rUU=")</f>
        <v>#VALUE!</v>
      </c>
      <c r="BS77" t="e">
        <f>AND('PROG FORMACIÓN TITULADA'!R452,"AAAAAFb4rUY=")</f>
        <v>#VALUE!</v>
      </c>
      <c r="BT77" t="e">
        <f>AND('PROG FORMACIÓN TITULADA'!S452,"AAAAAFb4rUc=")</f>
        <v>#VALUE!</v>
      </c>
      <c r="BU77" t="e">
        <f>AND('PROG FORMACIÓN TITULADA'!T452,"AAAAAFb4rUg=")</f>
        <v>#VALUE!</v>
      </c>
      <c r="BV77" t="e">
        <f>AND('PROG FORMACIÓN TITULADA'!U452,"AAAAAFb4rUk=")</f>
        <v>#VALUE!</v>
      </c>
      <c r="BW77" t="e">
        <f>AND('PROG FORMACIÓN TITULADA'!V452,"AAAAAFb4rUo=")</f>
        <v>#VALUE!</v>
      </c>
      <c r="BX77" t="e">
        <f>AND('PROG FORMACIÓN TITULADA'!W452,"AAAAAFb4rUs=")</f>
        <v>#VALUE!</v>
      </c>
      <c r="BY77" t="e">
        <f>AND('PROG FORMACIÓN TITULADA'!X452,"AAAAAFb4rUw=")</f>
        <v>#VALUE!</v>
      </c>
      <c r="BZ77" t="e">
        <f>AND('PROG FORMACIÓN TITULADA'!Y452,"AAAAAFb4rU0=")</f>
        <v>#VALUE!</v>
      </c>
      <c r="CA77" t="e">
        <f>AND('PROG FORMACIÓN TITULADA'!Z452,"AAAAAFb4rU4=")</f>
        <v>#VALUE!</v>
      </c>
      <c r="CB77">
        <f>IF('PROG FORMACIÓN TITULADA'!453:453,"AAAAAFb4rU8=",0)</f>
        <v>0</v>
      </c>
      <c r="CC77" t="e">
        <f>AND('PROG FORMACIÓN TITULADA'!#REF!,"AAAAAFb4rVA=")</f>
        <v>#REF!</v>
      </c>
      <c r="CD77" t="e">
        <f>AND('PROG FORMACIÓN TITULADA'!B453,"AAAAAFb4rVE=")</f>
        <v>#VALUE!</v>
      </c>
      <c r="CE77" t="e">
        <f>AND('PROG FORMACIÓN TITULADA'!A453,"AAAAAFb4rVI=")</f>
        <v>#VALUE!</v>
      </c>
      <c r="CF77" t="e">
        <f>AND('PROG FORMACIÓN TITULADA'!D453,"AAAAAFb4rVM=")</f>
        <v>#VALUE!</v>
      </c>
      <c r="CG77" t="e">
        <f>AND('PROG FORMACIÓN TITULADA'!E453,"AAAAAFb4rVQ=")</f>
        <v>#VALUE!</v>
      </c>
      <c r="CH77" t="e">
        <f>AND('PROG FORMACIÓN TITULADA'!F453,"AAAAAFb4rVU=")</f>
        <v>#VALUE!</v>
      </c>
      <c r="CI77" t="e">
        <f>AND('PROG FORMACIÓN TITULADA'!G453,"AAAAAFb4rVY=")</f>
        <v>#VALUE!</v>
      </c>
      <c r="CJ77" t="e">
        <f>AND('PROG FORMACIÓN TITULADA'!H453,"AAAAAFb4rVc=")</f>
        <v>#VALUE!</v>
      </c>
      <c r="CK77" t="e">
        <f>AND('PROG FORMACIÓN TITULADA'!I453,"AAAAAFb4rVg=")</f>
        <v>#VALUE!</v>
      </c>
      <c r="CL77" t="e">
        <f>AND('PROG FORMACIÓN TITULADA'!J453,"AAAAAFb4rVk=")</f>
        <v>#VALUE!</v>
      </c>
      <c r="CM77" t="e">
        <f>AND('PROG FORMACIÓN TITULADA'!K453,"AAAAAFb4rVo=")</f>
        <v>#VALUE!</v>
      </c>
      <c r="CN77" t="e">
        <f>AND('PROG FORMACIÓN TITULADA'!L453,"AAAAAFb4rVs=")</f>
        <v>#VALUE!</v>
      </c>
      <c r="CO77" t="e">
        <f>AND('PROG FORMACIÓN TITULADA'!M453,"AAAAAFb4rVw=")</f>
        <v>#VALUE!</v>
      </c>
      <c r="CP77" t="e">
        <f>AND('PROG FORMACIÓN TITULADA'!N453,"AAAAAFb4rV0=")</f>
        <v>#VALUE!</v>
      </c>
      <c r="CQ77" t="e">
        <f>AND('PROG FORMACIÓN TITULADA'!O453,"AAAAAFb4rV4=")</f>
        <v>#VALUE!</v>
      </c>
      <c r="CR77" t="e">
        <f>AND('PROG FORMACIÓN TITULADA'!P453,"AAAAAFb4rV8=")</f>
        <v>#VALUE!</v>
      </c>
      <c r="CS77" t="e">
        <f>AND('PROG FORMACIÓN TITULADA'!Q453,"AAAAAFb4rWA=")</f>
        <v>#VALUE!</v>
      </c>
      <c r="CT77" t="e">
        <f>AND('PROG FORMACIÓN TITULADA'!R453,"AAAAAFb4rWE=")</f>
        <v>#VALUE!</v>
      </c>
      <c r="CU77" t="e">
        <f>AND('PROG FORMACIÓN TITULADA'!S453,"AAAAAFb4rWI=")</f>
        <v>#VALUE!</v>
      </c>
      <c r="CV77" t="e">
        <f>AND('PROG FORMACIÓN TITULADA'!T453,"AAAAAFb4rWM=")</f>
        <v>#VALUE!</v>
      </c>
      <c r="CW77" t="e">
        <f>AND('PROG FORMACIÓN TITULADA'!U453,"AAAAAFb4rWQ=")</f>
        <v>#VALUE!</v>
      </c>
      <c r="CX77" t="e">
        <f>AND('PROG FORMACIÓN TITULADA'!V453,"AAAAAFb4rWU=")</f>
        <v>#VALUE!</v>
      </c>
      <c r="CY77" t="e">
        <f>AND('PROG FORMACIÓN TITULADA'!W453,"AAAAAFb4rWY=")</f>
        <v>#VALUE!</v>
      </c>
      <c r="CZ77" t="e">
        <f>AND('PROG FORMACIÓN TITULADA'!X453,"AAAAAFb4rWc=")</f>
        <v>#VALUE!</v>
      </c>
      <c r="DA77" t="e">
        <f>AND('PROG FORMACIÓN TITULADA'!Y453,"AAAAAFb4rWg=")</f>
        <v>#VALUE!</v>
      </c>
      <c r="DB77" t="e">
        <f>AND('PROG FORMACIÓN TITULADA'!Z453,"AAAAAFb4rWk=")</f>
        <v>#VALUE!</v>
      </c>
      <c r="DC77">
        <f>IF('PROG FORMACIÓN TITULADA'!454:454,"AAAAAFb4rWo=",0)</f>
        <v>0</v>
      </c>
      <c r="DD77" t="e">
        <f>AND('PROG FORMACIÓN TITULADA'!#REF!,"AAAAAFb4rWs=")</f>
        <v>#REF!</v>
      </c>
      <c r="DE77" t="e">
        <f>AND('PROG FORMACIÓN TITULADA'!B454,"AAAAAFb4rWw=")</f>
        <v>#VALUE!</v>
      </c>
      <c r="DF77" t="e">
        <f>AND('PROG FORMACIÓN TITULADA'!A454,"AAAAAFb4rW0=")</f>
        <v>#VALUE!</v>
      </c>
      <c r="DG77" t="e">
        <f>AND('PROG FORMACIÓN TITULADA'!D454,"AAAAAFb4rW4=")</f>
        <v>#VALUE!</v>
      </c>
      <c r="DH77" t="e">
        <f>AND('PROG FORMACIÓN TITULADA'!E454,"AAAAAFb4rW8=")</f>
        <v>#VALUE!</v>
      </c>
      <c r="DI77" t="e">
        <f>AND('PROG FORMACIÓN TITULADA'!F454,"AAAAAFb4rXA=")</f>
        <v>#VALUE!</v>
      </c>
      <c r="DJ77" t="e">
        <f>AND('PROG FORMACIÓN TITULADA'!G454,"AAAAAFb4rXE=")</f>
        <v>#VALUE!</v>
      </c>
      <c r="DK77" t="e">
        <f>AND('PROG FORMACIÓN TITULADA'!H454,"AAAAAFb4rXI=")</f>
        <v>#VALUE!</v>
      </c>
      <c r="DL77" t="e">
        <f>AND('PROG FORMACIÓN TITULADA'!I454,"AAAAAFb4rXM=")</f>
        <v>#VALUE!</v>
      </c>
      <c r="DM77" t="e">
        <f>AND('PROG FORMACIÓN TITULADA'!J454,"AAAAAFb4rXQ=")</f>
        <v>#VALUE!</v>
      </c>
      <c r="DN77" t="e">
        <f>AND('PROG FORMACIÓN TITULADA'!K454,"AAAAAFb4rXU=")</f>
        <v>#VALUE!</v>
      </c>
      <c r="DO77" t="e">
        <f>AND('PROG FORMACIÓN TITULADA'!L454,"AAAAAFb4rXY=")</f>
        <v>#VALUE!</v>
      </c>
      <c r="DP77" t="e">
        <f>AND('PROG FORMACIÓN TITULADA'!M454,"AAAAAFb4rXc=")</f>
        <v>#VALUE!</v>
      </c>
      <c r="DQ77" t="e">
        <f>AND('PROG FORMACIÓN TITULADA'!N454,"AAAAAFb4rXg=")</f>
        <v>#VALUE!</v>
      </c>
      <c r="DR77" t="e">
        <f>AND('PROG FORMACIÓN TITULADA'!O454,"AAAAAFb4rXk=")</f>
        <v>#VALUE!</v>
      </c>
      <c r="DS77" t="e">
        <f>AND('PROG FORMACIÓN TITULADA'!P454,"AAAAAFb4rXo=")</f>
        <v>#VALUE!</v>
      </c>
      <c r="DT77" t="e">
        <f>AND('PROG FORMACIÓN TITULADA'!Q454,"AAAAAFb4rXs=")</f>
        <v>#VALUE!</v>
      </c>
      <c r="DU77" t="e">
        <f>AND('PROG FORMACIÓN TITULADA'!R454,"AAAAAFb4rXw=")</f>
        <v>#VALUE!</v>
      </c>
      <c r="DV77" t="e">
        <f>AND('PROG FORMACIÓN TITULADA'!S454,"AAAAAFb4rX0=")</f>
        <v>#VALUE!</v>
      </c>
      <c r="DW77" t="e">
        <f>AND('PROG FORMACIÓN TITULADA'!T454,"AAAAAFb4rX4=")</f>
        <v>#VALUE!</v>
      </c>
      <c r="DX77" t="e">
        <f>AND('PROG FORMACIÓN TITULADA'!U454,"AAAAAFb4rX8=")</f>
        <v>#VALUE!</v>
      </c>
      <c r="DY77" t="e">
        <f>AND('PROG FORMACIÓN TITULADA'!V454,"AAAAAFb4rYA=")</f>
        <v>#VALUE!</v>
      </c>
      <c r="DZ77" t="e">
        <f>AND('PROG FORMACIÓN TITULADA'!W454,"AAAAAFb4rYE=")</f>
        <v>#VALUE!</v>
      </c>
      <c r="EA77" t="e">
        <f>AND('PROG FORMACIÓN TITULADA'!X454,"AAAAAFb4rYI=")</f>
        <v>#VALUE!</v>
      </c>
      <c r="EB77" t="e">
        <f>AND('PROG FORMACIÓN TITULADA'!Y454,"AAAAAFb4rYM=")</f>
        <v>#VALUE!</v>
      </c>
      <c r="EC77" t="e">
        <f>AND('PROG FORMACIÓN TITULADA'!Z454,"AAAAAFb4rYQ=")</f>
        <v>#VALUE!</v>
      </c>
      <c r="ED77">
        <f>IF('PROG FORMACIÓN TITULADA'!455:455,"AAAAAFb4rYU=",0)</f>
        <v>0</v>
      </c>
      <c r="EE77" t="e">
        <f>AND('PROG FORMACIÓN TITULADA'!#REF!,"AAAAAFb4rYY=")</f>
        <v>#REF!</v>
      </c>
      <c r="EF77" t="e">
        <f>AND('PROG FORMACIÓN TITULADA'!B455,"AAAAAFb4rYc=")</f>
        <v>#VALUE!</v>
      </c>
      <c r="EG77" t="e">
        <f>AND('PROG FORMACIÓN TITULADA'!A455,"AAAAAFb4rYg=")</f>
        <v>#VALUE!</v>
      </c>
      <c r="EH77" t="e">
        <f>AND('PROG FORMACIÓN TITULADA'!D455,"AAAAAFb4rYk=")</f>
        <v>#VALUE!</v>
      </c>
      <c r="EI77" t="e">
        <f>AND('PROG FORMACIÓN TITULADA'!E455,"AAAAAFb4rYo=")</f>
        <v>#VALUE!</v>
      </c>
      <c r="EJ77" t="e">
        <f>AND('PROG FORMACIÓN TITULADA'!F455,"AAAAAFb4rYs=")</f>
        <v>#VALUE!</v>
      </c>
      <c r="EK77" t="e">
        <f>AND('PROG FORMACIÓN TITULADA'!G455,"AAAAAFb4rYw=")</f>
        <v>#VALUE!</v>
      </c>
      <c r="EL77" t="e">
        <f>AND('PROG FORMACIÓN TITULADA'!H455,"AAAAAFb4rY0=")</f>
        <v>#VALUE!</v>
      </c>
      <c r="EM77" t="e">
        <f>AND('PROG FORMACIÓN TITULADA'!I455,"AAAAAFb4rY4=")</f>
        <v>#VALUE!</v>
      </c>
      <c r="EN77" t="e">
        <f>AND('PROG FORMACIÓN TITULADA'!J455,"AAAAAFb4rY8=")</f>
        <v>#VALUE!</v>
      </c>
      <c r="EO77" t="e">
        <f>AND('PROG FORMACIÓN TITULADA'!K455,"AAAAAFb4rZA=")</f>
        <v>#VALUE!</v>
      </c>
      <c r="EP77" t="e">
        <f>AND('PROG FORMACIÓN TITULADA'!L455,"AAAAAFb4rZE=")</f>
        <v>#VALUE!</v>
      </c>
      <c r="EQ77" t="e">
        <f>AND('PROG FORMACIÓN TITULADA'!M455,"AAAAAFb4rZI=")</f>
        <v>#VALUE!</v>
      </c>
      <c r="ER77" t="e">
        <f>AND('PROG FORMACIÓN TITULADA'!N455,"AAAAAFb4rZM=")</f>
        <v>#VALUE!</v>
      </c>
      <c r="ES77" t="e">
        <f>AND('PROG FORMACIÓN TITULADA'!O455,"AAAAAFb4rZQ=")</f>
        <v>#VALUE!</v>
      </c>
      <c r="ET77" t="e">
        <f>AND('PROG FORMACIÓN TITULADA'!P455,"AAAAAFb4rZU=")</f>
        <v>#VALUE!</v>
      </c>
      <c r="EU77" t="e">
        <f>AND('PROG FORMACIÓN TITULADA'!Q455,"AAAAAFb4rZY=")</f>
        <v>#VALUE!</v>
      </c>
      <c r="EV77" t="e">
        <f>AND('PROG FORMACIÓN TITULADA'!R455,"AAAAAFb4rZc=")</f>
        <v>#VALUE!</v>
      </c>
      <c r="EW77" t="e">
        <f>AND('PROG FORMACIÓN TITULADA'!S455,"AAAAAFb4rZg=")</f>
        <v>#VALUE!</v>
      </c>
      <c r="EX77" t="e">
        <f>AND('PROG FORMACIÓN TITULADA'!T455,"AAAAAFb4rZk=")</f>
        <v>#VALUE!</v>
      </c>
      <c r="EY77" t="e">
        <f>AND('PROG FORMACIÓN TITULADA'!U455,"AAAAAFb4rZo=")</f>
        <v>#VALUE!</v>
      </c>
      <c r="EZ77" t="e">
        <f>AND('PROG FORMACIÓN TITULADA'!V455,"AAAAAFb4rZs=")</f>
        <v>#VALUE!</v>
      </c>
      <c r="FA77" t="e">
        <f>AND('PROG FORMACIÓN TITULADA'!W455,"AAAAAFb4rZw=")</f>
        <v>#VALUE!</v>
      </c>
      <c r="FB77" t="e">
        <f>AND('PROG FORMACIÓN TITULADA'!X455,"AAAAAFb4rZ0=")</f>
        <v>#VALUE!</v>
      </c>
      <c r="FC77" t="e">
        <f>AND('PROG FORMACIÓN TITULADA'!Y455,"AAAAAFb4rZ4=")</f>
        <v>#VALUE!</v>
      </c>
      <c r="FD77" t="e">
        <f>AND('PROG FORMACIÓN TITULADA'!Z455,"AAAAAFb4rZ8=")</f>
        <v>#VALUE!</v>
      </c>
      <c r="FE77" t="e">
        <f>IF('PROG FORMACIÓN TITULADA'!#REF!,"AAAAAFb4raA=",0)</f>
        <v>#REF!</v>
      </c>
      <c r="FF77" t="e">
        <f>AND('PROG FORMACIÓN TITULADA'!#REF!,"AAAAAFb4raE=")</f>
        <v>#REF!</v>
      </c>
      <c r="FG77" t="e">
        <f>AND('PROG FORMACIÓN TITULADA'!#REF!,"AAAAAFb4raI=")</f>
        <v>#REF!</v>
      </c>
      <c r="FH77" t="e">
        <f>AND('PROG FORMACIÓN TITULADA'!#REF!,"AAAAAFb4raM=")</f>
        <v>#REF!</v>
      </c>
      <c r="FI77" t="e">
        <f>AND('PROG FORMACIÓN TITULADA'!#REF!,"AAAAAFb4raQ=")</f>
        <v>#REF!</v>
      </c>
      <c r="FJ77" t="e">
        <f>AND('PROG FORMACIÓN TITULADA'!#REF!,"AAAAAFb4raU=")</f>
        <v>#REF!</v>
      </c>
      <c r="FK77" t="e">
        <f>AND('PROG FORMACIÓN TITULADA'!#REF!,"AAAAAFb4raY=")</f>
        <v>#REF!</v>
      </c>
      <c r="FL77" t="e">
        <f>AND('PROG FORMACIÓN TITULADA'!#REF!,"AAAAAFb4rac=")</f>
        <v>#REF!</v>
      </c>
      <c r="FM77" t="e">
        <f>AND('PROG FORMACIÓN TITULADA'!#REF!,"AAAAAFb4rag=")</f>
        <v>#REF!</v>
      </c>
      <c r="FN77" t="e">
        <f>AND('PROG FORMACIÓN TITULADA'!#REF!,"AAAAAFb4rak=")</f>
        <v>#REF!</v>
      </c>
      <c r="FO77" t="e">
        <f>AND('PROG FORMACIÓN TITULADA'!#REF!,"AAAAAFb4rao=")</f>
        <v>#REF!</v>
      </c>
      <c r="FP77" t="e">
        <f>AND('PROG FORMACIÓN TITULADA'!#REF!,"AAAAAFb4ras=")</f>
        <v>#REF!</v>
      </c>
      <c r="FQ77" t="e">
        <f>AND('PROG FORMACIÓN TITULADA'!#REF!,"AAAAAFb4raw=")</f>
        <v>#REF!</v>
      </c>
      <c r="FR77" t="e">
        <f>AND('PROG FORMACIÓN TITULADA'!#REF!,"AAAAAFb4ra0=")</f>
        <v>#REF!</v>
      </c>
      <c r="FS77" t="e">
        <f>AND('PROG FORMACIÓN TITULADA'!#REF!,"AAAAAFb4ra4=")</f>
        <v>#REF!</v>
      </c>
      <c r="FT77" t="e">
        <f>AND('PROG FORMACIÓN TITULADA'!#REF!,"AAAAAFb4ra8=")</f>
        <v>#REF!</v>
      </c>
      <c r="FU77" t="e">
        <f>AND('PROG FORMACIÓN TITULADA'!#REF!,"AAAAAFb4rbA=")</f>
        <v>#REF!</v>
      </c>
      <c r="FV77" t="e">
        <f>AND('PROG FORMACIÓN TITULADA'!#REF!,"AAAAAFb4rbE=")</f>
        <v>#REF!</v>
      </c>
      <c r="FW77" t="e">
        <f>AND('PROG FORMACIÓN TITULADA'!#REF!,"AAAAAFb4rbI=")</f>
        <v>#REF!</v>
      </c>
      <c r="FX77" t="e">
        <f>AND('PROG FORMACIÓN TITULADA'!#REF!,"AAAAAFb4rbM=")</f>
        <v>#REF!</v>
      </c>
      <c r="FY77" t="e">
        <f>AND('PROG FORMACIÓN TITULADA'!#REF!,"AAAAAFb4rbQ=")</f>
        <v>#REF!</v>
      </c>
      <c r="FZ77" t="e">
        <f>AND('PROG FORMACIÓN TITULADA'!#REF!,"AAAAAFb4rbU=")</f>
        <v>#REF!</v>
      </c>
      <c r="GA77" t="e">
        <f>AND('PROG FORMACIÓN TITULADA'!#REF!,"AAAAAFb4rbY=")</f>
        <v>#REF!</v>
      </c>
      <c r="GB77" t="e">
        <f>AND('PROG FORMACIÓN TITULADA'!#REF!,"AAAAAFb4rbc=")</f>
        <v>#REF!</v>
      </c>
      <c r="GC77" t="e">
        <f>AND('PROG FORMACIÓN TITULADA'!#REF!,"AAAAAFb4rbg=")</f>
        <v>#REF!</v>
      </c>
      <c r="GD77" t="e">
        <f>AND('PROG FORMACIÓN TITULADA'!#REF!,"AAAAAFb4rbk=")</f>
        <v>#REF!</v>
      </c>
      <c r="GE77" t="e">
        <f>AND('PROG FORMACIÓN TITULADA'!#REF!,"AAAAAFb4rbo=")</f>
        <v>#REF!</v>
      </c>
      <c r="GF77">
        <f>IF('PROG FORMACIÓN TITULADA'!456:456,"AAAAAFb4rbs=",0)</f>
        <v>0</v>
      </c>
      <c r="GG77" t="e">
        <f>AND('PROG FORMACIÓN TITULADA'!#REF!,"AAAAAFb4rbw=")</f>
        <v>#REF!</v>
      </c>
      <c r="GH77" t="e">
        <f>AND('PROG FORMACIÓN TITULADA'!B456,"AAAAAFb4rb0=")</f>
        <v>#VALUE!</v>
      </c>
      <c r="GI77" t="e">
        <f>AND('PROG FORMACIÓN TITULADA'!A456,"AAAAAFb4rb4=")</f>
        <v>#VALUE!</v>
      </c>
      <c r="GJ77" t="e">
        <f>AND('PROG FORMACIÓN TITULADA'!D456,"AAAAAFb4rb8=")</f>
        <v>#VALUE!</v>
      </c>
      <c r="GK77" t="e">
        <f>AND('PROG FORMACIÓN TITULADA'!E456,"AAAAAFb4rcA=")</f>
        <v>#VALUE!</v>
      </c>
      <c r="GL77" t="e">
        <f>AND('PROG FORMACIÓN TITULADA'!F456,"AAAAAFb4rcE=")</f>
        <v>#VALUE!</v>
      </c>
      <c r="GM77" t="e">
        <f>AND('PROG FORMACIÓN TITULADA'!G456,"AAAAAFb4rcI=")</f>
        <v>#VALUE!</v>
      </c>
      <c r="GN77" t="e">
        <f>AND('PROG FORMACIÓN TITULADA'!H456,"AAAAAFb4rcM=")</f>
        <v>#VALUE!</v>
      </c>
      <c r="GO77" t="e">
        <f>AND('PROG FORMACIÓN TITULADA'!I456,"AAAAAFb4rcQ=")</f>
        <v>#VALUE!</v>
      </c>
      <c r="GP77" t="e">
        <f>AND('PROG FORMACIÓN TITULADA'!J456,"AAAAAFb4rcU=")</f>
        <v>#VALUE!</v>
      </c>
      <c r="GQ77" t="e">
        <f>AND('PROG FORMACIÓN TITULADA'!K456,"AAAAAFb4rcY=")</f>
        <v>#VALUE!</v>
      </c>
      <c r="GR77" t="e">
        <f>AND('PROG FORMACIÓN TITULADA'!L456,"AAAAAFb4rcc=")</f>
        <v>#VALUE!</v>
      </c>
      <c r="GS77" t="e">
        <f>AND('PROG FORMACIÓN TITULADA'!M456,"AAAAAFb4rcg=")</f>
        <v>#VALUE!</v>
      </c>
      <c r="GT77" t="e">
        <f>AND('PROG FORMACIÓN TITULADA'!N456,"AAAAAFb4rck=")</f>
        <v>#VALUE!</v>
      </c>
      <c r="GU77" t="e">
        <f>AND('PROG FORMACIÓN TITULADA'!O456,"AAAAAFb4rco=")</f>
        <v>#VALUE!</v>
      </c>
      <c r="GV77" t="e">
        <f>AND('PROG FORMACIÓN TITULADA'!P456,"AAAAAFb4rcs=")</f>
        <v>#VALUE!</v>
      </c>
      <c r="GW77" t="e">
        <f>AND('PROG FORMACIÓN TITULADA'!Q456,"AAAAAFb4rcw=")</f>
        <v>#VALUE!</v>
      </c>
      <c r="GX77" t="e">
        <f>AND('PROG FORMACIÓN TITULADA'!R456,"AAAAAFb4rc0=")</f>
        <v>#VALUE!</v>
      </c>
      <c r="GY77" t="e">
        <f>AND('PROG FORMACIÓN TITULADA'!S456,"AAAAAFb4rc4=")</f>
        <v>#VALUE!</v>
      </c>
      <c r="GZ77" t="e">
        <f>AND('PROG FORMACIÓN TITULADA'!T456,"AAAAAFb4rc8=")</f>
        <v>#VALUE!</v>
      </c>
      <c r="HA77" t="e">
        <f>AND('PROG FORMACIÓN TITULADA'!U456,"AAAAAFb4rdA=")</f>
        <v>#VALUE!</v>
      </c>
      <c r="HB77" t="e">
        <f>AND('PROG FORMACIÓN TITULADA'!V456,"AAAAAFb4rdE=")</f>
        <v>#VALUE!</v>
      </c>
      <c r="HC77" t="e">
        <f>AND('PROG FORMACIÓN TITULADA'!W456,"AAAAAFb4rdI=")</f>
        <v>#VALUE!</v>
      </c>
      <c r="HD77" t="e">
        <f>AND('PROG FORMACIÓN TITULADA'!X456,"AAAAAFb4rdM=")</f>
        <v>#VALUE!</v>
      </c>
      <c r="HE77" t="e">
        <f>AND('PROG FORMACIÓN TITULADA'!Y456,"AAAAAFb4rdQ=")</f>
        <v>#VALUE!</v>
      </c>
      <c r="HF77" t="e">
        <f>AND('PROG FORMACIÓN TITULADA'!Z456,"AAAAAFb4rdU=")</f>
        <v>#VALUE!</v>
      </c>
      <c r="HG77" t="e">
        <f>IF('PROG FORMACIÓN TITULADA'!#REF!,"AAAAAFb4rdY=",0)</f>
        <v>#REF!</v>
      </c>
      <c r="HH77" t="e">
        <f>AND('PROG FORMACIÓN TITULADA'!#REF!,"AAAAAFb4rdc=")</f>
        <v>#REF!</v>
      </c>
      <c r="HI77" t="e">
        <f>AND('PROG FORMACIÓN TITULADA'!#REF!,"AAAAAFb4rdg=")</f>
        <v>#REF!</v>
      </c>
      <c r="HJ77" t="e">
        <f>AND('PROG FORMACIÓN TITULADA'!#REF!,"AAAAAFb4rdk=")</f>
        <v>#REF!</v>
      </c>
      <c r="HK77" t="e">
        <f>AND('PROG FORMACIÓN TITULADA'!#REF!,"AAAAAFb4rdo=")</f>
        <v>#REF!</v>
      </c>
      <c r="HL77" t="e">
        <f>AND('PROG FORMACIÓN TITULADA'!#REF!,"AAAAAFb4rds=")</f>
        <v>#REF!</v>
      </c>
      <c r="HM77" t="e">
        <f>AND('PROG FORMACIÓN TITULADA'!#REF!,"AAAAAFb4rdw=")</f>
        <v>#REF!</v>
      </c>
      <c r="HN77" t="e">
        <f>AND('PROG FORMACIÓN TITULADA'!#REF!,"AAAAAFb4rd0=")</f>
        <v>#REF!</v>
      </c>
      <c r="HO77" t="e">
        <f>AND('PROG FORMACIÓN TITULADA'!#REF!,"AAAAAFb4rd4=")</f>
        <v>#REF!</v>
      </c>
      <c r="HP77" t="e">
        <f>AND('PROG FORMACIÓN TITULADA'!#REF!,"AAAAAFb4rd8=")</f>
        <v>#REF!</v>
      </c>
      <c r="HQ77" t="e">
        <f>AND('PROG FORMACIÓN TITULADA'!#REF!,"AAAAAFb4reA=")</f>
        <v>#REF!</v>
      </c>
      <c r="HR77" t="e">
        <f>AND('PROG FORMACIÓN TITULADA'!#REF!,"AAAAAFb4reE=")</f>
        <v>#REF!</v>
      </c>
      <c r="HS77" t="e">
        <f>AND('PROG FORMACIÓN TITULADA'!#REF!,"AAAAAFb4reI=")</f>
        <v>#REF!</v>
      </c>
      <c r="HT77" t="e">
        <f>AND('PROG FORMACIÓN TITULADA'!#REF!,"AAAAAFb4reM=")</f>
        <v>#REF!</v>
      </c>
      <c r="HU77" t="e">
        <f>AND('PROG FORMACIÓN TITULADA'!#REF!,"AAAAAFb4reQ=")</f>
        <v>#REF!</v>
      </c>
      <c r="HV77" t="e">
        <f>AND('PROG FORMACIÓN TITULADA'!#REF!,"AAAAAFb4reU=")</f>
        <v>#REF!</v>
      </c>
      <c r="HW77" t="e">
        <f>AND('PROG FORMACIÓN TITULADA'!#REF!,"AAAAAFb4reY=")</f>
        <v>#REF!</v>
      </c>
      <c r="HX77" t="e">
        <f>AND('PROG FORMACIÓN TITULADA'!#REF!,"AAAAAFb4rec=")</f>
        <v>#REF!</v>
      </c>
      <c r="HY77" t="e">
        <f>AND('PROG FORMACIÓN TITULADA'!#REF!,"AAAAAFb4reg=")</f>
        <v>#REF!</v>
      </c>
      <c r="HZ77" t="e">
        <f>AND('PROG FORMACIÓN TITULADA'!#REF!,"AAAAAFb4rek=")</f>
        <v>#REF!</v>
      </c>
      <c r="IA77" t="e">
        <f>AND('PROG FORMACIÓN TITULADA'!#REF!,"AAAAAFb4reo=")</f>
        <v>#REF!</v>
      </c>
      <c r="IB77" t="e">
        <f>AND('PROG FORMACIÓN TITULADA'!#REF!,"AAAAAFb4res=")</f>
        <v>#REF!</v>
      </c>
      <c r="IC77" t="e">
        <f>AND('PROG FORMACIÓN TITULADA'!#REF!,"AAAAAFb4rew=")</f>
        <v>#REF!</v>
      </c>
      <c r="ID77" t="e">
        <f>AND('PROG FORMACIÓN TITULADA'!#REF!,"AAAAAFb4re0=")</f>
        <v>#REF!</v>
      </c>
      <c r="IE77" t="e">
        <f>AND('PROG FORMACIÓN TITULADA'!#REF!,"AAAAAFb4re4=")</f>
        <v>#REF!</v>
      </c>
      <c r="IF77" t="e">
        <f>AND('PROG FORMACIÓN TITULADA'!#REF!,"AAAAAFb4re8=")</f>
        <v>#REF!</v>
      </c>
      <c r="IG77" t="e">
        <f>AND('PROG FORMACIÓN TITULADA'!#REF!,"AAAAAFb4rfA=")</f>
        <v>#REF!</v>
      </c>
      <c r="IH77">
        <f>IF('PROG FORMACIÓN TITULADA'!457:457,"AAAAAFb4rfE=",0)</f>
        <v>0</v>
      </c>
      <c r="II77" t="e">
        <f>AND('PROG FORMACIÓN TITULADA'!#REF!,"AAAAAFb4rfI=")</f>
        <v>#REF!</v>
      </c>
      <c r="IJ77" t="e">
        <f>AND('PROG FORMACIÓN TITULADA'!B457,"AAAAAFb4rfM=")</f>
        <v>#VALUE!</v>
      </c>
      <c r="IK77" t="e">
        <f>AND('PROG FORMACIÓN TITULADA'!A457,"AAAAAFb4rfQ=")</f>
        <v>#VALUE!</v>
      </c>
      <c r="IL77" t="e">
        <f>AND('PROG FORMACIÓN TITULADA'!D457,"AAAAAFb4rfU=")</f>
        <v>#VALUE!</v>
      </c>
      <c r="IM77" t="e">
        <f>AND('PROG FORMACIÓN TITULADA'!E457,"AAAAAFb4rfY=")</f>
        <v>#VALUE!</v>
      </c>
      <c r="IN77" t="e">
        <f>AND('PROG FORMACIÓN TITULADA'!F457,"AAAAAFb4rfc=")</f>
        <v>#VALUE!</v>
      </c>
      <c r="IO77" t="e">
        <f>AND('PROG FORMACIÓN TITULADA'!G457,"AAAAAFb4rfg=")</f>
        <v>#VALUE!</v>
      </c>
      <c r="IP77" t="e">
        <f>AND('PROG FORMACIÓN TITULADA'!H457,"AAAAAFb4rfk=")</f>
        <v>#VALUE!</v>
      </c>
      <c r="IQ77" t="e">
        <f>AND('PROG FORMACIÓN TITULADA'!I457,"AAAAAFb4rfo=")</f>
        <v>#VALUE!</v>
      </c>
      <c r="IR77" t="e">
        <f>AND('PROG FORMACIÓN TITULADA'!J457,"AAAAAFb4rfs=")</f>
        <v>#VALUE!</v>
      </c>
      <c r="IS77" t="e">
        <f>AND('PROG FORMACIÓN TITULADA'!K457,"AAAAAFb4rfw=")</f>
        <v>#VALUE!</v>
      </c>
      <c r="IT77" t="e">
        <f>AND('PROG FORMACIÓN TITULADA'!L457,"AAAAAFb4rf0=")</f>
        <v>#VALUE!</v>
      </c>
      <c r="IU77" t="e">
        <f>AND('PROG FORMACIÓN TITULADA'!M457,"AAAAAFb4rf4=")</f>
        <v>#VALUE!</v>
      </c>
      <c r="IV77" t="e">
        <f>AND('PROG FORMACIÓN TITULADA'!N457,"AAAAAFb4rf8=")</f>
        <v>#VALUE!</v>
      </c>
    </row>
    <row r="78" spans="1:256" x14ac:dyDescent="0.2">
      <c r="A78" t="e">
        <f>AND('PROG FORMACIÓN TITULADA'!O457,"AAAAAF+71wA=")</f>
        <v>#VALUE!</v>
      </c>
      <c r="B78" t="e">
        <f>AND('PROG FORMACIÓN TITULADA'!P457,"AAAAAF+71wE=")</f>
        <v>#VALUE!</v>
      </c>
      <c r="C78" t="e">
        <f>AND('PROG FORMACIÓN TITULADA'!Q457,"AAAAAF+71wI=")</f>
        <v>#VALUE!</v>
      </c>
      <c r="D78" t="e">
        <f>AND('PROG FORMACIÓN TITULADA'!R457,"AAAAAF+71wM=")</f>
        <v>#VALUE!</v>
      </c>
      <c r="E78" t="e">
        <f>AND('PROG FORMACIÓN TITULADA'!S457,"AAAAAF+71wQ=")</f>
        <v>#VALUE!</v>
      </c>
      <c r="F78" t="e">
        <f>AND('PROG FORMACIÓN TITULADA'!T457,"AAAAAF+71wU=")</f>
        <v>#VALUE!</v>
      </c>
      <c r="G78" t="e">
        <f>AND('PROG FORMACIÓN TITULADA'!U457,"AAAAAF+71wY=")</f>
        <v>#VALUE!</v>
      </c>
      <c r="H78" t="e">
        <f>AND('PROG FORMACIÓN TITULADA'!V457,"AAAAAF+71wc=")</f>
        <v>#VALUE!</v>
      </c>
      <c r="I78" t="e">
        <f>AND('PROG FORMACIÓN TITULADA'!W457,"AAAAAF+71wg=")</f>
        <v>#VALUE!</v>
      </c>
      <c r="J78" t="e">
        <f>AND('PROG FORMACIÓN TITULADA'!X457,"AAAAAF+71wk=")</f>
        <v>#VALUE!</v>
      </c>
      <c r="K78" t="e">
        <f>AND('PROG FORMACIÓN TITULADA'!Y457,"AAAAAF+71wo=")</f>
        <v>#VALUE!</v>
      </c>
      <c r="L78" t="e">
        <f>AND('PROG FORMACIÓN TITULADA'!Z457,"AAAAAF+71ws=")</f>
        <v>#VALUE!</v>
      </c>
      <c r="M78">
        <f>IF('PROG FORMACIÓN TITULADA'!458:458,"AAAAAF+71ww=",0)</f>
        <v>0</v>
      </c>
      <c r="N78" t="e">
        <f>AND('PROG FORMACIÓN TITULADA'!#REF!,"AAAAAF+71w0=")</f>
        <v>#REF!</v>
      </c>
      <c r="O78" t="e">
        <f>AND('PROG FORMACIÓN TITULADA'!B458,"AAAAAF+71w4=")</f>
        <v>#VALUE!</v>
      </c>
      <c r="P78" t="e">
        <f>AND('PROG FORMACIÓN TITULADA'!A458,"AAAAAF+71w8=")</f>
        <v>#VALUE!</v>
      </c>
      <c r="Q78" t="e">
        <f>AND('PROG FORMACIÓN TITULADA'!D458,"AAAAAF+71xA=")</f>
        <v>#VALUE!</v>
      </c>
      <c r="R78" t="e">
        <f>AND('PROG FORMACIÓN TITULADA'!E458,"AAAAAF+71xE=")</f>
        <v>#VALUE!</v>
      </c>
      <c r="S78" t="e">
        <f>AND('PROG FORMACIÓN TITULADA'!F458,"AAAAAF+71xI=")</f>
        <v>#VALUE!</v>
      </c>
      <c r="T78" t="e">
        <f>AND('PROG FORMACIÓN TITULADA'!G458,"AAAAAF+71xM=")</f>
        <v>#VALUE!</v>
      </c>
      <c r="U78" t="e">
        <f>AND('PROG FORMACIÓN TITULADA'!H458,"AAAAAF+71xQ=")</f>
        <v>#VALUE!</v>
      </c>
      <c r="V78" t="e">
        <f>AND('PROG FORMACIÓN TITULADA'!I458,"AAAAAF+71xU=")</f>
        <v>#VALUE!</v>
      </c>
      <c r="W78" t="e">
        <f>AND('PROG FORMACIÓN TITULADA'!J458,"AAAAAF+71xY=")</f>
        <v>#VALUE!</v>
      </c>
      <c r="X78" t="e">
        <f>AND('PROG FORMACIÓN TITULADA'!K458,"AAAAAF+71xc=")</f>
        <v>#VALUE!</v>
      </c>
      <c r="Y78" t="e">
        <f>AND('PROG FORMACIÓN TITULADA'!L458,"AAAAAF+71xg=")</f>
        <v>#VALUE!</v>
      </c>
      <c r="Z78" t="e">
        <f>AND('PROG FORMACIÓN TITULADA'!M458,"AAAAAF+71xk=")</f>
        <v>#VALUE!</v>
      </c>
      <c r="AA78" t="e">
        <f>AND('PROG FORMACIÓN TITULADA'!N458,"AAAAAF+71xo=")</f>
        <v>#VALUE!</v>
      </c>
      <c r="AB78" t="e">
        <f>AND('PROG FORMACIÓN TITULADA'!O458,"AAAAAF+71xs=")</f>
        <v>#VALUE!</v>
      </c>
      <c r="AC78" t="e">
        <f>AND('PROG FORMACIÓN TITULADA'!P458,"AAAAAF+71xw=")</f>
        <v>#VALUE!</v>
      </c>
      <c r="AD78" t="e">
        <f>AND('PROG FORMACIÓN TITULADA'!Q458,"AAAAAF+71x0=")</f>
        <v>#VALUE!</v>
      </c>
      <c r="AE78" t="e">
        <f>AND('PROG FORMACIÓN TITULADA'!R458,"AAAAAF+71x4=")</f>
        <v>#VALUE!</v>
      </c>
      <c r="AF78" t="e">
        <f>AND('PROG FORMACIÓN TITULADA'!S458,"AAAAAF+71x8=")</f>
        <v>#VALUE!</v>
      </c>
      <c r="AG78" t="e">
        <f>AND('PROG FORMACIÓN TITULADA'!T458,"AAAAAF+71yA=")</f>
        <v>#VALUE!</v>
      </c>
      <c r="AH78" t="e">
        <f>AND('PROG FORMACIÓN TITULADA'!U458,"AAAAAF+71yE=")</f>
        <v>#VALUE!</v>
      </c>
      <c r="AI78" t="e">
        <f>AND('PROG FORMACIÓN TITULADA'!V458,"AAAAAF+71yI=")</f>
        <v>#VALUE!</v>
      </c>
      <c r="AJ78" t="e">
        <f>AND('PROG FORMACIÓN TITULADA'!W458,"AAAAAF+71yM=")</f>
        <v>#VALUE!</v>
      </c>
      <c r="AK78" t="e">
        <f>AND('PROG FORMACIÓN TITULADA'!X458,"AAAAAF+71yQ=")</f>
        <v>#VALUE!</v>
      </c>
      <c r="AL78" t="e">
        <f>AND('PROG FORMACIÓN TITULADA'!Y458,"AAAAAF+71yU=")</f>
        <v>#VALUE!</v>
      </c>
      <c r="AM78" t="e">
        <f>AND('PROG FORMACIÓN TITULADA'!Z458,"AAAAAF+71yY=")</f>
        <v>#VALUE!</v>
      </c>
      <c r="AN78">
        <f>IF('PROG FORMACIÓN TITULADA'!459:459,"AAAAAF+71yc=",0)</f>
        <v>0</v>
      </c>
      <c r="AO78" t="e">
        <f>AND('PROG FORMACIÓN TITULADA'!#REF!,"AAAAAF+71yg=")</f>
        <v>#REF!</v>
      </c>
      <c r="AP78" t="e">
        <f>AND('PROG FORMACIÓN TITULADA'!B459,"AAAAAF+71yk=")</f>
        <v>#VALUE!</v>
      </c>
      <c r="AQ78" t="e">
        <f>AND('PROG FORMACIÓN TITULADA'!A459,"AAAAAF+71yo=")</f>
        <v>#VALUE!</v>
      </c>
      <c r="AR78" t="e">
        <f>AND('PROG FORMACIÓN TITULADA'!D459,"AAAAAF+71ys=")</f>
        <v>#VALUE!</v>
      </c>
      <c r="AS78" t="e">
        <f>AND('PROG FORMACIÓN TITULADA'!E459,"AAAAAF+71yw=")</f>
        <v>#VALUE!</v>
      </c>
      <c r="AT78" t="e">
        <f>AND('PROG FORMACIÓN TITULADA'!F459,"AAAAAF+71y0=")</f>
        <v>#VALUE!</v>
      </c>
      <c r="AU78" t="e">
        <f>AND('PROG FORMACIÓN TITULADA'!G459,"AAAAAF+71y4=")</f>
        <v>#VALUE!</v>
      </c>
      <c r="AV78" t="e">
        <f>AND('PROG FORMACIÓN TITULADA'!H459,"AAAAAF+71y8=")</f>
        <v>#VALUE!</v>
      </c>
      <c r="AW78" t="e">
        <f>AND('PROG FORMACIÓN TITULADA'!I459,"AAAAAF+71zA=")</f>
        <v>#VALUE!</v>
      </c>
      <c r="AX78" t="e">
        <f>AND('PROG FORMACIÓN TITULADA'!J459,"AAAAAF+71zE=")</f>
        <v>#VALUE!</v>
      </c>
      <c r="AY78" t="e">
        <f>AND('PROG FORMACIÓN TITULADA'!K459,"AAAAAF+71zI=")</f>
        <v>#VALUE!</v>
      </c>
      <c r="AZ78" t="e">
        <f>AND('PROG FORMACIÓN TITULADA'!L459,"AAAAAF+71zM=")</f>
        <v>#VALUE!</v>
      </c>
      <c r="BA78" t="e">
        <f>AND('PROG FORMACIÓN TITULADA'!M459,"AAAAAF+71zQ=")</f>
        <v>#VALUE!</v>
      </c>
      <c r="BB78" t="e">
        <f>AND('PROG FORMACIÓN TITULADA'!N459,"AAAAAF+71zU=")</f>
        <v>#VALUE!</v>
      </c>
      <c r="BC78" t="e">
        <f>AND('PROG FORMACIÓN TITULADA'!O459,"AAAAAF+71zY=")</f>
        <v>#VALUE!</v>
      </c>
      <c r="BD78" t="e">
        <f>AND('PROG FORMACIÓN TITULADA'!P459,"AAAAAF+71zc=")</f>
        <v>#VALUE!</v>
      </c>
      <c r="BE78" t="e">
        <f>AND('PROG FORMACIÓN TITULADA'!Q459,"AAAAAF+71zg=")</f>
        <v>#VALUE!</v>
      </c>
      <c r="BF78" t="e">
        <f>AND('PROG FORMACIÓN TITULADA'!R459,"AAAAAF+71zk=")</f>
        <v>#VALUE!</v>
      </c>
      <c r="BG78" t="e">
        <f>AND('PROG FORMACIÓN TITULADA'!S459,"AAAAAF+71zo=")</f>
        <v>#VALUE!</v>
      </c>
      <c r="BH78" t="e">
        <f>AND('PROG FORMACIÓN TITULADA'!T459,"AAAAAF+71zs=")</f>
        <v>#VALUE!</v>
      </c>
      <c r="BI78" t="e">
        <f>AND('PROG FORMACIÓN TITULADA'!U459,"AAAAAF+71zw=")</f>
        <v>#VALUE!</v>
      </c>
      <c r="BJ78" t="e">
        <f>AND('PROG FORMACIÓN TITULADA'!V459,"AAAAAF+71z0=")</f>
        <v>#VALUE!</v>
      </c>
      <c r="BK78" t="e">
        <f>AND('PROG FORMACIÓN TITULADA'!W459,"AAAAAF+71z4=")</f>
        <v>#VALUE!</v>
      </c>
      <c r="BL78" t="e">
        <f>AND('PROG FORMACIÓN TITULADA'!X459,"AAAAAF+71z8=")</f>
        <v>#VALUE!</v>
      </c>
      <c r="BM78" t="e">
        <f>AND('PROG FORMACIÓN TITULADA'!Y459,"AAAAAF+710A=")</f>
        <v>#VALUE!</v>
      </c>
      <c r="BN78" t="e">
        <f>AND('PROG FORMACIÓN TITULADA'!Z459,"AAAAAF+710E=")</f>
        <v>#VALUE!</v>
      </c>
      <c r="BO78" t="e">
        <f>IF('PROG FORMACIÓN TITULADA'!#REF!,"AAAAAF+710I=",0)</f>
        <v>#REF!</v>
      </c>
      <c r="BP78" t="e">
        <f>AND('PROG FORMACIÓN TITULADA'!#REF!,"AAAAAF+710M=")</f>
        <v>#REF!</v>
      </c>
      <c r="BQ78" t="e">
        <f>AND('PROG FORMACIÓN TITULADA'!#REF!,"AAAAAF+710Q=")</f>
        <v>#REF!</v>
      </c>
      <c r="BR78" t="e">
        <f>AND('PROG FORMACIÓN TITULADA'!#REF!,"AAAAAF+710U=")</f>
        <v>#REF!</v>
      </c>
      <c r="BS78" t="e">
        <f>AND('PROG FORMACIÓN TITULADA'!#REF!,"AAAAAF+710Y=")</f>
        <v>#REF!</v>
      </c>
      <c r="BT78" t="e">
        <f>AND('PROG FORMACIÓN TITULADA'!#REF!,"AAAAAF+710c=")</f>
        <v>#REF!</v>
      </c>
      <c r="BU78" t="e">
        <f>AND('PROG FORMACIÓN TITULADA'!#REF!,"AAAAAF+710g=")</f>
        <v>#REF!</v>
      </c>
      <c r="BV78" t="e">
        <f>AND('PROG FORMACIÓN TITULADA'!#REF!,"AAAAAF+710k=")</f>
        <v>#REF!</v>
      </c>
      <c r="BW78" t="e">
        <f>AND('PROG FORMACIÓN TITULADA'!#REF!,"AAAAAF+710o=")</f>
        <v>#REF!</v>
      </c>
      <c r="BX78" t="e">
        <f>AND('PROG FORMACIÓN TITULADA'!#REF!,"AAAAAF+710s=")</f>
        <v>#REF!</v>
      </c>
      <c r="BY78" t="e">
        <f>AND('PROG FORMACIÓN TITULADA'!#REF!,"AAAAAF+710w=")</f>
        <v>#REF!</v>
      </c>
      <c r="BZ78" t="e">
        <f>AND('PROG FORMACIÓN TITULADA'!#REF!,"AAAAAF+7100=")</f>
        <v>#REF!</v>
      </c>
      <c r="CA78" t="e">
        <f>AND('PROG FORMACIÓN TITULADA'!#REF!,"AAAAAF+7104=")</f>
        <v>#REF!</v>
      </c>
      <c r="CB78" t="e">
        <f>AND('PROG FORMACIÓN TITULADA'!#REF!,"AAAAAF+7108=")</f>
        <v>#REF!</v>
      </c>
      <c r="CC78" t="e">
        <f>AND('PROG FORMACIÓN TITULADA'!#REF!,"AAAAAF+711A=")</f>
        <v>#REF!</v>
      </c>
      <c r="CD78" t="e">
        <f>AND('PROG FORMACIÓN TITULADA'!#REF!,"AAAAAF+711E=")</f>
        <v>#REF!</v>
      </c>
      <c r="CE78" t="e">
        <f>AND('PROG FORMACIÓN TITULADA'!#REF!,"AAAAAF+711I=")</f>
        <v>#REF!</v>
      </c>
      <c r="CF78" t="e">
        <f>AND('PROG FORMACIÓN TITULADA'!#REF!,"AAAAAF+711M=")</f>
        <v>#REF!</v>
      </c>
      <c r="CG78" t="e">
        <f>AND('PROG FORMACIÓN TITULADA'!#REF!,"AAAAAF+711Q=")</f>
        <v>#REF!</v>
      </c>
      <c r="CH78" t="e">
        <f>AND('PROG FORMACIÓN TITULADA'!#REF!,"AAAAAF+711U=")</f>
        <v>#REF!</v>
      </c>
      <c r="CI78" t="e">
        <f>AND('PROG FORMACIÓN TITULADA'!#REF!,"AAAAAF+711Y=")</f>
        <v>#REF!</v>
      </c>
      <c r="CJ78" t="e">
        <f>AND('PROG FORMACIÓN TITULADA'!#REF!,"AAAAAF+711c=")</f>
        <v>#REF!</v>
      </c>
      <c r="CK78" t="e">
        <f>AND('PROG FORMACIÓN TITULADA'!#REF!,"AAAAAF+711g=")</f>
        <v>#REF!</v>
      </c>
      <c r="CL78" t="e">
        <f>AND('PROG FORMACIÓN TITULADA'!#REF!,"AAAAAF+711k=")</f>
        <v>#REF!</v>
      </c>
      <c r="CM78" t="e">
        <f>AND('PROG FORMACIÓN TITULADA'!#REF!,"AAAAAF+711o=")</f>
        <v>#REF!</v>
      </c>
      <c r="CN78" t="e">
        <f>AND('PROG FORMACIÓN TITULADA'!#REF!,"AAAAAF+711s=")</f>
        <v>#REF!</v>
      </c>
      <c r="CO78" t="e">
        <f>AND('PROG FORMACIÓN TITULADA'!#REF!,"AAAAAF+711w=")</f>
        <v>#REF!</v>
      </c>
      <c r="CP78">
        <f>IF('PROG FORMACIÓN TITULADA'!460:460,"AAAAAF+7110=",0)</f>
        <v>0</v>
      </c>
      <c r="CQ78" t="e">
        <f>AND('PROG FORMACIÓN TITULADA'!#REF!,"AAAAAF+7114=")</f>
        <v>#REF!</v>
      </c>
      <c r="CR78" t="e">
        <f>AND('PROG FORMACIÓN TITULADA'!B460,"AAAAAF+7118=")</f>
        <v>#VALUE!</v>
      </c>
      <c r="CS78" t="e">
        <f>AND('PROG FORMACIÓN TITULADA'!A460,"AAAAAF+712A=")</f>
        <v>#VALUE!</v>
      </c>
      <c r="CT78" t="e">
        <f>AND('PROG FORMACIÓN TITULADA'!D460,"AAAAAF+712E=")</f>
        <v>#VALUE!</v>
      </c>
      <c r="CU78" t="e">
        <f>AND('PROG FORMACIÓN TITULADA'!E460,"AAAAAF+712I=")</f>
        <v>#VALUE!</v>
      </c>
      <c r="CV78" t="e">
        <f>AND('PROG FORMACIÓN TITULADA'!F460,"AAAAAF+712M=")</f>
        <v>#VALUE!</v>
      </c>
      <c r="CW78" t="e">
        <f>AND('PROG FORMACIÓN TITULADA'!G460,"AAAAAF+712Q=")</f>
        <v>#VALUE!</v>
      </c>
      <c r="CX78" t="e">
        <f>AND('PROG FORMACIÓN TITULADA'!H460,"AAAAAF+712U=")</f>
        <v>#VALUE!</v>
      </c>
      <c r="CY78" t="e">
        <f>AND('PROG FORMACIÓN TITULADA'!I460,"AAAAAF+712Y=")</f>
        <v>#VALUE!</v>
      </c>
      <c r="CZ78" t="e">
        <f>AND('PROG FORMACIÓN TITULADA'!J460,"AAAAAF+712c=")</f>
        <v>#VALUE!</v>
      </c>
      <c r="DA78" t="e">
        <f>AND('PROG FORMACIÓN TITULADA'!K460,"AAAAAF+712g=")</f>
        <v>#VALUE!</v>
      </c>
      <c r="DB78" t="e">
        <f>AND('PROG FORMACIÓN TITULADA'!L460,"AAAAAF+712k=")</f>
        <v>#VALUE!</v>
      </c>
      <c r="DC78" t="e">
        <f>AND('PROG FORMACIÓN TITULADA'!M460,"AAAAAF+712o=")</f>
        <v>#VALUE!</v>
      </c>
      <c r="DD78" t="e">
        <f>AND('PROG FORMACIÓN TITULADA'!N460,"AAAAAF+712s=")</f>
        <v>#VALUE!</v>
      </c>
      <c r="DE78" t="e">
        <f>AND('PROG FORMACIÓN TITULADA'!O460,"AAAAAF+712w=")</f>
        <v>#VALUE!</v>
      </c>
      <c r="DF78" t="e">
        <f>AND('PROG FORMACIÓN TITULADA'!P460,"AAAAAF+7120=")</f>
        <v>#VALUE!</v>
      </c>
      <c r="DG78" t="e">
        <f>AND('PROG FORMACIÓN TITULADA'!Q460,"AAAAAF+7124=")</f>
        <v>#VALUE!</v>
      </c>
      <c r="DH78" t="e">
        <f>AND('PROG FORMACIÓN TITULADA'!R460,"AAAAAF+7128=")</f>
        <v>#VALUE!</v>
      </c>
      <c r="DI78" t="e">
        <f>AND('PROG FORMACIÓN TITULADA'!S460,"AAAAAF+713A=")</f>
        <v>#VALUE!</v>
      </c>
      <c r="DJ78" t="e">
        <f>AND('PROG FORMACIÓN TITULADA'!T460,"AAAAAF+713E=")</f>
        <v>#VALUE!</v>
      </c>
      <c r="DK78" t="e">
        <f>AND('PROG FORMACIÓN TITULADA'!U460,"AAAAAF+713I=")</f>
        <v>#VALUE!</v>
      </c>
      <c r="DL78" t="e">
        <f>AND('PROG FORMACIÓN TITULADA'!V460,"AAAAAF+713M=")</f>
        <v>#VALUE!</v>
      </c>
      <c r="DM78" t="e">
        <f>AND('PROG FORMACIÓN TITULADA'!W460,"AAAAAF+713Q=")</f>
        <v>#VALUE!</v>
      </c>
      <c r="DN78" t="e">
        <f>AND('PROG FORMACIÓN TITULADA'!X460,"AAAAAF+713U=")</f>
        <v>#VALUE!</v>
      </c>
      <c r="DO78" t="e">
        <f>AND('PROG FORMACIÓN TITULADA'!Y460,"AAAAAF+713Y=")</f>
        <v>#VALUE!</v>
      </c>
      <c r="DP78" t="e">
        <f>AND('PROG FORMACIÓN TITULADA'!Z460,"AAAAAF+713c=")</f>
        <v>#VALUE!</v>
      </c>
      <c r="DQ78">
        <f>IF('PROG FORMACIÓN TITULADA'!461:461,"AAAAAF+713g=",0)</f>
        <v>0</v>
      </c>
      <c r="DR78" t="e">
        <f>AND('PROG FORMACIÓN TITULADA'!#REF!,"AAAAAF+713k=")</f>
        <v>#REF!</v>
      </c>
      <c r="DS78" t="e">
        <f>AND('PROG FORMACIÓN TITULADA'!B461,"AAAAAF+713o=")</f>
        <v>#VALUE!</v>
      </c>
      <c r="DT78" t="e">
        <f>AND('PROG FORMACIÓN TITULADA'!A461,"AAAAAF+713s=")</f>
        <v>#VALUE!</v>
      </c>
      <c r="DU78" t="e">
        <f>AND('PROG FORMACIÓN TITULADA'!D461,"AAAAAF+713w=")</f>
        <v>#VALUE!</v>
      </c>
      <c r="DV78" t="e">
        <f>AND('PROG FORMACIÓN TITULADA'!E461,"AAAAAF+7130=")</f>
        <v>#VALUE!</v>
      </c>
      <c r="DW78" t="e">
        <f>AND('PROG FORMACIÓN TITULADA'!F461,"AAAAAF+7134=")</f>
        <v>#VALUE!</v>
      </c>
      <c r="DX78" t="e">
        <f>AND('PROG FORMACIÓN TITULADA'!G461,"AAAAAF+7138=")</f>
        <v>#VALUE!</v>
      </c>
      <c r="DY78" t="e">
        <f>AND('PROG FORMACIÓN TITULADA'!H461,"AAAAAF+714A=")</f>
        <v>#VALUE!</v>
      </c>
      <c r="DZ78" t="e">
        <f>AND('PROG FORMACIÓN TITULADA'!I461,"AAAAAF+714E=")</f>
        <v>#VALUE!</v>
      </c>
      <c r="EA78" t="e">
        <f>AND('PROG FORMACIÓN TITULADA'!J461,"AAAAAF+714I=")</f>
        <v>#VALUE!</v>
      </c>
      <c r="EB78" t="e">
        <f>AND('PROG FORMACIÓN TITULADA'!K461,"AAAAAF+714M=")</f>
        <v>#VALUE!</v>
      </c>
      <c r="EC78" t="e">
        <f>AND('PROG FORMACIÓN TITULADA'!L461,"AAAAAF+714Q=")</f>
        <v>#VALUE!</v>
      </c>
      <c r="ED78" t="e">
        <f>AND('PROG FORMACIÓN TITULADA'!M461,"AAAAAF+714U=")</f>
        <v>#VALUE!</v>
      </c>
      <c r="EE78" t="e">
        <f>AND('PROG FORMACIÓN TITULADA'!N461,"AAAAAF+714Y=")</f>
        <v>#VALUE!</v>
      </c>
      <c r="EF78" t="e">
        <f>AND('PROG FORMACIÓN TITULADA'!O461,"AAAAAF+714c=")</f>
        <v>#VALUE!</v>
      </c>
      <c r="EG78" t="e">
        <f>AND('PROG FORMACIÓN TITULADA'!P461,"AAAAAF+714g=")</f>
        <v>#VALUE!</v>
      </c>
      <c r="EH78" t="e">
        <f>AND('PROG FORMACIÓN TITULADA'!Q461,"AAAAAF+714k=")</f>
        <v>#VALUE!</v>
      </c>
      <c r="EI78" t="e">
        <f>AND('PROG FORMACIÓN TITULADA'!R461,"AAAAAF+714o=")</f>
        <v>#VALUE!</v>
      </c>
      <c r="EJ78" t="e">
        <f>AND('PROG FORMACIÓN TITULADA'!S461,"AAAAAF+714s=")</f>
        <v>#VALUE!</v>
      </c>
      <c r="EK78" t="e">
        <f>AND('PROG FORMACIÓN TITULADA'!T461,"AAAAAF+714w=")</f>
        <v>#VALUE!</v>
      </c>
      <c r="EL78" t="e">
        <f>AND('PROG FORMACIÓN TITULADA'!U461,"AAAAAF+7140=")</f>
        <v>#VALUE!</v>
      </c>
      <c r="EM78" t="e">
        <f>AND('PROG FORMACIÓN TITULADA'!V461,"AAAAAF+7144=")</f>
        <v>#VALUE!</v>
      </c>
      <c r="EN78" t="e">
        <f>AND('PROG FORMACIÓN TITULADA'!W461,"AAAAAF+7148=")</f>
        <v>#VALUE!</v>
      </c>
      <c r="EO78" t="e">
        <f>AND('PROG FORMACIÓN TITULADA'!X461,"AAAAAF+715A=")</f>
        <v>#VALUE!</v>
      </c>
      <c r="EP78" t="e">
        <f>AND('PROG FORMACIÓN TITULADA'!Y461,"AAAAAF+715E=")</f>
        <v>#VALUE!</v>
      </c>
      <c r="EQ78" t="e">
        <f>AND('PROG FORMACIÓN TITULADA'!Z461,"AAAAAF+715I=")</f>
        <v>#VALUE!</v>
      </c>
      <c r="ER78">
        <f>IF('PROG FORMACIÓN TITULADA'!462:462,"AAAAAF+715M=",0)</f>
        <v>0</v>
      </c>
      <c r="ES78" t="e">
        <f>AND('PROG FORMACIÓN TITULADA'!#REF!,"AAAAAF+715Q=")</f>
        <v>#REF!</v>
      </c>
      <c r="ET78" t="e">
        <f>AND('PROG FORMACIÓN TITULADA'!B462,"AAAAAF+715U=")</f>
        <v>#VALUE!</v>
      </c>
      <c r="EU78" t="e">
        <f>AND('PROG FORMACIÓN TITULADA'!A462,"AAAAAF+715Y=")</f>
        <v>#VALUE!</v>
      </c>
      <c r="EV78" t="e">
        <f>AND('PROG FORMACIÓN TITULADA'!D462,"AAAAAF+715c=")</f>
        <v>#VALUE!</v>
      </c>
      <c r="EW78" t="e">
        <f>AND('PROG FORMACIÓN TITULADA'!E462,"AAAAAF+715g=")</f>
        <v>#VALUE!</v>
      </c>
      <c r="EX78" t="e">
        <f>AND('PROG FORMACIÓN TITULADA'!F462,"AAAAAF+715k=")</f>
        <v>#VALUE!</v>
      </c>
      <c r="EY78" t="e">
        <f>AND('PROG FORMACIÓN TITULADA'!G462,"AAAAAF+715o=")</f>
        <v>#VALUE!</v>
      </c>
      <c r="EZ78" t="e">
        <f>AND('PROG FORMACIÓN TITULADA'!H462,"AAAAAF+715s=")</f>
        <v>#VALUE!</v>
      </c>
      <c r="FA78" t="e">
        <f>AND('PROG FORMACIÓN TITULADA'!I462,"AAAAAF+715w=")</f>
        <v>#VALUE!</v>
      </c>
      <c r="FB78" t="e">
        <f>AND('PROG FORMACIÓN TITULADA'!J462,"AAAAAF+7150=")</f>
        <v>#VALUE!</v>
      </c>
      <c r="FC78" t="e">
        <f>AND('PROG FORMACIÓN TITULADA'!K462,"AAAAAF+7154=")</f>
        <v>#VALUE!</v>
      </c>
      <c r="FD78" t="e">
        <f>AND('PROG FORMACIÓN TITULADA'!L462,"AAAAAF+7158=")</f>
        <v>#VALUE!</v>
      </c>
      <c r="FE78" t="e">
        <f>AND('PROG FORMACIÓN TITULADA'!M462,"AAAAAF+716A=")</f>
        <v>#VALUE!</v>
      </c>
      <c r="FF78" t="e">
        <f>AND('PROG FORMACIÓN TITULADA'!N462,"AAAAAF+716E=")</f>
        <v>#VALUE!</v>
      </c>
      <c r="FG78" t="e">
        <f>AND('PROG FORMACIÓN TITULADA'!O462,"AAAAAF+716I=")</f>
        <v>#VALUE!</v>
      </c>
      <c r="FH78" t="e">
        <f>AND('PROG FORMACIÓN TITULADA'!P462,"AAAAAF+716M=")</f>
        <v>#VALUE!</v>
      </c>
      <c r="FI78" t="e">
        <f>AND('PROG FORMACIÓN TITULADA'!Q462,"AAAAAF+716Q=")</f>
        <v>#VALUE!</v>
      </c>
      <c r="FJ78" t="e">
        <f>AND('PROG FORMACIÓN TITULADA'!R462,"AAAAAF+716U=")</f>
        <v>#VALUE!</v>
      </c>
      <c r="FK78" t="e">
        <f>AND('PROG FORMACIÓN TITULADA'!S462,"AAAAAF+716Y=")</f>
        <v>#VALUE!</v>
      </c>
      <c r="FL78" t="e">
        <f>AND('PROG FORMACIÓN TITULADA'!T462,"AAAAAF+716c=")</f>
        <v>#VALUE!</v>
      </c>
      <c r="FM78" t="e">
        <f>AND('PROG FORMACIÓN TITULADA'!U462,"AAAAAF+716g=")</f>
        <v>#VALUE!</v>
      </c>
      <c r="FN78" t="e">
        <f>AND('PROG FORMACIÓN TITULADA'!V462,"AAAAAF+716k=")</f>
        <v>#VALUE!</v>
      </c>
      <c r="FO78" t="e">
        <f>AND('PROG FORMACIÓN TITULADA'!W462,"AAAAAF+716o=")</f>
        <v>#VALUE!</v>
      </c>
      <c r="FP78" t="e">
        <f>AND('PROG FORMACIÓN TITULADA'!X462,"AAAAAF+716s=")</f>
        <v>#VALUE!</v>
      </c>
      <c r="FQ78" t="e">
        <f>AND('PROG FORMACIÓN TITULADA'!Y462,"AAAAAF+716w=")</f>
        <v>#VALUE!</v>
      </c>
      <c r="FR78" t="e">
        <f>AND('PROG FORMACIÓN TITULADA'!Z462,"AAAAAF+7160=")</f>
        <v>#VALUE!</v>
      </c>
      <c r="FS78">
        <f>IF('PROG FORMACIÓN TITULADA'!463:463,"AAAAAF+7164=",0)</f>
        <v>0</v>
      </c>
      <c r="FT78" t="e">
        <f>AND('PROG FORMACIÓN TITULADA'!#REF!,"AAAAAF+7168=")</f>
        <v>#REF!</v>
      </c>
      <c r="FU78" t="e">
        <f>AND('PROG FORMACIÓN TITULADA'!B463,"AAAAAF+717A=")</f>
        <v>#VALUE!</v>
      </c>
      <c r="FV78" t="e">
        <f>AND('PROG FORMACIÓN TITULADA'!A463,"AAAAAF+717E=")</f>
        <v>#VALUE!</v>
      </c>
      <c r="FW78" t="e">
        <f>AND('PROG FORMACIÓN TITULADA'!D463,"AAAAAF+717I=")</f>
        <v>#VALUE!</v>
      </c>
      <c r="FX78" t="e">
        <f>AND('PROG FORMACIÓN TITULADA'!E463,"AAAAAF+717M=")</f>
        <v>#VALUE!</v>
      </c>
      <c r="FY78" t="e">
        <f>AND('PROG FORMACIÓN TITULADA'!F463,"AAAAAF+717Q=")</f>
        <v>#VALUE!</v>
      </c>
      <c r="FZ78" t="e">
        <f>AND('PROG FORMACIÓN TITULADA'!G463,"AAAAAF+717U=")</f>
        <v>#VALUE!</v>
      </c>
      <c r="GA78" t="e">
        <f>AND('PROG FORMACIÓN TITULADA'!H463,"AAAAAF+717Y=")</f>
        <v>#VALUE!</v>
      </c>
      <c r="GB78" t="e">
        <f>AND('PROG FORMACIÓN TITULADA'!I463,"AAAAAF+717c=")</f>
        <v>#VALUE!</v>
      </c>
      <c r="GC78" t="e">
        <f>AND('PROG FORMACIÓN TITULADA'!J463,"AAAAAF+717g=")</f>
        <v>#VALUE!</v>
      </c>
      <c r="GD78" t="e">
        <f>AND('PROG FORMACIÓN TITULADA'!K463,"AAAAAF+717k=")</f>
        <v>#VALUE!</v>
      </c>
      <c r="GE78" t="e">
        <f>AND('PROG FORMACIÓN TITULADA'!L463,"AAAAAF+717o=")</f>
        <v>#VALUE!</v>
      </c>
      <c r="GF78" t="e">
        <f>AND('PROG FORMACIÓN TITULADA'!M463,"AAAAAF+717s=")</f>
        <v>#VALUE!</v>
      </c>
      <c r="GG78" t="e">
        <f>AND('PROG FORMACIÓN TITULADA'!N463,"AAAAAF+717w=")</f>
        <v>#VALUE!</v>
      </c>
      <c r="GH78" t="e">
        <f>AND('PROG FORMACIÓN TITULADA'!O463,"AAAAAF+7170=")</f>
        <v>#VALUE!</v>
      </c>
      <c r="GI78" t="e">
        <f>AND('PROG FORMACIÓN TITULADA'!P463,"AAAAAF+7174=")</f>
        <v>#VALUE!</v>
      </c>
      <c r="GJ78" t="e">
        <f>AND('PROG FORMACIÓN TITULADA'!Q463,"AAAAAF+7178=")</f>
        <v>#VALUE!</v>
      </c>
      <c r="GK78" t="e">
        <f>AND('PROG FORMACIÓN TITULADA'!R463,"AAAAAF+718A=")</f>
        <v>#VALUE!</v>
      </c>
      <c r="GL78" t="e">
        <f>AND('PROG FORMACIÓN TITULADA'!S463,"AAAAAF+718E=")</f>
        <v>#VALUE!</v>
      </c>
      <c r="GM78" t="e">
        <f>AND('PROG FORMACIÓN TITULADA'!T463,"AAAAAF+718I=")</f>
        <v>#VALUE!</v>
      </c>
      <c r="GN78" t="e">
        <f>AND('PROG FORMACIÓN TITULADA'!U463,"AAAAAF+718M=")</f>
        <v>#VALUE!</v>
      </c>
      <c r="GO78" t="e">
        <f>AND('PROG FORMACIÓN TITULADA'!V463,"AAAAAF+718Q=")</f>
        <v>#VALUE!</v>
      </c>
      <c r="GP78" t="e">
        <f>AND('PROG FORMACIÓN TITULADA'!W463,"AAAAAF+718U=")</f>
        <v>#VALUE!</v>
      </c>
      <c r="GQ78" t="e">
        <f>AND('PROG FORMACIÓN TITULADA'!X463,"AAAAAF+718Y=")</f>
        <v>#VALUE!</v>
      </c>
      <c r="GR78" t="e">
        <f>AND('PROG FORMACIÓN TITULADA'!Y463,"AAAAAF+718c=")</f>
        <v>#VALUE!</v>
      </c>
      <c r="GS78" t="e">
        <f>AND('PROG FORMACIÓN TITULADA'!Z463,"AAAAAF+718g=")</f>
        <v>#VALUE!</v>
      </c>
      <c r="GT78">
        <f>IF('PROG FORMACIÓN TITULADA'!464:464,"AAAAAF+718k=",0)</f>
        <v>0</v>
      </c>
      <c r="GU78" t="e">
        <f>AND('PROG FORMACIÓN TITULADA'!#REF!,"AAAAAF+718o=")</f>
        <v>#REF!</v>
      </c>
      <c r="GV78" t="e">
        <f>AND('PROG FORMACIÓN TITULADA'!B464,"AAAAAF+718s=")</f>
        <v>#VALUE!</v>
      </c>
      <c r="GW78" t="e">
        <f>AND('PROG FORMACIÓN TITULADA'!A464,"AAAAAF+718w=")</f>
        <v>#VALUE!</v>
      </c>
      <c r="GX78" t="e">
        <f>AND('PROG FORMACIÓN TITULADA'!D464,"AAAAAF+7180=")</f>
        <v>#VALUE!</v>
      </c>
      <c r="GY78" t="e">
        <f>AND('PROG FORMACIÓN TITULADA'!E464,"AAAAAF+7184=")</f>
        <v>#VALUE!</v>
      </c>
      <c r="GZ78" t="e">
        <f>AND('PROG FORMACIÓN TITULADA'!F464,"AAAAAF+7188=")</f>
        <v>#VALUE!</v>
      </c>
      <c r="HA78" t="e">
        <f>AND('PROG FORMACIÓN TITULADA'!G464,"AAAAAF+719A=")</f>
        <v>#VALUE!</v>
      </c>
      <c r="HB78" t="e">
        <f>AND('PROG FORMACIÓN TITULADA'!H464,"AAAAAF+719E=")</f>
        <v>#VALUE!</v>
      </c>
      <c r="HC78" t="e">
        <f>AND('PROG FORMACIÓN TITULADA'!I464,"AAAAAF+719I=")</f>
        <v>#VALUE!</v>
      </c>
      <c r="HD78" t="e">
        <f>AND('PROG FORMACIÓN TITULADA'!J464,"AAAAAF+719M=")</f>
        <v>#VALUE!</v>
      </c>
      <c r="HE78" t="e">
        <f>AND('PROG FORMACIÓN TITULADA'!K464,"AAAAAF+719Q=")</f>
        <v>#VALUE!</v>
      </c>
      <c r="HF78" t="e">
        <f>AND('PROG FORMACIÓN TITULADA'!L464,"AAAAAF+719U=")</f>
        <v>#VALUE!</v>
      </c>
      <c r="HG78" t="e">
        <f>AND('PROG FORMACIÓN TITULADA'!M464,"AAAAAF+719Y=")</f>
        <v>#VALUE!</v>
      </c>
      <c r="HH78" t="e">
        <f>AND('PROG FORMACIÓN TITULADA'!N464,"AAAAAF+719c=")</f>
        <v>#VALUE!</v>
      </c>
      <c r="HI78" t="e">
        <f>AND('PROG FORMACIÓN TITULADA'!O464,"AAAAAF+719g=")</f>
        <v>#VALUE!</v>
      </c>
      <c r="HJ78" t="e">
        <f>AND('PROG FORMACIÓN TITULADA'!P464,"AAAAAF+719k=")</f>
        <v>#VALUE!</v>
      </c>
      <c r="HK78" t="e">
        <f>AND('PROG FORMACIÓN TITULADA'!Q464,"AAAAAF+719o=")</f>
        <v>#VALUE!</v>
      </c>
      <c r="HL78" t="e">
        <f>AND('PROG FORMACIÓN TITULADA'!R464,"AAAAAF+719s=")</f>
        <v>#VALUE!</v>
      </c>
      <c r="HM78" t="e">
        <f>AND('PROG FORMACIÓN TITULADA'!S464,"AAAAAF+719w=")</f>
        <v>#VALUE!</v>
      </c>
      <c r="HN78" t="e">
        <f>AND('PROG FORMACIÓN TITULADA'!T464,"AAAAAF+7190=")</f>
        <v>#VALUE!</v>
      </c>
      <c r="HO78" t="e">
        <f>AND('PROG FORMACIÓN TITULADA'!U464,"AAAAAF+7194=")</f>
        <v>#VALUE!</v>
      </c>
      <c r="HP78" t="e">
        <f>AND('PROG FORMACIÓN TITULADA'!V464,"AAAAAF+7198=")</f>
        <v>#VALUE!</v>
      </c>
      <c r="HQ78" t="e">
        <f>AND('PROG FORMACIÓN TITULADA'!W464,"AAAAAF+71+A=")</f>
        <v>#VALUE!</v>
      </c>
      <c r="HR78" t="e">
        <f>AND('PROG FORMACIÓN TITULADA'!X464,"AAAAAF+71+E=")</f>
        <v>#VALUE!</v>
      </c>
      <c r="HS78" t="e">
        <f>AND('PROG FORMACIÓN TITULADA'!Y464,"AAAAAF+71+I=")</f>
        <v>#VALUE!</v>
      </c>
      <c r="HT78" t="e">
        <f>AND('PROG FORMACIÓN TITULADA'!Z464,"AAAAAF+71+M=")</f>
        <v>#VALUE!</v>
      </c>
      <c r="HU78">
        <f>IF('PROG FORMACIÓN TITULADA'!465:465,"AAAAAF+71+Q=",0)</f>
        <v>0</v>
      </c>
      <c r="HV78" t="e">
        <f>AND('PROG FORMACIÓN TITULADA'!#REF!,"AAAAAF+71+U=")</f>
        <v>#REF!</v>
      </c>
      <c r="HW78" t="e">
        <f>AND('PROG FORMACIÓN TITULADA'!B465,"AAAAAF+71+Y=")</f>
        <v>#VALUE!</v>
      </c>
      <c r="HX78" t="e">
        <f>AND('PROG FORMACIÓN TITULADA'!A465,"AAAAAF+71+c=")</f>
        <v>#VALUE!</v>
      </c>
      <c r="HY78" t="e">
        <f>AND('PROG FORMACIÓN TITULADA'!D465,"AAAAAF+71+g=")</f>
        <v>#VALUE!</v>
      </c>
      <c r="HZ78" t="e">
        <f>AND('PROG FORMACIÓN TITULADA'!E465,"AAAAAF+71+k=")</f>
        <v>#VALUE!</v>
      </c>
      <c r="IA78" t="e">
        <f>AND('PROG FORMACIÓN TITULADA'!F465,"AAAAAF+71+o=")</f>
        <v>#VALUE!</v>
      </c>
      <c r="IB78" t="e">
        <f>AND('PROG FORMACIÓN TITULADA'!G465,"AAAAAF+71+s=")</f>
        <v>#VALUE!</v>
      </c>
      <c r="IC78" t="e">
        <f>AND('PROG FORMACIÓN TITULADA'!H465,"AAAAAF+71+w=")</f>
        <v>#VALUE!</v>
      </c>
      <c r="ID78" t="e">
        <f>AND('PROG FORMACIÓN TITULADA'!I465,"AAAAAF+71+0=")</f>
        <v>#VALUE!</v>
      </c>
      <c r="IE78" t="e">
        <f>AND('PROG FORMACIÓN TITULADA'!J465,"AAAAAF+71+4=")</f>
        <v>#VALUE!</v>
      </c>
      <c r="IF78" t="e">
        <f>AND('PROG FORMACIÓN TITULADA'!K465,"AAAAAF+71+8=")</f>
        <v>#VALUE!</v>
      </c>
      <c r="IG78" t="e">
        <f>AND('PROG FORMACIÓN TITULADA'!L465,"AAAAAF+71/A=")</f>
        <v>#VALUE!</v>
      </c>
      <c r="IH78" t="e">
        <f>AND('PROG FORMACIÓN TITULADA'!M465,"AAAAAF+71/E=")</f>
        <v>#VALUE!</v>
      </c>
      <c r="II78" t="e">
        <f>AND('PROG FORMACIÓN TITULADA'!N465,"AAAAAF+71/I=")</f>
        <v>#VALUE!</v>
      </c>
      <c r="IJ78" t="e">
        <f>AND('PROG FORMACIÓN TITULADA'!O465,"AAAAAF+71/M=")</f>
        <v>#VALUE!</v>
      </c>
      <c r="IK78" t="e">
        <f>AND('PROG FORMACIÓN TITULADA'!P465,"AAAAAF+71/Q=")</f>
        <v>#VALUE!</v>
      </c>
      <c r="IL78" t="e">
        <f>AND('PROG FORMACIÓN TITULADA'!Q465,"AAAAAF+71/U=")</f>
        <v>#VALUE!</v>
      </c>
      <c r="IM78" t="e">
        <f>AND('PROG FORMACIÓN TITULADA'!R465,"AAAAAF+71/Y=")</f>
        <v>#VALUE!</v>
      </c>
      <c r="IN78" t="e">
        <f>AND('PROG FORMACIÓN TITULADA'!S465,"AAAAAF+71/c=")</f>
        <v>#VALUE!</v>
      </c>
      <c r="IO78" t="e">
        <f>AND('PROG FORMACIÓN TITULADA'!T465,"AAAAAF+71/g=")</f>
        <v>#VALUE!</v>
      </c>
      <c r="IP78" t="e">
        <f>AND('PROG FORMACIÓN TITULADA'!U465,"AAAAAF+71/k=")</f>
        <v>#VALUE!</v>
      </c>
      <c r="IQ78" t="e">
        <f>AND('PROG FORMACIÓN TITULADA'!V465,"AAAAAF+71/o=")</f>
        <v>#VALUE!</v>
      </c>
      <c r="IR78" t="e">
        <f>AND('PROG FORMACIÓN TITULADA'!W465,"AAAAAF+71/s=")</f>
        <v>#VALUE!</v>
      </c>
      <c r="IS78" t="e">
        <f>AND('PROG FORMACIÓN TITULADA'!X465,"AAAAAF+71/w=")</f>
        <v>#VALUE!</v>
      </c>
      <c r="IT78" t="e">
        <f>AND('PROG FORMACIÓN TITULADA'!Y465,"AAAAAF+71/0=")</f>
        <v>#VALUE!</v>
      </c>
      <c r="IU78" t="e">
        <f>AND('PROG FORMACIÓN TITULADA'!Z465,"AAAAAF+71/4=")</f>
        <v>#VALUE!</v>
      </c>
      <c r="IV78">
        <f>IF('PROG FORMACIÓN TITULADA'!466:466,"AAAAAF+71/8=",0)</f>
        <v>0</v>
      </c>
    </row>
    <row r="79" spans="1:256" x14ac:dyDescent="0.2">
      <c r="A79" t="e">
        <f>AND('PROG FORMACIÓN TITULADA'!#REF!,"AAAAAH6v5wA=")</f>
        <v>#REF!</v>
      </c>
      <c r="B79" t="e">
        <f>AND('PROG FORMACIÓN TITULADA'!B466,"AAAAAH6v5wE=")</f>
        <v>#VALUE!</v>
      </c>
      <c r="C79" t="e">
        <f>AND('PROG FORMACIÓN TITULADA'!A466,"AAAAAH6v5wI=")</f>
        <v>#VALUE!</v>
      </c>
      <c r="D79" t="e">
        <f>AND('PROG FORMACIÓN TITULADA'!D466,"AAAAAH6v5wM=")</f>
        <v>#VALUE!</v>
      </c>
      <c r="E79" t="e">
        <f>AND('PROG FORMACIÓN TITULADA'!E466,"AAAAAH6v5wQ=")</f>
        <v>#VALUE!</v>
      </c>
      <c r="F79" t="e">
        <f>AND('PROG FORMACIÓN TITULADA'!F466,"AAAAAH6v5wU=")</f>
        <v>#VALUE!</v>
      </c>
      <c r="G79" t="e">
        <f>AND('PROG FORMACIÓN TITULADA'!G466,"AAAAAH6v5wY=")</f>
        <v>#VALUE!</v>
      </c>
      <c r="H79" t="e">
        <f>AND('PROG FORMACIÓN TITULADA'!H466,"AAAAAH6v5wc=")</f>
        <v>#VALUE!</v>
      </c>
      <c r="I79" t="e">
        <f>AND('PROG FORMACIÓN TITULADA'!I466,"AAAAAH6v5wg=")</f>
        <v>#VALUE!</v>
      </c>
      <c r="J79" t="e">
        <f>AND('PROG FORMACIÓN TITULADA'!J466,"AAAAAH6v5wk=")</f>
        <v>#VALUE!</v>
      </c>
      <c r="K79" t="e">
        <f>AND('PROG FORMACIÓN TITULADA'!K466,"AAAAAH6v5wo=")</f>
        <v>#VALUE!</v>
      </c>
      <c r="L79" t="e">
        <f>AND('PROG FORMACIÓN TITULADA'!L466,"AAAAAH6v5ws=")</f>
        <v>#VALUE!</v>
      </c>
      <c r="M79" t="e">
        <f>AND('PROG FORMACIÓN TITULADA'!M466,"AAAAAH6v5ww=")</f>
        <v>#VALUE!</v>
      </c>
      <c r="N79" t="e">
        <f>AND('PROG FORMACIÓN TITULADA'!N466,"AAAAAH6v5w0=")</f>
        <v>#VALUE!</v>
      </c>
      <c r="O79" t="e">
        <f>AND('PROG FORMACIÓN TITULADA'!O466,"AAAAAH6v5w4=")</f>
        <v>#VALUE!</v>
      </c>
      <c r="P79" t="e">
        <f>AND('PROG FORMACIÓN TITULADA'!P466,"AAAAAH6v5w8=")</f>
        <v>#VALUE!</v>
      </c>
      <c r="Q79" t="e">
        <f>AND('PROG FORMACIÓN TITULADA'!Q466,"AAAAAH6v5xA=")</f>
        <v>#VALUE!</v>
      </c>
      <c r="R79" t="e">
        <f>AND('PROG FORMACIÓN TITULADA'!R471,"AAAAAH6v5xE=")</f>
        <v>#VALUE!</v>
      </c>
      <c r="S79" t="e">
        <f>AND('PROG FORMACIÓN TITULADA'!S466,"AAAAAH6v5xI=")</f>
        <v>#VALUE!</v>
      </c>
      <c r="T79" t="e">
        <f>AND('PROG FORMACIÓN TITULADA'!T466,"AAAAAH6v5xM=")</f>
        <v>#VALUE!</v>
      </c>
      <c r="U79" t="e">
        <f>AND('PROG FORMACIÓN TITULADA'!U466,"AAAAAH6v5xQ=")</f>
        <v>#VALUE!</v>
      </c>
      <c r="V79" t="e">
        <f>AND('PROG FORMACIÓN TITULADA'!V466,"AAAAAH6v5xU=")</f>
        <v>#VALUE!</v>
      </c>
      <c r="W79" t="e">
        <f>AND('PROG FORMACIÓN TITULADA'!W466,"AAAAAH6v5xY=")</f>
        <v>#VALUE!</v>
      </c>
      <c r="X79" t="e">
        <f>AND('PROG FORMACIÓN TITULADA'!X466,"AAAAAH6v5xc=")</f>
        <v>#VALUE!</v>
      </c>
      <c r="Y79" t="e">
        <f>AND('PROG FORMACIÓN TITULADA'!Y466,"AAAAAH6v5xg=")</f>
        <v>#VALUE!</v>
      </c>
      <c r="Z79" t="e">
        <f>AND('PROG FORMACIÓN TITULADA'!Z466,"AAAAAH6v5xk=")</f>
        <v>#VALUE!</v>
      </c>
      <c r="AA79">
        <f>IF('PROG FORMACIÓN TITULADA'!467:467,"AAAAAH6v5xo=",0)</f>
        <v>0</v>
      </c>
      <c r="AB79" t="e">
        <f>AND('PROG FORMACIÓN TITULADA'!#REF!,"AAAAAH6v5xs=")</f>
        <v>#REF!</v>
      </c>
      <c r="AC79" t="e">
        <f>AND('PROG FORMACIÓN TITULADA'!B467,"AAAAAH6v5xw=")</f>
        <v>#VALUE!</v>
      </c>
      <c r="AD79" t="e">
        <f>AND('PROG FORMACIÓN TITULADA'!A467,"AAAAAH6v5x0=")</f>
        <v>#VALUE!</v>
      </c>
      <c r="AE79" t="e">
        <f>AND('PROG FORMACIÓN TITULADA'!D467,"AAAAAH6v5x4=")</f>
        <v>#VALUE!</v>
      </c>
      <c r="AF79" t="e">
        <f>AND('PROG FORMACIÓN TITULADA'!E467,"AAAAAH6v5x8=")</f>
        <v>#VALUE!</v>
      </c>
      <c r="AG79" t="e">
        <f>AND('PROG FORMACIÓN TITULADA'!F467,"AAAAAH6v5yA=")</f>
        <v>#VALUE!</v>
      </c>
      <c r="AH79" t="e">
        <f>AND('PROG FORMACIÓN TITULADA'!G467,"AAAAAH6v5yE=")</f>
        <v>#VALUE!</v>
      </c>
      <c r="AI79" t="e">
        <f>AND('PROG FORMACIÓN TITULADA'!H467,"AAAAAH6v5yI=")</f>
        <v>#VALUE!</v>
      </c>
      <c r="AJ79" t="e">
        <f>AND('PROG FORMACIÓN TITULADA'!I467,"AAAAAH6v5yM=")</f>
        <v>#VALUE!</v>
      </c>
      <c r="AK79" t="e">
        <f>AND('PROG FORMACIÓN TITULADA'!J467,"AAAAAH6v5yQ=")</f>
        <v>#VALUE!</v>
      </c>
      <c r="AL79" t="e">
        <f>AND('PROG FORMACIÓN TITULADA'!K467,"AAAAAH6v5yU=")</f>
        <v>#VALUE!</v>
      </c>
      <c r="AM79" t="e">
        <f>AND('PROG FORMACIÓN TITULADA'!L467,"AAAAAH6v5yY=")</f>
        <v>#VALUE!</v>
      </c>
      <c r="AN79" t="e">
        <f>AND('PROG FORMACIÓN TITULADA'!M467,"AAAAAH6v5yc=")</f>
        <v>#VALUE!</v>
      </c>
      <c r="AO79" t="e">
        <f>AND('PROG FORMACIÓN TITULADA'!N467,"AAAAAH6v5yg=")</f>
        <v>#VALUE!</v>
      </c>
      <c r="AP79" t="e">
        <f>AND('PROG FORMACIÓN TITULADA'!O467,"AAAAAH6v5yk=")</f>
        <v>#VALUE!</v>
      </c>
      <c r="AQ79" t="e">
        <f>AND('PROG FORMACIÓN TITULADA'!P467,"AAAAAH6v5yo=")</f>
        <v>#VALUE!</v>
      </c>
      <c r="AR79" t="e">
        <f>AND('PROG FORMACIÓN TITULADA'!Q467,"AAAAAH6v5ys=")</f>
        <v>#VALUE!</v>
      </c>
      <c r="AS79" t="e">
        <f>AND('PROG FORMACIÓN TITULADA'!R467,"AAAAAH6v5yw=")</f>
        <v>#VALUE!</v>
      </c>
      <c r="AT79" t="e">
        <f>AND('PROG FORMACIÓN TITULADA'!S467,"AAAAAH6v5y0=")</f>
        <v>#VALUE!</v>
      </c>
      <c r="AU79" t="e">
        <f>AND('PROG FORMACIÓN TITULADA'!T467,"AAAAAH6v5y4=")</f>
        <v>#VALUE!</v>
      </c>
      <c r="AV79" t="e">
        <f>AND('PROG FORMACIÓN TITULADA'!U467,"AAAAAH6v5y8=")</f>
        <v>#VALUE!</v>
      </c>
      <c r="AW79" t="e">
        <f>AND('PROG FORMACIÓN TITULADA'!V467,"AAAAAH6v5zA=")</f>
        <v>#VALUE!</v>
      </c>
      <c r="AX79" t="e">
        <f>AND('PROG FORMACIÓN TITULADA'!W467,"AAAAAH6v5zE=")</f>
        <v>#VALUE!</v>
      </c>
      <c r="AY79" t="e">
        <f>AND('PROG FORMACIÓN TITULADA'!X467,"AAAAAH6v5zI=")</f>
        <v>#VALUE!</v>
      </c>
      <c r="AZ79" t="e">
        <f>AND('PROG FORMACIÓN TITULADA'!Y467,"AAAAAH6v5zM=")</f>
        <v>#VALUE!</v>
      </c>
      <c r="BA79" t="e">
        <f>AND('PROG FORMACIÓN TITULADA'!Z467,"AAAAAH6v5zQ=")</f>
        <v>#VALUE!</v>
      </c>
      <c r="BB79">
        <f>IF('PROG FORMACIÓN TITULADA'!468:468,"AAAAAH6v5zU=",0)</f>
        <v>0</v>
      </c>
      <c r="BC79" t="e">
        <f>AND('PROG FORMACIÓN TITULADA'!#REF!,"AAAAAH6v5zY=")</f>
        <v>#REF!</v>
      </c>
      <c r="BD79" t="e">
        <f>AND('PROG FORMACIÓN TITULADA'!B468,"AAAAAH6v5zc=")</f>
        <v>#VALUE!</v>
      </c>
      <c r="BE79" t="e">
        <f>AND('PROG FORMACIÓN TITULADA'!A468,"AAAAAH6v5zg=")</f>
        <v>#VALUE!</v>
      </c>
      <c r="BF79" t="e">
        <f>AND('PROG FORMACIÓN TITULADA'!D468,"AAAAAH6v5zk=")</f>
        <v>#VALUE!</v>
      </c>
      <c r="BG79" t="e">
        <f>AND('PROG FORMACIÓN TITULADA'!E468,"AAAAAH6v5zo=")</f>
        <v>#VALUE!</v>
      </c>
      <c r="BH79" t="e">
        <f>AND('PROG FORMACIÓN TITULADA'!F468,"AAAAAH6v5zs=")</f>
        <v>#VALUE!</v>
      </c>
      <c r="BI79" t="e">
        <f>AND('PROG FORMACIÓN TITULADA'!G468,"AAAAAH6v5zw=")</f>
        <v>#VALUE!</v>
      </c>
      <c r="BJ79" t="e">
        <f>AND('PROG FORMACIÓN TITULADA'!H468,"AAAAAH6v5z0=")</f>
        <v>#VALUE!</v>
      </c>
      <c r="BK79" t="e">
        <f>AND('PROG FORMACIÓN TITULADA'!I468,"AAAAAH6v5z4=")</f>
        <v>#VALUE!</v>
      </c>
      <c r="BL79" t="e">
        <f>AND('PROG FORMACIÓN TITULADA'!J468,"AAAAAH6v5z8=")</f>
        <v>#VALUE!</v>
      </c>
      <c r="BM79" t="e">
        <f>AND('PROG FORMACIÓN TITULADA'!K468,"AAAAAH6v50A=")</f>
        <v>#VALUE!</v>
      </c>
      <c r="BN79" t="e">
        <f>AND('PROG FORMACIÓN TITULADA'!L468,"AAAAAH6v50E=")</f>
        <v>#VALUE!</v>
      </c>
      <c r="BO79" t="e">
        <f>AND('PROG FORMACIÓN TITULADA'!M468,"AAAAAH6v50I=")</f>
        <v>#VALUE!</v>
      </c>
      <c r="BP79" t="e">
        <f>AND('PROG FORMACIÓN TITULADA'!N468,"AAAAAH6v50M=")</f>
        <v>#VALUE!</v>
      </c>
      <c r="BQ79" t="e">
        <f>AND('PROG FORMACIÓN TITULADA'!O468,"AAAAAH6v50Q=")</f>
        <v>#VALUE!</v>
      </c>
      <c r="BR79" t="e">
        <f>AND('PROG FORMACIÓN TITULADA'!P468,"AAAAAH6v50U=")</f>
        <v>#VALUE!</v>
      </c>
      <c r="BS79" t="e">
        <f>AND('PROG FORMACIÓN TITULADA'!Q468,"AAAAAH6v50Y=")</f>
        <v>#VALUE!</v>
      </c>
      <c r="BT79" t="e">
        <f>AND('PROG FORMACIÓN TITULADA'!R468,"AAAAAH6v50c=")</f>
        <v>#VALUE!</v>
      </c>
      <c r="BU79" t="e">
        <f>AND('PROG FORMACIÓN TITULADA'!S468,"AAAAAH6v50g=")</f>
        <v>#VALUE!</v>
      </c>
      <c r="BV79" t="e">
        <f>AND('PROG FORMACIÓN TITULADA'!T468,"AAAAAH6v50k=")</f>
        <v>#VALUE!</v>
      </c>
      <c r="BW79" t="e">
        <f>AND('PROG FORMACIÓN TITULADA'!U468,"AAAAAH6v50o=")</f>
        <v>#VALUE!</v>
      </c>
      <c r="BX79" t="e">
        <f>AND('PROG FORMACIÓN TITULADA'!V468,"AAAAAH6v50s=")</f>
        <v>#VALUE!</v>
      </c>
      <c r="BY79" t="e">
        <f>AND('PROG FORMACIÓN TITULADA'!W468,"AAAAAH6v50w=")</f>
        <v>#VALUE!</v>
      </c>
      <c r="BZ79" t="e">
        <f>AND('PROG FORMACIÓN TITULADA'!X468,"AAAAAH6v500=")</f>
        <v>#VALUE!</v>
      </c>
      <c r="CA79" t="e">
        <f>AND('PROG FORMACIÓN TITULADA'!Y468,"AAAAAH6v504=")</f>
        <v>#VALUE!</v>
      </c>
      <c r="CB79" t="e">
        <f>AND('PROG FORMACIÓN TITULADA'!Z468,"AAAAAH6v508=")</f>
        <v>#VALUE!</v>
      </c>
      <c r="CC79">
        <f>IF('PROG FORMACIÓN TITULADA'!469:469,"AAAAAH6v51A=",0)</f>
        <v>0</v>
      </c>
      <c r="CD79" t="e">
        <f>AND('PROG FORMACIÓN TITULADA'!#REF!,"AAAAAH6v51E=")</f>
        <v>#REF!</v>
      </c>
      <c r="CE79" t="e">
        <f>AND('PROG FORMACIÓN TITULADA'!B469,"AAAAAH6v51I=")</f>
        <v>#VALUE!</v>
      </c>
      <c r="CF79" t="e">
        <f>AND('PROG FORMACIÓN TITULADA'!A469,"AAAAAH6v51M=")</f>
        <v>#VALUE!</v>
      </c>
      <c r="CG79" t="e">
        <f>AND('PROG FORMACIÓN TITULADA'!D469,"AAAAAH6v51Q=")</f>
        <v>#VALUE!</v>
      </c>
      <c r="CH79" t="e">
        <f>AND('PROG FORMACIÓN TITULADA'!E469,"AAAAAH6v51U=")</f>
        <v>#VALUE!</v>
      </c>
      <c r="CI79" t="e">
        <f>AND('PROG FORMACIÓN TITULADA'!F469,"AAAAAH6v51Y=")</f>
        <v>#VALUE!</v>
      </c>
      <c r="CJ79" t="e">
        <f>AND('PROG FORMACIÓN TITULADA'!G469,"AAAAAH6v51c=")</f>
        <v>#VALUE!</v>
      </c>
      <c r="CK79" t="e">
        <f>AND('PROG FORMACIÓN TITULADA'!H469,"AAAAAH6v51g=")</f>
        <v>#VALUE!</v>
      </c>
      <c r="CL79" t="e">
        <f>AND('PROG FORMACIÓN TITULADA'!I469,"AAAAAH6v51k=")</f>
        <v>#VALUE!</v>
      </c>
      <c r="CM79" t="e">
        <f>AND('PROG FORMACIÓN TITULADA'!J469,"AAAAAH6v51o=")</f>
        <v>#VALUE!</v>
      </c>
      <c r="CN79" t="e">
        <f>AND('PROG FORMACIÓN TITULADA'!K469,"AAAAAH6v51s=")</f>
        <v>#VALUE!</v>
      </c>
      <c r="CO79" t="e">
        <f>AND('PROG FORMACIÓN TITULADA'!L469,"AAAAAH6v51w=")</f>
        <v>#VALUE!</v>
      </c>
      <c r="CP79" t="e">
        <f>AND('PROG FORMACIÓN TITULADA'!M469,"AAAAAH6v510=")</f>
        <v>#VALUE!</v>
      </c>
      <c r="CQ79" t="e">
        <f>AND('PROG FORMACIÓN TITULADA'!N469,"AAAAAH6v514=")</f>
        <v>#VALUE!</v>
      </c>
      <c r="CR79" t="e">
        <f>AND('PROG FORMACIÓN TITULADA'!O469,"AAAAAH6v518=")</f>
        <v>#VALUE!</v>
      </c>
      <c r="CS79" t="e">
        <f>AND('PROG FORMACIÓN TITULADA'!P469,"AAAAAH6v52A=")</f>
        <v>#VALUE!</v>
      </c>
      <c r="CT79" t="e">
        <f>AND('PROG FORMACIÓN TITULADA'!Q469,"AAAAAH6v52E=")</f>
        <v>#VALUE!</v>
      </c>
      <c r="CU79" t="e">
        <f>AND('PROG FORMACIÓN TITULADA'!#REF!,"AAAAAH6v52I=")</f>
        <v>#REF!</v>
      </c>
      <c r="CV79" t="e">
        <f>AND('PROG FORMACIÓN TITULADA'!S469,"AAAAAH6v52M=")</f>
        <v>#VALUE!</v>
      </c>
      <c r="CW79" t="e">
        <f>AND('PROG FORMACIÓN TITULADA'!T469,"AAAAAH6v52Q=")</f>
        <v>#VALUE!</v>
      </c>
      <c r="CX79" t="e">
        <f>AND('PROG FORMACIÓN TITULADA'!U469,"AAAAAH6v52U=")</f>
        <v>#VALUE!</v>
      </c>
      <c r="CY79" t="e">
        <f>AND('PROG FORMACIÓN TITULADA'!V469,"AAAAAH6v52Y=")</f>
        <v>#VALUE!</v>
      </c>
      <c r="CZ79" t="e">
        <f>AND('PROG FORMACIÓN TITULADA'!W469,"AAAAAH6v52c=")</f>
        <v>#VALUE!</v>
      </c>
      <c r="DA79" t="e">
        <f>AND('PROG FORMACIÓN TITULADA'!X469,"AAAAAH6v52g=")</f>
        <v>#VALUE!</v>
      </c>
      <c r="DB79" t="e">
        <f>AND('PROG FORMACIÓN TITULADA'!Y469,"AAAAAH6v52k=")</f>
        <v>#VALUE!</v>
      </c>
      <c r="DC79" t="e">
        <f>AND('PROG FORMACIÓN TITULADA'!Z469,"AAAAAH6v52o=")</f>
        <v>#VALUE!</v>
      </c>
      <c r="DD79">
        <f>IF('PROG FORMACIÓN TITULADA'!470:470,"AAAAAH6v52s=",0)</f>
        <v>0</v>
      </c>
      <c r="DE79" t="e">
        <f>AND('PROG FORMACIÓN TITULADA'!#REF!,"AAAAAH6v52w=")</f>
        <v>#REF!</v>
      </c>
      <c r="DF79" t="e">
        <f>AND('PROG FORMACIÓN TITULADA'!B470,"AAAAAH6v520=")</f>
        <v>#VALUE!</v>
      </c>
      <c r="DG79" t="e">
        <f>AND('PROG FORMACIÓN TITULADA'!A470,"AAAAAH6v524=")</f>
        <v>#VALUE!</v>
      </c>
      <c r="DH79" t="e">
        <f>AND('PROG FORMACIÓN TITULADA'!D470,"AAAAAH6v528=")</f>
        <v>#VALUE!</v>
      </c>
      <c r="DI79" t="e">
        <f>AND('PROG FORMACIÓN TITULADA'!E470,"AAAAAH6v53A=")</f>
        <v>#VALUE!</v>
      </c>
      <c r="DJ79" t="e">
        <f>AND('PROG FORMACIÓN TITULADA'!F470,"AAAAAH6v53E=")</f>
        <v>#VALUE!</v>
      </c>
      <c r="DK79" t="e">
        <f>AND('PROG FORMACIÓN TITULADA'!G470,"AAAAAH6v53I=")</f>
        <v>#VALUE!</v>
      </c>
      <c r="DL79" t="e">
        <f>AND('PROG FORMACIÓN TITULADA'!H470,"AAAAAH6v53M=")</f>
        <v>#VALUE!</v>
      </c>
      <c r="DM79" t="e">
        <f>AND('PROG FORMACIÓN TITULADA'!I470,"AAAAAH6v53Q=")</f>
        <v>#VALUE!</v>
      </c>
      <c r="DN79" t="e">
        <f>AND('PROG FORMACIÓN TITULADA'!J470,"AAAAAH6v53U=")</f>
        <v>#VALUE!</v>
      </c>
      <c r="DO79" t="e">
        <f>AND('PROG FORMACIÓN TITULADA'!K470,"AAAAAH6v53Y=")</f>
        <v>#VALUE!</v>
      </c>
      <c r="DP79" t="e">
        <f>AND('PROG FORMACIÓN TITULADA'!L470,"AAAAAH6v53c=")</f>
        <v>#VALUE!</v>
      </c>
      <c r="DQ79" t="e">
        <f>AND('PROG FORMACIÓN TITULADA'!M470,"AAAAAH6v53g=")</f>
        <v>#VALUE!</v>
      </c>
      <c r="DR79" t="e">
        <f>AND('PROG FORMACIÓN TITULADA'!N470,"AAAAAH6v53k=")</f>
        <v>#VALUE!</v>
      </c>
      <c r="DS79" t="e">
        <f>AND('PROG FORMACIÓN TITULADA'!O470,"AAAAAH6v53o=")</f>
        <v>#VALUE!</v>
      </c>
      <c r="DT79" t="e">
        <f>AND('PROG FORMACIÓN TITULADA'!P470,"AAAAAH6v53s=")</f>
        <v>#VALUE!</v>
      </c>
      <c r="DU79" t="e">
        <f>AND('PROG FORMACIÓN TITULADA'!Q470,"AAAAAH6v53w=")</f>
        <v>#VALUE!</v>
      </c>
      <c r="DV79" t="e">
        <f>AND('PROG FORMACIÓN TITULADA'!#REF!,"AAAAAH6v530=")</f>
        <v>#REF!</v>
      </c>
      <c r="DW79" t="e">
        <f>AND('PROG FORMACIÓN TITULADA'!S470,"AAAAAH6v534=")</f>
        <v>#VALUE!</v>
      </c>
      <c r="DX79" t="e">
        <f>AND('PROG FORMACIÓN TITULADA'!T470,"AAAAAH6v538=")</f>
        <v>#VALUE!</v>
      </c>
      <c r="DY79" t="e">
        <f>AND('PROG FORMACIÓN TITULADA'!U470,"AAAAAH6v54A=")</f>
        <v>#VALUE!</v>
      </c>
      <c r="DZ79" t="e">
        <f>AND('PROG FORMACIÓN TITULADA'!V470,"AAAAAH6v54E=")</f>
        <v>#VALUE!</v>
      </c>
      <c r="EA79" t="e">
        <f>AND('PROG FORMACIÓN TITULADA'!W470,"AAAAAH6v54I=")</f>
        <v>#VALUE!</v>
      </c>
      <c r="EB79" t="e">
        <f>AND('PROG FORMACIÓN TITULADA'!X470,"AAAAAH6v54M=")</f>
        <v>#VALUE!</v>
      </c>
      <c r="EC79" t="e">
        <f>AND('PROG FORMACIÓN TITULADA'!Y470,"AAAAAH6v54Q=")</f>
        <v>#VALUE!</v>
      </c>
      <c r="ED79" t="e">
        <f>AND('PROG FORMACIÓN TITULADA'!Z470,"AAAAAH6v54U=")</f>
        <v>#VALUE!</v>
      </c>
      <c r="EE79">
        <f>IF('PROG FORMACIÓN TITULADA'!471:471,"AAAAAH6v54Y=",0)</f>
        <v>0</v>
      </c>
      <c r="EF79" t="e">
        <f>AND('PROG FORMACIÓN TITULADA'!#REF!,"AAAAAH6v54c=")</f>
        <v>#REF!</v>
      </c>
      <c r="EG79" t="e">
        <f>AND('PROG FORMACIÓN TITULADA'!B471,"AAAAAH6v54g=")</f>
        <v>#VALUE!</v>
      </c>
      <c r="EH79" t="e">
        <f>AND('PROG FORMACIÓN TITULADA'!A471,"AAAAAH6v54k=")</f>
        <v>#VALUE!</v>
      </c>
      <c r="EI79" t="e">
        <f>AND('PROG FORMACIÓN TITULADA'!D471,"AAAAAH6v54o=")</f>
        <v>#VALUE!</v>
      </c>
      <c r="EJ79" t="e">
        <f>AND('PROG FORMACIÓN TITULADA'!E471,"AAAAAH6v54s=")</f>
        <v>#VALUE!</v>
      </c>
      <c r="EK79" t="e">
        <f>AND('PROG FORMACIÓN TITULADA'!F471,"AAAAAH6v54w=")</f>
        <v>#VALUE!</v>
      </c>
      <c r="EL79" t="e">
        <f>AND('PROG FORMACIÓN TITULADA'!G471,"AAAAAH6v540=")</f>
        <v>#VALUE!</v>
      </c>
      <c r="EM79" t="e">
        <f>AND('PROG FORMACIÓN TITULADA'!H471,"AAAAAH6v544=")</f>
        <v>#VALUE!</v>
      </c>
      <c r="EN79" t="e">
        <f>AND('PROG FORMACIÓN TITULADA'!I471,"AAAAAH6v548=")</f>
        <v>#VALUE!</v>
      </c>
      <c r="EO79" t="e">
        <f>AND('PROG FORMACIÓN TITULADA'!J471,"AAAAAH6v55A=")</f>
        <v>#VALUE!</v>
      </c>
      <c r="EP79" t="e">
        <f>AND('PROG FORMACIÓN TITULADA'!K471,"AAAAAH6v55E=")</f>
        <v>#VALUE!</v>
      </c>
      <c r="EQ79" t="e">
        <f>AND('PROG FORMACIÓN TITULADA'!L471,"AAAAAH6v55I=")</f>
        <v>#VALUE!</v>
      </c>
      <c r="ER79" t="e">
        <f>AND('PROG FORMACIÓN TITULADA'!M471,"AAAAAH6v55M=")</f>
        <v>#VALUE!</v>
      </c>
      <c r="ES79" t="e">
        <f>AND('PROG FORMACIÓN TITULADA'!N471,"AAAAAH6v55Q=")</f>
        <v>#VALUE!</v>
      </c>
      <c r="ET79" t="e">
        <f>AND('PROG FORMACIÓN TITULADA'!O471,"AAAAAH6v55U=")</f>
        <v>#VALUE!</v>
      </c>
      <c r="EU79" t="e">
        <f>AND('PROG FORMACIÓN TITULADA'!P471,"AAAAAH6v55Y=")</f>
        <v>#VALUE!</v>
      </c>
      <c r="EV79" t="e">
        <f>AND('PROG FORMACIÓN TITULADA'!Q471,"AAAAAH6v55c=")</f>
        <v>#VALUE!</v>
      </c>
      <c r="EW79" t="e">
        <f>AND('PROG FORMACIÓN TITULADA'!#REF!,"AAAAAH6v55g=")</f>
        <v>#REF!</v>
      </c>
      <c r="EX79" t="e">
        <f>AND('PROG FORMACIÓN TITULADA'!S471,"AAAAAH6v55k=")</f>
        <v>#VALUE!</v>
      </c>
      <c r="EY79" t="e">
        <f>AND('PROG FORMACIÓN TITULADA'!T471,"AAAAAH6v55o=")</f>
        <v>#VALUE!</v>
      </c>
      <c r="EZ79" t="e">
        <f>AND('PROG FORMACIÓN TITULADA'!U471,"AAAAAH6v55s=")</f>
        <v>#VALUE!</v>
      </c>
      <c r="FA79" t="e">
        <f>AND('PROG FORMACIÓN TITULADA'!V471,"AAAAAH6v55w=")</f>
        <v>#VALUE!</v>
      </c>
      <c r="FB79" t="e">
        <f>AND('PROG FORMACIÓN TITULADA'!W471,"AAAAAH6v550=")</f>
        <v>#VALUE!</v>
      </c>
      <c r="FC79" t="e">
        <f>AND('PROG FORMACIÓN TITULADA'!X471,"AAAAAH6v554=")</f>
        <v>#VALUE!</v>
      </c>
      <c r="FD79" t="e">
        <f>AND('PROG FORMACIÓN TITULADA'!Y471,"AAAAAH6v558=")</f>
        <v>#VALUE!</v>
      </c>
      <c r="FE79" t="e">
        <f>AND('PROG FORMACIÓN TITULADA'!Z471,"AAAAAH6v56A=")</f>
        <v>#VALUE!</v>
      </c>
      <c r="FF79">
        <f>IF('PROG FORMACIÓN TITULADA'!472:472,"AAAAAH6v56E=",0)</f>
        <v>0</v>
      </c>
      <c r="FG79" t="e">
        <f>AND('PROG FORMACIÓN TITULADA'!#REF!,"AAAAAH6v56I=")</f>
        <v>#REF!</v>
      </c>
      <c r="FH79" t="e">
        <f>AND('PROG FORMACIÓN TITULADA'!B472,"AAAAAH6v56M=")</f>
        <v>#VALUE!</v>
      </c>
      <c r="FI79" t="e">
        <f>AND('PROG FORMACIÓN TITULADA'!A472,"AAAAAH6v56Q=")</f>
        <v>#VALUE!</v>
      </c>
      <c r="FJ79" t="e">
        <f>AND('PROG FORMACIÓN TITULADA'!D472,"AAAAAH6v56U=")</f>
        <v>#VALUE!</v>
      </c>
      <c r="FK79" t="e">
        <f>AND('PROG FORMACIÓN TITULADA'!E472,"AAAAAH6v56Y=")</f>
        <v>#VALUE!</v>
      </c>
      <c r="FL79" t="e">
        <f>AND('PROG FORMACIÓN TITULADA'!F472,"AAAAAH6v56c=")</f>
        <v>#VALUE!</v>
      </c>
      <c r="FM79" t="e">
        <f>AND('PROG FORMACIÓN TITULADA'!G472,"AAAAAH6v56g=")</f>
        <v>#VALUE!</v>
      </c>
      <c r="FN79" t="e">
        <f>AND('PROG FORMACIÓN TITULADA'!H472,"AAAAAH6v56k=")</f>
        <v>#VALUE!</v>
      </c>
      <c r="FO79" t="e">
        <f>AND('PROG FORMACIÓN TITULADA'!I472,"AAAAAH6v56o=")</f>
        <v>#VALUE!</v>
      </c>
      <c r="FP79" t="e">
        <f>AND('PROG FORMACIÓN TITULADA'!J472,"AAAAAH6v56s=")</f>
        <v>#VALUE!</v>
      </c>
      <c r="FQ79" t="e">
        <f>AND('PROG FORMACIÓN TITULADA'!K472,"AAAAAH6v56w=")</f>
        <v>#VALUE!</v>
      </c>
      <c r="FR79" t="e">
        <f>AND('PROG FORMACIÓN TITULADA'!L472,"AAAAAH6v560=")</f>
        <v>#VALUE!</v>
      </c>
      <c r="FS79" t="e">
        <f>AND('PROG FORMACIÓN TITULADA'!M472,"AAAAAH6v564=")</f>
        <v>#VALUE!</v>
      </c>
      <c r="FT79" t="e">
        <f>AND('PROG FORMACIÓN TITULADA'!N472,"AAAAAH6v568=")</f>
        <v>#VALUE!</v>
      </c>
      <c r="FU79" t="e">
        <f>AND('PROG FORMACIÓN TITULADA'!O472,"AAAAAH6v57A=")</f>
        <v>#VALUE!</v>
      </c>
      <c r="FV79" t="e">
        <f>AND('PROG FORMACIÓN TITULADA'!P472,"AAAAAH6v57E=")</f>
        <v>#VALUE!</v>
      </c>
      <c r="FW79" t="e">
        <f>AND('PROG FORMACIÓN TITULADA'!Q472,"AAAAAH6v57I=")</f>
        <v>#VALUE!</v>
      </c>
      <c r="FX79" t="e">
        <f>AND('PROG FORMACIÓN TITULADA'!R472,"AAAAAH6v57M=")</f>
        <v>#VALUE!</v>
      </c>
      <c r="FY79" t="e">
        <f>AND('PROG FORMACIÓN TITULADA'!S472,"AAAAAH6v57Q=")</f>
        <v>#VALUE!</v>
      </c>
      <c r="FZ79" t="e">
        <f>AND('PROG FORMACIÓN TITULADA'!T472,"AAAAAH6v57U=")</f>
        <v>#VALUE!</v>
      </c>
      <c r="GA79" t="e">
        <f>AND('PROG FORMACIÓN TITULADA'!U472,"AAAAAH6v57Y=")</f>
        <v>#VALUE!</v>
      </c>
      <c r="GB79" t="e">
        <f>AND('PROG FORMACIÓN TITULADA'!V472,"AAAAAH6v57c=")</f>
        <v>#VALUE!</v>
      </c>
      <c r="GC79" t="e">
        <f>AND('PROG FORMACIÓN TITULADA'!W472,"AAAAAH6v57g=")</f>
        <v>#VALUE!</v>
      </c>
      <c r="GD79" t="e">
        <f>AND('PROG FORMACIÓN TITULADA'!X472,"AAAAAH6v57k=")</f>
        <v>#VALUE!</v>
      </c>
      <c r="GE79" t="e">
        <f>AND('PROG FORMACIÓN TITULADA'!Y472,"AAAAAH6v57o=")</f>
        <v>#VALUE!</v>
      </c>
      <c r="GF79" t="e">
        <f>AND('PROG FORMACIÓN TITULADA'!Z472,"AAAAAH6v57s=")</f>
        <v>#VALUE!</v>
      </c>
      <c r="GG79">
        <f>IF('PROG FORMACIÓN TITULADA'!473:473,"AAAAAH6v57w=",0)</f>
        <v>0</v>
      </c>
      <c r="GH79" t="e">
        <f>AND('PROG FORMACIÓN TITULADA'!#REF!,"AAAAAH6v570=")</f>
        <v>#REF!</v>
      </c>
      <c r="GI79" t="e">
        <f>AND('PROG FORMACIÓN TITULADA'!B473,"AAAAAH6v574=")</f>
        <v>#VALUE!</v>
      </c>
      <c r="GJ79" t="e">
        <f>AND('PROG FORMACIÓN TITULADA'!A473,"AAAAAH6v578=")</f>
        <v>#VALUE!</v>
      </c>
      <c r="GK79" t="e">
        <f>AND('PROG FORMACIÓN TITULADA'!D473,"AAAAAH6v58A=")</f>
        <v>#VALUE!</v>
      </c>
      <c r="GL79" t="e">
        <f>AND('PROG FORMACIÓN TITULADA'!E473,"AAAAAH6v58E=")</f>
        <v>#VALUE!</v>
      </c>
      <c r="GM79" t="e">
        <f>AND('PROG FORMACIÓN TITULADA'!F473,"AAAAAH6v58I=")</f>
        <v>#VALUE!</v>
      </c>
      <c r="GN79" t="e">
        <f>AND('PROG FORMACIÓN TITULADA'!G473,"AAAAAH6v58M=")</f>
        <v>#VALUE!</v>
      </c>
      <c r="GO79" t="e">
        <f>AND('PROG FORMACIÓN TITULADA'!H473,"AAAAAH6v58Q=")</f>
        <v>#VALUE!</v>
      </c>
      <c r="GP79" t="e">
        <f>AND('PROG FORMACIÓN TITULADA'!I473,"AAAAAH6v58U=")</f>
        <v>#VALUE!</v>
      </c>
      <c r="GQ79" t="e">
        <f>AND('PROG FORMACIÓN TITULADA'!J473,"AAAAAH6v58Y=")</f>
        <v>#VALUE!</v>
      </c>
      <c r="GR79" t="e">
        <f>AND('PROG FORMACIÓN TITULADA'!K473,"AAAAAH6v58c=")</f>
        <v>#VALUE!</v>
      </c>
      <c r="GS79" t="e">
        <f>AND('PROG FORMACIÓN TITULADA'!L473,"AAAAAH6v58g=")</f>
        <v>#VALUE!</v>
      </c>
      <c r="GT79" t="e">
        <f>AND('PROG FORMACIÓN TITULADA'!M473,"AAAAAH6v58k=")</f>
        <v>#VALUE!</v>
      </c>
      <c r="GU79" t="e">
        <f>AND('PROG FORMACIÓN TITULADA'!N473,"AAAAAH6v58o=")</f>
        <v>#VALUE!</v>
      </c>
      <c r="GV79" t="e">
        <f>AND('PROG FORMACIÓN TITULADA'!O473,"AAAAAH6v58s=")</f>
        <v>#VALUE!</v>
      </c>
      <c r="GW79" t="e">
        <f>AND('PROG FORMACIÓN TITULADA'!P473,"AAAAAH6v58w=")</f>
        <v>#VALUE!</v>
      </c>
      <c r="GX79" t="e">
        <f>AND('PROG FORMACIÓN TITULADA'!Q473,"AAAAAH6v580=")</f>
        <v>#VALUE!</v>
      </c>
      <c r="GY79" t="e">
        <f>AND('PROG FORMACIÓN TITULADA'!R473,"AAAAAH6v584=")</f>
        <v>#VALUE!</v>
      </c>
      <c r="GZ79" t="e">
        <f>AND('PROG FORMACIÓN TITULADA'!S473,"AAAAAH6v588=")</f>
        <v>#VALUE!</v>
      </c>
      <c r="HA79" t="e">
        <f>AND('PROG FORMACIÓN TITULADA'!T473,"AAAAAH6v59A=")</f>
        <v>#VALUE!</v>
      </c>
      <c r="HB79" t="e">
        <f>AND('PROG FORMACIÓN TITULADA'!U473,"AAAAAH6v59E=")</f>
        <v>#VALUE!</v>
      </c>
      <c r="HC79" t="e">
        <f>AND('PROG FORMACIÓN TITULADA'!V473,"AAAAAH6v59I=")</f>
        <v>#VALUE!</v>
      </c>
      <c r="HD79" t="e">
        <f>AND('PROG FORMACIÓN TITULADA'!W473,"AAAAAH6v59M=")</f>
        <v>#VALUE!</v>
      </c>
      <c r="HE79" t="e">
        <f>AND('PROG FORMACIÓN TITULADA'!X473,"AAAAAH6v59Q=")</f>
        <v>#VALUE!</v>
      </c>
      <c r="HF79" t="e">
        <f>AND('PROG FORMACIÓN TITULADA'!Y473,"AAAAAH6v59U=")</f>
        <v>#VALUE!</v>
      </c>
      <c r="HG79" t="e">
        <f>AND('PROG FORMACIÓN TITULADA'!Z473,"AAAAAH6v59Y=")</f>
        <v>#VALUE!</v>
      </c>
      <c r="HH79">
        <f>IF('PROG FORMACIÓN TITULADA'!474:474,"AAAAAH6v59c=",0)</f>
        <v>0</v>
      </c>
      <c r="HI79" t="e">
        <f>AND('PROG FORMACIÓN TITULADA'!#REF!,"AAAAAH6v59g=")</f>
        <v>#REF!</v>
      </c>
      <c r="HJ79" t="e">
        <f>AND('PROG FORMACIÓN TITULADA'!B474,"AAAAAH6v59k=")</f>
        <v>#VALUE!</v>
      </c>
      <c r="HK79" t="e">
        <f>AND('PROG FORMACIÓN TITULADA'!A474,"AAAAAH6v59o=")</f>
        <v>#VALUE!</v>
      </c>
      <c r="HL79" t="e">
        <f>AND('PROG FORMACIÓN TITULADA'!D474,"AAAAAH6v59s=")</f>
        <v>#VALUE!</v>
      </c>
      <c r="HM79" t="e">
        <f>AND('PROG FORMACIÓN TITULADA'!E474,"AAAAAH6v59w=")</f>
        <v>#VALUE!</v>
      </c>
      <c r="HN79" t="e">
        <f>AND('PROG FORMACIÓN TITULADA'!F474,"AAAAAH6v590=")</f>
        <v>#VALUE!</v>
      </c>
      <c r="HO79" t="e">
        <f>AND('PROG FORMACIÓN TITULADA'!G474,"AAAAAH6v594=")</f>
        <v>#VALUE!</v>
      </c>
      <c r="HP79" t="e">
        <f>AND('PROG FORMACIÓN TITULADA'!H474,"AAAAAH6v598=")</f>
        <v>#VALUE!</v>
      </c>
      <c r="HQ79" t="e">
        <f>AND('PROG FORMACIÓN TITULADA'!I474,"AAAAAH6v5+A=")</f>
        <v>#VALUE!</v>
      </c>
      <c r="HR79" t="e">
        <f>AND('PROG FORMACIÓN TITULADA'!J474,"AAAAAH6v5+E=")</f>
        <v>#VALUE!</v>
      </c>
      <c r="HS79" t="e">
        <f>AND('PROG FORMACIÓN TITULADA'!K474,"AAAAAH6v5+I=")</f>
        <v>#VALUE!</v>
      </c>
      <c r="HT79" t="e">
        <f>AND('PROG FORMACIÓN TITULADA'!L474,"AAAAAH6v5+M=")</f>
        <v>#VALUE!</v>
      </c>
      <c r="HU79" t="e">
        <f>AND('PROG FORMACIÓN TITULADA'!M474,"AAAAAH6v5+Q=")</f>
        <v>#VALUE!</v>
      </c>
      <c r="HV79" t="e">
        <f>AND('PROG FORMACIÓN TITULADA'!N474,"AAAAAH6v5+U=")</f>
        <v>#VALUE!</v>
      </c>
      <c r="HW79" t="e">
        <f>AND('PROG FORMACIÓN TITULADA'!O474,"AAAAAH6v5+Y=")</f>
        <v>#VALUE!</v>
      </c>
      <c r="HX79" t="e">
        <f>AND('PROG FORMACIÓN TITULADA'!P474,"AAAAAH6v5+c=")</f>
        <v>#VALUE!</v>
      </c>
      <c r="HY79" t="e">
        <f>AND('PROG FORMACIÓN TITULADA'!Q474,"AAAAAH6v5+g=")</f>
        <v>#VALUE!</v>
      </c>
      <c r="HZ79" t="e">
        <f>AND('PROG FORMACIÓN TITULADA'!R474,"AAAAAH6v5+k=")</f>
        <v>#VALUE!</v>
      </c>
      <c r="IA79" t="e">
        <f>AND('PROG FORMACIÓN TITULADA'!S474,"AAAAAH6v5+o=")</f>
        <v>#VALUE!</v>
      </c>
      <c r="IB79" t="e">
        <f>AND('PROG FORMACIÓN TITULADA'!T474,"AAAAAH6v5+s=")</f>
        <v>#VALUE!</v>
      </c>
      <c r="IC79" t="e">
        <f>AND('PROG FORMACIÓN TITULADA'!U474,"AAAAAH6v5+w=")</f>
        <v>#VALUE!</v>
      </c>
      <c r="ID79" t="e">
        <f>AND('PROG FORMACIÓN TITULADA'!V474,"AAAAAH6v5+0=")</f>
        <v>#VALUE!</v>
      </c>
      <c r="IE79" t="e">
        <f>AND('PROG FORMACIÓN TITULADA'!W474,"AAAAAH6v5+4=")</f>
        <v>#VALUE!</v>
      </c>
      <c r="IF79" t="e">
        <f>AND('PROG FORMACIÓN TITULADA'!X474,"AAAAAH6v5+8=")</f>
        <v>#VALUE!</v>
      </c>
      <c r="IG79" t="e">
        <f>AND('PROG FORMACIÓN TITULADA'!Y474,"AAAAAH6v5/A=")</f>
        <v>#VALUE!</v>
      </c>
      <c r="IH79" t="e">
        <f>AND('PROG FORMACIÓN TITULADA'!Z474,"AAAAAH6v5/E=")</f>
        <v>#VALUE!</v>
      </c>
      <c r="II79">
        <f>IF('PROG FORMACIÓN TITULADA'!475:475,"AAAAAH6v5/I=",0)</f>
        <v>0</v>
      </c>
      <c r="IJ79" t="e">
        <f>AND('PROG FORMACIÓN TITULADA'!A475,"AAAAAH6v5/M=")</f>
        <v>#VALUE!</v>
      </c>
      <c r="IK79" t="e">
        <f>AND('PROG FORMACIÓN TITULADA'!B475,"AAAAAH6v5/Q=")</f>
        <v>#VALUE!</v>
      </c>
      <c r="IL79" t="e">
        <f>AND('PROG FORMACIÓN TITULADA'!C475,"AAAAAH6v5/U=")</f>
        <v>#VALUE!</v>
      </c>
      <c r="IM79" t="e">
        <f>AND('PROG FORMACIÓN TITULADA'!D475,"AAAAAH6v5/Y=")</f>
        <v>#VALUE!</v>
      </c>
      <c r="IN79" t="e">
        <f>AND('PROG FORMACIÓN TITULADA'!E475,"AAAAAH6v5/c=")</f>
        <v>#VALUE!</v>
      </c>
      <c r="IO79" t="e">
        <f>AND('PROG FORMACIÓN TITULADA'!F475,"AAAAAH6v5/g=")</f>
        <v>#VALUE!</v>
      </c>
      <c r="IP79" t="e">
        <f>AND('PROG FORMACIÓN TITULADA'!G475,"AAAAAH6v5/k=")</f>
        <v>#VALUE!</v>
      </c>
      <c r="IQ79" t="e">
        <f>AND('PROG FORMACIÓN TITULADA'!H475,"AAAAAH6v5/o=")</f>
        <v>#VALUE!</v>
      </c>
      <c r="IR79" t="e">
        <f>AND('PROG FORMACIÓN TITULADA'!I475,"AAAAAH6v5/s=")</f>
        <v>#VALUE!</v>
      </c>
      <c r="IS79" t="e">
        <f>AND('PROG FORMACIÓN TITULADA'!J475,"AAAAAH6v5/w=")</f>
        <v>#VALUE!</v>
      </c>
      <c r="IT79" t="e">
        <f>AND('PROG FORMACIÓN TITULADA'!K475,"AAAAAH6v5/0=")</f>
        <v>#VALUE!</v>
      </c>
      <c r="IU79" t="e">
        <f>AND('PROG FORMACIÓN TITULADA'!L475,"AAAAAH6v5/4=")</f>
        <v>#VALUE!</v>
      </c>
      <c r="IV79" t="e">
        <f>AND('PROG FORMACIÓN TITULADA'!M475,"AAAAAH6v5/8=")</f>
        <v>#VALUE!</v>
      </c>
    </row>
    <row r="80" spans="1:256" x14ac:dyDescent="0.2">
      <c r="A80" t="e">
        <f>AND('PROG FORMACIÓN TITULADA'!N475,"AAAAAH/n/QA=")</f>
        <v>#VALUE!</v>
      </c>
      <c r="B80" t="e">
        <f>AND('PROG FORMACIÓN TITULADA'!O475,"AAAAAH/n/QE=")</f>
        <v>#VALUE!</v>
      </c>
      <c r="C80" t="e">
        <f>AND('PROG FORMACIÓN TITULADA'!P475,"AAAAAH/n/QI=")</f>
        <v>#VALUE!</v>
      </c>
      <c r="D80" t="e">
        <f>AND('PROG FORMACIÓN TITULADA'!Q475,"AAAAAH/n/QM=")</f>
        <v>#VALUE!</v>
      </c>
      <c r="E80" t="e">
        <f>AND('PROG FORMACIÓN TITULADA'!R475,"AAAAAH/n/QQ=")</f>
        <v>#VALUE!</v>
      </c>
      <c r="F80" t="e">
        <f>AND('PROG FORMACIÓN TITULADA'!S475,"AAAAAH/n/QU=")</f>
        <v>#VALUE!</v>
      </c>
      <c r="G80" t="e">
        <f>AND('PROG FORMACIÓN TITULADA'!T475,"AAAAAH/n/QY=")</f>
        <v>#VALUE!</v>
      </c>
      <c r="H80" t="e">
        <f>AND('PROG FORMACIÓN TITULADA'!U475,"AAAAAH/n/Qc=")</f>
        <v>#VALUE!</v>
      </c>
      <c r="I80" t="e">
        <f>AND('PROG FORMACIÓN TITULADA'!V475,"AAAAAH/n/Qg=")</f>
        <v>#VALUE!</v>
      </c>
      <c r="J80" t="e">
        <f>AND('PROG FORMACIÓN TITULADA'!W475,"AAAAAH/n/Qk=")</f>
        <v>#VALUE!</v>
      </c>
      <c r="K80" t="e">
        <f>AND('PROG FORMACIÓN TITULADA'!X475,"AAAAAH/n/Qo=")</f>
        <v>#VALUE!</v>
      </c>
      <c r="L80" t="e">
        <f>AND('PROG FORMACIÓN TITULADA'!Y475,"AAAAAH/n/Qs=")</f>
        <v>#VALUE!</v>
      </c>
      <c r="M80" t="e">
        <f>AND('PROG FORMACIÓN TITULADA'!Z475,"AAAAAH/n/Qw=")</f>
        <v>#VALUE!</v>
      </c>
      <c r="N80">
        <f>IF('PROG FORMACIÓN TITULADA'!476:476,"AAAAAH/n/Q0=",0)</f>
        <v>0</v>
      </c>
      <c r="O80" t="e">
        <f>AND('PROG FORMACIÓN TITULADA'!A476,"AAAAAH/n/Q4=")</f>
        <v>#VALUE!</v>
      </c>
      <c r="P80" t="e">
        <f>AND('PROG FORMACIÓN TITULADA'!B476,"AAAAAH/n/Q8=")</f>
        <v>#VALUE!</v>
      </c>
      <c r="Q80" t="e">
        <f>AND('PROG FORMACIÓN TITULADA'!C476,"AAAAAH/n/RA=")</f>
        <v>#VALUE!</v>
      </c>
      <c r="R80" t="e">
        <f>AND('PROG FORMACIÓN TITULADA'!D476,"AAAAAH/n/RE=")</f>
        <v>#VALUE!</v>
      </c>
      <c r="S80" t="e">
        <f>AND('PROG FORMACIÓN TITULADA'!E476,"AAAAAH/n/RI=")</f>
        <v>#VALUE!</v>
      </c>
      <c r="T80" t="e">
        <f>AND('PROG FORMACIÓN TITULADA'!F476,"AAAAAH/n/RM=")</f>
        <v>#VALUE!</v>
      </c>
      <c r="U80" t="e">
        <f>AND('PROG FORMACIÓN TITULADA'!G476,"AAAAAH/n/RQ=")</f>
        <v>#VALUE!</v>
      </c>
      <c r="V80" t="e">
        <f>AND('PROG FORMACIÓN TITULADA'!H476,"AAAAAH/n/RU=")</f>
        <v>#VALUE!</v>
      </c>
      <c r="W80" t="e">
        <f>AND('PROG FORMACIÓN TITULADA'!I476,"AAAAAH/n/RY=")</f>
        <v>#VALUE!</v>
      </c>
      <c r="X80" t="e">
        <f>AND('PROG FORMACIÓN TITULADA'!J476,"AAAAAH/n/Rc=")</f>
        <v>#VALUE!</v>
      </c>
      <c r="Y80" t="e">
        <f>AND('PROG FORMACIÓN TITULADA'!K476,"AAAAAH/n/Rg=")</f>
        <v>#VALUE!</v>
      </c>
      <c r="Z80" t="e">
        <f>AND('PROG FORMACIÓN TITULADA'!L476,"AAAAAH/n/Rk=")</f>
        <v>#VALUE!</v>
      </c>
      <c r="AA80" t="e">
        <f>AND('PROG FORMACIÓN TITULADA'!M476,"AAAAAH/n/Ro=")</f>
        <v>#VALUE!</v>
      </c>
      <c r="AB80" t="e">
        <f>AND('PROG FORMACIÓN TITULADA'!N476,"AAAAAH/n/Rs=")</f>
        <v>#VALUE!</v>
      </c>
      <c r="AC80" t="e">
        <f>AND('PROG FORMACIÓN TITULADA'!O476,"AAAAAH/n/Rw=")</f>
        <v>#VALUE!</v>
      </c>
      <c r="AD80" t="e">
        <f>AND('PROG FORMACIÓN TITULADA'!P476,"AAAAAH/n/R0=")</f>
        <v>#VALUE!</v>
      </c>
      <c r="AE80" t="e">
        <f>AND('PROG FORMACIÓN TITULADA'!Q476,"AAAAAH/n/R4=")</f>
        <v>#VALUE!</v>
      </c>
      <c r="AF80" t="e">
        <f>AND('PROG FORMACIÓN TITULADA'!R476,"AAAAAH/n/R8=")</f>
        <v>#VALUE!</v>
      </c>
      <c r="AG80" t="e">
        <f>AND('PROG FORMACIÓN TITULADA'!S476,"AAAAAH/n/SA=")</f>
        <v>#VALUE!</v>
      </c>
      <c r="AH80" t="e">
        <f>AND('PROG FORMACIÓN TITULADA'!T476,"AAAAAH/n/SE=")</f>
        <v>#VALUE!</v>
      </c>
      <c r="AI80" t="e">
        <f>AND('PROG FORMACIÓN TITULADA'!U476,"AAAAAH/n/SI=")</f>
        <v>#VALUE!</v>
      </c>
      <c r="AJ80" t="e">
        <f>AND('PROG FORMACIÓN TITULADA'!V476,"AAAAAH/n/SM=")</f>
        <v>#VALUE!</v>
      </c>
      <c r="AK80" t="e">
        <f>AND('PROG FORMACIÓN TITULADA'!W476,"AAAAAH/n/SQ=")</f>
        <v>#VALUE!</v>
      </c>
      <c r="AL80" t="e">
        <f>AND('PROG FORMACIÓN TITULADA'!X476,"AAAAAH/n/SU=")</f>
        <v>#VALUE!</v>
      </c>
      <c r="AM80" t="e">
        <f>AND('PROG FORMACIÓN TITULADA'!Y476,"AAAAAH/n/SY=")</f>
        <v>#VALUE!</v>
      </c>
      <c r="AN80" t="e">
        <f>AND('PROG FORMACIÓN TITULADA'!Z476,"AAAAAH/n/Sc=")</f>
        <v>#VALUE!</v>
      </c>
      <c r="AO80">
        <f>IF('PROG FORMACIÓN TITULADA'!477:477,"AAAAAH/n/Sg=",0)</f>
        <v>0</v>
      </c>
      <c r="AP80" t="e">
        <f>AND('PROG FORMACIÓN TITULADA'!A477,"AAAAAH/n/Sk=")</f>
        <v>#VALUE!</v>
      </c>
      <c r="AQ80" t="e">
        <f>AND('PROG FORMACIÓN TITULADA'!B477,"AAAAAH/n/So=")</f>
        <v>#VALUE!</v>
      </c>
      <c r="AR80" t="e">
        <f>AND('PROG FORMACIÓN TITULADA'!C477,"AAAAAH/n/Ss=")</f>
        <v>#VALUE!</v>
      </c>
      <c r="AS80" t="e">
        <f>AND('PROG FORMACIÓN TITULADA'!D477,"AAAAAH/n/Sw=")</f>
        <v>#VALUE!</v>
      </c>
      <c r="AT80" t="e">
        <f>AND('PROG FORMACIÓN TITULADA'!E477,"AAAAAH/n/S0=")</f>
        <v>#VALUE!</v>
      </c>
      <c r="AU80" t="e">
        <f>AND('PROG FORMACIÓN TITULADA'!F477,"AAAAAH/n/S4=")</f>
        <v>#VALUE!</v>
      </c>
      <c r="AV80" t="e">
        <f>AND('PROG FORMACIÓN TITULADA'!G477,"AAAAAH/n/S8=")</f>
        <v>#VALUE!</v>
      </c>
      <c r="AW80" t="e">
        <f>AND('PROG FORMACIÓN TITULADA'!H477,"AAAAAH/n/TA=")</f>
        <v>#VALUE!</v>
      </c>
      <c r="AX80" t="e">
        <f>AND('PROG FORMACIÓN TITULADA'!I477,"AAAAAH/n/TE=")</f>
        <v>#VALUE!</v>
      </c>
      <c r="AY80" t="e">
        <f>AND('PROG FORMACIÓN TITULADA'!J477,"AAAAAH/n/TI=")</f>
        <v>#VALUE!</v>
      </c>
      <c r="AZ80" t="e">
        <f>AND('PROG FORMACIÓN TITULADA'!K477,"AAAAAH/n/TM=")</f>
        <v>#VALUE!</v>
      </c>
      <c r="BA80" t="e">
        <f>AND('PROG FORMACIÓN TITULADA'!L477,"AAAAAH/n/TQ=")</f>
        <v>#VALUE!</v>
      </c>
      <c r="BB80" t="e">
        <f>AND('PROG FORMACIÓN TITULADA'!M477,"AAAAAH/n/TU=")</f>
        <v>#VALUE!</v>
      </c>
      <c r="BC80" t="e">
        <f>AND('PROG FORMACIÓN TITULADA'!N477,"AAAAAH/n/TY=")</f>
        <v>#VALUE!</v>
      </c>
      <c r="BD80" t="e">
        <f>AND('PROG FORMACIÓN TITULADA'!O477,"AAAAAH/n/Tc=")</f>
        <v>#VALUE!</v>
      </c>
      <c r="BE80" t="e">
        <f>AND('PROG FORMACIÓN TITULADA'!P477,"AAAAAH/n/Tg=")</f>
        <v>#VALUE!</v>
      </c>
      <c r="BF80" t="e">
        <f>AND('PROG FORMACIÓN TITULADA'!Q477,"AAAAAH/n/Tk=")</f>
        <v>#VALUE!</v>
      </c>
      <c r="BG80" t="e">
        <f>AND('PROG FORMACIÓN TITULADA'!R477,"AAAAAH/n/To=")</f>
        <v>#VALUE!</v>
      </c>
      <c r="BH80" t="e">
        <f>AND('PROG FORMACIÓN TITULADA'!S477,"AAAAAH/n/Ts=")</f>
        <v>#VALUE!</v>
      </c>
      <c r="BI80" t="e">
        <f>AND('PROG FORMACIÓN TITULADA'!T477,"AAAAAH/n/Tw=")</f>
        <v>#VALUE!</v>
      </c>
      <c r="BJ80" t="e">
        <f>AND('PROG FORMACIÓN TITULADA'!U477,"AAAAAH/n/T0=")</f>
        <v>#VALUE!</v>
      </c>
      <c r="BK80" t="e">
        <f>AND('PROG FORMACIÓN TITULADA'!V477,"AAAAAH/n/T4=")</f>
        <v>#VALUE!</v>
      </c>
      <c r="BL80" t="e">
        <f>AND('PROG FORMACIÓN TITULADA'!W477,"AAAAAH/n/T8=")</f>
        <v>#VALUE!</v>
      </c>
      <c r="BM80" t="e">
        <f>AND('PROG FORMACIÓN TITULADA'!X477,"AAAAAH/n/UA=")</f>
        <v>#VALUE!</v>
      </c>
      <c r="BN80" t="e">
        <f>AND('PROG FORMACIÓN TITULADA'!Y477,"AAAAAH/n/UE=")</f>
        <v>#VALUE!</v>
      </c>
      <c r="BO80" t="e">
        <f>AND('PROG FORMACIÓN TITULADA'!Z477,"AAAAAH/n/UI=")</f>
        <v>#VALUE!</v>
      </c>
      <c r="BP80">
        <f>IF('PROG FORMACIÓN TITULADA'!478:478,"AAAAAH/n/UM=",0)</f>
        <v>0</v>
      </c>
      <c r="BQ80" t="e">
        <f>AND('PROG FORMACIÓN TITULADA'!A478,"AAAAAH/n/UQ=")</f>
        <v>#VALUE!</v>
      </c>
      <c r="BR80" t="e">
        <f>AND('PROG FORMACIÓN TITULADA'!B478,"AAAAAH/n/UU=")</f>
        <v>#VALUE!</v>
      </c>
      <c r="BS80" t="e">
        <f>AND('PROG FORMACIÓN TITULADA'!C478,"AAAAAH/n/UY=")</f>
        <v>#VALUE!</v>
      </c>
      <c r="BT80" t="e">
        <f>AND('PROG FORMACIÓN TITULADA'!D478,"AAAAAH/n/Uc=")</f>
        <v>#VALUE!</v>
      </c>
      <c r="BU80" t="e">
        <f>AND('PROG FORMACIÓN TITULADA'!E478,"AAAAAH/n/Ug=")</f>
        <v>#VALUE!</v>
      </c>
      <c r="BV80" t="e">
        <f>AND('PROG FORMACIÓN TITULADA'!F478,"AAAAAH/n/Uk=")</f>
        <v>#VALUE!</v>
      </c>
      <c r="BW80" t="e">
        <f>AND('PROG FORMACIÓN TITULADA'!G478,"AAAAAH/n/Uo=")</f>
        <v>#VALUE!</v>
      </c>
      <c r="BX80" t="e">
        <f>AND('PROG FORMACIÓN TITULADA'!H478,"AAAAAH/n/Us=")</f>
        <v>#VALUE!</v>
      </c>
      <c r="BY80" t="e">
        <f>AND('PROG FORMACIÓN TITULADA'!I478,"AAAAAH/n/Uw=")</f>
        <v>#VALUE!</v>
      </c>
      <c r="BZ80" t="e">
        <f>AND('PROG FORMACIÓN TITULADA'!J478,"AAAAAH/n/U0=")</f>
        <v>#VALUE!</v>
      </c>
      <c r="CA80" t="e">
        <f>AND('PROG FORMACIÓN TITULADA'!K478,"AAAAAH/n/U4=")</f>
        <v>#VALUE!</v>
      </c>
      <c r="CB80" t="e">
        <f>AND('PROG FORMACIÓN TITULADA'!L478,"AAAAAH/n/U8=")</f>
        <v>#VALUE!</v>
      </c>
      <c r="CC80" t="e">
        <f>AND('PROG FORMACIÓN TITULADA'!M478,"AAAAAH/n/VA=")</f>
        <v>#VALUE!</v>
      </c>
      <c r="CD80" t="e">
        <f>AND('PROG FORMACIÓN TITULADA'!N478,"AAAAAH/n/VE=")</f>
        <v>#VALUE!</v>
      </c>
      <c r="CE80" t="e">
        <f>AND('PROG FORMACIÓN TITULADA'!O478,"AAAAAH/n/VI=")</f>
        <v>#VALUE!</v>
      </c>
      <c r="CF80" t="e">
        <f>AND('PROG FORMACIÓN TITULADA'!P478,"AAAAAH/n/VM=")</f>
        <v>#VALUE!</v>
      </c>
      <c r="CG80" t="e">
        <f>AND('PROG FORMACIÓN TITULADA'!Q478,"AAAAAH/n/VQ=")</f>
        <v>#VALUE!</v>
      </c>
      <c r="CH80" t="e">
        <f>AND('PROG FORMACIÓN TITULADA'!R478,"AAAAAH/n/VU=")</f>
        <v>#VALUE!</v>
      </c>
      <c r="CI80" t="e">
        <f>AND('PROG FORMACIÓN TITULADA'!S478,"AAAAAH/n/VY=")</f>
        <v>#VALUE!</v>
      </c>
      <c r="CJ80" t="e">
        <f>AND('PROG FORMACIÓN TITULADA'!T478,"AAAAAH/n/Vc=")</f>
        <v>#VALUE!</v>
      </c>
      <c r="CK80" t="e">
        <f>AND('PROG FORMACIÓN TITULADA'!U478,"AAAAAH/n/Vg=")</f>
        <v>#VALUE!</v>
      </c>
      <c r="CL80" t="e">
        <f>AND('PROG FORMACIÓN TITULADA'!V478,"AAAAAH/n/Vk=")</f>
        <v>#VALUE!</v>
      </c>
      <c r="CM80" t="e">
        <f>AND('PROG FORMACIÓN TITULADA'!W478,"AAAAAH/n/Vo=")</f>
        <v>#VALUE!</v>
      </c>
      <c r="CN80" t="e">
        <f>AND('PROG FORMACIÓN TITULADA'!X478,"AAAAAH/n/Vs=")</f>
        <v>#VALUE!</v>
      </c>
      <c r="CO80" t="e">
        <f>AND('PROG FORMACIÓN TITULADA'!Y478,"AAAAAH/n/Vw=")</f>
        <v>#VALUE!</v>
      </c>
      <c r="CP80" t="e">
        <f>AND('PROG FORMACIÓN TITULADA'!Z478,"AAAAAH/n/V0=")</f>
        <v>#VALUE!</v>
      </c>
      <c r="CQ80">
        <f>IF('PROG FORMACIÓN TITULADA'!479:479,"AAAAAH/n/V4=",0)</f>
        <v>0</v>
      </c>
      <c r="CR80" t="e">
        <f>AND('PROG FORMACIÓN TITULADA'!A479,"AAAAAH/n/V8=")</f>
        <v>#VALUE!</v>
      </c>
      <c r="CS80" t="e">
        <f>AND('PROG FORMACIÓN TITULADA'!B479,"AAAAAH/n/WA=")</f>
        <v>#VALUE!</v>
      </c>
      <c r="CT80" t="e">
        <f>AND('PROG FORMACIÓN TITULADA'!C479,"AAAAAH/n/WE=")</f>
        <v>#VALUE!</v>
      </c>
      <c r="CU80" t="e">
        <f>AND('PROG FORMACIÓN TITULADA'!D479,"AAAAAH/n/WI=")</f>
        <v>#VALUE!</v>
      </c>
      <c r="CV80" t="e">
        <f>AND('PROG FORMACIÓN TITULADA'!E479,"AAAAAH/n/WM=")</f>
        <v>#VALUE!</v>
      </c>
      <c r="CW80" t="e">
        <f>AND('PROG FORMACIÓN TITULADA'!F479,"AAAAAH/n/WQ=")</f>
        <v>#VALUE!</v>
      </c>
      <c r="CX80" t="e">
        <f>AND('PROG FORMACIÓN TITULADA'!G479,"AAAAAH/n/WU=")</f>
        <v>#VALUE!</v>
      </c>
      <c r="CY80" t="e">
        <f>AND('PROG FORMACIÓN TITULADA'!H479,"AAAAAH/n/WY=")</f>
        <v>#VALUE!</v>
      </c>
      <c r="CZ80" t="e">
        <f>AND('PROG FORMACIÓN TITULADA'!I479,"AAAAAH/n/Wc=")</f>
        <v>#VALUE!</v>
      </c>
      <c r="DA80" t="e">
        <f>AND('PROG FORMACIÓN TITULADA'!J479,"AAAAAH/n/Wg=")</f>
        <v>#VALUE!</v>
      </c>
      <c r="DB80" t="e">
        <f>AND('PROG FORMACIÓN TITULADA'!K479,"AAAAAH/n/Wk=")</f>
        <v>#VALUE!</v>
      </c>
      <c r="DC80" t="e">
        <f>AND('PROG FORMACIÓN TITULADA'!L479,"AAAAAH/n/Wo=")</f>
        <v>#VALUE!</v>
      </c>
      <c r="DD80" t="e">
        <f>AND('PROG FORMACIÓN TITULADA'!M479,"AAAAAH/n/Ws=")</f>
        <v>#VALUE!</v>
      </c>
      <c r="DE80" t="e">
        <f>AND('PROG FORMACIÓN TITULADA'!N479,"AAAAAH/n/Ww=")</f>
        <v>#VALUE!</v>
      </c>
      <c r="DF80" t="e">
        <f>AND('PROG FORMACIÓN TITULADA'!O479,"AAAAAH/n/W0=")</f>
        <v>#VALUE!</v>
      </c>
      <c r="DG80" t="e">
        <f>AND('PROG FORMACIÓN TITULADA'!P479,"AAAAAH/n/W4=")</f>
        <v>#VALUE!</v>
      </c>
      <c r="DH80" t="e">
        <f>AND('PROG FORMACIÓN TITULADA'!Q479,"AAAAAH/n/W8=")</f>
        <v>#VALUE!</v>
      </c>
      <c r="DI80" t="e">
        <f>AND('PROG FORMACIÓN TITULADA'!R479,"AAAAAH/n/XA=")</f>
        <v>#VALUE!</v>
      </c>
      <c r="DJ80" t="e">
        <f>AND('PROG FORMACIÓN TITULADA'!S479,"AAAAAH/n/XE=")</f>
        <v>#VALUE!</v>
      </c>
      <c r="DK80" t="e">
        <f>AND('PROG FORMACIÓN TITULADA'!T479,"AAAAAH/n/XI=")</f>
        <v>#VALUE!</v>
      </c>
      <c r="DL80" t="e">
        <f>AND('PROG FORMACIÓN TITULADA'!U479,"AAAAAH/n/XM=")</f>
        <v>#VALUE!</v>
      </c>
      <c r="DM80" t="e">
        <f>AND('PROG FORMACIÓN TITULADA'!V479,"AAAAAH/n/XQ=")</f>
        <v>#VALUE!</v>
      </c>
      <c r="DN80" t="e">
        <f>AND('PROG FORMACIÓN TITULADA'!W479,"AAAAAH/n/XU=")</f>
        <v>#VALUE!</v>
      </c>
      <c r="DO80" t="e">
        <f>AND('PROG FORMACIÓN TITULADA'!X479,"AAAAAH/n/XY=")</f>
        <v>#VALUE!</v>
      </c>
      <c r="DP80" t="e">
        <f>AND('PROG FORMACIÓN TITULADA'!Y479,"AAAAAH/n/Xc=")</f>
        <v>#VALUE!</v>
      </c>
      <c r="DQ80" t="e">
        <f>AND('PROG FORMACIÓN TITULADA'!Z479,"AAAAAH/n/Xg=")</f>
        <v>#VALUE!</v>
      </c>
      <c r="DR80">
        <f>IF('PROG FORMACIÓN TITULADA'!480:480,"AAAAAH/n/Xk=",0)</f>
        <v>0</v>
      </c>
      <c r="DS80" t="e">
        <f>AND('PROG FORMACIÓN TITULADA'!A480,"AAAAAH/n/Xo=")</f>
        <v>#VALUE!</v>
      </c>
      <c r="DT80" t="e">
        <f>AND('PROG FORMACIÓN TITULADA'!B480,"AAAAAH/n/Xs=")</f>
        <v>#VALUE!</v>
      </c>
      <c r="DU80" t="e">
        <f>AND('PROG FORMACIÓN TITULADA'!C480,"AAAAAH/n/Xw=")</f>
        <v>#VALUE!</v>
      </c>
      <c r="DV80" t="e">
        <f>AND('PROG FORMACIÓN TITULADA'!D480,"AAAAAH/n/X0=")</f>
        <v>#VALUE!</v>
      </c>
      <c r="DW80" t="e">
        <f>AND('PROG FORMACIÓN TITULADA'!E480,"AAAAAH/n/X4=")</f>
        <v>#VALUE!</v>
      </c>
      <c r="DX80" t="e">
        <f>AND('PROG FORMACIÓN TITULADA'!F480,"AAAAAH/n/X8=")</f>
        <v>#VALUE!</v>
      </c>
      <c r="DY80" t="e">
        <f>AND('PROG FORMACIÓN TITULADA'!G480,"AAAAAH/n/YA=")</f>
        <v>#VALUE!</v>
      </c>
      <c r="DZ80" t="e">
        <f>AND('PROG FORMACIÓN TITULADA'!H480,"AAAAAH/n/YE=")</f>
        <v>#VALUE!</v>
      </c>
      <c r="EA80" t="e">
        <f>AND('PROG FORMACIÓN TITULADA'!I480,"AAAAAH/n/YI=")</f>
        <v>#VALUE!</v>
      </c>
      <c r="EB80" t="e">
        <f>AND('PROG FORMACIÓN TITULADA'!J480,"AAAAAH/n/YM=")</f>
        <v>#VALUE!</v>
      </c>
      <c r="EC80" t="e">
        <f>AND('PROG FORMACIÓN TITULADA'!K480,"AAAAAH/n/YQ=")</f>
        <v>#VALUE!</v>
      </c>
      <c r="ED80" t="e">
        <f>AND('PROG FORMACIÓN TITULADA'!L480,"AAAAAH/n/YU=")</f>
        <v>#VALUE!</v>
      </c>
      <c r="EE80" t="e">
        <f>AND('PROG FORMACIÓN TITULADA'!M480,"AAAAAH/n/YY=")</f>
        <v>#VALUE!</v>
      </c>
      <c r="EF80" t="e">
        <f>AND('PROG FORMACIÓN TITULADA'!N480,"AAAAAH/n/Yc=")</f>
        <v>#VALUE!</v>
      </c>
      <c r="EG80" t="e">
        <f>AND('PROG FORMACIÓN TITULADA'!O480,"AAAAAH/n/Yg=")</f>
        <v>#VALUE!</v>
      </c>
      <c r="EH80" t="e">
        <f>AND('PROG FORMACIÓN TITULADA'!P480,"AAAAAH/n/Yk=")</f>
        <v>#VALUE!</v>
      </c>
      <c r="EI80" t="e">
        <f>AND('PROG FORMACIÓN TITULADA'!Q480,"AAAAAH/n/Yo=")</f>
        <v>#VALUE!</v>
      </c>
      <c r="EJ80" t="e">
        <f>AND('PROG FORMACIÓN TITULADA'!R480,"AAAAAH/n/Ys=")</f>
        <v>#VALUE!</v>
      </c>
      <c r="EK80" t="e">
        <f>AND('PROG FORMACIÓN TITULADA'!S480,"AAAAAH/n/Yw=")</f>
        <v>#VALUE!</v>
      </c>
      <c r="EL80" t="e">
        <f>AND('PROG FORMACIÓN TITULADA'!T480,"AAAAAH/n/Y0=")</f>
        <v>#VALUE!</v>
      </c>
      <c r="EM80" t="e">
        <f>AND('PROG FORMACIÓN TITULADA'!U480,"AAAAAH/n/Y4=")</f>
        <v>#VALUE!</v>
      </c>
      <c r="EN80" t="e">
        <f>AND('PROG FORMACIÓN TITULADA'!V480,"AAAAAH/n/Y8=")</f>
        <v>#VALUE!</v>
      </c>
      <c r="EO80" t="e">
        <f>AND('PROG FORMACIÓN TITULADA'!W480,"AAAAAH/n/ZA=")</f>
        <v>#VALUE!</v>
      </c>
      <c r="EP80" t="e">
        <f>AND('PROG FORMACIÓN TITULADA'!X480,"AAAAAH/n/ZE=")</f>
        <v>#VALUE!</v>
      </c>
      <c r="EQ80" t="e">
        <f>AND('PROG FORMACIÓN TITULADA'!Y480,"AAAAAH/n/ZI=")</f>
        <v>#VALUE!</v>
      </c>
      <c r="ER80" t="e">
        <f>AND('PROG FORMACIÓN TITULADA'!Z480,"AAAAAH/n/ZM=")</f>
        <v>#VALUE!</v>
      </c>
      <c r="ES80">
        <f>IF('PROG FORMACIÓN TITULADA'!481:481,"AAAAAH/n/ZQ=",0)</f>
        <v>0</v>
      </c>
      <c r="ET80" t="e">
        <f>AND('PROG FORMACIÓN TITULADA'!A481,"AAAAAH/n/ZU=")</f>
        <v>#VALUE!</v>
      </c>
      <c r="EU80" t="e">
        <f>AND('PROG FORMACIÓN TITULADA'!B481,"AAAAAH/n/ZY=")</f>
        <v>#VALUE!</v>
      </c>
      <c r="EV80" t="e">
        <f>AND('PROG FORMACIÓN TITULADA'!C481,"AAAAAH/n/Zc=")</f>
        <v>#VALUE!</v>
      </c>
      <c r="EW80" t="e">
        <f>AND('PROG FORMACIÓN TITULADA'!D481,"AAAAAH/n/Zg=")</f>
        <v>#VALUE!</v>
      </c>
      <c r="EX80" t="e">
        <f>AND('PROG FORMACIÓN TITULADA'!E481,"AAAAAH/n/Zk=")</f>
        <v>#VALUE!</v>
      </c>
      <c r="EY80" t="e">
        <f>AND('PROG FORMACIÓN TITULADA'!F481,"AAAAAH/n/Zo=")</f>
        <v>#VALUE!</v>
      </c>
      <c r="EZ80" t="e">
        <f>AND('PROG FORMACIÓN TITULADA'!G481,"AAAAAH/n/Zs=")</f>
        <v>#VALUE!</v>
      </c>
      <c r="FA80" t="e">
        <f>AND('PROG FORMACIÓN TITULADA'!H481,"AAAAAH/n/Zw=")</f>
        <v>#VALUE!</v>
      </c>
      <c r="FB80" t="e">
        <f>AND('PROG FORMACIÓN TITULADA'!I481,"AAAAAH/n/Z0=")</f>
        <v>#VALUE!</v>
      </c>
      <c r="FC80" t="e">
        <f>AND('PROG FORMACIÓN TITULADA'!J481,"AAAAAH/n/Z4=")</f>
        <v>#VALUE!</v>
      </c>
      <c r="FD80" t="e">
        <f>AND('PROG FORMACIÓN TITULADA'!K481,"AAAAAH/n/Z8=")</f>
        <v>#VALUE!</v>
      </c>
      <c r="FE80" t="e">
        <f>AND('PROG FORMACIÓN TITULADA'!L481,"AAAAAH/n/aA=")</f>
        <v>#VALUE!</v>
      </c>
      <c r="FF80" t="e">
        <f>AND('PROG FORMACIÓN TITULADA'!M481,"AAAAAH/n/aE=")</f>
        <v>#VALUE!</v>
      </c>
      <c r="FG80" t="e">
        <f>AND('PROG FORMACIÓN TITULADA'!N481,"AAAAAH/n/aI=")</f>
        <v>#VALUE!</v>
      </c>
      <c r="FH80" t="e">
        <f>AND('PROG FORMACIÓN TITULADA'!O481,"AAAAAH/n/aM=")</f>
        <v>#VALUE!</v>
      </c>
      <c r="FI80" t="e">
        <f>AND('PROG FORMACIÓN TITULADA'!P481,"AAAAAH/n/aQ=")</f>
        <v>#VALUE!</v>
      </c>
      <c r="FJ80" t="e">
        <f>AND('PROG FORMACIÓN TITULADA'!Q481,"AAAAAH/n/aU=")</f>
        <v>#VALUE!</v>
      </c>
      <c r="FK80" t="e">
        <f>AND('PROG FORMACIÓN TITULADA'!R481,"AAAAAH/n/aY=")</f>
        <v>#VALUE!</v>
      </c>
      <c r="FL80" t="e">
        <f>AND('PROG FORMACIÓN TITULADA'!S481,"AAAAAH/n/ac=")</f>
        <v>#VALUE!</v>
      </c>
      <c r="FM80" t="e">
        <f>AND('PROG FORMACIÓN TITULADA'!T481,"AAAAAH/n/ag=")</f>
        <v>#VALUE!</v>
      </c>
      <c r="FN80" t="e">
        <f>AND('PROG FORMACIÓN TITULADA'!U481,"AAAAAH/n/ak=")</f>
        <v>#VALUE!</v>
      </c>
      <c r="FO80" t="e">
        <f>AND('PROG FORMACIÓN TITULADA'!V481,"AAAAAH/n/ao=")</f>
        <v>#VALUE!</v>
      </c>
      <c r="FP80" t="e">
        <f>AND('PROG FORMACIÓN TITULADA'!W481,"AAAAAH/n/as=")</f>
        <v>#VALUE!</v>
      </c>
      <c r="FQ80" t="e">
        <f>AND('PROG FORMACIÓN TITULADA'!X481,"AAAAAH/n/aw=")</f>
        <v>#VALUE!</v>
      </c>
      <c r="FR80" t="e">
        <f>AND('PROG FORMACIÓN TITULADA'!Y481,"AAAAAH/n/a0=")</f>
        <v>#VALUE!</v>
      </c>
      <c r="FS80" t="e">
        <f>AND('PROG FORMACIÓN TITULADA'!Z481,"AAAAAH/n/a4=")</f>
        <v>#VALUE!</v>
      </c>
      <c r="FT80">
        <f>IF('PROG FORMACIÓN TITULADA'!482:482,"AAAAAH/n/a8=",0)</f>
        <v>0</v>
      </c>
      <c r="FU80" t="e">
        <f>AND('PROG FORMACIÓN TITULADA'!A482,"AAAAAH/n/bA=")</f>
        <v>#VALUE!</v>
      </c>
      <c r="FV80" t="e">
        <f>AND('PROG FORMACIÓN TITULADA'!B482,"AAAAAH/n/bE=")</f>
        <v>#VALUE!</v>
      </c>
      <c r="FW80" t="e">
        <f>AND('PROG FORMACIÓN TITULADA'!C482,"AAAAAH/n/bI=")</f>
        <v>#VALUE!</v>
      </c>
      <c r="FX80" t="e">
        <f>AND('PROG FORMACIÓN TITULADA'!D482,"AAAAAH/n/bM=")</f>
        <v>#VALUE!</v>
      </c>
      <c r="FY80" t="e">
        <f>AND('PROG FORMACIÓN TITULADA'!E482,"AAAAAH/n/bQ=")</f>
        <v>#VALUE!</v>
      </c>
      <c r="FZ80" t="e">
        <f>AND('PROG FORMACIÓN TITULADA'!F482,"AAAAAH/n/bU=")</f>
        <v>#VALUE!</v>
      </c>
      <c r="GA80" t="e">
        <f>AND('PROG FORMACIÓN TITULADA'!G482,"AAAAAH/n/bY=")</f>
        <v>#VALUE!</v>
      </c>
      <c r="GB80" t="e">
        <f>AND('PROG FORMACIÓN TITULADA'!H482,"AAAAAH/n/bc=")</f>
        <v>#VALUE!</v>
      </c>
      <c r="GC80" t="e">
        <f>AND('PROG FORMACIÓN TITULADA'!I482,"AAAAAH/n/bg=")</f>
        <v>#VALUE!</v>
      </c>
      <c r="GD80" t="e">
        <f>AND('PROG FORMACIÓN TITULADA'!J482,"AAAAAH/n/bk=")</f>
        <v>#VALUE!</v>
      </c>
      <c r="GE80" t="e">
        <f>AND('PROG FORMACIÓN TITULADA'!K482,"AAAAAH/n/bo=")</f>
        <v>#VALUE!</v>
      </c>
      <c r="GF80" t="e">
        <f>AND('PROG FORMACIÓN TITULADA'!L482,"AAAAAH/n/bs=")</f>
        <v>#VALUE!</v>
      </c>
      <c r="GG80" t="e">
        <f>AND('PROG FORMACIÓN TITULADA'!M482,"AAAAAH/n/bw=")</f>
        <v>#VALUE!</v>
      </c>
      <c r="GH80" t="e">
        <f>AND('PROG FORMACIÓN TITULADA'!N482,"AAAAAH/n/b0=")</f>
        <v>#VALUE!</v>
      </c>
      <c r="GI80" t="e">
        <f>AND('PROG FORMACIÓN TITULADA'!O482,"AAAAAH/n/b4=")</f>
        <v>#VALUE!</v>
      </c>
      <c r="GJ80" t="e">
        <f>AND('PROG FORMACIÓN TITULADA'!P482,"AAAAAH/n/b8=")</f>
        <v>#VALUE!</v>
      </c>
      <c r="GK80" t="e">
        <f>AND('PROG FORMACIÓN TITULADA'!Q482,"AAAAAH/n/cA=")</f>
        <v>#VALUE!</v>
      </c>
      <c r="GL80" t="e">
        <f>AND('PROG FORMACIÓN TITULADA'!R482,"AAAAAH/n/cE=")</f>
        <v>#VALUE!</v>
      </c>
      <c r="GM80" t="e">
        <f>AND('PROG FORMACIÓN TITULADA'!S482,"AAAAAH/n/cI=")</f>
        <v>#VALUE!</v>
      </c>
      <c r="GN80" t="e">
        <f>AND('PROG FORMACIÓN TITULADA'!T482,"AAAAAH/n/cM=")</f>
        <v>#VALUE!</v>
      </c>
      <c r="GO80" t="e">
        <f>AND('PROG FORMACIÓN TITULADA'!U482,"AAAAAH/n/cQ=")</f>
        <v>#VALUE!</v>
      </c>
      <c r="GP80" t="e">
        <f>AND('PROG FORMACIÓN TITULADA'!V482,"AAAAAH/n/cU=")</f>
        <v>#VALUE!</v>
      </c>
      <c r="GQ80" t="e">
        <f>AND('PROG FORMACIÓN TITULADA'!W482,"AAAAAH/n/cY=")</f>
        <v>#VALUE!</v>
      </c>
      <c r="GR80" t="e">
        <f>AND('PROG FORMACIÓN TITULADA'!X482,"AAAAAH/n/cc=")</f>
        <v>#VALUE!</v>
      </c>
      <c r="GS80" t="e">
        <f>AND('PROG FORMACIÓN TITULADA'!Y482,"AAAAAH/n/cg=")</f>
        <v>#VALUE!</v>
      </c>
      <c r="GT80" t="e">
        <f>AND('PROG FORMACIÓN TITULADA'!Z482,"AAAAAH/n/ck=")</f>
        <v>#VALUE!</v>
      </c>
      <c r="GU80">
        <f>IF('PROG FORMACIÓN TITULADA'!483:483,"AAAAAH/n/co=",0)</f>
        <v>0</v>
      </c>
      <c r="GV80" t="e">
        <f>AND('PROG FORMACIÓN TITULADA'!A483,"AAAAAH/n/cs=")</f>
        <v>#VALUE!</v>
      </c>
      <c r="GW80" t="e">
        <f>AND('PROG FORMACIÓN TITULADA'!B483,"AAAAAH/n/cw=")</f>
        <v>#VALUE!</v>
      </c>
      <c r="GX80" t="e">
        <f>AND('PROG FORMACIÓN TITULADA'!C483,"AAAAAH/n/c0=")</f>
        <v>#VALUE!</v>
      </c>
      <c r="GY80" t="e">
        <f>AND('PROG FORMACIÓN TITULADA'!D483,"AAAAAH/n/c4=")</f>
        <v>#VALUE!</v>
      </c>
      <c r="GZ80" t="e">
        <f>AND('PROG FORMACIÓN TITULADA'!E483,"AAAAAH/n/c8=")</f>
        <v>#VALUE!</v>
      </c>
      <c r="HA80" t="e">
        <f>AND('PROG FORMACIÓN TITULADA'!F483,"AAAAAH/n/dA=")</f>
        <v>#VALUE!</v>
      </c>
      <c r="HB80" t="e">
        <f>AND('PROG FORMACIÓN TITULADA'!G483,"AAAAAH/n/dE=")</f>
        <v>#VALUE!</v>
      </c>
      <c r="HC80" t="e">
        <f>AND('PROG FORMACIÓN TITULADA'!H483,"AAAAAH/n/dI=")</f>
        <v>#VALUE!</v>
      </c>
      <c r="HD80" t="e">
        <f>AND('PROG FORMACIÓN TITULADA'!I483,"AAAAAH/n/dM=")</f>
        <v>#VALUE!</v>
      </c>
      <c r="HE80" t="e">
        <f>AND('PROG FORMACIÓN TITULADA'!J483,"AAAAAH/n/dQ=")</f>
        <v>#VALUE!</v>
      </c>
      <c r="HF80" t="e">
        <f>AND('PROG FORMACIÓN TITULADA'!K483,"AAAAAH/n/dU=")</f>
        <v>#VALUE!</v>
      </c>
      <c r="HG80" t="e">
        <f>AND('PROG FORMACIÓN TITULADA'!L483,"AAAAAH/n/dY=")</f>
        <v>#VALUE!</v>
      </c>
      <c r="HH80" t="e">
        <f>AND('PROG FORMACIÓN TITULADA'!M483,"AAAAAH/n/dc=")</f>
        <v>#VALUE!</v>
      </c>
      <c r="HI80" t="e">
        <f>AND('PROG FORMACIÓN TITULADA'!N483,"AAAAAH/n/dg=")</f>
        <v>#VALUE!</v>
      </c>
      <c r="HJ80" t="e">
        <f>AND('PROG FORMACIÓN TITULADA'!O483,"AAAAAH/n/dk=")</f>
        <v>#VALUE!</v>
      </c>
      <c r="HK80" t="e">
        <f>AND('PROG FORMACIÓN TITULADA'!P483,"AAAAAH/n/do=")</f>
        <v>#VALUE!</v>
      </c>
      <c r="HL80" t="e">
        <f>AND('PROG FORMACIÓN TITULADA'!Q483,"AAAAAH/n/ds=")</f>
        <v>#VALUE!</v>
      </c>
      <c r="HM80" t="e">
        <f>AND('PROG FORMACIÓN TITULADA'!R483,"AAAAAH/n/dw=")</f>
        <v>#VALUE!</v>
      </c>
      <c r="HN80" t="e">
        <f>AND('PROG FORMACIÓN TITULADA'!S483,"AAAAAH/n/d0=")</f>
        <v>#VALUE!</v>
      </c>
      <c r="HO80" t="e">
        <f>AND('PROG FORMACIÓN TITULADA'!T483,"AAAAAH/n/d4=")</f>
        <v>#VALUE!</v>
      </c>
      <c r="HP80" t="e">
        <f>AND('PROG FORMACIÓN TITULADA'!U483,"AAAAAH/n/d8=")</f>
        <v>#VALUE!</v>
      </c>
      <c r="HQ80" t="e">
        <f>AND('PROG FORMACIÓN TITULADA'!V483,"AAAAAH/n/eA=")</f>
        <v>#VALUE!</v>
      </c>
      <c r="HR80" t="e">
        <f>AND('PROG FORMACIÓN TITULADA'!W483,"AAAAAH/n/eE=")</f>
        <v>#VALUE!</v>
      </c>
      <c r="HS80" t="e">
        <f>AND('PROG FORMACIÓN TITULADA'!X483,"AAAAAH/n/eI=")</f>
        <v>#VALUE!</v>
      </c>
      <c r="HT80" t="e">
        <f>AND('PROG FORMACIÓN TITULADA'!Y483,"AAAAAH/n/eM=")</f>
        <v>#VALUE!</v>
      </c>
      <c r="HU80" t="e">
        <f>AND('PROG FORMACIÓN TITULADA'!Z483,"AAAAAH/n/eQ=")</f>
        <v>#VALUE!</v>
      </c>
      <c r="HV80">
        <f>IF('PROG FORMACIÓN TITULADA'!484:484,"AAAAAH/n/eU=",0)</f>
        <v>0</v>
      </c>
      <c r="HW80" t="e">
        <f>AND('PROG FORMACIÓN TITULADA'!A484,"AAAAAH/n/eY=")</f>
        <v>#VALUE!</v>
      </c>
      <c r="HX80" t="e">
        <f>AND('PROG FORMACIÓN TITULADA'!B484,"AAAAAH/n/ec=")</f>
        <v>#VALUE!</v>
      </c>
      <c r="HY80" t="e">
        <f>AND('PROG FORMACIÓN TITULADA'!C484,"AAAAAH/n/eg=")</f>
        <v>#VALUE!</v>
      </c>
      <c r="HZ80" t="e">
        <f>AND('PROG FORMACIÓN TITULADA'!D484,"AAAAAH/n/ek=")</f>
        <v>#VALUE!</v>
      </c>
      <c r="IA80" t="e">
        <f>AND('PROG FORMACIÓN TITULADA'!E484,"AAAAAH/n/eo=")</f>
        <v>#VALUE!</v>
      </c>
      <c r="IB80" t="e">
        <f>AND('PROG FORMACIÓN TITULADA'!F484,"AAAAAH/n/es=")</f>
        <v>#VALUE!</v>
      </c>
      <c r="IC80" t="e">
        <f>AND('PROG FORMACIÓN TITULADA'!G484,"AAAAAH/n/ew=")</f>
        <v>#VALUE!</v>
      </c>
      <c r="ID80" t="e">
        <f>AND('PROG FORMACIÓN TITULADA'!H484,"AAAAAH/n/e0=")</f>
        <v>#VALUE!</v>
      </c>
      <c r="IE80" t="e">
        <f>AND('PROG FORMACIÓN TITULADA'!I484,"AAAAAH/n/e4=")</f>
        <v>#VALUE!</v>
      </c>
      <c r="IF80" t="e">
        <f>AND('PROG FORMACIÓN TITULADA'!J484,"AAAAAH/n/e8=")</f>
        <v>#VALUE!</v>
      </c>
      <c r="IG80" t="e">
        <f>AND('PROG FORMACIÓN TITULADA'!K484,"AAAAAH/n/fA=")</f>
        <v>#VALUE!</v>
      </c>
      <c r="IH80" t="e">
        <f>AND('PROG FORMACIÓN TITULADA'!L484,"AAAAAH/n/fE=")</f>
        <v>#VALUE!</v>
      </c>
      <c r="II80" t="e">
        <f>AND('PROG FORMACIÓN TITULADA'!M484,"AAAAAH/n/fI=")</f>
        <v>#VALUE!</v>
      </c>
      <c r="IJ80" t="e">
        <f>AND('PROG FORMACIÓN TITULADA'!N484,"AAAAAH/n/fM=")</f>
        <v>#VALUE!</v>
      </c>
      <c r="IK80" t="e">
        <f>AND('PROG FORMACIÓN TITULADA'!O484,"AAAAAH/n/fQ=")</f>
        <v>#VALUE!</v>
      </c>
      <c r="IL80" t="e">
        <f>AND('PROG FORMACIÓN TITULADA'!P484,"AAAAAH/n/fU=")</f>
        <v>#VALUE!</v>
      </c>
      <c r="IM80" t="e">
        <f>AND('PROG FORMACIÓN TITULADA'!Q484,"AAAAAH/n/fY=")</f>
        <v>#VALUE!</v>
      </c>
      <c r="IN80" t="e">
        <f>AND('PROG FORMACIÓN TITULADA'!R484,"AAAAAH/n/fc=")</f>
        <v>#VALUE!</v>
      </c>
      <c r="IO80" t="e">
        <f>AND('PROG FORMACIÓN TITULADA'!S484,"AAAAAH/n/fg=")</f>
        <v>#VALUE!</v>
      </c>
      <c r="IP80" t="e">
        <f>AND('PROG FORMACIÓN TITULADA'!T484,"AAAAAH/n/fk=")</f>
        <v>#VALUE!</v>
      </c>
      <c r="IQ80" t="e">
        <f>AND('PROG FORMACIÓN TITULADA'!U484,"AAAAAH/n/fo=")</f>
        <v>#VALUE!</v>
      </c>
      <c r="IR80" t="e">
        <f>AND('PROG FORMACIÓN TITULADA'!V484,"AAAAAH/n/fs=")</f>
        <v>#VALUE!</v>
      </c>
      <c r="IS80" t="e">
        <f>AND('PROG FORMACIÓN TITULADA'!W484,"AAAAAH/n/fw=")</f>
        <v>#VALUE!</v>
      </c>
      <c r="IT80" t="e">
        <f>AND('PROG FORMACIÓN TITULADA'!X484,"AAAAAH/n/f0=")</f>
        <v>#VALUE!</v>
      </c>
      <c r="IU80" t="e">
        <f>AND('PROG FORMACIÓN TITULADA'!Y484,"AAAAAH/n/f4=")</f>
        <v>#VALUE!</v>
      </c>
      <c r="IV80" t="e">
        <f>AND('PROG FORMACIÓN TITULADA'!Z484,"AAAAAH/n/f8=")</f>
        <v>#VALUE!</v>
      </c>
    </row>
    <row r="81" spans="1:256" x14ac:dyDescent="0.2">
      <c r="A81">
        <f>IF('PROG FORMACIÓN TITULADA'!485:485,"AAAAAH92/wA=",0)</f>
        <v>0</v>
      </c>
      <c r="B81" t="e">
        <f>AND('PROG FORMACIÓN TITULADA'!A485,"AAAAAH92/wE=")</f>
        <v>#VALUE!</v>
      </c>
      <c r="C81" t="e">
        <f>AND('PROG FORMACIÓN TITULADA'!B485,"AAAAAH92/wI=")</f>
        <v>#VALUE!</v>
      </c>
      <c r="D81" t="e">
        <f>AND('PROG FORMACIÓN TITULADA'!C485,"AAAAAH92/wM=")</f>
        <v>#VALUE!</v>
      </c>
      <c r="E81" t="e">
        <f>AND('PROG FORMACIÓN TITULADA'!D485,"AAAAAH92/wQ=")</f>
        <v>#VALUE!</v>
      </c>
      <c r="F81" t="e">
        <f>AND('PROG FORMACIÓN TITULADA'!E485,"AAAAAH92/wU=")</f>
        <v>#VALUE!</v>
      </c>
      <c r="G81" t="e">
        <f>AND('PROG FORMACIÓN TITULADA'!F485,"AAAAAH92/wY=")</f>
        <v>#VALUE!</v>
      </c>
      <c r="H81" t="e">
        <f>AND('PROG FORMACIÓN TITULADA'!G485,"AAAAAH92/wc=")</f>
        <v>#VALUE!</v>
      </c>
      <c r="I81" t="e">
        <f>AND('PROG FORMACIÓN TITULADA'!H485,"AAAAAH92/wg=")</f>
        <v>#VALUE!</v>
      </c>
      <c r="J81" t="e">
        <f>AND('PROG FORMACIÓN TITULADA'!I485,"AAAAAH92/wk=")</f>
        <v>#VALUE!</v>
      </c>
      <c r="K81" t="e">
        <f>AND('PROG FORMACIÓN TITULADA'!J485,"AAAAAH92/wo=")</f>
        <v>#VALUE!</v>
      </c>
      <c r="L81" t="e">
        <f>AND('PROG FORMACIÓN TITULADA'!K485,"AAAAAH92/ws=")</f>
        <v>#VALUE!</v>
      </c>
      <c r="M81" t="e">
        <f>AND('PROG FORMACIÓN TITULADA'!L485,"AAAAAH92/ww=")</f>
        <v>#VALUE!</v>
      </c>
      <c r="N81" t="e">
        <f>AND('PROG FORMACIÓN TITULADA'!M485,"AAAAAH92/w0=")</f>
        <v>#VALUE!</v>
      </c>
      <c r="O81" t="e">
        <f>AND('PROG FORMACIÓN TITULADA'!N485,"AAAAAH92/w4=")</f>
        <v>#VALUE!</v>
      </c>
      <c r="P81" t="e">
        <f>AND('PROG FORMACIÓN TITULADA'!O485,"AAAAAH92/w8=")</f>
        <v>#VALUE!</v>
      </c>
      <c r="Q81" t="e">
        <f>AND('PROG FORMACIÓN TITULADA'!P485,"AAAAAH92/xA=")</f>
        <v>#VALUE!</v>
      </c>
      <c r="R81" t="e">
        <f>AND('PROG FORMACIÓN TITULADA'!Q485,"AAAAAH92/xE=")</f>
        <v>#VALUE!</v>
      </c>
      <c r="S81" t="e">
        <f>AND('PROG FORMACIÓN TITULADA'!R485,"AAAAAH92/xI=")</f>
        <v>#VALUE!</v>
      </c>
      <c r="T81" t="e">
        <f>AND('PROG FORMACIÓN TITULADA'!S485,"AAAAAH92/xM=")</f>
        <v>#VALUE!</v>
      </c>
      <c r="U81" t="e">
        <f>AND('PROG FORMACIÓN TITULADA'!T485,"AAAAAH92/xQ=")</f>
        <v>#VALUE!</v>
      </c>
      <c r="V81" t="e">
        <f>AND('PROG FORMACIÓN TITULADA'!U485,"AAAAAH92/xU=")</f>
        <v>#VALUE!</v>
      </c>
      <c r="W81" t="e">
        <f>AND('PROG FORMACIÓN TITULADA'!V485,"AAAAAH92/xY=")</f>
        <v>#VALUE!</v>
      </c>
      <c r="X81" t="e">
        <f>AND('PROG FORMACIÓN TITULADA'!W485,"AAAAAH92/xc=")</f>
        <v>#VALUE!</v>
      </c>
      <c r="Y81" t="e">
        <f>AND('PROG FORMACIÓN TITULADA'!X485,"AAAAAH92/xg=")</f>
        <v>#VALUE!</v>
      </c>
      <c r="Z81" t="e">
        <f>AND('PROG FORMACIÓN TITULADA'!Y485,"AAAAAH92/xk=")</f>
        <v>#VALUE!</v>
      </c>
      <c r="AA81" t="e">
        <f>AND('PROG FORMACIÓN TITULADA'!Z485,"AAAAAH92/xo=")</f>
        <v>#VALUE!</v>
      </c>
      <c r="AB81">
        <f>IF('PROG FORMACIÓN TITULADA'!486:486,"AAAAAH92/xs=",0)</f>
        <v>0</v>
      </c>
      <c r="AC81" t="e">
        <f>AND('PROG FORMACIÓN TITULADA'!A486,"AAAAAH92/xw=")</f>
        <v>#VALUE!</v>
      </c>
      <c r="AD81" t="e">
        <f>AND('PROG FORMACIÓN TITULADA'!B486,"AAAAAH92/x0=")</f>
        <v>#VALUE!</v>
      </c>
      <c r="AE81" t="e">
        <f>AND('PROG FORMACIÓN TITULADA'!C486,"AAAAAH92/x4=")</f>
        <v>#VALUE!</v>
      </c>
      <c r="AF81" t="e">
        <f>AND('PROG FORMACIÓN TITULADA'!D486,"AAAAAH92/x8=")</f>
        <v>#VALUE!</v>
      </c>
      <c r="AG81" t="e">
        <f>AND('PROG FORMACIÓN TITULADA'!E486,"AAAAAH92/yA=")</f>
        <v>#VALUE!</v>
      </c>
      <c r="AH81" t="e">
        <f>AND('PROG FORMACIÓN TITULADA'!F486,"AAAAAH92/yE=")</f>
        <v>#VALUE!</v>
      </c>
      <c r="AI81" t="e">
        <f>AND('PROG FORMACIÓN TITULADA'!G486,"AAAAAH92/yI=")</f>
        <v>#VALUE!</v>
      </c>
      <c r="AJ81" t="e">
        <f>AND('PROG FORMACIÓN TITULADA'!H486,"AAAAAH92/yM=")</f>
        <v>#VALUE!</v>
      </c>
      <c r="AK81" t="e">
        <f>AND('PROG FORMACIÓN TITULADA'!I486,"AAAAAH92/yQ=")</f>
        <v>#VALUE!</v>
      </c>
      <c r="AL81" t="e">
        <f>AND('PROG FORMACIÓN TITULADA'!J486,"AAAAAH92/yU=")</f>
        <v>#VALUE!</v>
      </c>
      <c r="AM81" t="e">
        <f>AND('PROG FORMACIÓN TITULADA'!K486,"AAAAAH92/yY=")</f>
        <v>#VALUE!</v>
      </c>
      <c r="AN81" t="e">
        <f>AND('PROG FORMACIÓN TITULADA'!L486,"AAAAAH92/yc=")</f>
        <v>#VALUE!</v>
      </c>
      <c r="AO81" t="e">
        <f>AND('PROG FORMACIÓN TITULADA'!M486,"AAAAAH92/yg=")</f>
        <v>#VALUE!</v>
      </c>
      <c r="AP81" t="e">
        <f>AND('PROG FORMACIÓN TITULADA'!N486,"AAAAAH92/yk=")</f>
        <v>#VALUE!</v>
      </c>
      <c r="AQ81" t="e">
        <f>AND('PROG FORMACIÓN TITULADA'!O486,"AAAAAH92/yo=")</f>
        <v>#VALUE!</v>
      </c>
      <c r="AR81" t="e">
        <f>AND('PROG FORMACIÓN TITULADA'!P486,"AAAAAH92/ys=")</f>
        <v>#VALUE!</v>
      </c>
      <c r="AS81" t="e">
        <f>AND('PROG FORMACIÓN TITULADA'!Q486,"AAAAAH92/yw=")</f>
        <v>#VALUE!</v>
      </c>
      <c r="AT81" t="e">
        <f>AND('PROG FORMACIÓN TITULADA'!R486,"AAAAAH92/y0=")</f>
        <v>#VALUE!</v>
      </c>
      <c r="AU81" t="e">
        <f>AND('PROG FORMACIÓN TITULADA'!S486,"AAAAAH92/y4=")</f>
        <v>#VALUE!</v>
      </c>
      <c r="AV81" t="e">
        <f>AND('PROG FORMACIÓN TITULADA'!T486,"AAAAAH92/y8=")</f>
        <v>#VALUE!</v>
      </c>
      <c r="AW81" t="e">
        <f>AND('PROG FORMACIÓN TITULADA'!U486,"AAAAAH92/zA=")</f>
        <v>#VALUE!</v>
      </c>
      <c r="AX81" t="e">
        <f>AND('PROG FORMACIÓN TITULADA'!V486,"AAAAAH92/zE=")</f>
        <v>#VALUE!</v>
      </c>
      <c r="AY81" t="e">
        <f>AND('PROG FORMACIÓN TITULADA'!W486,"AAAAAH92/zI=")</f>
        <v>#VALUE!</v>
      </c>
      <c r="AZ81" t="e">
        <f>AND('PROG FORMACIÓN TITULADA'!X486,"AAAAAH92/zM=")</f>
        <v>#VALUE!</v>
      </c>
      <c r="BA81" t="e">
        <f>AND('PROG FORMACIÓN TITULADA'!Y486,"AAAAAH92/zQ=")</f>
        <v>#VALUE!</v>
      </c>
      <c r="BB81" t="e">
        <f>AND('PROG FORMACIÓN TITULADA'!Z486,"AAAAAH92/zU=")</f>
        <v>#VALUE!</v>
      </c>
      <c r="BC81">
        <f>IF('PROG FORMACIÓN TITULADA'!487:487,"AAAAAH92/zY=",0)</f>
        <v>0</v>
      </c>
      <c r="BD81" t="e">
        <f>AND('PROG FORMACIÓN TITULADA'!A487,"AAAAAH92/zc=")</f>
        <v>#VALUE!</v>
      </c>
      <c r="BE81" t="e">
        <f>AND('PROG FORMACIÓN TITULADA'!B487,"AAAAAH92/zg=")</f>
        <v>#VALUE!</v>
      </c>
      <c r="BF81" t="e">
        <f>AND('PROG FORMACIÓN TITULADA'!C487,"AAAAAH92/zk=")</f>
        <v>#VALUE!</v>
      </c>
      <c r="BG81" t="e">
        <f>AND('PROG FORMACIÓN TITULADA'!D487,"AAAAAH92/zo=")</f>
        <v>#VALUE!</v>
      </c>
      <c r="BH81" t="e">
        <f>AND('PROG FORMACIÓN TITULADA'!E487,"AAAAAH92/zs=")</f>
        <v>#VALUE!</v>
      </c>
      <c r="BI81" t="e">
        <f>AND('PROG FORMACIÓN TITULADA'!F487,"AAAAAH92/zw=")</f>
        <v>#VALUE!</v>
      </c>
      <c r="BJ81" t="e">
        <f>AND('PROG FORMACIÓN TITULADA'!G487,"AAAAAH92/z0=")</f>
        <v>#VALUE!</v>
      </c>
      <c r="BK81" t="e">
        <f>AND('PROG FORMACIÓN TITULADA'!H487,"AAAAAH92/z4=")</f>
        <v>#VALUE!</v>
      </c>
      <c r="BL81" t="e">
        <f>AND('PROG FORMACIÓN TITULADA'!I487,"AAAAAH92/z8=")</f>
        <v>#VALUE!</v>
      </c>
      <c r="BM81" t="e">
        <f>AND('PROG FORMACIÓN TITULADA'!J487,"AAAAAH92/0A=")</f>
        <v>#VALUE!</v>
      </c>
      <c r="BN81" t="e">
        <f>AND('PROG FORMACIÓN TITULADA'!K487,"AAAAAH92/0E=")</f>
        <v>#VALUE!</v>
      </c>
      <c r="BO81" t="e">
        <f>AND('PROG FORMACIÓN TITULADA'!L487,"AAAAAH92/0I=")</f>
        <v>#VALUE!</v>
      </c>
      <c r="BP81" t="e">
        <f>AND('PROG FORMACIÓN TITULADA'!M487,"AAAAAH92/0M=")</f>
        <v>#VALUE!</v>
      </c>
      <c r="BQ81" t="e">
        <f>AND('PROG FORMACIÓN TITULADA'!N487,"AAAAAH92/0Q=")</f>
        <v>#VALUE!</v>
      </c>
      <c r="BR81" t="e">
        <f>AND('PROG FORMACIÓN TITULADA'!O487,"AAAAAH92/0U=")</f>
        <v>#VALUE!</v>
      </c>
      <c r="BS81" t="e">
        <f>AND('PROG FORMACIÓN TITULADA'!P487,"AAAAAH92/0Y=")</f>
        <v>#VALUE!</v>
      </c>
      <c r="BT81" t="e">
        <f>AND('PROG FORMACIÓN TITULADA'!Q487,"AAAAAH92/0c=")</f>
        <v>#VALUE!</v>
      </c>
      <c r="BU81" t="e">
        <f>AND('PROG FORMACIÓN TITULADA'!R487,"AAAAAH92/0g=")</f>
        <v>#VALUE!</v>
      </c>
      <c r="BV81" t="e">
        <f>AND('PROG FORMACIÓN TITULADA'!S487,"AAAAAH92/0k=")</f>
        <v>#VALUE!</v>
      </c>
      <c r="BW81" t="e">
        <f>AND('PROG FORMACIÓN TITULADA'!T487,"AAAAAH92/0o=")</f>
        <v>#VALUE!</v>
      </c>
      <c r="BX81" t="e">
        <f>AND('PROG FORMACIÓN TITULADA'!U487,"AAAAAH92/0s=")</f>
        <v>#VALUE!</v>
      </c>
      <c r="BY81" t="e">
        <f>AND('PROG FORMACIÓN TITULADA'!V487,"AAAAAH92/0w=")</f>
        <v>#VALUE!</v>
      </c>
      <c r="BZ81" t="e">
        <f>AND('PROG FORMACIÓN TITULADA'!W487,"AAAAAH92/00=")</f>
        <v>#VALUE!</v>
      </c>
      <c r="CA81" t="e">
        <f>AND('PROG FORMACIÓN TITULADA'!X487,"AAAAAH92/04=")</f>
        <v>#VALUE!</v>
      </c>
      <c r="CB81" t="e">
        <f>AND('PROG FORMACIÓN TITULADA'!Y487,"AAAAAH92/08=")</f>
        <v>#VALUE!</v>
      </c>
      <c r="CC81" t="e">
        <f>AND('PROG FORMACIÓN TITULADA'!Z487,"AAAAAH92/1A=")</f>
        <v>#VALUE!</v>
      </c>
      <c r="CD81">
        <f>IF('PROG FORMACIÓN TITULADA'!488:488,"AAAAAH92/1E=",0)</f>
        <v>0</v>
      </c>
      <c r="CE81" t="e">
        <f>AND('PROG FORMACIÓN TITULADA'!A488,"AAAAAH92/1I=")</f>
        <v>#VALUE!</v>
      </c>
      <c r="CF81" t="e">
        <f>AND('PROG FORMACIÓN TITULADA'!B488,"AAAAAH92/1M=")</f>
        <v>#VALUE!</v>
      </c>
      <c r="CG81" t="e">
        <f>AND('PROG FORMACIÓN TITULADA'!C488,"AAAAAH92/1Q=")</f>
        <v>#VALUE!</v>
      </c>
      <c r="CH81" t="e">
        <f>AND('PROG FORMACIÓN TITULADA'!D488,"AAAAAH92/1U=")</f>
        <v>#VALUE!</v>
      </c>
      <c r="CI81" t="e">
        <f>AND('PROG FORMACIÓN TITULADA'!E488,"AAAAAH92/1Y=")</f>
        <v>#VALUE!</v>
      </c>
      <c r="CJ81" t="e">
        <f>AND('PROG FORMACIÓN TITULADA'!F488,"AAAAAH92/1c=")</f>
        <v>#VALUE!</v>
      </c>
      <c r="CK81" t="e">
        <f>AND('PROG FORMACIÓN TITULADA'!G488,"AAAAAH92/1g=")</f>
        <v>#VALUE!</v>
      </c>
      <c r="CL81" t="e">
        <f>AND('PROG FORMACIÓN TITULADA'!H488,"AAAAAH92/1k=")</f>
        <v>#VALUE!</v>
      </c>
      <c r="CM81" t="e">
        <f>AND('PROG FORMACIÓN TITULADA'!I488,"AAAAAH92/1o=")</f>
        <v>#VALUE!</v>
      </c>
      <c r="CN81" t="e">
        <f>AND('PROG FORMACIÓN TITULADA'!J488,"AAAAAH92/1s=")</f>
        <v>#VALUE!</v>
      </c>
      <c r="CO81" t="e">
        <f>AND('PROG FORMACIÓN TITULADA'!K488,"AAAAAH92/1w=")</f>
        <v>#VALUE!</v>
      </c>
      <c r="CP81" t="e">
        <f>AND('PROG FORMACIÓN TITULADA'!L488,"AAAAAH92/10=")</f>
        <v>#VALUE!</v>
      </c>
      <c r="CQ81" t="e">
        <f>AND('PROG FORMACIÓN TITULADA'!M488,"AAAAAH92/14=")</f>
        <v>#VALUE!</v>
      </c>
      <c r="CR81" t="e">
        <f>AND('PROG FORMACIÓN TITULADA'!N488,"AAAAAH92/18=")</f>
        <v>#VALUE!</v>
      </c>
      <c r="CS81" t="e">
        <f>AND('PROG FORMACIÓN TITULADA'!O488,"AAAAAH92/2A=")</f>
        <v>#VALUE!</v>
      </c>
      <c r="CT81" t="e">
        <f>AND('PROG FORMACIÓN TITULADA'!P488,"AAAAAH92/2E=")</f>
        <v>#VALUE!</v>
      </c>
      <c r="CU81" t="e">
        <f>AND('PROG FORMACIÓN TITULADA'!Q488,"AAAAAH92/2I=")</f>
        <v>#VALUE!</v>
      </c>
      <c r="CV81" t="e">
        <f>AND('PROG FORMACIÓN TITULADA'!R488,"AAAAAH92/2M=")</f>
        <v>#VALUE!</v>
      </c>
      <c r="CW81" t="e">
        <f>AND('PROG FORMACIÓN TITULADA'!S488,"AAAAAH92/2Q=")</f>
        <v>#VALUE!</v>
      </c>
      <c r="CX81" t="e">
        <f>AND('PROG FORMACIÓN TITULADA'!T488,"AAAAAH92/2U=")</f>
        <v>#VALUE!</v>
      </c>
      <c r="CY81" t="e">
        <f>AND('PROG FORMACIÓN TITULADA'!U488,"AAAAAH92/2Y=")</f>
        <v>#VALUE!</v>
      </c>
      <c r="CZ81" t="e">
        <f>AND('PROG FORMACIÓN TITULADA'!V488,"AAAAAH92/2c=")</f>
        <v>#VALUE!</v>
      </c>
      <c r="DA81" t="e">
        <f>AND('PROG FORMACIÓN TITULADA'!W488,"AAAAAH92/2g=")</f>
        <v>#VALUE!</v>
      </c>
      <c r="DB81" t="e">
        <f>AND('PROG FORMACIÓN TITULADA'!X488,"AAAAAH92/2k=")</f>
        <v>#VALUE!</v>
      </c>
      <c r="DC81" t="e">
        <f>AND('PROG FORMACIÓN TITULADA'!Y488,"AAAAAH92/2o=")</f>
        <v>#VALUE!</v>
      </c>
      <c r="DD81" t="e">
        <f>AND('PROG FORMACIÓN TITULADA'!Z488,"AAAAAH92/2s=")</f>
        <v>#VALUE!</v>
      </c>
      <c r="DE81">
        <f>IF('PROG FORMACIÓN TITULADA'!489:489,"AAAAAH92/2w=",0)</f>
        <v>0</v>
      </c>
      <c r="DF81" t="e">
        <f>AND('PROG FORMACIÓN TITULADA'!A489,"AAAAAH92/20=")</f>
        <v>#VALUE!</v>
      </c>
      <c r="DG81" t="e">
        <f>AND('PROG FORMACIÓN TITULADA'!B489,"AAAAAH92/24=")</f>
        <v>#VALUE!</v>
      </c>
      <c r="DH81" t="e">
        <f>AND('PROG FORMACIÓN TITULADA'!C489,"AAAAAH92/28=")</f>
        <v>#VALUE!</v>
      </c>
      <c r="DI81" t="e">
        <f>AND('PROG FORMACIÓN TITULADA'!D489,"AAAAAH92/3A=")</f>
        <v>#VALUE!</v>
      </c>
      <c r="DJ81" t="e">
        <f>AND('PROG FORMACIÓN TITULADA'!E489,"AAAAAH92/3E=")</f>
        <v>#VALUE!</v>
      </c>
      <c r="DK81" t="e">
        <f>AND('PROG FORMACIÓN TITULADA'!F489,"AAAAAH92/3I=")</f>
        <v>#VALUE!</v>
      </c>
      <c r="DL81" t="e">
        <f>AND('PROG FORMACIÓN TITULADA'!G489,"AAAAAH92/3M=")</f>
        <v>#VALUE!</v>
      </c>
      <c r="DM81" t="e">
        <f>AND('PROG FORMACIÓN TITULADA'!H489,"AAAAAH92/3Q=")</f>
        <v>#VALUE!</v>
      </c>
      <c r="DN81" t="e">
        <f>AND('PROG FORMACIÓN TITULADA'!I489,"AAAAAH92/3U=")</f>
        <v>#VALUE!</v>
      </c>
      <c r="DO81" t="e">
        <f>AND('PROG FORMACIÓN TITULADA'!J489,"AAAAAH92/3Y=")</f>
        <v>#VALUE!</v>
      </c>
      <c r="DP81" t="e">
        <f>AND('PROG FORMACIÓN TITULADA'!K489,"AAAAAH92/3c=")</f>
        <v>#VALUE!</v>
      </c>
      <c r="DQ81" t="e">
        <f>AND('PROG FORMACIÓN TITULADA'!L489,"AAAAAH92/3g=")</f>
        <v>#VALUE!</v>
      </c>
      <c r="DR81" t="e">
        <f>AND('PROG FORMACIÓN TITULADA'!M489,"AAAAAH92/3k=")</f>
        <v>#VALUE!</v>
      </c>
      <c r="DS81" t="e">
        <f>AND('PROG FORMACIÓN TITULADA'!N489,"AAAAAH92/3o=")</f>
        <v>#VALUE!</v>
      </c>
      <c r="DT81" t="e">
        <f>AND('PROG FORMACIÓN TITULADA'!O489,"AAAAAH92/3s=")</f>
        <v>#VALUE!</v>
      </c>
      <c r="DU81" t="e">
        <f>AND('PROG FORMACIÓN TITULADA'!P489,"AAAAAH92/3w=")</f>
        <v>#VALUE!</v>
      </c>
      <c r="DV81" t="e">
        <f>AND('PROG FORMACIÓN TITULADA'!Q489,"AAAAAH92/30=")</f>
        <v>#VALUE!</v>
      </c>
      <c r="DW81" t="e">
        <f>AND('PROG FORMACIÓN TITULADA'!R489,"AAAAAH92/34=")</f>
        <v>#VALUE!</v>
      </c>
      <c r="DX81" t="e">
        <f>AND('PROG FORMACIÓN TITULADA'!S489,"AAAAAH92/38=")</f>
        <v>#VALUE!</v>
      </c>
      <c r="DY81" t="e">
        <f>AND('PROG FORMACIÓN TITULADA'!T489,"AAAAAH92/4A=")</f>
        <v>#VALUE!</v>
      </c>
      <c r="DZ81" t="e">
        <f>AND('PROG FORMACIÓN TITULADA'!U489,"AAAAAH92/4E=")</f>
        <v>#VALUE!</v>
      </c>
      <c r="EA81" t="e">
        <f>AND('PROG FORMACIÓN TITULADA'!V489,"AAAAAH92/4I=")</f>
        <v>#VALUE!</v>
      </c>
      <c r="EB81" t="e">
        <f>AND('PROG FORMACIÓN TITULADA'!W489,"AAAAAH92/4M=")</f>
        <v>#VALUE!</v>
      </c>
      <c r="EC81" t="e">
        <f>AND('PROG FORMACIÓN TITULADA'!X489,"AAAAAH92/4Q=")</f>
        <v>#VALUE!</v>
      </c>
      <c r="ED81" t="e">
        <f>AND('PROG FORMACIÓN TITULADA'!Y489,"AAAAAH92/4U=")</f>
        <v>#VALUE!</v>
      </c>
      <c r="EE81" t="e">
        <f>AND('PROG FORMACIÓN TITULADA'!Z489,"AAAAAH92/4Y=")</f>
        <v>#VALUE!</v>
      </c>
      <c r="EF81">
        <f>IF('PROG FORMACIÓN TITULADA'!490:490,"AAAAAH92/4c=",0)</f>
        <v>0</v>
      </c>
      <c r="EG81" t="e">
        <f>AND('PROG FORMACIÓN TITULADA'!A490,"AAAAAH92/4g=")</f>
        <v>#VALUE!</v>
      </c>
      <c r="EH81" t="e">
        <f>AND('PROG FORMACIÓN TITULADA'!B490,"AAAAAH92/4k=")</f>
        <v>#VALUE!</v>
      </c>
      <c r="EI81" t="e">
        <f>AND('PROG FORMACIÓN TITULADA'!C490,"AAAAAH92/4o=")</f>
        <v>#VALUE!</v>
      </c>
      <c r="EJ81" t="e">
        <f>AND('PROG FORMACIÓN TITULADA'!D490,"AAAAAH92/4s=")</f>
        <v>#VALUE!</v>
      </c>
      <c r="EK81" t="e">
        <f>AND('PROG FORMACIÓN TITULADA'!E490,"AAAAAH92/4w=")</f>
        <v>#VALUE!</v>
      </c>
      <c r="EL81" t="e">
        <f>AND('PROG FORMACIÓN TITULADA'!F490,"AAAAAH92/40=")</f>
        <v>#VALUE!</v>
      </c>
      <c r="EM81" t="e">
        <f>AND('PROG FORMACIÓN TITULADA'!G490,"AAAAAH92/44=")</f>
        <v>#VALUE!</v>
      </c>
      <c r="EN81" t="e">
        <f>AND('PROG FORMACIÓN TITULADA'!H490,"AAAAAH92/48=")</f>
        <v>#VALUE!</v>
      </c>
      <c r="EO81" t="e">
        <f>AND('PROG FORMACIÓN TITULADA'!I490,"AAAAAH92/5A=")</f>
        <v>#VALUE!</v>
      </c>
      <c r="EP81" t="e">
        <f>AND('PROG FORMACIÓN TITULADA'!J490,"AAAAAH92/5E=")</f>
        <v>#VALUE!</v>
      </c>
      <c r="EQ81" t="e">
        <f>AND('PROG FORMACIÓN TITULADA'!K490,"AAAAAH92/5I=")</f>
        <v>#VALUE!</v>
      </c>
      <c r="ER81" t="e">
        <f>AND('PROG FORMACIÓN TITULADA'!L490,"AAAAAH92/5M=")</f>
        <v>#VALUE!</v>
      </c>
      <c r="ES81" t="e">
        <f>AND('PROG FORMACIÓN TITULADA'!M490,"AAAAAH92/5Q=")</f>
        <v>#VALUE!</v>
      </c>
      <c r="ET81" t="e">
        <f>AND('PROG FORMACIÓN TITULADA'!N490,"AAAAAH92/5U=")</f>
        <v>#VALUE!</v>
      </c>
      <c r="EU81" t="e">
        <f>AND('PROG FORMACIÓN TITULADA'!O490,"AAAAAH92/5Y=")</f>
        <v>#VALUE!</v>
      </c>
      <c r="EV81" t="e">
        <f>AND('PROG FORMACIÓN TITULADA'!P490,"AAAAAH92/5c=")</f>
        <v>#VALUE!</v>
      </c>
      <c r="EW81" t="e">
        <f>AND('PROG FORMACIÓN TITULADA'!Q490,"AAAAAH92/5g=")</f>
        <v>#VALUE!</v>
      </c>
      <c r="EX81" t="e">
        <f>AND('PROG FORMACIÓN TITULADA'!R490,"AAAAAH92/5k=")</f>
        <v>#VALUE!</v>
      </c>
      <c r="EY81" t="e">
        <f>AND('PROG FORMACIÓN TITULADA'!S490,"AAAAAH92/5o=")</f>
        <v>#VALUE!</v>
      </c>
      <c r="EZ81" t="e">
        <f>AND('PROG FORMACIÓN TITULADA'!T490,"AAAAAH92/5s=")</f>
        <v>#VALUE!</v>
      </c>
      <c r="FA81" t="e">
        <f>AND('PROG FORMACIÓN TITULADA'!U490,"AAAAAH92/5w=")</f>
        <v>#VALUE!</v>
      </c>
      <c r="FB81" t="e">
        <f>AND('PROG FORMACIÓN TITULADA'!V490,"AAAAAH92/50=")</f>
        <v>#VALUE!</v>
      </c>
      <c r="FC81" t="e">
        <f>AND('PROG FORMACIÓN TITULADA'!W490,"AAAAAH92/54=")</f>
        <v>#VALUE!</v>
      </c>
      <c r="FD81" t="e">
        <f>AND('PROG FORMACIÓN TITULADA'!X490,"AAAAAH92/58=")</f>
        <v>#VALUE!</v>
      </c>
      <c r="FE81" t="e">
        <f>AND('PROG FORMACIÓN TITULADA'!Y490,"AAAAAH92/6A=")</f>
        <v>#VALUE!</v>
      </c>
      <c r="FF81" t="e">
        <f>AND('PROG FORMACIÓN TITULADA'!Z490,"AAAAAH92/6E=")</f>
        <v>#VALUE!</v>
      </c>
      <c r="FG81">
        <f>IF('PROG FORMACIÓN TITULADA'!491:491,"AAAAAH92/6I=",0)</f>
        <v>0</v>
      </c>
      <c r="FH81" t="e">
        <f>AND('PROG FORMACIÓN TITULADA'!A491,"AAAAAH92/6M=")</f>
        <v>#VALUE!</v>
      </c>
      <c r="FI81" t="e">
        <f>AND('PROG FORMACIÓN TITULADA'!B491,"AAAAAH92/6Q=")</f>
        <v>#VALUE!</v>
      </c>
      <c r="FJ81" t="e">
        <f>AND('PROG FORMACIÓN TITULADA'!C491,"AAAAAH92/6U=")</f>
        <v>#VALUE!</v>
      </c>
      <c r="FK81" t="e">
        <f>AND('PROG FORMACIÓN TITULADA'!D491,"AAAAAH92/6Y=")</f>
        <v>#VALUE!</v>
      </c>
      <c r="FL81" t="e">
        <f>AND('PROG FORMACIÓN TITULADA'!E491,"AAAAAH92/6c=")</f>
        <v>#VALUE!</v>
      </c>
      <c r="FM81" t="e">
        <f>AND('PROG FORMACIÓN TITULADA'!F491,"AAAAAH92/6g=")</f>
        <v>#VALUE!</v>
      </c>
      <c r="FN81" t="e">
        <f>AND('PROG FORMACIÓN TITULADA'!G491,"AAAAAH92/6k=")</f>
        <v>#VALUE!</v>
      </c>
      <c r="FO81" t="e">
        <f>AND('PROG FORMACIÓN TITULADA'!H491,"AAAAAH92/6o=")</f>
        <v>#VALUE!</v>
      </c>
      <c r="FP81" t="e">
        <f>AND('PROG FORMACIÓN TITULADA'!I491,"AAAAAH92/6s=")</f>
        <v>#VALUE!</v>
      </c>
      <c r="FQ81" t="e">
        <f>AND('PROG FORMACIÓN TITULADA'!J491,"AAAAAH92/6w=")</f>
        <v>#VALUE!</v>
      </c>
      <c r="FR81" t="e">
        <f>AND('PROG FORMACIÓN TITULADA'!K491,"AAAAAH92/60=")</f>
        <v>#VALUE!</v>
      </c>
      <c r="FS81" t="e">
        <f>AND('PROG FORMACIÓN TITULADA'!L491,"AAAAAH92/64=")</f>
        <v>#VALUE!</v>
      </c>
      <c r="FT81" t="e">
        <f>AND('PROG FORMACIÓN TITULADA'!M491,"AAAAAH92/68=")</f>
        <v>#VALUE!</v>
      </c>
      <c r="FU81" t="e">
        <f>AND('PROG FORMACIÓN TITULADA'!N491,"AAAAAH92/7A=")</f>
        <v>#VALUE!</v>
      </c>
      <c r="FV81" t="e">
        <f>AND('PROG FORMACIÓN TITULADA'!O491,"AAAAAH92/7E=")</f>
        <v>#VALUE!</v>
      </c>
      <c r="FW81" t="e">
        <f>AND('PROG FORMACIÓN TITULADA'!P491,"AAAAAH92/7I=")</f>
        <v>#VALUE!</v>
      </c>
      <c r="FX81" t="e">
        <f>AND('PROG FORMACIÓN TITULADA'!Q491,"AAAAAH92/7M=")</f>
        <v>#VALUE!</v>
      </c>
      <c r="FY81" t="e">
        <f>AND('PROG FORMACIÓN TITULADA'!R491,"AAAAAH92/7Q=")</f>
        <v>#VALUE!</v>
      </c>
      <c r="FZ81" t="e">
        <f>AND('PROG FORMACIÓN TITULADA'!S491,"AAAAAH92/7U=")</f>
        <v>#VALUE!</v>
      </c>
      <c r="GA81" t="e">
        <f>AND('PROG FORMACIÓN TITULADA'!T491,"AAAAAH92/7Y=")</f>
        <v>#VALUE!</v>
      </c>
      <c r="GB81" t="e">
        <f>AND('PROG FORMACIÓN TITULADA'!U491,"AAAAAH92/7c=")</f>
        <v>#VALUE!</v>
      </c>
      <c r="GC81" t="e">
        <f>AND('PROG FORMACIÓN TITULADA'!V491,"AAAAAH92/7g=")</f>
        <v>#VALUE!</v>
      </c>
      <c r="GD81" t="e">
        <f>AND('PROG FORMACIÓN TITULADA'!W491,"AAAAAH92/7k=")</f>
        <v>#VALUE!</v>
      </c>
      <c r="GE81" t="e">
        <f>AND('PROG FORMACIÓN TITULADA'!X491,"AAAAAH92/7o=")</f>
        <v>#VALUE!</v>
      </c>
      <c r="GF81" t="e">
        <f>AND('PROG FORMACIÓN TITULADA'!Y491,"AAAAAH92/7s=")</f>
        <v>#VALUE!</v>
      </c>
      <c r="GG81" t="e">
        <f>AND('PROG FORMACIÓN TITULADA'!Z491,"AAAAAH92/7w=")</f>
        <v>#VALUE!</v>
      </c>
      <c r="GH81">
        <f>IF('PROG FORMACIÓN TITULADA'!492:492,"AAAAAH92/70=",0)</f>
        <v>0</v>
      </c>
      <c r="GI81" t="e">
        <f>AND('PROG FORMACIÓN TITULADA'!A492,"AAAAAH92/74=")</f>
        <v>#VALUE!</v>
      </c>
      <c r="GJ81" t="e">
        <f>AND('PROG FORMACIÓN TITULADA'!B492,"AAAAAH92/78=")</f>
        <v>#VALUE!</v>
      </c>
      <c r="GK81" t="e">
        <f>AND('PROG FORMACIÓN TITULADA'!C492,"AAAAAH92/8A=")</f>
        <v>#VALUE!</v>
      </c>
      <c r="GL81" t="e">
        <f>AND('PROG FORMACIÓN TITULADA'!D492,"AAAAAH92/8E=")</f>
        <v>#VALUE!</v>
      </c>
      <c r="GM81" t="e">
        <f>AND('PROG FORMACIÓN TITULADA'!E492,"AAAAAH92/8I=")</f>
        <v>#VALUE!</v>
      </c>
      <c r="GN81" t="e">
        <f>AND('PROG FORMACIÓN TITULADA'!F492,"AAAAAH92/8M=")</f>
        <v>#VALUE!</v>
      </c>
      <c r="GO81" t="e">
        <f>AND('PROG FORMACIÓN TITULADA'!G492,"AAAAAH92/8Q=")</f>
        <v>#VALUE!</v>
      </c>
      <c r="GP81" t="e">
        <f>AND('PROG FORMACIÓN TITULADA'!H492,"AAAAAH92/8U=")</f>
        <v>#VALUE!</v>
      </c>
      <c r="GQ81" t="e">
        <f>AND('PROG FORMACIÓN TITULADA'!I492,"AAAAAH92/8Y=")</f>
        <v>#VALUE!</v>
      </c>
      <c r="GR81" t="e">
        <f>AND('PROG FORMACIÓN TITULADA'!J492,"AAAAAH92/8c=")</f>
        <v>#VALUE!</v>
      </c>
      <c r="GS81" t="e">
        <f>AND('PROG FORMACIÓN TITULADA'!K492,"AAAAAH92/8g=")</f>
        <v>#VALUE!</v>
      </c>
      <c r="GT81" t="e">
        <f>AND('PROG FORMACIÓN TITULADA'!L492,"AAAAAH92/8k=")</f>
        <v>#VALUE!</v>
      </c>
      <c r="GU81" t="e">
        <f>AND('PROG FORMACIÓN TITULADA'!M492,"AAAAAH92/8o=")</f>
        <v>#VALUE!</v>
      </c>
      <c r="GV81" t="e">
        <f>AND('PROG FORMACIÓN TITULADA'!N492,"AAAAAH92/8s=")</f>
        <v>#VALUE!</v>
      </c>
      <c r="GW81" t="e">
        <f>AND('PROG FORMACIÓN TITULADA'!O492,"AAAAAH92/8w=")</f>
        <v>#VALUE!</v>
      </c>
      <c r="GX81" t="e">
        <f>AND('PROG FORMACIÓN TITULADA'!P492,"AAAAAH92/80=")</f>
        <v>#VALUE!</v>
      </c>
      <c r="GY81" t="e">
        <f>AND('PROG FORMACIÓN TITULADA'!Q492,"AAAAAH92/84=")</f>
        <v>#VALUE!</v>
      </c>
      <c r="GZ81" t="e">
        <f>AND('PROG FORMACIÓN TITULADA'!R492,"AAAAAH92/88=")</f>
        <v>#VALUE!</v>
      </c>
      <c r="HA81" t="e">
        <f>AND('PROG FORMACIÓN TITULADA'!S492,"AAAAAH92/9A=")</f>
        <v>#VALUE!</v>
      </c>
      <c r="HB81" t="e">
        <f>AND('PROG FORMACIÓN TITULADA'!T492,"AAAAAH92/9E=")</f>
        <v>#VALUE!</v>
      </c>
      <c r="HC81" t="e">
        <f>AND('PROG FORMACIÓN TITULADA'!U492,"AAAAAH92/9I=")</f>
        <v>#VALUE!</v>
      </c>
      <c r="HD81" t="e">
        <f>AND('PROG FORMACIÓN TITULADA'!V492,"AAAAAH92/9M=")</f>
        <v>#VALUE!</v>
      </c>
      <c r="HE81" t="e">
        <f>AND('PROG FORMACIÓN TITULADA'!W492,"AAAAAH92/9Q=")</f>
        <v>#VALUE!</v>
      </c>
      <c r="HF81" t="e">
        <f>AND('PROG FORMACIÓN TITULADA'!X492,"AAAAAH92/9U=")</f>
        <v>#VALUE!</v>
      </c>
      <c r="HG81" t="e">
        <f>AND('PROG FORMACIÓN TITULADA'!Y492,"AAAAAH92/9Y=")</f>
        <v>#VALUE!</v>
      </c>
      <c r="HH81" t="e">
        <f>AND('PROG FORMACIÓN TITULADA'!Z492,"AAAAAH92/9c=")</f>
        <v>#VALUE!</v>
      </c>
      <c r="HI81">
        <f>IF('PROG FORMACIÓN TITULADA'!493:493,"AAAAAH92/9g=",0)</f>
        <v>0</v>
      </c>
      <c r="HJ81" t="e">
        <f>AND('PROG FORMACIÓN TITULADA'!A493,"AAAAAH92/9k=")</f>
        <v>#VALUE!</v>
      </c>
      <c r="HK81" t="e">
        <f>AND('PROG FORMACIÓN TITULADA'!B493,"AAAAAH92/9o=")</f>
        <v>#VALUE!</v>
      </c>
      <c r="HL81" t="e">
        <f>AND('PROG FORMACIÓN TITULADA'!C493,"AAAAAH92/9s=")</f>
        <v>#VALUE!</v>
      </c>
      <c r="HM81" t="e">
        <f>AND('PROG FORMACIÓN TITULADA'!D493,"AAAAAH92/9w=")</f>
        <v>#VALUE!</v>
      </c>
      <c r="HN81" t="e">
        <f>AND('PROG FORMACIÓN TITULADA'!E493,"AAAAAH92/90=")</f>
        <v>#VALUE!</v>
      </c>
      <c r="HO81" t="e">
        <f>AND('PROG FORMACIÓN TITULADA'!F493,"AAAAAH92/94=")</f>
        <v>#VALUE!</v>
      </c>
      <c r="HP81" t="e">
        <f>AND('PROG FORMACIÓN TITULADA'!G493,"AAAAAH92/98=")</f>
        <v>#VALUE!</v>
      </c>
      <c r="HQ81" t="e">
        <f>AND('PROG FORMACIÓN TITULADA'!H493,"AAAAAH92/+A=")</f>
        <v>#VALUE!</v>
      </c>
      <c r="HR81" t="e">
        <f>AND('PROG FORMACIÓN TITULADA'!I493,"AAAAAH92/+E=")</f>
        <v>#VALUE!</v>
      </c>
      <c r="HS81" t="e">
        <f>AND('PROG FORMACIÓN TITULADA'!J493,"AAAAAH92/+I=")</f>
        <v>#VALUE!</v>
      </c>
      <c r="HT81" t="e">
        <f>AND('PROG FORMACIÓN TITULADA'!K493,"AAAAAH92/+M=")</f>
        <v>#VALUE!</v>
      </c>
      <c r="HU81" t="e">
        <f>AND('PROG FORMACIÓN TITULADA'!L493,"AAAAAH92/+Q=")</f>
        <v>#VALUE!</v>
      </c>
      <c r="HV81" t="e">
        <f>AND('PROG FORMACIÓN TITULADA'!M493,"AAAAAH92/+U=")</f>
        <v>#VALUE!</v>
      </c>
      <c r="HW81" t="e">
        <f>AND('PROG FORMACIÓN TITULADA'!N493,"AAAAAH92/+Y=")</f>
        <v>#VALUE!</v>
      </c>
      <c r="HX81" t="e">
        <f>AND('PROG FORMACIÓN TITULADA'!O493,"AAAAAH92/+c=")</f>
        <v>#VALUE!</v>
      </c>
      <c r="HY81" t="e">
        <f>AND('PROG FORMACIÓN TITULADA'!P493,"AAAAAH92/+g=")</f>
        <v>#VALUE!</v>
      </c>
      <c r="HZ81" t="e">
        <f>AND('PROG FORMACIÓN TITULADA'!Q493,"AAAAAH92/+k=")</f>
        <v>#VALUE!</v>
      </c>
      <c r="IA81" t="e">
        <f>AND('PROG FORMACIÓN TITULADA'!R493,"AAAAAH92/+o=")</f>
        <v>#VALUE!</v>
      </c>
      <c r="IB81" t="e">
        <f>AND('PROG FORMACIÓN TITULADA'!S493,"AAAAAH92/+s=")</f>
        <v>#VALUE!</v>
      </c>
      <c r="IC81" t="e">
        <f>AND('PROG FORMACIÓN TITULADA'!T493,"AAAAAH92/+w=")</f>
        <v>#VALUE!</v>
      </c>
      <c r="ID81" t="e">
        <f>AND('PROG FORMACIÓN TITULADA'!U493,"AAAAAH92/+0=")</f>
        <v>#VALUE!</v>
      </c>
      <c r="IE81" t="e">
        <f>AND('PROG FORMACIÓN TITULADA'!V493,"AAAAAH92/+4=")</f>
        <v>#VALUE!</v>
      </c>
      <c r="IF81" t="e">
        <f>AND('PROG FORMACIÓN TITULADA'!W493,"AAAAAH92/+8=")</f>
        <v>#VALUE!</v>
      </c>
      <c r="IG81" t="e">
        <f>AND('PROG FORMACIÓN TITULADA'!X493,"AAAAAH92//A=")</f>
        <v>#VALUE!</v>
      </c>
      <c r="IH81" t="e">
        <f>AND('PROG FORMACIÓN TITULADA'!Y493,"AAAAAH92//E=")</f>
        <v>#VALUE!</v>
      </c>
      <c r="II81" t="e">
        <f>AND('PROG FORMACIÓN TITULADA'!Z493,"AAAAAH92//I=")</f>
        <v>#VALUE!</v>
      </c>
      <c r="IJ81">
        <f>IF('PROG FORMACIÓN TITULADA'!494:494,"AAAAAH92//M=",0)</f>
        <v>0</v>
      </c>
      <c r="IK81" t="e">
        <f>AND('PROG FORMACIÓN TITULADA'!A494,"AAAAAH92//Q=")</f>
        <v>#VALUE!</v>
      </c>
      <c r="IL81" t="e">
        <f>AND('PROG FORMACIÓN TITULADA'!B494,"AAAAAH92//U=")</f>
        <v>#VALUE!</v>
      </c>
      <c r="IM81" t="e">
        <f>AND('PROG FORMACIÓN TITULADA'!C494,"AAAAAH92//Y=")</f>
        <v>#VALUE!</v>
      </c>
      <c r="IN81" t="e">
        <f>AND('PROG FORMACIÓN TITULADA'!D494,"AAAAAH92//c=")</f>
        <v>#VALUE!</v>
      </c>
      <c r="IO81" t="e">
        <f>AND('PROG FORMACIÓN TITULADA'!E494,"AAAAAH92//g=")</f>
        <v>#VALUE!</v>
      </c>
      <c r="IP81" t="e">
        <f>AND('PROG FORMACIÓN TITULADA'!F494,"AAAAAH92//k=")</f>
        <v>#VALUE!</v>
      </c>
      <c r="IQ81" t="e">
        <f>AND('PROG FORMACIÓN TITULADA'!G494,"AAAAAH92//o=")</f>
        <v>#VALUE!</v>
      </c>
      <c r="IR81" t="e">
        <f>AND('PROG FORMACIÓN TITULADA'!H494,"AAAAAH92//s=")</f>
        <v>#VALUE!</v>
      </c>
      <c r="IS81" t="e">
        <f>AND('PROG FORMACIÓN TITULADA'!I494,"AAAAAH92//w=")</f>
        <v>#VALUE!</v>
      </c>
      <c r="IT81" t="e">
        <f>AND('PROG FORMACIÓN TITULADA'!J494,"AAAAAH92//0=")</f>
        <v>#VALUE!</v>
      </c>
      <c r="IU81" t="e">
        <f>AND('PROG FORMACIÓN TITULADA'!K494,"AAAAAH92//4=")</f>
        <v>#VALUE!</v>
      </c>
      <c r="IV81" t="e">
        <f>AND('PROG FORMACIÓN TITULADA'!L494,"AAAAAH92//8=")</f>
        <v>#VALUE!</v>
      </c>
    </row>
    <row r="82" spans="1:256" x14ac:dyDescent="0.2">
      <c r="A82" t="e">
        <f>AND('PROG FORMACIÓN TITULADA'!M494,"AAAAADb8qwA=")</f>
        <v>#VALUE!</v>
      </c>
      <c r="B82" t="e">
        <f>AND('PROG FORMACIÓN TITULADA'!N494,"AAAAADb8qwE=")</f>
        <v>#VALUE!</v>
      </c>
      <c r="C82" t="e">
        <f>AND('PROG FORMACIÓN TITULADA'!O494,"AAAAADb8qwI=")</f>
        <v>#VALUE!</v>
      </c>
      <c r="D82" t="e">
        <f>AND('PROG FORMACIÓN TITULADA'!P494,"AAAAADb8qwM=")</f>
        <v>#VALUE!</v>
      </c>
      <c r="E82" t="e">
        <f>AND('PROG FORMACIÓN TITULADA'!Q494,"AAAAADb8qwQ=")</f>
        <v>#VALUE!</v>
      </c>
      <c r="F82" t="e">
        <f>AND('PROG FORMACIÓN TITULADA'!R494,"AAAAADb8qwU=")</f>
        <v>#VALUE!</v>
      </c>
      <c r="G82" t="e">
        <f>AND('PROG FORMACIÓN TITULADA'!S494,"AAAAADb8qwY=")</f>
        <v>#VALUE!</v>
      </c>
      <c r="H82" t="e">
        <f>AND('PROG FORMACIÓN TITULADA'!T494,"AAAAADb8qwc=")</f>
        <v>#VALUE!</v>
      </c>
      <c r="I82" t="e">
        <f>AND('PROG FORMACIÓN TITULADA'!U494,"AAAAADb8qwg=")</f>
        <v>#VALUE!</v>
      </c>
      <c r="J82" t="e">
        <f>AND('PROG FORMACIÓN TITULADA'!V494,"AAAAADb8qwk=")</f>
        <v>#VALUE!</v>
      </c>
      <c r="K82" t="e">
        <f>AND('PROG FORMACIÓN TITULADA'!W494,"AAAAADb8qwo=")</f>
        <v>#VALUE!</v>
      </c>
      <c r="L82" t="e">
        <f>AND('PROG FORMACIÓN TITULADA'!X494,"AAAAADb8qws=")</f>
        <v>#VALUE!</v>
      </c>
      <c r="M82" t="e">
        <f>AND('PROG FORMACIÓN TITULADA'!Y494,"AAAAADb8qww=")</f>
        <v>#VALUE!</v>
      </c>
      <c r="N82" t="e">
        <f>AND('PROG FORMACIÓN TITULADA'!Z494,"AAAAADb8qw0=")</f>
        <v>#VALUE!</v>
      </c>
      <c r="O82">
        <f>IF('PROG FORMACIÓN TITULADA'!495:495,"AAAAADb8qw4=",0)</f>
        <v>0</v>
      </c>
      <c r="P82" t="e">
        <f>AND('PROG FORMACIÓN TITULADA'!A495,"AAAAADb8qw8=")</f>
        <v>#VALUE!</v>
      </c>
      <c r="Q82" t="e">
        <f>AND('PROG FORMACIÓN TITULADA'!B495,"AAAAADb8qxA=")</f>
        <v>#VALUE!</v>
      </c>
      <c r="R82" t="e">
        <f>AND('PROG FORMACIÓN TITULADA'!C495,"AAAAADb8qxE=")</f>
        <v>#VALUE!</v>
      </c>
      <c r="S82" t="e">
        <f>AND('PROG FORMACIÓN TITULADA'!D495,"AAAAADb8qxI=")</f>
        <v>#VALUE!</v>
      </c>
      <c r="T82" t="e">
        <f>AND('PROG FORMACIÓN TITULADA'!E495,"AAAAADb8qxM=")</f>
        <v>#VALUE!</v>
      </c>
      <c r="U82" t="e">
        <f>AND('PROG FORMACIÓN TITULADA'!F495,"AAAAADb8qxQ=")</f>
        <v>#VALUE!</v>
      </c>
      <c r="V82" t="e">
        <f>AND('PROG FORMACIÓN TITULADA'!G495,"AAAAADb8qxU=")</f>
        <v>#VALUE!</v>
      </c>
      <c r="W82" t="e">
        <f>AND('PROG FORMACIÓN TITULADA'!H495,"AAAAADb8qxY=")</f>
        <v>#VALUE!</v>
      </c>
      <c r="X82" t="e">
        <f>AND('PROG FORMACIÓN TITULADA'!I495,"AAAAADb8qxc=")</f>
        <v>#VALUE!</v>
      </c>
      <c r="Y82" t="e">
        <f>AND('PROG FORMACIÓN TITULADA'!J495,"AAAAADb8qxg=")</f>
        <v>#VALUE!</v>
      </c>
      <c r="Z82" t="e">
        <f>AND('PROG FORMACIÓN TITULADA'!K495,"AAAAADb8qxk=")</f>
        <v>#VALUE!</v>
      </c>
      <c r="AA82" t="e">
        <f>AND('PROG FORMACIÓN TITULADA'!L495,"AAAAADb8qxo=")</f>
        <v>#VALUE!</v>
      </c>
      <c r="AB82" t="e">
        <f>AND('PROG FORMACIÓN TITULADA'!M495,"AAAAADb8qxs=")</f>
        <v>#VALUE!</v>
      </c>
      <c r="AC82" t="e">
        <f>AND('PROG FORMACIÓN TITULADA'!N495,"AAAAADb8qxw=")</f>
        <v>#VALUE!</v>
      </c>
      <c r="AD82" t="e">
        <f>AND('PROG FORMACIÓN TITULADA'!O495,"AAAAADb8qx0=")</f>
        <v>#VALUE!</v>
      </c>
      <c r="AE82" t="e">
        <f>AND('PROG FORMACIÓN TITULADA'!P495,"AAAAADb8qx4=")</f>
        <v>#VALUE!</v>
      </c>
      <c r="AF82" t="e">
        <f>AND('PROG FORMACIÓN TITULADA'!Q495,"AAAAADb8qx8=")</f>
        <v>#VALUE!</v>
      </c>
      <c r="AG82" t="e">
        <f>AND('PROG FORMACIÓN TITULADA'!R495,"AAAAADb8qyA=")</f>
        <v>#VALUE!</v>
      </c>
      <c r="AH82" t="e">
        <f>AND('PROG FORMACIÓN TITULADA'!S495,"AAAAADb8qyE=")</f>
        <v>#VALUE!</v>
      </c>
      <c r="AI82" t="e">
        <f>AND('PROG FORMACIÓN TITULADA'!T495,"AAAAADb8qyI=")</f>
        <v>#VALUE!</v>
      </c>
      <c r="AJ82" t="e">
        <f>AND('PROG FORMACIÓN TITULADA'!U495,"AAAAADb8qyM=")</f>
        <v>#VALUE!</v>
      </c>
      <c r="AK82" t="e">
        <f>AND('PROG FORMACIÓN TITULADA'!V495,"AAAAADb8qyQ=")</f>
        <v>#VALUE!</v>
      </c>
      <c r="AL82" t="e">
        <f>AND('PROG FORMACIÓN TITULADA'!W495,"AAAAADb8qyU=")</f>
        <v>#VALUE!</v>
      </c>
      <c r="AM82" t="e">
        <f>AND('PROG FORMACIÓN TITULADA'!X495,"AAAAADb8qyY=")</f>
        <v>#VALUE!</v>
      </c>
      <c r="AN82" t="e">
        <f>AND('PROG FORMACIÓN TITULADA'!Y495,"AAAAADb8qyc=")</f>
        <v>#VALUE!</v>
      </c>
      <c r="AO82" t="e">
        <f>AND('PROG FORMACIÓN TITULADA'!Z495,"AAAAADb8qyg=")</f>
        <v>#VALUE!</v>
      </c>
      <c r="AP82">
        <f>IF('PROG FORMACIÓN TITULADA'!496:496,"AAAAADb8qyk=",0)</f>
        <v>0</v>
      </c>
      <c r="AQ82" t="e">
        <f>AND('PROG FORMACIÓN TITULADA'!A496,"AAAAADb8qyo=")</f>
        <v>#VALUE!</v>
      </c>
      <c r="AR82" t="e">
        <f>AND('PROG FORMACIÓN TITULADA'!B496,"AAAAADb8qys=")</f>
        <v>#VALUE!</v>
      </c>
      <c r="AS82" t="e">
        <f>AND('PROG FORMACIÓN TITULADA'!C496,"AAAAADb8qyw=")</f>
        <v>#VALUE!</v>
      </c>
      <c r="AT82" t="e">
        <f>AND('PROG FORMACIÓN TITULADA'!D496,"AAAAADb8qy0=")</f>
        <v>#VALUE!</v>
      </c>
      <c r="AU82" t="e">
        <f>AND('PROG FORMACIÓN TITULADA'!E496,"AAAAADb8qy4=")</f>
        <v>#VALUE!</v>
      </c>
      <c r="AV82" t="e">
        <f>AND('PROG FORMACIÓN TITULADA'!F496,"AAAAADb8qy8=")</f>
        <v>#VALUE!</v>
      </c>
      <c r="AW82" t="e">
        <f>AND('PROG FORMACIÓN TITULADA'!G496,"AAAAADb8qzA=")</f>
        <v>#VALUE!</v>
      </c>
      <c r="AX82" t="e">
        <f>AND('PROG FORMACIÓN TITULADA'!H496,"AAAAADb8qzE=")</f>
        <v>#VALUE!</v>
      </c>
      <c r="AY82" t="e">
        <f>AND('PROG FORMACIÓN TITULADA'!I496,"AAAAADb8qzI=")</f>
        <v>#VALUE!</v>
      </c>
      <c r="AZ82" t="e">
        <f>AND('PROG FORMACIÓN TITULADA'!J496,"AAAAADb8qzM=")</f>
        <v>#VALUE!</v>
      </c>
      <c r="BA82" t="e">
        <f>AND('PROG FORMACIÓN TITULADA'!K496,"AAAAADb8qzQ=")</f>
        <v>#VALUE!</v>
      </c>
      <c r="BB82" t="e">
        <f>AND('PROG FORMACIÓN TITULADA'!L496,"AAAAADb8qzU=")</f>
        <v>#VALUE!</v>
      </c>
      <c r="BC82" t="e">
        <f>AND('PROG FORMACIÓN TITULADA'!M496,"AAAAADb8qzY=")</f>
        <v>#VALUE!</v>
      </c>
      <c r="BD82" t="e">
        <f>AND('PROG FORMACIÓN TITULADA'!N496,"AAAAADb8qzc=")</f>
        <v>#VALUE!</v>
      </c>
      <c r="BE82" t="e">
        <f>AND('PROG FORMACIÓN TITULADA'!O496,"AAAAADb8qzg=")</f>
        <v>#VALUE!</v>
      </c>
      <c r="BF82" t="e">
        <f>AND('PROG FORMACIÓN TITULADA'!P496,"AAAAADb8qzk=")</f>
        <v>#VALUE!</v>
      </c>
      <c r="BG82" t="e">
        <f>AND('PROG FORMACIÓN TITULADA'!Q496,"AAAAADb8qzo=")</f>
        <v>#VALUE!</v>
      </c>
      <c r="BH82" t="e">
        <f>AND('PROG FORMACIÓN TITULADA'!R496,"AAAAADb8qzs=")</f>
        <v>#VALUE!</v>
      </c>
      <c r="BI82" t="e">
        <f>AND('PROG FORMACIÓN TITULADA'!S496,"AAAAADb8qzw=")</f>
        <v>#VALUE!</v>
      </c>
      <c r="BJ82" t="e">
        <f>AND('PROG FORMACIÓN TITULADA'!T496,"AAAAADb8qz0=")</f>
        <v>#VALUE!</v>
      </c>
      <c r="BK82" t="e">
        <f>AND('PROG FORMACIÓN TITULADA'!U496,"AAAAADb8qz4=")</f>
        <v>#VALUE!</v>
      </c>
      <c r="BL82" t="e">
        <f>AND('PROG FORMACIÓN TITULADA'!V496,"AAAAADb8qz8=")</f>
        <v>#VALUE!</v>
      </c>
      <c r="BM82" t="e">
        <f>AND('PROG FORMACIÓN TITULADA'!W496,"AAAAADb8q0A=")</f>
        <v>#VALUE!</v>
      </c>
      <c r="BN82" t="e">
        <f>AND('PROG FORMACIÓN TITULADA'!X496,"AAAAADb8q0E=")</f>
        <v>#VALUE!</v>
      </c>
      <c r="BO82" t="e">
        <f>AND('PROG FORMACIÓN TITULADA'!Y496,"AAAAADb8q0I=")</f>
        <v>#VALUE!</v>
      </c>
      <c r="BP82" t="e">
        <f>AND('PROG FORMACIÓN TITULADA'!Z496,"AAAAADb8q0M=")</f>
        <v>#VALUE!</v>
      </c>
      <c r="BQ82">
        <f>IF('PROG FORMACIÓN TITULADA'!497:497,"AAAAADb8q0Q=",0)</f>
        <v>0</v>
      </c>
      <c r="BR82" t="e">
        <f>AND('PROG FORMACIÓN TITULADA'!A497,"AAAAADb8q0U=")</f>
        <v>#VALUE!</v>
      </c>
      <c r="BS82" t="e">
        <f>AND('PROG FORMACIÓN TITULADA'!B497,"AAAAADb8q0Y=")</f>
        <v>#VALUE!</v>
      </c>
      <c r="BT82" t="e">
        <f>AND('PROG FORMACIÓN TITULADA'!C497,"AAAAADb8q0c=")</f>
        <v>#VALUE!</v>
      </c>
      <c r="BU82" t="e">
        <f>AND('PROG FORMACIÓN TITULADA'!D497,"AAAAADb8q0g=")</f>
        <v>#VALUE!</v>
      </c>
      <c r="BV82" t="e">
        <f>AND('PROG FORMACIÓN TITULADA'!E497,"AAAAADb8q0k=")</f>
        <v>#VALUE!</v>
      </c>
      <c r="BW82" t="e">
        <f>AND('PROG FORMACIÓN TITULADA'!F497,"AAAAADb8q0o=")</f>
        <v>#VALUE!</v>
      </c>
      <c r="BX82" t="e">
        <f>AND('PROG FORMACIÓN TITULADA'!G497,"AAAAADb8q0s=")</f>
        <v>#VALUE!</v>
      </c>
      <c r="BY82" t="e">
        <f>AND('PROG FORMACIÓN TITULADA'!H497,"AAAAADb8q0w=")</f>
        <v>#VALUE!</v>
      </c>
      <c r="BZ82" t="e">
        <f>AND('PROG FORMACIÓN TITULADA'!I497,"AAAAADb8q00=")</f>
        <v>#VALUE!</v>
      </c>
      <c r="CA82" t="e">
        <f>AND('PROG FORMACIÓN TITULADA'!J497,"AAAAADb8q04=")</f>
        <v>#VALUE!</v>
      </c>
      <c r="CB82" t="e">
        <f>AND('PROG FORMACIÓN TITULADA'!K497,"AAAAADb8q08=")</f>
        <v>#VALUE!</v>
      </c>
      <c r="CC82" t="e">
        <f>AND('PROG FORMACIÓN TITULADA'!L497,"AAAAADb8q1A=")</f>
        <v>#VALUE!</v>
      </c>
      <c r="CD82" t="e">
        <f>AND('PROG FORMACIÓN TITULADA'!M497,"AAAAADb8q1E=")</f>
        <v>#VALUE!</v>
      </c>
      <c r="CE82" t="e">
        <f>AND('PROG FORMACIÓN TITULADA'!N497,"AAAAADb8q1I=")</f>
        <v>#VALUE!</v>
      </c>
      <c r="CF82" t="e">
        <f>AND('PROG FORMACIÓN TITULADA'!O497,"AAAAADb8q1M=")</f>
        <v>#VALUE!</v>
      </c>
      <c r="CG82" t="e">
        <f>AND('PROG FORMACIÓN TITULADA'!P497,"AAAAADb8q1Q=")</f>
        <v>#VALUE!</v>
      </c>
      <c r="CH82" t="e">
        <f>AND('PROG FORMACIÓN TITULADA'!Q497,"AAAAADb8q1U=")</f>
        <v>#VALUE!</v>
      </c>
      <c r="CI82" t="e">
        <f>AND('PROG FORMACIÓN TITULADA'!R497,"AAAAADb8q1Y=")</f>
        <v>#VALUE!</v>
      </c>
      <c r="CJ82" t="e">
        <f>AND('PROG FORMACIÓN TITULADA'!S497,"AAAAADb8q1c=")</f>
        <v>#VALUE!</v>
      </c>
      <c r="CK82" t="e">
        <f>AND('PROG FORMACIÓN TITULADA'!T497,"AAAAADb8q1g=")</f>
        <v>#VALUE!</v>
      </c>
      <c r="CL82" t="e">
        <f>AND('PROG FORMACIÓN TITULADA'!U497,"AAAAADb8q1k=")</f>
        <v>#VALUE!</v>
      </c>
      <c r="CM82" t="e">
        <f>AND('PROG FORMACIÓN TITULADA'!V497,"AAAAADb8q1o=")</f>
        <v>#VALUE!</v>
      </c>
      <c r="CN82" t="e">
        <f>AND('PROG FORMACIÓN TITULADA'!W497,"AAAAADb8q1s=")</f>
        <v>#VALUE!</v>
      </c>
      <c r="CO82" t="e">
        <f>AND('PROG FORMACIÓN TITULADA'!X497,"AAAAADb8q1w=")</f>
        <v>#VALUE!</v>
      </c>
      <c r="CP82" t="e">
        <f>AND('PROG FORMACIÓN TITULADA'!Y497,"AAAAADb8q10=")</f>
        <v>#VALUE!</v>
      </c>
      <c r="CQ82" t="e">
        <f>AND('PROG FORMACIÓN TITULADA'!Z497,"AAAAADb8q14=")</f>
        <v>#VALUE!</v>
      </c>
      <c r="CR82">
        <f>IF('PROG FORMACIÓN TITULADA'!498:498,"AAAAADb8q18=",0)</f>
        <v>0</v>
      </c>
      <c r="CS82" t="e">
        <f>AND('PROG FORMACIÓN TITULADA'!A498,"AAAAADb8q2A=")</f>
        <v>#VALUE!</v>
      </c>
      <c r="CT82" t="e">
        <f>AND('PROG FORMACIÓN TITULADA'!B498,"AAAAADb8q2E=")</f>
        <v>#VALUE!</v>
      </c>
      <c r="CU82" t="e">
        <f>AND('PROG FORMACIÓN TITULADA'!C498,"AAAAADb8q2I=")</f>
        <v>#VALUE!</v>
      </c>
      <c r="CV82" t="e">
        <f>AND('PROG FORMACIÓN TITULADA'!D498,"AAAAADb8q2M=")</f>
        <v>#VALUE!</v>
      </c>
      <c r="CW82" t="e">
        <f>AND('PROG FORMACIÓN TITULADA'!E498,"AAAAADb8q2Q=")</f>
        <v>#VALUE!</v>
      </c>
      <c r="CX82" t="e">
        <f>AND('PROG FORMACIÓN TITULADA'!F498,"AAAAADb8q2U=")</f>
        <v>#VALUE!</v>
      </c>
      <c r="CY82" t="e">
        <f>AND('PROG FORMACIÓN TITULADA'!G498,"AAAAADb8q2Y=")</f>
        <v>#VALUE!</v>
      </c>
      <c r="CZ82" t="e">
        <f>AND('PROG FORMACIÓN TITULADA'!H498,"AAAAADb8q2c=")</f>
        <v>#VALUE!</v>
      </c>
      <c r="DA82" t="e">
        <f>AND('PROG FORMACIÓN TITULADA'!I498,"AAAAADb8q2g=")</f>
        <v>#VALUE!</v>
      </c>
      <c r="DB82" t="e">
        <f>AND('PROG FORMACIÓN TITULADA'!J498,"AAAAADb8q2k=")</f>
        <v>#VALUE!</v>
      </c>
      <c r="DC82" t="e">
        <f>AND('PROG FORMACIÓN TITULADA'!K498,"AAAAADb8q2o=")</f>
        <v>#VALUE!</v>
      </c>
      <c r="DD82" t="e">
        <f>AND('PROG FORMACIÓN TITULADA'!L498,"AAAAADb8q2s=")</f>
        <v>#VALUE!</v>
      </c>
      <c r="DE82" t="e">
        <f>AND('PROG FORMACIÓN TITULADA'!M498,"AAAAADb8q2w=")</f>
        <v>#VALUE!</v>
      </c>
      <c r="DF82" t="e">
        <f>AND('PROG FORMACIÓN TITULADA'!N498,"AAAAADb8q20=")</f>
        <v>#VALUE!</v>
      </c>
      <c r="DG82" t="e">
        <f>AND('PROG FORMACIÓN TITULADA'!O498,"AAAAADb8q24=")</f>
        <v>#VALUE!</v>
      </c>
      <c r="DH82" t="e">
        <f>AND('PROG FORMACIÓN TITULADA'!P498,"AAAAADb8q28=")</f>
        <v>#VALUE!</v>
      </c>
      <c r="DI82" t="e">
        <f>AND('PROG FORMACIÓN TITULADA'!Q498,"AAAAADb8q3A=")</f>
        <v>#VALUE!</v>
      </c>
      <c r="DJ82" t="e">
        <f>AND('PROG FORMACIÓN TITULADA'!R498,"AAAAADb8q3E=")</f>
        <v>#VALUE!</v>
      </c>
      <c r="DK82" t="e">
        <f>AND('PROG FORMACIÓN TITULADA'!S498,"AAAAADb8q3I=")</f>
        <v>#VALUE!</v>
      </c>
      <c r="DL82" t="e">
        <f>AND('PROG FORMACIÓN TITULADA'!T498,"AAAAADb8q3M=")</f>
        <v>#VALUE!</v>
      </c>
      <c r="DM82" t="e">
        <f>AND('PROG FORMACIÓN TITULADA'!U498,"AAAAADb8q3Q=")</f>
        <v>#VALUE!</v>
      </c>
      <c r="DN82" t="e">
        <f>AND('PROG FORMACIÓN TITULADA'!V498,"AAAAADb8q3U=")</f>
        <v>#VALUE!</v>
      </c>
      <c r="DO82" t="e">
        <f>AND('PROG FORMACIÓN TITULADA'!W498,"AAAAADb8q3Y=")</f>
        <v>#VALUE!</v>
      </c>
      <c r="DP82" t="e">
        <f>AND('PROG FORMACIÓN TITULADA'!X498,"AAAAADb8q3c=")</f>
        <v>#VALUE!</v>
      </c>
      <c r="DQ82" t="e">
        <f>AND('PROG FORMACIÓN TITULADA'!Y498,"AAAAADb8q3g=")</f>
        <v>#VALUE!</v>
      </c>
      <c r="DR82" t="e">
        <f>AND('PROG FORMACIÓN TITULADA'!Z498,"AAAAADb8q3k=")</f>
        <v>#VALUE!</v>
      </c>
      <c r="DS82">
        <f>IF('PROG FORMACIÓN TITULADA'!499:499,"AAAAADb8q3o=",0)</f>
        <v>0</v>
      </c>
      <c r="DT82" t="e">
        <f>AND('PROG FORMACIÓN TITULADA'!A499,"AAAAADb8q3s=")</f>
        <v>#VALUE!</v>
      </c>
      <c r="DU82" t="e">
        <f>AND('PROG FORMACIÓN TITULADA'!B499,"AAAAADb8q3w=")</f>
        <v>#VALUE!</v>
      </c>
      <c r="DV82" t="e">
        <f>AND('PROG FORMACIÓN TITULADA'!C499,"AAAAADb8q30=")</f>
        <v>#VALUE!</v>
      </c>
      <c r="DW82" t="e">
        <f>AND('PROG FORMACIÓN TITULADA'!D499,"AAAAADb8q34=")</f>
        <v>#VALUE!</v>
      </c>
      <c r="DX82" t="e">
        <f>AND('PROG FORMACIÓN TITULADA'!E499,"AAAAADb8q38=")</f>
        <v>#VALUE!</v>
      </c>
      <c r="DY82" t="e">
        <f>AND('PROG FORMACIÓN TITULADA'!F499,"AAAAADb8q4A=")</f>
        <v>#VALUE!</v>
      </c>
      <c r="DZ82" t="e">
        <f>AND('PROG FORMACIÓN TITULADA'!G499,"AAAAADb8q4E=")</f>
        <v>#VALUE!</v>
      </c>
      <c r="EA82" t="e">
        <f>AND('PROG FORMACIÓN TITULADA'!H499,"AAAAADb8q4I=")</f>
        <v>#VALUE!</v>
      </c>
      <c r="EB82" t="e">
        <f>AND('PROG FORMACIÓN TITULADA'!I499,"AAAAADb8q4M=")</f>
        <v>#VALUE!</v>
      </c>
      <c r="EC82" t="e">
        <f>AND('PROG FORMACIÓN TITULADA'!J499,"AAAAADb8q4Q=")</f>
        <v>#VALUE!</v>
      </c>
      <c r="ED82" t="e">
        <f>AND('PROG FORMACIÓN TITULADA'!K499,"AAAAADb8q4U=")</f>
        <v>#VALUE!</v>
      </c>
      <c r="EE82" t="e">
        <f>AND('PROG FORMACIÓN TITULADA'!L499,"AAAAADb8q4Y=")</f>
        <v>#VALUE!</v>
      </c>
      <c r="EF82" t="e">
        <f>AND('PROG FORMACIÓN TITULADA'!M499,"AAAAADb8q4c=")</f>
        <v>#VALUE!</v>
      </c>
      <c r="EG82" t="e">
        <f>AND('PROG FORMACIÓN TITULADA'!N499,"AAAAADb8q4g=")</f>
        <v>#VALUE!</v>
      </c>
      <c r="EH82" t="e">
        <f>AND('PROG FORMACIÓN TITULADA'!O499,"AAAAADb8q4k=")</f>
        <v>#VALUE!</v>
      </c>
      <c r="EI82" t="e">
        <f>AND('PROG FORMACIÓN TITULADA'!P499,"AAAAADb8q4o=")</f>
        <v>#VALUE!</v>
      </c>
      <c r="EJ82" t="e">
        <f>AND('PROG FORMACIÓN TITULADA'!Q499,"AAAAADb8q4s=")</f>
        <v>#VALUE!</v>
      </c>
      <c r="EK82" t="e">
        <f>AND('PROG FORMACIÓN TITULADA'!R499,"AAAAADb8q4w=")</f>
        <v>#VALUE!</v>
      </c>
      <c r="EL82" t="e">
        <f>AND('PROG FORMACIÓN TITULADA'!S499,"AAAAADb8q40=")</f>
        <v>#VALUE!</v>
      </c>
      <c r="EM82" t="e">
        <f>AND('PROG FORMACIÓN TITULADA'!T499,"AAAAADb8q44=")</f>
        <v>#VALUE!</v>
      </c>
      <c r="EN82" t="e">
        <f>AND('PROG FORMACIÓN TITULADA'!U499,"AAAAADb8q48=")</f>
        <v>#VALUE!</v>
      </c>
      <c r="EO82" t="e">
        <f>AND('PROG FORMACIÓN TITULADA'!V499,"AAAAADb8q5A=")</f>
        <v>#VALUE!</v>
      </c>
      <c r="EP82" t="e">
        <f>AND('PROG FORMACIÓN TITULADA'!W499,"AAAAADb8q5E=")</f>
        <v>#VALUE!</v>
      </c>
      <c r="EQ82" t="e">
        <f>AND('PROG FORMACIÓN TITULADA'!X499,"AAAAADb8q5I=")</f>
        <v>#VALUE!</v>
      </c>
      <c r="ER82" t="e">
        <f>AND('PROG FORMACIÓN TITULADA'!Y499,"AAAAADb8q5M=")</f>
        <v>#VALUE!</v>
      </c>
      <c r="ES82" t="e">
        <f>AND('PROG FORMACIÓN TITULADA'!Z499,"AAAAADb8q5Q=")</f>
        <v>#VALUE!</v>
      </c>
      <c r="ET82">
        <f>IF('PROG FORMACIÓN TITULADA'!500:500,"AAAAADb8q5U=",0)</f>
        <v>0</v>
      </c>
      <c r="EU82" t="e">
        <f>AND('PROG FORMACIÓN TITULADA'!A500,"AAAAADb8q5Y=")</f>
        <v>#VALUE!</v>
      </c>
      <c r="EV82" t="e">
        <f>AND('PROG FORMACIÓN TITULADA'!B500,"AAAAADb8q5c=")</f>
        <v>#VALUE!</v>
      </c>
      <c r="EW82" t="e">
        <f>AND('PROG FORMACIÓN TITULADA'!C500,"AAAAADb8q5g=")</f>
        <v>#VALUE!</v>
      </c>
      <c r="EX82" t="e">
        <f>AND('PROG FORMACIÓN TITULADA'!D500,"AAAAADb8q5k=")</f>
        <v>#VALUE!</v>
      </c>
      <c r="EY82" t="e">
        <f>AND('PROG FORMACIÓN TITULADA'!E500,"AAAAADb8q5o=")</f>
        <v>#VALUE!</v>
      </c>
      <c r="EZ82" t="e">
        <f>AND('PROG FORMACIÓN TITULADA'!F500,"AAAAADb8q5s=")</f>
        <v>#VALUE!</v>
      </c>
      <c r="FA82" t="e">
        <f>AND('PROG FORMACIÓN TITULADA'!G500,"AAAAADb8q5w=")</f>
        <v>#VALUE!</v>
      </c>
      <c r="FB82" t="e">
        <f>AND('PROG FORMACIÓN TITULADA'!H500,"AAAAADb8q50=")</f>
        <v>#VALUE!</v>
      </c>
      <c r="FC82" t="e">
        <f>AND('PROG FORMACIÓN TITULADA'!I500,"AAAAADb8q54=")</f>
        <v>#VALUE!</v>
      </c>
      <c r="FD82" t="e">
        <f>AND('PROG FORMACIÓN TITULADA'!J500,"AAAAADb8q58=")</f>
        <v>#VALUE!</v>
      </c>
      <c r="FE82" t="e">
        <f>AND('PROG FORMACIÓN TITULADA'!K500,"AAAAADb8q6A=")</f>
        <v>#VALUE!</v>
      </c>
      <c r="FF82" t="e">
        <f>AND('PROG FORMACIÓN TITULADA'!L500,"AAAAADb8q6E=")</f>
        <v>#VALUE!</v>
      </c>
      <c r="FG82" t="e">
        <f>AND('PROG FORMACIÓN TITULADA'!M500,"AAAAADb8q6I=")</f>
        <v>#VALUE!</v>
      </c>
      <c r="FH82" t="e">
        <f>AND('PROG FORMACIÓN TITULADA'!N500,"AAAAADb8q6M=")</f>
        <v>#VALUE!</v>
      </c>
      <c r="FI82" t="e">
        <f>AND('PROG FORMACIÓN TITULADA'!O500,"AAAAADb8q6Q=")</f>
        <v>#VALUE!</v>
      </c>
      <c r="FJ82" t="e">
        <f>AND('PROG FORMACIÓN TITULADA'!P500,"AAAAADb8q6U=")</f>
        <v>#VALUE!</v>
      </c>
      <c r="FK82" t="e">
        <f>AND('PROG FORMACIÓN TITULADA'!Q500,"AAAAADb8q6Y=")</f>
        <v>#VALUE!</v>
      </c>
      <c r="FL82" t="e">
        <f>AND('PROG FORMACIÓN TITULADA'!R500,"AAAAADb8q6c=")</f>
        <v>#VALUE!</v>
      </c>
      <c r="FM82" t="e">
        <f>AND('PROG FORMACIÓN TITULADA'!S500,"AAAAADb8q6g=")</f>
        <v>#VALUE!</v>
      </c>
      <c r="FN82" t="e">
        <f>AND('PROG FORMACIÓN TITULADA'!T500,"AAAAADb8q6k=")</f>
        <v>#VALUE!</v>
      </c>
      <c r="FO82" t="e">
        <f>AND('PROG FORMACIÓN TITULADA'!U500,"AAAAADb8q6o=")</f>
        <v>#VALUE!</v>
      </c>
      <c r="FP82" t="e">
        <f>AND('PROG FORMACIÓN TITULADA'!V500,"AAAAADb8q6s=")</f>
        <v>#VALUE!</v>
      </c>
      <c r="FQ82" t="e">
        <f>AND('PROG FORMACIÓN TITULADA'!W500,"AAAAADb8q6w=")</f>
        <v>#VALUE!</v>
      </c>
      <c r="FR82" t="e">
        <f>AND('PROG FORMACIÓN TITULADA'!X500,"AAAAADb8q60=")</f>
        <v>#VALUE!</v>
      </c>
      <c r="FS82" t="e">
        <f>AND('PROG FORMACIÓN TITULADA'!Y500,"AAAAADb8q64=")</f>
        <v>#VALUE!</v>
      </c>
      <c r="FT82" t="e">
        <f>AND('PROG FORMACIÓN TITULADA'!Z500,"AAAAADb8q68=")</f>
        <v>#VALUE!</v>
      </c>
      <c r="FU82">
        <f>IF('PROG FORMACIÓN TITULADA'!501:501,"AAAAADb8q7A=",0)</f>
        <v>0</v>
      </c>
      <c r="FV82" t="e">
        <f>AND('PROG FORMACIÓN TITULADA'!A501,"AAAAADb8q7E=")</f>
        <v>#VALUE!</v>
      </c>
      <c r="FW82" t="e">
        <f>AND('PROG FORMACIÓN TITULADA'!B501,"AAAAADb8q7I=")</f>
        <v>#VALUE!</v>
      </c>
      <c r="FX82" t="e">
        <f>AND('PROG FORMACIÓN TITULADA'!C501,"AAAAADb8q7M=")</f>
        <v>#VALUE!</v>
      </c>
      <c r="FY82" t="e">
        <f>AND('PROG FORMACIÓN TITULADA'!D501,"AAAAADb8q7Q=")</f>
        <v>#VALUE!</v>
      </c>
      <c r="FZ82" t="e">
        <f>AND('PROG FORMACIÓN TITULADA'!E501,"AAAAADb8q7U=")</f>
        <v>#VALUE!</v>
      </c>
      <c r="GA82" t="e">
        <f>AND('PROG FORMACIÓN TITULADA'!F501,"AAAAADb8q7Y=")</f>
        <v>#VALUE!</v>
      </c>
      <c r="GB82" t="e">
        <f>AND('PROG FORMACIÓN TITULADA'!G501,"AAAAADb8q7c=")</f>
        <v>#VALUE!</v>
      </c>
      <c r="GC82" t="e">
        <f>AND('PROG FORMACIÓN TITULADA'!H501,"AAAAADb8q7g=")</f>
        <v>#VALUE!</v>
      </c>
      <c r="GD82" t="e">
        <f>AND('PROG FORMACIÓN TITULADA'!I501,"AAAAADb8q7k=")</f>
        <v>#VALUE!</v>
      </c>
      <c r="GE82" t="e">
        <f>AND('PROG FORMACIÓN TITULADA'!J501,"AAAAADb8q7o=")</f>
        <v>#VALUE!</v>
      </c>
      <c r="GF82" t="e">
        <f>AND('PROG FORMACIÓN TITULADA'!K501,"AAAAADb8q7s=")</f>
        <v>#VALUE!</v>
      </c>
      <c r="GG82" t="e">
        <f>AND('PROG FORMACIÓN TITULADA'!L501,"AAAAADb8q7w=")</f>
        <v>#VALUE!</v>
      </c>
      <c r="GH82" t="e">
        <f>AND('PROG FORMACIÓN TITULADA'!M501,"AAAAADb8q70=")</f>
        <v>#VALUE!</v>
      </c>
      <c r="GI82" t="e">
        <f>AND('PROG FORMACIÓN TITULADA'!N501,"AAAAADb8q74=")</f>
        <v>#VALUE!</v>
      </c>
      <c r="GJ82" t="e">
        <f>AND('PROG FORMACIÓN TITULADA'!O501,"AAAAADb8q78=")</f>
        <v>#VALUE!</v>
      </c>
      <c r="GK82" t="e">
        <f>AND('PROG FORMACIÓN TITULADA'!P501,"AAAAADb8q8A=")</f>
        <v>#VALUE!</v>
      </c>
      <c r="GL82" t="e">
        <f>AND('PROG FORMACIÓN TITULADA'!Q501,"AAAAADb8q8E=")</f>
        <v>#VALUE!</v>
      </c>
      <c r="GM82" t="e">
        <f>AND('PROG FORMACIÓN TITULADA'!R501,"AAAAADb8q8I=")</f>
        <v>#VALUE!</v>
      </c>
      <c r="GN82" t="e">
        <f>AND('PROG FORMACIÓN TITULADA'!S501,"AAAAADb8q8M=")</f>
        <v>#VALUE!</v>
      </c>
      <c r="GO82" t="e">
        <f>AND('PROG FORMACIÓN TITULADA'!T501,"AAAAADb8q8Q=")</f>
        <v>#VALUE!</v>
      </c>
      <c r="GP82" t="e">
        <f>AND('PROG FORMACIÓN TITULADA'!U501,"AAAAADb8q8U=")</f>
        <v>#VALUE!</v>
      </c>
      <c r="GQ82" t="e">
        <f>AND('PROG FORMACIÓN TITULADA'!V501,"AAAAADb8q8Y=")</f>
        <v>#VALUE!</v>
      </c>
      <c r="GR82" t="e">
        <f>AND('PROG FORMACIÓN TITULADA'!W501,"AAAAADb8q8c=")</f>
        <v>#VALUE!</v>
      </c>
      <c r="GS82" t="e">
        <f>AND('PROG FORMACIÓN TITULADA'!X501,"AAAAADb8q8g=")</f>
        <v>#VALUE!</v>
      </c>
      <c r="GT82" t="e">
        <f>AND('PROG FORMACIÓN TITULADA'!Y501,"AAAAADb8q8k=")</f>
        <v>#VALUE!</v>
      </c>
      <c r="GU82" t="e">
        <f>AND('PROG FORMACIÓN TITULADA'!Z501,"AAAAADb8q8o=")</f>
        <v>#VALUE!</v>
      </c>
      <c r="GV82">
        <f>IF('PROG FORMACIÓN TITULADA'!502:502,"AAAAADb8q8s=",0)</f>
        <v>0</v>
      </c>
      <c r="GW82" t="e">
        <f>AND('PROG FORMACIÓN TITULADA'!A502,"AAAAADb8q8w=")</f>
        <v>#VALUE!</v>
      </c>
      <c r="GX82" t="e">
        <f>AND('PROG FORMACIÓN TITULADA'!B502,"AAAAADb8q80=")</f>
        <v>#VALUE!</v>
      </c>
      <c r="GY82" t="e">
        <f>AND('PROG FORMACIÓN TITULADA'!C502,"AAAAADb8q84=")</f>
        <v>#VALUE!</v>
      </c>
      <c r="GZ82" t="e">
        <f>AND('PROG FORMACIÓN TITULADA'!D502,"AAAAADb8q88=")</f>
        <v>#VALUE!</v>
      </c>
      <c r="HA82" t="e">
        <f>AND('PROG FORMACIÓN TITULADA'!E502,"AAAAADb8q9A=")</f>
        <v>#VALUE!</v>
      </c>
      <c r="HB82" t="e">
        <f>AND('PROG FORMACIÓN TITULADA'!F502,"AAAAADb8q9E=")</f>
        <v>#VALUE!</v>
      </c>
      <c r="HC82" t="e">
        <f>AND('PROG FORMACIÓN TITULADA'!G502,"AAAAADb8q9I=")</f>
        <v>#VALUE!</v>
      </c>
      <c r="HD82" t="e">
        <f>AND('PROG FORMACIÓN TITULADA'!H502,"AAAAADb8q9M=")</f>
        <v>#VALUE!</v>
      </c>
      <c r="HE82" t="e">
        <f>AND('PROG FORMACIÓN TITULADA'!I502,"AAAAADb8q9Q=")</f>
        <v>#VALUE!</v>
      </c>
      <c r="HF82" t="e">
        <f>AND('PROG FORMACIÓN TITULADA'!J502,"AAAAADb8q9U=")</f>
        <v>#VALUE!</v>
      </c>
      <c r="HG82" t="e">
        <f>AND('PROG FORMACIÓN TITULADA'!K502,"AAAAADb8q9Y=")</f>
        <v>#VALUE!</v>
      </c>
      <c r="HH82" t="e">
        <f>AND('PROG FORMACIÓN TITULADA'!L502,"AAAAADb8q9c=")</f>
        <v>#VALUE!</v>
      </c>
      <c r="HI82" t="e">
        <f>AND('PROG FORMACIÓN TITULADA'!M502,"AAAAADb8q9g=")</f>
        <v>#VALUE!</v>
      </c>
      <c r="HJ82" t="e">
        <f>AND('PROG FORMACIÓN TITULADA'!N502,"AAAAADb8q9k=")</f>
        <v>#VALUE!</v>
      </c>
      <c r="HK82" t="e">
        <f>AND('PROG FORMACIÓN TITULADA'!O502,"AAAAADb8q9o=")</f>
        <v>#VALUE!</v>
      </c>
      <c r="HL82" t="e">
        <f>AND('PROG FORMACIÓN TITULADA'!P502,"AAAAADb8q9s=")</f>
        <v>#VALUE!</v>
      </c>
      <c r="HM82" t="e">
        <f>AND('PROG FORMACIÓN TITULADA'!Q502,"AAAAADb8q9w=")</f>
        <v>#VALUE!</v>
      </c>
      <c r="HN82" t="e">
        <f>AND('PROG FORMACIÓN TITULADA'!R502,"AAAAADb8q90=")</f>
        <v>#VALUE!</v>
      </c>
      <c r="HO82" t="e">
        <f>AND('PROG FORMACIÓN TITULADA'!S502,"AAAAADb8q94=")</f>
        <v>#VALUE!</v>
      </c>
      <c r="HP82" t="e">
        <f>AND('PROG FORMACIÓN TITULADA'!T502,"AAAAADb8q98=")</f>
        <v>#VALUE!</v>
      </c>
      <c r="HQ82" t="e">
        <f>AND('PROG FORMACIÓN TITULADA'!U502,"AAAAADb8q+A=")</f>
        <v>#VALUE!</v>
      </c>
      <c r="HR82" t="e">
        <f>AND('PROG FORMACIÓN TITULADA'!V502,"AAAAADb8q+E=")</f>
        <v>#VALUE!</v>
      </c>
      <c r="HS82" t="e">
        <f>AND('PROG FORMACIÓN TITULADA'!W502,"AAAAADb8q+I=")</f>
        <v>#VALUE!</v>
      </c>
      <c r="HT82" t="e">
        <f>AND('PROG FORMACIÓN TITULADA'!X502,"AAAAADb8q+M=")</f>
        <v>#VALUE!</v>
      </c>
      <c r="HU82" t="e">
        <f>AND('PROG FORMACIÓN TITULADA'!Y502,"AAAAADb8q+Q=")</f>
        <v>#VALUE!</v>
      </c>
      <c r="HV82" t="e">
        <f>AND('PROG FORMACIÓN TITULADA'!Z502,"AAAAADb8q+U=")</f>
        <v>#VALUE!</v>
      </c>
      <c r="HW82">
        <f>IF('PROG FORMACIÓN TITULADA'!503:503,"AAAAADb8q+Y=",0)</f>
        <v>0</v>
      </c>
      <c r="HX82" t="e">
        <f>AND('PROG FORMACIÓN TITULADA'!A503,"AAAAADb8q+c=")</f>
        <v>#VALUE!</v>
      </c>
      <c r="HY82" t="e">
        <f>AND('PROG FORMACIÓN TITULADA'!B503,"AAAAADb8q+g=")</f>
        <v>#VALUE!</v>
      </c>
      <c r="HZ82" t="e">
        <f>AND('PROG FORMACIÓN TITULADA'!C503,"AAAAADb8q+k=")</f>
        <v>#VALUE!</v>
      </c>
      <c r="IA82" t="e">
        <f>AND('PROG FORMACIÓN TITULADA'!D503,"AAAAADb8q+o=")</f>
        <v>#VALUE!</v>
      </c>
      <c r="IB82" t="e">
        <f>AND('PROG FORMACIÓN TITULADA'!E503,"AAAAADb8q+s=")</f>
        <v>#VALUE!</v>
      </c>
      <c r="IC82" t="e">
        <f>AND('PROG FORMACIÓN TITULADA'!F503,"AAAAADb8q+w=")</f>
        <v>#VALUE!</v>
      </c>
      <c r="ID82" t="e">
        <f>AND('PROG FORMACIÓN TITULADA'!G503,"AAAAADb8q+0=")</f>
        <v>#VALUE!</v>
      </c>
      <c r="IE82" t="e">
        <f>AND('PROG FORMACIÓN TITULADA'!H503,"AAAAADb8q+4=")</f>
        <v>#VALUE!</v>
      </c>
      <c r="IF82" t="e">
        <f>AND('PROG FORMACIÓN TITULADA'!I503,"AAAAADb8q+8=")</f>
        <v>#VALUE!</v>
      </c>
      <c r="IG82" t="e">
        <f>AND('PROG FORMACIÓN TITULADA'!J503,"AAAAADb8q/A=")</f>
        <v>#VALUE!</v>
      </c>
      <c r="IH82" t="e">
        <f>AND('PROG FORMACIÓN TITULADA'!K503,"AAAAADb8q/E=")</f>
        <v>#VALUE!</v>
      </c>
      <c r="II82" t="e">
        <f>AND('PROG FORMACIÓN TITULADA'!L503,"AAAAADb8q/I=")</f>
        <v>#VALUE!</v>
      </c>
      <c r="IJ82" t="e">
        <f>AND('PROG FORMACIÓN TITULADA'!M503,"AAAAADb8q/M=")</f>
        <v>#VALUE!</v>
      </c>
      <c r="IK82" t="e">
        <f>AND('PROG FORMACIÓN TITULADA'!N503,"AAAAADb8q/Q=")</f>
        <v>#VALUE!</v>
      </c>
      <c r="IL82" t="e">
        <f>AND('PROG FORMACIÓN TITULADA'!O503,"AAAAADb8q/U=")</f>
        <v>#VALUE!</v>
      </c>
      <c r="IM82" t="e">
        <f>AND('PROG FORMACIÓN TITULADA'!P503,"AAAAADb8q/Y=")</f>
        <v>#VALUE!</v>
      </c>
      <c r="IN82" t="e">
        <f>AND('PROG FORMACIÓN TITULADA'!Q503,"AAAAADb8q/c=")</f>
        <v>#VALUE!</v>
      </c>
      <c r="IO82" t="e">
        <f>AND('PROG FORMACIÓN TITULADA'!R503,"AAAAADb8q/g=")</f>
        <v>#VALUE!</v>
      </c>
      <c r="IP82" t="e">
        <f>AND('PROG FORMACIÓN TITULADA'!S503,"AAAAADb8q/k=")</f>
        <v>#VALUE!</v>
      </c>
      <c r="IQ82" t="e">
        <f>AND('PROG FORMACIÓN TITULADA'!T503,"AAAAADb8q/o=")</f>
        <v>#VALUE!</v>
      </c>
      <c r="IR82" t="e">
        <f>AND('PROG FORMACIÓN TITULADA'!U503,"AAAAADb8q/s=")</f>
        <v>#VALUE!</v>
      </c>
      <c r="IS82" t="e">
        <f>AND('PROG FORMACIÓN TITULADA'!V503,"AAAAADb8q/w=")</f>
        <v>#VALUE!</v>
      </c>
      <c r="IT82" t="e">
        <f>AND('PROG FORMACIÓN TITULADA'!W503,"AAAAADb8q/0=")</f>
        <v>#VALUE!</v>
      </c>
      <c r="IU82" t="e">
        <f>AND('PROG FORMACIÓN TITULADA'!X503,"AAAAADb8q/4=")</f>
        <v>#VALUE!</v>
      </c>
      <c r="IV82" t="e">
        <f>AND('PROG FORMACIÓN TITULADA'!Y503,"AAAAADb8q/8=")</f>
        <v>#VALUE!</v>
      </c>
    </row>
    <row r="83" spans="1:256" x14ac:dyDescent="0.2">
      <c r="A83" t="e">
        <f>AND('PROG FORMACIÓN TITULADA'!Z503,"AAAAAHfvHgA=")</f>
        <v>#VALUE!</v>
      </c>
      <c r="B83">
        <f>IF('PROG FORMACIÓN TITULADA'!504:504,"AAAAAHfvHgE=",0)</f>
        <v>0</v>
      </c>
      <c r="C83" t="e">
        <f>AND('PROG FORMACIÓN TITULADA'!A504,"AAAAAHfvHgI=")</f>
        <v>#VALUE!</v>
      </c>
      <c r="D83" t="e">
        <f>AND('PROG FORMACIÓN TITULADA'!B504,"AAAAAHfvHgM=")</f>
        <v>#VALUE!</v>
      </c>
      <c r="E83" t="e">
        <f>AND('PROG FORMACIÓN TITULADA'!C504,"AAAAAHfvHgQ=")</f>
        <v>#VALUE!</v>
      </c>
      <c r="F83" t="e">
        <f>AND('PROG FORMACIÓN TITULADA'!D504,"AAAAAHfvHgU=")</f>
        <v>#VALUE!</v>
      </c>
      <c r="G83" t="e">
        <f>AND('PROG FORMACIÓN TITULADA'!E504,"AAAAAHfvHgY=")</f>
        <v>#VALUE!</v>
      </c>
      <c r="H83" t="e">
        <f>AND('PROG FORMACIÓN TITULADA'!F504,"AAAAAHfvHgc=")</f>
        <v>#VALUE!</v>
      </c>
      <c r="I83" t="e">
        <f>AND('PROG FORMACIÓN TITULADA'!G504,"AAAAAHfvHgg=")</f>
        <v>#VALUE!</v>
      </c>
      <c r="J83" t="e">
        <f>AND('PROG FORMACIÓN TITULADA'!H504,"AAAAAHfvHgk=")</f>
        <v>#VALUE!</v>
      </c>
      <c r="K83" t="e">
        <f>AND('PROG FORMACIÓN TITULADA'!I504,"AAAAAHfvHgo=")</f>
        <v>#VALUE!</v>
      </c>
      <c r="L83" t="e">
        <f>AND('PROG FORMACIÓN TITULADA'!J504,"AAAAAHfvHgs=")</f>
        <v>#VALUE!</v>
      </c>
      <c r="M83" t="e">
        <f>AND('PROG FORMACIÓN TITULADA'!K504,"AAAAAHfvHgw=")</f>
        <v>#VALUE!</v>
      </c>
      <c r="N83" t="e">
        <f>AND('PROG FORMACIÓN TITULADA'!L504,"AAAAAHfvHg0=")</f>
        <v>#VALUE!</v>
      </c>
      <c r="O83" t="e">
        <f>AND('PROG FORMACIÓN TITULADA'!M504,"AAAAAHfvHg4=")</f>
        <v>#VALUE!</v>
      </c>
      <c r="P83" t="e">
        <f>AND('PROG FORMACIÓN TITULADA'!N504,"AAAAAHfvHg8=")</f>
        <v>#VALUE!</v>
      </c>
      <c r="Q83" t="e">
        <f>AND('PROG FORMACIÓN TITULADA'!O504,"AAAAAHfvHhA=")</f>
        <v>#VALUE!</v>
      </c>
      <c r="R83" t="e">
        <f>AND('PROG FORMACIÓN TITULADA'!P504,"AAAAAHfvHhE=")</f>
        <v>#VALUE!</v>
      </c>
      <c r="S83" t="e">
        <f>AND('PROG FORMACIÓN TITULADA'!Q504,"AAAAAHfvHhI=")</f>
        <v>#VALUE!</v>
      </c>
      <c r="T83" t="e">
        <f>AND('PROG FORMACIÓN TITULADA'!R504,"AAAAAHfvHhM=")</f>
        <v>#VALUE!</v>
      </c>
      <c r="U83" t="e">
        <f>AND('PROG FORMACIÓN TITULADA'!S504,"AAAAAHfvHhQ=")</f>
        <v>#VALUE!</v>
      </c>
      <c r="V83" t="e">
        <f>AND('PROG FORMACIÓN TITULADA'!T504,"AAAAAHfvHhU=")</f>
        <v>#VALUE!</v>
      </c>
      <c r="W83" t="e">
        <f>AND('PROG FORMACIÓN TITULADA'!U504,"AAAAAHfvHhY=")</f>
        <v>#VALUE!</v>
      </c>
      <c r="X83" t="e">
        <f>AND('PROG FORMACIÓN TITULADA'!V504,"AAAAAHfvHhc=")</f>
        <v>#VALUE!</v>
      </c>
      <c r="Y83" t="e">
        <f>AND('PROG FORMACIÓN TITULADA'!W504,"AAAAAHfvHhg=")</f>
        <v>#VALUE!</v>
      </c>
      <c r="Z83" t="e">
        <f>AND('PROG FORMACIÓN TITULADA'!X504,"AAAAAHfvHhk=")</f>
        <v>#VALUE!</v>
      </c>
      <c r="AA83" t="e">
        <f>AND('PROG FORMACIÓN TITULADA'!Y504,"AAAAAHfvHho=")</f>
        <v>#VALUE!</v>
      </c>
      <c r="AB83" t="e">
        <f>AND('PROG FORMACIÓN TITULADA'!Z504,"AAAAAHfvHhs=")</f>
        <v>#VALUE!</v>
      </c>
      <c r="AC83">
        <f>IF('PROG FORMACIÓN TITULADA'!505:505,"AAAAAHfvHhw=",0)</f>
        <v>0</v>
      </c>
      <c r="AD83" t="e">
        <f>AND('PROG FORMACIÓN TITULADA'!A505,"AAAAAHfvHh0=")</f>
        <v>#VALUE!</v>
      </c>
      <c r="AE83" t="e">
        <f>AND('PROG FORMACIÓN TITULADA'!B505,"AAAAAHfvHh4=")</f>
        <v>#VALUE!</v>
      </c>
      <c r="AF83" t="e">
        <f>AND('PROG FORMACIÓN TITULADA'!C505,"AAAAAHfvHh8=")</f>
        <v>#VALUE!</v>
      </c>
      <c r="AG83" t="e">
        <f>AND('PROG FORMACIÓN TITULADA'!D505,"AAAAAHfvHiA=")</f>
        <v>#VALUE!</v>
      </c>
      <c r="AH83" t="e">
        <f>AND('PROG FORMACIÓN TITULADA'!E505,"AAAAAHfvHiE=")</f>
        <v>#VALUE!</v>
      </c>
      <c r="AI83" t="e">
        <f>AND('PROG FORMACIÓN TITULADA'!F505,"AAAAAHfvHiI=")</f>
        <v>#VALUE!</v>
      </c>
      <c r="AJ83" t="e">
        <f>AND('PROG FORMACIÓN TITULADA'!G505,"AAAAAHfvHiM=")</f>
        <v>#VALUE!</v>
      </c>
      <c r="AK83" t="e">
        <f>AND('PROG FORMACIÓN TITULADA'!H505,"AAAAAHfvHiQ=")</f>
        <v>#VALUE!</v>
      </c>
      <c r="AL83" t="e">
        <f>AND('PROG FORMACIÓN TITULADA'!I505,"AAAAAHfvHiU=")</f>
        <v>#VALUE!</v>
      </c>
      <c r="AM83" t="e">
        <f>AND('PROG FORMACIÓN TITULADA'!J505,"AAAAAHfvHiY=")</f>
        <v>#VALUE!</v>
      </c>
      <c r="AN83" t="e">
        <f>AND('PROG FORMACIÓN TITULADA'!K505,"AAAAAHfvHic=")</f>
        <v>#VALUE!</v>
      </c>
      <c r="AO83" t="e">
        <f>AND('PROG FORMACIÓN TITULADA'!L505,"AAAAAHfvHig=")</f>
        <v>#VALUE!</v>
      </c>
      <c r="AP83" t="e">
        <f>AND('PROG FORMACIÓN TITULADA'!M505,"AAAAAHfvHik=")</f>
        <v>#VALUE!</v>
      </c>
      <c r="AQ83" t="e">
        <f>AND('PROG FORMACIÓN TITULADA'!N505,"AAAAAHfvHio=")</f>
        <v>#VALUE!</v>
      </c>
      <c r="AR83" t="e">
        <f>AND('PROG FORMACIÓN TITULADA'!O505,"AAAAAHfvHis=")</f>
        <v>#VALUE!</v>
      </c>
      <c r="AS83" t="e">
        <f>AND('PROG FORMACIÓN TITULADA'!P505,"AAAAAHfvHiw=")</f>
        <v>#VALUE!</v>
      </c>
      <c r="AT83" t="e">
        <f>AND('PROG FORMACIÓN TITULADA'!Q505,"AAAAAHfvHi0=")</f>
        <v>#VALUE!</v>
      </c>
      <c r="AU83" t="e">
        <f>AND('PROG FORMACIÓN TITULADA'!R505,"AAAAAHfvHi4=")</f>
        <v>#VALUE!</v>
      </c>
      <c r="AV83" t="e">
        <f>AND('PROG FORMACIÓN TITULADA'!S505,"AAAAAHfvHi8=")</f>
        <v>#VALUE!</v>
      </c>
      <c r="AW83" t="e">
        <f>AND('PROG FORMACIÓN TITULADA'!T505,"AAAAAHfvHjA=")</f>
        <v>#VALUE!</v>
      </c>
      <c r="AX83" t="e">
        <f>AND('PROG FORMACIÓN TITULADA'!U505,"AAAAAHfvHjE=")</f>
        <v>#VALUE!</v>
      </c>
      <c r="AY83" t="e">
        <f>AND('PROG FORMACIÓN TITULADA'!V505,"AAAAAHfvHjI=")</f>
        <v>#VALUE!</v>
      </c>
      <c r="AZ83" t="e">
        <f>AND('PROG FORMACIÓN TITULADA'!W505,"AAAAAHfvHjM=")</f>
        <v>#VALUE!</v>
      </c>
      <c r="BA83" t="e">
        <f>AND('PROG FORMACIÓN TITULADA'!X505,"AAAAAHfvHjQ=")</f>
        <v>#VALUE!</v>
      </c>
      <c r="BB83" t="e">
        <f>AND('PROG FORMACIÓN TITULADA'!Y505,"AAAAAHfvHjU=")</f>
        <v>#VALUE!</v>
      </c>
      <c r="BC83" t="e">
        <f>AND('PROG FORMACIÓN TITULADA'!Z505,"AAAAAHfvHjY=")</f>
        <v>#VALUE!</v>
      </c>
      <c r="BD83">
        <f>IF('PROG FORMACIÓN TITULADA'!506:506,"AAAAAHfvHjc=",0)</f>
        <v>0</v>
      </c>
      <c r="BE83" t="e">
        <f>AND('PROG FORMACIÓN TITULADA'!A506,"AAAAAHfvHjg=")</f>
        <v>#VALUE!</v>
      </c>
      <c r="BF83" t="e">
        <f>AND('PROG FORMACIÓN TITULADA'!B506,"AAAAAHfvHjk=")</f>
        <v>#VALUE!</v>
      </c>
      <c r="BG83" t="e">
        <f>AND('PROG FORMACIÓN TITULADA'!C506,"AAAAAHfvHjo=")</f>
        <v>#VALUE!</v>
      </c>
      <c r="BH83" t="e">
        <f>AND('PROG FORMACIÓN TITULADA'!D506,"AAAAAHfvHjs=")</f>
        <v>#VALUE!</v>
      </c>
      <c r="BI83" t="e">
        <f>AND('PROG FORMACIÓN TITULADA'!E506,"AAAAAHfvHjw=")</f>
        <v>#VALUE!</v>
      </c>
      <c r="BJ83" t="e">
        <f>AND('PROG FORMACIÓN TITULADA'!F506,"AAAAAHfvHj0=")</f>
        <v>#VALUE!</v>
      </c>
      <c r="BK83" t="e">
        <f>AND('PROG FORMACIÓN TITULADA'!G506,"AAAAAHfvHj4=")</f>
        <v>#VALUE!</v>
      </c>
      <c r="BL83" t="e">
        <f>AND('PROG FORMACIÓN TITULADA'!H506,"AAAAAHfvHj8=")</f>
        <v>#VALUE!</v>
      </c>
      <c r="BM83" t="e">
        <f>AND('PROG FORMACIÓN TITULADA'!I506,"AAAAAHfvHkA=")</f>
        <v>#VALUE!</v>
      </c>
      <c r="BN83" t="e">
        <f>AND('PROG FORMACIÓN TITULADA'!J506,"AAAAAHfvHkE=")</f>
        <v>#VALUE!</v>
      </c>
      <c r="BO83" t="e">
        <f>AND('PROG FORMACIÓN TITULADA'!K506,"AAAAAHfvHkI=")</f>
        <v>#VALUE!</v>
      </c>
      <c r="BP83" t="e">
        <f>AND('PROG FORMACIÓN TITULADA'!L506,"AAAAAHfvHkM=")</f>
        <v>#VALUE!</v>
      </c>
      <c r="BQ83" t="e">
        <f>AND('PROG FORMACIÓN TITULADA'!M506,"AAAAAHfvHkQ=")</f>
        <v>#VALUE!</v>
      </c>
      <c r="BR83" t="e">
        <f>AND('PROG FORMACIÓN TITULADA'!N506,"AAAAAHfvHkU=")</f>
        <v>#VALUE!</v>
      </c>
      <c r="BS83" t="e">
        <f>AND('PROG FORMACIÓN TITULADA'!O506,"AAAAAHfvHkY=")</f>
        <v>#VALUE!</v>
      </c>
      <c r="BT83" t="e">
        <f>AND('PROG FORMACIÓN TITULADA'!P506,"AAAAAHfvHkc=")</f>
        <v>#VALUE!</v>
      </c>
      <c r="BU83" t="e">
        <f>AND('PROG FORMACIÓN TITULADA'!Q506,"AAAAAHfvHkg=")</f>
        <v>#VALUE!</v>
      </c>
      <c r="BV83" t="e">
        <f>AND('PROG FORMACIÓN TITULADA'!R506,"AAAAAHfvHkk=")</f>
        <v>#VALUE!</v>
      </c>
      <c r="BW83" t="e">
        <f>AND('PROG FORMACIÓN TITULADA'!S506,"AAAAAHfvHko=")</f>
        <v>#VALUE!</v>
      </c>
      <c r="BX83" t="e">
        <f>AND('PROG FORMACIÓN TITULADA'!T506,"AAAAAHfvHks=")</f>
        <v>#VALUE!</v>
      </c>
      <c r="BY83" t="e">
        <f>AND('PROG FORMACIÓN TITULADA'!U506,"AAAAAHfvHkw=")</f>
        <v>#VALUE!</v>
      </c>
      <c r="BZ83" t="e">
        <f>AND('PROG FORMACIÓN TITULADA'!V506,"AAAAAHfvHk0=")</f>
        <v>#VALUE!</v>
      </c>
      <c r="CA83" t="e">
        <f>AND('PROG FORMACIÓN TITULADA'!W506,"AAAAAHfvHk4=")</f>
        <v>#VALUE!</v>
      </c>
      <c r="CB83" t="e">
        <f>AND('PROG FORMACIÓN TITULADA'!X506,"AAAAAHfvHk8=")</f>
        <v>#VALUE!</v>
      </c>
      <c r="CC83" t="e">
        <f>AND('PROG FORMACIÓN TITULADA'!Y506,"AAAAAHfvHlA=")</f>
        <v>#VALUE!</v>
      </c>
      <c r="CD83" t="e">
        <f>AND('PROG FORMACIÓN TITULADA'!Z506,"AAAAAHfvHlE=")</f>
        <v>#VALUE!</v>
      </c>
      <c r="CE83">
        <f>IF('PROG FORMACIÓN TITULADA'!507:507,"AAAAAHfvHlI=",0)</f>
        <v>0</v>
      </c>
      <c r="CF83" t="e">
        <f>AND('PROG FORMACIÓN TITULADA'!A507,"AAAAAHfvHlM=")</f>
        <v>#VALUE!</v>
      </c>
      <c r="CG83" t="e">
        <f>AND('PROG FORMACIÓN TITULADA'!B507,"AAAAAHfvHlQ=")</f>
        <v>#VALUE!</v>
      </c>
      <c r="CH83" t="e">
        <f>AND('PROG FORMACIÓN TITULADA'!C507,"AAAAAHfvHlU=")</f>
        <v>#VALUE!</v>
      </c>
      <c r="CI83" t="e">
        <f>AND('PROG FORMACIÓN TITULADA'!D507,"AAAAAHfvHlY=")</f>
        <v>#VALUE!</v>
      </c>
      <c r="CJ83" t="e">
        <f>AND('PROG FORMACIÓN TITULADA'!E507,"AAAAAHfvHlc=")</f>
        <v>#VALUE!</v>
      </c>
      <c r="CK83" t="e">
        <f>AND('PROG FORMACIÓN TITULADA'!F507,"AAAAAHfvHlg=")</f>
        <v>#VALUE!</v>
      </c>
      <c r="CL83" t="e">
        <f>AND('PROG FORMACIÓN TITULADA'!G507,"AAAAAHfvHlk=")</f>
        <v>#VALUE!</v>
      </c>
      <c r="CM83" t="e">
        <f>AND('PROG FORMACIÓN TITULADA'!H507,"AAAAAHfvHlo=")</f>
        <v>#VALUE!</v>
      </c>
      <c r="CN83" t="e">
        <f>AND('PROG FORMACIÓN TITULADA'!I507,"AAAAAHfvHls=")</f>
        <v>#VALUE!</v>
      </c>
      <c r="CO83" t="e">
        <f>AND('PROG FORMACIÓN TITULADA'!J507,"AAAAAHfvHlw=")</f>
        <v>#VALUE!</v>
      </c>
      <c r="CP83" t="e">
        <f>AND('PROG FORMACIÓN TITULADA'!K507,"AAAAAHfvHl0=")</f>
        <v>#VALUE!</v>
      </c>
      <c r="CQ83" t="e">
        <f>AND('PROG FORMACIÓN TITULADA'!L507,"AAAAAHfvHl4=")</f>
        <v>#VALUE!</v>
      </c>
      <c r="CR83" t="e">
        <f>AND('PROG FORMACIÓN TITULADA'!M507,"AAAAAHfvHl8=")</f>
        <v>#VALUE!</v>
      </c>
      <c r="CS83" t="e">
        <f>AND('PROG FORMACIÓN TITULADA'!N507,"AAAAAHfvHmA=")</f>
        <v>#VALUE!</v>
      </c>
      <c r="CT83" t="e">
        <f>AND('PROG FORMACIÓN TITULADA'!O507,"AAAAAHfvHmE=")</f>
        <v>#VALUE!</v>
      </c>
      <c r="CU83" t="e">
        <f>AND('PROG FORMACIÓN TITULADA'!P507,"AAAAAHfvHmI=")</f>
        <v>#VALUE!</v>
      </c>
      <c r="CV83" t="e">
        <f>AND('PROG FORMACIÓN TITULADA'!Q507,"AAAAAHfvHmM=")</f>
        <v>#VALUE!</v>
      </c>
      <c r="CW83" t="e">
        <f>AND('PROG FORMACIÓN TITULADA'!R507,"AAAAAHfvHmQ=")</f>
        <v>#VALUE!</v>
      </c>
      <c r="CX83" t="e">
        <f>AND('PROG FORMACIÓN TITULADA'!S507,"AAAAAHfvHmU=")</f>
        <v>#VALUE!</v>
      </c>
      <c r="CY83" t="e">
        <f>AND('PROG FORMACIÓN TITULADA'!T507,"AAAAAHfvHmY=")</f>
        <v>#VALUE!</v>
      </c>
      <c r="CZ83" t="e">
        <f>AND('PROG FORMACIÓN TITULADA'!U507,"AAAAAHfvHmc=")</f>
        <v>#VALUE!</v>
      </c>
      <c r="DA83" t="e">
        <f>AND('PROG FORMACIÓN TITULADA'!V507,"AAAAAHfvHmg=")</f>
        <v>#VALUE!</v>
      </c>
      <c r="DB83" t="e">
        <f>AND('PROG FORMACIÓN TITULADA'!W507,"AAAAAHfvHmk=")</f>
        <v>#VALUE!</v>
      </c>
      <c r="DC83" t="e">
        <f>AND('PROG FORMACIÓN TITULADA'!X507,"AAAAAHfvHmo=")</f>
        <v>#VALUE!</v>
      </c>
      <c r="DD83" t="e">
        <f>AND('PROG FORMACIÓN TITULADA'!Y507,"AAAAAHfvHms=")</f>
        <v>#VALUE!</v>
      </c>
      <c r="DE83" t="e">
        <f>AND('PROG FORMACIÓN TITULADA'!Z507,"AAAAAHfvHmw=")</f>
        <v>#VALUE!</v>
      </c>
      <c r="DF83">
        <f>IF('PROG FORMACIÓN TITULADA'!508:508,"AAAAAHfvHm0=",0)</f>
        <v>0</v>
      </c>
      <c r="DG83" t="e">
        <f>AND('PROG FORMACIÓN TITULADA'!A508,"AAAAAHfvHm4=")</f>
        <v>#VALUE!</v>
      </c>
      <c r="DH83" t="e">
        <f>AND('PROG FORMACIÓN TITULADA'!B508,"AAAAAHfvHm8=")</f>
        <v>#VALUE!</v>
      </c>
      <c r="DI83" t="e">
        <f>AND('PROG FORMACIÓN TITULADA'!C508,"AAAAAHfvHnA=")</f>
        <v>#VALUE!</v>
      </c>
      <c r="DJ83" t="e">
        <f>AND('PROG FORMACIÓN TITULADA'!D508,"AAAAAHfvHnE=")</f>
        <v>#VALUE!</v>
      </c>
      <c r="DK83" t="e">
        <f>AND('PROG FORMACIÓN TITULADA'!E508,"AAAAAHfvHnI=")</f>
        <v>#VALUE!</v>
      </c>
      <c r="DL83" t="e">
        <f>AND('PROG FORMACIÓN TITULADA'!F508,"AAAAAHfvHnM=")</f>
        <v>#VALUE!</v>
      </c>
      <c r="DM83" t="e">
        <f>AND('PROG FORMACIÓN TITULADA'!G508,"AAAAAHfvHnQ=")</f>
        <v>#VALUE!</v>
      </c>
      <c r="DN83" t="e">
        <f>AND('PROG FORMACIÓN TITULADA'!H508,"AAAAAHfvHnU=")</f>
        <v>#VALUE!</v>
      </c>
      <c r="DO83" t="e">
        <f>AND('PROG FORMACIÓN TITULADA'!I508,"AAAAAHfvHnY=")</f>
        <v>#VALUE!</v>
      </c>
      <c r="DP83" t="e">
        <f>AND('PROG FORMACIÓN TITULADA'!J508,"AAAAAHfvHnc=")</f>
        <v>#VALUE!</v>
      </c>
      <c r="DQ83" t="e">
        <f>AND('PROG FORMACIÓN TITULADA'!K508,"AAAAAHfvHng=")</f>
        <v>#VALUE!</v>
      </c>
      <c r="DR83" t="e">
        <f>AND('PROG FORMACIÓN TITULADA'!L508,"AAAAAHfvHnk=")</f>
        <v>#VALUE!</v>
      </c>
      <c r="DS83" t="e">
        <f>AND('PROG FORMACIÓN TITULADA'!M508,"AAAAAHfvHno=")</f>
        <v>#VALUE!</v>
      </c>
      <c r="DT83" t="e">
        <f>AND('PROG FORMACIÓN TITULADA'!N508,"AAAAAHfvHns=")</f>
        <v>#VALUE!</v>
      </c>
      <c r="DU83" t="e">
        <f>AND('PROG FORMACIÓN TITULADA'!O508,"AAAAAHfvHnw=")</f>
        <v>#VALUE!</v>
      </c>
      <c r="DV83" t="e">
        <f>AND('PROG FORMACIÓN TITULADA'!P508,"AAAAAHfvHn0=")</f>
        <v>#VALUE!</v>
      </c>
      <c r="DW83" t="e">
        <f>AND('PROG FORMACIÓN TITULADA'!Q508,"AAAAAHfvHn4=")</f>
        <v>#VALUE!</v>
      </c>
      <c r="DX83" t="e">
        <f>AND('PROG FORMACIÓN TITULADA'!R508,"AAAAAHfvHn8=")</f>
        <v>#VALUE!</v>
      </c>
      <c r="DY83" t="e">
        <f>AND('PROG FORMACIÓN TITULADA'!S508,"AAAAAHfvHoA=")</f>
        <v>#VALUE!</v>
      </c>
      <c r="DZ83" t="e">
        <f>AND('PROG FORMACIÓN TITULADA'!T508,"AAAAAHfvHoE=")</f>
        <v>#VALUE!</v>
      </c>
      <c r="EA83" t="e">
        <f>AND('PROG FORMACIÓN TITULADA'!U508,"AAAAAHfvHoI=")</f>
        <v>#VALUE!</v>
      </c>
      <c r="EB83" t="e">
        <f>AND('PROG FORMACIÓN TITULADA'!V508,"AAAAAHfvHoM=")</f>
        <v>#VALUE!</v>
      </c>
      <c r="EC83" t="e">
        <f>AND('PROG FORMACIÓN TITULADA'!W508,"AAAAAHfvHoQ=")</f>
        <v>#VALUE!</v>
      </c>
      <c r="ED83" t="e">
        <f>AND('PROG FORMACIÓN TITULADA'!X508,"AAAAAHfvHoU=")</f>
        <v>#VALUE!</v>
      </c>
      <c r="EE83" t="e">
        <f>AND('PROG FORMACIÓN TITULADA'!Y508,"AAAAAHfvHoY=")</f>
        <v>#VALUE!</v>
      </c>
      <c r="EF83" t="e">
        <f>AND('PROG FORMACIÓN TITULADA'!Z508,"AAAAAHfvHoc=")</f>
        <v>#VALUE!</v>
      </c>
      <c r="EG83">
        <f>IF('PROG FORMACIÓN TITULADA'!509:509,"AAAAAHfvHog=",0)</f>
        <v>0</v>
      </c>
      <c r="EH83" t="e">
        <f>AND('PROG FORMACIÓN TITULADA'!A509,"AAAAAHfvHok=")</f>
        <v>#VALUE!</v>
      </c>
      <c r="EI83" t="e">
        <f>AND('PROG FORMACIÓN TITULADA'!B509,"AAAAAHfvHoo=")</f>
        <v>#VALUE!</v>
      </c>
      <c r="EJ83" t="e">
        <f>AND('PROG FORMACIÓN TITULADA'!C509,"AAAAAHfvHos=")</f>
        <v>#VALUE!</v>
      </c>
      <c r="EK83" t="e">
        <f>AND('PROG FORMACIÓN TITULADA'!D509,"AAAAAHfvHow=")</f>
        <v>#VALUE!</v>
      </c>
      <c r="EL83" t="e">
        <f>AND('PROG FORMACIÓN TITULADA'!E509,"AAAAAHfvHo0=")</f>
        <v>#VALUE!</v>
      </c>
      <c r="EM83" t="e">
        <f>AND('PROG FORMACIÓN TITULADA'!F509,"AAAAAHfvHo4=")</f>
        <v>#VALUE!</v>
      </c>
      <c r="EN83" t="e">
        <f>AND('PROG FORMACIÓN TITULADA'!G509,"AAAAAHfvHo8=")</f>
        <v>#VALUE!</v>
      </c>
      <c r="EO83" t="e">
        <f>AND('PROG FORMACIÓN TITULADA'!H509,"AAAAAHfvHpA=")</f>
        <v>#VALUE!</v>
      </c>
      <c r="EP83" t="e">
        <f>AND('PROG FORMACIÓN TITULADA'!I509,"AAAAAHfvHpE=")</f>
        <v>#VALUE!</v>
      </c>
      <c r="EQ83" t="e">
        <f>AND('PROG FORMACIÓN TITULADA'!J509,"AAAAAHfvHpI=")</f>
        <v>#VALUE!</v>
      </c>
      <c r="ER83" t="e">
        <f>AND('PROG FORMACIÓN TITULADA'!K509,"AAAAAHfvHpM=")</f>
        <v>#VALUE!</v>
      </c>
      <c r="ES83" t="e">
        <f>AND('PROG FORMACIÓN TITULADA'!L509,"AAAAAHfvHpQ=")</f>
        <v>#VALUE!</v>
      </c>
      <c r="ET83" t="e">
        <f>AND('PROG FORMACIÓN TITULADA'!M509,"AAAAAHfvHpU=")</f>
        <v>#VALUE!</v>
      </c>
      <c r="EU83" t="e">
        <f>AND('PROG FORMACIÓN TITULADA'!N509,"AAAAAHfvHpY=")</f>
        <v>#VALUE!</v>
      </c>
      <c r="EV83" t="e">
        <f>AND('PROG FORMACIÓN TITULADA'!O509,"AAAAAHfvHpc=")</f>
        <v>#VALUE!</v>
      </c>
      <c r="EW83" t="e">
        <f>AND('PROG FORMACIÓN TITULADA'!P509,"AAAAAHfvHpg=")</f>
        <v>#VALUE!</v>
      </c>
      <c r="EX83" t="e">
        <f>AND('PROG FORMACIÓN TITULADA'!Q509,"AAAAAHfvHpk=")</f>
        <v>#VALUE!</v>
      </c>
      <c r="EY83" t="e">
        <f>AND('PROG FORMACIÓN TITULADA'!R509,"AAAAAHfvHpo=")</f>
        <v>#VALUE!</v>
      </c>
      <c r="EZ83" t="e">
        <f>AND('PROG FORMACIÓN TITULADA'!S509,"AAAAAHfvHps=")</f>
        <v>#VALUE!</v>
      </c>
      <c r="FA83" t="e">
        <f>AND('PROG FORMACIÓN TITULADA'!T509,"AAAAAHfvHpw=")</f>
        <v>#VALUE!</v>
      </c>
      <c r="FB83" t="e">
        <f>AND('PROG FORMACIÓN TITULADA'!U509,"AAAAAHfvHp0=")</f>
        <v>#VALUE!</v>
      </c>
      <c r="FC83" t="e">
        <f>AND('PROG FORMACIÓN TITULADA'!V509,"AAAAAHfvHp4=")</f>
        <v>#VALUE!</v>
      </c>
      <c r="FD83" t="e">
        <f>AND('PROG FORMACIÓN TITULADA'!W509,"AAAAAHfvHp8=")</f>
        <v>#VALUE!</v>
      </c>
      <c r="FE83" t="e">
        <f>AND('PROG FORMACIÓN TITULADA'!X509,"AAAAAHfvHqA=")</f>
        <v>#VALUE!</v>
      </c>
      <c r="FF83" t="e">
        <f>AND('PROG FORMACIÓN TITULADA'!Y509,"AAAAAHfvHqE=")</f>
        <v>#VALUE!</v>
      </c>
      <c r="FG83" t="e">
        <f>AND('PROG FORMACIÓN TITULADA'!Z509,"AAAAAHfvHqI=")</f>
        <v>#VALUE!</v>
      </c>
      <c r="FH83">
        <f>IF('PROG FORMACIÓN TITULADA'!510:510,"AAAAAHfvHqM=",0)</f>
        <v>0</v>
      </c>
      <c r="FI83" t="e">
        <f>AND('PROG FORMACIÓN TITULADA'!A510,"AAAAAHfvHqQ=")</f>
        <v>#VALUE!</v>
      </c>
      <c r="FJ83" t="e">
        <f>AND('PROG FORMACIÓN TITULADA'!B510,"AAAAAHfvHqU=")</f>
        <v>#VALUE!</v>
      </c>
      <c r="FK83" t="e">
        <f>AND('PROG FORMACIÓN TITULADA'!C510,"AAAAAHfvHqY=")</f>
        <v>#VALUE!</v>
      </c>
      <c r="FL83" t="e">
        <f>AND('PROG FORMACIÓN TITULADA'!D510,"AAAAAHfvHqc=")</f>
        <v>#VALUE!</v>
      </c>
      <c r="FM83" t="e">
        <f>AND('PROG FORMACIÓN TITULADA'!E510,"AAAAAHfvHqg=")</f>
        <v>#VALUE!</v>
      </c>
      <c r="FN83" t="e">
        <f>AND('PROG FORMACIÓN TITULADA'!F510,"AAAAAHfvHqk=")</f>
        <v>#VALUE!</v>
      </c>
      <c r="FO83" t="e">
        <f>AND('PROG FORMACIÓN TITULADA'!G510,"AAAAAHfvHqo=")</f>
        <v>#VALUE!</v>
      </c>
      <c r="FP83" t="e">
        <f>AND('PROG FORMACIÓN TITULADA'!H510,"AAAAAHfvHqs=")</f>
        <v>#VALUE!</v>
      </c>
      <c r="FQ83" t="e">
        <f>AND('PROG FORMACIÓN TITULADA'!I510,"AAAAAHfvHqw=")</f>
        <v>#VALUE!</v>
      </c>
      <c r="FR83" t="e">
        <f>AND('PROG FORMACIÓN TITULADA'!J510,"AAAAAHfvHq0=")</f>
        <v>#VALUE!</v>
      </c>
      <c r="FS83" t="e">
        <f>AND('PROG FORMACIÓN TITULADA'!K510,"AAAAAHfvHq4=")</f>
        <v>#VALUE!</v>
      </c>
      <c r="FT83" t="e">
        <f>AND('PROG FORMACIÓN TITULADA'!L510,"AAAAAHfvHq8=")</f>
        <v>#VALUE!</v>
      </c>
      <c r="FU83" t="e">
        <f>AND('PROG FORMACIÓN TITULADA'!M510,"AAAAAHfvHrA=")</f>
        <v>#VALUE!</v>
      </c>
      <c r="FV83" t="e">
        <f>AND('PROG FORMACIÓN TITULADA'!N510,"AAAAAHfvHrE=")</f>
        <v>#VALUE!</v>
      </c>
      <c r="FW83" t="e">
        <f>AND('PROG FORMACIÓN TITULADA'!O510,"AAAAAHfvHrI=")</f>
        <v>#VALUE!</v>
      </c>
      <c r="FX83" t="e">
        <f>AND('PROG FORMACIÓN TITULADA'!P510,"AAAAAHfvHrM=")</f>
        <v>#VALUE!</v>
      </c>
      <c r="FY83" t="e">
        <f>AND('PROG FORMACIÓN TITULADA'!Q510,"AAAAAHfvHrQ=")</f>
        <v>#VALUE!</v>
      </c>
      <c r="FZ83" t="e">
        <f>AND('PROG FORMACIÓN TITULADA'!R510,"AAAAAHfvHrU=")</f>
        <v>#VALUE!</v>
      </c>
      <c r="GA83" t="e">
        <f>AND('PROG FORMACIÓN TITULADA'!S510,"AAAAAHfvHrY=")</f>
        <v>#VALUE!</v>
      </c>
      <c r="GB83" t="e">
        <f>AND('PROG FORMACIÓN TITULADA'!T510,"AAAAAHfvHrc=")</f>
        <v>#VALUE!</v>
      </c>
      <c r="GC83" t="e">
        <f>AND('PROG FORMACIÓN TITULADA'!U510,"AAAAAHfvHrg=")</f>
        <v>#VALUE!</v>
      </c>
      <c r="GD83" t="e">
        <f>AND('PROG FORMACIÓN TITULADA'!V510,"AAAAAHfvHrk=")</f>
        <v>#VALUE!</v>
      </c>
      <c r="GE83" t="e">
        <f>AND('PROG FORMACIÓN TITULADA'!W510,"AAAAAHfvHro=")</f>
        <v>#VALUE!</v>
      </c>
      <c r="GF83" t="e">
        <f>AND('PROG FORMACIÓN TITULADA'!X510,"AAAAAHfvHrs=")</f>
        <v>#VALUE!</v>
      </c>
      <c r="GG83" t="e">
        <f>AND('PROG FORMACIÓN TITULADA'!Y510,"AAAAAHfvHrw=")</f>
        <v>#VALUE!</v>
      </c>
      <c r="GH83" t="e">
        <f>AND('PROG FORMACIÓN TITULADA'!Z510,"AAAAAHfvHr0=")</f>
        <v>#VALUE!</v>
      </c>
      <c r="GI83">
        <f>IF('PROG FORMACIÓN TITULADA'!511:511,"AAAAAHfvHr4=",0)</f>
        <v>0</v>
      </c>
      <c r="GJ83" t="e">
        <f>AND('PROG FORMACIÓN TITULADA'!A511,"AAAAAHfvHr8=")</f>
        <v>#VALUE!</v>
      </c>
      <c r="GK83" t="e">
        <f>AND('PROG FORMACIÓN TITULADA'!B511,"AAAAAHfvHsA=")</f>
        <v>#VALUE!</v>
      </c>
      <c r="GL83" t="e">
        <f>AND('PROG FORMACIÓN TITULADA'!C511,"AAAAAHfvHsE=")</f>
        <v>#VALUE!</v>
      </c>
      <c r="GM83" t="e">
        <f>AND('PROG FORMACIÓN TITULADA'!D511,"AAAAAHfvHsI=")</f>
        <v>#VALUE!</v>
      </c>
      <c r="GN83" t="e">
        <f>AND('PROG FORMACIÓN TITULADA'!E511,"AAAAAHfvHsM=")</f>
        <v>#VALUE!</v>
      </c>
      <c r="GO83" t="e">
        <f>AND('PROG FORMACIÓN TITULADA'!F511,"AAAAAHfvHsQ=")</f>
        <v>#VALUE!</v>
      </c>
      <c r="GP83" t="e">
        <f>AND('PROG FORMACIÓN TITULADA'!G511,"AAAAAHfvHsU=")</f>
        <v>#VALUE!</v>
      </c>
      <c r="GQ83" t="e">
        <f>AND('PROG FORMACIÓN TITULADA'!H511,"AAAAAHfvHsY=")</f>
        <v>#VALUE!</v>
      </c>
      <c r="GR83" t="e">
        <f>AND('PROG FORMACIÓN TITULADA'!I511,"AAAAAHfvHsc=")</f>
        <v>#VALUE!</v>
      </c>
      <c r="GS83" t="e">
        <f>AND('PROG FORMACIÓN TITULADA'!J511,"AAAAAHfvHsg=")</f>
        <v>#VALUE!</v>
      </c>
      <c r="GT83" t="e">
        <f>AND('PROG FORMACIÓN TITULADA'!K511,"AAAAAHfvHsk=")</f>
        <v>#VALUE!</v>
      </c>
      <c r="GU83" t="e">
        <f>AND('PROG FORMACIÓN TITULADA'!L511,"AAAAAHfvHso=")</f>
        <v>#VALUE!</v>
      </c>
      <c r="GV83" t="e">
        <f>AND('PROG FORMACIÓN TITULADA'!M511,"AAAAAHfvHss=")</f>
        <v>#VALUE!</v>
      </c>
      <c r="GW83" t="e">
        <f>AND('PROG FORMACIÓN TITULADA'!N511,"AAAAAHfvHsw=")</f>
        <v>#VALUE!</v>
      </c>
      <c r="GX83" t="e">
        <f>AND('PROG FORMACIÓN TITULADA'!O511,"AAAAAHfvHs0=")</f>
        <v>#VALUE!</v>
      </c>
      <c r="GY83" t="e">
        <f>AND('PROG FORMACIÓN TITULADA'!P511,"AAAAAHfvHs4=")</f>
        <v>#VALUE!</v>
      </c>
      <c r="GZ83" t="e">
        <f>AND('PROG FORMACIÓN TITULADA'!Q511,"AAAAAHfvHs8=")</f>
        <v>#VALUE!</v>
      </c>
      <c r="HA83" t="e">
        <f>AND('PROG FORMACIÓN TITULADA'!R511,"AAAAAHfvHtA=")</f>
        <v>#VALUE!</v>
      </c>
      <c r="HB83" t="e">
        <f>AND('PROG FORMACIÓN TITULADA'!S511,"AAAAAHfvHtE=")</f>
        <v>#VALUE!</v>
      </c>
      <c r="HC83" t="e">
        <f>AND('PROG FORMACIÓN TITULADA'!T511,"AAAAAHfvHtI=")</f>
        <v>#VALUE!</v>
      </c>
      <c r="HD83" t="e">
        <f>AND('PROG FORMACIÓN TITULADA'!U511,"AAAAAHfvHtM=")</f>
        <v>#VALUE!</v>
      </c>
      <c r="HE83" t="e">
        <f>AND('PROG FORMACIÓN TITULADA'!V511,"AAAAAHfvHtQ=")</f>
        <v>#VALUE!</v>
      </c>
      <c r="HF83" t="e">
        <f>AND('PROG FORMACIÓN TITULADA'!W511,"AAAAAHfvHtU=")</f>
        <v>#VALUE!</v>
      </c>
      <c r="HG83" t="e">
        <f>AND('PROG FORMACIÓN TITULADA'!X511,"AAAAAHfvHtY=")</f>
        <v>#VALUE!</v>
      </c>
      <c r="HH83" t="e">
        <f>AND('PROG FORMACIÓN TITULADA'!Y511,"AAAAAHfvHtc=")</f>
        <v>#VALUE!</v>
      </c>
      <c r="HI83" t="e">
        <f>AND('PROG FORMACIÓN TITULADA'!Z511,"AAAAAHfvHtg=")</f>
        <v>#VALUE!</v>
      </c>
      <c r="HJ83">
        <f>IF('PROG FORMACIÓN TITULADA'!512:512,"AAAAAHfvHtk=",0)</f>
        <v>0</v>
      </c>
      <c r="HK83" t="e">
        <f>AND('PROG FORMACIÓN TITULADA'!A512,"AAAAAHfvHto=")</f>
        <v>#VALUE!</v>
      </c>
      <c r="HL83" t="e">
        <f>AND('PROG FORMACIÓN TITULADA'!B512,"AAAAAHfvHts=")</f>
        <v>#VALUE!</v>
      </c>
      <c r="HM83" t="e">
        <f>AND('PROG FORMACIÓN TITULADA'!C512,"AAAAAHfvHtw=")</f>
        <v>#VALUE!</v>
      </c>
      <c r="HN83" t="e">
        <f>AND('PROG FORMACIÓN TITULADA'!D512,"AAAAAHfvHt0=")</f>
        <v>#VALUE!</v>
      </c>
      <c r="HO83" t="e">
        <f>AND('PROG FORMACIÓN TITULADA'!E512,"AAAAAHfvHt4=")</f>
        <v>#VALUE!</v>
      </c>
      <c r="HP83" t="e">
        <f>AND('PROG FORMACIÓN TITULADA'!F512,"AAAAAHfvHt8=")</f>
        <v>#VALUE!</v>
      </c>
      <c r="HQ83" t="e">
        <f>AND('PROG FORMACIÓN TITULADA'!G512,"AAAAAHfvHuA=")</f>
        <v>#VALUE!</v>
      </c>
      <c r="HR83" t="e">
        <f>AND('PROG FORMACIÓN TITULADA'!H512,"AAAAAHfvHuE=")</f>
        <v>#VALUE!</v>
      </c>
      <c r="HS83" t="e">
        <f>AND('PROG FORMACIÓN TITULADA'!I512,"AAAAAHfvHuI=")</f>
        <v>#VALUE!</v>
      </c>
      <c r="HT83" t="e">
        <f>AND('PROG FORMACIÓN TITULADA'!J512,"AAAAAHfvHuM=")</f>
        <v>#VALUE!</v>
      </c>
      <c r="HU83" t="e">
        <f>AND('PROG FORMACIÓN TITULADA'!K512,"AAAAAHfvHuQ=")</f>
        <v>#VALUE!</v>
      </c>
      <c r="HV83" t="e">
        <f>AND('PROG FORMACIÓN TITULADA'!L512,"AAAAAHfvHuU=")</f>
        <v>#VALUE!</v>
      </c>
      <c r="HW83" t="e">
        <f>AND('PROG FORMACIÓN TITULADA'!M512,"AAAAAHfvHuY=")</f>
        <v>#VALUE!</v>
      </c>
      <c r="HX83" t="e">
        <f>AND('PROG FORMACIÓN TITULADA'!N512,"AAAAAHfvHuc=")</f>
        <v>#VALUE!</v>
      </c>
      <c r="HY83" t="e">
        <f>AND('PROG FORMACIÓN TITULADA'!O512,"AAAAAHfvHug=")</f>
        <v>#VALUE!</v>
      </c>
      <c r="HZ83" t="e">
        <f>AND('PROG FORMACIÓN TITULADA'!P512,"AAAAAHfvHuk=")</f>
        <v>#VALUE!</v>
      </c>
      <c r="IA83" t="e">
        <f>AND('PROG FORMACIÓN TITULADA'!Q512,"AAAAAHfvHuo=")</f>
        <v>#VALUE!</v>
      </c>
      <c r="IB83" t="e">
        <f>AND('PROG FORMACIÓN TITULADA'!R512,"AAAAAHfvHus=")</f>
        <v>#VALUE!</v>
      </c>
      <c r="IC83" t="e">
        <f>AND('PROG FORMACIÓN TITULADA'!S512,"AAAAAHfvHuw=")</f>
        <v>#VALUE!</v>
      </c>
      <c r="ID83" t="e">
        <f>AND('PROG FORMACIÓN TITULADA'!T512,"AAAAAHfvHu0=")</f>
        <v>#VALUE!</v>
      </c>
      <c r="IE83" t="e">
        <f>AND('PROG FORMACIÓN TITULADA'!U512,"AAAAAHfvHu4=")</f>
        <v>#VALUE!</v>
      </c>
      <c r="IF83" t="e">
        <f>AND('PROG FORMACIÓN TITULADA'!V512,"AAAAAHfvHu8=")</f>
        <v>#VALUE!</v>
      </c>
      <c r="IG83" t="e">
        <f>AND('PROG FORMACIÓN TITULADA'!W512,"AAAAAHfvHvA=")</f>
        <v>#VALUE!</v>
      </c>
      <c r="IH83" t="e">
        <f>AND('PROG FORMACIÓN TITULADA'!X512,"AAAAAHfvHvE=")</f>
        <v>#VALUE!</v>
      </c>
      <c r="II83" t="e">
        <f>AND('PROG FORMACIÓN TITULADA'!Y512,"AAAAAHfvHvI=")</f>
        <v>#VALUE!</v>
      </c>
      <c r="IJ83" t="e">
        <f>AND('PROG FORMACIÓN TITULADA'!Z512,"AAAAAHfvHvM=")</f>
        <v>#VALUE!</v>
      </c>
      <c r="IK83">
        <f>IF('PROG FORMACIÓN TITULADA'!513:513,"AAAAAHfvHvQ=",0)</f>
        <v>0</v>
      </c>
      <c r="IL83" t="e">
        <f>AND('PROG FORMACIÓN TITULADA'!A513,"AAAAAHfvHvU=")</f>
        <v>#VALUE!</v>
      </c>
      <c r="IM83" t="e">
        <f>AND('PROG FORMACIÓN TITULADA'!B513,"AAAAAHfvHvY=")</f>
        <v>#VALUE!</v>
      </c>
      <c r="IN83" t="e">
        <f>AND('PROG FORMACIÓN TITULADA'!C513,"AAAAAHfvHvc=")</f>
        <v>#VALUE!</v>
      </c>
      <c r="IO83" t="e">
        <f>AND('PROG FORMACIÓN TITULADA'!D513,"AAAAAHfvHvg=")</f>
        <v>#VALUE!</v>
      </c>
      <c r="IP83" t="e">
        <f>AND('PROG FORMACIÓN TITULADA'!E513,"AAAAAHfvHvk=")</f>
        <v>#VALUE!</v>
      </c>
      <c r="IQ83" t="e">
        <f>AND('PROG FORMACIÓN TITULADA'!F513,"AAAAAHfvHvo=")</f>
        <v>#VALUE!</v>
      </c>
      <c r="IR83" t="e">
        <f>AND('PROG FORMACIÓN TITULADA'!G513,"AAAAAHfvHvs=")</f>
        <v>#VALUE!</v>
      </c>
      <c r="IS83" t="e">
        <f>AND('PROG FORMACIÓN TITULADA'!H513,"AAAAAHfvHvw=")</f>
        <v>#VALUE!</v>
      </c>
      <c r="IT83" t="e">
        <f>AND('PROG FORMACIÓN TITULADA'!I513,"AAAAAHfvHv0=")</f>
        <v>#VALUE!</v>
      </c>
      <c r="IU83" t="e">
        <f>AND('PROG FORMACIÓN TITULADA'!J513,"AAAAAHfvHv4=")</f>
        <v>#VALUE!</v>
      </c>
      <c r="IV83" t="e">
        <f>AND('PROG FORMACIÓN TITULADA'!K513,"AAAAAHfvHv8=")</f>
        <v>#VALUE!</v>
      </c>
    </row>
    <row r="84" spans="1:256" x14ac:dyDescent="0.2">
      <c r="A84" t="e">
        <f>AND('PROG FORMACIÓN TITULADA'!L513,"AAAAAH7//wA=")</f>
        <v>#VALUE!</v>
      </c>
      <c r="B84" t="e">
        <f>AND('PROG FORMACIÓN TITULADA'!M513,"AAAAAH7//wE=")</f>
        <v>#VALUE!</v>
      </c>
      <c r="C84" t="e">
        <f>AND('PROG FORMACIÓN TITULADA'!N513,"AAAAAH7//wI=")</f>
        <v>#VALUE!</v>
      </c>
      <c r="D84" t="e">
        <f>AND('PROG FORMACIÓN TITULADA'!O513,"AAAAAH7//wM=")</f>
        <v>#VALUE!</v>
      </c>
      <c r="E84" t="e">
        <f>AND('PROG FORMACIÓN TITULADA'!P513,"AAAAAH7//wQ=")</f>
        <v>#VALUE!</v>
      </c>
      <c r="F84" t="e">
        <f>AND('PROG FORMACIÓN TITULADA'!Q513,"AAAAAH7//wU=")</f>
        <v>#VALUE!</v>
      </c>
      <c r="G84" t="e">
        <f>AND('PROG FORMACIÓN TITULADA'!R513,"AAAAAH7//wY=")</f>
        <v>#VALUE!</v>
      </c>
      <c r="H84" t="e">
        <f>AND('PROG FORMACIÓN TITULADA'!S513,"AAAAAH7//wc=")</f>
        <v>#VALUE!</v>
      </c>
      <c r="I84" t="e">
        <f>AND('PROG FORMACIÓN TITULADA'!T513,"AAAAAH7//wg=")</f>
        <v>#VALUE!</v>
      </c>
      <c r="J84" t="e">
        <f>AND('PROG FORMACIÓN TITULADA'!U513,"AAAAAH7//wk=")</f>
        <v>#VALUE!</v>
      </c>
      <c r="K84" t="e">
        <f>AND('PROG FORMACIÓN TITULADA'!V513,"AAAAAH7//wo=")</f>
        <v>#VALUE!</v>
      </c>
      <c r="L84" t="e">
        <f>AND('PROG FORMACIÓN TITULADA'!W513,"AAAAAH7//ws=")</f>
        <v>#VALUE!</v>
      </c>
      <c r="M84" t="e">
        <f>AND('PROG FORMACIÓN TITULADA'!X513,"AAAAAH7//ww=")</f>
        <v>#VALUE!</v>
      </c>
      <c r="N84" t="e">
        <f>AND('PROG FORMACIÓN TITULADA'!Y513,"AAAAAH7//w0=")</f>
        <v>#VALUE!</v>
      </c>
      <c r="O84" t="e">
        <f>AND('PROG FORMACIÓN TITULADA'!Z513,"AAAAAH7//w4=")</f>
        <v>#VALUE!</v>
      </c>
      <c r="P84" t="e">
        <f>IF('PROG FORMACIÓN TITULADA'!514:514,"AAAAAH7//w8=",0)</f>
        <v>#VALUE!</v>
      </c>
      <c r="Q84" t="e">
        <f>AND('PROG FORMACIÓN TITULADA'!A514,"AAAAAH7//xA=")</f>
        <v>#VALUE!</v>
      </c>
      <c r="R84" t="e">
        <f>AND('PROG FORMACIÓN TITULADA'!B514,"AAAAAH7//xE=")</f>
        <v>#VALUE!</v>
      </c>
      <c r="S84" t="e">
        <f>AND('PROG FORMACIÓN TITULADA'!C514,"AAAAAH7//xI=")</f>
        <v>#VALUE!</v>
      </c>
      <c r="T84" t="e">
        <f>AND('PROG FORMACIÓN TITULADA'!D514,"AAAAAH7//xM=")</f>
        <v>#VALUE!</v>
      </c>
      <c r="U84" t="e">
        <f>AND('PROG FORMACIÓN TITULADA'!E514,"AAAAAH7//xQ=")</f>
        <v>#VALUE!</v>
      </c>
      <c r="V84" t="e">
        <f>AND('PROG FORMACIÓN TITULADA'!F514,"AAAAAH7//xU=")</f>
        <v>#VALUE!</v>
      </c>
      <c r="W84" t="e">
        <f>AND('PROG FORMACIÓN TITULADA'!G514,"AAAAAH7//xY=")</f>
        <v>#VALUE!</v>
      </c>
      <c r="X84" t="e">
        <f>AND('PROG FORMACIÓN TITULADA'!H514,"AAAAAH7//xc=")</f>
        <v>#VALUE!</v>
      </c>
      <c r="Y84" t="e">
        <f>AND('PROG FORMACIÓN TITULADA'!I514,"AAAAAH7//xg=")</f>
        <v>#VALUE!</v>
      </c>
      <c r="Z84" t="e">
        <f>AND('PROG FORMACIÓN TITULADA'!J514,"AAAAAH7//xk=")</f>
        <v>#VALUE!</v>
      </c>
      <c r="AA84" t="e">
        <f>AND('PROG FORMACIÓN TITULADA'!K514,"AAAAAH7//xo=")</f>
        <v>#VALUE!</v>
      </c>
      <c r="AB84" t="e">
        <f>AND('PROG FORMACIÓN TITULADA'!L514,"AAAAAH7//xs=")</f>
        <v>#VALUE!</v>
      </c>
      <c r="AC84" t="e">
        <f>AND('PROG FORMACIÓN TITULADA'!M514,"AAAAAH7//xw=")</f>
        <v>#VALUE!</v>
      </c>
      <c r="AD84" t="e">
        <f>AND('PROG FORMACIÓN TITULADA'!N514,"AAAAAH7//x0=")</f>
        <v>#VALUE!</v>
      </c>
      <c r="AE84" t="e">
        <f>AND('PROG FORMACIÓN TITULADA'!O514,"AAAAAH7//x4=")</f>
        <v>#VALUE!</v>
      </c>
      <c r="AF84" t="e">
        <f>AND('PROG FORMACIÓN TITULADA'!P514,"AAAAAH7//x8=")</f>
        <v>#VALUE!</v>
      </c>
      <c r="AG84" t="e">
        <f>AND('PROG FORMACIÓN TITULADA'!Q514,"AAAAAH7//yA=")</f>
        <v>#VALUE!</v>
      </c>
      <c r="AH84" t="e">
        <f>AND('PROG FORMACIÓN TITULADA'!R514,"AAAAAH7//yE=")</f>
        <v>#VALUE!</v>
      </c>
      <c r="AI84" t="e">
        <f>AND('PROG FORMACIÓN TITULADA'!S514,"AAAAAH7//yI=")</f>
        <v>#VALUE!</v>
      </c>
      <c r="AJ84" t="e">
        <f>AND('PROG FORMACIÓN TITULADA'!T514,"AAAAAH7//yM=")</f>
        <v>#VALUE!</v>
      </c>
      <c r="AK84" t="e">
        <f>AND('PROG FORMACIÓN TITULADA'!U514,"AAAAAH7//yQ=")</f>
        <v>#VALUE!</v>
      </c>
      <c r="AL84" t="e">
        <f>AND('PROG FORMACIÓN TITULADA'!V514,"AAAAAH7//yU=")</f>
        <v>#VALUE!</v>
      </c>
      <c r="AM84" t="e">
        <f>AND('PROG FORMACIÓN TITULADA'!W514,"AAAAAH7//yY=")</f>
        <v>#VALUE!</v>
      </c>
      <c r="AN84" t="e">
        <f>AND('PROG FORMACIÓN TITULADA'!X514,"AAAAAH7//yc=")</f>
        <v>#VALUE!</v>
      </c>
      <c r="AO84" t="e">
        <f>AND('PROG FORMACIÓN TITULADA'!Y514,"AAAAAH7//yg=")</f>
        <v>#VALUE!</v>
      </c>
      <c r="AP84" t="e">
        <f>AND('PROG FORMACIÓN TITULADA'!Z514,"AAAAAH7//yk=")</f>
        <v>#VALUE!</v>
      </c>
      <c r="AQ84">
        <f>IF('PROG FORMACIÓN TITULADA'!515:515,"AAAAAH7//yo=",0)</f>
        <v>0</v>
      </c>
      <c r="AR84" t="e">
        <f>AND('PROG FORMACIÓN TITULADA'!A515,"AAAAAH7//ys=")</f>
        <v>#VALUE!</v>
      </c>
      <c r="AS84" t="e">
        <f>AND('PROG FORMACIÓN TITULADA'!B515,"AAAAAH7//yw=")</f>
        <v>#VALUE!</v>
      </c>
      <c r="AT84" t="e">
        <f>AND('PROG FORMACIÓN TITULADA'!C515,"AAAAAH7//y0=")</f>
        <v>#VALUE!</v>
      </c>
      <c r="AU84" t="e">
        <f>AND('PROG FORMACIÓN TITULADA'!D515,"AAAAAH7//y4=")</f>
        <v>#VALUE!</v>
      </c>
      <c r="AV84" t="e">
        <f>AND('PROG FORMACIÓN TITULADA'!E515,"AAAAAH7//y8=")</f>
        <v>#VALUE!</v>
      </c>
      <c r="AW84" t="e">
        <f>AND('PROG FORMACIÓN TITULADA'!F515,"AAAAAH7//zA=")</f>
        <v>#VALUE!</v>
      </c>
      <c r="AX84" t="e">
        <f>AND('PROG FORMACIÓN TITULADA'!G515,"AAAAAH7//zE=")</f>
        <v>#VALUE!</v>
      </c>
      <c r="AY84" t="e">
        <f>AND('PROG FORMACIÓN TITULADA'!H515,"AAAAAH7//zI=")</f>
        <v>#VALUE!</v>
      </c>
      <c r="AZ84" t="e">
        <f>AND('PROG FORMACIÓN TITULADA'!I515,"AAAAAH7//zM=")</f>
        <v>#VALUE!</v>
      </c>
      <c r="BA84" t="e">
        <f>AND('PROG FORMACIÓN TITULADA'!J515,"AAAAAH7//zQ=")</f>
        <v>#VALUE!</v>
      </c>
      <c r="BB84" t="e">
        <f>AND('PROG FORMACIÓN TITULADA'!K515,"AAAAAH7//zU=")</f>
        <v>#VALUE!</v>
      </c>
      <c r="BC84" t="e">
        <f>AND('PROG FORMACIÓN TITULADA'!L515,"AAAAAH7//zY=")</f>
        <v>#VALUE!</v>
      </c>
      <c r="BD84" t="e">
        <f>AND('PROG FORMACIÓN TITULADA'!M515,"AAAAAH7//zc=")</f>
        <v>#VALUE!</v>
      </c>
      <c r="BE84" t="e">
        <f>AND('PROG FORMACIÓN TITULADA'!N515,"AAAAAH7//zg=")</f>
        <v>#VALUE!</v>
      </c>
      <c r="BF84" t="e">
        <f>AND('PROG FORMACIÓN TITULADA'!O515,"AAAAAH7//zk=")</f>
        <v>#VALUE!</v>
      </c>
      <c r="BG84" t="e">
        <f>AND('PROG FORMACIÓN TITULADA'!P515,"AAAAAH7//zo=")</f>
        <v>#VALUE!</v>
      </c>
      <c r="BH84" t="e">
        <f>AND('PROG FORMACIÓN TITULADA'!Q515,"AAAAAH7//zs=")</f>
        <v>#VALUE!</v>
      </c>
      <c r="BI84" t="e">
        <f>AND('PROG FORMACIÓN TITULADA'!R515,"AAAAAH7//zw=")</f>
        <v>#VALUE!</v>
      </c>
      <c r="BJ84" t="e">
        <f>AND('PROG FORMACIÓN TITULADA'!S515,"AAAAAH7//z0=")</f>
        <v>#VALUE!</v>
      </c>
      <c r="BK84" t="e">
        <f>AND('PROG FORMACIÓN TITULADA'!T515,"AAAAAH7//z4=")</f>
        <v>#VALUE!</v>
      </c>
      <c r="BL84" t="e">
        <f>AND('PROG FORMACIÓN TITULADA'!U515,"AAAAAH7//z8=")</f>
        <v>#VALUE!</v>
      </c>
      <c r="BM84" t="e">
        <f>AND('PROG FORMACIÓN TITULADA'!V515,"AAAAAH7//0A=")</f>
        <v>#VALUE!</v>
      </c>
      <c r="BN84" t="e">
        <f>AND('PROG FORMACIÓN TITULADA'!W515,"AAAAAH7//0E=")</f>
        <v>#VALUE!</v>
      </c>
      <c r="BO84" t="e">
        <f>AND('PROG FORMACIÓN TITULADA'!X515,"AAAAAH7//0I=")</f>
        <v>#VALUE!</v>
      </c>
      <c r="BP84" t="e">
        <f>AND('PROG FORMACIÓN TITULADA'!Y515,"AAAAAH7//0M=")</f>
        <v>#VALUE!</v>
      </c>
      <c r="BQ84" t="e">
        <f>AND('PROG FORMACIÓN TITULADA'!Z515,"AAAAAH7//0Q=")</f>
        <v>#VALUE!</v>
      </c>
      <c r="BR84">
        <f>IF('PROG FORMACIÓN TITULADA'!516:516,"AAAAAH7//0U=",0)</f>
        <v>0</v>
      </c>
      <c r="BS84" t="e">
        <f>AND('PROG FORMACIÓN TITULADA'!A516,"AAAAAH7//0Y=")</f>
        <v>#VALUE!</v>
      </c>
      <c r="BT84" t="e">
        <f>AND('PROG FORMACIÓN TITULADA'!B516,"AAAAAH7//0c=")</f>
        <v>#VALUE!</v>
      </c>
      <c r="BU84" t="e">
        <f>AND('PROG FORMACIÓN TITULADA'!C516,"AAAAAH7//0g=")</f>
        <v>#VALUE!</v>
      </c>
      <c r="BV84" t="e">
        <f>AND('PROG FORMACIÓN TITULADA'!D516,"AAAAAH7//0k=")</f>
        <v>#VALUE!</v>
      </c>
      <c r="BW84" t="e">
        <f>AND('PROG FORMACIÓN TITULADA'!E516,"AAAAAH7//0o=")</f>
        <v>#VALUE!</v>
      </c>
      <c r="BX84" t="e">
        <f>AND('PROG FORMACIÓN TITULADA'!F516,"AAAAAH7//0s=")</f>
        <v>#VALUE!</v>
      </c>
      <c r="BY84" t="e">
        <f>AND('PROG FORMACIÓN TITULADA'!G516,"AAAAAH7//0w=")</f>
        <v>#VALUE!</v>
      </c>
      <c r="BZ84" t="e">
        <f>AND('PROG FORMACIÓN TITULADA'!H516,"AAAAAH7//00=")</f>
        <v>#VALUE!</v>
      </c>
      <c r="CA84" t="e">
        <f>AND('PROG FORMACIÓN TITULADA'!I516,"AAAAAH7//04=")</f>
        <v>#VALUE!</v>
      </c>
      <c r="CB84" t="e">
        <f>AND('PROG FORMACIÓN TITULADA'!J516,"AAAAAH7//08=")</f>
        <v>#VALUE!</v>
      </c>
      <c r="CC84" t="e">
        <f>AND('PROG FORMACIÓN TITULADA'!K516,"AAAAAH7//1A=")</f>
        <v>#VALUE!</v>
      </c>
      <c r="CD84" t="e">
        <f>AND('PROG FORMACIÓN TITULADA'!L516,"AAAAAH7//1E=")</f>
        <v>#VALUE!</v>
      </c>
      <c r="CE84" t="e">
        <f>AND('PROG FORMACIÓN TITULADA'!M516,"AAAAAH7//1I=")</f>
        <v>#VALUE!</v>
      </c>
      <c r="CF84" t="e">
        <f>AND('PROG FORMACIÓN TITULADA'!N516,"AAAAAH7//1M=")</f>
        <v>#VALUE!</v>
      </c>
      <c r="CG84" t="e">
        <f>AND('PROG FORMACIÓN TITULADA'!O516,"AAAAAH7//1Q=")</f>
        <v>#VALUE!</v>
      </c>
      <c r="CH84" t="e">
        <f>AND('PROG FORMACIÓN TITULADA'!P516,"AAAAAH7//1U=")</f>
        <v>#VALUE!</v>
      </c>
      <c r="CI84" t="e">
        <f>AND('PROG FORMACIÓN TITULADA'!Q516,"AAAAAH7//1Y=")</f>
        <v>#VALUE!</v>
      </c>
      <c r="CJ84" t="e">
        <f>AND('PROG FORMACIÓN TITULADA'!R516,"AAAAAH7//1c=")</f>
        <v>#VALUE!</v>
      </c>
      <c r="CK84" t="e">
        <f>AND('PROG FORMACIÓN TITULADA'!S516,"AAAAAH7//1g=")</f>
        <v>#VALUE!</v>
      </c>
      <c r="CL84" t="e">
        <f>AND('PROG FORMACIÓN TITULADA'!T516,"AAAAAH7//1k=")</f>
        <v>#VALUE!</v>
      </c>
      <c r="CM84" t="e">
        <f>AND('PROG FORMACIÓN TITULADA'!U516,"AAAAAH7//1o=")</f>
        <v>#VALUE!</v>
      </c>
      <c r="CN84" t="e">
        <f>AND('PROG FORMACIÓN TITULADA'!V516,"AAAAAH7//1s=")</f>
        <v>#VALUE!</v>
      </c>
      <c r="CO84" t="e">
        <f>AND('PROG FORMACIÓN TITULADA'!W516,"AAAAAH7//1w=")</f>
        <v>#VALUE!</v>
      </c>
      <c r="CP84" t="e">
        <f>AND('PROG FORMACIÓN TITULADA'!X516,"AAAAAH7//10=")</f>
        <v>#VALUE!</v>
      </c>
      <c r="CQ84" t="e">
        <f>AND('PROG FORMACIÓN TITULADA'!Y516,"AAAAAH7//14=")</f>
        <v>#VALUE!</v>
      </c>
      <c r="CR84" t="e">
        <f>AND('PROG FORMACIÓN TITULADA'!Z516,"AAAAAH7//18=")</f>
        <v>#VALUE!</v>
      </c>
      <c r="CS84">
        <f>IF('PROG FORMACIÓN TITULADA'!517:517,"AAAAAH7//2A=",0)</f>
        <v>0</v>
      </c>
      <c r="CT84" t="e">
        <f>AND('PROG FORMACIÓN TITULADA'!A517,"AAAAAH7//2E=")</f>
        <v>#VALUE!</v>
      </c>
      <c r="CU84" t="e">
        <f>AND('PROG FORMACIÓN TITULADA'!B517,"AAAAAH7//2I=")</f>
        <v>#VALUE!</v>
      </c>
      <c r="CV84" t="e">
        <f>AND('PROG FORMACIÓN TITULADA'!C517,"AAAAAH7//2M=")</f>
        <v>#VALUE!</v>
      </c>
      <c r="CW84" t="e">
        <f>AND('PROG FORMACIÓN TITULADA'!D517,"AAAAAH7//2Q=")</f>
        <v>#VALUE!</v>
      </c>
      <c r="CX84" t="e">
        <f>AND('PROG FORMACIÓN TITULADA'!E517,"AAAAAH7//2U=")</f>
        <v>#VALUE!</v>
      </c>
      <c r="CY84" t="e">
        <f>AND('PROG FORMACIÓN TITULADA'!F517,"AAAAAH7//2Y=")</f>
        <v>#VALUE!</v>
      </c>
      <c r="CZ84" t="e">
        <f>AND('PROG FORMACIÓN TITULADA'!G517,"AAAAAH7//2c=")</f>
        <v>#VALUE!</v>
      </c>
      <c r="DA84" t="e">
        <f>AND('PROG FORMACIÓN TITULADA'!H517,"AAAAAH7//2g=")</f>
        <v>#VALUE!</v>
      </c>
      <c r="DB84" t="e">
        <f>AND('PROG FORMACIÓN TITULADA'!I517,"AAAAAH7//2k=")</f>
        <v>#VALUE!</v>
      </c>
      <c r="DC84" t="e">
        <f>AND('PROG FORMACIÓN TITULADA'!J517,"AAAAAH7//2o=")</f>
        <v>#VALUE!</v>
      </c>
      <c r="DD84" t="e">
        <f>AND('PROG FORMACIÓN TITULADA'!K517,"AAAAAH7//2s=")</f>
        <v>#VALUE!</v>
      </c>
      <c r="DE84" t="e">
        <f>AND('PROG FORMACIÓN TITULADA'!L517,"AAAAAH7//2w=")</f>
        <v>#VALUE!</v>
      </c>
      <c r="DF84" t="e">
        <f>AND('PROG FORMACIÓN TITULADA'!M517,"AAAAAH7//20=")</f>
        <v>#VALUE!</v>
      </c>
      <c r="DG84" t="e">
        <f>AND('PROG FORMACIÓN TITULADA'!N517,"AAAAAH7//24=")</f>
        <v>#VALUE!</v>
      </c>
      <c r="DH84" t="e">
        <f>AND('PROG FORMACIÓN TITULADA'!O517,"AAAAAH7//28=")</f>
        <v>#VALUE!</v>
      </c>
      <c r="DI84" t="e">
        <f>AND('PROG FORMACIÓN TITULADA'!P517,"AAAAAH7//3A=")</f>
        <v>#VALUE!</v>
      </c>
      <c r="DJ84" t="e">
        <f>AND('PROG FORMACIÓN TITULADA'!Q517,"AAAAAH7//3E=")</f>
        <v>#VALUE!</v>
      </c>
      <c r="DK84" t="e">
        <f>AND('PROG FORMACIÓN TITULADA'!R517,"AAAAAH7//3I=")</f>
        <v>#VALUE!</v>
      </c>
      <c r="DL84" t="e">
        <f>AND('PROG FORMACIÓN TITULADA'!S517,"AAAAAH7//3M=")</f>
        <v>#VALUE!</v>
      </c>
      <c r="DM84" t="e">
        <f>AND('PROG FORMACIÓN TITULADA'!T517,"AAAAAH7//3Q=")</f>
        <v>#VALUE!</v>
      </c>
      <c r="DN84" t="e">
        <f>AND('PROG FORMACIÓN TITULADA'!U517,"AAAAAH7//3U=")</f>
        <v>#VALUE!</v>
      </c>
      <c r="DO84" t="e">
        <f>AND('PROG FORMACIÓN TITULADA'!V517,"AAAAAH7//3Y=")</f>
        <v>#VALUE!</v>
      </c>
      <c r="DP84" t="e">
        <f>AND('PROG FORMACIÓN TITULADA'!W517,"AAAAAH7//3c=")</f>
        <v>#VALUE!</v>
      </c>
      <c r="DQ84" t="e">
        <f>AND('PROG FORMACIÓN TITULADA'!X517,"AAAAAH7//3g=")</f>
        <v>#VALUE!</v>
      </c>
      <c r="DR84" t="e">
        <f>AND('PROG FORMACIÓN TITULADA'!Y517,"AAAAAH7//3k=")</f>
        <v>#VALUE!</v>
      </c>
      <c r="DS84" t="e">
        <f>AND('PROG FORMACIÓN TITULADA'!Z517,"AAAAAH7//3o=")</f>
        <v>#VALUE!</v>
      </c>
      <c r="DT84">
        <f>IF('PROG FORMACIÓN TITULADA'!518:518,"AAAAAH7//3s=",0)</f>
        <v>0</v>
      </c>
      <c r="DU84" t="e">
        <f>AND('PROG FORMACIÓN TITULADA'!A518,"AAAAAH7//3w=")</f>
        <v>#VALUE!</v>
      </c>
      <c r="DV84" t="e">
        <f>AND('PROG FORMACIÓN TITULADA'!B518,"AAAAAH7//30=")</f>
        <v>#VALUE!</v>
      </c>
      <c r="DW84" t="e">
        <f>AND('PROG FORMACIÓN TITULADA'!C518,"AAAAAH7//34=")</f>
        <v>#VALUE!</v>
      </c>
      <c r="DX84" t="e">
        <f>AND('PROG FORMACIÓN TITULADA'!D518,"AAAAAH7//38=")</f>
        <v>#VALUE!</v>
      </c>
      <c r="DY84" t="e">
        <f>AND('PROG FORMACIÓN TITULADA'!E518,"AAAAAH7//4A=")</f>
        <v>#VALUE!</v>
      </c>
      <c r="DZ84" t="e">
        <f>AND('PROG FORMACIÓN TITULADA'!F518,"AAAAAH7//4E=")</f>
        <v>#VALUE!</v>
      </c>
      <c r="EA84" t="e">
        <f>AND('PROG FORMACIÓN TITULADA'!G518,"AAAAAH7//4I=")</f>
        <v>#VALUE!</v>
      </c>
      <c r="EB84" t="e">
        <f>AND('PROG FORMACIÓN TITULADA'!H518,"AAAAAH7//4M=")</f>
        <v>#VALUE!</v>
      </c>
      <c r="EC84" t="e">
        <f>AND('PROG FORMACIÓN TITULADA'!I518,"AAAAAH7//4Q=")</f>
        <v>#VALUE!</v>
      </c>
      <c r="ED84" t="e">
        <f>AND('PROG FORMACIÓN TITULADA'!J518,"AAAAAH7//4U=")</f>
        <v>#VALUE!</v>
      </c>
      <c r="EE84" t="e">
        <f>AND('PROG FORMACIÓN TITULADA'!K518,"AAAAAH7//4Y=")</f>
        <v>#VALUE!</v>
      </c>
      <c r="EF84" t="e">
        <f>AND('PROG FORMACIÓN TITULADA'!L518,"AAAAAH7//4c=")</f>
        <v>#VALUE!</v>
      </c>
      <c r="EG84" t="e">
        <f>AND('PROG FORMACIÓN TITULADA'!M518,"AAAAAH7//4g=")</f>
        <v>#VALUE!</v>
      </c>
      <c r="EH84" t="e">
        <f>AND('PROG FORMACIÓN TITULADA'!N518,"AAAAAH7//4k=")</f>
        <v>#VALUE!</v>
      </c>
      <c r="EI84" t="e">
        <f>AND('PROG FORMACIÓN TITULADA'!O518,"AAAAAH7//4o=")</f>
        <v>#VALUE!</v>
      </c>
      <c r="EJ84" t="e">
        <f>AND('PROG FORMACIÓN TITULADA'!P518,"AAAAAH7//4s=")</f>
        <v>#VALUE!</v>
      </c>
      <c r="EK84" t="e">
        <f>AND('PROG FORMACIÓN TITULADA'!Q518,"AAAAAH7//4w=")</f>
        <v>#VALUE!</v>
      </c>
      <c r="EL84" t="e">
        <f>AND('PROG FORMACIÓN TITULADA'!R518,"AAAAAH7//40=")</f>
        <v>#VALUE!</v>
      </c>
      <c r="EM84" t="e">
        <f>AND('PROG FORMACIÓN TITULADA'!S518,"AAAAAH7//44=")</f>
        <v>#VALUE!</v>
      </c>
      <c r="EN84" t="e">
        <f>AND('PROG FORMACIÓN TITULADA'!T518,"AAAAAH7//48=")</f>
        <v>#VALUE!</v>
      </c>
      <c r="EO84" t="e">
        <f>AND('PROG FORMACIÓN TITULADA'!U518,"AAAAAH7//5A=")</f>
        <v>#VALUE!</v>
      </c>
      <c r="EP84" t="e">
        <f>AND('PROG FORMACIÓN TITULADA'!V518,"AAAAAH7//5E=")</f>
        <v>#VALUE!</v>
      </c>
      <c r="EQ84" t="e">
        <f>AND('PROG FORMACIÓN TITULADA'!W518,"AAAAAH7//5I=")</f>
        <v>#VALUE!</v>
      </c>
      <c r="ER84" t="e">
        <f>AND('PROG FORMACIÓN TITULADA'!X518,"AAAAAH7//5M=")</f>
        <v>#VALUE!</v>
      </c>
      <c r="ES84" t="e">
        <f>AND('PROG FORMACIÓN TITULADA'!Y518,"AAAAAH7//5Q=")</f>
        <v>#VALUE!</v>
      </c>
      <c r="ET84" t="e">
        <f>AND('PROG FORMACIÓN TITULADA'!Z518,"AAAAAH7//5U=")</f>
        <v>#VALUE!</v>
      </c>
      <c r="EU84">
        <f>IF('PROG FORMACIÓN TITULADA'!519:519,"AAAAAH7//5Y=",0)</f>
        <v>0</v>
      </c>
      <c r="EV84" t="e">
        <f>AND('PROG FORMACIÓN TITULADA'!A519,"AAAAAH7//5c=")</f>
        <v>#VALUE!</v>
      </c>
      <c r="EW84" t="e">
        <f>AND('PROG FORMACIÓN TITULADA'!B519,"AAAAAH7//5g=")</f>
        <v>#VALUE!</v>
      </c>
      <c r="EX84" t="e">
        <f>AND('PROG FORMACIÓN TITULADA'!C519,"AAAAAH7//5k=")</f>
        <v>#VALUE!</v>
      </c>
      <c r="EY84" t="e">
        <f>AND('PROG FORMACIÓN TITULADA'!D519,"AAAAAH7//5o=")</f>
        <v>#VALUE!</v>
      </c>
      <c r="EZ84" t="e">
        <f>AND('PROG FORMACIÓN TITULADA'!E519,"AAAAAH7//5s=")</f>
        <v>#VALUE!</v>
      </c>
      <c r="FA84" t="e">
        <f>AND('PROG FORMACIÓN TITULADA'!F519,"AAAAAH7//5w=")</f>
        <v>#VALUE!</v>
      </c>
      <c r="FB84" t="e">
        <f>AND('PROG FORMACIÓN TITULADA'!G519,"AAAAAH7//50=")</f>
        <v>#VALUE!</v>
      </c>
      <c r="FC84" t="e">
        <f>AND('PROG FORMACIÓN TITULADA'!H519,"AAAAAH7//54=")</f>
        <v>#VALUE!</v>
      </c>
      <c r="FD84" t="e">
        <f>AND('PROG FORMACIÓN TITULADA'!I519,"AAAAAH7//58=")</f>
        <v>#VALUE!</v>
      </c>
      <c r="FE84" t="e">
        <f>AND('PROG FORMACIÓN TITULADA'!J519,"AAAAAH7//6A=")</f>
        <v>#VALUE!</v>
      </c>
      <c r="FF84" t="e">
        <f>AND('PROG FORMACIÓN TITULADA'!K519,"AAAAAH7//6E=")</f>
        <v>#VALUE!</v>
      </c>
      <c r="FG84" t="e">
        <f>AND('PROG FORMACIÓN TITULADA'!L519,"AAAAAH7//6I=")</f>
        <v>#VALUE!</v>
      </c>
      <c r="FH84" t="e">
        <f>AND('PROG FORMACIÓN TITULADA'!M519,"AAAAAH7//6M=")</f>
        <v>#VALUE!</v>
      </c>
      <c r="FI84" t="e">
        <f>AND('PROG FORMACIÓN TITULADA'!N519,"AAAAAH7//6Q=")</f>
        <v>#VALUE!</v>
      </c>
      <c r="FJ84" t="e">
        <f>AND('PROG FORMACIÓN TITULADA'!O519,"AAAAAH7//6U=")</f>
        <v>#VALUE!</v>
      </c>
      <c r="FK84" t="e">
        <f>AND('PROG FORMACIÓN TITULADA'!P519,"AAAAAH7//6Y=")</f>
        <v>#VALUE!</v>
      </c>
      <c r="FL84" t="e">
        <f>AND('PROG FORMACIÓN TITULADA'!Q519,"AAAAAH7//6c=")</f>
        <v>#VALUE!</v>
      </c>
      <c r="FM84" t="e">
        <f>AND('PROG FORMACIÓN TITULADA'!R519,"AAAAAH7//6g=")</f>
        <v>#VALUE!</v>
      </c>
      <c r="FN84" t="e">
        <f>AND('PROG FORMACIÓN TITULADA'!S519,"AAAAAH7//6k=")</f>
        <v>#VALUE!</v>
      </c>
      <c r="FO84" t="e">
        <f>AND('PROG FORMACIÓN TITULADA'!T519,"AAAAAH7//6o=")</f>
        <v>#VALUE!</v>
      </c>
      <c r="FP84" t="e">
        <f>AND('PROG FORMACIÓN TITULADA'!U519,"AAAAAH7//6s=")</f>
        <v>#VALUE!</v>
      </c>
      <c r="FQ84" t="e">
        <f>AND('PROG FORMACIÓN TITULADA'!V519,"AAAAAH7//6w=")</f>
        <v>#VALUE!</v>
      </c>
      <c r="FR84" t="e">
        <f>AND('PROG FORMACIÓN TITULADA'!W519,"AAAAAH7//60=")</f>
        <v>#VALUE!</v>
      </c>
      <c r="FS84" t="e">
        <f>AND('PROG FORMACIÓN TITULADA'!X519,"AAAAAH7//64=")</f>
        <v>#VALUE!</v>
      </c>
      <c r="FT84" t="e">
        <f>AND('PROG FORMACIÓN TITULADA'!Y519,"AAAAAH7//68=")</f>
        <v>#VALUE!</v>
      </c>
      <c r="FU84" t="e">
        <f>AND('PROG FORMACIÓN TITULADA'!Z519,"AAAAAH7//7A=")</f>
        <v>#VALUE!</v>
      </c>
      <c r="FV84">
        <f>IF('PROG FORMACIÓN TITULADA'!520:520,"AAAAAH7//7E=",0)</f>
        <v>0</v>
      </c>
      <c r="FW84" t="e">
        <f>AND('PROG FORMACIÓN TITULADA'!A520,"AAAAAH7//7I=")</f>
        <v>#VALUE!</v>
      </c>
      <c r="FX84" t="e">
        <f>AND('PROG FORMACIÓN TITULADA'!B520,"AAAAAH7//7M=")</f>
        <v>#VALUE!</v>
      </c>
      <c r="FY84" t="e">
        <f>AND('PROG FORMACIÓN TITULADA'!C520,"AAAAAH7//7Q=")</f>
        <v>#VALUE!</v>
      </c>
      <c r="FZ84" t="e">
        <f>AND('PROG FORMACIÓN TITULADA'!D520,"AAAAAH7//7U=")</f>
        <v>#VALUE!</v>
      </c>
      <c r="GA84" t="e">
        <f>AND('PROG FORMACIÓN TITULADA'!E520,"AAAAAH7//7Y=")</f>
        <v>#VALUE!</v>
      </c>
      <c r="GB84" t="e">
        <f>AND('PROG FORMACIÓN TITULADA'!F520,"AAAAAH7//7c=")</f>
        <v>#VALUE!</v>
      </c>
      <c r="GC84" t="e">
        <f>AND('PROG FORMACIÓN TITULADA'!G520,"AAAAAH7//7g=")</f>
        <v>#VALUE!</v>
      </c>
      <c r="GD84" t="e">
        <f>AND('PROG FORMACIÓN TITULADA'!H520,"AAAAAH7//7k=")</f>
        <v>#VALUE!</v>
      </c>
      <c r="GE84" t="e">
        <f>AND('PROG FORMACIÓN TITULADA'!I520,"AAAAAH7//7o=")</f>
        <v>#VALUE!</v>
      </c>
      <c r="GF84" t="e">
        <f>AND('PROG FORMACIÓN TITULADA'!J520,"AAAAAH7//7s=")</f>
        <v>#VALUE!</v>
      </c>
      <c r="GG84" t="e">
        <f>AND('PROG FORMACIÓN TITULADA'!K520,"AAAAAH7//7w=")</f>
        <v>#VALUE!</v>
      </c>
      <c r="GH84" t="e">
        <f>AND('PROG FORMACIÓN TITULADA'!L520,"AAAAAH7//70=")</f>
        <v>#VALUE!</v>
      </c>
      <c r="GI84" t="e">
        <f>AND('PROG FORMACIÓN TITULADA'!M520,"AAAAAH7//74=")</f>
        <v>#VALUE!</v>
      </c>
      <c r="GJ84" t="e">
        <f>AND('PROG FORMACIÓN TITULADA'!N520,"AAAAAH7//78=")</f>
        <v>#VALUE!</v>
      </c>
      <c r="GK84" t="e">
        <f>AND('PROG FORMACIÓN TITULADA'!O520,"AAAAAH7//8A=")</f>
        <v>#VALUE!</v>
      </c>
      <c r="GL84" t="e">
        <f>AND('PROG FORMACIÓN TITULADA'!P520,"AAAAAH7//8E=")</f>
        <v>#VALUE!</v>
      </c>
      <c r="GM84" t="e">
        <f>AND('PROG FORMACIÓN TITULADA'!Q520,"AAAAAH7//8I=")</f>
        <v>#VALUE!</v>
      </c>
      <c r="GN84" t="e">
        <f>AND('PROG FORMACIÓN TITULADA'!R520,"AAAAAH7//8M=")</f>
        <v>#VALUE!</v>
      </c>
      <c r="GO84" t="e">
        <f>AND('PROG FORMACIÓN TITULADA'!S520,"AAAAAH7//8Q=")</f>
        <v>#VALUE!</v>
      </c>
      <c r="GP84" t="e">
        <f>AND('PROG FORMACIÓN TITULADA'!T520,"AAAAAH7//8U=")</f>
        <v>#VALUE!</v>
      </c>
      <c r="GQ84" t="e">
        <f>AND('PROG FORMACIÓN TITULADA'!U520,"AAAAAH7//8Y=")</f>
        <v>#VALUE!</v>
      </c>
      <c r="GR84" t="e">
        <f>AND('PROG FORMACIÓN TITULADA'!V520,"AAAAAH7//8c=")</f>
        <v>#VALUE!</v>
      </c>
      <c r="GS84" t="e">
        <f>AND('PROG FORMACIÓN TITULADA'!W520,"AAAAAH7//8g=")</f>
        <v>#VALUE!</v>
      </c>
      <c r="GT84" t="e">
        <f>AND('PROG FORMACIÓN TITULADA'!X520,"AAAAAH7//8k=")</f>
        <v>#VALUE!</v>
      </c>
      <c r="GU84" t="e">
        <f>AND('PROG FORMACIÓN TITULADA'!Y520,"AAAAAH7//8o=")</f>
        <v>#VALUE!</v>
      </c>
      <c r="GV84" t="e">
        <f>AND('PROG FORMACIÓN TITULADA'!Z520,"AAAAAH7//8s=")</f>
        <v>#VALUE!</v>
      </c>
      <c r="GW84">
        <f>IF('PROG FORMACIÓN TITULADA'!521:521,"AAAAAH7//8w=",0)</f>
        <v>0</v>
      </c>
      <c r="GX84" t="e">
        <f>AND('PROG FORMACIÓN TITULADA'!A521,"AAAAAH7//80=")</f>
        <v>#VALUE!</v>
      </c>
      <c r="GY84" t="e">
        <f>AND('PROG FORMACIÓN TITULADA'!B521,"AAAAAH7//84=")</f>
        <v>#VALUE!</v>
      </c>
      <c r="GZ84" t="e">
        <f>AND('PROG FORMACIÓN TITULADA'!C521,"AAAAAH7//88=")</f>
        <v>#VALUE!</v>
      </c>
      <c r="HA84" t="e">
        <f>AND('PROG FORMACIÓN TITULADA'!D521,"AAAAAH7//9A=")</f>
        <v>#VALUE!</v>
      </c>
      <c r="HB84" t="e">
        <f>AND('PROG FORMACIÓN TITULADA'!E521,"AAAAAH7//9E=")</f>
        <v>#VALUE!</v>
      </c>
      <c r="HC84" t="e">
        <f>AND('PROG FORMACIÓN TITULADA'!F521,"AAAAAH7//9I=")</f>
        <v>#VALUE!</v>
      </c>
      <c r="HD84" t="e">
        <f>AND('PROG FORMACIÓN TITULADA'!G521,"AAAAAH7//9M=")</f>
        <v>#VALUE!</v>
      </c>
      <c r="HE84" t="e">
        <f>AND('PROG FORMACIÓN TITULADA'!H521,"AAAAAH7//9Q=")</f>
        <v>#VALUE!</v>
      </c>
      <c r="HF84" t="e">
        <f>AND('PROG FORMACIÓN TITULADA'!I521,"AAAAAH7//9U=")</f>
        <v>#VALUE!</v>
      </c>
      <c r="HG84" t="e">
        <f>AND('PROG FORMACIÓN TITULADA'!J521,"AAAAAH7//9Y=")</f>
        <v>#VALUE!</v>
      </c>
      <c r="HH84" t="e">
        <f>AND('PROG FORMACIÓN TITULADA'!K521,"AAAAAH7//9c=")</f>
        <v>#VALUE!</v>
      </c>
      <c r="HI84" t="e">
        <f>AND('PROG FORMACIÓN TITULADA'!L521,"AAAAAH7//9g=")</f>
        <v>#VALUE!</v>
      </c>
      <c r="HJ84" t="e">
        <f>AND('PROG FORMACIÓN TITULADA'!M521,"AAAAAH7//9k=")</f>
        <v>#VALUE!</v>
      </c>
      <c r="HK84" t="e">
        <f>AND('PROG FORMACIÓN TITULADA'!N521,"AAAAAH7//9o=")</f>
        <v>#VALUE!</v>
      </c>
      <c r="HL84" t="e">
        <f>AND('PROG FORMACIÓN TITULADA'!O521,"AAAAAH7//9s=")</f>
        <v>#VALUE!</v>
      </c>
      <c r="HM84" t="e">
        <f>AND('PROG FORMACIÓN TITULADA'!P521,"AAAAAH7//9w=")</f>
        <v>#VALUE!</v>
      </c>
      <c r="HN84" t="e">
        <f>AND('PROG FORMACIÓN TITULADA'!Q521,"AAAAAH7//90=")</f>
        <v>#VALUE!</v>
      </c>
      <c r="HO84" t="e">
        <f>AND('PROG FORMACIÓN TITULADA'!R521,"AAAAAH7//94=")</f>
        <v>#VALUE!</v>
      </c>
      <c r="HP84" t="e">
        <f>AND('PROG FORMACIÓN TITULADA'!S521,"AAAAAH7//98=")</f>
        <v>#VALUE!</v>
      </c>
      <c r="HQ84" t="e">
        <f>AND('PROG FORMACIÓN TITULADA'!T521,"AAAAAH7//+A=")</f>
        <v>#VALUE!</v>
      </c>
      <c r="HR84" t="e">
        <f>AND('PROG FORMACIÓN TITULADA'!U521,"AAAAAH7//+E=")</f>
        <v>#VALUE!</v>
      </c>
      <c r="HS84" t="e">
        <f>AND('PROG FORMACIÓN TITULADA'!V521,"AAAAAH7//+I=")</f>
        <v>#VALUE!</v>
      </c>
      <c r="HT84" t="e">
        <f>AND('PROG FORMACIÓN TITULADA'!W521,"AAAAAH7//+M=")</f>
        <v>#VALUE!</v>
      </c>
      <c r="HU84" t="e">
        <f>AND('PROG FORMACIÓN TITULADA'!X521,"AAAAAH7//+Q=")</f>
        <v>#VALUE!</v>
      </c>
      <c r="HV84" t="e">
        <f>AND('PROG FORMACIÓN TITULADA'!Y521,"AAAAAH7//+U=")</f>
        <v>#VALUE!</v>
      </c>
      <c r="HW84" t="e">
        <f>AND('PROG FORMACIÓN TITULADA'!Z521,"AAAAAH7//+Y=")</f>
        <v>#VALUE!</v>
      </c>
      <c r="HX84">
        <f>IF('PROG FORMACIÓN TITULADA'!522:522,"AAAAAH7//+c=",0)</f>
        <v>0</v>
      </c>
      <c r="HY84" t="e">
        <f>AND('PROG FORMACIÓN TITULADA'!A522,"AAAAAH7//+g=")</f>
        <v>#VALUE!</v>
      </c>
      <c r="HZ84" t="e">
        <f>AND('PROG FORMACIÓN TITULADA'!B522,"AAAAAH7//+k=")</f>
        <v>#VALUE!</v>
      </c>
      <c r="IA84" t="e">
        <f>AND('PROG FORMACIÓN TITULADA'!C522,"AAAAAH7//+o=")</f>
        <v>#VALUE!</v>
      </c>
      <c r="IB84" t="e">
        <f>AND('PROG FORMACIÓN TITULADA'!D522,"AAAAAH7//+s=")</f>
        <v>#VALUE!</v>
      </c>
      <c r="IC84" t="e">
        <f>AND('PROG FORMACIÓN TITULADA'!E522,"AAAAAH7//+w=")</f>
        <v>#VALUE!</v>
      </c>
      <c r="ID84" t="e">
        <f>AND('PROG FORMACIÓN TITULADA'!F522,"AAAAAH7//+0=")</f>
        <v>#VALUE!</v>
      </c>
      <c r="IE84" t="e">
        <f>AND('PROG FORMACIÓN TITULADA'!G522,"AAAAAH7//+4=")</f>
        <v>#VALUE!</v>
      </c>
      <c r="IF84" t="e">
        <f>AND('PROG FORMACIÓN TITULADA'!H522,"AAAAAH7//+8=")</f>
        <v>#VALUE!</v>
      </c>
      <c r="IG84" t="e">
        <f>AND('PROG FORMACIÓN TITULADA'!I522,"AAAAAH7///A=")</f>
        <v>#VALUE!</v>
      </c>
      <c r="IH84" t="e">
        <f>AND('PROG FORMACIÓN TITULADA'!J522,"AAAAAH7///E=")</f>
        <v>#VALUE!</v>
      </c>
      <c r="II84" t="e">
        <f>AND('PROG FORMACIÓN TITULADA'!K522,"AAAAAH7///I=")</f>
        <v>#VALUE!</v>
      </c>
      <c r="IJ84" t="e">
        <f>AND('PROG FORMACIÓN TITULADA'!L522,"AAAAAH7///M=")</f>
        <v>#VALUE!</v>
      </c>
      <c r="IK84" t="e">
        <f>AND('PROG FORMACIÓN TITULADA'!M522,"AAAAAH7///Q=")</f>
        <v>#VALUE!</v>
      </c>
      <c r="IL84" t="e">
        <f>AND('PROG FORMACIÓN TITULADA'!N522,"AAAAAH7///U=")</f>
        <v>#VALUE!</v>
      </c>
      <c r="IM84" t="e">
        <f>AND('PROG FORMACIÓN TITULADA'!O522,"AAAAAH7///Y=")</f>
        <v>#VALUE!</v>
      </c>
      <c r="IN84" t="e">
        <f>AND('PROG FORMACIÓN TITULADA'!P522,"AAAAAH7///c=")</f>
        <v>#VALUE!</v>
      </c>
      <c r="IO84" t="e">
        <f>AND('PROG FORMACIÓN TITULADA'!Q522,"AAAAAH7///g=")</f>
        <v>#VALUE!</v>
      </c>
      <c r="IP84" t="e">
        <f>AND('PROG FORMACIÓN TITULADA'!R522,"AAAAAH7///k=")</f>
        <v>#VALUE!</v>
      </c>
      <c r="IQ84" t="e">
        <f>AND('PROG FORMACIÓN TITULADA'!S522,"AAAAAH7///o=")</f>
        <v>#VALUE!</v>
      </c>
      <c r="IR84" t="e">
        <f>AND('PROG FORMACIÓN TITULADA'!T522,"AAAAAH7///s=")</f>
        <v>#VALUE!</v>
      </c>
      <c r="IS84" t="e">
        <f>AND('PROG FORMACIÓN TITULADA'!U522,"AAAAAH7///w=")</f>
        <v>#VALUE!</v>
      </c>
      <c r="IT84" t="e">
        <f>AND('PROG FORMACIÓN TITULADA'!V522,"AAAAAH7///0=")</f>
        <v>#VALUE!</v>
      </c>
      <c r="IU84" t="e">
        <f>AND('PROG FORMACIÓN TITULADA'!W522,"AAAAAH7///4=")</f>
        <v>#VALUE!</v>
      </c>
      <c r="IV84" t="e">
        <f>AND('PROG FORMACIÓN TITULADA'!X522,"AAAAAH7///8=")</f>
        <v>#VALUE!</v>
      </c>
    </row>
    <row r="85" spans="1:256" x14ac:dyDescent="0.2">
      <c r="A85" t="e">
        <f>AND('PROG FORMACIÓN TITULADA'!Y522,"AAAAABc+5wA=")</f>
        <v>#VALUE!</v>
      </c>
      <c r="B85" t="e">
        <f>AND('PROG FORMACIÓN TITULADA'!Z522,"AAAAABc+5wE=")</f>
        <v>#VALUE!</v>
      </c>
      <c r="C85">
        <f>IF('PROG FORMACIÓN TITULADA'!523:523,"AAAAABc+5wI=",0)</f>
        <v>0</v>
      </c>
      <c r="D85" t="e">
        <f>AND('PROG FORMACIÓN TITULADA'!A523,"AAAAABc+5wM=")</f>
        <v>#VALUE!</v>
      </c>
      <c r="E85" t="e">
        <f>AND('PROG FORMACIÓN TITULADA'!B523,"AAAAABc+5wQ=")</f>
        <v>#VALUE!</v>
      </c>
      <c r="F85" t="e">
        <f>AND('PROG FORMACIÓN TITULADA'!C523,"AAAAABc+5wU=")</f>
        <v>#VALUE!</v>
      </c>
      <c r="G85" t="e">
        <f>AND('PROG FORMACIÓN TITULADA'!D523,"AAAAABc+5wY=")</f>
        <v>#VALUE!</v>
      </c>
      <c r="H85" t="e">
        <f>AND('PROG FORMACIÓN TITULADA'!E523,"AAAAABc+5wc=")</f>
        <v>#VALUE!</v>
      </c>
      <c r="I85" t="e">
        <f>AND('PROG FORMACIÓN TITULADA'!F523,"AAAAABc+5wg=")</f>
        <v>#VALUE!</v>
      </c>
      <c r="J85" t="e">
        <f>AND('PROG FORMACIÓN TITULADA'!G523,"AAAAABc+5wk=")</f>
        <v>#VALUE!</v>
      </c>
      <c r="K85" t="e">
        <f>AND('PROG FORMACIÓN TITULADA'!H523,"AAAAABc+5wo=")</f>
        <v>#VALUE!</v>
      </c>
      <c r="L85" t="e">
        <f>AND('PROG FORMACIÓN TITULADA'!I523,"AAAAABc+5ws=")</f>
        <v>#VALUE!</v>
      </c>
      <c r="M85" t="e">
        <f>AND('PROG FORMACIÓN TITULADA'!J523,"AAAAABc+5ww=")</f>
        <v>#VALUE!</v>
      </c>
      <c r="N85" t="e">
        <f>AND('PROG FORMACIÓN TITULADA'!K523,"AAAAABc+5w0=")</f>
        <v>#VALUE!</v>
      </c>
      <c r="O85" t="e">
        <f>AND('PROG FORMACIÓN TITULADA'!L523,"AAAAABc+5w4=")</f>
        <v>#VALUE!</v>
      </c>
      <c r="P85" t="e">
        <f>AND('PROG FORMACIÓN TITULADA'!M523,"AAAAABc+5w8=")</f>
        <v>#VALUE!</v>
      </c>
      <c r="Q85" t="e">
        <f>AND('PROG FORMACIÓN TITULADA'!N523,"AAAAABc+5xA=")</f>
        <v>#VALUE!</v>
      </c>
      <c r="R85" t="e">
        <f>AND('PROG FORMACIÓN TITULADA'!O523,"AAAAABc+5xE=")</f>
        <v>#VALUE!</v>
      </c>
      <c r="S85" t="e">
        <f>AND('PROG FORMACIÓN TITULADA'!P523,"AAAAABc+5xI=")</f>
        <v>#VALUE!</v>
      </c>
      <c r="T85" t="e">
        <f>AND('PROG FORMACIÓN TITULADA'!Q523,"AAAAABc+5xM=")</f>
        <v>#VALUE!</v>
      </c>
      <c r="U85" t="e">
        <f>AND('PROG FORMACIÓN TITULADA'!R523,"AAAAABc+5xQ=")</f>
        <v>#VALUE!</v>
      </c>
      <c r="V85" t="e">
        <f>AND('PROG FORMACIÓN TITULADA'!S523,"AAAAABc+5xU=")</f>
        <v>#VALUE!</v>
      </c>
      <c r="W85" t="e">
        <f>AND('PROG FORMACIÓN TITULADA'!T523,"AAAAABc+5xY=")</f>
        <v>#VALUE!</v>
      </c>
      <c r="X85" t="e">
        <f>AND('PROG FORMACIÓN TITULADA'!U523,"AAAAABc+5xc=")</f>
        <v>#VALUE!</v>
      </c>
      <c r="Y85" t="e">
        <f>AND('PROG FORMACIÓN TITULADA'!V523,"AAAAABc+5xg=")</f>
        <v>#VALUE!</v>
      </c>
      <c r="Z85" t="e">
        <f>AND('PROG FORMACIÓN TITULADA'!W523,"AAAAABc+5xk=")</f>
        <v>#VALUE!</v>
      </c>
      <c r="AA85" t="e">
        <f>AND('PROG FORMACIÓN TITULADA'!X523,"AAAAABc+5xo=")</f>
        <v>#VALUE!</v>
      </c>
      <c r="AB85" t="e">
        <f>AND('PROG FORMACIÓN TITULADA'!Y523,"AAAAABc+5xs=")</f>
        <v>#VALUE!</v>
      </c>
      <c r="AC85" t="e">
        <f>AND('PROG FORMACIÓN TITULADA'!Z523,"AAAAABc+5xw=")</f>
        <v>#VALUE!</v>
      </c>
      <c r="AD85">
        <f>IF('PROG FORMACIÓN TITULADA'!524:524,"AAAAABc+5x0=",0)</f>
        <v>0</v>
      </c>
      <c r="AE85" t="e">
        <f>AND('PROG FORMACIÓN TITULADA'!A524,"AAAAABc+5x4=")</f>
        <v>#VALUE!</v>
      </c>
      <c r="AF85" t="e">
        <f>AND('PROG FORMACIÓN TITULADA'!B524,"AAAAABc+5x8=")</f>
        <v>#VALUE!</v>
      </c>
      <c r="AG85" t="e">
        <f>AND('PROG FORMACIÓN TITULADA'!C524,"AAAAABc+5yA=")</f>
        <v>#VALUE!</v>
      </c>
      <c r="AH85" t="e">
        <f>AND('PROG FORMACIÓN TITULADA'!D524,"AAAAABc+5yE=")</f>
        <v>#VALUE!</v>
      </c>
      <c r="AI85" t="e">
        <f>AND('PROG FORMACIÓN TITULADA'!E524,"AAAAABc+5yI=")</f>
        <v>#VALUE!</v>
      </c>
      <c r="AJ85" t="e">
        <f>AND('PROG FORMACIÓN TITULADA'!F524,"AAAAABc+5yM=")</f>
        <v>#VALUE!</v>
      </c>
      <c r="AK85" t="e">
        <f>AND('PROG FORMACIÓN TITULADA'!G524,"AAAAABc+5yQ=")</f>
        <v>#VALUE!</v>
      </c>
      <c r="AL85" t="e">
        <f>AND('PROG FORMACIÓN TITULADA'!H524,"AAAAABc+5yU=")</f>
        <v>#VALUE!</v>
      </c>
      <c r="AM85" t="e">
        <f>AND('PROG FORMACIÓN TITULADA'!I524,"AAAAABc+5yY=")</f>
        <v>#VALUE!</v>
      </c>
      <c r="AN85" t="e">
        <f>AND('PROG FORMACIÓN TITULADA'!J524,"AAAAABc+5yc=")</f>
        <v>#VALUE!</v>
      </c>
      <c r="AO85" t="e">
        <f>AND('PROG FORMACIÓN TITULADA'!K524,"AAAAABc+5yg=")</f>
        <v>#VALUE!</v>
      </c>
      <c r="AP85" t="e">
        <f>AND('PROG FORMACIÓN TITULADA'!L524,"AAAAABc+5yk=")</f>
        <v>#VALUE!</v>
      </c>
      <c r="AQ85" t="e">
        <f>AND('PROG FORMACIÓN TITULADA'!M524,"AAAAABc+5yo=")</f>
        <v>#VALUE!</v>
      </c>
      <c r="AR85" t="e">
        <f>AND('PROG FORMACIÓN TITULADA'!N524,"AAAAABc+5ys=")</f>
        <v>#VALUE!</v>
      </c>
      <c r="AS85" t="e">
        <f>AND('PROG FORMACIÓN TITULADA'!O524,"AAAAABc+5yw=")</f>
        <v>#VALUE!</v>
      </c>
      <c r="AT85" t="e">
        <f>AND('PROG FORMACIÓN TITULADA'!P524,"AAAAABc+5y0=")</f>
        <v>#VALUE!</v>
      </c>
      <c r="AU85" t="e">
        <f>AND('PROG FORMACIÓN TITULADA'!Q524,"AAAAABc+5y4=")</f>
        <v>#VALUE!</v>
      </c>
      <c r="AV85" t="e">
        <f>AND('PROG FORMACIÓN TITULADA'!R524,"AAAAABc+5y8=")</f>
        <v>#VALUE!</v>
      </c>
      <c r="AW85" t="e">
        <f>AND('PROG FORMACIÓN TITULADA'!S524,"AAAAABc+5zA=")</f>
        <v>#VALUE!</v>
      </c>
      <c r="AX85" t="e">
        <f>AND('PROG FORMACIÓN TITULADA'!T524,"AAAAABc+5zE=")</f>
        <v>#VALUE!</v>
      </c>
      <c r="AY85" t="e">
        <f>AND('PROG FORMACIÓN TITULADA'!U524,"AAAAABc+5zI=")</f>
        <v>#VALUE!</v>
      </c>
      <c r="AZ85" t="e">
        <f>AND('PROG FORMACIÓN TITULADA'!V524,"AAAAABc+5zM=")</f>
        <v>#VALUE!</v>
      </c>
      <c r="BA85" t="e">
        <f>AND('PROG FORMACIÓN TITULADA'!W524,"AAAAABc+5zQ=")</f>
        <v>#VALUE!</v>
      </c>
      <c r="BB85" t="e">
        <f>AND('PROG FORMACIÓN TITULADA'!X524,"AAAAABc+5zU=")</f>
        <v>#VALUE!</v>
      </c>
      <c r="BC85" t="e">
        <f>AND('PROG FORMACIÓN TITULADA'!Y524,"AAAAABc+5zY=")</f>
        <v>#VALUE!</v>
      </c>
      <c r="BD85" t="e">
        <f>AND('PROG FORMACIÓN TITULADA'!Z524,"AAAAABc+5zc=")</f>
        <v>#VALUE!</v>
      </c>
      <c r="BE85">
        <f>IF('PROG FORMACIÓN TITULADA'!525:525,"AAAAABc+5zg=",0)</f>
        <v>0</v>
      </c>
      <c r="BF85" t="e">
        <f>AND('PROG FORMACIÓN TITULADA'!A525,"AAAAABc+5zk=")</f>
        <v>#VALUE!</v>
      </c>
      <c r="BG85" t="e">
        <f>AND('PROG FORMACIÓN TITULADA'!B525,"AAAAABc+5zo=")</f>
        <v>#VALUE!</v>
      </c>
      <c r="BH85" t="e">
        <f>AND('PROG FORMACIÓN TITULADA'!C525,"AAAAABc+5zs=")</f>
        <v>#VALUE!</v>
      </c>
      <c r="BI85" t="e">
        <f>AND('PROG FORMACIÓN TITULADA'!D525,"AAAAABc+5zw=")</f>
        <v>#VALUE!</v>
      </c>
      <c r="BJ85" t="e">
        <f>AND('PROG FORMACIÓN TITULADA'!E525,"AAAAABc+5z0=")</f>
        <v>#VALUE!</v>
      </c>
      <c r="BK85" t="e">
        <f>AND('PROG FORMACIÓN TITULADA'!F525,"AAAAABc+5z4=")</f>
        <v>#VALUE!</v>
      </c>
      <c r="BL85" t="e">
        <f>AND('PROG FORMACIÓN TITULADA'!G525,"AAAAABc+5z8=")</f>
        <v>#VALUE!</v>
      </c>
      <c r="BM85" t="e">
        <f>AND('PROG FORMACIÓN TITULADA'!H525,"AAAAABc+50A=")</f>
        <v>#VALUE!</v>
      </c>
      <c r="BN85" t="e">
        <f>AND('PROG FORMACIÓN TITULADA'!I525,"AAAAABc+50E=")</f>
        <v>#VALUE!</v>
      </c>
      <c r="BO85" t="e">
        <f>AND('PROG FORMACIÓN TITULADA'!J525,"AAAAABc+50I=")</f>
        <v>#VALUE!</v>
      </c>
      <c r="BP85" t="e">
        <f>AND('PROG FORMACIÓN TITULADA'!K525,"AAAAABc+50M=")</f>
        <v>#VALUE!</v>
      </c>
      <c r="BQ85" t="e">
        <f>AND('PROG FORMACIÓN TITULADA'!L525,"AAAAABc+50Q=")</f>
        <v>#VALUE!</v>
      </c>
      <c r="BR85" t="e">
        <f>AND('PROG FORMACIÓN TITULADA'!M525,"AAAAABc+50U=")</f>
        <v>#VALUE!</v>
      </c>
      <c r="BS85" t="e">
        <f>AND('PROG FORMACIÓN TITULADA'!N525,"AAAAABc+50Y=")</f>
        <v>#VALUE!</v>
      </c>
      <c r="BT85" t="e">
        <f>AND('PROG FORMACIÓN TITULADA'!O525,"AAAAABc+50c=")</f>
        <v>#VALUE!</v>
      </c>
      <c r="BU85" t="e">
        <f>AND('PROG FORMACIÓN TITULADA'!P525,"AAAAABc+50g=")</f>
        <v>#VALUE!</v>
      </c>
      <c r="BV85" t="e">
        <f>AND('PROG FORMACIÓN TITULADA'!Q525,"AAAAABc+50k=")</f>
        <v>#VALUE!</v>
      </c>
      <c r="BW85" t="e">
        <f>AND('PROG FORMACIÓN TITULADA'!R525,"AAAAABc+50o=")</f>
        <v>#VALUE!</v>
      </c>
      <c r="BX85" t="e">
        <f>AND('PROG FORMACIÓN TITULADA'!S525,"AAAAABc+50s=")</f>
        <v>#VALUE!</v>
      </c>
      <c r="BY85" t="e">
        <f>AND('PROG FORMACIÓN TITULADA'!T525,"AAAAABc+50w=")</f>
        <v>#VALUE!</v>
      </c>
      <c r="BZ85" t="e">
        <f>AND('PROG FORMACIÓN TITULADA'!U525,"AAAAABc+500=")</f>
        <v>#VALUE!</v>
      </c>
      <c r="CA85" t="e">
        <f>AND('PROG FORMACIÓN TITULADA'!V525,"AAAAABc+504=")</f>
        <v>#VALUE!</v>
      </c>
      <c r="CB85" t="e">
        <f>AND('PROG FORMACIÓN TITULADA'!W525,"AAAAABc+508=")</f>
        <v>#VALUE!</v>
      </c>
      <c r="CC85" t="e">
        <f>AND('PROG FORMACIÓN TITULADA'!X525,"AAAAABc+51A=")</f>
        <v>#VALUE!</v>
      </c>
      <c r="CD85" t="e">
        <f>AND('PROG FORMACIÓN TITULADA'!Y525,"AAAAABc+51E=")</f>
        <v>#VALUE!</v>
      </c>
      <c r="CE85" t="e">
        <f>AND('PROG FORMACIÓN TITULADA'!Z525,"AAAAABc+51I=")</f>
        <v>#VALUE!</v>
      </c>
      <c r="CF85">
        <f>IF('PROG FORMACIÓN TITULADA'!526:526,"AAAAABc+51M=",0)</f>
        <v>0</v>
      </c>
      <c r="CG85" t="e">
        <f>AND('PROG FORMACIÓN TITULADA'!A526,"AAAAABc+51Q=")</f>
        <v>#VALUE!</v>
      </c>
      <c r="CH85" t="e">
        <f>AND('PROG FORMACIÓN TITULADA'!B526,"AAAAABc+51U=")</f>
        <v>#VALUE!</v>
      </c>
      <c r="CI85" t="e">
        <f>AND('PROG FORMACIÓN TITULADA'!C526,"AAAAABc+51Y=")</f>
        <v>#VALUE!</v>
      </c>
      <c r="CJ85" t="e">
        <f>AND('PROG FORMACIÓN TITULADA'!D526,"AAAAABc+51c=")</f>
        <v>#VALUE!</v>
      </c>
      <c r="CK85" t="e">
        <f>AND('PROG FORMACIÓN TITULADA'!E526,"AAAAABc+51g=")</f>
        <v>#VALUE!</v>
      </c>
      <c r="CL85" t="e">
        <f>AND('PROG FORMACIÓN TITULADA'!F526,"AAAAABc+51k=")</f>
        <v>#VALUE!</v>
      </c>
      <c r="CM85" t="e">
        <f>AND('PROG FORMACIÓN TITULADA'!G526,"AAAAABc+51o=")</f>
        <v>#VALUE!</v>
      </c>
      <c r="CN85" t="e">
        <f>AND('PROG FORMACIÓN TITULADA'!H526,"AAAAABc+51s=")</f>
        <v>#VALUE!</v>
      </c>
      <c r="CO85" t="e">
        <f>AND('PROG FORMACIÓN TITULADA'!I526,"AAAAABc+51w=")</f>
        <v>#VALUE!</v>
      </c>
      <c r="CP85" t="e">
        <f>AND('PROG FORMACIÓN TITULADA'!J526,"AAAAABc+510=")</f>
        <v>#VALUE!</v>
      </c>
      <c r="CQ85" t="e">
        <f>AND('PROG FORMACIÓN TITULADA'!K526,"AAAAABc+514=")</f>
        <v>#VALUE!</v>
      </c>
      <c r="CR85" t="e">
        <f>AND('PROG FORMACIÓN TITULADA'!L526,"AAAAABc+518=")</f>
        <v>#VALUE!</v>
      </c>
      <c r="CS85" t="e">
        <f>AND('PROG FORMACIÓN TITULADA'!M526,"AAAAABc+52A=")</f>
        <v>#VALUE!</v>
      </c>
      <c r="CT85" t="e">
        <f>AND('PROG FORMACIÓN TITULADA'!N526,"AAAAABc+52E=")</f>
        <v>#VALUE!</v>
      </c>
      <c r="CU85" t="e">
        <f>AND('PROG FORMACIÓN TITULADA'!O526,"AAAAABc+52I=")</f>
        <v>#VALUE!</v>
      </c>
      <c r="CV85" t="e">
        <f>AND('PROG FORMACIÓN TITULADA'!P526,"AAAAABc+52M=")</f>
        <v>#VALUE!</v>
      </c>
      <c r="CW85" t="e">
        <f>AND('PROG FORMACIÓN TITULADA'!Q526,"AAAAABc+52Q=")</f>
        <v>#VALUE!</v>
      </c>
      <c r="CX85" t="e">
        <f>AND('PROG FORMACIÓN TITULADA'!R526,"AAAAABc+52U=")</f>
        <v>#VALUE!</v>
      </c>
      <c r="CY85" t="e">
        <f>AND('PROG FORMACIÓN TITULADA'!S526,"AAAAABc+52Y=")</f>
        <v>#VALUE!</v>
      </c>
      <c r="CZ85" t="e">
        <f>AND('PROG FORMACIÓN TITULADA'!T526,"AAAAABc+52c=")</f>
        <v>#VALUE!</v>
      </c>
      <c r="DA85" t="e">
        <f>AND('PROG FORMACIÓN TITULADA'!U526,"AAAAABc+52g=")</f>
        <v>#VALUE!</v>
      </c>
      <c r="DB85" t="e">
        <f>AND('PROG FORMACIÓN TITULADA'!V526,"AAAAABc+52k=")</f>
        <v>#VALUE!</v>
      </c>
      <c r="DC85" t="e">
        <f>AND('PROG FORMACIÓN TITULADA'!W526,"AAAAABc+52o=")</f>
        <v>#VALUE!</v>
      </c>
      <c r="DD85" t="e">
        <f>AND('PROG FORMACIÓN TITULADA'!X526,"AAAAABc+52s=")</f>
        <v>#VALUE!</v>
      </c>
      <c r="DE85" t="e">
        <f>AND('PROG FORMACIÓN TITULADA'!Y526,"AAAAABc+52w=")</f>
        <v>#VALUE!</v>
      </c>
      <c r="DF85" t="e">
        <f>AND('PROG FORMACIÓN TITULADA'!Z526,"AAAAABc+520=")</f>
        <v>#VALUE!</v>
      </c>
      <c r="DG85">
        <f>IF('PROG FORMACIÓN TITULADA'!527:527,"AAAAABc+524=",0)</f>
        <v>0</v>
      </c>
      <c r="DH85" t="e">
        <f>AND('PROG FORMACIÓN TITULADA'!A527,"AAAAABc+528=")</f>
        <v>#VALUE!</v>
      </c>
      <c r="DI85" t="e">
        <f>AND('PROG FORMACIÓN TITULADA'!B527,"AAAAABc+53A=")</f>
        <v>#VALUE!</v>
      </c>
      <c r="DJ85" t="e">
        <f>AND('PROG FORMACIÓN TITULADA'!C527,"AAAAABc+53E=")</f>
        <v>#VALUE!</v>
      </c>
      <c r="DK85" t="e">
        <f>AND('PROG FORMACIÓN TITULADA'!D527,"AAAAABc+53I=")</f>
        <v>#VALUE!</v>
      </c>
      <c r="DL85" t="e">
        <f>AND('PROG FORMACIÓN TITULADA'!E527,"AAAAABc+53M=")</f>
        <v>#VALUE!</v>
      </c>
      <c r="DM85" t="e">
        <f>AND('PROG FORMACIÓN TITULADA'!F527,"AAAAABc+53Q=")</f>
        <v>#VALUE!</v>
      </c>
      <c r="DN85" t="e">
        <f>AND('PROG FORMACIÓN TITULADA'!G527,"AAAAABc+53U=")</f>
        <v>#VALUE!</v>
      </c>
      <c r="DO85" t="e">
        <f>AND('PROG FORMACIÓN TITULADA'!H527,"AAAAABc+53Y=")</f>
        <v>#VALUE!</v>
      </c>
      <c r="DP85" t="e">
        <f>AND('PROG FORMACIÓN TITULADA'!I527,"AAAAABc+53c=")</f>
        <v>#VALUE!</v>
      </c>
      <c r="DQ85" t="e">
        <f>AND('PROG FORMACIÓN TITULADA'!J527,"AAAAABc+53g=")</f>
        <v>#VALUE!</v>
      </c>
      <c r="DR85" t="e">
        <f>AND('PROG FORMACIÓN TITULADA'!K527,"AAAAABc+53k=")</f>
        <v>#VALUE!</v>
      </c>
      <c r="DS85" t="e">
        <f>AND('PROG FORMACIÓN TITULADA'!L527,"AAAAABc+53o=")</f>
        <v>#VALUE!</v>
      </c>
      <c r="DT85" t="e">
        <f>AND('PROG FORMACIÓN TITULADA'!M527,"AAAAABc+53s=")</f>
        <v>#VALUE!</v>
      </c>
      <c r="DU85" t="e">
        <f>AND('PROG FORMACIÓN TITULADA'!N527,"AAAAABc+53w=")</f>
        <v>#VALUE!</v>
      </c>
      <c r="DV85" t="e">
        <f>AND('PROG FORMACIÓN TITULADA'!O527,"AAAAABc+530=")</f>
        <v>#VALUE!</v>
      </c>
      <c r="DW85" t="e">
        <f>AND('PROG FORMACIÓN TITULADA'!P527,"AAAAABc+534=")</f>
        <v>#VALUE!</v>
      </c>
      <c r="DX85" t="e">
        <f>AND('PROG FORMACIÓN TITULADA'!Q527,"AAAAABc+538=")</f>
        <v>#VALUE!</v>
      </c>
      <c r="DY85" t="e">
        <f>AND('PROG FORMACIÓN TITULADA'!R527,"AAAAABc+54A=")</f>
        <v>#VALUE!</v>
      </c>
      <c r="DZ85" t="e">
        <f>AND('PROG FORMACIÓN TITULADA'!S527,"AAAAABc+54E=")</f>
        <v>#VALUE!</v>
      </c>
      <c r="EA85" t="e">
        <f>AND('PROG FORMACIÓN TITULADA'!T527,"AAAAABc+54I=")</f>
        <v>#VALUE!</v>
      </c>
      <c r="EB85" t="e">
        <f>AND('PROG FORMACIÓN TITULADA'!U527,"AAAAABc+54M=")</f>
        <v>#VALUE!</v>
      </c>
      <c r="EC85" t="e">
        <f>AND('PROG FORMACIÓN TITULADA'!V527,"AAAAABc+54Q=")</f>
        <v>#VALUE!</v>
      </c>
      <c r="ED85" t="e">
        <f>AND('PROG FORMACIÓN TITULADA'!W527,"AAAAABc+54U=")</f>
        <v>#VALUE!</v>
      </c>
      <c r="EE85" t="e">
        <f>AND('PROG FORMACIÓN TITULADA'!X527,"AAAAABc+54Y=")</f>
        <v>#VALUE!</v>
      </c>
      <c r="EF85" t="e">
        <f>AND('PROG FORMACIÓN TITULADA'!Y527,"AAAAABc+54c=")</f>
        <v>#VALUE!</v>
      </c>
      <c r="EG85" t="e">
        <f>AND('PROG FORMACIÓN TITULADA'!Z527,"AAAAABc+54g=")</f>
        <v>#VALUE!</v>
      </c>
      <c r="EH85">
        <f>IF('PROG FORMACIÓN TITULADA'!528:528,"AAAAABc+54k=",0)</f>
        <v>0</v>
      </c>
      <c r="EI85" t="e">
        <f>AND('PROG FORMACIÓN TITULADA'!A528,"AAAAABc+54o=")</f>
        <v>#VALUE!</v>
      </c>
      <c r="EJ85" t="e">
        <f>AND('PROG FORMACIÓN TITULADA'!B528,"AAAAABc+54s=")</f>
        <v>#VALUE!</v>
      </c>
      <c r="EK85" t="e">
        <f>AND('PROG FORMACIÓN TITULADA'!C528,"AAAAABc+54w=")</f>
        <v>#VALUE!</v>
      </c>
      <c r="EL85" t="e">
        <f>AND('PROG FORMACIÓN TITULADA'!D528,"AAAAABc+540=")</f>
        <v>#VALUE!</v>
      </c>
      <c r="EM85" t="e">
        <f>AND('PROG FORMACIÓN TITULADA'!E528,"AAAAABc+544=")</f>
        <v>#VALUE!</v>
      </c>
      <c r="EN85" t="e">
        <f>AND('PROG FORMACIÓN TITULADA'!F528,"AAAAABc+548=")</f>
        <v>#VALUE!</v>
      </c>
      <c r="EO85" t="e">
        <f>AND('PROG FORMACIÓN TITULADA'!G528,"AAAAABc+55A=")</f>
        <v>#VALUE!</v>
      </c>
      <c r="EP85" t="e">
        <f>AND('PROG FORMACIÓN TITULADA'!H528,"AAAAABc+55E=")</f>
        <v>#VALUE!</v>
      </c>
      <c r="EQ85" t="e">
        <f>AND('PROG FORMACIÓN TITULADA'!I528,"AAAAABc+55I=")</f>
        <v>#VALUE!</v>
      </c>
      <c r="ER85" t="e">
        <f>AND('PROG FORMACIÓN TITULADA'!J528,"AAAAABc+55M=")</f>
        <v>#VALUE!</v>
      </c>
      <c r="ES85" t="e">
        <f>AND('PROG FORMACIÓN TITULADA'!K528,"AAAAABc+55Q=")</f>
        <v>#VALUE!</v>
      </c>
      <c r="ET85" t="e">
        <f>AND('PROG FORMACIÓN TITULADA'!L528,"AAAAABc+55U=")</f>
        <v>#VALUE!</v>
      </c>
      <c r="EU85" t="e">
        <f>AND('PROG FORMACIÓN TITULADA'!M528,"AAAAABc+55Y=")</f>
        <v>#VALUE!</v>
      </c>
      <c r="EV85" t="e">
        <f>AND('PROG FORMACIÓN TITULADA'!N528,"AAAAABc+55c=")</f>
        <v>#VALUE!</v>
      </c>
      <c r="EW85" t="e">
        <f>AND('PROG FORMACIÓN TITULADA'!O528,"AAAAABc+55g=")</f>
        <v>#VALUE!</v>
      </c>
      <c r="EX85" t="e">
        <f>AND('PROG FORMACIÓN TITULADA'!P528,"AAAAABc+55k=")</f>
        <v>#VALUE!</v>
      </c>
      <c r="EY85" t="e">
        <f>AND('PROG FORMACIÓN TITULADA'!Q528,"AAAAABc+55o=")</f>
        <v>#VALUE!</v>
      </c>
      <c r="EZ85" t="e">
        <f>AND('PROG FORMACIÓN TITULADA'!R528,"AAAAABc+55s=")</f>
        <v>#VALUE!</v>
      </c>
      <c r="FA85" t="e">
        <f>AND('PROG FORMACIÓN TITULADA'!S528,"AAAAABc+55w=")</f>
        <v>#VALUE!</v>
      </c>
      <c r="FB85" t="e">
        <f>AND('PROG FORMACIÓN TITULADA'!T528,"AAAAABc+550=")</f>
        <v>#VALUE!</v>
      </c>
      <c r="FC85" t="e">
        <f>AND('PROG FORMACIÓN TITULADA'!U528,"AAAAABc+554=")</f>
        <v>#VALUE!</v>
      </c>
      <c r="FD85" t="e">
        <f>AND('PROG FORMACIÓN TITULADA'!V528,"AAAAABc+558=")</f>
        <v>#VALUE!</v>
      </c>
      <c r="FE85" t="e">
        <f>AND('PROG FORMACIÓN TITULADA'!W528,"AAAAABc+56A=")</f>
        <v>#VALUE!</v>
      </c>
      <c r="FF85" t="e">
        <f>AND('PROG FORMACIÓN TITULADA'!X528,"AAAAABc+56E=")</f>
        <v>#VALUE!</v>
      </c>
      <c r="FG85" t="e">
        <f>AND('PROG FORMACIÓN TITULADA'!Y528,"AAAAABc+56I=")</f>
        <v>#VALUE!</v>
      </c>
      <c r="FH85" t="e">
        <f>AND('PROG FORMACIÓN TITULADA'!Z528,"AAAAABc+56M=")</f>
        <v>#VALUE!</v>
      </c>
      <c r="FI85">
        <f>IF('PROG FORMACIÓN TITULADA'!529:529,"AAAAABc+56Q=",0)</f>
        <v>0</v>
      </c>
      <c r="FJ85" t="e">
        <f>AND('PROG FORMACIÓN TITULADA'!A529,"AAAAABc+56U=")</f>
        <v>#VALUE!</v>
      </c>
      <c r="FK85" t="e">
        <f>AND('PROG FORMACIÓN TITULADA'!B529,"AAAAABc+56Y=")</f>
        <v>#VALUE!</v>
      </c>
      <c r="FL85" t="e">
        <f>AND('PROG FORMACIÓN TITULADA'!C529,"AAAAABc+56c=")</f>
        <v>#VALUE!</v>
      </c>
      <c r="FM85" t="e">
        <f>AND('PROG FORMACIÓN TITULADA'!D529,"AAAAABc+56g=")</f>
        <v>#VALUE!</v>
      </c>
      <c r="FN85" t="e">
        <f>AND('PROG FORMACIÓN TITULADA'!E529,"AAAAABc+56k=")</f>
        <v>#VALUE!</v>
      </c>
      <c r="FO85" t="e">
        <f>AND('PROG FORMACIÓN TITULADA'!F529,"AAAAABc+56o=")</f>
        <v>#VALUE!</v>
      </c>
      <c r="FP85" t="e">
        <f>AND('PROG FORMACIÓN TITULADA'!G529,"AAAAABc+56s=")</f>
        <v>#VALUE!</v>
      </c>
      <c r="FQ85" t="e">
        <f>AND('PROG FORMACIÓN TITULADA'!H529,"AAAAABc+56w=")</f>
        <v>#VALUE!</v>
      </c>
      <c r="FR85" t="e">
        <f>AND('PROG FORMACIÓN TITULADA'!I529,"AAAAABc+560=")</f>
        <v>#VALUE!</v>
      </c>
      <c r="FS85" t="e">
        <f>AND('PROG FORMACIÓN TITULADA'!J529,"AAAAABc+564=")</f>
        <v>#VALUE!</v>
      </c>
      <c r="FT85" t="e">
        <f>AND('PROG FORMACIÓN TITULADA'!K529,"AAAAABc+568=")</f>
        <v>#VALUE!</v>
      </c>
      <c r="FU85" t="e">
        <f>AND('PROG FORMACIÓN TITULADA'!L529,"AAAAABc+57A=")</f>
        <v>#VALUE!</v>
      </c>
      <c r="FV85" t="e">
        <f>AND('PROG FORMACIÓN TITULADA'!M529,"AAAAABc+57E=")</f>
        <v>#VALUE!</v>
      </c>
      <c r="FW85" t="e">
        <f>AND('PROG FORMACIÓN TITULADA'!N529,"AAAAABc+57I=")</f>
        <v>#VALUE!</v>
      </c>
      <c r="FX85" t="e">
        <f>AND('PROG FORMACIÓN TITULADA'!O529,"AAAAABc+57M=")</f>
        <v>#VALUE!</v>
      </c>
      <c r="FY85" t="e">
        <f>AND('PROG FORMACIÓN TITULADA'!P529,"AAAAABc+57Q=")</f>
        <v>#VALUE!</v>
      </c>
      <c r="FZ85" t="e">
        <f>AND('PROG FORMACIÓN TITULADA'!Q529,"AAAAABc+57U=")</f>
        <v>#VALUE!</v>
      </c>
      <c r="GA85" t="e">
        <f>AND('PROG FORMACIÓN TITULADA'!R529,"AAAAABc+57Y=")</f>
        <v>#VALUE!</v>
      </c>
      <c r="GB85" t="e">
        <f>AND('PROG FORMACIÓN TITULADA'!S529,"AAAAABc+57c=")</f>
        <v>#VALUE!</v>
      </c>
      <c r="GC85" t="e">
        <f>AND('PROG FORMACIÓN TITULADA'!T529,"AAAAABc+57g=")</f>
        <v>#VALUE!</v>
      </c>
      <c r="GD85" t="e">
        <f>AND('PROG FORMACIÓN TITULADA'!U529,"AAAAABc+57k=")</f>
        <v>#VALUE!</v>
      </c>
      <c r="GE85" t="e">
        <f>AND('PROG FORMACIÓN TITULADA'!V529,"AAAAABc+57o=")</f>
        <v>#VALUE!</v>
      </c>
      <c r="GF85" t="e">
        <f>AND('PROG FORMACIÓN TITULADA'!W529,"AAAAABc+57s=")</f>
        <v>#VALUE!</v>
      </c>
      <c r="GG85" t="e">
        <f>AND('PROG FORMACIÓN TITULADA'!X529,"AAAAABc+57w=")</f>
        <v>#VALUE!</v>
      </c>
      <c r="GH85" t="e">
        <f>AND('PROG FORMACIÓN TITULADA'!Y529,"AAAAABc+570=")</f>
        <v>#VALUE!</v>
      </c>
      <c r="GI85" t="e">
        <f>AND('PROG FORMACIÓN TITULADA'!Z529,"AAAAABc+574=")</f>
        <v>#VALUE!</v>
      </c>
      <c r="GJ85">
        <f>IF('PROG FORMACIÓN TITULADA'!530:530,"AAAAABc+578=",0)</f>
        <v>0</v>
      </c>
      <c r="GK85" t="e">
        <f>AND('PROG FORMACIÓN TITULADA'!A530,"AAAAABc+58A=")</f>
        <v>#VALUE!</v>
      </c>
      <c r="GL85" t="e">
        <f>AND('PROG FORMACIÓN TITULADA'!B530,"AAAAABc+58E=")</f>
        <v>#VALUE!</v>
      </c>
      <c r="GM85" t="e">
        <f>AND('PROG FORMACIÓN TITULADA'!C530,"AAAAABc+58I=")</f>
        <v>#VALUE!</v>
      </c>
      <c r="GN85" t="e">
        <f>AND('PROG FORMACIÓN TITULADA'!D530,"AAAAABc+58M=")</f>
        <v>#VALUE!</v>
      </c>
      <c r="GO85" t="e">
        <f>AND('PROG FORMACIÓN TITULADA'!E530,"AAAAABc+58Q=")</f>
        <v>#VALUE!</v>
      </c>
      <c r="GP85" t="e">
        <f>AND('PROG FORMACIÓN TITULADA'!F530,"AAAAABc+58U=")</f>
        <v>#VALUE!</v>
      </c>
      <c r="GQ85" t="e">
        <f>AND('PROG FORMACIÓN TITULADA'!G530,"AAAAABc+58Y=")</f>
        <v>#VALUE!</v>
      </c>
      <c r="GR85" t="e">
        <f>AND('PROG FORMACIÓN TITULADA'!H530,"AAAAABc+58c=")</f>
        <v>#VALUE!</v>
      </c>
      <c r="GS85" t="e">
        <f>AND('PROG FORMACIÓN TITULADA'!I530,"AAAAABc+58g=")</f>
        <v>#VALUE!</v>
      </c>
      <c r="GT85" t="e">
        <f>AND('PROG FORMACIÓN TITULADA'!J530,"AAAAABc+58k=")</f>
        <v>#VALUE!</v>
      </c>
      <c r="GU85" t="e">
        <f>AND('PROG FORMACIÓN TITULADA'!K530,"AAAAABc+58o=")</f>
        <v>#VALUE!</v>
      </c>
      <c r="GV85" t="e">
        <f>AND('PROG FORMACIÓN TITULADA'!L530,"AAAAABc+58s=")</f>
        <v>#VALUE!</v>
      </c>
      <c r="GW85" t="e">
        <f>AND('PROG FORMACIÓN TITULADA'!M530,"AAAAABc+58w=")</f>
        <v>#VALUE!</v>
      </c>
      <c r="GX85" t="e">
        <f>AND('PROG FORMACIÓN TITULADA'!N530,"AAAAABc+580=")</f>
        <v>#VALUE!</v>
      </c>
      <c r="GY85" t="e">
        <f>AND('PROG FORMACIÓN TITULADA'!O530,"AAAAABc+584=")</f>
        <v>#VALUE!</v>
      </c>
      <c r="GZ85" t="e">
        <f>AND('PROG FORMACIÓN TITULADA'!P530,"AAAAABc+588=")</f>
        <v>#VALUE!</v>
      </c>
      <c r="HA85" t="e">
        <f>AND('PROG FORMACIÓN TITULADA'!Q530,"AAAAABc+59A=")</f>
        <v>#VALUE!</v>
      </c>
      <c r="HB85" t="e">
        <f>AND('PROG FORMACIÓN TITULADA'!R530,"AAAAABc+59E=")</f>
        <v>#VALUE!</v>
      </c>
      <c r="HC85" t="e">
        <f>AND('PROG FORMACIÓN TITULADA'!S530,"AAAAABc+59I=")</f>
        <v>#VALUE!</v>
      </c>
      <c r="HD85" t="e">
        <f>AND('PROG FORMACIÓN TITULADA'!T530,"AAAAABc+59M=")</f>
        <v>#VALUE!</v>
      </c>
      <c r="HE85" t="e">
        <f>AND('PROG FORMACIÓN TITULADA'!U530,"AAAAABc+59Q=")</f>
        <v>#VALUE!</v>
      </c>
      <c r="HF85" t="e">
        <f>AND('PROG FORMACIÓN TITULADA'!V530,"AAAAABc+59U=")</f>
        <v>#VALUE!</v>
      </c>
      <c r="HG85" t="e">
        <f>AND('PROG FORMACIÓN TITULADA'!W530,"AAAAABc+59Y=")</f>
        <v>#VALUE!</v>
      </c>
      <c r="HH85" t="e">
        <f>AND('PROG FORMACIÓN TITULADA'!X530,"AAAAABc+59c=")</f>
        <v>#VALUE!</v>
      </c>
      <c r="HI85" t="e">
        <f>AND('PROG FORMACIÓN TITULADA'!Y530,"AAAAABc+59g=")</f>
        <v>#VALUE!</v>
      </c>
      <c r="HJ85" t="e">
        <f>AND('PROG FORMACIÓN TITULADA'!Z530,"AAAAABc+59k=")</f>
        <v>#VALUE!</v>
      </c>
      <c r="HK85">
        <f>IF('PROG FORMACIÓN TITULADA'!531:531,"AAAAABc+59o=",0)</f>
        <v>0</v>
      </c>
      <c r="HL85" t="e">
        <f>AND('PROG FORMACIÓN TITULADA'!A531,"AAAAABc+59s=")</f>
        <v>#VALUE!</v>
      </c>
      <c r="HM85" t="e">
        <f>AND('PROG FORMACIÓN TITULADA'!B531,"AAAAABc+59w=")</f>
        <v>#VALUE!</v>
      </c>
      <c r="HN85" t="e">
        <f>AND('PROG FORMACIÓN TITULADA'!C531,"AAAAABc+590=")</f>
        <v>#VALUE!</v>
      </c>
      <c r="HO85" t="e">
        <f>AND('PROG FORMACIÓN TITULADA'!D531,"AAAAABc+594=")</f>
        <v>#VALUE!</v>
      </c>
      <c r="HP85" t="e">
        <f>AND('PROG FORMACIÓN TITULADA'!E531,"AAAAABc+598=")</f>
        <v>#VALUE!</v>
      </c>
      <c r="HQ85" t="e">
        <f>AND('PROG FORMACIÓN TITULADA'!F531,"AAAAABc+5+A=")</f>
        <v>#VALUE!</v>
      </c>
      <c r="HR85" t="e">
        <f>AND('PROG FORMACIÓN TITULADA'!G531,"AAAAABc+5+E=")</f>
        <v>#VALUE!</v>
      </c>
      <c r="HS85" t="e">
        <f>AND('PROG FORMACIÓN TITULADA'!H531,"AAAAABc+5+I=")</f>
        <v>#VALUE!</v>
      </c>
      <c r="HT85" t="e">
        <f>AND('PROG FORMACIÓN TITULADA'!I531,"AAAAABc+5+M=")</f>
        <v>#VALUE!</v>
      </c>
      <c r="HU85" t="e">
        <f>AND('PROG FORMACIÓN TITULADA'!J531,"AAAAABc+5+Q=")</f>
        <v>#VALUE!</v>
      </c>
      <c r="HV85" t="e">
        <f>AND('PROG FORMACIÓN TITULADA'!K531,"AAAAABc+5+U=")</f>
        <v>#VALUE!</v>
      </c>
      <c r="HW85" t="e">
        <f>AND('PROG FORMACIÓN TITULADA'!L531,"AAAAABc+5+Y=")</f>
        <v>#VALUE!</v>
      </c>
      <c r="HX85" t="e">
        <f>AND('PROG FORMACIÓN TITULADA'!M531,"AAAAABc+5+c=")</f>
        <v>#VALUE!</v>
      </c>
      <c r="HY85" t="e">
        <f>AND('PROG FORMACIÓN TITULADA'!N531,"AAAAABc+5+g=")</f>
        <v>#VALUE!</v>
      </c>
      <c r="HZ85" t="e">
        <f>AND('PROG FORMACIÓN TITULADA'!O531,"AAAAABc+5+k=")</f>
        <v>#VALUE!</v>
      </c>
      <c r="IA85" t="e">
        <f>AND('PROG FORMACIÓN TITULADA'!P531,"AAAAABc+5+o=")</f>
        <v>#VALUE!</v>
      </c>
      <c r="IB85" t="e">
        <f>AND('PROG FORMACIÓN TITULADA'!Q531,"AAAAABc+5+s=")</f>
        <v>#VALUE!</v>
      </c>
      <c r="IC85" t="e">
        <f>AND('PROG FORMACIÓN TITULADA'!R531,"AAAAABc+5+w=")</f>
        <v>#VALUE!</v>
      </c>
      <c r="ID85" t="e">
        <f>AND('PROG FORMACIÓN TITULADA'!S531,"AAAAABc+5+0=")</f>
        <v>#VALUE!</v>
      </c>
      <c r="IE85" t="e">
        <f>AND('PROG FORMACIÓN TITULADA'!T531,"AAAAABc+5+4=")</f>
        <v>#VALUE!</v>
      </c>
      <c r="IF85" t="e">
        <f>AND('PROG FORMACIÓN TITULADA'!U531,"AAAAABc+5+8=")</f>
        <v>#VALUE!</v>
      </c>
      <c r="IG85" t="e">
        <f>AND('PROG FORMACIÓN TITULADA'!V531,"AAAAABc+5/A=")</f>
        <v>#VALUE!</v>
      </c>
      <c r="IH85" t="e">
        <f>AND('PROG FORMACIÓN TITULADA'!W531,"AAAAABc+5/E=")</f>
        <v>#VALUE!</v>
      </c>
      <c r="II85" t="e">
        <f>AND('PROG FORMACIÓN TITULADA'!X531,"AAAAABc+5/I=")</f>
        <v>#VALUE!</v>
      </c>
      <c r="IJ85" t="e">
        <f>AND('PROG FORMACIÓN TITULADA'!Y531,"AAAAABc+5/M=")</f>
        <v>#VALUE!</v>
      </c>
      <c r="IK85" t="e">
        <f>AND('PROG FORMACIÓN TITULADA'!Z531,"AAAAABc+5/Q=")</f>
        <v>#VALUE!</v>
      </c>
      <c r="IL85">
        <f>IF('PROG FORMACIÓN TITULADA'!532:532,"AAAAABc+5/U=",0)</f>
        <v>0</v>
      </c>
      <c r="IM85" t="e">
        <f>AND('PROG FORMACIÓN TITULADA'!A532,"AAAAABc+5/Y=")</f>
        <v>#VALUE!</v>
      </c>
      <c r="IN85" t="e">
        <f>AND('PROG FORMACIÓN TITULADA'!B532,"AAAAABc+5/c=")</f>
        <v>#VALUE!</v>
      </c>
      <c r="IO85" t="e">
        <f>AND('PROG FORMACIÓN TITULADA'!C532,"AAAAABc+5/g=")</f>
        <v>#VALUE!</v>
      </c>
      <c r="IP85" t="e">
        <f>AND('PROG FORMACIÓN TITULADA'!D532,"AAAAABc+5/k=")</f>
        <v>#VALUE!</v>
      </c>
      <c r="IQ85" t="e">
        <f>AND('PROG FORMACIÓN TITULADA'!E532,"AAAAABc+5/o=")</f>
        <v>#VALUE!</v>
      </c>
      <c r="IR85" t="e">
        <f>AND('PROG FORMACIÓN TITULADA'!F532,"AAAAABc+5/s=")</f>
        <v>#VALUE!</v>
      </c>
      <c r="IS85" t="e">
        <f>AND('PROG FORMACIÓN TITULADA'!G532,"AAAAABc+5/w=")</f>
        <v>#VALUE!</v>
      </c>
      <c r="IT85" t="e">
        <f>AND('PROG FORMACIÓN TITULADA'!H532,"AAAAABc+5/0=")</f>
        <v>#VALUE!</v>
      </c>
      <c r="IU85" t="e">
        <f>AND('PROG FORMACIÓN TITULADA'!I532,"AAAAABc+5/4=")</f>
        <v>#VALUE!</v>
      </c>
      <c r="IV85" t="e">
        <f>AND('PROG FORMACIÓN TITULADA'!J532,"AAAAABc+5/8=")</f>
        <v>#VALUE!</v>
      </c>
    </row>
    <row r="86" spans="1:256" x14ac:dyDescent="0.2">
      <c r="A86" t="e">
        <f>AND('PROG FORMACIÓN TITULADA'!K532,"AAAAAG/duQA=")</f>
        <v>#VALUE!</v>
      </c>
      <c r="B86" t="e">
        <f>AND('PROG FORMACIÓN TITULADA'!L532,"AAAAAG/duQE=")</f>
        <v>#VALUE!</v>
      </c>
      <c r="C86" t="e">
        <f>AND('PROG FORMACIÓN TITULADA'!M532,"AAAAAG/duQI=")</f>
        <v>#VALUE!</v>
      </c>
      <c r="D86" t="e">
        <f>AND('PROG FORMACIÓN TITULADA'!N532,"AAAAAG/duQM=")</f>
        <v>#VALUE!</v>
      </c>
      <c r="E86" t="e">
        <f>AND('PROG FORMACIÓN TITULADA'!O532,"AAAAAG/duQQ=")</f>
        <v>#VALUE!</v>
      </c>
      <c r="F86" t="e">
        <f>AND('PROG FORMACIÓN TITULADA'!P532,"AAAAAG/duQU=")</f>
        <v>#VALUE!</v>
      </c>
      <c r="G86" t="e">
        <f>AND('PROG FORMACIÓN TITULADA'!Q532,"AAAAAG/duQY=")</f>
        <v>#VALUE!</v>
      </c>
      <c r="H86" t="e">
        <f>AND('PROG FORMACIÓN TITULADA'!R532,"AAAAAG/duQc=")</f>
        <v>#VALUE!</v>
      </c>
      <c r="I86" t="e">
        <f>AND('PROG FORMACIÓN TITULADA'!S532,"AAAAAG/duQg=")</f>
        <v>#VALUE!</v>
      </c>
      <c r="J86" t="e">
        <f>AND('PROG FORMACIÓN TITULADA'!T532,"AAAAAG/duQk=")</f>
        <v>#VALUE!</v>
      </c>
      <c r="K86" t="e">
        <f>AND('PROG FORMACIÓN TITULADA'!U532,"AAAAAG/duQo=")</f>
        <v>#VALUE!</v>
      </c>
      <c r="L86" t="e">
        <f>AND('PROG FORMACIÓN TITULADA'!V532,"AAAAAG/duQs=")</f>
        <v>#VALUE!</v>
      </c>
      <c r="M86" t="e">
        <f>AND('PROG FORMACIÓN TITULADA'!W532,"AAAAAG/duQw=")</f>
        <v>#VALUE!</v>
      </c>
      <c r="N86" t="e">
        <f>AND('PROG FORMACIÓN TITULADA'!X532,"AAAAAG/duQ0=")</f>
        <v>#VALUE!</v>
      </c>
      <c r="O86" t="e">
        <f>AND('PROG FORMACIÓN TITULADA'!Y532,"AAAAAG/duQ4=")</f>
        <v>#VALUE!</v>
      </c>
      <c r="P86" t="e">
        <f>AND('PROG FORMACIÓN TITULADA'!Z532,"AAAAAG/duQ8=")</f>
        <v>#VALUE!</v>
      </c>
      <c r="Q86">
        <f>IF('PROG FORMACIÓN TITULADA'!533:533,"AAAAAG/duRA=",0)</f>
        <v>0</v>
      </c>
      <c r="R86" t="e">
        <f>AND('PROG FORMACIÓN TITULADA'!A533,"AAAAAG/duRE=")</f>
        <v>#VALUE!</v>
      </c>
      <c r="S86" t="e">
        <f>AND('PROG FORMACIÓN TITULADA'!B533,"AAAAAG/duRI=")</f>
        <v>#VALUE!</v>
      </c>
      <c r="T86" t="e">
        <f>AND('PROG FORMACIÓN TITULADA'!C533,"AAAAAG/duRM=")</f>
        <v>#VALUE!</v>
      </c>
      <c r="U86" t="e">
        <f>AND('PROG FORMACIÓN TITULADA'!D533,"AAAAAG/duRQ=")</f>
        <v>#VALUE!</v>
      </c>
      <c r="V86" t="e">
        <f>AND('PROG FORMACIÓN TITULADA'!E533,"AAAAAG/duRU=")</f>
        <v>#VALUE!</v>
      </c>
      <c r="W86" t="e">
        <f>AND('PROG FORMACIÓN TITULADA'!F533,"AAAAAG/duRY=")</f>
        <v>#VALUE!</v>
      </c>
      <c r="X86" t="e">
        <f>AND('PROG FORMACIÓN TITULADA'!G533,"AAAAAG/duRc=")</f>
        <v>#VALUE!</v>
      </c>
      <c r="Y86" t="e">
        <f>AND('PROG FORMACIÓN TITULADA'!H533,"AAAAAG/duRg=")</f>
        <v>#VALUE!</v>
      </c>
      <c r="Z86" t="e">
        <f>AND('PROG FORMACIÓN TITULADA'!I533,"AAAAAG/duRk=")</f>
        <v>#VALUE!</v>
      </c>
      <c r="AA86" t="e">
        <f>AND('PROG FORMACIÓN TITULADA'!J533,"AAAAAG/duRo=")</f>
        <v>#VALUE!</v>
      </c>
      <c r="AB86" t="e">
        <f>AND('PROG FORMACIÓN TITULADA'!K533,"AAAAAG/duRs=")</f>
        <v>#VALUE!</v>
      </c>
      <c r="AC86" t="e">
        <f>AND('PROG FORMACIÓN TITULADA'!L533,"AAAAAG/duRw=")</f>
        <v>#VALUE!</v>
      </c>
      <c r="AD86" t="e">
        <f>AND('PROG FORMACIÓN TITULADA'!M533,"AAAAAG/duR0=")</f>
        <v>#VALUE!</v>
      </c>
      <c r="AE86" t="e">
        <f>AND('PROG FORMACIÓN TITULADA'!N533,"AAAAAG/duR4=")</f>
        <v>#VALUE!</v>
      </c>
      <c r="AF86" t="e">
        <f>AND('PROG FORMACIÓN TITULADA'!O533,"AAAAAG/duR8=")</f>
        <v>#VALUE!</v>
      </c>
      <c r="AG86" t="e">
        <f>AND('PROG FORMACIÓN TITULADA'!P533,"AAAAAG/duSA=")</f>
        <v>#VALUE!</v>
      </c>
      <c r="AH86" t="e">
        <f>AND('PROG FORMACIÓN TITULADA'!Q533,"AAAAAG/duSE=")</f>
        <v>#VALUE!</v>
      </c>
      <c r="AI86" t="e">
        <f>AND('PROG FORMACIÓN TITULADA'!R533,"AAAAAG/duSI=")</f>
        <v>#VALUE!</v>
      </c>
      <c r="AJ86" t="e">
        <f>AND('PROG FORMACIÓN TITULADA'!S533,"AAAAAG/duSM=")</f>
        <v>#VALUE!</v>
      </c>
      <c r="AK86" t="e">
        <f>AND('PROG FORMACIÓN TITULADA'!T533,"AAAAAG/duSQ=")</f>
        <v>#VALUE!</v>
      </c>
      <c r="AL86" t="e">
        <f>AND('PROG FORMACIÓN TITULADA'!U533,"AAAAAG/duSU=")</f>
        <v>#VALUE!</v>
      </c>
      <c r="AM86" t="e">
        <f>AND('PROG FORMACIÓN TITULADA'!V533,"AAAAAG/duSY=")</f>
        <v>#VALUE!</v>
      </c>
      <c r="AN86" t="e">
        <f>AND('PROG FORMACIÓN TITULADA'!W533,"AAAAAG/duSc=")</f>
        <v>#VALUE!</v>
      </c>
      <c r="AO86" t="e">
        <f>AND('PROG FORMACIÓN TITULADA'!X533,"AAAAAG/duSg=")</f>
        <v>#VALUE!</v>
      </c>
      <c r="AP86" t="e">
        <f>AND('PROG FORMACIÓN TITULADA'!Y533,"AAAAAG/duSk=")</f>
        <v>#VALUE!</v>
      </c>
      <c r="AQ86" t="e">
        <f>AND('PROG FORMACIÓN TITULADA'!Z533,"AAAAAG/duSo=")</f>
        <v>#VALUE!</v>
      </c>
      <c r="AR86">
        <f>IF('PROG FORMACIÓN TITULADA'!534:534,"AAAAAG/duSs=",0)</f>
        <v>0</v>
      </c>
      <c r="AS86" t="e">
        <f>AND('PROG FORMACIÓN TITULADA'!A534,"AAAAAG/duSw=")</f>
        <v>#VALUE!</v>
      </c>
      <c r="AT86" t="e">
        <f>AND('PROG FORMACIÓN TITULADA'!B534,"AAAAAG/duS0=")</f>
        <v>#VALUE!</v>
      </c>
      <c r="AU86" t="e">
        <f>AND('PROG FORMACIÓN TITULADA'!C534,"AAAAAG/duS4=")</f>
        <v>#VALUE!</v>
      </c>
      <c r="AV86" t="e">
        <f>AND('PROG FORMACIÓN TITULADA'!D534,"AAAAAG/duS8=")</f>
        <v>#VALUE!</v>
      </c>
      <c r="AW86" t="e">
        <f>AND('PROG FORMACIÓN TITULADA'!E534,"AAAAAG/duTA=")</f>
        <v>#VALUE!</v>
      </c>
      <c r="AX86" t="e">
        <f>AND('PROG FORMACIÓN TITULADA'!F534,"AAAAAG/duTE=")</f>
        <v>#VALUE!</v>
      </c>
      <c r="AY86" t="e">
        <f>AND('PROG FORMACIÓN TITULADA'!G534,"AAAAAG/duTI=")</f>
        <v>#VALUE!</v>
      </c>
      <c r="AZ86" t="e">
        <f>AND('PROG FORMACIÓN TITULADA'!H534,"AAAAAG/duTM=")</f>
        <v>#VALUE!</v>
      </c>
      <c r="BA86" t="e">
        <f>AND('PROG FORMACIÓN TITULADA'!I534,"AAAAAG/duTQ=")</f>
        <v>#VALUE!</v>
      </c>
      <c r="BB86" t="e">
        <f>AND('PROG FORMACIÓN TITULADA'!J534,"AAAAAG/duTU=")</f>
        <v>#VALUE!</v>
      </c>
      <c r="BC86" t="e">
        <f>AND('PROG FORMACIÓN TITULADA'!K534,"AAAAAG/duTY=")</f>
        <v>#VALUE!</v>
      </c>
      <c r="BD86" t="e">
        <f>AND('PROG FORMACIÓN TITULADA'!L534,"AAAAAG/duTc=")</f>
        <v>#VALUE!</v>
      </c>
      <c r="BE86" t="e">
        <f>AND('PROG FORMACIÓN TITULADA'!M534,"AAAAAG/duTg=")</f>
        <v>#VALUE!</v>
      </c>
      <c r="BF86" t="e">
        <f>AND('PROG FORMACIÓN TITULADA'!N534,"AAAAAG/duTk=")</f>
        <v>#VALUE!</v>
      </c>
      <c r="BG86" t="e">
        <f>AND('PROG FORMACIÓN TITULADA'!O534,"AAAAAG/duTo=")</f>
        <v>#VALUE!</v>
      </c>
      <c r="BH86" t="e">
        <f>AND('PROG FORMACIÓN TITULADA'!P534,"AAAAAG/duTs=")</f>
        <v>#VALUE!</v>
      </c>
      <c r="BI86" t="e">
        <f>AND('PROG FORMACIÓN TITULADA'!Q534,"AAAAAG/duTw=")</f>
        <v>#VALUE!</v>
      </c>
      <c r="BJ86" t="e">
        <f>AND('PROG FORMACIÓN TITULADA'!R534,"AAAAAG/duT0=")</f>
        <v>#VALUE!</v>
      </c>
      <c r="BK86" t="e">
        <f>AND('PROG FORMACIÓN TITULADA'!S534,"AAAAAG/duT4=")</f>
        <v>#VALUE!</v>
      </c>
      <c r="BL86" t="e">
        <f>AND('PROG FORMACIÓN TITULADA'!T534,"AAAAAG/duT8=")</f>
        <v>#VALUE!</v>
      </c>
      <c r="BM86" t="e">
        <f>AND('PROG FORMACIÓN TITULADA'!U534,"AAAAAG/duUA=")</f>
        <v>#VALUE!</v>
      </c>
      <c r="BN86" t="e">
        <f>AND('PROG FORMACIÓN TITULADA'!V534,"AAAAAG/duUE=")</f>
        <v>#VALUE!</v>
      </c>
      <c r="BO86" t="e">
        <f>AND('PROG FORMACIÓN TITULADA'!W534,"AAAAAG/duUI=")</f>
        <v>#VALUE!</v>
      </c>
      <c r="BP86" t="e">
        <f>AND('PROG FORMACIÓN TITULADA'!X534,"AAAAAG/duUM=")</f>
        <v>#VALUE!</v>
      </c>
      <c r="BQ86" t="e">
        <f>AND('PROG FORMACIÓN TITULADA'!Y534,"AAAAAG/duUQ=")</f>
        <v>#VALUE!</v>
      </c>
      <c r="BR86" t="e">
        <f>AND('PROG FORMACIÓN TITULADA'!Z534,"AAAAAG/duUU=")</f>
        <v>#VALUE!</v>
      </c>
      <c r="BS86">
        <f>IF('PROG FORMACIÓN TITULADA'!535:535,"AAAAAG/duUY=",0)</f>
        <v>0</v>
      </c>
      <c r="BT86" t="e">
        <f>AND('PROG FORMACIÓN TITULADA'!A535,"AAAAAG/duUc=")</f>
        <v>#VALUE!</v>
      </c>
      <c r="BU86" t="e">
        <f>AND('PROG FORMACIÓN TITULADA'!B535,"AAAAAG/duUg=")</f>
        <v>#VALUE!</v>
      </c>
      <c r="BV86" t="e">
        <f>AND('PROG FORMACIÓN TITULADA'!C535,"AAAAAG/duUk=")</f>
        <v>#VALUE!</v>
      </c>
      <c r="BW86" t="e">
        <f>AND('PROG FORMACIÓN TITULADA'!D535,"AAAAAG/duUo=")</f>
        <v>#VALUE!</v>
      </c>
      <c r="BX86" t="e">
        <f>AND('PROG FORMACIÓN TITULADA'!E535,"AAAAAG/duUs=")</f>
        <v>#VALUE!</v>
      </c>
      <c r="BY86" t="e">
        <f>AND('PROG FORMACIÓN TITULADA'!F535,"AAAAAG/duUw=")</f>
        <v>#VALUE!</v>
      </c>
      <c r="BZ86" t="e">
        <f>AND('PROG FORMACIÓN TITULADA'!G535,"AAAAAG/duU0=")</f>
        <v>#VALUE!</v>
      </c>
      <c r="CA86" t="e">
        <f>AND('PROG FORMACIÓN TITULADA'!H535,"AAAAAG/duU4=")</f>
        <v>#VALUE!</v>
      </c>
      <c r="CB86" t="e">
        <f>AND('PROG FORMACIÓN TITULADA'!I535,"AAAAAG/duU8=")</f>
        <v>#VALUE!</v>
      </c>
      <c r="CC86" t="e">
        <f>AND('PROG FORMACIÓN TITULADA'!J535,"AAAAAG/duVA=")</f>
        <v>#VALUE!</v>
      </c>
      <c r="CD86" t="e">
        <f>AND('PROG FORMACIÓN TITULADA'!K535,"AAAAAG/duVE=")</f>
        <v>#VALUE!</v>
      </c>
      <c r="CE86" t="e">
        <f>AND('PROG FORMACIÓN TITULADA'!L535,"AAAAAG/duVI=")</f>
        <v>#VALUE!</v>
      </c>
      <c r="CF86" t="e">
        <f>AND('PROG FORMACIÓN TITULADA'!M535,"AAAAAG/duVM=")</f>
        <v>#VALUE!</v>
      </c>
      <c r="CG86" t="e">
        <f>AND('PROG FORMACIÓN TITULADA'!N535,"AAAAAG/duVQ=")</f>
        <v>#VALUE!</v>
      </c>
      <c r="CH86" t="e">
        <f>AND('PROG FORMACIÓN TITULADA'!O535,"AAAAAG/duVU=")</f>
        <v>#VALUE!</v>
      </c>
      <c r="CI86" t="e">
        <f>AND('PROG FORMACIÓN TITULADA'!P535,"AAAAAG/duVY=")</f>
        <v>#VALUE!</v>
      </c>
      <c r="CJ86" t="e">
        <f>AND('PROG FORMACIÓN TITULADA'!Q535,"AAAAAG/duVc=")</f>
        <v>#VALUE!</v>
      </c>
      <c r="CK86" t="e">
        <f>AND('PROG FORMACIÓN TITULADA'!R535,"AAAAAG/duVg=")</f>
        <v>#VALUE!</v>
      </c>
      <c r="CL86" t="e">
        <f>AND('PROG FORMACIÓN TITULADA'!S535,"AAAAAG/duVk=")</f>
        <v>#VALUE!</v>
      </c>
      <c r="CM86" t="e">
        <f>AND('PROG FORMACIÓN TITULADA'!T535,"AAAAAG/duVo=")</f>
        <v>#VALUE!</v>
      </c>
      <c r="CN86" t="e">
        <f>AND('PROG FORMACIÓN TITULADA'!U535,"AAAAAG/duVs=")</f>
        <v>#VALUE!</v>
      </c>
      <c r="CO86" t="e">
        <f>AND('PROG FORMACIÓN TITULADA'!V535,"AAAAAG/duVw=")</f>
        <v>#VALUE!</v>
      </c>
      <c r="CP86" t="e">
        <f>AND('PROG FORMACIÓN TITULADA'!W535,"AAAAAG/duV0=")</f>
        <v>#VALUE!</v>
      </c>
      <c r="CQ86" t="e">
        <f>AND('PROG FORMACIÓN TITULADA'!X535,"AAAAAG/duV4=")</f>
        <v>#VALUE!</v>
      </c>
      <c r="CR86" t="e">
        <f>AND('PROG FORMACIÓN TITULADA'!Y535,"AAAAAG/duV8=")</f>
        <v>#VALUE!</v>
      </c>
      <c r="CS86" t="e">
        <f>AND('PROG FORMACIÓN TITULADA'!Z535,"AAAAAG/duWA=")</f>
        <v>#VALUE!</v>
      </c>
      <c r="CT86">
        <f>IF('PROG FORMACIÓN TITULADA'!536:536,"AAAAAG/duWE=",0)</f>
        <v>0</v>
      </c>
      <c r="CU86" t="e">
        <f>AND('PROG FORMACIÓN TITULADA'!A536,"AAAAAG/duWI=")</f>
        <v>#VALUE!</v>
      </c>
      <c r="CV86" t="e">
        <f>AND('PROG FORMACIÓN TITULADA'!B536,"AAAAAG/duWM=")</f>
        <v>#VALUE!</v>
      </c>
      <c r="CW86" t="e">
        <f>AND('PROG FORMACIÓN TITULADA'!C536,"AAAAAG/duWQ=")</f>
        <v>#VALUE!</v>
      </c>
      <c r="CX86" t="e">
        <f>AND('PROG FORMACIÓN TITULADA'!D536,"AAAAAG/duWU=")</f>
        <v>#VALUE!</v>
      </c>
      <c r="CY86" t="e">
        <f>AND('PROG FORMACIÓN TITULADA'!E536,"AAAAAG/duWY=")</f>
        <v>#VALUE!</v>
      </c>
      <c r="CZ86" t="e">
        <f>AND('PROG FORMACIÓN TITULADA'!F536,"AAAAAG/duWc=")</f>
        <v>#VALUE!</v>
      </c>
      <c r="DA86" t="e">
        <f>AND('PROG FORMACIÓN TITULADA'!G536,"AAAAAG/duWg=")</f>
        <v>#VALUE!</v>
      </c>
      <c r="DB86" t="e">
        <f>AND('PROG FORMACIÓN TITULADA'!H536,"AAAAAG/duWk=")</f>
        <v>#VALUE!</v>
      </c>
      <c r="DC86" t="e">
        <f>AND('PROG FORMACIÓN TITULADA'!I536,"AAAAAG/duWo=")</f>
        <v>#VALUE!</v>
      </c>
      <c r="DD86" t="e">
        <f>AND('PROG FORMACIÓN TITULADA'!J536,"AAAAAG/duWs=")</f>
        <v>#VALUE!</v>
      </c>
      <c r="DE86" t="e">
        <f>AND('PROG FORMACIÓN TITULADA'!K536,"AAAAAG/duWw=")</f>
        <v>#VALUE!</v>
      </c>
      <c r="DF86" t="e">
        <f>AND('PROG FORMACIÓN TITULADA'!L536,"AAAAAG/duW0=")</f>
        <v>#VALUE!</v>
      </c>
      <c r="DG86" t="e">
        <f>AND('PROG FORMACIÓN TITULADA'!M536,"AAAAAG/duW4=")</f>
        <v>#VALUE!</v>
      </c>
      <c r="DH86" t="e">
        <f>AND('PROG FORMACIÓN TITULADA'!N536,"AAAAAG/duW8=")</f>
        <v>#VALUE!</v>
      </c>
      <c r="DI86" t="e">
        <f>AND('PROG FORMACIÓN TITULADA'!O536,"AAAAAG/duXA=")</f>
        <v>#VALUE!</v>
      </c>
      <c r="DJ86" t="e">
        <f>AND('PROG FORMACIÓN TITULADA'!P536,"AAAAAG/duXE=")</f>
        <v>#VALUE!</v>
      </c>
      <c r="DK86" t="e">
        <f>AND('PROG FORMACIÓN TITULADA'!Q536,"AAAAAG/duXI=")</f>
        <v>#VALUE!</v>
      </c>
      <c r="DL86" t="e">
        <f>AND('PROG FORMACIÓN TITULADA'!R536,"AAAAAG/duXM=")</f>
        <v>#VALUE!</v>
      </c>
      <c r="DM86" t="e">
        <f>AND('PROG FORMACIÓN TITULADA'!S536,"AAAAAG/duXQ=")</f>
        <v>#VALUE!</v>
      </c>
      <c r="DN86" t="e">
        <f>AND('PROG FORMACIÓN TITULADA'!T536,"AAAAAG/duXU=")</f>
        <v>#VALUE!</v>
      </c>
      <c r="DO86" t="e">
        <f>AND('PROG FORMACIÓN TITULADA'!U536,"AAAAAG/duXY=")</f>
        <v>#VALUE!</v>
      </c>
      <c r="DP86" t="e">
        <f>AND('PROG FORMACIÓN TITULADA'!V536,"AAAAAG/duXc=")</f>
        <v>#VALUE!</v>
      </c>
      <c r="DQ86" t="e">
        <f>AND('PROG FORMACIÓN TITULADA'!W536,"AAAAAG/duXg=")</f>
        <v>#VALUE!</v>
      </c>
      <c r="DR86" t="e">
        <f>AND('PROG FORMACIÓN TITULADA'!X536,"AAAAAG/duXk=")</f>
        <v>#VALUE!</v>
      </c>
      <c r="DS86" t="e">
        <f>AND('PROG FORMACIÓN TITULADA'!Y536,"AAAAAG/duXo=")</f>
        <v>#VALUE!</v>
      </c>
      <c r="DT86" t="e">
        <f>AND('PROG FORMACIÓN TITULADA'!Z536,"AAAAAG/duXs=")</f>
        <v>#VALUE!</v>
      </c>
      <c r="DU86">
        <f>IF('PROG FORMACIÓN TITULADA'!537:537,"AAAAAG/duXw=",0)</f>
        <v>0</v>
      </c>
      <c r="DV86" t="e">
        <f>AND('PROG FORMACIÓN TITULADA'!A537,"AAAAAG/duX0=")</f>
        <v>#VALUE!</v>
      </c>
      <c r="DW86" t="e">
        <f>AND('PROG FORMACIÓN TITULADA'!B537,"AAAAAG/duX4=")</f>
        <v>#VALUE!</v>
      </c>
      <c r="DX86" t="e">
        <f>AND('PROG FORMACIÓN TITULADA'!C537,"AAAAAG/duX8=")</f>
        <v>#VALUE!</v>
      </c>
      <c r="DY86" t="e">
        <f>AND('PROG FORMACIÓN TITULADA'!D537,"AAAAAG/duYA=")</f>
        <v>#VALUE!</v>
      </c>
      <c r="DZ86" t="e">
        <f>AND('PROG FORMACIÓN TITULADA'!E537,"AAAAAG/duYE=")</f>
        <v>#VALUE!</v>
      </c>
      <c r="EA86" t="e">
        <f>AND('PROG FORMACIÓN TITULADA'!F537,"AAAAAG/duYI=")</f>
        <v>#VALUE!</v>
      </c>
      <c r="EB86" t="e">
        <f>AND('PROG FORMACIÓN TITULADA'!G537,"AAAAAG/duYM=")</f>
        <v>#VALUE!</v>
      </c>
      <c r="EC86" t="e">
        <f>AND('PROG FORMACIÓN TITULADA'!H537,"AAAAAG/duYQ=")</f>
        <v>#VALUE!</v>
      </c>
      <c r="ED86" t="e">
        <f>AND('PROG FORMACIÓN TITULADA'!I537,"AAAAAG/duYU=")</f>
        <v>#VALUE!</v>
      </c>
      <c r="EE86" t="e">
        <f>AND('PROG FORMACIÓN TITULADA'!J537,"AAAAAG/duYY=")</f>
        <v>#VALUE!</v>
      </c>
      <c r="EF86" t="e">
        <f>AND('PROG FORMACIÓN TITULADA'!K537,"AAAAAG/duYc=")</f>
        <v>#VALUE!</v>
      </c>
      <c r="EG86" t="e">
        <f>AND('PROG FORMACIÓN TITULADA'!L537,"AAAAAG/duYg=")</f>
        <v>#VALUE!</v>
      </c>
      <c r="EH86" t="e">
        <f>AND('PROG FORMACIÓN TITULADA'!M537,"AAAAAG/duYk=")</f>
        <v>#VALUE!</v>
      </c>
      <c r="EI86" t="e">
        <f>AND('PROG FORMACIÓN TITULADA'!N537,"AAAAAG/duYo=")</f>
        <v>#VALUE!</v>
      </c>
      <c r="EJ86" t="e">
        <f>AND('PROG FORMACIÓN TITULADA'!O537,"AAAAAG/duYs=")</f>
        <v>#VALUE!</v>
      </c>
      <c r="EK86" t="e">
        <f>AND('PROG FORMACIÓN TITULADA'!P537,"AAAAAG/duYw=")</f>
        <v>#VALUE!</v>
      </c>
      <c r="EL86" t="e">
        <f>AND('PROG FORMACIÓN TITULADA'!Q537,"AAAAAG/duY0=")</f>
        <v>#VALUE!</v>
      </c>
      <c r="EM86" t="e">
        <f>AND('PROG FORMACIÓN TITULADA'!R537,"AAAAAG/duY4=")</f>
        <v>#VALUE!</v>
      </c>
      <c r="EN86" t="e">
        <f>AND('PROG FORMACIÓN TITULADA'!S537,"AAAAAG/duY8=")</f>
        <v>#VALUE!</v>
      </c>
      <c r="EO86" t="e">
        <f>AND('PROG FORMACIÓN TITULADA'!T537,"AAAAAG/duZA=")</f>
        <v>#VALUE!</v>
      </c>
      <c r="EP86" t="e">
        <f>AND('PROG FORMACIÓN TITULADA'!U537,"AAAAAG/duZE=")</f>
        <v>#VALUE!</v>
      </c>
      <c r="EQ86" t="e">
        <f>AND('PROG FORMACIÓN TITULADA'!V537,"AAAAAG/duZI=")</f>
        <v>#VALUE!</v>
      </c>
      <c r="ER86" t="e">
        <f>AND('PROG FORMACIÓN TITULADA'!W537,"AAAAAG/duZM=")</f>
        <v>#VALUE!</v>
      </c>
      <c r="ES86" t="e">
        <f>AND('PROG FORMACIÓN TITULADA'!X537,"AAAAAG/duZQ=")</f>
        <v>#VALUE!</v>
      </c>
      <c r="ET86" t="e">
        <f>AND('PROG FORMACIÓN TITULADA'!Y537,"AAAAAG/duZU=")</f>
        <v>#VALUE!</v>
      </c>
      <c r="EU86" t="e">
        <f>AND('PROG FORMACIÓN TITULADA'!Z537,"AAAAAG/duZY=")</f>
        <v>#VALUE!</v>
      </c>
      <c r="EV86">
        <f>IF('PROG FORMACIÓN TITULADA'!538:538,"AAAAAG/duZc=",0)</f>
        <v>0</v>
      </c>
      <c r="EW86" t="e">
        <f>AND('PROG FORMACIÓN TITULADA'!A538,"AAAAAG/duZg=")</f>
        <v>#VALUE!</v>
      </c>
      <c r="EX86" t="e">
        <f>AND('PROG FORMACIÓN TITULADA'!B538,"AAAAAG/duZk=")</f>
        <v>#VALUE!</v>
      </c>
      <c r="EY86" t="e">
        <f>AND('PROG FORMACIÓN TITULADA'!C538,"AAAAAG/duZo=")</f>
        <v>#VALUE!</v>
      </c>
      <c r="EZ86" t="e">
        <f>AND('PROG FORMACIÓN TITULADA'!D538,"AAAAAG/duZs=")</f>
        <v>#VALUE!</v>
      </c>
      <c r="FA86" t="e">
        <f>AND('PROG FORMACIÓN TITULADA'!E538,"AAAAAG/duZw=")</f>
        <v>#VALUE!</v>
      </c>
      <c r="FB86" t="e">
        <f>AND('PROG FORMACIÓN TITULADA'!F538,"AAAAAG/duZ0=")</f>
        <v>#VALUE!</v>
      </c>
      <c r="FC86" t="e">
        <f>AND('PROG FORMACIÓN TITULADA'!G538,"AAAAAG/duZ4=")</f>
        <v>#VALUE!</v>
      </c>
      <c r="FD86" t="e">
        <f>AND('PROG FORMACIÓN TITULADA'!H538,"AAAAAG/duZ8=")</f>
        <v>#VALUE!</v>
      </c>
      <c r="FE86" t="e">
        <f>AND('PROG FORMACIÓN TITULADA'!I538,"AAAAAG/duaA=")</f>
        <v>#VALUE!</v>
      </c>
      <c r="FF86" t="e">
        <f>AND('PROG FORMACIÓN TITULADA'!J538,"AAAAAG/duaE=")</f>
        <v>#VALUE!</v>
      </c>
      <c r="FG86" t="e">
        <f>AND('PROG FORMACIÓN TITULADA'!K538,"AAAAAG/duaI=")</f>
        <v>#VALUE!</v>
      </c>
      <c r="FH86" t="e">
        <f>AND('PROG FORMACIÓN TITULADA'!L538,"AAAAAG/duaM=")</f>
        <v>#VALUE!</v>
      </c>
      <c r="FI86" t="e">
        <f>AND('PROG FORMACIÓN TITULADA'!M538,"AAAAAG/duaQ=")</f>
        <v>#VALUE!</v>
      </c>
      <c r="FJ86" t="e">
        <f>AND('PROG FORMACIÓN TITULADA'!N538,"AAAAAG/duaU=")</f>
        <v>#VALUE!</v>
      </c>
      <c r="FK86" t="e">
        <f>AND('PROG FORMACIÓN TITULADA'!O538,"AAAAAG/duaY=")</f>
        <v>#VALUE!</v>
      </c>
      <c r="FL86" t="e">
        <f>AND('PROG FORMACIÓN TITULADA'!P538,"AAAAAG/duac=")</f>
        <v>#VALUE!</v>
      </c>
      <c r="FM86" t="e">
        <f>AND('PROG FORMACIÓN TITULADA'!Q538,"AAAAAG/duag=")</f>
        <v>#VALUE!</v>
      </c>
      <c r="FN86" t="e">
        <f>AND('PROG FORMACIÓN TITULADA'!R538,"AAAAAG/duak=")</f>
        <v>#VALUE!</v>
      </c>
      <c r="FO86" t="e">
        <f>AND('PROG FORMACIÓN TITULADA'!S538,"AAAAAG/duao=")</f>
        <v>#VALUE!</v>
      </c>
      <c r="FP86" t="e">
        <f>AND('PROG FORMACIÓN TITULADA'!T538,"AAAAAG/duas=")</f>
        <v>#VALUE!</v>
      </c>
      <c r="FQ86" t="e">
        <f>AND('PROG FORMACIÓN TITULADA'!U538,"AAAAAG/duaw=")</f>
        <v>#VALUE!</v>
      </c>
      <c r="FR86" t="e">
        <f>AND('PROG FORMACIÓN TITULADA'!V538,"AAAAAG/dua0=")</f>
        <v>#VALUE!</v>
      </c>
      <c r="FS86" t="e">
        <f>AND('PROG FORMACIÓN TITULADA'!W538,"AAAAAG/dua4=")</f>
        <v>#VALUE!</v>
      </c>
      <c r="FT86" t="e">
        <f>AND('PROG FORMACIÓN TITULADA'!X538,"AAAAAG/dua8=")</f>
        <v>#VALUE!</v>
      </c>
      <c r="FU86" t="e">
        <f>AND('PROG FORMACIÓN TITULADA'!Y538,"AAAAAG/dubA=")</f>
        <v>#VALUE!</v>
      </c>
      <c r="FV86" t="e">
        <f>AND('PROG FORMACIÓN TITULADA'!Z538,"AAAAAG/dubE=")</f>
        <v>#VALUE!</v>
      </c>
      <c r="FW86">
        <f>IF('PROG FORMACIÓN TITULADA'!539:539,"AAAAAG/dubI=",0)</f>
        <v>0</v>
      </c>
      <c r="FX86" t="e">
        <f>AND('PROG FORMACIÓN TITULADA'!A539,"AAAAAG/dubM=")</f>
        <v>#VALUE!</v>
      </c>
      <c r="FY86" t="e">
        <f>AND('PROG FORMACIÓN TITULADA'!B539,"AAAAAG/dubQ=")</f>
        <v>#VALUE!</v>
      </c>
      <c r="FZ86" t="e">
        <f>AND('PROG FORMACIÓN TITULADA'!C539,"AAAAAG/dubU=")</f>
        <v>#VALUE!</v>
      </c>
      <c r="GA86" t="e">
        <f>AND('PROG FORMACIÓN TITULADA'!D539,"AAAAAG/dubY=")</f>
        <v>#VALUE!</v>
      </c>
      <c r="GB86" t="e">
        <f>AND('PROG FORMACIÓN TITULADA'!E539,"AAAAAG/dubc=")</f>
        <v>#VALUE!</v>
      </c>
      <c r="GC86" t="e">
        <f>AND('PROG FORMACIÓN TITULADA'!F539,"AAAAAG/dubg=")</f>
        <v>#VALUE!</v>
      </c>
      <c r="GD86" t="e">
        <f>AND('PROG FORMACIÓN TITULADA'!G539,"AAAAAG/dubk=")</f>
        <v>#VALUE!</v>
      </c>
      <c r="GE86" t="e">
        <f>AND('PROG FORMACIÓN TITULADA'!H539,"AAAAAG/dubo=")</f>
        <v>#VALUE!</v>
      </c>
      <c r="GF86" t="e">
        <f>AND('PROG FORMACIÓN TITULADA'!I539,"AAAAAG/dubs=")</f>
        <v>#VALUE!</v>
      </c>
      <c r="GG86" t="e">
        <f>AND('PROG FORMACIÓN TITULADA'!J539,"AAAAAG/dubw=")</f>
        <v>#VALUE!</v>
      </c>
      <c r="GH86" t="e">
        <f>AND('PROG FORMACIÓN TITULADA'!K539,"AAAAAG/dub0=")</f>
        <v>#VALUE!</v>
      </c>
      <c r="GI86" t="e">
        <f>AND('PROG FORMACIÓN TITULADA'!L539,"AAAAAG/dub4=")</f>
        <v>#VALUE!</v>
      </c>
      <c r="GJ86" t="e">
        <f>AND('PROG FORMACIÓN TITULADA'!M539,"AAAAAG/dub8=")</f>
        <v>#VALUE!</v>
      </c>
      <c r="GK86" t="e">
        <f>AND('PROG FORMACIÓN TITULADA'!N539,"AAAAAG/ducA=")</f>
        <v>#VALUE!</v>
      </c>
      <c r="GL86" t="e">
        <f>AND('PROG FORMACIÓN TITULADA'!O539,"AAAAAG/ducE=")</f>
        <v>#VALUE!</v>
      </c>
      <c r="GM86" t="e">
        <f>AND('PROG FORMACIÓN TITULADA'!P539,"AAAAAG/ducI=")</f>
        <v>#VALUE!</v>
      </c>
      <c r="GN86" t="e">
        <f>AND('PROG FORMACIÓN TITULADA'!Q539,"AAAAAG/ducM=")</f>
        <v>#VALUE!</v>
      </c>
      <c r="GO86" t="e">
        <f>AND('PROG FORMACIÓN TITULADA'!R539,"AAAAAG/ducQ=")</f>
        <v>#VALUE!</v>
      </c>
      <c r="GP86" t="e">
        <f>AND('PROG FORMACIÓN TITULADA'!S539,"AAAAAG/ducU=")</f>
        <v>#VALUE!</v>
      </c>
      <c r="GQ86" t="e">
        <f>AND('PROG FORMACIÓN TITULADA'!T539,"AAAAAG/ducY=")</f>
        <v>#VALUE!</v>
      </c>
      <c r="GR86" t="e">
        <f>AND('PROG FORMACIÓN TITULADA'!U539,"AAAAAG/ducc=")</f>
        <v>#VALUE!</v>
      </c>
      <c r="GS86" t="e">
        <f>AND('PROG FORMACIÓN TITULADA'!V539,"AAAAAG/ducg=")</f>
        <v>#VALUE!</v>
      </c>
      <c r="GT86" t="e">
        <f>AND('PROG FORMACIÓN TITULADA'!W539,"AAAAAG/duck=")</f>
        <v>#VALUE!</v>
      </c>
      <c r="GU86" t="e">
        <f>AND('PROG FORMACIÓN TITULADA'!X539,"AAAAAG/duco=")</f>
        <v>#VALUE!</v>
      </c>
      <c r="GV86" t="e">
        <f>AND('PROG FORMACIÓN TITULADA'!Y539,"AAAAAG/ducs=")</f>
        <v>#VALUE!</v>
      </c>
      <c r="GW86" t="e">
        <f>AND('PROG FORMACIÓN TITULADA'!Z539,"AAAAAG/ducw=")</f>
        <v>#VALUE!</v>
      </c>
      <c r="GX86">
        <f>IF('PROG FORMACIÓN TITULADA'!540:540,"AAAAAG/duc0=",0)</f>
        <v>0</v>
      </c>
      <c r="GY86" t="e">
        <f>AND('PROG FORMACIÓN TITULADA'!A540,"AAAAAG/duc4=")</f>
        <v>#VALUE!</v>
      </c>
      <c r="GZ86" t="e">
        <f>AND('PROG FORMACIÓN TITULADA'!B540,"AAAAAG/duc8=")</f>
        <v>#VALUE!</v>
      </c>
      <c r="HA86" t="e">
        <f>AND('PROG FORMACIÓN TITULADA'!C540,"AAAAAG/dudA=")</f>
        <v>#VALUE!</v>
      </c>
      <c r="HB86" t="e">
        <f>AND('PROG FORMACIÓN TITULADA'!D540,"AAAAAG/dudE=")</f>
        <v>#VALUE!</v>
      </c>
      <c r="HC86" t="e">
        <f>AND('PROG FORMACIÓN TITULADA'!E540,"AAAAAG/dudI=")</f>
        <v>#VALUE!</v>
      </c>
      <c r="HD86" t="e">
        <f>AND('PROG FORMACIÓN TITULADA'!F540,"AAAAAG/dudM=")</f>
        <v>#VALUE!</v>
      </c>
      <c r="HE86" t="e">
        <f>AND('PROG FORMACIÓN TITULADA'!G540,"AAAAAG/dudQ=")</f>
        <v>#VALUE!</v>
      </c>
      <c r="HF86" t="e">
        <f>AND('PROG FORMACIÓN TITULADA'!H540,"AAAAAG/dudU=")</f>
        <v>#VALUE!</v>
      </c>
      <c r="HG86" t="e">
        <f>AND('PROG FORMACIÓN TITULADA'!I540,"AAAAAG/dudY=")</f>
        <v>#VALUE!</v>
      </c>
      <c r="HH86" t="e">
        <f>AND('PROG FORMACIÓN TITULADA'!J540,"AAAAAG/dudc=")</f>
        <v>#VALUE!</v>
      </c>
      <c r="HI86" t="e">
        <f>AND('PROG FORMACIÓN TITULADA'!K540,"AAAAAG/dudg=")</f>
        <v>#VALUE!</v>
      </c>
      <c r="HJ86" t="e">
        <f>AND('PROG FORMACIÓN TITULADA'!L540,"AAAAAG/dudk=")</f>
        <v>#VALUE!</v>
      </c>
      <c r="HK86" t="e">
        <f>AND('PROG FORMACIÓN TITULADA'!M540,"AAAAAG/dudo=")</f>
        <v>#VALUE!</v>
      </c>
      <c r="HL86" t="e">
        <f>AND('PROG FORMACIÓN TITULADA'!N540,"AAAAAG/duds=")</f>
        <v>#VALUE!</v>
      </c>
      <c r="HM86" t="e">
        <f>AND('PROG FORMACIÓN TITULADA'!O540,"AAAAAG/dudw=")</f>
        <v>#VALUE!</v>
      </c>
      <c r="HN86" t="e">
        <f>AND('PROG FORMACIÓN TITULADA'!P540,"AAAAAG/dud0=")</f>
        <v>#VALUE!</v>
      </c>
      <c r="HO86" t="e">
        <f>AND('PROG FORMACIÓN TITULADA'!Q540,"AAAAAG/dud4=")</f>
        <v>#VALUE!</v>
      </c>
      <c r="HP86" t="e">
        <f>AND('PROG FORMACIÓN TITULADA'!R540,"AAAAAG/dud8=")</f>
        <v>#VALUE!</v>
      </c>
      <c r="HQ86" t="e">
        <f>AND('PROG FORMACIÓN TITULADA'!S540,"AAAAAG/dueA=")</f>
        <v>#VALUE!</v>
      </c>
      <c r="HR86" t="e">
        <f>AND('PROG FORMACIÓN TITULADA'!T540,"AAAAAG/dueE=")</f>
        <v>#VALUE!</v>
      </c>
      <c r="HS86" t="e">
        <f>AND('PROG FORMACIÓN TITULADA'!U540,"AAAAAG/dueI=")</f>
        <v>#VALUE!</v>
      </c>
      <c r="HT86" t="e">
        <f>AND('PROG FORMACIÓN TITULADA'!V540,"AAAAAG/dueM=")</f>
        <v>#VALUE!</v>
      </c>
      <c r="HU86" t="e">
        <f>AND('PROG FORMACIÓN TITULADA'!W540,"AAAAAG/dueQ=")</f>
        <v>#VALUE!</v>
      </c>
      <c r="HV86" t="e">
        <f>AND('PROG FORMACIÓN TITULADA'!X540,"AAAAAG/dueU=")</f>
        <v>#VALUE!</v>
      </c>
      <c r="HW86" t="e">
        <f>AND('PROG FORMACIÓN TITULADA'!Y540,"AAAAAG/dueY=")</f>
        <v>#VALUE!</v>
      </c>
      <c r="HX86" t="e">
        <f>AND('PROG FORMACIÓN TITULADA'!Z540,"AAAAAG/duec=")</f>
        <v>#VALUE!</v>
      </c>
      <c r="HY86">
        <f>IF('PROG FORMACIÓN TITULADA'!541:541,"AAAAAG/dueg=",0)</f>
        <v>0</v>
      </c>
      <c r="HZ86" t="e">
        <f>AND('PROG FORMACIÓN TITULADA'!A541,"AAAAAG/duek=")</f>
        <v>#VALUE!</v>
      </c>
      <c r="IA86" t="e">
        <f>AND('PROG FORMACIÓN TITULADA'!B541,"AAAAAG/dueo=")</f>
        <v>#VALUE!</v>
      </c>
      <c r="IB86" t="e">
        <f>AND('PROG FORMACIÓN TITULADA'!C541,"AAAAAG/dues=")</f>
        <v>#VALUE!</v>
      </c>
      <c r="IC86" t="e">
        <f>AND('PROG FORMACIÓN TITULADA'!D541,"AAAAAG/duew=")</f>
        <v>#VALUE!</v>
      </c>
      <c r="ID86" t="e">
        <f>AND('PROG FORMACIÓN TITULADA'!E541,"AAAAAG/due0=")</f>
        <v>#VALUE!</v>
      </c>
      <c r="IE86" t="e">
        <f>AND('PROG FORMACIÓN TITULADA'!F541,"AAAAAG/due4=")</f>
        <v>#VALUE!</v>
      </c>
      <c r="IF86" t="e">
        <f>AND('PROG FORMACIÓN TITULADA'!G541,"AAAAAG/due8=")</f>
        <v>#VALUE!</v>
      </c>
      <c r="IG86" t="e">
        <f>AND('PROG FORMACIÓN TITULADA'!H541,"AAAAAG/dufA=")</f>
        <v>#VALUE!</v>
      </c>
      <c r="IH86" t="e">
        <f>AND('PROG FORMACIÓN TITULADA'!I541,"AAAAAG/dufE=")</f>
        <v>#VALUE!</v>
      </c>
      <c r="II86" t="e">
        <f>AND('PROG FORMACIÓN TITULADA'!J541,"AAAAAG/dufI=")</f>
        <v>#VALUE!</v>
      </c>
      <c r="IJ86" t="e">
        <f>AND('PROG FORMACIÓN TITULADA'!K541,"AAAAAG/dufM=")</f>
        <v>#VALUE!</v>
      </c>
      <c r="IK86" t="e">
        <f>AND('PROG FORMACIÓN TITULADA'!L541,"AAAAAG/dufQ=")</f>
        <v>#VALUE!</v>
      </c>
      <c r="IL86" t="e">
        <f>AND('PROG FORMACIÓN TITULADA'!M541,"AAAAAG/dufU=")</f>
        <v>#VALUE!</v>
      </c>
      <c r="IM86" t="e">
        <f>AND('PROG FORMACIÓN TITULADA'!N541,"AAAAAG/dufY=")</f>
        <v>#VALUE!</v>
      </c>
      <c r="IN86" t="e">
        <f>AND('PROG FORMACIÓN TITULADA'!O541,"AAAAAG/dufc=")</f>
        <v>#VALUE!</v>
      </c>
      <c r="IO86" t="e">
        <f>AND('PROG FORMACIÓN TITULADA'!P541,"AAAAAG/dufg=")</f>
        <v>#VALUE!</v>
      </c>
      <c r="IP86" t="e">
        <f>AND('PROG FORMACIÓN TITULADA'!Q541,"AAAAAG/dufk=")</f>
        <v>#VALUE!</v>
      </c>
      <c r="IQ86" t="e">
        <f>AND('PROG FORMACIÓN TITULADA'!R541,"AAAAAG/dufo=")</f>
        <v>#VALUE!</v>
      </c>
      <c r="IR86" t="e">
        <f>AND('PROG FORMACIÓN TITULADA'!S541,"AAAAAG/dufs=")</f>
        <v>#VALUE!</v>
      </c>
      <c r="IS86" t="e">
        <f>AND('PROG FORMACIÓN TITULADA'!T541,"AAAAAG/dufw=")</f>
        <v>#VALUE!</v>
      </c>
      <c r="IT86" t="e">
        <f>AND('PROG FORMACIÓN TITULADA'!U541,"AAAAAG/duf0=")</f>
        <v>#VALUE!</v>
      </c>
      <c r="IU86" t="e">
        <f>AND('PROG FORMACIÓN TITULADA'!V541,"AAAAAG/duf4=")</f>
        <v>#VALUE!</v>
      </c>
      <c r="IV86" t="e">
        <f>AND('PROG FORMACIÓN TITULADA'!W541,"AAAAAG/duf8=")</f>
        <v>#VALUE!</v>
      </c>
    </row>
    <row r="87" spans="1:256" x14ac:dyDescent="0.2">
      <c r="A87" t="e">
        <f>AND('PROG FORMACIÓN TITULADA'!X541,"AAAAAD59+QA=")</f>
        <v>#VALUE!</v>
      </c>
      <c r="B87" t="e">
        <f>AND('PROG FORMACIÓN TITULADA'!Y541,"AAAAAD59+QE=")</f>
        <v>#VALUE!</v>
      </c>
      <c r="C87" t="e">
        <f>AND('PROG FORMACIÓN TITULADA'!Z541,"AAAAAD59+QI=")</f>
        <v>#VALUE!</v>
      </c>
      <c r="D87">
        <f>IF('PROG FORMACIÓN TITULADA'!542:542,"AAAAAD59+QM=",0)</f>
        <v>0</v>
      </c>
      <c r="E87" t="e">
        <f>AND('PROG FORMACIÓN TITULADA'!A542,"AAAAAD59+QQ=")</f>
        <v>#VALUE!</v>
      </c>
      <c r="F87" t="e">
        <f>AND('PROG FORMACIÓN TITULADA'!B542,"AAAAAD59+QU=")</f>
        <v>#VALUE!</v>
      </c>
      <c r="G87" t="e">
        <f>AND('PROG FORMACIÓN TITULADA'!C542,"AAAAAD59+QY=")</f>
        <v>#VALUE!</v>
      </c>
      <c r="H87" t="e">
        <f>AND('PROG FORMACIÓN TITULADA'!D542,"AAAAAD59+Qc=")</f>
        <v>#VALUE!</v>
      </c>
      <c r="I87" t="e">
        <f>AND('PROG FORMACIÓN TITULADA'!E542,"AAAAAD59+Qg=")</f>
        <v>#VALUE!</v>
      </c>
      <c r="J87" t="e">
        <f>AND('PROG FORMACIÓN TITULADA'!F542,"AAAAAD59+Qk=")</f>
        <v>#VALUE!</v>
      </c>
      <c r="K87" t="e">
        <f>AND('PROG FORMACIÓN TITULADA'!G542,"AAAAAD59+Qo=")</f>
        <v>#VALUE!</v>
      </c>
      <c r="L87" t="e">
        <f>AND('PROG FORMACIÓN TITULADA'!H542,"AAAAAD59+Qs=")</f>
        <v>#VALUE!</v>
      </c>
      <c r="M87" t="e">
        <f>AND('PROG FORMACIÓN TITULADA'!I542,"AAAAAD59+Qw=")</f>
        <v>#VALUE!</v>
      </c>
      <c r="N87" t="e">
        <f>AND('PROG FORMACIÓN TITULADA'!J542,"AAAAAD59+Q0=")</f>
        <v>#VALUE!</v>
      </c>
      <c r="O87" t="e">
        <f>AND('PROG FORMACIÓN TITULADA'!K542,"AAAAAD59+Q4=")</f>
        <v>#VALUE!</v>
      </c>
      <c r="P87" t="e">
        <f>AND('PROG FORMACIÓN TITULADA'!L542,"AAAAAD59+Q8=")</f>
        <v>#VALUE!</v>
      </c>
      <c r="Q87" t="e">
        <f>AND('PROG FORMACIÓN TITULADA'!M542,"AAAAAD59+RA=")</f>
        <v>#VALUE!</v>
      </c>
      <c r="R87" t="e">
        <f>AND('PROG FORMACIÓN TITULADA'!N542,"AAAAAD59+RE=")</f>
        <v>#VALUE!</v>
      </c>
      <c r="S87" t="e">
        <f>AND('PROG FORMACIÓN TITULADA'!O542,"AAAAAD59+RI=")</f>
        <v>#VALUE!</v>
      </c>
      <c r="T87" t="e">
        <f>AND('PROG FORMACIÓN TITULADA'!P542,"AAAAAD59+RM=")</f>
        <v>#VALUE!</v>
      </c>
      <c r="U87" t="e">
        <f>AND('PROG FORMACIÓN TITULADA'!Q542,"AAAAAD59+RQ=")</f>
        <v>#VALUE!</v>
      </c>
      <c r="V87" t="e">
        <f>AND('PROG FORMACIÓN TITULADA'!R542,"AAAAAD59+RU=")</f>
        <v>#VALUE!</v>
      </c>
      <c r="W87" t="e">
        <f>AND('PROG FORMACIÓN TITULADA'!S542,"AAAAAD59+RY=")</f>
        <v>#VALUE!</v>
      </c>
      <c r="X87" t="e">
        <f>AND('PROG FORMACIÓN TITULADA'!T542,"AAAAAD59+Rc=")</f>
        <v>#VALUE!</v>
      </c>
      <c r="Y87" t="e">
        <f>AND('PROG FORMACIÓN TITULADA'!U542,"AAAAAD59+Rg=")</f>
        <v>#VALUE!</v>
      </c>
      <c r="Z87" t="e">
        <f>AND('PROG FORMACIÓN TITULADA'!V542,"AAAAAD59+Rk=")</f>
        <v>#VALUE!</v>
      </c>
      <c r="AA87" t="e">
        <f>AND('PROG FORMACIÓN TITULADA'!W542,"AAAAAD59+Ro=")</f>
        <v>#VALUE!</v>
      </c>
      <c r="AB87" t="e">
        <f>AND('PROG FORMACIÓN TITULADA'!X542,"AAAAAD59+Rs=")</f>
        <v>#VALUE!</v>
      </c>
      <c r="AC87" t="e">
        <f>AND('PROG FORMACIÓN TITULADA'!Y542,"AAAAAD59+Rw=")</f>
        <v>#VALUE!</v>
      </c>
      <c r="AD87" t="e">
        <f>AND('PROG FORMACIÓN TITULADA'!Z542,"AAAAAD59+R0=")</f>
        <v>#VALUE!</v>
      </c>
      <c r="AE87">
        <f>IF('PROG FORMACIÓN TITULADA'!543:543,"AAAAAD59+R4=",0)</f>
        <v>0</v>
      </c>
      <c r="AF87" t="e">
        <f>AND('PROG FORMACIÓN TITULADA'!A543,"AAAAAD59+R8=")</f>
        <v>#VALUE!</v>
      </c>
      <c r="AG87" t="e">
        <f>AND('PROG FORMACIÓN TITULADA'!B543,"AAAAAD59+SA=")</f>
        <v>#VALUE!</v>
      </c>
      <c r="AH87" t="e">
        <f>AND('PROG FORMACIÓN TITULADA'!C543,"AAAAAD59+SE=")</f>
        <v>#VALUE!</v>
      </c>
      <c r="AI87" t="e">
        <f>AND('PROG FORMACIÓN TITULADA'!D543,"AAAAAD59+SI=")</f>
        <v>#VALUE!</v>
      </c>
      <c r="AJ87" t="e">
        <f>AND('PROG FORMACIÓN TITULADA'!E543,"AAAAAD59+SM=")</f>
        <v>#VALUE!</v>
      </c>
      <c r="AK87" t="e">
        <f>AND('PROG FORMACIÓN TITULADA'!F543,"AAAAAD59+SQ=")</f>
        <v>#VALUE!</v>
      </c>
      <c r="AL87" t="e">
        <f>AND('PROG FORMACIÓN TITULADA'!G543,"AAAAAD59+SU=")</f>
        <v>#VALUE!</v>
      </c>
      <c r="AM87" t="e">
        <f>AND('PROG FORMACIÓN TITULADA'!H543,"AAAAAD59+SY=")</f>
        <v>#VALUE!</v>
      </c>
      <c r="AN87" t="e">
        <f>AND('PROG FORMACIÓN TITULADA'!I543,"AAAAAD59+Sc=")</f>
        <v>#VALUE!</v>
      </c>
      <c r="AO87" t="e">
        <f>AND('PROG FORMACIÓN TITULADA'!J543,"AAAAAD59+Sg=")</f>
        <v>#VALUE!</v>
      </c>
      <c r="AP87" t="e">
        <f>AND('PROG FORMACIÓN TITULADA'!K543,"AAAAAD59+Sk=")</f>
        <v>#VALUE!</v>
      </c>
      <c r="AQ87" t="e">
        <f>AND('PROG FORMACIÓN TITULADA'!L543,"AAAAAD59+So=")</f>
        <v>#VALUE!</v>
      </c>
      <c r="AR87" t="e">
        <f>AND('PROG FORMACIÓN TITULADA'!M543,"AAAAAD59+Ss=")</f>
        <v>#VALUE!</v>
      </c>
      <c r="AS87" t="e">
        <f>AND('PROG FORMACIÓN TITULADA'!N543,"AAAAAD59+Sw=")</f>
        <v>#VALUE!</v>
      </c>
      <c r="AT87" t="e">
        <f>AND('PROG FORMACIÓN TITULADA'!O543,"AAAAAD59+S0=")</f>
        <v>#VALUE!</v>
      </c>
      <c r="AU87" t="e">
        <f>AND('PROG FORMACIÓN TITULADA'!P543,"AAAAAD59+S4=")</f>
        <v>#VALUE!</v>
      </c>
      <c r="AV87" t="e">
        <f>AND('PROG FORMACIÓN TITULADA'!Q543,"AAAAAD59+S8=")</f>
        <v>#VALUE!</v>
      </c>
      <c r="AW87" t="e">
        <f>AND('PROG FORMACIÓN TITULADA'!R543,"AAAAAD59+TA=")</f>
        <v>#VALUE!</v>
      </c>
      <c r="AX87" t="e">
        <f>AND('PROG FORMACIÓN TITULADA'!S543,"AAAAAD59+TE=")</f>
        <v>#VALUE!</v>
      </c>
      <c r="AY87" t="e">
        <f>AND('PROG FORMACIÓN TITULADA'!T543,"AAAAAD59+TI=")</f>
        <v>#VALUE!</v>
      </c>
      <c r="AZ87" t="e">
        <f>AND('PROG FORMACIÓN TITULADA'!U543,"AAAAAD59+TM=")</f>
        <v>#VALUE!</v>
      </c>
      <c r="BA87" t="e">
        <f>AND('PROG FORMACIÓN TITULADA'!V543,"AAAAAD59+TQ=")</f>
        <v>#VALUE!</v>
      </c>
      <c r="BB87" t="e">
        <f>AND('PROG FORMACIÓN TITULADA'!W543,"AAAAAD59+TU=")</f>
        <v>#VALUE!</v>
      </c>
      <c r="BC87" t="e">
        <f>AND('PROG FORMACIÓN TITULADA'!X543,"AAAAAD59+TY=")</f>
        <v>#VALUE!</v>
      </c>
      <c r="BD87" t="e">
        <f>AND('PROG FORMACIÓN TITULADA'!Y543,"AAAAAD59+Tc=")</f>
        <v>#VALUE!</v>
      </c>
      <c r="BE87" t="e">
        <f>AND('PROG FORMACIÓN TITULADA'!Z543,"AAAAAD59+Tg=")</f>
        <v>#VALUE!</v>
      </c>
      <c r="BF87">
        <f>IF('PROG FORMACIÓN TITULADA'!544:544,"AAAAAD59+Tk=",0)</f>
        <v>0</v>
      </c>
      <c r="BG87" t="e">
        <f>AND('PROG FORMACIÓN TITULADA'!A544,"AAAAAD59+To=")</f>
        <v>#VALUE!</v>
      </c>
      <c r="BH87" t="e">
        <f>AND('PROG FORMACIÓN TITULADA'!B544,"AAAAAD59+Ts=")</f>
        <v>#VALUE!</v>
      </c>
      <c r="BI87" t="e">
        <f>AND('PROG FORMACIÓN TITULADA'!C544,"AAAAAD59+Tw=")</f>
        <v>#VALUE!</v>
      </c>
      <c r="BJ87" t="e">
        <f>AND('PROG FORMACIÓN TITULADA'!D544,"AAAAAD59+T0=")</f>
        <v>#VALUE!</v>
      </c>
      <c r="BK87" t="e">
        <f>AND('PROG FORMACIÓN TITULADA'!E544,"AAAAAD59+T4=")</f>
        <v>#VALUE!</v>
      </c>
      <c r="BL87" t="e">
        <f>AND('PROG FORMACIÓN TITULADA'!F544,"AAAAAD59+T8=")</f>
        <v>#VALUE!</v>
      </c>
      <c r="BM87" t="e">
        <f>AND('PROG FORMACIÓN TITULADA'!G544,"AAAAAD59+UA=")</f>
        <v>#VALUE!</v>
      </c>
      <c r="BN87" t="e">
        <f>AND('PROG FORMACIÓN TITULADA'!H544,"AAAAAD59+UE=")</f>
        <v>#VALUE!</v>
      </c>
      <c r="BO87" t="e">
        <f>AND('PROG FORMACIÓN TITULADA'!I544,"AAAAAD59+UI=")</f>
        <v>#VALUE!</v>
      </c>
      <c r="BP87" t="e">
        <f>AND('PROG FORMACIÓN TITULADA'!J544,"AAAAAD59+UM=")</f>
        <v>#VALUE!</v>
      </c>
      <c r="BQ87" t="e">
        <f>AND('PROG FORMACIÓN TITULADA'!K544,"AAAAAD59+UQ=")</f>
        <v>#VALUE!</v>
      </c>
      <c r="BR87" t="e">
        <f>AND('PROG FORMACIÓN TITULADA'!L544,"AAAAAD59+UU=")</f>
        <v>#VALUE!</v>
      </c>
      <c r="BS87" t="e">
        <f>AND('PROG FORMACIÓN TITULADA'!M544,"AAAAAD59+UY=")</f>
        <v>#VALUE!</v>
      </c>
      <c r="BT87" t="e">
        <f>AND('PROG FORMACIÓN TITULADA'!N544,"AAAAAD59+Uc=")</f>
        <v>#VALUE!</v>
      </c>
      <c r="BU87" t="e">
        <f>AND('PROG FORMACIÓN TITULADA'!O544,"AAAAAD59+Ug=")</f>
        <v>#VALUE!</v>
      </c>
      <c r="BV87" t="e">
        <f>AND('PROG FORMACIÓN TITULADA'!P544,"AAAAAD59+Uk=")</f>
        <v>#VALUE!</v>
      </c>
      <c r="BW87" t="e">
        <f>AND('PROG FORMACIÓN TITULADA'!Q544,"AAAAAD59+Uo=")</f>
        <v>#VALUE!</v>
      </c>
      <c r="BX87" t="e">
        <f>AND('PROG FORMACIÓN TITULADA'!R544,"AAAAAD59+Us=")</f>
        <v>#VALUE!</v>
      </c>
      <c r="BY87" t="e">
        <f>AND('PROG FORMACIÓN TITULADA'!S544,"AAAAAD59+Uw=")</f>
        <v>#VALUE!</v>
      </c>
      <c r="BZ87" t="e">
        <f>AND('PROG FORMACIÓN TITULADA'!T544,"AAAAAD59+U0=")</f>
        <v>#VALUE!</v>
      </c>
      <c r="CA87" t="e">
        <f>AND('PROG FORMACIÓN TITULADA'!U544,"AAAAAD59+U4=")</f>
        <v>#VALUE!</v>
      </c>
      <c r="CB87" t="e">
        <f>AND('PROG FORMACIÓN TITULADA'!V544,"AAAAAD59+U8=")</f>
        <v>#VALUE!</v>
      </c>
      <c r="CC87" t="e">
        <f>AND('PROG FORMACIÓN TITULADA'!W544,"AAAAAD59+VA=")</f>
        <v>#VALUE!</v>
      </c>
      <c r="CD87" t="e">
        <f>AND('PROG FORMACIÓN TITULADA'!X544,"AAAAAD59+VE=")</f>
        <v>#VALUE!</v>
      </c>
      <c r="CE87" t="e">
        <f>AND('PROG FORMACIÓN TITULADA'!Y544,"AAAAAD59+VI=")</f>
        <v>#VALUE!</v>
      </c>
      <c r="CF87" t="e">
        <f>AND('PROG FORMACIÓN TITULADA'!Z544,"AAAAAD59+VM=")</f>
        <v>#VALUE!</v>
      </c>
      <c r="CG87">
        <f>IF('PROG FORMACIÓN TITULADA'!545:545,"AAAAAD59+VQ=",0)</f>
        <v>0</v>
      </c>
      <c r="CH87" t="e">
        <f>AND('PROG FORMACIÓN TITULADA'!A545,"AAAAAD59+VU=")</f>
        <v>#VALUE!</v>
      </c>
      <c r="CI87" t="e">
        <f>AND('PROG FORMACIÓN TITULADA'!B545,"AAAAAD59+VY=")</f>
        <v>#VALUE!</v>
      </c>
      <c r="CJ87" t="e">
        <f>AND('PROG FORMACIÓN TITULADA'!C545,"AAAAAD59+Vc=")</f>
        <v>#VALUE!</v>
      </c>
      <c r="CK87" t="e">
        <f>AND('PROG FORMACIÓN TITULADA'!D545,"AAAAAD59+Vg=")</f>
        <v>#VALUE!</v>
      </c>
      <c r="CL87" t="e">
        <f>AND('PROG FORMACIÓN TITULADA'!E545,"AAAAAD59+Vk=")</f>
        <v>#VALUE!</v>
      </c>
      <c r="CM87" t="e">
        <f>AND('PROG FORMACIÓN TITULADA'!F545,"AAAAAD59+Vo=")</f>
        <v>#VALUE!</v>
      </c>
      <c r="CN87" t="e">
        <f>AND('PROG FORMACIÓN TITULADA'!G545,"AAAAAD59+Vs=")</f>
        <v>#VALUE!</v>
      </c>
      <c r="CO87" t="e">
        <f>AND('PROG FORMACIÓN TITULADA'!H545,"AAAAAD59+Vw=")</f>
        <v>#VALUE!</v>
      </c>
      <c r="CP87" t="e">
        <f>AND('PROG FORMACIÓN TITULADA'!I545,"AAAAAD59+V0=")</f>
        <v>#VALUE!</v>
      </c>
      <c r="CQ87" t="e">
        <f>AND('PROG FORMACIÓN TITULADA'!J545,"AAAAAD59+V4=")</f>
        <v>#VALUE!</v>
      </c>
      <c r="CR87" t="e">
        <f>AND('PROG FORMACIÓN TITULADA'!K545,"AAAAAD59+V8=")</f>
        <v>#VALUE!</v>
      </c>
      <c r="CS87" t="e">
        <f>AND('PROG FORMACIÓN TITULADA'!L545,"AAAAAD59+WA=")</f>
        <v>#VALUE!</v>
      </c>
      <c r="CT87" t="e">
        <f>AND('PROG FORMACIÓN TITULADA'!M545,"AAAAAD59+WE=")</f>
        <v>#VALUE!</v>
      </c>
      <c r="CU87" t="e">
        <f>AND('PROG FORMACIÓN TITULADA'!N545,"AAAAAD59+WI=")</f>
        <v>#VALUE!</v>
      </c>
      <c r="CV87" t="e">
        <f>AND('PROG FORMACIÓN TITULADA'!O545,"AAAAAD59+WM=")</f>
        <v>#VALUE!</v>
      </c>
      <c r="CW87" t="e">
        <f>AND('PROG FORMACIÓN TITULADA'!P545,"AAAAAD59+WQ=")</f>
        <v>#VALUE!</v>
      </c>
      <c r="CX87" t="e">
        <f>AND('PROG FORMACIÓN TITULADA'!Q545,"AAAAAD59+WU=")</f>
        <v>#VALUE!</v>
      </c>
      <c r="CY87" t="e">
        <f>AND('PROG FORMACIÓN TITULADA'!R545,"AAAAAD59+WY=")</f>
        <v>#VALUE!</v>
      </c>
      <c r="CZ87" t="e">
        <f>AND('PROG FORMACIÓN TITULADA'!S545,"AAAAAD59+Wc=")</f>
        <v>#VALUE!</v>
      </c>
      <c r="DA87" t="e">
        <f>AND('PROG FORMACIÓN TITULADA'!T545,"AAAAAD59+Wg=")</f>
        <v>#VALUE!</v>
      </c>
      <c r="DB87" t="e">
        <f>AND('PROG FORMACIÓN TITULADA'!U545,"AAAAAD59+Wk=")</f>
        <v>#VALUE!</v>
      </c>
      <c r="DC87" t="e">
        <f>AND('PROG FORMACIÓN TITULADA'!V545,"AAAAAD59+Wo=")</f>
        <v>#VALUE!</v>
      </c>
      <c r="DD87" t="e">
        <f>AND('PROG FORMACIÓN TITULADA'!W545,"AAAAAD59+Ws=")</f>
        <v>#VALUE!</v>
      </c>
      <c r="DE87" t="e">
        <f>AND('PROG FORMACIÓN TITULADA'!X545,"AAAAAD59+Ww=")</f>
        <v>#VALUE!</v>
      </c>
      <c r="DF87" t="e">
        <f>AND('PROG FORMACIÓN TITULADA'!Y545,"AAAAAD59+W0=")</f>
        <v>#VALUE!</v>
      </c>
      <c r="DG87" t="e">
        <f>AND('PROG FORMACIÓN TITULADA'!Z545,"AAAAAD59+W4=")</f>
        <v>#VALUE!</v>
      </c>
      <c r="DH87">
        <f>IF('PROG FORMACIÓN TITULADA'!546:546,"AAAAAD59+W8=",0)</f>
        <v>0</v>
      </c>
      <c r="DI87" t="e">
        <f>AND('PROG FORMACIÓN TITULADA'!A546,"AAAAAD59+XA=")</f>
        <v>#VALUE!</v>
      </c>
      <c r="DJ87" t="e">
        <f>AND('PROG FORMACIÓN TITULADA'!B546,"AAAAAD59+XE=")</f>
        <v>#VALUE!</v>
      </c>
      <c r="DK87" t="e">
        <f>AND('PROG FORMACIÓN TITULADA'!C546,"AAAAAD59+XI=")</f>
        <v>#VALUE!</v>
      </c>
      <c r="DL87" t="e">
        <f>AND('PROG FORMACIÓN TITULADA'!D546,"AAAAAD59+XM=")</f>
        <v>#VALUE!</v>
      </c>
      <c r="DM87" t="e">
        <f>AND('PROG FORMACIÓN TITULADA'!E546,"AAAAAD59+XQ=")</f>
        <v>#VALUE!</v>
      </c>
      <c r="DN87" t="e">
        <f>AND('PROG FORMACIÓN TITULADA'!F546,"AAAAAD59+XU=")</f>
        <v>#VALUE!</v>
      </c>
      <c r="DO87" t="e">
        <f>AND('PROG FORMACIÓN TITULADA'!G546,"AAAAAD59+XY=")</f>
        <v>#VALUE!</v>
      </c>
      <c r="DP87" t="e">
        <f>AND('PROG FORMACIÓN TITULADA'!H546,"AAAAAD59+Xc=")</f>
        <v>#VALUE!</v>
      </c>
      <c r="DQ87" t="e">
        <f>AND('PROG FORMACIÓN TITULADA'!I546,"AAAAAD59+Xg=")</f>
        <v>#VALUE!</v>
      </c>
      <c r="DR87" t="e">
        <f>AND('PROG FORMACIÓN TITULADA'!J546,"AAAAAD59+Xk=")</f>
        <v>#VALUE!</v>
      </c>
      <c r="DS87" t="e">
        <f>AND('PROG FORMACIÓN TITULADA'!K546,"AAAAAD59+Xo=")</f>
        <v>#VALUE!</v>
      </c>
      <c r="DT87" t="e">
        <f>AND('PROG FORMACIÓN TITULADA'!L546,"AAAAAD59+Xs=")</f>
        <v>#VALUE!</v>
      </c>
      <c r="DU87" t="e">
        <f>AND('PROG FORMACIÓN TITULADA'!M546,"AAAAAD59+Xw=")</f>
        <v>#VALUE!</v>
      </c>
      <c r="DV87" t="e">
        <f>AND('PROG FORMACIÓN TITULADA'!N546,"AAAAAD59+X0=")</f>
        <v>#VALUE!</v>
      </c>
      <c r="DW87" t="e">
        <f>AND('PROG FORMACIÓN TITULADA'!O546,"AAAAAD59+X4=")</f>
        <v>#VALUE!</v>
      </c>
      <c r="DX87" t="e">
        <f>AND('PROG FORMACIÓN TITULADA'!P546,"AAAAAD59+X8=")</f>
        <v>#VALUE!</v>
      </c>
      <c r="DY87" t="e">
        <f>AND('PROG FORMACIÓN TITULADA'!Q546,"AAAAAD59+YA=")</f>
        <v>#VALUE!</v>
      </c>
      <c r="DZ87" t="e">
        <f>AND('PROG FORMACIÓN TITULADA'!R546,"AAAAAD59+YE=")</f>
        <v>#VALUE!</v>
      </c>
      <c r="EA87" t="e">
        <f>AND('PROG FORMACIÓN TITULADA'!S546,"AAAAAD59+YI=")</f>
        <v>#VALUE!</v>
      </c>
      <c r="EB87" t="e">
        <f>AND('PROG FORMACIÓN TITULADA'!T546,"AAAAAD59+YM=")</f>
        <v>#VALUE!</v>
      </c>
      <c r="EC87" t="e">
        <f>AND('PROG FORMACIÓN TITULADA'!U546,"AAAAAD59+YQ=")</f>
        <v>#VALUE!</v>
      </c>
      <c r="ED87" t="e">
        <f>AND('PROG FORMACIÓN TITULADA'!V546,"AAAAAD59+YU=")</f>
        <v>#VALUE!</v>
      </c>
      <c r="EE87" t="e">
        <f>AND('PROG FORMACIÓN TITULADA'!W546,"AAAAAD59+YY=")</f>
        <v>#VALUE!</v>
      </c>
      <c r="EF87" t="e">
        <f>AND('PROG FORMACIÓN TITULADA'!X546,"AAAAAD59+Yc=")</f>
        <v>#VALUE!</v>
      </c>
      <c r="EG87" t="e">
        <f>AND('PROG FORMACIÓN TITULADA'!Y546,"AAAAAD59+Yg=")</f>
        <v>#VALUE!</v>
      </c>
      <c r="EH87" t="e">
        <f>AND('PROG FORMACIÓN TITULADA'!Z546,"AAAAAD59+Yk=")</f>
        <v>#VALUE!</v>
      </c>
      <c r="EI87">
        <f>IF('PROG FORMACIÓN TITULADA'!547:547,"AAAAAD59+Yo=",0)</f>
        <v>0</v>
      </c>
      <c r="EJ87" t="e">
        <f>AND('PROG FORMACIÓN TITULADA'!A547,"AAAAAD59+Ys=")</f>
        <v>#VALUE!</v>
      </c>
      <c r="EK87" t="e">
        <f>AND('PROG FORMACIÓN TITULADA'!B547,"AAAAAD59+Yw=")</f>
        <v>#VALUE!</v>
      </c>
      <c r="EL87" t="e">
        <f>AND('PROG FORMACIÓN TITULADA'!C547,"AAAAAD59+Y0=")</f>
        <v>#VALUE!</v>
      </c>
      <c r="EM87" t="e">
        <f>AND('PROG FORMACIÓN TITULADA'!D547,"AAAAAD59+Y4=")</f>
        <v>#VALUE!</v>
      </c>
      <c r="EN87" t="e">
        <f>AND('PROG FORMACIÓN TITULADA'!E547,"AAAAAD59+Y8=")</f>
        <v>#VALUE!</v>
      </c>
      <c r="EO87" t="e">
        <f>AND('PROG FORMACIÓN TITULADA'!F547,"AAAAAD59+ZA=")</f>
        <v>#VALUE!</v>
      </c>
      <c r="EP87" t="e">
        <f>AND('PROG FORMACIÓN TITULADA'!G547,"AAAAAD59+ZE=")</f>
        <v>#VALUE!</v>
      </c>
      <c r="EQ87" t="e">
        <f>AND('PROG FORMACIÓN TITULADA'!H547,"AAAAAD59+ZI=")</f>
        <v>#VALUE!</v>
      </c>
      <c r="ER87" t="e">
        <f>AND('PROG FORMACIÓN TITULADA'!I547,"AAAAAD59+ZM=")</f>
        <v>#VALUE!</v>
      </c>
      <c r="ES87" t="e">
        <f>AND('PROG FORMACIÓN TITULADA'!J547,"AAAAAD59+ZQ=")</f>
        <v>#VALUE!</v>
      </c>
      <c r="ET87" t="e">
        <f>AND('PROG FORMACIÓN TITULADA'!K547,"AAAAAD59+ZU=")</f>
        <v>#VALUE!</v>
      </c>
      <c r="EU87" t="e">
        <f>AND('PROG FORMACIÓN TITULADA'!L547,"AAAAAD59+ZY=")</f>
        <v>#VALUE!</v>
      </c>
      <c r="EV87" t="e">
        <f>AND('PROG FORMACIÓN TITULADA'!M547,"AAAAAD59+Zc=")</f>
        <v>#VALUE!</v>
      </c>
      <c r="EW87" t="e">
        <f>AND('PROG FORMACIÓN TITULADA'!N547,"AAAAAD59+Zg=")</f>
        <v>#VALUE!</v>
      </c>
      <c r="EX87" t="e">
        <f>AND('PROG FORMACIÓN TITULADA'!O547,"AAAAAD59+Zk=")</f>
        <v>#VALUE!</v>
      </c>
      <c r="EY87" t="e">
        <f>AND('PROG FORMACIÓN TITULADA'!P547,"AAAAAD59+Zo=")</f>
        <v>#VALUE!</v>
      </c>
      <c r="EZ87" t="e">
        <f>AND('PROG FORMACIÓN TITULADA'!Q547,"AAAAAD59+Zs=")</f>
        <v>#VALUE!</v>
      </c>
      <c r="FA87" t="e">
        <f>AND('PROG FORMACIÓN TITULADA'!R547,"AAAAAD59+Zw=")</f>
        <v>#VALUE!</v>
      </c>
      <c r="FB87" t="e">
        <f>AND('PROG FORMACIÓN TITULADA'!S547,"AAAAAD59+Z0=")</f>
        <v>#VALUE!</v>
      </c>
      <c r="FC87" t="e">
        <f>AND('PROG FORMACIÓN TITULADA'!T547,"AAAAAD59+Z4=")</f>
        <v>#VALUE!</v>
      </c>
      <c r="FD87" t="e">
        <f>AND('PROG FORMACIÓN TITULADA'!U547,"AAAAAD59+Z8=")</f>
        <v>#VALUE!</v>
      </c>
      <c r="FE87" t="e">
        <f>AND('PROG FORMACIÓN TITULADA'!V547,"AAAAAD59+aA=")</f>
        <v>#VALUE!</v>
      </c>
      <c r="FF87" t="e">
        <f>AND('PROG FORMACIÓN TITULADA'!W547,"AAAAAD59+aE=")</f>
        <v>#VALUE!</v>
      </c>
      <c r="FG87" t="e">
        <f>AND('PROG FORMACIÓN TITULADA'!X547,"AAAAAD59+aI=")</f>
        <v>#VALUE!</v>
      </c>
      <c r="FH87" t="e">
        <f>AND('PROG FORMACIÓN TITULADA'!Y547,"AAAAAD59+aM=")</f>
        <v>#VALUE!</v>
      </c>
      <c r="FI87" t="e">
        <f>AND('PROG FORMACIÓN TITULADA'!Z547,"AAAAAD59+aQ=")</f>
        <v>#VALUE!</v>
      </c>
      <c r="FJ87">
        <f>IF('PROG FORMACIÓN TITULADA'!548:548,"AAAAAD59+aU=",0)</f>
        <v>0</v>
      </c>
      <c r="FK87" t="e">
        <f>AND('PROG FORMACIÓN TITULADA'!A548,"AAAAAD59+aY=")</f>
        <v>#VALUE!</v>
      </c>
      <c r="FL87" t="e">
        <f>AND('PROG FORMACIÓN TITULADA'!B548,"AAAAAD59+ac=")</f>
        <v>#VALUE!</v>
      </c>
      <c r="FM87" t="e">
        <f>AND('PROG FORMACIÓN TITULADA'!C548,"AAAAAD59+ag=")</f>
        <v>#VALUE!</v>
      </c>
      <c r="FN87" t="e">
        <f>AND('PROG FORMACIÓN TITULADA'!D548,"AAAAAD59+ak=")</f>
        <v>#VALUE!</v>
      </c>
      <c r="FO87" t="e">
        <f>AND('PROG FORMACIÓN TITULADA'!E548,"AAAAAD59+ao=")</f>
        <v>#VALUE!</v>
      </c>
      <c r="FP87" t="e">
        <f>AND('PROG FORMACIÓN TITULADA'!F548,"AAAAAD59+as=")</f>
        <v>#VALUE!</v>
      </c>
      <c r="FQ87" t="e">
        <f>AND('PROG FORMACIÓN TITULADA'!G548,"AAAAAD59+aw=")</f>
        <v>#VALUE!</v>
      </c>
      <c r="FR87" t="e">
        <f>AND('PROG FORMACIÓN TITULADA'!H548,"AAAAAD59+a0=")</f>
        <v>#VALUE!</v>
      </c>
      <c r="FS87" t="e">
        <f>AND('PROG FORMACIÓN TITULADA'!I548,"AAAAAD59+a4=")</f>
        <v>#VALUE!</v>
      </c>
      <c r="FT87" t="e">
        <f>AND('PROG FORMACIÓN TITULADA'!J548,"AAAAAD59+a8=")</f>
        <v>#VALUE!</v>
      </c>
      <c r="FU87" t="e">
        <f>AND('PROG FORMACIÓN TITULADA'!K548,"AAAAAD59+bA=")</f>
        <v>#VALUE!</v>
      </c>
      <c r="FV87" t="e">
        <f>AND('PROG FORMACIÓN TITULADA'!L548,"AAAAAD59+bE=")</f>
        <v>#VALUE!</v>
      </c>
      <c r="FW87" t="e">
        <f>AND('PROG FORMACIÓN TITULADA'!M548,"AAAAAD59+bI=")</f>
        <v>#VALUE!</v>
      </c>
      <c r="FX87" t="e">
        <f>AND('PROG FORMACIÓN TITULADA'!N548,"AAAAAD59+bM=")</f>
        <v>#VALUE!</v>
      </c>
      <c r="FY87" t="e">
        <f>AND('PROG FORMACIÓN TITULADA'!O548,"AAAAAD59+bQ=")</f>
        <v>#VALUE!</v>
      </c>
      <c r="FZ87" t="e">
        <f>AND('PROG FORMACIÓN TITULADA'!P548,"AAAAAD59+bU=")</f>
        <v>#VALUE!</v>
      </c>
      <c r="GA87" t="e">
        <f>AND('PROG FORMACIÓN TITULADA'!Q548,"AAAAAD59+bY=")</f>
        <v>#VALUE!</v>
      </c>
      <c r="GB87" t="e">
        <f>AND('PROG FORMACIÓN TITULADA'!R548,"AAAAAD59+bc=")</f>
        <v>#VALUE!</v>
      </c>
      <c r="GC87" t="e">
        <f>AND('PROG FORMACIÓN TITULADA'!S548,"AAAAAD59+bg=")</f>
        <v>#VALUE!</v>
      </c>
      <c r="GD87" t="e">
        <f>AND('PROG FORMACIÓN TITULADA'!T548,"AAAAAD59+bk=")</f>
        <v>#VALUE!</v>
      </c>
      <c r="GE87" t="e">
        <f>AND('PROG FORMACIÓN TITULADA'!U548,"AAAAAD59+bo=")</f>
        <v>#VALUE!</v>
      </c>
      <c r="GF87" t="e">
        <f>AND('PROG FORMACIÓN TITULADA'!V548,"AAAAAD59+bs=")</f>
        <v>#VALUE!</v>
      </c>
      <c r="GG87" t="e">
        <f>AND('PROG FORMACIÓN TITULADA'!W548,"AAAAAD59+bw=")</f>
        <v>#VALUE!</v>
      </c>
      <c r="GH87" t="e">
        <f>AND('PROG FORMACIÓN TITULADA'!X548,"AAAAAD59+b0=")</f>
        <v>#VALUE!</v>
      </c>
      <c r="GI87" t="e">
        <f>AND('PROG FORMACIÓN TITULADA'!Y548,"AAAAAD59+b4=")</f>
        <v>#VALUE!</v>
      </c>
      <c r="GJ87" t="e">
        <f>AND('PROG FORMACIÓN TITULADA'!Z548,"AAAAAD59+b8=")</f>
        <v>#VALUE!</v>
      </c>
      <c r="GK87">
        <f>IF('PROG FORMACIÓN TITULADA'!549:549,"AAAAAD59+cA=",0)</f>
        <v>0</v>
      </c>
      <c r="GL87" t="e">
        <f>AND('PROG FORMACIÓN TITULADA'!A549,"AAAAAD59+cE=")</f>
        <v>#VALUE!</v>
      </c>
      <c r="GM87" t="e">
        <f>AND('PROG FORMACIÓN TITULADA'!B549,"AAAAAD59+cI=")</f>
        <v>#VALUE!</v>
      </c>
      <c r="GN87" t="e">
        <f>AND('PROG FORMACIÓN TITULADA'!C549,"AAAAAD59+cM=")</f>
        <v>#VALUE!</v>
      </c>
      <c r="GO87" t="e">
        <f>AND('PROG FORMACIÓN TITULADA'!D549,"AAAAAD59+cQ=")</f>
        <v>#VALUE!</v>
      </c>
      <c r="GP87" t="e">
        <f>AND('PROG FORMACIÓN TITULADA'!E549,"AAAAAD59+cU=")</f>
        <v>#VALUE!</v>
      </c>
      <c r="GQ87" t="e">
        <f>AND('PROG FORMACIÓN TITULADA'!F549,"AAAAAD59+cY=")</f>
        <v>#VALUE!</v>
      </c>
      <c r="GR87" t="e">
        <f>AND('PROG FORMACIÓN TITULADA'!G549,"AAAAAD59+cc=")</f>
        <v>#VALUE!</v>
      </c>
      <c r="GS87" t="e">
        <f>AND('PROG FORMACIÓN TITULADA'!H549,"AAAAAD59+cg=")</f>
        <v>#VALUE!</v>
      </c>
      <c r="GT87" t="e">
        <f>AND('PROG FORMACIÓN TITULADA'!I549,"AAAAAD59+ck=")</f>
        <v>#VALUE!</v>
      </c>
      <c r="GU87" t="e">
        <f>AND('PROG FORMACIÓN TITULADA'!J549,"AAAAAD59+co=")</f>
        <v>#VALUE!</v>
      </c>
      <c r="GV87" t="e">
        <f>AND('PROG FORMACIÓN TITULADA'!K549,"AAAAAD59+cs=")</f>
        <v>#VALUE!</v>
      </c>
      <c r="GW87" t="e">
        <f>AND('PROG FORMACIÓN TITULADA'!L549,"AAAAAD59+cw=")</f>
        <v>#VALUE!</v>
      </c>
      <c r="GX87" t="e">
        <f>AND('PROG FORMACIÓN TITULADA'!M549,"AAAAAD59+c0=")</f>
        <v>#VALUE!</v>
      </c>
      <c r="GY87" t="e">
        <f>AND('PROG FORMACIÓN TITULADA'!N549,"AAAAAD59+c4=")</f>
        <v>#VALUE!</v>
      </c>
      <c r="GZ87" t="e">
        <f>AND('PROG FORMACIÓN TITULADA'!O549,"AAAAAD59+c8=")</f>
        <v>#VALUE!</v>
      </c>
      <c r="HA87" t="e">
        <f>AND('PROG FORMACIÓN TITULADA'!P549,"AAAAAD59+dA=")</f>
        <v>#VALUE!</v>
      </c>
      <c r="HB87" t="e">
        <f>AND('PROG FORMACIÓN TITULADA'!Q549,"AAAAAD59+dE=")</f>
        <v>#VALUE!</v>
      </c>
      <c r="HC87" t="e">
        <f>AND('PROG FORMACIÓN TITULADA'!R549,"AAAAAD59+dI=")</f>
        <v>#VALUE!</v>
      </c>
      <c r="HD87" t="e">
        <f>AND('PROG FORMACIÓN TITULADA'!S549,"AAAAAD59+dM=")</f>
        <v>#VALUE!</v>
      </c>
      <c r="HE87" t="e">
        <f>AND('PROG FORMACIÓN TITULADA'!T549,"AAAAAD59+dQ=")</f>
        <v>#VALUE!</v>
      </c>
      <c r="HF87" t="e">
        <f>AND('PROG FORMACIÓN TITULADA'!U549,"AAAAAD59+dU=")</f>
        <v>#VALUE!</v>
      </c>
      <c r="HG87" t="e">
        <f>AND('PROG FORMACIÓN TITULADA'!V549,"AAAAAD59+dY=")</f>
        <v>#VALUE!</v>
      </c>
      <c r="HH87" t="e">
        <f>AND('PROG FORMACIÓN TITULADA'!W549,"AAAAAD59+dc=")</f>
        <v>#VALUE!</v>
      </c>
      <c r="HI87" t="e">
        <f>AND('PROG FORMACIÓN TITULADA'!X549,"AAAAAD59+dg=")</f>
        <v>#VALUE!</v>
      </c>
      <c r="HJ87" t="e">
        <f>AND('PROG FORMACIÓN TITULADA'!Y549,"AAAAAD59+dk=")</f>
        <v>#VALUE!</v>
      </c>
      <c r="HK87" t="e">
        <f>AND('PROG FORMACIÓN TITULADA'!Z549,"AAAAAD59+do=")</f>
        <v>#VALUE!</v>
      </c>
      <c r="HL87">
        <f>IF('PROG FORMACIÓN TITULADA'!550:550,"AAAAAD59+ds=",0)</f>
        <v>0</v>
      </c>
      <c r="HM87" t="e">
        <f>AND('PROG FORMACIÓN TITULADA'!A550,"AAAAAD59+dw=")</f>
        <v>#VALUE!</v>
      </c>
      <c r="HN87" t="e">
        <f>AND('PROG FORMACIÓN TITULADA'!B550,"AAAAAD59+d0=")</f>
        <v>#VALUE!</v>
      </c>
      <c r="HO87" t="e">
        <f>AND('PROG FORMACIÓN TITULADA'!C550,"AAAAAD59+d4=")</f>
        <v>#VALUE!</v>
      </c>
      <c r="HP87" t="e">
        <f>AND('PROG FORMACIÓN TITULADA'!D550,"AAAAAD59+d8=")</f>
        <v>#VALUE!</v>
      </c>
      <c r="HQ87" t="e">
        <f>AND('PROG FORMACIÓN TITULADA'!E550,"AAAAAD59+eA=")</f>
        <v>#VALUE!</v>
      </c>
      <c r="HR87" t="e">
        <f>AND('PROG FORMACIÓN TITULADA'!F550,"AAAAAD59+eE=")</f>
        <v>#VALUE!</v>
      </c>
      <c r="HS87" t="e">
        <f>AND('PROG FORMACIÓN TITULADA'!G550,"AAAAAD59+eI=")</f>
        <v>#VALUE!</v>
      </c>
      <c r="HT87" t="e">
        <f>AND('PROG FORMACIÓN TITULADA'!H550,"AAAAAD59+eM=")</f>
        <v>#VALUE!</v>
      </c>
      <c r="HU87" t="e">
        <f>AND('PROG FORMACIÓN TITULADA'!I550,"AAAAAD59+eQ=")</f>
        <v>#VALUE!</v>
      </c>
      <c r="HV87" t="e">
        <f>AND('PROG FORMACIÓN TITULADA'!J550,"AAAAAD59+eU=")</f>
        <v>#VALUE!</v>
      </c>
      <c r="HW87" t="e">
        <f>AND('PROG FORMACIÓN TITULADA'!K550,"AAAAAD59+eY=")</f>
        <v>#VALUE!</v>
      </c>
      <c r="HX87" t="e">
        <f>AND('PROG FORMACIÓN TITULADA'!L550,"AAAAAD59+ec=")</f>
        <v>#VALUE!</v>
      </c>
      <c r="HY87" t="e">
        <f>AND('PROG FORMACIÓN TITULADA'!M550,"AAAAAD59+eg=")</f>
        <v>#VALUE!</v>
      </c>
      <c r="HZ87" t="e">
        <f>AND('PROG FORMACIÓN TITULADA'!N550,"AAAAAD59+ek=")</f>
        <v>#VALUE!</v>
      </c>
      <c r="IA87" t="e">
        <f>AND('PROG FORMACIÓN TITULADA'!O550,"AAAAAD59+eo=")</f>
        <v>#VALUE!</v>
      </c>
      <c r="IB87" t="e">
        <f>AND('PROG FORMACIÓN TITULADA'!P550,"AAAAAD59+es=")</f>
        <v>#VALUE!</v>
      </c>
      <c r="IC87" t="e">
        <f>AND('PROG FORMACIÓN TITULADA'!Q550,"AAAAAD59+ew=")</f>
        <v>#VALUE!</v>
      </c>
      <c r="ID87" t="e">
        <f>AND('PROG FORMACIÓN TITULADA'!R550,"AAAAAD59+e0=")</f>
        <v>#VALUE!</v>
      </c>
      <c r="IE87" t="e">
        <f>AND('PROG FORMACIÓN TITULADA'!S550,"AAAAAD59+e4=")</f>
        <v>#VALUE!</v>
      </c>
      <c r="IF87" t="e">
        <f>AND('PROG FORMACIÓN TITULADA'!T550,"AAAAAD59+e8=")</f>
        <v>#VALUE!</v>
      </c>
      <c r="IG87" t="e">
        <f>AND('PROG FORMACIÓN TITULADA'!U550,"AAAAAD59+fA=")</f>
        <v>#VALUE!</v>
      </c>
      <c r="IH87" t="e">
        <f>AND('PROG FORMACIÓN TITULADA'!V550,"AAAAAD59+fE=")</f>
        <v>#VALUE!</v>
      </c>
      <c r="II87" t="e">
        <f>AND('PROG FORMACIÓN TITULADA'!W550,"AAAAAD59+fI=")</f>
        <v>#VALUE!</v>
      </c>
      <c r="IJ87" t="e">
        <f>AND('PROG FORMACIÓN TITULADA'!X550,"AAAAAD59+fM=")</f>
        <v>#VALUE!</v>
      </c>
      <c r="IK87" t="e">
        <f>AND('PROG FORMACIÓN TITULADA'!Y550,"AAAAAD59+fQ=")</f>
        <v>#VALUE!</v>
      </c>
      <c r="IL87" t="e">
        <f>AND('PROG FORMACIÓN TITULADA'!Z550,"AAAAAD59+fU=")</f>
        <v>#VALUE!</v>
      </c>
      <c r="IM87">
        <f>IF('PROG FORMACIÓN TITULADA'!551:551,"AAAAAD59+fY=",0)</f>
        <v>0</v>
      </c>
      <c r="IN87" t="e">
        <f>AND('PROG FORMACIÓN TITULADA'!A551,"AAAAAD59+fc=")</f>
        <v>#VALUE!</v>
      </c>
      <c r="IO87" t="e">
        <f>AND('PROG FORMACIÓN TITULADA'!B551,"AAAAAD59+fg=")</f>
        <v>#VALUE!</v>
      </c>
      <c r="IP87" t="e">
        <f>AND('PROG FORMACIÓN TITULADA'!C551,"AAAAAD59+fk=")</f>
        <v>#VALUE!</v>
      </c>
      <c r="IQ87" t="e">
        <f>AND('PROG FORMACIÓN TITULADA'!D551,"AAAAAD59+fo=")</f>
        <v>#VALUE!</v>
      </c>
      <c r="IR87" t="e">
        <f>AND('PROG FORMACIÓN TITULADA'!E551,"AAAAAD59+fs=")</f>
        <v>#VALUE!</v>
      </c>
      <c r="IS87" t="e">
        <f>AND('PROG FORMACIÓN TITULADA'!F551,"AAAAAD59+fw=")</f>
        <v>#VALUE!</v>
      </c>
      <c r="IT87" t="e">
        <f>AND('PROG FORMACIÓN TITULADA'!G551,"AAAAAD59+f0=")</f>
        <v>#VALUE!</v>
      </c>
      <c r="IU87" t="e">
        <f>AND('PROG FORMACIÓN TITULADA'!H551,"AAAAAD59+f4=")</f>
        <v>#VALUE!</v>
      </c>
      <c r="IV87" t="e">
        <f>AND('PROG FORMACIÓN TITULADA'!I551,"AAAAAD59+f8=")</f>
        <v>#VALUE!</v>
      </c>
    </row>
    <row r="88" spans="1:256" x14ac:dyDescent="0.2">
      <c r="A88" t="e">
        <f>AND('PROG FORMACIÓN TITULADA'!J551,"AAAAAG1W3wA=")</f>
        <v>#VALUE!</v>
      </c>
      <c r="B88" t="e">
        <f>AND('PROG FORMACIÓN TITULADA'!K551,"AAAAAG1W3wE=")</f>
        <v>#VALUE!</v>
      </c>
      <c r="C88" t="e">
        <f>AND('PROG FORMACIÓN TITULADA'!L551,"AAAAAG1W3wI=")</f>
        <v>#VALUE!</v>
      </c>
      <c r="D88" t="e">
        <f>AND('PROG FORMACIÓN TITULADA'!M551,"AAAAAG1W3wM=")</f>
        <v>#VALUE!</v>
      </c>
      <c r="E88" t="e">
        <f>AND('PROG FORMACIÓN TITULADA'!N551,"AAAAAG1W3wQ=")</f>
        <v>#VALUE!</v>
      </c>
      <c r="F88" t="e">
        <f>AND('PROG FORMACIÓN TITULADA'!O551,"AAAAAG1W3wU=")</f>
        <v>#VALUE!</v>
      </c>
      <c r="G88" t="e">
        <f>AND('PROG FORMACIÓN TITULADA'!P551,"AAAAAG1W3wY=")</f>
        <v>#VALUE!</v>
      </c>
      <c r="H88" t="e">
        <f>AND('PROG FORMACIÓN TITULADA'!Q551,"AAAAAG1W3wc=")</f>
        <v>#VALUE!</v>
      </c>
      <c r="I88" t="e">
        <f>AND('PROG FORMACIÓN TITULADA'!R551,"AAAAAG1W3wg=")</f>
        <v>#VALUE!</v>
      </c>
      <c r="J88" t="e">
        <f>AND('PROG FORMACIÓN TITULADA'!S551,"AAAAAG1W3wk=")</f>
        <v>#VALUE!</v>
      </c>
      <c r="K88" t="e">
        <f>AND('PROG FORMACIÓN TITULADA'!T551,"AAAAAG1W3wo=")</f>
        <v>#VALUE!</v>
      </c>
      <c r="L88" t="e">
        <f>AND('PROG FORMACIÓN TITULADA'!U551,"AAAAAG1W3ws=")</f>
        <v>#VALUE!</v>
      </c>
      <c r="M88" t="e">
        <f>AND('PROG FORMACIÓN TITULADA'!V551,"AAAAAG1W3ww=")</f>
        <v>#VALUE!</v>
      </c>
      <c r="N88" t="e">
        <f>AND('PROG FORMACIÓN TITULADA'!W551,"AAAAAG1W3w0=")</f>
        <v>#VALUE!</v>
      </c>
      <c r="O88" t="e">
        <f>AND('PROG FORMACIÓN TITULADA'!X551,"AAAAAG1W3w4=")</f>
        <v>#VALUE!</v>
      </c>
      <c r="P88" t="e">
        <f>AND('PROG FORMACIÓN TITULADA'!Y551,"AAAAAG1W3w8=")</f>
        <v>#VALUE!</v>
      </c>
      <c r="Q88" t="e">
        <f>AND('PROG FORMACIÓN TITULADA'!Z551,"AAAAAG1W3xA=")</f>
        <v>#VALUE!</v>
      </c>
      <c r="R88">
        <f>IF('PROG FORMACIÓN TITULADA'!552:552,"AAAAAG1W3xE=",0)</f>
        <v>0</v>
      </c>
      <c r="S88" t="e">
        <f>AND('PROG FORMACIÓN TITULADA'!A552,"AAAAAG1W3xI=")</f>
        <v>#VALUE!</v>
      </c>
      <c r="T88" t="e">
        <f>AND('PROG FORMACIÓN TITULADA'!B552,"AAAAAG1W3xM=")</f>
        <v>#VALUE!</v>
      </c>
      <c r="U88" t="e">
        <f>AND('PROG FORMACIÓN TITULADA'!C552,"AAAAAG1W3xQ=")</f>
        <v>#VALUE!</v>
      </c>
      <c r="V88" t="e">
        <f>AND('PROG FORMACIÓN TITULADA'!D552,"AAAAAG1W3xU=")</f>
        <v>#VALUE!</v>
      </c>
      <c r="W88" t="e">
        <f>AND('PROG FORMACIÓN TITULADA'!E552,"AAAAAG1W3xY=")</f>
        <v>#VALUE!</v>
      </c>
      <c r="X88" t="e">
        <f>AND('PROG FORMACIÓN TITULADA'!F552,"AAAAAG1W3xc=")</f>
        <v>#VALUE!</v>
      </c>
      <c r="Y88" t="e">
        <f>AND('PROG FORMACIÓN TITULADA'!G552,"AAAAAG1W3xg=")</f>
        <v>#VALUE!</v>
      </c>
      <c r="Z88" t="e">
        <f>AND('PROG FORMACIÓN TITULADA'!H552,"AAAAAG1W3xk=")</f>
        <v>#VALUE!</v>
      </c>
      <c r="AA88" t="e">
        <f>AND('PROG FORMACIÓN TITULADA'!I552,"AAAAAG1W3xo=")</f>
        <v>#VALUE!</v>
      </c>
      <c r="AB88" t="e">
        <f>AND('PROG FORMACIÓN TITULADA'!J552,"AAAAAG1W3xs=")</f>
        <v>#VALUE!</v>
      </c>
      <c r="AC88" t="e">
        <f>AND('PROG FORMACIÓN TITULADA'!K552,"AAAAAG1W3xw=")</f>
        <v>#VALUE!</v>
      </c>
      <c r="AD88" t="e">
        <f>AND('PROG FORMACIÓN TITULADA'!L552,"AAAAAG1W3x0=")</f>
        <v>#VALUE!</v>
      </c>
      <c r="AE88" t="e">
        <f>AND('PROG FORMACIÓN TITULADA'!M552,"AAAAAG1W3x4=")</f>
        <v>#VALUE!</v>
      </c>
      <c r="AF88" t="e">
        <f>AND('PROG FORMACIÓN TITULADA'!N552,"AAAAAG1W3x8=")</f>
        <v>#VALUE!</v>
      </c>
      <c r="AG88" t="e">
        <f>AND('PROG FORMACIÓN TITULADA'!O552,"AAAAAG1W3yA=")</f>
        <v>#VALUE!</v>
      </c>
      <c r="AH88" t="e">
        <f>AND('PROG FORMACIÓN TITULADA'!P552,"AAAAAG1W3yE=")</f>
        <v>#VALUE!</v>
      </c>
      <c r="AI88" t="e">
        <f>AND('PROG FORMACIÓN TITULADA'!Q552,"AAAAAG1W3yI=")</f>
        <v>#VALUE!</v>
      </c>
      <c r="AJ88" t="e">
        <f>AND('PROG FORMACIÓN TITULADA'!R552,"AAAAAG1W3yM=")</f>
        <v>#VALUE!</v>
      </c>
      <c r="AK88" t="e">
        <f>AND('PROG FORMACIÓN TITULADA'!S552,"AAAAAG1W3yQ=")</f>
        <v>#VALUE!</v>
      </c>
      <c r="AL88" t="e">
        <f>AND('PROG FORMACIÓN TITULADA'!T552,"AAAAAG1W3yU=")</f>
        <v>#VALUE!</v>
      </c>
      <c r="AM88" t="e">
        <f>AND('PROG FORMACIÓN TITULADA'!U552,"AAAAAG1W3yY=")</f>
        <v>#VALUE!</v>
      </c>
      <c r="AN88" t="e">
        <f>AND('PROG FORMACIÓN TITULADA'!V552,"AAAAAG1W3yc=")</f>
        <v>#VALUE!</v>
      </c>
      <c r="AO88" t="e">
        <f>AND('PROG FORMACIÓN TITULADA'!W552,"AAAAAG1W3yg=")</f>
        <v>#VALUE!</v>
      </c>
      <c r="AP88" t="e">
        <f>AND('PROG FORMACIÓN TITULADA'!X552,"AAAAAG1W3yk=")</f>
        <v>#VALUE!</v>
      </c>
      <c r="AQ88" t="e">
        <f>AND('PROG FORMACIÓN TITULADA'!Y552,"AAAAAG1W3yo=")</f>
        <v>#VALUE!</v>
      </c>
      <c r="AR88" t="e">
        <f>AND('PROG FORMACIÓN TITULADA'!Z552,"AAAAAG1W3ys=")</f>
        <v>#VALUE!</v>
      </c>
      <c r="AS88">
        <f>IF('PROG FORMACIÓN TITULADA'!553:553,"AAAAAG1W3yw=",0)</f>
        <v>0</v>
      </c>
      <c r="AT88" t="e">
        <f>AND('PROG FORMACIÓN TITULADA'!A553,"AAAAAG1W3y0=")</f>
        <v>#VALUE!</v>
      </c>
      <c r="AU88" t="e">
        <f>AND('PROG FORMACIÓN TITULADA'!B553,"AAAAAG1W3y4=")</f>
        <v>#VALUE!</v>
      </c>
      <c r="AV88" t="e">
        <f>AND('PROG FORMACIÓN TITULADA'!C553,"AAAAAG1W3y8=")</f>
        <v>#VALUE!</v>
      </c>
      <c r="AW88" t="e">
        <f>AND('PROG FORMACIÓN TITULADA'!D553,"AAAAAG1W3zA=")</f>
        <v>#VALUE!</v>
      </c>
      <c r="AX88" t="e">
        <f>AND('PROG FORMACIÓN TITULADA'!E553,"AAAAAG1W3zE=")</f>
        <v>#VALUE!</v>
      </c>
      <c r="AY88" t="e">
        <f>AND('PROG FORMACIÓN TITULADA'!F553,"AAAAAG1W3zI=")</f>
        <v>#VALUE!</v>
      </c>
      <c r="AZ88" t="e">
        <f>AND('PROG FORMACIÓN TITULADA'!G553,"AAAAAG1W3zM=")</f>
        <v>#VALUE!</v>
      </c>
      <c r="BA88" t="e">
        <f>AND('PROG FORMACIÓN TITULADA'!H553,"AAAAAG1W3zQ=")</f>
        <v>#VALUE!</v>
      </c>
      <c r="BB88" t="e">
        <f>AND('PROG FORMACIÓN TITULADA'!I553,"AAAAAG1W3zU=")</f>
        <v>#VALUE!</v>
      </c>
      <c r="BC88" t="e">
        <f>AND('PROG FORMACIÓN TITULADA'!J553,"AAAAAG1W3zY=")</f>
        <v>#VALUE!</v>
      </c>
      <c r="BD88" t="e">
        <f>AND('PROG FORMACIÓN TITULADA'!K553,"AAAAAG1W3zc=")</f>
        <v>#VALUE!</v>
      </c>
      <c r="BE88" t="e">
        <f>AND('PROG FORMACIÓN TITULADA'!L553,"AAAAAG1W3zg=")</f>
        <v>#VALUE!</v>
      </c>
      <c r="BF88" t="e">
        <f>AND('PROG FORMACIÓN TITULADA'!M553,"AAAAAG1W3zk=")</f>
        <v>#VALUE!</v>
      </c>
      <c r="BG88" t="e">
        <f>AND('PROG FORMACIÓN TITULADA'!N553,"AAAAAG1W3zo=")</f>
        <v>#VALUE!</v>
      </c>
      <c r="BH88" t="e">
        <f>AND('PROG FORMACIÓN TITULADA'!O553,"AAAAAG1W3zs=")</f>
        <v>#VALUE!</v>
      </c>
      <c r="BI88" t="e">
        <f>AND('PROG FORMACIÓN TITULADA'!P553,"AAAAAG1W3zw=")</f>
        <v>#VALUE!</v>
      </c>
      <c r="BJ88" t="e">
        <f>AND('PROG FORMACIÓN TITULADA'!Q553,"AAAAAG1W3z0=")</f>
        <v>#VALUE!</v>
      </c>
      <c r="BK88" t="e">
        <f>AND('PROG FORMACIÓN TITULADA'!R553,"AAAAAG1W3z4=")</f>
        <v>#VALUE!</v>
      </c>
      <c r="BL88" t="e">
        <f>AND('PROG FORMACIÓN TITULADA'!S553,"AAAAAG1W3z8=")</f>
        <v>#VALUE!</v>
      </c>
      <c r="BM88" t="e">
        <f>AND('PROG FORMACIÓN TITULADA'!T553,"AAAAAG1W30A=")</f>
        <v>#VALUE!</v>
      </c>
      <c r="BN88" t="e">
        <f>AND('PROG FORMACIÓN TITULADA'!U553,"AAAAAG1W30E=")</f>
        <v>#VALUE!</v>
      </c>
      <c r="BO88" t="e">
        <f>AND('PROG FORMACIÓN TITULADA'!V553,"AAAAAG1W30I=")</f>
        <v>#VALUE!</v>
      </c>
      <c r="BP88" t="e">
        <f>AND('PROG FORMACIÓN TITULADA'!W553,"AAAAAG1W30M=")</f>
        <v>#VALUE!</v>
      </c>
      <c r="BQ88" t="e">
        <f>AND('PROG FORMACIÓN TITULADA'!X553,"AAAAAG1W30Q=")</f>
        <v>#VALUE!</v>
      </c>
      <c r="BR88" t="e">
        <f>AND('PROG FORMACIÓN TITULADA'!Y553,"AAAAAG1W30U=")</f>
        <v>#VALUE!</v>
      </c>
      <c r="BS88" t="e">
        <f>AND('PROG FORMACIÓN TITULADA'!Z553,"AAAAAG1W30Y=")</f>
        <v>#VALUE!</v>
      </c>
      <c r="BT88">
        <f>IF('PROG FORMACIÓN TITULADA'!554:554,"AAAAAG1W30c=",0)</f>
        <v>0</v>
      </c>
      <c r="BU88" t="e">
        <f>AND('PROG FORMACIÓN TITULADA'!A554,"AAAAAG1W30g=")</f>
        <v>#VALUE!</v>
      </c>
      <c r="BV88" t="e">
        <f>AND('PROG FORMACIÓN TITULADA'!B554,"AAAAAG1W30k=")</f>
        <v>#VALUE!</v>
      </c>
      <c r="BW88" t="e">
        <f>AND('PROG FORMACIÓN TITULADA'!C554,"AAAAAG1W30o=")</f>
        <v>#VALUE!</v>
      </c>
      <c r="BX88" t="e">
        <f>AND('PROG FORMACIÓN TITULADA'!D554,"AAAAAG1W30s=")</f>
        <v>#VALUE!</v>
      </c>
      <c r="BY88" t="e">
        <f>AND('PROG FORMACIÓN TITULADA'!E554,"AAAAAG1W30w=")</f>
        <v>#VALUE!</v>
      </c>
      <c r="BZ88" t="e">
        <f>AND('PROG FORMACIÓN TITULADA'!F554,"AAAAAG1W300=")</f>
        <v>#VALUE!</v>
      </c>
      <c r="CA88" t="e">
        <f>AND('PROG FORMACIÓN TITULADA'!G554,"AAAAAG1W304=")</f>
        <v>#VALUE!</v>
      </c>
      <c r="CB88" t="e">
        <f>AND('PROG FORMACIÓN TITULADA'!H554,"AAAAAG1W308=")</f>
        <v>#VALUE!</v>
      </c>
      <c r="CC88" t="e">
        <f>AND('PROG FORMACIÓN TITULADA'!I554,"AAAAAG1W31A=")</f>
        <v>#VALUE!</v>
      </c>
      <c r="CD88" t="e">
        <f>AND('PROG FORMACIÓN TITULADA'!J554,"AAAAAG1W31E=")</f>
        <v>#VALUE!</v>
      </c>
      <c r="CE88" t="e">
        <f>AND('PROG FORMACIÓN TITULADA'!K554,"AAAAAG1W31I=")</f>
        <v>#VALUE!</v>
      </c>
      <c r="CF88" t="e">
        <f>AND('PROG FORMACIÓN TITULADA'!L554,"AAAAAG1W31M=")</f>
        <v>#VALUE!</v>
      </c>
      <c r="CG88" t="e">
        <f>AND('PROG FORMACIÓN TITULADA'!M554,"AAAAAG1W31Q=")</f>
        <v>#VALUE!</v>
      </c>
      <c r="CH88" t="e">
        <f>AND('PROG FORMACIÓN TITULADA'!N554,"AAAAAG1W31U=")</f>
        <v>#VALUE!</v>
      </c>
      <c r="CI88" t="e">
        <f>AND('PROG FORMACIÓN TITULADA'!O554,"AAAAAG1W31Y=")</f>
        <v>#VALUE!</v>
      </c>
      <c r="CJ88" t="e">
        <f>AND('PROG FORMACIÓN TITULADA'!P554,"AAAAAG1W31c=")</f>
        <v>#VALUE!</v>
      </c>
      <c r="CK88" t="e">
        <f>AND('PROG FORMACIÓN TITULADA'!Q554,"AAAAAG1W31g=")</f>
        <v>#VALUE!</v>
      </c>
      <c r="CL88" t="e">
        <f>AND('PROG FORMACIÓN TITULADA'!R554,"AAAAAG1W31k=")</f>
        <v>#VALUE!</v>
      </c>
      <c r="CM88" t="e">
        <f>AND('PROG FORMACIÓN TITULADA'!S554,"AAAAAG1W31o=")</f>
        <v>#VALUE!</v>
      </c>
      <c r="CN88" t="e">
        <f>AND('PROG FORMACIÓN TITULADA'!T554,"AAAAAG1W31s=")</f>
        <v>#VALUE!</v>
      </c>
      <c r="CO88" t="e">
        <f>AND('PROG FORMACIÓN TITULADA'!U554,"AAAAAG1W31w=")</f>
        <v>#VALUE!</v>
      </c>
      <c r="CP88" t="e">
        <f>AND('PROG FORMACIÓN TITULADA'!V554,"AAAAAG1W310=")</f>
        <v>#VALUE!</v>
      </c>
      <c r="CQ88" t="e">
        <f>AND('PROG FORMACIÓN TITULADA'!W554,"AAAAAG1W314=")</f>
        <v>#VALUE!</v>
      </c>
      <c r="CR88" t="e">
        <f>AND('PROG FORMACIÓN TITULADA'!X554,"AAAAAG1W318=")</f>
        <v>#VALUE!</v>
      </c>
      <c r="CS88" t="e">
        <f>AND('PROG FORMACIÓN TITULADA'!Y554,"AAAAAG1W32A=")</f>
        <v>#VALUE!</v>
      </c>
      <c r="CT88" t="e">
        <f>AND('PROG FORMACIÓN TITULADA'!Z554,"AAAAAG1W32E=")</f>
        <v>#VALUE!</v>
      </c>
      <c r="CU88">
        <f>IF('PROG FORMACIÓN TITULADA'!555:555,"AAAAAG1W32I=",0)</f>
        <v>0</v>
      </c>
      <c r="CV88" t="e">
        <f>AND('PROG FORMACIÓN TITULADA'!A555,"AAAAAG1W32M=")</f>
        <v>#VALUE!</v>
      </c>
      <c r="CW88" t="e">
        <f>AND('PROG FORMACIÓN TITULADA'!B555,"AAAAAG1W32Q=")</f>
        <v>#VALUE!</v>
      </c>
      <c r="CX88" t="e">
        <f>AND('PROG FORMACIÓN TITULADA'!C555,"AAAAAG1W32U=")</f>
        <v>#VALUE!</v>
      </c>
      <c r="CY88" t="e">
        <f>AND('PROG FORMACIÓN TITULADA'!D555,"AAAAAG1W32Y=")</f>
        <v>#VALUE!</v>
      </c>
      <c r="CZ88" t="e">
        <f>AND('PROG FORMACIÓN TITULADA'!E555,"AAAAAG1W32c=")</f>
        <v>#VALUE!</v>
      </c>
      <c r="DA88" t="e">
        <f>AND('PROG FORMACIÓN TITULADA'!F555,"AAAAAG1W32g=")</f>
        <v>#VALUE!</v>
      </c>
      <c r="DB88" t="e">
        <f>AND('PROG FORMACIÓN TITULADA'!G555,"AAAAAG1W32k=")</f>
        <v>#VALUE!</v>
      </c>
      <c r="DC88" t="e">
        <f>AND('PROG FORMACIÓN TITULADA'!H555,"AAAAAG1W32o=")</f>
        <v>#VALUE!</v>
      </c>
      <c r="DD88" t="e">
        <f>AND('PROG FORMACIÓN TITULADA'!I555,"AAAAAG1W32s=")</f>
        <v>#VALUE!</v>
      </c>
      <c r="DE88" t="e">
        <f>AND('PROG FORMACIÓN TITULADA'!J555,"AAAAAG1W32w=")</f>
        <v>#VALUE!</v>
      </c>
      <c r="DF88" t="e">
        <f>AND('PROG FORMACIÓN TITULADA'!K555,"AAAAAG1W320=")</f>
        <v>#VALUE!</v>
      </c>
      <c r="DG88" t="e">
        <f>AND('PROG FORMACIÓN TITULADA'!L555,"AAAAAG1W324=")</f>
        <v>#VALUE!</v>
      </c>
      <c r="DH88" t="e">
        <f>AND('PROG FORMACIÓN TITULADA'!M555,"AAAAAG1W328=")</f>
        <v>#VALUE!</v>
      </c>
      <c r="DI88" t="e">
        <f>AND('PROG FORMACIÓN TITULADA'!N555,"AAAAAG1W33A=")</f>
        <v>#VALUE!</v>
      </c>
      <c r="DJ88" t="e">
        <f>AND('PROG FORMACIÓN TITULADA'!O555,"AAAAAG1W33E=")</f>
        <v>#VALUE!</v>
      </c>
      <c r="DK88" t="e">
        <f>AND('PROG FORMACIÓN TITULADA'!P555,"AAAAAG1W33I=")</f>
        <v>#VALUE!</v>
      </c>
      <c r="DL88" t="e">
        <f>AND('PROG FORMACIÓN TITULADA'!Q555,"AAAAAG1W33M=")</f>
        <v>#VALUE!</v>
      </c>
      <c r="DM88" t="e">
        <f>AND('PROG FORMACIÓN TITULADA'!R555,"AAAAAG1W33Q=")</f>
        <v>#VALUE!</v>
      </c>
      <c r="DN88" t="e">
        <f>AND('PROG FORMACIÓN TITULADA'!S555,"AAAAAG1W33U=")</f>
        <v>#VALUE!</v>
      </c>
      <c r="DO88" t="e">
        <f>AND('PROG FORMACIÓN TITULADA'!T555,"AAAAAG1W33Y=")</f>
        <v>#VALUE!</v>
      </c>
      <c r="DP88" t="e">
        <f>AND('PROG FORMACIÓN TITULADA'!U555,"AAAAAG1W33c=")</f>
        <v>#VALUE!</v>
      </c>
      <c r="DQ88" t="e">
        <f>AND('PROG FORMACIÓN TITULADA'!V555,"AAAAAG1W33g=")</f>
        <v>#VALUE!</v>
      </c>
      <c r="DR88" t="e">
        <f>AND('PROG FORMACIÓN TITULADA'!W555,"AAAAAG1W33k=")</f>
        <v>#VALUE!</v>
      </c>
      <c r="DS88" t="e">
        <f>AND('PROG FORMACIÓN TITULADA'!X555,"AAAAAG1W33o=")</f>
        <v>#VALUE!</v>
      </c>
      <c r="DT88" t="e">
        <f>AND('PROG FORMACIÓN TITULADA'!Y555,"AAAAAG1W33s=")</f>
        <v>#VALUE!</v>
      </c>
      <c r="DU88" t="e">
        <f>AND('PROG FORMACIÓN TITULADA'!Z555,"AAAAAG1W33w=")</f>
        <v>#VALUE!</v>
      </c>
      <c r="DV88">
        <f>IF('PROG FORMACIÓN TITULADA'!556:556,"AAAAAG1W330=",0)</f>
        <v>0</v>
      </c>
      <c r="DW88" t="e">
        <f>AND('PROG FORMACIÓN TITULADA'!A556,"AAAAAG1W334=")</f>
        <v>#VALUE!</v>
      </c>
      <c r="DX88" t="e">
        <f>AND('PROG FORMACIÓN TITULADA'!B556,"AAAAAG1W338=")</f>
        <v>#VALUE!</v>
      </c>
      <c r="DY88" t="e">
        <f>AND('PROG FORMACIÓN TITULADA'!C556,"AAAAAG1W34A=")</f>
        <v>#VALUE!</v>
      </c>
      <c r="DZ88" t="e">
        <f>AND('PROG FORMACIÓN TITULADA'!D556,"AAAAAG1W34E=")</f>
        <v>#VALUE!</v>
      </c>
      <c r="EA88" t="e">
        <f>AND('PROG FORMACIÓN TITULADA'!E556,"AAAAAG1W34I=")</f>
        <v>#VALUE!</v>
      </c>
      <c r="EB88" t="e">
        <f>AND('PROG FORMACIÓN TITULADA'!F556,"AAAAAG1W34M=")</f>
        <v>#VALUE!</v>
      </c>
      <c r="EC88" t="e">
        <f>AND('PROG FORMACIÓN TITULADA'!G556,"AAAAAG1W34Q=")</f>
        <v>#VALUE!</v>
      </c>
      <c r="ED88" t="e">
        <f>AND('PROG FORMACIÓN TITULADA'!H556,"AAAAAG1W34U=")</f>
        <v>#VALUE!</v>
      </c>
      <c r="EE88" t="e">
        <f>AND('PROG FORMACIÓN TITULADA'!I556,"AAAAAG1W34Y=")</f>
        <v>#VALUE!</v>
      </c>
      <c r="EF88" t="e">
        <f>AND('PROG FORMACIÓN TITULADA'!J556,"AAAAAG1W34c=")</f>
        <v>#VALUE!</v>
      </c>
      <c r="EG88" t="e">
        <f>AND('PROG FORMACIÓN TITULADA'!K556,"AAAAAG1W34g=")</f>
        <v>#VALUE!</v>
      </c>
      <c r="EH88" t="e">
        <f>AND('PROG FORMACIÓN TITULADA'!L556,"AAAAAG1W34k=")</f>
        <v>#VALUE!</v>
      </c>
      <c r="EI88" t="e">
        <f>AND('PROG FORMACIÓN TITULADA'!M556,"AAAAAG1W34o=")</f>
        <v>#VALUE!</v>
      </c>
      <c r="EJ88" t="e">
        <f>AND('PROG FORMACIÓN TITULADA'!N556,"AAAAAG1W34s=")</f>
        <v>#VALUE!</v>
      </c>
      <c r="EK88" t="e">
        <f>AND('PROG FORMACIÓN TITULADA'!O556,"AAAAAG1W34w=")</f>
        <v>#VALUE!</v>
      </c>
      <c r="EL88" t="e">
        <f>AND('PROG FORMACIÓN TITULADA'!P556,"AAAAAG1W340=")</f>
        <v>#VALUE!</v>
      </c>
      <c r="EM88" t="e">
        <f>AND('PROG FORMACIÓN TITULADA'!Q556,"AAAAAG1W344=")</f>
        <v>#VALUE!</v>
      </c>
      <c r="EN88" t="e">
        <f>AND('PROG FORMACIÓN TITULADA'!R556,"AAAAAG1W348=")</f>
        <v>#VALUE!</v>
      </c>
      <c r="EO88" t="e">
        <f>AND('PROG FORMACIÓN TITULADA'!S556,"AAAAAG1W35A=")</f>
        <v>#VALUE!</v>
      </c>
      <c r="EP88" t="e">
        <f>AND('PROG FORMACIÓN TITULADA'!T556,"AAAAAG1W35E=")</f>
        <v>#VALUE!</v>
      </c>
      <c r="EQ88" t="e">
        <f>AND('PROG FORMACIÓN TITULADA'!U556,"AAAAAG1W35I=")</f>
        <v>#VALUE!</v>
      </c>
      <c r="ER88" t="e">
        <f>AND('PROG FORMACIÓN TITULADA'!V556,"AAAAAG1W35M=")</f>
        <v>#VALUE!</v>
      </c>
      <c r="ES88" t="e">
        <f>AND('PROG FORMACIÓN TITULADA'!W556,"AAAAAG1W35Q=")</f>
        <v>#VALUE!</v>
      </c>
      <c r="ET88" t="e">
        <f>AND('PROG FORMACIÓN TITULADA'!X556,"AAAAAG1W35U=")</f>
        <v>#VALUE!</v>
      </c>
      <c r="EU88" t="e">
        <f>AND('PROG FORMACIÓN TITULADA'!Y556,"AAAAAG1W35Y=")</f>
        <v>#VALUE!</v>
      </c>
      <c r="EV88" t="e">
        <f>AND('PROG FORMACIÓN TITULADA'!Z556,"AAAAAG1W35c=")</f>
        <v>#VALUE!</v>
      </c>
      <c r="EW88">
        <f>IF('PROG FORMACIÓN TITULADA'!557:557,"AAAAAG1W35g=",0)</f>
        <v>0</v>
      </c>
      <c r="EX88" t="e">
        <f>AND('PROG FORMACIÓN TITULADA'!A557,"AAAAAG1W35k=")</f>
        <v>#VALUE!</v>
      </c>
      <c r="EY88" t="e">
        <f>AND('PROG FORMACIÓN TITULADA'!B557,"AAAAAG1W35o=")</f>
        <v>#VALUE!</v>
      </c>
      <c r="EZ88" t="e">
        <f>AND('PROG FORMACIÓN TITULADA'!C557,"AAAAAG1W35s=")</f>
        <v>#VALUE!</v>
      </c>
      <c r="FA88" t="e">
        <f>AND('PROG FORMACIÓN TITULADA'!D557,"AAAAAG1W35w=")</f>
        <v>#VALUE!</v>
      </c>
      <c r="FB88" t="e">
        <f>AND('PROG FORMACIÓN TITULADA'!E557,"AAAAAG1W350=")</f>
        <v>#VALUE!</v>
      </c>
      <c r="FC88" t="e">
        <f>AND('PROG FORMACIÓN TITULADA'!F557,"AAAAAG1W354=")</f>
        <v>#VALUE!</v>
      </c>
      <c r="FD88" t="e">
        <f>AND('PROG FORMACIÓN TITULADA'!G557,"AAAAAG1W358=")</f>
        <v>#VALUE!</v>
      </c>
      <c r="FE88" t="e">
        <f>AND('PROG FORMACIÓN TITULADA'!H557,"AAAAAG1W36A=")</f>
        <v>#VALUE!</v>
      </c>
      <c r="FF88" t="e">
        <f>AND('PROG FORMACIÓN TITULADA'!I557,"AAAAAG1W36E=")</f>
        <v>#VALUE!</v>
      </c>
      <c r="FG88" t="e">
        <f>AND('PROG FORMACIÓN TITULADA'!J557,"AAAAAG1W36I=")</f>
        <v>#VALUE!</v>
      </c>
      <c r="FH88" t="e">
        <f>AND('PROG FORMACIÓN TITULADA'!K557,"AAAAAG1W36M=")</f>
        <v>#VALUE!</v>
      </c>
      <c r="FI88" t="e">
        <f>AND('PROG FORMACIÓN TITULADA'!L557,"AAAAAG1W36Q=")</f>
        <v>#VALUE!</v>
      </c>
      <c r="FJ88" t="e">
        <f>AND('PROG FORMACIÓN TITULADA'!M557,"AAAAAG1W36U=")</f>
        <v>#VALUE!</v>
      </c>
      <c r="FK88" t="e">
        <f>AND('PROG FORMACIÓN TITULADA'!N557,"AAAAAG1W36Y=")</f>
        <v>#VALUE!</v>
      </c>
      <c r="FL88" t="e">
        <f>AND('PROG FORMACIÓN TITULADA'!O557,"AAAAAG1W36c=")</f>
        <v>#VALUE!</v>
      </c>
      <c r="FM88" t="e">
        <f>AND('PROG FORMACIÓN TITULADA'!P557,"AAAAAG1W36g=")</f>
        <v>#VALUE!</v>
      </c>
      <c r="FN88" t="e">
        <f>AND('PROG FORMACIÓN TITULADA'!Q557,"AAAAAG1W36k=")</f>
        <v>#VALUE!</v>
      </c>
      <c r="FO88" t="e">
        <f>AND('PROG FORMACIÓN TITULADA'!R557,"AAAAAG1W36o=")</f>
        <v>#VALUE!</v>
      </c>
      <c r="FP88" t="e">
        <f>AND('PROG FORMACIÓN TITULADA'!S557,"AAAAAG1W36s=")</f>
        <v>#VALUE!</v>
      </c>
      <c r="FQ88" t="e">
        <f>AND('PROG FORMACIÓN TITULADA'!T557,"AAAAAG1W36w=")</f>
        <v>#VALUE!</v>
      </c>
      <c r="FR88" t="e">
        <f>AND('PROG FORMACIÓN TITULADA'!U557,"AAAAAG1W360=")</f>
        <v>#VALUE!</v>
      </c>
      <c r="FS88" t="e">
        <f>AND('PROG FORMACIÓN TITULADA'!V557,"AAAAAG1W364=")</f>
        <v>#VALUE!</v>
      </c>
      <c r="FT88" t="e">
        <f>AND('PROG FORMACIÓN TITULADA'!W557,"AAAAAG1W368=")</f>
        <v>#VALUE!</v>
      </c>
      <c r="FU88" t="e">
        <f>AND('PROG FORMACIÓN TITULADA'!X557,"AAAAAG1W37A=")</f>
        <v>#VALUE!</v>
      </c>
      <c r="FV88" t="e">
        <f>AND('PROG FORMACIÓN TITULADA'!Y557,"AAAAAG1W37E=")</f>
        <v>#VALUE!</v>
      </c>
      <c r="FW88" t="e">
        <f>AND('PROG FORMACIÓN TITULADA'!Z557,"AAAAAG1W37I=")</f>
        <v>#VALUE!</v>
      </c>
      <c r="FX88">
        <f>IF('PROG FORMACIÓN TITULADA'!558:558,"AAAAAG1W37M=",0)</f>
        <v>0</v>
      </c>
      <c r="FY88" t="e">
        <f>AND('PROG FORMACIÓN TITULADA'!A558,"AAAAAG1W37Q=")</f>
        <v>#VALUE!</v>
      </c>
      <c r="FZ88" t="e">
        <f>AND('PROG FORMACIÓN TITULADA'!B558,"AAAAAG1W37U=")</f>
        <v>#VALUE!</v>
      </c>
      <c r="GA88" t="e">
        <f>AND('PROG FORMACIÓN TITULADA'!C558,"AAAAAG1W37Y=")</f>
        <v>#VALUE!</v>
      </c>
      <c r="GB88" t="e">
        <f>AND('PROG FORMACIÓN TITULADA'!D558,"AAAAAG1W37c=")</f>
        <v>#VALUE!</v>
      </c>
      <c r="GC88" t="e">
        <f>AND('PROG FORMACIÓN TITULADA'!E558,"AAAAAG1W37g=")</f>
        <v>#VALUE!</v>
      </c>
      <c r="GD88" t="e">
        <f>AND('PROG FORMACIÓN TITULADA'!F558,"AAAAAG1W37k=")</f>
        <v>#VALUE!</v>
      </c>
      <c r="GE88" t="e">
        <f>AND('PROG FORMACIÓN TITULADA'!G558,"AAAAAG1W37o=")</f>
        <v>#VALUE!</v>
      </c>
      <c r="GF88" t="e">
        <f>AND('PROG FORMACIÓN TITULADA'!H558,"AAAAAG1W37s=")</f>
        <v>#VALUE!</v>
      </c>
      <c r="GG88" t="e">
        <f>AND('PROG FORMACIÓN TITULADA'!I558,"AAAAAG1W37w=")</f>
        <v>#VALUE!</v>
      </c>
      <c r="GH88" t="e">
        <f>AND('PROG FORMACIÓN TITULADA'!J558,"AAAAAG1W370=")</f>
        <v>#VALUE!</v>
      </c>
      <c r="GI88" t="e">
        <f>AND('PROG FORMACIÓN TITULADA'!K558,"AAAAAG1W374=")</f>
        <v>#VALUE!</v>
      </c>
      <c r="GJ88" t="e">
        <f>AND('PROG FORMACIÓN TITULADA'!L558,"AAAAAG1W378=")</f>
        <v>#VALUE!</v>
      </c>
      <c r="GK88" t="e">
        <f>AND('PROG FORMACIÓN TITULADA'!M558,"AAAAAG1W38A=")</f>
        <v>#VALUE!</v>
      </c>
      <c r="GL88" t="e">
        <f>AND('PROG FORMACIÓN TITULADA'!N558,"AAAAAG1W38E=")</f>
        <v>#VALUE!</v>
      </c>
      <c r="GM88" t="e">
        <f>AND('PROG FORMACIÓN TITULADA'!O558,"AAAAAG1W38I=")</f>
        <v>#VALUE!</v>
      </c>
      <c r="GN88" t="e">
        <f>AND('PROG FORMACIÓN TITULADA'!P558,"AAAAAG1W38M=")</f>
        <v>#VALUE!</v>
      </c>
      <c r="GO88" t="e">
        <f>AND('PROG FORMACIÓN TITULADA'!Q558,"AAAAAG1W38Q=")</f>
        <v>#VALUE!</v>
      </c>
      <c r="GP88" t="e">
        <f>AND('PROG FORMACIÓN TITULADA'!R558,"AAAAAG1W38U=")</f>
        <v>#VALUE!</v>
      </c>
      <c r="GQ88" t="e">
        <f>AND('PROG FORMACIÓN TITULADA'!S558,"AAAAAG1W38Y=")</f>
        <v>#VALUE!</v>
      </c>
      <c r="GR88" t="e">
        <f>AND('PROG FORMACIÓN TITULADA'!T558,"AAAAAG1W38c=")</f>
        <v>#VALUE!</v>
      </c>
      <c r="GS88" t="e">
        <f>AND('PROG FORMACIÓN TITULADA'!U558,"AAAAAG1W38g=")</f>
        <v>#VALUE!</v>
      </c>
      <c r="GT88" t="e">
        <f>AND('PROG FORMACIÓN TITULADA'!V558,"AAAAAG1W38k=")</f>
        <v>#VALUE!</v>
      </c>
      <c r="GU88" t="e">
        <f>AND('PROG FORMACIÓN TITULADA'!W558,"AAAAAG1W38o=")</f>
        <v>#VALUE!</v>
      </c>
      <c r="GV88" t="e">
        <f>AND('PROG FORMACIÓN TITULADA'!X558,"AAAAAG1W38s=")</f>
        <v>#VALUE!</v>
      </c>
      <c r="GW88" t="e">
        <f>AND('PROG FORMACIÓN TITULADA'!Y558,"AAAAAG1W38w=")</f>
        <v>#VALUE!</v>
      </c>
      <c r="GX88" t="e">
        <f>AND('PROG FORMACIÓN TITULADA'!Z558,"AAAAAG1W380=")</f>
        <v>#VALUE!</v>
      </c>
      <c r="GY88">
        <f>IF('PROG FORMACIÓN TITULADA'!559:559,"AAAAAG1W384=",0)</f>
        <v>0</v>
      </c>
      <c r="GZ88" t="e">
        <f>AND('PROG FORMACIÓN TITULADA'!A559,"AAAAAG1W388=")</f>
        <v>#VALUE!</v>
      </c>
      <c r="HA88" t="e">
        <f>AND('PROG FORMACIÓN TITULADA'!B559,"AAAAAG1W39A=")</f>
        <v>#VALUE!</v>
      </c>
      <c r="HB88" t="e">
        <f>AND('PROG FORMACIÓN TITULADA'!C559,"AAAAAG1W39E=")</f>
        <v>#VALUE!</v>
      </c>
      <c r="HC88" t="e">
        <f>AND('PROG FORMACIÓN TITULADA'!D559,"AAAAAG1W39I=")</f>
        <v>#VALUE!</v>
      </c>
      <c r="HD88" t="e">
        <f>AND('PROG FORMACIÓN TITULADA'!E559,"AAAAAG1W39M=")</f>
        <v>#VALUE!</v>
      </c>
      <c r="HE88" t="e">
        <f>AND('PROG FORMACIÓN TITULADA'!F559,"AAAAAG1W39Q=")</f>
        <v>#VALUE!</v>
      </c>
      <c r="HF88" t="e">
        <f>AND('PROG FORMACIÓN TITULADA'!G559,"AAAAAG1W39U=")</f>
        <v>#VALUE!</v>
      </c>
      <c r="HG88" t="e">
        <f>AND('PROG FORMACIÓN TITULADA'!H559,"AAAAAG1W39Y=")</f>
        <v>#VALUE!</v>
      </c>
      <c r="HH88" t="e">
        <f>AND('PROG FORMACIÓN TITULADA'!I559,"AAAAAG1W39c=")</f>
        <v>#VALUE!</v>
      </c>
      <c r="HI88" t="e">
        <f>AND('PROG FORMACIÓN TITULADA'!J559,"AAAAAG1W39g=")</f>
        <v>#VALUE!</v>
      </c>
      <c r="HJ88" t="e">
        <f>AND('PROG FORMACIÓN TITULADA'!K559,"AAAAAG1W39k=")</f>
        <v>#VALUE!</v>
      </c>
      <c r="HK88" t="e">
        <f>AND('PROG FORMACIÓN TITULADA'!L559,"AAAAAG1W39o=")</f>
        <v>#VALUE!</v>
      </c>
      <c r="HL88" t="e">
        <f>AND('PROG FORMACIÓN TITULADA'!M559,"AAAAAG1W39s=")</f>
        <v>#VALUE!</v>
      </c>
      <c r="HM88" t="e">
        <f>AND('PROG FORMACIÓN TITULADA'!N559,"AAAAAG1W39w=")</f>
        <v>#VALUE!</v>
      </c>
      <c r="HN88" t="e">
        <f>AND('PROG FORMACIÓN TITULADA'!O559,"AAAAAG1W390=")</f>
        <v>#VALUE!</v>
      </c>
      <c r="HO88" t="e">
        <f>AND('PROG FORMACIÓN TITULADA'!P559,"AAAAAG1W394=")</f>
        <v>#VALUE!</v>
      </c>
      <c r="HP88" t="e">
        <f>AND('PROG FORMACIÓN TITULADA'!Q559,"AAAAAG1W398=")</f>
        <v>#VALUE!</v>
      </c>
      <c r="HQ88" t="e">
        <f>AND('PROG FORMACIÓN TITULADA'!R559,"AAAAAG1W3+A=")</f>
        <v>#VALUE!</v>
      </c>
      <c r="HR88" t="e">
        <f>AND('PROG FORMACIÓN TITULADA'!S559,"AAAAAG1W3+E=")</f>
        <v>#VALUE!</v>
      </c>
      <c r="HS88" t="e">
        <f>AND('PROG FORMACIÓN TITULADA'!T559,"AAAAAG1W3+I=")</f>
        <v>#VALUE!</v>
      </c>
      <c r="HT88" t="e">
        <f>AND('PROG FORMACIÓN TITULADA'!U559,"AAAAAG1W3+M=")</f>
        <v>#VALUE!</v>
      </c>
      <c r="HU88" t="e">
        <f>AND('PROG FORMACIÓN TITULADA'!V559,"AAAAAG1W3+Q=")</f>
        <v>#VALUE!</v>
      </c>
      <c r="HV88" t="e">
        <f>AND('PROG FORMACIÓN TITULADA'!W559,"AAAAAG1W3+U=")</f>
        <v>#VALUE!</v>
      </c>
      <c r="HW88" t="e">
        <f>AND('PROG FORMACIÓN TITULADA'!X559,"AAAAAG1W3+Y=")</f>
        <v>#VALUE!</v>
      </c>
      <c r="HX88" t="e">
        <f>AND('PROG FORMACIÓN TITULADA'!Y559,"AAAAAG1W3+c=")</f>
        <v>#VALUE!</v>
      </c>
      <c r="HY88" t="e">
        <f>AND('PROG FORMACIÓN TITULADA'!Z559,"AAAAAG1W3+g=")</f>
        <v>#VALUE!</v>
      </c>
      <c r="HZ88">
        <f>IF('PROG FORMACIÓN TITULADA'!560:560,"AAAAAG1W3+k=",0)</f>
        <v>0</v>
      </c>
      <c r="IA88" t="e">
        <f>AND('PROG FORMACIÓN TITULADA'!A560,"AAAAAG1W3+o=")</f>
        <v>#VALUE!</v>
      </c>
      <c r="IB88" t="e">
        <f>AND('PROG FORMACIÓN TITULADA'!B560,"AAAAAG1W3+s=")</f>
        <v>#VALUE!</v>
      </c>
      <c r="IC88" t="e">
        <f>AND('PROG FORMACIÓN TITULADA'!C560,"AAAAAG1W3+w=")</f>
        <v>#VALUE!</v>
      </c>
      <c r="ID88" t="e">
        <f>AND('PROG FORMACIÓN TITULADA'!D560,"AAAAAG1W3+0=")</f>
        <v>#VALUE!</v>
      </c>
      <c r="IE88" t="e">
        <f>AND('PROG FORMACIÓN TITULADA'!E560,"AAAAAG1W3+4=")</f>
        <v>#VALUE!</v>
      </c>
      <c r="IF88" t="e">
        <f>AND('PROG FORMACIÓN TITULADA'!F560,"AAAAAG1W3+8=")</f>
        <v>#VALUE!</v>
      </c>
      <c r="IG88" t="e">
        <f>AND('PROG FORMACIÓN TITULADA'!G560,"AAAAAG1W3/A=")</f>
        <v>#VALUE!</v>
      </c>
      <c r="IH88" t="e">
        <f>AND('PROG FORMACIÓN TITULADA'!H560,"AAAAAG1W3/E=")</f>
        <v>#VALUE!</v>
      </c>
      <c r="II88" t="e">
        <f>AND('PROG FORMACIÓN TITULADA'!I560,"AAAAAG1W3/I=")</f>
        <v>#VALUE!</v>
      </c>
      <c r="IJ88" t="e">
        <f>AND('PROG FORMACIÓN TITULADA'!J560,"AAAAAG1W3/M=")</f>
        <v>#VALUE!</v>
      </c>
      <c r="IK88" t="e">
        <f>AND('PROG FORMACIÓN TITULADA'!K560,"AAAAAG1W3/Q=")</f>
        <v>#VALUE!</v>
      </c>
      <c r="IL88" t="e">
        <f>AND('PROG FORMACIÓN TITULADA'!L560,"AAAAAG1W3/U=")</f>
        <v>#VALUE!</v>
      </c>
      <c r="IM88" t="e">
        <f>AND('PROG FORMACIÓN TITULADA'!M560,"AAAAAG1W3/Y=")</f>
        <v>#VALUE!</v>
      </c>
      <c r="IN88" t="e">
        <f>AND('PROG FORMACIÓN TITULADA'!N560,"AAAAAG1W3/c=")</f>
        <v>#VALUE!</v>
      </c>
      <c r="IO88" t="e">
        <f>AND('PROG FORMACIÓN TITULADA'!O560,"AAAAAG1W3/g=")</f>
        <v>#VALUE!</v>
      </c>
      <c r="IP88" t="e">
        <f>AND('PROG FORMACIÓN TITULADA'!P560,"AAAAAG1W3/k=")</f>
        <v>#VALUE!</v>
      </c>
      <c r="IQ88" t="e">
        <f>AND('PROG FORMACIÓN TITULADA'!Q560,"AAAAAG1W3/o=")</f>
        <v>#VALUE!</v>
      </c>
      <c r="IR88" t="e">
        <f>AND('PROG FORMACIÓN TITULADA'!R560,"AAAAAG1W3/s=")</f>
        <v>#VALUE!</v>
      </c>
      <c r="IS88" t="e">
        <f>AND('PROG FORMACIÓN TITULADA'!S560,"AAAAAG1W3/w=")</f>
        <v>#VALUE!</v>
      </c>
      <c r="IT88" t="e">
        <f>AND('PROG FORMACIÓN TITULADA'!T560,"AAAAAG1W3/0=")</f>
        <v>#VALUE!</v>
      </c>
      <c r="IU88" t="e">
        <f>AND('PROG FORMACIÓN TITULADA'!U560,"AAAAAG1W3/4=")</f>
        <v>#VALUE!</v>
      </c>
      <c r="IV88" t="e">
        <f>AND('PROG FORMACIÓN TITULADA'!V560,"AAAAAG1W3/8=")</f>
        <v>#VALUE!</v>
      </c>
    </row>
    <row r="89" spans="1:256" x14ac:dyDescent="0.2">
      <c r="A89" t="e">
        <f>AND('PROG FORMACIÓN TITULADA'!W560,"AAAAAHe0cwA=")</f>
        <v>#VALUE!</v>
      </c>
      <c r="B89" t="e">
        <f>AND('PROG FORMACIÓN TITULADA'!X560,"AAAAAHe0cwE=")</f>
        <v>#VALUE!</v>
      </c>
      <c r="C89" t="e">
        <f>AND('PROG FORMACIÓN TITULADA'!Y560,"AAAAAHe0cwI=")</f>
        <v>#VALUE!</v>
      </c>
      <c r="D89" t="e">
        <f>AND('PROG FORMACIÓN TITULADA'!Z560,"AAAAAHe0cwM=")</f>
        <v>#VALUE!</v>
      </c>
      <c r="E89">
        <f>IF('PROG FORMACIÓN TITULADA'!561:561,"AAAAAHe0cwQ=",0)</f>
        <v>0</v>
      </c>
      <c r="F89" t="e">
        <f>AND('PROG FORMACIÓN TITULADA'!A561,"AAAAAHe0cwU=")</f>
        <v>#VALUE!</v>
      </c>
      <c r="G89" t="e">
        <f>AND('PROG FORMACIÓN TITULADA'!B561,"AAAAAHe0cwY=")</f>
        <v>#VALUE!</v>
      </c>
      <c r="H89" t="e">
        <f>AND('PROG FORMACIÓN TITULADA'!C561,"AAAAAHe0cwc=")</f>
        <v>#VALUE!</v>
      </c>
      <c r="I89" t="e">
        <f>AND('PROG FORMACIÓN TITULADA'!D561,"AAAAAHe0cwg=")</f>
        <v>#VALUE!</v>
      </c>
      <c r="J89" t="e">
        <f>AND('PROG FORMACIÓN TITULADA'!E561,"AAAAAHe0cwk=")</f>
        <v>#VALUE!</v>
      </c>
      <c r="K89" t="e">
        <f>AND('PROG FORMACIÓN TITULADA'!F561,"AAAAAHe0cwo=")</f>
        <v>#VALUE!</v>
      </c>
      <c r="L89" t="e">
        <f>AND('PROG FORMACIÓN TITULADA'!G561,"AAAAAHe0cws=")</f>
        <v>#VALUE!</v>
      </c>
      <c r="M89" t="e">
        <f>AND('PROG FORMACIÓN TITULADA'!H561,"AAAAAHe0cww=")</f>
        <v>#VALUE!</v>
      </c>
      <c r="N89" t="e">
        <f>AND('PROG FORMACIÓN TITULADA'!I561,"AAAAAHe0cw0=")</f>
        <v>#VALUE!</v>
      </c>
      <c r="O89" t="e">
        <f>AND('PROG FORMACIÓN TITULADA'!J561,"AAAAAHe0cw4=")</f>
        <v>#VALUE!</v>
      </c>
      <c r="P89" t="e">
        <f>AND('PROG FORMACIÓN TITULADA'!K561,"AAAAAHe0cw8=")</f>
        <v>#VALUE!</v>
      </c>
      <c r="Q89" t="e">
        <f>AND('PROG FORMACIÓN TITULADA'!L561,"AAAAAHe0cxA=")</f>
        <v>#VALUE!</v>
      </c>
      <c r="R89" t="e">
        <f>AND('PROG FORMACIÓN TITULADA'!M561,"AAAAAHe0cxE=")</f>
        <v>#VALUE!</v>
      </c>
      <c r="S89" t="e">
        <f>AND('PROG FORMACIÓN TITULADA'!N561,"AAAAAHe0cxI=")</f>
        <v>#VALUE!</v>
      </c>
      <c r="T89" t="e">
        <f>AND('PROG FORMACIÓN TITULADA'!O561,"AAAAAHe0cxM=")</f>
        <v>#VALUE!</v>
      </c>
      <c r="U89" t="e">
        <f>AND('PROG FORMACIÓN TITULADA'!P561,"AAAAAHe0cxQ=")</f>
        <v>#VALUE!</v>
      </c>
      <c r="V89" t="e">
        <f>AND('PROG FORMACIÓN TITULADA'!Q561,"AAAAAHe0cxU=")</f>
        <v>#VALUE!</v>
      </c>
      <c r="W89" t="e">
        <f>AND('PROG FORMACIÓN TITULADA'!R561,"AAAAAHe0cxY=")</f>
        <v>#VALUE!</v>
      </c>
      <c r="X89" t="e">
        <f>AND('PROG FORMACIÓN TITULADA'!S561,"AAAAAHe0cxc=")</f>
        <v>#VALUE!</v>
      </c>
      <c r="Y89" t="e">
        <f>AND('PROG FORMACIÓN TITULADA'!T561,"AAAAAHe0cxg=")</f>
        <v>#VALUE!</v>
      </c>
      <c r="Z89" t="e">
        <f>AND('PROG FORMACIÓN TITULADA'!U561,"AAAAAHe0cxk=")</f>
        <v>#VALUE!</v>
      </c>
      <c r="AA89" t="e">
        <f>AND('PROG FORMACIÓN TITULADA'!V561,"AAAAAHe0cxo=")</f>
        <v>#VALUE!</v>
      </c>
      <c r="AB89" t="e">
        <f>AND('PROG FORMACIÓN TITULADA'!W561,"AAAAAHe0cxs=")</f>
        <v>#VALUE!</v>
      </c>
      <c r="AC89" t="e">
        <f>AND('PROG FORMACIÓN TITULADA'!X561,"AAAAAHe0cxw=")</f>
        <v>#VALUE!</v>
      </c>
      <c r="AD89" t="e">
        <f>AND('PROG FORMACIÓN TITULADA'!Y561,"AAAAAHe0cx0=")</f>
        <v>#VALUE!</v>
      </c>
      <c r="AE89" t="e">
        <f>AND('PROG FORMACIÓN TITULADA'!Z561,"AAAAAHe0cx4=")</f>
        <v>#VALUE!</v>
      </c>
      <c r="AF89">
        <f>IF('PROG FORMACIÓN TITULADA'!562:562,"AAAAAHe0cx8=",0)</f>
        <v>0</v>
      </c>
      <c r="AG89" t="e">
        <f>AND('PROG FORMACIÓN TITULADA'!A562,"AAAAAHe0cyA=")</f>
        <v>#VALUE!</v>
      </c>
      <c r="AH89" t="e">
        <f>AND('PROG FORMACIÓN TITULADA'!B562,"AAAAAHe0cyE=")</f>
        <v>#VALUE!</v>
      </c>
      <c r="AI89" t="e">
        <f>AND('PROG FORMACIÓN TITULADA'!C562,"AAAAAHe0cyI=")</f>
        <v>#VALUE!</v>
      </c>
      <c r="AJ89" t="e">
        <f>AND('PROG FORMACIÓN TITULADA'!D562,"AAAAAHe0cyM=")</f>
        <v>#VALUE!</v>
      </c>
      <c r="AK89" t="e">
        <f>AND('PROG FORMACIÓN TITULADA'!E562,"AAAAAHe0cyQ=")</f>
        <v>#VALUE!</v>
      </c>
      <c r="AL89" t="e">
        <f>AND('PROG FORMACIÓN TITULADA'!F562,"AAAAAHe0cyU=")</f>
        <v>#VALUE!</v>
      </c>
      <c r="AM89" t="e">
        <f>AND('PROG FORMACIÓN TITULADA'!G562,"AAAAAHe0cyY=")</f>
        <v>#VALUE!</v>
      </c>
      <c r="AN89" t="e">
        <f>AND('PROG FORMACIÓN TITULADA'!H562,"AAAAAHe0cyc=")</f>
        <v>#VALUE!</v>
      </c>
      <c r="AO89" t="e">
        <f>AND('PROG FORMACIÓN TITULADA'!I562,"AAAAAHe0cyg=")</f>
        <v>#VALUE!</v>
      </c>
      <c r="AP89" t="e">
        <f>AND('PROG FORMACIÓN TITULADA'!J562,"AAAAAHe0cyk=")</f>
        <v>#VALUE!</v>
      </c>
      <c r="AQ89" t="e">
        <f>AND('PROG FORMACIÓN TITULADA'!K562,"AAAAAHe0cyo=")</f>
        <v>#VALUE!</v>
      </c>
      <c r="AR89" t="e">
        <f>AND('PROG FORMACIÓN TITULADA'!L562,"AAAAAHe0cys=")</f>
        <v>#VALUE!</v>
      </c>
      <c r="AS89" t="e">
        <f>AND('PROG FORMACIÓN TITULADA'!M562,"AAAAAHe0cyw=")</f>
        <v>#VALUE!</v>
      </c>
      <c r="AT89" t="e">
        <f>AND('PROG FORMACIÓN TITULADA'!N562,"AAAAAHe0cy0=")</f>
        <v>#VALUE!</v>
      </c>
      <c r="AU89" t="e">
        <f>AND('PROG FORMACIÓN TITULADA'!O562,"AAAAAHe0cy4=")</f>
        <v>#VALUE!</v>
      </c>
      <c r="AV89" t="e">
        <f>AND('PROG FORMACIÓN TITULADA'!P562,"AAAAAHe0cy8=")</f>
        <v>#VALUE!</v>
      </c>
      <c r="AW89" t="e">
        <f>AND('PROG FORMACIÓN TITULADA'!Q562,"AAAAAHe0czA=")</f>
        <v>#VALUE!</v>
      </c>
      <c r="AX89" t="e">
        <f>AND('PROG FORMACIÓN TITULADA'!R562,"AAAAAHe0czE=")</f>
        <v>#VALUE!</v>
      </c>
      <c r="AY89" t="e">
        <f>AND('PROG FORMACIÓN TITULADA'!S562,"AAAAAHe0czI=")</f>
        <v>#VALUE!</v>
      </c>
      <c r="AZ89" t="e">
        <f>AND('PROG FORMACIÓN TITULADA'!T562,"AAAAAHe0czM=")</f>
        <v>#VALUE!</v>
      </c>
      <c r="BA89" t="e">
        <f>AND('PROG FORMACIÓN TITULADA'!U562,"AAAAAHe0czQ=")</f>
        <v>#VALUE!</v>
      </c>
      <c r="BB89" t="e">
        <f>AND('PROG FORMACIÓN TITULADA'!V562,"AAAAAHe0czU=")</f>
        <v>#VALUE!</v>
      </c>
      <c r="BC89" t="e">
        <f>AND('PROG FORMACIÓN TITULADA'!W562,"AAAAAHe0czY=")</f>
        <v>#VALUE!</v>
      </c>
      <c r="BD89" t="e">
        <f>AND('PROG FORMACIÓN TITULADA'!X562,"AAAAAHe0czc=")</f>
        <v>#VALUE!</v>
      </c>
      <c r="BE89" t="e">
        <f>AND('PROG FORMACIÓN TITULADA'!Y562,"AAAAAHe0czg=")</f>
        <v>#VALUE!</v>
      </c>
      <c r="BF89" t="e">
        <f>AND('PROG FORMACIÓN TITULADA'!Z562,"AAAAAHe0czk=")</f>
        <v>#VALUE!</v>
      </c>
      <c r="BG89">
        <f>IF('PROG FORMACIÓN TITULADA'!563:563,"AAAAAHe0czo=",0)</f>
        <v>0</v>
      </c>
      <c r="BH89" t="e">
        <f>AND('PROG FORMACIÓN TITULADA'!A563,"AAAAAHe0czs=")</f>
        <v>#VALUE!</v>
      </c>
      <c r="BI89" t="e">
        <f>AND('PROG FORMACIÓN TITULADA'!B563,"AAAAAHe0czw=")</f>
        <v>#VALUE!</v>
      </c>
      <c r="BJ89" t="e">
        <f>AND('PROG FORMACIÓN TITULADA'!C563,"AAAAAHe0cz0=")</f>
        <v>#VALUE!</v>
      </c>
      <c r="BK89" t="e">
        <f>AND('PROG FORMACIÓN TITULADA'!D563,"AAAAAHe0cz4=")</f>
        <v>#VALUE!</v>
      </c>
      <c r="BL89" t="e">
        <f>AND('PROG FORMACIÓN TITULADA'!E563,"AAAAAHe0cz8=")</f>
        <v>#VALUE!</v>
      </c>
      <c r="BM89" t="e">
        <f>AND('PROG FORMACIÓN TITULADA'!F563,"AAAAAHe0c0A=")</f>
        <v>#VALUE!</v>
      </c>
      <c r="BN89" t="e">
        <f>AND('PROG FORMACIÓN TITULADA'!G563,"AAAAAHe0c0E=")</f>
        <v>#VALUE!</v>
      </c>
      <c r="BO89" t="e">
        <f>AND('PROG FORMACIÓN TITULADA'!H563,"AAAAAHe0c0I=")</f>
        <v>#VALUE!</v>
      </c>
      <c r="BP89" t="e">
        <f>AND('PROG FORMACIÓN TITULADA'!I563,"AAAAAHe0c0M=")</f>
        <v>#VALUE!</v>
      </c>
      <c r="BQ89" t="e">
        <f>AND('PROG FORMACIÓN TITULADA'!J563,"AAAAAHe0c0Q=")</f>
        <v>#VALUE!</v>
      </c>
      <c r="BR89" t="e">
        <f>AND('PROG FORMACIÓN TITULADA'!K563,"AAAAAHe0c0U=")</f>
        <v>#VALUE!</v>
      </c>
      <c r="BS89" t="e">
        <f>AND('PROG FORMACIÓN TITULADA'!L563,"AAAAAHe0c0Y=")</f>
        <v>#VALUE!</v>
      </c>
      <c r="BT89" t="e">
        <f>AND('PROG FORMACIÓN TITULADA'!M563,"AAAAAHe0c0c=")</f>
        <v>#VALUE!</v>
      </c>
      <c r="BU89" t="e">
        <f>AND('PROG FORMACIÓN TITULADA'!N563,"AAAAAHe0c0g=")</f>
        <v>#VALUE!</v>
      </c>
      <c r="BV89" t="e">
        <f>AND('PROG FORMACIÓN TITULADA'!O563,"AAAAAHe0c0k=")</f>
        <v>#VALUE!</v>
      </c>
      <c r="BW89" t="e">
        <f>AND('PROG FORMACIÓN TITULADA'!P563,"AAAAAHe0c0o=")</f>
        <v>#VALUE!</v>
      </c>
      <c r="BX89" t="e">
        <f>AND('PROG FORMACIÓN TITULADA'!Q563,"AAAAAHe0c0s=")</f>
        <v>#VALUE!</v>
      </c>
      <c r="BY89" t="e">
        <f>AND('PROG FORMACIÓN TITULADA'!R563,"AAAAAHe0c0w=")</f>
        <v>#VALUE!</v>
      </c>
      <c r="BZ89" t="e">
        <f>AND('PROG FORMACIÓN TITULADA'!S563,"AAAAAHe0c00=")</f>
        <v>#VALUE!</v>
      </c>
      <c r="CA89" t="e">
        <f>AND('PROG FORMACIÓN TITULADA'!T563,"AAAAAHe0c04=")</f>
        <v>#VALUE!</v>
      </c>
      <c r="CB89" t="e">
        <f>AND('PROG FORMACIÓN TITULADA'!U563,"AAAAAHe0c08=")</f>
        <v>#VALUE!</v>
      </c>
      <c r="CC89" t="e">
        <f>AND('PROG FORMACIÓN TITULADA'!V563,"AAAAAHe0c1A=")</f>
        <v>#VALUE!</v>
      </c>
      <c r="CD89" t="e">
        <f>AND('PROG FORMACIÓN TITULADA'!W563,"AAAAAHe0c1E=")</f>
        <v>#VALUE!</v>
      </c>
      <c r="CE89" t="e">
        <f>AND('PROG FORMACIÓN TITULADA'!X563,"AAAAAHe0c1I=")</f>
        <v>#VALUE!</v>
      </c>
      <c r="CF89" t="e">
        <f>AND('PROG FORMACIÓN TITULADA'!Y563,"AAAAAHe0c1M=")</f>
        <v>#VALUE!</v>
      </c>
      <c r="CG89" t="e">
        <f>AND('PROG FORMACIÓN TITULADA'!Z563,"AAAAAHe0c1Q=")</f>
        <v>#VALUE!</v>
      </c>
      <c r="CH89">
        <f>IF('PROG FORMACIÓN TITULADA'!564:564,"AAAAAHe0c1U=",0)</f>
        <v>0</v>
      </c>
      <c r="CI89" t="e">
        <f>AND('PROG FORMACIÓN TITULADA'!A564,"AAAAAHe0c1Y=")</f>
        <v>#VALUE!</v>
      </c>
      <c r="CJ89" t="e">
        <f>AND('PROG FORMACIÓN TITULADA'!B564,"AAAAAHe0c1c=")</f>
        <v>#VALUE!</v>
      </c>
      <c r="CK89" t="e">
        <f>AND('PROG FORMACIÓN TITULADA'!C564,"AAAAAHe0c1g=")</f>
        <v>#VALUE!</v>
      </c>
      <c r="CL89" t="e">
        <f>AND('PROG FORMACIÓN TITULADA'!D564,"AAAAAHe0c1k=")</f>
        <v>#VALUE!</v>
      </c>
      <c r="CM89" t="e">
        <f>AND('PROG FORMACIÓN TITULADA'!E564,"AAAAAHe0c1o=")</f>
        <v>#VALUE!</v>
      </c>
      <c r="CN89" t="e">
        <f>AND('PROG FORMACIÓN TITULADA'!F564,"AAAAAHe0c1s=")</f>
        <v>#VALUE!</v>
      </c>
      <c r="CO89" t="e">
        <f>AND('PROG FORMACIÓN TITULADA'!G564,"AAAAAHe0c1w=")</f>
        <v>#VALUE!</v>
      </c>
      <c r="CP89" t="e">
        <f>AND('PROG FORMACIÓN TITULADA'!H564,"AAAAAHe0c10=")</f>
        <v>#VALUE!</v>
      </c>
      <c r="CQ89" t="e">
        <f>AND('PROG FORMACIÓN TITULADA'!I564,"AAAAAHe0c14=")</f>
        <v>#VALUE!</v>
      </c>
      <c r="CR89" t="e">
        <f>AND('PROG FORMACIÓN TITULADA'!J564,"AAAAAHe0c18=")</f>
        <v>#VALUE!</v>
      </c>
      <c r="CS89" t="e">
        <f>AND('PROG FORMACIÓN TITULADA'!K564,"AAAAAHe0c2A=")</f>
        <v>#VALUE!</v>
      </c>
      <c r="CT89" t="e">
        <f>AND('PROG FORMACIÓN TITULADA'!L564,"AAAAAHe0c2E=")</f>
        <v>#VALUE!</v>
      </c>
      <c r="CU89" t="e">
        <f>AND('PROG FORMACIÓN TITULADA'!M564,"AAAAAHe0c2I=")</f>
        <v>#VALUE!</v>
      </c>
      <c r="CV89" t="e">
        <f>AND('PROG FORMACIÓN TITULADA'!N564,"AAAAAHe0c2M=")</f>
        <v>#VALUE!</v>
      </c>
      <c r="CW89" t="e">
        <f>AND('PROG FORMACIÓN TITULADA'!O564,"AAAAAHe0c2Q=")</f>
        <v>#VALUE!</v>
      </c>
      <c r="CX89" t="e">
        <f>AND('PROG FORMACIÓN TITULADA'!P564,"AAAAAHe0c2U=")</f>
        <v>#VALUE!</v>
      </c>
      <c r="CY89" t="e">
        <f>AND('PROG FORMACIÓN TITULADA'!Q564,"AAAAAHe0c2Y=")</f>
        <v>#VALUE!</v>
      </c>
      <c r="CZ89" t="e">
        <f>AND('PROG FORMACIÓN TITULADA'!R564,"AAAAAHe0c2c=")</f>
        <v>#VALUE!</v>
      </c>
      <c r="DA89" t="e">
        <f>AND('PROG FORMACIÓN TITULADA'!S564,"AAAAAHe0c2g=")</f>
        <v>#VALUE!</v>
      </c>
      <c r="DB89" t="e">
        <f>AND('PROG FORMACIÓN TITULADA'!T564,"AAAAAHe0c2k=")</f>
        <v>#VALUE!</v>
      </c>
      <c r="DC89" t="e">
        <f>AND('PROG FORMACIÓN TITULADA'!U564,"AAAAAHe0c2o=")</f>
        <v>#VALUE!</v>
      </c>
      <c r="DD89" t="e">
        <f>AND('PROG FORMACIÓN TITULADA'!V564,"AAAAAHe0c2s=")</f>
        <v>#VALUE!</v>
      </c>
      <c r="DE89" t="e">
        <f>AND('PROG FORMACIÓN TITULADA'!W564,"AAAAAHe0c2w=")</f>
        <v>#VALUE!</v>
      </c>
      <c r="DF89" t="e">
        <f>AND('PROG FORMACIÓN TITULADA'!X564,"AAAAAHe0c20=")</f>
        <v>#VALUE!</v>
      </c>
      <c r="DG89" t="e">
        <f>AND('PROG FORMACIÓN TITULADA'!Y564,"AAAAAHe0c24=")</f>
        <v>#VALUE!</v>
      </c>
      <c r="DH89" t="e">
        <f>AND('PROG FORMACIÓN TITULADA'!Z564,"AAAAAHe0c28=")</f>
        <v>#VALUE!</v>
      </c>
      <c r="DI89">
        <f>IF('PROG FORMACIÓN TITULADA'!565:565,"AAAAAHe0c3A=",0)</f>
        <v>0</v>
      </c>
      <c r="DJ89" t="e">
        <f>AND('PROG FORMACIÓN TITULADA'!A565,"AAAAAHe0c3E=")</f>
        <v>#VALUE!</v>
      </c>
      <c r="DK89" t="e">
        <f>AND('PROG FORMACIÓN TITULADA'!B565,"AAAAAHe0c3I=")</f>
        <v>#VALUE!</v>
      </c>
      <c r="DL89" t="e">
        <f>AND('PROG FORMACIÓN TITULADA'!C565,"AAAAAHe0c3M=")</f>
        <v>#VALUE!</v>
      </c>
      <c r="DM89" t="e">
        <f>AND('PROG FORMACIÓN TITULADA'!D565,"AAAAAHe0c3Q=")</f>
        <v>#VALUE!</v>
      </c>
      <c r="DN89" t="e">
        <f>AND('PROG FORMACIÓN TITULADA'!E565,"AAAAAHe0c3U=")</f>
        <v>#VALUE!</v>
      </c>
      <c r="DO89" t="e">
        <f>AND('PROG FORMACIÓN TITULADA'!F565,"AAAAAHe0c3Y=")</f>
        <v>#VALUE!</v>
      </c>
      <c r="DP89" t="e">
        <f>AND('PROG FORMACIÓN TITULADA'!G565,"AAAAAHe0c3c=")</f>
        <v>#VALUE!</v>
      </c>
      <c r="DQ89" t="e">
        <f>AND('PROG FORMACIÓN TITULADA'!H565,"AAAAAHe0c3g=")</f>
        <v>#VALUE!</v>
      </c>
      <c r="DR89" t="e">
        <f>AND('PROG FORMACIÓN TITULADA'!I565,"AAAAAHe0c3k=")</f>
        <v>#VALUE!</v>
      </c>
      <c r="DS89" t="e">
        <f>AND('PROG FORMACIÓN TITULADA'!J565,"AAAAAHe0c3o=")</f>
        <v>#VALUE!</v>
      </c>
      <c r="DT89" t="e">
        <f>AND('PROG FORMACIÓN TITULADA'!K565,"AAAAAHe0c3s=")</f>
        <v>#VALUE!</v>
      </c>
      <c r="DU89" t="e">
        <f>AND('PROG FORMACIÓN TITULADA'!L565,"AAAAAHe0c3w=")</f>
        <v>#VALUE!</v>
      </c>
      <c r="DV89" t="e">
        <f>AND('PROG FORMACIÓN TITULADA'!M565,"AAAAAHe0c30=")</f>
        <v>#VALUE!</v>
      </c>
      <c r="DW89" t="e">
        <f>AND('PROG FORMACIÓN TITULADA'!N565,"AAAAAHe0c34=")</f>
        <v>#VALUE!</v>
      </c>
      <c r="DX89" t="e">
        <f>AND('PROG FORMACIÓN TITULADA'!O565,"AAAAAHe0c38=")</f>
        <v>#VALUE!</v>
      </c>
      <c r="DY89" t="e">
        <f>AND('PROG FORMACIÓN TITULADA'!P565,"AAAAAHe0c4A=")</f>
        <v>#VALUE!</v>
      </c>
      <c r="DZ89" t="e">
        <f>AND('PROG FORMACIÓN TITULADA'!Q565,"AAAAAHe0c4E=")</f>
        <v>#VALUE!</v>
      </c>
      <c r="EA89" t="e">
        <f>AND('PROG FORMACIÓN TITULADA'!R565,"AAAAAHe0c4I=")</f>
        <v>#VALUE!</v>
      </c>
      <c r="EB89" t="e">
        <f>AND('PROG FORMACIÓN TITULADA'!S565,"AAAAAHe0c4M=")</f>
        <v>#VALUE!</v>
      </c>
      <c r="EC89" t="e">
        <f>AND('PROG FORMACIÓN TITULADA'!T565,"AAAAAHe0c4Q=")</f>
        <v>#VALUE!</v>
      </c>
      <c r="ED89" t="e">
        <f>AND('PROG FORMACIÓN TITULADA'!U565,"AAAAAHe0c4U=")</f>
        <v>#VALUE!</v>
      </c>
      <c r="EE89" t="e">
        <f>AND('PROG FORMACIÓN TITULADA'!V565,"AAAAAHe0c4Y=")</f>
        <v>#VALUE!</v>
      </c>
      <c r="EF89" t="e">
        <f>AND('PROG FORMACIÓN TITULADA'!W565,"AAAAAHe0c4c=")</f>
        <v>#VALUE!</v>
      </c>
      <c r="EG89" t="e">
        <f>AND('PROG FORMACIÓN TITULADA'!X565,"AAAAAHe0c4g=")</f>
        <v>#VALUE!</v>
      </c>
      <c r="EH89" t="e">
        <f>AND('PROG FORMACIÓN TITULADA'!Y565,"AAAAAHe0c4k=")</f>
        <v>#VALUE!</v>
      </c>
      <c r="EI89" t="e">
        <f>AND('PROG FORMACIÓN TITULADA'!Z565,"AAAAAHe0c4o=")</f>
        <v>#VALUE!</v>
      </c>
      <c r="EJ89">
        <f>IF('PROG FORMACIÓN TITULADA'!566:566,"AAAAAHe0c4s=",0)</f>
        <v>0</v>
      </c>
      <c r="EK89" t="e">
        <f>AND('PROG FORMACIÓN TITULADA'!A566,"AAAAAHe0c4w=")</f>
        <v>#VALUE!</v>
      </c>
      <c r="EL89" t="e">
        <f>AND('PROG FORMACIÓN TITULADA'!B566,"AAAAAHe0c40=")</f>
        <v>#VALUE!</v>
      </c>
      <c r="EM89" t="e">
        <f>AND('PROG FORMACIÓN TITULADA'!C566,"AAAAAHe0c44=")</f>
        <v>#VALUE!</v>
      </c>
      <c r="EN89" t="e">
        <f>AND('PROG FORMACIÓN TITULADA'!D566,"AAAAAHe0c48=")</f>
        <v>#VALUE!</v>
      </c>
      <c r="EO89" t="e">
        <f>AND('PROG FORMACIÓN TITULADA'!E566,"AAAAAHe0c5A=")</f>
        <v>#VALUE!</v>
      </c>
      <c r="EP89" t="e">
        <f>AND('PROG FORMACIÓN TITULADA'!F566,"AAAAAHe0c5E=")</f>
        <v>#VALUE!</v>
      </c>
      <c r="EQ89" t="e">
        <f>AND('PROG FORMACIÓN TITULADA'!G566,"AAAAAHe0c5I=")</f>
        <v>#VALUE!</v>
      </c>
      <c r="ER89" t="e">
        <f>AND('PROG FORMACIÓN TITULADA'!H566,"AAAAAHe0c5M=")</f>
        <v>#VALUE!</v>
      </c>
      <c r="ES89" t="e">
        <f>AND('PROG FORMACIÓN TITULADA'!I566,"AAAAAHe0c5Q=")</f>
        <v>#VALUE!</v>
      </c>
      <c r="ET89" t="e">
        <f>AND('PROG FORMACIÓN TITULADA'!J566,"AAAAAHe0c5U=")</f>
        <v>#VALUE!</v>
      </c>
      <c r="EU89" t="e">
        <f>AND('PROG FORMACIÓN TITULADA'!K566,"AAAAAHe0c5Y=")</f>
        <v>#VALUE!</v>
      </c>
      <c r="EV89" t="e">
        <f>AND('PROG FORMACIÓN TITULADA'!L566,"AAAAAHe0c5c=")</f>
        <v>#VALUE!</v>
      </c>
      <c r="EW89" t="e">
        <f>AND('PROG FORMACIÓN TITULADA'!M566,"AAAAAHe0c5g=")</f>
        <v>#VALUE!</v>
      </c>
      <c r="EX89" t="e">
        <f>AND('PROG FORMACIÓN TITULADA'!N566,"AAAAAHe0c5k=")</f>
        <v>#VALUE!</v>
      </c>
      <c r="EY89" t="e">
        <f>AND('PROG FORMACIÓN TITULADA'!O566,"AAAAAHe0c5o=")</f>
        <v>#VALUE!</v>
      </c>
      <c r="EZ89" t="e">
        <f>AND('PROG FORMACIÓN TITULADA'!P566,"AAAAAHe0c5s=")</f>
        <v>#VALUE!</v>
      </c>
      <c r="FA89" t="e">
        <f>AND('PROG FORMACIÓN TITULADA'!Q566,"AAAAAHe0c5w=")</f>
        <v>#VALUE!</v>
      </c>
      <c r="FB89" t="e">
        <f>AND('PROG FORMACIÓN TITULADA'!R566,"AAAAAHe0c50=")</f>
        <v>#VALUE!</v>
      </c>
      <c r="FC89" t="e">
        <f>AND('PROG FORMACIÓN TITULADA'!S566,"AAAAAHe0c54=")</f>
        <v>#VALUE!</v>
      </c>
      <c r="FD89" t="e">
        <f>AND('PROG FORMACIÓN TITULADA'!T566,"AAAAAHe0c58=")</f>
        <v>#VALUE!</v>
      </c>
      <c r="FE89" t="e">
        <f>AND('PROG FORMACIÓN TITULADA'!U566,"AAAAAHe0c6A=")</f>
        <v>#VALUE!</v>
      </c>
      <c r="FF89" t="e">
        <f>AND('PROG FORMACIÓN TITULADA'!V566,"AAAAAHe0c6E=")</f>
        <v>#VALUE!</v>
      </c>
      <c r="FG89" t="e">
        <f>AND('PROG FORMACIÓN TITULADA'!W566,"AAAAAHe0c6I=")</f>
        <v>#VALUE!</v>
      </c>
      <c r="FH89" t="e">
        <f>AND('PROG FORMACIÓN TITULADA'!X566,"AAAAAHe0c6M=")</f>
        <v>#VALUE!</v>
      </c>
      <c r="FI89" t="e">
        <f>AND('PROG FORMACIÓN TITULADA'!Y566,"AAAAAHe0c6Q=")</f>
        <v>#VALUE!</v>
      </c>
      <c r="FJ89" t="e">
        <f>AND('PROG FORMACIÓN TITULADA'!Z566,"AAAAAHe0c6U=")</f>
        <v>#VALUE!</v>
      </c>
      <c r="FK89">
        <f>IF('PROG FORMACIÓN TITULADA'!567:567,"AAAAAHe0c6Y=",0)</f>
        <v>0</v>
      </c>
      <c r="FL89" t="e">
        <f>AND('PROG FORMACIÓN TITULADA'!A567,"AAAAAHe0c6c=")</f>
        <v>#VALUE!</v>
      </c>
      <c r="FM89" t="e">
        <f>AND('PROG FORMACIÓN TITULADA'!B567,"AAAAAHe0c6g=")</f>
        <v>#VALUE!</v>
      </c>
      <c r="FN89" t="e">
        <f>AND('PROG FORMACIÓN TITULADA'!C567,"AAAAAHe0c6k=")</f>
        <v>#VALUE!</v>
      </c>
      <c r="FO89" t="e">
        <f>AND('PROG FORMACIÓN TITULADA'!D567,"AAAAAHe0c6o=")</f>
        <v>#VALUE!</v>
      </c>
      <c r="FP89" t="e">
        <f>AND('PROG FORMACIÓN TITULADA'!E567,"AAAAAHe0c6s=")</f>
        <v>#VALUE!</v>
      </c>
      <c r="FQ89" t="e">
        <f>AND('PROG FORMACIÓN TITULADA'!F567,"AAAAAHe0c6w=")</f>
        <v>#VALUE!</v>
      </c>
      <c r="FR89" t="e">
        <f>AND('PROG FORMACIÓN TITULADA'!G567,"AAAAAHe0c60=")</f>
        <v>#VALUE!</v>
      </c>
      <c r="FS89" t="e">
        <f>AND('PROG FORMACIÓN TITULADA'!H567,"AAAAAHe0c64=")</f>
        <v>#VALUE!</v>
      </c>
      <c r="FT89" t="e">
        <f>AND('PROG FORMACIÓN TITULADA'!I567,"AAAAAHe0c68=")</f>
        <v>#VALUE!</v>
      </c>
      <c r="FU89" t="e">
        <f>AND('PROG FORMACIÓN TITULADA'!J567,"AAAAAHe0c7A=")</f>
        <v>#VALUE!</v>
      </c>
      <c r="FV89" t="e">
        <f>AND('PROG FORMACIÓN TITULADA'!K567,"AAAAAHe0c7E=")</f>
        <v>#VALUE!</v>
      </c>
      <c r="FW89" t="e">
        <f>AND('PROG FORMACIÓN TITULADA'!L567,"AAAAAHe0c7I=")</f>
        <v>#VALUE!</v>
      </c>
      <c r="FX89" t="e">
        <f>AND('PROG FORMACIÓN TITULADA'!M567,"AAAAAHe0c7M=")</f>
        <v>#VALUE!</v>
      </c>
      <c r="FY89" t="e">
        <f>AND('PROG FORMACIÓN TITULADA'!N567,"AAAAAHe0c7Q=")</f>
        <v>#VALUE!</v>
      </c>
      <c r="FZ89" t="e">
        <f>AND('PROG FORMACIÓN TITULADA'!O567,"AAAAAHe0c7U=")</f>
        <v>#VALUE!</v>
      </c>
      <c r="GA89" t="e">
        <f>AND('PROG FORMACIÓN TITULADA'!P567,"AAAAAHe0c7Y=")</f>
        <v>#VALUE!</v>
      </c>
      <c r="GB89" t="e">
        <f>AND('PROG FORMACIÓN TITULADA'!Q567,"AAAAAHe0c7c=")</f>
        <v>#VALUE!</v>
      </c>
      <c r="GC89" t="e">
        <f>AND('PROG FORMACIÓN TITULADA'!R567,"AAAAAHe0c7g=")</f>
        <v>#VALUE!</v>
      </c>
      <c r="GD89" t="e">
        <f>AND('PROG FORMACIÓN TITULADA'!S567,"AAAAAHe0c7k=")</f>
        <v>#VALUE!</v>
      </c>
      <c r="GE89" t="e">
        <f>AND('PROG FORMACIÓN TITULADA'!T567,"AAAAAHe0c7o=")</f>
        <v>#VALUE!</v>
      </c>
      <c r="GF89" t="e">
        <f>AND('PROG FORMACIÓN TITULADA'!U567,"AAAAAHe0c7s=")</f>
        <v>#VALUE!</v>
      </c>
      <c r="GG89" t="e">
        <f>AND('PROG FORMACIÓN TITULADA'!V567,"AAAAAHe0c7w=")</f>
        <v>#VALUE!</v>
      </c>
      <c r="GH89" t="e">
        <f>AND('PROG FORMACIÓN TITULADA'!W567,"AAAAAHe0c70=")</f>
        <v>#VALUE!</v>
      </c>
      <c r="GI89" t="e">
        <f>AND('PROG FORMACIÓN TITULADA'!X567,"AAAAAHe0c74=")</f>
        <v>#VALUE!</v>
      </c>
      <c r="GJ89" t="e">
        <f>AND('PROG FORMACIÓN TITULADA'!Y567,"AAAAAHe0c78=")</f>
        <v>#VALUE!</v>
      </c>
      <c r="GK89" t="e">
        <f>AND('PROG FORMACIÓN TITULADA'!Z567,"AAAAAHe0c8A=")</f>
        <v>#VALUE!</v>
      </c>
      <c r="GL89">
        <f>IF('PROG FORMACIÓN TITULADA'!568:568,"AAAAAHe0c8E=",0)</f>
        <v>0</v>
      </c>
      <c r="GM89" t="e">
        <f>AND('PROG FORMACIÓN TITULADA'!A568,"AAAAAHe0c8I=")</f>
        <v>#VALUE!</v>
      </c>
      <c r="GN89" t="e">
        <f>AND('PROG FORMACIÓN TITULADA'!B568,"AAAAAHe0c8M=")</f>
        <v>#VALUE!</v>
      </c>
      <c r="GO89" t="e">
        <f>AND('PROG FORMACIÓN TITULADA'!C568,"AAAAAHe0c8Q=")</f>
        <v>#VALUE!</v>
      </c>
      <c r="GP89" t="e">
        <f>AND('PROG FORMACIÓN TITULADA'!D568,"AAAAAHe0c8U=")</f>
        <v>#VALUE!</v>
      </c>
      <c r="GQ89" t="e">
        <f>AND('PROG FORMACIÓN TITULADA'!E568,"AAAAAHe0c8Y=")</f>
        <v>#VALUE!</v>
      </c>
      <c r="GR89" t="e">
        <f>AND('PROG FORMACIÓN TITULADA'!F568,"AAAAAHe0c8c=")</f>
        <v>#VALUE!</v>
      </c>
      <c r="GS89" t="e">
        <f>AND('PROG FORMACIÓN TITULADA'!G568,"AAAAAHe0c8g=")</f>
        <v>#VALUE!</v>
      </c>
      <c r="GT89" t="e">
        <f>AND('PROG FORMACIÓN TITULADA'!H568,"AAAAAHe0c8k=")</f>
        <v>#VALUE!</v>
      </c>
      <c r="GU89" t="e">
        <f>AND('PROG FORMACIÓN TITULADA'!I568,"AAAAAHe0c8o=")</f>
        <v>#VALUE!</v>
      </c>
      <c r="GV89" t="e">
        <f>AND('PROG FORMACIÓN TITULADA'!J568,"AAAAAHe0c8s=")</f>
        <v>#VALUE!</v>
      </c>
      <c r="GW89" t="e">
        <f>AND('PROG FORMACIÓN TITULADA'!K568,"AAAAAHe0c8w=")</f>
        <v>#VALUE!</v>
      </c>
      <c r="GX89" t="e">
        <f>AND('PROG FORMACIÓN TITULADA'!L568,"AAAAAHe0c80=")</f>
        <v>#VALUE!</v>
      </c>
      <c r="GY89" t="e">
        <f>AND('PROG FORMACIÓN TITULADA'!M568,"AAAAAHe0c84=")</f>
        <v>#VALUE!</v>
      </c>
      <c r="GZ89" t="e">
        <f>AND('PROG FORMACIÓN TITULADA'!N568,"AAAAAHe0c88=")</f>
        <v>#VALUE!</v>
      </c>
      <c r="HA89" t="e">
        <f>AND('PROG FORMACIÓN TITULADA'!O568,"AAAAAHe0c9A=")</f>
        <v>#VALUE!</v>
      </c>
      <c r="HB89" t="e">
        <f>AND('PROG FORMACIÓN TITULADA'!P568,"AAAAAHe0c9E=")</f>
        <v>#VALUE!</v>
      </c>
      <c r="HC89" t="e">
        <f>AND('PROG FORMACIÓN TITULADA'!Q568,"AAAAAHe0c9I=")</f>
        <v>#VALUE!</v>
      </c>
      <c r="HD89" t="e">
        <f>AND('PROG FORMACIÓN TITULADA'!R568,"AAAAAHe0c9M=")</f>
        <v>#VALUE!</v>
      </c>
      <c r="HE89" t="e">
        <f>AND('PROG FORMACIÓN TITULADA'!S568,"AAAAAHe0c9Q=")</f>
        <v>#VALUE!</v>
      </c>
      <c r="HF89" t="e">
        <f>AND('PROG FORMACIÓN TITULADA'!T568,"AAAAAHe0c9U=")</f>
        <v>#VALUE!</v>
      </c>
      <c r="HG89" t="e">
        <f>AND('PROG FORMACIÓN TITULADA'!U568,"AAAAAHe0c9Y=")</f>
        <v>#VALUE!</v>
      </c>
      <c r="HH89" t="e">
        <f>AND('PROG FORMACIÓN TITULADA'!V568,"AAAAAHe0c9c=")</f>
        <v>#VALUE!</v>
      </c>
      <c r="HI89" t="e">
        <f>AND('PROG FORMACIÓN TITULADA'!W568,"AAAAAHe0c9g=")</f>
        <v>#VALUE!</v>
      </c>
      <c r="HJ89" t="e">
        <f>AND('PROG FORMACIÓN TITULADA'!X568,"AAAAAHe0c9k=")</f>
        <v>#VALUE!</v>
      </c>
      <c r="HK89" t="e">
        <f>AND('PROG FORMACIÓN TITULADA'!Y568,"AAAAAHe0c9o=")</f>
        <v>#VALUE!</v>
      </c>
      <c r="HL89" t="e">
        <f>AND('PROG FORMACIÓN TITULADA'!Z568,"AAAAAHe0c9s=")</f>
        <v>#VALUE!</v>
      </c>
      <c r="HM89">
        <f>IF('PROG FORMACIÓN TITULADA'!569:569,"AAAAAHe0c9w=",0)</f>
        <v>0</v>
      </c>
      <c r="HN89" t="e">
        <f>AND('PROG FORMACIÓN TITULADA'!A569,"AAAAAHe0c90=")</f>
        <v>#VALUE!</v>
      </c>
      <c r="HO89" t="e">
        <f>AND('PROG FORMACIÓN TITULADA'!B569,"AAAAAHe0c94=")</f>
        <v>#VALUE!</v>
      </c>
      <c r="HP89" t="e">
        <f>AND('PROG FORMACIÓN TITULADA'!C569,"AAAAAHe0c98=")</f>
        <v>#VALUE!</v>
      </c>
      <c r="HQ89" t="e">
        <f>AND('PROG FORMACIÓN TITULADA'!D569,"AAAAAHe0c+A=")</f>
        <v>#VALUE!</v>
      </c>
      <c r="HR89" t="e">
        <f>AND('PROG FORMACIÓN TITULADA'!E569,"AAAAAHe0c+E=")</f>
        <v>#VALUE!</v>
      </c>
      <c r="HS89" t="e">
        <f>AND('PROG FORMACIÓN TITULADA'!F569,"AAAAAHe0c+I=")</f>
        <v>#VALUE!</v>
      </c>
      <c r="HT89" t="e">
        <f>AND('PROG FORMACIÓN TITULADA'!G569,"AAAAAHe0c+M=")</f>
        <v>#VALUE!</v>
      </c>
      <c r="HU89" t="e">
        <f>AND('PROG FORMACIÓN TITULADA'!H569,"AAAAAHe0c+Q=")</f>
        <v>#VALUE!</v>
      </c>
      <c r="HV89" t="e">
        <f>AND('PROG FORMACIÓN TITULADA'!I569,"AAAAAHe0c+U=")</f>
        <v>#VALUE!</v>
      </c>
      <c r="HW89" t="e">
        <f>AND('PROG FORMACIÓN TITULADA'!J569,"AAAAAHe0c+Y=")</f>
        <v>#VALUE!</v>
      </c>
      <c r="HX89" t="e">
        <f>AND('PROG FORMACIÓN TITULADA'!K569,"AAAAAHe0c+c=")</f>
        <v>#VALUE!</v>
      </c>
      <c r="HY89" t="e">
        <f>AND('PROG FORMACIÓN TITULADA'!L569,"AAAAAHe0c+g=")</f>
        <v>#VALUE!</v>
      </c>
      <c r="HZ89" t="e">
        <f>AND('PROG FORMACIÓN TITULADA'!M569,"AAAAAHe0c+k=")</f>
        <v>#VALUE!</v>
      </c>
      <c r="IA89" t="e">
        <f>AND('PROG FORMACIÓN TITULADA'!N569,"AAAAAHe0c+o=")</f>
        <v>#VALUE!</v>
      </c>
      <c r="IB89" t="e">
        <f>AND('PROG FORMACIÓN TITULADA'!O569,"AAAAAHe0c+s=")</f>
        <v>#VALUE!</v>
      </c>
      <c r="IC89" t="e">
        <f>AND('PROG FORMACIÓN TITULADA'!P569,"AAAAAHe0c+w=")</f>
        <v>#VALUE!</v>
      </c>
      <c r="ID89" t="e">
        <f>AND('PROG FORMACIÓN TITULADA'!Q569,"AAAAAHe0c+0=")</f>
        <v>#VALUE!</v>
      </c>
      <c r="IE89" t="e">
        <f>AND('PROG FORMACIÓN TITULADA'!R569,"AAAAAHe0c+4=")</f>
        <v>#VALUE!</v>
      </c>
      <c r="IF89" t="e">
        <f>AND('PROG FORMACIÓN TITULADA'!S569,"AAAAAHe0c+8=")</f>
        <v>#VALUE!</v>
      </c>
      <c r="IG89" t="e">
        <f>AND('PROG FORMACIÓN TITULADA'!T569,"AAAAAHe0c/A=")</f>
        <v>#VALUE!</v>
      </c>
      <c r="IH89" t="e">
        <f>AND('PROG FORMACIÓN TITULADA'!U569,"AAAAAHe0c/E=")</f>
        <v>#VALUE!</v>
      </c>
      <c r="II89" t="e">
        <f>AND('PROG FORMACIÓN TITULADA'!V569,"AAAAAHe0c/I=")</f>
        <v>#VALUE!</v>
      </c>
      <c r="IJ89" t="e">
        <f>AND('PROG FORMACIÓN TITULADA'!W569,"AAAAAHe0c/M=")</f>
        <v>#VALUE!</v>
      </c>
      <c r="IK89" t="e">
        <f>AND('PROG FORMACIÓN TITULADA'!X569,"AAAAAHe0c/Q=")</f>
        <v>#VALUE!</v>
      </c>
      <c r="IL89" t="e">
        <f>AND('PROG FORMACIÓN TITULADA'!Y569,"AAAAAHe0c/U=")</f>
        <v>#VALUE!</v>
      </c>
      <c r="IM89" t="e">
        <f>AND('PROG FORMACIÓN TITULADA'!Z569,"AAAAAHe0c/Y=")</f>
        <v>#VALUE!</v>
      </c>
      <c r="IN89">
        <f>IF('PROG FORMACIÓN TITULADA'!570:570,"AAAAAHe0c/c=",0)</f>
        <v>0</v>
      </c>
      <c r="IO89" t="e">
        <f>AND('PROG FORMACIÓN TITULADA'!A570,"AAAAAHe0c/g=")</f>
        <v>#VALUE!</v>
      </c>
      <c r="IP89" t="e">
        <f>AND('PROG FORMACIÓN TITULADA'!B570,"AAAAAHe0c/k=")</f>
        <v>#VALUE!</v>
      </c>
      <c r="IQ89" t="e">
        <f>AND('PROG FORMACIÓN TITULADA'!C570,"AAAAAHe0c/o=")</f>
        <v>#VALUE!</v>
      </c>
      <c r="IR89" t="e">
        <f>AND('PROG FORMACIÓN TITULADA'!D570,"AAAAAHe0c/s=")</f>
        <v>#VALUE!</v>
      </c>
      <c r="IS89" t="e">
        <f>AND('PROG FORMACIÓN TITULADA'!E570,"AAAAAHe0c/w=")</f>
        <v>#VALUE!</v>
      </c>
      <c r="IT89" t="e">
        <f>AND('PROG FORMACIÓN TITULADA'!F570,"AAAAAHe0c/0=")</f>
        <v>#VALUE!</v>
      </c>
      <c r="IU89" t="e">
        <f>AND('PROG FORMACIÓN TITULADA'!G570,"AAAAAHe0c/4=")</f>
        <v>#VALUE!</v>
      </c>
      <c r="IV89" t="e">
        <f>AND('PROG FORMACIÓN TITULADA'!H570,"AAAAAHe0c/8=")</f>
        <v>#VALUE!</v>
      </c>
    </row>
    <row r="90" spans="1:256" x14ac:dyDescent="0.2">
      <c r="A90" t="e">
        <f>AND('PROG FORMACIÓN TITULADA'!I570,"AAAAAHSPfwA=")</f>
        <v>#VALUE!</v>
      </c>
      <c r="B90" t="e">
        <f>AND('PROG FORMACIÓN TITULADA'!J570,"AAAAAHSPfwE=")</f>
        <v>#VALUE!</v>
      </c>
      <c r="C90" t="e">
        <f>AND('PROG FORMACIÓN TITULADA'!K570,"AAAAAHSPfwI=")</f>
        <v>#VALUE!</v>
      </c>
      <c r="D90" t="e">
        <f>AND('PROG FORMACIÓN TITULADA'!L570,"AAAAAHSPfwM=")</f>
        <v>#VALUE!</v>
      </c>
      <c r="E90" t="e">
        <f>AND('PROG FORMACIÓN TITULADA'!M570,"AAAAAHSPfwQ=")</f>
        <v>#VALUE!</v>
      </c>
      <c r="F90" t="e">
        <f>AND('PROG FORMACIÓN TITULADA'!N570,"AAAAAHSPfwU=")</f>
        <v>#VALUE!</v>
      </c>
      <c r="G90" t="e">
        <f>AND('PROG FORMACIÓN TITULADA'!O570,"AAAAAHSPfwY=")</f>
        <v>#VALUE!</v>
      </c>
      <c r="H90" t="e">
        <f>AND('PROG FORMACIÓN TITULADA'!P570,"AAAAAHSPfwc=")</f>
        <v>#VALUE!</v>
      </c>
      <c r="I90" t="e">
        <f>AND('PROG FORMACIÓN TITULADA'!Q570,"AAAAAHSPfwg=")</f>
        <v>#VALUE!</v>
      </c>
      <c r="J90" t="e">
        <f>AND('PROG FORMACIÓN TITULADA'!R570,"AAAAAHSPfwk=")</f>
        <v>#VALUE!</v>
      </c>
      <c r="K90" t="e">
        <f>AND('PROG FORMACIÓN TITULADA'!S570,"AAAAAHSPfwo=")</f>
        <v>#VALUE!</v>
      </c>
      <c r="L90" t="e">
        <f>AND('PROG FORMACIÓN TITULADA'!T570,"AAAAAHSPfws=")</f>
        <v>#VALUE!</v>
      </c>
      <c r="M90" t="e">
        <f>AND('PROG FORMACIÓN TITULADA'!U570,"AAAAAHSPfww=")</f>
        <v>#VALUE!</v>
      </c>
      <c r="N90" t="e">
        <f>AND('PROG FORMACIÓN TITULADA'!V570,"AAAAAHSPfw0=")</f>
        <v>#VALUE!</v>
      </c>
      <c r="O90" t="e">
        <f>AND('PROG FORMACIÓN TITULADA'!W570,"AAAAAHSPfw4=")</f>
        <v>#VALUE!</v>
      </c>
      <c r="P90" t="e">
        <f>AND('PROG FORMACIÓN TITULADA'!X570,"AAAAAHSPfw8=")</f>
        <v>#VALUE!</v>
      </c>
      <c r="Q90" t="e">
        <f>AND('PROG FORMACIÓN TITULADA'!Y570,"AAAAAHSPfxA=")</f>
        <v>#VALUE!</v>
      </c>
      <c r="R90" t="e">
        <f>AND('PROG FORMACIÓN TITULADA'!Z570,"AAAAAHSPfxE=")</f>
        <v>#VALUE!</v>
      </c>
      <c r="S90">
        <f>IF('PROG FORMACIÓN TITULADA'!571:571,"AAAAAHSPfxI=",0)</f>
        <v>0</v>
      </c>
      <c r="T90" t="e">
        <f>AND('PROG FORMACIÓN TITULADA'!A571,"AAAAAHSPfxM=")</f>
        <v>#VALUE!</v>
      </c>
      <c r="U90" t="e">
        <f>AND('PROG FORMACIÓN TITULADA'!B571,"AAAAAHSPfxQ=")</f>
        <v>#VALUE!</v>
      </c>
      <c r="V90" t="e">
        <f>AND('PROG FORMACIÓN TITULADA'!C571,"AAAAAHSPfxU=")</f>
        <v>#VALUE!</v>
      </c>
      <c r="W90" t="e">
        <f>AND('PROG FORMACIÓN TITULADA'!D571,"AAAAAHSPfxY=")</f>
        <v>#VALUE!</v>
      </c>
      <c r="X90" t="e">
        <f>AND('PROG FORMACIÓN TITULADA'!E571,"AAAAAHSPfxc=")</f>
        <v>#VALUE!</v>
      </c>
      <c r="Y90" t="e">
        <f>AND('PROG FORMACIÓN TITULADA'!F571,"AAAAAHSPfxg=")</f>
        <v>#VALUE!</v>
      </c>
      <c r="Z90" t="e">
        <f>AND('PROG FORMACIÓN TITULADA'!G571,"AAAAAHSPfxk=")</f>
        <v>#VALUE!</v>
      </c>
      <c r="AA90" t="e">
        <f>AND('PROG FORMACIÓN TITULADA'!H571,"AAAAAHSPfxo=")</f>
        <v>#VALUE!</v>
      </c>
      <c r="AB90" t="e">
        <f>AND('PROG FORMACIÓN TITULADA'!I571,"AAAAAHSPfxs=")</f>
        <v>#VALUE!</v>
      </c>
      <c r="AC90" t="e">
        <f>AND('PROG FORMACIÓN TITULADA'!J571,"AAAAAHSPfxw=")</f>
        <v>#VALUE!</v>
      </c>
      <c r="AD90" t="e">
        <f>AND('PROG FORMACIÓN TITULADA'!K571,"AAAAAHSPfx0=")</f>
        <v>#VALUE!</v>
      </c>
      <c r="AE90" t="e">
        <f>AND('PROG FORMACIÓN TITULADA'!L571,"AAAAAHSPfx4=")</f>
        <v>#VALUE!</v>
      </c>
      <c r="AF90" t="e">
        <f>AND('PROG FORMACIÓN TITULADA'!M571,"AAAAAHSPfx8=")</f>
        <v>#VALUE!</v>
      </c>
      <c r="AG90" t="e">
        <f>AND('PROG FORMACIÓN TITULADA'!N571,"AAAAAHSPfyA=")</f>
        <v>#VALUE!</v>
      </c>
      <c r="AH90" t="e">
        <f>AND('PROG FORMACIÓN TITULADA'!O571,"AAAAAHSPfyE=")</f>
        <v>#VALUE!</v>
      </c>
      <c r="AI90" t="e">
        <f>AND('PROG FORMACIÓN TITULADA'!P571,"AAAAAHSPfyI=")</f>
        <v>#VALUE!</v>
      </c>
      <c r="AJ90" t="e">
        <f>AND('PROG FORMACIÓN TITULADA'!Q571,"AAAAAHSPfyM=")</f>
        <v>#VALUE!</v>
      </c>
      <c r="AK90" t="e">
        <f>AND('PROG FORMACIÓN TITULADA'!R571,"AAAAAHSPfyQ=")</f>
        <v>#VALUE!</v>
      </c>
      <c r="AL90" t="e">
        <f>AND('PROG FORMACIÓN TITULADA'!S571,"AAAAAHSPfyU=")</f>
        <v>#VALUE!</v>
      </c>
      <c r="AM90" t="e">
        <f>AND('PROG FORMACIÓN TITULADA'!T571,"AAAAAHSPfyY=")</f>
        <v>#VALUE!</v>
      </c>
      <c r="AN90" t="e">
        <f>AND('PROG FORMACIÓN TITULADA'!U571,"AAAAAHSPfyc=")</f>
        <v>#VALUE!</v>
      </c>
      <c r="AO90" t="e">
        <f>AND('PROG FORMACIÓN TITULADA'!V571,"AAAAAHSPfyg=")</f>
        <v>#VALUE!</v>
      </c>
      <c r="AP90" t="e">
        <f>AND('PROG FORMACIÓN TITULADA'!W571,"AAAAAHSPfyk=")</f>
        <v>#VALUE!</v>
      </c>
      <c r="AQ90" t="e">
        <f>AND('PROG FORMACIÓN TITULADA'!X571,"AAAAAHSPfyo=")</f>
        <v>#VALUE!</v>
      </c>
      <c r="AR90" t="e">
        <f>AND('PROG FORMACIÓN TITULADA'!Y571,"AAAAAHSPfys=")</f>
        <v>#VALUE!</v>
      </c>
      <c r="AS90" t="e">
        <f>AND('PROG FORMACIÓN TITULADA'!Z571,"AAAAAHSPfyw=")</f>
        <v>#VALUE!</v>
      </c>
      <c r="AT90">
        <f>IF('PROG FORMACIÓN TITULADA'!572:572,"AAAAAHSPfy0=",0)</f>
        <v>0</v>
      </c>
      <c r="AU90" t="e">
        <f>AND('PROG FORMACIÓN TITULADA'!A572,"AAAAAHSPfy4=")</f>
        <v>#VALUE!</v>
      </c>
      <c r="AV90" t="e">
        <f>AND('PROG FORMACIÓN TITULADA'!B572,"AAAAAHSPfy8=")</f>
        <v>#VALUE!</v>
      </c>
      <c r="AW90" t="e">
        <f>AND('PROG FORMACIÓN TITULADA'!C572,"AAAAAHSPfzA=")</f>
        <v>#VALUE!</v>
      </c>
      <c r="AX90" t="e">
        <f>AND('PROG FORMACIÓN TITULADA'!D572,"AAAAAHSPfzE=")</f>
        <v>#VALUE!</v>
      </c>
      <c r="AY90" t="e">
        <f>AND('PROG FORMACIÓN TITULADA'!E572,"AAAAAHSPfzI=")</f>
        <v>#VALUE!</v>
      </c>
      <c r="AZ90" t="e">
        <f>AND('PROG FORMACIÓN TITULADA'!F572,"AAAAAHSPfzM=")</f>
        <v>#VALUE!</v>
      </c>
      <c r="BA90" t="e">
        <f>AND('PROG FORMACIÓN TITULADA'!G572,"AAAAAHSPfzQ=")</f>
        <v>#VALUE!</v>
      </c>
      <c r="BB90" t="e">
        <f>AND('PROG FORMACIÓN TITULADA'!H572,"AAAAAHSPfzU=")</f>
        <v>#VALUE!</v>
      </c>
      <c r="BC90" t="e">
        <f>AND('PROG FORMACIÓN TITULADA'!I572,"AAAAAHSPfzY=")</f>
        <v>#VALUE!</v>
      </c>
      <c r="BD90" t="e">
        <f>AND('PROG FORMACIÓN TITULADA'!J572,"AAAAAHSPfzc=")</f>
        <v>#VALUE!</v>
      </c>
      <c r="BE90" t="e">
        <f>AND('PROG FORMACIÓN TITULADA'!K572,"AAAAAHSPfzg=")</f>
        <v>#VALUE!</v>
      </c>
      <c r="BF90" t="e">
        <f>AND('PROG FORMACIÓN TITULADA'!L572,"AAAAAHSPfzk=")</f>
        <v>#VALUE!</v>
      </c>
      <c r="BG90" t="e">
        <f>AND('PROG FORMACIÓN TITULADA'!M572,"AAAAAHSPfzo=")</f>
        <v>#VALUE!</v>
      </c>
      <c r="BH90" t="e">
        <f>AND('PROG FORMACIÓN TITULADA'!N572,"AAAAAHSPfzs=")</f>
        <v>#VALUE!</v>
      </c>
      <c r="BI90" t="e">
        <f>AND('PROG FORMACIÓN TITULADA'!O572,"AAAAAHSPfzw=")</f>
        <v>#VALUE!</v>
      </c>
      <c r="BJ90" t="e">
        <f>AND('PROG FORMACIÓN TITULADA'!P572,"AAAAAHSPfz0=")</f>
        <v>#VALUE!</v>
      </c>
      <c r="BK90" t="e">
        <f>AND('PROG FORMACIÓN TITULADA'!Q572,"AAAAAHSPfz4=")</f>
        <v>#VALUE!</v>
      </c>
      <c r="BL90" t="e">
        <f>AND('PROG FORMACIÓN TITULADA'!R572,"AAAAAHSPfz8=")</f>
        <v>#VALUE!</v>
      </c>
      <c r="BM90" t="e">
        <f>AND('PROG FORMACIÓN TITULADA'!S572,"AAAAAHSPf0A=")</f>
        <v>#VALUE!</v>
      </c>
      <c r="BN90" t="e">
        <f>AND('PROG FORMACIÓN TITULADA'!T572,"AAAAAHSPf0E=")</f>
        <v>#VALUE!</v>
      </c>
      <c r="BO90" t="e">
        <f>AND('PROG FORMACIÓN TITULADA'!U572,"AAAAAHSPf0I=")</f>
        <v>#VALUE!</v>
      </c>
      <c r="BP90" t="e">
        <f>AND('PROG FORMACIÓN TITULADA'!V572,"AAAAAHSPf0M=")</f>
        <v>#VALUE!</v>
      </c>
      <c r="BQ90" t="e">
        <f>AND('PROG FORMACIÓN TITULADA'!W572,"AAAAAHSPf0Q=")</f>
        <v>#VALUE!</v>
      </c>
      <c r="BR90" t="e">
        <f>AND('PROG FORMACIÓN TITULADA'!X572,"AAAAAHSPf0U=")</f>
        <v>#VALUE!</v>
      </c>
      <c r="BS90" t="e">
        <f>AND('PROG FORMACIÓN TITULADA'!Y572,"AAAAAHSPf0Y=")</f>
        <v>#VALUE!</v>
      </c>
      <c r="BT90" t="e">
        <f>AND('PROG FORMACIÓN TITULADA'!Z572,"AAAAAHSPf0c=")</f>
        <v>#VALUE!</v>
      </c>
      <c r="BU90">
        <f>IF('PROG FORMACIÓN TITULADA'!573:573,"AAAAAHSPf0g=",0)</f>
        <v>0</v>
      </c>
      <c r="BV90" t="e">
        <f>AND('PROG FORMACIÓN TITULADA'!A573,"AAAAAHSPf0k=")</f>
        <v>#VALUE!</v>
      </c>
      <c r="BW90" t="e">
        <f>AND('PROG FORMACIÓN TITULADA'!B573,"AAAAAHSPf0o=")</f>
        <v>#VALUE!</v>
      </c>
      <c r="BX90" t="e">
        <f>AND('PROG FORMACIÓN TITULADA'!C573,"AAAAAHSPf0s=")</f>
        <v>#VALUE!</v>
      </c>
      <c r="BY90" t="e">
        <f>AND('PROG FORMACIÓN TITULADA'!D573,"AAAAAHSPf0w=")</f>
        <v>#VALUE!</v>
      </c>
      <c r="BZ90" t="e">
        <f>AND('PROG FORMACIÓN TITULADA'!E573,"AAAAAHSPf00=")</f>
        <v>#VALUE!</v>
      </c>
      <c r="CA90" t="e">
        <f>AND('PROG FORMACIÓN TITULADA'!F573,"AAAAAHSPf04=")</f>
        <v>#VALUE!</v>
      </c>
      <c r="CB90" t="e">
        <f>AND('PROG FORMACIÓN TITULADA'!G573,"AAAAAHSPf08=")</f>
        <v>#VALUE!</v>
      </c>
      <c r="CC90" t="e">
        <f>AND('PROG FORMACIÓN TITULADA'!H573,"AAAAAHSPf1A=")</f>
        <v>#VALUE!</v>
      </c>
      <c r="CD90" t="e">
        <f>AND('PROG FORMACIÓN TITULADA'!I573,"AAAAAHSPf1E=")</f>
        <v>#VALUE!</v>
      </c>
      <c r="CE90" t="e">
        <f>AND('PROG FORMACIÓN TITULADA'!J573,"AAAAAHSPf1I=")</f>
        <v>#VALUE!</v>
      </c>
      <c r="CF90" t="e">
        <f>AND('PROG FORMACIÓN TITULADA'!K573,"AAAAAHSPf1M=")</f>
        <v>#VALUE!</v>
      </c>
      <c r="CG90" t="e">
        <f>AND('PROG FORMACIÓN TITULADA'!L573,"AAAAAHSPf1Q=")</f>
        <v>#VALUE!</v>
      </c>
      <c r="CH90" t="e">
        <f>AND('PROG FORMACIÓN TITULADA'!M573,"AAAAAHSPf1U=")</f>
        <v>#VALUE!</v>
      </c>
      <c r="CI90" t="e">
        <f>AND('PROG FORMACIÓN TITULADA'!N573,"AAAAAHSPf1Y=")</f>
        <v>#VALUE!</v>
      </c>
      <c r="CJ90" t="e">
        <f>AND('PROG FORMACIÓN TITULADA'!O573,"AAAAAHSPf1c=")</f>
        <v>#VALUE!</v>
      </c>
      <c r="CK90" t="e">
        <f>AND('PROG FORMACIÓN TITULADA'!P573,"AAAAAHSPf1g=")</f>
        <v>#VALUE!</v>
      </c>
      <c r="CL90" t="e">
        <f>AND('PROG FORMACIÓN TITULADA'!Q573,"AAAAAHSPf1k=")</f>
        <v>#VALUE!</v>
      </c>
      <c r="CM90" t="e">
        <f>AND('PROG FORMACIÓN TITULADA'!R573,"AAAAAHSPf1o=")</f>
        <v>#VALUE!</v>
      </c>
      <c r="CN90" t="e">
        <f>AND('PROG FORMACIÓN TITULADA'!S573,"AAAAAHSPf1s=")</f>
        <v>#VALUE!</v>
      </c>
      <c r="CO90" t="e">
        <f>AND('PROG FORMACIÓN TITULADA'!T573,"AAAAAHSPf1w=")</f>
        <v>#VALUE!</v>
      </c>
      <c r="CP90" t="e">
        <f>AND('PROG FORMACIÓN TITULADA'!U573,"AAAAAHSPf10=")</f>
        <v>#VALUE!</v>
      </c>
      <c r="CQ90" t="e">
        <f>AND('PROG FORMACIÓN TITULADA'!V573,"AAAAAHSPf14=")</f>
        <v>#VALUE!</v>
      </c>
      <c r="CR90" t="e">
        <f>AND('PROG FORMACIÓN TITULADA'!W573,"AAAAAHSPf18=")</f>
        <v>#VALUE!</v>
      </c>
      <c r="CS90" t="e">
        <f>AND('PROG FORMACIÓN TITULADA'!X573,"AAAAAHSPf2A=")</f>
        <v>#VALUE!</v>
      </c>
      <c r="CT90" t="e">
        <f>AND('PROG FORMACIÓN TITULADA'!Y573,"AAAAAHSPf2E=")</f>
        <v>#VALUE!</v>
      </c>
      <c r="CU90" t="e">
        <f>AND('PROG FORMACIÓN TITULADA'!Z573,"AAAAAHSPf2I=")</f>
        <v>#VALUE!</v>
      </c>
      <c r="CV90">
        <f>IF('PROG FORMACIÓN TITULADA'!574:574,"AAAAAHSPf2M=",0)</f>
        <v>0</v>
      </c>
      <c r="CW90" t="e">
        <f>AND('PROG FORMACIÓN TITULADA'!A574,"AAAAAHSPf2Q=")</f>
        <v>#VALUE!</v>
      </c>
      <c r="CX90" t="e">
        <f>AND('PROG FORMACIÓN TITULADA'!B574,"AAAAAHSPf2U=")</f>
        <v>#VALUE!</v>
      </c>
      <c r="CY90" t="e">
        <f>AND('PROG FORMACIÓN TITULADA'!C574,"AAAAAHSPf2Y=")</f>
        <v>#VALUE!</v>
      </c>
      <c r="CZ90" t="e">
        <f>AND('PROG FORMACIÓN TITULADA'!D574,"AAAAAHSPf2c=")</f>
        <v>#VALUE!</v>
      </c>
      <c r="DA90" t="e">
        <f>AND('PROG FORMACIÓN TITULADA'!E574,"AAAAAHSPf2g=")</f>
        <v>#VALUE!</v>
      </c>
      <c r="DB90" t="e">
        <f>AND('PROG FORMACIÓN TITULADA'!F574,"AAAAAHSPf2k=")</f>
        <v>#VALUE!</v>
      </c>
      <c r="DC90" t="e">
        <f>AND('PROG FORMACIÓN TITULADA'!G574,"AAAAAHSPf2o=")</f>
        <v>#VALUE!</v>
      </c>
      <c r="DD90" t="e">
        <f>AND('PROG FORMACIÓN TITULADA'!H574,"AAAAAHSPf2s=")</f>
        <v>#VALUE!</v>
      </c>
      <c r="DE90" t="e">
        <f>AND('PROG FORMACIÓN TITULADA'!I574,"AAAAAHSPf2w=")</f>
        <v>#VALUE!</v>
      </c>
      <c r="DF90" t="e">
        <f>AND('PROG FORMACIÓN TITULADA'!J574,"AAAAAHSPf20=")</f>
        <v>#VALUE!</v>
      </c>
      <c r="DG90" t="e">
        <f>AND('PROG FORMACIÓN TITULADA'!K574,"AAAAAHSPf24=")</f>
        <v>#VALUE!</v>
      </c>
      <c r="DH90" t="e">
        <f>AND('PROG FORMACIÓN TITULADA'!L574,"AAAAAHSPf28=")</f>
        <v>#VALUE!</v>
      </c>
      <c r="DI90" t="e">
        <f>AND('PROG FORMACIÓN TITULADA'!M574,"AAAAAHSPf3A=")</f>
        <v>#VALUE!</v>
      </c>
      <c r="DJ90" t="e">
        <f>AND('PROG FORMACIÓN TITULADA'!N574,"AAAAAHSPf3E=")</f>
        <v>#VALUE!</v>
      </c>
      <c r="DK90" t="e">
        <f>AND('PROG FORMACIÓN TITULADA'!O574,"AAAAAHSPf3I=")</f>
        <v>#VALUE!</v>
      </c>
      <c r="DL90" t="e">
        <f>AND('PROG FORMACIÓN TITULADA'!P574,"AAAAAHSPf3M=")</f>
        <v>#VALUE!</v>
      </c>
      <c r="DM90" t="e">
        <f>AND('PROG FORMACIÓN TITULADA'!Q574,"AAAAAHSPf3Q=")</f>
        <v>#VALUE!</v>
      </c>
      <c r="DN90" t="e">
        <f>AND('PROG FORMACIÓN TITULADA'!R574,"AAAAAHSPf3U=")</f>
        <v>#VALUE!</v>
      </c>
      <c r="DO90" t="e">
        <f>AND('PROG FORMACIÓN TITULADA'!S574,"AAAAAHSPf3Y=")</f>
        <v>#VALUE!</v>
      </c>
      <c r="DP90" t="e">
        <f>AND('PROG FORMACIÓN TITULADA'!T574,"AAAAAHSPf3c=")</f>
        <v>#VALUE!</v>
      </c>
      <c r="DQ90" t="e">
        <f>AND('PROG FORMACIÓN TITULADA'!U574,"AAAAAHSPf3g=")</f>
        <v>#VALUE!</v>
      </c>
      <c r="DR90" t="e">
        <f>AND('PROG FORMACIÓN TITULADA'!V574,"AAAAAHSPf3k=")</f>
        <v>#VALUE!</v>
      </c>
      <c r="DS90" t="e">
        <f>AND('PROG FORMACIÓN TITULADA'!W574,"AAAAAHSPf3o=")</f>
        <v>#VALUE!</v>
      </c>
      <c r="DT90" t="e">
        <f>AND('PROG FORMACIÓN TITULADA'!X574,"AAAAAHSPf3s=")</f>
        <v>#VALUE!</v>
      </c>
      <c r="DU90" t="e">
        <f>AND('PROG FORMACIÓN TITULADA'!Y574,"AAAAAHSPf3w=")</f>
        <v>#VALUE!</v>
      </c>
      <c r="DV90" t="e">
        <f>AND('PROG FORMACIÓN TITULADA'!Z574,"AAAAAHSPf30=")</f>
        <v>#VALUE!</v>
      </c>
      <c r="DW90">
        <f>IF('PROG FORMACIÓN TITULADA'!575:575,"AAAAAHSPf34=",0)</f>
        <v>0</v>
      </c>
      <c r="DX90" t="e">
        <f>AND('PROG FORMACIÓN TITULADA'!A575,"AAAAAHSPf38=")</f>
        <v>#VALUE!</v>
      </c>
      <c r="DY90" t="e">
        <f>AND('PROG FORMACIÓN TITULADA'!B575,"AAAAAHSPf4A=")</f>
        <v>#VALUE!</v>
      </c>
      <c r="DZ90" t="e">
        <f>AND('PROG FORMACIÓN TITULADA'!C575,"AAAAAHSPf4E=")</f>
        <v>#VALUE!</v>
      </c>
      <c r="EA90" t="e">
        <f>AND('PROG FORMACIÓN TITULADA'!D575,"AAAAAHSPf4I=")</f>
        <v>#VALUE!</v>
      </c>
      <c r="EB90" t="e">
        <f>AND('PROG FORMACIÓN TITULADA'!E575,"AAAAAHSPf4M=")</f>
        <v>#VALUE!</v>
      </c>
      <c r="EC90" t="e">
        <f>AND('PROG FORMACIÓN TITULADA'!F575,"AAAAAHSPf4Q=")</f>
        <v>#VALUE!</v>
      </c>
      <c r="ED90" t="e">
        <f>AND('PROG FORMACIÓN TITULADA'!G575,"AAAAAHSPf4U=")</f>
        <v>#VALUE!</v>
      </c>
      <c r="EE90" t="e">
        <f>AND('PROG FORMACIÓN TITULADA'!H575,"AAAAAHSPf4Y=")</f>
        <v>#VALUE!</v>
      </c>
      <c r="EF90" t="e">
        <f>AND('PROG FORMACIÓN TITULADA'!I575,"AAAAAHSPf4c=")</f>
        <v>#VALUE!</v>
      </c>
      <c r="EG90" t="e">
        <f>AND('PROG FORMACIÓN TITULADA'!J575,"AAAAAHSPf4g=")</f>
        <v>#VALUE!</v>
      </c>
      <c r="EH90" t="e">
        <f>AND('PROG FORMACIÓN TITULADA'!K575,"AAAAAHSPf4k=")</f>
        <v>#VALUE!</v>
      </c>
      <c r="EI90" t="e">
        <f>AND('PROG FORMACIÓN TITULADA'!L575,"AAAAAHSPf4o=")</f>
        <v>#VALUE!</v>
      </c>
      <c r="EJ90" t="e">
        <f>AND('PROG FORMACIÓN TITULADA'!M575,"AAAAAHSPf4s=")</f>
        <v>#VALUE!</v>
      </c>
      <c r="EK90" t="e">
        <f>AND('PROG FORMACIÓN TITULADA'!N575,"AAAAAHSPf4w=")</f>
        <v>#VALUE!</v>
      </c>
      <c r="EL90" t="e">
        <f>AND('PROG FORMACIÓN TITULADA'!O575,"AAAAAHSPf40=")</f>
        <v>#VALUE!</v>
      </c>
      <c r="EM90" t="e">
        <f>AND('PROG FORMACIÓN TITULADA'!P575,"AAAAAHSPf44=")</f>
        <v>#VALUE!</v>
      </c>
      <c r="EN90" t="e">
        <f>AND('PROG FORMACIÓN TITULADA'!Q575,"AAAAAHSPf48=")</f>
        <v>#VALUE!</v>
      </c>
      <c r="EO90" t="e">
        <f>AND('PROG FORMACIÓN TITULADA'!R575,"AAAAAHSPf5A=")</f>
        <v>#VALUE!</v>
      </c>
      <c r="EP90" t="e">
        <f>AND('PROG FORMACIÓN TITULADA'!S575,"AAAAAHSPf5E=")</f>
        <v>#VALUE!</v>
      </c>
      <c r="EQ90" t="e">
        <f>AND('PROG FORMACIÓN TITULADA'!T575,"AAAAAHSPf5I=")</f>
        <v>#VALUE!</v>
      </c>
      <c r="ER90" t="e">
        <f>AND('PROG FORMACIÓN TITULADA'!U575,"AAAAAHSPf5M=")</f>
        <v>#VALUE!</v>
      </c>
      <c r="ES90" t="e">
        <f>AND('PROG FORMACIÓN TITULADA'!V575,"AAAAAHSPf5Q=")</f>
        <v>#VALUE!</v>
      </c>
      <c r="ET90" t="e">
        <f>AND('PROG FORMACIÓN TITULADA'!W575,"AAAAAHSPf5U=")</f>
        <v>#VALUE!</v>
      </c>
      <c r="EU90" t="e">
        <f>AND('PROG FORMACIÓN TITULADA'!X575,"AAAAAHSPf5Y=")</f>
        <v>#VALUE!</v>
      </c>
      <c r="EV90" t="e">
        <f>AND('PROG FORMACIÓN TITULADA'!Y575,"AAAAAHSPf5c=")</f>
        <v>#VALUE!</v>
      </c>
      <c r="EW90" t="e">
        <f>AND('PROG FORMACIÓN TITULADA'!Z575,"AAAAAHSPf5g=")</f>
        <v>#VALUE!</v>
      </c>
      <c r="EX90">
        <f>IF('PROG FORMACIÓN TITULADA'!576:576,"AAAAAHSPf5k=",0)</f>
        <v>0</v>
      </c>
      <c r="EY90" t="e">
        <f>AND('PROG FORMACIÓN TITULADA'!A576,"AAAAAHSPf5o=")</f>
        <v>#VALUE!</v>
      </c>
      <c r="EZ90" t="e">
        <f>AND('PROG FORMACIÓN TITULADA'!B576,"AAAAAHSPf5s=")</f>
        <v>#VALUE!</v>
      </c>
      <c r="FA90" t="e">
        <f>AND('PROG FORMACIÓN TITULADA'!C576,"AAAAAHSPf5w=")</f>
        <v>#VALUE!</v>
      </c>
      <c r="FB90" t="e">
        <f>AND('PROG FORMACIÓN TITULADA'!D576,"AAAAAHSPf50=")</f>
        <v>#VALUE!</v>
      </c>
      <c r="FC90" t="e">
        <f>AND('PROG FORMACIÓN TITULADA'!E576,"AAAAAHSPf54=")</f>
        <v>#VALUE!</v>
      </c>
      <c r="FD90" t="e">
        <f>AND('PROG FORMACIÓN TITULADA'!F576,"AAAAAHSPf58=")</f>
        <v>#VALUE!</v>
      </c>
      <c r="FE90" t="e">
        <f>AND('PROG FORMACIÓN TITULADA'!G576,"AAAAAHSPf6A=")</f>
        <v>#VALUE!</v>
      </c>
      <c r="FF90" t="e">
        <f>AND('PROG FORMACIÓN TITULADA'!H576,"AAAAAHSPf6E=")</f>
        <v>#VALUE!</v>
      </c>
      <c r="FG90" t="e">
        <f>AND('PROG FORMACIÓN TITULADA'!I576,"AAAAAHSPf6I=")</f>
        <v>#VALUE!</v>
      </c>
      <c r="FH90" t="e">
        <f>AND('PROG FORMACIÓN TITULADA'!J576,"AAAAAHSPf6M=")</f>
        <v>#VALUE!</v>
      </c>
      <c r="FI90" t="e">
        <f>AND('PROG FORMACIÓN TITULADA'!K576,"AAAAAHSPf6Q=")</f>
        <v>#VALUE!</v>
      </c>
      <c r="FJ90" t="e">
        <f>AND('PROG FORMACIÓN TITULADA'!L576,"AAAAAHSPf6U=")</f>
        <v>#VALUE!</v>
      </c>
      <c r="FK90" t="e">
        <f>AND('PROG FORMACIÓN TITULADA'!M576,"AAAAAHSPf6Y=")</f>
        <v>#VALUE!</v>
      </c>
      <c r="FL90" t="e">
        <f>AND('PROG FORMACIÓN TITULADA'!N576,"AAAAAHSPf6c=")</f>
        <v>#VALUE!</v>
      </c>
      <c r="FM90" t="e">
        <f>AND('PROG FORMACIÓN TITULADA'!O576,"AAAAAHSPf6g=")</f>
        <v>#VALUE!</v>
      </c>
      <c r="FN90" t="e">
        <f>AND('PROG FORMACIÓN TITULADA'!P576,"AAAAAHSPf6k=")</f>
        <v>#VALUE!</v>
      </c>
      <c r="FO90" t="e">
        <f>AND('PROG FORMACIÓN TITULADA'!Q576,"AAAAAHSPf6o=")</f>
        <v>#VALUE!</v>
      </c>
      <c r="FP90" t="e">
        <f>AND('PROG FORMACIÓN TITULADA'!R576,"AAAAAHSPf6s=")</f>
        <v>#VALUE!</v>
      </c>
      <c r="FQ90" t="e">
        <f>AND('PROG FORMACIÓN TITULADA'!S576,"AAAAAHSPf6w=")</f>
        <v>#VALUE!</v>
      </c>
      <c r="FR90" t="e">
        <f>AND('PROG FORMACIÓN TITULADA'!T576,"AAAAAHSPf60=")</f>
        <v>#VALUE!</v>
      </c>
      <c r="FS90" t="e">
        <f>AND('PROG FORMACIÓN TITULADA'!U576,"AAAAAHSPf64=")</f>
        <v>#VALUE!</v>
      </c>
      <c r="FT90" t="e">
        <f>AND('PROG FORMACIÓN TITULADA'!V576,"AAAAAHSPf68=")</f>
        <v>#VALUE!</v>
      </c>
      <c r="FU90" t="e">
        <f>AND('PROG FORMACIÓN TITULADA'!W576,"AAAAAHSPf7A=")</f>
        <v>#VALUE!</v>
      </c>
      <c r="FV90" t="e">
        <f>AND('PROG FORMACIÓN TITULADA'!X576,"AAAAAHSPf7E=")</f>
        <v>#VALUE!</v>
      </c>
      <c r="FW90" t="e">
        <f>AND('PROG FORMACIÓN TITULADA'!Y576,"AAAAAHSPf7I=")</f>
        <v>#VALUE!</v>
      </c>
      <c r="FX90" t="e">
        <f>AND('PROG FORMACIÓN TITULADA'!Z576,"AAAAAHSPf7M=")</f>
        <v>#VALUE!</v>
      </c>
      <c r="FY90">
        <f>IF('PROG FORMACIÓN TITULADA'!577:577,"AAAAAHSPf7Q=",0)</f>
        <v>0</v>
      </c>
      <c r="FZ90" t="e">
        <f>AND('PROG FORMACIÓN TITULADA'!A577,"AAAAAHSPf7U=")</f>
        <v>#VALUE!</v>
      </c>
      <c r="GA90" t="e">
        <f>AND('PROG FORMACIÓN TITULADA'!B577,"AAAAAHSPf7Y=")</f>
        <v>#VALUE!</v>
      </c>
      <c r="GB90" t="e">
        <f>AND('PROG FORMACIÓN TITULADA'!C577,"AAAAAHSPf7c=")</f>
        <v>#VALUE!</v>
      </c>
      <c r="GC90" t="e">
        <f>AND('PROG FORMACIÓN TITULADA'!D577,"AAAAAHSPf7g=")</f>
        <v>#VALUE!</v>
      </c>
      <c r="GD90" t="e">
        <f>AND('PROG FORMACIÓN TITULADA'!E577,"AAAAAHSPf7k=")</f>
        <v>#VALUE!</v>
      </c>
      <c r="GE90" t="e">
        <f>AND('PROG FORMACIÓN TITULADA'!F577,"AAAAAHSPf7o=")</f>
        <v>#VALUE!</v>
      </c>
      <c r="GF90" t="e">
        <f>AND('PROG FORMACIÓN TITULADA'!G577,"AAAAAHSPf7s=")</f>
        <v>#VALUE!</v>
      </c>
      <c r="GG90" t="e">
        <f>AND('PROG FORMACIÓN TITULADA'!H577,"AAAAAHSPf7w=")</f>
        <v>#VALUE!</v>
      </c>
      <c r="GH90" t="e">
        <f>AND('PROG FORMACIÓN TITULADA'!I577,"AAAAAHSPf70=")</f>
        <v>#VALUE!</v>
      </c>
      <c r="GI90" t="e">
        <f>AND('PROG FORMACIÓN TITULADA'!J577,"AAAAAHSPf74=")</f>
        <v>#VALUE!</v>
      </c>
      <c r="GJ90" t="e">
        <f>AND('PROG FORMACIÓN TITULADA'!K577,"AAAAAHSPf78=")</f>
        <v>#VALUE!</v>
      </c>
      <c r="GK90" t="e">
        <f>AND('PROG FORMACIÓN TITULADA'!L577,"AAAAAHSPf8A=")</f>
        <v>#VALUE!</v>
      </c>
      <c r="GL90" t="e">
        <f>AND('PROG FORMACIÓN TITULADA'!M577,"AAAAAHSPf8E=")</f>
        <v>#VALUE!</v>
      </c>
      <c r="GM90" t="e">
        <f>AND('PROG FORMACIÓN TITULADA'!N577,"AAAAAHSPf8I=")</f>
        <v>#VALUE!</v>
      </c>
      <c r="GN90" t="e">
        <f>AND('PROG FORMACIÓN TITULADA'!O577,"AAAAAHSPf8M=")</f>
        <v>#VALUE!</v>
      </c>
      <c r="GO90" t="e">
        <f>AND('PROG FORMACIÓN TITULADA'!P577,"AAAAAHSPf8Q=")</f>
        <v>#VALUE!</v>
      </c>
      <c r="GP90" t="e">
        <f>AND('PROG FORMACIÓN TITULADA'!Q577,"AAAAAHSPf8U=")</f>
        <v>#VALUE!</v>
      </c>
      <c r="GQ90" t="e">
        <f>AND('PROG FORMACIÓN TITULADA'!R577,"AAAAAHSPf8Y=")</f>
        <v>#VALUE!</v>
      </c>
      <c r="GR90" t="e">
        <f>AND('PROG FORMACIÓN TITULADA'!S577,"AAAAAHSPf8c=")</f>
        <v>#VALUE!</v>
      </c>
      <c r="GS90" t="e">
        <f>AND('PROG FORMACIÓN TITULADA'!T577,"AAAAAHSPf8g=")</f>
        <v>#VALUE!</v>
      </c>
      <c r="GT90" t="e">
        <f>AND('PROG FORMACIÓN TITULADA'!U577,"AAAAAHSPf8k=")</f>
        <v>#VALUE!</v>
      </c>
      <c r="GU90" t="e">
        <f>AND('PROG FORMACIÓN TITULADA'!V577,"AAAAAHSPf8o=")</f>
        <v>#VALUE!</v>
      </c>
      <c r="GV90" t="e">
        <f>AND('PROG FORMACIÓN TITULADA'!W577,"AAAAAHSPf8s=")</f>
        <v>#VALUE!</v>
      </c>
      <c r="GW90" t="e">
        <f>AND('PROG FORMACIÓN TITULADA'!X577,"AAAAAHSPf8w=")</f>
        <v>#VALUE!</v>
      </c>
      <c r="GX90" t="e">
        <f>AND('PROG FORMACIÓN TITULADA'!Y577,"AAAAAHSPf80=")</f>
        <v>#VALUE!</v>
      </c>
      <c r="GY90" t="e">
        <f>AND('PROG FORMACIÓN TITULADA'!Z577,"AAAAAHSPf84=")</f>
        <v>#VALUE!</v>
      </c>
      <c r="GZ90">
        <f>IF('PROG FORMACIÓN TITULADA'!578:578,"AAAAAHSPf88=",0)</f>
        <v>0</v>
      </c>
      <c r="HA90" t="e">
        <f>AND('PROG FORMACIÓN TITULADA'!A578,"AAAAAHSPf9A=")</f>
        <v>#VALUE!</v>
      </c>
      <c r="HB90" t="e">
        <f>AND('PROG FORMACIÓN TITULADA'!B578,"AAAAAHSPf9E=")</f>
        <v>#VALUE!</v>
      </c>
      <c r="HC90" t="e">
        <f>AND('PROG FORMACIÓN TITULADA'!C578,"AAAAAHSPf9I=")</f>
        <v>#VALUE!</v>
      </c>
      <c r="HD90" t="e">
        <f>AND('PROG FORMACIÓN TITULADA'!D578,"AAAAAHSPf9M=")</f>
        <v>#VALUE!</v>
      </c>
      <c r="HE90" t="e">
        <f>AND('PROG FORMACIÓN TITULADA'!E578,"AAAAAHSPf9Q=")</f>
        <v>#VALUE!</v>
      </c>
      <c r="HF90" t="e">
        <f>AND('PROG FORMACIÓN TITULADA'!F578,"AAAAAHSPf9U=")</f>
        <v>#VALUE!</v>
      </c>
      <c r="HG90" t="e">
        <f>AND('PROG FORMACIÓN TITULADA'!G578,"AAAAAHSPf9Y=")</f>
        <v>#VALUE!</v>
      </c>
      <c r="HH90" t="e">
        <f>AND('PROG FORMACIÓN TITULADA'!H578,"AAAAAHSPf9c=")</f>
        <v>#VALUE!</v>
      </c>
      <c r="HI90" t="e">
        <f>AND('PROG FORMACIÓN TITULADA'!I578,"AAAAAHSPf9g=")</f>
        <v>#VALUE!</v>
      </c>
      <c r="HJ90" t="e">
        <f>AND('PROG FORMACIÓN TITULADA'!J578,"AAAAAHSPf9k=")</f>
        <v>#VALUE!</v>
      </c>
      <c r="HK90" t="e">
        <f>AND('PROG FORMACIÓN TITULADA'!K578,"AAAAAHSPf9o=")</f>
        <v>#VALUE!</v>
      </c>
      <c r="HL90" t="e">
        <f>AND('PROG FORMACIÓN TITULADA'!L578,"AAAAAHSPf9s=")</f>
        <v>#VALUE!</v>
      </c>
      <c r="HM90" t="e">
        <f>AND('PROG FORMACIÓN TITULADA'!M578,"AAAAAHSPf9w=")</f>
        <v>#VALUE!</v>
      </c>
      <c r="HN90" t="e">
        <f>AND('PROG FORMACIÓN TITULADA'!N578,"AAAAAHSPf90=")</f>
        <v>#VALUE!</v>
      </c>
      <c r="HO90" t="e">
        <f>AND('PROG FORMACIÓN TITULADA'!O578,"AAAAAHSPf94=")</f>
        <v>#VALUE!</v>
      </c>
      <c r="HP90" t="e">
        <f>AND('PROG FORMACIÓN TITULADA'!P578,"AAAAAHSPf98=")</f>
        <v>#VALUE!</v>
      </c>
      <c r="HQ90" t="e">
        <f>AND('PROG FORMACIÓN TITULADA'!Q578,"AAAAAHSPf+A=")</f>
        <v>#VALUE!</v>
      </c>
      <c r="HR90" t="e">
        <f>AND('PROG FORMACIÓN TITULADA'!R578,"AAAAAHSPf+E=")</f>
        <v>#VALUE!</v>
      </c>
      <c r="HS90" t="e">
        <f>AND('PROG FORMACIÓN TITULADA'!S578,"AAAAAHSPf+I=")</f>
        <v>#VALUE!</v>
      </c>
      <c r="HT90" t="e">
        <f>AND('PROG FORMACIÓN TITULADA'!T578,"AAAAAHSPf+M=")</f>
        <v>#VALUE!</v>
      </c>
      <c r="HU90" t="e">
        <f>AND('PROG FORMACIÓN TITULADA'!U578,"AAAAAHSPf+Q=")</f>
        <v>#VALUE!</v>
      </c>
      <c r="HV90" t="e">
        <f>AND('PROG FORMACIÓN TITULADA'!V578,"AAAAAHSPf+U=")</f>
        <v>#VALUE!</v>
      </c>
      <c r="HW90" t="e">
        <f>AND('PROG FORMACIÓN TITULADA'!W578,"AAAAAHSPf+Y=")</f>
        <v>#VALUE!</v>
      </c>
      <c r="HX90" t="e">
        <f>AND('PROG FORMACIÓN TITULADA'!X578,"AAAAAHSPf+c=")</f>
        <v>#VALUE!</v>
      </c>
      <c r="HY90" t="e">
        <f>AND('PROG FORMACIÓN TITULADA'!Y578,"AAAAAHSPf+g=")</f>
        <v>#VALUE!</v>
      </c>
      <c r="HZ90" t="e">
        <f>AND('PROG FORMACIÓN TITULADA'!Z578,"AAAAAHSPf+k=")</f>
        <v>#VALUE!</v>
      </c>
      <c r="IA90">
        <f>IF('PROG FORMACIÓN TITULADA'!579:579,"AAAAAHSPf+o=",0)</f>
        <v>0</v>
      </c>
      <c r="IB90" t="e">
        <f>AND('PROG FORMACIÓN TITULADA'!A579,"AAAAAHSPf+s=")</f>
        <v>#VALUE!</v>
      </c>
      <c r="IC90" t="e">
        <f>AND('PROG FORMACIÓN TITULADA'!B579,"AAAAAHSPf+w=")</f>
        <v>#VALUE!</v>
      </c>
      <c r="ID90" t="e">
        <f>AND('PROG FORMACIÓN TITULADA'!C579,"AAAAAHSPf+0=")</f>
        <v>#VALUE!</v>
      </c>
      <c r="IE90" t="e">
        <f>AND('PROG FORMACIÓN TITULADA'!D579,"AAAAAHSPf+4=")</f>
        <v>#VALUE!</v>
      </c>
      <c r="IF90" t="e">
        <f>AND('PROG FORMACIÓN TITULADA'!E579,"AAAAAHSPf+8=")</f>
        <v>#VALUE!</v>
      </c>
      <c r="IG90" t="e">
        <f>AND('PROG FORMACIÓN TITULADA'!F579,"AAAAAHSPf/A=")</f>
        <v>#VALUE!</v>
      </c>
      <c r="IH90" t="e">
        <f>AND('PROG FORMACIÓN TITULADA'!G579,"AAAAAHSPf/E=")</f>
        <v>#VALUE!</v>
      </c>
      <c r="II90" t="e">
        <f>AND('PROG FORMACIÓN TITULADA'!H579,"AAAAAHSPf/I=")</f>
        <v>#VALUE!</v>
      </c>
      <c r="IJ90" t="e">
        <f>AND('PROG FORMACIÓN TITULADA'!I579,"AAAAAHSPf/M=")</f>
        <v>#VALUE!</v>
      </c>
      <c r="IK90" t="e">
        <f>AND('PROG FORMACIÓN TITULADA'!J579,"AAAAAHSPf/Q=")</f>
        <v>#VALUE!</v>
      </c>
      <c r="IL90" t="e">
        <f>AND('PROG FORMACIÓN TITULADA'!K579,"AAAAAHSPf/U=")</f>
        <v>#VALUE!</v>
      </c>
      <c r="IM90" t="e">
        <f>AND('PROG FORMACIÓN TITULADA'!L579,"AAAAAHSPf/Y=")</f>
        <v>#VALUE!</v>
      </c>
      <c r="IN90" t="e">
        <f>AND('PROG FORMACIÓN TITULADA'!M579,"AAAAAHSPf/c=")</f>
        <v>#VALUE!</v>
      </c>
      <c r="IO90" t="e">
        <f>AND('PROG FORMACIÓN TITULADA'!N579,"AAAAAHSPf/g=")</f>
        <v>#VALUE!</v>
      </c>
      <c r="IP90" t="e">
        <f>AND('PROG FORMACIÓN TITULADA'!O579,"AAAAAHSPf/k=")</f>
        <v>#VALUE!</v>
      </c>
      <c r="IQ90" t="e">
        <f>AND('PROG FORMACIÓN TITULADA'!P579,"AAAAAHSPf/o=")</f>
        <v>#VALUE!</v>
      </c>
      <c r="IR90" t="e">
        <f>AND('PROG FORMACIÓN TITULADA'!Q579,"AAAAAHSPf/s=")</f>
        <v>#VALUE!</v>
      </c>
      <c r="IS90" t="e">
        <f>AND('PROG FORMACIÓN TITULADA'!R579,"AAAAAHSPf/w=")</f>
        <v>#VALUE!</v>
      </c>
      <c r="IT90" t="e">
        <f>AND('PROG FORMACIÓN TITULADA'!S579,"AAAAAHSPf/0=")</f>
        <v>#VALUE!</v>
      </c>
      <c r="IU90" t="e">
        <f>AND('PROG FORMACIÓN TITULADA'!T579,"AAAAAHSPf/4=")</f>
        <v>#VALUE!</v>
      </c>
      <c r="IV90" t="e">
        <f>AND('PROG FORMACIÓN TITULADA'!U579,"AAAAAHSPf/8=")</f>
        <v>#VALUE!</v>
      </c>
    </row>
    <row r="91" spans="1:256" x14ac:dyDescent="0.2">
      <c r="A91" t="e">
        <f>AND('PROG FORMACIÓN TITULADA'!V579,"AAAAAHy5vgA=")</f>
        <v>#VALUE!</v>
      </c>
      <c r="B91" t="e">
        <f>AND('PROG FORMACIÓN TITULADA'!W579,"AAAAAHy5vgE=")</f>
        <v>#VALUE!</v>
      </c>
      <c r="C91" t="e">
        <f>AND('PROG FORMACIÓN TITULADA'!X579,"AAAAAHy5vgI=")</f>
        <v>#VALUE!</v>
      </c>
      <c r="D91" t="e">
        <f>AND('PROG FORMACIÓN TITULADA'!Y579,"AAAAAHy5vgM=")</f>
        <v>#VALUE!</v>
      </c>
      <c r="E91" t="e">
        <f>AND('PROG FORMACIÓN TITULADA'!Z579,"AAAAAHy5vgQ=")</f>
        <v>#VALUE!</v>
      </c>
      <c r="F91">
        <f>IF('PROG FORMACIÓN TITULADA'!580:580,"AAAAAHy5vgU=",0)</f>
        <v>0</v>
      </c>
      <c r="G91" t="e">
        <f>AND('PROG FORMACIÓN TITULADA'!A580,"AAAAAHy5vgY=")</f>
        <v>#VALUE!</v>
      </c>
      <c r="H91" t="e">
        <f>AND('PROG FORMACIÓN TITULADA'!B580,"AAAAAHy5vgc=")</f>
        <v>#VALUE!</v>
      </c>
      <c r="I91" t="e">
        <f>AND('PROG FORMACIÓN TITULADA'!C580,"AAAAAHy5vgg=")</f>
        <v>#VALUE!</v>
      </c>
      <c r="J91" t="e">
        <f>AND('PROG FORMACIÓN TITULADA'!D580,"AAAAAHy5vgk=")</f>
        <v>#VALUE!</v>
      </c>
      <c r="K91" t="e">
        <f>AND('PROG FORMACIÓN TITULADA'!E580,"AAAAAHy5vgo=")</f>
        <v>#VALUE!</v>
      </c>
      <c r="L91" t="e">
        <f>AND('PROG FORMACIÓN TITULADA'!F580,"AAAAAHy5vgs=")</f>
        <v>#VALUE!</v>
      </c>
      <c r="M91" t="e">
        <f>AND('PROG FORMACIÓN TITULADA'!G580,"AAAAAHy5vgw=")</f>
        <v>#VALUE!</v>
      </c>
      <c r="N91" t="e">
        <f>AND('PROG FORMACIÓN TITULADA'!H580,"AAAAAHy5vg0=")</f>
        <v>#VALUE!</v>
      </c>
      <c r="O91" t="e">
        <f>AND('PROG FORMACIÓN TITULADA'!I580,"AAAAAHy5vg4=")</f>
        <v>#VALUE!</v>
      </c>
      <c r="P91" t="e">
        <f>AND('PROG FORMACIÓN TITULADA'!J580,"AAAAAHy5vg8=")</f>
        <v>#VALUE!</v>
      </c>
      <c r="Q91" t="e">
        <f>AND('PROG FORMACIÓN TITULADA'!K580,"AAAAAHy5vhA=")</f>
        <v>#VALUE!</v>
      </c>
      <c r="R91" t="e">
        <f>AND('PROG FORMACIÓN TITULADA'!L580,"AAAAAHy5vhE=")</f>
        <v>#VALUE!</v>
      </c>
      <c r="S91" t="e">
        <f>AND('PROG FORMACIÓN TITULADA'!M580,"AAAAAHy5vhI=")</f>
        <v>#VALUE!</v>
      </c>
      <c r="T91" t="e">
        <f>AND('PROG FORMACIÓN TITULADA'!N580,"AAAAAHy5vhM=")</f>
        <v>#VALUE!</v>
      </c>
      <c r="U91" t="e">
        <f>AND('PROG FORMACIÓN TITULADA'!O580,"AAAAAHy5vhQ=")</f>
        <v>#VALUE!</v>
      </c>
      <c r="V91" t="e">
        <f>AND('PROG FORMACIÓN TITULADA'!P580,"AAAAAHy5vhU=")</f>
        <v>#VALUE!</v>
      </c>
      <c r="W91" t="e">
        <f>AND('PROG FORMACIÓN TITULADA'!Q580,"AAAAAHy5vhY=")</f>
        <v>#VALUE!</v>
      </c>
      <c r="X91" t="e">
        <f>AND('PROG FORMACIÓN TITULADA'!R580,"AAAAAHy5vhc=")</f>
        <v>#VALUE!</v>
      </c>
      <c r="Y91" t="e">
        <f>AND('PROG FORMACIÓN TITULADA'!S580,"AAAAAHy5vhg=")</f>
        <v>#VALUE!</v>
      </c>
      <c r="Z91" t="e">
        <f>AND('PROG FORMACIÓN TITULADA'!T580,"AAAAAHy5vhk=")</f>
        <v>#VALUE!</v>
      </c>
      <c r="AA91" t="e">
        <f>AND('PROG FORMACIÓN TITULADA'!U580,"AAAAAHy5vho=")</f>
        <v>#VALUE!</v>
      </c>
      <c r="AB91" t="e">
        <f>AND('PROG FORMACIÓN TITULADA'!V580,"AAAAAHy5vhs=")</f>
        <v>#VALUE!</v>
      </c>
      <c r="AC91" t="e">
        <f>AND('PROG FORMACIÓN TITULADA'!W580,"AAAAAHy5vhw=")</f>
        <v>#VALUE!</v>
      </c>
      <c r="AD91" t="e">
        <f>AND('PROG FORMACIÓN TITULADA'!X580,"AAAAAHy5vh0=")</f>
        <v>#VALUE!</v>
      </c>
      <c r="AE91" t="e">
        <f>AND('PROG FORMACIÓN TITULADA'!Y580,"AAAAAHy5vh4=")</f>
        <v>#VALUE!</v>
      </c>
      <c r="AF91" t="e">
        <f>AND('PROG FORMACIÓN TITULADA'!Z580,"AAAAAHy5vh8=")</f>
        <v>#VALUE!</v>
      </c>
      <c r="AG91">
        <f>IF('PROG FORMACIÓN TITULADA'!581:581,"AAAAAHy5viA=",0)</f>
        <v>0</v>
      </c>
      <c r="AH91" t="e">
        <f>AND('PROG FORMACIÓN TITULADA'!A581,"AAAAAHy5viE=")</f>
        <v>#VALUE!</v>
      </c>
      <c r="AI91" t="e">
        <f>AND('PROG FORMACIÓN TITULADA'!B581,"AAAAAHy5viI=")</f>
        <v>#VALUE!</v>
      </c>
      <c r="AJ91" t="e">
        <f>AND('PROG FORMACIÓN TITULADA'!C581,"AAAAAHy5viM=")</f>
        <v>#VALUE!</v>
      </c>
      <c r="AK91" t="e">
        <f>AND('PROG FORMACIÓN TITULADA'!D581,"AAAAAHy5viQ=")</f>
        <v>#VALUE!</v>
      </c>
      <c r="AL91" t="e">
        <f>AND('PROG FORMACIÓN TITULADA'!E581,"AAAAAHy5viU=")</f>
        <v>#VALUE!</v>
      </c>
      <c r="AM91" t="e">
        <f>AND('PROG FORMACIÓN TITULADA'!F581,"AAAAAHy5viY=")</f>
        <v>#VALUE!</v>
      </c>
      <c r="AN91" t="e">
        <f>AND('PROG FORMACIÓN TITULADA'!G581,"AAAAAHy5vic=")</f>
        <v>#VALUE!</v>
      </c>
      <c r="AO91" t="e">
        <f>AND('PROG FORMACIÓN TITULADA'!H581,"AAAAAHy5vig=")</f>
        <v>#VALUE!</v>
      </c>
      <c r="AP91" t="e">
        <f>AND('PROG FORMACIÓN TITULADA'!I581,"AAAAAHy5vik=")</f>
        <v>#VALUE!</v>
      </c>
      <c r="AQ91" t="e">
        <f>AND('PROG FORMACIÓN TITULADA'!J581,"AAAAAHy5vio=")</f>
        <v>#VALUE!</v>
      </c>
      <c r="AR91" t="e">
        <f>AND('PROG FORMACIÓN TITULADA'!K581,"AAAAAHy5vis=")</f>
        <v>#VALUE!</v>
      </c>
      <c r="AS91" t="e">
        <f>AND('PROG FORMACIÓN TITULADA'!L581,"AAAAAHy5viw=")</f>
        <v>#VALUE!</v>
      </c>
      <c r="AT91" t="e">
        <f>AND('PROG FORMACIÓN TITULADA'!M581,"AAAAAHy5vi0=")</f>
        <v>#VALUE!</v>
      </c>
      <c r="AU91" t="e">
        <f>AND('PROG FORMACIÓN TITULADA'!N581,"AAAAAHy5vi4=")</f>
        <v>#VALUE!</v>
      </c>
      <c r="AV91" t="e">
        <f>AND('PROG FORMACIÓN TITULADA'!O581,"AAAAAHy5vi8=")</f>
        <v>#VALUE!</v>
      </c>
      <c r="AW91" t="e">
        <f>AND('PROG FORMACIÓN TITULADA'!P581,"AAAAAHy5vjA=")</f>
        <v>#VALUE!</v>
      </c>
      <c r="AX91" t="e">
        <f>AND('PROG FORMACIÓN TITULADA'!Q581,"AAAAAHy5vjE=")</f>
        <v>#VALUE!</v>
      </c>
      <c r="AY91" t="e">
        <f>AND('PROG FORMACIÓN TITULADA'!R581,"AAAAAHy5vjI=")</f>
        <v>#VALUE!</v>
      </c>
      <c r="AZ91" t="e">
        <f>AND('PROG FORMACIÓN TITULADA'!S581,"AAAAAHy5vjM=")</f>
        <v>#VALUE!</v>
      </c>
      <c r="BA91" t="e">
        <f>AND('PROG FORMACIÓN TITULADA'!T581,"AAAAAHy5vjQ=")</f>
        <v>#VALUE!</v>
      </c>
      <c r="BB91" t="e">
        <f>AND('PROG FORMACIÓN TITULADA'!U581,"AAAAAHy5vjU=")</f>
        <v>#VALUE!</v>
      </c>
      <c r="BC91" t="e">
        <f>AND('PROG FORMACIÓN TITULADA'!V581,"AAAAAHy5vjY=")</f>
        <v>#VALUE!</v>
      </c>
      <c r="BD91" t="e">
        <f>AND('PROG FORMACIÓN TITULADA'!W581,"AAAAAHy5vjc=")</f>
        <v>#VALUE!</v>
      </c>
      <c r="BE91" t="e">
        <f>AND('PROG FORMACIÓN TITULADA'!X581,"AAAAAHy5vjg=")</f>
        <v>#VALUE!</v>
      </c>
      <c r="BF91" t="e">
        <f>AND('PROG FORMACIÓN TITULADA'!Y581,"AAAAAHy5vjk=")</f>
        <v>#VALUE!</v>
      </c>
      <c r="BG91" t="e">
        <f>AND('PROG FORMACIÓN TITULADA'!Z581,"AAAAAHy5vjo=")</f>
        <v>#VALUE!</v>
      </c>
      <c r="BH91">
        <f>IF('PROG FORMACIÓN TITULADA'!582:582,"AAAAAHy5vjs=",0)</f>
        <v>0</v>
      </c>
      <c r="BI91" t="e">
        <f>AND('PROG FORMACIÓN TITULADA'!A582,"AAAAAHy5vjw=")</f>
        <v>#VALUE!</v>
      </c>
      <c r="BJ91" t="e">
        <f>AND('PROG FORMACIÓN TITULADA'!B582,"AAAAAHy5vj0=")</f>
        <v>#VALUE!</v>
      </c>
      <c r="BK91" t="e">
        <f>AND('PROG FORMACIÓN TITULADA'!C582,"AAAAAHy5vj4=")</f>
        <v>#VALUE!</v>
      </c>
      <c r="BL91" t="e">
        <f>AND('PROG FORMACIÓN TITULADA'!D582,"AAAAAHy5vj8=")</f>
        <v>#VALUE!</v>
      </c>
      <c r="BM91" t="e">
        <f>AND('PROG FORMACIÓN TITULADA'!E582,"AAAAAHy5vkA=")</f>
        <v>#VALUE!</v>
      </c>
      <c r="BN91" t="e">
        <f>AND('PROG FORMACIÓN TITULADA'!F582,"AAAAAHy5vkE=")</f>
        <v>#VALUE!</v>
      </c>
      <c r="BO91" t="e">
        <f>AND('PROG FORMACIÓN TITULADA'!G582,"AAAAAHy5vkI=")</f>
        <v>#VALUE!</v>
      </c>
      <c r="BP91" t="e">
        <f>AND('PROG FORMACIÓN TITULADA'!H582,"AAAAAHy5vkM=")</f>
        <v>#VALUE!</v>
      </c>
      <c r="BQ91" t="e">
        <f>AND('PROG FORMACIÓN TITULADA'!I582,"AAAAAHy5vkQ=")</f>
        <v>#VALUE!</v>
      </c>
      <c r="BR91" t="e">
        <f>AND('PROG FORMACIÓN TITULADA'!J582,"AAAAAHy5vkU=")</f>
        <v>#VALUE!</v>
      </c>
      <c r="BS91" t="e">
        <f>AND('PROG FORMACIÓN TITULADA'!K582,"AAAAAHy5vkY=")</f>
        <v>#VALUE!</v>
      </c>
      <c r="BT91" t="e">
        <f>AND('PROG FORMACIÓN TITULADA'!L582,"AAAAAHy5vkc=")</f>
        <v>#VALUE!</v>
      </c>
      <c r="BU91" t="e">
        <f>AND('PROG FORMACIÓN TITULADA'!M582,"AAAAAHy5vkg=")</f>
        <v>#VALUE!</v>
      </c>
      <c r="BV91" t="e">
        <f>AND('PROG FORMACIÓN TITULADA'!N582,"AAAAAHy5vkk=")</f>
        <v>#VALUE!</v>
      </c>
      <c r="BW91" t="e">
        <f>AND('PROG FORMACIÓN TITULADA'!O582,"AAAAAHy5vko=")</f>
        <v>#VALUE!</v>
      </c>
      <c r="BX91" t="e">
        <f>AND('PROG FORMACIÓN TITULADA'!P582,"AAAAAHy5vks=")</f>
        <v>#VALUE!</v>
      </c>
      <c r="BY91" t="e">
        <f>AND('PROG FORMACIÓN TITULADA'!Q582,"AAAAAHy5vkw=")</f>
        <v>#VALUE!</v>
      </c>
      <c r="BZ91" t="e">
        <f>AND('PROG FORMACIÓN TITULADA'!R582,"AAAAAHy5vk0=")</f>
        <v>#VALUE!</v>
      </c>
      <c r="CA91" t="e">
        <f>AND('PROG FORMACIÓN TITULADA'!S582,"AAAAAHy5vk4=")</f>
        <v>#VALUE!</v>
      </c>
      <c r="CB91" t="e">
        <f>AND('PROG FORMACIÓN TITULADA'!T582,"AAAAAHy5vk8=")</f>
        <v>#VALUE!</v>
      </c>
      <c r="CC91" t="e">
        <f>AND('PROG FORMACIÓN TITULADA'!U582,"AAAAAHy5vlA=")</f>
        <v>#VALUE!</v>
      </c>
      <c r="CD91" t="e">
        <f>AND('PROG FORMACIÓN TITULADA'!V582,"AAAAAHy5vlE=")</f>
        <v>#VALUE!</v>
      </c>
      <c r="CE91" t="e">
        <f>AND('PROG FORMACIÓN TITULADA'!W582,"AAAAAHy5vlI=")</f>
        <v>#VALUE!</v>
      </c>
      <c r="CF91" t="e">
        <f>AND('PROG FORMACIÓN TITULADA'!X582,"AAAAAHy5vlM=")</f>
        <v>#VALUE!</v>
      </c>
      <c r="CG91" t="e">
        <f>AND('PROG FORMACIÓN TITULADA'!Y582,"AAAAAHy5vlQ=")</f>
        <v>#VALUE!</v>
      </c>
      <c r="CH91" t="e">
        <f>AND('PROG FORMACIÓN TITULADA'!Z582,"AAAAAHy5vlU=")</f>
        <v>#VALUE!</v>
      </c>
      <c r="CI91">
        <f>IF('PROG FORMACIÓN TITULADA'!583:583,"AAAAAHy5vlY=",0)</f>
        <v>0</v>
      </c>
      <c r="CJ91" t="e">
        <f>AND('PROG FORMACIÓN TITULADA'!A583,"AAAAAHy5vlc=")</f>
        <v>#VALUE!</v>
      </c>
      <c r="CK91" t="e">
        <f>AND('PROG FORMACIÓN TITULADA'!B583,"AAAAAHy5vlg=")</f>
        <v>#VALUE!</v>
      </c>
      <c r="CL91" t="e">
        <f>AND('PROG FORMACIÓN TITULADA'!C583,"AAAAAHy5vlk=")</f>
        <v>#VALUE!</v>
      </c>
      <c r="CM91" t="e">
        <f>AND('PROG FORMACIÓN TITULADA'!D583,"AAAAAHy5vlo=")</f>
        <v>#VALUE!</v>
      </c>
      <c r="CN91" t="e">
        <f>AND('PROG FORMACIÓN TITULADA'!E583,"AAAAAHy5vls=")</f>
        <v>#VALUE!</v>
      </c>
      <c r="CO91" t="e">
        <f>AND('PROG FORMACIÓN TITULADA'!F583,"AAAAAHy5vlw=")</f>
        <v>#VALUE!</v>
      </c>
      <c r="CP91" t="e">
        <f>AND('PROG FORMACIÓN TITULADA'!G583,"AAAAAHy5vl0=")</f>
        <v>#VALUE!</v>
      </c>
      <c r="CQ91" t="e">
        <f>AND('PROG FORMACIÓN TITULADA'!H583,"AAAAAHy5vl4=")</f>
        <v>#VALUE!</v>
      </c>
      <c r="CR91" t="e">
        <f>AND('PROG FORMACIÓN TITULADA'!I583,"AAAAAHy5vl8=")</f>
        <v>#VALUE!</v>
      </c>
      <c r="CS91" t="e">
        <f>AND('PROG FORMACIÓN TITULADA'!J583,"AAAAAHy5vmA=")</f>
        <v>#VALUE!</v>
      </c>
      <c r="CT91" t="e">
        <f>AND('PROG FORMACIÓN TITULADA'!K583,"AAAAAHy5vmE=")</f>
        <v>#VALUE!</v>
      </c>
      <c r="CU91" t="e">
        <f>AND('PROG FORMACIÓN TITULADA'!L583,"AAAAAHy5vmI=")</f>
        <v>#VALUE!</v>
      </c>
      <c r="CV91" t="e">
        <f>AND('PROG FORMACIÓN TITULADA'!M583,"AAAAAHy5vmM=")</f>
        <v>#VALUE!</v>
      </c>
      <c r="CW91" t="e">
        <f>AND('PROG FORMACIÓN TITULADA'!N583,"AAAAAHy5vmQ=")</f>
        <v>#VALUE!</v>
      </c>
      <c r="CX91" t="e">
        <f>AND('PROG FORMACIÓN TITULADA'!O583,"AAAAAHy5vmU=")</f>
        <v>#VALUE!</v>
      </c>
      <c r="CY91" t="e">
        <f>AND('PROG FORMACIÓN TITULADA'!P583,"AAAAAHy5vmY=")</f>
        <v>#VALUE!</v>
      </c>
      <c r="CZ91" t="e">
        <f>AND('PROG FORMACIÓN TITULADA'!Q583,"AAAAAHy5vmc=")</f>
        <v>#VALUE!</v>
      </c>
      <c r="DA91" t="e">
        <f>AND('PROG FORMACIÓN TITULADA'!R583,"AAAAAHy5vmg=")</f>
        <v>#VALUE!</v>
      </c>
      <c r="DB91" t="e">
        <f>AND('PROG FORMACIÓN TITULADA'!S583,"AAAAAHy5vmk=")</f>
        <v>#VALUE!</v>
      </c>
      <c r="DC91" t="e">
        <f>AND('PROG FORMACIÓN TITULADA'!T583,"AAAAAHy5vmo=")</f>
        <v>#VALUE!</v>
      </c>
      <c r="DD91" t="e">
        <f>AND('PROG FORMACIÓN TITULADA'!U583,"AAAAAHy5vms=")</f>
        <v>#VALUE!</v>
      </c>
      <c r="DE91" t="e">
        <f>AND('PROG FORMACIÓN TITULADA'!V583,"AAAAAHy5vmw=")</f>
        <v>#VALUE!</v>
      </c>
      <c r="DF91" t="e">
        <f>AND('PROG FORMACIÓN TITULADA'!W583,"AAAAAHy5vm0=")</f>
        <v>#VALUE!</v>
      </c>
      <c r="DG91" t="e">
        <f>AND('PROG FORMACIÓN TITULADA'!X583,"AAAAAHy5vm4=")</f>
        <v>#VALUE!</v>
      </c>
      <c r="DH91" t="e">
        <f>AND('PROG FORMACIÓN TITULADA'!Y583,"AAAAAHy5vm8=")</f>
        <v>#VALUE!</v>
      </c>
      <c r="DI91" t="e">
        <f>AND('PROG FORMACIÓN TITULADA'!Z583,"AAAAAHy5vnA=")</f>
        <v>#VALUE!</v>
      </c>
      <c r="DJ91">
        <f>IF('PROG FORMACIÓN TITULADA'!584:584,"AAAAAHy5vnE=",0)</f>
        <v>0</v>
      </c>
      <c r="DK91" t="e">
        <f>AND('PROG FORMACIÓN TITULADA'!A584,"AAAAAHy5vnI=")</f>
        <v>#VALUE!</v>
      </c>
      <c r="DL91" t="e">
        <f>AND('PROG FORMACIÓN TITULADA'!B584,"AAAAAHy5vnM=")</f>
        <v>#VALUE!</v>
      </c>
      <c r="DM91" t="e">
        <f>AND('PROG FORMACIÓN TITULADA'!C584,"AAAAAHy5vnQ=")</f>
        <v>#VALUE!</v>
      </c>
      <c r="DN91" t="e">
        <f>AND('PROG FORMACIÓN TITULADA'!D584,"AAAAAHy5vnU=")</f>
        <v>#VALUE!</v>
      </c>
      <c r="DO91" t="e">
        <f>AND('PROG FORMACIÓN TITULADA'!E584,"AAAAAHy5vnY=")</f>
        <v>#VALUE!</v>
      </c>
      <c r="DP91" t="e">
        <f>AND('PROG FORMACIÓN TITULADA'!F584,"AAAAAHy5vnc=")</f>
        <v>#VALUE!</v>
      </c>
      <c r="DQ91" t="e">
        <f>AND('PROG FORMACIÓN TITULADA'!G584,"AAAAAHy5vng=")</f>
        <v>#VALUE!</v>
      </c>
      <c r="DR91" t="e">
        <f>AND('PROG FORMACIÓN TITULADA'!H584,"AAAAAHy5vnk=")</f>
        <v>#VALUE!</v>
      </c>
      <c r="DS91" t="e">
        <f>AND('PROG FORMACIÓN TITULADA'!I584,"AAAAAHy5vno=")</f>
        <v>#VALUE!</v>
      </c>
      <c r="DT91" t="e">
        <f>AND('PROG FORMACIÓN TITULADA'!J584,"AAAAAHy5vns=")</f>
        <v>#VALUE!</v>
      </c>
      <c r="DU91" t="e">
        <f>AND('PROG FORMACIÓN TITULADA'!K584,"AAAAAHy5vnw=")</f>
        <v>#VALUE!</v>
      </c>
      <c r="DV91" t="e">
        <f>AND('PROG FORMACIÓN TITULADA'!L584,"AAAAAHy5vn0=")</f>
        <v>#VALUE!</v>
      </c>
      <c r="DW91" t="e">
        <f>AND('PROG FORMACIÓN TITULADA'!M584,"AAAAAHy5vn4=")</f>
        <v>#VALUE!</v>
      </c>
      <c r="DX91" t="e">
        <f>AND('PROG FORMACIÓN TITULADA'!N584,"AAAAAHy5vn8=")</f>
        <v>#VALUE!</v>
      </c>
      <c r="DY91" t="e">
        <f>AND('PROG FORMACIÓN TITULADA'!O584,"AAAAAHy5voA=")</f>
        <v>#VALUE!</v>
      </c>
      <c r="DZ91" t="e">
        <f>AND('PROG FORMACIÓN TITULADA'!P584,"AAAAAHy5voE=")</f>
        <v>#VALUE!</v>
      </c>
      <c r="EA91" t="e">
        <f>AND('PROG FORMACIÓN TITULADA'!Q584,"AAAAAHy5voI=")</f>
        <v>#VALUE!</v>
      </c>
      <c r="EB91" t="e">
        <f>AND('PROG FORMACIÓN TITULADA'!R584,"AAAAAHy5voM=")</f>
        <v>#VALUE!</v>
      </c>
      <c r="EC91" t="e">
        <f>AND('PROG FORMACIÓN TITULADA'!S584,"AAAAAHy5voQ=")</f>
        <v>#VALUE!</v>
      </c>
      <c r="ED91" t="e">
        <f>AND('PROG FORMACIÓN TITULADA'!T584,"AAAAAHy5voU=")</f>
        <v>#VALUE!</v>
      </c>
      <c r="EE91" t="e">
        <f>AND('PROG FORMACIÓN TITULADA'!U584,"AAAAAHy5voY=")</f>
        <v>#VALUE!</v>
      </c>
      <c r="EF91" t="e">
        <f>AND('PROG FORMACIÓN TITULADA'!V584,"AAAAAHy5voc=")</f>
        <v>#VALUE!</v>
      </c>
      <c r="EG91" t="e">
        <f>AND('PROG FORMACIÓN TITULADA'!W584,"AAAAAHy5vog=")</f>
        <v>#VALUE!</v>
      </c>
      <c r="EH91" t="e">
        <f>AND('PROG FORMACIÓN TITULADA'!X584,"AAAAAHy5vok=")</f>
        <v>#VALUE!</v>
      </c>
      <c r="EI91" t="e">
        <f>AND('PROG FORMACIÓN TITULADA'!Y584,"AAAAAHy5voo=")</f>
        <v>#VALUE!</v>
      </c>
      <c r="EJ91" t="e">
        <f>AND('PROG FORMACIÓN TITULADA'!Z584,"AAAAAHy5vos=")</f>
        <v>#VALUE!</v>
      </c>
      <c r="EK91">
        <f>IF('PROG FORMACIÓN TITULADA'!585:585,"AAAAAHy5vow=",0)</f>
        <v>0</v>
      </c>
      <c r="EL91" t="e">
        <f>AND('PROG FORMACIÓN TITULADA'!A585,"AAAAAHy5vo0=")</f>
        <v>#VALUE!</v>
      </c>
      <c r="EM91" t="e">
        <f>AND('PROG FORMACIÓN TITULADA'!B585,"AAAAAHy5vo4=")</f>
        <v>#VALUE!</v>
      </c>
      <c r="EN91" t="e">
        <f>AND('PROG FORMACIÓN TITULADA'!C585,"AAAAAHy5vo8=")</f>
        <v>#VALUE!</v>
      </c>
      <c r="EO91" t="e">
        <f>AND('PROG FORMACIÓN TITULADA'!D585,"AAAAAHy5vpA=")</f>
        <v>#VALUE!</v>
      </c>
      <c r="EP91" t="e">
        <f>AND('PROG FORMACIÓN TITULADA'!E585,"AAAAAHy5vpE=")</f>
        <v>#VALUE!</v>
      </c>
      <c r="EQ91" t="e">
        <f>AND('PROG FORMACIÓN TITULADA'!F585,"AAAAAHy5vpI=")</f>
        <v>#VALUE!</v>
      </c>
      <c r="ER91" t="e">
        <f>AND('PROG FORMACIÓN TITULADA'!G585,"AAAAAHy5vpM=")</f>
        <v>#VALUE!</v>
      </c>
      <c r="ES91" t="e">
        <f>AND('PROG FORMACIÓN TITULADA'!H585,"AAAAAHy5vpQ=")</f>
        <v>#VALUE!</v>
      </c>
      <c r="ET91" t="e">
        <f>AND('PROG FORMACIÓN TITULADA'!I585,"AAAAAHy5vpU=")</f>
        <v>#VALUE!</v>
      </c>
      <c r="EU91" t="e">
        <f>AND('PROG FORMACIÓN TITULADA'!J585,"AAAAAHy5vpY=")</f>
        <v>#VALUE!</v>
      </c>
      <c r="EV91" t="e">
        <f>AND('PROG FORMACIÓN TITULADA'!K585,"AAAAAHy5vpc=")</f>
        <v>#VALUE!</v>
      </c>
      <c r="EW91" t="e">
        <f>AND('PROG FORMACIÓN TITULADA'!L585,"AAAAAHy5vpg=")</f>
        <v>#VALUE!</v>
      </c>
      <c r="EX91" t="e">
        <f>AND('PROG FORMACIÓN TITULADA'!M585,"AAAAAHy5vpk=")</f>
        <v>#VALUE!</v>
      </c>
      <c r="EY91" t="e">
        <f>AND('PROG FORMACIÓN TITULADA'!N585,"AAAAAHy5vpo=")</f>
        <v>#VALUE!</v>
      </c>
      <c r="EZ91" t="e">
        <f>AND('PROG FORMACIÓN TITULADA'!O585,"AAAAAHy5vps=")</f>
        <v>#VALUE!</v>
      </c>
      <c r="FA91" t="e">
        <f>AND('PROG FORMACIÓN TITULADA'!P585,"AAAAAHy5vpw=")</f>
        <v>#VALUE!</v>
      </c>
      <c r="FB91" t="e">
        <f>AND('PROG FORMACIÓN TITULADA'!Q585,"AAAAAHy5vp0=")</f>
        <v>#VALUE!</v>
      </c>
      <c r="FC91" t="e">
        <f>AND('PROG FORMACIÓN TITULADA'!R585,"AAAAAHy5vp4=")</f>
        <v>#VALUE!</v>
      </c>
      <c r="FD91" t="e">
        <f>AND('PROG FORMACIÓN TITULADA'!S585,"AAAAAHy5vp8=")</f>
        <v>#VALUE!</v>
      </c>
      <c r="FE91" t="e">
        <f>AND('PROG FORMACIÓN TITULADA'!T585,"AAAAAHy5vqA=")</f>
        <v>#VALUE!</v>
      </c>
      <c r="FF91" t="e">
        <f>AND('PROG FORMACIÓN TITULADA'!U585,"AAAAAHy5vqE=")</f>
        <v>#VALUE!</v>
      </c>
      <c r="FG91" t="e">
        <f>AND('PROG FORMACIÓN TITULADA'!V585,"AAAAAHy5vqI=")</f>
        <v>#VALUE!</v>
      </c>
      <c r="FH91" t="e">
        <f>AND('PROG FORMACIÓN TITULADA'!W585,"AAAAAHy5vqM=")</f>
        <v>#VALUE!</v>
      </c>
      <c r="FI91" t="e">
        <f>AND('PROG FORMACIÓN TITULADA'!X585,"AAAAAHy5vqQ=")</f>
        <v>#VALUE!</v>
      </c>
      <c r="FJ91" t="e">
        <f>AND('PROG FORMACIÓN TITULADA'!Y585,"AAAAAHy5vqU=")</f>
        <v>#VALUE!</v>
      </c>
      <c r="FK91" t="e">
        <f>AND('PROG FORMACIÓN TITULADA'!Z585,"AAAAAHy5vqY=")</f>
        <v>#VALUE!</v>
      </c>
      <c r="FL91">
        <f>IF('PROG FORMACIÓN TITULADA'!586:586,"AAAAAHy5vqc=",0)</f>
        <v>0</v>
      </c>
      <c r="FM91" t="e">
        <f>AND('PROG FORMACIÓN TITULADA'!A586,"AAAAAHy5vqg=")</f>
        <v>#VALUE!</v>
      </c>
      <c r="FN91" t="e">
        <f>AND('PROG FORMACIÓN TITULADA'!B586,"AAAAAHy5vqk=")</f>
        <v>#VALUE!</v>
      </c>
      <c r="FO91" t="e">
        <f>AND('PROG FORMACIÓN TITULADA'!C586,"AAAAAHy5vqo=")</f>
        <v>#VALUE!</v>
      </c>
      <c r="FP91" t="e">
        <f>AND('PROG FORMACIÓN TITULADA'!D586,"AAAAAHy5vqs=")</f>
        <v>#VALUE!</v>
      </c>
      <c r="FQ91" t="e">
        <f>AND('PROG FORMACIÓN TITULADA'!E586,"AAAAAHy5vqw=")</f>
        <v>#VALUE!</v>
      </c>
      <c r="FR91" t="e">
        <f>AND('PROG FORMACIÓN TITULADA'!F586,"AAAAAHy5vq0=")</f>
        <v>#VALUE!</v>
      </c>
      <c r="FS91" t="e">
        <f>AND('PROG FORMACIÓN TITULADA'!G586,"AAAAAHy5vq4=")</f>
        <v>#VALUE!</v>
      </c>
      <c r="FT91" t="e">
        <f>AND('PROG FORMACIÓN TITULADA'!H586,"AAAAAHy5vq8=")</f>
        <v>#VALUE!</v>
      </c>
      <c r="FU91" t="e">
        <f>AND('PROG FORMACIÓN TITULADA'!I586,"AAAAAHy5vrA=")</f>
        <v>#VALUE!</v>
      </c>
      <c r="FV91" t="e">
        <f>AND('PROG FORMACIÓN TITULADA'!J586,"AAAAAHy5vrE=")</f>
        <v>#VALUE!</v>
      </c>
      <c r="FW91" t="e">
        <f>AND('PROG FORMACIÓN TITULADA'!K586,"AAAAAHy5vrI=")</f>
        <v>#VALUE!</v>
      </c>
      <c r="FX91" t="e">
        <f>AND('PROG FORMACIÓN TITULADA'!L586,"AAAAAHy5vrM=")</f>
        <v>#VALUE!</v>
      </c>
      <c r="FY91" t="e">
        <f>AND('PROG FORMACIÓN TITULADA'!M586,"AAAAAHy5vrQ=")</f>
        <v>#VALUE!</v>
      </c>
      <c r="FZ91" t="e">
        <f>AND('PROG FORMACIÓN TITULADA'!N586,"AAAAAHy5vrU=")</f>
        <v>#VALUE!</v>
      </c>
      <c r="GA91" t="e">
        <f>AND('PROG FORMACIÓN TITULADA'!O586,"AAAAAHy5vrY=")</f>
        <v>#VALUE!</v>
      </c>
      <c r="GB91" t="e">
        <f>AND('PROG FORMACIÓN TITULADA'!P586,"AAAAAHy5vrc=")</f>
        <v>#VALUE!</v>
      </c>
      <c r="GC91" t="e">
        <f>AND('PROG FORMACIÓN TITULADA'!Q586,"AAAAAHy5vrg=")</f>
        <v>#VALUE!</v>
      </c>
      <c r="GD91" t="e">
        <f>AND('PROG FORMACIÓN TITULADA'!R586,"AAAAAHy5vrk=")</f>
        <v>#VALUE!</v>
      </c>
      <c r="GE91" t="e">
        <f>AND('PROG FORMACIÓN TITULADA'!S586,"AAAAAHy5vro=")</f>
        <v>#VALUE!</v>
      </c>
      <c r="GF91" t="e">
        <f>AND('PROG FORMACIÓN TITULADA'!T586,"AAAAAHy5vrs=")</f>
        <v>#VALUE!</v>
      </c>
      <c r="GG91" t="e">
        <f>AND('PROG FORMACIÓN TITULADA'!U586,"AAAAAHy5vrw=")</f>
        <v>#VALUE!</v>
      </c>
      <c r="GH91" t="e">
        <f>AND('PROG FORMACIÓN TITULADA'!V586,"AAAAAHy5vr0=")</f>
        <v>#VALUE!</v>
      </c>
      <c r="GI91" t="e">
        <f>AND('PROG FORMACIÓN TITULADA'!W586,"AAAAAHy5vr4=")</f>
        <v>#VALUE!</v>
      </c>
      <c r="GJ91" t="e">
        <f>AND('PROG FORMACIÓN TITULADA'!X586,"AAAAAHy5vr8=")</f>
        <v>#VALUE!</v>
      </c>
      <c r="GK91" t="e">
        <f>AND('PROG FORMACIÓN TITULADA'!Y586,"AAAAAHy5vsA=")</f>
        <v>#VALUE!</v>
      </c>
      <c r="GL91" t="e">
        <f>AND('PROG FORMACIÓN TITULADA'!Z586,"AAAAAHy5vsE=")</f>
        <v>#VALUE!</v>
      </c>
      <c r="GM91">
        <f>IF('PROG FORMACIÓN TITULADA'!587:587,"AAAAAHy5vsI=",0)</f>
        <v>0</v>
      </c>
      <c r="GN91" t="e">
        <f>AND('PROG FORMACIÓN TITULADA'!A587,"AAAAAHy5vsM=")</f>
        <v>#VALUE!</v>
      </c>
      <c r="GO91" t="e">
        <f>AND('PROG FORMACIÓN TITULADA'!B587,"AAAAAHy5vsQ=")</f>
        <v>#VALUE!</v>
      </c>
      <c r="GP91" t="e">
        <f>AND('PROG FORMACIÓN TITULADA'!C587,"AAAAAHy5vsU=")</f>
        <v>#VALUE!</v>
      </c>
      <c r="GQ91" t="e">
        <f>AND('PROG FORMACIÓN TITULADA'!D587,"AAAAAHy5vsY=")</f>
        <v>#VALUE!</v>
      </c>
      <c r="GR91" t="e">
        <f>AND('PROG FORMACIÓN TITULADA'!E587,"AAAAAHy5vsc=")</f>
        <v>#VALUE!</v>
      </c>
      <c r="GS91" t="e">
        <f>AND('PROG FORMACIÓN TITULADA'!F587,"AAAAAHy5vsg=")</f>
        <v>#VALUE!</v>
      </c>
      <c r="GT91" t="e">
        <f>AND('PROG FORMACIÓN TITULADA'!G587,"AAAAAHy5vsk=")</f>
        <v>#VALUE!</v>
      </c>
      <c r="GU91" t="e">
        <f>AND('PROG FORMACIÓN TITULADA'!H587,"AAAAAHy5vso=")</f>
        <v>#VALUE!</v>
      </c>
      <c r="GV91" t="e">
        <f>AND('PROG FORMACIÓN TITULADA'!I587,"AAAAAHy5vss=")</f>
        <v>#VALUE!</v>
      </c>
      <c r="GW91" t="e">
        <f>AND('PROG FORMACIÓN TITULADA'!J587,"AAAAAHy5vsw=")</f>
        <v>#VALUE!</v>
      </c>
      <c r="GX91" t="e">
        <f>AND('PROG FORMACIÓN TITULADA'!K587,"AAAAAHy5vs0=")</f>
        <v>#VALUE!</v>
      </c>
      <c r="GY91" t="e">
        <f>AND('PROG FORMACIÓN TITULADA'!L587,"AAAAAHy5vs4=")</f>
        <v>#VALUE!</v>
      </c>
      <c r="GZ91" t="e">
        <f>AND('PROG FORMACIÓN TITULADA'!M587,"AAAAAHy5vs8=")</f>
        <v>#VALUE!</v>
      </c>
      <c r="HA91" t="e">
        <f>AND('PROG FORMACIÓN TITULADA'!N587,"AAAAAHy5vtA=")</f>
        <v>#VALUE!</v>
      </c>
      <c r="HB91" t="e">
        <f>AND('PROG FORMACIÓN TITULADA'!O587,"AAAAAHy5vtE=")</f>
        <v>#VALUE!</v>
      </c>
      <c r="HC91" t="e">
        <f>AND('PROG FORMACIÓN TITULADA'!P587,"AAAAAHy5vtI=")</f>
        <v>#VALUE!</v>
      </c>
      <c r="HD91" t="e">
        <f>AND('PROG FORMACIÓN TITULADA'!Q587,"AAAAAHy5vtM=")</f>
        <v>#VALUE!</v>
      </c>
      <c r="HE91" t="e">
        <f>AND('PROG FORMACIÓN TITULADA'!R587,"AAAAAHy5vtQ=")</f>
        <v>#VALUE!</v>
      </c>
      <c r="HF91" t="e">
        <f>AND('PROG FORMACIÓN TITULADA'!S587,"AAAAAHy5vtU=")</f>
        <v>#VALUE!</v>
      </c>
      <c r="HG91" t="e">
        <f>AND('PROG FORMACIÓN TITULADA'!T587,"AAAAAHy5vtY=")</f>
        <v>#VALUE!</v>
      </c>
      <c r="HH91" t="e">
        <f>AND('PROG FORMACIÓN TITULADA'!U587,"AAAAAHy5vtc=")</f>
        <v>#VALUE!</v>
      </c>
      <c r="HI91" t="e">
        <f>AND('PROG FORMACIÓN TITULADA'!V587,"AAAAAHy5vtg=")</f>
        <v>#VALUE!</v>
      </c>
      <c r="HJ91" t="e">
        <f>AND('PROG FORMACIÓN TITULADA'!W587,"AAAAAHy5vtk=")</f>
        <v>#VALUE!</v>
      </c>
      <c r="HK91" t="e">
        <f>AND('PROG FORMACIÓN TITULADA'!X587,"AAAAAHy5vto=")</f>
        <v>#VALUE!</v>
      </c>
      <c r="HL91" t="e">
        <f>AND('PROG FORMACIÓN TITULADA'!Y587,"AAAAAHy5vts=")</f>
        <v>#VALUE!</v>
      </c>
      <c r="HM91" t="e">
        <f>AND('PROG FORMACIÓN TITULADA'!Z587,"AAAAAHy5vtw=")</f>
        <v>#VALUE!</v>
      </c>
      <c r="HN91">
        <f>IF('PROG FORMACIÓN TITULADA'!588:588,"AAAAAHy5vt0=",0)</f>
        <v>0</v>
      </c>
      <c r="HO91" t="e">
        <f>AND('PROG FORMACIÓN TITULADA'!A588,"AAAAAHy5vt4=")</f>
        <v>#VALUE!</v>
      </c>
      <c r="HP91" t="e">
        <f>AND('PROG FORMACIÓN TITULADA'!B588,"AAAAAHy5vt8=")</f>
        <v>#VALUE!</v>
      </c>
      <c r="HQ91" t="e">
        <f>AND('PROG FORMACIÓN TITULADA'!C588,"AAAAAHy5vuA=")</f>
        <v>#VALUE!</v>
      </c>
      <c r="HR91" t="e">
        <f>AND('PROG FORMACIÓN TITULADA'!D588,"AAAAAHy5vuE=")</f>
        <v>#VALUE!</v>
      </c>
      <c r="HS91" t="e">
        <f>AND('PROG FORMACIÓN TITULADA'!E588,"AAAAAHy5vuI=")</f>
        <v>#VALUE!</v>
      </c>
      <c r="HT91" t="e">
        <f>AND('PROG FORMACIÓN TITULADA'!F588,"AAAAAHy5vuM=")</f>
        <v>#VALUE!</v>
      </c>
      <c r="HU91" t="e">
        <f>AND('PROG FORMACIÓN TITULADA'!G588,"AAAAAHy5vuQ=")</f>
        <v>#VALUE!</v>
      </c>
      <c r="HV91" t="e">
        <f>AND('PROG FORMACIÓN TITULADA'!H588,"AAAAAHy5vuU=")</f>
        <v>#VALUE!</v>
      </c>
      <c r="HW91" t="e">
        <f>AND('PROG FORMACIÓN TITULADA'!I588,"AAAAAHy5vuY=")</f>
        <v>#VALUE!</v>
      </c>
      <c r="HX91" t="e">
        <f>AND('PROG FORMACIÓN TITULADA'!J588,"AAAAAHy5vuc=")</f>
        <v>#VALUE!</v>
      </c>
      <c r="HY91" t="e">
        <f>AND('PROG FORMACIÓN TITULADA'!K588,"AAAAAHy5vug=")</f>
        <v>#VALUE!</v>
      </c>
      <c r="HZ91" t="e">
        <f>AND('PROG FORMACIÓN TITULADA'!L588,"AAAAAHy5vuk=")</f>
        <v>#VALUE!</v>
      </c>
      <c r="IA91" t="e">
        <f>AND('PROG FORMACIÓN TITULADA'!M588,"AAAAAHy5vuo=")</f>
        <v>#VALUE!</v>
      </c>
      <c r="IB91" t="e">
        <f>AND('PROG FORMACIÓN TITULADA'!N588,"AAAAAHy5vus=")</f>
        <v>#VALUE!</v>
      </c>
      <c r="IC91" t="e">
        <f>AND('PROG FORMACIÓN TITULADA'!O588,"AAAAAHy5vuw=")</f>
        <v>#VALUE!</v>
      </c>
      <c r="ID91" t="e">
        <f>AND('PROG FORMACIÓN TITULADA'!P588,"AAAAAHy5vu0=")</f>
        <v>#VALUE!</v>
      </c>
      <c r="IE91" t="e">
        <f>AND('PROG FORMACIÓN TITULADA'!Q588,"AAAAAHy5vu4=")</f>
        <v>#VALUE!</v>
      </c>
      <c r="IF91" t="e">
        <f>AND('PROG FORMACIÓN TITULADA'!R588,"AAAAAHy5vu8=")</f>
        <v>#VALUE!</v>
      </c>
      <c r="IG91" t="e">
        <f>AND('PROG FORMACIÓN TITULADA'!S588,"AAAAAHy5vvA=")</f>
        <v>#VALUE!</v>
      </c>
      <c r="IH91" t="e">
        <f>AND('PROG FORMACIÓN TITULADA'!T588,"AAAAAHy5vvE=")</f>
        <v>#VALUE!</v>
      </c>
      <c r="II91" t="e">
        <f>AND('PROG FORMACIÓN TITULADA'!U588,"AAAAAHy5vvI=")</f>
        <v>#VALUE!</v>
      </c>
      <c r="IJ91" t="e">
        <f>AND('PROG FORMACIÓN TITULADA'!V588,"AAAAAHy5vvM=")</f>
        <v>#VALUE!</v>
      </c>
      <c r="IK91" t="e">
        <f>AND('PROG FORMACIÓN TITULADA'!W588,"AAAAAHy5vvQ=")</f>
        <v>#VALUE!</v>
      </c>
      <c r="IL91" t="e">
        <f>AND('PROG FORMACIÓN TITULADA'!X588,"AAAAAHy5vvU=")</f>
        <v>#VALUE!</v>
      </c>
      <c r="IM91" t="e">
        <f>AND('PROG FORMACIÓN TITULADA'!Y588,"AAAAAHy5vvY=")</f>
        <v>#VALUE!</v>
      </c>
      <c r="IN91" t="e">
        <f>AND('PROG FORMACIÓN TITULADA'!Z588,"AAAAAHy5vvc=")</f>
        <v>#VALUE!</v>
      </c>
      <c r="IO91">
        <f>IF('PROG FORMACIÓN TITULADA'!589:589,"AAAAAHy5vvg=",0)</f>
        <v>0</v>
      </c>
      <c r="IP91" t="e">
        <f>AND('PROG FORMACIÓN TITULADA'!A589,"AAAAAHy5vvk=")</f>
        <v>#VALUE!</v>
      </c>
      <c r="IQ91" t="e">
        <f>AND('PROG FORMACIÓN TITULADA'!B589,"AAAAAHy5vvo=")</f>
        <v>#VALUE!</v>
      </c>
      <c r="IR91" t="e">
        <f>AND('PROG FORMACIÓN TITULADA'!C589,"AAAAAHy5vvs=")</f>
        <v>#VALUE!</v>
      </c>
      <c r="IS91" t="e">
        <f>AND('PROG FORMACIÓN TITULADA'!D589,"AAAAAHy5vvw=")</f>
        <v>#VALUE!</v>
      </c>
      <c r="IT91" t="e">
        <f>AND('PROG FORMACIÓN TITULADA'!E589,"AAAAAHy5vv0=")</f>
        <v>#VALUE!</v>
      </c>
      <c r="IU91" t="e">
        <f>AND('PROG FORMACIÓN TITULADA'!F589,"AAAAAHy5vv4=")</f>
        <v>#VALUE!</v>
      </c>
      <c r="IV91" t="e">
        <f>AND('PROG FORMACIÓN TITULADA'!G589,"AAAAAHy5vv8=")</f>
        <v>#VALUE!</v>
      </c>
    </row>
    <row r="92" spans="1:256" x14ac:dyDescent="0.2">
      <c r="A92" t="e">
        <f>AND('PROG FORMACIÓN TITULADA'!H589,"AAAAADevVQA=")</f>
        <v>#VALUE!</v>
      </c>
      <c r="B92" t="e">
        <f>AND('PROG FORMACIÓN TITULADA'!I589,"AAAAADevVQE=")</f>
        <v>#VALUE!</v>
      </c>
      <c r="C92" t="e">
        <f>AND('PROG FORMACIÓN TITULADA'!J589,"AAAAADevVQI=")</f>
        <v>#VALUE!</v>
      </c>
      <c r="D92" t="e">
        <f>AND('PROG FORMACIÓN TITULADA'!K589,"AAAAADevVQM=")</f>
        <v>#VALUE!</v>
      </c>
      <c r="E92" t="e">
        <f>AND('PROG FORMACIÓN TITULADA'!L589,"AAAAADevVQQ=")</f>
        <v>#VALUE!</v>
      </c>
      <c r="F92" t="e">
        <f>AND('PROG FORMACIÓN TITULADA'!M589,"AAAAADevVQU=")</f>
        <v>#VALUE!</v>
      </c>
      <c r="G92" t="e">
        <f>AND('PROG FORMACIÓN TITULADA'!N589,"AAAAADevVQY=")</f>
        <v>#VALUE!</v>
      </c>
      <c r="H92" t="e">
        <f>AND('PROG FORMACIÓN TITULADA'!O589,"AAAAADevVQc=")</f>
        <v>#VALUE!</v>
      </c>
      <c r="I92" t="e">
        <f>AND('PROG FORMACIÓN TITULADA'!P589,"AAAAADevVQg=")</f>
        <v>#VALUE!</v>
      </c>
      <c r="J92" t="e">
        <f>AND('PROG FORMACIÓN TITULADA'!Q589,"AAAAADevVQk=")</f>
        <v>#VALUE!</v>
      </c>
      <c r="K92" t="e">
        <f>AND('PROG FORMACIÓN TITULADA'!R589,"AAAAADevVQo=")</f>
        <v>#VALUE!</v>
      </c>
      <c r="L92" t="e">
        <f>AND('PROG FORMACIÓN TITULADA'!S589,"AAAAADevVQs=")</f>
        <v>#VALUE!</v>
      </c>
      <c r="M92" t="e">
        <f>AND('PROG FORMACIÓN TITULADA'!T589,"AAAAADevVQw=")</f>
        <v>#VALUE!</v>
      </c>
      <c r="N92" t="e">
        <f>AND('PROG FORMACIÓN TITULADA'!U589,"AAAAADevVQ0=")</f>
        <v>#VALUE!</v>
      </c>
      <c r="O92" t="e">
        <f>AND('PROG FORMACIÓN TITULADA'!V589,"AAAAADevVQ4=")</f>
        <v>#VALUE!</v>
      </c>
      <c r="P92" t="e">
        <f>AND('PROG FORMACIÓN TITULADA'!W589,"AAAAADevVQ8=")</f>
        <v>#VALUE!</v>
      </c>
      <c r="Q92" t="e">
        <f>AND('PROG FORMACIÓN TITULADA'!X589,"AAAAADevVRA=")</f>
        <v>#VALUE!</v>
      </c>
      <c r="R92" t="e">
        <f>AND('PROG FORMACIÓN TITULADA'!Y589,"AAAAADevVRE=")</f>
        <v>#VALUE!</v>
      </c>
      <c r="S92" t="e">
        <f>AND('PROG FORMACIÓN TITULADA'!Z589,"AAAAADevVRI=")</f>
        <v>#VALUE!</v>
      </c>
      <c r="T92">
        <f>IF('PROG FORMACIÓN TITULADA'!590:590,"AAAAADevVRM=",0)</f>
        <v>0</v>
      </c>
      <c r="U92" t="e">
        <f>AND('PROG FORMACIÓN TITULADA'!A590,"AAAAADevVRQ=")</f>
        <v>#VALUE!</v>
      </c>
      <c r="V92" t="e">
        <f>AND('PROG FORMACIÓN TITULADA'!B590,"AAAAADevVRU=")</f>
        <v>#VALUE!</v>
      </c>
      <c r="W92" t="e">
        <f>AND('PROG FORMACIÓN TITULADA'!C590,"AAAAADevVRY=")</f>
        <v>#VALUE!</v>
      </c>
      <c r="X92" t="e">
        <f>AND('PROG FORMACIÓN TITULADA'!D590,"AAAAADevVRc=")</f>
        <v>#VALUE!</v>
      </c>
      <c r="Y92" t="e">
        <f>AND('PROG FORMACIÓN TITULADA'!E590,"AAAAADevVRg=")</f>
        <v>#VALUE!</v>
      </c>
      <c r="Z92" t="e">
        <f>AND('PROG FORMACIÓN TITULADA'!F590,"AAAAADevVRk=")</f>
        <v>#VALUE!</v>
      </c>
      <c r="AA92" t="e">
        <f>AND('PROG FORMACIÓN TITULADA'!G590,"AAAAADevVRo=")</f>
        <v>#VALUE!</v>
      </c>
      <c r="AB92" t="e">
        <f>AND('PROG FORMACIÓN TITULADA'!H590,"AAAAADevVRs=")</f>
        <v>#VALUE!</v>
      </c>
      <c r="AC92" t="e">
        <f>AND('PROG FORMACIÓN TITULADA'!I590,"AAAAADevVRw=")</f>
        <v>#VALUE!</v>
      </c>
      <c r="AD92" t="e">
        <f>AND('PROG FORMACIÓN TITULADA'!J590,"AAAAADevVR0=")</f>
        <v>#VALUE!</v>
      </c>
      <c r="AE92" t="e">
        <f>AND('PROG FORMACIÓN TITULADA'!K590,"AAAAADevVR4=")</f>
        <v>#VALUE!</v>
      </c>
      <c r="AF92" t="e">
        <f>AND('PROG FORMACIÓN TITULADA'!L590,"AAAAADevVR8=")</f>
        <v>#VALUE!</v>
      </c>
      <c r="AG92" t="e">
        <f>AND('PROG FORMACIÓN TITULADA'!M590,"AAAAADevVSA=")</f>
        <v>#VALUE!</v>
      </c>
      <c r="AH92" t="e">
        <f>AND('PROG FORMACIÓN TITULADA'!N590,"AAAAADevVSE=")</f>
        <v>#VALUE!</v>
      </c>
      <c r="AI92" t="e">
        <f>AND('PROG FORMACIÓN TITULADA'!O590,"AAAAADevVSI=")</f>
        <v>#VALUE!</v>
      </c>
      <c r="AJ92" t="e">
        <f>AND('PROG FORMACIÓN TITULADA'!P590,"AAAAADevVSM=")</f>
        <v>#VALUE!</v>
      </c>
      <c r="AK92" t="e">
        <f>AND('PROG FORMACIÓN TITULADA'!Q590,"AAAAADevVSQ=")</f>
        <v>#VALUE!</v>
      </c>
      <c r="AL92" t="e">
        <f>AND('PROG FORMACIÓN TITULADA'!R590,"AAAAADevVSU=")</f>
        <v>#VALUE!</v>
      </c>
      <c r="AM92" t="e">
        <f>AND('PROG FORMACIÓN TITULADA'!S590,"AAAAADevVSY=")</f>
        <v>#VALUE!</v>
      </c>
      <c r="AN92" t="e">
        <f>AND('PROG FORMACIÓN TITULADA'!T590,"AAAAADevVSc=")</f>
        <v>#VALUE!</v>
      </c>
      <c r="AO92" t="e">
        <f>AND('PROG FORMACIÓN TITULADA'!U590,"AAAAADevVSg=")</f>
        <v>#VALUE!</v>
      </c>
      <c r="AP92" t="e">
        <f>AND('PROG FORMACIÓN TITULADA'!V590,"AAAAADevVSk=")</f>
        <v>#VALUE!</v>
      </c>
      <c r="AQ92" t="e">
        <f>AND('PROG FORMACIÓN TITULADA'!W590,"AAAAADevVSo=")</f>
        <v>#VALUE!</v>
      </c>
      <c r="AR92" t="e">
        <f>AND('PROG FORMACIÓN TITULADA'!X590,"AAAAADevVSs=")</f>
        <v>#VALUE!</v>
      </c>
      <c r="AS92" t="e">
        <f>AND('PROG FORMACIÓN TITULADA'!Y590,"AAAAADevVSw=")</f>
        <v>#VALUE!</v>
      </c>
      <c r="AT92" t="e">
        <f>AND('PROG FORMACIÓN TITULADA'!Z590,"AAAAADevVS0=")</f>
        <v>#VALUE!</v>
      </c>
      <c r="AU92">
        <f>IF('PROG FORMACIÓN TITULADA'!591:591,"AAAAADevVS4=",0)</f>
        <v>0</v>
      </c>
      <c r="AV92" t="e">
        <f>AND('PROG FORMACIÓN TITULADA'!A591,"AAAAADevVS8=")</f>
        <v>#VALUE!</v>
      </c>
      <c r="AW92" t="e">
        <f>AND('PROG FORMACIÓN TITULADA'!B591,"AAAAADevVTA=")</f>
        <v>#VALUE!</v>
      </c>
      <c r="AX92" t="e">
        <f>AND('PROG FORMACIÓN TITULADA'!C591,"AAAAADevVTE=")</f>
        <v>#VALUE!</v>
      </c>
      <c r="AY92" t="e">
        <f>AND('PROG FORMACIÓN TITULADA'!D591,"AAAAADevVTI=")</f>
        <v>#VALUE!</v>
      </c>
      <c r="AZ92" t="e">
        <f>AND('PROG FORMACIÓN TITULADA'!E591,"AAAAADevVTM=")</f>
        <v>#VALUE!</v>
      </c>
      <c r="BA92" t="e">
        <f>AND('PROG FORMACIÓN TITULADA'!F591,"AAAAADevVTQ=")</f>
        <v>#VALUE!</v>
      </c>
      <c r="BB92" t="e">
        <f>AND('PROG FORMACIÓN TITULADA'!G591,"AAAAADevVTU=")</f>
        <v>#VALUE!</v>
      </c>
      <c r="BC92" t="e">
        <f>AND('PROG FORMACIÓN TITULADA'!H591,"AAAAADevVTY=")</f>
        <v>#VALUE!</v>
      </c>
      <c r="BD92" t="e">
        <f>AND('PROG FORMACIÓN TITULADA'!I591,"AAAAADevVTc=")</f>
        <v>#VALUE!</v>
      </c>
      <c r="BE92" t="e">
        <f>AND('PROG FORMACIÓN TITULADA'!J591,"AAAAADevVTg=")</f>
        <v>#VALUE!</v>
      </c>
      <c r="BF92" t="e">
        <f>AND('PROG FORMACIÓN TITULADA'!K591,"AAAAADevVTk=")</f>
        <v>#VALUE!</v>
      </c>
      <c r="BG92" t="e">
        <f>AND('PROG FORMACIÓN TITULADA'!L591,"AAAAADevVTo=")</f>
        <v>#VALUE!</v>
      </c>
      <c r="BH92" t="e">
        <f>AND('PROG FORMACIÓN TITULADA'!M591,"AAAAADevVTs=")</f>
        <v>#VALUE!</v>
      </c>
      <c r="BI92" t="e">
        <f>AND('PROG FORMACIÓN TITULADA'!N591,"AAAAADevVTw=")</f>
        <v>#VALUE!</v>
      </c>
      <c r="BJ92" t="e">
        <f>AND('PROG FORMACIÓN TITULADA'!O591,"AAAAADevVT0=")</f>
        <v>#VALUE!</v>
      </c>
      <c r="BK92" t="e">
        <f>AND('PROG FORMACIÓN TITULADA'!P591,"AAAAADevVT4=")</f>
        <v>#VALUE!</v>
      </c>
      <c r="BL92" t="e">
        <f>AND('PROG FORMACIÓN TITULADA'!Q591,"AAAAADevVT8=")</f>
        <v>#VALUE!</v>
      </c>
      <c r="BM92" t="e">
        <f>AND('PROG FORMACIÓN TITULADA'!R591,"AAAAADevVUA=")</f>
        <v>#VALUE!</v>
      </c>
      <c r="BN92" t="e">
        <f>AND('PROG FORMACIÓN TITULADA'!S591,"AAAAADevVUE=")</f>
        <v>#VALUE!</v>
      </c>
      <c r="BO92" t="e">
        <f>AND('PROG FORMACIÓN TITULADA'!T591,"AAAAADevVUI=")</f>
        <v>#VALUE!</v>
      </c>
      <c r="BP92" t="e">
        <f>AND('PROG FORMACIÓN TITULADA'!U591,"AAAAADevVUM=")</f>
        <v>#VALUE!</v>
      </c>
      <c r="BQ92" t="e">
        <f>AND('PROG FORMACIÓN TITULADA'!V591,"AAAAADevVUQ=")</f>
        <v>#VALUE!</v>
      </c>
      <c r="BR92" t="e">
        <f>AND('PROG FORMACIÓN TITULADA'!W591,"AAAAADevVUU=")</f>
        <v>#VALUE!</v>
      </c>
      <c r="BS92" t="e">
        <f>AND('PROG FORMACIÓN TITULADA'!X591,"AAAAADevVUY=")</f>
        <v>#VALUE!</v>
      </c>
      <c r="BT92" t="e">
        <f>AND('PROG FORMACIÓN TITULADA'!Y591,"AAAAADevVUc=")</f>
        <v>#VALUE!</v>
      </c>
      <c r="BU92" t="e">
        <f>AND('PROG FORMACIÓN TITULADA'!Z591,"AAAAADevVUg=")</f>
        <v>#VALUE!</v>
      </c>
      <c r="BV92">
        <f>IF('PROG FORMACIÓN TITULADA'!592:592,"AAAAADevVUk=",0)</f>
        <v>0</v>
      </c>
      <c r="BW92" t="e">
        <f>AND('PROG FORMACIÓN TITULADA'!A592,"AAAAADevVUo=")</f>
        <v>#VALUE!</v>
      </c>
      <c r="BX92" t="e">
        <f>AND('PROG FORMACIÓN TITULADA'!B592,"AAAAADevVUs=")</f>
        <v>#VALUE!</v>
      </c>
      <c r="BY92" t="e">
        <f>AND('PROG FORMACIÓN TITULADA'!C592,"AAAAADevVUw=")</f>
        <v>#VALUE!</v>
      </c>
      <c r="BZ92" t="e">
        <f>AND('PROG FORMACIÓN TITULADA'!D592,"AAAAADevVU0=")</f>
        <v>#VALUE!</v>
      </c>
      <c r="CA92" t="e">
        <f>AND('PROG FORMACIÓN TITULADA'!E592,"AAAAADevVU4=")</f>
        <v>#VALUE!</v>
      </c>
      <c r="CB92" t="e">
        <f>AND('PROG FORMACIÓN TITULADA'!F592,"AAAAADevVU8=")</f>
        <v>#VALUE!</v>
      </c>
      <c r="CC92" t="e">
        <f>AND('PROG FORMACIÓN TITULADA'!G592,"AAAAADevVVA=")</f>
        <v>#VALUE!</v>
      </c>
      <c r="CD92" t="e">
        <f>AND('PROG FORMACIÓN TITULADA'!H592,"AAAAADevVVE=")</f>
        <v>#VALUE!</v>
      </c>
      <c r="CE92" t="e">
        <f>AND('PROG FORMACIÓN TITULADA'!I592,"AAAAADevVVI=")</f>
        <v>#VALUE!</v>
      </c>
      <c r="CF92" t="e">
        <f>AND('PROG FORMACIÓN TITULADA'!J592,"AAAAADevVVM=")</f>
        <v>#VALUE!</v>
      </c>
      <c r="CG92" t="e">
        <f>AND('PROG FORMACIÓN TITULADA'!K592,"AAAAADevVVQ=")</f>
        <v>#VALUE!</v>
      </c>
      <c r="CH92" t="e">
        <f>AND('PROG FORMACIÓN TITULADA'!L592,"AAAAADevVVU=")</f>
        <v>#VALUE!</v>
      </c>
      <c r="CI92" t="e">
        <f>AND('PROG FORMACIÓN TITULADA'!M592,"AAAAADevVVY=")</f>
        <v>#VALUE!</v>
      </c>
      <c r="CJ92" t="e">
        <f>AND('PROG FORMACIÓN TITULADA'!N592,"AAAAADevVVc=")</f>
        <v>#VALUE!</v>
      </c>
      <c r="CK92" t="e">
        <f>AND('PROG FORMACIÓN TITULADA'!O592,"AAAAADevVVg=")</f>
        <v>#VALUE!</v>
      </c>
      <c r="CL92" t="e">
        <f>AND('PROG FORMACIÓN TITULADA'!P592,"AAAAADevVVk=")</f>
        <v>#VALUE!</v>
      </c>
      <c r="CM92" t="e">
        <f>AND('PROG FORMACIÓN TITULADA'!Q592,"AAAAADevVVo=")</f>
        <v>#VALUE!</v>
      </c>
      <c r="CN92" t="e">
        <f>AND('PROG FORMACIÓN TITULADA'!R592,"AAAAADevVVs=")</f>
        <v>#VALUE!</v>
      </c>
      <c r="CO92" t="e">
        <f>AND('PROG FORMACIÓN TITULADA'!S592,"AAAAADevVVw=")</f>
        <v>#VALUE!</v>
      </c>
      <c r="CP92" t="e">
        <f>AND('PROG FORMACIÓN TITULADA'!T592,"AAAAADevVV0=")</f>
        <v>#VALUE!</v>
      </c>
      <c r="CQ92" t="e">
        <f>AND('PROG FORMACIÓN TITULADA'!U592,"AAAAADevVV4=")</f>
        <v>#VALUE!</v>
      </c>
      <c r="CR92" t="e">
        <f>AND('PROG FORMACIÓN TITULADA'!V592,"AAAAADevVV8=")</f>
        <v>#VALUE!</v>
      </c>
      <c r="CS92" t="e">
        <f>AND('PROG FORMACIÓN TITULADA'!W592,"AAAAADevVWA=")</f>
        <v>#VALUE!</v>
      </c>
      <c r="CT92" t="e">
        <f>AND('PROG FORMACIÓN TITULADA'!X592,"AAAAADevVWE=")</f>
        <v>#VALUE!</v>
      </c>
      <c r="CU92" t="e">
        <f>AND('PROG FORMACIÓN TITULADA'!Y592,"AAAAADevVWI=")</f>
        <v>#VALUE!</v>
      </c>
      <c r="CV92" t="e">
        <f>AND('PROG FORMACIÓN TITULADA'!Z592,"AAAAADevVWM=")</f>
        <v>#VALUE!</v>
      </c>
      <c r="CW92">
        <f>IF('PROG FORMACIÓN TITULADA'!593:593,"AAAAADevVWQ=",0)</f>
        <v>0</v>
      </c>
      <c r="CX92" t="e">
        <f>AND('PROG FORMACIÓN TITULADA'!A593,"AAAAADevVWU=")</f>
        <v>#VALUE!</v>
      </c>
      <c r="CY92" t="e">
        <f>AND('PROG FORMACIÓN TITULADA'!B593,"AAAAADevVWY=")</f>
        <v>#VALUE!</v>
      </c>
      <c r="CZ92" t="e">
        <f>AND('PROG FORMACIÓN TITULADA'!C593,"AAAAADevVWc=")</f>
        <v>#VALUE!</v>
      </c>
      <c r="DA92" t="e">
        <f>AND('PROG FORMACIÓN TITULADA'!D593,"AAAAADevVWg=")</f>
        <v>#VALUE!</v>
      </c>
      <c r="DB92" t="e">
        <f>AND('PROG FORMACIÓN TITULADA'!E593,"AAAAADevVWk=")</f>
        <v>#VALUE!</v>
      </c>
      <c r="DC92" t="e">
        <f>AND('PROG FORMACIÓN TITULADA'!F593,"AAAAADevVWo=")</f>
        <v>#VALUE!</v>
      </c>
      <c r="DD92" t="e">
        <f>AND('PROG FORMACIÓN TITULADA'!G593,"AAAAADevVWs=")</f>
        <v>#VALUE!</v>
      </c>
      <c r="DE92" t="e">
        <f>AND('PROG FORMACIÓN TITULADA'!H593,"AAAAADevVWw=")</f>
        <v>#VALUE!</v>
      </c>
      <c r="DF92" t="e">
        <f>AND('PROG FORMACIÓN TITULADA'!I593,"AAAAADevVW0=")</f>
        <v>#VALUE!</v>
      </c>
      <c r="DG92" t="e">
        <f>AND('PROG FORMACIÓN TITULADA'!J593,"AAAAADevVW4=")</f>
        <v>#VALUE!</v>
      </c>
      <c r="DH92" t="e">
        <f>AND('PROG FORMACIÓN TITULADA'!K593,"AAAAADevVW8=")</f>
        <v>#VALUE!</v>
      </c>
      <c r="DI92" t="e">
        <f>AND('PROG FORMACIÓN TITULADA'!L593,"AAAAADevVXA=")</f>
        <v>#VALUE!</v>
      </c>
      <c r="DJ92" t="e">
        <f>AND('PROG FORMACIÓN TITULADA'!M593,"AAAAADevVXE=")</f>
        <v>#VALUE!</v>
      </c>
      <c r="DK92" t="e">
        <f>AND('PROG FORMACIÓN TITULADA'!N593,"AAAAADevVXI=")</f>
        <v>#VALUE!</v>
      </c>
      <c r="DL92" t="e">
        <f>AND('PROG FORMACIÓN TITULADA'!O593,"AAAAADevVXM=")</f>
        <v>#VALUE!</v>
      </c>
      <c r="DM92" t="e">
        <f>AND('PROG FORMACIÓN TITULADA'!P593,"AAAAADevVXQ=")</f>
        <v>#VALUE!</v>
      </c>
      <c r="DN92" t="e">
        <f>AND('PROG FORMACIÓN TITULADA'!Q593,"AAAAADevVXU=")</f>
        <v>#VALUE!</v>
      </c>
      <c r="DO92" t="e">
        <f>AND('PROG FORMACIÓN TITULADA'!R593,"AAAAADevVXY=")</f>
        <v>#VALUE!</v>
      </c>
      <c r="DP92" t="e">
        <f>AND('PROG FORMACIÓN TITULADA'!S593,"AAAAADevVXc=")</f>
        <v>#VALUE!</v>
      </c>
      <c r="DQ92" t="e">
        <f>AND('PROG FORMACIÓN TITULADA'!T593,"AAAAADevVXg=")</f>
        <v>#VALUE!</v>
      </c>
      <c r="DR92" t="e">
        <f>AND('PROG FORMACIÓN TITULADA'!U593,"AAAAADevVXk=")</f>
        <v>#VALUE!</v>
      </c>
      <c r="DS92" t="e">
        <f>AND('PROG FORMACIÓN TITULADA'!V593,"AAAAADevVXo=")</f>
        <v>#VALUE!</v>
      </c>
      <c r="DT92" t="e">
        <f>AND('PROG FORMACIÓN TITULADA'!W593,"AAAAADevVXs=")</f>
        <v>#VALUE!</v>
      </c>
      <c r="DU92" t="e">
        <f>AND('PROG FORMACIÓN TITULADA'!X593,"AAAAADevVXw=")</f>
        <v>#VALUE!</v>
      </c>
      <c r="DV92" t="e">
        <f>AND('PROG FORMACIÓN TITULADA'!Y593,"AAAAADevVX0=")</f>
        <v>#VALUE!</v>
      </c>
      <c r="DW92" t="e">
        <f>AND('PROG FORMACIÓN TITULADA'!Z593,"AAAAADevVX4=")</f>
        <v>#VALUE!</v>
      </c>
      <c r="DX92">
        <f>IF('PROG FORMACIÓN TITULADA'!594:594,"AAAAADevVX8=",0)</f>
        <v>0</v>
      </c>
      <c r="DY92" t="e">
        <f>AND('PROG FORMACIÓN TITULADA'!A594,"AAAAADevVYA=")</f>
        <v>#VALUE!</v>
      </c>
      <c r="DZ92" t="e">
        <f>AND('PROG FORMACIÓN TITULADA'!B594,"AAAAADevVYE=")</f>
        <v>#VALUE!</v>
      </c>
      <c r="EA92" t="e">
        <f>AND('PROG FORMACIÓN TITULADA'!C594,"AAAAADevVYI=")</f>
        <v>#VALUE!</v>
      </c>
      <c r="EB92" t="e">
        <f>AND('PROG FORMACIÓN TITULADA'!D594,"AAAAADevVYM=")</f>
        <v>#VALUE!</v>
      </c>
      <c r="EC92" t="e">
        <f>AND('PROG FORMACIÓN TITULADA'!E594,"AAAAADevVYQ=")</f>
        <v>#VALUE!</v>
      </c>
      <c r="ED92" t="e">
        <f>AND('PROG FORMACIÓN TITULADA'!F594,"AAAAADevVYU=")</f>
        <v>#VALUE!</v>
      </c>
      <c r="EE92" t="e">
        <f>AND('PROG FORMACIÓN TITULADA'!G594,"AAAAADevVYY=")</f>
        <v>#VALUE!</v>
      </c>
      <c r="EF92" t="e">
        <f>AND('PROG FORMACIÓN TITULADA'!H594,"AAAAADevVYc=")</f>
        <v>#VALUE!</v>
      </c>
      <c r="EG92" t="e">
        <f>AND('PROG FORMACIÓN TITULADA'!I594,"AAAAADevVYg=")</f>
        <v>#VALUE!</v>
      </c>
      <c r="EH92" t="e">
        <f>AND('PROG FORMACIÓN TITULADA'!J594,"AAAAADevVYk=")</f>
        <v>#VALUE!</v>
      </c>
      <c r="EI92" t="e">
        <f>AND('PROG FORMACIÓN TITULADA'!K594,"AAAAADevVYo=")</f>
        <v>#VALUE!</v>
      </c>
      <c r="EJ92" t="e">
        <f>AND('PROG FORMACIÓN TITULADA'!L594,"AAAAADevVYs=")</f>
        <v>#VALUE!</v>
      </c>
      <c r="EK92" t="e">
        <f>AND('PROG FORMACIÓN TITULADA'!M594,"AAAAADevVYw=")</f>
        <v>#VALUE!</v>
      </c>
      <c r="EL92" t="e">
        <f>AND('PROG FORMACIÓN TITULADA'!N594,"AAAAADevVY0=")</f>
        <v>#VALUE!</v>
      </c>
      <c r="EM92" t="e">
        <f>AND('PROG FORMACIÓN TITULADA'!O594,"AAAAADevVY4=")</f>
        <v>#VALUE!</v>
      </c>
      <c r="EN92" t="e">
        <f>AND('PROG FORMACIÓN TITULADA'!P594,"AAAAADevVY8=")</f>
        <v>#VALUE!</v>
      </c>
      <c r="EO92" t="e">
        <f>AND('PROG FORMACIÓN TITULADA'!Q594,"AAAAADevVZA=")</f>
        <v>#VALUE!</v>
      </c>
      <c r="EP92" t="e">
        <f>AND('PROG FORMACIÓN TITULADA'!R594,"AAAAADevVZE=")</f>
        <v>#VALUE!</v>
      </c>
      <c r="EQ92" t="e">
        <f>AND('PROG FORMACIÓN TITULADA'!S594,"AAAAADevVZI=")</f>
        <v>#VALUE!</v>
      </c>
      <c r="ER92" t="e">
        <f>AND('PROG FORMACIÓN TITULADA'!T594,"AAAAADevVZM=")</f>
        <v>#VALUE!</v>
      </c>
      <c r="ES92" t="e">
        <f>AND('PROG FORMACIÓN TITULADA'!U594,"AAAAADevVZQ=")</f>
        <v>#VALUE!</v>
      </c>
      <c r="ET92" t="e">
        <f>AND('PROG FORMACIÓN TITULADA'!V594,"AAAAADevVZU=")</f>
        <v>#VALUE!</v>
      </c>
      <c r="EU92" t="e">
        <f>AND('PROG FORMACIÓN TITULADA'!W594,"AAAAADevVZY=")</f>
        <v>#VALUE!</v>
      </c>
      <c r="EV92" t="e">
        <f>AND('PROG FORMACIÓN TITULADA'!X594,"AAAAADevVZc=")</f>
        <v>#VALUE!</v>
      </c>
      <c r="EW92" t="e">
        <f>AND('PROG FORMACIÓN TITULADA'!Y594,"AAAAADevVZg=")</f>
        <v>#VALUE!</v>
      </c>
      <c r="EX92" t="e">
        <f>AND('PROG FORMACIÓN TITULADA'!Z594,"AAAAADevVZk=")</f>
        <v>#VALUE!</v>
      </c>
      <c r="EY92">
        <f>IF('PROG FORMACIÓN TITULADA'!595:595,"AAAAADevVZo=",0)</f>
        <v>0</v>
      </c>
      <c r="EZ92" t="e">
        <f>AND('PROG FORMACIÓN TITULADA'!A595,"AAAAADevVZs=")</f>
        <v>#VALUE!</v>
      </c>
      <c r="FA92" t="e">
        <f>AND('PROG FORMACIÓN TITULADA'!B595,"AAAAADevVZw=")</f>
        <v>#VALUE!</v>
      </c>
      <c r="FB92" t="e">
        <f>AND('PROG FORMACIÓN TITULADA'!C595,"AAAAADevVZ0=")</f>
        <v>#VALUE!</v>
      </c>
      <c r="FC92" t="e">
        <f>AND('PROG FORMACIÓN TITULADA'!D595,"AAAAADevVZ4=")</f>
        <v>#VALUE!</v>
      </c>
      <c r="FD92" t="e">
        <f>AND('PROG FORMACIÓN TITULADA'!E595,"AAAAADevVZ8=")</f>
        <v>#VALUE!</v>
      </c>
      <c r="FE92" t="e">
        <f>AND('PROG FORMACIÓN TITULADA'!F595,"AAAAADevVaA=")</f>
        <v>#VALUE!</v>
      </c>
      <c r="FF92" t="e">
        <f>AND('PROG FORMACIÓN TITULADA'!G595,"AAAAADevVaE=")</f>
        <v>#VALUE!</v>
      </c>
      <c r="FG92" t="e">
        <f>AND('PROG FORMACIÓN TITULADA'!H595,"AAAAADevVaI=")</f>
        <v>#VALUE!</v>
      </c>
      <c r="FH92" t="e">
        <f>AND('PROG FORMACIÓN TITULADA'!I595,"AAAAADevVaM=")</f>
        <v>#VALUE!</v>
      </c>
      <c r="FI92" t="e">
        <f>AND('PROG FORMACIÓN TITULADA'!J595,"AAAAADevVaQ=")</f>
        <v>#VALUE!</v>
      </c>
      <c r="FJ92" t="e">
        <f>AND('PROG FORMACIÓN TITULADA'!K595,"AAAAADevVaU=")</f>
        <v>#VALUE!</v>
      </c>
      <c r="FK92" t="e">
        <f>AND('PROG FORMACIÓN TITULADA'!L595,"AAAAADevVaY=")</f>
        <v>#VALUE!</v>
      </c>
      <c r="FL92" t="e">
        <f>AND('PROG FORMACIÓN TITULADA'!M595,"AAAAADevVac=")</f>
        <v>#VALUE!</v>
      </c>
      <c r="FM92" t="e">
        <f>AND('PROG FORMACIÓN TITULADA'!N595,"AAAAADevVag=")</f>
        <v>#VALUE!</v>
      </c>
      <c r="FN92" t="e">
        <f>AND('PROG FORMACIÓN TITULADA'!O595,"AAAAADevVak=")</f>
        <v>#VALUE!</v>
      </c>
      <c r="FO92" t="e">
        <f>AND('PROG FORMACIÓN TITULADA'!P595,"AAAAADevVao=")</f>
        <v>#VALUE!</v>
      </c>
      <c r="FP92" t="e">
        <f>AND('PROG FORMACIÓN TITULADA'!Q595,"AAAAADevVas=")</f>
        <v>#VALUE!</v>
      </c>
      <c r="FQ92" t="e">
        <f>AND('PROG FORMACIÓN TITULADA'!R595,"AAAAADevVaw=")</f>
        <v>#VALUE!</v>
      </c>
      <c r="FR92" t="e">
        <f>AND('PROG FORMACIÓN TITULADA'!S595,"AAAAADevVa0=")</f>
        <v>#VALUE!</v>
      </c>
      <c r="FS92" t="e">
        <f>AND('PROG FORMACIÓN TITULADA'!T595,"AAAAADevVa4=")</f>
        <v>#VALUE!</v>
      </c>
      <c r="FT92" t="e">
        <f>AND('PROG FORMACIÓN TITULADA'!U595,"AAAAADevVa8=")</f>
        <v>#VALUE!</v>
      </c>
      <c r="FU92" t="e">
        <f>AND('PROG FORMACIÓN TITULADA'!V595,"AAAAADevVbA=")</f>
        <v>#VALUE!</v>
      </c>
      <c r="FV92" t="e">
        <f>AND('PROG FORMACIÓN TITULADA'!W595,"AAAAADevVbE=")</f>
        <v>#VALUE!</v>
      </c>
      <c r="FW92" t="e">
        <f>AND('PROG FORMACIÓN TITULADA'!X595,"AAAAADevVbI=")</f>
        <v>#VALUE!</v>
      </c>
      <c r="FX92" t="e">
        <f>AND('PROG FORMACIÓN TITULADA'!Y595,"AAAAADevVbM=")</f>
        <v>#VALUE!</v>
      </c>
      <c r="FY92" t="e">
        <f>AND('PROG FORMACIÓN TITULADA'!Z595,"AAAAADevVbQ=")</f>
        <v>#VALUE!</v>
      </c>
      <c r="FZ92">
        <f>IF('PROG FORMACIÓN TITULADA'!596:596,"AAAAADevVbU=",0)</f>
        <v>0</v>
      </c>
      <c r="GA92" t="e">
        <f>AND('PROG FORMACIÓN TITULADA'!A596,"AAAAADevVbY=")</f>
        <v>#VALUE!</v>
      </c>
      <c r="GB92" t="e">
        <f>AND('PROG FORMACIÓN TITULADA'!B596,"AAAAADevVbc=")</f>
        <v>#VALUE!</v>
      </c>
      <c r="GC92" t="e">
        <f>AND('PROG FORMACIÓN TITULADA'!C596,"AAAAADevVbg=")</f>
        <v>#VALUE!</v>
      </c>
      <c r="GD92" t="e">
        <f>AND('PROG FORMACIÓN TITULADA'!D596,"AAAAADevVbk=")</f>
        <v>#VALUE!</v>
      </c>
      <c r="GE92" t="e">
        <f>AND('PROG FORMACIÓN TITULADA'!E596,"AAAAADevVbo=")</f>
        <v>#VALUE!</v>
      </c>
      <c r="GF92" t="e">
        <f>AND('PROG FORMACIÓN TITULADA'!F596,"AAAAADevVbs=")</f>
        <v>#VALUE!</v>
      </c>
      <c r="GG92" t="e">
        <f>AND('PROG FORMACIÓN TITULADA'!G596,"AAAAADevVbw=")</f>
        <v>#VALUE!</v>
      </c>
      <c r="GH92" t="e">
        <f>AND('PROG FORMACIÓN TITULADA'!H596,"AAAAADevVb0=")</f>
        <v>#VALUE!</v>
      </c>
      <c r="GI92" t="e">
        <f>AND('PROG FORMACIÓN TITULADA'!I596,"AAAAADevVb4=")</f>
        <v>#VALUE!</v>
      </c>
      <c r="GJ92" t="e">
        <f>AND('PROG FORMACIÓN TITULADA'!J596,"AAAAADevVb8=")</f>
        <v>#VALUE!</v>
      </c>
      <c r="GK92" t="e">
        <f>AND('PROG FORMACIÓN TITULADA'!K596,"AAAAADevVcA=")</f>
        <v>#VALUE!</v>
      </c>
      <c r="GL92" t="e">
        <f>AND('PROG FORMACIÓN TITULADA'!L596,"AAAAADevVcE=")</f>
        <v>#VALUE!</v>
      </c>
      <c r="GM92" t="e">
        <f>AND('PROG FORMACIÓN TITULADA'!M596,"AAAAADevVcI=")</f>
        <v>#VALUE!</v>
      </c>
      <c r="GN92" t="e">
        <f>AND('PROG FORMACIÓN TITULADA'!N596,"AAAAADevVcM=")</f>
        <v>#VALUE!</v>
      </c>
      <c r="GO92" t="e">
        <f>AND('PROG FORMACIÓN TITULADA'!O596,"AAAAADevVcQ=")</f>
        <v>#VALUE!</v>
      </c>
      <c r="GP92" t="e">
        <f>AND('PROG FORMACIÓN TITULADA'!P596,"AAAAADevVcU=")</f>
        <v>#VALUE!</v>
      </c>
      <c r="GQ92" t="e">
        <f>AND('PROG FORMACIÓN TITULADA'!Q596,"AAAAADevVcY=")</f>
        <v>#VALUE!</v>
      </c>
      <c r="GR92" t="e">
        <f>AND('PROG FORMACIÓN TITULADA'!R596,"AAAAADevVcc=")</f>
        <v>#VALUE!</v>
      </c>
      <c r="GS92" t="e">
        <f>AND('PROG FORMACIÓN TITULADA'!S596,"AAAAADevVcg=")</f>
        <v>#VALUE!</v>
      </c>
      <c r="GT92" t="e">
        <f>AND('PROG FORMACIÓN TITULADA'!T596,"AAAAADevVck=")</f>
        <v>#VALUE!</v>
      </c>
      <c r="GU92" t="e">
        <f>AND('PROG FORMACIÓN TITULADA'!U596,"AAAAADevVco=")</f>
        <v>#VALUE!</v>
      </c>
      <c r="GV92" t="e">
        <f>AND('PROG FORMACIÓN TITULADA'!V596,"AAAAADevVcs=")</f>
        <v>#VALUE!</v>
      </c>
      <c r="GW92" t="e">
        <f>AND('PROG FORMACIÓN TITULADA'!W596,"AAAAADevVcw=")</f>
        <v>#VALUE!</v>
      </c>
      <c r="GX92" t="e">
        <f>AND('PROG FORMACIÓN TITULADA'!X596,"AAAAADevVc0=")</f>
        <v>#VALUE!</v>
      </c>
      <c r="GY92" t="e">
        <f>AND('PROG FORMACIÓN TITULADA'!Y596,"AAAAADevVc4=")</f>
        <v>#VALUE!</v>
      </c>
      <c r="GZ92" t="e">
        <f>AND('PROG FORMACIÓN TITULADA'!Z596,"AAAAADevVc8=")</f>
        <v>#VALUE!</v>
      </c>
      <c r="HA92">
        <f>IF('PROG FORMACIÓN TITULADA'!597:597,"AAAAADevVdA=",0)</f>
        <v>0</v>
      </c>
      <c r="HB92" t="e">
        <f>AND('PROG FORMACIÓN TITULADA'!A597,"AAAAADevVdE=")</f>
        <v>#VALUE!</v>
      </c>
      <c r="HC92" t="e">
        <f>AND('PROG FORMACIÓN TITULADA'!B597,"AAAAADevVdI=")</f>
        <v>#VALUE!</v>
      </c>
      <c r="HD92" t="e">
        <f>AND('PROG FORMACIÓN TITULADA'!C597,"AAAAADevVdM=")</f>
        <v>#VALUE!</v>
      </c>
      <c r="HE92" t="e">
        <f>AND('PROG FORMACIÓN TITULADA'!D597,"AAAAADevVdQ=")</f>
        <v>#VALUE!</v>
      </c>
      <c r="HF92" t="e">
        <f>AND('PROG FORMACIÓN TITULADA'!E597,"AAAAADevVdU=")</f>
        <v>#VALUE!</v>
      </c>
      <c r="HG92" t="e">
        <f>AND('PROG FORMACIÓN TITULADA'!F597,"AAAAADevVdY=")</f>
        <v>#VALUE!</v>
      </c>
      <c r="HH92" t="e">
        <f>AND('PROG FORMACIÓN TITULADA'!G597,"AAAAADevVdc=")</f>
        <v>#VALUE!</v>
      </c>
      <c r="HI92" t="e">
        <f>AND('PROG FORMACIÓN TITULADA'!H597,"AAAAADevVdg=")</f>
        <v>#VALUE!</v>
      </c>
      <c r="HJ92" t="e">
        <f>AND('PROG FORMACIÓN TITULADA'!I597,"AAAAADevVdk=")</f>
        <v>#VALUE!</v>
      </c>
      <c r="HK92" t="e">
        <f>AND('PROG FORMACIÓN TITULADA'!J597,"AAAAADevVdo=")</f>
        <v>#VALUE!</v>
      </c>
      <c r="HL92" t="e">
        <f>AND('PROG FORMACIÓN TITULADA'!K597,"AAAAADevVds=")</f>
        <v>#VALUE!</v>
      </c>
      <c r="HM92" t="e">
        <f>AND('PROG FORMACIÓN TITULADA'!L597,"AAAAADevVdw=")</f>
        <v>#VALUE!</v>
      </c>
      <c r="HN92" t="e">
        <f>AND('PROG FORMACIÓN TITULADA'!M597,"AAAAADevVd0=")</f>
        <v>#VALUE!</v>
      </c>
      <c r="HO92" t="e">
        <f>AND('PROG FORMACIÓN TITULADA'!N597,"AAAAADevVd4=")</f>
        <v>#VALUE!</v>
      </c>
      <c r="HP92" t="e">
        <f>AND('PROG FORMACIÓN TITULADA'!O597,"AAAAADevVd8=")</f>
        <v>#VALUE!</v>
      </c>
      <c r="HQ92" t="e">
        <f>AND('PROG FORMACIÓN TITULADA'!P597,"AAAAADevVeA=")</f>
        <v>#VALUE!</v>
      </c>
      <c r="HR92" t="e">
        <f>AND('PROG FORMACIÓN TITULADA'!Q597,"AAAAADevVeE=")</f>
        <v>#VALUE!</v>
      </c>
      <c r="HS92" t="e">
        <f>AND('PROG FORMACIÓN TITULADA'!R597,"AAAAADevVeI=")</f>
        <v>#VALUE!</v>
      </c>
      <c r="HT92" t="e">
        <f>AND('PROG FORMACIÓN TITULADA'!S597,"AAAAADevVeM=")</f>
        <v>#VALUE!</v>
      </c>
      <c r="HU92" t="e">
        <f>AND('PROG FORMACIÓN TITULADA'!T597,"AAAAADevVeQ=")</f>
        <v>#VALUE!</v>
      </c>
      <c r="HV92" t="e">
        <f>AND('PROG FORMACIÓN TITULADA'!U597,"AAAAADevVeU=")</f>
        <v>#VALUE!</v>
      </c>
      <c r="HW92" t="e">
        <f>AND('PROG FORMACIÓN TITULADA'!V597,"AAAAADevVeY=")</f>
        <v>#VALUE!</v>
      </c>
      <c r="HX92" t="e">
        <f>AND('PROG FORMACIÓN TITULADA'!W597,"AAAAADevVec=")</f>
        <v>#VALUE!</v>
      </c>
      <c r="HY92" t="e">
        <f>AND('PROG FORMACIÓN TITULADA'!X597,"AAAAADevVeg=")</f>
        <v>#VALUE!</v>
      </c>
      <c r="HZ92" t="e">
        <f>AND('PROG FORMACIÓN TITULADA'!Y597,"AAAAADevVek=")</f>
        <v>#VALUE!</v>
      </c>
      <c r="IA92" t="e">
        <f>AND('PROG FORMACIÓN TITULADA'!Z597,"AAAAADevVeo=")</f>
        <v>#VALUE!</v>
      </c>
      <c r="IB92">
        <f>IF('PROG FORMACIÓN TITULADA'!598:598,"AAAAADevVes=",0)</f>
        <v>0</v>
      </c>
      <c r="IC92" t="e">
        <f>AND('PROG FORMACIÓN TITULADA'!A598,"AAAAADevVew=")</f>
        <v>#VALUE!</v>
      </c>
      <c r="ID92" t="e">
        <f>AND('PROG FORMACIÓN TITULADA'!B598,"AAAAADevVe0=")</f>
        <v>#VALUE!</v>
      </c>
      <c r="IE92" t="e">
        <f>AND('PROG FORMACIÓN TITULADA'!C598,"AAAAADevVe4=")</f>
        <v>#VALUE!</v>
      </c>
      <c r="IF92" t="e">
        <f>AND('PROG FORMACIÓN TITULADA'!D598,"AAAAADevVe8=")</f>
        <v>#VALUE!</v>
      </c>
      <c r="IG92" t="e">
        <f>AND('PROG FORMACIÓN TITULADA'!E598,"AAAAADevVfA=")</f>
        <v>#VALUE!</v>
      </c>
      <c r="IH92" t="e">
        <f>AND('PROG FORMACIÓN TITULADA'!F598,"AAAAADevVfE=")</f>
        <v>#VALUE!</v>
      </c>
      <c r="II92" t="e">
        <f>AND('PROG FORMACIÓN TITULADA'!G598,"AAAAADevVfI=")</f>
        <v>#VALUE!</v>
      </c>
      <c r="IJ92" t="e">
        <f>AND('PROG FORMACIÓN TITULADA'!H598,"AAAAADevVfM=")</f>
        <v>#VALUE!</v>
      </c>
      <c r="IK92" t="e">
        <f>AND('PROG FORMACIÓN TITULADA'!I598,"AAAAADevVfQ=")</f>
        <v>#VALUE!</v>
      </c>
      <c r="IL92" t="e">
        <f>AND('PROG FORMACIÓN TITULADA'!J598,"AAAAADevVfU=")</f>
        <v>#VALUE!</v>
      </c>
      <c r="IM92" t="e">
        <f>AND('PROG FORMACIÓN TITULADA'!K598,"AAAAADevVfY=")</f>
        <v>#VALUE!</v>
      </c>
      <c r="IN92" t="e">
        <f>AND('PROG FORMACIÓN TITULADA'!L598,"AAAAADevVfc=")</f>
        <v>#VALUE!</v>
      </c>
      <c r="IO92" t="e">
        <f>AND('PROG FORMACIÓN TITULADA'!M598,"AAAAADevVfg=")</f>
        <v>#VALUE!</v>
      </c>
      <c r="IP92" t="e">
        <f>AND('PROG FORMACIÓN TITULADA'!N598,"AAAAADevVfk=")</f>
        <v>#VALUE!</v>
      </c>
      <c r="IQ92" t="e">
        <f>AND('PROG FORMACIÓN TITULADA'!O598,"AAAAADevVfo=")</f>
        <v>#VALUE!</v>
      </c>
      <c r="IR92" t="e">
        <f>AND('PROG FORMACIÓN TITULADA'!P598,"AAAAADevVfs=")</f>
        <v>#VALUE!</v>
      </c>
      <c r="IS92" t="e">
        <f>AND('PROG FORMACIÓN TITULADA'!Q598,"AAAAADevVfw=")</f>
        <v>#VALUE!</v>
      </c>
      <c r="IT92" t="e">
        <f>AND('PROG FORMACIÓN TITULADA'!R598,"AAAAADevVf0=")</f>
        <v>#VALUE!</v>
      </c>
      <c r="IU92" t="e">
        <f>AND('PROG FORMACIÓN TITULADA'!S598,"AAAAADevVf4=")</f>
        <v>#VALUE!</v>
      </c>
      <c r="IV92" t="e">
        <f>AND('PROG FORMACIÓN TITULADA'!T598,"AAAAADevVf8=")</f>
        <v>#VALUE!</v>
      </c>
    </row>
    <row r="93" spans="1:256" x14ac:dyDescent="0.2">
      <c r="A93" t="e">
        <f>AND('PROG FORMACIÓN TITULADA'!U598,"AAAAABzv/wA=")</f>
        <v>#VALUE!</v>
      </c>
      <c r="B93" t="e">
        <f>AND('PROG FORMACIÓN TITULADA'!V598,"AAAAABzv/wE=")</f>
        <v>#VALUE!</v>
      </c>
      <c r="C93" t="e">
        <f>AND('PROG FORMACIÓN TITULADA'!W598,"AAAAABzv/wI=")</f>
        <v>#VALUE!</v>
      </c>
      <c r="D93" t="e">
        <f>AND('PROG FORMACIÓN TITULADA'!X598,"AAAAABzv/wM=")</f>
        <v>#VALUE!</v>
      </c>
      <c r="E93" t="e">
        <f>AND('PROG FORMACIÓN TITULADA'!Y598,"AAAAABzv/wQ=")</f>
        <v>#VALUE!</v>
      </c>
      <c r="F93" t="e">
        <f>AND('PROG FORMACIÓN TITULADA'!Z598,"AAAAABzv/wU=")</f>
        <v>#VALUE!</v>
      </c>
      <c r="G93">
        <f>IF('PROG FORMACIÓN TITULADA'!599:599,"AAAAABzv/wY=",0)</f>
        <v>0</v>
      </c>
      <c r="H93" t="e">
        <f>AND('PROG FORMACIÓN TITULADA'!A599,"AAAAABzv/wc=")</f>
        <v>#VALUE!</v>
      </c>
      <c r="I93" t="e">
        <f>AND('PROG FORMACIÓN TITULADA'!B599,"AAAAABzv/wg=")</f>
        <v>#VALUE!</v>
      </c>
      <c r="J93" t="e">
        <f>AND('PROG FORMACIÓN TITULADA'!C599,"AAAAABzv/wk=")</f>
        <v>#VALUE!</v>
      </c>
      <c r="K93" t="e">
        <f>AND('PROG FORMACIÓN TITULADA'!D599,"AAAAABzv/wo=")</f>
        <v>#VALUE!</v>
      </c>
      <c r="L93" t="e">
        <f>AND('PROG FORMACIÓN TITULADA'!E599,"AAAAABzv/ws=")</f>
        <v>#VALUE!</v>
      </c>
      <c r="M93" t="e">
        <f>AND('PROG FORMACIÓN TITULADA'!F599,"AAAAABzv/ww=")</f>
        <v>#VALUE!</v>
      </c>
      <c r="N93" t="e">
        <f>AND('PROG FORMACIÓN TITULADA'!G599,"AAAAABzv/w0=")</f>
        <v>#VALUE!</v>
      </c>
      <c r="O93" t="e">
        <f>AND('PROG FORMACIÓN TITULADA'!H599,"AAAAABzv/w4=")</f>
        <v>#VALUE!</v>
      </c>
      <c r="P93" t="e">
        <f>AND('PROG FORMACIÓN TITULADA'!I599,"AAAAABzv/w8=")</f>
        <v>#VALUE!</v>
      </c>
      <c r="Q93" t="e">
        <f>AND('PROG FORMACIÓN TITULADA'!J599,"AAAAABzv/xA=")</f>
        <v>#VALUE!</v>
      </c>
      <c r="R93" t="e">
        <f>AND('PROG FORMACIÓN TITULADA'!K599,"AAAAABzv/xE=")</f>
        <v>#VALUE!</v>
      </c>
      <c r="S93" t="e">
        <f>AND('PROG FORMACIÓN TITULADA'!L599,"AAAAABzv/xI=")</f>
        <v>#VALUE!</v>
      </c>
      <c r="T93" t="e">
        <f>AND('PROG FORMACIÓN TITULADA'!M599,"AAAAABzv/xM=")</f>
        <v>#VALUE!</v>
      </c>
      <c r="U93" t="e">
        <f>AND('PROG FORMACIÓN TITULADA'!N599,"AAAAABzv/xQ=")</f>
        <v>#VALUE!</v>
      </c>
      <c r="V93" t="e">
        <f>AND('PROG FORMACIÓN TITULADA'!O599,"AAAAABzv/xU=")</f>
        <v>#VALUE!</v>
      </c>
      <c r="W93" t="e">
        <f>AND('PROG FORMACIÓN TITULADA'!P599,"AAAAABzv/xY=")</f>
        <v>#VALUE!</v>
      </c>
      <c r="X93" t="e">
        <f>AND('PROG FORMACIÓN TITULADA'!Q599,"AAAAABzv/xc=")</f>
        <v>#VALUE!</v>
      </c>
      <c r="Y93" t="e">
        <f>AND('PROG FORMACIÓN TITULADA'!R599,"AAAAABzv/xg=")</f>
        <v>#VALUE!</v>
      </c>
      <c r="Z93" t="e">
        <f>AND('PROG FORMACIÓN TITULADA'!S599,"AAAAABzv/xk=")</f>
        <v>#VALUE!</v>
      </c>
      <c r="AA93" t="e">
        <f>AND('PROG FORMACIÓN TITULADA'!T599,"AAAAABzv/xo=")</f>
        <v>#VALUE!</v>
      </c>
      <c r="AB93" t="e">
        <f>AND('PROG FORMACIÓN TITULADA'!U599,"AAAAABzv/xs=")</f>
        <v>#VALUE!</v>
      </c>
      <c r="AC93" t="e">
        <f>AND('PROG FORMACIÓN TITULADA'!V599,"AAAAABzv/xw=")</f>
        <v>#VALUE!</v>
      </c>
      <c r="AD93" t="e">
        <f>AND('PROG FORMACIÓN TITULADA'!W599,"AAAAABzv/x0=")</f>
        <v>#VALUE!</v>
      </c>
      <c r="AE93" t="e">
        <f>AND('PROG FORMACIÓN TITULADA'!X599,"AAAAABzv/x4=")</f>
        <v>#VALUE!</v>
      </c>
      <c r="AF93" t="e">
        <f>AND('PROG FORMACIÓN TITULADA'!Y599,"AAAAABzv/x8=")</f>
        <v>#VALUE!</v>
      </c>
      <c r="AG93" t="e">
        <f>AND('PROG FORMACIÓN TITULADA'!Z599,"AAAAABzv/yA=")</f>
        <v>#VALUE!</v>
      </c>
      <c r="AH93">
        <f>IF('PROG FORMACIÓN TITULADA'!600:600,"AAAAABzv/yE=",0)</f>
        <v>0</v>
      </c>
      <c r="AI93" t="e">
        <f>AND('PROG FORMACIÓN TITULADA'!A600,"AAAAABzv/yI=")</f>
        <v>#VALUE!</v>
      </c>
      <c r="AJ93" t="e">
        <f>AND('PROG FORMACIÓN TITULADA'!B600,"AAAAABzv/yM=")</f>
        <v>#VALUE!</v>
      </c>
      <c r="AK93" t="e">
        <f>AND('PROG FORMACIÓN TITULADA'!C600,"AAAAABzv/yQ=")</f>
        <v>#VALUE!</v>
      </c>
      <c r="AL93" t="e">
        <f>AND('PROG FORMACIÓN TITULADA'!D600,"AAAAABzv/yU=")</f>
        <v>#VALUE!</v>
      </c>
      <c r="AM93" t="e">
        <f>AND('PROG FORMACIÓN TITULADA'!E600,"AAAAABzv/yY=")</f>
        <v>#VALUE!</v>
      </c>
      <c r="AN93" t="e">
        <f>AND('PROG FORMACIÓN TITULADA'!F600,"AAAAABzv/yc=")</f>
        <v>#VALUE!</v>
      </c>
      <c r="AO93" t="e">
        <f>AND('PROG FORMACIÓN TITULADA'!G600,"AAAAABzv/yg=")</f>
        <v>#VALUE!</v>
      </c>
      <c r="AP93" t="e">
        <f>AND('PROG FORMACIÓN TITULADA'!H600,"AAAAABzv/yk=")</f>
        <v>#VALUE!</v>
      </c>
      <c r="AQ93" t="e">
        <f>AND('PROG FORMACIÓN TITULADA'!I600,"AAAAABzv/yo=")</f>
        <v>#VALUE!</v>
      </c>
      <c r="AR93" t="e">
        <f>AND('PROG FORMACIÓN TITULADA'!J600,"AAAAABzv/ys=")</f>
        <v>#VALUE!</v>
      </c>
      <c r="AS93" t="e">
        <f>AND('PROG FORMACIÓN TITULADA'!K600,"AAAAABzv/yw=")</f>
        <v>#VALUE!</v>
      </c>
      <c r="AT93" t="e">
        <f>AND('PROG FORMACIÓN TITULADA'!L600,"AAAAABzv/y0=")</f>
        <v>#VALUE!</v>
      </c>
      <c r="AU93" t="e">
        <f>AND('PROG FORMACIÓN TITULADA'!M600,"AAAAABzv/y4=")</f>
        <v>#VALUE!</v>
      </c>
      <c r="AV93" t="e">
        <f>AND('PROG FORMACIÓN TITULADA'!N600,"AAAAABzv/y8=")</f>
        <v>#VALUE!</v>
      </c>
      <c r="AW93" t="e">
        <f>AND('PROG FORMACIÓN TITULADA'!O600,"AAAAABzv/zA=")</f>
        <v>#VALUE!</v>
      </c>
      <c r="AX93" t="e">
        <f>AND('PROG FORMACIÓN TITULADA'!P600,"AAAAABzv/zE=")</f>
        <v>#VALUE!</v>
      </c>
      <c r="AY93" t="e">
        <f>AND('PROG FORMACIÓN TITULADA'!Q600,"AAAAABzv/zI=")</f>
        <v>#VALUE!</v>
      </c>
      <c r="AZ93" t="e">
        <f>AND('PROG FORMACIÓN TITULADA'!R600,"AAAAABzv/zM=")</f>
        <v>#VALUE!</v>
      </c>
      <c r="BA93" t="e">
        <f>AND('PROG FORMACIÓN TITULADA'!S600,"AAAAABzv/zQ=")</f>
        <v>#VALUE!</v>
      </c>
      <c r="BB93" t="e">
        <f>AND('PROG FORMACIÓN TITULADA'!T600,"AAAAABzv/zU=")</f>
        <v>#VALUE!</v>
      </c>
      <c r="BC93" t="e">
        <f>AND('PROG FORMACIÓN TITULADA'!U600,"AAAAABzv/zY=")</f>
        <v>#VALUE!</v>
      </c>
      <c r="BD93" t="e">
        <f>AND('PROG FORMACIÓN TITULADA'!V600,"AAAAABzv/zc=")</f>
        <v>#VALUE!</v>
      </c>
      <c r="BE93" t="e">
        <f>AND('PROG FORMACIÓN TITULADA'!W600,"AAAAABzv/zg=")</f>
        <v>#VALUE!</v>
      </c>
      <c r="BF93" t="e">
        <f>AND('PROG FORMACIÓN TITULADA'!X600,"AAAAABzv/zk=")</f>
        <v>#VALUE!</v>
      </c>
      <c r="BG93" t="e">
        <f>AND('PROG FORMACIÓN TITULADA'!Y600,"AAAAABzv/zo=")</f>
        <v>#VALUE!</v>
      </c>
      <c r="BH93" t="e">
        <f>AND('PROG FORMACIÓN TITULADA'!Z600,"AAAAABzv/zs=")</f>
        <v>#VALUE!</v>
      </c>
      <c r="BI93">
        <f>IF('PROG FORMACIÓN TITULADA'!601:601,"AAAAABzv/zw=",0)</f>
        <v>0</v>
      </c>
      <c r="BJ93" t="e">
        <f>AND('PROG FORMACIÓN TITULADA'!A601,"AAAAABzv/z0=")</f>
        <v>#VALUE!</v>
      </c>
      <c r="BK93" t="e">
        <f>AND('PROG FORMACIÓN TITULADA'!B601,"AAAAABzv/z4=")</f>
        <v>#VALUE!</v>
      </c>
      <c r="BL93" t="e">
        <f>AND('PROG FORMACIÓN TITULADA'!C601,"AAAAABzv/z8=")</f>
        <v>#VALUE!</v>
      </c>
      <c r="BM93" t="e">
        <f>AND('PROG FORMACIÓN TITULADA'!D601,"AAAAABzv/0A=")</f>
        <v>#VALUE!</v>
      </c>
      <c r="BN93" t="e">
        <f>AND('PROG FORMACIÓN TITULADA'!E601,"AAAAABzv/0E=")</f>
        <v>#VALUE!</v>
      </c>
      <c r="BO93" t="e">
        <f>AND('PROG FORMACIÓN TITULADA'!F601,"AAAAABzv/0I=")</f>
        <v>#VALUE!</v>
      </c>
      <c r="BP93" t="e">
        <f>AND('PROG FORMACIÓN TITULADA'!G601,"AAAAABzv/0M=")</f>
        <v>#VALUE!</v>
      </c>
      <c r="BQ93" t="e">
        <f>AND('PROG FORMACIÓN TITULADA'!H601,"AAAAABzv/0Q=")</f>
        <v>#VALUE!</v>
      </c>
      <c r="BR93" t="e">
        <f>AND('PROG FORMACIÓN TITULADA'!I601,"AAAAABzv/0U=")</f>
        <v>#VALUE!</v>
      </c>
      <c r="BS93" t="e">
        <f>AND('PROG FORMACIÓN TITULADA'!J601,"AAAAABzv/0Y=")</f>
        <v>#VALUE!</v>
      </c>
      <c r="BT93" t="e">
        <f>AND('PROG FORMACIÓN TITULADA'!K601,"AAAAABzv/0c=")</f>
        <v>#VALUE!</v>
      </c>
      <c r="BU93" t="e">
        <f>AND('PROG FORMACIÓN TITULADA'!L601,"AAAAABzv/0g=")</f>
        <v>#VALUE!</v>
      </c>
      <c r="BV93" t="e">
        <f>AND('PROG FORMACIÓN TITULADA'!M601,"AAAAABzv/0k=")</f>
        <v>#VALUE!</v>
      </c>
      <c r="BW93" t="e">
        <f>AND('PROG FORMACIÓN TITULADA'!N601,"AAAAABzv/0o=")</f>
        <v>#VALUE!</v>
      </c>
      <c r="BX93" t="e">
        <f>AND('PROG FORMACIÓN TITULADA'!O601,"AAAAABzv/0s=")</f>
        <v>#VALUE!</v>
      </c>
      <c r="BY93" t="e">
        <f>AND('PROG FORMACIÓN TITULADA'!P601,"AAAAABzv/0w=")</f>
        <v>#VALUE!</v>
      </c>
      <c r="BZ93" t="e">
        <f>AND('PROG FORMACIÓN TITULADA'!Q601,"AAAAABzv/00=")</f>
        <v>#VALUE!</v>
      </c>
      <c r="CA93" t="e">
        <f>AND('PROG FORMACIÓN TITULADA'!R601,"AAAAABzv/04=")</f>
        <v>#VALUE!</v>
      </c>
      <c r="CB93" t="e">
        <f>AND('PROG FORMACIÓN TITULADA'!S601,"AAAAABzv/08=")</f>
        <v>#VALUE!</v>
      </c>
      <c r="CC93" t="e">
        <f>AND('PROG FORMACIÓN TITULADA'!T601,"AAAAABzv/1A=")</f>
        <v>#VALUE!</v>
      </c>
      <c r="CD93" t="e">
        <f>AND('PROG FORMACIÓN TITULADA'!U601,"AAAAABzv/1E=")</f>
        <v>#VALUE!</v>
      </c>
      <c r="CE93" t="e">
        <f>AND('PROG FORMACIÓN TITULADA'!V601,"AAAAABzv/1I=")</f>
        <v>#VALUE!</v>
      </c>
      <c r="CF93" t="e">
        <f>AND('PROG FORMACIÓN TITULADA'!W601,"AAAAABzv/1M=")</f>
        <v>#VALUE!</v>
      </c>
      <c r="CG93" t="e">
        <f>AND('PROG FORMACIÓN TITULADA'!X601,"AAAAABzv/1Q=")</f>
        <v>#VALUE!</v>
      </c>
      <c r="CH93" t="e">
        <f>AND('PROG FORMACIÓN TITULADA'!Y601,"AAAAABzv/1U=")</f>
        <v>#VALUE!</v>
      </c>
      <c r="CI93" t="e">
        <f>AND('PROG FORMACIÓN TITULADA'!Z601,"AAAAABzv/1Y=")</f>
        <v>#VALUE!</v>
      </c>
      <c r="CJ93">
        <f>IF('PROG FORMACIÓN TITULADA'!602:602,"AAAAABzv/1c=",0)</f>
        <v>0</v>
      </c>
      <c r="CK93" t="e">
        <f>AND('PROG FORMACIÓN TITULADA'!A602,"AAAAABzv/1g=")</f>
        <v>#VALUE!</v>
      </c>
      <c r="CL93" t="e">
        <f>AND('PROG FORMACIÓN TITULADA'!B602,"AAAAABzv/1k=")</f>
        <v>#VALUE!</v>
      </c>
      <c r="CM93" t="e">
        <f>AND('PROG FORMACIÓN TITULADA'!C602,"AAAAABzv/1o=")</f>
        <v>#VALUE!</v>
      </c>
      <c r="CN93" t="e">
        <f>AND('PROG FORMACIÓN TITULADA'!D602,"AAAAABzv/1s=")</f>
        <v>#VALUE!</v>
      </c>
      <c r="CO93" t="e">
        <f>AND('PROG FORMACIÓN TITULADA'!E602,"AAAAABzv/1w=")</f>
        <v>#VALUE!</v>
      </c>
      <c r="CP93" t="e">
        <f>AND('PROG FORMACIÓN TITULADA'!F602,"AAAAABzv/10=")</f>
        <v>#VALUE!</v>
      </c>
      <c r="CQ93" t="e">
        <f>AND('PROG FORMACIÓN TITULADA'!G602,"AAAAABzv/14=")</f>
        <v>#VALUE!</v>
      </c>
      <c r="CR93" t="e">
        <f>AND('PROG FORMACIÓN TITULADA'!H602,"AAAAABzv/18=")</f>
        <v>#VALUE!</v>
      </c>
      <c r="CS93" t="e">
        <f>AND('PROG FORMACIÓN TITULADA'!I602,"AAAAABzv/2A=")</f>
        <v>#VALUE!</v>
      </c>
      <c r="CT93" t="e">
        <f>AND('PROG FORMACIÓN TITULADA'!J602,"AAAAABzv/2E=")</f>
        <v>#VALUE!</v>
      </c>
      <c r="CU93" t="e">
        <f>AND('PROG FORMACIÓN TITULADA'!K602,"AAAAABzv/2I=")</f>
        <v>#VALUE!</v>
      </c>
      <c r="CV93" t="e">
        <f>AND('PROG FORMACIÓN TITULADA'!L602,"AAAAABzv/2M=")</f>
        <v>#VALUE!</v>
      </c>
      <c r="CW93" t="e">
        <f>AND('PROG FORMACIÓN TITULADA'!M602,"AAAAABzv/2Q=")</f>
        <v>#VALUE!</v>
      </c>
      <c r="CX93" t="e">
        <f>AND('PROG FORMACIÓN TITULADA'!N602,"AAAAABzv/2U=")</f>
        <v>#VALUE!</v>
      </c>
      <c r="CY93" t="e">
        <f>AND('PROG FORMACIÓN TITULADA'!O602,"AAAAABzv/2Y=")</f>
        <v>#VALUE!</v>
      </c>
      <c r="CZ93" t="e">
        <f>AND('PROG FORMACIÓN TITULADA'!P602,"AAAAABzv/2c=")</f>
        <v>#VALUE!</v>
      </c>
      <c r="DA93" t="e">
        <f>AND('PROG FORMACIÓN TITULADA'!Q602,"AAAAABzv/2g=")</f>
        <v>#VALUE!</v>
      </c>
      <c r="DB93" t="e">
        <f>AND('PROG FORMACIÓN TITULADA'!R602,"AAAAABzv/2k=")</f>
        <v>#VALUE!</v>
      </c>
      <c r="DC93" t="e">
        <f>AND('PROG FORMACIÓN TITULADA'!S602,"AAAAABzv/2o=")</f>
        <v>#VALUE!</v>
      </c>
      <c r="DD93" t="e">
        <f>AND('PROG FORMACIÓN TITULADA'!T602,"AAAAABzv/2s=")</f>
        <v>#VALUE!</v>
      </c>
      <c r="DE93" t="e">
        <f>AND('PROG FORMACIÓN TITULADA'!U602,"AAAAABzv/2w=")</f>
        <v>#VALUE!</v>
      </c>
      <c r="DF93" t="e">
        <f>AND('PROG FORMACIÓN TITULADA'!V602,"AAAAABzv/20=")</f>
        <v>#VALUE!</v>
      </c>
      <c r="DG93" t="e">
        <f>AND('PROG FORMACIÓN TITULADA'!W602,"AAAAABzv/24=")</f>
        <v>#VALUE!</v>
      </c>
      <c r="DH93" t="e">
        <f>AND('PROG FORMACIÓN TITULADA'!X602,"AAAAABzv/28=")</f>
        <v>#VALUE!</v>
      </c>
      <c r="DI93" t="e">
        <f>AND('PROG FORMACIÓN TITULADA'!Y602,"AAAAABzv/3A=")</f>
        <v>#VALUE!</v>
      </c>
      <c r="DJ93" t="e">
        <f>AND('PROG FORMACIÓN TITULADA'!Z602,"AAAAABzv/3E=")</f>
        <v>#VALUE!</v>
      </c>
      <c r="DK93">
        <f>IF('PROG FORMACIÓN TITULADA'!603:603,"AAAAABzv/3I=",0)</f>
        <v>0</v>
      </c>
      <c r="DL93" t="e">
        <f>AND('PROG FORMACIÓN TITULADA'!A603,"AAAAABzv/3M=")</f>
        <v>#VALUE!</v>
      </c>
      <c r="DM93" t="e">
        <f>AND('PROG FORMACIÓN TITULADA'!B603,"AAAAABzv/3Q=")</f>
        <v>#VALUE!</v>
      </c>
      <c r="DN93" t="e">
        <f>AND('PROG FORMACIÓN TITULADA'!C603,"AAAAABzv/3U=")</f>
        <v>#VALUE!</v>
      </c>
      <c r="DO93" t="e">
        <f>AND('PROG FORMACIÓN TITULADA'!D603,"AAAAABzv/3Y=")</f>
        <v>#VALUE!</v>
      </c>
      <c r="DP93" t="e">
        <f>AND('PROG FORMACIÓN TITULADA'!E603,"AAAAABzv/3c=")</f>
        <v>#VALUE!</v>
      </c>
      <c r="DQ93" t="e">
        <f>AND('PROG FORMACIÓN TITULADA'!F603,"AAAAABzv/3g=")</f>
        <v>#VALUE!</v>
      </c>
      <c r="DR93" t="e">
        <f>AND('PROG FORMACIÓN TITULADA'!G603,"AAAAABzv/3k=")</f>
        <v>#VALUE!</v>
      </c>
      <c r="DS93" t="e">
        <f>AND('PROG FORMACIÓN TITULADA'!H603,"AAAAABzv/3o=")</f>
        <v>#VALUE!</v>
      </c>
      <c r="DT93" t="e">
        <f>AND('PROG FORMACIÓN TITULADA'!I603,"AAAAABzv/3s=")</f>
        <v>#VALUE!</v>
      </c>
      <c r="DU93" t="e">
        <f>AND('PROG FORMACIÓN TITULADA'!J603,"AAAAABzv/3w=")</f>
        <v>#VALUE!</v>
      </c>
      <c r="DV93" t="e">
        <f>AND('PROG FORMACIÓN TITULADA'!K603,"AAAAABzv/30=")</f>
        <v>#VALUE!</v>
      </c>
      <c r="DW93" t="e">
        <f>AND('PROG FORMACIÓN TITULADA'!L603,"AAAAABzv/34=")</f>
        <v>#VALUE!</v>
      </c>
      <c r="DX93" t="e">
        <f>AND('PROG FORMACIÓN TITULADA'!M603,"AAAAABzv/38=")</f>
        <v>#VALUE!</v>
      </c>
      <c r="DY93" t="e">
        <f>AND('PROG FORMACIÓN TITULADA'!N603,"AAAAABzv/4A=")</f>
        <v>#VALUE!</v>
      </c>
      <c r="DZ93" t="e">
        <f>AND('PROG FORMACIÓN TITULADA'!O603,"AAAAABzv/4E=")</f>
        <v>#VALUE!</v>
      </c>
      <c r="EA93" t="e">
        <f>AND('PROG FORMACIÓN TITULADA'!P603,"AAAAABzv/4I=")</f>
        <v>#VALUE!</v>
      </c>
      <c r="EB93" t="e">
        <f>AND('PROG FORMACIÓN TITULADA'!Q603,"AAAAABzv/4M=")</f>
        <v>#VALUE!</v>
      </c>
      <c r="EC93" t="e">
        <f>AND('PROG FORMACIÓN TITULADA'!R603,"AAAAABzv/4Q=")</f>
        <v>#VALUE!</v>
      </c>
      <c r="ED93" t="e">
        <f>AND('PROG FORMACIÓN TITULADA'!S603,"AAAAABzv/4U=")</f>
        <v>#VALUE!</v>
      </c>
      <c r="EE93" t="e">
        <f>AND('PROG FORMACIÓN TITULADA'!T603,"AAAAABzv/4Y=")</f>
        <v>#VALUE!</v>
      </c>
      <c r="EF93" t="e">
        <f>AND('PROG FORMACIÓN TITULADA'!U603,"AAAAABzv/4c=")</f>
        <v>#VALUE!</v>
      </c>
      <c r="EG93" t="e">
        <f>AND('PROG FORMACIÓN TITULADA'!V603,"AAAAABzv/4g=")</f>
        <v>#VALUE!</v>
      </c>
      <c r="EH93" t="e">
        <f>AND('PROG FORMACIÓN TITULADA'!W603,"AAAAABzv/4k=")</f>
        <v>#VALUE!</v>
      </c>
      <c r="EI93" t="e">
        <f>AND('PROG FORMACIÓN TITULADA'!X603,"AAAAABzv/4o=")</f>
        <v>#VALUE!</v>
      </c>
      <c r="EJ93" t="e">
        <f>AND('PROG FORMACIÓN TITULADA'!Y603,"AAAAABzv/4s=")</f>
        <v>#VALUE!</v>
      </c>
      <c r="EK93" t="e">
        <f>AND('PROG FORMACIÓN TITULADA'!Z603,"AAAAABzv/4w=")</f>
        <v>#VALUE!</v>
      </c>
      <c r="EL93">
        <f>IF('PROG FORMACIÓN TITULADA'!604:604,"AAAAABzv/40=",0)</f>
        <v>0</v>
      </c>
      <c r="EM93" t="e">
        <f>AND('PROG FORMACIÓN TITULADA'!A604,"AAAAABzv/44=")</f>
        <v>#VALUE!</v>
      </c>
      <c r="EN93" t="e">
        <f>AND('PROG FORMACIÓN TITULADA'!B604,"AAAAABzv/48=")</f>
        <v>#VALUE!</v>
      </c>
      <c r="EO93" t="e">
        <f>AND('PROG FORMACIÓN TITULADA'!C604,"AAAAABzv/5A=")</f>
        <v>#VALUE!</v>
      </c>
      <c r="EP93" t="e">
        <f>AND('PROG FORMACIÓN TITULADA'!D604,"AAAAABzv/5E=")</f>
        <v>#VALUE!</v>
      </c>
      <c r="EQ93" t="e">
        <f>AND('PROG FORMACIÓN TITULADA'!E604,"AAAAABzv/5I=")</f>
        <v>#VALUE!</v>
      </c>
      <c r="ER93" t="e">
        <f>AND('PROG FORMACIÓN TITULADA'!F604,"AAAAABzv/5M=")</f>
        <v>#VALUE!</v>
      </c>
      <c r="ES93" t="e">
        <f>AND('PROG FORMACIÓN TITULADA'!G604,"AAAAABzv/5Q=")</f>
        <v>#VALUE!</v>
      </c>
      <c r="ET93" t="e">
        <f>AND('PROG FORMACIÓN TITULADA'!H604,"AAAAABzv/5U=")</f>
        <v>#VALUE!</v>
      </c>
      <c r="EU93" t="e">
        <f>AND('PROG FORMACIÓN TITULADA'!I604,"AAAAABzv/5Y=")</f>
        <v>#VALUE!</v>
      </c>
      <c r="EV93" t="e">
        <f>AND('PROG FORMACIÓN TITULADA'!J604,"AAAAABzv/5c=")</f>
        <v>#VALUE!</v>
      </c>
      <c r="EW93" t="e">
        <f>AND('PROG FORMACIÓN TITULADA'!K604,"AAAAABzv/5g=")</f>
        <v>#VALUE!</v>
      </c>
      <c r="EX93" t="e">
        <f>AND('PROG FORMACIÓN TITULADA'!L604,"AAAAABzv/5k=")</f>
        <v>#VALUE!</v>
      </c>
      <c r="EY93" t="e">
        <f>AND('PROG FORMACIÓN TITULADA'!M604,"AAAAABzv/5o=")</f>
        <v>#VALUE!</v>
      </c>
      <c r="EZ93" t="e">
        <f>AND('PROG FORMACIÓN TITULADA'!N604,"AAAAABzv/5s=")</f>
        <v>#VALUE!</v>
      </c>
      <c r="FA93" t="e">
        <f>AND('PROG FORMACIÓN TITULADA'!O604,"AAAAABzv/5w=")</f>
        <v>#VALUE!</v>
      </c>
      <c r="FB93" t="e">
        <f>AND('PROG FORMACIÓN TITULADA'!P604,"AAAAABzv/50=")</f>
        <v>#VALUE!</v>
      </c>
      <c r="FC93" t="e">
        <f>AND('PROG FORMACIÓN TITULADA'!Q604,"AAAAABzv/54=")</f>
        <v>#VALUE!</v>
      </c>
      <c r="FD93" t="e">
        <f>AND('PROG FORMACIÓN TITULADA'!R604,"AAAAABzv/58=")</f>
        <v>#VALUE!</v>
      </c>
      <c r="FE93" t="e">
        <f>AND('PROG FORMACIÓN TITULADA'!S604,"AAAAABzv/6A=")</f>
        <v>#VALUE!</v>
      </c>
      <c r="FF93" t="e">
        <f>AND('PROG FORMACIÓN TITULADA'!T604,"AAAAABzv/6E=")</f>
        <v>#VALUE!</v>
      </c>
      <c r="FG93" t="e">
        <f>AND('PROG FORMACIÓN TITULADA'!U604,"AAAAABzv/6I=")</f>
        <v>#VALUE!</v>
      </c>
      <c r="FH93" t="e">
        <f>AND('PROG FORMACIÓN TITULADA'!V604,"AAAAABzv/6M=")</f>
        <v>#VALUE!</v>
      </c>
      <c r="FI93" t="e">
        <f>AND('PROG FORMACIÓN TITULADA'!W604,"AAAAABzv/6Q=")</f>
        <v>#VALUE!</v>
      </c>
      <c r="FJ93" t="e">
        <f>AND('PROG FORMACIÓN TITULADA'!X604,"AAAAABzv/6U=")</f>
        <v>#VALUE!</v>
      </c>
      <c r="FK93" t="e">
        <f>AND('PROG FORMACIÓN TITULADA'!Y604,"AAAAABzv/6Y=")</f>
        <v>#VALUE!</v>
      </c>
      <c r="FL93" t="e">
        <f>AND('PROG FORMACIÓN TITULADA'!Z604,"AAAAABzv/6c=")</f>
        <v>#VALUE!</v>
      </c>
      <c r="FM93">
        <f>IF('PROG FORMACIÓN TITULADA'!605:605,"AAAAABzv/6g=",0)</f>
        <v>0</v>
      </c>
      <c r="FN93" t="e">
        <f>AND('PROG FORMACIÓN TITULADA'!A605,"AAAAABzv/6k=")</f>
        <v>#VALUE!</v>
      </c>
      <c r="FO93" t="e">
        <f>AND('PROG FORMACIÓN TITULADA'!B605,"AAAAABzv/6o=")</f>
        <v>#VALUE!</v>
      </c>
      <c r="FP93" t="e">
        <f>AND('PROG FORMACIÓN TITULADA'!C605,"AAAAABzv/6s=")</f>
        <v>#VALUE!</v>
      </c>
      <c r="FQ93" t="e">
        <f>AND('PROG FORMACIÓN TITULADA'!D605,"AAAAABzv/6w=")</f>
        <v>#VALUE!</v>
      </c>
      <c r="FR93" t="e">
        <f>AND('PROG FORMACIÓN TITULADA'!E605,"AAAAABzv/60=")</f>
        <v>#VALUE!</v>
      </c>
      <c r="FS93" t="e">
        <f>AND('PROG FORMACIÓN TITULADA'!F605,"AAAAABzv/64=")</f>
        <v>#VALUE!</v>
      </c>
      <c r="FT93" t="e">
        <f>AND('PROG FORMACIÓN TITULADA'!G605,"AAAAABzv/68=")</f>
        <v>#VALUE!</v>
      </c>
      <c r="FU93" t="e">
        <f>AND('PROG FORMACIÓN TITULADA'!H605,"AAAAABzv/7A=")</f>
        <v>#VALUE!</v>
      </c>
      <c r="FV93" t="e">
        <f>AND('PROG FORMACIÓN TITULADA'!I605,"AAAAABzv/7E=")</f>
        <v>#VALUE!</v>
      </c>
      <c r="FW93" t="e">
        <f>AND('PROG FORMACIÓN TITULADA'!J605,"AAAAABzv/7I=")</f>
        <v>#VALUE!</v>
      </c>
      <c r="FX93" t="e">
        <f>AND('PROG FORMACIÓN TITULADA'!K605,"AAAAABzv/7M=")</f>
        <v>#VALUE!</v>
      </c>
      <c r="FY93" t="e">
        <f>AND('PROG FORMACIÓN TITULADA'!L605,"AAAAABzv/7Q=")</f>
        <v>#VALUE!</v>
      </c>
      <c r="FZ93" t="e">
        <f>AND('PROG FORMACIÓN TITULADA'!M605,"AAAAABzv/7U=")</f>
        <v>#VALUE!</v>
      </c>
      <c r="GA93" t="e">
        <f>AND('PROG FORMACIÓN TITULADA'!N605,"AAAAABzv/7Y=")</f>
        <v>#VALUE!</v>
      </c>
      <c r="GB93" t="e">
        <f>AND('PROG FORMACIÓN TITULADA'!O605,"AAAAABzv/7c=")</f>
        <v>#VALUE!</v>
      </c>
      <c r="GC93" t="e">
        <f>AND('PROG FORMACIÓN TITULADA'!P605,"AAAAABzv/7g=")</f>
        <v>#VALUE!</v>
      </c>
      <c r="GD93" t="e">
        <f>AND('PROG FORMACIÓN TITULADA'!Q605,"AAAAABzv/7k=")</f>
        <v>#VALUE!</v>
      </c>
      <c r="GE93" t="e">
        <f>AND('PROG FORMACIÓN TITULADA'!R605,"AAAAABzv/7o=")</f>
        <v>#VALUE!</v>
      </c>
      <c r="GF93" t="e">
        <f>AND('PROG FORMACIÓN TITULADA'!S605,"AAAAABzv/7s=")</f>
        <v>#VALUE!</v>
      </c>
      <c r="GG93" t="e">
        <f>AND('PROG FORMACIÓN TITULADA'!T605,"AAAAABzv/7w=")</f>
        <v>#VALUE!</v>
      </c>
      <c r="GH93" t="e">
        <f>AND('PROG FORMACIÓN TITULADA'!U605,"AAAAABzv/70=")</f>
        <v>#VALUE!</v>
      </c>
      <c r="GI93" t="e">
        <f>AND('PROG FORMACIÓN TITULADA'!V605,"AAAAABzv/74=")</f>
        <v>#VALUE!</v>
      </c>
      <c r="GJ93" t="e">
        <f>AND('PROG FORMACIÓN TITULADA'!W605,"AAAAABzv/78=")</f>
        <v>#VALUE!</v>
      </c>
      <c r="GK93" t="e">
        <f>AND('PROG FORMACIÓN TITULADA'!X605,"AAAAABzv/8A=")</f>
        <v>#VALUE!</v>
      </c>
      <c r="GL93" t="e">
        <f>AND('PROG FORMACIÓN TITULADA'!Y605,"AAAAABzv/8E=")</f>
        <v>#VALUE!</v>
      </c>
      <c r="GM93" t="e">
        <f>AND('PROG FORMACIÓN TITULADA'!Z605,"AAAAABzv/8I=")</f>
        <v>#VALUE!</v>
      </c>
      <c r="GN93">
        <f>IF('PROG FORMACIÓN TITULADA'!606:606,"AAAAABzv/8M=",0)</f>
        <v>0</v>
      </c>
      <c r="GO93" t="e">
        <f>AND('PROG FORMACIÓN TITULADA'!A606,"AAAAABzv/8Q=")</f>
        <v>#VALUE!</v>
      </c>
      <c r="GP93" t="e">
        <f>AND('PROG FORMACIÓN TITULADA'!B606,"AAAAABzv/8U=")</f>
        <v>#VALUE!</v>
      </c>
      <c r="GQ93" t="e">
        <f>AND('PROG FORMACIÓN TITULADA'!C606,"AAAAABzv/8Y=")</f>
        <v>#VALUE!</v>
      </c>
      <c r="GR93" t="e">
        <f>AND('PROG FORMACIÓN TITULADA'!D606,"AAAAABzv/8c=")</f>
        <v>#VALUE!</v>
      </c>
      <c r="GS93" t="e">
        <f>AND('PROG FORMACIÓN TITULADA'!E606,"AAAAABzv/8g=")</f>
        <v>#VALUE!</v>
      </c>
      <c r="GT93" t="e">
        <f>AND('PROG FORMACIÓN TITULADA'!F606,"AAAAABzv/8k=")</f>
        <v>#VALUE!</v>
      </c>
      <c r="GU93" t="e">
        <f>AND('PROG FORMACIÓN TITULADA'!G606,"AAAAABzv/8o=")</f>
        <v>#VALUE!</v>
      </c>
      <c r="GV93" t="e">
        <f>AND('PROG FORMACIÓN TITULADA'!H606,"AAAAABzv/8s=")</f>
        <v>#VALUE!</v>
      </c>
      <c r="GW93" t="e">
        <f>AND('PROG FORMACIÓN TITULADA'!I606,"AAAAABzv/8w=")</f>
        <v>#VALUE!</v>
      </c>
      <c r="GX93" t="e">
        <f>AND('PROG FORMACIÓN TITULADA'!J606,"AAAAABzv/80=")</f>
        <v>#VALUE!</v>
      </c>
      <c r="GY93" t="e">
        <f>AND('PROG FORMACIÓN TITULADA'!K606,"AAAAABzv/84=")</f>
        <v>#VALUE!</v>
      </c>
      <c r="GZ93" t="e">
        <f>AND('PROG FORMACIÓN TITULADA'!L606,"AAAAABzv/88=")</f>
        <v>#VALUE!</v>
      </c>
      <c r="HA93" t="e">
        <f>AND('PROG FORMACIÓN TITULADA'!M606,"AAAAABzv/9A=")</f>
        <v>#VALUE!</v>
      </c>
      <c r="HB93" t="e">
        <f>AND('PROG FORMACIÓN TITULADA'!N606,"AAAAABzv/9E=")</f>
        <v>#VALUE!</v>
      </c>
      <c r="HC93" t="e">
        <f>AND('PROG FORMACIÓN TITULADA'!O606,"AAAAABzv/9I=")</f>
        <v>#VALUE!</v>
      </c>
      <c r="HD93" t="e">
        <f>AND('PROG FORMACIÓN TITULADA'!P606,"AAAAABzv/9M=")</f>
        <v>#VALUE!</v>
      </c>
      <c r="HE93" t="e">
        <f>AND('PROG FORMACIÓN TITULADA'!Q606,"AAAAABzv/9Q=")</f>
        <v>#VALUE!</v>
      </c>
      <c r="HF93" t="e">
        <f>AND('PROG FORMACIÓN TITULADA'!R606,"AAAAABzv/9U=")</f>
        <v>#VALUE!</v>
      </c>
      <c r="HG93" t="e">
        <f>AND('PROG FORMACIÓN TITULADA'!S606,"AAAAABzv/9Y=")</f>
        <v>#VALUE!</v>
      </c>
      <c r="HH93" t="e">
        <f>AND('PROG FORMACIÓN TITULADA'!T606,"AAAAABzv/9c=")</f>
        <v>#VALUE!</v>
      </c>
      <c r="HI93" t="e">
        <f>AND('PROG FORMACIÓN TITULADA'!U606,"AAAAABzv/9g=")</f>
        <v>#VALUE!</v>
      </c>
      <c r="HJ93" t="e">
        <f>AND('PROG FORMACIÓN TITULADA'!V606,"AAAAABzv/9k=")</f>
        <v>#VALUE!</v>
      </c>
      <c r="HK93" t="e">
        <f>AND('PROG FORMACIÓN TITULADA'!W606,"AAAAABzv/9o=")</f>
        <v>#VALUE!</v>
      </c>
      <c r="HL93" t="e">
        <f>AND('PROG FORMACIÓN TITULADA'!X606,"AAAAABzv/9s=")</f>
        <v>#VALUE!</v>
      </c>
      <c r="HM93" t="e">
        <f>AND('PROG FORMACIÓN TITULADA'!Y606,"AAAAABzv/9w=")</f>
        <v>#VALUE!</v>
      </c>
      <c r="HN93" t="e">
        <f>AND('PROG FORMACIÓN TITULADA'!Z606,"AAAAABzv/90=")</f>
        <v>#VALUE!</v>
      </c>
      <c r="HO93">
        <f>IF('PROG FORMACIÓN TITULADA'!607:607,"AAAAABzv/94=",0)</f>
        <v>0</v>
      </c>
      <c r="HP93" t="e">
        <f>AND('PROG FORMACIÓN TITULADA'!A607,"AAAAABzv/98=")</f>
        <v>#VALUE!</v>
      </c>
      <c r="HQ93" t="e">
        <f>AND('PROG FORMACIÓN TITULADA'!B607,"AAAAABzv/+A=")</f>
        <v>#VALUE!</v>
      </c>
      <c r="HR93" t="e">
        <f>AND('PROG FORMACIÓN TITULADA'!C607,"AAAAABzv/+E=")</f>
        <v>#VALUE!</v>
      </c>
      <c r="HS93" t="e">
        <f>AND('PROG FORMACIÓN TITULADA'!D607,"AAAAABzv/+I=")</f>
        <v>#VALUE!</v>
      </c>
      <c r="HT93" t="e">
        <f>AND('PROG FORMACIÓN TITULADA'!E607,"AAAAABzv/+M=")</f>
        <v>#VALUE!</v>
      </c>
      <c r="HU93" t="e">
        <f>AND('PROG FORMACIÓN TITULADA'!F607,"AAAAABzv/+Q=")</f>
        <v>#VALUE!</v>
      </c>
      <c r="HV93" t="e">
        <f>AND('PROG FORMACIÓN TITULADA'!G607,"AAAAABzv/+U=")</f>
        <v>#VALUE!</v>
      </c>
      <c r="HW93" t="e">
        <f>AND('PROG FORMACIÓN TITULADA'!H607,"AAAAABzv/+Y=")</f>
        <v>#VALUE!</v>
      </c>
      <c r="HX93" t="e">
        <f>AND('PROG FORMACIÓN TITULADA'!I607,"AAAAABzv/+c=")</f>
        <v>#VALUE!</v>
      </c>
      <c r="HY93" t="e">
        <f>AND('PROG FORMACIÓN TITULADA'!J607,"AAAAABzv/+g=")</f>
        <v>#VALUE!</v>
      </c>
      <c r="HZ93" t="e">
        <f>AND('PROG FORMACIÓN TITULADA'!K607,"AAAAABzv/+k=")</f>
        <v>#VALUE!</v>
      </c>
      <c r="IA93" t="e">
        <f>AND('PROG FORMACIÓN TITULADA'!L607,"AAAAABzv/+o=")</f>
        <v>#VALUE!</v>
      </c>
      <c r="IB93" t="e">
        <f>AND('PROG FORMACIÓN TITULADA'!M607,"AAAAABzv/+s=")</f>
        <v>#VALUE!</v>
      </c>
      <c r="IC93" t="e">
        <f>AND('PROG FORMACIÓN TITULADA'!N607,"AAAAABzv/+w=")</f>
        <v>#VALUE!</v>
      </c>
      <c r="ID93" t="e">
        <f>AND('PROG FORMACIÓN TITULADA'!O607,"AAAAABzv/+0=")</f>
        <v>#VALUE!</v>
      </c>
      <c r="IE93" t="e">
        <f>AND('PROG FORMACIÓN TITULADA'!P607,"AAAAABzv/+4=")</f>
        <v>#VALUE!</v>
      </c>
      <c r="IF93" t="e">
        <f>AND('PROG FORMACIÓN TITULADA'!Q607,"AAAAABzv/+8=")</f>
        <v>#VALUE!</v>
      </c>
      <c r="IG93" t="e">
        <f>AND('PROG FORMACIÓN TITULADA'!R607,"AAAAABzv//A=")</f>
        <v>#VALUE!</v>
      </c>
      <c r="IH93" t="e">
        <f>AND('PROG FORMACIÓN TITULADA'!S607,"AAAAABzv//E=")</f>
        <v>#VALUE!</v>
      </c>
      <c r="II93" t="e">
        <f>AND('PROG FORMACIÓN TITULADA'!T607,"AAAAABzv//I=")</f>
        <v>#VALUE!</v>
      </c>
      <c r="IJ93" t="e">
        <f>AND('PROG FORMACIÓN TITULADA'!U607,"AAAAABzv//M=")</f>
        <v>#VALUE!</v>
      </c>
      <c r="IK93" t="e">
        <f>AND('PROG FORMACIÓN TITULADA'!V607,"AAAAABzv//Q=")</f>
        <v>#VALUE!</v>
      </c>
      <c r="IL93" t="e">
        <f>AND('PROG FORMACIÓN TITULADA'!W607,"AAAAABzv//U=")</f>
        <v>#VALUE!</v>
      </c>
      <c r="IM93" t="e">
        <f>AND('PROG FORMACIÓN TITULADA'!X607,"AAAAABzv//Y=")</f>
        <v>#VALUE!</v>
      </c>
      <c r="IN93" t="e">
        <f>AND('PROG FORMACIÓN TITULADA'!Y607,"AAAAABzv//c=")</f>
        <v>#VALUE!</v>
      </c>
      <c r="IO93" t="e">
        <f>AND('PROG FORMACIÓN TITULADA'!Z607,"AAAAABzv//g=")</f>
        <v>#VALUE!</v>
      </c>
      <c r="IP93">
        <f>IF('PROG FORMACIÓN TITULADA'!608:608,"AAAAABzv//k=",0)</f>
        <v>0</v>
      </c>
      <c r="IQ93" t="e">
        <f>AND('PROG FORMACIÓN TITULADA'!A608,"AAAAABzv//o=")</f>
        <v>#VALUE!</v>
      </c>
      <c r="IR93" t="e">
        <f>AND('PROG FORMACIÓN TITULADA'!B608,"AAAAABzv//s=")</f>
        <v>#VALUE!</v>
      </c>
      <c r="IS93" t="e">
        <f>AND('PROG FORMACIÓN TITULADA'!C608,"AAAAABzv//w=")</f>
        <v>#VALUE!</v>
      </c>
      <c r="IT93" t="e">
        <f>AND('PROG FORMACIÓN TITULADA'!D608,"AAAAABzv//0=")</f>
        <v>#VALUE!</v>
      </c>
      <c r="IU93" t="e">
        <f>AND('PROG FORMACIÓN TITULADA'!E608,"AAAAABzv//4=")</f>
        <v>#VALUE!</v>
      </c>
      <c r="IV93" t="e">
        <f>AND('PROG FORMACIÓN TITULADA'!F608,"AAAAABzv//8=")</f>
        <v>#VALUE!</v>
      </c>
    </row>
    <row r="94" spans="1:256" x14ac:dyDescent="0.2">
      <c r="A94" t="e">
        <f>AND('PROG FORMACIÓN TITULADA'!G608,"AAAAAF+z3QA=")</f>
        <v>#VALUE!</v>
      </c>
      <c r="B94" t="e">
        <f>AND('PROG FORMACIÓN TITULADA'!H608,"AAAAAF+z3QE=")</f>
        <v>#VALUE!</v>
      </c>
      <c r="C94" t="e">
        <f>AND('PROG FORMACIÓN TITULADA'!I608,"AAAAAF+z3QI=")</f>
        <v>#VALUE!</v>
      </c>
      <c r="D94" t="e">
        <f>AND('PROG FORMACIÓN TITULADA'!J608,"AAAAAF+z3QM=")</f>
        <v>#VALUE!</v>
      </c>
      <c r="E94" t="e">
        <f>AND('PROG FORMACIÓN TITULADA'!K608,"AAAAAF+z3QQ=")</f>
        <v>#VALUE!</v>
      </c>
      <c r="F94" t="e">
        <f>AND('PROG FORMACIÓN TITULADA'!L608,"AAAAAF+z3QU=")</f>
        <v>#VALUE!</v>
      </c>
      <c r="G94" t="e">
        <f>AND('PROG FORMACIÓN TITULADA'!M608,"AAAAAF+z3QY=")</f>
        <v>#VALUE!</v>
      </c>
      <c r="H94" t="e">
        <f>AND('PROG FORMACIÓN TITULADA'!N608,"AAAAAF+z3Qc=")</f>
        <v>#VALUE!</v>
      </c>
      <c r="I94" t="e">
        <f>AND('PROG FORMACIÓN TITULADA'!O608,"AAAAAF+z3Qg=")</f>
        <v>#VALUE!</v>
      </c>
      <c r="J94" t="e">
        <f>AND('PROG FORMACIÓN TITULADA'!P608,"AAAAAF+z3Qk=")</f>
        <v>#VALUE!</v>
      </c>
      <c r="K94" t="e">
        <f>AND('PROG FORMACIÓN TITULADA'!Q608,"AAAAAF+z3Qo=")</f>
        <v>#VALUE!</v>
      </c>
      <c r="L94" t="e">
        <f>AND('PROG FORMACIÓN TITULADA'!R608,"AAAAAF+z3Qs=")</f>
        <v>#VALUE!</v>
      </c>
      <c r="M94" t="e">
        <f>AND('PROG FORMACIÓN TITULADA'!S608,"AAAAAF+z3Qw=")</f>
        <v>#VALUE!</v>
      </c>
      <c r="N94" t="e">
        <f>AND('PROG FORMACIÓN TITULADA'!T608,"AAAAAF+z3Q0=")</f>
        <v>#VALUE!</v>
      </c>
      <c r="O94" t="e">
        <f>AND('PROG FORMACIÓN TITULADA'!U608,"AAAAAF+z3Q4=")</f>
        <v>#VALUE!</v>
      </c>
      <c r="P94" t="e">
        <f>AND('PROG FORMACIÓN TITULADA'!V608,"AAAAAF+z3Q8=")</f>
        <v>#VALUE!</v>
      </c>
      <c r="Q94" t="e">
        <f>AND('PROG FORMACIÓN TITULADA'!W608,"AAAAAF+z3RA=")</f>
        <v>#VALUE!</v>
      </c>
      <c r="R94" t="e">
        <f>AND('PROG FORMACIÓN TITULADA'!X608,"AAAAAF+z3RE=")</f>
        <v>#VALUE!</v>
      </c>
      <c r="S94" t="e">
        <f>AND('PROG FORMACIÓN TITULADA'!Y608,"AAAAAF+z3RI=")</f>
        <v>#VALUE!</v>
      </c>
      <c r="T94" t="e">
        <f>AND('PROG FORMACIÓN TITULADA'!Z608,"AAAAAF+z3RM=")</f>
        <v>#VALUE!</v>
      </c>
      <c r="U94">
        <f>IF('PROG FORMACIÓN TITULADA'!609:609,"AAAAAF+z3RQ=",0)</f>
        <v>0</v>
      </c>
      <c r="V94" t="e">
        <f>AND('PROG FORMACIÓN TITULADA'!A609,"AAAAAF+z3RU=")</f>
        <v>#VALUE!</v>
      </c>
      <c r="W94" t="e">
        <f>AND('PROG FORMACIÓN TITULADA'!B609,"AAAAAF+z3RY=")</f>
        <v>#VALUE!</v>
      </c>
      <c r="X94" t="e">
        <f>AND('PROG FORMACIÓN TITULADA'!C609,"AAAAAF+z3Rc=")</f>
        <v>#VALUE!</v>
      </c>
      <c r="Y94" t="e">
        <f>AND('PROG FORMACIÓN TITULADA'!D609,"AAAAAF+z3Rg=")</f>
        <v>#VALUE!</v>
      </c>
      <c r="Z94" t="e">
        <f>AND('PROG FORMACIÓN TITULADA'!E609,"AAAAAF+z3Rk=")</f>
        <v>#VALUE!</v>
      </c>
      <c r="AA94" t="e">
        <f>AND('PROG FORMACIÓN TITULADA'!F609,"AAAAAF+z3Ro=")</f>
        <v>#VALUE!</v>
      </c>
      <c r="AB94" t="e">
        <f>AND('PROG FORMACIÓN TITULADA'!G609,"AAAAAF+z3Rs=")</f>
        <v>#VALUE!</v>
      </c>
      <c r="AC94" t="e">
        <f>AND('PROG FORMACIÓN TITULADA'!H609,"AAAAAF+z3Rw=")</f>
        <v>#VALUE!</v>
      </c>
      <c r="AD94" t="e">
        <f>AND('PROG FORMACIÓN TITULADA'!I609,"AAAAAF+z3R0=")</f>
        <v>#VALUE!</v>
      </c>
      <c r="AE94" t="e">
        <f>AND('PROG FORMACIÓN TITULADA'!J609,"AAAAAF+z3R4=")</f>
        <v>#VALUE!</v>
      </c>
      <c r="AF94" t="e">
        <f>AND('PROG FORMACIÓN TITULADA'!K609,"AAAAAF+z3R8=")</f>
        <v>#VALUE!</v>
      </c>
      <c r="AG94" t="e">
        <f>AND('PROG FORMACIÓN TITULADA'!L609,"AAAAAF+z3SA=")</f>
        <v>#VALUE!</v>
      </c>
      <c r="AH94" t="e">
        <f>AND('PROG FORMACIÓN TITULADA'!M609,"AAAAAF+z3SE=")</f>
        <v>#VALUE!</v>
      </c>
      <c r="AI94" t="e">
        <f>AND('PROG FORMACIÓN TITULADA'!N609,"AAAAAF+z3SI=")</f>
        <v>#VALUE!</v>
      </c>
      <c r="AJ94" t="e">
        <f>AND('PROG FORMACIÓN TITULADA'!O609,"AAAAAF+z3SM=")</f>
        <v>#VALUE!</v>
      </c>
      <c r="AK94" t="e">
        <f>AND('PROG FORMACIÓN TITULADA'!P609,"AAAAAF+z3SQ=")</f>
        <v>#VALUE!</v>
      </c>
      <c r="AL94" t="e">
        <f>AND('PROG FORMACIÓN TITULADA'!Q609,"AAAAAF+z3SU=")</f>
        <v>#VALUE!</v>
      </c>
      <c r="AM94" t="e">
        <f>AND('PROG FORMACIÓN TITULADA'!R609,"AAAAAF+z3SY=")</f>
        <v>#VALUE!</v>
      </c>
      <c r="AN94" t="e">
        <f>AND('PROG FORMACIÓN TITULADA'!S609,"AAAAAF+z3Sc=")</f>
        <v>#VALUE!</v>
      </c>
      <c r="AO94" t="e">
        <f>AND('PROG FORMACIÓN TITULADA'!T609,"AAAAAF+z3Sg=")</f>
        <v>#VALUE!</v>
      </c>
      <c r="AP94" t="e">
        <f>AND('PROG FORMACIÓN TITULADA'!U609,"AAAAAF+z3Sk=")</f>
        <v>#VALUE!</v>
      </c>
      <c r="AQ94" t="e">
        <f>AND('PROG FORMACIÓN TITULADA'!V609,"AAAAAF+z3So=")</f>
        <v>#VALUE!</v>
      </c>
      <c r="AR94" t="e">
        <f>AND('PROG FORMACIÓN TITULADA'!W609,"AAAAAF+z3Ss=")</f>
        <v>#VALUE!</v>
      </c>
      <c r="AS94" t="e">
        <f>AND('PROG FORMACIÓN TITULADA'!X609,"AAAAAF+z3Sw=")</f>
        <v>#VALUE!</v>
      </c>
      <c r="AT94" t="e">
        <f>AND('PROG FORMACIÓN TITULADA'!Y609,"AAAAAF+z3S0=")</f>
        <v>#VALUE!</v>
      </c>
      <c r="AU94" t="e">
        <f>AND('PROG FORMACIÓN TITULADA'!Z609,"AAAAAF+z3S4=")</f>
        <v>#VALUE!</v>
      </c>
      <c r="AV94">
        <f>IF('PROG FORMACIÓN TITULADA'!610:610,"AAAAAF+z3S8=",0)</f>
        <v>0</v>
      </c>
      <c r="AW94" t="e">
        <f>AND('PROG FORMACIÓN TITULADA'!A610,"AAAAAF+z3TA=")</f>
        <v>#VALUE!</v>
      </c>
      <c r="AX94" t="e">
        <f>AND('PROG FORMACIÓN TITULADA'!B610,"AAAAAF+z3TE=")</f>
        <v>#VALUE!</v>
      </c>
      <c r="AY94" t="e">
        <f>AND('PROG FORMACIÓN TITULADA'!C610,"AAAAAF+z3TI=")</f>
        <v>#VALUE!</v>
      </c>
      <c r="AZ94" t="e">
        <f>AND('PROG FORMACIÓN TITULADA'!D610,"AAAAAF+z3TM=")</f>
        <v>#VALUE!</v>
      </c>
      <c r="BA94" t="e">
        <f>AND('PROG FORMACIÓN TITULADA'!E610,"AAAAAF+z3TQ=")</f>
        <v>#VALUE!</v>
      </c>
      <c r="BB94" t="e">
        <f>AND('PROG FORMACIÓN TITULADA'!F610,"AAAAAF+z3TU=")</f>
        <v>#VALUE!</v>
      </c>
      <c r="BC94" t="e">
        <f>AND('PROG FORMACIÓN TITULADA'!G610,"AAAAAF+z3TY=")</f>
        <v>#VALUE!</v>
      </c>
      <c r="BD94" t="e">
        <f>AND('PROG FORMACIÓN TITULADA'!H610,"AAAAAF+z3Tc=")</f>
        <v>#VALUE!</v>
      </c>
      <c r="BE94" t="e">
        <f>AND('PROG FORMACIÓN TITULADA'!I610,"AAAAAF+z3Tg=")</f>
        <v>#VALUE!</v>
      </c>
      <c r="BF94" t="e">
        <f>AND('PROG FORMACIÓN TITULADA'!J610,"AAAAAF+z3Tk=")</f>
        <v>#VALUE!</v>
      </c>
      <c r="BG94" t="e">
        <f>AND('PROG FORMACIÓN TITULADA'!K610,"AAAAAF+z3To=")</f>
        <v>#VALUE!</v>
      </c>
      <c r="BH94" t="e">
        <f>AND('PROG FORMACIÓN TITULADA'!L610,"AAAAAF+z3Ts=")</f>
        <v>#VALUE!</v>
      </c>
      <c r="BI94" t="e">
        <f>AND('PROG FORMACIÓN TITULADA'!M610,"AAAAAF+z3Tw=")</f>
        <v>#VALUE!</v>
      </c>
      <c r="BJ94" t="e">
        <f>AND('PROG FORMACIÓN TITULADA'!N610,"AAAAAF+z3T0=")</f>
        <v>#VALUE!</v>
      </c>
      <c r="BK94" t="e">
        <f>AND('PROG FORMACIÓN TITULADA'!O610,"AAAAAF+z3T4=")</f>
        <v>#VALUE!</v>
      </c>
      <c r="BL94" t="e">
        <f>AND('PROG FORMACIÓN TITULADA'!P610,"AAAAAF+z3T8=")</f>
        <v>#VALUE!</v>
      </c>
      <c r="BM94" t="e">
        <f>AND('PROG FORMACIÓN TITULADA'!Q610,"AAAAAF+z3UA=")</f>
        <v>#VALUE!</v>
      </c>
      <c r="BN94" t="e">
        <f>AND('PROG FORMACIÓN TITULADA'!R610,"AAAAAF+z3UE=")</f>
        <v>#VALUE!</v>
      </c>
      <c r="BO94" t="e">
        <f>AND('PROG FORMACIÓN TITULADA'!S610,"AAAAAF+z3UI=")</f>
        <v>#VALUE!</v>
      </c>
      <c r="BP94" t="e">
        <f>AND('PROG FORMACIÓN TITULADA'!T610,"AAAAAF+z3UM=")</f>
        <v>#VALUE!</v>
      </c>
      <c r="BQ94" t="e">
        <f>AND('PROG FORMACIÓN TITULADA'!U610,"AAAAAF+z3UQ=")</f>
        <v>#VALUE!</v>
      </c>
      <c r="BR94" t="e">
        <f>AND('PROG FORMACIÓN TITULADA'!V610,"AAAAAF+z3UU=")</f>
        <v>#VALUE!</v>
      </c>
      <c r="BS94" t="e">
        <f>AND('PROG FORMACIÓN TITULADA'!W610,"AAAAAF+z3UY=")</f>
        <v>#VALUE!</v>
      </c>
      <c r="BT94" t="e">
        <f>AND('PROG FORMACIÓN TITULADA'!X610,"AAAAAF+z3Uc=")</f>
        <v>#VALUE!</v>
      </c>
      <c r="BU94" t="e">
        <f>AND('PROG FORMACIÓN TITULADA'!Y610,"AAAAAF+z3Ug=")</f>
        <v>#VALUE!</v>
      </c>
      <c r="BV94" t="e">
        <f>AND('PROG FORMACIÓN TITULADA'!Z610,"AAAAAF+z3Uk=")</f>
        <v>#VALUE!</v>
      </c>
      <c r="BW94">
        <f>IF('PROG FORMACIÓN TITULADA'!611:611,"AAAAAF+z3Uo=",0)</f>
        <v>0</v>
      </c>
      <c r="BX94" t="e">
        <f>AND('PROG FORMACIÓN TITULADA'!A611,"AAAAAF+z3Us=")</f>
        <v>#VALUE!</v>
      </c>
      <c r="BY94" t="e">
        <f>AND('PROG FORMACIÓN TITULADA'!B611,"AAAAAF+z3Uw=")</f>
        <v>#VALUE!</v>
      </c>
      <c r="BZ94" t="e">
        <f>AND('PROG FORMACIÓN TITULADA'!C611,"AAAAAF+z3U0=")</f>
        <v>#VALUE!</v>
      </c>
      <c r="CA94" t="e">
        <f>AND('PROG FORMACIÓN TITULADA'!D611,"AAAAAF+z3U4=")</f>
        <v>#VALUE!</v>
      </c>
      <c r="CB94" t="e">
        <f>AND('PROG FORMACIÓN TITULADA'!E611,"AAAAAF+z3U8=")</f>
        <v>#VALUE!</v>
      </c>
      <c r="CC94" t="e">
        <f>AND('PROG FORMACIÓN TITULADA'!F611,"AAAAAF+z3VA=")</f>
        <v>#VALUE!</v>
      </c>
      <c r="CD94" t="e">
        <f>AND('PROG FORMACIÓN TITULADA'!G611,"AAAAAF+z3VE=")</f>
        <v>#VALUE!</v>
      </c>
      <c r="CE94" t="e">
        <f>AND('PROG FORMACIÓN TITULADA'!H611,"AAAAAF+z3VI=")</f>
        <v>#VALUE!</v>
      </c>
      <c r="CF94" t="e">
        <f>AND('PROG FORMACIÓN TITULADA'!I611,"AAAAAF+z3VM=")</f>
        <v>#VALUE!</v>
      </c>
      <c r="CG94" t="e">
        <f>AND('PROG FORMACIÓN TITULADA'!J611,"AAAAAF+z3VQ=")</f>
        <v>#VALUE!</v>
      </c>
      <c r="CH94" t="e">
        <f>AND('PROG FORMACIÓN TITULADA'!K611,"AAAAAF+z3VU=")</f>
        <v>#VALUE!</v>
      </c>
      <c r="CI94" t="e">
        <f>AND('PROG FORMACIÓN TITULADA'!L611,"AAAAAF+z3VY=")</f>
        <v>#VALUE!</v>
      </c>
      <c r="CJ94" t="e">
        <f>AND('PROG FORMACIÓN TITULADA'!M611,"AAAAAF+z3Vc=")</f>
        <v>#VALUE!</v>
      </c>
      <c r="CK94" t="e">
        <f>AND('PROG FORMACIÓN TITULADA'!N611,"AAAAAF+z3Vg=")</f>
        <v>#VALUE!</v>
      </c>
      <c r="CL94" t="e">
        <f>AND('PROG FORMACIÓN TITULADA'!O611,"AAAAAF+z3Vk=")</f>
        <v>#VALUE!</v>
      </c>
      <c r="CM94" t="e">
        <f>AND('PROG FORMACIÓN TITULADA'!P611,"AAAAAF+z3Vo=")</f>
        <v>#VALUE!</v>
      </c>
      <c r="CN94" t="e">
        <f>AND('PROG FORMACIÓN TITULADA'!Q611,"AAAAAF+z3Vs=")</f>
        <v>#VALUE!</v>
      </c>
      <c r="CO94" t="e">
        <f>AND('PROG FORMACIÓN TITULADA'!R611,"AAAAAF+z3Vw=")</f>
        <v>#VALUE!</v>
      </c>
      <c r="CP94" t="e">
        <f>AND('PROG FORMACIÓN TITULADA'!S611,"AAAAAF+z3V0=")</f>
        <v>#VALUE!</v>
      </c>
      <c r="CQ94" t="e">
        <f>AND('PROG FORMACIÓN TITULADA'!T611,"AAAAAF+z3V4=")</f>
        <v>#VALUE!</v>
      </c>
      <c r="CR94" t="e">
        <f>AND('PROG FORMACIÓN TITULADA'!U611,"AAAAAF+z3V8=")</f>
        <v>#VALUE!</v>
      </c>
      <c r="CS94" t="e">
        <f>AND('PROG FORMACIÓN TITULADA'!V611,"AAAAAF+z3WA=")</f>
        <v>#VALUE!</v>
      </c>
      <c r="CT94" t="e">
        <f>AND('PROG FORMACIÓN TITULADA'!W611,"AAAAAF+z3WE=")</f>
        <v>#VALUE!</v>
      </c>
      <c r="CU94" t="e">
        <f>AND('PROG FORMACIÓN TITULADA'!X611,"AAAAAF+z3WI=")</f>
        <v>#VALUE!</v>
      </c>
      <c r="CV94" t="e">
        <f>AND('PROG FORMACIÓN TITULADA'!Y611,"AAAAAF+z3WM=")</f>
        <v>#VALUE!</v>
      </c>
      <c r="CW94" t="e">
        <f>AND('PROG FORMACIÓN TITULADA'!Z611,"AAAAAF+z3WQ=")</f>
        <v>#VALUE!</v>
      </c>
      <c r="CX94">
        <f>IF('PROG FORMACIÓN TITULADA'!612:612,"AAAAAF+z3WU=",0)</f>
        <v>0</v>
      </c>
      <c r="CY94" t="e">
        <f>AND('PROG FORMACIÓN TITULADA'!A612,"AAAAAF+z3WY=")</f>
        <v>#VALUE!</v>
      </c>
      <c r="CZ94" t="e">
        <f>AND('PROG FORMACIÓN TITULADA'!B612,"AAAAAF+z3Wc=")</f>
        <v>#VALUE!</v>
      </c>
      <c r="DA94" t="e">
        <f>AND('PROG FORMACIÓN TITULADA'!C612,"AAAAAF+z3Wg=")</f>
        <v>#VALUE!</v>
      </c>
      <c r="DB94" t="e">
        <f>AND('PROG FORMACIÓN TITULADA'!D612,"AAAAAF+z3Wk=")</f>
        <v>#VALUE!</v>
      </c>
      <c r="DC94" t="e">
        <f>AND('PROG FORMACIÓN TITULADA'!E612,"AAAAAF+z3Wo=")</f>
        <v>#VALUE!</v>
      </c>
      <c r="DD94" t="e">
        <f>AND('PROG FORMACIÓN TITULADA'!F612,"AAAAAF+z3Ws=")</f>
        <v>#VALUE!</v>
      </c>
      <c r="DE94" t="e">
        <f>AND('PROG FORMACIÓN TITULADA'!G612,"AAAAAF+z3Ww=")</f>
        <v>#VALUE!</v>
      </c>
      <c r="DF94" t="e">
        <f>AND('PROG FORMACIÓN TITULADA'!H612,"AAAAAF+z3W0=")</f>
        <v>#VALUE!</v>
      </c>
      <c r="DG94" t="e">
        <f>AND('PROG FORMACIÓN TITULADA'!I612,"AAAAAF+z3W4=")</f>
        <v>#VALUE!</v>
      </c>
      <c r="DH94" t="e">
        <f>AND('PROG FORMACIÓN TITULADA'!J612,"AAAAAF+z3W8=")</f>
        <v>#VALUE!</v>
      </c>
      <c r="DI94" t="e">
        <f>AND('PROG FORMACIÓN TITULADA'!K612,"AAAAAF+z3XA=")</f>
        <v>#VALUE!</v>
      </c>
      <c r="DJ94" t="e">
        <f>AND('PROG FORMACIÓN TITULADA'!L612,"AAAAAF+z3XE=")</f>
        <v>#VALUE!</v>
      </c>
      <c r="DK94" t="e">
        <f>AND('PROG FORMACIÓN TITULADA'!M612,"AAAAAF+z3XI=")</f>
        <v>#VALUE!</v>
      </c>
      <c r="DL94" t="e">
        <f>AND('PROG FORMACIÓN TITULADA'!N612,"AAAAAF+z3XM=")</f>
        <v>#VALUE!</v>
      </c>
      <c r="DM94" t="e">
        <f>AND('PROG FORMACIÓN TITULADA'!O612,"AAAAAF+z3XQ=")</f>
        <v>#VALUE!</v>
      </c>
      <c r="DN94" t="e">
        <f>AND('PROG FORMACIÓN TITULADA'!P612,"AAAAAF+z3XU=")</f>
        <v>#VALUE!</v>
      </c>
      <c r="DO94" t="e">
        <f>AND('PROG FORMACIÓN TITULADA'!Q612,"AAAAAF+z3XY=")</f>
        <v>#VALUE!</v>
      </c>
      <c r="DP94" t="e">
        <f>AND('PROG FORMACIÓN TITULADA'!R612,"AAAAAF+z3Xc=")</f>
        <v>#VALUE!</v>
      </c>
      <c r="DQ94" t="e">
        <f>AND('PROG FORMACIÓN TITULADA'!S612,"AAAAAF+z3Xg=")</f>
        <v>#VALUE!</v>
      </c>
      <c r="DR94" t="e">
        <f>AND('PROG FORMACIÓN TITULADA'!T612,"AAAAAF+z3Xk=")</f>
        <v>#VALUE!</v>
      </c>
      <c r="DS94" t="e">
        <f>AND('PROG FORMACIÓN TITULADA'!U612,"AAAAAF+z3Xo=")</f>
        <v>#VALUE!</v>
      </c>
      <c r="DT94" t="e">
        <f>AND('PROG FORMACIÓN TITULADA'!V612,"AAAAAF+z3Xs=")</f>
        <v>#VALUE!</v>
      </c>
      <c r="DU94" t="e">
        <f>AND('PROG FORMACIÓN TITULADA'!W612,"AAAAAF+z3Xw=")</f>
        <v>#VALUE!</v>
      </c>
      <c r="DV94" t="e">
        <f>AND('PROG FORMACIÓN TITULADA'!X612,"AAAAAF+z3X0=")</f>
        <v>#VALUE!</v>
      </c>
      <c r="DW94" t="e">
        <f>AND('PROG FORMACIÓN TITULADA'!Y612,"AAAAAF+z3X4=")</f>
        <v>#VALUE!</v>
      </c>
      <c r="DX94" t="e">
        <f>AND('PROG FORMACIÓN TITULADA'!Z612,"AAAAAF+z3X8=")</f>
        <v>#VALUE!</v>
      </c>
      <c r="DY94">
        <f>IF('PROG FORMACIÓN TITULADA'!613:613,"AAAAAF+z3YA=",0)</f>
        <v>0</v>
      </c>
      <c r="DZ94" t="e">
        <f>AND('PROG FORMACIÓN TITULADA'!A613,"AAAAAF+z3YE=")</f>
        <v>#VALUE!</v>
      </c>
      <c r="EA94" t="e">
        <f>AND('PROG FORMACIÓN TITULADA'!B613,"AAAAAF+z3YI=")</f>
        <v>#VALUE!</v>
      </c>
      <c r="EB94" t="e">
        <f>AND('PROG FORMACIÓN TITULADA'!C613,"AAAAAF+z3YM=")</f>
        <v>#VALUE!</v>
      </c>
      <c r="EC94" t="e">
        <f>AND('PROG FORMACIÓN TITULADA'!D613,"AAAAAF+z3YQ=")</f>
        <v>#VALUE!</v>
      </c>
      <c r="ED94" t="e">
        <f>AND('PROG FORMACIÓN TITULADA'!E613,"AAAAAF+z3YU=")</f>
        <v>#VALUE!</v>
      </c>
      <c r="EE94" t="e">
        <f>AND('PROG FORMACIÓN TITULADA'!F613,"AAAAAF+z3YY=")</f>
        <v>#VALUE!</v>
      </c>
      <c r="EF94" t="e">
        <f>AND('PROG FORMACIÓN TITULADA'!G613,"AAAAAF+z3Yc=")</f>
        <v>#VALUE!</v>
      </c>
      <c r="EG94" t="e">
        <f>AND('PROG FORMACIÓN TITULADA'!H613,"AAAAAF+z3Yg=")</f>
        <v>#VALUE!</v>
      </c>
      <c r="EH94" t="e">
        <f>AND('PROG FORMACIÓN TITULADA'!I613,"AAAAAF+z3Yk=")</f>
        <v>#VALUE!</v>
      </c>
      <c r="EI94" t="e">
        <f>AND('PROG FORMACIÓN TITULADA'!J613,"AAAAAF+z3Yo=")</f>
        <v>#VALUE!</v>
      </c>
      <c r="EJ94" t="e">
        <f>AND('PROG FORMACIÓN TITULADA'!K613,"AAAAAF+z3Ys=")</f>
        <v>#VALUE!</v>
      </c>
      <c r="EK94" t="e">
        <f>AND('PROG FORMACIÓN TITULADA'!L613,"AAAAAF+z3Yw=")</f>
        <v>#VALUE!</v>
      </c>
      <c r="EL94" t="e">
        <f>AND('PROG FORMACIÓN TITULADA'!M613,"AAAAAF+z3Y0=")</f>
        <v>#VALUE!</v>
      </c>
      <c r="EM94" t="e">
        <f>AND('PROG FORMACIÓN TITULADA'!N613,"AAAAAF+z3Y4=")</f>
        <v>#VALUE!</v>
      </c>
      <c r="EN94" t="e">
        <f>AND('PROG FORMACIÓN TITULADA'!O613,"AAAAAF+z3Y8=")</f>
        <v>#VALUE!</v>
      </c>
      <c r="EO94" t="e">
        <f>AND('PROG FORMACIÓN TITULADA'!P613,"AAAAAF+z3ZA=")</f>
        <v>#VALUE!</v>
      </c>
      <c r="EP94" t="e">
        <f>AND('PROG FORMACIÓN TITULADA'!Q613,"AAAAAF+z3ZE=")</f>
        <v>#VALUE!</v>
      </c>
      <c r="EQ94" t="e">
        <f>AND('PROG FORMACIÓN TITULADA'!R613,"AAAAAF+z3ZI=")</f>
        <v>#VALUE!</v>
      </c>
      <c r="ER94" t="e">
        <f>AND('PROG FORMACIÓN TITULADA'!S613,"AAAAAF+z3ZM=")</f>
        <v>#VALUE!</v>
      </c>
      <c r="ES94" t="e">
        <f>AND('PROG FORMACIÓN TITULADA'!T613,"AAAAAF+z3ZQ=")</f>
        <v>#VALUE!</v>
      </c>
      <c r="ET94" t="e">
        <f>AND('PROG FORMACIÓN TITULADA'!U613,"AAAAAF+z3ZU=")</f>
        <v>#VALUE!</v>
      </c>
      <c r="EU94" t="e">
        <f>AND('PROG FORMACIÓN TITULADA'!V613,"AAAAAF+z3ZY=")</f>
        <v>#VALUE!</v>
      </c>
      <c r="EV94" t="e">
        <f>AND('PROG FORMACIÓN TITULADA'!W613,"AAAAAF+z3Zc=")</f>
        <v>#VALUE!</v>
      </c>
      <c r="EW94" t="e">
        <f>AND('PROG FORMACIÓN TITULADA'!X613,"AAAAAF+z3Zg=")</f>
        <v>#VALUE!</v>
      </c>
      <c r="EX94" t="e">
        <f>AND('PROG FORMACIÓN TITULADA'!Y613,"AAAAAF+z3Zk=")</f>
        <v>#VALUE!</v>
      </c>
      <c r="EY94" t="e">
        <f>AND('PROG FORMACIÓN TITULADA'!Z613,"AAAAAF+z3Zo=")</f>
        <v>#VALUE!</v>
      </c>
      <c r="EZ94">
        <f>IF('PROG FORMACIÓN TITULADA'!614:614,"AAAAAF+z3Zs=",0)</f>
        <v>0</v>
      </c>
      <c r="FA94" t="e">
        <f>AND('PROG FORMACIÓN TITULADA'!A614,"AAAAAF+z3Zw=")</f>
        <v>#VALUE!</v>
      </c>
      <c r="FB94" t="e">
        <f>AND('PROG FORMACIÓN TITULADA'!B614,"AAAAAF+z3Z0=")</f>
        <v>#VALUE!</v>
      </c>
      <c r="FC94" t="e">
        <f>AND('PROG FORMACIÓN TITULADA'!C614,"AAAAAF+z3Z4=")</f>
        <v>#VALUE!</v>
      </c>
      <c r="FD94" t="e">
        <f>AND('PROG FORMACIÓN TITULADA'!D614,"AAAAAF+z3Z8=")</f>
        <v>#VALUE!</v>
      </c>
      <c r="FE94" t="e">
        <f>AND('PROG FORMACIÓN TITULADA'!E614,"AAAAAF+z3aA=")</f>
        <v>#VALUE!</v>
      </c>
      <c r="FF94" t="e">
        <f>AND('PROG FORMACIÓN TITULADA'!F614,"AAAAAF+z3aE=")</f>
        <v>#VALUE!</v>
      </c>
      <c r="FG94" t="e">
        <f>AND('PROG FORMACIÓN TITULADA'!G614,"AAAAAF+z3aI=")</f>
        <v>#VALUE!</v>
      </c>
      <c r="FH94" t="e">
        <f>AND('PROG FORMACIÓN TITULADA'!H614,"AAAAAF+z3aM=")</f>
        <v>#VALUE!</v>
      </c>
      <c r="FI94" t="e">
        <f>AND('PROG FORMACIÓN TITULADA'!I614,"AAAAAF+z3aQ=")</f>
        <v>#VALUE!</v>
      </c>
      <c r="FJ94" t="e">
        <f>AND('PROG FORMACIÓN TITULADA'!J614,"AAAAAF+z3aU=")</f>
        <v>#VALUE!</v>
      </c>
      <c r="FK94" t="e">
        <f>AND('PROG FORMACIÓN TITULADA'!K614,"AAAAAF+z3aY=")</f>
        <v>#VALUE!</v>
      </c>
      <c r="FL94" t="e">
        <f>AND('PROG FORMACIÓN TITULADA'!L614,"AAAAAF+z3ac=")</f>
        <v>#VALUE!</v>
      </c>
      <c r="FM94" t="e">
        <f>AND('PROG FORMACIÓN TITULADA'!M614,"AAAAAF+z3ag=")</f>
        <v>#VALUE!</v>
      </c>
      <c r="FN94" t="e">
        <f>AND('PROG FORMACIÓN TITULADA'!N614,"AAAAAF+z3ak=")</f>
        <v>#VALUE!</v>
      </c>
      <c r="FO94" t="e">
        <f>AND('PROG FORMACIÓN TITULADA'!O614,"AAAAAF+z3ao=")</f>
        <v>#VALUE!</v>
      </c>
      <c r="FP94" t="e">
        <f>AND('PROG FORMACIÓN TITULADA'!P614,"AAAAAF+z3as=")</f>
        <v>#VALUE!</v>
      </c>
      <c r="FQ94" t="e">
        <f>AND('PROG FORMACIÓN TITULADA'!Q614,"AAAAAF+z3aw=")</f>
        <v>#VALUE!</v>
      </c>
      <c r="FR94" t="e">
        <f>AND('PROG FORMACIÓN TITULADA'!R614,"AAAAAF+z3a0=")</f>
        <v>#VALUE!</v>
      </c>
      <c r="FS94" t="e">
        <f>AND('PROG FORMACIÓN TITULADA'!S614,"AAAAAF+z3a4=")</f>
        <v>#VALUE!</v>
      </c>
      <c r="FT94" t="e">
        <f>AND('PROG FORMACIÓN TITULADA'!T614,"AAAAAF+z3a8=")</f>
        <v>#VALUE!</v>
      </c>
      <c r="FU94" t="e">
        <f>AND('PROG FORMACIÓN TITULADA'!U614,"AAAAAF+z3bA=")</f>
        <v>#VALUE!</v>
      </c>
      <c r="FV94" t="e">
        <f>AND('PROG FORMACIÓN TITULADA'!V614,"AAAAAF+z3bE=")</f>
        <v>#VALUE!</v>
      </c>
      <c r="FW94" t="e">
        <f>AND('PROG FORMACIÓN TITULADA'!W614,"AAAAAF+z3bI=")</f>
        <v>#VALUE!</v>
      </c>
      <c r="FX94" t="e">
        <f>AND('PROG FORMACIÓN TITULADA'!X614,"AAAAAF+z3bM=")</f>
        <v>#VALUE!</v>
      </c>
      <c r="FY94" t="e">
        <f>AND('PROG FORMACIÓN TITULADA'!Y614,"AAAAAF+z3bQ=")</f>
        <v>#VALUE!</v>
      </c>
      <c r="FZ94" t="e">
        <f>AND('PROG FORMACIÓN TITULADA'!Z614,"AAAAAF+z3bU=")</f>
        <v>#VALUE!</v>
      </c>
      <c r="GA94">
        <f>IF('PROG FORMACIÓN TITULADA'!615:615,"AAAAAF+z3bY=",0)</f>
        <v>0</v>
      </c>
      <c r="GB94" t="e">
        <f>AND('PROG FORMACIÓN TITULADA'!A615,"AAAAAF+z3bc=")</f>
        <v>#VALUE!</v>
      </c>
      <c r="GC94" t="e">
        <f>AND('PROG FORMACIÓN TITULADA'!B615,"AAAAAF+z3bg=")</f>
        <v>#VALUE!</v>
      </c>
      <c r="GD94" t="e">
        <f>AND('PROG FORMACIÓN TITULADA'!C615,"AAAAAF+z3bk=")</f>
        <v>#VALUE!</v>
      </c>
      <c r="GE94" t="e">
        <f>AND('PROG FORMACIÓN TITULADA'!D615,"AAAAAF+z3bo=")</f>
        <v>#VALUE!</v>
      </c>
      <c r="GF94" t="e">
        <f>AND('PROG FORMACIÓN TITULADA'!E615,"AAAAAF+z3bs=")</f>
        <v>#VALUE!</v>
      </c>
      <c r="GG94" t="e">
        <f>AND('PROG FORMACIÓN TITULADA'!F615,"AAAAAF+z3bw=")</f>
        <v>#VALUE!</v>
      </c>
      <c r="GH94" t="e">
        <f>AND('PROG FORMACIÓN TITULADA'!G615,"AAAAAF+z3b0=")</f>
        <v>#VALUE!</v>
      </c>
      <c r="GI94" t="e">
        <f>AND('PROG FORMACIÓN TITULADA'!H615,"AAAAAF+z3b4=")</f>
        <v>#VALUE!</v>
      </c>
      <c r="GJ94" t="e">
        <f>AND('PROG FORMACIÓN TITULADA'!I615,"AAAAAF+z3b8=")</f>
        <v>#VALUE!</v>
      </c>
      <c r="GK94" t="e">
        <f>AND('PROG FORMACIÓN TITULADA'!J615,"AAAAAF+z3cA=")</f>
        <v>#VALUE!</v>
      </c>
      <c r="GL94" t="e">
        <f>AND('PROG FORMACIÓN TITULADA'!K615,"AAAAAF+z3cE=")</f>
        <v>#VALUE!</v>
      </c>
      <c r="GM94" t="e">
        <f>AND('PROG FORMACIÓN TITULADA'!L615,"AAAAAF+z3cI=")</f>
        <v>#VALUE!</v>
      </c>
      <c r="GN94" t="e">
        <f>AND('PROG FORMACIÓN TITULADA'!M615,"AAAAAF+z3cM=")</f>
        <v>#VALUE!</v>
      </c>
      <c r="GO94" t="e">
        <f>AND('PROG FORMACIÓN TITULADA'!N615,"AAAAAF+z3cQ=")</f>
        <v>#VALUE!</v>
      </c>
      <c r="GP94" t="e">
        <f>AND('PROG FORMACIÓN TITULADA'!O615,"AAAAAF+z3cU=")</f>
        <v>#VALUE!</v>
      </c>
      <c r="GQ94" t="e">
        <f>AND('PROG FORMACIÓN TITULADA'!P615,"AAAAAF+z3cY=")</f>
        <v>#VALUE!</v>
      </c>
      <c r="GR94" t="e">
        <f>AND('PROG FORMACIÓN TITULADA'!Q615,"AAAAAF+z3cc=")</f>
        <v>#VALUE!</v>
      </c>
      <c r="GS94" t="e">
        <f>AND('PROG FORMACIÓN TITULADA'!R615,"AAAAAF+z3cg=")</f>
        <v>#VALUE!</v>
      </c>
      <c r="GT94" t="e">
        <f>AND('PROG FORMACIÓN TITULADA'!S615,"AAAAAF+z3ck=")</f>
        <v>#VALUE!</v>
      </c>
      <c r="GU94" t="e">
        <f>AND('PROG FORMACIÓN TITULADA'!T615,"AAAAAF+z3co=")</f>
        <v>#VALUE!</v>
      </c>
      <c r="GV94" t="e">
        <f>AND('PROG FORMACIÓN TITULADA'!U615,"AAAAAF+z3cs=")</f>
        <v>#VALUE!</v>
      </c>
      <c r="GW94" t="e">
        <f>AND('PROG FORMACIÓN TITULADA'!V615,"AAAAAF+z3cw=")</f>
        <v>#VALUE!</v>
      </c>
      <c r="GX94" t="e">
        <f>AND('PROG FORMACIÓN TITULADA'!W615,"AAAAAF+z3c0=")</f>
        <v>#VALUE!</v>
      </c>
      <c r="GY94" t="e">
        <f>AND('PROG FORMACIÓN TITULADA'!X615,"AAAAAF+z3c4=")</f>
        <v>#VALUE!</v>
      </c>
      <c r="GZ94" t="e">
        <f>AND('PROG FORMACIÓN TITULADA'!Y615,"AAAAAF+z3c8=")</f>
        <v>#VALUE!</v>
      </c>
      <c r="HA94" t="e">
        <f>AND('PROG FORMACIÓN TITULADA'!Z615,"AAAAAF+z3dA=")</f>
        <v>#VALUE!</v>
      </c>
      <c r="HB94">
        <f>IF('PROG FORMACIÓN TITULADA'!616:616,"AAAAAF+z3dE=",0)</f>
        <v>0</v>
      </c>
      <c r="HC94" t="e">
        <f>AND('PROG FORMACIÓN TITULADA'!A616,"AAAAAF+z3dI=")</f>
        <v>#VALUE!</v>
      </c>
      <c r="HD94" t="e">
        <f>AND('PROG FORMACIÓN TITULADA'!B616,"AAAAAF+z3dM=")</f>
        <v>#VALUE!</v>
      </c>
      <c r="HE94" t="e">
        <f>AND('PROG FORMACIÓN TITULADA'!C616,"AAAAAF+z3dQ=")</f>
        <v>#VALUE!</v>
      </c>
      <c r="HF94" t="e">
        <f>AND('PROG FORMACIÓN TITULADA'!D616,"AAAAAF+z3dU=")</f>
        <v>#VALUE!</v>
      </c>
      <c r="HG94" t="e">
        <f>AND('PROG FORMACIÓN TITULADA'!E616,"AAAAAF+z3dY=")</f>
        <v>#VALUE!</v>
      </c>
      <c r="HH94" t="e">
        <f>AND('PROG FORMACIÓN TITULADA'!F616,"AAAAAF+z3dc=")</f>
        <v>#VALUE!</v>
      </c>
      <c r="HI94" t="e">
        <f>AND('PROG FORMACIÓN TITULADA'!G616,"AAAAAF+z3dg=")</f>
        <v>#VALUE!</v>
      </c>
      <c r="HJ94" t="e">
        <f>AND('PROG FORMACIÓN TITULADA'!H616,"AAAAAF+z3dk=")</f>
        <v>#VALUE!</v>
      </c>
      <c r="HK94" t="e">
        <f>AND('PROG FORMACIÓN TITULADA'!I616,"AAAAAF+z3do=")</f>
        <v>#VALUE!</v>
      </c>
      <c r="HL94" t="e">
        <f>AND('PROG FORMACIÓN TITULADA'!J616,"AAAAAF+z3ds=")</f>
        <v>#VALUE!</v>
      </c>
      <c r="HM94" t="e">
        <f>AND('PROG FORMACIÓN TITULADA'!K616,"AAAAAF+z3dw=")</f>
        <v>#VALUE!</v>
      </c>
      <c r="HN94" t="e">
        <f>AND('PROG FORMACIÓN TITULADA'!L616,"AAAAAF+z3d0=")</f>
        <v>#VALUE!</v>
      </c>
      <c r="HO94" t="e">
        <f>AND('PROG FORMACIÓN TITULADA'!M616,"AAAAAF+z3d4=")</f>
        <v>#VALUE!</v>
      </c>
      <c r="HP94" t="e">
        <f>AND('PROG FORMACIÓN TITULADA'!N616,"AAAAAF+z3d8=")</f>
        <v>#VALUE!</v>
      </c>
      <c r="HQ94" t="e">
        <f>AND('PROG FORMACIÓN TITULADA'!O616,"AAAAAF+z3eA=")</f>
        <v>#VALUE!</v>
      </c>
      <c r="HR94" t="e">
        <f>AND('PROG FORMACIÓN TITULADA'!P616,"AAAAAF+z3eE=")</f>
        <v>#VALUE!</v>
      </c>
      <c r="HS94" t="e">
        <f>AND('PROG FORMACIÓN TITULADA'!Q616,"AAAAAF+z3eI=")</f>
        <v>#VALUE!</v>
      </c>
      <c r="HT94" t="e">
        <f>AND('PROG FORMACIÓN TITULADA'!R616,"AAAAAF+z3eM=")</f>
        <v>#VALUE!</v>
      </c>
      <c r="HU94" t="e">
        <f>AND('PROG FORMACIÓN TITULADA'!S616,"AAAAAF+z3eQ=")</f>
        <v>#VALUE!</v>
      </c>
      <c r="HV94" t="e">
        <f>AND('PROG FORMACIÓN TITULADA'!T616,"AAAAAF+z3eU=")</f>
        <v>#VALUE!</v>
      </c>
      <c r="HW94" t="e">
        <f>AND('PROG FORMACIÓN TITULADA'!U616,"AAAAAF+z3eY=")</f>
        <v>#VALUE!</v>
      </c>
      <c r="HX94" t="e">
        <f>AND('PROG FORMACIÓN TITULADA'!V616,"AAAAAF+z3ec=")</f>
        <v>#VALUE!</v>
      </c>
      <c r="HY94" t="e">
        <f>AND('PROG FORMACIÓN TITULADA'!W616,"AAAAAF+z3eg=")</f>
        <v>#VALUE!</v>
      </c>
      <c r="HZ94" t="e">
        <f>AND('PROG FORMACIÓN TITULADA'!X616,"AAAAAF+z3ek=")</f>
        <v>#VALUE!</v>
      </c>
      <c r="IA94" t="e">
        <f>AND('PROG FORMACIÓN TITULADA'!Y616,"AAAAAF+z3eo=")</f>
        <v>#VALUE!</v>
      </c>
      <c r="IB94" t="e">
        <f>AND('PROG FORMACIÓN TITULADA'!Z616,"AAAAAF+z3es=")</f>
        <v>#VALUE!</v>
      </c>
      <c r="IC94">
        <f>IF('PROG FORMACIÓN TITULADA'!617:617,"AAAAAF+z3ew=",0)</f>
        <v>0</v>
      </c>
      <c r="ID94" t="e">
        <f>AND('PROG FORMACIÓN TITULADA'!A617,"AAAAAF+z3e0=")</f>
        <v>#VALUE!</v>
      </c>
      <c r="IE94" t="e">
        <f>AND('PROG FORMACIÓN TITULADA'!B617,"AAAAAF+z3e4=")</f>
        <v>#VALUE!</v>
      </c>
      <c r="IF94" t="e">
        <f>AND('PROG FORMACIÓN TITULADA'!C617,"AAAAAF+z3e8=")</f>
        <v>#VALUE!</v>
      </c>
      <c r="IG94" t="e">
        <f>AND('PROG FORMACIÓN TITULADA'!D617,"AAAAAF+z3fA=")</f>
        <v>#VALUE!</v>
      </c>
      <c r="IH94" t="e">
        <f>AND('PROG FORMACIÓN TITULADA'!E617,"AAAAAF+z3fE=")</f>
        <v>#VALUE!</v>
      </c>
      <c r="II94" t="e">
        <f>AND('PROG FORMACIÓN TITULADA'!F617,"AAAAAF+z3fI=")</f>
        <v>#VALUE!</v>
      </c>
      <c r="IJ94" t="e">
        <f>AND('PROG FORMACIÓN TITULADA'!G617,"AAAAAF+z3fM=")</f>
        <v>#VALUE!</v>
      </c>
      <c r="IK94" t="e">
        <f>AND('PROG FORMACIÓN TITULADA'!H617,"AAAAAF+z3fQ=")</f>
        <v>#VALUE!</v>
      </c>
      <c r="IL94" t="e">
        <f>AND('PROG FORMACIÓN TITULADA'!I617,"AAAAAF+z3fU=")</f>
        <v>#VALUE!</v>
      </c>
      <c r="IM94" t="e">
        <f>AND('PROG FORMACIÓN TITULADA'!J617,"AAAAAF+z3fY=")</f>
        <v>#VALUE!</v>
      </c>
      <c r="IN94" t="e">
        <f>AND('PROG FORMACIÓN TITULADA'!K617,"AAAAAF+z3fc=")</f>
        <v>#VALUE!</v>
      </c>
      <c r="IO94" t="e">
        <f>AND('PROG FORMACIÓN TITULADA'!L617,"AAAAAF+z3fg=")</f>
        <v>#VALUE!</v>
      </c>
      <c r="IP94" t="e">
        <f>AND('PROG FORMACIÓN TITULADA'!M617,"AAAAAF+z3fk=")</f>
        <v>#VALUE!</v>
      </c>
      <c r="IQ94" t="e">
        <f>AND('PROG FORMACIÓN TITULADA'!N617,"AAAAAF+z3fo=")</f>
        <v>#VALUE!</v>
      </c>
      <c r="IR94" t="e">
        <f>AND('PROG FORMACIÓN TITULADA'!O617,"AAAAAF+z3fs=")</f>
        <v>#VALUE!</v>
      </c>
      <c r="IS94" t="e">
        <f>AND('PROG FORMACIÓN TITULADA'!P617,"AAAAAF+z3fw=")</f>
        <v>#VALUE!</v>
      </c>
      <c r="IT94" t="e">
        <f>AND('PROG FORMACIÓN TITULADA'!Q617,"AAAAAF+z3f0=")</f>
        <v>#VALUE!</v>
      </c>
      <c r="IU94" t="e">
        <f>AND('PROG FORMACIÓN TITULADA'!R617,"AAAAAF+z3f4=")</f>
        <v>#VALUE!</v>
      </c>
      <c r="IV94" t="e">
        <f>AND('PROG FORMACIÓN TITULADA'!S617,"AAAAAF+z3f8=")</f>
        <v>#VALUE!</v>
      </c>
    </row>
    <row r="95" spans="1:256" x14ac:dyDescent="0.2">
      <c r="A95" t="e">
        <f>AND('PROG FORMACIÓN TITULADA'!T617,"AAAAAH+dfQA=")</f>
        <v>#VALUE!</v>
      </c>
      <c r="B95" t="e">
        <f>AND('PROG FORMACIÓN TITULADA'!U617,"AAAAAH+dfQE=")</f>
        <v>#VALUE!</v>
      </c>
      <c r="C95" t="e">
        <f>AND('PROG FORMACIÓN TITULADA'!V617,"AAAAAH+dfQI=")</f>
        <v>#VALUE!</v>
      </c>
      <c r="D95" t="e">
        <f>AND('PROG FORMACIÓN TITULADA'!W617,"AAAAAH+dfQM=")</f>
        <v>#VALUE!</v>
      </c>
      <c r="E95" t="e">
        <f>AND('PROG FORMACIÓN TITULADA'!X617,"AAAAAH+dfQQ=")</f>
        <v>#VALUE!</v>
      </c>
      <c r="F95" t="e">
        <f>AND('PROG FORMACIÓN TITULADA'!Y617,"AAAAAH+dfQU=")</f>
        <v>#VALUE!</v>
      </c>
      <c r="G95" t="e">
        <f>AND('PROG FORMACIÓN TITULADA'!Z617,"AAAAAH+dfQY=")</f>
        <v>#VALUE!</v>
      </c>
      <c r="H95">
        <f>IF('PROG FORMACIÓN TITULADA'!618:618,"AAAAAH+dfQc=",0)</f>
        <v>0</v>
      </c>
      <c r="I95" t="e">
        <f>AND('PROG FORMACIÓN TITULADA'!A618,"AAAAAH+dfQg=")</f>
        <v>#VALUE!</v>
      </c>
      <c r="J95" t="e">
        <f>AND('PROG FORMACIÓN TITULADA'!B618,"AAAAAH+dfQk=")</f>
        <v>#VALUE!</v>
      </c>
      <c r="K95" t="e">
        <f>AND('PROG FORMACIÓN TITULADA'!C618,"AAAAAH+dfQo=")</f>
        <v>#VALUE!</v>
      </c>
      <c r="L95" t="e">
        <f>AND('PROG FORMACIÓN TITULADA'!D618,"AAAAAH+dfQs=")</f>
        <v>#VALUE!</v>
      </c>
      <c r="M95" t="e">
        <f>AND('PROG FORMACIÓN TITULADA'!E618,"AAAAAH+dfQw=")</f>
        <v>#VALUE!</v>
      </c>
      <c r="N95" t="e">
        <f>AND('PROG FORMACIÓN TITULADA'!F618,"AAAAAH+dfQ0=")</f>
        <v>#VALUE!</v>
      </c>
      <c r="O95" t="e">
        <f>AND('PROG FORMACIÓN TITULADA'!G618,"AAAAAH+dfQ4=")</f>
        <v>#VALUE!</v>
      </c>
      <c r="P95" t="e">
        <f>AND('PROG FORMACIÓN TITULADA'!H618,"AAAAAH+dfQ8=")</f>
        <v>#VALUE!</v>
      </c>
      <c r="Q95" t="e">
        <f>AND('PROG FORMACIÓN TITULADA'!I618,"AAAAAH+dfRA=")</f>
        <v>#VALUE!</v>
      </c>
      <c r="R95" t="e">
        <f>AND('PROG FORMACIÓN TITULADA'!J618,"AAAAAH+dfRE=")</f>
        <v>#VALUE!</v>
      </c>
      <c r="S95" t="e">
        <f>AND('PROG FORMACIÓN TITULADA'!K618,"AAAAAH+dfRI=")</f>
        <v>#VALUE!</v>
      </c>
      <c r="T95" t="e">
        <f>AND('PROG FORMACIÓN TITULADA'!L618,"AAAAAH+dfRM=")</f>
        <v>#VALUE!</v>
      </c>
      <c r="U95" t="e">
        <f>AND('PROG FORMACIÓN TITULADA'!M618,"AAAAAH+dfRQ=")</f>
        <v>#VALUE!</v>
      </c>
      <c r="V95" t="e">
        <f>AND('PROG FORMACIÓN TITULADA'!N618,"AAAAAH+dfRU=")</f>
        <v>#VALUE!</v>
      </c>
      <c r="W95" t="e">
        <f>AND('PROG FORMACIÓN TITULADA'!O618,"AAAAAH+dfRY=")</f>
        <v>#VALUE!</v>
      </c>
      <c r="X95" t="e">
        <f>AND('PROG FORMACIÓN TITULADA'!P618,"AAAAAH+dfRc=")</f>
        <v>#VALUE!</v>
      </c>
      <c r="Y95" t="e">
        <f>AND('PROG FORMACIÓN TITULADA'!Q618,"AAAAAH+dfRg=")</f>
        <v>#VALUE!</v>
      </c>
      <c r="Z95" t="e">
        <f>AND('PROG FORMACIÓN TITULADA'!R618,"AAAAAH+dfRk=")</f>
        <v>#VALUE!</v>
      </c>
      <c r="AA95" t="e">
        <f>AND('PROG FORMACIÓN TITULADA'!S618,"AAAAAH+dfRo=")</f>
        <v>#VALUE!</v>
      </c>
      <c r="AB95" t="e">
        <f>AND('PROG FORMACIÓN TITULADA'!T618,"AAAAAH+dfRs=")</f>
        <v>#VALUE!</v>
      </c>
      <c r="AC95" t="e">
        <f>AND('PROG FORMACIÓN TITULADA'!U618,"AAAAAH+dfRw=")</f>
        <v>#VALUE!</v>
      </c>
      <c r="AD95" t="e">
        <f>AND('PROG FORMACIÓN TITULADA'!V618,"AAAAAH+dfR0=")</f>
        <v>#VALUE!</v>
      </c>
      <c r="AE95" t="e">
        <f>AND('PROG FORMACIÓN TITULADA'!W618,"AAAAAH+dfR4=")</f>
        <v>#VALUE!</v>
      </c>
      <c r="AF95" t="e">
        <f>AND('PROG FORMACIÓN TITULADA'!X618,"AAAAAH+dfR8=")</f>
        <v>#VALUE!</v>
      </c>
      <c r="AG95" t="e">
        <f>AND('PROG FORMACIÓN TITULADA'!Y618,"AAAAAH+dfSA=")</f>
        <v>#VALUE!</v>
      </c>
      <c r="AH95" t="e">
        <f>AND('PROG FORMACIÓN TITULADA'!Z618,"AAAAAH+dfSE=")</f>
        <v>#VALUE!</v>
      </c>
      <c r="AI95">
        <f>IF('PROG FORMACIÓN TITULADA'!619:619,"AAAAAH+dfSI=",0)</f>
        <v>0</v>
      </c>
      <c r="AJ95" t="e">
        <f>AND('PROG FORMACIÓN TITULADA'!A619,"AAAAAH+dfSM=")</f>
        <v>#VALUE!</v>
      </c>
      <c r="AK95" t="e">
        <f>AND('PROG FORMACIÓN TITULADA'!B619,"AAAAAH+dfSQ=")</f>
        <v>#VALUE!</v>
      </c>
      <c r="AL95" t="e">
        <f>AND('PROG FORMACIÓN TITULADA'!C619,"AAAAAH+dfSU=")</f>
        <v>#VALUE!</v>
      </c>
      <c r="AM95" t="e">
        <f>AND('PROG FORMACIÓN TITULADA'!D619,"AAAAAH+dfSY=")</f>
        <v>#VALUE!</v>
      </c>
      <c r="AN95" t="e">
        <f>AND('PROG FORMACIÓN TITULADA'!E619,"AAAAAH+dfSc=")</f>
        <v>#VALUE!</v>
      </c>
      <c r="AO95" t="e">
        <f>AND('PROG FORMACIÓN TITULADA'!F619,"AAAAAH+dfSg=")</f>
        <v>#VALUE!</v>
      </c>
      <c r="AP95" t="e">
        <f>AND('PROG FORMACIÓN TITULADA'!G619,"AAAAAH+dfSk=")</f>
        <v>#VALUE!</v>
      </c>
      <c r="AQ95" t="e">
        <f>AND('PROG FORMACIÓN TITULADA'!H619,"AAAAAH+dfSo=")</f>
        <v>#VALUE!</v>
      </c>
      <c r="AR95" t="e">
        <f>AND('PROG FORMACIÓN TITULADA'!I619,"AAAAAH+dfSs=")</f>
        <v>#VALUE!</v>
      </c>
      <c r="AS95" t="e">
        <f>AND('PROG FORMACIÓN TITULADA'!J619,"AAAAAH+dfSw=")</f>
        <v>#VALUE!</v>
      </c>
      <c r="AT95" t="e">
        <f>AND('PROG FORMACIÓN TITULADA'!K619,"AAAAAH+dfS0=")</f>
        <v>#VALUE!</v>
      </c>
      <c r="AU95" t="e">
        <f>AND('PROG FORMACIÓN TITULADA'!L619,"AAAAAH+dfS4=")</f>
        <v>#VALUE!</v>
      </c>
      <c r="AV95" t="e">
        <f>AND('PROG FORMACIÓN TITULADA'!M619,"AAAAAH+dfS8=")</f>
        <v>#VALUE!</v>
      </c>
      <c r="AW95" t="e">
        <f>AND('PROG FORMACIÓN TITULADA'!N619,"AAAAAH+dfTA=")</f>
        <v>#VALUE!</v>
      </c>
      <c r="AX95" t="e">
        <f>AND('PROG FORMACIÓN TITULADA'!O619,"AAAAAH+dfTE=")</f>
        <v>#VALUE!</v>
      </c>
      <c r="AY95" t="e">
        <f>AND('PROG FORMACIÓN TITULADA'!P619,"AAAAAH+dfTI=")</f>
        <v>#VALUE!</v>
      </c>
      <c r="AZ95" t="e">
        <f>AND('PROG FORMACIÓN TITULADA'!Q619,"AAAAAH+dfTM=")</f>
        <v>#VALUE!</v>
      </c>
      <c r="BA95" t="e">
        <f>AND('PROG FORMACIÓN TITULADA'!R619,"AAAAAH+dfTQ=")</f>
        <v>#VALUE!</v>
      </c>
      <c r="BB95" t="e">
        <f>AND('PROG FORMACIÓN TITULADA'!S619,"AAAAAH+dfTU=")</f>
        <v>#VALUE!</v>
      </c>
      <c r="BC95" t="e">
        <f>AND('PROG FORMACIÓN TITULADA'!T619,"AAAAAH+dfTY=")</f>
        <v>#VALUE!</v>
      </c>
      <c r="BD95" t="e">
        <f>AND('PROG FORMACIÓN TITULADA'!U619,"AAAAAH+dfTc=")</f>
        <v>#VALUE!</v>
      </c>
      <c r="BE95" t="e">
        <f>AND('PROG FORMACIÓN TITULADA'!V619,"AAAAAH+dfTg=")</f>
        <v>#VALUE!</v>
      </c>
      <c r="BF95" t="e">
        <f>AND('PROG FORMACIÓN TITULADA'!W619,"AAAAAH+dfTk=")</f>
        <v>#VALUE!</v>
      </c>
      <c r="BG95" t="e">
        <f>AND('PROG FORMACIÓN TITULADA'!X619,"AAAAAH+dfTo=")</f>
        <v>#VALUE!</v>
      </c>
      <c r="BH95" t="e">
        <f>AND('PROG FORMACIÓN TITULADA'!Y619,"AAAAAH+dfTs=")</f>
        <v>#VALUE!</v>
      </c>
      <c r="BI95" t="e">
        <f>AND('PROG FORMACIÓN TITULADA'!Z619,"AAAAAH+dfTw=")</f>
        <v>#VALUE!</v>
      </c>
      <c r="BJ95">
        <f>IF('PROG FORMACIÓN TITULADA'!620:620,"AAAAAH+dfT0=",0)</f>
        <v>0</v>
      </c>
      <c r="BK95" t="e">
        <f>AND('PROG FORMACIÓN TITULADA'!A620,"AAAAAH+dfT4=")</f>
        <v>#VALUE!</v>
      </c>
      <c r="BL95" t="e">
        <f>AND('PROG FORMACIÓN TITULADA'!B620,"AAAAAH+dfT8=")</f>
        <v>#VALUE!</v>
      </c>
      <c r="BM95" t="e">
        <f>AND('PROG FORMACIÓN TITULADA'!C620,"AAAAAH+dfUA=")</f>
        <v>#VALUE!</v>
      </c>
      <c r="BN95" t="e">
        <f>AND('PROG FORMACIÓN TITULADA'!D620,"AAAAAH+dfUE=")</f>
        <v>#VALUE!</v>
      </c>
      <c r="BO95" t="e">
        <f>AND('PROG FORMACIÓN TITULADA'!E620,"AAAAAH+dfUI=")</f>
        <v>#VALUE!</v>
      </c>
      <c r="BP95" t="e">
        <f>AND('PROG FORMACIÓN TITULADA'!F620,"AAAAAH+dfUM=")</f>
        <v>#VALUE!</v>
      </c>
      <c r="BQ95" t="e">
        <f>AND('PROG FORMACIÓN TITULADA'!G620,"AAAAAH+dfUQ=")</f>
        <v>#VALUE!</v>
      </c>
      <c r="BR95" t="e">
        <f>AND('PROG FORMACIÓN TITULADA'!H620,"AAAAAH+dfUU=")</f>
        <v>#VALUE!</v>
      </c>
      <c r="BS95" t="e">
        <f>AND('PROG FORMACIÓN TITULADA'!I620,"AAAAAH+dfUY=")</f>
        <v>#VALUE!</v>
      </c>
      <c r="BT95" t="e">
        <f>AND('PROG FORMACIÓN TITULADA'!J620,"AAAAAH+dfUc=")</f>
        <v>#VALUE!</v>
      </c>
      <c r="BU95" t="e">
        <f>AND('PROG FORMACIÓN TITULADA'!K620,"AAAAAH+dfUg=")</f>
        <v>#VALUE!</v>
      </c>
      <c r="BV95" t="e">
        <f>AND('PROG FORMACIÓN TITULADA'!L620,"AAAAAH+dfUk=")</f>
        <v>#VALUE!</v>
      </c>
      <c r="BW95" t="e">
        <f>AND('PROG FORMACIÓN TITULADA'!M620,"AAAAAH+dfUo=")</f>
        <v>#VALUE!</v>
      </c>
      <c r="BX95" t="e">
        <f>AND('PROG FORMACIÓN TITULADA'!N620,"AAAAAH+dfUs=")</f>
        <v>#VALUE!</v>
      </c>
      <c r="BY95" t="e">
        <f>AND('PROG FORMACIÓN TITULADA'!O620,"AAAAAH+dfUw=")</f>
        <v>#VALUE!</v>
      </c>
      <c r="BZ95" t="e">
        <f>AND('PROG FORMACIÓN TITULADA'!P620,"AAAAAH+dfU0=")</f>
        <v>#VALUE!</v>
      </c>
      <c r="CA95" t="e">
        <f>AND('PROG FORMACIÓN TITULADA'!Q620,"AAAAAH+dfU4=")</f>
        <v>#VALUE!</v>
      </c>
      <c r="CB95" t="e">
        <f>AND('PROG FORMACIÓN TITULADA'!R620,"AAAAAH+dfU8=")</f>
        <v>#VALUE!</v>
      </c>
      <c r="CC95" t="e">
        <f>AND('PROG FORMACIÓN TITULADA'!S620,"AAAAAH+dfVA=")</f>
        <v>#VALUE!</v>
      </c>
      <c r="CD95" t="e">
        <f>AND('PROG FORMACIÓN TITULADA'!T620,"AAAAAH+dfVE=")</f>
        <v>#VALUE!</v>
      </c>
      <c r="CE95" t="e">
        <f>AND('PROG FORMACIÓN TITULADA'!U620,"AAAAAH+dfVI=")</f>
        <v>#VALUE!</v>
      </c>
      <c r="CF95" t="e">
        <f>AND('PROG FORMACIÓN TITULADA'!V620,"AAAAAH+dfVM=")</f>
        <v>#VALUE!</v>
      </c>
      <c r="CG95" t="e">
        <f>AND('PROG FORMACIÓN TITULADA'!W620,"AAAAAH+dfVQ=")</f>
        <v>#VALUE!</v>
      </c>
      <c r="CH95" t="e">
        <f>AND('PROG FORMACIÓN TITULADA'!X620,"AAAAAH+dfVU=")</f>
        <v>#VALUE!</v>
      </c>
      <c r="CI95" t="e">
        <f>AND('PROG FORMACIÓN TITULADA'!Y620,"AAAAAH+dfVY=")</f>
        <v>#VALUE!</v>
      </c>
      <c r="CJ95" t="e">
        <f>AND('PROG FORMACIÓN TITULADA'!Z620,"AAAAAH+dfVc=")</f>
        <v>#VALUE!</v>
      </c>
      <c r="CK95">
        <f>IF('PROG FORMACIÓN TITULADA'!621:621,"AAAAAH+dfVg=",0)</f>
        <v>0</v>
      </c>
      <c r="CL95" t="e">
        <f>AND('PROG FORMACIÓN TITULADA'!A621,"AAAAAH+dfVk=")</f>
        <v>#VALUE!</v>
      </c>
      <c r="CM95" t="e">
        <f>AND('PROG FORMACIÓN TITULADA'!B621,"AAAAAH+dfVo=")</f>
        <v>#VALUE!</v>
      </c>
      <c r="CN95" t="e">
        <f>AND('PROG FORMACIÓN TITULADA'!C621,"AAAAAH+dfVs=")</f>
        <v>#VALUE!</v>
      </c>
      <c r="CO95" t="e">
        <f>AND('PROG FORMACIÓN TITULADA'!D621,"AAAAAH+dfVw=")</f>
        <v>#VALUE!</v>
      </c>
      <c r="CP95" t="e">
        <f>AND('PROG FORMACIÓN TITULADA'!E621,"AAAAAH+dfV0=")</f>
        <v>#VALUE!</v>
      </c>
      <c r="CQ95" t="e">
        <f>AND('PROG FORMACIÓN TITULADA'!F621,"AAAAAH+dfV4=")</f>
        <v>#VALUE!</v>
      </c>
      <c r="CR95" t="e">
        <f>AND('PROG FORMACIÓN TITULADA'!G621,"AAAAAH+dfV8=")</f>
        <v>#VALUE!</v>
      </c>
      <c r="CS95" t="e">
        <f>AND('PROG FORMACIÓN TITULADA'!H621,"AAAAAH+dfWA=")</f>
        <v>#VALUE!</v>
      </c>
      <c r="CT95" t="e">
        <f>AND('PROG FORMACIÓN TITULADA'!I621,"AAAAAH+dfWE=")</f>
        <v>#VALUE!</v>
      </c>
      <c r="CU95" t="e">
        <f>AND('PROG FORMACIÓN TITULADA'!J621,"AAAAAH+dfWI=")</f>
        <v>#VALUE!</v>
      </c>
      <c r="CV95" t="e">
        <f>AND('PROG FORMACIÓN TITULADA'!K621,"AAAAAH+dfWM=")</f>
        <v>#VALUE!</v>
      </c>
      <c r="CW95" t="e">
        <f>AND('PROG FORMACIÓN TITULADA'!L621,"AAAAAH+dfWQ=")</f>
        <v>#VALUE!</v>
      </c>
      <c r="CX95" t="e">
        <f>AND('PROG FORMACIÓN TITULADA'!M621,"AAAAAH+dfWU=")</f>
        <v>#VALUE!</v>
      </c>
      <c r="CY95" t="e">
        <f>AND('PROG FORMACIÓN TITULADA'!N621,"AAAAAH+dfWY=")</f>
        <v>#VALUE!</v>
      </c>
      <c r="CZ95" t="e">
        <f>AND('PROG FORMACIÓN TITULADA'!O621,"AAAAAH+dfWc=")</f>
        <v>#VALUE!</v>
      </c>
      <c r="DA95" t="e">
        <f>AND('PROG FORMACIÓN TITULADA'!P621,"AAAAAH+dfWg=")</f>
        <v>#VALUE!</v>
      </c>
      <c r="DB95" t="e">
        <f>AND('PROG FORMACIÓN TITULADA'!Q621,"AAAAAH+dfWk=")</f>
        <v>#VALUE!</v>
      </c>
      <c r="DC95" t="e">
        <f>AND('PROG FORMACIÓN TITULADA'!R621,"AAAAAH+dfWo=")</f>
        <v>#VALUE!</v>
      </c>
      <c r="DD95" t="e">
        <f>AND('PROG FORMACIÓN TITULADA'!S621,"AAAAAH+dfWs=")</f>
        <v>#VALUE!</v>
      </c>
      <c r="DE95" t="e">
        <f>AND('PROG FORMACIÓN TITULADA'!T621,"AAAAAH+dfWw=")</f>
        <v>#VALUE!</v>
      </c>
      <c r="DF95" t="e">
        <f>AND('PROG FORMACIÓN TITULADA'!U621,"AAAAAH+dfW0=")</f>
        <v>#VALUE!</v>
      </c>
      <c r="DG95" t="e">
        <f>AND('PROG FORMACIÓN TITULADA'!V621,"AAAAAH+dfW4=")</f>
        <v>#VALUE!</v>
      </c>
      <c r="DH95" t="e">
        <f>AND('PROG FORMACIÓN TITULADA'!W621,"AAAAAH+dfW8=")</f>
        <v>#VALUE!</v>
      </c>
      <c r="DI95" t="e">
        <f>AND('PROG FORMACIÓN TITULADA'!X621,"AAAAAH+dfXA=")</f>
        <v>#VALUE!</v>
      </c>
      <c r="DJ95" t="e">
        <f>AND('PROG FORMACIÓN TITULADA'!Y621,"AAAAAH+dfXE=")</f>
        <v>#VALUE!</v>
      </c>
      <c r="DK95" t="e">
        <f>AND('PROG FORMACIÓN TITULADA'!Z621,"AAAAAH+dfXI=")</f>
        <v>#VALUE!</v>
      </c>
      <c r="DL95">
        <f>IF('PROG FORMACIÓN TITULADA'!622:622,"AAAAAH+dfXM=",0)</f>
        <v>0</v>
      </c>
      <c r="DM95" t="e">
        <f>AND('PROG FORMACIÓN TITULADA'!A622,"AAAAAH+dfXQ=")</f>
        <v>#VALUE!</v>
      </c>
      <c r="DN95" t="e">
        <f>AND('PROG FORMACIÓN TITULADA'!B622,"AAAAAH+dfXU=")</f>
        <v>#VALUE!</v>
      </c>
      <c r="DO95" t="e">
        <f>AND('PROG FORMACIÓN TITULADA'!C622,"AAAAAH+dfXY=")</f>
        <v>#VALUE!</v>
      </c>
      <c r="DP95" t="e">
        <f>AND('PROG FORMACIÓN TITULADA'!D622,"AAAAAH+dfXc=")</f>
        <v>#VALUE!</v>
      </c>
      <c r="DQ95" t="e">
        <f>AND('PROG FORMACIÓN TITULADA'!E622,"AAAAAH+dfXg=")</f>
        <v>#VALUE!</v>
      </c>
      <c r="DR95" t="e">
        <f>AND('PROG FORMACIÓN TITULADA'!F622,"AAAAAH+dfXk=")</f>
        <v>#VALUE!</v>
      </c>
      <c r="DS95" t="e">
        <f>AND('PROG FORMACIÓN TITULADA'!G622,"AAAAAH+dfXo=")</f>
        <v>#VALUE!</v>
      </c>
      <c r="DT95" t="e">
        <f>AND('PROG FORMACIÓN TITULADA'!H622,"AAAAAH+dfXs=")</f>
        <v>#VALUE!</v>
      </c>
      <c r="DU95" t="e">
        <f>AND('PROG FORMACIÓN TITULADA'!I622,"AAAAAH+dfXw=")</f>
        <v>#VALUE!</v>
      </c>
      <c r="DV95" t="e">
        <f>AND('PROG FORMACIÓN TITULADA'!J622,"AAAAAH+dfX0=")</f>
        <v>#VALUE!</v>
      </c>
      <c r="DW95" t="e">
        <f>AND('PROG FORMACIÓN TITULADA'!K622,"AAAAAH+dfX4=")</f>
        <v>#VALUE!</v>
      </c>
      <c r="DX95" t="e">
        <f>AND('PROG FORMACIÓN TITULADA'!L622,"AAAAAH+dfX8=")</f>
        <v>#VALUE!</v>
      </c>
      <c r="DY95" t="e">
        <f>AND('PROG FORMACIÓN TITULADA'!M622,"AAAAAH+dfYA=")</f>
        <v>#VALUE!</v>
      </c>
      <c r="DZ95" t="e">
        <f>AND('PROG FORMACIÓN TITULADA'!N622,"AAAAAH+dfYE=")</f>
        <v>#VALUE!</v>
      </c>
      <c r="EA95" t="e">
        <f>AND('PROG FORMACIÓN TITULADA'!O622,"AAAAAH+dfYI=")</f>
        <v>#VALUE!</v>
      </c>
      <c r="EB95" t="e">
        <f>AND('PROG FORMACIÓN TITULADA'!P622,"AAAAAH+dfYM=")</f>
        <v>#VALUE!</v>
      </c>
      <c r="EC95" t="e">
        <f>AND('PROG FORMACIÓN TITULADA'!Q622,"AAAAAH+dfYQ=")</f>
        <v>#VALUE!</v>
      </c>
      <c r="ED95" t="e">
        <f>AND('PROG FORMACIÓN TITULADA'!R622,"AAAAAH+dfYU=")</f>
        <v>#VALUE!</v>
      </c>
      <c r="EE95" t="e">
        <f>AND('PROG FORMACIÓN TITULADA'!S622,"AAAAAH+dfYY=")</f>
        <v>#VALUE!</v>
      </c>
      <c r="EF95" t="e">
        <f>AND('PROG FORMACIÓN TITULADA'!T622,"AAAAAH+dfYc=")</f>
        <v>#VALUE!</v>
      </c>
      <c r="EG95" t="e">
        <f>AND('PROG FORMACIÓN TITULADA'!U622,"AAAAAH+dfYg=")</f>
        <v>#VALUE!</v>
      </c>
      <c r="EH95" t="e">
        <f>AND('PROG FORMACIÓN TITULADA'!V622,"AAAAAH+dfYk=")</f>
        <v>#VALUE!</v>
      </c>
      <c r="EI95" t="e">
        <f>AND('PROG FORMACIÓN TITULADA'!W622,"AAAAAH+dfYo=")</f>
        <v>#VALUE!</v>
      </c>
      <c r="EJ95" t="e">
        <f>AND('PROG FORMACIÓN TITULADA'!X622,"AAAAAH+dfYs=")</f>
        <v>#VALUE!</v>
      </c>
      <c r="EK95" t="e">
        <f>AND('PROG FORMACIÓN TITULADA'!Y622,"AAAAAH+dfYw=")</f>
        <v>#VALUE!</v>
      </c>
      <c r="EL95" t="e">
        <f>AND('PROG FORMACIÓN TITULADA'!Z622,"AAAAAH+dfY0=")</f>
        <v>#VALUE!</v>
      </c>
      <c r="EM95">
        <f>IF('PROG FORMACIÓN TITULADA'!623:623,"AAAAAH+dfY4=",0)</f>
        <v>0</v>
      </c>
      <c r="EN95" t="e">
        <f>AND('PROG FORMACIÓN TITULADA'!A623,"AAAAAH+dfY8=")</f>
        <v>#VALUE!</v>
      </c>
      <c r="EO95" t="e">
        <f>AND('PROG FORMACIÓN TITULADA'!B623,"AAAAAH+dfZA=")</f>
        <v>#VALUE!</v>
      </c>
      <c r="EP95" t="e">
        <f>AND('PROG FORMACIÓN TITULADA'!C623,"AAAAAH+dfZE=")</f>
        <v>#VALUE!</v>
      </c>
      <c r="EQ95" t="e">
        <f>AND('PROG FORMACIÓN TITULADA'!D623,"AAAAAH+dfZI=")</f>
        <v>#VALUE!</v>
      </c>
      <c r="ER95" t="e">
        <f>AND('PROG FORMACIÓN TITULADA'!E623,"AAAAAH+dfZM=")</f>
        <v>#VALUE!</v>
      </c>
      <c r="ES95" t="e">
        <f>AND('PROG FORMACIÓN TITULADA'!F623,"AAAAAH+dfZQ=")</f>
        <v>#VALUE!</v>
      </c>
      <c r="ET95" t="e">
        <f>AND('PROG FORMACIÓN TITULADA'!G623,"AAAAAH+dfZU=")</f>
        <v>#VALUE!</v>
      </c>
      <c r="EU95" t="e">
        <f>AND('PROG FORMACIÓN TITULADA'!H623,"AAAAAH+dfZY=")</f>
        <v>#VALUE!</v>
      </c>
      <c r="EV95" t="e">
        <f>AND('PROG FORMACIÓN TITULADA'!I623,"AAAAAH+dfZc=")</f>
        <v>#VALUE!</v>
      </c>
      <c r="EW95" t="e">
        <f>AND('PROG FORMACIÓN TITULADA'!J623,"AAAAAH+dfZg=")</f>
        <v>#VALUE!</v>
      </c>
      <c r="EX95" t="e">
        <f>AND('PROG FORMACIÓN TITULADA'!K623,"AAAAAH+dfZk=")</f>
        <v>#VALUE!</v>
      </c>
      <c r="EY95" t="e">
        <f>AND('PROG FORMACIÓN TITULADA'!L623,"AAAAAH+dfZo=")</f>
        <v>#VALUE!</v>
      </c>
      <c r="EZ95" t="e">
        <f>AND('PROG FORMACIÓN TITULADA'!M623,"AAAAAH+dfZs=")</f>
        <v>#VALUE!</v>
      </c>
      <c r="FA95" t="e">
        <f>AND('PROG FORMACIÓN TITULADA'!N623,"AAAAAH+dfZw=")</f>
        <v>#VALUE!</v>
      </c>
      <c r="FB95" t="e">
        <f>AND('PROG FORMACIÓN TITULADA'!O623,"AAAAAH+dfZ0=")</f>
        <v>#VALUE!</v>
      </c>
      <c r="FC95" t="e">
        <f>AND('PROG FORMACIÓN TITULADA'!P623,"AAAAAH+dfZ4=")</f>
        <v>#VALUE!</v>
      </c>
      <c r="FD95" t="e">
        <f>AND('PROG FORMACIÓN TITULADA'!Q623,"AAAAAH+dfZ8=")</f>
        <v>#VALUE!</v>
      </c>
      <c r="FE95" t="e">
        <f>AND('PROG FORMACIÓN TITULADA'!R623,"AAAAAH+dfaA=")</f>
        <v>#VALUE!</v>
      </c>
      <c r="FF95" t="e">
        <f>AND('PROG FORMACIÓN TITULADA'!S623,"AAAAAH+dfaE=")</f>
        <v>#VALUE!</v>
      </c>
      <c r="FG95" t="e">
        <f>AND('PROG FORMACIÓN TITULADA'!T623,"AAAAAH+dfaI=")</f>
        <v>#VALUE!</v>
      </c>
      <c r="FH95" t="e">
        <f>AND('PROG FORMACIÓN TITULADA'!U623,"AAAAAH+dfaM=")</f>
        <v>#VALUE!</v>
      </c>
      <c r="FI95" t="e">
        <f>AND('PROG FORMACIÓN TITULADA'!V623,"AAAAAH+dfaQ=")</f>
        <v>#VALUE!</v>
      </c>
      <c r="FJ95" t="e">
        <f>AND('PROG FORMACIÓN TITULADA'!W623,"AAAAAH+dfaU=")</f>
        <v>#VALUE!</v>
      </c>
      <c r="FK95" t="e">
        <f>AND('PROG FORMACIÓN TITULADA'!X623,"AAAAAH+dfaY=")</f>
        <v>#VALUE!</v>
      </c>
      <c r="FL95" t="e">
        <f>AND('PROG FORMACIÓN TITULADA'!Y623,"AAAAAH+dfac=")</f>
        <v>#VALUE!</v>
      </c>
      <c r="FM95" t="e">
        <f>AND('PROG FORMACIÓN TITULADA'!Z623,"AAAAAH+dfag=")</f>
        <v>#VALUE!</v>
      </c>
      <c r="FN95">
        <f>IF('PROG FORMACIÓN TITULADA'!624:624,"AAAAAH+dfak=",0)</f>
        <v>0</v>
      </c>
      <c r="FO95" t="e">
        <f>AND('PROG FORMACIÓN TITULADA'!A624,"AAAAAH+dfao=")</f>
        <v>#VALUE!</v>
      </c>
      <c r="FP95" t="e">
        <f>AND('PROG FORMACIÓN TITULADA'!B624,"AAAAAH+dfas=")</f>
        <v>#VALUE!</v>
      </c>
      <c r="FQ95" t="e">
        <f>AND('PROG FORMACIÓN TITULADA'!C624,"AAAAAH+dfaw=")</f>
        <v>#VALUE!</v>
      </c>
      <c r="FR95" t="e">
        <f>AND('PROG FORMACIÓN TITULADA'!D624,"AAAAAH+dfa0=")</f>
        <v>#VALUE!</v>
      </c>
      <c r="FS95" t="e">
        <f>AND('PROG FORMACIÓN TITULADA'!E624,"AAAAAH+dfa4=")</f>
        <v>#VALUE!</v>
      </c>
      <c r="FT95" t="e">
        <f>AND('PROG FORMACIÓN TITULADA'!F624,"AAAAAH+dfa8=")</f>
        <v>#VALUE!</v>
      </c>
      <c r="FU95" t="e">
        <f>AND('PROG FORMACIÓN TITULADA'!G624,"AAAAAH+dfbA=")</f>
        <v>#VALUE!</v>
      </c>
      <c r="FV95" t="e">
        <f>AND('PROG FORMACIÓN TITULADA'!H624,"AAAAAH+dfbE=")</f>
        <v>#VALUE!</v>
      </c>
      <c r="FW95" t="e">
        <f>AND('PROG FORMACIÓN TITULADA'!I624,"AAAAAH+dfbI=")</f>
        <v>#VALUE!</v>
      </c>
      <c r="FX95" t="e">
        <f>AND('PROG FORMACIÓN TITULADA'!J624,"AAAAAH+dfbM=")</f>
        <v>#VALUE!</v>
      </c>
      <c r="FY95" t="e">
        <f>AND('PROG FORMACIÓN TITULADA'!K624,"AAAAAH+dfbQ=")</f>
        <v>#VALUE!</v>
      </c>
      <c r="FZ95" t="e">
        <f>AND('PROG FORMACIÓN TITULADA'!L624,"AAAAAH+dfbU=")</f>
        <v>#VALUE!</v>
      </c>
      <c r="GA95" t="e">
        <f>AND('PROG FORMACIÓN TITULADA'!M624,"AAAAAH+dfbY=")</f>
        <v>#VALUE!</v>
      </c>
      <c r="GB95" t="e">
        <f>AND('PROG FORMACIÓN TITULADA'!N624,"AAAAAH+dfbc=")</f>
        <v>#VALUE!</v>
      </c>
      <c r="GC95" t="e">
        <f>AND('PROG FORMACIÓN TITULADA'!O624,"AAAAAH+dfbg=")</f>
        <v>#VALUE!</v>
      </c>
      <c r="GD95" t="e">
        <f>AND('PROG FORMACIÓN TITULADA'!P624,"AAAAAH+dfbk=")</f>
        <v>#VALUE!</v>
      </c>
      <c r="GE95" t="e">
        <f>AND('PROG FORMACIÓN TITULADA'!Q624,"AAAAAH+dfbo=")</f>
        <v>#VALUE!</v>
      </c>
      <c r="GF95" t="e">
        <f>AND('PROG FORMACIÓN TITULADA'!R624,"AAAAAH+dfbs=")</f>
        <v>#VALUE!</v>
      </c>
      <c r="GG95" t="e">
        <f>AND('PROG FORMACIÓN TITULADA'!S624,"AAAAAH+dfbw=")</f>
        <v>#VALUE!</v>
      </c>
      <c r="GH95" t="e">
        <f>AND('PROG FORMACIÓN TITULADA'!T624,"AAAAAH+dfb0=")</f>
        <v>#VALUE!</v>
      </c>
      <c r="GI95" t="e">
        <f>AND('PROG FORMACIÓN TITULADA'!U624,"AAAAAH+dfb4=")</f>
        <v>#VALUE!</v>
      </c>
      <c r="GJ95" t="e">
        <f>AND('PROG FORMACIÓN TITULADA'!V624,"AAAAAH+dfb8=")</f>
        <v>#VALUE!</v>
      </c>
      <c r="GK95" t="e">
        <f>AND('PROG FORMACIÓN TITULADA'!W624,"AAAAAH+dfcA=")</f>
        <v>#VALUE!</v>
      </c>
      <c r="GL95" t="e">
        <f>AND('PROG FORMACIÓN TITULADA'!X624,"AAAAAH+dfcE=")</f>
        <v>#VALUE!</v>
      </c>
      <c r="GM95" t="e">
        <f>AND('PROG FORMACIÓN TITULADA'!Y624,"AAAAAH+dfcI=")</f>
        <v>#VALUE!</v>
      </c>
      <c r="GN95" t="e">
        <f>AND('PROG FORMACIÓN TITULADA'!Z624,"AAAAAH+dfcM=")</f>
        <v>#VALUE!</v>
      </c>
      <c r="GO95">
        <f>IF('PROG FORMACIÓN TITULADA'!625:625,"AAAAAH+dfcQ=",0)</f>
        <v>0</v>
      </c>
      <c r="GP95" t="e">
        <f>AND('PROG FORMACIÓN TITULADA'!A625,"AAAAAH+dfcU=")</f>
        <v>#VALUE!</v>
      </c>
      <c r="GQ95" t="e">
        <f>AND('PROG FORMACIÓN TITULADA'!B625,"AAAAAH+dfcY=")</f>
        <v>#VALUE!</v>
      </c>
      <c r="GR95" t="e">
        <f>AND('PROG FORMACIÓN TITULADA'!C625,"AAAAAH+dfcc=")</f>
        <v>#VALUE!</v>
      </c>
      <c r="GS95" t="e">
        <f>AND('PROG FORMACIÓN TITULADA'!D625,"AAAAAH+dfcg=")</f>
        <v>#VALUE!</v>
      </c>
      <c r="GT95" t="e">
        <f>AND('PROG FORMACIÓN TITULADA'!E625,"AAAAAH+dfck=")</f>
        <v>#VALUE!</v>
      </c>
      <c r="GU95" t="e">
        <f>AND('PROG FORMACIÓN TITULADA'!F625,"AAAAAH+dfco=")</f>
        <v>#VALUE!</v>
      </c>
      <c r="GV95" t="e">
        <f>AND('PROG FORMACIÓN TITULADA'!G625,"AAAAAH+dfcs=")</f>
        <v>#VALUE!</v>
      </c>
      <c r="GW95" t="e">
        <f>AND('PROG FORMACIÓN TITULADA'!H625,"AAAAAH+dfcw=")</f>
        <v>#VALUE!</v>
      </c>
      <c r="GX95" t="e">
        <f>AND('PROG FORMACIÓN TITULADA'!I625,"AAAAAH+dfc0=")</f>
        <v>#VALUE!</v>
      </c>
      <c r="GY95" t="e">
        <f>AND('PROG FORMACIÓN TITULADA'!J625,"AAAAAH+dfc4=")</f>
        <v>#VALUE!</v>
      </c>
      <c r="GZ95" t="e">
        <f>AND('PROG FORMACIÓN TITULADA'!K625,"AAAAAH+dfc8=")</f>
        <v>#VALUE!</v>
      </c>
      <c r="HA95" t="e">
        <f>AND('PROG FORMACIÓN TITULADA'!L625,"AAAAAH+dfdA=")</f>
        <v>#VALUE!</v>
      </c>
      <c r="HB95" t="e">
        <f>AND('PROG FORMACIÓN TITULADA'!M625,"AAAAAH+dfdE=")</f>
        <v>#VALUE!</v>
      </c>
      <c r="HC95" t="e">
        <f>AND('PROG FORMACIÓN TITULADA'!N625,"AAAAAH+dfdI=")</f>
        <v>#VALUE!</v>
      </c>
      <c r="HD95" t="e">
        <f>AND('PROG FORMACIÓN TITULADA'!O625,"AAAAAH+dfdM=")</f>
        <v>#VALUE!</v>
      </c>
      <c r="HE95" t="e">
        <f>AND('PROG FORMACIÓN TITULADA'!P625,"AAAAAH+dfdQ=")</f>
        <v>#VALUE!</v>
      </c>
      <c r="HF95" t="e">
        <f>AND('PROG FORMACIÓN TITULADA'!Q625,"AAAAAH+dfdU=")</f>
        <v>#VALUE!</v>
      </c>
      <c r="HG95" t="e">
        <f>AND('PROG FORMACIÓN TITULADA'!R625,"AAAAAH+dfdY=")</f>
        <v>#VALUE!</v>
      </c>
      <c r="HH95" t="e">
        <f>AND('PROG FORMACIÓN TITULADA'!S625,"AAAAAH+dfdc=")</f>
        <v>#VALUE!</v>
      </c>
      <c r="HI95" t="e">
        <f>AND('PROG FORMACIÓN TITULADA'!T625,"AAAAAH+dfdg=")</f>
        <v>#VALUE!</v>
      </c>
      <c r="HJ95" t="e">
        <f>AND('PROG FORMACIÓN TITULADA'!U625,"AAAAAH+dfdk=")</f>
        <v>#VALUE!</v>
      </c>
      <c r="HK95" t="e">
        <f>AND('PROG FORMACIÓN TITULADA'!V625,"AAAAAH+dfdo=")</f>
        <v>#VALUE!</v>
      </c>
      <c r="HL95" t="e">
        <f>AND('PROG FORMACIÓN TITULADA'!W625,"AAAAAH+dfds=")</f>
        <v>#VALUE!</v>
      </c>
      <c r="HM95" t="e">
        <f>AND('PROG FORMACIÓN TITULADA'!X625,"AAAAAH+dfdw=")</f>
        <v>#VALUE!</v>
      </c>
      <c r="HN95" t="e">
        <f>AND('PROG FORMACIÓN TITULADA'!Y625,"AAAAAH+dfd0=")</f>
        <v>#VALUE!</v>
      </c>
      <c r="HO95" t="e">
        <f>AND('PROG FORMACIÓN TITULADA'!Z625,"AAAAAH+dfd4=")</f>
        <v>#VALUE!</v>
      </c>
      <c r="HP95">
        <f>IF('PROG FORMACIÓN TITULADA'!626:626,"AAAAAH+dfd8=",0)</f>
        <v>0</v>
      </c>
      <c r="HQ95" t="e">
        <f>AND('PROG FORMACIÓN TITULADA'!A626,"AAAAAH+dfeA=")</f>
        <v>#VALUE!</v>
      </c>
      <c r="HR95" t="e">
        <f>AND('PROG FORMACIÓN TITULADA'!B626,"AAAAAH+dfeE=")</f>
        <v>#VALUE!</v>
      </c>
      <c r="HS95" t="e">
        <f>AND('PROG FORMACIÓN TITULADA'!C626,"AAAAAH+dfeI=")</f>
        <v>#VALUE!</v>
      </c>
      <c r="HT95" t="e">
        <f>AND('PROG FORMACIÓN TITULADA'!D626,"AAAAAH+dfeM=")</f>
        <v>#VALUE!</v>
      </c>
      <c r="HU95" t="e">
        <f>AND('PROG FORMACIÓN TITULADA'!E626,"AAAAAH+dfeQ=")</f>
        <v>#VALUE!</v>
      </c>
      <c r="HV95" t="e">
        <f>AND('PROG FORMACIÓN TITULADA'!F626,"AAAAAH+dfeU=")</f>
        <v>#VALUE!</v>
      </c>
      <c r="HW95" t="e">
        <f>AND('PROG FORMACIÓN TITULADA'!G626,"AAAAAH+dfeY=")</f>
        <v>#VALUE!</v>
      </c>
      <c r="HX95" t="e">
        <f>AND('PROG FORMACIÓN TITULADA'!H626,"AAAAAH+dfec=")</f>
        <v>#VALUE!</v>
      </c>
      <c r="HY95" t="e">
        <f>AND('PROG FORMACIÓN TITULADA'!I626,"AAAAAH+dfeg=")</f>
        <v>#VALUE!</v>
      </c>
      <c r="HZ95" t="e">
        <f>AND('PROG FORMACIÓN TITULADA'!J626,"AAAAAH+dfek=")</f>
        <v>#VALUE!</v>
      </c>
      <c r="IA95" t="e">
        <f>AND('PROG FORMACIÓN TITULADA'!K626,"AAAAAH+dfeo=")</f>
        <v>#VALUE!</v>
      </c>
      <c r="IB95" t="e">
        <f>AND('PROG FORMACIÓN TITULADA'!L626,"AAAAAH+dfes=")</f>
        <v>#VALUE!</v>
      </c>
      <c r="IC95" t="e">
        <f>AND('PROG FORMACIÓN TITULADA'!M626,"AAAAAH+dfew=")</f>
        <v>#VALUE!</v>
      </c>
      <c r="ID95" t="e">
        <f>AND('PROG FORMACIÓN TITULADA'!N626,"AAAAAH+dfe0=")</f>
        <v>#VALUE!</v>
      </c>
      <c r="IE95" t="e">
        <f>AND('PROG FORMACIÓN TITULADA'!O626,"AAAAAH+dfe4=")</f>
        <v>#VALUE!</v>
      </c>
      <c r="IF95" t="e">
        <f>AND('PROG FORMACIÓN TITULADA'!P626,"AAAAAH+dfe8=")</f>
        <v>#VALUE!</v>
      </c>
      <c r="IG95" t="e">
        <f>AND('PROG FORMACIÓN TITULADA'!Q626,"AAAAAH+dffA=")</f>
        <v>#VALUE!</v>
      </c>
      <c r="IH95" t="e">
        <f>AND('PROG FORMACIÓN TITULADA'!R626,"AAAAAH+dffE=")</f>
        <v>#VALUE!</v>
      </c>
      <c r="II95" t="e">
        <f>AND('PROG FORMACIÓN TITULADA'!S626,"AAAAAH+dffI=")</f>
        <v>#VALUE!</v>
      </c>
      <c r="IJ95" t="e">
        <f>AND('PROG FORMACIÓN TITULADA'!T626,"AAAAAH+dffM=")</f>
        <v>#VALUE!</v>
      </c>
      <c r="IK95" t="e">
        <f>AND('PROG FORMACIÓN TITULADA'!U626,"AAAAAH+dffQ=")</f>
        <v>#VALUE!</v>
      </c>
      <c r="IL95" t="e">
        <f>AND('PROG FORMACIÓN TITULADA'!V626,"AAAAAH+dffU=")</f>
        <v>#VALUE!</v>
      </c>
      <c r="IM95" t="e">
        <f>AND('PROG FORMACIÓN TITULADA'!W626,"AAAAAH+dffY=")</f>
        <v>#VALUE!</v>
      </c>
      <c r="IN95" t="e">
        <f>AND('PROG FORMACIÓN TITULADA'!X626,"AAAAAH+dffc=")</f>
        <v>#VALUE!</v>
      </c>
      <c r="IO95" t="e">
        <f>AND('PROG FORMACIÓN TITULADA'!Y626,"AAAAAH+dffg=")</f>
        <v>#VALUE!</v>
      </c>
      <c r="IP95" t="e">
        <f>AND('PROG FORMACIÓN TITULADA'!Z626,"AAAAAH+dffk=")</f>
        <v>#VALUE!</v>
      </c>
      <c r="IQ95">
        <f>IF('PROG FORMACIÓN TITULADA'!627:627,"AAAAAH+dffo=",0)</f>
        <v>0</v>
      </c>
      <c r="IR95" t="e">
        <f>AND('PROG FORMACIÓN TITULADA'!A627,"AAAAAH+dffs=")</f>
        <v>#VALUE!</v>
      </c>
      <c r="IS95" t="e">
        <f>AND('PROG FORMACIÓN TITULADA'!B627,"AAAAAH+dffw=")</f>
        <v>#VALUE!</v>
      </c>
      <c r="IT95" t="e">
        <f>AND('PROG FORMACIÓN TITULADA'!C627,"AAAAAH+dff0=")</f>
        <v>#VALUE!</v>
      </c>
      <c r="IU95" t="e">
        <f>AND('PROG FORMACIÓN TITULADA'!D627,"AAAAAH+dff4=")</f>
        <v>#VALUE!</v>
      </c>
      <c r="IV95" t="e">
        <f>AND('PROG FORMACIÓN TITULADA'!E627,"AAAAAH+dff8=")</f>
        <v>#VALUE!</v>
      </c>
    </row>
    <row r="96" spans="1:256" x14ac:dyDescent="0.2">
      <c r="A96" t="e">
        <f>AND('PROG FORMACIÓN TITULADA'!F627,"AAAAAB+/7QA=")</f>
        <v>#VALUE!</v>
      </c>
      <c r="B96" t="e">
        <f>AND('PROG FORMACIÓN TITULADA'!G627,"AAAAAB+/7QE=")</f>
        <v>#VALUE!</v>
      </c>
      <c r="C96" t="e">
        <f>AND('PROG FORMACIÓN TITULADA'!H627,"AAAAAB+/7QI=")</f>
        <v>#VALUE!</v>
      </c>
      <c r="D96" t="e">
        <f>AND('PROG FORMACIÓN TITULADA'!I627,"AAAAAB+/7QM=")</f>
        <v>#VALUE!</v>
      </c>
      <c r="E96" t="e">
        <f>AND('PROG FORMACIÓN TITULADA'!J627,"AAAAAB+/7QQ=")</f>
        <v>#VALUE!</v>
      </c>
      <c r="F96" t="e">
        <f>AND('PROG FORMACIÓN TITULADA'!K627,"AAAAAB+/7QU=")</f>
        <v>#VALUE!</v>
      </c>
      <c r="G96" t="e">
        <f>AND('PROG FORMACIÓN TITULADA'!L627,"AAAAAB+/7QY=")</f>
        <v>#VALUE!</v>
      </c>
      <c r="H96" t="e">
        <f>AND('PROG FORMACIÓN TITULADA'!M627,"AAAAAB+/7Qc=")</f>
        <v>#VALUE!</v>
      </c>
      <c r="I96" t="e">
        <f>AND('PROG FORMACIÓN TITULADA'!N627,"AAAAAB+/7Qg=")</f>
        <v>#VALUE!</v>
      </c>
      <c r="J96" t="e">
        <f>AND('PROG FORMACIÓN TITULADA'!O627,"AAAAAB+/7Qk=")</f>
        <v>#VALUE!</v>
      </c>
      <c r="K96" t="e">
        <f>AND('PROG FORMACIÓN TITULADA'!P627,"AAAAAB+/7Qo=")</f>
        <v>#VALUE!</v>
      </c>
      <c r="L96" t="e">
        <f>AND('PROG FORMACIÓN TITULADA'!Q627,"AAAAAB+/7Qs=")</f>
        <v>#VALUE!</v>
      </c>
      <c r="M96" t="e">
        <f>AND('PROG FORMACIÓN TITULADA'!R627,"AAAAAB+/7Qw=")</f>
        <v>#VALUE!</v>
      </c>
      <c r="N96" t="e">
        <f>AND('PROG FORMACIÓN TITULADA'!S627,"AAAAAB+/7Q0=")</f>
        <v>#VALUE!</v>
      </c>
      <c r="O96" t="e">
        <f>AND('PROG FORMACIÓN TITULADA'!T627,"AAAAAB+/7Q4=")</f>
        <v>#VALUE!</v>
      </c>
      <c r="P96" t="e">
        <f>AND('PROG FORMACIÓN TITULADA'!U627,"AAAAAB+/7Q8=")</f>
        <v>#VALUE!</v>
      </c>
      <c r="Q96" t="e">
        <f>AND('PROG FORMACIÓN TITULADA'!V627,"AAAAAB+/7RA=")</f>
        <v>#VALUE!</v>
      </c>
      <c r="R96" t="e">
        <f>AND('PROG FORMACIÓN TITULADA'!W627,"AAAAAB+/7RE=")</f>
        <v>#VALUE!</v>
      </c>
      <c r="S96" t="e">
        <f>AND('PROG FORMACIÓN TITULADA'!X627,"AAAAAB+/7RI=")</f>
        <v>#VALUE!</v>
      </c>
      <c r="T96" t="e">
        <f>AND('PROG FORMACIÓN TITULADA'!Y627,"AAAAAB+/7RM=")</f>
        <v>#VALUE!</v>
      </c>
      <c r="U96" t="e">
        <f>AND('PROG FORMACIÓN TITULADA'!Z627,"AAAAAB+/7RQ=")</f>
        <v>#VALUE!</v>
      </c>
      <c r="V96">
        <f>IF('PROG FORMACIÓN TITULADA'!628:628,"AAAAAB+/7RU=",0)</f>
        <v>0</v>
      </c>
      <c r="W96" t="e">
        <f>AND('PROG FORMACIÓN TITULADA'!A628,"AAAAAB+/7RY=")</f>
        <v>#VALUE!</v>
      </c>
      <c r="X96" t="e">
        <f>AND('PROG FORMACIÓN TITULADA'!B628,"AAAAAB+/7Rc=")</f>
        <v>#VALUE!</v>
      </c>
      <c r="Y96" t="e">
        <f>AND('PROG FORMACIÓN TITULADA'!C628,"AAAAAB+/7Rg=")</f>
        <v>#VALUE!</v>
      </c>
      <c r="Z96" t="e">
        <f>AND('PROG FORMACIÓN TITULADA'!D628,"AAAAAB+/7Rk=")</f>
        <v>#VALUE!</v>
      </c>
      <c r="AA96" t="e">
        <f>AND('PROG FORMACIÓN TITULADA'!E628,"AAAAAB+/7Ro=")</f>
        <v>#VALUE!</v>
      </c>
      <c r="AB96" t="e">
        <f>AND('PROG FORMACIÓN TITULADA'!F628,"AAAAAB+/7Rs=")</f>
        <v>#VALUE!</v>
      </c>
      <c r="AC96" t="e">
        <f>AND('PROG FORMACIÓN TITULADA'!G628,"AAAAAB+/7Rw=")</f>
        <v>#VALUE!</v>
      </c>
      <c r="AD96" t="e">
        <f>AND('PROG FORMACIÓN TITULADA'!H628,"AAAAAB+/7R0=")</f>
        <v>#VALUE!</v>
      </c>
      <c r="AE96" t="e">
        <f>AND('PROG FORMACIÓN TITULADA'!I628,"AAAAAB+/7R4=")</f>
        <v>#VALUE!</v>
      </c>
      <c r="AF96" t="e">
        <f>AND('PROG FORMACIÓN TITULADA'!J628,"AAAAAB+/7R8=")</f>
        <v>#VALUE!</v>
      </c>
      <c r="AG96" t="e">
        <f>AND('PROG FORMACIÓN TITULADA'!K628,"AAAAAB+/7SA=")</f>
        <v>#VALUE!</v>
      </c>
      <c r="AH96" t="e">
        <f>AND('PROG FORMACIÓN TITULADA'!L628,"AAAAAB+/7SE=")</f>
        <v>#VALUE!</v>
      </c>
      <c r="AI96" t="e">
        <f>AND('PROG FORMACIÓN TITULADA'!M628,"AAAAAB+/7SI=")</f>
        <v>#VALUE!</v>
      </c>
      <c r="AJ96" t="e">
        <f>AND('PROG FORMACIÓN TITULADA'!N628,"AAAAAB+/7SM=")</f>
        <v>#VALUE!</v>
      </c>
      <c r="AK96" t="e">
        <f>AND('PROG FORMACIÓN TITULADA'!O628,"AAAAAB+/7SQ=")</f>
        <v>#VALUE!</v>
      </c>
      <c r="AL96" t="e">
        <f>AND('PROG FORMACIÓN TITULADA'!P628,"AAAAAB+/7SU=")</f>
        <v>#VALUE!</v>
      </c>
      <c r="AM96" t="e">
        <f>AND('PROG FORMACIÓN TITULADA'!Q628,"AAAAAB+/7SY=")</f>
        <v>#VALUE!</v>
      </c>
      <c r="AN96" t="e">
        <f>AND('PROG FORMACIÓN TITULADA'!R628,"AAAAAB+/7Sc=")</f>
        <v>#VALUE!</v>
      </c>
      <c r="AO96" t="e">
        <f>AND('PROG FORMACIÓN TITULADA'!S628,"AAAAAB+/7Sg=")</f>
        <v>#VALUE!</v>
      </c>
      <c r="AP96" t="e">
        <f>AND('PROG FORMACIÓN TITULADA'!T628,"AAAAAB+/7Sk=")</f>
        <v>#VALUE!</v>
      </c>
      <c r="AQ96" t="e">
        <f>AND('PROG FORMACIÓN TITULADA'!U628,"AAAAAB+/7So=")</f>
        <v>#VALUE!</v>
      </c>
      <c r="AR96" t="e">
        <f>AND('PROG FORMACIÓN TITULADA'!V628,"AAAAAB+/7Ss=")</f>
        <v>#VALUE!</v>
      </c>
      <c r="AS96" t="e">
        <f>AND('PROG FORMACIÓN TITULADA'!W628,"AAAAAB+/7Sw=")</f>
        <v>#VALUE!</v>
      </c>
      <c r="AT96" t="e">
        <f>AND('PROG FORMACIÓN TITULADA'!X628,"AAAAAB+/7S0=")</f>
        <v>#VALUE!</v>
      </c>
      <c r="AU96" t="e">
        <f>AND('PROG FORMACIÓN TITULADA'!Y628,"AAAAAB+/7S4=")</f>
        <v>#VALUE!</v>
      </c>
      <c r="AV96" t="e">
        <f>AND('PROG FORMACIÓN TITULADA'!Z628,"AAAAAB+/7S8=")</f>
        <v>#VALUE!</v>
      </c>
      <c r="AW96">
        <f>IF('PROG FORMACIÓN TITULADA'!629:629,"AAAAAB+/7TA=",0)</f>
        <v>0</v>
      </c>
      <c r="AX96" t="e">
        <f>AND('PROG FORMACIÓN TITULADA'!A629,"AAAAAB+/7TE=")</f>
        <v>#VALUE!</v>
      </c>
      <c r="AY96" t="e">
        <f>AND('PROG FORMACIÓN TITULADA'!B629,"AAAAAB+/7TI=")</f>
        <v>#VALUE!</v>
      </c>
      <c r="AZ96" t="e">
        <f>AND('PROG FORMACIÓN TITULADA'!C629,"AAAAAB+/7TM=")</f>
        <v>#VALUE!</v>
      </c>
      <c r="BA96" t="e">
        <f>AND('PROG FORMACIÓN TITULADA'!D629,"AAAAAB+/7TQ=")</f>
        <v>#VALUE!</v>
      </c>
      <c r="BB96" t="e">
        <f>AND('PROG FORMACIÓN TITULADA'!E629,"AAAAAB+/7TU=")</f>
        <v>#VALUE!</v>
      </c>
      <c r="BC96" t="e">
        <f>AND('PROG FORMACIÓN TITULADA'!F629,"AAAAAB+/7TY=")</f>
        <v>#VALUE!</v>
      </c>
      <c r="BD96" t="e">
        <f>AND('PROG FORMACIÓN TITULADA'!G629,"AAAAAB+/7Tc=")</f>
        <v>#VALUE!</v>
      </c>
      <c r="BE96" t="e">
        <f>AND('PROG FORMACIÓN TITULADA'!H629,"AAAAAB+/7Tg=")</f>
        <v>#VALUE!</v>
      </c>
      <c r="BF96" t="e">
        <f>AND('PROG FORMACIÓN TITULADA'!I629,"AAAAAB+/7Tk=")</f>
        <v>#VALUE!</v>
      </c>
      <c r="BG96" t="e">
        <f>AND('PROG FORMACIÓN TITULADA'!J629,"AAAAAB+/7To=")</f>
        <v>#VALUE!</v>
      </c>
      <c r="BH96" t="e">
        <f>AND('PROG FORMACIÓN TITULADA'!K629,"AAAAAB+/7Ts=")</f>
        <v>#VALUE!</v>
      </c>
      <c r="BI96" t="e">
        <f>AND('PROG FORMACIÓN TITULADA'!L629,"AAAAAB+/7Tw=")</f>
        <v>#VALUE!</v>
      </c>
      <c r="BJ96" t="e">
        <f>AND('PROG FORMACIÓN TITULADA'!M629,"AAAAAB+/7T0=")</f>
        <v>#VALUE!</v>
      </c>
      <c r="BK96" t="e">
        <f>AND('PROG FORMACIÓN TITULADA'!N629,"AAAAAB+/7T4=")</f>
        <v>#VALUE!</v>
      </c>
      <c r="BL96" t="e">
        <f>AND('PROG FORMACIÓN TITULADA'!O629,"AAAAAB+/7T8=")</f>
        <v>#VALUE!</v>
      </c>
      <c r="BM96" t="e">
        <f>AND('PROG FORMACIÓN TITULADA'!P629,"AAAAAB+/7UA=")</f>
        <v>#VALUE!</v>
      </c>
      <c r="BN96" t="e">
        <f>AND('PROG FORMACIÓN TITULADA'!Q629,"AAAAAB+/7UE=")</f>
        <v>#VALUE!</v>
      </c>
      <c r="BO96" t="e">
        <f>AND('PROG FORMACIÓN TITULADA'!R629,"AAAAAB+/7UI=")</f>
        <v>#VALUE!</v>
      </c>
      <c r="BP96" t="e">
        <f>AND('PROG FORMACIÓN TITULADA'!S629,"AAAAAB+/7UM=")</f>
        <v>#VALUE!</v>
      </c>
      <c r="BQ96" t="e">
        <f>AND('PROG FORMACIÓN TITULADA'!T629,"AAAAAB+/7UQ=")</f>
        <v>#VALUE!</v>
      </c>
      <c r="BR96" t="e">
        <f>AND('PROG FORMACIÓN TITULADA'!U629,"AAAAAB+/7UU=")</f>
        <v>#VALUE!</v>
      </c>
      <c r="BS96" t="e">
        <f>AND('PROG FORMACIÓN TITULADA'!V629,"AAAAAB+/7UY=")</f>
        <v>#VALUE!</v>
      </c>
      <c r="BT96" t="e">
        <f>AND('PROG FORMACIÓN TITULADA'!W629,"AAAAAB+/7Uc=")</f>
        <v>#VALUE!</v>
      </c>
      <c r="BU96" t="e">
        <f>AND('PROG FORMACIÓN TITULADA'!X629,"AAAAAB+/7Ug=")</f>
        <v>#VALUE!</v>
      </c>
      <c r="BV96" t="e">
        <f>AND('PROG FORMACIÓN TITULADA'!Y629,"AAAAAB+/7Uk=")</f>
        <v>#VALUE!</v>
      </c>
      <c r="BW96" t="e">
        <f>AND('PROG FORMACIÓN TITULADA'!Z629,"AAAAAB+/7Uo=")</f>
        <v>#VALUE!</v>
      </c>
      <c r="BX96">
        <f>IF('PROG FORMACIÓN TITULADA'!630:630,"AAAAAB+/7Us=",0)</f>
        <v>0</v>
      </c>
      <c r="BY96" t="e">
        <f>AND('PROG FORMACIÓN TITULADA'!A630,"AAAAAB+/7Uw=")</f>
        <v>#VALUE!</v>
      </c>
      <c r="BZ96" t="e">
        <f>AND('PROG FORMACIÓN TITULADA'!B630,"AAAAAB+/7U0=")</f>
        <v>#VALUE!</v>
      </c>
      <c r="CA96" t="e">
        <f>AND('PROG FORMACIÓN TITULADA'!C630,"AAAAAB+/7U4=")</f>
        <v>#VALUE!</v>
      </c>
      <c r="CB96" t="e">
        <f>AND('PROG FORMACIÓN TITULADA'!D630,"AAAAAB+/7U8=")</f>
        <v>#VALUE!</v>
      </c>
      <c r="CC96" t="e">
        <f>AND('PROG FORMACIÓN TITULADA'!E630,"AAAAAB+/7VA=")</f>
        <v>#VALUE!</v>
      </c>
      <c r="CD96" t="e">
        <f>AND('PROG FORMACIÓN TITULADA'!F630,"AAAAAB+/7VE=")</f>
        <v>#VALUE!</v>
      </c>
      <c r="CE96" t="e">
        <f>AND('PROG FORMACIÓN TITULADA'!G630,"AAAAAB+/7VI=")</f>
        <v>#VALUE!</v>
      </c>
      <c r="CF96" t="e">
        <f>AND('PROG FORMACIÓN TITULADA'!H630,"AAAAAB+/7VM=")</f>
        <v>#VALUE!</v>
      </c>
      <c r="CG96" t="e">
        <f>AND('PROG FORMACIÓN TITULADA'!I630,"AAAAAB+/7VQ=")</f>
        <v>#VALUE!</v>
      </c>
      <c r="CH96" t="e">
        <f>AND('PROG FORMACIÓN TITULADA'!J630,"AAAAAB+/7VU=")</f>
        <v>#VALUE!</v>
      </c>
      <c r="CI96" t="e">
        <f>AND('PROG FORMACIÓN TITULADA'!K630,"AAAAAB+/7VY=")</f>
        <v>#VALUE!</v>
      </c>
      <c r="CJ96" t="e">
        <f>AND('PROG FORMACIÓN TITULADA'!L630,"AAAAAB+/7Vc=")</f>
        <v>#VALUE!</v>
      </c>
      <c r="CK96" t="e">
        <f>AND('PROG FORMACIÓN TITULADA'!M630,"AAAAAB+/7Vg=")</f>
        <v>#VALUE!</v>
      </c>
      <c r="CL96" t="e">
        <f>AND('PROG FORMACIÓN TITULADA'!N630,"AAAAAB+/7Vk=")</f>
        <v>#VALUE!</v>
      </c>
      <c r="CM96" t="e">
        <f>AND('PROG FORMACIÓN TITULADA'!O630,"AAAAAB+/7Vo=")</f>
        <v>#VALUE!</v>
      </c>
      <c r="CN96" t="e">
        <f>AND('PROG FORMACIÓN TITULADA'!P630,"AAAAAB+/7Vs=")</f>
        <v>#VALUE!</v>
      </c>
      <c r="CO96" t="e">
        <f>AND('PROG FORMACIÓN TITULADA'!Q630,"AAAAAB+/7Vw=")</f>
        <v>#VALUE!</v>
      </c>
      <c r="CP96" t="e">
        <f>AND('PROG FORMACIÓN TITULADA'!R630,"AAAAAB+/7V0=")</f>
        <v>#VALUE!</v>
      </c>
      <c r="CQ96" t="e">
        <f>AND('PROG FORMACIÓN TITULADA'!S630,"AAAAAB+/7V4=")</f>
        <v>#VALUE!</v>
      </c>
      <c r="CR96" t="e">
        <f>AND('PROG FORMACIÓN TITULADA'!T630,"AAAAAB+/7V8=")</f>
        <v>#VALUE!</v>
      </c>
      <c r="CS96" t="e">
        <f>AND('PROG FORMACIÓN TITULADA'!U630,"AAAAAB+/7WA=")</f>
        <v>#VALUE!</v>
      </c>
      <c r="CT96" t="e">
        <f>AND('PROG FORMACIÓN TITULADA'!V630,"AAAAAB+/7WE=")</f>
        <v>#VALUE!</v>
      </c>
      <c r="CU96" t="e">
        <f>AND('PROG FORMACIÓN TITULADA'!W630,"AAAAAB+/7WI=")</f>
        <v>#VALUE!</v>
      </c>
      <c r="CV96" t="e">
        <f>AND('PROG FORMACIÓN TITULADA'!X630,"AAAAAB+/7WM=")</f>
        <v>#VALUE!</v>
      </c>
      <c r="CW96" t="e">
        <f>AND('PROG FORMACIÓN TITULADA'!Y630,"AAAAAB+/7WQ=")</f>
        <v>#VALUE!</v>
      </c>
      <c r="CX96" t="e">
        <f>AND('PROG FORMACIÓN TITULADA'!Z630,"AAAAAB+/7WU=")</f>
        <v>#VALUE!</v>
      </c>
      <c r="CY96">
        <f>IF('PROG FORMACIÓN TITULADA'!631:631,"AAAAAB+/7WY=",0)</f>
        <v>0</v>
      </c>
      <c r="CZ96" t="e">
        <f>AND('PROG FORMACIÓN TITULADA'!A631,"AAAAAB+/7Wc=")</f>
        <v>#VALUE!</v>
      </c>
      <c r="DA96" t="e">
        <f>AND('PROG FORMACIÓN TITULADA'!B631,"AAAAAB+/7Wg=")</f>
        <v>#VALUE!</v>
      </c>
      <c r="DB96" t="e">
        <f>AND('PROG FORMACIÓN TITULADA'!C631,"AAAAAB+/7Wk=")</f>
        <v>#VALUE!</v>
      </c>
      <c r="DC96" t="e">
        <f>AND('PROG FORMACIÓN TITULADA'!D631,"AAAAAB+/7Wo=")</f>
        <v>#VALUE!</v>
      </c>
      <c r="DD96" t="e">
        <f>AND('PROG FORMACIÓN TITULADA'!E631,"AAAAAB+/7Ws=")</f>
        <v>#VALUE!</v>
      </c>
      <c r="DE96" t="e">
        <f>AND('PROG FORMACIÓN TITULADA'!F631,"AAAAAB+/7Ww=")</f>
        <v>#VALUE!</v>
      </c>
      <c r="DF96" t="e">
        <f>AND('PROG FORMACIÓN TITULADA'!G631,"AAAAAB+/7W0=")</f>
        <v>#VALUE!</v>
      </c>
      <c r="DG96" t="e">
        <f>AND('PROG FORMACIÓN TITULADA'!H631,"AAAAAB+/7W4=")</f>
        <v>#VALUE!</v>
      </c>
      <c r="DH96" t="e">
        <f>AND('PROG FORMACIÓN TITULADA'!I631,"AAAAAB+/7W8=")</f>
        <v>#VALUE!</v>
      </c>
      <c r="DI96" t="e">
        <f>AND('PROG FORMACIÓN TITULADA'!J631,"AAAAAB+/7XA=")</f>
        <v>#VALUE!</v>
      </c>
      <c r="DJ96" t="e">
        <f>AND('PROG FORMACIÓN TITULADA'!K631,"AAAAAB+/7XE=")</f>
        <v>#VALUE!</v>
      </c>
      <c r="DK96" t="e">
        <f>AND('PROG FORMACIÓN TITULADA'!L631,"AAAAAB+/7XI=")</f>
        <v>#VALUE!</v>
      </c>
      <c r="DL96" t="e">
        <f>AND('PROG FORMACIÓN TITULADA'!M631,"AAAAAB+/7XM=")</f>
        <v>#VALUE!</v>
      </c>
      <c r="DM96" t="e">
        <f>AND('PROG FORMACIÓN TITULADA'!N631,"AAAAAB+/7XQ=")</f>
        <v>#VALUE!</v>
      </c>
      <c r="DN96" t="e">
        <f>AND('PROG FORMACIÓN TITULADA'!O631,"AAAAAB+/7XU=")</f>
        <v>#VALUE!</v>
      </c>
      <c r="DO96" t="e">
        <f>AND('PROG FORMACIÓN TITULADA'!P631,"AAAAAB+/7XY=")</f>
        <v>#VALUE!</v>
      </c>
      <c r="DP96" t="e">
        <f>AND('PROG FORMACIÓN TITULADA'!Q631,"AAAAAB+/7Xc=")</f>
        <v>#VALUE!</v>
      </c>
      <c r="DQ96" t="e">
        <f>AND('PROG FORMACIÓN TITULADA'!R631,"AAAAAB+/7Xg=")</f>
        <v>#VALUE!</v>
      </c>
      <c r="DR96" t="e">
        <f>AND('PROG FORMACIÓN TITULADA'!S631,"AAAAAB+/7Xk=")</f>
        <v>#VALUE!</v>
      </c>
      <c r="DS96" t="e">
        <f>AND('PROG FORMACIÓN TITULADA'!T631,"AAAAAB+/7Xo=")</f>
        <v>#VALUE!</v>
      </c>
      <c r="DT96" t="e">
        <f>AND('PROG FORMACIÓN TITULADA'!U631,"AAAAAB+/7Xs=")</f>
        <v>#VALUE!</v>
      </c>
      <c r="DU96" t="e">
        <f>AND('PROG FORMACIÓN TITULADA'!V631,"AAAAAB+/7Xw=")</f>
        <v>#VALUE!</v>
      </c>
      <c r="DV96" t="e">
        <f>AND('PROG FORMACIÓN TITULADA'!W631,"AAAAAB+/7X0=")</f>
        <v>#VALUE!</v>
      </c>
      <c r="DW96" t="e">
        <f>AND('PROG FORMACIÓN TITULADA'!X631,"AAAAAB+/7X4=")</f>
        <v>#VALUE!</v>
      </c>
      <c r="DX96" t="e">
        <f>AND('PROG FORMACIÓN TITULADA'!Y631,"AAAAAB+/7X8=")</f>
        <v>#VALUE!</v>
      </c>
      <c r="DY96" t="e">
        <f>AND('PROG FORMACIÓN TITULADA'!Z631,"AAAAAB+/7YA=")</f>
        <v>#VALUE!</v>
      </c>
      <c r="DZ96">
        <f>IF('PROG FORMACIÓN TITULADA'!632:632,"AAAAAB+/7YE=",0)</f>
        <v>0</v>
      </c>
      <c r="EA96" t="e">
        <f>AND('PROG FORMACIÓN TITULADA'!A632,"AAAAAB+/7YI=")</f>
        <v>#VALUE!</v>
      </c>
      <c r="EB96" t="e">
        <f>AND('PROG FORMACIÓN TITULADA'!B632,"AAAAAB+/7YM=")</f>
        <v>#VALUE!</v>
      </c>
      <c r="EC96" t="e">
        <f>AND('PROG FORMACIÓN TITULADA'!C632,"AAAAAB+/7YQ=")</f>
        <v>#VALUE!</v>
      </c>
      <c r="ED96" t="e">
        <f>AND('PROG FORMACIÓN TITULADA'!D632,"AAAAAB+/7YU=")</f>
        <v>#VALUE!</v>
      </c>
      <c r="EE96" t="e">
        <f>AND('PROG FORMACIÓN TITULADA'!E632,"AAAAAB+/7YY=")</f>
        <v>#VALUE!</v>
      </c>
      <c r="EF96" t="e">
        <f>AND('PROG FORMACIÓN TITULADA'!F632,"AAAAAB+/7Yc=")</f>
        <v>#VALUE!</v>
      </c>
      <c r="EG96" t="e">
        <f>AND('PROG FORMACIÓN TITULADA'!G632,"AAAAAB+/7Yg=")</f>
        <v>#VALUE!</v>
      </c>
      <c r="EH96" t="e">
        <f>AND('PROG FORMACIÓN TITULADA'!H632,"AAAAAB+/7Yk=")</f>
        <v>#VALUE!</v>
      </c>
      <c r="EI96" t="e">
        <f>AND('PROG FORMACIÓN TITULADA'!I632,"AAAAAB+/7Yo=")</f>
        <v>#VALUE!</v>
      </c>
      <c r="EJ96" t="e">
        <f>AND('PROG FORMACIÓN TITULADA'!J632,"AAAAAB+/7Ys=")</f>
        <v>#VALUE!</v>
      </c>
      <c r="EK96" t="e">
        <f>AND('PROG FORMACIÓN TITULADA'!K632,"AAAAAB+/7Yw=")</f>
        <v>#VALUE!</v>
      </c>
      <c r="EL96" t="e">
        <f>AND('PROG FORMACIÓN TITULADA'!L632,"AAAAAB+/7Y0=")</f>
        <v>#VALUE!</v>
      </c>
      <c r="EM96" t="e">
        <f>AND('PROG FORMACIÓN TITULADA'!M632,"AAAAAB+/7Y4=")</f>
        <v>#VALUE!</v>
      </c>
      <c r="EN96" t="e">
        <f>AND('PROG FORMACIÓN TITULADA'!N632,"AAAAAB+/7Y8=")</f>
        <v>#VALUE!</v>
      </c>
      <c r="EO96" t="e">
        <f>AND('PROG FORMACIÓN TITULADA'!O632,"AAAAAB+/7ZA=")</f>
        <v>#VALUE!</v>
      </c>
      <c r="EP96" t="e">
        <f>AND('PROG FORMACIÓN TITULADA'!P632,"AAAAAB+/7ZE=")</f>
        <v>#VALUE!</v>
      </c>
      <c r="EQ96" t="e">
        <f>AND('PROG FORMACIÓN TITULADA'!Q632,"AAAAAB+/7ZI=")</f>
        <v>#VALUE!</v>
      </c>
      <c r="ER96" t="e">
        <f>AND('PROG FORMACIÓN TITULADA'!R632,"AAAAAB+/7ZM=")</f>
        <v>#VALUE!</v>
      </c>
      <c r="ES96" t="e">
        <f>AND('PROG FORMACIÓN TITULADA'!S632,"AAAAAB+/7ZQ=")</f>
        <v>#VALUE!</v>
      </c>
      <c r="ET96" t="e">
        <f>AND('PROG FORMACIÓN TITULADA'!T632,"AAAAAB+/7ZU=")</f>
        <v>#VALUE!</v>
      </c>
      <c r="EU96" t="e">
        <f>AND('PROG FORMACIÓN TITULADA'!U632,"AAAAAB+/7ZY=")</f>
        <v>#VALUE!</v>
      </c>
      <c r="EV96" t="e">
        <f>AND('PROG FORMACIÓN TITULADA'!V632,"AAAAAB+/7Zc=")</f>
        <v>#VALUE!</v>
      </c>
      <c r="EW96" t="e">
        <f>AND('PROG FORMACIÓN TITULADA'!W632,"AAAAAB+/7Zg=")</f>
        <v>#VALUE!</v>
      </c>
      <c r="EX96" t="e">
        <f>AND('PROG FORMACIÓN TITULADA'!X632,"AAAAAB+/7Zk=")</f>
        <v>#VALUE!</v>
      </c>
      <c r="EY96" t="e">
        <f>AND('PROG FORMACIÓN TITULADA'!Y632,"AAAAAB+/7Zo=")</f>
        <v>#VALUE!</v>
      </c>
      <c r="EZ96" t="e">
        <f>AND('PROG FORMACIÓN TITULADA'!Z632,"AAAAAB+/7Zs=")</f>
        <v>#VALUE!</v>
      </c>
      <c r="FA96">
        <f>IF('PROG FORMACIÓN TITULADA'!633:633,"AAAAAB+/7Zw=",0)</f>
        <v>0</v>
      </c>
      <c r="FB96" t="e">
        <f>AND('PROG FORMACIÓN TITULADA'!A633,"AAAAAB+/7Z0=")</f>
        <v>#VALUE!</v>
      </c>
      <c r="FC96" t="e">
        <f>AND('PROG FORMACIÓN TITULADA'!B633,"AAAAAB+/7Z4=")</f>
        <v>#VALUE!</v>
      </c>
      <c r="FD96" t="e">
        <f>AND('PROG FORMACIÓN TITULADA'!C633,"AAAAAB+/7Z8=")</f>
        <v>#VALUE!</v>
      </c>
      <c r="FE96" t="e">
        <f>AND('PROG FORMACIÓN TITULADA'!D633,"AAAAAB+/7aA=")</f>
        <v>#VALUE!</v>
      </c>
      <c r="FF96" t="e">
        <f>AND('PROG FORMACIÓN TITULADA'!E633,"AAAAAB+/7aE=")</f>
        <v>#VALUE!</v>
      </c>
      <c r="FG96" t="e">
        <f>AND('PROG FORMACIÓN TITULADA'!F633,"AAAAAB+/7aI=")</f>
        <v>#VALUE!</v>
      </c>
      <c r="FH96" t="e">
        <f>AND('PROG FORMACIÓN TITULADA'!G633,"AAAAAB+/7aM=")</f>
        <v>#VALUE!</v>
      </c>
      <c r="FI96" t="e">
        <f>AND('PROG FORMACIÓN TITULADA'!H633,"AAAAAB+/7aQ=")</f>
        <v>#VALUE!</v>
      </c>
      <c r="FJ96" t="e">
        <f>AND('PROG FORMACIÓN TITULADA'!I633,"AAAAAB+/7aU=")</f>
        <v>#VALUE!</v>
      </c>
      <c r="FK96" t="e">
        <f>AND('PROG FORMACIÓN TITULADA'!J633,"AAAAAB+/7aY=")</f>
        <v>#VALUE!</v>
      </c>
      <c r="FL96" t="e">
        <f>AND('PROG FORMACIÓN TITULADA'!K633,"AAAAAB+/7ac=")</f>
        <v>#VALUE!</v>
      </c>
      <c r="FM96" t="e">
        <f>AND('PROG FORMACIÓN TITULADA'!L633,"AAAAAB+/7ag=")</f>
        <v>#VALUE!</v>
      </c>
      <c r="FN96" t="e">
        <f>AND('PROG FORMACIÓN TITULADA'!M633,"AAAAAB+/7ak=")</f>
        <v>#VALUE!</v>
      </c>
      <c r="FO96" t="e">
        <f>AND('PROG FORMACIÓN TITULADA'!N633,"AAAAAB+/7ao=")</f>
        <v>#VALUE!</v>
      </c>
      <c r="FP96" t="e">
        <f>AND('PROG FORMACIÓN TITULADA'!O633,"AAAAAB+/7as=")</f>
        <v>#VALUE!</v>
      </c>
      <c r="FQ96" t="e">
        <f>AND('PROG FORMACIÓN TITULADA'!P633,"AAAAAB+/7aw=")</f>
        <v>#VALUE!</v>
      </c>
      <c r="FR96" t="e">
        <f>AND('PROG FORMACIÓN TITULADA'!Q633,"AAAAAB+/7a0=")</f>
        <v>#VALUE!</v>
      </c>
      <c r="FS96" t="e">
        <f>AND('PROG FORMACIÓN TITULADA'!R633,"AAAAAB+/7a4=")</f>
        <v>#VALUE!</v>
      </c>
      <c r="FT96" t="e">
        <f>AND('PROG FORMACIÓN TITULADA'!S633,"AAAAAB+/7a8=")</f>
        <v>#VALUE!</v>
      </c>
      <c r="FU96" t="e">
        <f>AND('PROG FORMACIÓN TITULADA'!T633,"AAAAAB+/7bA=")</f>
        <v>#VALUE!</v>
      </c>
      <c r="FV96" t="e">
        <f>AND('PROG FORMACIÓN TITULADA'!U633,"AAAAAB+/7bE=")</f>
        <v>#VALUE!</v>
      </c>
      <c r="FW96" t="e">
        <f>AND('PROG FORMACIÓN TITULADA'!V633,"AAAAAB+/7bI=")</f>
        <v>#VALUE!</v>
      </c>
      <c r="FX96" t="e">
        <f>AND('PROG FORMACIÓN TITULADA'!W633,"AAAAAB+/7bM=")</f>
        <v>#VALUE!</v>
      </c>
      <c r="FY96" t="e">
        <f>AND('PROG FORMACIÓN TITULADA'!X633,"AAAAAB+/7bQ=")</f>
        <v>#VALUE!</v>
      </c>
      <c r="FZ96" t="e">
        <f>AND('PROG FORMACIÓN TITULADA'!Y633,"AAAAAB+/7bU=")</f>
        <v>#VALUE!</v>
      </c>
      <c r="GA96" t="e">
        <f>AND('PROG FORMACIÓN TITULADA'!Z633,"AAAAAB+/7bY=")</f>
        <v>#VALUE!</v>
      </c>
      <c r="GB96">
        <f>IF('PROG FORMACIÓN TITULADA'!634:634,"AAAAAB+/7bc=",0)</f>
        <v>0</v>
      </c>
      <c r="GC96" t="e">
        <f>AND('PROG FORMACIÓN TITULADA'!A634,"AAAAAB+/7bg=")</f>
        <v>#VALUE!</v>
      </c>
      <c r="GD96" t="e">
        <f>AND('PROG FORMACIÓN TITULADA'!B634,"AAAAAB+/7bk=")</f>
        <v>#VALUE!</v>
      </c>
      <c r="GE96" t="e">
        <f>AND('PROG FORMACIÓN TITULADA'!C634,"AAAAAB+/7bo=")</f>
        <v>#VALUE!</v>
      </c>
      <c r="GF96" t="e">
        <f>AND('PROG FORMACIÓN TITULADA'!D634,"AAAAAB+/7bs=")</f>
        <v>#VALUE!</v>
      </c>
      <c r="GG96" t="e">
        <f>AND('PROG FORMACIÓN TITULADA'!E634,"AAAAAB+/7bw=")</f>
        <v>#VALUE!</v>
      </c>
      <c r="GH96" t="e">
        <f>AND('PROG FORMACIÓN TITULADA'!F634,"AAAAAB+/7b0=")</f>
        <v>#VALUE!</v>
      </c>
      <c r="GI96" t="e">
        <f>AND('PROG FORMACIÓN TITULADA'!G634,"AAAAAB+/7b4=")</f>
        <v>#VALUE!</v>
      </c>
      <c r="GJ96" t="e">
        <f>AND('PROG FORMACIÓN TITULADA'!H634,"AAAAAB+/7b8=")</f>
        <v>#VALUE!</v>
      </c>
      <c r="GK96" t="e">
        <f>AND('PROG FORMACIÓN TITULADA'!I634,"AAAAAB+/7cA=")</f>
        <v>#VALUE!</v>
      </c>
      <c r="GL96" t="e">
        <f>AND('PROG FORMACIÓN TITULADA'!J634,"AAAAAB+/7cE=")</f>
        <v>#VALUE!</v>
      </c>
      <c r="GM96" t="e">
        <f>AND('PROG FORMACIÓN TITULADA'!K634,"AAAAAB+/7cI=")</f>
        <v>#VALUE!</v>
      </c>
      <c r="GN96" t="e">
        <f>AND('PROG FORMACIÓN TITULADA'!L634,"AAAAAB+/7cM=")</f>
        <v>#VALUE!</v>
      </c>
      <c r="GO96" t="e">
        <f>AND('PROG FORMACIÓN TITULADA'!M634,"AAAAAB+/7cQ=")</f>
        <v>#VALUE!</v>
      </c>
      <c r="GP96" t="e">
        <f>AND('PROG FORMACIÓN TITULADA'!N634,"AAAAAB+/7cU=")</f>
        <v>#VALUE!</v>
      </c>
      <c r="GQ96" t="e">
        <f>AND('PROG FORMACIÓN TITULADA'!O634,"AAAAAB+/7cY=")</f>
        <v>#VALUE!</v>
      </c>
      <c r="GR96" t="e">
        <f>AND('PROG FORMACIÓN TITULADA'!P634,"AAAAAB+/7cc=")</f>
        <v>#VALUE!</v>
      </c>
      <c r="GS96" t="e">
        <f>AND('PROG FORMACIÓN TITULADA'!Q634,"AAAAAB+/7cg=")</f>
        <v>#VALUE!</v>
      </c>
      <c r="GT96" t="e">
        <f>AND('PROG FORMACIÓN TITULADA'!R634,"AAAAAB+/7ck=")</f>
        <v>#VALUE!</v>
      </c>
      <c r="GU96" t="e">
        <f>AND('PROG FORMACIÓN TITULADA'!S634,"AAAAAB+/7co=")</f>
        <v>#VALUE!</v>
      </c>
      <c r="GV96" t="e">
        <f>AND('PROG FORMACIÓN TITULADA'!T634,"AAAAAB+/7cs=")</f>
        <v>#VALUE!</v>
      </c>
      <c r="GW96" t="e">
        <f>AND('PROG FORMACIÓN TITULADA'!U634,"AAAAAB+/7cw=")</f>
        <v>#VALUE!</v>
      </c>
      <c r="GX96" t="e">
        <f>AND('PROG FORMACIÓN TITULADA'!V634,"AAAAAB+/7c0=")</f>
        <v>#VALUE!</v>
      </c>
      <c r="GY96" t="e">
        <f>AND('PROG FORMACIÓN TITULADA'!W634,"AAAAAB+/7c4=")</f>
        <v>#VALUE!</v>
      </c>
      <c r="GZ96" t="e">
        <f>AND('PROG FORMACIÓN TITULADA'!X634,"AAAAAB+/7c8=")</f>
        <v>#VALUE!</v>
      </c>
      <c r="HA96" t="e">
        <f>AND('PROG FORMACIÓN TITULADA'!Y634,"AAAAAB+/7dA=")</f>
        <v>#VALUE!</v>
      </c>
      <c r="HB96" t="e">
        <f>AND('PROG FORMACIÓN TITULADA'!Z634,"AAAAAB+/7dE=")</f>
        <v>#VALUE!</v>
      </c>
      <c r="HC96">
        <f>IF('PROG FORMACIÓN TITULADA'!635:635,"AAAAAB+/7dI=",0)</f>
        <v>0</v>
      </c>
      <c r="HD96" t="e">
        <f>AND('PROG FORMACIÓN TITULADA'!A635,"AAAAAB+/7dM=")</f>
        <v>#VALUE!</v>
      </c>
      <c r="HE96" t="e">
        <f>AND('PROG FORMACIÓN TITULADA'!B635,"AAAAAB+/7dQ=")</f>
        <v>#VALUE!</v>
      </c>
      <c r="HF96" t="e">
        <f>AND('PROG FORMACIÓN TITULADA'!C635,"AAAAAB+/7dU=")</f>
        <v>#VALUE!</v>
      </c>
      <c r="HG96" t="e">
        <f>AND('PROG FORMACIÓN TITULADA'!D635,"AAAAAB+/7dY=")</f>
        <v>#VALUE!</v>
      </c>
      <c r="HH96" t="e">
        <f>AND('PROG FORMACIÓN TITULADA'!E635,"AAAAAB+/7dc=")</f>
        <v>#VALUE!</v>
      </c>
      <c r="HI96" t="e">
        <f>AND('PROG FORMACIÓN TITULADA'!F635,"AAAAAB+/7dg=")</f>
        <v>#VALUE!</v>
      </c>
      <c r="HJ96" t="e">
        <f>AND('PROG FORMACIÓN TITULADA'!G635,"AAAAAB+/7dk=")</f>
        <v>#VALUE!</v>
      </c>
      <c r="HK96" t="e">
        <f>AND('PROG FORMACIÓN TITULADA'!H635,"AAAAAB+/7do=")</f>
        <v>#VALUE!</v>
      </c>
      <c r="HL96" t="e">
        <f>AND('PROG FORMACIÓN TITULADA'!I635,"AAAAAB+/7ds=")</f>
        <v>#VALUE!</v>
      </c>
      <c r="HM96" t="e">
        <f>AND('PROG FORMACIÓN TITULADA'!J635,"AAAAAB+/7dw=")</f>
        <v>#VALUE!</v>
      </c>
      <c r="HN96" t="e">
        <f>AND('PROG FORMACIÓN TITULADA'!K635,"AAAAAB+/7d0=")</f>
        <v>#VALUE!</v>
      </c>
      <c r="HO96" t="e">
        <f>AND('PROG FORMACIÓN TITULADA'!L635,"AAAAAB+/7d4=")</f>
        <v>#VALUE!</v>
      </c>
      <c r="HP96" t="e">
        <f>AND('PROG FORMACIÓN TITULADA'!M635,"AAAAAB+/7d8=")</f>
        <v>#VALUE!</v>
      </c>
      <c r="HQ96" t="e">
        <f>AND('PROG FORMACIÓN TITULADA'!N635,"AAAAAB+/7eA=")</f>
        <v>#VALUE!</v>
      </c>
      <c r="HR96" t="e">
        <f>AND('PROG FORMACIÓN TITULADA'!O635,"AAAAAB+/7eE=")</f>
        <v>#VALUE!</v>
      </c>
      <c r="HS96" t="e">
        <f>AND('PROG FORMACIÓN TITULADA'!P635,"AAAAAB+/7eI=")</f>
        <v>#VALUE!</v>
      </c>
      <c r="HT96" t="e">
        <f>AND('PROG FORMACIÓN TITULADA'!Q635,"AAAAAB+/7eM=")</f>
        <v>#VALUE!</v>
      </c>
      <c r="HU96" t="e">
        <f>AND('PROG FORMACIÓN TITULADA'!R635,"AAAAAB+/7eQ=")</f>
        <v>#VALUE!</v>
      </c>
      <c r="HV96" t="e">
        <f>AND('PROG FORMACIÓN TITULADA'!S635,"AAAAAB+/7eU=")</f>
        <v>#VALUE!</v>
      </c>
      <c r="HW96" t="e">
        <f>AND('PROG FORMACIÓN TITULADA'!T635,"AAAAAB+/7eY=")</f>
        <v>#VALUE!</v>
      </c>
      <c r="HX96" t="e">
        <f>AND('PROG FORMACIÓN TITULADA'!U635,"AAAAAB+/7ec=")</f>
        <v>#VALUE!</v>
      </c>
      <c r="HY96" t="e">
        <f>AND('PROG FORMACIÓN TITULADA'!V635,"AAAAAB+/7eg=")</f>
        <v>#VALUE!</v>
      </c>
      <c r="HZ96" t="e">
        <f>AND('PROG FORMACIÓN TITULADA'!W635,"AAAAAB+/7ek=")</f>
        <v>#VALUE!</v>
      </c>
      <c r="IA96" t="e">
        <f>AND('PROG FORMACIÓN TITULADA'!X635,"AAAAAB+/7eo=")</f>
        <v>#VALUE!</v>
      </c>
      <c r="IB96" t="e">
        <f>AND('PROG FORMACIÓN TITULADA'!Y635,"AAAAAB+/7es=")</f>
        <v>#VALUE!</v>
      </c>
      <c r="IC96" t="e">
        <f>AND('PROG FORMACIÓN TITULADA'!Z635,"AAAAAB+/7ew=")</f>
        <v>#VALUE!</v>
      </c>
      <c r="ID96">
        <f>IF('PROG FORMACIÓN TITULADA'!636:636,"AAAAAB+/7e0=",0)</f>
        <v>0</v>
      </c>
      <c r="IE96" t="e">
        <f>AND('PROG FORMACIÓN TITULADA'!A636,"AAAAAB+/7e4=")</f>
        <v>#VALUE!</v>
      </c>
      <c r="IF96" t="e">
        <f>AND('PROG FORMACIÓN TITULADA'!B636,"AAAAAB+/7e8=")</f>
        <v>#VALUE!</v>
      </c>
      <c r="IG96" t="e">
        <f>AND('PROG FORMACIÓN TITULADA'!C636,"AAAAAB+/7fA=")</f>
        <v>#VALUE!</v>
      </c>
      <c r="IH96" t="e">
        <f>AND('PROG FORMACIÓN TITULADA'!D636,"AAAAAB+/7fE=")</f>
        <v>#VALUE!</v>
      </c>
      <c r="II96" t="e">
        <f>AND('PROG FORMACIÓN TITULADA'!E636,"AAAAAB+/7fI=")</f>
        <v>#VALUE!</v>
      </c>
      <c r="IJ96" t="e">
        <f>AND('PROG FORMACIÓN TITULADA'!F636,"AAAAAB+/7fM=")</f>
        <v>#VALUE!</v>
      </c>
      <c r="IK96" t="e">
        <f>AND('PROG FORMACIÓN TITULADA'!G636,"AAAAAB+/7fQ=")</f>
        <v>#VALUE!</v>
      </c>
      <c r="IL96" t="e">
        <f>AND('PROG FORMACIÓN TITULADA'!H636,"AAAAAB+/7fU=")</f>
        <v>#VALUE!</v>
      </c>
      <c r="IM96" t="e">
        <f>AND('PROG FORMACIÓN TITULADA'!I636,"AAAAAB+/7fY=")</f>
        <v>#VALUE!</v>
      </c>
      <c r="IN96" t="e">
        <f>AND('PROG FORMACIÓN TITULADA'!J636,"AAAAAB+/7fc=")</f>
        <v>#VALUE!</v>
      </c>
      <c r="IO96" t="e">
        <f>AND('PROG FORMACIÓN TITULADA'!K636,"AAAAAB+/7fg=")</f>
        <v>#VALUE!</v>
      </c>
      <c r="IP96" t="e">
        <f>AND('PROG FORMACIÓN TITULADA'!L636,"AAAAAB+/7fk=")</f>
        <v>#VALUE!</v>
      </c>
      <c r="IQ96" t="e">
        <f>AND('PROG FORMACIÓN TITULADA'!M636,"AAAAAB+/7fo=")</f>
        <v>#VALUE!</v>
      </c>
      <c r="IR96" t="e">
        <f>AND('PROG FORMACIÓN TITULADA'!N636,"AAAAAB+/7fs=")</f>
        <v>#VALUE!</v>
      </c>
      <c r="IS96" t="e">
        <f>AND('PROG FORMACIÓN TITULADA'!O636,"AAAAAB+/7fw=")</f>
        <v>#VALUE!</v>
      </c>
      <c r="IT96" t="e">
        <f>AND('PROG FORMACIÓN TITULADA'!P636,"AAAAAB+/7f0=")</f>
        <v>#VALUE!</v>
      </c>
      <c r="IU96" t="e">
        <f>AND('PROG FORMACIÓN TITULADA'!Q636,"AAAAAB+/7f4=")</f>
        <v>#VALUE!</v>
      </c>
      <c r="IV96" t="e">
        <f>AND('PROG FORMACIÓN TITULADA'!R636,"AAAAAB+/7f8=")</f>
        <v>#VALUE!</v>
      </c>
    </row>
    <row r="97" spans="1:256" x14ac:dyDescent="0.2">
      <c r="A97" t="e">
        <f>AND('PROG FORMACIÓN TITULADA'!S636,"AAAAAEvv7gA=")</f>
        <v>#VALUE!</v>
      </c>
      <c r="B97" t="e">
        <f>AND('PROG FORMACIÓN TITULADA'!T636,"AAAAAEvv7gE=")</f>
        <v>#VALUE!</v>
      </c>
      <c r="C97" t="e">
        <f>AND('PROG FORMACIÓN TITULADA'!U636,"AAAAAEvv7gI=")</f>
        <v>#VALUE!</v>
      </c>
      <c r="D97" t="e">
        <f>AND('PROG FORMACIÓN TITULADA'!V636,"AAAAAEvv7gM=")</f>
        <v>#VALUE!</v>
      </c>
      <c r="E97" t="e">
        <f>AND('PROG FORMACIÓN TITULADA'!W636,"AAAAAEvv7gQ=")</f>
        <v>#VALUE!</v>
      </c>
      <c r="F97" t="e">
        <f>AND('PROG FORMACIÓN TITULADA'!X636,"AAAAAEvv7gU=")</f>
        <v>#VALUE!</v>
      </c>
      <c r="G97" t="e">
        <f>AND('PROG FORMACIÓN TITULADA'!Y636,"AAAAAEvv7gY=")</f>
        <v>#VALUE!</v>
      </c>
      <c r="H97" t="e">
        <f>AND('PROG FORMACIÓN TITULADA'!Z636,"AAAAAEvv7gc=")</f>
        <v>#VALUE!</v>
      </c>
      <c r="I97">
        <f>IF('PROG FORMACIÓN TITULADA'!637:637,"AAAAAEvv7gg=",0)</f>
        <v>0</v>
      </c>
      <c r="J97" t="e">
        <f>AND('PROG FORMACIÓN TITULADA'!A637,"AAAAAEvv7gk=")</f>
        <v>#VALUE!</v>
      </c>
      <c r="K97" t="e">
        <f>AND('PROG FORMACIÓN TITULADA'!B637,"AAAAAEvv7go=")</f>
        <v>#VALUE!</v>
      </c>
      <c r="L97" t="e">
        <f>AND('PROG FORMACIÓN TITULADA'!C637,"AAAAAEvv7gs=")</f>
        <v>#VALUE!</v>
      </c>
      <c r="M97" t="e">
        <f>AND('PROG FORMACIÓN TITULADA'!D637,"AAAAAEvv7gw=")</f>
        <v>#VALUE!</v>
      </c>
      <c r="N97" t="e">
        <f>AND('PROG FORMACIÓN TITULADA'!E637,"AAAAAEvv7g0=")</f>
        <v>#VALUE!</v>
      </c>
      <c r="O97" t="e">
        <f>AND('PROG FORMACIÓN TITULADA'!F637,"AAAAAEvv7g4=")</f>
        <v>#VALUE!</v>
      </c>
      <c r="P97" t="e">
        <f>AND('PROG FORMACIÓN TITULADA'!G637,"AAAAAEvv7g8=")</f>
        <v>#VALUE!</v>
      </c>
      <c r="Q97" t="e">
        <f>AND('PROG FORMACIÓN TITULADA'!H637,"AAAAAEvv7hA=")</f>
        <v>#VALUE!</v>
      </c>
      <c r="R97" t="e">
        <f>AND('PROG FORMACIÓN TITULADA'!I637,"AAAAAEvv7hE=")</f>
        <v>#VALUE!</v>
      </c>
      <c r="S97" t="e">
        <f>AND('PROG FORMACIÓN TITULADA'!J637,"AAAAAEvv7hI=")</f>
        <v>#VALUE!</v>
      </c>
      <c r="T97" t="e">
        <f>AND('PROG FORMACIÓN TITULADA'!K637,"AAAAAEvv7hM=")</f>
        <v>#VALUE!</v>
      </c>
      <c r="U97" t="e">
        <f>AND('PROG FORMACIÓN TITULADA'!L637,"AAAAAEvv7hQ=")</f>
        <v>#VALUE!</v>
      </c>
      <c r="V97" t="e">
        <f>AND('PROG FORMACIÓN TITULADA'!M637,"AAAAAEvv7hU=")</f>
        <v>#VALUE!</v>
      </c>
      <c r="W97" t="e">
        <f>AND('PROG FORMACIÓN TITULADA'!N637,"AAAAAEvv7hY=")</f>
        <v>#VALUE!</v>
      </c>
      <c r="X97" t="e">
        <f>AND('PROG FORMACIÓN TITULADA'!O637,"AAAAAEvv7hc=")</f>
        <v>#VALUE!</v>
      </c>
      <c r="Y97" t="e">
        <f>AND('PROG FORMACIÓN TITULADA'!P637,"AAAAAEvv7hg=")</f>
        <v>#VALUE!</v>
      </c>
      <c r="Z97" t="e">
        <f>AND('PROG FORMACIÓN TITULADA'!Q637,"AAAAAEvv7hk=")</f>
        <v>#VALUE!</v>
      </c>
      <c r="AA97" t="e">
        <f>AND('PROG FORMACIÓN TITULADA'!R637,"AAAAAEvv7ho=")</f>
        <v>#VALUE!</v>
      </c>
      <c r="AB97" t="e">
        <f>AND('PROG FORMACIÓN TITULADA'!S637,"AAAAAEvv7hs=")</f>
        <v>#VALUE!</v>
      </c>
      <c r="AC97" t="e">
        <f>AND('PROG FORMACIÓN TITULADA'!T637,"AAAAAEvv7hw=")</f>
        <v>#VALUE!</v>
      </c>
      <c r="AD97" t="e">
        <f>AND('PROG FORMACIÓN TITULADA'!U637,"AAAAAEvv7h0=")</f>
        <v>#VALUE!</v>
      </c>
      <c r="AE97" t="e">
        <f>AND('PROG FORMACIÓN TITULADA'!V637,"AAAAAEvv7h4=")</f>
        <v>#VALUE!</v>
      </c>
      <c r="AF97" t="e">
        <f>AND('PROG FORMACIÓN TITULADA'!W637,"AAAAAEvv7h8=")</f>
        <v>#VALUE!</v>
      </c>
      <c r="AG97" t="e">
        <f>AND('PROG FORMACIÓN TITULADA'!X637,"AAAAAEvv7iA=")</f>
        <v>#VALUE!</v>
      </c>
      <c r="AH97" t="e">
        <f>AND('PROG FORMACIÓN TITULADA'!Y637,"AAAAAEvv7iE=")</f>
        <v>#VALUE!</v>
      </c>
      <c r="AI97" t="e">
        <f>AND('PROG FORMACIÓN TITULADA'!Z637,"AAAAAEvv7iI=")</f>
        <v>#VALUE!</v>
      </c>
      <c r="AJ97">
        <f>IF('PROG FORMACIÓN TITULADA'!638:638,"AAAAAEvv7iM=",0)</f>
        <v>0</v>
      </c>
      <c r="AK97" t="e">
        <f>AND('PROG FORMACIÓN TITULADA'!A638,"AAAAAEvv7iQ=")</f>
        <v>#VALUE!</v>
      </c>
      <c r="AL97" t="e">
        <f>AND('PROG FORMACIÓN TITULADA'!B638,"AAAAAEvv7iU=")</f>
        <v>#VALUE!</v>
      </c>
      <c r="AM97" t="e">
        <f>AND('PROG FORMACIÓN TITULADA'!C638,"AAAAAEvv7iY=")</f>
        <v>#VALUE!</v>
      </c>
      <c r="AN97" t="e">
        <f>AND('PROG FORMACIÓN TITULADA'!D638,"AAAAAEvv7ic=")</f>
        <v>#VALUE!</v>
      </c>
      <c r="AO97" t="e">
        <f>AND('PROG FORMACIÓN TITULADA'!E638,"AAAAAEvv7ig=")</f>
        <v>#VALUE!</v>
      </c>
      <c r="AP97" t="e">
        <f>AND('PROG FORMACIÓN TITULADA'!F638,"AAAAAEvv7ik=")</f>
        <v>#VALUE!</v>
      </c>
      <c r="AQ97" t="e">
        <f>AND('PROG FORMACIÓN TITULADA'!G638,"AAAAAEvv7io=")</f>
        <v>#VALUE!</v>
      </c>
      <c r="AR97" t="e">
        <f>AND('PROG FORMACIÓN TITULADA'!H638,"AAAAAEvv7is=")</f>
        <v>#VALUE!</v>
      </c>
      <c r="AS97" t="e">
        <f>AND('PROG FORMACIÓN TITULADA'!I638,"AAAAAEvv7iw=")</f>
        <v>#VALUE!</v>
      </c>
      <c r="AT97" t="e">
        <f>AND('PROG FORMACIÓN TITULADA'!J638,"AAAAAEvv7i0=")</f>
        <v>#VALUE!</v>
      </c>
      <c r="AU97" t="e">
        <f>AND('PROG FORMACIÓN TITULADA'!K638,"AAAAAEvv7i4=")</f>
        <v>#VALUE!</v>
      </c>
      <c r="AV97" t="e">
        <f>AND('PROG FORMACIÓN TITULADA'!L638,"AAAAAEvv7i8=")</f>
        <v>#VALUE!</v>
      </c>
      <c r="AW97" t="e">
        <f>AND('PROG FORMACIÓN TITULADA'!M638,"AAAAAEvv7jA=")</f>
        <v>#VALUE!</v>
      </c>
      <c r="AX97" t="e">
        <f>AND('PROG FORMACIÓN TITULADA'!N638,"AAAAAEvv7jE=")</f>
        <v>#VALUE!</v>
      </c>
      <c r="AY97" t="e">
        <f>AND('PROG FORMACIÓN TITULADA'!O638,"AAAAAEvv7jI=")</f>
        <v>#VALUE!</v>
      </c>
      <c r="AZ97" t="e">
        <f>AND('PROG FORMACIÓN TITULADA'!P638,"AAAAAEvv7jM=")</f>
        <v>#VALUE!</v>
      </c>
      <c r="BA97" t="e">
        <f>AND('PROG FORMACIÓN TITULADA'!Q638,"AAAAAEvv7jQ=")</f>
        <v>#VALUE!</v>
      </c>
      <c r="BB97" t="e">
        <f>AND('PROG FORMACIÓN TITULADA'!R638,"AAAAAEvv7jU=")</f>
        <v>#VALUE!</v>
      </c>
      <c r="BC97" t="e">
        <f>AND('PROG FORMACIÓN TITULADA'!S638,"AAAAAEvv7jY=")</f>
        <v>#VALUE!</v>
      </c>
      <c r="BD97" t="e">
        <f>AND('PROG FORMACIÓN TITULADA'!T638,"AAAAAEvv7jc=")</f>
        <v>#VALUE!</v>
      </c>
      <c r="BE97" t="e">
        <f>AND('PROG FORMACIÓN TITULADA'!U638,"AAAAAEvv7jg=")</f>
        <v>#VALUE!</v>
      </c>
      <c r="BF97" t="e">
        <f>AND('PROG FORMACIÓN TITULADA'!V638,"AAAAAEvv7jk=")</f>
        <v>#VALUE!</v>
      </c>
      <c r="BG97" t="e">
        <f>AND('PROG FORMACIÓN TITULADA'!W638,"AAAAAEvv7jo=")</f>
        <v>#VALUE!</v>
      </c>
      <c r="BH97" t="e">
        <f>AND('PROG FORMACIÓN TITULADA'!X638,"AAAAAEvv7js=")</f>
        <v>#VALUE!</v>
      </c>
      <c r="BI97" t="e">
        <f>AND('PROG FORMACIÓN TITULADA'!Y638,"AAAAAEvv7jw=")</f>
        <v>#VALUE!</v>
      </c>
      <c r="BJ97" t="e">
        <f>AND('PROG FORMACIÓN TITULADA'!Z638,"AAAAAEvv7j0=")</f>
        <v>#VALUE!</v>
      </c>
      <c r="BK97">
        <f>IF('PROG FORMACIÓN TITULADA'!639:639,"AAAAAEvv7j4=",0)</f>
        <v>0</v>
      </c>
      <c r="BL97" t="e">
        <f>AND('PROG FORMACIÓN TITULADA'!A639,"AAAAAEvv7j8=")</f>
        <v>#VALUE!</v>
      </c>
      <c r="BM97" t="e">
        <f>AND('PROG FORMACIÓN TITULADA'!B639,"AAAAAEvv7kA=")</f>
        <v>#VALUE!</v>
      </c>
      <c r="BN97" t="e">
        <f>AND('PROG FORMACIÓN TITULADA'!C639,"AAAAAEvv7kE=")</f>
        <v>#VALUE!</v>
      </c>
      <c r="BO97" t="e">
        <f>AND('PROG FORMACIÓN TITULADA'!D639,"AAAAAEvv7kI=")</f>
        <v>#VALUE!</v>
      </c>
      <c r="BP97" t="e">
        <f>AND('PROG FORMACIÓN TITULADA'!E639,"AAAAAEvv7kM=")</f>
        <v>#VALUE!</v>
      </c>
      <c r="BQ97" t="e">
        <f>AND('PROG FORMACIÓN TITULADA'!F639,"AAAAAEvv7kQ=")</f>
        <v>#VALUE!</v>
      </c>
      <c r="BR97" t="e">
        <f>AND('PROG FORMACIÓN TITULADA'!G639,"AAAAAEvv7kU=")</f>
        <v>#VALUE!</v>
      </c>
      <c r="BS97" t="e">
        <f>AND('PROG FORMACIÓN TITULADA'!H639,"AAAAAEvv7kY=")</f>
        <v>#VALUE!</v>
      </c>
      <c r="BT97" t="e">
        <f>AND('PROG FORMACIÓN TITULADA'!I639,"AAAAAEvv7kc=")</f>
        <v>#VALUE!</v>
      </c>
      <c r="BU97" t="e">
        <f>AND('PROG FORMACIÓN TITULADA'!J639,"AAAAAEvv7kg=")</f>
        <v>#VALUE!</v>
      </c>
      <c r="BV97" t="e">
        <f>AND('PROG FORMACIÓN TITULADA'!K639,"AAAAAEvv7kk=")</f>
        <v>#VALUE!</v>
      </c>
      <c r="BW97" t="e">
        <f>AND('PROG FORMACIÓN TITULADA'!L639,"AAAAAEvv7ko=")</f>
        <v>#VALUE!</v>
      </c>
      <c r="BX97" t="e">
        <f>AND('PROG FORMACIÓN TITULADA'!M639,"AAAAAEvv7ks=")</f>
        <v>#VALUE!</v>
      </c>
      <c r="BY97" t="e">
        <f>AND('PROG FORMACIÓN TITULADA'!N639,"AAAAAEvv7kw=")</f>
        <v>#VALUE!</v>
      </c>
      <c r="BZ97" t="e">
        <f>AND('PROG FORMACIÓN TITULADA'!O639,"AAAAAEvv7k0=")</f>
        <v>#VALUE!</v>
      </c>
      <c r="CA97" t="e">
        <f>AND('PROG FORMACIÓN TITULADA'!P639,"AAAAAEvv7k4=")</f>
        <v>#VALUE!</v>
      </c>
      <c r="CB97" t="e">
        <f>AND('PROG FORMACIÓN TITULADA'!Q639,"AAAAAEvv7k8=")</f>
        <v>#VALUE!</v>
      </c>
      <c r="CC97" t="e">
        <f>AND('PROG FORMACIÓN TITULADA'!R639,"AAAAAEvv7lA=")</f>
        <v>#VALUE!</v>
      </c>
      <c r="CD97" t="e">
        <f>AND('PROG FORMACIÓN TITULADA'!S639,"AAAAAEvv7lE=")</f>
        <v>#VALUE!</v>
      </c>
      <c r="CE97" t="e">
        <f>AND('PROG FORMACIÓN TITULADA'!T639,"AAAAAEvv7lI=")</f>
        <v>#VALUE!</v>
      </c>
      <c r="CF97" t="e">
        <f>AND('PROG FORMACIÓN TITULADA'!U639,"AAAAAEvv7lM=")</f>
        <v>#VALUE!</v>
      </c>
      <c r="CG97" t="e">
        <f>AND('PROG FORMACIÓN TITULADA'!V639,"AAAAAEvv7lQ=")</f>
        <v>#VALUE!</v>
      </c>
      <c r="CH97" t="e">
        <f>AND('PROG FORMACIÓN TITULADA'!W639,"AAAAAEvv7lU=")</f>
        <v>#VALUE!</v>
      </c>
      <c r="CI97" t="e">
        <f>AND('PROG FORMACIÓN TITULADA'!X639,"AAAAAEvv7lY=")</f>
        <v>#VALUE!</v>
      </c>
      <c r="CJ97" t="e">
        <f>AND('PROG FORMACIÓN TITULADA'!Y639,"AAAAAEvv7lc=")</f>
        <v>#VALUE!</v>
      </c>
      <c r="CK97" t="e">
        <f>AND('PROG FORMACIÓN TITULADA'!Z639,"AAAAAEvv7lg=")</f>
        <v>#VALUE!</v>
      </c>
      <c r="CL97">
        <f>IF('PROG FORMACIÓN TITULADA'!640:640,"AAAAAEvv7lk=",0)</f>
        <v>0</v>
      </c>
      <c r="CM97" t="e">
        <f>AND('PROG FORMACIÓN TITULADA'!A640,"AAAAAEvv7lo=")</f>
        <v>#VALUE!</v>
      </c>
      <c r="CN97" t="e">
        <f>AND('PROG FORMACIÓN TITULADA'!B640,"AAAAAEvv7ls=")</f>
        <v>#VALUE!</v>
      </c>
      <c r="CO97" t="e">
        <f>AND('PROG FORMACIÓN TITULADA'!C640,"AAAAAEvv7lw=")</f>
        <v>#VALUE!</v>
      </c>
      <c r="CP97" t="e">
        <f>AND('PROG FORMACIÓN TITULADA'!D640,"AAAAAEvv7l0=")</f>
        <v>#VALUE!</v>
      </c>
      <c r="CQ97" t="e">
        <f>AND('PROG FORMACIÓN TITULADA'!E640,"AAAAAEvv7l4=")</f>
        <v>#VALUE!</v>
      </c>
      <c r="CR97" t="e">
        <f>AND('PROG FORMACIÓN TITULADA'!F640,"AAAAAEvv7l8=")</f>
        <v>#VALUE!</v>
      </c>
      <c r="CS97" t="e">
        <f>AND('PROG FORMACIÓN TITULADA'!G640,"AAAAAEvv7mA=")</f>
        <v>#VALUE!</v>
      </c>
      <c r="CT97" t="e">
        <f>AND('PROG FORMACIÓN TITULADA'!H640,"AAAAAEvv7mE=")</f>
        <v>#VALUE!</v>
      </c>
      <c r="CU97" t="e">
        <f>AND('PROG FORMACIÓN TITULADA'!I640,"AAAAAEvv7mI=")</f>
        <v>#VALUE!</v>
      </c>
      <c r="CV97" t="e">
        <f>AND('PROG FORMACIÓN TITULADA'!J640,"AAAAAEvv7mM=")</f>
        <v>#VALUE!</v>
      </c>
      <c r="CW97" t="e">
        <f>AND('PROG FORMACIÓN TITULADA'!K640,"AAAAAEvv7mQ=")</f>
        <v>#VALUE!</v>
      </c>
      <c r="CX97" t="e">
        <f>AND('PROG FORMACIÓN TITULADA'!L640,"AAAAAEvv7mU=")</f>
        <v>#VALUE!</v>
      </c>
      <c r="CY97" t="e">
        <f>AND('PROG FORMACIÓN TITULADA'!M640,"AAAAAEvv7mY=")</f>
        <v>#VALUE!</v>
      </c>
      <c r="CZ97" t="e">
        <f>AND('PROG FORMACIÓN TITULADA'!N640,"AAAAAEvv7mc=")</f>
        <v>#VALUE!</v>
      </c>
      <c r="DA97" t="e">
        <f>AND('PROG FORMACIÓN TITULADA'!O640,"AAAAAEvv7mg=")</f>
        <v>#VALUE!</v>
      </c>
      <c r="DB97" t="e">
        <f>AND('PROG FORMACIÓN TITULADA'!P640,"AAAAAEvv7mk=")</f>
        <v>#VALUE!</v>
      </c>
      <c r="DC97" t="e">
        <f>AND('PROG FORMACIÓN TITULADA'!Q640,"AAAAAEvv7mo=")</f>
        <v>#VALUE!</v>
      </c>
      <c r="DD97" t="e">
        <f>AND('PROG FORMACIÓN TITULADA'!R640,"AAAAAEvv7ms=")</f>
        <v>#VALUE!</v>
      </c>
      <c r="DE97" t="e">
        <f>AND('PROG FORMACIÓN TITULADA'!S640,"AAAAAEvv7mw=")</f>
        <v>#VALUE!</v>
      </c>
      <c r="DF97" t="e">
        <f>AND('PROG FORMACIÓN TITULADA'!T640,"AAAAAEvv7m0=")</f>
        <v>#VALUE!</v>
      </c>
      <c r="DG97" t="e">
        <f>AND('PROG FORMACIÓN TITULADA'!U640,"AAAAAEvv7m4=")</f>
        <v>#VALUE!</v>
      </c>
      <c r="DH97" t="e">
        <f>AND('PROG FORMACIÓN TITULADA'!V640,"AAAAAEvv7m8=")</f>
        <v>#VALUE!</v>
      </c>
      <c r="DI97" t="e">
        <f>AND('PROG FORMACIÓN TITULADA'!W640,"AAAAAEvv7nA=")</f>
        <v>#VALUE!</v>
      </c>
      <c r="DJ97" t="e">
        <f>AND('PROG FORMACIÓN TITULADA'!X640,"AAAAAEvv7nE=")</f>
        <v>#VALUE!</v>
      </c>
      <c r="DK97" t="e">
        <f>AND('PROG FORMACIÓN TITULADA'!Y640,"AAAAAEvv7nI=")</f>
        <v>#VALUE!</v>
      </c>
      <c r="DL97" t="e">
        <f>AND('PROG FORMACIÓN TITULADA'!Z640,"AAAAAEvv7nM=")</f>
        <v>#VALUE!</v>
      </c>
      <c r="DM97">
        <f>IF('PROG FORMACIÓN TITULADA'!641:641,"AAAAAEvv7nQ=",0)</f>
        <v>0</v>
      </c>
      <c r="DN97" t="e">
        <f>AND('PROG FORMACIÓN TITULADA'!A641,"AAAAAEvv7nU=")</f>
        <v>#VALUE!</v>
      </c>
      <c r="DO97" t="e">
        <f>AND('PROG FORMACIÓN TITULADA'!B641,"AAAAAEvv7nY=")</f>
        <v>#VALUE!</v>
      </c>
      <c r="DP97" t="e">
        <f>AND('PROG FORMACIÓN TITULADA'!C641,"AAAAAEvv7nc=")</f>
        <v>#VALUE!</v>
      </c>
      <c r="DQ97" t="e">
        <f>AND('PROG FORMACIÓN TITULADA'!D641,"AAAAAEvv7ng=")</f>
        <v>#VALUE!</v>
      </c>
      <c r="DR97" t="e">
        <f>AND('PROG FORMACIÓN TITULADA'!E641,"AAAAAEvv7nk=")</f>
        <v>#VALUE!</v>
      </c>
      <c r="DS97" t="e">
        <f>AND('PROG FORMACIÓN TITULADA'!F641,"AAAAAEvv7no=")</f>
        <v>#VALUE!</v>
      </c>
      <c r="DT97" t="e">
        <f>AND('PROG FORMACIÓN TITULADA'!G641,"AAAAAEvv7ns=")</f>
        <v>#VALUE!</v>
      </c>
      <c r="DU97" t="e">
        <f>AND('PROG FORMACIÓN TITULADA'!H641,"AAAAAEvv7nw=")</f>
        <v>#VALUE!</v>
      </c>
      <c r="DV97" t="e">
        <f>AND('PROG FORMACIÓN TITULADA'!I641,"AAAAAEvv7n0=")</f>
        <v>#VALUE!</v>
      </c>
      <c r="DW97" t="e">
        <f>AND('PROG FORMACIÓN TITULADA'!J641,"AAAAAEvv7n4=")</f>
        <v>#VALUE!</v>
      </c>
      <c r="DX97" t="e">
        <f>AND('PROG FORMACIÓN TITULADA'!K641,"AAAAAEvv7n8=")</f>
        <v>#VALUE!</v>
      </c>
      <c r="DY97" t="e">
        <f>AND('PROG FORMACIÓN TITULADA'!L641,"AAAAAEvv7oA=")</f>
        <v>#VALUE!</v>
      </c>
      <c r="DZ97" t="e">
        <f>AND('PROG FORMACIÓN TITULADA'!M641,"AAAAAEvv7oE=")</f>
        <v>#VALUE!</v>
      </c>
      <c r="EA97" t="e">
        <f>AND('PROG FORMACIÓN TITULADA'!N641,"AAAAAEvv7oI=")</f>
        <v>#VALUE!</v>
      </c>
      <c r="EB97" t="e">
        <f>AND('PROG FORMACIÓN TITULADA'!O641,"AAAAAEvv7oM=")</f>
        <v>#VALUE!</v>
      </c>
      <c r="EC97" t="e">
        <f>AND('PROG FORMACIÓN TITULADA'!P641,"AAAAAEvv7oQ=")</f>
        <v>#VALUE!</v>
      </c>
      <c r="ED97" t="e">
        <f>AND('PROG FORMACIÓN TITULADA'!Q641,"AAAAAEvv7oU=")</f>
        <v>#VALUE!</v>
      </c>
      <c r="EE97" t="e">
        <f>AND('PROG FORMACIÓN TITULADA'!R641,"AAAAAEvv7oY=")</f>
        <v>#VALUE!</v>
      </c>
      <c r="EF97" t="e">
        <f>AND('PROG FORMACIÓN TITULADA'!S641,"AAAAAEvv7oc=")</f>
        <v>#VALUE!</v>
      </c>
      <c r="EG97" t="e">
        <f>AND('PROG FORMACIÓN TITULADA'!T641,"AAAAAEvv7og=")</f>
        <v>#VALUE!</v>
      </c>
      <c r="EH97" t="e">
        <f>AND('PROG FORMACIÓN TITULADA'!U641,"AAAAAEvv7ok=")</f>
        <v>#VALUE!</v>
      </c>
      <c r="EI97" t="e">
        <f>AND('PROG FORMACIÓN TITULADA'!V641,"AAAAAEvv7oo=")</f>
        <v>#VALUE!</v>
      </c>
      <c r="EJ97" t="e">
        <f>AND('PROG FORMACIÓN TITULADA'!W641,"AAAAAEvv7os=")</f>
        <v>#VALUE!</v>
      </c>
      <c r="EK97" t="e">
        <f>AND('PROG FORMACIÓN TITULADA'!X641,"AAAAAEvv7ow=")</f>
        <v>#VALUE!</v>
      </c>
      <c r="EL97" t="e">
        <f>AND('PROG FORMACIÓN TITULADA'!Y641,"AAAAAEvv7o0=")</f>
        <v>#VALUE!</v>
      </c>
      <c r="EM97" t="e">
        <f>AND('PROG FORMACIÓN TITULADA'!Z641,"AAAAAEvv7o4=")</f>
        <v>#VALUE!</v>
      </c>
      <c r="EN97">
        <f>IF('PROG FORMACIÓN TITULADA'!642:642,"AAAAAEvv7o8=",0)</f>
        <v>0</v>
      </c>
      <c r="EO97" t="e">
        <f>AND('PROG FORMACIÓN TITULADA'!A642,"AAAAAEvv7pA=")</f>
        <v>#VALUE!</v>
      </c>
      <c r="EP97" t="e">
        <f>AND('PROG FORMACIÓN TITULADA'!B642,"AAAAAEvv7pE=")</f>
        <v>#VALUE!</v>
      </c>
      <c r="EQ97" t="e">
        <f>AND('PROG FORMACIÓN TITULADA'!C642,"AAAAAEvv7pI=")</f>
        <v>#VALUE!</v>
      </c>
      <c r="ER97" t="e">
        <f>AND('PROG FORMACIÓN TITULADA'!D642,"AAAAAEvv7pM=")</f>
        <v>#VALUE!</v>
      </c>
      <c r="ES97" t="e">
        <f>AND('PROG FORMACIÓN TITULADA'!E642,"AAAAAEvv7pQ=")</f>
        <v>#VALUE!</v>
      </c>
      <c r="ET97" t="e">
        <f>AND('PROG FORMACIÓN TITULADA'!F642,"AAAAAEvv7pU=")</f>
        <v>#VALUE!</v>
      </c>
      <c r="EU97" t="e">
        <f>AND('PROG FORMACIÓN TITULADA'!G642,"AAAAAEvv7pY=")</f>
        <v>#VALUE!</v>
      </c>
      <c r="EV97" t="e">
        <f>AND('PROG FORMACIÓN TITULADA'!H642,"AAAAAEvv7pc=")</f>
        <v>#VALUE!</v>
      </c>
      <c r="EW97" t="e">
        <f>AND('PROG FORMACIÓN TITULADA'!I642,"AAAAAEvv7pg=")</f>
        <v>#VALUE!</v>
      </c>
      <c r="EX97" t="e">
        <f>AND('PROG FORMACIÓN TITULADA'!J642,"AAAAAEvv7pk=")</f>
        <v>#VALUE!</v>
      </c>
      <c r="EY97" t="e">
        <f>AND('PROG FORMACIÓN TITULADA'!K642,"AAAAAEvv7po=")</f>
        <v>#VALUE!</v>
      </c>
      <c r="EZ97" t="e">
        <f>AND('PROG FORMACIÓN TITULADA'!L642,"AAAAAEvv7ps=")</f>
        <v>#VALUE!</v>
      </c>
      <c r="FA97" t="e">
        <f>AND('PROG FORMACIÓN TITULADA'!M642,"AAAAAEvv7pw=")</f>
        <v>#VALUE!</v>
      </c>
      <c r="FB97" t="e">
        <f>AND('PROG FORMACIÓN TITULADA'!N642,"AAAAAEvv7p0=")</f>
        <v>#VALUE!</v>
      </c>
      <c r="FC97" t="e">
        <f>AND('PROG FORMACIÓN TITULADA'!O642,"AAAAAEvv7p4=")</f>
        <v>#VALUE!</v>
      </c>
      <c r="FD97" t="e">
        <f>AND('PROG FORMACIÓN TITULADA'!P642,"AAAAAEvv7p8=")</f>
        <v>#VALUE!</v>
      </c>
      <c r="FE97" t="e">
        <f>AND('PROG FORMACIÓN TITULADA'!Q642,"AAAAAEvv7qA=")</f>
        <v>#VALUE!</v>
      </c>
      <c r="FF97" t="e">
        <f>AND('PROG FORMACIÓN TITULADA'!R642,"AAAAAEvv7qE=")</f>
        <v>#VALUE!</v>
      </c>
      <c r="FG97" t="e">
        <f>AND('PROG FORMACIÓN TITULADA'!S642,"AAAAAEvv7qI=")</f>
        <v>#VALUE!</v>
      </c>
      <c r="FH97" t="e">
        <f>AND('PROG FORMACIÓN TITULADA'!T642,"AAAAAEvv7qM=")</f>
        <v>#VALUE!</v>
      </c>
      <c r="FI97" t="e">
        <f>AND('PROG FORMACIÓN TITULADA'!U642,"AAAAAEvv7qQ=")</f>
        <v>#VALUE!</v>
      </c>
      <c r="FJ97" t="e">
        <f>AND('PROG FORMACIÓN TITULADA'!V642,"AAAAAEvv7qU=")</f>
        <v>#VALUE!</v>
      </c>
      <c r="FK97" t="e">
        <f>AND('PROG FORMACIÓN TITULADA'!W642,"AAAAAEvv7qY=")</f>
        <v>#VALUE!</v>
      </c>
      <c r="FL97" t="e">
        <f>AND('PROG FORMACIÓN TITULADA'!X642,"AAAAAEvv7qc=")</f>
        <v>#VALUE!</v>
      </c>
      <c r="FM97" t="e">
        <f>AND('PROG FORMACIÓN TITULADA'!Y642,"AAAAAEvv7qg=")</f>
        <v>#VALUE!</v>
      </c>
      <c r="FN97" t="e">
        <f>AND('PROG FORMACIÓN TITULADA'!Z642,"AAAAAEvv7qk=")</f>
        <v>#VALUE!</v>
      </c>
      <c r="FO97">
        <f>IF('PROG FORMACIÓN TITULADA'!643:643,"AAAAAEvv7qo=",0)</f>
        <v>0</v>
      </c>
      <c r="FP97" t="e">
        <f>AND('PROG FORMACIÓN TITULADA'!A643,"AAAAAEvv7qs=")</f>
        <v>#VALUE!</v>
      </c>
      <c r="FQ97" t="e">
        <f>AND('PROG FORMACIÓN TITULADA'!B643,"AAAAAEvv7qw=")</f>
        <v>#VALUE!</v>
      </c>
      <c r="FR97" t="e">
        <f>AND('PROG FORMACIÓN TITULADA'!C643,"AAAAAEvv7q0=")</f>
        <v>#VALUE!</v>
      </c>
      <c r="FS97" t="e">
        <f>AND('PROG FORMACIÓN TITULADA'!D643,"AAAAAEvv7q4=")</f>
        <v>#VALUE!</v>
      </c>
      <c r="FT97" t="e">
        <f>AND('PROG FORMACIÓN TITULADA'!E643,"AAAAAEvv7q8=")</f>
        <v>#VALUE!</v>
      </c>
      <c r="FU97" t="e">
        <f>AND('PROG FORMACIÓN TITULADA'!F643,"AAAAAEvv7rA=")</f>
        <v>#VALUE!</v>
      </c>
      <c r="FV97" t="e">
        <f>AND('PROG FORMACIÓN TITULADA'!G643,"AAAAAEvv7rE=")</f>
        <v>#VALUE!</v>
      </c>
      <c r="FW97" t="e">
        <f>AND('PROG FORMACIÓN TITULADA'!H643,"AAAAAEvv7rI=")</f>
        <v>#VALUE!</v>
      </c>
      <c r="FX97" t="e">
        <f>AND('PROG FORMACIÓN TITULADA'!I643,"AAAAAEvv7rM=")</f>
        <v>#VALUE!</v>
      </c>
      <c r="FY97" t="e">
        <f>AND('PROG FORMACIÓN TITULADA'!J643,"AAAAAEvv7rQ=")</f>
        <v>#VALUE!</v>
      </c>
      <c r="FZ97" t="e">
        <f>AND('PROG FORMACIÓN TITULADA'!K643,"AAAAAEvv7rU=")</f>
        <v>#VALUE!</v>
      </c>
      <c r="GA97" t="e">
        <f>AND('PROG FORMACIÓN TITULADA'!L643,"AAAAAEvv7rY=")</f>
        <v>#VALUE!</v>
      </c>
      <c r="GB97" t="e">
        <f>AND('PROG FORMACIÓN TITULADA'!M643,"AAAAAEvv7rc=")</f>
        <v>#VALUE!</v>
      </c>
      <c r="GC97" t="e">
        <f>AND('PROG FORMACIÓN TITULADA'!N643,"AAAAAEvv7rg=")</f>
        <v>#VALUE!</v>
      </c>
      <c r="GD97" t="e">
        <f>AND('PROG FORMACIÓN TITULADA'!O643,"AAAAAEvv7rk=")</f>
        <v>#VALUE!</v>
      </c>
      <c r="GE97" t="e">
        <f>AND('PROG FORMACIÓN TITULADA'!P643,"AAAAAEvv7ro=")</f>
        <v>#VALUE!</v>
      </c>
      <c r="GF97" t="e">
        <f>AND('PROG FORMACIÓN TITULADA'!Q643,"AAAAAEvv7rs=")</f>
        <v>#VALUE!</v>
      </c>
      <c r="GG97" t="e">
        <f>AND('PROG FORMACIÓN TITULADA'!R643,"AAAAAEvv7rw=")</f>
        <v>#VALUE!</v>
      </c>
      <c r="GH97" t="e">
        <f>AND('PROG FORMACIÓN TITULADA'!S643,"AAAAAEvv7r0=")</f>
        <v>#VALUE!</v>
      </c>
      <c r="GI97" t="e">
        <f>AND('PROG FORMACIÓN TITULADA'!T643,"AAAAAEvv7r4=")</f>
        <v>#VALUE!</v>
      </c>
      <c r="GJ97" t="e">
        <f>AND('PROG FORMACIÓN TITULADA'!U643,"AAAAAEvv7r8=")</f>
        <v>#VALUE!</v>
      </c>
      <c r="GK97" t="e">
        <f>AND('PROG FORMACIÓN TITULADA'!V643,"AAAAAEvv7sA=")</f>
        <v>#VALUE!</v>
      </c>
      <c r="GL97" t="e">
        <f>AND('PROG FORMACIÓN TITULADA'!W643,"AAAAAEvv7sE=")</f>
        <v>#VALUE!</v>
      </c>
      <c r="GM97" t="e">
        <f>AND('PROG FORMACIÓN TITULADA'!X643,"AAAAAEvv7sI=")</f>
        <v>#VALUE!</v>
      </c>
      <c r="GN97" t="e">
        <f>AND('PROG FORMACIÓN TITULADA'!Y643,"AAAAAEvv7sM=")</f>
        <v>#VALUE!</v>
      </c>
      <c r="GO97" t="e">
        <f>AND('PROG FORMACIÓN TITULADA'!Z643,"AAAAAEvv7sQ=")</f>
        <v>#VALUE!</v>
      </c>
      <c r="GP97">
        <f>IF('PROG FORMACIÓN TITULADA'!644:644,"AAAAAEvv7sU=",0)</f>
        <v>0</v>
      </c>
      <c r="GQ97" t="e">
        <f>AND('PROG FORMACIÓN TITULADA'!A644,"AAAAAEvv7sY=")</f>
        <v>#VALUE!</v>
      </c>
      <c r="GR97" t="e">
        <f>AND('PROG FORMACIÓN TITULADA'!B644,"AAAAAEvv7sc=")</f>
        <v>#VALUE!</v>
      </c>
      <c r="GS97" t="e">
        <f>AND('PROG FORMACIÓN TITULADA'!C644,"AAAAAEvv7sg=")</f>
        <v>#VALUE!</v>
      </c>
      <c r="GT97" t="e">
        <f>AND('PROG FORMACIÓN TITULADA'!D644,"AAAAAEvv7sk=")</f>
        <v>#VALUE!</v>
      </c>
      <c r="GU97" t="e">
        <f>AND('PROG FORMACIÓN TITULADA'!E644,"AAAAAEvv7so=")</f>
        <v>#VALUE!</v>
      </c>
      <c r="GV97" t="e">
        <f>AND('PROG FORMACIÓN TITULADA'!F644,"AAAAAEvv7ss=")</f>
        <v>#VALUE!</v>
      </c>
      <c r="GW97" t="e">
        <f>AND('PROG FORMACIÓN TITULADA'!G644,"AAAAAEvv7sw=")</f>
        <v>#VALUE!</v>
      </c>
      <c r="GX97" t="e">
        <f>AND('PROG FORMACIÓN TITULADA'!H644,"AAAAAEvv7s0=")</f>
        <v>#VALUE!</v>
      </c>
      <c r="GY97" t="e">
        <f>AND('PROG FORMACIÓN TITULADA'!I644,"AAAAAEvv7s4=")</f>
        <v>#VALUE!</v>
      </c>
      <c r="GZ97" t="e">
        <f>AND('PROG FORMACIÓN TITULADA'!J644,"AAAAAEvv7s8=")</f>
        <v>#VALUE!</v>
      </c>
      <c r="HA97" t="e">
        <f>AND('PROG FORMACIÓN TITULADA'!K644,"AAAAAEvv7tA=")</f>
        <v>#VALUE!</v>
      </c>
      <c r="HB97" t="e">
        <f>AND('PROG FORMACIÓN TITULADA'!L644,"AAAAAEvv7tE=")</f>
        <v>#VALUE!</v>
      </c>
      <c r="HC97" t="e">
        <f>AND('PROG FORMACIÓN TITULADA'!M644,"AAAAAEvv7tI=")</f>
        <v>#VALUE!</v>
      </c>
      <c r="HD97" t="e">
        <f>AND('PROG FORMACIÓN TITULADA'!N644,"AAAAAEvv7tM=")</f>
        <v>#VALUE!</v>
      </c>
      <c r="HE97" t="e">
        <f>AND('PROG FORMACIÓN TITULADA'!O644,"AAAAAEvv7tQ=")</f>
        <v>#VALUE!</v>
      </c>
      <c r="HF97" t="e">
        <f>AND('PROG FORMACIÓN TITULADA'!P644,"AAAAAEvv7tU=")</f>
        <v>#VALUE!</v>
      </c>
      <c r="HG97" t="e">
        <f>AND('PROG FORMACIÓN TITULADA'!Q644,"AAAAAEvv7tY=")</f>
        <v>#VALUE!</v>
      </c>
      <c r="HH97" t="e">
        <f>AND('PROG FORMACIÓN TITULADA'!R644,"AAAAAEvv7tc=")</f>
        <v>#VALUE!</v>
      </c>
      <c r="HI97" t="e">
        <f>AND('PROG FORMACIÓN TITULADA'!S644,"AAAAAEvv7tg=")</f>
        <v>#VALUE!</v>
      </c>
      <c r="HJ97" t="e">
        <f>AND('PROG FORMACIÓN TITULADA'!T644,"AAAAAEvv7tk=")</f>
        <v>#VALUE!</v>
      </c>
      <c r="HK97" t="e">
        <f>AND('PROG FORMACIÓN TITULADA'!U644,"AAAAAEvv7to=")</f>
        <v>#VALUE!</v>
      </c>
      <c r="HL97" t="e">
        <f>AND('PROG FORMACIÓN TITULADA'!V644,"AAAAAEvv7ts=")</f>
        <v>#VALUE!</v>
      </c>
      <c r="HM97" t="e">
        <f>AND('PROG FORMACIÓN TITULADA'!W644,"AAAAAEvv7tw=")</f>
        <v>#VALUE!</v>
      </c>
      <c r="HN97" t="e">
        <f>AND('PROG FORMACIÓN TITULADA'!X644,"AAAAAEvv7t0=")</f>
        <v>#VALUE!</v>
      </c>
      <c r="HO97" t="e">
        <f>AND('PROG FORMACIÓN TITULADA'!Y644,"AAAAAEvv7t4=")</f>
        <v>#VALUE!</v>
      </c>
      <c r="HP97" t="e">
        <f>AND('PROG FORMACIÓN TITULADA'!Z644,"AAAAAEvv7t8=")</f>
        <v>#VALUE!</v>
      </c>
      <c r="HQ97">
        <f>IF('PROG FORMACIÓN TITULADA'!645:645,"AAAAAEvv7uA=",0)</f>
        <v>0</v>
      </c>
      <c r="HR97" t="e">
        <f>AND('PROG FORMACIÓN TITULADA'!A645,"AAAAAEvv7uE=")</f>
        <v>#VALUE!</v>
      </c>
      <c r="HS97" t="e">
        <f>AND('PROG FORMACIÓN TITULADA'!B645,"AAAAAEvv7uI=")</f>
        <v>#VALUE!</v>
      </c>
      <c r="HT97" t="e">
        <f>AND('PROG FORMACIÓN TITULADA'!C645,"AAAAAEvv7uM=")</f>
        <v>#VALUE!</v>
      </c>
      <c r="HU97" t="e">
        <f>AND('PROG FORMACIÓN TITULADA'!D645,"AAAAAEvv7uQ=")</f>
        <v>#VALUE!</v>
      </c>
      <c r="HV97" t="e">
        <f>AND('PROG FORMACIÓN TITULADA'!E645,"AAAAAEvv7uU=")</f>
        <v>#VALUE!</v>
      </c>
      <c r="HW97" t="e">
        <f>AND('PROG FORMACIÓN TITULADA'!F645,"AAAAAEvv7uY=")</f>
        <v>#VALUE!</v>
      </c>
      <c r="HX97" t="e">
        <f>AND('PROG FORMACIÓN TITULADA'!G645,"AAAAAEvv7uc=")</f>
        <v>#VALUE!</v>
      </c>
      <c r="HY97" t="e">
        <f>AND('PROG FORMACIÓN TITULADA'!H645,"AAAAAEvv7ug=")</f>
        <v>#VALUE!</v>
      </c>
      <c r="HZ97" t="e">
        <f>AND('PROG FORMACIÓN TITULADA'!I645,"AAAAAEvv7uk=")</f>
        <v>#VALUE!</v>
      </c>
      <c r="IA97" t="e">
        <f>AND('PROG FORMACIÓN TITULADA'!J645,"AAAAAEvv7uo=")</f>
        <v>#VALUE!</v>
      </c>
      <c r="IB97" t="e">
        <f>AND('PROG FORMACIÓN TITULADA'!K645,"AAAAAEvv7us=")</f>
        <v>#VALUE!</v>
      </c>
      <c r="IC97" t="e">
        <f>AND('PROG FORMACIÓN TITULADA'!L645,"AAAAAEvv7uw=")</f>
        <v>#VALUE!</v>
      </c>
      <c r="ID97" t="e">
        <f>AND('PROG FORMACIÓN TITULADA'!M645,"AAAAAEvv7u0=")</f>
        <v>#VALUE!</v>
      </c>
      <c r="IE97" t="e">
        <f>AND('PROG FORMACIÓN TITULADA'!N645,"AAAAAEvv7u4=")</f>
        <v>#VALUE!</v>
      </c>
      <c r="IF97" t="e">
        <f>AND('PROG FORMACIÓN TITULADA'!O645,"AAAAAEvv7u8=")</f>
        <v>#VALUE!</v>
      </c>
      <c r="IG97" t="e">
        <f>AND('PROG FORMACIÓN TITULADA'!P645,"AAAAAEvv7vA=")</f>
        <v>#VALUE!</v>
      </c>
      <c r="IH97" t="e">
        <f>AND('PROG FORMACIÓN TITULADA'!Q645,"AAAAAEvv7vE=")</f>
        <v>#VALUE!</v>
      </c>
      <c r="II97" t="e">
        <f>AND('PROG FORMACIÓN TITULADA'!R645,"AAAAAEvv7vI=")</f>
        <v>#VALUE!</v>
      </c>
      <c r="IJ97" t="e">
        <f>AND('PROG FORMACIÓN TITULADA'!S645,"AAAAAEvv7vM=")</f>
        <v>#VALUE!</v>
      </c>
      <c r="IK97" t="e">
        <f>AND('PROG FORMACIÓN TITULADA'!T645,"AAAAAEvv7vQ=")</f>
        <v>#VALUE!</v>
      </c>
      <c r="IL97" t="e">
        <f>AND('PROG FORMACIÓN TITULADA'!U645,"AAAAAEvv7vU=")</f>
        <v>#VALUE!</v>
      </c>
      <c r="IM97" t="e">
        <f>AND('PROG FORMACIÓN TITULADA'!V645,"AAAAAEvv7vY=")</f>
        <v>#VALUE!</v>
      </c>
      <c r="IN97" t="e">
        <f>AND('PROG FORMACIÓN TITULADA'!W645,"AAAAAEvv7vc=")</f>
        <v>#VALUE!</v>
      </c>
      <c r="IO97" t="e">
        <f>AND('PROG FORMACIÓN TITULADA'!X645,"AAAAAEvv7vg=")</f>
        <v>#VALUE!</v>
      </c>
      <c r="IP97" t="e">
        <f>AND('PROG FORMACIÓN TITULADA'!Y645,"AAAAAEvv7vk=")</f>
        <v>#VALUE!</v>
      </c>
      <c r="IQ97" t="e">
        <f>AND('PROG FORMACIÓN TITULADA'!Z645,"AAAAAEvv7vo=")</f>
        <v>#VALUE!</v>
      </c>
      <c r="IR97">
        <f>IF('PROG FORMACIÓN TITULADA'!646:646,"AAAAAEvv7vs=",0)</f>
        <v>0</v>
      </c>
      <c r="IS97" t="e">
        <f>AND('PROG FORMACIÓN TITULADA'!A646,"AAAAAEvv7vw=")</f>
        <v>#VALUE!</v>
      </c>
      <c r="IT97" t="e">
        <f>AND('PROG FORMACIÓN TITULADA'!B646,"AAAAAEvv7v0=")</f>
        <v>#VALUE!</v>
      </c>
      <c r="IU97" t="e">
        <f>AND('PROG FORMACIÓN TITULADA'!C646,"AAAAAEvv7v4=")</f>
        <v>#VALUE!</v>
      </c>
      <c r="IV97" t="e">
        <f>AND('PROG FORMACIÓN TITULADA'!D646,"AAAAAEvv7v8=")</f>
        <v>#VALUE!</v>
      </c>
    </row>
    <row r="98" spans="1:256" x14ac:dyDescent="0.2">
      <c r="A98" t="e">
        <f>AND('PROG FORMACIÓN TITULADA'!E646,"AAAAABnu7gA=")</f>
        <v>#VALUE!</v>
      </c>
      <c r="B98" t="e">
        <f>AND('PROG FORMACIÓN TITULADA'!F646,"AAAAABnu7gE=")</f>
        <v>#VALUE!</v>
      </c>
      <c r="C98" t="e">
        <f>AND('PROG FORMACIÓN TITULADA'!G646,"AAAAABnu7gI=")</f>
        <v>#VALUE!</v>
      </c>
      <c r="D98" t="e">
        <f>AND('PROG FORMACIÓN TITULADA'!H646,"AAAAABnu7gM=")</f>
        <v>#VALUE!</v>
      </c>
      <c r="E98" t="e">
        <f>AND('PROG FORMACIÓN TITULADA'!I646,"AAAAABnu7gQ=")</f>
        <v>#VALUE!</v>
      </c>
      <c r="F98" t="e">
        <f>AND('PROG FORMACIÓN TITULADA'!J646,"AAAAABnu7gU=")</f>
        <v>#VALUE!</v>
      </c>
      <c r="G98" t="e">
        <f>AND('PROG FORMACIÓN TITULADA'!K646,"AAAAABnu7gY=")</f>
        <v>#VALUE!</v>
      </c>
      <c r="H98" t="e">
        <f>AND('PROG FORMACIÓN TITULADA'!L646,"AAAAABnu7gc=")</f>
        <v>#VALUE!</v>
      </c>
      <c r="I98" t="e">
        <f>AND('PROG FORMACIÓN TITULADA'!M646,"AAAAABnu7gg=")</f>
        <v>#VALUE!</v>
      </c>
      <c r="J98" t="e">
        <f>AND('PROG FORMACIÓN TITULADA'!N646,"AAAAABnu7gk=")</f>
        <v>#VALUE!</v>
      </c>
      <c r="K98" t="e">
        <f>AND('PROG FORMACIÓN TITULADA'!O646,"AAAAABnu7go=")</f>
        <v>#VALUE!</v>
      </c>
      <c r="L98" t="e">
        <f>AND('PROG FORMACIÓN TITULADA'!P646,"AAAAABnu7gs=")</f>
        <v>#VALUE!</v>
      </c>
      <c r="M98" t="e">
        <f>AND('PROG FORMACIÓN TITULADA'!Q646,"AAAAABnu7gw=")</f>
        <v>#VALUE!</v>
      </c>
      <c r="N98" t="e">
        <f>AND('PROG FORMACIÓN TITULADA'!R646,"AAAAABnu7g0=")</f>
        <v>#VALUE!</v>
      </c>
      <c r="O98" t="e">
        <f>AND('PROG FORMACIÓN TITULADA'!S646,"AAAAABnu7g4=")</f>
        <v>#VALUE!</v>
      </c>
      <c r="P98" t="e">
        <f>AND('PROG FORMACIÓN TITULADA'!T646,"AAAAABnu7g8=")</f>
        <v>#VALUE!</v>
      </c>
      <c r="Q98" t="e">
        <f>AND('PROG FORMACIÓN TITULADA'!U646,"AAAAABnu7hA=")</f>
        <v>#VALUE!</v>
      </c>
      <c r="R98" t="e">
        <f>AND('PROG FORMACIÓN TITULADA'!V646,"AAAAABnu7hE=")</f>
        <v>#VALUE!</v>
      </c>
      <c r="S98" t="e">
        <f>AND('PROG FORMACIÓN TITULADA'!W646,"AAAAABnu7hI=")</f>
        <v>#VALUE!</v>
      </c>
      <c r="T98" t="e">
        <f>AND('PROG FORMACIÓN TITULADA'!X646,"AAAAABnu7hM=")</f>
        <v>#VALUE!</v>
      </c>
      <c r="U98" t="e">
        <f>AND('PROG FORMACIÓN TITULADA'!Y646,"AAAAABnu7hQ=")</f>
        <v>#VALUE!</v>
      </c>
      <c r="V98" t="e">
        <f>AND('PROG FORMACIÓN TITULADA'!Z646,"AAAAABnu7hU=")</f>
        <v>#VALUE!</v>
      </c>
      <c r="W98">
        <f>IF('PROG FORMACIÓN TITULADA'!647:647,"AAAAABnu7hY=",0)</f>
        <v>0</v>
      </c>
      <c r="X98" t="e">
        <f>AND('PROG FORMACIÓN TITULADA'!A647,"AAAAABnu7hc=")</f>
        <v>#VALUE!</v>
      </c>
      <c r="Y98" t="e">
        <f>AND('PROG FORMACIÓN TITULADA'!B647,"AAAAABnu7hg=")</f>
        <v>#VALUE!</v>
      </c>
      <c r="Z98" t="e">
        <f>AND('PROG FORMACIÓN TITULADA'!C647,"AAAAABnu7hk=")</f>
        <v>#VALUE!</v>
      </c>
      <c r="AA98" t="e">
        <f>AND('PROG FORMACIÓN TITULADA'!D647,"AAAAABnu7ho=")</f>
        <v>#VALUE!</v>
      </c>
      <c r="AB98" t="e">
        <f>AND('PROG FORMACIÓN TITULADA'!E647,"AAAAABnu7hs=")</f>
        <v>#VALUE!</v>
      </c>
      <c r="AC98" t="e">
        <f>AND('PROG FORMACIÓN TITULADA'!F647,"AAAAABnu7hw=")</f>
        <v>#VALUE!</v>
      </c>
      <c r="AD98" t="e">
        <f>AND('PROG FORMACIÓN TITULADA'!G647,"AAAAABnu7h0=")</f>
        <v>#VALUE!</v>
      </c>
      <c r="AE98" t="e">
        <f>AND('PROG FORMACIÓN TITULADA'!H647,"AAAAABnu7h4=")</f>
        <v>#VALUE!</v>
      </c>
      <c r="AF98" t="e">
        <f>AND('PROG FORMACIÓN TITULADA'!I647,"AAAAABnu7h8=")</f>
        <v>#VALUE!</v>
      </c>
      <c r="AG98" t="e">
        <f>AND('PROG FORMACIÓN TITULADA'!J647,"AAAAABnu7iA=")</f>
        <v>#VALUE!</v>
      </c>
      <c r="AH98" t="e">
        <f>AND('PROG FORMACIÓN TITULADA'!K647,"AAAAABnu7iE=")</f>
        <v>#VALUE!</v>
      </c>
      <c r="AI98" t="e">
        <f>AND('PROG FORMACIÓN TITULADA'!L647,"AAAAABnu7iI=")</f>
        <v>#VALUE!</v>
      </c>
      <c r="AJ98" t="e">
        <f>AND('PROG FORMACIÓN TITULADA'!M647,"AAAAABnu7iM=")</f>
        <v>#VALUE!</v>
      </c>
      <c r="AK98" t="e">
        <f>AND('PROG FORMACIÓN TITULADA'!N647,"AAAAABnu7iQ=")</f>
        <v>#VALUE!</v>
      </c>
      <c r="AL98" t="e">
        <f>AND('PROG FORMACIÓN TITULADA'!O647,"AAAAABnu7iU=")</f>
        <v>#VALUE!</v>
      </c>
      <c r="AM98" t="e">
        <f>AND('PROG FORMACIÓN TITULADA'!P647,"AAAAABnu7iY=")</f>
        <v>#VALUE!</v>
      </c>
      <c r="AN98" t="e">
        <f>AND('PROG FORMACIÓN TITULADA'!Q647,"AAAAABnu7ic=")</f>
        <v>#VALUE!</v>
      </c>
      <c r="AO98" t="e">
        <f>AND('PROG FORMACIÓN TITULADA'!R647,"AAAAABnu7ig=")</f>
        <v>#VALUE!</v>
      </c>
      <c r="AP98" t="e">
        <f>AND('PROG FORMACIÓN TITULADA'!S647,"AAAAABnu7ik=")</f>
        <v>#VALUE!</v>
      </c>
      <c r="AQ98" t="e">
        <f>AND('PROG FORMACIÓN TITULADA'!T647,"AAAAABnu7io=")</f>
        <v>#VALUE!</v>
      </c>
      <c r="AR98" t="e">
        <f>AND('PROG FORMACIÓN TITULADA'!U647,"AAAAABnu7is=")</f>
        <v>#VALUE!</v>
      </c>
      <c r="AS98" t="e">
        <f>AND('PROG FORMACIÓN TITULADA'!V647,"AAAAABnu7iw=")</f>
        <v>#VALUE!</v>
      </c>
      <c r="AT98" t="e">
        <f>AND('PROG FORMACIÓN TITULADA'!W647,"AAAAABnu7i0=")</f>
        <v>#VALUE!</v>
      </c>
      <c r="AU98" t="e">
        <f>AND('PROG FORMACIÓN TITULADA'!X647,"AAAAABnu7i4=")</f>
        <v>#VALUE!</v>
      </c>
      <c r="AV98" t="e">
        <f>AND('PROG FORMACIÓN TITULADA'!Y647,"AAAAABnu7i8=")</f>
        <v>#VALUE!</v>
      </c>
      <c r="AW98" t="e">
        <f>AND('PROG FORMACIÓN TITULADA'!Z647,"AAAAABnu7jA=")</f>
        <v>#VALUE!</v>
      </c>
      <c r="AX98">
        <f>IF('PROG FORMACIÓN TITULADA'!648:648,"AAAAABnu7jE=",0)</f>
        <v>0</v>
      </c>
      <c r="AY98" t="e">
        <f>AND('PROG FORMACIÓN TITULADA'!A648,"AAAAABnu7jI=")</f>
        <v>#VALUE!</v>
      </c>
      <c r="AZ98" t="e">
        <f>AND('PROG FORMACIÓN TITULADA'!B648,"AAAAABnu7jM=")</f>
        <v>#VALUE!</v>
      </c>
      <c r="BA98" t="e">
        <f>AND('PROG FORMACIÓN TITULADA'!C648,"AAAAABnu7jQ=")</f>
        <v>#VALUE!</v>
      </c>
      <c r="BB98" t="e">
        <f>AND('PROG FORMACIÓN TITULADA'!D648,"AAAAABnu7jU=")</f>
        <v>#VALUE!</v>
      </c>
      <c r="BC98" t="e">
        <f>AND('PROG FORMACIÓN TITULADA'!E648,"AAAAABnu7jY=")</f>
        <v>#VALUE!</v>
      </c>
      <c r="BD98" t="e">
        <f>AND('PROG FORMACIÓN TITULADA'!F648,"AAAAABnu7jc=")</f>
        <v>#VALUE!</v>
      </c>
      <c r="BE98" t="e">
        <f>AND('PROG FORMACIÓN TITULADA'!G648,"AAAAABnu7jg=")</f>
        <v>#VALUE!</v>
      </c>
      <c r="BF98" t="e">
        <f>AND('PROG FORMACIÓN TITULADA'!H648,"AAAAABnu7jk=")</f>
        <v>#VALUE!</v>
      </c>
      <c r="BG98" t="e">
        <f>AND('PROG FORMACIÓN TITULADA'!I648,"AAAAABnu7jo=")</f>
        <v>#VALUE!</v>
      </c>
      <c r="BH98" t="e">
        <f>AND('PROG FORMACIÓN TITULADA'!J648,"AAAAABnu7js=")</f>
        <v>#VALUE!</v>
      </c>
      <c r="BI98" t="e">
        <f>AND('PROG FORMACIÓN TITULADA'!K648,"AAAAABnu7jw=")</f>
        <v>#VALUE!</v>
      </c>
      <c r="BJ98" t="e">
        <f>AND('PROG FORMACIÓN TITULADA'!L648,"AAAAABnu7j0=")</f>
        <v>#VALUE!</v>
      </c>
      <c r="BK98" t="e">
        <f>AND('PROG FORMACIÓN TITULADA'!M648,"AAAAABnu7j4=")</f>
        <v>#VALUE!</v>
      </c>
      <c r="BL98" t="e">
        <f>AND('PROG FORMACIÓN TITULADA'!N648,"AAAAABnu7j8=")</f>
        <v>#VALUE!</v>
      </c>
      <c r="BM98" t="e">
        <f>AND('PROG FORMACIÓN TITULADA'!O648,"AAAAABnu7kA=")</f>
        <v>#VALUE!</v>
      </c>
      <c r="BN98" t="e">
        <f>AND('PROG FORMACIÓN TITULADA'!P648,"AAAAABnu7kE=")</f>
        <v>#VALUE!</v>
      </c>
      <c r="BO98" t="e">
        <f>AND('PROG FORMACIÓN TITULADA'!Q648,"AAAAABnu7kI=")</f>
        <v>#VALUE!</v>
      </c>
      <c r="BP98" t="e">
        <f>AND('PROG FORMACIÓN TITULADA'!R648,"AAAAABnu7kM=")</f>
        <v>#VALUE!</v>
      </c>
      <c r="BQ98" t="e">
        <f>AND('PROG FORMACIÓN TITULADA'!S648,"AAAAABnu7kQ=")</f>
        <v>#VALUE!</v>
      </c>
      <c r="BR98" t="e">
        <f>AND('PROG FORMACIÓN TITULADA'!T648,"AAAAABnu7kU=")</f>
        <v>#VALUE!</v>
      </c>
      <c r="BS98" t="e">
        <f>AND('PROG FORMACIÓN TITULADA'!U648,"AAAAABnu7kY=")</f>
        <v>#VALUE!</v>
      </c>
      <c r="BT98" t="e">
        <f>AND('PROG FORMACIÓN TITULADA'!V648,"AAAAABnu7kc=")</f>
        <v>#VALUE!</v>
      </c>
      <c r="BU98" t="e">
        <f>AND('PROG FORMACIÓN TITULADA'!W648,"AAAAABnu7kg=")</f>
        <v>#VALUE!</v>
      </c>
      <c r="BV98" t="e">
        <f>AND('PROG FORMACIÓN TITULADA'!X648,"AAAAABnu7kk=")</f>
        <v>#VALUE!</v>
      </c>
      <c r="BW98" t="e">
        <f>AND('PROG FORMACIÓN TITULADA'!Y648,"AAAAABnu7ko=")</f>
        <v>#VALUE!</v>
      </c>
      <c r="BX98" t="e">
        <f>AND('PROG FORMACIÓN TITULADA'!Z648,"AAAAABnu7ks=")</f>
        <v>#VALUE!</v>
      </c>
      <c r="BY98">
        <f>IF('PROG FORMACIÓN TITULADA'!649:649,"AAAAABnu7kw=",0)</f>
        <v>0</v>
      </c>
      <c r="BZ98" t="e">
        <f>AND('PROG FORMACIÓN TITULADA'!A649,"AAAAABnu7k0=")</f>
        <v>#VALUE!</v>
      </c>
      <c r="CA98" t="e">
        <f>AND('PROG FORMACIÓN TITULADA'!B649,"AAAAABnu7k4=")</f>
        <v>#VALUE!</v>
      </c>
      <c r="CB98" t="e">
        <f>AND('PROG FORMACIÓN TITULADA'!C649,"AAAAABnu7k8=")</f>
        <v>#VALUE!</v>
      </c>
      <c r="CC98" t="e">
        <f>AND('PROG FORMACIÓN TITULADA'!D649,"AAAAABnu7lA=")</f>
        <v>#VALUE!</v>
      </c>
      <c r="CD98" t="e">
        <f>AND('PROG FORMACIÓN TITULADA'!E649,"AAAAABnu7lE=")</f>
        <v>#VALUE!</v>
      </c>
      <c r="CE98" t="e">
        <f>AND('PROG FORMACIÓN TITULADA'!F649,"AAAAABnu7lI=")</f>
        <v>#VALUE!</v>
      </c>
      <c r="CF98" t="e">
        <f>AND('PROG FORMACIÓN TITULADA'!G649,"AAAAABnu7lM=")</f>
        <v>#VALUE!</v>
      </c>
      <c r="CG98" t="e">
        <f>AND('PROG FORMACIÓN TITULADA'!H649,"AAAAABnu7lQ=")</f>
        <v>#VALUE!</v>
      </c>
      <c r="CH98" t="e">
        <f>AND('PROG FORMACIÓN TITULADA'!I649,"AAAAABnu7lU=")</f>
        <v>#VALUE!</v>
      </c>
      <c r="CI98" t="e">
        <f>AND('PROG FORMACIÓN TITULADA'!J649,"AAAAABnu7lY=")</f>
        <v>#VALUE!</v>
      </c>
      <c r="CJ98" t="e">
        <f>AND('PROG FORMACIÓN TITULADA'!K649,"AAAAABnu7lc=")</f>
        <v>#VALUE!</v>
      </c>
      <c r="CK98" t="e">
        <f>AND('PROG FORMACIÓN TITULADA'!L649,"AAAAABnu7lg=")</f>
        <v>#VALUE!</v>
      </c>
      <c r="CL98" t="e">
        <f>AND('PROG FORMACIÓN TITULADA'!M649,"AAAAABnu7lk=")</f>
        <v>#VALUE!</v>
      </c>
      <c r="CM98" t="e">
        <f>AND('PROG FORMACIÓN TITULADA'!N649,"AAAAABnu7lo=")</f>
        <v>#VALUE!</v>
      </c>
      <c r="CN98" t="e">
        <f>AND('PROG FORMACIÓN TITULADA'!O649,"AAAAABnu7ls=")</f>
        <v>#VALUE!</v>
      </c>
      <c r="CO98" t="e">
        <f>AND('PROG FORMACIÓN TITULADA'!P649,"AAAAABnu7lw=")</f>
        <v>#VALUE!</v>
      </c>
      <c r="CP98" t="e">
        <f>AND('PROG FORMACIÓN TITULADA'!Q649,"AAAAABnu7l0=")</f>
        <v>#VALUE!</v>
      </c>
      <c r="CQ98" t="e">
        <f>AND('PROG FORMACIÓN TITULADA'!R649,"AAAAABnu7l4=")</f>
        <v>#VALUE!</v>
      </c>
      <c r="CR98" t="e">
        <f>AND('PROG FORMACIÓN TITULADA'!S649,"AAAAABnu7l8=")</f>
        <v>#VALUE!</v>
      </c>
      <c r="CS98" t="e">
        <f>AND('PROG FORMACIÓN TITULADA'!T649,"AAAAABnu7mA=")</f>
        <v>#VALUE!</v>
      </c>
      <c r="CT98" t="e">
        <f>AND('PROG FORMACIÓN TITULADA'!U649,"AAAAABnu7mE=")</f>
        <v>#VALUE!</v>
      </c>
      <c r="CU98" t="e">
        <f>AND('PROG FORMACIÓN TITULADA'!V649,"AAAAABnu7mI=")</f>
        <v>#VALUE!</v>
      </c>
      <c r="CV98" t="e">
        <f>AND('PROG FORMACIÓN TITULADA'!W649,"AAAAABnu7mM=")</f>
        <v>#VALUE!</v>
      </c>
      <c r="CW98" t="e">
        <f>AND('PROG FORMACIÓN TITULADA'!X649,"AAAAABnu7mQ=")</f>
        <v>#VALUE!</v>
      </c>
      <c r="CX98" t="e">
        <f>AND('PROG FORMACIÓN TITULADA'!Y649,"AAAAABnu7mU=")</f>
        <v>#VALUE!</v>
      </c>
      <c r="CY98" t="e">
        <f>AND('PROG FORMACIÓN TITULADA'!Z649,"AAAAABnu7mY=")</f>
        <v>#VALUE!</v>
      </c>
      <c r="CZ98">
        <f>IF('PROG FORMACIÓN TITULADA'!650:650,"AAAAABnu7mc=",0)</f>
        <v>0</v>
      </c>
      <c r="DA98" t="e">
        <f>AND('PROG FORMACIÓN TITULADA'!A650,"AAAAABnu7mg=")</f>
        <v>#VALUE!</v>
      </c>
      <c r="DB98" t="e">
        <f>AND('PROG FORMACIÓN TITULADA'!B650,"AAAAABnu7mk=")</f>
        <v>#VALUE!</v>
      </c>
      <c r="DC98" t="e">
        <f>AND('PROG FORMACIÓN TITULADA'!C650,"AAAAABnu7mo=")</f>
        <v>#VALUE!</v>
      </c>
      <c r="DD98" t="e">
        <f>AND('PROG FORMACIÓN TITULADA'!D650,"AAAAABnu7ms=")</f>
        <v>#VALUE!</v>
      </c>
      <c r="DE98" t="e">
        <f>AND('PROG FORMACIÓN TITULADA'!E650,"AAAAABnu7mw=")</f>
        <v>#VALUE!</v>
      </c>
      <c r="DF98" t="e">
        <f>AND('PROG FORMACIÓN TITULADA'!F650,"AAAAABnu7m0=")</f>
        <v>#VALUE!</v>
      </c>
      <c r="DG98" t="e">
        <f>AND('PROG FORMACIÓN TITULADA'!G650,"AAAAABnu7m4=")</f>
        <v>#VALUE!</v>
      </c>
      <c r="DH98" t="e">
        <f>AND('PROG FORMACIÓN TITULADA'!H650,"AAAAABnu7m8=")</f>
        <v>#VALUE!</v>
      </c>
      <c r="DI98" t="e">
        <f>AND('PROG FORMACIÓN TITULADA'!I650,"AAAAABnu7nA=")</f>
        <v>#VALUE!</v>
      </c>
      <c r="DJ98" t="e">
        <f>AND('PROG FORMACIÓN TITULADA'!J650,"AAAAABnu7nE=")</f>
        <v>#VALUE!</v>
      </c>
      <c r="DK98" t="e">
        <f>AND('PROG FORMACIÓN TITULADA'!K650,"AAAAABnu7nI=")</f>
        <v>#VALUE!</v>
      </c>
      <c r="DL98" t="e">
        <f>AND('PROG FORMACIÓN TITULADA'!L650,"AAAAABnu7nM=")</f>
        <v>#VALUE!</v>
      </c>
      <c r="DM98" t="e">
        <f>AND('PROG FORMACIÓN TITULADA'!M650,"AAAAABnu7nQ=")</f>
        <v>#VALUE!</v>
      </c>
      <c r="DN98" t="e">
        <f>AND('PROG FORMACIÓN TITULADA'!N650,"AAAAABnu7nU=")</f>
        <v>#VALUE!</v>
      </c>
      <c r="DO98" t="e">
        <f>AND('PROG FORMACIÓN TITULADA'!O650,"AAAAABnu7nY=")</f>
        <v>#VALUE!</v>
      </c>
      <c r="DP98" t="e">
        <f>AND('PROG FORMACIÓN TITULADA'!P650,"AAAAABnu7nc=")</f>
        <v>#VALUE!</v>
      </c>
      <c r="DQ98" t="e">
        <f>AND('PROG FORMACIÓN TITULADA'!Q650,"AAAAABnu7ng=")</f>
        <v>#VALUE!</v>
      </c>
      <c r="DR98" t="e">
        <f>AND('PROG FORMACIÓN TITULADA'!R650,"AAAAABnu7nk=")</f>
        <v>#VALUE!</v>
      </c>
      <c r="DS98" t="e">
        <f>AND('PROG FORMACIÓN TITULADA'!S650,"AAAAABnu7no=")</f>
        <v>#VALUE!</v>
      </c>
      <c r="DT98" t="e">
        <f>AND('PROG FORMACIÓN TITULADA'!T650,"AAAAABnu7ns=")</f>
        <v>#VALUE!</v>
      </c>
      <c r="DU98" t="e">
        <f>AND('PROG FORMACIÓN TITULADA'!U650,"AAAAABnu7nw=")</f>
        <v>#VALUE!</v>
      </c>
      <c r="DV98" t="e">
        <f>AND('PROG FORMACIÓN TITULADA'!V650,"AAAAABnu7n0=")</f>
        <v>#VALUE!</v>
      </c>
      <c r="DW98" t="e">
        <f>AND('PROG FORMACIÓN TITULADA'!W650,"AAAAABnu7n4=")</f>
        <v>#VALUE!</v>
      </c>
      <c r="DX98" t="e">
        <f>AND('PROG FORMACIÓN TITULADA'!X650,"AAAAABnu7n8=")</f>
        <v>#VALUE!</v>
      </c>
      <c r="DY98" t="e">
        <f>AND('PROG FORMACIÓN TITULADA'!Y650,"AAAAABnu7oA=")</f>
        <v>#VALUE!</v>
      </c>
      <c r="DZ98" t="e">
        <f>AND('PROG FORMACIÓN TITULADA'!Z650,"AAAAABnu7oE=")</f>
        <v>#VALUE!</v>
      </c>
      <c r="EA98">
        <f>IF('PROG FORMACIÓN TITULADA'!651:651,"AAAAABnu7oI=",0)</f>
        <v>0</v>
      </c>
      <c r="EB98" t="e">
        <f>AND('PROG FORMACIÓN TITULADA'!A651,"AAAAABnu7oM=")</f>
        <v>#VALUE!</v>
      </c>
      <c r="EC98" t="e">
        <f>AND('PROG FORMACIÓN TITULADA'!B651,"AAAAABnu7oQ=")</f>
        <v>#VALUE!</v>
      </c>
      <c r="ED98" t="e">
        <f>AND('PROG FORMACIÓN TITULADA'!C651,"AAAAABnu7oU=")</f>
        <v>#VALUE!</v>
      </c>
      <c r="EE98" t="e">
        <f>AND('PROG FORMACIÓN TITULADA'!D651,"AAAAABnu7oY=")</f>
        <v>#VALUE!</v>
      </c>
      <c r="EF98" t="e">
        <f>AND('PROG FORMACIÓN TITULADA'!E651,"AAAAABnu7oc=")</f>
        <v>#VALUE!</v>
      </c>
      <c r="EG98" t="e">
        <f>AND('PROG FORMACIÓN TITULADA'!F651,"AAAAABnu7og=")</f>
        <v>#VALUE!</v>
      </c>
      <c r="EH98" t="e">
        <f>AND('PROG FORMACIÓN TITULADA'!G651,"AAAAABnu7ok=")</f>
        <v>#VALUE!</v>
      </c>
      <c r="EI98" t="e">
        <f>AND('PROG FORMACIÓN TITULADA'!H651,"AAAAABnu7oo=")</f>
        <v>#VALUE!</v>
      </c>
      <c r="EJ98" t="e">
        <f>AND('PROG FORMACIÓN TITULADA'!I651,"AAAAABnu7os=")</f>
        <v>#VALUE!</v>
      </c>
      <c r="EK98" t="e">
        <f>AND('PROG FORMACIÓN TITULADA'!J651,"AAAAABnu7ow=")</f>
        <v>#VALUE!</v>
      </c>
      <c r="EL98" t="e">
        <f>AND('PROG FORMACIÓN TITULADA'!K651,"AAAAABnu7o0=")</f>
        <v>#VALUE!</v>
      </c>
      <c r="EM98" t="e">
        <f>AND('PROG FORMACIÓN TITULADA'!L651,"AAAAABnu7o4=")</f>
        <v>#VALUE!</v>
      </c>
      <c r="EN98" t="e">
        <f>AND('PROG FORMACIÓN TITULADA'!M651,"AAAAABnu7o8=")</f>
        <v>#VALUE!</v>
      </c>
      <c r="EO98" t="e">
        <f>AND('PROG FORMACIÓN TITULADA'!N651,"AAAAABnu7pA=")</f>
        <v>#VALUE!</v>
      </c>
      <c r="EP98" t="e">
        <f>AND('PROG FORMACIÓN TITULADA'!O651,"AAAAABnu7pE=")</f>
        <v>#VALUE!</v>
      </c>
      <c r="EQ98" t="e">
        <f>AND('PROG FORMACIÓN TITULADA'!P651,"AAAAABnu7pI=")</f>
        <v>#VALUE!</v>
      </c>
      <c r="ER98" t="e">
        <f>AND('PROG FORMACIÓN TITULADA'!Q651,"AAAAABnu7pM=")</f>
        <v>#VALUE!</v>
      </c>
      <c r="ES98" t="e">
        <f>AND('PROG FORMACIÓN TITULADA'!R651,"AAAAABnu7pQ=")</f>
        <v>#VALUE!</v>
      </c>
      <c r="ET98" t="e">
        <f>AND('PROG FORMACIÓN TITULADA'!S651,"AAAAABnu7pU=")</f>
        <v>#VALUE!</v>
      </c>
      <c r="EU98" t="e">
        <f>AND('PROG FORMACIÓN TITULADA'!T651,"AAAAABnu7pY=")</f>
        <v>#VALUE!</v>
      </c>
      <c r="EV98" t="e">
        <f>AND('PROG FORMACIÓN TITULADA'!U651,"AAAAABnu7pc=")</f>
        <v>#VALUE!</v>
      </c>
      <c r="EW98" t="e">
        <f>AND('PROG FORMACIÓN TITULADA'!V651,"AAAAABnu7pg=")</f>
        <v>#VALUE!</v>
      </c>
      <c r="EX98" t="e">
        <f>AND('PROG FORMACIÓN TITULADA'!W651,"AAAAABnu7pk=")</f>
        <v>#VALUE!</v>
      </c>
      <c r="EY98" t="e">
        <f>AND('PROG FORMACIÓN TITULADA'!X651,"AAAAABnu7po=")</f>
        <v>#VALUE!</v>
      </c>
      <c r="EZ98" t="e">
        <f>AND('PROG FORMACIÓN TITULADA'!Y651,"AAAAABnu7ps=")</f>
        <v>#VALUE!</v>
      </c>
      <c r="FA98" t="e">
        <f>AND('PROG FORMACIÓN TITULADA'!Z651,"AAAAABnu7pw=")</f>
        <v>#VALUE!</v>
      </c>
      <c r="FB98">
        <f>IF('PROG FORMACIÓN TITULADA'!652:652,"AAAAABnu7p0=",0)</f>
        <v>0</v>
      </c>
      <c r="FC98" t="e">
        <f>AND('PROG FORMACIÓN TITULADA'!A652,"AAAAABnu7p4=")</f>
        <v>#VALUE!</v>
      </c>
      <c r="FD98" t="e">
        <f>AND('PROG FORMACIÓN TITULADA'!B652,"AAAAABnu7p8=")</f>
        <v>#VALUE!</v>
      </c>
      <c r="FE98" t="e">
        <f>AND('PROG FORMACIÓN TITULADA'!C652,"AAAAABnu7qA=")</f>
        <v>#VALUE!</v>
      </c>
      <c r="FF98" t="e">
        <f>AND('PROG FORMACIÓN TITULADA'!D652,"AAAAABnu7qE=")</f>
        <v>#VALUE!</v>
      </c>
      <c r="FG98" t="e">
        <f>AND('PROG FORMACIÓN TITULADA'!E652,"AAAAABnu7qI=")</f>
        <v>#VALUE!</v>
      </c>
      <c r="FH98" t="e">
        <f>AND('PROG FORMACIÓN TITULADA'!F652,"AAAAABnu7qM=")</f>
        <v>#VALUE!</v>
      </c>
      <c r="FI98" t="e">
        <f>AND('PROG FORMACIÓN TITULADA'!G652,"AAAAABnu7qQ=")</f>
        <v>#VALUE!</v>
      </c>
      <c r="FJ98" t="e">
        <f>AND('PROG FORMACIÓN TITULADA'!H652,"AAAAABnu7qU=")</f>
        <v>#VALUE!</v>
      </c>
      <c r="FK98" t="e">
        <f>AND('PROG FORMACIÓN TITULADA'!I652,"AAAAABnu7qY=")</f>
        <v>#VALUE!</v>
      </c>
      <c r="FL98" t="e">
        <f>AND('PROG FORMACIÓN TITULADA'!J652,"AAAAABnu7qc=")</f>
        <v>#VALUE!</v>
      </c>
      <c r="FM98" t="e">
        <f>AND('PROG FORMACIÓN TITULADA'!K652,"AAAAABnu7qg=")</f>
        <v>#VALUE!</v>
      </c>
      <c r="FN98" t="e">
        <f>AND('PROG FORMACIÓN TITULADA'!L652,"AAAAABnu7qk=")</f>
        <v>#VALUE!</v>
      </c>
      <c r="FO98" t="e">
        <f>AND('PROG FORMACIÓN TITULADA'!M652,"AAAAABnu7qo=")</f>
        <v>#VALUE!</v>
      </c>
      <c r="FP98" t="e">
        <f>AND('PROG FORMACIÓN TITULADA'!N652,"AAAAABnu7qs=")</f>
        <v>#VALUE!</v>
      </c>
      <c r="FQ98" t="e">
        <f>AND('PROG FORMACIÓN TITULADA'!O652,"AAAAABnu7qw=")</f>
        <v>#VALUE!</v>
      </c>
      <c r="FR98" t="e">
        <f>AND('PROG FORMACIÓN TITULADA'!P652,"AAAAABnu7q0=")</f>
        <v>#VALUE!</v>
      </c>
      <c r="FS98" t="e">
        <f>AND('PROG FORMACIÓN TITULADA'!Q652,"AAAAABnu7q4=")</f>
        <v>#VALUE!</v>
      </c>
      <c r="FT98" t="e">
        <f>AND('PROG FORMACIÓN TITULADA'!R652,"AAAAABnu7q8=")</f>
        <v>#VALUE!</v>
      </c>
      <c r="FU98" t="e">
        <f>AND('PROG FORMACIÓN TITULADA'!S652,"AAAAABnu7rA=")</f>
        <v>#VALUE!</v>
      </c>
      <c r="FV98" t="e">
        <f>AND('PROG FORMACIÓN TITULADA'!T652,"AAAAABnu7rE=")</f>
        <v>#VALUE!</v>
      </c>
      <c r="FW98" t="e">
        <f>AND('PROG FORMACIÓN TITULADA'!U652,"AAAAABnu7rI=")</f>
        <v>#VALUE!</v>
      </c>
      <c r="FX98" t="e">
        <f>AND('PROG FORMACIÓN TITULADA'!V652,"AAAAABnu7rM=")</f>
        <v>#VALUE!</v>
      </c>
      <c r="FY98" t="e">
        <f>AND('PROG FORMACIÓN TITULADA'!W652,"AAAAABnu7rQ=")</f>
        <v>#VALUE!</v>
      </c>
      <c r="FZ98" t="e">
        <f>AND('PROG FORMACIÓN TITULADA'!X652,"AAAAABnu7rU=")</f>
        <v>#VALUE!</v>
      </c>
      <c r="GA98" t="e">
        <f>AND('PROG FORMACIÓN TITULADA'!Y652,"AAAAABnu7rY=")</f>
        <v>#VALUE!</v>
      </c>
      <c r="GB98" t="e">
        <f>AND('PROG FORMACIÓN TITULADA'!Z652,"AAAAABnu7rc=")</f>
        <v>#VALUE!</v>
      </c>
      <c r="GC98">
        <f>IF('PROG FORMACIÓN TITULADA'!653:653,"AAAAABnu7rg=",0)</f>
        <v>0</v>
      </c>
      <c r="GD98" t="e">
        <f>AND('PROG FORMACIÓN TITULADA'!A653,"AAAAABnu7rk=")</f>
        <v>#VALUE!</v>
      </c>
      <c r="GE98" t="e">
        <f>AND('PROG FORMACIÓN TITULADA'!B653,"AAAAABnu7ro=")</f>
        <v>#VALUE!</v>
      </c>
      <c r="GF98" t="e">
        <f>AND('PROG FORMACIÓN TITULADA'!C653,"AAAAABnu7rs=")</f>
        <v>#VALUE!</v>
      </c>
      <c r="GG98" t="e">
        <f>AND('PROG FORMACIÓN TITULADA'!D653,"AAAAABnu7rw=")</f>
        <v>#VALUE!</v>
      </c>
      <c r="GH98" t="e">
        <f>AND('PROG FORMACIÓN TITULADA'!E653,"AAAAABnu7r0=")</f>
        <v>#VALUE!</v>
      </c>
      <c r="GI98" t="e">
        <f>AND('PROG FORMACIÓN TITULADA'!F653,"AAAAABnu7r4=")</f>
        <v>#VALUE!</v>
      </c>
      <c r="GJ98" t="e">
        <f>AND('PROG FORMACIÓN TITULADA'!G653,"AAAAABnu7r8=")</f>
        <v>#VALUE!</v>
      </c>
      <c r="GK98" t="e">
        <f>AND('PROG FORMACIÓN TITULADA'!H653,"AAAAABnu7sA=")</f>
        <v>#VALUE!</v>
      </c>
      <c r="GL98" t="e">
        <f>AND('PROG FORMACIÓN TITULADA'!I653,"AAAAABnu7sE=")</f>
        <v>#VALUE!</v>
      </c>
      <c r="GM98" t="e">
        <f>AND('PROG FORMACIÓN TITULADA'!J653,"AAAAABnu7sI=")</f>
        <v>#VALUE!</v>
      </c>
      <c r="GN98" t="e">
        <f>AND('PROG FORMACIÓN TITULADA'!K653,"AAAAABnu7sM=")</f>
        <v>#VALUE!</v>
      </c>
      <c r="GO98" t="e">
        <f>AND('PROG FORMACIÓN TITULADA'!L653,"AAAAABnu7sQ=")</f>
        <v>#VALUE!</v>
      </c>
      <c r="GP98" t="e">
        <f>AND('PROG FORMACIÓN TITULADA'!M653,"AAAAABnu7sU=")</f>
        <v>#VALUE!</v>
      </c>
      <c r="GQ98" t="e">
        <f>AND('PROG FORMACIÓN TITULADA'!N653,"AAAAABnu7sY=")</f>
        <v>#VALUE!</v>
      </c>
      <c r="GR98" t="e">
        <f>AND('PROG FORMACIÓN TITULADA'!O653,"AAAAABnu7sc=")</f>
        <v>#VALUE!</v>
      </c>
      <c r="GS98" t="e">
        <f>AND('PROG FORMACIÓN TITULADA'!P653,"AAAAABnu7sg=")</f>
        <v>#VALUE!</v>
      </c>
      <c r="GT98" t="e">
        <f>AND('PROG FORMACIÓN TITULADA'!Q653,"AAAAABnu7sk=")</f>
        <v>#VALUE!</v>
      </c>
      <c r="GU98" t="e">
        <f>AND('PROG FORMACIÓN TITULADA'!R653,"AAAAABnu7so=")</f>
        <v>#VALUE!</v>
      </c>
      <c r="GV98" t="e">
        <f>AND('PROG FORMACIÓN TITULADA'!S653,"AAAAABnu7ss=")</f>
        <v>#VALUE!</v>
      </c>
      <c r="GW98" t="e">
        <f>AND('PROG FORMACIÓN TITULADA'!T653,"AAAAABnu7sw=")</f>
        <v>#VALUE!</v>
      </c>
      <c r="GX98" t="e">
        <f>AND('PROG FORMACIÓN TITULADA'!U653,"AAAAABnu7s0=")</f>
        <v>#VALUE!</v>
      </c>
      <c r="GY98" t="e">
        <f>AND('PROG FORMACIÓN TITULADA'!V653,"AAAAABnu7s4=")</f>
        <v>#VALUE!</v>
      </c>
      <c r="GZ98" t="e">
        <f>AND('PROG FORMACIÓN TITULADA'!W653,"AAAAABnu7s8=")</f>
        <v>#VALUE!</v>
      </c>
      <c r="HA98" t="e">
        <f>AND('PROG FORMACIÓN TITULADA'!X653,"AAAAABnu7tA=")</f>
        <v>#VALUE!</v>
      </c>
      <c r="HB98" t="e">
        <f>AND('PROG FORMACIÓN TITULADA'!Y653,"AAAAABnu7tE=")</f>
        <v>#VALUE!</v>
      </c>
      <c r="HC98" t="e">
        <f>AND('PROG FORMACIÓN TITULADA'!Z653,"AAAAABnu7tI=")</f>
        <v>#VALUE!</v>
      </c>
      <c r="HD98">
        <f>IF('PROG FORMACIÓN TITULADA'!654:654,"AAAAABnu7tM=",0)</f>
        <v>0</v>
      </c>
      <c r="HE98" t="e">
        <f>AND('PROG FORMACIÓN TITULADA'!A654,"AAAAABnu7tQ=")</f>
        <v>#VALUE!</v>
      </c>
      <c r="HF98" t="e">
        <f>AND('PROG FORMACIÓN TITULADA'!B654,"AAAAABnu7tU=")</f>
        <v>#VALUE!</v>
      </c>
      <c r="HG98" t="e">
        <f>AND('PROG FORMACIÓN TITULADA'!C654,"AAAAABnu7tY=")</f>
        <v>#VALUE!</v>
      </c>
      <c r="HH98" t="e">
        <f>AND('PROG FORMACIÓN TITULADA'!D654,"AAAAABnu7tc=")</f>
        <v>#VALUE!</v>
      </c>
      <c r="HI98" t="e">
        <f>AND('PROG FORMACIÓN TITULADA'!E654,"AAAAABnu7tg=")</f>
        <v>#VALUE!</v>
      </c>
      <c r="HJ98" t="e">
        <f>AND('PROG FORMACIÓN TITULADA'!F654,"AAAAABnu7tk=")</f>
        <v>#VALUE!</v>
      </c>
      <c r="HK98" t="e">
        <f>AND('PROG FORMACIÓN TITULADA'!G654,"AAAAABnu7to=")</f>
        <v>#VALUE!</v>
      </c>
      <c r="HL98" t="e">
        <f>AND('PROG FORMACIÓN TITULADA'!H654,"AAAAABnu7ts=")</f>
        <v>#VALUE!</v>
      </c>
      <c r="HM98" t="e">
        <f>AND('PROG FORMACIÓN TITULADA'!I654,"AAAAABnu7tw=")</f>
        <v>#VALUE!</v>
      </c>
      <c r="HN98" t="e">
        <f>AND('PROG FORMACIÓN TITULADA'!J654,"AAAAABnu7t0=")</f>
        <v>#VALUE!</v>
      </c>
      <c r="HO98" t="e">
        <f>AND('PROG FORMACIÓN TITULADA'!K654,"AAAAABnu7t4=")</f>
        <v>#VALUE!</v>
      </c>
      <c r="HP98" t="e">
        <f>AND('PROG FORMACIÓN TITULADA'!L654,"AAAAABnu7t8=")</f>
        <v>#VALUE!</v>
      </c>
      <c r="HQ98" t="e">
        <f>AND('PROG FORMACIÓN TITULADA'!M654,"AAAAABnu7uA=")</f>
        <v>#VALUE!</v>
      </c>
      <c r="HR98" t="e">
        <f>AND('PROG FORMACIÓN TITULADA'!N654,"AAAAABnu7uE=")</f>
        <v>#VALUE!</v>
      </c>
      <c r="HS98" t="e">
        <f>AND('PROG FORMACIÓN TITULADA'!O654,"AAAAABnu7uI=")</f>
        <v>#VALUE!</v>
      </c>
      <c r="HT98" t="e">
        <f>AND('PROG FORMACIÓN TITULADA'!P654,"AAAAABnu7uM=")</f>
        <v>#VALUE!</v>
      </c>
      <c r="HU98" t="e">
        <f>AND('PROG FORMACIÓN TITULADA'!Q654,"AAAAABnu7uQ=")</f>
        <v>#VALUE!</v>
      </c>
      <c r="HV98" t="e">
        <f>AND('PROG FORMACIÓN TITULADA'!R654,"AAAAABnu7uU=")</f>
        <v>#VALUE!</v>
      </c>
      <c r="HW98" t="e">
        <f>AND('PROG FORMACIÓN TITULADA'!S654,"AAAAABnu7uY=")</f>
        <v>#VALUE!</v>
      </c>
      <c r="HX98" t="e">
        <f>AND('PROG FORMACIÓN TITULADA'!T654,"AAAAABnu7uc=")</f>
        <v>#VALUE!</v>
      </c>
      <c r="HY98" t="e">
        <f>AND('PROG FORMACIÓN TITULADA'!U654,"AAAAABnu7ug=")</f>
        <v>#VALUE!</v>
      </c>
      <c r="HZ98" t="e">
        <f>AND('PROG FORMACIÓN TITULADA'!V654,"AAAAABnu7uk=")</f>
        <v>#VALUE!</v>
      </c>
      <c r="IA98" t="e">
        <f>AND('PROG FORMACIÓN TITULADA'!W654,"AAAAABnu7uo=")</f>
        <v>#VALUE!</v>
      </c>
      <c r="IB98" t="e">
        <f>AND('PROG FORMACIÓN TITULADA'!X654,"AAAAABnu7us=")</f>
        <v>#VALUE!</v>
      </c>
      <c r="IC98" t="e">
        <f>AND('PROG FORMACIÓN TITULADA'!Y654,"AAAAABnu7uw=")</f>
        <v>#VALUE!</v>
      </c>
      <c r="ID98" t="e">
        <f>AND('PROG FORMACIÓN TITULADA'!Z654,"AAAAABnu7u0=")</f>
        <v>#VALUE!</v>
      </c>
      <c r="IE98">
        <f>IF('PROG FORMACIÓN TITULADA'!655:655,"AAAAABnu7u4=",0)</f>
        <v>0</v>
      </c>
      <c r="IF98" t="e">
        <f>AND('PROG FORMACIÓN TITULADA'!A655,"AAAAABnu7u8=")</f>
        <v>#VALUE!</v>
      </c>
      <c r="IG98" t="e">
        <f>AND('PROG FORMACIÓN TITULADA'!B655,"AAAAABnu7vA=")</f>
        <v>#VALUE!</v>
      </c>
      <c r="IH98" t="e">
        <f>AND('PROG FORMACIÓN TITULADA'!C655,"AAAAABnu7vE=")</f>
        <v>#VALUE!</v>
      </c>
      <c r="II98" t="e">
        <f>AND('PROG FORMACIÓN TITULADA'!D655,"AAAAABnu7vI=")</f>
        <v>#VALUE!</v>
      </c>
      <c r="IJ98" t="e">
        <f>AND('PROG FORMACIÓN TITULADA'!E655,"AAAAABnu7vM=")</f>
        <v>#VALUE!</v>
      </c>
      <c r="IK98" t="e">
        <f>AND('PROG FORMACIÓN TITULADA'!F655,"AAAAABnu7vQ=")</f>
        <v>#VALUE!</v>
      </c>
      <c r="IL98" t="e">
        <f>AND('PROG FORMACIÓN TITULADA'!G655,"AAAAABnu7vU=")</f>
        <v>#VALUE!</v>
      </c>
      <c r="IM98" t="e">
        <f>AND('PROG FORMACIÓN TITULADA'!H655,"AAAAABnu7vY=")</f>
        <v>#VALUE!</v>
      </c>
      <c r="IN98" t="e">
        <f>AND('PROG FORMACIÓN TITULADA'!I655,"AAAAABnu7vc=")</f>
        <v>#VALUE!</v>
      </c>
      <c r="IO98" t="e">
        <f>AND('PROG FORMACIÓN TITULADA'!J655,"AAAAABnu7vg=")</f>
        <v>#VALUE!</v>
      </c>
      <c r="IP98" t="e">
        <f>AND('PROG FORMACIÓN TITULADA'!K655,"AAAAABnu7vk=")</f>
        <v>#VALUE!</v>
      </c>
      <c r="IQ98" t="e">
        <f>AND('PROG FORMACIÓN TITULADA'!L655,"AAAAABnu7vo=")</f>
        <v>#VALUE!</v>
      </c>
      <c r="IR98" t="e">
        <f>AND('PROG FORMACIÓN TITULADA'!M655,"AAAAABnu7vs=")</f>
        <v>#VALUE!</v>
      </c>
      <c r="IS98" t="e">
        <f>AND('PROG FORMACIÓN TITULADA'!N655,"AAAAABnu7vw=")</f>
        <v>#VALUE!</v>
      </c>
      <c r="IT98" t="e">
        <f>AND('PROG FORMACIÓN TITULADA'!O655,"AAAAABnu7v0=")</f>
        <v>#VALUE!</v>
      </c>
      <c r="IU98" t="e">
        <f>AND('PROG FORMACIÓN TITULADA'!P655,"AAAAABnu7v4=")</f>
        <v>#VALUE!</v>
      </c>
      <c r="IV98" t="e">
        <f>AND('PROG FORMACIÓN TITULADA'!Q655,"AAAAABnu7v8=")</f>
        <v>#VALUE!</v>
      </c>
    </row>
    <row r="99" spans="1:256" x14ac:dyDescent="0.2">
      <c r="A99" t="e">
        <f>AND('PROG FORMACIÓN TITULADA'!R655,"AAAAAHPP6gA=")</f>
        <v>#VALUE!</v>
      </c>
      <c r="B99" t="e">
        <f>AND('PROG FORMACIÓN TITULADA'!S655,"AAAAAHPP6gE=")</f>
        <v>#VALUE!</v>
      </c>
      <c r="C99" t="e">
        <f>AND('PROG FORMACIÓN TITULADA'!T655,"AAAAAHPP6gI=")</f>
        <v>#VALUE!</v>
      </c>
      <c r="D99" t="e">
        <f>AND('PROG FORMACIÓN TITULADA'!U655,"AAAAAHPP6gM=")</f>
        <v>#VALUE!</v>
      </c>
      <c r="E99" t="e">
        <f>AND('PROG FORMACIÓN TITULADA'!V655,"AAAAAHPP6gQ=")</f>
        <v>#VALUE!</v>
      </c>
      <c r="F99" t="e">
        <f>AND('PROG FORMACIÓN TITULADA'!W655,"AAAAAHPP6gU=")</f>
        <v>#VALUE!</v>
      </c>
      <c r="G99" t="e">
        <f>AND('PROG FORMACIÓN TITULADA'!X655,"AAAAAHPP6gY=")</f>
        <v>#VALUE!</v>
      </c>
      <c r="H99" t="e">
        <f>AND('PROG FORMACIÓN TITULADA'!Y655,"AAAAAHPP6gc=")</f>
        <v>#VALUE!</v>
      </c>
      <c r="I99" t="e">
        <f>AND('PROG FORMACIÓN TITULADA'!Z655,"AAAAAHPP6gg=")</f>
        <v>#VALUE!</v>
      </c>
      <c r="J99">
        <f>IF('PROG FORMACIÓN TITULADA'!656:656,"AAAAAHPP6gk=",0)</f>
        <v>0</v>
      </c>
      <c r="K99" t="e">
        <f>AND('PROG FORMACIÓN TITULADA'!A656,"AAAAAHPP6go=")</f>
        <v>#VALUE!</v>
      </c>
      <c r="L99" t="e">
        <f>AND('PROG FORMACIÓN TITULADA'!B656,"AAAAAHPP6gs=")</f>
        <v>#VALUE!</v>
      </c>
      <c r="M99" t="e">
        <f>AND('PROG FORMACIÓN TITULADA'!C656,"AAAAAHPP6gw=")</f>
        <v>#VALUE!</v>
      </c>
      <c r="N99" t="e">
        <f>AND('PROG FORMACIÓN TITULADA'!D656,"AAAAAHPP6g0=")</f>
        <v>#VALUE!</v>
      </c>
      <c r="O99" t="e">
        <f>AND('PROG FORMACIÓN TITULADA'!E656,"AAAAAHPP6g4=")</f>
        <v>#VALUE!</v>
      </c>
      <c r="P99" t="e">
        <f>AND('PROG FORMACIÓN TITULADA'!F656,"AAAAAHPP6g8=")</f>
        <v>#VALUE!</v>
      </c>
      <c r="Q99" t="e">
        <f>AND('PROG FORMACIÓN TITULADA'!G656,"AAAAAHPP6hA=")</f>
        <v>#VALUE!</v>
      </c>
      <c r="R99" t="e">
        <f>AND('PROG FORMACIÓN TITULADA'!H656,"AAAAAHPP6hE=")</f>
        <v>#VALUE!</v>
      </c>
      <c r="S99" t="e">
        <f>AND('PROG FORMACIÓN TITULADA'!I656,"AAAAAHPP6hI=")</f>
        <v>#VALUE!</v>
      </c>
      <c r="T99" t="e">
        <f>AND('PROG FORMACIÓN TITULADA'!J656,"AAAAAHPP6hM=")</f>
        <v>#VALUE!</v>
      </c>
      <c r="U99" t="e">
        <f>AND('PROG FORMACIÓN TITULADA'!K656,"AAAAAHPP6hQ=")</f>
        <v>#VALUE!</v>
      </c>
      <c r="V99" t="e">
        <f>AND('PROG FORMACIÓN TITULADA'!L656,"AAAAAHPP6hU=")</f>
        <v>#VALUE!</v>
      </c>
      <c r="W99" t="e">
        <f>AND('PROG FORMACIÓN TITULADA'!M656,"AAAAAHPP6hY=")</f>
        <v>#VALUE!</v>
      </c>
      <c r="X99" t="e">
        <f>AND('PROG FORMACIÓN TITULADA'!N656,"AAAAAHPP6hc=")</f>
        <v>#VALUE!</v>
      </c>
      <c r="Y99" t="e">
        <f>AND('PROG FORMACIÓN TITULADA'!O656,"AAAAAHPP6hg=")</f>
        <v>#VALUE!</v>
      </c>
      <c r="Z99" t="e">
        <f>AND('PROG FORMACIÓN TITULADA'!P656,"AAAAAHPP6hk=")</f>
        <v>#VALUE!</v>
      </c>
      <c r="AA99" t="e">
        <f>AND('PROG FORMACIÓN TITULADA'!Q656,"AAAAAHPP6ho=")</f>
        <v>#VALUE!</v>
      </c>
      <c r="AB99" t="e">
        <f>AND('PROG FORMACIÓN TITULADA'!R656,"AAAAAHPP6hs=")</f>
        <v>#VALUE!</v>
      </c>
      <c r="AC99" t="e">
        <f>AND('PROG FORMACIÓN TITULADA'!S656,"AAAAAHPP6hw=")</f>
        <v>#VALUE!</v>
      </c>
      <c r="AD99" t="e">
        <f>AND('PROG FORMACIÓN TITULADA'!T656,"AAAAAHPP6h0=")</f>
        <v>#VALUE!</v>
      </c>
      <c r="AE99" t="e">
        <f>AND('PROG FORMACIÓN TITULADA'!U656,"AAAAAHPP6h4=")</f>
        <v>#VALUE!</v>
      </c>
      <c r="AF99" t="e">
        <f>AND('PROG FORMACIÓN TITULADA'!V656,"AAAAAHPP6h8=")</f>
        <v>#VALUE!</v>
      </c>
      <c r="AG99" t="e">
        <f>AND('PROG FORMACIÓN TITULADA'!W656,"AAAAAHPP6iA=")</f>
        <v>#VALUE!</v>
      </c>
      <c r="AH99" t="e">
        <f>AND('PROG FORMACIÓN TITULADA'!X656,"AAAAAHPP6iE=")</f>
        <v>#VALUE!</v>
      </c>
      <c r="AI99" t="e">
        <f>AND('PROG FORMACIÓN TITULADA'!Y656,"AAAAAHPP6iI=")</f>
        <v>#VALUE!</v>
      </c>
      <c r="AJ99" t="e">
        <f>AND('PROG FORMACIÓN TITULADA'!Z656,"AAAAAHPP6iM=")</f>
        <v>#VALUE!</v>
      </c>
      <c r="AK99">
        <f>IF('PROG FORMACIÓN TITULADA'!657:657,"AAAAAHPP6iQ=",0)</f>
        <v>0</v>
      </c>
      <c r="AL99" t="e">
        <f>AND('PROG FORMACIÓN TITULADA'!A657,"AAAAAHPP6iU=")</f>
        <v>#VALUE!</v>
      </c>
      <c r="AM99" t="e">
        <f>AND('PROG FORMACIÓN TITULADA'!B657,"AAAAAHPP6iY=")</f>
        <v>#VALUE!</v>
      </c>
      <c r="AN99" t="e">
        <f>AND('PROG FORMACIÓN TITULADA'!C657,"AAAAAHPP6ic=")</f>
        <v>#VALUE!</v>
      </c>
      <c r="AO99" t="e">
        <f>AND('PROG FORMACIÓN TITULADA'!D657,"AAAAAHPP6ig=")</f>
        <v>#VALUE!</v>
      </c>
      <c r="AP99" t="e">
        <f>AND('PROG FORMACIÓN TITULADA'!E657,"AAAAAHPP6ik=")</f>
        <v>#VALUE!</v>
      </c>
      <c r="AQ99" t="e">
        <f>AND('PROG FORMACIÓN TITULADA'!F657,"AAAAAHPP6io=")</f>
        <v>#VALUE!</v>
      </c>
      <c r="AR99" t="e">
        <f>AND('PROG FORMACIÓN TITULADA'!G657,"AAAAAHPP6is=")</f>
        <v>#VALUE!</v>
      </c>
      <c r="AS99" t="e">
        <f>AND('PROG FORMACIÓN TITULADA'!H657,"AAAAAHPP6iw=")</f>
        <v>#VALUE!</v>
      </c>
      <c r="AT99" t="e">
        <f>AND('PROG FORMACIÓN TITULADA'!I657,"AAAAAHPP6i0=")</f>
        <v>#VALUE!</v>
      </c>
      <c r="AU99" t="e">
        <f>AND('PROG FORMACIÓN TITULADA'!J657,"AAAAAHPP6i4=")</f>
        <v>#VALUE!</v>
      </c>
      <c r="AV99" t="e">
        <f>AND('PROG FORMACIÓN TITULADA'!K657,"AAAAAHPP6i8=")</f>
        <v>#VALUE!</v>
      </c>
      <c r="AW99" t="e">
        <f>AND('PROG FORMACIÓN TITULADA'!L657,"AAAAAHPP6jA=")</f>
        <v>#VALUE!</v>
      </c>
      <c r="AX99" t="e">
        <f>AND('PROG FORMACIÓN TITULADA'!M657,"AAAAAHPP6jE=")</f>
        <v>#VALUE!</v>
      </c>
      <c r="AY99" t="e">
        <f>AND('PROG FORMACIÓN TITULADA'!N657,"AAAAAHPP6jI=")</f>
        <v>#VALUE!</v>
      </c>
      <c r="AZ99" t="e">
        <f>AND('PROG FORMACIÓN TITULADA'!O657,"AAAAAHPP6jM=")</f>
        <v>#VALUE!</v>
      </c>
      <c r="BA99" t="e">
        <f>AND('PROG FORMACIÓN TITULADA'!P657,"AAAAAHPP6jQ=")</f>
        <v>#VALUE!</v>
      </c>
      <c r="BB99" t="e">
        <f>AND('PROG FORMACIÓN TITULADA'!Q657,"AAAAAHPP6jU=")</f>
        <v>#VALUE!</v>
      </c>
      <c r="BC99" t="e">
        <f>AND('PROG FORMACIÓN TITULADA'!R657,"AAAAAHPP6jY=")</f>
        <v>#VALUE!</v>
      </c>
      <c r="BD99" t="e">
        <f>AND('PROG FORMACIÓN TITULADA'!S657,"AAAAAHPP6jc=")</f>
        <v>#VALUE!</v>
      </c>
      <c r="BE99" t="e">
        <f>AND('PROG FORMACIÓN TITULADA'!T657,"AAAAAHPP6jg=")</f>
        <v>#VALUE!</v>
      </c>
      <c r="BF99" t="e">
        <f>AND('PROG FORMACIÓN TITULADA'!U657,"AAAAAHPP6jk=")</f>
        <v>#VALUE!</v>
      </c>
      <c r="BG99" t="e">
        <f>AND('PROG FORMACIÓN TITULADA'!V657,"AAAAAHPP6jo=")</f>
        <v>#VALUE!</v>
      </c>
      <c r="BH99" t="e">
        <f>AND('PROG FORMACIÓN TITULADA'!W657,"AAAAAHPP6js=")</f>
        <v>#VALUE!</v>
      </c>
      <c r="BI99" t="e">
        <f>AND('PROG FORMACIÓN TITULADA'!X657,"AAAAAHPP6jw=")</f>
        <v>#VALUE!</v>
      </c>
      <c r="BJ99" t="e">
        <f>AND('PROG FORMACIÓN TITULADA'!Y657,"AAAAAHPP6j0=")</f>
        <v>#VALUE!</v>
      </c>
      <c r="BK99" t="e">
        <f>AND('PROG FORMACIÓN TITULADA'!Z657,"AAAAAHPP6j4=")</f>
        <v>#VALUE!</v>
      </c>
      <c r="BL99">
        <f>IF('PROG FORMACIÓN TITULADA'!658:658,"AAAAAHPP6j8=",0)</f>
        <v>0</v>
      </c>
      <c r="BM99" t="e">
        <f>AND('PROG FORMACIÓN TITULADA'!A658,"AAAAAHPP6kA=")</f>
        <v>#VALUE!</v>
      </c>
      <c r="BN99" t="e">
        <f>AND('PROG FORMACIÓN TITULADA'!B658,"AAAAAHPP6kE=")</f>
        <v>#VALUE!</v>
      </c>
      <c r="BO99" t="e">
        <f>AND('PROG FORMACIÓN TITULADA'!C658,"AAAAAHPP6kI=")</f>
        <v>#VALUE!</v>
      </c>
      <c r="BP99" t="e">
        <f>AND('PROG FORMACIÓN TITULADA'!D658,"AAAAAHPP6kM=")</f>
        <v>#VALUE!</v>
      </c>
      <c r="BQ99" t="e">
        <f>AND('PROG FORMACIÓN TITULADA'!E658,"AAAAAHPP6kQ=")</f>
        <v>#VALUE!</v>
      </c>
      <c r="BR99" t="e">
        <f>AND('PROG FORMACIÓN TITULADA'!F658,"AAAAAHPP6kU=")</f>
        <v>#VALUE!</v>
      </c>
      <c r="BS99" t="e">
        <f>AND('PROG FORMACIÓN TITULADA'!G658,"AAAAAHPP6kY=")</f>
        <v>#VALUE!</v>
      </c>
      <c r="BT99" t="e">
        <f>AND('PROG FORMACIÓN TITULADA'!H658,"AAAAAHPP6kc=")</f>
        <v>#VALUE!</v>
      </c>
      <c r="BU99" t="e">
        <f>AND('PROG FORMACIÓN TITULADA'!I658,"AAAAAHPP6kg=")</f>
        <v>#VALUE!</v>
      </c>
      <c r="BV99" t="e">
        <f>AND('PROG FORMACIÓN TITULADA'!J658,"AAAAAHPP6kk=")</f>
        <v>#VALUE!</v>
      </c>
      <c r="BW99" t="e">
        <f>AND('PROG FORMACIÓN TITULADA'!K658,"AAAAAHPP6ko=")</f>
        <v>#VALUE!</v>
      </c>
      <c r="BX99" t="e">
        <f>AND('PROG FORMACIÓN TITULADA'!L658,"AAAAAHPP6ks=")</f>
        <v>#VALUE!</v>
      </c>
      <c r="BY99" t="e">
        <f>AND('PROG FORMACIÓN TITULADA'!M658,"AAAAAHPP6kw=")</f>
        <v>#VALUE!</v>
      </c>
      <c r="BZ99" t="e">
        <f>AND('PROG FORMACIÓN TITULADA'!N658,"AAAAAHPP6k0=")</f>
        <v>#VALUE!</v>
      </c>
      <c r="CA99" t="e">
        <f>AND('PROG FORMACIÓN TITULADA'!O658,"AAAAAHPP6k4=")</f>
        <v>#VALUE!</v>
      </c>
      <c r="CB99" t="e">
        <f>AND('PROG FORMACIÓN TITULADA'!P658,"AAAAAHPP6k8=")</f>
        <v>#VALUE!</v>
      </c>
      <c r="CC99" t="e">
        <f>AND('PROG FORMACIÓN TITULADA'!Q658,"AAAAAHPP6lA=")</f>
        <v>#VALUE!</v>
      </c>
      <c r="CD99" t="e">
        <f>AND('PROG FORMACIÓN TITULADA'!R658,"AAAAAHPP6lE=")</f>
        <v>#VALUE!</v>
      </c>
      <c r="CE99" t="e">
        <f>AND('PROG FORMACIÓN TITULADA'!S658,"AAAAAHPP6lI=")</f>
        <v>#VALUE!</v>
      </c>
      <c r="CF99" t="e">
        <f>AND('PROG FORMACIÓN TITULADA'!T658,"AAAAAHPP6lM=")</f>
        <v>#VALUE!</v>
      </c>
      <c r="CG99" t="e">
        <f>AND('PROG FORMACIÓN TITULADA'!U658,"AAAAAHPP6lQ=")</f>
        <v>#VALUE!</v>
      </c>
      <c r="CH99" t="e">
        <f>AND('PROG FORMACIÓN TITULADA'!V658,"AAAAAHPP6lU=")</f>
        <v>#VALUE!</v>
      </c>
      <c r="CI99" t="e">
        <f>AND('PROG FORMACIÓN TITULADA'!W658,"AAAAAHPP6lY=")</f>
        <v>#VALUE!</v>
      </c>
      <c r="CJ99" t="e">
        <f>AND('PROG FORMACIÓN TITULADA'!X658,"AAAAAHPP6lc=")</f>
        <v>#VALUE!</v>
      </c>
      <c r="CK99" t="e">
        <f>AND('PROG FORMACIÓN TITULADA'!Y658,"AAAAAHPP6lg=")</f>
        <v>#VALUE!</v>
      </c>
      <c r="CL99" t="e">
        <f>AND('PROG FORMACIÓN TITULADA'!Z658,"AAAAAHPP6lk=")</f>
        <v>#VALUE!</v>
      </c>
      <c r="CM99">
        <f>IF('PROG FORMACIÓN TITULADA'!659:659,"AAAAAHPP6lo=",0)</f>
        <v>0</v>
      </c>
      <c r="CN99" t="e">
        <f>AND('PROG FORMACIÓN TITULADA'!A659,"AAAAAHPP6ls=")</f>
        <v>#VALUE!</v>
      </c>
      <c r="CO99" t="e">
        <f>AND('PROG FORMACIÓN TITULADA'!B659,"AAAAAHPP6lw=")</f>
        <v>#VALUE!</v>
      </c>
      <c r="CP99" t="e">
        <f>AND('PROG FORMACIÓN TITULADA'!C659,"AAAAAHPP6l0=")</f>
        <v>#VALUE!</v>
      </c>
      <c r="CQ99" t="e">
        <f>AND('PROG FORMACIÓN TITULADA'!D659,"AAAAAHPP6l4=")</f>
        <v>#VALUE!</v>
      </c>
      <c r="CR99" t="e">
        <f>AND('PROG FORMACIÓN TITULADA'!E659,"AAAAAHPP6l8=")</f>
        <v>#VALUE!</v>
      </c>
      <c r="CS99" t="e">
        <f>AND('PROG FORMACIÓN TITULADA'!F659,"AAAAAHPP6mA=")</f>
        <v>#VALUE!</v>
      </c>
      <c r="CT99" t="e">
        <f>AND('PROG FORMACIÓN TITULADA'!G659,"AAAAAHPP6mE=")</f>
        <v>#VALUE!</v>
      </c>
      <c r="CU99" t="e">
        <f>AND('PROG FORMACIÓN TITULADA'!H659,"AAAAAHPP6mI=")</f>
        <v>#VALUE!</v>
      </c>
      <c r="CV99" t="e">
        <f>AND('PROG FORMACIÓN TITULADA'!I659,"AAAAAHPP6mM=")</f>
        <v>#VALUE!</v>
      </c>
      <c r="CW99" t="e">
        <f>AND('PROG FORMACIÓN TITULADA'!J659,"AAAAAHPP6mQ=")</f>
        <v>#VALUE!</v>
      </c>
      <c r="CX99" t="e">
        <f>AND('PROG FORMACIÓN TITULADA'!K659,"AAAAAHPP6mU=")</f>
        <v>#VALUE!</v>
      </c>
      <c r="CY99" t="e">
        <f>AND('PROG FORMACIÓN TITULADA'!L659,"AAAAAHPP6mY=")</f>
        <v>#VALUE!</v>
      </c>
      <c r="CZ99" t="e">
        <f>AND('PROG FORMACIÓN TITULADA'!M659,"AAAAAHPP6mc=")</f>
        <v>#VALUE!</v>
      </c>
      <c r="DA99" t="e">
        <f>AND('PROG FORMACIÓN TITULADA'!N659,"AAAAAHPP6mg=")</f>
        <v>#VALUE!</v>
      </c>
      <c r="DB99" t="e">
        <f>AND('PROG FORMACIÓN TITULADA'!O659,"AAAAAHPP6mk=")</f>
        <v>#VALUE!</v>
      </c>
      <c r="DC99" t="e">
        <f>AND('PROG FORMACIÓN TITULADA'!P659,"AAAAAHPP6mo=")</f>
        <v>#VALUE!</v>
      </c>
      <c r="DD99" t="e">
        <f>AND('PROG FORMACIÓN TITULADA'!Q659,"AAAAAHPP6ms=")</f>
        <v>#VALUE!</v>
      </c>
      <c r="DE99" t="e">
        <f>AND('PROG FORMACIÓN TITULADA'!R659,"AAAAAHPP6mw=")</f>
        <v>#VALUE!</v>
      </c>
      <c r="DF99" t="e">
        <f>AND('PROG FORMACIÓN TITULADA'!S659,"AAAAAHPP6m0=")</f>
        <v>#VALUE!</v>
      </c>
      <c r="DG99" t="e">
        <f>AND('PROG FORMACIÓN TITULADA'!T659,"AAAAAHPP6m4=")</f>
        <v>#VALUE!</v>
      </c>
      <c r="DH99" t="e">
        <f>AND('PROG FORMACIÓN TITULADA'!U659,"AAAAAHPP6m8=")</f>
        <v>#VALUE!</v>
      </c>
      <c r="DI99" t="e">
        <f>AND('PROG FORMACIÓN TITULADA'!V659,"AAAAAHPP6nA=")</f>
        <v>#VALUE!</v>
      </c>
      <c r="DJ99" t="e">
        <f>AND('PROG FORMACIÓN TITULADA'!W659,"AAAAAHPP6nE=")</f>
        <v>#VALUE!</v>
      </c>
      <c r="DK99" t="e">
        <f>AND('PROG FORMACIÓN TITULADA'!X659,"AAAAAHPP6nI=")</f>
        <v>#VALUE!</v>
      </c>
      <c r="DL99" t="e">
        <f>AND('PROG FORMACIÓN TITULADA'!Y659,"AAAAAHPP6nM=")</f>
        <v>#VALUE!</v>
      </c>
      <c r="DM99" t="e">
        <f>AND('PROG FORMACIÓN TITULADA'!Z659,"AAAAAHPP6nQ=")</f>
        <v>#VALUE!</v>
      </c>
      <c r="DN99">
        <f>IF('PROG FORMACIÓN TITULADA'!660:660,"AAAAAHPP6nU=",0)</f>
        <v>0</v>
      </c>
      <c r="DO99" t="e">
        <f>AND('PROG FORMACIÓN TITULADA'!A660,"AAAAAHPP6nY=")</f>
        <v>#VALUE!</v>
      </c>
      <c r="DP99" t="e">
        <f>AND('PROG FORMACIÓN TITULADA'!B660,"AAAAAHPP6nc=")</f>
        <v>#VALUE!</v>
      </c>
      <c r="DQ99" t="e">
        <f>AND('PROG FORMACIÓN TITULADA'!C660,"AAAAAHPP6ng=")</f>
        <v>#VALUE!</v>
      </c>
      <c r="DR99" t="e">
        <f>AND('PROG FORMACIÓN TITULADA'!D660,"AAAAAHPP6nk=")</f>
        <v>#VALUE!</v>
      </c>
      <c r="DS99" t="e">
        <f>AND('PROG FORMACIÓN TITULADA'!E660,"AAAAAHPP6no=")</f>
        <v>#VALUE!</v>
      </c>
      <c r="DT99" t="e">
        <f>AND('PROG FORMACIÓN TITULADA'!F660,"AAAAAHPP6ns=")</f>
        <v>#VALUE!</v>
      </c>
      <c r="DU99" t="e">
        <f>AND('PROG FORMACIÓN TITULADA'!G660,"AAAAAHPP6nw=")</f>
        <v>#VALUE!</v>
      </c>
      <c r="DV99" t="e">
        <f>AND('PROG FORMACIÓN TITULADA'!H660,"AAAAAHPP6n0=")</f>
        <v>#VALUE!</v>
      </c>
      <c r="DW99" t="e">
        <f>AND('PROG FORMACIÓN TITULADA'!I660,"AAAAAHPP6n4=")</f>
        <v>#VALUE!</v>
      </c>
      <c r="DX99" t="e">
        <f>AND('PROG FORMACIÓN TITULADA'!J660,"AAAAAHPP6n8=")</f>
        <v>#VALUE!</v>
      </c>
      <c r="DY99" t="e">
        <f>AND('PROG FORMACIÓN TITULADA'!K660,"AAAAAHPP6oA=")</f>
        <v>#VALUE!</v>
      </c>
      <c r="DZ99" t="e">
        <f>AND('PROG FORMACIÓN TITULADA'!L660,"AAAAAHPP6oE=")</f>
        <v>#VALUE!</v>
      </c>
      <c r="EA99" t="e">
        <f>AND('PROG FORMACIÓN TITULADA'!M660,"AAAAAHPP6oI=")</f>
        <v>#VALUE!</v>
      </c>
      <c r="EB99" t="e">
        <f>AND('PROG FORMACIÓN TITULADA'!N660,"AAAAAHPP6oM=")</f>
        <v>#VALUE!</v>
      </c>
      <c r="EC99" t="e">
        <f>AND('PROG FORMACIÓN TITULADA'!O660,"AAAAAHPP6oQ=")</f>
        <v>#VALUE!</v>
      </c>
      <c r="ED99" t="e">
        <f>AND('PROG FORMACIÓN TITULADA'!P660,"AAAAAHPP6oU=")</f>
        <v>#VALUE!</v>
      </c>
      <c r="EE99" t="e">
        <f>AND('PROG FORMACIÓN TITULADA'!Q660,"AAAAAHPP6oY=")</f>
        <v>#VALUE!</v>
      </c>
      <c r="EF99" t="e">
        <f>AND('PROG FORMACIÓN TITULADA'!R660,"AAAAAHPP6oc=")</f>
        <v>#VALUE!</v>
      </c>
      <c r="EG99" t="e">
        <f>AND('PROG FORMACIÓN TITULADA'!S660,"AAAAAHPP6og=")</f>
        <v>#VALUE!</v>
      </c>
      <c r="EH99" t="e">
        <f>AND('PROG FORMACIÓN TITULADA'!T660,"AAAAAHPP6ok=")</f>
        <v>#VALUE!</v>
      </c>
      <c r="EI99" t="e">
        <f>AND('PROG FORMACIÓN TITULADA'!U660,"AAAAAHPP6oo=")</f>
        <v>#VALUE!</v>
      </c>
      <c r="EJ99" t="e">
        <f>AND('PROG FORMACIÓN TITULADA'!V660,"AAAAAHPP6os=")</f>
        <v>#VALUE!</v>
      </c>
      <c r="EK99" t="e">
        <f>AND('PROG FORMACIÓN TITULADA'!W660,"AAAAAHPP6ow=")</f>
        <v>#VALUE!</v>
      </c>
      <c r="EL99" t="e">
        <f>AND('PROG FORMACIÓN TITULADA'!X660,"AAAAAHPP6o0=")</f>
        <v>#VALUE!</v>
      </c>
      <c r="EM99" t="e">
        <f>AND('PROG FORMACIÓN TITULADA'!Y660,"AAAAAHPP6o4=")</f>
        <v>#VALUE!</v>
      </c>
      <c r="EN99" t="e">
        <f>AND('PROG FORMACIÓN TITULADA'!Z660,"AAAAAHPP6o8=")</f>
        <v>#VALUE!</v>
      </c>
      <c r="EO99">
        <f>IF('PROG FORMACIÓN TITULADA'!661:661,"AAAAAHPP6pA=",0)</f>
        <v>0</v>
      </c>
      <c r="EP99" t="e">
        <f>AND('PROG FORMACIÓN TITULADA'!A661,"AAAAAHPP6pE=")</f>
        <v>#VALUE!</v>
      </c>
      <c r="EQ99" t="e">
        <f>AND('PROG FORMACIÓN TITULADA'!B661,"AAAAAHPP6pI=")</f>
        <v>#VALUE!</v>
      </c>
      <c r="ER99" t="e">
        <f>AND('PROG FORMACIÓN TITULADA'!C661,"AAAAAHPP6pM=")</f>
        <v>#VALUE!</v>
      </c>
      <c r="ES99" t="e">
        <f>AND('PROG FORMACIÓN TITULADA'!D661,"AAAAAHPP6pQ=")</f>
        <v>#VALUE!</v>
      </c>
      <c r="ET99" t="e">
        <f>AND('PROG FORMACIÓN TITULADA'!E661,"AAAAAHPP6pU=")</f>
        <v>#VALUE!</v>
      </c>
      <c r="EU99" t="e">
        <f>AND('PROG FORMACIÓN TITULADA'!F661,"AAAAAHPP6pY=")</f>
        <v>#VALUE!</v>
      </c>
      <c r="EV99" t="e">
        <f>AND('PROG FORMACIÓN TITULADA'!G661,"AAAAAHPP6pc=")</f>
        <v>#VALUE!</v>
      </c>
      <c r="EW99" t="e">
        <f>AND('PROG FORMACIÓN TITULADA'!H661,"AAAAAHPP6pg=")</f>
        <v>#VALUE!</v>
      </c>
      <c r="EX99" t="e">
        <f>AND('PROG FORMACIÓN TITULADA'!I661,"AAAAAHPP6pk=")</f>
        <v>#VALUE!</v>
      </c>
      <c r="EY99" t="e">
        <f>AND('PROG FORMACIÓN TITULADA'!J661,"AAAAAHPP6po=")</f>
        <v>#VALUE!</v>
      </c>
      <c r="EZ99" t="e">
        <f>AND('PROG FORMACIÓN TITULADA'!K661,"AAAAAHPP6ps=")</f>
        <v>#VALUE!</v>
      </c>
      <c r="FA99" t="e">
        <f>AND('PROG FORMACIÓN TITULADA'!L661,"AAAAAHPP6pw=")</f>
        <v>#VALUE!</v>
      </c>
      <c r="FB99" t="e">
        <f>AND('PROG FORMACIÓN TITULADA'!M661,"AAAAAHPP6p0=")</f>
        <v>#VALUE!</v>
      </c>
      <c r="FC99" t="e">
        <f>AND('PROG FORMACIÓN TITULADA'!N661,"AAAAAHPP6p4=")</f>
        <v>#VALUE!</v>
      </c>
      <c r="FD99" t="e">
        <f>AND('PROG FORMACIÓN TITULADA'!O661,"AAAAAHPP6p8=")</f>
        <v>#VALUE!</v>
      </c>
      <c r="FE99" t="e">
        <f>AND('PROG FORMACIÓN TITULADA'!P661,"AAAAAHPP6qA=")</f>
        <v>#VALUE!</v>
      </c>
      <c r="FF99" t="e">
        <f>AND('PROG FORMACIÓN TITULADA'!Q661,"AAAAAHPP6qE=")</f>
        <v>#VALUE!</v>
      </c>
      <c r="FG99" t="e">
        <f>AND('PROG FORMACIÓN TITULADA'!R661,"AAAAAHPP6qI=")</f>
        <v>#VALUE!</v>
      </c>
      <c r="FH99" t="e">
        <f>AND('PROG FORMACIÓN TITULADA'!S661,"AAAAAHPP6qM=")</f>
        <v>#VALUE!</v>
      </c>
      <c r="FI99" t="e">
        <f>AND('PROG FORMACIÓN TITULADA'!T661,"AAAAAHPP6qQ=")</f>
        <v>#VALUE!</v>
      </c>
      <c r="FJ99" t="e">
        <f>AND('PROG FORMACIÓN TITULADA'!U661,"AAAAAHPP6qU=")</f>
        <v>#VALUE!</v>
      </c>
      <c r="FK99" t="e">
        <f>AND('PROG FORMACIÓN TITULADA'!V661,"AAAAAHPP6qY=")</f>
        <v>#VALUE!</v>
      </c>
      <c r="FL99" t="e">
        <f>AND('PROG FORMACIÓN TITULADA'!W661,"AAAAAHPP6qc=")</f>
        <v>#VALUE!</v>
      </c>
      <c r="FM99" t="e">
        <f>AND('PROG FORMACIÓN TITULADA'!X661,"AAAAAHPP6qg=")</f>
        <v>#VALUE!</v>
      </c>
      <c r="FN99" t="e">
        <f>AND('PROG FORMACIÓN TITULADA'!Y661,"AAAAAHPP6qk=")</f>
        <v>#VALUE!</v>
      </c>
      <c r="FO99" t="e">
        <f>AND('PROG FORMACIÓN TITULADA'!Z661,"AAAAAHPP6qo=")</f>
        <v>#VALUE!</v>
      </c>
      <c r="FP99">
        <f>IF('PROG FORMACIÓN TITULADA'!662:662,"AAAAAHPP6qs=",0)</f>
        <v>0</v>
      </c>
      <c r="FQ99" t="e">
        <f>AND('PROG FORMACIÓN TITULADA'!A662,"AAAAAHPP6qw=")</f>
        <v>#VALUE!</v>
      </c>
      <c r="FR99" t="e">
        <f>AND('PROG FORMACIÓN TITULADA'!B662,"AAAAAHPP6q0=")</f>
        <v>#VALUE!</v>
      </c>
      <c r="FS99" t="e">
        <f>AND('PROG FORMACIÓN TITULADA'!C662,"AAAAAHPP6q4=")</f>
        <v>#VALUE!</v>
      </c>
      <c r="FT99" t="e">
        <f>AND('PROG FORMACIÓN TITULADA'!D662,"AAAAAHPP6q8=")</f>
        <v>#VALUE!</v>
      </c>
      <c r="FU99" t="e">
        <f>AND('PROG FORMACIÓN TITULADA'!E662,"AAAAAHPP6rA=")</f>
        <v>#VALUE!</v>
      </c>
      <c r="FV99" t="e">
        <f>AND('PROG FORMACIÓN TITULADA'!F662,"AAAAAHPP6rE=")</f>
        <v>#VALUE!</v>
      </c>
      <c r="FW99" t="e">
        <f>AND('PROG FORMACIÓN TITULADA'!G662,"AAAAAHPP6rI=")</f>
        <v>#VALUE!</v>
      </c>
      <c r="FX99" t="e">
        <f>AND('PROG FORMACIÓN TITULADA'!H662,"AAAAAHPP6rM=")</f>
        <v>#VALUE!</v>
      </c>
      <c r="FY99" t="e">
        <f>AND('PROG FORMACIÓN TITULADA'!I662,"AAAAAHPP6rQ=")</f>
        <v>#VALUE!</v>
      </c>
      <c r="FZ99" t="e">
        <f>AND('PROG FORMACIÓN TITULADA'!J662,"AAAAAHPP6rU=")</f>
        <v>#VALUE!</v>
      </c>
      <c r="GA99" t="e">
        <f>AND('PROG FORMACIÓN TITULADA'!K662,"AAAAAHPP6rY=")</f>
        <v>#VALUE!</v>
      </c>
      <c r="GB99" t="e">
        <f>AND('PROG FORMACIÓN TITULADA'!L662,"AAAAAHPP6rc=")</f>
        <v>#VALUE!</v>
      </c>
      <c r="GC99" t="e">
        <f>AND('PROG FORMACIÓN TITULADA'!M662,"AAAAAHPP6rg=")</f>
        <v>#VALUE!</v>
      </c>
      <c r="GD99" t="e">
        <f>AND('PROG FORMACIÓN TITULADA'!N662,"AAAAAHPP6rk=")</f>
        <v>#VALUE!</v>
      </c>
      <c r="GE99" t="e">
        <f>AND('PROG FORMACIÓN TITULADA'!O662,"AAAAAHPP6ro=")</f>
        <v>#VALUE!</v>
      </c>
      <c r="GF99" t="e">
        <f>AND('PROG FORMACIÓN TITULADA'!P662,"AAAAAHPP6rs=")</f>
        <v>#VALUE!</v>
      </c>
      <c r="GG99" t="e">
        <f>AND('PROG FORMACIÓN TITULADA'!Q662,"AAAAAHPP6rw=")</f>
        <v>#VALUE!</v>
      </c>
      <c r="GH99" t="e">
        <f>AND('PROG FORMACIÓN TITULADA'!R662,"AAAAAHPP6r0=")</f>
        <v>#VALUE!</v>
      </c>
      <c r="GI99" t="e">
        <f>AND('PROG FORMACIÓN TITULADA'!S662,"AAAAAHPP6r4=")</f>
        <v>#VALUE!</v>
      </c>
      <c r="GJ99" t="e">
        <f>AND('PROG FORMACIÓN TITULADA'!T662,"AAAAAHPP6r8=")</f>
        <v>#VALUE!</v>
      </c>
      <c r="GK99" t="e">
        <f>AND('PROG FORMACIÓN TITULADA'!U662,"AAAAAHPP6sA=")</f>
        <v>#VALUE!</v>
      </c>
      <c r="GL99" t="e">
        <f>AND('PROG FORMACIÓN TITULADA'!V662,"AAAAAHPP6sE=")</f>
        <v>#VALUE!</v>
      </c>
      <c r="GM99" t="e">
        <f>AND('PROG FORMACIÓN TITULADA'!W662,"AAAAAHPP6sI=")</f>
        <v>#VALUE!</v>
      </c>
      <c r="GN99" t="e">
        <f>AND('PROG FORMACIÓN TITULADA'!X662,"AAAAAHPP6sM=")</f>
        <v>#VALUE!</v>
      </c>
      <c r="GO99" t="e">
        <f>AND('PROG FORMACIÓN TITULADA'!Y662,"AAAAAHPP6sQ=")</f>
        <v>#VALUE!</v>
      </c>
      <c r="GP99" t="e">
        <f>AND('PROG FORMACIÓN TITULADA'!Z662,"AAAAAHPP6sU=")</f>
        <v>#VALUE!</v>
      </c>
      <c r="GQ99">
        <f>IF('PROG FORMACIÓN TITULADA'!663:663,"AAAAAHPP6sY=",0)</f>
        <v>0</v>
      </c>
      <c r="GR99" t="e">
        <f>AND('PROG FORMACIÓN TITULADA'!A663,"AAAAAHPP6sc=")</f>
        <v>#VALUE!</v>
      </c>
      <c r="GS99" t="e">
        <f>AND('PROG FORMACIÓN TITULADA'!B663,"AAAAAHPP6sg=")</f>
        <v>#VALUE!</v>
      </c>
      <c r="GT99" t="e">
        <f>AND('PROG FORMACIÓN TITULADA'!C663,"AAAAAHPP6sk=")</f>
        <v>#VALUE!</v>
      </c>
      <c r="GU99" t="e">
        <f>AND('PROG FORMACIÓN TITULADA'!D663,"AAAAAHPP6so=")</f>
        <v>#VALUE!</v>
      </c>
      <c r="GV99" t="e">
        <f>AND('PROG FORMACIÓN TITULADA'!E663,"AAAAAHPP6ss=")</f>
        <v>#VALUE!</v>
      </c>
      <c r="GW99" t="e">
        <f>AND('PROG FORMACIÓN TITULADA'!F663,"AAAAAHPP6sw=")</f>
        <v>#VALUE!</v>
      </c>
      <c r="GX99" t="e">
        <f>AND('PROG FORMACIÓN TITULADA'!G663,"AAAAAHPP6s0=")</f>
        <v>#VALUE!</v>
      </c>
      <c r="GY99" t="e">
        <f>AND('PROG FORMACIÓN TITULADA'!H663,"AAAAAHPP6s4=")</f>
        <v>#VALUE!</v>
      </c>
      <c r="GZ99" t="e">
        <f>AND('PROG FORMACIÓN TITULADA'!I663,"AAAAAHPP6s8=")</f>
        <v>#VALUE!</v>
      </c>
      <c r="HA99" t="e">
        <f>AND('PROG FORMACIÓN TITULADA'!J663,"AAAAAHPP6tA=")</f>
        <v>#VALUE!</v>
      </c>
      <c r="HB99" t="e">
        <f>AND('PROG FORMACIÓN TITULADA'!K663,"AAAAAHPP6tE=")</f>
        <v>#VALUE!</v>
      </c>
      <c r="HC99" t="e">
        <f>AND('PROG FORMACIÓN TITULADA'!L663,"AAAAAHPP6tI=")</f>
        <v>#VALUE!</v>
      </c>
      <c r="HD99" t="e">
        <f>AND('PROG FORMACIÓN TITULADA'!M663,"AAAAAHPP6tM=")</f>
        <v>#VALUE!</v>
      </c>
      <c r="HE99" t="e">
        <f>AND('PROG FORMACIÓN TITULADA'!N663,"AAAAAHPP6tQ=")</f>
        <v>#VALUE!</v>
      </c>
      <c r="HF99" t="e">
        <f>AND('PROG FORMACIÓN TITULADA'!O663,"AAAAAHPP6tU=")</f>
        <v>#VALUE!</v>
      </c>
      <c r="HG99" t="e">
        <f>AND('PROG FORMACIÓN TITULADA'!P663,"AAAAAHPP6tY=")</f>
        <v>#VALUE!</v>
      </c>
      <c r="HH99" t="e">
        <f>AND('PROG FORMACIÓN TITULADA'!Q663,"AAAAAHPP6tc=")</f>
        <v>#VALUE!</v>
      </c>
      <c r="HI99" t="e">
        <f>AND('PROG FORMACIÓN TITULADA'!R663,"AAAAAHPP6tg=")</f>
        <v>#VALUE!</v>
      </c>
      <c r="HJ99" t="e">
        <f>AND('PROG FORMACIÓN TITULADA'!S663,"AAAAAHPP6tk=")</f>
        <v>#VALUE!</v>
      </c>
      <c r="HK99" t="e">
        <f>AND('PROG FORMACIÓN TITULADA'!T663,"AAAAAHPP6to=")</f>
        <v>#VALUE!</v>
      </c>
      <c r="HL99" t="e">
        <f>AND('PROG FORMACIÓN TITULADA'!U663,"AAAAAHPP6ts=")</f>
        <v>#VALUE!</v>
      </c>
      <c r="HM99" t="e">
        <f>AND('PROG FORMACIÓN TITULADA'!V663,"AAAAAHPP6tw=")</f>
        <v>#VALUE!</v>
      </c>
      <c r="HN99" t="e">
        <f>AND('PROG FORMACIÓN TITULADA'!W663,"AAAAAHPP6t0=")</f>
        <v>#VALUE!</v>
      </c>
      <c r="HO99" t="e">
        <f>AND('PROG FORMACIÓN TITULADA'!X663,"AAAAAHPP6t4=")</f>
        <v>#VALUE!</v>
      </c>
      <c r="HP99" t="e">
        <f>AND('PROG FORMACIÓN TITULADA'!Y663,"AAAAAHPP6t8=")</f>
        <v>#VALUE!</v>
      </c>
      <c r="HQ99" t="e">
        <f>AND('PROG FORMACIÓN TITULADA'!Z663,"AAAAAHPP6uA=")</f>
        <v>#VALUE!</v>
      </c>
      <c r="HR99">
        <f>IF('PROG FORMACIÓN TITULADA'!664:664,"AAAAAHPP6uE=",0)</f>
        <v>0</v>
      </c>
      <c r="HS99" t="e">
        <f>AND('PROG FORMACIÓN TITULADA'!A664,"AAAAAHPP6uI=")</f>
        <v>#VALUE!</v>
      </c>
      <c r="HT99" t="e">
        <f>AND('PROG FORMACIÓN TITULADA'!B664,"AAAAAHPP6uM=")</f>
        <v>#VALUE!</v>
      </c>
      <c r="HU99" t="e">
        <f>AND('PROG FORMACIÓN TITULADA'!C664,"AAAAAHPP6uQ=")</f>
        <v>#VALUE!</v>
      </c>
      <c r="HV99" t="e">
        <f>AND('PROG FORMACIÓN TITULADA'!D664,"AAAAAHPP6uU=")</f>
        <v>#VALUE!</v>
      </c>
      <c r="HW99" t="e">
        <f>AND('PROG FORMACIÓN TITULADA'!E664,"AAAAAHPP6uY=")</f>
        <v>#VALUE!</v>
      </c>
      <c r="HX99" t="e">
        <f>AND('PROG FORMACIÓN TITULADA'!F664,"AAAAAHPP6uc=")</f>
        <v>#VALUE!</v>
      </c>
      <c r="HY99" t="e">
        <f>AND('PROG FORMACIÓN TITULADA'!G664,"AAAAAHPP6ug=")</f>
        <v>#VALUE!</v>
      </c>
      <c r="HZ99" t="e">
        <f>AND('PROG FORMACIÓN TITULADA'!H664,"AAAAAHPP6uk=")</f>
        <v>#VALUE!</v>
      </c>
      <c r="IA99" t="e">
        <f>AND('PROG FORMACIÓN TITULADA'!I664,"AAAAAHPP6uo=")</f>
        <v>#VALUE!</v>
      </c>
      <c r="IB99" t="e">
        <f>AND('PROG FORMACIÓN TITULADA'!J664,"AAAAAHPP6us=")</f>
        <v>#VALUE!</v>
      </c>
      <c r="IC99" t="e">
        <f>AND('PROG FORMACIÓN TITULADA'!K664,"AAAAAHPP6uw=")</f>
        <v>#VALUE!</v>
      </c>
      <c r="ID99" t="e">
        <f>AND('PROG FORMACIÓN TITULADA'!L664,"AAAAAHPP6u0=")</f>
        <v>#VALUE!</v>
      </c>
      <c r="IE99" t="e">
        <f>AND('PROG FORMACIÓN TITULADA'!M664,"AAAAAHPP6u4=")</f>
        <v>#VALUE!</v>
      </c>
      <c r="IF99" t="e">
        <f>AND('PROG FORMACIÓN TITULADA'!N664,"AAAAAHPP6u8=")</f>
        <v>#VALUE!</v>
      </c>
      <c r="IG99" t="e">
        <f>AND('PROG FORMACIÓN TITULADA'!O664,"AAAAAHPP6vA=")</f>
        <v>#VALUE!</v>
      </c>
      <c r="IH99" t="e">
        <f>AND('PROG FORMACIÓN TITULADA'!P664,"AAAAAHPP6vE=")</f>
        <v>#VALUE!</v>
      </c>
      <c r="II99" t="e">
        <f>AND('PROG FORMACIÓN TITULADA'!Q664,"AAAAAHPP6vI=")</f>
        <v>#VALUE!</v>
      </c>
      <c r="IJ99" t="e">
        <f>AND('PROG FORMACIÓN TITULADA'!R664,"AAAAAHPP6vM=")</f>
        <v>#VALUE!</v>
      </c>
      <c r="IK99" t="e">
        <f>AND('PROG FORMACIÓN TITULADA'!S664,"AAAAAHPP6vQ=")</f>
        <v>#VALUE!</v>
      </c>
      <c r="IL99" t="e">
        <f>AND('PROG FORMACIÓN TITULADA'!T664,"AAAAAHPP6vU=")</f>
        <v>#VALUE!</v>
      </c>
      <c r="IM99" t="e">
        <f>AND('PROG FORMACIÓN TITULADA'!U664,"AAAAAHPP6vY=")</f>
        <v>#VALUE!</v>
      </c>
      <c r="IN99" t="e">
        <f>AND('PROG FORMACIÓN TITULADA'!V664,"AAAAAHPP6vc=")</f>
        <v>#VALUE!</v>
      </c>
      <c r="IO99" t="e">
        <f>AND('PROG FORMACIÓN TITULADA'!W664,"AAAAAHPP6vg=")</f>
        <v>#VALUE!</v>
      </c>
      <c r="IP99" t="e">
        <f>AND('PROG FORMACIÓN TITULADA'!X664,"AAAAAHPP6vk=")</f>
        <v>#VALUE!</v>
      </c>
      <c r="IQ99" t="e">
        <f>AND('PROG FORMACIÓN TITULADA'!Y664,"AAAAAHPP6vo=")</f>
        <v>#VALUE!</v>
      </c>
      <c r="IR99" t="e">
        <f>AND('PROG FORMACIÓN TITULADA'!Z664,"AAAAAHPP6vs=")</f>
        <v>#VALUE!</v>
      </c>
      <c r="IS99">
        <f>IF('PROG FORMACIÓN TITULADA'!665:665,"AAAAAHPP6vw=",0)</f>
        <v>0</v>
      </c>
      <c r="IT99" t="e">
        <f>AND('PROG FORMACIÓN TITULADA'!A665,"AAAAAHPP6v0=")</f>
        <v>#VALUE!</v>
      </c>
      <c r="IU99" t="e">
        <f>AND('PROG FORMACIÓN TITULADA'!B665,"AAAAAHPP6v4=")</f>
        <v>#VALUE!</v>
      </c>
      <c r="IV99" t="e">
        <f>AND('PROG FORMACIÓN TITULADA'!C665,"AAAAAHPP6v8=")</f>
        <v>#VALUE!</v>
      </c>
    </row>
    <row r="100" spans="1:256" x14ac:dyDescent="0.2">
      <c r="A100" t="e">
        <f>AND('PROG FORMACIÓN TITULADA'!D665,"AAAAADPvPgA=")</f>
        <v>#VALUE!</v>
      </c>
      <c r="B100" t="e">
        <f>AND('PROG FORMACIÓN TITULADA'!E665,"AAAAADPvPgE=")</f>
        <v>#VALUE!</v>
      </c>
      <c r="C100" t="e">
        <f>AND('PROG FORMACIÓN TITULADA'!F665,"AAAAADPvPgI=")</f>
        <v>#VALUE!</v>
      </c>
      <c r="D100" t="e">
        <f>AND('PROG FORMACIÓN TITULADA'!G665,"AAAAADPvPgM=")</f>
        <v>#VALUE!</v>
      </c>
      <c r="E100" t="e">
        <f>AND('PROG FORMACIÓN TITULADA'!H665,"AAAAADPvPgQ=")</f>
        <v>#VALUE!</v>
      </c>
      <c r="F100" t="e">
        <f>AND('PROG FORMACIÓN TITULADA'!I665,"AAAAADPvPgU=")</f>
        <v>#VALUE!</v>
      </c>
      <c r="G100" t="e">
        <f>AND('PROG FORMACIÓN TITULADA'!J665,"AAAAADPvPgY=")</f>
        <v>#VALUE!</v>
      </c>
      <c r="H100" t="e">
        <f>AND('PROG FORMACIÓN TITULADA'!K665,"AAAAADPvPgc=")</f>
        <v>#VALUE!</v>
      </c>
      <c r="I100" t="e">
        <f>AND('PROG FORMACIÓN TITULADA'!L665,"AAAAADPvPgg=")</f>
        <v>#VALUE!</v>
      </c>
      <c r="J100" t="e">
        <f>AND('PROG FORMACIÓN TITULADA'!M665,"AAAAADPvPgk=")</f>
        <v>#VALUE!</v>
      </c>
      <c r="K100" t="e">
        <f>AND('PROG FORMACIÓN TITULADA'!N665,"AAAAADPvPgo=")</f>
        <v>#VALUE!</v>
      </c>
      <c r="L100" t="e">
        <f>AND('PROG FORMACIÓN TITULADA'!O665,"AAAAADPvPgs=")</f>
        <v>#VALUE!</v>
      </c>
      <c r="M100" t="e">
        <f>AND('PROG FORMACIÓN TITULADA'!P665,"AAAAADPvPgw=")</f>
        <v>#VALUE!</v>
      </c>
      <c r="N100" t="e">
        <f>AND('PROG FORMACIÓN TITULADA'!Q665,"AAAAADPvPg0=")</f>
        <v>#VALUE!</v>
      </c>
      <c r="O100" t="e">
        <f>AND('PROG FORMACIÓN TITULADA'!R665,"AAAAADPvPg4=")</f>
        <v>#VALUE!</v>
      </c>
      <c r="P100" t="e">
        <f>AND('PROG FORMACIÓN TITULADA'!S665,"AAAAADPvPg8=")</f>
        <v>#VALUE!</v>
      </c>
      <c r="Q100" t="e">
        <f>AND('PROG FORMACIÓN TITULADA'!T665,"AAAAADPvPhA=")</f>
        <v>#VALUE!</v>
      </c>
      <c r="R100" t="e">
        <f>AND('PROG FORMACIÓN TITULADA'!U665,"AAAAADPvPhE=")</f>
        <v>#VALUE!</v>
      </c>
      <c r="S100" t="e">
        <f>AND('PROG FORMACIÓN TITULADA'!V665,"AAAAADPvPhI=")</f>
        <v>#VALUE!</v>
      </c>
      <c r="T100" t="e">
        <f>AND('PROG FORMACIÓN TITULADA'!W665,"AAAAADPvPhM=")</f>
        <v>#VALUE!</v>
      </c>
      <c r="U100" t="e">
        <f>AND('PROG FORMACIÓN TITULADA'!X665,"AAAAADPvPhQ=")</f>
        <v>#VALUE!</v>
      </c>
      <c r="V100" t="e">
        <f>AND('PROG FORMACIÓN TITULADA'!Y665,"AAAAADPvPhU=")</f>
        <v>#VALUE!</v>
      </c>
      <c r="W100" t="e">
        <f>AND('PROG FORMACIÓN TITULADA'!Z665,"AAAAADPvPhY=")</f>
        <v>#VALUE!</v>
      </c>
      <c r="X100">
        <f>IF('PROG FORMACIÓN TITULADA'!666:666,"AAAAADPvPhc=",0)</f>
        <v>0</v>
      </c>
      <c r="Y100" t="e">
        <f>AND('PROG FORMACIÓN TITULADA'!A666,"AAAAADPvPhg=")</f>
        <v>#VALUE!</v>
      </c>
      <c r="Z100" t="e">
        <f>AND('PROG FORMACIÓN TITULADA'!B666,"AAAAADPvPhk=")</f>
        <v>#VALUE!</v>
      </c>
      <c r="AA100" t="e">
        <f>AND('PROG FORMACIÓN TITULADA'!C666,"AAAAADPvPho=")</f>
        <v>#VALUE!</v>
      </c>
      <c r="AB100" t="e">
        <f>AND('PROG FORMACIÓN TITULADA'!D666,"AAAAADPvPhs=")</f>
        <v>#VALUE!</v>
      </c>
      <c r="AC100" t="e">
        <f>AND('PROG FORMACIÓN TITULADA'!E666,"AAAAADPvPhw=")</f>
        <v>#VALUE!</v>
      </c>
      <c r="AD100" t="e">
        <f>AND('PROG FORMACIÓN TITULADA'!F666,"AAAAADPvPh0=")</f>
        <v>#VALUE!</v>
      </c>
      <c r="AE100" t="e">
        <f>AND('PROG FORMACIÓN TITULADA'!G666,"AAAAADPvPh4=")</f>
        <v>#VALUE!</v>
      </c>
      <c r="AF100" t="e">
        <f>AND('PROG FORMACIÓN TITULADA'!H666,"AAAAADPvPh8=")</f>
        <v>#VALUE!</v>
      </c>
      <c r="AG100" t="e">
        <f>AND('PROG FORMACIÓN TITULADA'!I666,"AAAAADPvPiA=")</f>
        <v>#VALUE!</v>
      </c>
      <c r="AH100" t="e">
        <f>AND('PROG FORMACIÓN TITULADA'!J666,"AAAAADPvPiE=")</f>
        <v>#VALUE!</v>
      </c>
      <c r="AI100" t="e">
        <f>AND('PROG FORMACIÓN TITULADA'!K666,"AAAAADPvPiI=")</f>
        <v>#VALUE!</v>
      </c>
      <c r="AJ100" t="e">
        <f>AND('PROG FORMACIÓN TITULADA'!L666,"AAAAADPvPiM=")</f>
        <v>#VALUE!</v>
      </c>
      <c r="AK100" t="e">
        <f>AND('PROG FORMACIÓN TITULADA'!M666,"AAAAADPvPiQ=")</f>
        <v>#VALUE!</v>
      </c>
      <c r="AL100" t="e">
        <f>AND('PROG FORMACIÓN TITULADA'!N666,"AAAAADPvPiU=")</f>
        <v>#VALUE!</v>
      </c>
      <c r="AM100" t="e">
        <f>AND('PROG FORMACIÓN TITULADA'!O666,"AAAAADPvPiY=")</f>
        <v>#VALUE!</v>
      </c>
      <c r="AN100" t="e">
        <f>AND('PROG FORMACIÓN TITULADA'!P666,"AAAAADPvPic=")</f>
        <v>#VALUE!</v>
      </c>
      <c r="AO100" t="e">
        <f>AND('PROG FORMACIÓN TITULADA'!Q666,"AAAAADPvPig=")</f>
        <v>#VALUE!</v>
      </c>
      <c r="AP100" t="e">
        <f>AND('PROG FORMACIÓN TITULADA'!R666,"AAAAADPvPik=")</f>
        <v>#VALUE!</v>
      </c>
      <c r="AQ100" t="e">
        <f>AND('PROG FORMACIÓN TITULADA'!S666,"AAAAADPvPio=")</f>
        <v>#VALUE!</v>
      </c>
      <c r="AR100" t="e">
        <f>AND('PROG FORMACIÓN TITULADA'!T666,"AAAAADPvPis=")</f>
        <v>#VALUE!</v>
      </c>
      <c r="AS100" t="e">
        <f>AND('PROG FORMACIÓN TITULADA'!U666,"AAAAADPvPiw=")</f>
        <v>#VALUE!</v>
      </c>
      <c r="AT100" t="e">
        <f>AND('PROG FORMACIÓN TITULADA'!V666,"AAAAADPvPi0=")</f>
        <v>#VALUE!</v>
      </c>
      <c r="AU100" t="e">
        <f>AND('PROG FORMACIÓN TITULADA'!W666,"AAAAADPvPi4=")</f>
        <v>#VALUE!</v>
      </c>
      <c r="AV100" t="e">
        <f>AND('PROG FORMACIÓN TITULADA'!X666,"AAAAADPvPi8=")</f>
        <v>#VALUE!</v>
      </c>
      <c r="AW100" t="e">
        <f>AND('PROG FORMACIÓN TITULADA'!Y666,"AAAAADPvPjA=")</f>
        <v>#VALUE!</v>
      </c>
      <c r="AX100" t="e">
        <f>AND('PROG FORMACIÓN TITULADA'!Z666,"AAAAADPvPjE=")</f>
        <v>#VALUE!</v>
      </c>
      <c r="AY100">
        <f>IF('PROG FORMACIÓN TITULADA'!667:667,"AAAAADPvPjI=",0)</f>
        <v>0</v>
      </c>
      <c r="AZ100" t="e">
        <f>AND('PROG FORMACIÓN TITULADA'!A667,"AAAAADPvPjM=")</f>
        <v>#VALUE!</v>
      </c>
      <c r="BA100" t="e">
        <f>AND('PROG FORMACIÓN TITULADA'!B667,"AAAAADPvPjQ=")</f>
        <v>#VALUE!</v>
      </c>
      <c r="BB100" t="e">
        <f>AND('PROG FORMACIÓN TITULADA'!C667,"AAAAADPvPjU=")</f>
        <v>#VALUE!</v>
      </c>
      <c r="BC100" t="e">
        <f>AND('PROG FORMACIÓN TITULADA'!D667,"AAAAADPvPjY=")</f>
        <v>#VALUE!</v>
      </c>
      <c r="BD100" t="e">
        <f>AND('PROG FORMACIÓN TITULADA'!E667,"AAAAADPvPjc=")</f>
        <v>#VALUE!</v>
      </c>
      <c r="BE100" t="e">
        <f>AND('PROG FORMACIÓN TITULADA'!F667,"AAAAADPvPjg=")</f>
        <v>#VALUE!</v>
      </c>
      <c r="BF100" t="e">
        <f>AND('PROG FORMACIÓN TITULADA'!G667,"AAAAADPvPjk=")</f>
        <v>#VALUE!</v>
      </c>
      <c r="BG100" t="e">
        <f>AND('PROG FORMACIÓN TITULADA'!H667,"AAAAADPvPjo=")</f>
        <v>#VALUE!</v>
      </c>
      <c r="BH100" t="e">
        <f>AND('PROG FORMACIÓN TITULADA'!I667,"AAAAADPvPjs=")</f>
        <v>#VALUE!</v>
      </c>
      <c r="BI100" t="e">
        <f>AND('PROG FORMACIÓN TITULADA'!J667,"AAAAADPvPjw=")</f>
        <v>#VALUE!</v>
      </c>
      <c r="BJ100" t="e">
        <f>AND('PROG FORMACIÓN TITULADA'!K667,"AAAAADPvPj0=")</f>
        <v>#VALUE!</v>
      </c>
      <c r="BK100" t="e">
        <f>AND('PROG FORMACIÓN TITULADA'!L667,"AAAAADPvPj4=")</f>
        <v>#VALUE!</v>
      </c>
      <c r="BL100" t="e">
        <f>AND('PROG FORMACIÓN TITULADA'!M667,"AAAAADPvPj8=")</f>
        <v>#VALUE!</v>
      </c>
      <c r="BM100" t="e">
        <f>AND('PROG FORMACIÓN TITULADA'!N667,"AAAAADPvPkA=")</f>
        <v>#VALUE!</v>
      </c>
      <c r="BN100" t="e">
        <f>AND('PROG FORMACIÓN TITULADA'!O667,"AAAAADPvPkE=")</f>
        <v>#VALUE!</v>
      </c>
      <c r="BO100" t="e">
        <f>AND('PROG FORMACIÓN TITULADA'!P667,"AAAAADPvPkI=")</f>
        <v>#VALUE!</v>
      </c>
      <c r="BP100" t="e">
        <f>AND('PROG FORMACIÓN TITULADA'!Q667,"AAAAADPvPkM=")</f>
        <v>#VALUE!</v>
      </c>
      <c r="BQ100" t="e">
        <f>AND('PROG FORMACIÓN TITULADA'!R667,"AAAAADPvPkQ=")</f>
        <v>#VALUE!</v>
      </c>
      <c r="BR100" t="e">
        <f>AND('PROG FORMACIÓN TITULADA'!S667,"AAAAADPvPkU=")</f>
        <v>#VALUE!</v>
      </c>
      <c r="BS100" t="e">
        <f>AND('PROG FORMACIÓN TITULADA'!T667,"AAAAADPvPkY=")</f>
        <v>#VALUE!</v>
      </c>
      <c r="BT100" t="e">
        <f>AND('PROG FORMACIÓN TITULADA'!U667,"AAAAADPvPkc=")</f>
        <v>#VALUE!</v>
      </c>
      <c r="BU100" t="e">
        <f>AND('PROG FORMACIÓN TITULADA'!V667,"AAAAADPvPkg=")</f>
        <v>#VALUE!</v>
      </c>
      <c r="BV100" t="e">
        <f>AND('PROG FORMACIÓN TITULADA'!W667,"AAAAADPvPkk=")</f>
        <v>#VALUE!</v>
      </c>
      <c r="BW100" t="e">
        <f>AND('PROG FORMACIÓN TITULADA'!X667,"AAAAADPvPko=")</f>
        <v>#VALUE!</v>
      </c>
      <c r="BX100" t="e">
        <f>AND('PROG FORMACIÓN TITULADA'!Y667,"AAAAADPvPks=")</f>
        <v>#VALUE!</v>
      </c>
      <c r="BY100" t="e">
        <f>AND('PROG FORMACIÓN TITULADA'!Z667,"AAAAADPvPkw=")</f>
        <v>#VALUE!</v>
      </c>
      <c r="BZ100">
        <f>IF('PROG FORMACIÓN TITULADA'!668:668,"AAAAADPvPk0=",0)</f>
        <v>0</v>
      </c>
      <c r="CA100" t="e">
        <f>AND('PROG FORMACIÓN TITULADA'!A668,"AAAAADPvPk4=")</f>
        <v>#VALUE!</v>
      </c>
      <c r="CB100" t="e">
        <f>AND('PROG FORMACIÓN TITULADA'!B668,"AAAAADPvPk8=")</f>
        <v>#VALUE!</v>
      </c>
      <c r="CC100" t="e">
        <f>AND('PROG FORMACIÓN TITULADA'!C668,"AAAAADPvPlA=")</f>
        <v>#VALUE!</v>
      </c>
      <c r="CD100" t="e">
        <f>AND('PROG FORMACIÓN TITULADA'!D668,"AAAAADPvPlE=")</f>
        <v>#VALUE!</v>
      </c>
      <c r="CE100" t="e">
        <f>AND('PROG FORMACIÓN TITULADA'!E668,"AAAAADPvPlI=")</f>
        <v>#VALUE!</v>
      </c>
      <c r="CF100" t="e">
        <f>AND('PROG FORMACIÓN TITULADA'!F668,"AAAAADPvPlM=")</f>
        <v>#VALUE!</v>
      </c>
      <c r="CG100" t="e">
        <f>AND('PROG FORMACIÓN TITULADA'!G668,"AAAAADPvPlQ=")</f>
        <v>#VALUE!</v>
      </c>
      <c r="CH100" t="e">
        <f>AND('PROG FORMACIÓN TITULADA'!H668,"AAAAADPvPlU=")</f>
        <v>#VALUE!</v>
      </c>
      <c r="CI100" t="e">
        <f>AND('PROG FORMACIÓN TITULADA'!I668,"AAAAADPvPlY=")</f>
        <v>#VALUE!</v>
      </c>
      <c r="CJ100" t="e">
        <f>AND('PROG FORMACIÓN TITULADA'!J668,"AAAAADPvPlc=")</f>
        <v>#VALUE!</v>
      </c>
      <c r="CK100" t="e">
        <f>AND('PROG FORMACIÓN TITULADA'!K668,"AAAAADPvPlg=")</f>
        <v>#VALUE!</v>
      </c>
      <c r="CL100" t="e">
        <f>AND('PROG FORMACIÓN TITULADA'!L668,"AAAAADPvPlk=")</f>
        <v>#VALUE!</v>
      </c>
      <c r="CM100" t="e">
        <f>AND('PROG FORMACIÓN TITULADA'!M668,"AAAAADPvPlo=")</f>
        <v>#VALUE!</v>
      </c>
      <c r="CN100" t="e">
        <f>AND('PROG FORMACIÓN TITULADA'!N668,"AAAAADPvPls=")</f>
        <v>#VALUE!</v>
      </c>
      <c r="CO100" t="e">
        <f>AND('PROG FORMACIÓN TITULADA'!O668,"AAAAADPvPlw=")</f>
        <v>#VALUE!</v>
      </c>
      <c r="CP100" t="e">
        <f>AND('PROG FORMACIÓN TITULADA'!P668,"AAAAADPvPl0=")</f>
        <v>#VALUE!</v>
      </c>
      <c r="CQ100" t="e">
        <f>AND('PROG FORMACIÓN TITULADA'!Q668,"AAAAADPvPl4=")</f>
        <v>#VALUE!</v>
      </c>
      <c r="CR100" t="e">
        <f>AND('PROG FORMACIÓN TITULADA'!R668,"AAAAADPvPl8=")</f>
        <v>#VALUE!</v>
      </c>
      <c r="CS100" t="e">
        <f>AND('PROG FORMACIÓN TITULADA'!S668,"AAAAADPvPmA=")</f>
        <v>#VALUE!</v>
      </c>
      <c r="CT100" t="e">
        <f>AND('PROG FORMACIÓN TITULADA'!T668,"AAAAADPvPmE=")</f>
        <v>#VALUE!</v>
      </c>
      <c r="CU100" t="e">
        <f>AND('PROG FORMACIÓN TITULADA'!U668,"AAAAADPvPmI=")</f>
        <v>#VALUE!</v>
      </c>
      <c r="CV100" t="e">
        <f>AND('PROG FORMACIÓN TITULADA'!V668,"AAAAADPvPmM=")</f>
        <v>#VALUE!</v>
      </c>
      <c r="CW100" t="e">
        <f>AND('PROG FORMACIÓN TITULADA'!W668,"AAAAADPvPmQ=")</f>
        <v>#VALUE!</v>
      </c>
      <c r="CX100" t="e">
        <f>AND('PROG FORMACIÓN TITULADA'!X668,"AAAAADPvPmU=")</f>
        <v>#VALUE!</v>
      </c>
      <c r="CY100" t="e">
        <f>AND('PROG FORMACIÓN TITULADA'!Y668,"AAAAADPvPmY=")</f>
        <v>#VALUE!</v>
      </c>
      <c r="CZ100" t="e">
        <f>AND('PROG FORMACIÓN TITULADA'!Z668,"AAAAADPvPmc=")</f>
        <v>#VALUE!</v>
      </c>
      <c r="DA100">
        <f>IF('PROG FORMACIÓN TITULADA'!669:669,"AAAAADPvPmg=",0)</f>
        <v>0</v>
      </c>
      <c r="DB100" t="e">
        <f>AND('PROG FORMACIÓN TITULADA'!A669,"AAAAADPvPmk=")</f>
        <v>#VALUE!</v>
      </c>
      <c r="DC100" t="e">
        <f>AND('PROG FORMACIÓN TITULADA'!B669,"AAAAADPvPmo=")</f>
        <v>#VALUE!</v>
      </c>
      <c r="DD100" t="e">
        <f>AND('PROG FORMACIÓN TITULADA'!C669,"AAAAADPvPms=")</f>
        <v>#VALUE!</v>
      </c>
      <c r="DE100" t="e">
        <f>AND('PROG FORMACIÓN TITULADA'!D669,"AAAAADPvPmw=")</f>
        <v>#VALUE!</v>
      </c>
      <c r="DF100" t="e">
        <f>AND('PROG FORMACIÓN TITULADA'!E669,"AAAAADPvPm0=")</f>
        <v>#VALUE!</v>
      </c>
      <c r="DG100" t="e">
        <f>AND('PROG FORMACIÓN TITULADA'!F669,"AAAAADPvPm4=")</f>
        <v>#VALUE!</v>
      </c>
      <c r="DH100" t="e">
        <f>AND('PROG FORMACIÓN TITULADA'!G669,"AAAAADPvPm8=")</f>
        <v>#VALUE!</v>
      </c>
      <c r="DI100" t="e">
        <f>AND('PROG FORMACIÓN TITULADA'!H669,"AAAAADPvPnA=")</f>
        <v>#VALUE!</v>
      </c>
      <c r="DJ100" t="e">
        <f>AND('PROG FORMACIÓN TITULADA'!I669,"AAAAADPvPnE=")</f>
        <v>#VALUE!</v>
      </c>
      <c r="DK100" t="e">
        <f>AND('PROG FORMACIÓN TITULADA'!J669,"AAAAADPvPnI=")</f>
        <v>#VALUE!</v>
      </c>
      <c r="DL100" t="e">
        <f>AND('PROG FORMACIÓN TITULADA'!K669,"AAAAADPvPnM=")</f>
        <v>#VALUE!</v>
      </c>
      <c r="DM100" t="e">
        <f>AND('PROG FORMACIÓN TITULADA'!L669,"AAAAADPvPnQ=")</f>
        <v>#VALUE!</v>
      </c>
      <c r="DN100" t="e">
        <f>AND('PROG FORMACIÓN TITULADA'!M669,"AAAAADPvPnU=")</f>
        <v>#VALUE!</v>
      </c>
      <c r="DO100" t="e">
        <f>AND('PROG FORMACIÓN TITULADA'!N669,"AAAAADPvPnY=")</f>
        <v>#VALUE!</v>
      </c>
      <c r="DP100" t="e">
        <f>AND('PROG FORMACIÓN TITULADA'!O669,"AAAAADPvPnc=")</f>
        <v>#VALUE!</v>
      </c>
      <c r="DQ100" t="e">
        <f>AND('PROG FORMACIÓN TITULADA'!P669,"AAAAADPvPng=")</f>
        <v>#VALUE!</v>
      </c>
      <c r="DR100" t="e">
        <f>AND('PROG FORMACIÓN TITULADA'!Q669,"AAAAADPvPnk=")</f>
        <v>#VALUE!</v>
      </c>
      <c r="DS100" t="e">
        <f>AND('PROG FORMACIÓN TITULADA'!R669,"AAAAADPvPno=")</f>
        <v>#VALUE!</v>
      </c>
      <c r="DT100" t="e">
        <f>AND('PROG FORMACIÓN TITULADA'!S669,"AAAAADPvPns=")</f>
        <v>#VALUE!</v>
      </c>
      <c r="DU100" t="e">
        <f>AND('PROG FORMACIÓN TITULADA'!T669,"AAAAADPvPnw=")</f>
        <v>#VALUE!</v>
      </c>
      <c r="DV100" t="e">
        <f>AND('PROG FORMACIÓN TITULADA'!U669,"AAAAADPvPn0=")</f>
        <v>#VALUE!</v>
      </c>
      <c r="DW100" t="e">
        <f>AND('PROG FORMACIÓN TITULADA'!V669,"AAAAADPvPn4=")</f>
        <v>#VALUE!</v>
      </c>
      <c r="DX100" t="e">
        <f>AND('PROG FORMACIÓN TITULADA'!W669,"AAAAADPvPn8=")</f>
        <v>#VALUE!</v>
      </c>
      <c r="DY100" t="e">
        <f>AND('PROG FORMACIÓN TITULADA'!X669,"AAAAADPvPoA=")</f>
        <v>#VALUE!</v>
      </c>
      <c r="DZ100" t="e">
        <f>AND('PROG FORMACIÓN TITULADA'!Y669,"AAAAADPvPoE=")</f>
        <v>#VALUE!</v>
      </c>
      <c r="EA100" t="e">
        <f>AND('PROG FORMACIÓN TITULADA'!Z669,"AAAAADPvPoI=")</f>
        <v>#VALUE!</v>
      </c>
      <c r="EB100">
        <f>IF('PROG FORMACIÓN TITULADA'!670:670,"AAAAADPvPoM=",0)</f>
        <v>0</v>
      </c>
      <c r="EC100" t="e">
        <f>AND('PROG FORMACIÓN TITULADA'!A670,"AAAAADPvPoQ=")</f>
        <v>#VALUE!</v>
      </c>
      <c r="ED100" t="e">
        <f>AND('PROG FORMACIÓN TITULADA'!B670,"AAAAADPvPoU=")</f>
        <v>#VALUE!</v>
      </c>
      <c r="EE100" t="e">
        <f>AND('PROG FORMACIÓN TITULADA'!C670,"AAAAADPvPoY=")</f>
        <v>#VALUE!</v>
      </c>
      <c r="EF100" t="e">
        <f>AND('PROG FORMACIÓN TITULADA'!D670,"AAAAADPvPoc=")</f>
        <v>#VALUE!</v>
      </c>
      <c r="EG100" t="e">
        <f>AND('PROG FORMACIÓN TITULADA'!E670,"AAAAADPvPog=")</f>
        <v>#VALUE!</v>
      </c>
      <c r="EH100" t="e">
        <f>AND('PROG FORMACIÓN TITULADA'!F670,"AAAAADPvPok=")</f>
        <v>#VALUE!</v>
      </c>
      <c r="EI100" t="e">
        <f>AND('PROG FORMACIÓN TITULADA'!G670,"AAAAADPvPoo=")</f>
        <v>#VALUE!</v>
      </c>
      <c r="EJ100" t="e">
        <f>AND('PROG FORMACIÓN TITULADA'!H670,"AAAAADPvPos=")</f>
        <v>#VALUE!</v>
      </c>
      <c r="EK100" t="e">
        <f>AND('PROG FORMACIÓN TITULADA'!I670,"AAAAADPvPow=")</f>
        <v>#VALUE!</v>
      </c>
      <c r="EL100" t="e">
        <f>AND('PROG FORMACIÓN TITULADA'!J670,"AAAAADPvPo0=")</f>
        <v>#VALUE!</v>
      </c>
      <c r="EM100" t="e">
        <f>AND('PROG FORMACIÓN TITULADA'!K670,"AAAAADPvPo4=")</f>
        <v>#VALUE!</v>
      </c>
      <c r="EN100" t="e">
        <f>AND('PROG FORMACIÓN TITULADA'!L670,"AAAAADPvPo8=")</f>
        <v>#VALUE!</v>
      </c>
      <c r="EO100" t="e">
        <f>AND('PROG FORMACIÓN TITULADA'!M670,"AAAAADPvPpA=")</f>
        <v>#VALUE!</v>
      </c>
      <c r="EP100" t="e">
        <f>AND('PROG FORMACIÓN TITULADA'!N670,"AAAAADPvPpE=")</f>
        <v>#VALUE!</v>
      </c>
      <c r="EQ100" t="e">
        <f>AND('PROG FORMACIÓN TITULADA'!O670,"AAAAADPvPpI=")</f>
        <v>#VALUE!</v>
      </c>
      <c r="ER100" t="e">
        <f>AND('PROG FORMACIÓN TITULADA'!P670,"AAAAADPvPpM=")</f>
        <v>#VALUE!</v>
      </c>
      <c r="ES100" t="e">
        <f>AND('PROG FORMACIÓN TITULADA'!Q670,"AAAAADPvPpQ=")</f>
        <v>#VALUE!</v>
      </c>
      <c r="ET100" t="e">
        <f>AND('PROG FORMACIÓN TITULADA'!R670,"AAAAADPvPpU=")</f>
        <v>#VALUE!</v>
      </c>
      <c r="EU100" t="e">
        <f>AND('PROG FORMACIÓN TITULADA'!S670,"AAAAADPvPpY=")</f>
        <v>#VALUE!</v>
      </c>
      <c r="EV100" t="e">
        <f>AND('PROG FORMACIÓN TITULADA'!T670,"AAAAADPvPpc=")</f>
        <v>#VALUE!</v>
      </c>
      <c r="EW100" t="e">
        <f>AND('PROG FORMACIÓN TITULADA'!U670,"AAAAADPvPpg=")</f>
        <v>#VALUE!</v>
      </c>
      <c r="EX100" t="e">
        <f>AND('PROG FORMACIÓN TITULADA'!V670,"AAAAADPvPpk=")</f>
        <v>#VALUE!</v>
      </c>
      <c r="EY100" t="e">
        <f>AND('PROG FORMACIÓN TITULADA'!W670,"AAAAADPvPpo=")</f>
        <v>#VALUE!</v>
      </c>
      <c r="EZ100" t="e">
        <f>AND('PROG FORMACIÓN TITULADA'!X670,"AAAAADPvPps=")</f>
        <v>#VALUE!</v>
      </c>
      <c r="FA100" t="e">
        <f>AND('PROG FORMACIÓN TITULADA'!Y670,"AAAAADPvPpw=")</f>
        <v>#VALUE!</v>
      </c>
      <c r="FB100" t="e">
        <f>AND('PROG FORMACIÓN TITULADA'!Z670,"AAAAADPvPp0=")</f>
        <v>#VALUE!</v>
      </c>
      <c r="FC100">
        <f>IF('PROG FORMACIÓN TITULADA'!671:671,"AAAAADPvPp4=",0)</f>
        <v>0</v>
      </c>
      <c r="FD100" t="e">
        <f>AND('PROG FORMACIÓN TITULADA'!A671,"AAAAADPvPp8=")</f>
        <v>#VALUE!</v>
      </c>
      <c r="FE100" t="e">
        <f>AND('PROG FORMACIÓN TITULADA'!B671,"AAAAADPvPqA=")</f>
        <v>#VALUE!</v>
      </c>
      <c r="FF100" t="e">
        <f>AND('PROG FORMACIÓN TITULADA'!C671,"AAAAADPvPqE=")</f>
        <v>#VALUE!</v>
      </c>
      <c r="FG100" t="e">
        <f>AND('PROG FORMACIÓN TITULADA'!D671,"AAAAADPvPqI=")</f>
        <v>#VALUE!</v>
      </c>
      <c r="FH100" t="e">
        <f>AND('PROG FORMACIÓN TITULADA'!E671,"AAAAADPvPqM=")</f>
        <v>#VALUE!</v>
      </c>
      <c r="FI100" t="e">
        <f>AND('PROG FORMACIÓN TITULADA'!F671,"AAAAADPvPqQ=")</f>
        <v>#VALUE!</v>
      </c>
      <c r="FJ100" t="e">
        <f>AND('PROG FORMACIÓN TITULADA'!G671,"AAAAADPvPqU=")</f>
        <v>#VALUE!</v>
      </c>
      <c r="FK100" t="e">
        <f>AND('PROG FORMACIÓN TITULADA'!H671,"AAAAADPvPqY=")</f>
        <v>#VALUE!</v>
      </c>
      <c r="FL100" t="e">
        <f>AND('PROG FORMACIÓN TITULADA'!I671,"AAAAADPvPqc=")</f>
        <v>#VALUE!</v>
      </c>
      <c r="FM100" t="e">
        <f>AND('PROG FORMACIÓN TITULADA'!J671,"AAAAADPvPqg=")</f>
        <v>#VALUE!</v>
      </c>
      <c r="FN100" t="e">
        <f>AND('PROG FORMACIÓN TITULADA'!K671,"AAAAADPvPqk=")</f>
        <v>#VALUE!</v>
      </c>
      <c r="FO100" t="e">
        <f>AND('PROG FORMACIÓN TITULADA'!L671,"AAAAADPvPqo=")</f>
        <v>#VALUE!</v>
      </c>
      <c r="FP100" t="e">
        <f>AND('PROG FORMACIÓN TITULADA'!M671,"AAAAADPvPqs=")</f>
        <v>#VALUE!</v>
      </c>
      <c r="FQ100" t="e">
        <f>AND('PROG FORMACIÓN TITULADA'!N671,"AAAAADPvPqw=")</f>
        <v>#VALUE!</v>
      </c>
      <c r="FR100" t="e">
        <f>AND('PROG FORMACIÓN TITULADA'!O671,"AAAAADPvPq0=")</f>
        <v>#VALUE!</v>
      </c>
      <c r="FS100" t="e">
        <f>AND('PROG FORMACIÓN TITULADA'!P671,"AAAAADPvPq4=")</f>
        <v>#VALUE!</v>
      </c>
      <c r="FT100" t="e">
        <f>AND('PROG FORMACIÓN TITULADA'!Q671,"AAAAADPvPq8=")</f>
        <v>#VALUE!</v>
      </c>
      <c r="FU100" t="e">
        <f>AND('PROG FORMACIÓN TITULADA'!R671,"AAAAADPvPrA=")</f>
        <v>#VALUE!</v>
      </c>
      <c r="FV100" t="e">
        <f>AND('PROG FORMACIÓN TITULADA'!S671,"AAAAADPvPrE=")</f>
        <v>#VALUE!</v>
      </c>
      <c r="FW100" t="e">
        <f>AND('PROG FORMACIÓN TITULADA'!T671,"AAAAADPvPrI=")</f>
        <v>#VALUE!</v>
      </c>
      <c r="FX100" t="e">
        <f>AND('PROG FORMACIÓN TITULADA'!U671,"AAAAADPvPrM=")</f>
        <v>#VALUE!</v>
      </c>
      <c r="FY100" t="e">
        <f>AND('PROG FORMACIÓN TITULADA'!V671,"AAAAADPvPrQ=")</f>
        <v>#VALUE!</v>
      </c>
      <c r="FZ100" t="e">
        <f>AND('PROG FORMACIÓN TITULADA'!W671,"AAAAADPvPrU=")</f>
        <v>#VALUE!</v>
      </c>
      <c r="GA100" t="e">
        <f>AND('PROG FORMACIÓN TITULADA'!X671,"AAAAADPvPrY=")</f>
        <v>#VALUE!</v>
      </c>
      <c r="GB100" t="e">
        <f>AND('PROG FORMACIÓN TITULADA'!Y671,"AAAAADPvPrc=")</f>
        <v>#VALUE!</v>
      </c>
      <c r="GC100" t="e">
        <f>AND('PROG FORMACIÓN TITULADA'!Z671,"AAAAADPvPrg=")</f>
        <v>#VALUE!</v>
      </c>
      <c r="GD100">
        <f>IF('PROG FORMACIÓN TITULADA'!672:672,"AAAAADPvPrk=",0)</f>
        <v>0</v>
      </c>
      <c r="GE100" t="e">
        <f>AND('PROG FORMACIÓN TITULADA'!A672,"AAAAADPvPro=")</f>
        <v>#VALUE!</v>
      </c>
      <c r="GF100" t="e">
        <f>AND('PROG FORMACIÓN TITULADA'!B672,"AAAAADPvPrs=")</f>
        <v>#VALUE!</v>
      </c>
      <c r="GG100" t="e">
        <f>AND('PROG FORMACIÓN TITULADA'!C672,"AAAAADPvPrw=")</f>
        <v>#VALUE!</v>
      </c>
      <c r="GH100" t="e">
        <f>AND('PROG FORMACIÓN TITULADA'!D672,"AAAAADPvPr0=")</f>
        <v>#VALUE!</v>
      </c>
      <c r="GI100" t="e">
        <f>AND('PROG FORMACIÓN TITULADA'!E672,"AAAAADPvPr4=")</f>
        <v>#VALUE!</v>
      </c>
      <c r="GJ100" t="e">
        <f>AND('PROG FORMACIÓN TITULADA'!F672,"AAAAADPvPr8=")</f>
        <v>#VALUE!</v>
      </c>
      <c r="GK100" t="e">
        <f>AND('PROG FORMACIÓN TITULADA'!G672,"AAAAADPvPsA=")</f>
        <v>#VALUE!</v>
      </c>
      <c r="GL100" t="e">
        <f>AND('PROG FORMACIÓN TITULADA'!H672,"AAAAADPvPsE=")</f>
        <v>#VALUE!</v>
      </c>
      <c r="GM100" t="e">
        <f>AND('PROG FORMACIÓN TITULADA'!I672,"AAAAADPvPsI=")</f>
        <v>#VALUE!</v>
      </c>
      <c r="GN100" t="e">
        <f>AND('PROG FORMACIÓN TITULADA'!J672,"AAAAADPvPsM=")</f>
        <v>#VALUE!</v>
      </c>
      <c r="GO100" t="e">
        <f>AND('PROG FORMACIÓN TITULADA'!K672,"AAAAADPvPsQ=")</f>
        <v>#VALUE!</v>
      </c>
      <c r="GP100" t="e">
        <f>AND('PROG FORMACIÓN TITULADA'!L672,"AAAAADPvPsU=")</f>
        <v>#VALUE!</v>
      </c>
      <c r="GQ100" t="e">
        <f>AND('PROG FORMACIÓN TITULADA'!M672,"AAAAADPvPsY=")</f>
        <v>#VALUE!</v>
      </c>
      <c r="GR100" t="e">
        <f>AND('PROG FORMACIÓN TITULADA'!N672,"AAAAADPvPsc=")</f>
        <v>#VALUE!</v>
      </c>
      <c r="GS100" t="e">
        <f>AND('PROG FORMACIÓN TITULADA'!O672,"AAAAADPvPsg=")</f>
        <v>#VALUE!</v>
      </c>
      <c r="GT100" t="e">
        <f>AND('PROG FORMACIÓN TITULADA'!P672,"AAAAADPvPsk=")</f>
        <v>#VALUE!</v>
      </c>
      <c r="GU100" t="e">
        <f>AND('PROG FORMACIÓN TITULADA'!Q672,"AAAAADPvPso=")</f>
        <v>#VALUE!</v>
      </c>
      <c r="GV100" t="e">
        <f>AND('PROG FORMACIÓN TITULADA'!R672,"AAAAADPvPss=")</f>
        <v>#VALUE!</v>
      </c>
      <c r="GW100" t="e">
        <f>AND('PROG FORMACIÓN TITULADA'!S672,"AAAAADPvPsw=")</f>
        <v>#VALUE!</v>
      </c>
      <c r="GX100" t="e">
        <f>AND('PROG FORMACIÓN TITULADA'!T672,"AAAAADPvPs0=")</f>
        <v>#VALUE!</v>
      </c>
      <c r="GY100" t="e">
        <f>AND('PROG FORMACIÓN TITULADA'!U672,"AAAAADPvPs4=")</f>
        <v>#VALUE!</v>
      </c>
      <c r="GZ100" t="e">
        <f>AND('PROG FORMACIÓN TITULADA'!V672,"AAAAADPvPs8=")</f>
        <v>#VALUE!</v>
      </c>
      <c r="HA100" t="e">
        <f>AND('PROG FORMACIÓN TITULADA'!W672,"AAAAADPvPtA=")</f>
        <v>#VALUE!</v>
      </c>
      <c r="HB100" t="e">
        <f>AND('PROG FORMACIÓN TITULADA'!X672,"AAAAADPvPtE=")</f>
        <v>#VALUE!</v>
      </c>
      <c r="HC100" t="e">
        <f>AND('PROG FORMACIÓN TITULADA'!Y672,"AAAAADPvPtI=")</f>
        <v>#VALUE!</v>
      </c>
      <c r="HD100" t="e">
        <f>AND('PROG FORMACIÓN TITULADA'!Z672,"AAAAADPvPtM=")</f>
        <v>#VALUE!</v>
      </c>
      <c r="HE100">
        <f>IF('PROG FORMACIÓN TITULADA'!673:673,"AAAAADPvPtQ=",0)</f>
        <v>0</v>
      </c>
      <c r="HF100" t="e">
        <f>AND('PROG FORMACIÓN TITULADA'!A673,"AAAAADPvPtU=")</f>
        <v>#VALUE!</v>
      </c>
      <c r="HG100" t="e">
        <f>AND('PROG FORMACIÓN TITULADA'!B673,"AAAAADPvPtY=")</f>
        <v>#VALUE!</v>
      </c>
      <c r="HH100" t="e">
        <f>AND('PROG FORMACIÓN TITULADA'!C673,"AAAAADPvPtc=")</f>
        <v>#VALUE!</v>
      </c>
      <c r="HI100" t="e">
        <f>AND('PROG FORMACIÓN TITULADA'!D673,"AAAAADPvPtg=")</f>
        <v>#VALUE!</v>
      </c>
      <c r="HJ100" t="e">
        <f>AND('PROG FORMACIÓN TITULADA'!E673,"AAAAADPvPtk=")</f>
        <v>#VALUE!</v>
      </c>
      <c r="HK100" t="e">
        <f>AND('PROG FORMACIÓN TITULADA'!F673,"AAAAADPvPto=")</f>
        <v>#VALUE!</v>
      </c>
      <c r="HL100" t="e">
        <f>AND('PROG FORMACIÓN TITULADA'!G673,"AAAAADPvPts=")</f>
        <v>#VALUE!</v>
      </c>
      <c r="HM100" t="e">
        <f>AND('PROG FORMACIÓN TITULADA'!H673,"AAAAADPvPtw=")</f>
        <v>#VALUE!</v>
      </c>
      <c r="HN100" t="e">
        <f>AND('PROG FORMACIÓN TITULADA'!I673,"AAAAADPvPt0=")</f>
        <v>#VALUE!</v>
      </c>
      <c r="HO100" t="e">
        <f>AND('PROG FORMACIÓN TITULADA'!J673,"AAAAADPvPt4=")</f>
        <v>#VALUE!</v>
      </c>
      <c r="HP100" t="e">
        <f>AND('PROG FORMACIÓN TITULADA'!K673,"AAAAADPvPt8=")</f>
        <v>#VALUE!</v>
      </c>
      <c r="HQ100" t="e">
        <f>AND('PROG FORMACIÓN TITULADA'!L673,"AAAAADPvPuA=")</f>
        <v>#VALUE!</v>
      </c>
      <c r="HR100" t="e">
        <f>AND('PROG FORMACIÓN TITULADA'!M673,"AAAAADPvPuE=")</f>
        <v>#VALUE!</v>
      </c>
      <c r="HS100" t="e">
        <f>AND('PROG FORMACIÓN TITULADA'!N673,"AAAAADPvPuI=")</f>
        <v>#VALUE!</v>
      </c>
      <c r="HT100" t="e">
        <f>AND('PROG FORMACIÓN TITULADA'!O673,"AAAAADPvPuM=")</f>
        <v>#VALUE!</v>
      </c>
      <c r="HU100" t="e">
        <f>AND('PROG FORMACIÓN TITULADA'!P673,"AAAAADPvPuQ=")</f>
        <v>#VALUE!</v>
      </c>
      <c r="HV100" t="e">
        <f>AND('PROG FORMACIÓN TITULADA'!Q673,"AAAAADPvPuU=")</f>
        <v>#VALUE!</v>
      </c>
      <c r="HW100" t="e">
        <f>AND('PROG FORMACIÓN TITULADA'!R673,"AAAAADPvPuY=")</f>
        <v>#VALUE!</v>
      </c>
      <c r="HX100" t="e">
        <f>AND('PROG FORMACIÓN TITULADA'!S673,"AAAAADPvPuc=")</f>
        <v>#VALUE!</v>
      </c>
      <c r="HY100" t="e">
        <f>AND('PROG FORMACIÓN TITULADA'!T673,"AAAAADPvPug=")</f>
        <v>#VALUE!</v>
      </c>
      <c r="HZ100" t="e">
        <f>AND('PROG FORMACIÓN TITULADA'!U673,"AAAAADPvPuk=")</f>
        <v>#VALUE!</v>
      </c>
      <c r="IA100" t="e">
        <f>AND('PROG FORMACIÓN TITULADA'!V673,"AAAAADPvPuo=")</f>
        <v>#VALUE!</v>
      </c>
      <c r="IB100" t="e">
        <f>AND('PROG FORMACIÓN TITULADA'!W673,"AAAAADPvPus=")</f>
        <v>#VALUE!</v>
      </c>
      <c r="IC100" t="e">
        <f>AND('PROG FORMACIÓN TITULADA'!X673,"AAAAADPvPuw=")</f>
        <v>#VALUE!</v>
      </c>
      <c r="ID100" t="e">
        <f>AND('PROG FORMACIÓN TITULADA'!Y673,"AAAAADPvPu0=")</f>
        <v>#VALUE!</v>
      </c>
      <c r="IE100" t="e">
        <f>AND('PROG FORMACIÓN TITULADA'!Z673,"AAAAADPvPu4=")</f>
        <v>#VALUE!</v>
      </c>
      <c r="IF100">
        <f>IF('PROG FORMACIÓN TITULADA'!674:674,"AAAAADPvPu8=",0)</f>
        <v>0</v>
      </c>
      <c r="IG100" t="e">
        <f>AND('PROG FORMACIÓN TITULADA'!A674,"AAAAADPvPvA=")</f>
        <v>#VALUE!</v>
      </c>
      <c r="IH100" t="e">
        <f>AND('PROG FORMACIÓN TITULADA'!B674,"AAAAADPvPvE=")</f>
        <v>#VALUE!</v>
      </c>
      <c r="II100" t="e">
        <f>AND('PROG FORMACIÓN TITULADA'!C674,"AAAAADPvPvI=")</f>
        <v>#VALUE!</v>
      </c>
      <c r="IJ100" t="e">
        <f>AND('PROG FORMACIÓN TITULADA'!D674,"AAAAADPvPvM=")</f>
        <v>#VALUE!</v>
      </c>
      <c r="IK100" t="e">
        <f>AND('PROG FORMACIÓN TITULADA'!E674,"AAAAADPvPvQ=")</f>
        <v>#VALUE!</v>
      </c>
      <c r="IL100" t="e">
        <f>AND('PROG FORMACIÓN TITULADA'!F674,"AAAAADPvPvU=")</f>
        <v>#VALUE!</v>
      </c>
      <c r="IM100" t="e">
        <f>AND('PROG FORMACIÓN TITULADA'!G674,"AAAAADPvPvY=")</f>
        <v>#VALUE!</v>
      </c>
      <c r="IN100" t="e">
        <f>AND('PROG FORMACIÓN TITULADA'!H674,"AAAAADPvPvc=")</f>
        <v>#VALUE!</v>
      </c>
      <c r="IO100" t="e">
        <f>AND('PROG FORMACIÓN TITULADA'!I674,"AAAAADPvPvg=")</f>
        <v>#VALUE!</v>
      </c>
      <c r="IP100" t="e">
        <f>AND('PROG FORMACIÓN TITULADA'!J674,"AAAAADPvPvk=")</f>
        <v>#VALUE!</v>
      </c>
      <c r="IQ100" t="e">
        <f>AND('PROG FORMACIÓN TITULADA'!K674,"AAAAADPvPvo=")</f>
        <v>#VALUE!</v>
      </c>
      <c r="IR100" t="e">
        <f>AND('PROG FORMACIÓN TITULADA'!L674,"AAAAADPvPvs=")</f>
        <v>#VALUE!</v>
      </c>
      <c r="IS100" t="e">
        <f>AND('PROG FORMACIÓN TITULADA'!M674,"AAAAADPvPvw=")</f>
        <v>#VALUE!</v>
      </c>
      <c r="IT100" t="e">
        <f>AND('PROG FORMACIÓN TITULADA'!N674,"AAAAADPvPv0=")</f>
        <v>#VALUE!</v>
      </c>
      <c r="IU100" t="e">
        <f>AND('PROG FORMACIÓN TITULADA'!O674,"AAAAADPvPv4=")</f>
        <v>#VALUE!</v>
      </c>
      <c r="IV100" t="e">
        <f>AND('PROG FORMACIÓN TITULADA'!P674,"AAAAADPvPv8=")</f>
        <v>#VALUE!</v>
      </c>
    </row>
    <row r="101" spans="1:256" x14ac:dyDescent="0.2">
      <c r="A101" t="e">
        <f>AND('PROG FORMACIÓN TITULADA'!Q674,"AAAAAG5/3wA=")</f>
        <v>#VALUE!</v>
      </c>
      <c r="B101" t="e">
        <f>AND('PROG FORMACIÓN TITULADA'!R674,"AAAAAG5/3wE=")</f>
        <v>#VALUE!</v>
      </c>
      <c r="C101" t="e">
        <f>AND('PROG FORMACIÓN TITULADA'!S674,"AAAAAG5/3wI=")</f>
        <v>#VALUE!</v>
      </c>
      <c r="D101" t="e">
        <f>AND('PROG FORMACIÓN TITULADA'!T674,"AAAAAG5/3wM=")</f>
        <v>#VALUE!</v>
      </c>
      <c r="E101" t="e">
        <f>AND('PROG FORMACIÓN TITULADA'!U674,"AAAAAG5/3wQ=")</f>
        <v>#VALUE!</v>
      </c>
      <c r="F101" t="e">
        <f>AND('PROG FORMACIÓN TITULADA'!V674,"AAAAAG5/3wU=")</f>
        <v>#VALUE!</v>
      </c>
      <c r="G101" t="e">
        <f>AND('PROG FORMACIÓN TITULADA'!W674,"AAAAAG5/3wY=")</f>
        <v>#VALUE!</v>
      </c>
      <c r="H101" t="e">
        <f>AND('PROG FORMACIÓN TITULADA'!X674,"AAAAAG5/3wc=")</f>
        <v>#VALUE!</v>
      </c>
      <c r="I101" t="e">
        <f>AND('PROG FORMACIÓN TITULADA'!Y674,"AAAAAG5/3wg=")</f>
        <v>#VALUE!</v>
      </c>
      <c r="J101" t="e">
        <f>AND('PROG FORMACIÓN TITULADA'!Z674,"AAAAAG5/3wk=")</f>
        <v>#VALUE!</v>
      </c>
      <c r="K101">
        <f>IF('PROG FORMACIÓN TITULADA'!675:675,"AAAAAG5/3wo=",0)</f>
        <v>0</v>
      </c>
      <c r="L101" t="e">
        <f>AND('PROG FORMACIÓN TITULADA'!A675,"AAAAAG5/3ws=")</f>
        <v>#VALUE!</v>
      </c>
      <c r="M101" t="e">
        <f>AND('PROG FORMACIÓN TITULADA'!B675,"AAAAAG5/3ww=")</f>
        <v>#VALUE!</v>
      </c>
      <c r="N101" t="e">
        <f>AND('PROG FORMACIÓN TITULADA'!C675,"AAAAAG5/3w0=")</f>
        <v>#VALUE!</v>
      </c>
      <c r="O101" t="e">
        <f>AND('PROG FORMACIÓN TITULADA'!D675,"AAAAAG5/3w4=")</f>
        <v>#VALUE!</v>
      </c>
      <c r="P101" t="e">
        <f>AND('PROG FORMACIÓN TITULADA'!E675,"AAAAAG5/3w8=")</f>
        <v>#VALUE!</v>
      </c>
      <c r="Q101" t="e">
        <f>AND('PROG FORMACIÓN TITULADA'!F675,"AAAAAG5/3xA=")</f>
        <v>#VALUE!</v>
      </c>
      <c r="R101" t="e">
        <f>AND('PROG FORMACIÓN TITULADA'!G675,"AAAAAG5/3xE=")</f>
        <v>#VALUE!</v>
      </c>
      <c r="S101" t="e">
        <f>AND('PROG FORMACIÓN TITULADA'!H675,"AAAAAG5/3xI=")</f>
        <v>#VALUE!</v>
      </c>
      <c r="T101" t="e">
        <f>AND('PROG FORMACIÓN TITULADA'!I675,"AAAAAG5/3xM=")</f>
        <v>#VALUE!</v>
      </c>
      <c r="U101" t="e">
        <f>AND('PROG FORMACIÓN TITULADA'!J675,"AAAAAG5/3xQ=")</f>
        <v>#VALUE!</v>
      </c>
      <c r="V101" t="e">
        <f>AND('PROG FORMACIÓN TITULADA'!K675,"AAAAAG5/3xU=")</f>
        <v>#VALUE!</v>
      </c>
      <c r="W101" t="e">
        <f>AND('PROG FORMACIÓN TITULADA'!L675,"AAAAAG5/3xY=")</f>
        <v>#VALUE!</v>
      </c>
      <c r="X101" t="e">
        <f>AND('PROG FORMACIÓN TITULADA'!M675,"AAAAAG5/3xc=")</f>
        <v>#VALUE!</v>
      </c>
      <c r="Y101" t="e">
        <f>AND('PROG FORMACIÓN TITULADA'!N675,"AAAAAG5/3xg=")</f>
        <v>#VALUE!</v>
      </c>
      <c r="Z101" t="e">
        <f>AND('PROG FORMACIÓN TITULADA'!O675,"AAAAAG5/3xk=")</f>
        <v>#VALUE!</v>
      </c>
      <c r="AA101" t="e">
        <f>AND('PROG FORMACIÓN TITULADA'!P675,"AAAAAG5/3xo=")</f>
        <v>#VALUE!</v>
      </c>
      <c r="AB101" t="e">
        <f>AND('PROG FORMACIÓN TITULADA'!Q675,"AAAAAG5/3xs=")</f>
        <v>#VALUE!</v>
      </c>
      <c r="AC101" t="e">
        <f>AND('PROG FORMACIÓN TITULADA'!R675,"AAAAAG5/3xw=")</f>
        <v>#VALUE!</v>
      </c>
      <c r="AD101" t="e">
        <f>AND('PROG FORMACIÓN TITULADA'!S675,"AAAAAG5/3x0=")</f>
        <v>#VALUE!</v>
      </c>
      <c r="AE101" t="e">
        <f>AND('PROG FORMACIÓN TITULADA'!T675,"AAAAAG5/3x4=")</f>
        <v>#VALUE!</v>
      </c>
      <c r="AF101" t="e">
        <f>AND('PROG FORMACIÓN TITULADA'!U675,"AAAAAG5/3x8=")</f>
        <v>#VALUE!</v>
      </c>
      <c r="AG101" t="e">
        <f>AND('PROG FORMACIÓN TITULADA'!V675,"AAAAAG5/3yA=")</f>
        <v>#VALUE!</v>
      </c>
      <c r="AH101" t="e">
        <f>AND('PROG FORMACIÓN TITULADA'!W675,"AAAAAG5/3yE=")</f>
        <v>#VALUE!</v>
      </c>
      <c r="AI101" t="e">
        <f>AND('PROG FORMACIÓN TITULADA'!X675,"AAAAAG5/3yI=")</f>
        <v>#VALUE!</v>
      </c>
      <c r="AJ101" t="e">
        <f>AND('PROG FORMACIÓN TITULADA'!Y675,"AAAAAG5/3yM=")</f>
        <v>#VALUE!</v>
      </c>
      <c r="AK101" t="e">
        <f>AND('PROG FORMACIÓN TITULADA'!Z675,"AAAAAG5/3yQ=")</f>
        <v>#VALUE!</v>
      </c>
      <c r="AL101">
        <f>IF('PROG FORMACIÓN TITULADA'!676:676,"AAAAAG5/3yU=",0)</f>
        <v>0</v>
      </c>
      <c r="AM101" t="e">
        <f>AND('PROG FORMACIÓN TITULADA'!A676,"AAAAAG5/3yY=")</f>
        <v>#VALUE!</v>
      </c>
      <c r="AN101" t="e">
        <f>AND('PROG FORMACIÓN TITULADA'!B676,"AAAAAG5/3yc=")</f>
        <v>#VALUE!</v>
      </c>
      <c r="AO101" t="e">
        <f>AND('PROG FORMACIÓN TITULADA'!C676,"AAAAAG5/3yg=")</f>
        <v>#VALUE!</v>
      </c>
      <c r="AP101" t="e">
        <f>AND('PROG FORMACIÓN TITULADA'!D676,"AAAAAG5/3yk=")</f>
        <v>#VALUE!</v>
      </c>
      <c r="AQ101" t="e">
        <f>AND('PROG FORMACIÓN TITULADA'!E676,"AAAAAG5/3yo=")</f>
        <v>#VALUE!</v>
      </c>
      <c r="AR101" t="e">
        <f>AND('PROG FORMACIÓN TITULADA'!F676,"AAAAAG5/3ys=")</f>
        <v>#VALUE!</v>
      </c>
      <c r="AS101" t="e">
        <f>AND('PROG FORMACIÓN TITULADA'!G676,"AAAAAG5/3yw=")</f>
        <v>#VALUE!</v>
      </c>
      <c r="AT101" t="e">
        <f>AND('PROG FORMACIÓN TITULADA'!H676,"AAAAAG5/3y0=")</f>
        <v>#VALUE!</v>
      </c>
      <c r="AU101" t="e">
        <f>AND('PROG FORMACIÓN TITULADA'!I676,"AAAAAG5/3y4=")</f>
        <v>#VALUE!</v>
      </c>
      <c r="AV101" t="e">
        <f>AND('PROG FORMACIÓN TITULADA'!J676,"AAAAAG5/3y8=")</f>
        <v>#VALUE!</v>
      </c>
      <c r="AW101" t="e">
        <f>AND('PROG FORMACIÓN TITULADA'!K676,"AAAAAG5/3zA=")</f>
        <v>#VALUE!</v>
      </c>
      <c r="AX101" t="e">
        <f>AND('PROG FORMACIÓN TITULADA'!L676,"AAAAAG5/3zE=")</f>
        <v>#VALUE!</v>
      </c>
      <c r="AY101" t="e">
        <f>AND('PROG FORMACIÓN TITULADA'!M676,"AAAAAG5/3zI=")</f>
        <v>#VALUE!</v>
      </c>
      <c r="AZ101" t="e">
        <f>AND('PROG FORMACIÓN TITULADA'!N676,"AAAAAG5/3zM=")</f>
        <v>#VALUE!</v>
      </c>
      <c r="BA101" t="e">
        <f>AND('PROG FORMACIÓN TITULADA'!O676,"AAAAAG5/3zQ=")</f>
        <v>#VALUE!</v>
      </c>
      <c r="BB101" t="e">
        <f>AND('PROG FORMACIÓN TITULADA'!P676,"AAAAAG5/3zU=")</f>
        <v>#VALUE!</v>
      </c>
      <c r="BC101" t="e">
        <f>AND('PROG FORMACIÓN TITULADA'!Q676,"AAAAAG5/3zY=")</f>
        <v>#VALUE!</v>
      </c>
      <c r="BD101" t="e">
        <f>AND('PROG FORMACIÓN TITULADA'!R676,"AAAAAG5/3zc=")</f>
        <v>#VALUE!</v>
      </c>
      <c r="BE101" t="e">
        <f>AND('PROG FORMACIÓN TITULADA'!S676,"AAAAAG5/3zg=")</f>
        <v>#VALUE!</v>
      </c>
      <c r="BF101" t="e">
        <f>AND('PROG FORMACIÓN TITULADA'!T676,"AAAAAG5/3zk=")</f>
        <v>#VALUE!</v>
      </c>
      <c r="BG101" t="e">
        <f>AND('PROG FORMACIÓN TITULADA'!U676,"AAAAAG5/3zo=")</f>
        <v>#VALUE!</v>
      </c>
      <c r="BH101" t="e">
        <f>AND('PROG FORMACIÓN TITULADA'!V676,"AAAAAG5/3zs=")</f>
        <v>#VALUE!</v>
      </c>
      <c r="BI101" t="e">
        <f>AND('PROG FORMACIÓN TITULADA'!W676,"AAAAAG5/3zw=")</f>
        <v>#VALUE!</v>
      </c>
      <c r="BJ101" t="e">
        <f>AND('PROG FORMACIÓN TITULADA'!X676,"AAAAAG5/3z0=")</f>
        <v>#VALUE!</v>
      </c>
      <c r="BK101" t="e">
        <f>AND('PROG FORMACIÓN TITULADA'!Y676,"AAAAAG5/3z4=")</f>
        <v>#VALUE!</v>
      </c>
      <c r="BL101" t="e">
        <f>AND('PROG FORMACIÓN TITULADA'!Z676,"AAAAAG5/3z8=")</f>
        <v>#VALUE!</v>
      </c>
      <c r="BM101">
        <f>IF('PROG FORMACIÓN TITULADA'!677:677,"AAAAAG5/30A=",0)</f>
        <v>0</v>
      </c>
      <c r="BN101" t="e">
        <f>AND('PROG FORMACIÓN TITULADA'!A677,"AAAAAG5/30E=")</f>
        <v>#VALUE!</v>
      </c>
      <c r="BO101" t="e">
        <f>AND('PROG FORMACIÓN TITULADA'!B677,"AAAAAG5/30I=")</f>
        <v>#VALUE!</v>
      </c>
      <c r="BP101" t="e">
        <f>AND('PROG FORMACIÓN TITULADA'!C677,"AAAAAG5/30M=")</f>
        <v>#VALUE!</v>
      </c>
      <c r="BQ101" t="e">
        <f>AND('PROG FORMACIÓN TITULADA'!D677,"AAAAAG5/30Q=")</f>
        <v>#VALUE!</v>
      </c>
      <c r="BR101" t="e">
        <f>AND('PROG FORMACIÓN TITULADA'!E677,"AAAAAG5/30U=")</f>
        <v>#VALUE!</v>
      </c>
      <c r="BS101" t="e">
        <f>AND('PROG FORMACIÓN TITULADA'!F677,"AAAAAG5/30Y=")</f>
        <v>#VALUE!</v>
      </c>
      <c r="BT101" t="e">
        <f>AND('PROG FORMACIÓN TITULADA'!G677,"AAAAAG5/30c=")</f>
        <v>#VALUE!</v>
      </c>
      <c r="BU101" t="e">
        <f>AND('PROG FORMACIÓN TITULADA'!H677,"AAAAAG5/30g=")</f>
        <v>#VALUE!</v>
      </c>
      <c r="BV101" t="e">
        <f>AND('PROG FORMACIÓN TITULADA'!I677,"AAAAAG5/30k=")</f>
        <v>#VALUE!</v>
      </c>
      <c r="BW101" t="e">
        <f>AND('PROG FORMACIÓN TITULADA'!J677,"AAAAAG5/30o=")</f>
        <v>#VALUE!</v>
      </c>
      <c r="BX101" t="e">
        <f>AND('PROG FORMACIÓN TITULADA'!K677,"AAAAAG5/30s=")</f>
        <v>#VALUE!</v>
      </c>
      <c r="BY101" t="e">
        <f>AND('PROG FORMACIÓN TITULADA'!L677,"AAAAAG5/30w=")</f>
        <v>#VALUE!</v>
      </c>
      <c r="BZ101" t="e">
        <f>AND('PROG FORMACIÓN TITULADA'!M677,"AAAAAG5/300=")</f>
        <v>#VALUE!</v>
      </c>
      <c r="CA101" t="e">
        <f>AND('PROG FORMACIÓN TITULADA'!N677,"AAAAAG5/304=")</f>
        <v>#VALUE!</v>
      </c>
      <c r="CB101" t="e">
        <f>AND('PROG FORMACIÓN TITULADA'!O677,"AAAAAG5/308=")</f>
        <v>#VALUE!</v>
      </c>
      <c r="CC101" t="e">
        <f>AND('PROG FORMACIÓN TITULADA'!P677,"AAAAAG5/31A=")</f>
        <v>#VALUE!</v>
      </c>
      <c r="CD101" t="e">
        <f>AND('PROG FORMACIÓN TITULADA'!Q677,"AAAAAG5/31E=")</f>
        <v>#VALUE!</v>
      </c>
      <c r="CE101" t="e">
        <f>AND('PROG FORMACIÓN TITULADA'!R677,"AAAAAG5/31I=")</f>
        <v>#VALUE!</v>
      </c>
      <c r="CF101" t="e">
        <f>AND('PROG FORMACIÓN TITULADA'!S677,"AAAAAG5/31M=")</f>
        <v>#VALUE!</v>
      </c>
      <c r="CG101" t="e">
        <f>AND('PROG FORMACIÓN TITULADA'!T677,"AAAAAG5/31Q=")</f>
        <v>#VALUE!</v>
      </c>
      <c r="CH101" t="e">
        <f>AND('PROG FORMACIÓN TITULADA'!U677,"AAAAAG5/31U=")</f>
        <v>#VALUE!</v>
      </c>
      <c r="CI101" t="e">
        <f>AND('PROG FORMACIÓN TITULADA'!V677,"AAAAAG5/31Y=")</f>
        <v>#VALUE!</v>
      </c>
      <c r="CJ101" t="e">
        <f>AND('PROG FORMACIÓN TITULADA'!W677,"AAAAAG5/31c=")</f>
        <v>#VALUE!</v>
      </c>
      <c r="CK101" t="e">
        <f>AND('PROG FORMACIÓN TITULADA'!X677,"AAAAAG5/31g=")</f>
        <v>#VALUE!</v>
      </c>
      <c r="CL101" t="e">
        <f>AND('PROG FORMACIÓN TITULADA'!Y677,"AAAAAG5/31k=")</f>
        <v>#VALUE!</v>
      </c>
      <c r="CM101" t="e">
        <f>AND('PROG FORMACIÓN TITULADA'!Z677,"AAAAAG5/31o=")</f>
        <v>#VALUE!</v>
      </c>
      <c r="CN101">
        <f>IF('PROG FORMACIÓN TITULADA'!678:678,"AAAAAG5/31s=",0)</f>
        <v>0</v>
      </c>
      <c r="CO101" t="e">
        <f>AND('PROG FORMACIÓN TITULADA'!A678,"AAAAAG5/31w=")</f>
        <v>#VALUE!</v>
      </c>
      <c r="CP101" t="e">
        <f>AND('PROG FORMACIÓN TITULADA'!B678,"AAAAAG5/310=")</f>
        <v>#VALUE!</v>
      </c>
      <c r="CQ101" t="e">
        <f>AND('PROG FORMACIÓN TITULADA'!C678,"AAAAAG5/314=")</f>
        <v>#VALUE!</v>
      </c>
      <c r="CR101" t="e">
        <f>AND('PROG FORMACIÓN TITULADA'!D678,"AAAAAG5/318=")</f>
        <v>#VALUE!</v>
      </c>
      <c r="CS101" t="e">
        <f>AND('PROG FORMACIÓN TITULADA'!E678,"AAAAAG5/32A=")</f>
        <v>#VALUE!</v>
      </c>
      <c r="CT101" t="e">
        <f>AND('PROG FORMACIÓN TITULADA'!F678,"AAAAAG5/32E=")</f>
        <v>#VALUE!</v>
      </c>
      <c r="CU101" t="e">
        <f>AND('PROG FORMACIÓN TITULADA'!G678,"AAAAAG5/32I=")</f>
        <v>#VALUE!</v>
      </c>
      <c r="CV101" t="e">
        <f>AND('PROG FORMACIÓN TITULADA'!H678,"AAAAAG5/32M=")</f>
        <v>#VALUE!</v>
      </c>
      <c r="CW101" t="e">
        <f>AND('PROG FORMACIÓN TITULADA'!I678,"AAAAAG5/32Q=")</f>
        <v>#VALUE!</v>
      </c>
      <c r="CX101" t="e">
        <f>AND('PROG FORMACIÓN TITULADA'!J678,"AAAAAG5/32U=")</f>
        <v>#VALUE!</v>
      </c>
      <c r="CY101" t="e">
        <f>AND('PROG FORMACIÓN TITULADA'!K678,"AAAAAG5/32Y=")</f>
        <v>#VALUE!</v>
      </c>
      <c r="CZ101" t="e">
        <f>AND('PROG FORMACIÓN TITULADA'!L678,"AAAAAG5/32c=")</f>
        <v>#VALUE!</v>
      </c>
      <c r="DA101" t="e">
        <f>AND('PROG FORMACIÓN TITULADA'!M678,"AAAAAG5/32g=")</f>
        <v>#VALUE!</v>
      </c>
      <c r="DB101" t="e">
        <f>AND('PROG FORMACIÓN TITULADA'!N678,"AAAAAG5/32k=")</f>
        <v>#VALUE!</v>
      </c>
      <c r="DC101" t="e">
        <f>AND('PROG FORMACIÓN TITULADA'!O678,"AAAAAG5/32o=")</f>
        <v>#VALUE!</v>
      </c>
      <c r="DD101" t="e">
        <f>AND('PROG FORMACIÓN TITULADA'!P678,"AAAAAG5/32s=")</f>
        <v>#VALUE!</v>
      </c>
      <c r="DE101" t="e">
        <f>AND('PROG FORMACIÓN TITULADA'!Q678,"AAAAAG5/32w=")</f>
        <v>#VALUE!</v>
      </c>
      <c r="DF101" t="e">
        <f>AND('PROG FORMACIÓN TITULADA'!R678,"AAAAAG5/320=")</f>
        <v>#VALUE!</v>
      </c>
      <c r="DG101" t="e">
        <f>AND('PROG FORMACIÓN TITULADA'!S678,"AAAAAG5/324=")</f>
        <v>#VALUE!</v>
      </c>
      <c r="DH101" t="e">
        <f>AND('PROG FORMACIÓN TITULADA'!T678,"AAAAAG5/328=")</f>
        <v>#VALUE!</v>
      </c>
      <c r="DI101" t="e">
        <f>AND('PROG FORMACIÓN TITULADA'!U678,"AAAAAG5/33A=")</f>
        <v>#VALUE!</v>
      </c>
      <c r="DJ101" t="e">
        <f>AND('PROG FORMACIÓN TITULADA'!V678,"AAAAAG5/33E=")</f>
        <v>#VALUE!</v>
      </c>
      <c r="DK101" t="e">
        <f>AND('PROG FORMACIÓN TITULADA'!W678,"AAAAAG5/33I=")</f>
        <v>#VALUE!</v>
      </c>
      <c r="DL101" t="e">
        <f>AND('PROG FORMACIÓN TITULADA'!X678,"AAAAAG5/33M=")</f>
        <v>#VALUE!</v>
      </c>
      <c r="DM101" t="e">
        <f>AND('PROG FORMACIÓN TITULADA'!Y678,"AAAAAG5/33Q=")</f>
        <v>#VALUE!</v>
      </c>
      <c r="DN101" t="e">
        <f>AND('PROG FORMACIÓN TITULADA'!Z678,"AAAAAG5/33U=")</f>
        <v>#VALUE!</v>
      </c>
      <c r="DO101">
        <f>IF('PROG FORMACIÓN TITULADA'!679:679,"AAAAAG5/33Y=",0)</f>
        <v>0</v>
      </c>
      <c r="DP101" t="e">
        <f>AND('PROG FORMACIÓN TITULADA'!A679,"AAAAAG5/33c=")</f>
        <v>#VALUE!</v>
      </c>
      <c r="DQ101" t="e">
        <f>AND('PROG FORMACIÓN TITULADA'!B679,"AAAAAG5/33g=")</f>
        <v>#VALUE!</v>
      </c>
      <c r="DR101" t="e">
        <f>AND('PROG FORMACIÓN TITULADA'!C679,"AAAAAG5/33k=")</f>
        <v>#VALUE!</v>
      </c>
      <c r="DS101" t="e">
        <f>AND('PROG FORMACIÓN TITULADA'!D679,"AAAAAG5/33o=")</f>
        <v>#VALUE!</v>
      </c>
      <c r="DT101" t="e">
        <f>AND('PROG FORMACIÓN TITULADA'!E679,"AAAAAG5/33s=")</f>
        <v>#VALUE!</v>
      </c>
      <c r="DU101" t="e">
        <f>AND('PROG FORMACIÓN TITULADA'!F679,"AAAAAG5/33w=")</f>
        <v>#VALUE!</v>
      </c>
      <c r="DV101" t="e">
        <f>AND('PROG FORMACIÓN TITULADA'!G679,"AAAAAG5/330=")</f>
        <v>#VALUE!</v>
      </c>
      <c r="DW101" t="e">
        <f>AND('PROG FORMACIÓN TITULADA'!H679,"AAAAAG5/334=")</f>
        <v>#VALUE!</v>
      </c>
      <c r="DX101" t="e">
        <f>AND('PROG FORMACIÓN TITULADA'!I679,"AAAAAG5/338=")</f>
        <v>#VALUE!</v>
      </c>
      <c r="DY101" t="e">
        <f>AND('PROG FORMACIÓN TITULADA'!J679,"AAAAAG5/34A=")</f>
        <v>#VALUE!</v>
      </c>
      <c r="DZ101" t="e">
        <f>AND('PROG FORMACIÓN TITULADA'!K679,"AAAAAG5/34E=")</f>
        <v>#VALUE!</v>
      </c>
      <c r="EA101" t="e">
        <f>AND('PROG FORMACIÓN TITULADA'!L679,"AAAAAG5/34I=")</f>
        <v>#VALUE!</v>
      </c>
      <c r="EB101" t="e">
        <f>AND('PROG FORMACIÓN TITULADA'!M679,"AAAAAG5/34M=")</f>
        <v>#VALUE!</v>
      </c>
      <c r="EC101" t="e">
        <f>AND('PROG FORMACIÓN TITULADA'!N679,"AAAAAG5/34Q=")</f>
        <v>#VALUE!</v>
      </c>
      <c r="ED101" t="e">
        <f>AND('PROG FORMACIÓN TITULADA'!O679,"AAAAAG5/34U=")</f>
        <v>#VALUE!</v>
      </c>
      <c r="EE101" t="e">
        <f>AND('PROG FORMACIÓN TITULADA'!P679,"AAAAAG5/34Y=")</f>
        <v>#VALUE!</v>
      </c>
      <c r="EF101" t="e">
        <f>AND('PROG FORMACIÓN TITULADA'!Q679,"AAAAAG5/34c=")</f>
        <v>#VALUE!</v>
      </c>
      <c r="EG101" t="e">
        <f>AND('PROG FORMACIÓN TITULADA'!R679,"AAAAAG5/34g=")</f>
        <v>#VALUE!</v>
      </c>
      <c r="EH101" t="e">
        <f>AND('PROG FORMACIÓN TITULADA'!S679,"AAAAAG5/34k=")</f>
        <v>#VALUE!</v>
      </c>
      <c r="EI101" t="e">
        <f>AND('PROG FORMACIÓN TITULADA'!T679,"AAAAAG5/34o=")</f>
        <v>#VALUE!</v>
      </c>
      <c r="EJ101" t="e">
        <f>AND('PROG FORMACIÓN TITULADA'!U679,"AAAAAG5/34s=")</f>
        <v>#VALUE!</v>
      </c>
      <c r="EK101" t="e">
        <f>AND('PROG FORMACIÓN TITULADA'!V679,"AAAAAG5/34w=")</f>
        <v>#VALUE!</v>
      </c>
      <c r="EL101" t="e">
        <f>AND('PROG FORMACIÓN TITULADA'!W679,"AAAAAG5/340=")</f>
        <v>#VALUE!</v>
      </c>
      <c r="EM101" t="e">
        <f>AND('PROG FORMACIÓN TITULADA'!X679,"AAAAAG5/344=")</f>
        <v>#VALUE!</v>
      </c>
      <c r="EN101" t="e">
        <f>AND('PROG FORMACIÓN TITULADA'!Y679,"AAAAAG5/348=")</f>
        <v>#VALUE!</v>
      </c>
      <c r="EO101" t="e">
        <f>AND('PROG FORMACIÓN TITULADA'!Z679,"AAAAAG5/35A=")</f>
        <v>#VALUE!</v>
      </c>
      <c r="EP101">
        <f>IF('PROG FORMACIÓN TITULADA'!680:680,"AAAAAG5/35E=",0)</f>
        <v>0</v>
      </c>
      <c r="EQ101" t="e">
        <f>AND('PROG FORMACIÓN TITULADA'!A680,"AAAAAG5/35I=")</f>
        <v>#VALUE!</v>
      </c>
      <c r="ER101" t="e">
        <f>AND('PROG FORMACIÓN TITULADA'!B680,"AAAAAG5/35M=")</f>
        <v>#VALUE!</v>
      </c>
      <c r="ES101" t="e">
        <f>AND('PROG FORMACIÓN TITULADA'!C680,"AAAAAG5/35Q=")</f>
        <v>#VALUE!</v>
      </c>
      <c r="ET101" t="e">
        <f>AND('PROG FORMACIÓN TITULADA'!D680,"AAAAAG5/35U=")</f>
        <v>#VALUE!</v>
      </c>
      <c r="EU101" t="e">
        <f>AND('PROG FORMACIÓN TITULADA'!E680,"AAAAAG5/35Y=")</f>
        <v>#VALUE!</v>
      </c>
      <c r="EV101" t="e">
        <f>AND('PROG FORMACIÓN TITULADA'!F680,"AAAAAG5/35c=")</f>
        <v>#VALUE!</v>
      </c>
      <c r="EW101" t="e">
        <f>AND('PROG FORMACIÓN TITULADA'!G680,"AAAAAG5/35g=")</f>
        <v>#VALUE!</v>
      </c>
      <c r="EX101" t="e">
        <f>AND('PROG FORMACIÓN TITULADA'!H680,"AAAAAG5/35k=")</f>
        <v>#VALUE!</v>
      </c>
      <c r="EY101" t="e">
        <f>AND('PROG FORMACIÓN TITULADA'!I680,"AAAAAG5/35o=")</f>
        <v>#VALUE!</v>
      </c>
      <c r="EZ101" t="e">
        <f>AND('PROG FORMACIÓN TITULADA'!J680,"AAAAAG5/35s=")</f>
        <v>#VALUE!</v>
      </c>
      <c r="FA101" t="e">
        <f>AND('PROG FORMACIÓN TITULADA'!K680,"AAAAAG5/35w=")</f>
        <v>#VALUE!</v>
      </c>
      <c r="FB101" t="e">
        <f>AND('PROG FORMACIÓN TITULADA'!L680,"AAAAAG5/350=")</f>
        <v>#VALUE!</v>
      </c>
      <c r="FC101" t="e">
        <f>AND('PROG FORMACIÓN TITULADA'!M680,"AAAAAG5/354=")</f>
        <v>#VALUE!</v>
      </c>
      <c r="FD101" t="e">
        <f>AND('PROG FORMACIÓN TITULADA'!N680,"AAAAAG5/358=")</f>
        <v>#VALUE!</v>
      </c>
      <c r="FE101" t="e">
        <f>AND('PROG FORMACIÓN TITULADA'!O680,"AAAAAG5/36A=")</f>
        <v>#VALUE!</v>
      </c>
      <c r="FF101" t="e">
        <f>AND('PROG FORMACIÓN TITULADA'!P680,"AAAAAG5/36E=")</f>
        <v>#VALUE!</v>
      </c>
      <c r="FG101" t="e">
        <f>AND('PROG FORMACIÓN TITULADA'!Q680,"AAAAAG5/36I=")</f>
        <v>#VALUE!</v>
      </c>
      <c r="FH101" t="e">
        <f>AND('PROG FORMACIÓN TITULADA'!R680,"AAAAAG5/36M=")</f>
        <v>#VALUE!</v>
      </c>
      <c r="FI101" t="e">
        <f>AND('PROG FORMACIÓN TITULADA'!S680,"AAAAAG5/36Q=")</f>
        <v>#VALUE!</v>
      </c>
      <c r="FJ101" t="e">
        <f>AND('PROG FORMACIÓN TITULADA'!T680,"AAAAAG5/36U=")</f>
        <v>#VALUE!</v>
      </c>
      <c r="FK101" t="e">
        <f>AND('PROG FORMACIÓN TITULADA'!U680,"AAAAAG5/36Y=")</f>
        <v>#VALUE!</v>
      </c>
      <c r="FL101" t="e">
        <f>AND('PROG FORMACIÓN TITULADA'!V680,"AAAAAG5/36c=")</f>
        <v>#VALUE!</v>
      </c>
      <c r="FM101" t="e">
        <f>AND('PROG FORMACIÓN TITULADA'!W680,"AAAAAG5/36g=")</f>
        <v>#VALUE!</v>
      </c>
      <c r="FN101" t="e">
        <f>AND('PROG FORMACIÓN TITULADA'!X680,"AAAAAG5/36k=")</f>
        <v>#VALUE!</v>
      </c>
      <c r="FO101" t="e">
        <f>AND('PROG FORMACIÓN TITULADA'!Y680,"AAAAAG5/36o=")</f>
        <v>#VALUE!</v>
      </c>
      <c r="FP101" t="e">
        <f>AND('PROG FORMACIÓN TITULADA'!Z680,"AAAAAG5/36s=")</f>
        <v>#VALUE!</v>
      </c>
      <c r="FQ101">
        <f>IF('PROG FORMACIÓN TITULADA'!681:681,"AAAAAG5/36w=",0)</f>
        <v>0</v>
      </c>
      <c r="FR101" t="e">
        <f>AND('PROG FORMACIÓN TITULADA'!A681,"AAAAAG5/360=")</f>
        <v>#VALUE!</v>
      </c>
      <c r="FS101" t="e">
        <f>AND('PROG FORMACIÓN TITULADA'!B681,"AAAAAG5/364=")</f>
        <v>#VALUE!</v>
      </c>
      <c r="FT101" t="e">
        <f>AND('PROG FORMACIÓN TITULADA'!C681,"AAAAAG5/368=")</f>
        <v>#VALUE!</v>
      </c>
      <c r="FU101" t="e">
        <f>AND('PROG FORMACIÓN TITULADA'!D681,"AAAAAG5/37A=")</f>
        <v>#VALUE!</v>
      </c>
      <c r="FV101" t="e">
        <f>AND('PROG FORMACIÓN TITULADA'!E681,"AAAAAG5/37E=")</f>
        <v>#VALUE!</v>
      </c>
      <c r="FW101" t="e">
        <f>AND('PROG FORMACIÓN TITULADA'!F681,"AAAAAG5/37I=")</f>
        <v>#VALUE!</v>
      </c>
      <c r="FX101" t="e">
        <f>AND('PROG FORMACIÓN TITULADA'!G681,"AAAAAG5/37M=")</f>
        <v>#VALUE!</v>
      </c>
      <c r="FY101" t="e">
        <f>AND('PROG FORMACIÓN TITULADA'!H681,"AAAAAG5/37Q=")</f>
        <v>#VALUE!</v>
      </c>
      <c r="FZ101" t="e">
        <f>AND('PROG FORMACIÓN TITULADA'!I681,"AAAAAG5/37U=")</f>
        <v>#VALUE!</v>
      </c>
      <c r="GA101" t="e">
        <f>AND('PROG FORMACIÓN TITULADA'!J681,"AAAAAG5/37Y=")</f>
        <v>#VALUE!</v>
      </c>
      <c r="GB101" t="e">
        <f>AND('PROG FORMACIÓN TITULADA'!K681,"AAAAAG5/37c=")</f>
        <v>#VALUE!</v>
      </c>
      <c r="GC101" t="e">
        <f>AND('PROG FORMACIÓN TITULADA'!L681,"AAAAAG5/37g=")</f>
        <v>#VALUE!</v>
      </c>
      <c r="GD101" t="e">
        <f>AND('PROG FORMACIÓN TITULADA'!M681,"AAAAAG5/37k=")</f>
        <v>#VALUE!</v>
      </c>
      <c r="GE101" t="e">
        <f>AND('PROG FORMACIÓN TITULADA'!N681,"AAAAAG5/37o=")</f>
        <v>#VALUE!</v>
      </c>
      <c r="GF101" t="e">
        <f>AND('PROG FORMACIÓN TITULADA'!O681,"AAAAAG5/37s=")</f>
        <v>#VALUE!</v>
      </c>
      <c r="GG101" t="e">
        <f>AND('PROG FORMACIÓN TITULADA'!P681,"AAAAAG5/37w=")</f>
        <v>#VALUE!</v>
      </c>
      <c r="GH101" t="e">
        <f>AND('PROG FORMACIÓN TITULADA'!Q681,"AAAAAG5/370=")</f>
        <v>#VALUE!</v>
      </c>
      <c r="GI101" t="e">
        <f>AND('PROG FORMACIÓN TITULADA'!R681,"AAAAAG5/374=")</f>
        <v>#VALUE!</v>
      </c>
      <c r="GJ101" t="e">
        <f>AND('PROG FORMACIÓN TITULADA'!S681,"AAAAAG5/378=")</f>
        <v>#VALUE!</v>
      </c>
      <c r="GK101" t="e">
        <f>AND('PROG FORMACIÓN TITULADA'!T681,"AAAAAG5/38A=")</f>
        <v>#VALUE!</v>
      </c>
      <c r="GL101" t="e">
        <f>AND('PROG FORMACIÓN TITULADA'!U681,"AAAAAG5/38E=")</f>
        <v>#VALUE!</v>
      </c>
      <c r="GM101" t="e">
        <f>AND('PROG FORMACIÓN TITULADA'!V681,"AAAAAG5/38I=")</f>
        <v>#VALUE!</v>
      </c>
      <c r="GN101" t="e">
        <f>AND('PROG FORMACIÓN TITULADA'!W681,"AAAAAG5/38M=")</f>
        <v>#VALUE!</v>
      </c>
      <c r="GO101" t="e">
        <f>AND('PROG FORMACIÓN TITULADA'!X681,"AAAAAG5/38Q=")</f>
        <v>#VALUE!</v>
      </c>
      <c r="GP101" t="e">
        <f>AND('PROG FORMACIÓN TITULADA'!Y681,"AAAAAG5/38U=")</f>
        <v>#VALUE!</v>
      </c>
      <c r="GQ101" t="e">
        <f>AND('PROG FORMACIÓN TITULADA'!Z681,"AAAAAG5/38Y=")</f>
        <v>#VALUE!</v>
      </c>
      <c r="GR101">
        <f>IF('PROG FORMACIÓN TITULADA'!682:682,"AAAAAG5/38c=",0)</f>
        <v>0</v>
      </c>
      <c r="GS101" t="e">
        <f>AND('PROG FORMACIÓN TITULADA'!A682,"AAAAAG5/38g=")</f>
        <v>#VALUE!</v>
      </c>
      <c r="GT101" t="e">
        <f>AND('PROG FORMACIÓN TITULADA'!B682,"AAAAAG5/38k=")</f>
        <v>#VALUE!</v>
      </c>
      <c r="GU101" t="e">
        <f>AND('PROG FORMACIÓN TITULADA'!C682,"AAAAAG5/38o=")</f>
        <v>#VALUE!</v>
      </c>
      <c r="GV101" t="e">
        <f>AND('PROG FORMACIÓN TITULADA'!D682,"AAAAAG5/38s=")</f>
        <v>#VALUE!</v>
      </c>
      <c r="GW101" t="e">
        <f>AND('PROG FORMACIÓN TITULADA'!E682,"AAAAAG5/38w=")</f>
        <v>#VALUE!</v>
      </c>
      <c r="GX101" t="e">
        <f>AND('PROG FORMACIÓN TITULADA'!F682,"AAAAAG5/380=")</f>
        <v>#VALUE!</v>
      </c>
      <c r="GY101" t="e">
        <f>AND('PROG FORMACIÓN TITULADA'!G682,"AAAAAG5/384=")</f>
        <v>#VALUE!</v>
      </c>
      <c r="GZ101" t="e">
        <f>AND('PROG FORMACIÓN TITULADA'!H682,"AAAAAG5/388=")</f>
        <v>#VALUE!</v>
      </c>
      <c r="HA101" t="e">
        <f>AND('PROG FORMACIÓN TITULADA'!I682,"AAAAAG5/39A=")</f>
        <v>#VALUE!</v>
      </c>
      <c r="HB101" t="e">
        <f>AND('PROG FORMACIÓN TITULADA'!J682,"AAAAAG5/39E=")</f>
        <v>#VALUE!</v>
      </c>
      <c r="HC101" t="e">
        <f>AND('PROG FORMACIÓN TITULADA'!K682,"AAAAAG5/39I=")</f>
        <v>#VALUE!</v>
      </c>
      <c r="HD101" t="e">
        <f>AND('PROG FORMACIÓN TITULADA'!L682,"AAAAAG5/39M=")</f>
        <v>#VALUE!</v>
      </c>
      <c r="HE101" t="e">
        <f>AND('PROG FORMACIÓN TITULADA'!M682,"AAAAAG5/39Q=")</f>
        <v>#VALUE!</v>
      </c>
      <c r="HF101" t="e">
        <f>AND('PROG FORMACIÓN TITULADA'!N682,"AAAAAG5/39U=")</f>
        <v>#VALUE!</v>
      </c>
      <c r="HG101" t="e">
        <f>AND('PROG FORMACIÓN TITULADA'!O682,"AAAAAG5/39Y=")</f>
        <v>#VALUE!</v>
      </c>
      <c r="HH101" t="e">
        <f>AND('PROG FORMACIÓN TITULADA'!P682,"AAAAAG5/39c=")</f>
        <v>#VALUE!</v>
      </c>
      <c r="HI101" t="e">
        <f>AND('PROG FORMACIÓN TITULADA'!Q682,"AAAAAG5/39g=")</f>
        <v>#VALUE!</v>
      </c>
      <c r="HJ101" t="e">
        <f>AND('PROG FORMACIÓN TITULADA'!R682,"AAAAAG5/39k=")</f>
        <v>#VALUE!</v>
      </c>
      <c r="HK101" t="e">
        <f>AND('PROG FORMACIÓN TITULADA'!S682,"AAAAAG5/39o=")</f>
        <v>#VALUE!</v>
      </c>
      <c r="HL101" t="e">
        <f>AND('PROG FORMACIÓN TITULADA'!T682,"AAAAAG5/39s=")</f>
        <v>#VALUE!</v>
      </c>
      <c r="HM101" t="e">
        <f>AND('PROG FORMACIÓN TITULADA'!U682,"AAAAAG5/39w=")</f>
        <v>#VALUE!</v>
      </c>
      <c r="HN101" t="e">
        <f>AND('PROG FORMACIÓN TITULADA'!V682,"AAAAAG5/390=")</f>
        <v>#VALUE!</v>
      </c>
      <c r="HO101" t="e">
        <f>AND('PROG FORMACIÓN TITULADA'!W682,"AAAAAG5/394=")</f>
        <v>#VALUE!</v>
      </c>
      <c r="HP101" t="e">
        <f>AND('PROG FORMACIÓN TITULADA'!X682,"AAAAAG5/398=")</f>
        <v>#VALUE!</v>
      </c>
      <c r="HQ101" t="e">
        <f>AND('PROG FORMACIÓN TITULADA'!Y682,"AAAAAG5/3+A=")</f>
        <v>#VALUE!</v>
      </c>
      <c r="HR101" t="e">
        <f>AND('PROG FORMACIÓN TITULADA'!Z682,"AAAAAG5/3+E=")</f>
        <v>#VALUE!</v>
      </c>
      <c r="HS101">
        <f>IF('PROG FORMACIÓN TITULADA'!683:683,"AAAAAG5/3+I=",0)</f>
        <v>0</v>
      </c>
      <c r="HT101" t="e">
        <f>AND('PROG FORMACIÓN TITULADA'!A683,"AAAAAG5/3+M=")</f>
        <v>#VALUE!</v>
      </c>
      <c r="HU101" t="e">
        <f>AND('PROG FORMACIÓN TITULADA'!B683,"AAAAAG5/3+Q=")</f>
        <v>#VALUE!</v>
      </c>
      <c r="HV101" t="e">
        <f>AND('PROG FORMACIÓN TITULADA'!C683,"AAAAAG5/3+U=")</f>
        <v>#VALUE!</v>
      </c>
      <c r="HW101" t="e">
        <f>AND('PROG FORMACIÓN TITULADA'!D683,"AAAAAG5/3+Y=")</f>
        <v>#VALUE!</v>
      </c>
      <c r="HX101" t="e">
        <f>AND('PROG FORMACIÓN TITULADA'!E683,"AAAAAG5/3+c=")</f>
        <v>#VALUE!</v>
      </c>
      <c r="HY101" t="e">
        <f>AND('PROG FORMACIÓN TITULADA'!F683,"AAAAAG5/3+g=")</f>
        <v>#VALUE!</v>
      </c>
      <c r="HZ101" t="e">
        <f>AND('PROG FORMACIÓN TITULADA'!G683,"AAAAAG5/3+k=")</f>
        <v>#VALUE!</v>
      </c>
      <c r="IA101" t="e">
        <f>AND('PROG FORMACIÓN TITULADA'!H683,"AAAAAG5/3+o=")</f>
        <v>#VALUE!</v>
      </c>
      <c r="IB101" t="e">
        <f>AND('PROG FORMACIÓN TITULADA'!I683,"AAAAAG5/3+s=")</f>
        <v>#VALUE!</v>
      </c>
      <c r="IC101" t="e">
        <f>AND('PROG FORMACIÓN TITULADA'!J683,"AAAAAG5/3+w=")</f>
        <v>#VALUE!</v>
      </c>
      <c r="ID101" t="e">
        <f>AND('PROG FORMACIÓN TITULADA'!K683,"AAAAAG5/3+0=")</f>
        <v>#VALUE!</v>
      </c>
      <c r="IE101" t="e">
        <f>AND('PROG FORMACIÓN TITULADA'!L683,"AAAAAG5/3+4=")</f>
        <v>#VALUE!</v>
      </c>
      <c r="IF101" t="e">
        <f>AND('PROG FORMACIÓN TITULADA'!M683,"AAAAAG5/3+8=")</f>
        <v>#VALUE!</v>
      </c>
      <c r="IG101" t="e">
        <f>AND('PROG FORMACIÓN TITULADA'!N683,"AAAAAG5/3/A=")</f>
        <v>#VALUE!</v>
      </c>
      <c r="IH101" t="e">
        <f>AND('PROG FORMACIÓN TITULADA'!O683,"AAAAAG5/3/E=")</f>
        <v>#VALUE!</v>
      </c>
      <c r="II101" t="e">
        <f>AND('PROG FORMACIÓN TITULADA'!P683,"AAAAAG5/3/I=")</f>
        <v>#VALUE!</v>
      </c>
      <c r="IJ101" t="e">
        <f>AND('PROG FORMACIÓN TITULADA'!Q683,"AAAAAG5/3/M=")</f>
        <v>#VALUE!</v>
      </c>
      <c r="IK101" t="e">
        <f>AND('PROG FORMACIÓN TITULADA'!R683,"AAAAAG5/3/Q=")</f>
        <v>#VALUE!</v>
      </c>
      <c r="IL101" t="e">
        <f>AND('PROG FORMACIÓN TITULADA'!S683,"AAAAAG5/3/U=")</f>
        <v>#VALUE!</v>
      </c>
      <c r="IM101" t="e">
        <f>AND('PROG FORMACIÓN TITULADA'!T683,"AAAAAG5/3/Y=")</f>
        <v>#VALUE!</v>
      </c>
      <c r="IN101" t="e">
        <f>AND('PROG FORMACIÓN TITULADA'!U683,"AAAAAG5/3/c=")</f>
        <v>#VALUE!</v>
      </c>
      <c r="IO101" t="e">
        <f>AND('PROG FORMACIÓN TITULADA'!V683,"AAAAAG5/3/g=")</f>
        <v>#VALUE!</v>
      </c>
      <c r="IP101" t="e">
        <f>AND('PROG FORMACIÓN TITULADA'!W683,"AAAAAG5/3/k=")</f>
        <v>#VALUE!</v>
      </c>
      <c r="IQ101" t="e">
        <f>AND('PROG FORMACIÓN TITULADA'!X683,"AAAAAG5/3/o=")</f>
        <v>#VALUE!</v>
      </c>
      <c r="IR101" t="e">
        <f>AND('PROG FORMACIÓN TITULADA'!Y683,"AAAAAG5/3/s=")</f>
        <v>#VALUE!</v>
      </c>
      <c r="IS101" t="e">
        <f>AND('PROG FORMACIÓN TITULADA'!Z683,"AAAAAG5/3/w=")</f>
        <v>#VALUE!</v>
      </c>
      <c r="IT101">
        <f>IF('PROG FORMACIÓN TITULADA'!684:684,"AAAAAG5/3/0=",0)</f>
        <v>0</v>
      </c>
      <c r="IU101" t="e">
        <f>AND('PROG FORMACIÓN TITULADA'!A684,"AAAAAG5/3/4=")</f>
        <v>#VALUE!</v>
      </c>
      <c r="IV101" t="e">
        <f>AND('PROG FORMACIÓN TITULADA'!B684,"AAAAAG5/3/8=")</f>
        <v>#VALUE!</v>
      </c>
    </row>
    <row r="102" spans="1:256" x14ac:dyDescent="0.2">
      <c r="A102" t="e">
        <f>AND('PROG FORMACIÓN TITULADA'!C684,"AAAAAH1/7gA=")</f>
        <v>#VALUE!</v>
      </c>
      <c r="B102" t="e">
        <f>AND('PROG FORMACIÓN TITULADA'!D684,"AAAAAH1/7gE=")</f>
        <v>#VALUE!</v>
      </c>
      <c r="C102" t="e">
        <f>AND('PROG FORMACIÓN TITULADA'!E684,"AAAAAH1/7gI=")</f>
        <v>#VALUE!</v>
      </c>
      <c r="D102" t="e">
        <f>AND('PROG FORMACIÓN TITULADA'!F684,"AAAAAH1/7gM=")</f>
        <v>#VALUE!</v>
      </c>
      <c r="E102" t="e">
        <f>AND('PROG FORMACIÓN TITULADA'!G684,"AAAAAH1/7gQ=")</f>
        <v>#VALUE!</v>
      </c>
      <c r="F102" t="e">
        <f>AND('PROG FORMACIÓN TITULADA'!H684,"AAAAAH1/7gU=")</f>
        <v>#VALUE!</v>
      </c>
      <c r="G102" t="e">
        <f>AND('PROG FORMACIÓN TITULADA'!I684,"AAAAAH1/7gY=")</f>
        <v>#VALUE!</v>
      </c>
      <c r="H102" t="e">
        <f>AND('PROG FORMACIÓN TITULADA'!J684,"AAAAAH1/7gc=")</f>
        <v>#VALUE!</v>
      </c>
      <c r="I102" t="e">
        <f>AND('PROG FORMACIÓN TITULADA'!K684,"AAAAAH1/7gg=")</f>
        <v>#VALUE!</v>
      </c>
      <c r="J102" t="e">
        <f>AND('PROG FORMACIÓN TITULADA'!L684,"AAAAAH1/7gk=")</f>
        <v>#VALUE!</v>
      </c>
      <c r="K102" t="e">
        <f>AND('PROG FORMACIÓN TITULADA'!M684,"AAAAAH1/7go=")</f>
        <v>#VALUE!</v>
      </c>
      <c r="L102" t="e">
        <f>AND('PROG FORMACIÓN TITULADA'!N684,"AAAAAH1/7gs=")</f>
        <v>#VALUE!</v>
      </c>
      <c r="M102" t="e">
        <f>AND('PROG FORMACIÓN TITULADA'!O684,"AAAAAH1/7gw=")</f>
        <v>#VALUE!</v>
      </c>
      <c r="N102" t="e">
        <f>AND('PROG FORMACIÓN TITULADA'!P684,"AAAAAH1/7g0=")</f>
        <v>#VALUE!</v>
      </c>
      <c r="O102" t="e">
        <f>AND('PROG FORMACIÓN TITULADA'!Q684,"AAAAAH1/7g4=")</f>
        <v>#VALUE!</v>
      </c>
      <c r="P102" t="e">
        <f>AND('PROG FORMACIÓN TITULADA'!R684,"AAAAAH1/7g8=")</f>
        <v>#VALUE!</v>
      </c>
      <c r="Q102" t="e">
        <f>AND('PROG FORMACIÓN TITULADA'!S684,"AAAAAH1/7hA=")</f>
        <v>#VALUE!</v>
      </c>
      <c r="R102" t="e">
        <f>AND('PROG FORMACIÓN TITULADA'!T684,"AAAAAH1/7hE=")</f>
        <v>#VALUE!</v>
      </c>
      <c r="S102" t="e">
        <f>AND('PROG FORMACIÓN TITULADA'!U684,"AAAAAH1/7hI=")</f>
        <v>#VALUE!</v>
      </c>
      <c r="T102" t="e">
        <f>AND('PROG FORMACIÓN TITULADA'!V684,"AAAAAH1/7hM=")</f>
        <v>#VALUE!</v>
      </c>
      <c r="U102" t="e">
        <f>AND('PROG FORMACIÓN TITULADA'!W684,"AAAAAH1/7hQ=")</f>
        <v>#VALUE!</v>
      </c>
      <c r="V102" t="e">
        <f>AND('PROG FORMACIÓN TITULADA'!X684,"AAAAAH1/7hU=")</f>
        <v>#VALUE!</v>
      </c>
      <c r="W102" t="e">
        <f>AND('PROG FORMACIÓN TITULADA'!Y684,"AAAAAH1/7hY=")</f>
        <v>#VALUE!</v>
      </c>
      <c r="X102" t="e">
        <f>AND('PROG FORMACIÓN TITULADA'!Z684,"AAAAAH1/7hc=")</f>
        <v>#VALUE!</v>
      </c>
      <c r="Y102">
        <f>IF('PROG FORMACIÓN TITULADA'!685:685,"AAAAAH1/7hg=",0)</f>
        <v>0</v>
      </c>
      <c r="Z102" t="e">
        <f>AND('PROG FORMACIÓN TITULADA'!A685,"AAAAAH1/7hk=")</f>
        <v>#VALUE!</v>
      </c>
      <c r="AA102" t="e">
        <f>AND('PROG FORMACIÓN TITULADA'!B685,"AAAAAH1/7ho=")</f>
        <v>#VALUE!</v>
      </c>
      <c r="AB102" t="e">
        <f>AND('PROG FORMACIÓN TITULADA'!C685,"AAAAAH1/7hs=")</f>
        <v>#VALUE!</v>
      </c>
      <c r="AC102" t="e">
        <f>AND('PROG FORMACIÓN TITULADA'!D685,"AAAAAH1/7hw=")</f>
        <v>#VALUE!</v>
      </c>
      <c r="AD102" t="e">
        <f>AND('PROG FORMACIÓN TITULADA'!E685,"AAAAAH1/7h0=")</f>
        <v>#VALUE!</v>
      </c>
      <c r="AE102" t="e">
        <f>AND('PROG FORMACIÓN TITULADA'!F685,"AAAAAH1/7h4=")</f>
        <v>#VALUE!</v>
      </c>
      <c r="AF102" t="e">
        <f>AND('PROG FORMACIÓN TITULADA'!G685,"AAAAAH1/7h8=")</f>
        <v>#VALUE!</v>
      </c>
      <c r="AG102" t="e">
        <f>AND('PROG FORMACIÓN TITULADA'!H685,"AAAAAH1/7iA=")</f>
        <v>#VALUE!</v>
      </c>
      <c r="AH102" t="e">
        <f>AND('PROG FORMACIÓN TITULADA'!I685,"AAAAAH1/7iE=")</f>
        <v>#VALUE!</v>
      </c>
      <c r="AI102" t="e">
        <f>AND('PROG FORMACIÓN TITULADA'!J685,"AAAAAH1/7iI=")</f>
        <v>#VALUE!</v>
      </c>
      <c r="AJ102" t="e">
        <f>AND('PROG FORMACIÓN TITULADA'!K685,"AAAAAH1/7iM=")</f>
        <v>#VALUE!</v>
      </c>
      <c r="AK102" t="e">
        <f>AND('PROG FORMACIÓN TITULADA'!L685,"AAAAAH1/7iQ=")</f>
        <v>#VALUE!</v>
      </c>
      <c r="AL102" t="e">
        <f>AND('PROG FORMACIÓN TITULADA'!M685,"AAAAAH1/7iU=")</f>
        <v>#VALUE!</v>
      </c>
      <c r="AM102" t="e">
        <f>AND('PROG FORMACIÓN TITULADA'!N685,"AAAAAH1/7iY=")</f>
        <v>#VALUE!</v>
      </c>
      <c r="AN102" t="e">
        <f>AND('PROG FORMACIÓN TITULADA'!O685,"AAAAAH1/7ic=")</f>
        <v>#VALUE!</v>
      </c>
      <c r="AO102" t="e">
        <f>AND('PROG FORMACIÓN TITULADA'!P685,"AAAAAH1/7ig=")</f>
        <v>#VALUE!</v>
      </c>
      <c r="AP102" t="e">
        <f>AND('PROG FORMACIÓN TITULADA'!Q685,"AAAAAH1/7ik=")</f>
        <v>#VALUE!</v>
      </c>
      <c r="AQ102" t="e">
        <f>AND('PROG FORMACIÓN TITULADA'!R685,"AAAAAH1/7io=")</f>
        <v>#VALUE!</v>
      </c>
      <c r="AR102" t="e">
        <f>AND('PROG FORMACIÓN TITULADA'!S685,"AAAAAH1/7is=")</f>
        <v>#VALUE!</v>
      </c>
      <c r="AS102" t="e">
        <f>AND('PROG FORMACIÓN TITULADA'!T685,"AAAAAH1/7iw=")</f>
        <v>#VALUE!</v>
      </c>
      <c r="AT102" t="e">
        <f>AND('PROG FORMACIÓN TITULADA'!U685,"AAAAAH1/7i0=")</f>
        <v>#VALUE!</v>
      </c>
      <c r="AU102" t="e">
        <f>AND('PROG FORMACIÓN TITULADA'!V685,"AAAAAH1/7i4=")</f>
        <v>#VALUE!</v>
      </c>
      <c r="AV102" t="e">
        <f>AND('PROG FORMACIÓN TITULADA'!W685,"AAAAAH1/7i8=")</f>
        <v>#VALUE!</v>
      </c>
      <c r="AW102" t="e">
        <f>AND('PROG FORMACIÓN TITULADA'!X685,"AAAAAH1/7jA=")</f>
        <v>#VALUE!</v>
      </c>
      <c r="AX102" t="e">
        <f>AND('PROG FORMACIÓN TITULADA'!Y685,"AAAAAH1/7jE=")</f>
        <v>#VALUE!</v>
      </c>
      <c r="AY102" t="e">
        <f>AND('PROG FORMACIÓN TITULADA'!Z685,"AAAAAH1/7jI=")</f>
        <v>#VALUE!</v>
      </c>
      <c r="AZ102">
        <f>IF('PROG FORMACIÓN TITULADA'!686:686,"AAAAAH1/7jM=",0)</f>
        <v>0</v>
      </c>
      <c r="BA102" t="e">
        <f>AND('PROG FORMACIÓN TITULADA'!A686,"AAAAAH1/7jQ=")</f>
        <v>#VALUE!</v>
      </c>
      <c r="BB102" t="e">
        <f>AND('PROG FORMACIÓN TITULADA'!B686,"AAAAAH1/7jU=")</f>
        <v>#VALUE!</v>
      </c>
      <c r="BC102" t="e">
        <f>AND('PROG FORMACIÓN TITULADA'!C686,"AAAAAH1/7jY=")</f>
        <v>#VALUE!</v>
      </c>
      <c r="BD102" t="e">
        <f>AND('PROG FORMACIÓN TITULADA'!D686,"AAAAAH1/7jc=")</f>
        <v>#VALUE!</v>
      </c>
      <c r="BE102" t="e">
        <f>AND('PROG FORMACIÓN TITULADA'!E686,"AAAAAH1/7jg=")</f>
        <v>#VALUE!</v>
      </c>
      <c r="BF102" t="e">
        <f>AND('PROG FORMACIÓN TITULADA'!F686,"AAAAAH1/7jk=")</f>
        <v>#VALUE!</v>
      </c>
      <c r="BG102" t="e">
        <f>AND('PROG FORMACIÓN TITULADA'!G686,"AAAAAH1/7jo=")</f>
        <v>#VALUE!</v>
      </c>
      <c r="BH102" t="e">
        <f>AND('PROG FORMACIÓN TITULADA'!H686,"AAAAAH1/7js=")</f>
        <v>#VALUE!</v>
      </c>
      <c r="BI102" t="e">
        <f>AND('PROG FORMACIÓN TITULADA'!I686,"AAAAAH1/7jw=")</f>
        <v>#VALUE!</v>
      </c>
      <c r="BJ102" t="e">
        <f>AND('PROG FORMACIÓN TITULADA'!J686,"AAAAAH1/7j0=")</f>
        <v>#VALUE!</v>
      </c>
      <c r="BK102" t="e">
        <f>AND('PROG FORMACIÓN TITULADA'!K686,"AAAAAH1/7j4=")</f>
        <v>#VALUE!</v>
      </c>
      <c r="BL102" t="e">
        <f>AND('PROG FORMACIÓN TITULADA'!L686,"AAAAAH1/7j8=")</f>
        <v>#VALUE!</v>
      </c>
      <c r="BM102" t="e">
        <f>AND('PROG FORMACIÓN TITULADA'!M686,"AAAAAH1/7kA=")</f>
        <v>#VALUE!</v>
      </c>
      <c r="BN102" t="e">
        <f>AND('PROG FORMACIÓN TITULADA'!N686,"AAAAAH1/7kE=")</f>
        <v>#VALUE!</v>
      </c>
      <c r="BO102" t="e">
        <f>AND('PROG FORMACIÓN TITULADA'!O686,"AAAAAH1/7kI=")</f>
        <v>#VALUE!</v>
      </c>
      <c r="BP102" t="e">
        <f>AND('PROG FORMACIÓN TITULADA'!P686,"AAAAAH1/7kM=")</f>
        <v>#VALUE!</v>
      </c>
      <c r="BQ102" t="e">
        <f>AND('PROG FORMACIÓN TITULADA'!Q686,"AAAAAH1/7kQ=")</f>
        <v>#VALUE!</v>
      </c>
      <c r="BR102" t="e">
        <f>AND('PROG FORMACIÓN TITULADA'!R686,"AAAAAH1/7kU=")</f>
        <v>#VALUE!</v>
      </c>
      <c r="BS102" t="e">
        <f>AND('PROG FORMACIÓN TITULADA'!S686,"AAAAAH1/7kY=")</f>
        <v>#VALUE!</v>
      </c>
      <c r="BT102" t="e">
        <f>AND('PROG FORMACIÓN TITULADA'!T686,"AAAAAH1/7kc=")</f>
        <v>#VALUE!</v>
      </c>
      <c r="BU102" t="e">
        <f>AND('PROG FORMACIÓN TITULADA'!U686,"AAAAAH1/7kg=")</f>
        <v>#VALUE!</v>
      </c>
      <c r="BV102" t="e">
        <f>AND('PROG FORMACIÓN TITULADA'!V686,"AAAAAH1/7kk=")</f>
        <v>#VALUE!</v>
      </c>
      <c r="BW102" t="e">
        <f>AND('PROG FORMACIÓN TITULADA'!W686,"AAAAAH1/7ko=")</f>
        <v>#VALUE!</v>
      </c>
      <c r="BX102" t="e">
        <f>AND('PROG FORMACIÓN TITULADA'!X686,"AAAAAH1/7ks=")</f>
        <v>#VALUE!</v>
      </c>
      <c r="BY102" t="e">
        <f>AND('PROG FORMACIÓN TITULADA'!Y686,"AAAAAH1/7kw=")</f>
        <v>#VALUE!</v>
      </c>
      <c r="BZ102" t="e">
        <f>AND('PROG FORMACIÓN TITULADA'!Z686,"AAAAAH1/7k0=")</f>
        <v>#VALUE!</v>
      </c>
      <c r="CA102">
        <f>IF('PROG FORMACIÓN TITULADA'!687:687,"AAAAAH1/7k4=",0)</f>
        <v>0</v>
      </c>
      <c r="CB102" t="e">
        <f>AND('PROG FORMACIÓN TITULADA'!A687,"AAAAAH1/7k8=")</f>
        <v>#VALUE!</v>
      </c>
      <c r="CC102" t="e">
        <f>AND('PROG FORMACIÓN TITULADA'!B687,"AAAAAH1/7lA=")</f>
        <v>#VALUE!</v>
      </c>
      <c r="CD102" t="e">
        <f>AND('PROG FORMACIÓN TITULADA'!C687,"AAAAAH1/7lE=")</f>
        <v>#VALUE!</v>
      </c>
      <c r="CE102" t="e">
        <f>AND('PROG FORMACIÓN TITULADA'!D687,"AAAAAH1/7lI=")</f>
        <v>#VALUE!</v>
      </c>
      <c r="CF102" t="e">
        <f>AND('PROG FORMACIÓN TITULADA'!E687,"AAAAAH1/7lM=")</f>
        <v>#VALUE!</v>
      </c>
      <c r="CG102" t="e">
        <f>AND('PROG FORMACIÓN TITULADA'!F687,"AAAAAH1/7lQ=")</f>
        <v>#VALUE!</v>
      </c>
      <c r="CH102" t="e">
        <f>AND('PROG FORMACIÓN TITULADA'!G687,"AAAAAH1/7lU=")</f>
        <v>#VALUE!</v>
      </c>
      <c r="CI102" t="e">
        <f>AND('PROG FORMACIÓN TITULADA'!H687,"AAAAAH1/7lY=")</f>
        <v>#VALUE!</v>
      </c>
      <c r="CJ102" t="e">
        <f>AND('PROG FORMACIÓN TITULADA'!I687,"AAAAAH1/7lc=")</f>
        <v>#VALUE!</v>
      </c>
      <c r="CK102" t="e">
        <f>AND('PROG FORMACIÓN TITULADA'!J687,"AAAAAH1/7lg=")</f>
        <v>#VALUE!</v>
      </c>
      <c r="CL102" t="e">
        <f>AND('PROG FORMACIÓN TITULADA'!K687,"AAAAAH1/7lk=")</f>
        <v>#VALUE!</v>
      </c>
      <c r="CM102" t="e">
        <f>AND('PROG FORMACIÓN TITULADA'!L687,"AAAAAH1/7lo=")</f>
        <v>#VALUE!</v>
      </c>
      <c r="CN102" t="e">
        <f>AND('PROG FORMACIÓN TITULADA'!M687,"AAAAAH1/7ls=")</f>
        <v>#VALUE!</v>
      </c>
      <c r="CO102" t="e">
        <f>AND('PROG FORMACIÓN TITULADA'!N687,"AAAAAH1/7lw=")</f>
        <v>#VALUE!</v>
      </c>
      <c r="CP102" t="e">
        <f>AND('PROG FORMACIÓN TITULADA'!O687,"AAAAAH1/7l0=")</f>
        <v>#VALUE!</v>
      </c>
      <c r="CQ102" t="e">
        <f>AND('PROG FORMACIÓN TITULADA'!P687,"AAAAAH1/7l4=")</f>
        <v>#VALUE!</v>
      </c>
      <c r="CR102" t="e">
        <f>AND('PROG FORMACIÓN TITULADA'!Q687,"AAAAAH1/7l8=")</f>
        <v>#VALUE!</v>
      </c>
      <c r="CS102" t="e">
        <f>AND('PROG FORMACIÓN TITULADA'!R687,"AAAAAH1/7mA=")</f>
        <v>#VALUE!</v>
      </c>
      <c r="CT102" t="e">
        <f>AND('PROG FORMACIÓN TITULADA'!S687,"AAAAAH1/7mE=")</f>
        <v>#VALUE!</v>
      </c>
      <c r="CU102" t="e">
        <f>AND('PROG FORMACIÓN TITULADA'!T687,"AAAAAH1/7mI=")</f>
        <v>#VALUE!</v>
      </c>
      <c r="CV102" t="e">
        <f>AND('PROG FORMACIÓN TITULADA'!U687,"AAAAAH1/7mM=")</f>
        <v>#VALUE!</v>
      </c>
      <c r="CW102" t="e">
        <f>AND('PROG FORMACIÓN TITULADA'!V687,"AAAAAH1/7mQ=")</f>
        <v>#VALUE!</v>
      </c>
      <c r="CX102" t="e">
        <f>AND('PROG FORMACIÓN TITULADA'!W687,"AAAAAH1/7mU=")</f>
        <v>#VALUE!</v>
      </c>
      <c r="CY102" t="e">
        <f>AND('PROG FORMACIÓN TITULADA'!X687,"AAAAAH1/7mY=")</f>
        <v>#VALUE!</v>
      </c>
      <c r="CZ102" t="e">
        <f>AND('PROG FORMACIÓN TITULADA'!Y687,"AAAAAH1/7mc=")</f>
        <v>#VALUE!</v>
      </c>
      <c r="DA102" t="e">
        <f>AND('PROG FORMACIÓN TITULADA'!Z687,"AAAAAH1/7mg=")</f>
        <v>#VALUE!</v>
      </c>
      <c r="DB102">
        <f>IF('PROG FORMACIÓN TITULADA'!688:688,"AAAAAH1/7mk=",0)</f>
        <v>0</v>
      </c>
      <c r="DC102" t="e">
        <f>AND('PROG FORMACIÓN TITULADA'!A688,"AAAAAH1/7mo=")</f>
        <v>#VALUE!</v>
      </c>
      <c r="DD102" t="e">
        <f>AND('PROG FORMACIÓN TITULADA'!B688,"AAAAAH1/7ms=")</f>
        <v>#VALUE!</v>
      </c>
      <c r="DE102" t="e">
        <f>AND('PROG FORMACIÓN TITULADA'!C688,"AAAAAH1/7mw=")</f>
        <v>#VALUE!</v>
      </c>
      <c r="DF102" t="e">
        <f>AND('PROG FORMACIÓN TITULADA'!D688,"AAAAAH1/7m0=")</f>
        <v>#VALUE!</v>
      </c>
      <c r="DG102" t="e">
        <f>AND('PROG FORMACIÓN TITULADA'!E688,"AAAAAH1/7m4=")</f>
        <v>#VALUE!</v>
      </c>
      <c r="DH102" t="e">
        <f>AND('PROG FORMACIÓN TITULADA'!F688,"AAAAAH1/7m8=")</f>
        <v>#VALUE!</v>
      </c>
      <c r="DI102" t="e">
        <f>AND('PROG FORMACIÓN TITULADA'!G688,"AAAAAH1/7nA=")</f>
        <v>#VALUE!</v>
      </c>
      <c r="DJ102" t="e">
        <f>AND('PROG FORMACIÓN TITULADA'!H688,"AAAAAH1/7nE=")</f>
        <v>#VALUE!</v>
      </c>
      <c r="DK102" t="e">
        <f>AND('PROG FORMACIÓN TITULADA'!I688,"AAAAAH1/7nI=")</f>
        <v>#VALUE!</v>
      </c>
      <c r="DL102" t="e">
        <f>AND('PROG FORMACIÓN TITULADA'!J688,"AAAAAH1/7nM=")</f>
        <v>#VALUE!</v>
      </c>
      <c r="DM102" t="e">
        <f>AND('PROG FORMACIÓN TITULADA'!K688,"AAAAAH1/7nQ=")</f>
        <v>#VALUE!</v>
      </c>
      <c r="DN102" t="e">
        <f>AND('PROG FORMACIÓN TITULADA'!L688,"AAAAAH1/7nU=")</f>
        <v>#VALUE!</v>
      </c>
      <c r="DO102" t="e">
        <f>AND('PROG FORMACIÓN TITULADA'!M688,"AAAAAH1/7nY=")</f>
        <v>#VALUE!</v>
      </c>
      <c r="DP102" t="e">
        <f>AND('PROG FORMACIÓN TITULADA'!N688,"AAAAAH1/7nc=")</f>
        <v>#VALUE!</v>
      </c>
      <c r="DQ102" t="e">
        <f>AND('PROG FORMACIÓN TITULADA'!O688,"AAAAAH1/7ng=")</f>
        <v>#VALUE!</v>
      </c>
      <c r="DR102" t="e">
        <f>AND('PROG FORMACIÓN TITULADA'!P688,"AAAAAH1/7nk=")</f>
        <v>#VALUE!</v>
      </c>
      <c r="DS102" t="e">
        <f>AND('PROG FORMACIÓN TITULADA'!Q688,"AAAAAH1/7no=")</f>
        <v>#VALUE!</v>
      </c>
      <c r="DT102" t="e">
        <f>AND('PROG FORMACIÓN TITULADA'!R688,"AAAAAH1/7ns=")</f>
        <v>#VALUE!</v>
      </c>
      <c r="DU102" t="e">
        <f>AND('PROG FORMACIÓN TITULADA'!S688,"AAAAAH1/7nw=")</f>
        <v>#VALUE!</v>
      </c>
      <c r="DV102" t="e">
        <f>AND('PROG FORMACIÓN TITULADA'!T688,"AAAAAH1/7n0=")</f>
        <v>#VALUE!</v>
      </c>
      <c r="DW102" t="e">
        <f>AND('PROG FORMACIÓN TITULADA'!U688,"AAAAAH1/7n4=")</f>
        <v>#VALUE!</v>
      </c>
      <c r="DX102" t="e">
        <f>AND('PROG FORMACIÓN TITULADA'!V688,"AAAAAH1/7n8=")</f>
        <v>#VALUE!</v>
      </c>
      <c r="DY102" t="e">
        <f>AND('PROG FORMACIÓN TITULADA'!W688,"AAAAAH1/7oA=")</f>
        <v>#VALUE!</v>
      </c>
      <c r="DZ102" t="e">
        <f>AND('PROG FORMACIÓN TITULADA'!X688,"AAAAAH1/7oE=")</f>
        <v>#VALUE!</v>
      </c>
      <c r="EA102" t="e">
        <f>AND('PROG FORMACIÓN TITULADA'!Y688,"AAAAAH1/7oI=")</f>
        <v>#VALUE!</v>
      </c>
      <c r="EB102" t="e">
        <f>AND('PROG FORMACIÓN TITULADA'!Z688,"AAAAAH1/7oM=")</f>
        <v>#VALUE!</v>
      </c>
      <c r="EC102">
        <f>IF('PROG FORMACIÓN TITULADA'!689:689,"AAAAAH1/7oQ=",0)</f>
        <v>0</v>
      </c>
      <c r="ED102" t="e">
        <f>AND('PROG FORMACIÓN TITULADA'!A689,"AAAAAH1/7oU=")</f>
        <v>#VALUE!</v>
      </c>
      <c r="EE102" t="e">
        <f>AND('PROG FORMACIÓN TITULADA'!B689,"AAAAAH1/7oY=")</f>
        <v>#VALUE!</v>
      </c>
      <c r="EF102" t="e">
        <f>AND('PROG FORMACIÓN TITULADA'!C689,"AAAAAH1/7oc=")</f>
        <v>#VALUE!</v>
      </c>
      <c r="EG102" t="e">
        <f>AND('PROG FORMACIÓN TITULADA'!D689,"AAAAAH1/7og=")</f>
        <v>#VALUE!</v>
      </c>
      <c r="EH102" t="e">
        <f>AND('PROG FORMACIÓN TITULADA'!E689,"AAAAAH1/7ok=")</f>
        <v>#VALUE!</v>
      </c>
      <c r="EI102" t="e">
        <f>AND('PROG FORMACIÓN TITULADA'!F689,"AAAAAH1/7oo=")</f>
        <v>#VALUE!</v>
      </c>
      <c r="EJ102" t="e">
        <f>AND('PROG FORMACIÓN TITULADA'!G689,"AAAAAH1/7os=")</f>
        <v>#VALUE!</v>
      </c>
      <c r="EK102" t="e">
        <f>AND('PROG FORMACIÓN TITULADA'!H689,"AAAAAH1/7ow=")</f>
        <v>#VALUE!</v>
      </c>
      <c r="EL102" t="e">
        <f>AND('PROG FORMACIÓN TITULADA'!I689,"AAAAAH1/7o0=")</f>
        <v>#VALUE!</v>
      </c>
      <c r="EM102" t="e">
        <f>AND('PROG FORMACIÓN TITULADA'!J689,"AAAAAH1/7o4=")</f>
        <v>#VALUE!</v>
      </c>
      <c r="EN102" t="e">
        <f>AND('PROG FORMACIÓN TITULADA'!K689,"AAAAAH1/7o8=")</f>
        <v>#VALUE!</v>
      </c>
      <c r="EO102" t="e">
        <f>AND('PROG FORMACIÓN TITULADA'!L689,"AAAAAH1/7pA=")</f>
        <v>#VALUE!</v>
      </c>
      <c r="EP102" t="e">
        <f>AND('PROG FORMACIÓN TITULADA'!M689,"AAAAAH1/7pE=")</f>
        <v>#VALUE!</v>
      </c>
      <c r="EQ102" t="e">
        <f>AND('PROG FORMACIÓN TITULADA'!N689,"AAAAAH1/7pI=")</f>
        <v>#VALUE!</v>
      </c>
      <c r="ER102" t="e">
        <f>AND('PROG FORMACIÓN TITULADA'!O689,"AAAAAH1/7pM=")</f>
        <v>#VALUE!</v>
      </c>
      <c r="ES102" t="e">
        <f>AND('PROG FORMACIÓN TITULADA'!P689,"AAAAAH1/7pQ=")</f>
        <v>#VALUE!</v>
      </c>
      <c r="ET102" t="e">
        <f>AND('PROG FORMACIÓN TITULADA'!Q689,"AAAAAH1/7pU=")</f>
        <v>#VALUE!</v>
      </c>
      <c r="EU102" t="e">
        <f>AND('PROG FORMACIÓN TITULADA'!R689,"AAAAAH1/7pY=")</f>
        <v>#VALUE!</v>
      </c>
      <c r="EV102" t="e">
        <f>AND('PROG FORMACIÓN TITULADA'!S689,"AAAAAH1/7pc=")</f>
        <v>#VALUE!</v>
      </c>
      <c r="EW102" t="e">
        <f>AND('PROG FORMACIÓN TITULADA'!T689,"AAAAAH1/7pg=")</f>
        <v>#VALUE!</v>
      </c>
      <c r="EX102" t="e">
        <f>AND('PROG FORMACIÓN TITULADA'!U689,"AAAAAH1/7pk=")</f>
        <v>#VALUE!</v>
      </c>
      <c r="EY102" t="e">
        <f>AND('PROG FORMACIÓN TITULADA'!V689,"AAAAAH1/7po=")</f>
        <v>#VALUE!</v>
      </c>
      <c r="EZ102" t="e">
        <f>AND('PROG FORMACIÓN TITULADA'!W689,"AAAAAH1/7ps=")</f>
        <v>#VALUE!</v>
      </c>
      <c r="FA102" t="e">
        <f>AND('PROG FORMACIÓN TITULADA'!X689,"AAAAAH1/7pw=")</f>
        <v>#VALUE!</v>
      </c>
      <c r="FB102" t="e">
        <f>AND('PROG FORMACIÓN TITULADA'!Y689,"AAAAAH1/7p0=")</f>
        <v>#VALUE!</v>
      </c>
      <c r="FC102" t="e">
        <f>AND('PROG FORMACIÓN TITULADA'!Z689,"AAAAAH1/7p4=")</f>
        <v>#VALUE!</v>
      </c>
      <c r="FD102">
        <f>IF('PROG FORMACIÓN TITULADA'!690:690,"AAAAAH1/7p8=",0)</f>
        <v>0</v>
      </c>
      <c r="FE102" t="e">
        <f>AND('PROG FORMACIÓN TITULADA'!A690,"AAAAAH1/7qA=")</f>
        <v>#VALUE!</v>
      </c>
      <c r="FF102" t="e">
        <f>AND('PROG FORMACIÓN TITULADA'!B690,"AAAAAH1/7qE=")</f>
        <v>#VALUE!</v>
      </c>
      <c r="FG102" t="e">
        <f>AND('PROG FORMACIÓN TITULADA'!C690,"AAAAAH1/7qI=")</f>
        <v>#VALUE!</v>
      </c>
      <c r="FH102" t="e">
        <f>AND('PROG FORMACIÓN TITULADA'!D690,"AAAAAH1/7qM=")</f>
        <v>#VALUE!</v>
      </c>
      <c r="FI102" t="e">
        <f>AND('PROG FORMACIÓN TITULADA'!E690,"AAAAAH1/7qQ=")</f>
        <v>#VALUE!</v>
      </c>
      <c r="FJ102" t="e">
        <f>AND('PROG FORMACIÓN TITULADA'!F690,"AAAAAH1/7qU=")</f>
        <v>#VALUE!</v>
      </c>
      <c r="FK102" t="e">
        <f>AND('PROG FORMACIÓN TITULADA'!G690,"AAAAAH1/7qY=")</f>
        <v>#VALUE!</v>
      </c>
      <c r="FL102" t="e">
        <f>AND('PROG FORMACIÓN TITULADA'!H690,"AAAAAH1/7qc=")</f>
        <v>#VALUE!</v>
      </c>
      <c r="FM102" t="e">
        <f>AND('PROG FORMACIÓN TITULADA'!I690,"AAAAAH1/7qg=")</f>
        <v>#VALUE!</v>
      </c>
      <c r="FN102" t="e">
        <f>AND('PROG FORMACIÓN TITULADA'!J690,"AAAAAH1/7qk=")</f>
        <v>#VALUE!</v>
      </c>
      <c r="FO102" t="e">
        <f>AND('PROG FORMACIÓN TITULADA'!K690,"AAAAAH1/7qo=")</f>
        <v>#VALUE!</v>
      </c>
      <c r="FP102" t="e">
        <f>AND('PROG FORMACIÓN TITULADA'!L690,"AAAAAH1/7qs=")</f>
        <v>#VALUE!</v>
      </c>
      <c r="FQ102" t="e">
        <f>AND('PROG FORMACIÓN TITULADA'!M690,"AAAAAH1/7qw=")</f>
        <v>#VALUE!</v>
      </c>
      <c r="FR102" t="e">
        <f>AND('PROG FORMACIÓN TITULADA'!N690,"AAAAAH1/7q0=")</f>
        <v>#VALUE!</v>
      </c>
      <c r="FS102" t="e">
        <f>AND('PROG FORMACIÓN TITULADA'!O690,"AAAAAH1/7q4=")</f>
        <v>#VALUE!</v>
      </c>
      <c r="FT102" t="e">
        <f>AND('PROG FORMACIÓN TITULADA'!P690,"AAAAAH1/7q8=")</f>
        <v>#VALUE!</v>
      </c>
      <c r="FU102" t="e">
        <f>AND('PROG FORMACIÓN TITULADA'!Q690,"AAAAAH1/7rA=")</f>
        <v>#VALUE!</v>
      </c>
      <c r="FV102" t="e">
        <f>AND('PROG FORMACIÓN TITULADA'!R690,"AAAAAH1/7rE=")</f>
        <v>#VALUE!</v>
      </c>
      <c r="FW102" t="e">
        <f>AND('PROG FORMACIÓN TITULADA'!S690,"AAAAAH1/7rI=")</f>
        <v>#VALUE!</v>
      </c>
      <c r="FX102" t="e">
        <f>AND('PROG FORMACIÓN TITULADA'!T690,"AAAAAH1/7rM=")</f>
        <v>#VALUE!</v>
      </c>
      <c r="FY102" t="e">
        <f>AND('PROG FORMACIÓN TITULADA'!U690,"AAAAAH1/7rQ=")</f>
        <v>#VALUE!</v>
      </c>
      <c r="FZ102" t="e">
        <f>AND('PROG FORMACIÓN TITULADA'!V690,"AAAAAH1/7rU=")</f>
        <v>#VALUE!</v>
      </c>
      <c r="GA102" t="e">
        <f>AND('PROG FORMACIÓN TITULADA'!W690,"AAAAAH1/7rY=")</f>
        <v>#VALUE!</v>
      </c>
      <c r="GB102" t="e">
        <f>AND('PROG FORMACIÓN TITULADA'!X690,"AAAAAH1/7rc=")</f>
        <v>#VALUE!</v>
      </c>
      <c r="GC102" t="e">
        <f>AND('PROG FORMACIÓN TITULADA'!Y690,"AAAAAH1/7rg=")</f>
        <v>#VALUE!</v>
      </c>
      <c r="GD102" t="e">
        <f>AND('PROG FORMACIÓN TITULADA'!Z690,"AAAAAH1/7rk=")</f>
        <v>#VALUE!</v>
      </c>
      <c r="GE102">
        <f>IF('PROG FORMACIÓN TITULADA'!691:691,"AAAAAH1/7ro=",0)</f>
        <v>0</v>
      </c>
      <c r="GF102" t="e">
        <f>AND('PROG FORMACIÓN TITULADA'!A691,"AAAAAH1/7rs=")</f>
        <v>#VALUE!</v>
      </c>
      <c r="GG102" t="e">
        <f>AND('PROG FORMACIÓN TITULADA'!B691,"AAAAAH1/7rw=")</f>
        <v>#VALUE!</v>
      </c>
      <c r="GH102" t="e">
        <f>AND('PROG FORMACIÓN TITULADA'!C691,"AAAAAH1/7r0=")</f>
        <v>#VALUE!</v>
      </c>
      <c r="GI102" t="e">
        <f>AND('PROG FORMACIÓN TITULADA'!D691,"AAAAAH1/7r4=")</f>
        <v>#VALUE!</v>
      </c>
      <c r="GJ102" t="e">
        <f>AND('PROG FORMACIÓN TITULADA'!E691,"AAAAAH1/7r8=")</f>
        <v>#VALUE!</v>
      </c>
      <c r="GK102" t="e">
        <f>AND('PROG FORMACIÓN TITULADA'!F691,"AAAAAH1/7sA=")</f>
        <v>#VALUE!</v>
      </c>
      <c r="GL102" t="e">
        <f>AND('PROG FORMACIÓN TITULADA'!G691,"AAAAAH1/7sE=")</f>
        <v>#VALUE!</v>
      </c>
      <c r="GM102" t="e">
        <f>AND('PROG FORMACIÓN TITULADA'!H691,"AAAAAH1/7sI=")</f>
        <v>#VALUE!</v>
      </c>
      <c r="GN102" t="e">
        <f>AND('PROG FORMACIÓN TITULADA'!I691,"AAAAAH1/7sM=")</f>
        <v>#VALUE!</v>
      </c>
      <c r="GO102" t="e">
        <f>AND('PROG FORMACIÓN TITULADA'!J691,"AAAAAH1/7sQ=")</f>
        <v>#VALUE!</v>
      </c>
      <c r="GP102" t="e">
        <f>AND('PROG FORMACIÓN TITULADA'!K691,"AAAAAH1/7sU=")</f>
        <v>#VALUE!</v>
      </c>
      <c r="GQ102" t="e">
        <f>AND('PROG FORMACIÓN TITULADA'!L691,"AAAAAH1/7sY=")</f>
        <v>#VALUE!</v>
      </c>
      <c r="GR102" t="e">
        <f>AND('PROG FORMACIÓN TITULADA'!M691,"AAAAAH1/7sc=")</f>
        <v>#VALUE!</v>
      </c>
      <c r="GS102" t="e">
        <f>AND('PROG FORMACIÓN TITULADA'!N691,"AAAAAH1/7sg=")</f>
        <v>#VALUE!</v>
      </c>
      <c r="GT102" t="e">
        <f>AND('PROG FORMACIÓN TITULADA'!O691,"AAAAAH1/7sk=")</f>
        <v>#VALUE!</v>
      </c>
      <c r="GU102" t="e">
        <f>AND('PROG FORMACIÓN TITULADA'!P691,"AAAAAH1/7so=")</f>
        <v>#VALUE!</v>
      </c>
      <c r="GV102" t="e">
        <f>AND('PROG FORMACIÓN TITULADA'!Q691,"AAAAAH1/7ss=")</f>
        <v>#VALUE!</v>
      </c>
      <c r="GW102" t="e">
        <f>AND('PROG FORMACIÓN TITULADA'!R691,"AAAAAH1/7sw=")</f>
        <v>#VALUE!</v>
      </c>
      <c r="GX102" t="e">
        <f>AND('PROG FORMACIÓN TITULADA'!S691,"AAAAAH1/7s0=")</f>
        <v>#VALUE!</v>
      </c>
      <c r="GY102" t="e">
        <f>AND('PROG FORMACIÓN TITULADA'!T691,"AAAAAH1/7s4=")</f>
        <v>#VALUE!</v>
      </c>
      <c r="GZ102" t="e">
        <f>AND('PROG FORMACIÓN TITULADA'!U691,"AAAAAH1/7s8=")</f>
        <v>#VALUE!</v>
      </c>
      <c r="HA102" t="e">
        <f>AND('PROG FORMACIÓN TITULADA'!V691,"AAAAAH1/7tA=")</f>
        <v>#VALUE!</v>
      </c>
      <c r="HB102" t="e">
        <f>AND('PROG FORMACIÓN TITULADA'!W691,"AAAAAH1/7tE=")</f>
        <v>#VALUE!</v>
      </c>
      <c r="HC102" t="e">
        <f>AND('PROG FORMACIÓN TITULADA'!X691,"AAAAAH1/7tI=")</f>
        <v>#VALUE!</v>
      </c>
      <c r="HD102" t="e">
        <f>AND('PROG FORMACIÓN TITULADA'!Y691,"AAAAAH1/7tM=")</f>
        <v>#VALUE!</v>
      </c>
      <c r="HE102" t="e">
        <f>AND('PROG FORMACIÓN TITULADA'!Z691,"AAAAAH1/7tQ=")</f>
        <v>#VALUE!</v>
      </c>
      <c r="HF102">
        <f>IF('PROG FORMACIÓN TITULADA'!692:692,"AAAAAH1/7tU=",0)</f>
        <v>0</v>
      </c>
      <c r="HG102" t="e">
        <f>AND('PROG FORMACIÓN TITULADA'!A692,"AAAAAH1/7tY=")</f>
        <v>#VALUE!</v>
      </c>
      <c r="HH102" t="e">
        <f>AND('PROG FORMACIÓN TITULADA'!B692,"AAAAAH1/7tc=")</f>
        <v>#VALUE!</v>
      </c>
      <c r="HI102" t="e">
        <f>AND('PROG FORMACIÓN TITULADA'!C692,"AAAAAH1/7tg=")</f>
        <v>#VALUE!</v>
      </c>
      <c r="HJ102" t="e">
        <f>AND('PROG FORMACIÓN TITULADA'!D692,"AAAAAH1/7tk=")</f>
        <v>#VALUE!</v>
      </c>
      <c r="HK102" t="e">
        <f>AND('PROG FORMACIÓN TITULADA'!E692,"AAAAAH1/7to=")</f>
        <v>#VALUE!</v>
      </c>
      <c r="HL102" t="e">
        <f>AND('PROG FORMACIÓN TITULADA'!F692,"AAAAAH1/7ts=")</f>
        <v>#VALUE!</v>
      </c>
      <c r="HM102" t="e">
        <f>AND('PROG FORMACIÓN TITULADA'!G692,"AAAAAH1/7tw=")</f>
        <v>#VALUE!</v>
      </c>
      <c r="HN102" t="e">
        <f>AND('PROG FORMACIÓN TITULADA'!H692,"AAAAAH1/7t0=")</f>
        <v>#VALUE!</v>
      </c>
      <c r="HO102" t="e">
        <f>AND('PROG FORMACIÓN TITULADA'!I692,"AAAAAH1/7t4=")</f>
        <v>#VALUE!</v>
      </c>
      <c r="HP102" t="e">
        <f>AND('PROG FORMACIÓN TITULADA'!J692,"AAAAAH1/7t8=")</f>
        <v>#VALUE!</v>
      </c>
      <c r="HQ102" t="e">
        <f>AND('PROG FORMACIÓN TITULADA'!K692,"AAAAAH1/7uA=")</f>
        <v>#VALUE!</v>
      </c>
      <c r="HR102" t="e">
        <f>AND('PROG FORMACIÓN TITULADA'!L692,"AAAAAH1/7uE=")</f>
        <v>#VALUE!</v>
      </c>
      <c r="HS102" t="e">
        <f>AND('PROG FORMACIÓN TITULADA'!M692,"AAAAAH1/7uI=")</f>
        <v>#VALUE!</v>
      </c>
      <c r="HT102" t="e">
        <f>AND('PROG FORMACIÓN TITULADA'!N692,"AAAAAH1/7uM=")</f>
        <v>#VALUE!</v>
      </c>
      <c r="HU102" t="e">
        <f>AND('PROG FORMACIÓN TITULADA'!O692,"AAAAAH1/7uQ=")</f>
        <v>#VALUE!</v>
      </c>
      <c r="HV102" t="e">
        <f>AND('PROG FORMACIÓN TITULADA'!P692,"AAAAAH1/7uU=")</f>
        <v>#VALUE!</v>
      </c>
      <c r="HW102" t="e">
        <f>AND('PROG FORMACIÓN TITULADA'!Q692,"AAAAAH1/7uY=")</f>
        <v>#VALUE!</v>
      </c>
      <c r="HX102" t="e">
        <f>AND('PROG FORMACIÓN TITULADA'!R692,"AAAAAH1/7uc=")</f>
        <v>#VALUE!</v>
      </c>
      <c r="HY102" t="e">
        <f>AND('PROG FORMACIÓN TITULADA'!S692,"AAAAAH1/7ug=")</f>
        <v>#VALUE!</v>
      </c>
      <c r="HZ102" t="e">
        <f>AND('PROG FORMACIÓN TITULADA'!T692,"AAAAAH1/7uk=")</f>
        <v>#VALUE!</v>
      </c>
      <c r="IA102" t="e">
        <f>AND('PROG FORMACIÓN TITULADA'!U692,"AAAAAH1/7uo=")</f>
        <v>#VALUE!</v>
      </c>
      <c r="IB102" t="e">
        <f>AND('PROG FORMACIÓN TITULADA'!V692,"AAAAAH1/7us=")</f>
        <v>#VALUE!</v>
      </c>
      <c r="IC102" t="e">
        <f>AND('PROG FORMACIÓN TITULADA'!W692,"AAAAAH1/7uw=")</f>
        <v>#VALUE!</v>
      </c>
      <c r="ID102" t="e">
        <f>AND('PROG FORMACIÓN TITULADA'!X692,"AAAAAH1/7u0=")</f>
        <v>#VALUE!</v>
      </c>
      <c r="IE102" t="e">
        <f>AND('PROG FORMACIÓN TITULADA'!Y692,"AAAAAH1/7u4=")</f>
        <v>#VALUE!</v>
      </c>
      <c r="IF102" t="e">
        <f>AND('PROG FORMACIÓN TITULADA'!Z692,"AAAAAH1/7u8=")</f>
        <v>#VALUE!</v>
      </c>
      <c r="IG102">
        <f>IF('PROG FORMACIÓN TITULADA'!693:693,"AAAAAH1/7vA=",0)</f>
        <v>0</v>
      </c>
      <c r="IH102" t="e">
        <f>AND('PROG FORMACIÓN TITULADA'!A693,"AAAAAH1/7vE=")</f>
        <v>#VALUE!</v>
      </c>
      <c r="II102" t="e">
        <f>AND('PROG FORMACIÓN TITULADA'!B693,"AAAAAH1/7vI=")</f>
        <v>#VALUE!</v>
      </c>
      <c r="IJ102" t="e">
        <f>AND('PROG FORMACIÓN TITULADA'!C693,"AAAAAH1/7vM=")</f>
        <v>#VALUE!</v>
      </c>
      <c r="IK102" t="e">
        <f>AND('PROG FORMACIÓN TITULADA'!D693,"AAAAAH1/7vQ=")</f>
        <v>#VALUE!</v>
      </c>
      <c r="IL102" t="e">
        <f>AND('PROG FORMACIÓN TITULADA'!E693,"AAAAAH1/7vU=")</f>
        <v>#VALUE!</v>
      </c>
      <c r="IM102" t="e">
        <f>AND('PROG FORMACIÓN TITULADA'!F693,"AAAAAH1/7vY=")</f>
        <v>#VALUE!</v>
      </c>
      <c r="IN102" t="e">
        <f>AND('PROG FORMACIÓN TITULADA'!G693,"AAAAAH1/7vc=")</f>
        <v>#VALUE!</v>
      </c>
      <c r="IO102" t="e">
        <f>AND('PROG FORMACIÓN TITULADA'!H693,"AAAAAH1/7vg=")</f>
        <v>#VALUE!</v>
      </c>
      <c r="IP102" t="e">
        <f>AND('PROG FORMACIÓN TITULADA'!I693,"AAAAAH1/7vk=")</f>
        <v>#VALUE!</v>
      </c>
      <c r="IQ102" t="e">
        <f>AND('PROG FORMACIÓN TITULADA'!J693,"AAAAAH1/7vo=")</f>
        <v>#VALUE!</v>
      </c>
      <c r="IR102" t="e">
        <f>AND('PROG FORMACIÓN TITULADA'!K693,"AAAAAH1/7vs=")</f>
        <v>#VALUE!</v>
      </c>
      <c r="IS102" t="e">
        <f>AND('PROG FORMACIÓN TITULADA'!L693,"AAAAAH1/7vw=")</f>
        <v>#VALUE!</v>
      </c>
      <c r="IT102" t="e">
        <f>AND('PROG FORMACIÓN TITULADA'!M693,"AAAAAH1/7v0=")</f>
        <v>#VALUE!</v>
      </c>
      <c r="IU102" t="e">
        <f>AND('PROG FORMACIÓN TITULADA'!N693,"AAAAAH1/7v4=")</f>
        <v>#VALUE!</v>
      </c>
      <c r="IV102" t="e">
        <f>AND('PROG FORMACIÓN TITULADA'!O693,"AAAAAH1/7v8=")</f>
        <v>#VALUE!</v>
      </c>
    </row>
    <row r="103" spans="1:256" x14ac:dyDescent="0.2">
      <c r="A103" t="e">
        <f>AND('PROG FORMACIÓN TITULADA'!P693,"AAAAAH6/+wA=")</f>
        <v>#VALUE!</v>
      </c>
      <c r="B103" t="e">
        <f>AND('PROG FORMACIÓN TITULADA'!Q693,"AAAAAH6/+wE=")</f>
        <v>#VALUE!</v>
      </c>
      <c r="C103" t="e">
        <f>AND('PROG FORMACIÓN TITULADA'!R693,"AAAAAH6/+wI=")</f>
        <v>#VALUE!</v>
      </c>
      <c r="D103" t="e">
        <f>AND('PROG FORMACIÓN TITULADA'!S693,"AAAAAH6/+wM=")</f>
        <v>#VALUE!</v>
      </c>
      <c r="E103" t="e">
        <f>AND('PROG FORMACIÓN TITULADA'!T693,"AAAAAH6/+wQ=")</f>
        <v>#VALUE!</v>
      </c>
      <c r="F103" t="e">
        <f>AND('PROG FORMACIÓN TITULADA'!U693,"AAAAAH6/+wU=")</f>
        <v>#VALUE!</v>
      </c>
      <c r="G103" t="e">
        <f>AND('PROG FORMACIÓN TITULADA'!V693,"AAAAAH6/+wY=")</f>
        <v>#VALUE!</v>
      </c>
      <c r="H103" t="e">
        <f>AND('PROG FORMACIÓN TITULADA'!W693,"AAAAAH6/+wc=")</f>
        <v>#VALUE!</v>
      </c>
      <c r="I103" t="e">
        <f>AND('PROG FORMACIÓN TITULADA'!X693,"AAAAAH6/+wg=")</f>
        <v>#VALUE!</v>
      </c>
      <c r="J103" t="e">
        <f>AND('PROG FORMACIÓN TITULADA'!Y693,"AAAAAH6/+wk=")</f>
        <v>#VALUE!</v>
      </c>
      <c r="K103" t="e">
        <f>AND('PROG FORMACIÓN TITULADA'!Z693,"AAAAAH6/+wo=")</f>
        <v>#VALUE!</v>
      </c>
      <c r="L103">
        <f>IF('PROG FORMACIÓN TITULADA'!694:694,"AAAAAH6/+ws=",0)</f>
        <v>0</v>
      </c>
      <c r="M103" t="e">
        <f>AND('PROG FORMACIÓN TITULADA'!A694,"AAAAAH6/+ww=")</f>
        <v>#VALUE!</v>
      </c>
      <c r="N103" t="e">
        <f>AND('PROG FORMACIÓN TITULADA'!B694,"AAAAAH6/+w0=")</f>
        <v>#VALUE!</v>
      </c>
      <c r="O103" t="e">
        <f>AND('PROG FORMACIÓN TITULADA'!C694,"AAAAAH6/+w4=")</f>
        <v>#VALUE!</v>
      </c>
      <c r="P103" t="e">
        <f>AND('PROG FORMACIÓN TITULADA'!D694,"AAAAAH6/+w8=")</f>
        <v>#VALUE!</v>
      </c>
      <c r="Q103" t="e">
        <f>AND('PROG FORMACIÓN TITULADA'!E694,"AAAAAH6/+xA=")</f>
        <v>#VALUE!</v>
      </c>
      <c r="R103" t="e">
        <f>AND('PROG FORMACIÓN TITULADA'!F694,"AAAAAH6/+xE=")</f>
        <v>#VALUE!</v>
      </c>
      <c r="S103" t="e">
        <f>AND('PROG FORMACIÓN TITULADA'!G694,"AAAAAH6/+xI=")</f>
        <v>#VALUE!</v>
      </c>
      <c r="T103" t="e">
        <f>AND('PROG FORMACIÓN TITULADA'!H694,"AAAAAH6/+xM=")</f>
        <v>#VALUE!</v>
      </c>
      <c r="U103" t="e">
        <f>AND('PROG FORMACIÓN TITULADA'!I694,"AAAAAH6/+xQ=")</f>
        <v>#VALUE!</v>
      </c>
      <c r="V103" t="e">
        <f>AND('PROG FORMACIÓN TITULADA'!J694,"AAAAAH6/+xU=")</f>
        <v>#VALUE!</v>
      </c>
      <c r="W103" t="e">
        <f>AND('PROG FORMACIÓN TITULADA'!K694,"AAAAAH6/+xY=")</f>
        <v>#VALUE!</v>
      </c>
      <c r="X103" t="e">
        <f>AND('PROG FORMACIÓN TITULADA'!L694,"AAAAAH6/+xc=")</f>
        <v>#VALUE!</v>
      </c>
      <c r="Y103" t="e">
        <f>AND('PROG FORMACIÓN TITULADA'!M694,"AAAAAH6/+xg=")</f>
        <v>#VALUE!</v>
      </c>
      <c r="Z103" t="e">
        <f>AND('PROG FORMACIÓN TITULADA'!N694,"AAAAAH6/+xk=")</f>
        <v>#VALUE!</v>
      </c>
      <c r="AA103" t="e">
        <f>AND('PROG FORMACIÓN TITULADA'!O694,"AAAAAH6/+xo=")</f>
        <v>#VALUE!</v>
      </c>
      <c r="AB103" t="e">
        <f>AND('PROG FORMACIÓN TITULADA'!P694,"AAAAAH6/+xs=")</f>
        <v>#VALUE!</v>
      </c>
      <c r="AC103" t="e">
        <f>AND('PROG FORMACIÓN TITULADA'!Q694,"AAAAAH6/+xw=")</f>
        <v>#VALUE!</v>
      </c>
      <c r="AD103" t="e">
        <f>AND('PROG FORMACIÓN TITULADA'!R694,"AAAAAH6/+x0=")</f>
        <v>#VALUE!</v>
      </c>
      <c r="AE103" t="e">
        <f>AND('PROG FORMACIÓN TITULADA'!S694,"AAAAAH6/+x4=")</f>
        <v>#VALUE!</v>
      </c>
      <c r="AF103" t="e">
        <f>AND('PROG FORMACIÓN TITULADA'!T694,"AAAAAH6/+x8=")</f>
        <v>#VALUE!</v>
      </c>
      <c r="AG103" t="e">
        <f>AND('PROG FORMACIÓN TITULADA'!U694,"AAAAAH6/+yA=")</f>
        <v>#VALUE!</v>
      </c>
      <c r="AH103" t="e">
        <f>AND('PROG FORMACIÓN TITULADA'!V694,"AAAAAH6/+yE=")</f>
        <v>#VALUE!</v>
      </c>
      <c r="AI103" t="e">
        <f>AND('PROG FORMACIÓN TITULADA'!W694,"AAAAAH6/+yI=")</f>
        <v>#VALUE!</v>
      </c>
      <c r="AJ103" t="e">
        <f>AND('PROG FORMACIÓN TITULADA'!X694,"AAAAAH6/+yM=")</f>
        <v>#VALUE!</v>
      </c>
      <c r="AK103" t="e">
        <f>AND('PROG FORMACIÓN TITULADA'!Y694,"AAAAAH6/+yQ=")</f>
        <v>#VALUE!</v>
      </c>
      <c r="AL103" t="e">
        <f>AND('PROG FORMACIÓN TITULADA'!Z694,"AAAAAH6/+yU=")</f>
        <v>#VALUE!</v>
      </c>
      <c r="AM103">
        <f>IF('PROG FORMACIÓN TITULADA'!695:695,"AAAAAH6/+yY=",0)</f>
        <v>0</v>
      </c>
      <c r="AN103" t="e">
        <f>AND('PROG FORMACIÓN TITULADA'!A695,"AAAAAH6/+yc=")</f>
        <v>#VALUE!</v>
      </c>
      <c r="AO103" t="e">
        <f>AND('PROG FORMACIÓN TITULADA'!B695,"AAAAAH6/+yg=")</f>
        <v>#VALUE!</v>
      </c>
      <c r="AP103" t="e">
        <f>AND('PROG FORMACIÓN TITULADA'!C695,"AAAAAH6/+yk=")</f>
        <v>#VALUE!</v>
      </c>
      <c r="AQ103" t="e">
        <f>AND('PROG FORMACIÓN TITULADA'!D695,"AAAAAH6/+yo=")</f>
        <v>#VALUE!</v>
      </c>
      <c r="AR103" t="e">
        <f>AND('PROG FORMACIÓN TITULADA'!E695,"AAAAAH6/+ys=")</f>
        <v>#VALUE!</v>
      </c>
      <c r="AS103" t="e">
        <f>AND('PROG FORMACIÓN TITULADA'!F695,"AAAAAH6/+yw=")</f>
        <v>#VALUE!</v>
      </c>
      <c r="AT103" t="e">
        <f>AND('PROG FORMACIÓN TITULADA'!G695,"AAAAAH6/+y0=")</f>
        <v>#VALUE!</v>
      </c>
      <c r="AU103" t="e">
        <f>AND('PROG FORMACIÓN TITULADA'!H695,"AAAAAH6/+y4=")</f>
        <v>#VALUE!</v>
      </c>
      <c r="AV103" t="e">
        <f>AND('PROG FORMACIÓN TITULADA'!I695,"AAAAAH6/+y8=")</f>
        <v>#VALUE!</v>
      </c>
      <c r="AW103" t="e">
        <f>AND('PROG FORMACIÓN TITULADA'!J695,"AAAAAH6/+zA=")</f>
        <v>#VALUE!</v>
      </c>
      <c r="AX103" t="e">
        <f>AND('PROG FORMACIÓN TITULADA'!K695,"AAAAAH6/+zE=")</f>
        <v>#VALUE!</v>
      </c>
      <c r="AY103" t="e">
        <f>AND('PROG FORMACIÓN TITULADA'!L695,"AAAAAH6/+zI=")</f>
        <v>#VALUE!</v>
      </c>
      <c r="AZ103" t="e">
        <f>AND('PROG FORMACIÓN TITULADA'!M695,"AAAAAH6/+zM=")</f>
        <v>#VALUE!</v>
      </c>
      <c r="BA103" t="e">
        <f>AND('PROG FORMACIÓN TITULADA'!N695,"AAAAAH6/+zQ=")</f>
        <v>#VALUE!</v>
      </c>
      <c r="BB103" t="e">
        <f>AND('PROG FORMACIÓN TITULADA'!O695,"AAAAAH6/+zU=")</f>
        <v>#VALUE!</v>
      </c>
      <c r="BC103" t="e">
        <f>AND('PROG FORMACIÓN TITULADA'!P695,"AAAAAH6/+zY=")</f>
        <v>#VALUE!</v>
      </c>
      <c r="BD103" t="e">
        <f>AND('PROG FORMACIÓN TITULADA'!Q695,"AAAAAH6/+zc=")</f>
        <v>#VALUE!</v>
      </c>
      <c r="BE103" t="e">
        <f>AND('PROG FORMACIÓN TITULADA'!R695,"AAAAAH6/+zg=")</f>
        <v>#VALUE!</v>
      </c>
      <c r="BF103" t="e">
        <f>AND('PROG FORMACIÓN TITULADA'!S695,"AAAAAH6/+zk=")</f>
        <v>#VALUE!</v>
      </c>
      <c r="BG103" t="e">
        <f>AND('PROG FORMACIÓN TITULADA'!T695,"AAAAAH6/+zo=")</f>
        <v>#VALUE!</v>
      </c>
      <c r="BH103" t="e">
        <f>AND('PROG FORMACIÓN TITULADA'!U695,"AAAAAH6/+zs=")</f>
        <v>#VALUE!</v>
      </c>
      <c r="BI103" t="e">
        <f>AND('PROG FORMACIÓN TITULADA'!V695,"AAAAAH6/+zw=")</f>
        <v>#VALUE!</v>
      </c>
      <c r="BJ103" t="e">
        <f>AND('PROG FORMACIÓN TITULADA'!W695,"AAAAAH6/+z0=")</f>
        <v>#VALUE!</v>
      </c>
      <c r="BK103" t="e">
        <f>AND('PROG FORMACIÓN TITULADA'!X695,"AAAAAH6/+z4=")</f>
        <v>#VALUE!</v>
      </c>
      <c r="BL103" t="e">
        <f>AND('PROG FORMACIÓN TITULADA'!Y695,"AAAAAH6/+z8=")</f>
        <v>#VALUE!</v>
      </c>
      <c r="BM103" t="e">
        <f>AND('PROG FORMACIÓN TITULADA'!Z695,"AAAAAH6/+0A=")</f>
        <v>#VALUE!</v>
      </c>
      <c r="BN103">
        <f>IF('PROG FORMACIÓN TITULADA'!696:696,"AAAAAH6/+0E=",0)</f>
        <v>0</v>
      </c>
      <c r="BO103" t="e">
        <f>AND('PROG FORMACIÓN TITULADA'!A696,"AAAAAH6/+0I=")</f>
        <v>#VALUE!</v>
      </c>
      <c r="BP103" t="e">
        <f>AND('PROG FORMACIÓN TITULADA'!B696,"AAAAAH6/+0M=")</f>
        <v>#VALUE!</v>
      </c>
      <c r="BQ103" t="e">
        <f>AND('PROG FORMACIÓN TITULADA'!C696,"AAAAAH6/+0Q=")</f>
        <v>#VALUE!</v>
      </c>
      <c r="BR103" t="e">
        <f>AND('PROG FORMACIÓN TITULADA'!D696,"AAAAAH6/+0U=")</f>
        <v>#VALUE!</v>
      </c>
      <c r="BS103" t="e">
        <f>AND('PROG FORMACIÓN TITULADA'!E696,"AAAAAH6/+0Y=")</f>
        <v>#VALUE!</v>
      </c>
      <c r="BT103" t="e">
        <f>AND('PROG FORMACIÓN TITULADA'!F696,"AAAAAH6/+0c=")</f>
        <v>#VALUE!</v>
      </c>
      <c r="BU103" t="e">
        <f>AND('PROG FORMACIÓN TITULADA'!G696,"AAAAAH6/+0g=")</f>
        <v>#VALUE!</v>
      </c>
      <c r="BV103" t="e">
        <f>AND('PROG FORMACIÓN TITULADA'!H696,"AAAAAH6/+0k=")</f>
        <v>#VALUE!</v>
      </c>
      <c r="BW103" t="e">
        <f>AND('PROG FORMACIÓN TITULADA'!I696,"AAAAAH6/+0o=")</f>
        <v>#VALUE!</v>
      </c>
      <c r="BX103" t="e">
        <f>AND('PROG FORMACIÓN TITULADA'!J696,"AAAAAH6/+0s=")</f>
        <v>#VALUE!</v>
      </c>
      <c r="BY103" t="e">
        <f>AND('PROG FORMACIÓN TITULADA'!K696,"AAAAAH6/+0w=")</f>
        <v>#VALUE!</v>
      </c>
      <c r="BZ103" t="e">
        <f>AND('PROG FORMACIÓN TITULADA'!L696,"AAAAAH6/+00=")</f>
        <v>#VALUE!</v>
      </c>
      <c r="CA103" t="e">
        <f>AND('PROG FORMACIÓN TITULADA'!M696,"AAAAAH6/+04=")</f>
        <v>#VALUE!</v>
      </c>
      <c r="CB103" t="e">
        <f>AND('PROG FORMACIÓN TITULADA'!N696,"AAAAAH6/+08=")</f>
        <v>#VALUE!</v>
      </c>
      <c r="CC103" t="e">
        <f>AND('PROG FORMACIÓN TITULADA'!O696,"AAAAAH6/+1A=")</f>
        <v>#VALUE!</v>
      </c>
      <c r="CD103" t="e">
        <f>AND('PROG FORMACIÓN TITULADA'!P696,"AAAAAH6/+1E=")</f>
        <v>#VALUE!</v>
      </c>
      <c r="CE103" t="e">
        <f>AND('PROG FORMACIÓN TITULADA'!Q696,"AAAAAH6/+1I=")</f>
        <v>#VALUE!</v>
      </c>
      <c r="CF103" t="e">
        <f>AND('PROG FORMACIÓN TITULADA'!R696,"AAAAAH6/+1M=")</f>
        <v>#VALUE!</v>
      </c>
      <c r="CG103" t="e">
        <f>AND('PROG FORMACIÓN TITULADA'!S696,"AAAAAH6/+1Q=")</f>
        <v>#VALUE!</v>
      </c>
      <c r="CH103" t="e">
        <f>AND('PROG FORMACIÓN TITULADA'!T696,"AAAAAH6/+1U=")</f>
        <v>#VALUE!</v>
      </c>
      <c r="CI103" t="e">
        <f>AND('PROG FORMACIÓN TITULADA'!U696,"AAAAAH6/+1Y=")</f>
        <v>#VALUE!</v>
      </c>
      <c r="CJ103" t="e">
        <f>AND('PROG FORMACIÓN TITULADA'!V696,"AAAAAH6/+1c=")</f>
        <v>#VALUE!</v>
      </c>
      <c r="CK103" t="e">
        <f>AND('PROG FORMACIÓN TITULADA'!W696,"AAAAAH6/+1g=")</f>
        <v>#VALUE!</v>
      </c>
      <c r="CL103" t="e">
        <f>AND('PROG FORMACIÓN TITULADA'!X696,"AAAAAH6/+1k=")</f>
        <v>#VALUE!</v>
      </c>
      <c r="CM103" t="e">
        <f>AND('PROG FORMACIÓN TITULADA'!Y696,"AAAAAH6/+1o=")</f>
        <v>#VALUE!</v>
      </c>
      <c r="CN103" t="e">
        <f>AND('PROG FORMACIÓN TITULADA'!Z696,"AAAAAH6/+1s=")</f>
        <v>#VALUE!</v>
      </c>
      <c r="CO103">
        <f>IF('PROG FORMACIÓN TITULADA'!697:697,"AAAAAH6/+1w=",0)</f>
        <v>0</v>
      </c>
      <c r="CP103" t="e">
        <f>AND('PROG FORMACIÓN TITULADA'!A697,"AAAAAH6/+10=")</f>
        <v>#VALUE!</v>
      </c>
      <c r="CQ103" t="e">
        <f>AND('PROG FORMACIÓN TITULADA'!B697,"AAAAAH6/+14=")</f>
        <v>#VALUE!</v>
      </c>
      <c r="CR103" t="e">
        <f>AND('PROG FORMACIÓN TITULADA'!C697,"AAAAAH6/+18=")</f>
        <v>#VALUE!</v>
      </c>
      <c r="CS103" t="e">
        <f>AND('PROG FORMACIÓN TITULADA'!D697,"AAAAAH6/+2A=")</f>
        <v>#VALUE!</v>
      </c>
      <c r="CT103" t="e">
        <f>AND('PROG FORMACIÓN TITULADA'!E697,"AAAAAH6/+2E=")</f>
        <v>#VALUE!</v>
      </c>
      <c r="CU103" t="e">
        <f>AND('PROG FORMACIÓN TITULADA'!F697,"AAAAAH6/+2I=")</f>
        <v>#VALUE!</v>
      </c>
      <c r="CV103" t="e">
        <f>AND('PROG FORMACIÓN TITULADA'!G697,"AAAAAH6/+2M=")</f>
        <v>#VALUE!</v>
      </c>
      <c r="CW103" t="e">
        <f>AND('PROG FORMACIÓN TITULADA'!H697,"AAAAAH6/+2Q=")</f>
        <v>#VALUE!</v>
      </c>
      <c r="CX103" t="e">
        <f>AND('PROG FORMACIÓN TITULADA'!I697,"AAAAAH6/+2U=")</f>
        <v>#VALUE!</v>
      </c>
      <c r="CY103" t="e">
        <f>AND('PROG FORMACIÓN TITULADA'!J697,"AAAAAH6/+2Y=")</f>
        <v>#VALUE!</v>
      </c>
      <c r="CZ103" t="e">
        <f>AND('PROG FORMACIÓN TITULADA'!K697,"AAAAAH6/+2c=")</f>
        <v>#VALUE!</v>
      </c>
      <c r="DA103" t="e">
        <f>AND('PROG FORMACIÓN TITULADA'!L697,"AAAAAH6/+2g=")</f>
        <v>#VALUE!</v>
      </c>
      <c r="DB103" t="e">
        <f>AND('PROG FORMACIÓN TITULADA'!M697,"AAAAAH6/+2k=")</f>
        <v>#VALUE!</v>
      </c>
      <c r="DC103" t="e">
        <f>AND('PROG FORMACIÓN TITULADA'!N697,"AAAAAH6/+2o=")</f>
        <v>#VALUE!</v>
      </c>
      <c r="DD103" t="e">
        <f>AND('PROG FORMACIÓN TITULADA'!O697,"AAAAAH6/+2s=")</f>
        <v>#VALUE!</v>
      </c>
      <c r="DE103" t="e">
        <f>AND('PROG FORMACIÓN TITULADA'!P697,"AAAAAH6/+2w=")</f>
        <v>#VALUE!</v>
      </c>
      <c r="DF103" t="e">
        <f>AND('PROG FORMACIÓN TITULADA'!Q697,"AAAAAH6/+20=")</f>
        <v>#VALUE!</v>
      </c>
      <c r="DG103" t="e">
        <f>AND('PROG FORMACIÓN TITULADA'!R697,"AAAAAH6/+24=")</f>
        <v>#VALUE!</v>
      </c>
      <c r="DH103" t="e">
        <f>AND('PROG FORMACIÓN TITULADA'!S697,"AAAAAH6/+28=")</f>
        <v>#VALUE!</v>
      </c>
      <c r="DI103" t="e">
        <f>AND('PROG FORMACIÓN TITULADA'!T697,"AAAAAH6/+3A=")</f>
        <v>#VALUE!</v>
      </c>
      <c r="DJ103" t="e">
        <f>AND('PROG FORMACIÓN TITULADA'!U697,"AAAAAH6/+3E=")</f>
        <v>#VALUE!</v>
      </c>
      <c r="DK103" t="e">
        <f>AND('PROG FORMACIÓN TITULADA'!V697,"AAAAAH6/+3I=")</f>
        <v>#VALUE!</v>
      </c>
      <c r="DL103" t="e">
        <f>AND('PROG FORMACIÓN TITULADA'!W697,"AAAAAH6/+3M=")</f>
        <v>#VALUE!</v>
      </c>
      <c r="DM103" t="e">
        <f>AND('PROG FORMACIÓN TITULADA'!X697,"AAAAAH6/+3Q=")</f>
        <v>#VALUE!</v>
      </c>
      <c r="DN103" t="e">
        <f>AND('PROG FORMACIÓN TITULADA'!Y697,"AAAAAH6/+3U=")</f>
        <v>#VALUE!</v>
      </c>
      <c r="DO103" t="e">
        <f>AND('PROG FORMACIÓN TITULADA'!Z697,"AAAAAH6/+3Y=")</f>
        <v>#VALUE!</v>
      </c>
      <c r="DP103">
        <f>IF('PROG FORMACIÓN TITULADA'!698:698,"AAAAAH6/+3c=",0)</f>
        <v>0</v>
      </c>
      <c r="DQ103" t="e">
        <f>AND('PROG FORMACIÓN TITULADA'!A698,"AAAAAH6/+3g=")</f>
        <v>#VALUE!</v>
      </c>
      <c r="DR103" t="e">
        <f>AND('PROG FORMACIÓN TITULADA'!B698,"AAAAAH6/+3k=")</f>
        <v>#VALUE!</v>
      </c>
      <c r="DS103" t="e">
        <f>AND('PROG FORMACIÓN TITULADA'!C698,"AAAAAH6/+3o=")</f>
        <v>#VALUE!</v>
      </c>
      <c r="DT103" t="e">
        <f>AND('PROG FORMACIÓN TITULADA'!D698,"AAAAAH6/+3s=")</f>
        <v>#VALUE!</v>
      </c>
      <c r="DU103" t="e">
        <f>AND('PROG FORMACIÓN TITULADA'!E698,"AAAAAH6/+3w=")</f>
        <v>#VALUE!</v>
      </c>
      <c r="DV103" t="e">
        <f>AND('PROG FORMACIÓN TITULADA'!F698,"AAAAAH6/+30=")</f>
        <v>#VALUE!</v>
      </c>
      <c r="DW103" t="e">
        <f>AND('PROG FORMACIÓN TITULADA'!G698,"AAAAAH6/+34=")</f>
        <v>#VALUE!</v>
      </c>
      <c r="DX103" t="e">
        <f>AND('PROG FORMACIÓN TITULADA'!H698,"AAAAAH6/+38=")</f>
        <v>#VALUE!</v>
      </c>
      <c r="DY103" t="e">
        <f>AND('PROG FORMACIÓN TITULADA'!I698,"AAAAAH6/+4A=")</f>
        <v>#VALUE!</v>
      </c>
      <c r="DZ103" t="e">
        <f>AND('PROG FORMACIÓN TITULADA'!J698,"AAAAAH6/+4E=")</f>
        <v>#VALUE!</v>
      </c>
      <c r="EA103" t="e">
        <f>AND('PROG FORMACIÓN TITULADA'!K698,"AAAAAH6/+4I=")</f>
        <v>#VALUE!</v>
      </c>
      <c r="EB103" t="e">
        <f>AND('PROG FORMACIÓN TITULADA'!L698,"AAAAAH6/+4M=")</f>
        <v>#VALUE!</v>
      </c>
      <c r="EC103" t="e">
        <f>AND('PROG FORMACIÓN TITULADA'!M698,"AAAAAH6/+4Q=")</f>
        <v>#VALUE!</v>
      </c>
      <c r="ED103" t="e">
        <f>AND('PROG FORMACIÓN TITULADA'!N698,"AAAAAH6/+4U=")</f>
        <v>#VALUE!</v>
      </c>
      <c r="EE103" t="e">
        <f>AND('PROG FORMACIÓN TITULADA'!O698,"AAAAAH6/+4Y=")</f>
        <v>#VALUE!</v>
      </c>
      <c r="EF103" t="e">
        <f>AND('PROG FORMACIÓN TITULADA'!P698,"AAAAAH6/+4c=")</f>
        <v>#VALUE!</v>
      </c>
      <c r="EG103" t="e">
        <f>AND('PROG FORMACIÓN TITULADA'!Q698,"AAAAAH6/+4g=")</f>
        <v>#VALUE!</v>
      </c>
      <c r="EH103" t="e">
        <f>AND('PROG FORMACIÓN TITULADA'!R698,"AAAAAH6/+4k=")</f>
        <v>#VALUE!</v>
      </c>
      <c r="EI103" t="e">
        <f>AND('PROG FORMACIÓN TITULADA'!S698,"AAAAAH6/+4o=")</f>
        <v>#VALUE!</v>
      </c>
      <c r="EJ103" t="e">
        <f>AND('PROG FORMACIÓN TITULADA'!T698,"AAAAAH6/+4s=")</f>
        <v>#VALUE!</v>
      </c>
      <c r="EK103" t="e">
        <f>AND('PROG FORMACIÓN TITULADA'!U698,"AAAAAH6/+4w=")</f>
        <v>#VALUE!</v>
      </c>
      <c r="EL103" t="e">
        <f>AND('PROG FORMACIÓN TITULADA'!V698,"AAAAAH6/+40=")</f>
        <v>#VALUE!</v>
      </c>
      <c r="EM103" t="e">
        <f>AND('PROG FORMACIÓN TITULADA'!W698,"AAAAAH6/+44=")</f>
        <v>#VALUE!</v>
      </c>
      <c r="EN103" t="e">
        <f>AND('PROG FORMACIÓN TITULADA'!X698,"AAAAAH6/+48=")</f>
        <v>#VALUE!</v>
      </c>
      <c r="EO103" t="e">
        <f>AND('PROG FORMACIÓN TITULADA'!Y698,"AAAAAH6/+5A=")</f>
        <v>#VALUE!</v>
      </c>
      <c r="EP103" t="e">
        <f>AND('PROG FORMACIÓN TITULADA'!Z698,"AAAAAH6/+5E=")</f>
        <v>#VALUE!</v>
      </c>
      <c r="EQ103">
        <f>IF('PROG FORMACIÓN TITULADA'!699:699,"AAAAAH6/+5I=",0)</f>
        <v>0</v>
      </c>
      <c r="ER103" t="e">
        <f>AND('PROG FORMACIÓN TITULADA'!A699,"AAAAAH6/+5M=")</f>
        <v>#VALUE!</v>
      </c>
      <c r="ES103" t="e">
        <f>AND('PROG FORMACIÓN TITULADA'!B699,"AAAAAH6/+5Q=")</f>
        <v>#VALUE!</v>
      </c>
      <c r="ET103" t="e">
        <f>AND('PROG FORMACIÓN TITULADA'!C699,"AAAAAH6/+5U=")</f>
        <v>#VALUE!</v>
      </c>
      <c r="EU103" t="e">
        <f>AND('PROG FORMACIÓN TITULADA'!D699,"AAAAAH6/+5Y=")</f>
        <v>#VALUE!</v>
      </c>
      <c r="EV103" t="e">
        <f>AND('PROG FORMACIÓN TITULADA'!E699,"AAAAAH6/+5c=")</f>
        <v>#VALUE!</v>
      </c>
      <c r="EW103" t="e">
        <f>AND('PROG FORMACIÓN TITULADA'!F699,"AAAAAH6/+5g=")</f>
        <v>#VALUE!</v>
      </c>
      <c r="EX103" t="e">
        <f>AND('PROG FORMACIÓN TITULADA'!G699,"AAAAAH6/+5k=")</f>
        <v>#VALUE!</v>
      </c>
      <c r="EY103" t="e">
        <f>AND('PROG FORMACIÓN TITULADA'!H699,"AAAAAH6/+5o=")</f>
        <v>#VALUE!</v>
      </c>
      <c r="EZ103" t="e">
        <f>AND('PROG FORMACIÓN TITULADA'!I699,"AAAAAH6/+5s=")</f>
        <v>#VALUE!</v>
      </c>
      <c r="FA103" t="e">
        <f>AND('PROG FORMACIÓN TITULADA'!J699,"AAAAAH6/+5w=")</f>
        <v>#VALUE!</v>
      </c>
      <c r="FB103" t="e">
        <f>AND('PROG FORMACIÓN TITULADA'!K699,"AAAAAH6/+50=")</f>
        <v>#VALUE!</v>
      </c>
      <c r="FC103" t="e">
        <f>AND('PROG FORMACIÓN TITULADA'!L699,"AAAAAH6/+54=")</f>
        <v>#VALUE!</v>
      </c>
      <c r="FD103" t="e">
        <f>AND('PROG FORMACIÓN TITULADA'!M699,"AAAAAH6/+58=")</f>
        <v>#VALUE!</v>
      </c>
      <c r="FE103" t="e">
        <f>AND('PROG FORMACIÓN TITULADA'!N699,"AAAAAH6/+6A=")</f>
        <v>#VALUE!</v>
      </c>
      <c r="FF103" t="e">
        <f>AND('PROG FORMACIÓN TITULADA'!O699,"AAAAAH6/+6E=")</f>
        <v>#VALUE!</v>
      </c>
      <c r="FG103" t="e">
        <f>AND('PROG FORMACIÓN TITULADA'!P699,"AAAAAH6/+6I=")</f>
        <v>#VALUE!</v>
      </c>
      <c r="FH103" t="e">
        <f>AND('PROG FORMACIÓN TITULADA'!Q699,"AAAAAH6/+6M=")</f>
        <v>#VALUE!</v>
      </c>
      <c r="FI103" t="e">
        <f>AND('PROG FORMACIÓN TITULADA'!R699,"AAAAAH6/+6Q=")</f>
        <v>#VALUE!</v>
      </c>
      <c r="FJ103" t="e">
        <f>AND('PROG FORMACIÓN TITULADA'!S699,"AAAAAH6/+6U=")</f>
        <v>#VALUE!</v>
      </c>
      <c r="FK103" t="e">
        <f>AND('PROG FORMACIÓN TITULADA'!T699,"AAAAAH6/+6Y=")</f>
        <v>#VALUE!</v>
      </c>
      <c r="FL103" t="e">
        <f>AND('PROG FORMACIÓN TITULADA'!U699,"AAAAAH6/+6c=")</f>
        <v>#VALUE!</v>
      </c>
      <c r="FM103" t="e">
        <f>AND('PROG FORMACIÓN TITULADA'!V699,"AAAAAH6/+6g=")</f>
        <v>#VALUE!</v>
      </c>
      <c r="FN103" t="e">
        <f>AND('PROG FORMACIÓN TITULADA'!W699,"AAAAAH6/+6k=")</f>
        <v>#VALUE!</v>
      </c>
      <c r="FO103" t="e">
        <f>AND('PROG FORMACIÓN TITULADA'!X699,"AAAAAH6/+6o=")</f>
        <v>#VALUE!</v>
      </c>
      <c r="FP103" t="e">
        <f>AND('PROG FORMACIÓN TITULADA'!Y699,"AAAAAH6/+6s=")</f>
        <v>#VALUE!</v>
      </c>
      <c r="FQ103" t="e">
        <f>AND('PROG FORMACIÓN TITULADA'!Z699,"AAAAAH6/+6w=")</f>
        <v>#VALUE!</v>
      </c>
      <c r="FR103">
        <f>IF('PROG FORMACIÓN TITULADA'!700:700,"AAAAAH6/+60=",0)</f>
        <v>0</v>
      </c>
      <c r="FS103" t="e">
        <f>AND('PROG FORMACIÓN TITULADA'!A700,"AAAAAH6/+64=")</f>
        <v>#VALUE!</v>
      </c>
      <c r="FT103" t="e">
        <f>AND('PROG FORMACIÓN TITULADA'!B700,"AAAAAH6/+68=")</f>
        <v>#VALUE!</v>
      </c>
      <c r="FU103" t="e">
        <f>AND('PROG FORMACIÓN TITULADA'!C700,"AAAAAH6/+7A=")</f>
        <v>#VALUE!</v>
      </c>
      <c r="FV103" t="e">
        <f>AND('PROG FORMACIÓN TITULADA'!D700,"AAAAAH6/+7E=")</f>
        <v>#VALUE!</v>
      </c>
      <c r="FW103" t="e">
        <f>AND('PROG FORMACIÓN TITULADA'!E700,"AAAAAH6/+7I=")</f>
        <v>#VALUE!</v>
      </c>
      <c r="FX103" t="e">
        <f>AND('PROG FORMACIÓN TITULADA'!F700,"AAAAAH6/+7M=")</f>
        <v>#VALUE!</v>
      </c>
      <c r="FY103" t="e">
        <f>AND('PROG FORMACIÓN TITULADA'!G700,"AAAAAH6/+7Q=")</f>
        <v>#VALUE!</v>
      </c>
      <c r="FZ103" t="e">
        <f>AND('PROG FORMACIÓN TITULADA'!H700,"AAAAAH6/+7U=")</f>
        <v>#VALUE!</v>
      </c>
      <c r="GA103" t="e">
        <f>AND('PROG FORMACIÓN TITULADA'!I700,"AAAAAH6/+7Y=")</f>
        <v>#VALUE!</v>
      </c>
      <c r="GB103" t="e">
        <f>AND('PROG FORMACIÓN TITULADA'!J700,"AAAAAH6/+7c=")</f>
        <v>#VALUE!</v>
      </c>
      <c r="GC103" t="e">
        <f>AND('PROG FORMACIÓN TITULADA'!K700,"AAAAAH6/+7g=")</f>
        <v>#VALUE!</v>
      </c>
      <c r="GD103" t="e">
        <f>AND('PROG FORMACIÓN TITULADA'!L700,"AAAAAH6/+7k=")</f>
        <v>#VALUE!</v>
      </c>
      <c r="GE103" t="e">
        <f>AND('PROG FORMACIÓN TITULADA'!M700,"AAAAAH6/+7o=")</f>
        <v>#VALUE!</v>
      </c>
      <c r="GF103" t="e">
        <f>AND('PROG FORMACIÓN TITULADA'!N700,"AAAAAH6/+7s=")</f>
        <v>#VALUE!</v>
      </c>
      <c r="GG103" t="e">
        <f>AND('PROG FORMACIÓN TITULADA'!O700,"AAAAAH6/+7w=")</f>
        <v>#VALUE!</v>
      </c>
      <c r="GH103" t="e">
        <f>AND('PROG FORMACIÓN TITULADA'!P700,"AAAAAH6/+70=")</f>
        <v>#VALUE!</v>
      </c>
      <c r="GI103" t="e">
        <f>AND('PROG FORMACIÓN TITULADA'!Q700,"AAAAAH6/+74=")</f>
        <v>#VALUE!</v>
      </c>
      <c r="GJ103" t="e">
        <f>AND('PROG FORMACIÓN TITULADA'!R700,"AAAAAH6/+78=")</f>
        <v>#VALUE!</v>
      </c>
      <c r="GK103" t="e">
        <f>AND('PROG FORMACIÓN TITULADA'!S700,"AAAAAH6/+8A=")</f>
        <v>#VALUE!</v>
      </c>
      <c r="GL103" t="e">
        <f>AND('PROG FORMACIÓN TITULADA'!T700,"AAAAAH6/+8E=")</f>
        <v>#VALUE!</v>
      </c>
      <c r="GM103" t="e">
        <f>AND('PROG FORMACIÓN TITULADA'!U700,"AAAAAH6/+8I=")</f>
        <v>#VALUE!</v>
      </c>
      <c r="GN103" t="e">
        <f>AND('PROG FORMACIÓN TITULADA'!V700,"AAAAAH6/+8M=")</f>
        <v>#VALUE!</v>
      </c>
      <c r="GO103" t="e">
        <f>AND('PROG FORMACIÓN TITULADA'!W700,"AAAAAH6/+8Q=")</f>
        <v>#VALUE!</v>
      </c>
      <c r="GP103" t="e">
        <f>AND('PROG FORMACIÓN TITULADA'!X700,"AAAAAH6/+8U=")</f>
        <v>#VALUE!</v>
      </c>
      <c r="GQ103" t="e">
        <f>AND('PROG FORMACIÓN TITULADA'!Y700,"AAAAAH6/+8Y=")</f>
        <v>#VALUE!</v>
      </c>
      <c r="GR103" t="e">
        <f>AND('PROG FORMACIÓN TITULADA'!Z700,"AAAAAH6/+8c=")</f>
        <v>#VALUE!</v>
      </c>
      <c r="GS103">
        <f>IF('PROG FORMACIÓN TITULADA'!701:701,"AAAAAH6/+8g=",0)</f>
        <v>0</v>
      </c>
      <c r="GT103" t="e">
        <f>AND('PROG FORMACIÓN TITULADA'!A701,"AAAAAH6/+8k=")</f>
        <v>#VALUE!</v>
      </c>
      <c r="GU103" t="e">
        <f>AND('PROG FORMACIÓN TITULADA'!B701,"AAAAAH6/+8o=")</f>
        <v>#VALUE!</v>
      </c>
      <c r="GV103" t="e">
        <f>AND('PROG FORMACIÓN TITULADA'!C701,"AAAAAH6/+8s=")</f>
        <v>#VALUE!</v>
      </c>
      <c r="GW103" t="e">
        <f>AND('PROG FORMACIÓN TITULADA'!D701,"AAAAAH6/+8w=")</f>
        <v>#VALUE!</v>
      </c>
      <c r="GX103" t="e">
        <f>AND('PROG FORMACIÓN TITULADA'!E701,"AAAAAH6/+80=")</f>
        <v>#VALUE!</v>
      </c>
      <c r="GY103" t="e">
        <f>AND('PROG FORMACIÓN TITULADA'!F701,"AAAAAH6/+84=")</f>
        <v>#VALUE!</v>
      </c>
      <c r="GZ103" t="e">
        <f>AND('PROG FORMACIÓN TITULADA'!G701,"AAAAAH6/+88=")</f>
        <v>#VALUE!</v>
      </c>
      <c r="HA103" t="e">
        <f>AND('PROG FORMACIÓN TITULADA'!H701,"AAAAAH6/+9A=")</f>
        <v>#VALUE!</v>
      </c>
      <c r="HB103" t="e">
        <f>AND('PROG FORMACIÓN TITULADA'!I701,"AAAAAH6/+9E=")</f>
        <v>#VALUE!</v>
      </c>
      <c r="HC103" t="e">
        <f>AND('PROG FORMACIÓN TITULADA'!J701,"AAAAAH6/+9I=")</f>
        <v>#VALUE!</v>
      </c>
      <c r="HD103" t="e">
        <f>AND('PROG FORMACIÓN TITULADA'!K701,"AAAAAH6/+9M=")</f>
        <v>#VALUE!</v>
      </c>
      <c r="HE103" t="e">
        <f>AND('PROG FORMACIÓN TITULADA'!L701,"AAAAAH6/+9Q=")</f>
        <v>#VALUE!</v>
      </c>
      <c r="HF103" t="e">
        <f>AND('PROG FORMACIÓN TITULADA'!M701,"AAAAAH6/+9U=")</f>
        <v>#VALUE!</v>
      </c>
      <c r="HG103" t="e">
        <f>AND('PROG FORMACIÓN TITULADA'!N701,"AAAAAH6/+9Y=")</f>
        <v>#VALUE!</v>
      </c>
      <c r="HH103" t="e">
        <f>AND('PROG FORMACIÓN TITULADA'!O701,"AAAAAH6/+9c=")</f>
        <v>#VALUE!</v>
      </c>
      <c r="HI103" t="e">
        <f>AND('PROG FORMACIÓN TITULADA'!P701,"AAAAAH6/+9g=")</f>
        <v>#VALUE!</v>
      </c>
      <c r="HJ103" t="e">
        <f>AND('PROG FORMACIÓN TITULADA'!Q701,"AAAAAH6/+9k=")</f>
        <v>#VALUE!</v>
      </c>
      <c r="HK103" t="e">
        <f>AND('PROG FORMACIÓN TITULADA'!R701,"AAAAAH6/+9o=")</f>
        <v>#VALUE!</v>
      </c>
      <c r="HL103" t="e">
        <f>AND('PROG FORMACIÓN TITULADA'!S701,"AAAAAH6/+9s=")</f>
        <v>#VALUE!</v>
      </c>
      <c r="HM103" t="e">
        <f>AND('PROG FORMACIÓN TITULADA'!T701,"AAAAAH6/+9w=")</f>
        <v>#VALUE!</v>
      </c>
      <c r="HN103" t="e">
        <f>AND('PROG FORMACIÓN TITULADA'!U701,"AAAAAH6/+90=")</f>
        <v>#VALUE!</v>
      </c>
      <c r="HO103" t="e">
        <f>AND('PROG FORMACIÓN TITULADA'!V701,"AAAAAH6/+94=")</f>
        <v>#VALUE!</v>
      </c>
      <c r="HP103" t="e">
        <f>AND('PROG FORMACIÓN TITULADA'!W701,"AAAAAH6/+98=")</f>
        <v>#VALUE!</v>
      </c>
      <c r="HQ103" t="e">
        <f>AND('PROG FORMACIÓN TITULADA'!X701,"AAAAAH6/++A=")</f>
        <v>#VALUE!</v>
      </c>
      <c r="HR103" t="e">
        <f>AND('PROG FORMACIÓN TITULADA'!Y701,"AAAAAH6/++E=")</f>
        <v>#VALUE!</v>
      </c>
      <c r="HS103" t="e">
        <f>AND('PROG FORMACIÓN TITULADA'!Z701,"AAAAAH6/++I=")</f>
        <v>#VALUE!</v>
      </c>
      <c r="HT103">
        <f>IF('PROG FORMACIÓN TITULADA'!702:702,"AAAAAH6/++M=",0)</f>
        <v>0</v>
      </c>
      <c r="HU103" t="e">
        <f>AND('PROG FORMACIÓN TITULADA'!A702,"AAAAAH6/++Q=")</f>
        <v>#VALUE!</v>
      </c>
      <c r="HV103" t="e">
        <f>AND('PROG FORMACIÓN TITULADA'!B702,"AAAAAH6/++U=")</f>
        <v>#VALUE!</v>
      </c>
      <c r="HW103" t="e">
        <f>AND('PROG FORMACIÓN TITULADA'!C702,"AAAAAH6/++Y=")</f>
        <v>#VALUE!</v>
      </c>
      <c r="HX103" t="e">
        <f>AND('PROG FORMACIÓN TITULADA'!D702,"AAAAAH6/++c=")</f>
        <v>#VALUE!</v>
      </c>
      <c r="HY103" t="e">
        <f>AND('PROG FORMACIÓN TITULADA'!E702,"AAAAAH6/++g=")</f>
        <v>#VALUE!</v>
      </c>
      <c r="HZ103" t="e">
        <f>AND('PROG FORMACIÓN TITULADA'!F702,"AAAAAH6/++k=")</f>
        <v>#VALUE!</v>
      </c>
      <c r="IA103" t="e">
        <f>AND('PROG FORMACIÓN TITULADA'!G702,"AAAAAH6/++o=")</f>
        <v>#VALUE!</v>
      </c>
      <c r="IB103" t="e">
        <f>AND('PROG FORMACIÓN TITULADA'!H702,"AAAAAH6/++s=")</f>
        <v>#VALUE!</v>
      </c>
      <c r="IC103" t="e">
        <f>AND('PROG FORMACIÓN TITULADA'!I702,"AAAAAH6/++w=")</f>
        <v>#VALUE!</v>
      </c>
      <c r="ID103" t="e">
        <f>AND('PROG FORMACIÓN TITULADA'!J702,"AAAAAH6/++0=")</f>
        <v>#VALUE!</v>
      </c>
      <c r="IE103" t="e">
        <f>AND('PROG FORMACIÓN TITULADA'!K702,"AAAAAH6/++4=")</f>
        <v>#VALUE!</v>
      </c>
      <c r="IF103" t="e">
        <f>AND('PROG FORMACIÓN TITULADA'!L702,"AAAAAH6/++8=")</f>
        <v>#VALUE!</v>
      </c>
      <c r="IG103" t="e">
        <f>AND('PROG FORMACIÓN TITULADA'!M702,"AAAAAH6/+/A=")</f>
        <v>#VALUE!</v>
      </c>
      <c r="IH103" t="e">
        <f>AND('PROG FORMACIÓN TITULADA'!N702,"AAAAAH6/+/E=")</f>
        <v>#VALUE!</v>
      </c>
      <c r="II103" t="e">
        <f>AND('PROG FORMACIÓN TITULADA'!O702,"AAAAAH6/+/I=")</f>
        <v>#VALUE!</v>
      </c>
      <c r="IJ103" t="e">
        <f>AND('PROG FORMACIÓN TITULADA'!P702,"AAAAAH6/+/M=")</f>
        <v>#VALUE!</v>
      </c>
      <c r="IK103" t="e">
        <f>AND('PROG FORMACIÓN TITULADA'!Q702,"AAAAAH6/+/Q=")</f>
        <v>#VALUE!</v>
      </c>
      <c r="IL103" t="e">
        <f>AND('PROG FORMACIÓN TITULADA'!R702,"AAAAAH6/+/U=")</f>
        <v>#VALUE!</v>
      </c>
      <c r="IM103" t="e">
        <f>AND('PROG FORMACIÓN TITULADA'!S702,"AAAAAH6/+/Y=")</f>
        <v>#VALUE!</v>
      </c>
      <c r="IN103" t="e">
        <f>AND('PROG FORMACIÓN TITULADA'!T702,"AAAAAH6/+/c=")</f>
        <v>#VALUE!</v>
      </c>
      <c r="IO103" t="e">
        <f>AND('PROG FORMACIÓN TITULADA'!U702,"AAAAAH6/+/g=")</f>
        <v>#VALUE!</v>
      </c>
      <c r="IP103" t="e">
        <f>AND('PROG FORMACIÓN TITULADA'!V702,"AAAAAH6/+/k=")</f>
        <v>#VALUE!</v>
      </c>
      <c r="IQ103" t="e">
        <f>AND('PROG FORMACIÓN TITULADA'!W702,"AAAAAH6/+/o=")</f>
        <v>#VALUE!</v>
      </c>
      <c r="IR103" t="e">
        <f>AND('PROG FORMACIÓN TITULADA'!X702,"AAAAAH6/+/s=")</f>
        <v>#VALUE!</v>
      </c>
      <c r="IS103" t="e">
        <f>AND('PROG FORMACIÓN TITULADA'!Y702,"AAAAAH6/+/w=")</f>
        <v>#VALUE!</v>
      </c>
      <c r="IT103" t="e">
        <f>AND('PROG FORMACIÓN TITULADA'!Z702,"AAAAAH6/+/0=")</f>
        <v>#VALUE!</v>
      </c>
      <c r="IU103">
        <f>IF('PROG FORMACIÓN TITULADA'!703:703,"AAAAAH6/+/4=",0)</f>
        <v>0</v>
      </c>
      <c r="IV103" t="e">
        <f>AND('PROG FORMACIÓN TITULADA'!A703,"AAAAAH6/+/8=")</f>
        <v>#VALUE!</v>
      </c>
    </row>
    <row r="104" spans="1:256" x14ac:dyDescent="0.2">
      <c r="A104" t="e">
        <f>AND('PROG FORMACIÓN TITULADA'!B703,"AAAAAF367AA=")</f>
        <v>#VALUE!</v>
      </c>
      <c r="B104" t="e">
        <f>AND('PROG FORMACIÓN TITULADA'!C703,"AAAAAF367AE=")</f>
        <v>#VALUE!</v>
      </c>
      <c r="C104" t="e">
        <f>AND('PROG FORMACIÓN TITULADA'!D703,"AAAAAF367AI=")</f>
        <v>#VALUE!</v>
      </c>
      <c r="D104" t="e">
        <f>AND('PROG FORMACIÓN TITULADA'!E703,"AAAAAF367AM=")</f>
        <v>#VALUE!</v>
      </c>
      <c r="E104" t="e">
        <f>AND('PROG FORMACIÓN TITULADA'!F703,"AAAAAF367AQ=")</f>
        <v>#VALUE!</v>
      </c>
      <c r="F104" t="e">
        <f>AND('PROG FORMACIÓN TITULADA'!G703,"AAAAAF367AU=")</f>
        <v>#VALUE!</v>
      </c>
      <c r="G104" t="e">
        <f>AND('PROG FORMACIÓN TITULADA'!H703,"AAAAAF367AY=")</f>
        <v>#VALUE!</v>
      </c>
      <c r="H104" t="e">
        <f>AND('PROG FORMACIÓN TITULADA'!I703,"AAAAAF367Ac=")</f>
        <v>#VALUE!</v>
      </c>
      <c r="I104" t="e">
        <f>AND('PROG FORMACIÓN TITULADA'!J703,"AAAAAF367Ag=")</f>
        <v>#VALUE!</v>
      </c>
      <c r="J104" t="e">
        <f>AND('PROG FORMACIÓN TITULADA'!K703,"AAAAAF367Ak=")</f>
        <v>#VALUE!</v>
      </c>
      <c r="K104" t="e">
        <f>AND('PROG FORMACIÓN TITULADA'!L703,"AAAAAF367Ao=")</f>
        <v>#VALUE!</v>
      </c>
      <c r="L104" t="e">
        <f>AND('PROG FORMACIÓN TITULADA'!M703,"AAAAAF367As=")</f>
        <v>#VALUE!</v>
      </c>
      <c r="M104" t="e">
        <f>AND('PROG FORMACIÓN TITULADA'!N703,"AAAAAF367Aw=")</f>
        <v>#VALUE!</v>
      </c>
      <c r="N104" t="e">
        <f>AND('PROG FORMACIÓN TITULADA'!O703,"AAAAAF367A0=")</f>
        <v>#VALUE!</v>
      </c>
      <c r="O104" t="e">
        <f>AND('PROG FORMACIÓN TITULADA'!P703,"AAAAAF367A4=")</f>
        <v>#VALUE!</v>
      </c>
      <c r="P104" t="e">
        <f>AND('PROG FORMACIÓN TITULADA'!Q703,"AAAAAF367A8=")</f>
        <v>#VALUE!</v>
      </c>
      <c r="Q104" t="e">
        <f>AND('PROG FORMACIÓN TITULADA'!R703,"AAAAAF367BA=")</f>
        <v>#VALUE!</v>
      </c>
      <c r="R104" t="e">
        <f>AND('PROG FORMACIÓN TITULADA'!S703,"AAAAAF367BE=")</f>
        <v>#VALUE!</v>
      </c>
      <c r="S104" t="e">
        <f>AND('PROG FORMACIÓN TITULADA'!T703,"AAAAAF367BI=")</f>
        <v>#VALUE!</v>
      </c>
      <c r="T104" t="e">
        <f>AND('PROG FORMACIÓN TITULADA'!U703,"AAAAAF367BM=")</f>
        <v>#VALUE!</v>
      </c>
      <c r="U104" t="e">
        <f>AND('PROG FORMACIÓN TITULADA'!V703,"AAAAAF367BQ=")</f>
        <v>#VALUE!</v>
      </c>
      <c r="V104" t="e">
        <f>AND('PROG FORMACIÓN TITULADA'!W703,"AAAAAF367BU=")</f>
        <v>#VALUE!</v>
      </c>
      <c r="W104" t="e">
        <f>AND('PROG FORMACIÓN TITULADA'!X703,"AAAAAF367BY=")</f>
        <v>#VALUE!</v>
      </c>
      <c r="X104" t="e">
        <f>AND('PROG FORMACIÓN TITULADA'!Y703,"AAAAAF367Bc=")</f>
        <v>#VALUE!</v>
      </c>
      <c r="Y104" t="e">
        <f>AND('PROG FORMACIÓN TITULADA'!Z703,"AAAAAF367Bg=")</f>
        <v>#VALUE!</v>
      </c>
      <c r="Z104">
        <f>IF('PROG FORMACIÓN TITULADA'!704:704,"AAAAAF367Bk=",0)</f>
        <v>0</v>
      </c>
      <c r="AA104" t="e">
        <f>AND('PROG FORMACIÓN TITULADA'!A704,"AAAAAF367Bo=")</f>
        <v>#VALUE!</v>
      </c>
      <c r="AB104" t="e">
        <f>AND('PROG FORMACIÓN TITULADA'!B704,"AAAAAF367Bs=")</f>
        <v>#VALUE!</v>
      </c>
      <c r="AC104" t="e">
        <f>AND('PROG FORMACIÓN TITULADA'!C704,"AAAAAF367Bw=")</f>
        <v>#VALUE!</v>
      </c>
      <c r="AD104" t="e">
        <f>AND('PROG FORMACIÓN TITULADA'!D704,"AAAAAF367B0=")</f>
        <v>#VALUE!</v>
      </c>
      <c r="AE104" t="e">
        <f>AND('PROG FORMACIÓN TITULADA'!E704,"AAAAAF367B4=")</f>
        <v>#VALUE!</v>
      </c>
      <c r="AF104" t="e">
        <f>AND('PROG FORMACIÓN TITULADA'!F704,"AAAAAF367B8=")</f>
        <v>#VALUE!</v>
      </c>
      <c r="AG104" t="e">
        <f>AND('PROG FORMACIÓN TITULADA'!G704,"AAAAAF367CA=")</f>
        <v>#VALUE!</v>
      </c>
      <c r="AH104" t="e">
        <f>AND('PROG FORMACIÓN TITULADA'!H704,"AAAAAF367CE=")</f>
        <v>#VALUE!</v>
      </c>
      <c r="AI104" t="e">
        <f>AND('PROG FORMACIÓN TITULADA'!I704,"AAAAAF367CI=")</f>
        <v>#VALUE!</v>
      </c>
      <c r="AJ104" t="e">
        <f>AND('PROG FORMACIÓN TITULADA'!J704,"AAAAAF367CM=")</f>
        <v>#VALUE!</v>
      </c>
      <c r="AK104" t="e">
        <f>AND('PROG FORMACIÓN TITULADA'!K704,"AAAAAF367CQ=")</f>
        <v>#VALUE!</v>
      </c>
      <c r="AL104" t="e">
        <f>AND('PROG FORMACIÓN TITULADA'!L704,"AAAAAF367CU=")</f>
        <v>#VALUE!</v>
      </c>
      <c r="AM104" t="e">
        <f>AND('PROG FORMACIÓN TITULADA'!M704,"AAAAAF367CY=")</f>
        <v>#VALUE!</v>
      </c>
      <c r="AN104" t="e">
        <f>AND('PROG FORMACIÓN TITULADA'!N704,"AAAAAF367Cc=")</f>
        <v>#VALUE!</v>
      </c>
      <c r="AO104" t="e">
        <f>AND('PROG FORMACIÓN TITULADA'!O704,"AAAAAF367Cg=")</f>
        <v>#VALUE!</v>
      </c>
      <c r="AP104" t="e">
        <f>AND('PROG FORMACIÓN TITULADA'!P704,"AAAAAF367Ck=")</f>
        <v>#VALUE!</v>
      </c>
      <c r="AQ104" t="e">
        <f>AND('PROG FORMACIÓN TITULADA'!Q704,"AAAAAF367Co=")</f>
        <v>#VALUE!</v>
      </c>
      <c r="AR104" t="e">
        <f>AND('PROG FORMACIÓN TITULADA'!R704,"AAAAAF367Cs=")</f>
        <v>#VALUE!</v>
      </c>
      <c r="AS104" t="e">
        <f>AND('PROG FORMACIÓN TITULADA'!S704,"AAAAAF367Cw=")</f>
        <v>#VALUE!</v>
      </c>
      <c r="AT104" t="e">
        <f>AND('PROG FORMACIÓN TITULADA'!T704,"AAAAAF367C0=")</f>
        <v>#VALUE!</v>
      </c>
      <c r="AU104" t="e">
        <f>AND('PROG FORMACIÓN TITULADA'!U704,"AAAAAF367C4=")</f>
        <v>#VALUE!</v>
      </c>
      <c r="AV104" t="e">
        <f>AND('PROG FORMACIÓN TITULADA'!V704,"AAAAAF367C8=")</f>
        <v>#VALUE!</v>
      </c>
      <c r="AW104" t="e">
        <f>AND('PROG FORMACIÓN TITULADA'!W704,"AAAAAF367DA=")</f>
        <v>#VALUE!</v>
      </c>
      <c r="AX104" t="e">
        <f>AND('PROG FORMACIÓN TITULADA'!X704,"AAAAAF367DE=")</f>
        <v>#VALUE!</v>
      </c>
      <c r="AY104" t="e">
        <f>AND('PROG FORMACIÓN TITULADA'!Y704,"AAAAAF367DI=")</f>
        <v>#VALUE!</v>
      </c>
      <c r="AZ104" t="e">
        <f>AND('PROG FORMACIÓN TITULADA'!Z704,"AAAAAF367DM=")</f>
        <v>#VALUE!</v>
      </c>
      <c r="BA104">
        <f>IF('PROG FORMACIÓN TITULADA'!705:705,"AAAAAF367DQ=",0)</f>
        <v>0</v>
      </c>
      <c r="BB104" t="e">
        <f>AND('PROG FORMACIÓN TITULADA'!A705,"AAAAAF367DU=")</f>
        <v>#VALUE!</v>
      </c>
      <c r="BC104" t="e">
        <f>AND('PROG FORMACIÓN TITULADA'!B705,"AAAAAF367DY=")</f>
        <v>#VALUE!</v>
      </c>
      <c r="BD104" t="e">
        <f>AND('PROG FORMACIÓN TITULADA'!C705,"AAAAAF367Dc=")</f>
        <v>#VALUE!</v>
      </c>
      <c r="BE104" t="e">
        <f>AND('PROG FORMACIÓN TITULADA'!D705,"AAAAAF367Dg=")</f>
        <v>#VALUE!</v>
      </c>
      <c r="BF104" t="e">
        <f>AND('PROG FORMACIÓN TITULADA'!E705,"AAAAAF367Dk=")</f>
        <v>#VALUE!</v>
      </c>
      <c r="BG104" t="e">
        <f>AND('PROG FORMACIÓN TITULADA'!F705,"AAAAAF367Do=")</f>
        <v>#VALUE!</v>
      </c>
      <c r="BH104" t="e">
        <f>AND('PROG FORMACIÓN TITULADA'!G705,"AAAAAF367Ds=")</f>
        <v>#VALUE!</v>
      </c>
      <c r="BI104" t="e">
        <f>AND('PROG FORMACIÓN TITULADA'!H705,"AAAAAF367Dw=")</f>
        <v>#VALUE!</v>
      </c>
      <c r="BJ104" t="e">
        <f>AND('PROG FORMACIÓN TITULADA'!I705,"AAAAAF367D0=")</f>
        <v>#VALUE!</v>
      </c>
      <c r="BK104" t="e">
        <f>AND('PROG FORMACIÓN TITULADA'!J705,"AAAAAF367D4=")</f>
        <v>#VALUE!</v>
      </c>
      <c r="BL104" t="e">
        <f>AND('PROG FORMACIÓN TITULADA'!K705,"AAAAAF367D8=")</f>
        <v>#VALUE!</v>
      </c>
      <c r="BM104" t="e">
        <f>AND('PROG FORMACIÓN TITULADA'!L705,"AAAAAF367EA=")</f>
        <v>#VALUE!</v>
      </c>
      <c r="BN104" t="e">
        <f>AND('PROG FORMACIÓN TITULADA'!M705,"AAAAAF367EE=")</f>
        <v>#VALUE!</v>
      </c>
      <c r="BO104" t="e">
        <f>AND('PROG FORMACIÓN TITULADA'!N705,"AAAAAF367EI=")</f>
        <v>#VALUE!</v>
      </c>
      <c r="BP104" t="e">
        <f>AND('PROG FORMACIÓN TITULADA'!O705,"AAAAAF367EM=")</f>
        <v>#VALUE!</v>
      </c>
      <c r="BQ104" t="e">
        <f>AND('PROG FORMACIÓN TITULADA'!P705,"AAAAAF367EQ=")</f>
        <v>#VALUE!</v>
      </c>
      <c r="BR104" t="e">
        <f>AND('PROG FORMACIÓN TITULADA'!Q705,"AAAAAF367EU=")</f>
        <v>#VALUE!</v>
      </c>
      <c r="BS104" t="e">
        <f>AND('PROG FORMACIÓN TITULADA'!R705,"AAAAAF367EY=")</f>
        <v>#VALUE!</v>
      </c>
      <c r="BT104" t="e">
        <f>AND('PROG FORMACIÓN TITULADA'!S705,"AAAAAF367Ec=")</f>
        <v>#VALUE!</v>
      </c>
      <c r="BU104" t="e">
        <f>AND('PROG FORMACIÓN TITULADA'!T705,"AAAAAF367Eg=")</f>
        <v>#VALUE!</v>
      </c>
      <c r="BV104" t="e">
        <f>AND('PROG FORMACIÓN TITULADA'!U705,"AAAAAF367Ek=")</f>
        <v>#VALUE!</v>
      </c>
      <c r="BW104" t="e">
        <f>AND('PROG FORMACIÓN TITULADA'!V705,"AAAAAF367Eo=")</f>
        <v>#VALUE!</v>
      </c>
      <c r="BX104" t="e">
        <f>AND('PROG FORMACIÓN TITULADA'!W705,"AAAAAF367Es=")</f>
        <v>#VALUE!</v>
      </c>
      <c r="BY104" t="e">
        <f>AND('PROG FORMACIÓN TITULADA'!X705,"AAAAAF367Ew=")</f>
        <v>#VALUE!</v>
      </c>
      <c r="BZ104" t="e">
        <f>AND('PROG FORMACIÓN TITULADA'!Y705,"AAAAAF367E0=")</f>
        <v>#VALUE!</v>
      </c>
      <c r="CA104" t="e">
        <f>AND('PROG FORMACIÓN TITULADA'!Z705,"AAAAAF367E4=")</f>
        <v>#VALUE!</v>
      </c>
      <c r="CB104">
        <f>IF('PROG FORMACIÓN TITULADA'!706:706,"AAAAAF367E8=",0)</f>
        <v>0</v>
      </c>
      <c r="CC104" t="e">
        <f>AND('PROG FORMACIÓN TITULADA'!A706,"AAAAAF367FA=")</f>
        <v>#VALUE!</v>
      </c>
      <c r="CD104" t="e">
        <f>AND('PROG FORMACIÓN TITULADA'!B706,"AAAAAF367FE=")</f>
        <v>#VALUE!</v>
      </c>
      <c r="CE104" t="e">
        <f>AND('PROG FORMACIÓN TITULADA'!C706,"AAAAAF367FI=")</f>
        <v>#VALUE!</v>
      </c>
      <c r="CF104" t="e">
        <f>AND('PROG FORMACIÓN TITULADA'!D706,"AAAAAF367FM=")</f>
        <v>#VALUE!</v>
      </c>
      <c r="CG104" t="e">
        <f>AND('PROG FORMACIÓN TITULADA'!E706,"AAAAAF367FQ=")</f>
        <v>#VALUE!</v>
      </c>
      <c r="CH104" t="e">
        <f>AND('PROG FORMACIÓN TITULADA'!F706,"AAAAAF367FU=")</f>
        <v>#VALUE!</v>
      </c>
      <c r="CI104" t="e">
        <f>AND('PROG FORMACIÓN TITULADA'!G706,"AAAAAF367FY=")</f>
        <v>#VALUE!</v>
      </c>
      <c r="CJ104" t="e">
        <f>AND('PROG FORMACIÓN TITULADA'!H706,"AAAAAF367Fc=")</f>
        <v>#VALUE!</v>
      </c>
      <c r="CK104" t="e">
        <f>AND('PROG FORMACIÓN TITULADA'!I706,"AAAAAF367Fg=")</f>
        <v>#VALUE!</v>
      </c>
      <c r="CL104" t="e">
        <f>AND('PROG FORMACIÓN TITULADA'!J706,"AAAAAF367Fk=")</f>
        <v>#VALUE!</v>
      </c>
      <c r="CM104" t="e">
        <f>AND('PROG FORMACIÓN TITULADA'!K706,"AAAAAF367Fo=")</f>
        <v>#VALUE!</v>
      </c>
      <c r="CN104" t="e">
        <f>AND('PROG FORMACIÓN TITULADA'!L706,"AAAAAF367Fs=")</f>
        <v>#VALUE!</v>
      </c>
      <c r="CO104" t="e">
        <f>AND('PROG FORMACIÓN TITULADA'!M706,"AAAAAF367Fw=")</f>
        <v>#VALUE!</v>
      </c>
      <c r="CP104" t="e">
        <f>AND('PROG FORMACIÓN TITULADA'!N706,"AAAAAF367F0=")</f>
        <v>#VALUE!</v>
      </c>
      <c r="CQ104" t="e">
        <f>AND('PROG FORMACIÓN TITULADA'!O706,"AAAAAF367F4=")</f>
        <v>#VALUE!</v>
      </c>
      <c r="CR104" t="e">
        <f>AND('PROG FORMACIÓN TITULADA'!P706,"AAAAAF367F8=")</f>
        <v>#VALUE!</v>
      </c>
      <c r="CS104" t="e">
        <f>AND('PROG FORMACIÓN TITULADA'!Q706,"AAAAAF367GA=")</f>
        <v>#VALUE!</v>
      </c>
      <c r="CT104" t="e">
        <f>AND('PROG FORMACIÓN TITULADA'!R706,"AAAAAF367GE=")</f>
        <v>#VALUE!</v>
      </c>
      <c r="CU104" t="e">
        <f>AND('PROG FORMACIÓN TITULADA'!S706,"AAAAAF367GI=")</f>
        <v>#VALUE!</v>
      </c>
      <c r="CV104" t="e">
        <f>AND('PROG FORMACIÓN TITULADA'!T706,"AAAAAF367GM=")</f>
        <v>#VALUE!</v>
      </c>
      <c r="CW104" t="e">
        <f>AND('PROG FORMACIÓN TITULADA'!U706,"AAAAAF367GQ=")</f>
        <v>#VALUE!</v>
      </c>
      <c r="CX104" t="e">
        <f>AND('PROG FORMACIÓN TITULADA'!V706,"AAAAAF367GU=")</f>
        <v>#VALUE!</v>
      </c>
      <c r="CY104" t="e">
        <f>AND('PROG FORMACIÓN TITULADA'!W706,"AAAAAF367GY=")</f>
        <v>#VALUE!</v>
      </c>
      <c r="CZ104" t="e">
        <f>AND('PROG FORMACIÓN TITULADA'!X706,"AAAAAF367Gc=")</f>
        <v>#VALUE!</v>
      </c>
      <c r="DA104" t="e">
        <f>AND('PROG FORMACIÓN TITULADA'!Y706,"AAAAAF367Gg=")</f>
        <v>#VALUE!</v>
      </c>
      <c r="DB104" t="e">
        <f>AND('PROG FORMACIÓN TITULADA'!Z706,"AAAAAF367Gk=")</f>
        <v>#VALUE!</v>
      </c>
      <c r="DC104">
        <f>IF('PROG FORMACIÓN TITULADA'!707:707,"AAAAAF367Go=",0)</f>
        <v>0</v>
      </c>
      <c r="DD104" t="e">
        <f>AND('PROG FORMACIÓN TITULADA'!A707,"AAAAAF367Gs=")</f>
        <v>#VALUE!</v>
      </c>
      <c r="DE104" t="e">
        <f>AND('PROG FORMACIÓN TITULADA'!B707,"AAAAAF367Gw=")</f>
        <v>#VALUE!</v>
      </c>
      <c r="DF104" t="e">
        <f>AND('PROG FORMACIÓN TITULADA'!C707,"AAAAAF367G0=")</f>
        <v>#VALUE!</v>
      </c>
      <c r="DG104" t="e">
        <f>AND('PROG FORMACIÓN TITULADA'!D707,"AAAAAF367G4=")</f>
        <v>#VALUE!</v>
      </c>
      <c r="DH104" t="e">
        <f>AND('PROG FORMACIÓN TITULADA'!E707,"AAAAAF367G8=")</f>
        <v>#VALUE!</v>
      </c>
      <c r="DI104" t="e">
        <f>AND('PROG FORMACIÓN TITULADA'!F707,"AAAAAF367HA=")</f>
        <v>#VALUE!</v>
      </c>
      <c r="DJ104" t="e">
        <f>AND('PROG FORMACIÓN TITULADA'!G707,"AAAAAF367HE=")</f>
        <v>#VALUE!</v>
      </c>
      <c r="DK104" t="e">
        <f>AND('PROG FORMACIÓN TITULADA'!H707,"AAAAAF367HI=")</f>
        <v>#VALUE!</v>
      </c>
      <c r="DL104" t="e">
        <f>AND('PROG FORMACIÓN TITULADA'!I707,"AAAAAF367HM=")</f>
        <v>#VALUE!</v>
      </c>
      <c r="DM104" t="e">
        <f>AND('PROG FORMACIÓN TITULADA'!J707,"AAAAAF367HQ=")</f>
        <v>#VALUE!</v>
      </c>
      <c r="DN104" t="e">
        <f>AND('PROG FORMACIÓN TITULADA'!K707,"AAAAAF367HU=")</f>
        <v>#VALUE!</v>
      </c>
      <c r="DO104" t="e">
        <f>AND('PROG FORMACIÓN TITULADA'!L707,"AAAAAF367HY=")</f>
        <v>#VALUE!</v>
      </c>
      <c r="DP104" t="e">
        <f>AND('PROG FORMACIÓN TITULADA'!M707,"AAAAAF367Hc=")</f>
        <v>#VALUE!</v>
      </c>
      <c r="DQ104" t="e">
        <f>AND('PROG FORMACIÓN TITULADA'!N707,"AAAAAF367Hg=")</f>
        <v>#VALUE!</v>
      </c>
      <c r="DR104" t="e">
        <f>AND('PROG FORMACIÓN TITULADA'!O707,"AAAAAF367Hk=")</f>
        <v>#VALUE!</v>
      </c>
      <c r="DS104" t="e">
        <f>AND('PROG FORMACIÓN TITULADA'!P707,"AAAAAF367Ho=")</f>
        <v>#VALUE!</v>
      </c>
      <c r="DT104" t="e">
        <f>AND('PROG FORMACIÓN TITULADA'!Q707,"AAAAAF367Hs=")</f>
        <v>#VALUE!</v>
      </c>
      <c r="DU104" t="e">
        <f>AND('PROG FORMACIÓN TITULADA'!R707,"AAAAAF367Hw=")</f>
        <v>#VALUE!</v>
      </c>
      <c r="DV104" t="e">
        <f>AND('PROG FORMACIÓN TITULADA'!S707,"AAAAAF367H0=")</f>
        <v>#VALUE!</v>
      </c>
      <c r="DW104" t="e">
        <f>AND('PROG FORMACIÓN TITULADA'!T707,"AAAAAF367H4=")</f>
        <v>#VALUE!</v>
      </c>
      <c r="DX104" t="e">
        <f>AND('PROG FORMACIÓN TITULADA'!U707,"AAAAAF367H8=")</f>
        <v>#VALUE!</v>
      </c>
      <c r="DY104" t="e">
        <f>AND('PROG FORMACIÓN TITULADA'!V707,"AAAAAF367IA=")</f>
        <v>#VALUE!</v>
      </c>
      <c r="DZ104" t="e">
        <f>AND('PROG FORMACIÓN TITULADA'!W707,"AAAAAF367IE=")</f>
        <v>#VALUE!</v>
      </c>
      <c r="EA104" t="e">
        <f>AND('PROG FORMACIÓN TITULADA'!X707,"AAAAAF367II=")</f>
        <v>#VALUE!</v>
      </c>
      <c r="EB104" t="e">
        <f>AND('PROG FORMACIÓN TITULADA'!Y707,"AAAAAF367IM=")</f>
        <v>#VALUE!</v>
      </c>
      <c r="EC104" t="e">
        <f>AND('PROG FORMACIÓN TITULADA'!Z707,"AAAAAF367IQ=")</f>
        <v>#VALUE!</v>
      </c>
      <c r="ED104">
        <f>IF('PROG FORMACIÓN TITULADA'!708:708,"AAAAAF367IU=",0)</f>
        <v>0</v>
      </c>
      <c r="EE104" t="e">
        <f>AND('PROG FORMACIÓN TITULADA'!A708,"AAAAAF367IY=")</f>
        <v>#VALUE!</v>
      </c>
      <c r="EF104" t="e">
        <f>AND('PROG FORMACIÓN TITULADA'!B708,"AAAAAF367Ic=")</f>
        <v>#VALUE!</v>
      </c>
      <c r="EG104" t="e">
        <f>AND('PROG FORMACIÓN TITULADA'!C708,"AAAAAF367Ig=")</f>
        <v>#VALUE!</v>
      </c>
      <c r="EH104" t="e">
        <f>AND('PROG FORMACIÓN TITULADA'!D708,"AAAAAF367Ik=")</f>
        <v>#VALUE!</v>
      </c>
      <c r="EI104" t="e">
        <f>AND('PROG FORMACIÓN TITULADA'!E708,"AAAAAF367Io=")</f>
        <v>#VALUE!</v>
      </c>
      <c r="EJ104" t="e">
        <f>AND('PROG FORMACIÓN TITULADA'!F708,"AAAAAF367Is=")</f>
        <v>#VALUE!</v>
      </c>
      <c r="EK104" t="e">
        <f>AND('PROG FORMACIÓN TITULADA'!G708,"AAAAAF367Iw=")</f>
        <v>#VALUE!</v>
      </c>
      <c r="EL104" t="e">
        <f>AND('PROG FORMACIÓN TITULADA'!H708,"AAAAAF367I0=")</f>
        <v>#VALUE!</v>
      </c>
      <c r="EM104" t="e">
        <f>AND('PROG FORMACIÓN TITULADA'!I708,"AAAAAF367I4=")</f>
        <v>#VALUE!</v>
      </c>
      <c r="EN104" t="e">
        <f>AND('PROG FORMACIÓN TITULADA'!J708,"AAAAAF367I8=")</f>
        <v>#VALUE!</v>
      </c>
      <c r="EO104" t="e">
        <f>AND('PROG FORMACIÓN TITULADA'!K708,"AAAAAF367JA=")</f>
        <v>#VALUE!</v>
      </c>
      <c r="EP104" t="e">
        <f>AND('PROG FORMACIÓN TITULADA'!L708,"AAAAAF367JE=")</f>
        <v>#VALUE!</v>
      </c>
      <c r="EQ104" t="e">
        <f>AND('PROG FORMACIÓN TITULADA'!M708,"AAAAAF367JI=")</f>
        <v>#VALUE!</v>
      </c>
      <c r="ER104" t="e">
        <f>AND('PROG FORMACIÓN TITULADA'!N708,"AAAAAF367JM=")</f>
        <v>#VALUE!</v>
      </c>
      <c r="ES104" t="e">
        <f>AND('PROG FORMACIÓN TITULADA'!O708,"AAAAAF367JQ=")</f>
        <v>#VALUE!</v>
      </c>
      <c r="ET104" t="e">
        <f>AND('PROG FORMACIÓN TITULADA'!P708,"AAAAAF367JU=")</f>
        <v>#VALUE!</v>
      </c>
      <c r="EU104" t="e">
        <f>AND('PROG FORMACIÓN TITULADA'!Q708,"AAAAAF367JY=")</f>
        <v>#VALUE!</v>
      </c>
      <c r="EV104" t="e">
        <f>AND('PROG FORMACIÓN TITULADA'!R708,"AAAAAF367Jc=")</f>
        <v>#VALUE!</v>
      </c>
      <c r="EW104" t="e">
        <f>AND('PROG FORMACIÓN TITULADA'!S708,"AAAAAF367Jg=")</f>
        <v>#VALUE!</v>
      </c>
      <c r="EX104" t="e">
        <f>AND('PROG FORMACIÓN TITULADA'!T708,"AAAAAF367Jk=")</f>
        <v>#VALUE!</v>
      </c>
      <c r="EY104" t="e">
        <f>AND('PROG FORMACIÓN TITULADA'!U708,"AAAAAF367Jo=")</f>
        <v>#VALUE!</v>
      </c>
      <c r="EZ104" t="e">
        <f>AND('PROG FORMACIÓN TITULADA'!V708,"AAAAAF367Js=")</f>
        <v>#VALUE!</v>
      </c>
      <c r="FA104" t="e">
        <f>AND('PROG FORMACIÓN TITULADA'!W708,"AAAAAF367Jw=")</f>
        <v>#VALUE!</v>
      </c>
      <c r="FB104" t="e">
        <f>AND('PROG FORMACIÓN TITULADA'!X708,"AAAAAF367J0=")</f>
        <v>#VALUE!</v>
      </c>
      <c r="FC104" t="e">
        <f>AND('PROG FORMACIÓN TITULADA'!Y708,"AAAAAF367J4=")</f>
        <v>#VALUE!</v>
      </c>
      <c r="FD104" t="e">
        <f>AND('PROG FORMACIÓN TITULADA'!Z708,"AAAAAF367J8=")</f>
        <v>#VALUE!</v>
      </c>
      <c r="FE104">
        <f>IF('PROG FORMACIÓN TITULADA'!709:709,"AAAAAF367KA=",0)</f>
        <v>0</v>
      </c>
      <c r="FF104" t="e">
        <f>AND('PROG FORMACIÓN TITULADA'!A709,"AAAAAF367KE=")</f>
        <v>#VALUE!</v>
      </c>
      <c r="FG104" t="e">
        <f>AND('PROG FORMACIÓN TITULADA'!B709,"AAAAAF367KI=")</f>
        <v>#VALUE!</v>
      </c>
      <c r="FH104" t="e">
        <f>AND('PROG FORMACIÓN TITULADA'!C709,"AAAAAF367KM=")</f>
        <v>#VALUE!</v>
      </c>
      <c r="FI104" t="e">
        <f>AND('PROG FORMACIÓN TITULADA'!D709,"AAAAAF367KQ=")</f>
        <v>#VALUE!</v>
      </c>
      <c r="FJ104" t="e">
        <f>AND('PROG FORMACIÓN TITULADA'!E709,"AAAAAF367KU=")</f>
        <v>#VALUE!</v>
      </c>
      <c r="FK104" t="e">
        <f>AND('PROG FORMACIÓN TITULADA'!F709,"AAAAAF367KY=")</f>
        <v>#VALUE!</v>
      </c>
      <c r="FL104" t="e">
        <f>AND('PROG FORMACIÓN TITULADA'!G709,"AAAAAF367Kc=")</f>
        <v>#VALUE!</v>
      </c>
      <c r="FM104" t="e">
        <f>AND('PROG FORMACIÓN TITULADA'!H709,"AAAAAF367Kg=")</f>
        <v>#VALUE!</v>
      </c>
      <c r="FN104" t="e">
        <f>AND('PROG FORMACIÓN TITULADA'!I709,"AAAAAF367Kk=")</f>
        <v>#VALUE!</v>
      </c>
      <c r="FO104" t="e">
        <f>AND('PROG FORMACIÓN TITULADA'!J709,"AAAAAF367Ko=")</f>
        <v>#VALUE!</v>
      </c>
      <c r="FP104" t="e">
        <f>AND('PROG FORMACIÓN TITULADA'!K709,"AAAAAF367Ks=")</f>
        <v>#VALUE!</v>
      </c>
      <c r="FQ104" t="e">
        <f>AND('PROG FORMACIÓN TITULADA'!L709,"AAAAAF367Kw=")</f>
        <v>#VALUE!</v>
      </c>
      <c r="FR104" t="e">
        <f>AND('PROG FORMACIÓN TITULADA'!M709,"AAAAAF367K0=")</f>
        <v>#VALUE!</v>
      </c>
      <c r="FS104" t="e">
        <f>AND('PROG FORMACIÓN TITULADA'!N709,"AAAAAF367K4=")</f>
        <v>#VALUE!</v>
      </c>
      <c r="FT104" t="e">
        <f>AND('PROG FORMACIÓN TITULADA'!O709,"AAAAAF367K8=")</f>
        <v>#VALUE!</v>
      </c>
      <c r="FU104" t="e">
        <f>AND('PROG FORMACIÓN TITULADA'!P709,"AAAAAF367LA=")</f>
        <v>#VALUE!</v>
      </c>
      <c r="FV104" t="e">
        <f>AND('PROG FORMACIÓN TITULADA'!Q709,"AAAAAF367LE=")</f>
        <v>#VALUE!</v>
      </c>
      <c r="FW104" t="e">
        <f>AND('PROG FORMACIÓN TITULADA'!R709,"AAAAAF367LI=")</f>
        <v>#VALUE!</v>
      </c>
      <c r="FX104" t="e">
        <f>AND('PROG FORMACIÓN TITULADA'!S709,"AAAAAF367LM=")</f>
        <v>#VALUE!</v>
      </c>
      <c r="FY104" t="e">
        <f>AND('PROG FORMACIÓN TITULADA'!T709,"AAAAAF367LQ=")</f>
        <v>#VALUE!</v>
      </c>
      <c r="FZ104" t="e">
        <f>AND('PROG FORMACIÓN TITULADA'!U709,"AAAAAF367LU=")</f>
        <v>#VALUE!</v>
      </c>
      <c r="GA104" t="e">
        <f>AND('PROG FORMACIÓN TITULADA'!V709,"AAAAAF367LY=")</f>
        <v>#VALUE!</v>
      </c>
      <c r="GB104" t="e">
        <f>AND('PROG FORMACIÓN TITULADA'!W709,"AAAAAF367Lc=")</f>
        <v>#VALUE!</v>
      </c>
      <c r="GC104" t="e">
        <f>AND('PROG FORMACIÓN TITULADA'!X709,"AAAAAF367Lg=")</f>
        <v>#VALUE!</v>
      </c>
      <c r="GD104" t="e">
        <f>AND('PROG FORMACIÓN TITULADA'!Y709,"AAAAAF367Lk=")</f>
        <v>#VALUE!</v>
      </c>
      <c r="GE104" t="e">
        <f>AND('PROG FORMACIÓN TITULADA'!Z709,"AAAAAF367Lo=")</f>
        <v>#VALUE!</v>
      </c>
      <c r="GF104">
        <f>IF('PROG FORMACIÓN TITULADA'!710:710,"AAAAAF367Ls=",0)</f>
        <v>0</v>
      </c>
      <c r="GG104" t="e">
        <f>AND('PROG FORMACIÓN TITULADA'!A710,"AAAAAF367Lw=")</f>
        <v>#VALUE!</v>
      </c>
      <c r="GH104" t="e">
        <f>AND('PROG FORMACIÓN TITULADA'!B710,"AAAAAF367L0=")</f>
        <v>#VALUE!</v>
      </c>
      <c r="GI104" t="e">
        <f>AND('PROG FORMACIÓN TITULADA'!C710,"AAAAAF367L4=")</f>
        <v>#VALUE!</v>
      </c>
      <c r="GJ104" t="e">
        <f>AND('PROG FORMACIÓN TITULADA'!D710,"AAAAAF367L8=")</f>
        <v>#VALUE!</v>
      </c>
      <c r="GK104" t="e">
        <f>AND('PROG FORMACIÓN TITULADA'!E710,"AAAAAF367MA=")</f>
        <v>#VALUE!</v>
      </c>
      <c r="GL104" t="e">
        <f>AND('PROG FORMACIÓN TITULADA'!F710,"AAAAAF367ME=")</f>
        <v>#VALUE!</v>
      </c>
      <c r="GM104" t="e">
        <f>AND('PROG FORMACIÓN TITULADA'!G710,"AAAAAF367MI=")</f>
        <v>#VALUE!</v>
      </c>
      <c r="GN104" t="e">
        <f>AND('PROG FORMACIÓN TITULADA'!H710,"AAAAAF367MM=")</f>
        <v>#VALUE!</v>
      </c>
      <c r="GO104" t="e">
        <f>AND('PROG FORMACIÓN TITULADA'!I710,"AAAAAF367MQ=")</f>
        <v>#VALUE!</v>
      </c>
      <c r="GP104" t="e">
        <f>AND('PROG FORMACIÓN TITULADA'!J710,"AAAAAF367MU=")</f>
        <v>#VALUE!</v>
      </c>
      <c r="GQ104" t="e">
        <f>AND('PROG FORMACIÓN TITULADA'!K710,"AAAAAF367MY=")</f>
        <v>#VALUE!</v>
      </c>
      <c r="GR104" t="e">
        <f>AND('PROG FORMACIÓN TITULADA'!L710,"AAAAAF367Mc=")</f>
        <v>#VALUE!</v>
      </c>
      <c r="GS104" t="e">
        <f>AND('PROG FORMACIÓN TITULADA'!M710,"AAAAAF367Mg=")</f>
        <v>#VALUE!</v>
      </c>
      <c r="GT104" t="e">
        <f>AND('PROG FORMACIÓN TITULADA'!N710,"AAAAAF367Mk=")</f>
        <v>#VALUE!</v>
      </c>
      <c r="GU104" t="e">
        <f>AND('PROG FORMACIÓN TITULADA'!O710,"AAAAAF367Mo=")</f>
        <v>#VALUE!</v>
      </c>
      <c r="GV104" t="e">
        <f>AND('PROG FORMACIÓN TITULADA'!P710,"AAAAAF367Ms=")</f>
        <v>#VALUE!</v>
      </c>
      <c r="GW104" t="e">
        <f>AND('PROG FORMACIÓN TITULADA'!Q710,"AAAAAF367Mw=")</f>
        <v>#VALUE!</v>
      </c>
      <c r="GX104" t="e">
        <f>AND('PROG FORMACIÓN TITULADA'!R710,"AAAAAF367M0=")</f>
        <v>#VALUE!</v>
      </c>
      <c r="GY104" t="e">
        <f>AND('PROG FORMACIÓN TITULADA'!S710,"AAAAAF367M4=")</f>
        <v>#VALUE!</v>
      </c>
      <c r="GZ104" t="e">
        <f>AND('PROG FORMACIÓN TITULADA'!T710,"AAAAAF367M8=")</f>
        <v>#VALUE!</v>
      </c>
      <c r="HA104" t="e">
        <f>AND('PROG FORMACIÓN TITULADA'!U710,"AAAAAF367NA=")</f>
        <v>#VALUE!</v>
      </c>
      <c r="HB104" t="e">
        <f>AND('PROG FORMACIÓN TITULADA'!V710,"AAAAAF367NE=")</f>
        <v>#VALUE!</v>
      </c>
      <c r="HC104" t="e">
        <f>AND('PROG FORMACIÓN TITULADA'!W710,"AAAAAF367NI=")</f>
        <v>#VALUE!</v>
      </c>
      <c r="HD104" t="e">
        <f>AND('PROG FORMACIÓN TITULADA'!X710,"AAAAAF367NM=")</f>
        <v>#VALUE!</v>
      </c>
      <c r="HE104" t="e">
        <f>AND('PROG FORMACIÓN TITULADA'!Y710,"AAAAAF367NQ=")</f>
        <v>#VALUE!</v>
      </c>
      <c r="HF104" t="e">
        <f>AND('PROG FORMACIÓN TITULADA'!Z710,"AAAAAF367NU=")</f>
        <v>#VALUE!</v>
      </c>
      <c r="HG104">
        <f>IF('PROG FORMACIÓN TITULADA'!711:711,"AAAAAF367NY=",0)</f>
        <v>0</v>
      </c>
      <c r="HH104" t="e">
        <f>AND('PROG FORMACIÓN TITULADA'!A711,"AAAAAF367Nc=")</f>
        <v>#VALUE!</v>
      </c>
      <c r="HI104" t="e">
        <f>AND('PROG FORMACIÓN TITULADA'!B711,"AAAAAF367Ng=")</f>
        <v>#VALUE!</v>
      </c>
      <c r="HJ104" t="e">
        <f>AND('PROG FORMACIÓN TITULADA'!C711,"AAAAAF367Nk=")</f>
        <v>#VALUE!</v>
      </c>
      <c r="HK104" t="e">
        <f>AND('PROG FORMACIÓN TITULADA'!D711,"AAAAAF367No=")</f>
        <v>#VALUE!</v>
      </c>
      <c r="HL104" t="e">
        <f>AND('PROG FORMACIÓN TITULADA'!E711,"AAAAAF367Ns=")</f>
        <v>#VALUE!</v>
      </c>
      <c r="HM104" t="e">
        <f>AND('PROG FORMACIÓN TITULADA'!F711,"AAAAAF367Nw=")</f>
        <v>#VALUE!</v>
      </c>
      <c r="HN104" t="e">
        <f>AND('PROG FORMACIÓN TITULADA'!G711,"AAAAAF367N0=")</f>
        <v>#VALUE!</v>
      </c>
      <c r="HO104" t="e">
        <f>AND('PROG FORMACIÓN TITULADA'!H711,"AAAAAF367N4=")</f>
        <v>#VALUE!</v>
      </c>
      <c r="HP104" t="e">
        <f>AND('PROG FORMACIÓN TITULADA'!I711,"AAAAAF367N8=")</f>
        <v>#VALUE!</v>
      </c>
      <c r="HQ104" t="e">
        <f>AND('PROG FORMACIÓN TITULADA'!J711,"AAAAAF367OA=")</f>
        <v>#VALUE!</v>
      </c>
      <c r="HR104" t="e">
        <f>AND('PROG FORMACIÓN TITULADA'!K711,"AAAAAF367OE=")</f>
        <v>#VALUE!</v>
      </c>
      <c r="HS104" t="e">
        <f>AND('PROG FORMACIÓN TITULADA'!L711,"AAAAAF367OI=")</f>
        <v>#VALUE!</v>
      </c>
      <c r="HT104" t="e">
        <f>AND('PROG FORMACIÓN TITULADA'!M711,"AAAAAF367OM=")</f>
        <v>#VALUE!</v>
      </c>
      <c r="HU104" t="e">
        <f>AND('PROG FORMACIÓN TITULADA'!N711,"AAAAAF367OQ=")</f>
        <v>#VALUE!</v>
      </c>
      <c r="HV104" t="e">
        <f>AND('PROG FORMACIÓN TITULADA'!O711,"AAAAAF367OU=")</f>
        <v>#VALUE!</v>
      </c>
      <c r="HW104" t="e">
        <f>AND('PROG FORMACIÓN TITULADA'!P711,"AAAAAF367OY=")</f>
        <v>#VALUE!</v>
      </c>
      <c r="HX104" t="e">
        <f>AND('PROG FORMACIÓN TITULADA'!Q711,"AAAAAF367Oc=")</f>
        <v>#VALUE!</v>
      </c>
      <c r="HY104" t="e">
        <f>AND('PROG FORMACIÓN TITULADA'!R711,"AAAAAF367Og=")</f>
        <v>#VALUE!</v>
      </c>
      <c r="HZ104" t="e">
        <f>AND('PROG FORMACIÓN TITULADA'!S711,"AAAAAF367Ok=")</f>
        <v>#VALUE!</v>
      </c>
      <c r="IA104" t="e">
        <f>AND('PROG FORMACIÓN TITULADA'!T711,"AAAAAF367Oo=")</f>
        <v>#VALUE!</v>
      </c>
      <c r="IB104" t="e">
        <f>AND('PROG FORMACIÓN TITULADA'!U711,"AAAAAF367Os=")</f>
        <v>#VALUE!</v>
      </c>
      <c r="IC104" t="e">
        <f>AND('PROG FORMACIÓN TITULADA'!V711,"AAAAAF367Ow=")</f>
        <v>#VALUE!</v>
      </c>
      <c r="ID104" t="e">
        <f>AND('PROG FORMACIÓN TITULADA'!W711,"AAAAAF367O0=")</f>
        <v>#VALUE!</v>
      </c>
      <c r="IE104" t="e">
        <f>AND('PROG FORMACIÓN TITULADA'!X711,"AAAAAF367O4=")</f>
        <v>#VALUE!</v>
      </c>
      <c r="IF104" t="e">
        <f>AND('PROG FORMACIÓN TITULADA'!Y711,"AAAAAF367O8=")</f>
        <v>#VALUE!</v>
      </c>
      <c r="IG104" t="e">
        <f>AND('PROG FORMACIÓN TITULADA'!Z711,"AAAAAF367PA=")</f>
        <v>#VALUE!</v>
      </c>
      <c r="IH104">
        <f>IF('PROG FORMACIÓN TITULADA'!712:712,"AAAAAF367PE=",0)</f>
        <v>0</v>
      </c>
      <c r="II104" t="e">
        <f>AND('PROG FORMACIÓN TITULADA'!A712,"AAAAAF367PI=")</f>
        <v>#VALUE!</v>
      </c>
      <c r="IJ104" t="e">
        <f>AND('PROG FORMACIÓN TITULADA'!B712,"AAAAAF367PM=")</f>
        <v>#VALUE!</v>
      </c>
      <c r="IK104" t="e">
        <f>AND('PROG FORMACIÓN TITULADA'!C712,"AAAAAF367PQ=")</f>
        <v>#VALUE!</v>
      </c>
      <c r="IL104" t="e">
        <f>AND('PROG FORMACIÓN TITULADA'!D712,"AAAAAF367PU=")</f>
        <v>#VALUE!</v>
      </c>
      <c r="IM104" t="e">
        <f>AND('PROG FORMACIÓN TITULADA'!E712,"AAAAAF367PY=")</f>
        <v>#VALUE!</v>
      </c>
      <c r="IN104" t="e">
        <f>AND('PROG FORMACIÓN TITULADA'!F712,"AAAAAF367Pc=")</f>
        <v>#VALUE!</v>
      </c>
      <c r="IO104" t="e">
        <f>AND('PROG FORMACIÓN TITULADA'!G712,"AAAAAF367Pg=")</f>
        <v>#VALUE!</v>
      </c>
      <c r="IP104" t="e">
        <f>AND('PROG FORMACIÓN TITULADA'!H712,"AAAAAF367Pk=")</f>
        <v>#VALUE!</v>
      </c>
      <c r="IQ104" t="e">
        <f>AND('PROG FORMACIÓN TITULADA'!I712,"AAAAAF367Po=")</f>
        <v>#VALUE!</v>
      </c>
      <c r="IR104" t="e">
        <f>AND('PROG FORMACIÓN TITULADA'!J712,"AAAAAF367Ps=")</f>
        <v>#VALUE!</v>
      </c>
      <c r="IS104" t="e">
        <f>AND('PROG FORMACIÓN TITULADA'!K712,"AAAAAF367Pw=")</f>
        <v>#VALUE!</v>
      </c>
      <c r="IT104" t="e">
        <f>AND('PROG FORMACIÓN TITULADA'!L712,"AAAAAF367P0=")</f>
        <v>#VALUE!</v>
      </c>
      <c r="IU104" t="e">
        <f>AND('PROG FORMACIÓN TITULADA'!M712,"AAAAAF367P4=")</f>
        <v>#VALUE!</v>
      </c>
      <c r="IV104" t="e">
        <f>AND('PROG FORMACIÓN TITULADA'!N712,"AAAAAF367P8=")</f>
        <v>#VALUE!</v>
      </c>
    </row>
    <row r="105" spans="1:256" x14ac:dyDescent="0.2">
      <c r="A105" t="e">
        <f>AND('PROG FORMACIÓN TITULADA'!O712,"AAAAAH9f9wA=")</f>
        <v>#VALUE!</v>
      </c>
      <c r="B105" t="e">
        <f>AND('PROG FORMACIÓN TITULADA'!P712,"AAAAAH9f9wE=")</f>
        <v>#VALUE!</v>
      </c>
      <c r="C105" t="e">
        <f>AND('PROG FORMACIÓN TITULADA'!Q712,"AAAAAH9f9wI=")</f>
        <v>#VALUE!</v>
      </c>
      <c r="D105" t="e">
        <f>AND('PROG FORMACIÓN TITULADA'!R712,"AAAAAH9f9wM=")</f>
        <v>#VALUE!</v>
      </c>
      <c r="E105" t="e">
        <f>AND('PROG FORMACIÓN TITULADA'!S712,"AAAAAH9f9wQ=")</f>
        <v>#VALUE!</v>
      </c>
      <c r="F105" t="e">
        <f>AND('PROG FORMACIÓN TITULADA'!T712,"AAAAAH9f9wU=")</f>
        <v>#VALUE!</v>
      </c>
      <c r="G105" t="e">
        <f>AND('PROG FORMACIÓN TITULADA'!U712,"AAAAAH9f9wY=")</f>
        <v>#VALUE!</v>
      </c>
      <c r="H105" t="e">
        <f>AND('PROG FORMACIÓN TITULADA'!V712,"AAAAAH9f9wc=")</f>
        <v>#VALUE!</v>
      </c>
      <c r="I105" t="e">
        <f>AND('PROG FORMACIÓN TITULADA'!W712,"AAAAAH9f9wg=")</f>
        <v>#VALUE!</v>
      </c>
      <c r="J105" t="e">
        <f>AND('PROG FORMACIÓN TITULADA'!X712,"AAAAAH9f9wk=")</f>
        <v>#VALUE!</v>
      </c>
      <c r="K105" t="e">
        <f>AND('PROG FORMACIÓN TITULADA'!Y712,"AAAAAH9f9wo=")</f>
        <v>#VALUE!</v>
      </c>
      <c r="L105" t="e">
        <f>AND('PROG FORMACIÓN TITULADA'!Z712,"AAAAAH9f9ws=")</f>
        <v>#VALUE!</v>
      </c>
      <c r="M105">
        <f>IF('PROG FORMACIÓN TITULADA'!713:713,"AAAAAH9f9ww=",0)</f>
        <v>0</v>
      </c>
      <c r="N105" t="e">
        <f>AND('PROG FORMACIÓN TITULADA'!A713,"AAAAAH9f9w0=")</f>
        <v>#VALUE!</v>
      </c>
      <c r="O105" t="e">
        <f>AND('PROG FORMACIÓN TITULADA'!B713,"AAAAAH9f9w4=")</f>
        <v>#VALUE!</v>
      </c>
      <c r="P105" t="e">
        <f>AND('PROG FORMACIÓN TITULADA'!C713,"AAAAAH9f9w8=")</f>
        <v>#VALUE!</v>
      </c>
      <c r="Q105" t="e">
        <f>AND('PROG FORMACIÓN TITULADA'!D713,"AAAAAH9f9xA=")</f>
        <v>#VALUE!</v>
      </c>
      <c r="R105" t="e">
        <f>AND('PROG FORMACIÓN TITULADA'!E713,"AAAAAH9f9xE=")</f>
        <v>#VALUE!</v>
      </c>
      <c r="S105" t="e">
        <f>AND('PROG FORMACIÓN TITULADA'!F713,"AAAAAH9f9xI=")</f>
        <v>#VALUE!</v>
      </c>
      <c r="T105" t="e">
        <f>AND('PROG FORMACIÓN TITULADA'!G713,"AAAAAH9f9xM=")</f>
        <v>#VALUE!</v>
      </c>
      <c r="U105" t="e">
        <f>AND('PROG FORMACIÓN TITULADA'!H713,"AAAAAH9f9xQ=")</f>
        <v>#VALUE!</v>
      </c>
      <c r="V105" t="e">
        <f>AND('PROG FORMACIÓN TITULADA'!I713,"AAAAAH9f9xU=")</f>
        <v>#VALUE!</v>
      </c>
      <c r="W105" t="e">
        <f>AND('PROG FORMACIÓN TITULADA'!J713,"AAAAAH9f9xY=")</f>
        <v>#VALUE!</v>
      </c>
      <c r="X105" t="e">
        <f>AND('PROG FORMACIÓN TITULADA'!K713,"AAAAAH9f9xc=")</f>
        <v>#VALUE!</v>
      </c>
      <c r="Y105" t="e">
        <f>AND('PROG FORMACIÓN TITULADA'!L713,"AAAAAH9f9xg=")</f>
        <v>#VALUE!</v>
      </c>
      <c r="Z105" t="e">
        <f>AND('PROG FORMACIÓN TITULADA'!M713,"AAAAAH9f9xk=")</f>
        <v>#VALUE!</v>
      </c>
      <c r="AA105" t="e">
        <f>AND('PROG FORMACIÓN TITULADA'!N713,"AAAAAH9f9xo=")</f>
        <v>#VALUE!</v>
      </c>
      <c r="AB105" t="e">
        <f>AND('PROG FORMACIÓN TITULADA'!O713,"AAAAAH9f9xs=")</f>
        <v>#VALUE!</v>
      </c>
      <c r="AC105" t="e">
        <f>AND('PROG FORMACIÓN TITULADA'!P713,"AAAAAH9f9xw=")</f>
        <v>#VALUE!</v>
      </c>
      <c r="AD105" t="e">
        <f>AND('PROG FORMACIÓN TITULADA'!Q713,"AAAAAH9f9x0=")</f>
        <v>#VALUE!</v>
      </c>
      <c r="AE105" t="e">
        <f>AND('PROG FORMACIÓN TITULADA'!R713,"AAAAAH9f9x4=")</f>
        <v>#VALUE!</v>
      </c>
      <c r="AF105" t="e">
        <f>AND('PROG FORMACIÓN TITULADA'!S713,"AAAAAH9f9x8=")</f>
        <v>#VALUE!</v>
      </c>
      <c r="AG105" t="e">
        <f>AND('PROG FORMACIÓN TITULADA'!T713,"AAAAAH9f9yA=")</f>
        <v>#VALUE!</v>
      </c>
      <c r="AH105" t="e">
        <f>AND('PROG FORMACIÓN TITULADA'!U713,"AAAAAH9f9yE=")</f>
        <v>#VALUE!</v>
      </c>
      <c r="AI105" t="e">
        <f>AND('PROG FORMACIÓN TITULADA'!V713,"AAAAAH9f9yI=")</f>
        <v>#VALUE!</v>
      </c>
      <c r="AJ105" t="e">
        <f>AND('PROG FORMACIÓN TITULADA'!W713,"AAAAAH9f9yM=")</f>
        <v>#VALUE!</v>
      </c>
      <c r="AK105" t="e">
        <f>AND('PROG FORMACIÓN TITULADA'!X713,"AAAAAH9f9yQ=")</f>
        <v>#VALUE!</v>
      </c>
      <c r="AL105" t="e">
        <f>AND('PROG FORMACIÓN TITULADA'!Y713,"AAAAAH9f9yU=")</f>
        <v>#VALUE!</v>
      </c>
      <c r="AM105" t="e">
        <f>AND('PROG FORMACIÓN TITULADA'!Z713,"AAAAAH9f9yY=")</f>
        <v>#VALUE!</v>
      </c>
      <c r="AN105">
        <f>IF('PROG FORMACIÓN TITULADA'!714:714,"AAAAAH9f9yc=",0)</f>
        <v>0</v>
      </c>
      <c r="AO105" t="e">
        <f>AND('PROG FORMACIÓN TITULADA'!A714,"AAAAAH9f9yg=")</f>
        <v>#VALUE!</v>
      </c>
      <c r="AP105" t="e">
        <f>AND('PROG FORMACIÓN TITULADA'!B714,"AAAAAH9f9yk=")</f>
        <v>#VALUE!</v>
      </c>
      <c r="AQ105" t="e">
        <f>AND('PROG FORMACIÓN TITULADA'!C714,"AAAAAH9f9yo=")</f>
        <v>#VALUE!</v>
      </c>
      <c r="AR105" t="e">
        <f>AND('PROG FORMACIÓN TITULADA'!D714,"AAAAAH9f9ys=")</f>
        <v>#VALUE!</v>
      </c>
      <c r="AS105" t="e">
        <f>AND('PROG FORMACIÓN TITULADA'!E714,"AAAAAH9f9yw=")</f>
        <v>#VALUE!</v>
      </c>
      <c r="AT105" t="e">
        <f>AND('PROG FORMACIÓN TITULADA'!F714,"AAAAAH9f9y0=")</f>
        <v>#VALUE!</v>
      </c>
      <c r="AU105" t="e">
        <f>AND('PROG FORMACIÓN TITULADA'!G714,"AAAAAH9f9y4=")</f>
        <v>#VALUE!</v>
      </c>
      <c r="AV105" t="e">
        <f>AND('PROG FORMACIÓN TITULADA'!H714,"AAAAAH9f9y8=")</f>
        <v>#VALUE!</v>
      </c>
      <c r="AW105" t="e">
        <f>AND('PROG FORMACIÓN TITULADA'!I714,"AAAAAH9f9zA=")</f>
        <v>#VALUE!</v>
      </c>
      <c r="AX105" t="e">
        <f>AND('PROG FORMACIÓN TITULADA'!J714,"AAAAAH9f9zE=")</f>
        <v>#VALUE!</v>
      </c>
      <c r="AY105" t="e">
        <f>AND('PROG FORMACIÓN TITULADA'!K714,"AAAAAH9f9zI=")</f>
        <v>#VALUE!</v>
      </c>
      <c r="AZ105" t="e">
        <f>AND('PROG FORMACIÓN TITULADA'!L714,"AAAAAH9f9zM=")</f>
        <v>#VALUE!</v>
      </c>
      <c r="BA105" t="e">
        <f>AND('PROG FORMACIÓN TITULADA'!M714,"AAAAAH9f9zQ=")</f>
        <v>#VALUE!</v>
      </c>
      <c r="BB105" t="e">
        <f>AND('PROG FORMACIÓN TITULADA'!N714,"AAAAAH9f9zU=")</f>
        <v>#VALUE!</v>
      </c>
      <c r="BC105" t="e">
        <f>AND('PROG FORMACIÓN TITULADA'!O714,"AAAAAH9f9zY=")</f>
        <v>#VALUE!</v>
      </c>
      <c r="BD105" t="e">
        <f>AND('PROG FORMACIÓN TITULADA'!P714,"AAAAAH9f9zc=")</f>
        <v>#VALUE!</v>
      </c>
      <c r="BE105" t="e">
        <f>AND('PROG FORMACIÓN TITULADA'!Q714,"AAAAAH9f9zg=")</f>
        <v>#VALUE!</v>
      </c>
      <c r="BF105" t="e">
        <f>AND('PROG FORMACIÓN TITULADA'!R714,"AAAAAH9f9zk=")</f>
        <v>#VALUE!</v>
      </c>
      <c r="BG105" t="e">
        <f>AND('PROG FORMACIÓN TITULADA'!S714,"AAAAAH9f9zo=")</f>
        <v>#VALUE!</v>
      </c>
      <c r="BH105" t="e">
        <f>AND('PROG FORMACIÓN TITULADA'!T714,"AAAAAH9f9zs=")</f>
        <v>#VALUE!</v>
      </c>
      <c r="BI105" t="e">
        <f>AND('PROG FORMACIÓN TITULADA'!U714,"AAAAAH9f9zw=")</f>
        <v>#VALUE!</v>
      </c>
      <c r="BJ105" t="e">
        <f>AND('PROG FORMACIÓN TITULADA'!V714,"AAAAAH9f9z0=")</f>
        <v>#VALUE!</v>
      </c>
      <c r="BK105" t="e">
        <f>AND('PROG FORMACIÓN TITULADA'!W714,"AAAAAH9f9z4=")</f>
        <v>#VALUE!</v>
      </c>
      <c r="BL105" t="e">
        <f>AND('PROG FORMACIÓN TITULADA'!X714,"AAAAAH9f9z8=")</f>
        <v>#VALUE!</v>
      </c>
      <c r="BM105" t="e">
        <f>AND('PROG FORMACIÓN TITULADA'!Y714,"AAAAAH9f90A=")</f>
        <v>#VALUE!</v>
      </c>
      <c r="BN105" t="e">
        <f>AND('PROG FORMACIÓN TITULADA'!Z714,"AAAAAH9f90E=")</f>
        <v>#VALUE!</v>
      </c>
      <c r="BO105">
        <f>IF('PROG FORMACIÓN TITULADA'!715:715,"AAAAAH9f90I=",0)</f>
        <v>0</v>
      </c>
      <c r="BP105" t="e">
        <f>AND('PROG FORMACIÓN TITULADA'!A715,"AAAAAH9f90M=")</f>
        <v>#VALUE!</v>
      </c>
      <c r="BQ105" t="e">
        <f>AND('PROG FORMACIÓN TITULADA'!B715,"AAAAAH9f90Q=")</f>
        <v>#VALUE!</v>
      </c>
      <c r="BR105" t="e">
        <f>AND('PROG FORMACIÓN TITULADA'!C715,"AAAAAH9f90U=")</f>
        <v>#VALUE!</v>
      </c>
      <c r="BS105" t="e">
        <f>AND('PROG FORMACIÓN TITULADA'!D715,"AAAAAH9f90Y=")</f>
        <v>#VALUE!</v>
      </c>
      <c r="BT105" t="e">
        <f>AND('PROG FORMACIÓN TITULADA'!E715,"AAAAAH9f90c=")</f>
        <v>#VALUE!</v>
      </c>
      <c r="BU105" t="e">
        <f>AND('PROG FORMACIÓN TITULADA'!F715,"AAAAAH9f90g=")</f>
        <v>#VALUE!</v>
      </c>
      <c r="BV105" t="e">
        <f>AND('PROG FORMACIÓN TITULADA'!G715,"AAAAAH9f90k=")</f>
        <v>#VALUE!</v>
      </c>
      <c r="BW105" t="e">
        <f>AND('PROG FORMACIÓN TITULADA'!H715,"AAAAAH9f90o=")</f>
        <v>#VALUE!</v>
      </c>
      <c r="BX105" t="e">
        <f>AND('PROG FORMACIÓN TITULADA'!I715,"AAAAAH9f90s=")</f>
        <v>#VALUE!</v>
      </c>
      <c r="BY105" t="e">
        <f>AND('PROG FORMACIÓN TITULADA'!J715,"AAAAAH9f90w=")</f>
        <v>#VALUE!</v>
      </c>
      <c r="BZ105" t="e">
        <f>AND('PROG FORMACIÓN TITULADA'!K715,"AAAAAH9f900=")</f>
        <v>#VALUE!</v>
      </c>
      <c r="CA105" t="e">
        <f>AND('PROG FORMACIÓN TITULADA'!L715,"AAAAAH9f904=")</f>
        <v>#VALUE!</v>
      </c>
      <c r="CB105" t="e">
        <f>AND('PROG FORMACIÓN TITULADA'!M715,"AAAAAH9f908=")</f>
        <v>#VALUE!</v>
      </c>
      <c r="CC105" t="e">
        <f>AND('PROG FORMACIÓN TITULADA'!N715,"AAAAAH9f91A=")</f>
        <v>#VALUE!</v>
      </c>
      <c r="CD105" t="e">
        <f>AND('PROG FORMACIÓN TITULADA'!O715,"AAAAAH9f91E=")</f>
        <v>#VALUE!</v>
      </c>
      <c r="CE105" t="e">
        <f>AND('PROG FORMACIÓN TITULADA'!P715,"AAAAAH9f91I=")</f>
        <v>#VALUE!</v>
      </c>
      <c r="CF105" t="e">
        <f>AND('PROG FORMACIÓN TITULADA'!Q715,"AAAAAH9f91M=")</f>
        <v>#VALUE!</v>
      </c>
      <c r="CG105" t="e">
        <f>AND('PROG FORMACIÓN TITULADA'!R715,"AAAAAH9f91Q=")</f>
        <v>#VALUE!</v>
      </c>
      <c r="CH105" t="e">
        <f>AND('PROG FORMACIÓN TITULADA'!S715,"AAAAAH9f91U=")</f>
        <v>#VALUE!</v>
      </c>
      <c r="CI105" t="e">
        <f>AND('PROG FORMACIÓN TITULADA'!T715,"AAAAAH9f91Y=")</f>
        <v>#VALUE!</v>
      </c>
      <c r="CJ105" t="e">
        <f>AND('PROG FORMACIÓN TITULADA'!U715,"AAAAAH9f91c=")</f>
        <v>#VALUE!</v>
      </c>
      <c r="CK105" t="e">
        <f>AND('PROG FORMACIÓN TITULADA'!V715,"AAAAAH9f91g=")</f>
        <v>#VALUE!</v>
      </c>
      <c r="CL105" t="e">
        <f>AND('PROG FORMACIÓN TITULADA'!W715,"AAAAAH9f91k=")</f>
        <v>#VALUE!</v>
      </c>
      <c r="CM105" t="e">
        <f>AND('PROG FORMACIÓN TITULADA'!X715,"AAAAAH9f91o=")</f>
        <v>#VALUE!</v>
      </c>
      <c r="CN105" t="e">
        <f>AND('PROG FORMACIÓN TITULADA'!Y715,"AAAAAH9f91s=")</f>
        <v>#VALUE!</v>
      </c>
      <c r="CO105" t="e">
        <f>AND('PROG FORMACIÓN TITULADA'!Z715,"AAAAAH9f91w=")</f>
        <v>#VALUE!</v>
      </c>
      <c r="CP105">
        <f>IF('PROG FORMACIÓN TITULADA'!716:716,"AAAAAH9f910=",0)</f>
        <v>0</v>
      </c>
      <c r="CQ105" t="e">
        <f>AND('PROG FORMACIÓN TITULADA'!A716,"AAAAAH9f914=")</f>
        <v>#VALUE!</v>
      </c>
      <c r="CR105" t="e">
        <f>AND('PROG FORMACIÓN TITULADA'!B716,"AAAAAH9f918=")</f>
        <v>#VALUE!</v>
      </c>
      <c r="CS105" t="e">
        <f>AND('PROG FORMACIÓN TITULADA'!C716,"AAAAAH9f92A=")</f>
        <v>#VALUE!</v>
      </c>
      <c r="CT105" t="e">
        <f>AND('PROG FORMACIÓN TITULADA'!D716,"AAAAAH9f92E=")</f>
        <v>#VALUE!</v>
      </c>
      <c r="CU105" t="e">
        <f>AND('PROG FORMACIÓN TITULADA'!E716,"AAAAAH9f92I=")</f>
        <v>#VALUE!</v>
      </c>
      <c r="CV105" t="e">
        <f>AND('PROG FORMACIÓN TITULADA'!F716,"AAAAAH9f92M=")</f>
        <v>#VALUE!</v>
      </c>
      <c r="CW105" t="e">
        <f>AND('PROG FORMACIÓN TITULADA'!G716,"AAAAAH9f92Q=")</f>
        <v>#VALUE!</v>
      </c>
      <c r="CX105" t="e">
        <f>AND('PROG FORMACIÓN TITULADA'!H716,"AAAAAH9f92U=")</f>
        <v>#VALUE!</v>
      </c>
      <c r="CY105" t="e">
        <f>AND('PROG FORMACIÓN TITULADA'!I716,"AAAAAH9f92Y=")</f>
        <v>#VALUE!</v>
      </c>
      <c r="CZ105" t="e">
        <f>AND('PROG FORMACIÓN TITULADA'!J716,"AAAAAH9f92c=")</f>
        <v>#VALUE!</v>
      </c>
      <c r="DA105" t="e">
        <f>AND('PROG FORMACIÓN TITULADA'!K716,"AAAAAH9f92g=")</f>
        <v>#VALUE!</v>
      </c>
      <c r="DB105" t="e">
        <f>AND('PROG FORMACIÓN TITULADA'!L716,"AAAAAH9f92k=")</f>
        <v>#VALUE!</v>
      </c>
      <c r="DC105" t="e">
        <f>AND('PROG FORMACIÓN TITULADA'!M716,"AAAAAH9f92o=")</f>
        <v>#VALUE!</v>
      </c>
      <c r="DD105" t="e">
        <f>AND('PROG FORMACIÓN TITULADA'!N716,"AAAAAH9f92s=")</f>
        <v>#VALUE!</v>
      </c>
      <c r="DE105" t="e">
        <f>AND('PROG FORMACIÓN TITULADA'!O716,"AAAAAH9f92w=")</f>
        <v>#VALUE!</v>
      </c>
      <c r="DF105" t="e">
        <f>AND('PROG FORMACIÓN TITULADA'!P716,"AAAAAH9f920=")</f>
        <v>#VALUE!</v>
      </c>
      <c r="DG105" t="e">
        <f>AND('PROG FORMACIÓN TITULADA'!Q716,"AAAAAH9f924=")</f>
        <v>#VALUE!</v>
      </c>
      <c r="DH105" t="e">
        <f>AND('PROG FORMACIÓN TITULADA'!R716,"AAAAAH9f928=")</f>
        <v>#VALUE!</v>
      </c>
      <c r="DI105" t="e">
        <f>AND('PROG FORMACIÓN TITULADA'!S716,"AAAAAH9f93A=")</f>
        <v>#VALUE!</v>
      </c>
      <c r="DJ105" t="e">
        <f>AND('PROG FORMACIÓN TITULADA'!T716,"AAAAAH9f93E=")</f>
        <v>#VALUE!</v>
      </c>
      <c r="DK105" t="e">
        <f>AND('PROG FORMACIÓN TITULADA'!U716,"AAAAAH9f93I=")</f>
        <v>#VALUE!</v>
      </c>
      <c r="DL105" t="e">
        <f>AND('PROG FORMACIÓN TITULADA'!V716,"AAAAAH9f93M=")</f>
        <v>#VALUE!</v>
      </c>
      <c r="DM105" t="e">
        <f>AND('PROG FORMACIÓN TITULADA'!W716,"AAAAAH9f93Q=")</f>
        <v>#VALUE!</v>
      </c>
      <c r="DN105" t="e">
        <f>AND('PROG FORMACIÓN TITULADA'!X716,"AAAAAH9f93U=")</f>
        <v>#VALUE!</v>
      </c>
      <c r="DO105" t="e">
        <f>AND('PROG FORMACIÓN TITULADA'!Y716,"AAAAAH9f93Y=")</f>
        <v>#VALUE!</v>
      </c>
      <c r="DP105" t="e">
        <f>AND('PROG FORMACIÓN TITULADA'!Z716,"AAAAAH9f93c=")</f>
        <v>#VALUE!</v>
      </c>
      <c r="DQ105">
        <f>IF('PROG FORMACIÓN TITULADA'!717:717,"AAAAAH9f93g=",0)</f>
        <v>0</v>
      </c>
      <c r="DR105" t="e">
        <f>AND('PROG FORMACIÓN TITULADA'!A717,"AAAAAH9f93k=")</f>
        <v>#VALUE!</v>
      </c>
      <c r="DS105" t="e">
        <f>AND('PROG FORMACIÓN TITULADA'!B717,"AAAAAH9f93o=")</f>
        <v>#VALUE!</v>
      </c>
      <c r="DT105" t="e">
        <f>AND('PROG FORMACIÓN TITULADA'!C717,"AAAAAH9f93s=")</f>
        <v>#VALUE!</v>
      </c>
      <c r="DU105" t="e">
        <f>AND('PROG FORMACIÓN TITULADA'!D717,"AAAAAH9f93w=")</f>
        <v>#VALUE!</v>
      </c>
      <c r="DV105" t="e">
        <f>AND('PROG FORMACIÓN TITULADA'!E717,"AAAAAH9f930=")</f>
        <v>#VALUE!</v>
      </c>
      <c r="DW105" t="e">
        <f>AND('PROG FORMACIÓN TITULADA'!F717,"AAAAAH9f934=")</f>
        <v>#VALUE!</v>
      </c>
      <c r="DX105" t="e">
        <f>AND('PROG FORMACIÓN TITULADA'!G717,"AAAAAH9f938=")</f>
        <v>#VALUE!</v>
      </c>
      <c r="DY105" t="e">
        <f>AND('PROG FORMACIÓN TITULADA'!H717,"AAAAAH9f94A=")</f>
        <v>#VALUE!</v>
      </c>
      <c r="DZ105" t="e">
        <f>AND('PROG FORMACIÓN TITULADA'!I717,"AAAAAH9f94E=")</f>
        <v>#VALUE!</v>
      </c>
      <c r="EA105" t="e">
        <f>AND('PROG FORMACIÓN TITULADA'!J717,"AAAAAH9f94I=")</f>
        <v>#VALUE!</v>
      </c>
      <c r="EB105" t="e">
        <f>AND('PROG FORMACIÓN TITULADA'!K717,"AAAAAH9f94M=")</f>
        <v>#VALUE!</v>
      </c>
      <c r="EC105" t="e">
        <f>AND('PROG FORMACIÓN TITULADA'!L717,"AAAAAH9f94Q=")</f>
        <v>#VALUE!</v>
      </c>
      <c r="ED105" t="e">
        <f>AND('PROG FORMACIÓN TITULADA'!M717,"AAAAAH9f94U=")</f>
        <v>#VALUE!</v>
      </c>
      <c r="EE105" t="e">
        <f>AND('PROG FORMACIÓN TITULADA'!N717,"AAAAAH9f94Y=")</f>
        <v>#VALUE!</v>
      </c>
      <c r="EF105" t="e">
        <f>AND('PROG FORMACIÓN TITULADA'!O717,"AAAAAH9f94c=")</f>
        <v>#VALUE!</v>
      </c>
      <c r="EG105" t="e">
        <f>AND('PROG FORMACIÓN TITULADA'!P717,"AAAAAH9f94g=")</f>
        <v>#VALUE!</v>
      </c>
      <c r="EH105" t="e">
        <f>AND('PROG FORMACIÓN TITULADA'!Q717,"AAAAAH9f94k=")</f>
        <v>#VALUE!</v>
      </c>
      <c r="EI105" t="e">
        <f>AND('PROG FORMACIÓN TITULADA'!R717,"AAAAAH9f94o=")</f>
        <v>#VALUE!</v>
      </c>
      <c r="EJ105" t="e">
        <f>AND('PROG FORMACIÓN TITULADA'!S717,"AAAAAH9f94s=")</f>
        <v>#VALUE!</v>
      </c>
      <c r="EK105" t="e">
        <f>AND('PROG FORMACIÓN TITULADA'!T717,"AAAAAH9f94w=")</f>
        <v>#VALUE!</v>
      </c>
      <c r="EL105" t="e">
        <f>AND('PROG FORMACIÓN TITULADA'!U717,"AAAAAH9f940=")</f>
        <v>#VALUE!</v>
      </c>
      <c r="EM105" t="e">
        <f>AND('PROG FORMACIÓN TITULADA'!V717,"AAAAAH9f944=")</f>
        <v>#VALUE!</v>
      </c>
      <c r="EN105" t="e">
        <f>AND('PROG FORMACIÓN TITULADA'!W717,"AAAAAH9f948=")</f>
        <v>#VALUE!</v>
      </c>
      <c r="EO105" t="e">
        <f>AND('PROG FORMACIÓN TITULADA'!X717,"AAAAAH9f95A=")</f>
        <v>#VALUE!</v>
      </c>
      <c r="EP105" t="e">
        <f>AND('PROG FORMACIÓN TITULADA'!Y717,"AAAAAH9f95E=")</f>
        <v>#VALUE!</v>
      </c>
      <c r="EQ105" t="e">
        <f>AND('PROG FORMACIÓN TITULADA'!Z717,"AAAAAH9f95I=")</f>
        <v>#VALUE!</v>
      </c>
      <c r="ER105">
        <f>IF('PROG FORMACIÓN TITULADA'!718:718,"AAAAAH9f95M=",0)</f>
        <v>0</v>
      </c>
      <c r="ES105" t="e">
        <f>AND('PROG FORMACIÓN TITULADA'!A718,"AAAAAH9f95Q=")</f>
        <v>#VALUE!</v>
      </c>
      <c r="ET105" t="e">
        <f>AND('PROG FORMACIÓN TITULADA'!B718,"AAAAAH9f95U=")</f>
        <v>#VALUE!</v>
      </c>
      <c r="EU105" t="e">
        <f>AND('PROG FORMACIÓN TITULADA'!C718,"AAAAAH9f95Y=")</f>
        <v>#VALUE!</v>
      </c>
      <c r="EV105" t="e">
        <f>AND('PROG FORMACIÓN TITULADA'!D718,"AAAAAH9f95c=")</f>
        <v>#VALUE!</v>
      </c>
      <c r="EW105" t="e">
        <f>AND('PROG FORMACIÓN TITULADA'!E718,"AAAAAH9f95g=")</f>
        <v>#VALUE!</v>
      </c>
      <c r="EX105" t="e">
        <f>AND('PROG FORMACIÓN TITULADA'!F718,"AAAAAH9f95k=")</f>
        <v>#VALUE!</v>
      </c>
      <c r="EY105" t="e">
        <f>AND('PROG FORMACIÓN TITULADA'!G718,"AAAAAH9f95o=")</f>
        <v>#VALUE!</v>
      </c>
      <c r="EZ105" t="e">
        <f>AND('PROG FORMACIÓN TITULADA'!H718,"AAAAAH9f95s=")</f>
        <v>#VALUE!</v>
      </c>
      <c r="FA105" t="e">
        <f>AND('PROG FORMACIÓN TITULADA'!I718,"AAAAAH9f95w=")</f>
        <v>#VALUE!</v>
      </c>
      <c r="FB105" t="e">
        <f>AND('PROG FORMACIÓN TITULADA'!J718,"AAAAAH9f950=")</f>
        <v>#VALUE!</v>
      </c>
      <c r="FC105" t="e">
        <f>AND('PROG FORMACIÓN TITULADA'!K718,"AAAAAH9f954=")</f>
        <v>#VALUE!</v>
      </c>
      <c r="FD105" t="e">
        <f>AND('PROG FORMACIÓN TITULADA'!L718,"AAAAAH9f958=")</f>
        <v>#VALUE!</v>
      </c>
      <c r="FE105" t="e">
        <f>AND('PROG FORMACIÓN TITULADA'!M718,"AAAAAH9f96A=")</f>
        <v>#VALUE!</v>
      </c>
      <c r="FF105" t="e">
        <f>AND('PROG FORMACIÓN TITULADA'!N718,"AAAAAH9f96E=")</f>
        <v>#VALUE!</v>
      </c>
      <c r="FG105" t="e">
        <f>AND('PROG FORMACIÓN TITULADA'!O718,"AAAAAH9f96I=")</f>
        <v>#VALUE!</v>
      </c>
      <c r="FH105" t="e">
        <f>AND('PROG FORMACIÓN TITULADA'!P718,"AAAAAH9f96M=")</f>
        <v>#VALUE!</v>
      </c>
      <c r="FI105" t="e">
        <f>AND('PROG FORMACIÓN TITULADA'!Q718,"AAAAAH9f96Q=")</f>
        <v>#VALUE!</v>
      </c>
      <c r="FJ105" t="e">
        <f>AND('PROG FORMACIÓN TITULADA'!R718,"AAAAAH9f96U=")</f>
        <v>#VALUE!</v>
      </c>
      <c r="FK105" t="e">
        <f>AND('PROG FORMACIÓN TITULADA'!S718,"AAAAAH9f96Y=")</f>
        <v>#VALUE!</v>
      </c>
      <c r="FL105" t="e">
        <f>AND('PROG FORMACIÓN TITULADA'!T718,"AAAAAH9f96c=")</f>
        <v>#VALUE!</v>
      </c>
      <c r="FM105" t="e">
        <f>AND('PROG FORMACIÓN TITULADA'!U718,"AAAAAH9f96g=")</f>
        <v>#VALUE!</v>
      </c>
      <c r="FN105" t="e">
        <f>AND('PROG FORMACIÓN TITULADA'!V718,"AAAAAH9f96k=")</f>
        <v>#VALUE!</v>
      </c>
      <c r="FO105" t="e">
        <f>AND('PROG FORMACIÓN TITULADA'!W718,"AAAAAH9f96o=")</f>
        <v>#VALUE!</v>
      </c>
      <c r="FP105" t="e">
        <f>AND('PROG FORMACIÓN TITULADA'!X718,"AAAAAH9f96s=")</f>
        <v>#VALUE!</v>
      </c>
      <c r="FQ105" t="e">
        <f>AND('PROG FORMACIÓN TITULADA'!Y718,"AAAAAH9f96w=")</f>
        <v>#VALUE!</v>
      </c>
      <c r="FR105" t="e">
        <f>AND('PROG FORMACIÓN TITULADA'!Z718,"AAAAAH9f960=")</f>
        <v>#VALUE!</v>
      </c>
      <c r="FS105">
        <f>IF('PROG FORMACIÓN TITULADA'!719:719,"AAAAAH9f964=",0)</f>
        <v>0</v>
      </c>
      <c r="FT105" t="e">
        <f>AND('PROG FORMACIÓN TITULADA'!A719,"AAAAAH9f968=")</f>
        <v>#VALUE!</v>
      </c>
      <c r="FU105" t="e">
        <f>AND('PROG FORMACIÓN TITULADA'!B719,"AAAAAH9f97A=")</f>
        <v>#VALUE!</v>
      </c>
      <c r="FV105" t="e">
        <f>AND('PROG FORMACIÓN TITULADA'!C719,"AAAAAH9f97E=")</f>
        <v>#VALUE!</v>
      </c>
      <c r="FW105" t="e">
        <f>AND('PROG FORMACIÓN TITULADA'!D719,"AAAAAH9f97I=")</f>
        <v>#VALUE!</v>
      </c>
      <c r="FX105" t="e">
        <f>AND('PROG FORMACIÓN TITULADA'!E719,"AAAAAH9f97M=")</f>
        <v>#VALUE!</v>
      </c>
      <c r="FY105" t="e">
        <f>AND('PROG FORMACIÓN TITULADA'!F719,"AAAAAH9f97Q=")</f>
        <v>#VALUE!</v>
      </c>
      <c r="FZ105" t="e">
        <f>AND('PROG FORMACIÓN TITULADA'!G719,"AAAAAH9f97U=")</f>
        <v>#VALUE!</v>
      </c>
      <c r="GA105" t="e">
        <f>AND('PROG FORMACIÓN TITULADA'!H719,"AAAAAH9f97Y=")</f>
        <v>#VALUE!</v>
      </c>
      <c r="GB105" t="e">
        <f>AND('PROG FORMACIÓN TITULADA'!I719,"AAAAAH9f97c=")</f>
        <v>#VALUE!</v>
      </c>
      <c r="GC105" t="e">
        <f>AND('PROG FORMACIÓN TITULADA'!J719,"AAAAAH9f97g=")</f>
        <v>#VALUE!</v>
      </c>
      <c r="GD105" t="e">
        <f>AND('PROG FORMACIÓN TITULADA'!K719,"AAAAAH9f97k=")</f>
        <v>#VALUE!</v>
      </c>
      <c r="GE105" t="e">
        <f>AND('PROG FORMACIÓN TITULADA'!L719,"AAAAAH9f97o=")</f>
        <v>#VALUE!</v>
      </c>
      <c r="GF105" t="e">
        <f>AND('PROG FORMACIÓN TITULADA'!M719,"AAAAAH9f97s=")</f>
        <v>#VALUE!</v>
      </c>
      <c r="GG105" t="e">
        <f>AND('PROG FORMACIÓN TITULADA'!N719,"AAAAAH9f97w=")</f>
        <v>#VALUE!</v>
      </c>
      <c r="GH105" t="e">
        <f>AND('PROG FORMACIÓN TITULADA'!O719,"AAAAAH9f970=")</f>
        <v>#VALUE!</v>
      </c>
      <c r="GI105" t="e">
        <f>AND('PROG FORMACIÓN TITULADA'!P719,"AAAAAH9f974=")</f>
        <v>#VALUE!</v>
      </c>
      <c r="GJ105" t="e">
        <f>AND('PROG FORMACIÓN TITULADA'!Q719,"AAAAAH9f978=")</f>
        <v>#VALUE!</v>
      </c>
      <c r="GK105" t="e">
        <f>AND('PROG FORMACIÓN TITULADA'!R719,"AAAAAH9f98A=")</f>
        <v>#VALUE!</v>
      </c>
      <c r="GL105" t="e">
        <f>AND('PROG FORMACIÓN TITULADA'!S719,"AAAAAH9f98E=")</f>
        <v>#VALUE!</v>
      </c>
      <c r="GM105" t="e">
        <f>AND('PROG FORMACIÓN TITULADA'!T719,"AAAAAH9f98I=")</f>
        <v>#VALUE!</v>
      </c>
      <c r="GN105" t="e">
        <f>AND('PROG FORMACIÓN TITULADA'!U719,"AAAAAH9f98M=")</f>
        <v>#VALUE!</v>
      </c>
      <c r="GO105" t="e">
        <f>AND('PROG FORMACIÓN TITULADA'!V719,"AAAAAH9f98Q=")</f>
        <v>#VALUE!</v>
      </c>
      <c r="GP105" t="e">
        <f>AND('PROG FORMACIÓN TITULADA'!W719,"AAAAAH9f98U=")</f>
        <v>#VALUE!</v>
      </c>
      <c r="GQ105" t="e">
        <f>AND('PROG FORMACIÓN TITULADA'!X719,"AAAAAH9f98Y=")</f>
        <v>#VALUE!</v>
      </c>
      <c r="GR105" t="e">
        <f>AND('PROG FORMACIÓN TITULADA'!Y719,"AAAAAH9f98c=")</f>
        <v>#VALUE!</v>
      </c>
      <c r="GS105" t="e">
        <f>AND('PROG FORMACIÓN TITULADA'!Z719,"AAAAAH9f98g=")</f>
        <v>#VALUE!</v>
      </c>
      <c r="GT105">
        <f>IF('PROG FORMACIÓN TITULADA'!720:720,"AAAAAH9f98k=",0)</f>
        <v>0</v>
      </c>
      <c r="GU105" t="e">
        <f>AND('PROG FORMACIÓN TITULADA'!A720,"AAAAAH9f98o=")</f>
        <v>#VALUE!</v>
      </c>
      <c r="GV105" t="e">
        <f>AND('PROG FORMACIÓN TITULADA'!B720,"AAAAAH9f98s=")</f>
        <v>#VALUE!</v>
      </c>
      <c r="GW105" t="e">
        <f>AND('PROG FORMACIÓN TITULADA'!C720,"AAAAAH9f98w=")</f>
        <v>#VALUE!</v>
      </c>
      <c r="GX105" t="e">
        <f>AND('PROG FORMACIÓN TITULADA'!D720,"AAAAAH9f980=")</f>
        <v>#VALUE!</v>
      </c>
      <c r="GY105" t="e">
        <f>AND('PROG FORMACIÓN TITULADA'!E720,"AAAAAH9f984=")</f>
        <v>#VALUE!</v>
      </c>
      <c r="GZ105" t="e">
        <f>AND('PROG FORMACIÓN TITULADA'!F720,"AAAAAH9f988=")</f>
        <v>#VALUE!</v>
      </c>
      <c r="HA105" t="e">
        <f>AND('PROG FORMACIÓN TITULADA'!G720,"AAAAAH9f99A=")</f>
        <v>#VALUE!</v>
      </c>
      <c r="HB105" t="e">
        <f>AND('PROG FORMACIÓN TITULADA'!H720,"AAAAAH9f99E=")</f>
        <v>#VALUE!</v>
      </c>
      <c r="HC105" t="e">
        <f>AND('PROG FORMACIÓN TITULADA'!I720,"AAAAAH9f99I=")</f>
        <v>#VALUE!</v>
      </c>
      <c r="HD105" t="e">
        <f>AND('PROG FORMACIÓN TITULADA'!J720,"AAAAAH9f99M=")</f>
        <v>#VALUE!</v>
      </c>
      <c r="HE105" t="e">
        <f>AND('PROG FORMACIÓN TITULADA'!K720,"AAAAAH9f99Q=")</f>
        <v>#VALUE!</v>
      </c>
      <c r="HF105" t="e">
        <f>AND('PROG FORMACIÓN TITULADA'!L720,"AAAAAH9f99U=")</f>
        <v>#VALUE!</v>
      </c>
      <c r="HG105" t="e">
        <f>AND('PROG FORMACIÓN TITULADA'!M720,"AAAAAH9f99Y=")</f>
        <v>#VALUE!</v>
      </c>
      <c r="HH105" t="e">
        <f>AND('PROG FORMACIÓN TITULADA'!N720,"AAAAAH9f99c=")</f>
        <v>#VALUE!</v>
      </c>
      <c r="HI105" t="e">
        <f>AND('PROG FORMACIÓN TITULADA'!O720,"AAAAAH9f99g=")</f>
        <v>#VALUE!</v>
      </c>
      <c r="HJ105" t="e">
        <f>AND('PROG FORMACIÓN TITULADA'!P720,"AAAAAH9f99k=")</f>
        <v>#VALUE!</v>
      </c>
      <c r="HK105" t="e">
        <f>AND('PROG FORMACIÓN TITULADA'!Q720,"AAAAAH9f99o=")</f>
        <v>#VALUE!</v>
      </c>
      <c r="HL105" t="e">
        <f>AND('PROG FORMACIÓN TITULADA'!R720,"AAAAAH9f99s=")</f>
        <v>#VALUE!</v>
      </c>
      <c r="HM105" t="e">
        <f>AND('PROG FORMACIÓN TITULADA'!S720,"AAAAAH9f99w=")</f>
        <v>#VALUE!</v>
      </c>
      <c r="HN105" t="e">
        <f>AND('PROG FORMACIÓN TITULADA'!T720,"AAAAAH9f990=")</f>
        <v>#VALUE!</v>
      </c>
      <c r="HO105" t="e">
        <f>AND('PROG FORMACIÓN TITULADA'!U720,"AAAAAH9f994=")</f>
        <v>#VALUE!</v>
      </c>
      <c r="HP105" t="e">
        <f>AND('PROG FORMACIÓN TITULADA'!V720,"AAAAAH9f998=")</f>
        <v>#VALUE!</v>
      </c>
      <c r="HQ105" t="e">
        <f>AND('PROG FORMACIÓN TITULADA'!W720,"AAAAAH9f9+A=")</f>
        <v>#VALUE!</v>
      </c>
      <c r="HR105" t="e">
        <f>AND('PROG FORMACIÓN TITULADA'!X720,"AAAAAH9f9+E=")</f>
        <v>#VALUE!</v>
      </c>
      <c r="HS105" t="e">
        <f>AND('PROG FORMACIÓN TITULADA'!Y720,"AAAAAH9f9+I=")</f>
        <v>#VALUE!</v>
      </c>
      <c r="HT105" t="e">
        <f>AND('PROG FORMACIÓN TITULADA'!Z720,"AAAAAH9f9+M=")</f>
        <v>#VALUE!</v>
      </c>
      <c r="HU105">
        <f>IF('PROG FORMACIÓN TITULADA'!721:721,"AAAAAH9f9+Q=",0)</f>
        <v>0</v>
      </c>
      <c r="HV105" t="e">
        <f>AND('PROG FORMACIÓN TITULADA'!A721,"AAAAAH9f9+U=")</f>
        <v>#VALUE!</v>
      </c>
      <c r="HW105" t="e">
        <f>AND('PROG FORMACIÓN TITULADA'!B721,"AAAAAH9f9+Y=")</f>
        <v>#VALUE!</v>
      </c>
      <c r="HX105" t="e">
        <f>AND('PROG FORMACIÓN TITULADA'!C721,"AAAAAH9f9+c=")</f>
        <v>#VALUE!</v>
      </c>
      <c r="HY105" t="e">
        <f>AND('PROG FORMACIÓN TITULADA'!D721,"AAAAAH9f9+g=")</f>
        <v>#VALUE!</v>
      </c>
      <c r="HZ105" t="e">
        <f>AND('PROG FORMACIÓN TITULADA'!E721,"AAAAAH9f9+k=")</f>
        <v>#VALUE!</v>
      </c>
      <c r="IA105" t="e">
        <f>AND('PROG FORMACIÓN TITULADA'!F721,"AAAAAH9f9+o=")</f>
        <v>#VALUE!</v>
      </c>
      <c r="IB105" t="e">
        <f>AND('PROG FORMACIÓN TITULADA'!G721,"AAAAAH9f9+s=")</f>
        <v>#VALUE!</v>
      </c>
      <c r="IC105" t="e">
        <f>AND('PROG FORMACIÓN TITULADA'!H721,"AAAAAH9f9+w=")</f>
        <v>#VALUE!</v>
      </c>
      <c r="ID105" t="e">
        <f>AND('PROG FORMACIÓN TITULADA'!I721,"AAAAAH9f9+0=")</f>
        <v>#VALUE!</v>
      </c>
      <c r="IE105" t="e">
        <f>AND('PROG FORMACIÓN TITULADA'!J721,"AAAAAH9f9+4=")</f>
        <v>#VALUE!</v>
      </c>
      <c r="IF105" t="e">
        <f>AND('PROG FORMACIÓN TITULADA'!K721,"AAAAAH9f9+8=")</f>
        <v>#VALUE!</v>
      </c>
      <c r="IG105" t="e">
        <f>AND('PROG FORMACIÓN TITULADA'!L721,"AAAAAH9f9/A=")</f>
        <v>#VALUE!</v>
      </c>
      <c r="IH105" t="e">
        <f>AND('PROG FORMACIÓN TITULADA'!M721,"AAAAAH9f9/E=")</f>
        <v>#VALUE!</v>
      </c>
      <c r="II105" t="e">
        <f>AND('PROG FORMACIÓN TITULADA'!N721,"AAAAAH9f9/I=")</f>
        <v>#VALUE!</v>
      </c>
      <c r="IJ105" t="e">
        <f>AND('PROG FORMACIÓN TITULADA'!O721,"AAAAAH9f9/M=")</f>
        <v>#VALUE!</v>
      </c>
      <c r="IK105" t="e">
        <f>AND('PROG FORMACIÓN TITULADA'!P721,"AAAAAH9f9/Q=")</f>
        <v>#VALUE!</v>
      </c>
      <c r="IL105" t="e">
        <f>AND('PROG FORMACIÓN TITULADA'!Q721,"AAAAAH9f9/U=")</f>
        <v>#VALUE!</v>
      </c>
      <c r="IM105" t="e">
        <f>AND('PROG FORMACIÓN TITULADA'!R721,"AAAAAH9f9/Y=")</f>
        <v>#VALUE!</v>
      </c>
      <c r="IN105" t="e">
        <f>AND('PROG FORMACIÓN TITULADA'!S721,"AAAAAH9f9/c=")</f>
        <v>#VALUE!</v>
      </c>
      <c r="IO105" t="e">
        <f>AND('PROG FORMACIÓN TITULADA'!T721,"AAAAAH9f9/g=")</f>
        <v>#VALUE!</v>
      </c>
      <c r="IP105" t="e">
        <f>AND('PROG FORMACIÓN TITULADA'!U721,"AAAAAH9f9/k=")</f>
        <v>#VALUE!</v>
      </c>
      <c r="IQ105" t="e">
        <f>AND('PROG FORMACIÓN TITULADA'!V721,"AAAAAH9f9/o=")</f>
        <v>#VALUE!</v>
      </c>
      <c r="IR105" t="e">
        <f>AND('PROG FORMACIÓN TITULADA'!W721,"AAAAAH9f9/s=")</f>
        <v>#VALUE!</v>
      </c>
      <c r="IS105" t="e">
        <f>AND('PROG FORMACIÓN TITULADA'!X721,"AAAAAH9f9/w=")</f>
        <v>#VALUE!</v>
      </c>
      <c r="IT105" t="e">
        <f>AND('PROG FORMACIÓN TITULADA'!Y721,"AAAAAH9f9/0=")</f>
        <v>#VALUE!</v>
      </c>
      <c r="IU105" t="e">
        <f>AND('PROG FORMACIÓN TITULADA'!Z721,"AAAAAH9f9/4=")</f>
        <v>#VALUE!</v>
      </c>
      <c r="IV105">
        <f>IF('PROG FORMACIÓN TITULADA'!722:722,"AAAAAH9f9/8=",0)</f>
        <v>0</v>
      </c>
    </row>
    <row r="106" spans="1:256" x14ac:dyDescent="0.2">
      <c r="A106" t="e">
        <f>AND('PROG FORMACIÓN TITULADA'!A722,"AAAAAD779wA=")</f>
        <v>#VALUE!</v>
      </c>
      <c r="B106" t="e">
        <f>AND('PROG FORMACIÓN TITULADA'!B722,"AAAAAD779wE=")</f>
        <v>#VALUE!</v>
      </c>
      <c r="C106" t="e">
        <f>AND('PROG FORMACIÓN TITULADA'!C722,"AAAAAD779wI=")</f>
        <v>#VALUE!</v>
      </c>
      <c r="D106" t="e">
        <f>AND('PROG FORMACIÓN TITULADA'!D722,"AAAAAD779wM=")</f>
        <v>#VALUE!</v>
      </c>
      <c r="E106" t="e">
        <f>AND('PROG FORMACIÓN TITULADA'!E722,"AAAAAD779wQ=")</f>
        <v>#VALUE!</v>
      </c>
      <c r="F106" t="e">
        <f>AND('PROG FORMACIÓN TITULADA'!F722,"AAAAAD779wU=")</f>
        <v>#VALUE!</v>
      </c>
      <c r="G106" t="e">
        <f>AND('PROG FORMACIÓN TITULADA'!G722,"AAAAAD779wY=")</f>
        <v>#VALUE!</v>
      </c>
      <c r="H106" t="e">
        <f>AND('PROG FORMACIÓN TITULADA'!H722,"AAAAAD779wc=")</f>
        <v>#VALUE!</v>
      </c>
      <c r="I106" t="e">
        <f>AND('PROG FORMACIÓN TITULADA'!I722,"AAAAAD779wg=")</f>
        <v>#VALUE!</v>
      </c>
      <c r="J106" t="e">
        <f>AND('PROG FORMACIÓN TITULADA'!J722,"AAAAAD779wk=")</f>
        <v>#VALUE!</v>
      </c>
      <c r="K106" t="e">
        <f>AND('PROG FORMACIÓN TITULADA'!K722,"AAAAAD779wo=")</f>
        <v>#VALUE!</v>
      </c>
      <c r="L106" t="e">
        <f>AND('PROG FORMACIÓN TITULADA'!L722,"AAAAAD779ws=")</f>
        <v>#VALUE!</v>
      </c>
      <c r="M106" t="e">
        <f>AND('PROG FORMACIÓN TITULADA'!M722,"AAAAAD779ww=")</f>
        <v>#VALUE!</v>
      </c>
      <c r="N106" t="e">
        <f>AND('PROG FORMACIÓN TITULADA'!N722,"AAAAAD779w0=")</f>
        <v>#VALUE!</v>
      </c>
      <c r="O106" t="e">
        <f>AND('PROG FORMACIÓN TITULADA'!O722,"AAAAAD779w4=")</f>
        <v>#VALUE!</v>
      </c>
      <c r="P106" t="e">
        <f>AND('PROG FORMACIÓN TITULADA'!P722,"AAAAAD779w8=")</f>
        <v>#VALUE!</v>
      </c>
      <c r="Q106" t="e">
        <f>AND('PROG FORMACIÓN TITULADA'!Q722,"AAAAAD779xA=")</f>
        <v>#VALUE!</v>
      </c>
      <c r="R106" t="e">
        <f>AND('PROG FORMACIÓN TITULADA'!R722,"AAAAAD779xE=")</f>
        <v>#VALUE!</v>
      </c>
      <c r="S106" t="e">
        <f>AND('PROG FORMACIÓN TITULADA'!S722,"AAAAAD779xI=")</f>
        <v>#VALUE!</v>
      </c>
      <c r="T106" t="e">
        <f>AND('PROG FORMACIÓN TITULADA'!T722,"AAAAAD779xM=")</f>
        <v>#VALUE!</v>
      </c>
      <c r="U106" t="e">
        <f>AND('PROG FORMACIÓN TITULADA'!U722,"AAAAAD779xQ=")</f>
        <v>#VALUE!</v>
      </c>
      <c r="V106" t="e">
        <f>AND('PROG FORMACIÓN TITULADA'!V722,"AAAAAD779xU=")</f>
        <v>#VALUE!</v>
      </c>
      <c r="W106" t="e">
        <f>AND('PROG FORMACIÓN TITULADA'!W722,"AAAAAD779xY=")</f>
        <v>#VALUE!</v>
      </c>
      <c r="X106" t="e">
        <f>AND('PROG FORMACIÓN TITULADA'!X722,"AAAAAD779xc=")</f>
        <v>#VALUE!</v>
      </c>
      <c r="Y106" t="e">
        <f>AND('PROG FORMACIÓN TITULADA'!Y722,"AAAAAD779xg=")</f>
        <v>#VALUE!</v>
      </c>
      <c r="Z106" t="e">
        <f>AND('PROG FORMACIÓN TITULADA'!Z722,"AAAAAD779xk=")</f>
        <v>#VALUE!</v>
      </c>
      <c r="AA106">
        <f>IF('PROG FORMACIÓN TITULADA'!723:723,"AAAAAD779xo=",0)</f>
        <v>0</v>
      </c>
      <c r="AB106" t="e">
        <f>AND('PROG FORMACIÓN TITULADA'!A723,"AAAAAD779xs=")</f>
        <v>#VALUE!</v>
      </c>
      <c r="AC106" t="e">
        <f>AND('PROG FORMACIÓN TITULADA'!B723,"AAAAAD779xw=")</f>
        <v>#VALUE!</v>
      </c>
      <c r="AD106" t="e">
        <f>AND('PROG FORMACIÓN TITULADA'!C723,"AAAAAD779x0=")</f>
        <v>#VALUE!</v>
      </c>
      <c r="AE106" t="e">
        <f>AND('PROG FORMACIÓN TITULADA'!D723,"AAAAAD779x4=")</f>
        <v>#VALUE!</v>
      </c>
      <c r="AF106" t="e">
        <f>AND('PROG FORMACIÓN TITULADA'!E723,"AAAAAD779x8=")</f>
        <v>#VALUE!</v>
      </c>
      <c r="AG106" t="e">
        <f>AND('PROG FORMACIÓN TITULADA'!F723,"AAAAAD779yA=")</f>
        <v>#VALUE!</v>
      </c>
      <c r="AH106" t="e">
        <f>AND('PROG FORMACIÓN TITULADA'!G723,"AAAAAD779yE=")</f>
        <v>#VALUE!</v>
      </c>
      <c r="AI106" t="e">
        <f>AND('PROG FORMACIÓN TITULADA'!H723,"AAAAAD779yI=")</f>
        <v>#VALUE!</v>
      </c>
      <c r="AJ106" t="e">
        <f>AND('PROG FORMACIÓN TITULADA'!I723,"AAAAAD779yM=")</f>
        <v>#VALUE!</v>
      </c>
      <c r="AK106" t="e">
        <f>AND('PROG FORMACIÓN TITULADA'!J723,"AAAAAD779yQ=")</f>
        <v>#VALUE!</v>
      </c>
      <c r="AL106" t="e">
        <f>AND('PROG FORMACIÓN TITULADA'!K723,"AAAAAD779yU=")</f>
        <v>#VALUE!</v>
      </c>
      <c r="AM106" t="e">
        <f>AND('PROG FORMACIÓN TITULADA'!L723,"AAAAAD779yY=")</f>
        <v>#VALUE!</v>
      </c>
      <c r="AN106" t="e">
        <f>AND('PROG FORMACIÓN TITULADA'!M723,"AAAAAD779yc=")</f>
        <v>#VALUE!</v>
      </c>
      <c r="AO106" t="e">
        <f>AND('PROG FORMACIÓN TITULADA'!N723,"AAAAAD779yg=")</f>
        <v>#VALUE!</v>
      </c>
      <c r="AP106" t="e">
        <f>AND('PROG FORMACIÓN TITULADA'!O723,"AAAAAD779yk=")</f>
        <v>#VALUE!</v>
      </c>
      <c r="AQ106" t="e">
        <f>AND('PROG FORMACIÓN TITULADA'!P723,"AAAAAD779yo=")</f>
        <v>#VALUE!</v>
      </c>
      <c r="AR106" t="e">
        <f>AND('PROG FORMACIÓN TITULADA'!Q723,"AAAAAD779ys=")</f>
        <v>#VALUE!</v>
      </c>
      <c r="AS106" t="e">
        <f>AND('PROG FORMACIÓN TITULADA'!R723,"AAAAAD779yw=")</f>
        <v>#VALUE!</v>
      </c>
      <c r="AT106" t="e">
        <f>AND('PROG FORMACIÓN TITULADA'!S723,"AAAAAD779y0=")</f>
        <v>#VALUE!</v>
      </c>
      <c r="AU106" t="e">
        <f>AND('PROG FORMACIÓN TITULADA'!T723,"AAAAAD779y4=")</f>
        <v>#VALUE!</v>
      </c>
      <c r="AV106" t="e">
        <f>AND('PROG FORMACIÓN TITULADA'!U723,"AAAAAD779y8=")</f>
        <v>#VALUE!</v>
      </c>
      <c r="AW106" t="e">
        <f>AND('PROG FORMACIÓN TITULADA'!V723,"AAAAAD779zA=")</f>
        <v>#VALUE!</v>
      </c>
      <c r="AX106" t="e">
        <f>AND('PROG FORMACIÓN TITULADA'!W723,"AAAAAD779zE=")</f>
        <v>#VALUE!</v>
      </c>
      <c r="AY106" t="e">
        <f>AND('PROG FORMACIÓN TITULADA'!X723,"AAAAAD779zI=")</f>
        <v>#VALUE!</v>
      </c>
      <c r="AZ106" t="e">
        <f>AND('PROG FORMACIÓN TITULADA'!Y723,"AAAAAD779zM=")</f>
        <v>#VALUE!</v>
      </c>
      <c r="BA106" t="e">
        <f>AND('PROG FORMACIÓN TITULADA'!Z723,"AAAAAD779zQ=")</f>
        <v>#VALUE!</v>
      </c>
      <c r="BB106">
        <f>IF('PROG FORMACIÓN TITULADA'!724:724,"AAAAAD779zU=",0)</f>
        <v>0</v>
      </c>
      <c r="BC106" t="e">
        <f>AND('PROG FORMACIÓN TITULADA'!A724,"AAAAAD779zY=")</f>
        <v>#VALUE!</v>
      </c>
      <c r="BD106" t="e">
        <f>AND('PROG FORMACIÓN TITULADA'!B724,"AAAAAD779zc=")</f>
        <v>#VALUE!</v>
      </c>
      <c r="BE106" t="e">
        <f>AND('PROG FORMACIÓN TITULADA'!C724,"AAAAAD779zg=")</f>
        <v>#VALUE!</v>
      </c>
      <c r="BF106" t="e">
        <f>AND('PROG FORMACIÓN TITULADA'!D724,"AAAAAD779zk=")</f>
        <v>#VALUE!</v>
      </c>
      <c r="BG106" t="e">
        <f>AND('PROG FORMACIÓN TITULADA'!E724,"AAAAAD779zo=")</f>
        <v>#VALUE!</v>
      </c>
      <c r="BH106" t="e">
        <f>AND('PROG FORMACIÓN TITULADA'!F724,"AAAAAD779zs=")</f>
        <v>#VALUE!</v>
      </c>
      <c r="BI106" t="e">
        <f>AND('PROG FORMACIÓN TITULADA'!G724,"AAAAAD779zw=")</f>
        <v>#VALUE!</v>
      </c>
      <c r="BJ106" t="e">
        <f>AND('PROG FORMACIÓN TITULADA'!H724,"AAAAAD779z0=")</f>
        <v>#VALUE!</v>
      </c>
      <c r="BK106" t="e">
        <f>AND('PROG FORMACIÓN TITULADA'!I724,"AAAAAD779z4=")</f>
        <v>#VALUE!</v>
      </c>
      <c r="BL106" t="e">
        <f>AND('PROG FORMACIÓN TITULADA'!J724,"AAAAAD779z8=")</f>
        <v>#VALUE!</v>
      </c>
      <c r="BM106" t="e">
        <f>AND('PROG FORMACIÓN TITULADA'!K724,"AAAAAD7790A=")</f>
        <v>#VALUE!</v>
      </c>
      <c r="BN106" t="e">
        <f>AND('PROG FORMACIÓN TITULADA'!L724,"AAAAAD7790E=")</f>
        <v>#VALUE!</v>
      </c>
      <c r="BO106" t="e">
        <f>AND('PROG FORMACIÓN TITULADA'!M724,"AAAAAD7790I=")</f>
        <v>#VALUE!</v>
      </c>
      <c r="BP106" t="e">
        <f>AND('PROG FORMACIÓN TITULADA'!N724,"AAAAAD7790M=")</f>
        <v>#VALUE!</v>
      </c>
      <c r="BQ106" t="e">
        <f>AND('PROG FORMACIÓN TITULADA'!O724,"AAAAAD7790Q=")</f>
        <v>#VALUE!</v>
      </c>
      <c r="BR106" t="e">
        <f>AND('PROG FORMACIÓN TITULADA'!P724,"AAAAAD7790U=")</f>
        <v>#VALUE!</v>
      </c>
      <c r="BS106" t="e">
        <f>AND('PROG FORMACIÓN TITULADA'!Q724,"AAAAAD7790Y=")</f>
        <v>#VALUE!</v>
      </c>
      <c r="BT106" t="e">
        <f>AND('PROG FORMACIÓN TITULADA'!R724,"AAAAAD7790c=")</f>
        <v>#VALUE!</v>
      </c>
      <c r="BU106" t="e">
        <f>AND('PROG FORMACIÓN TITULADA'!S724,"AAAAAD7790g=")</f>
        <v>#VALUE!</v>
      </c>
      <c r="BV106" t="e">
        <f>AND('PROG FORMACIÓN TITULADA'!T724,"AAAAAD7790k=")</f>
        <v>#VALUE!</v>
      </c>
      <c r="BW106" t="e">
        <f>AND('PROG FORMACIÓN TITULADA'!U724,"AAAAAD7790o=")</f>
        <v>#VALUE!</v>
      </c>
      <c r="BX106" t="e">
        <f>AND('PROG FORMACIÓN TITULADA'!V724,"AAAAAD7790s=")</f>
        <v>#VALUE!</v>
      </c>
      <c r="BY106" t="e">
        <f>AND('PROG FORMACIÓN TITULADA'!W724,"AAAAAD7790w=")</f>
        <v>#VALUE!</v>
      </c>
      <c r="BZ106" t="e">
        <f>AND('PROG FORMACIÓN TITULADA'!X724,"AAAAAD77900=")</f>
        <v>#VALUE!</v>
      </c>
      <c r="CA106" t="e">
        <f>AND('PROG FORMACIÓN TITULADA'!Y724,"AAAAAD77904=")</f>
        <v>#VALUE!</v>
      </c>
      <c r="CB106" t="e">
        <f>AND('PROG FORMACIÓN TITULADA'!Z724,"AAAAAD77908=")</f>
        <v>#VALUE!</v>
      </c>
      <c r="CC106">
        <f>IF('PROG FORMACIÓN TITULADA'!725:725,"AAAAAD7791A=",0)</f>
        <v>0</v>
      </c>
      <c r="CD106" t="e">
        <f>AND('PROG FORMACIÓN TITULADA'!A725,"AAAAAD7791E=")</f>
        <v>#VALUE!</v>
      </c>
      <c r="CE106" t="e">
        <f>AND('PROG FORMACIÓN TITULADA'!B725,"AAAAAD7791I=")</f>
        <v>#VALUE!</v>
      </c>
      <c r="CF106" t="e">
        <f>AND('PROG FORMACIÓN TITULADA'!C725,"AAAAAD7791M=")</f>
        <v>#VALUE!</v>
      </c>
      <c r="CG106" t="e">
        <f>AND('PROG FORMACIÓN TITULADA'!D725,"AAAAAD7791Q=")</f>
        <v>#VALUE!</v>
      </c>
      <c r="CH106" t="e">
        <f>AND('PROG FORMACIÓN TITULADA'!E725,"AAAAAD7791U=")</f>
        <v>#VALUE!</v>
      </c>
      <c r="CI106" t="e">
        <f>AND('PROG FORMACIÓN TITULADA'!F725,"AAAAAD7791Y=")</f>
        <v>#VALUE!</v>
      </c>
      <c r="CJ106" t="e">
        <f>AND('PROG FORMACIÓN TITULADA'!G725,"AAAAAD7791c=")</f>
        <v>#VALUE!</v>
      </c>
      <c r="CK106" t="e">
        <f>AND('PROG FORMACIÓN TITULADA'!H725,"AAAAAD7791g=")</f>
        <v>#VALUE!</v>
      </c>
      <c r="CL106" t="e">
        <f>AND('PROG FORMACIÓN TITULADA'!I725,"AAAAAD7791k=")</f>
        <v>#VALUE!</v>
      </c>
      <c r="CM106" t="e">
        <f>AND('PROG FORMACIÓN TITULADA'!J725,"AAAAAD7791o=")</f>
        <v>#VALUE!</v>
      </c>
      <c r="CN106" t="e">
        <f>AND('PROG FORMACIÓN TITULADA'!K725,"AAAAAD7791s=")</f>
        <v>#VALUE!</v>
      </c>
      <c r="CO106" t="e">
        <f>AND('PROG FORMACIÓN TITULADA'!L725,"AAAAAD7791w=")</f>
        <v>#VALUE!</v>
      </c>
      <c r="CP106" t="e">
        <f>AND('PROG FORMACIÓN TITULADA'!M725,"AAAAAD77910=")</f>
        <v>#VALUE!</v>
      </c>
      <c r="CQ106" t="e">
        <f>AND('PROG FORMACIÓN TITULADA'!N725,"AAAAAD77914=")</f>
        <v>#VALUE!</v>
      </c>
      <c r="CR106" t="e">
        <f>AND('PROG FORMACIÓN TITULADA'!O725,"AAAAAD77918=")</f>
        <v>#VALUE!</v>
      </c>
      <c r="CS106" t="e">
        <f>AND('PROG FORMACIÓN TITULADA'!P725,"AAAAAD7792A=")</f>
        <v>#VALUE!</v>
      </c>
      <c r="CT106" t="e">
        <f>AND('PROG FORMACIÓN TITULADA'!Q725,"AAAAAD7792E=")</f>
        <v>#VALUE!</v>
      </c>
      <c r="CU106" t="e">
        <f>AND('PROG FORMACIÓN TITULADA'!R725,"AAAAAD7792I=")</f>
        <v>#VALUE!</v>
      </c>
      <c r="CV106" t="e">
        <f>AND('PROG FORMACIÓN TITULADA'!S725,"AAAAAD7792M=")</f>
        <v>#VALUE!</v>
      </c>
      <c r="CW106" t="e">
        <f>AND('PROG FORMACIÓN TITULADA'!T725,"AAAAAD7792Q=")</f>
        <v>#VALUE!</v>
      </c>
      <c r="CX106" t="e">
        <f>AND('PROG FORMACIÓN TITULADA'!U725,"AAAAAD7792U=")</f>
        <v>#VALUE!</v>
      </c>
      <c r="CY106" t="e">
        <f>AND('PROG FORMACIÓN TITULADA'!V725,"AAAAAD7792Y=")</f>
        <v>#VALUE!</v>
      </c>
      <c r="CZ106" t="e">
        <f>AND('PROG FORMACIÓN TITULADA'!W725,"AAAAAD7792c=")</f>
        <v>#VALUE!</v>
      </c>
      <c r="DA106" t="e">
        <f>AND('PROG FORMACIÓN TITULADA'!X725,"AAAAAD7792g=")</f>
        <v>#VALUE!</v>
      </c>
      <c r="DB106" t="e">
        <f>AND('PROG FORMACIÓN TITULADA'!Y725,"AAAAAD7792k=")</f>
        <v>#VALUE!</v>
      </c>
      <c r="DC106" t="e">
        <f>AND('PROG FORMACIÓN TITULADA'!Z725,"AAAAAD7792o=")</f>
        <v>#VALUE!</v>
      </c>
      <c r="DD106">
        <f>IF('PROG FORMACIÓN TITULADA'!726:726,"AAAAAD7792s=",0)</f>
        <v>0</v>
      </c>
      <c r="DE106" t="e">
        <f>AND('PROG FORMACIÓN TITULADA'!A726,"AAAAAD7792w=")</f>
        <v>#VALUE!</v>
      </c>
      <c r="DF106" t="e">
        <f>AND('PROG FORMACIÓN TITULADA'!B726,"AAAAAD77920=")</f>
        <v>#VALUE!</v>
      </c>
      <c r="DG106" t="e">
        <f>AND('PROG FORMACIÓN TITULADA'!C726,"AAAAAD77924=")</f>
        <v>#VALUE!</v>
      </c>
      <c r="DH106" t="e">
        <f>AND('PROG FORMACIÓN TITULADA'!D726,"AAAAAD77928=")</f>
        <v>#VALUE!</v>
      </c>
      <c r="DI106" t="e">
        <f>AND('PROG FORMACIÓN TITULADA'!E726,"AAAAAD7793A=")</f>
        <v>#VALUE!</v>
      </c>
      <c r="DJ106" t="e">
        <f>AND('PROG FORMACIÓN TITULADA'!F726,"AAAAAD7793E=")</f>
        <v>#VALUE!</v>
      </c>
      <c r="DK106" t="e">
        <f>AND('PROG FORMACIÓN TITULADA'!G726,"AAAAAD7793I=")</f>
        <v>#VALUE!</v>
      </c>
      <c r="DL106" t="e">
        <f>AND('PROG FORMACIÓN TITULADA'!H726,"AAAAAD7793M=")</f>
        <v>#VALUE!</v>
      </c>
      <c r="DM106" t="e">
        <f>AND('PROG FORMACIÓN TITULADA'!I726,"AAAAAD7793Q=")</f>
        <v>#VALUE!</v>
      </c>
      <c r="DN106" t="e">
        <f>AND('PROG FORMACIÓN TITULADA'!J726,"AAAAAD7793U=")</f>
        <v>#VALUE!</v>
      </c>
      <c r="DO106" t="e">
        <f>AND('PROG FORMACIÓN TITULADA'!K726,"AAAAAD7793Y=")</f>
        <v>#VALUE!</v>
      </c>
      <c r="DP106" t="e">
        <f>AND('PROG FORMACIÓN TITULADA'!L726,"AAAAAD7793c=")</f>
        <v>#VALUE!</v>
      </c>
      <c r="DQ106" t="e">
        <f>AND('PROG FORMACIÓN TITULADA'!M726,"AAAAAD7793g=")</f>
        <v>#VALUE!</v>
      </c>
      <c r="DR106" t="e">
        <f>AND('PROG FORMACIÓN TITULADA'!N726,"AAAAAD7793k=")</f>
        <v>#VALUE!</v>
      </c>
      <c r="DS106" t="e">
        <f>AND('PROG FORMACIÓN TITULADA'!O726,"AAAAAD7793o=")</f>
        <v>#VALUE!</v>
      </c>
      <c r="DT106" t="e">
        <f>AND('PROG FORMACIÓN TITULADA'!P726,"AAAAAD7793s=")</f>
        <v>#VALUE!</v>
      </c>
      <c r="DU106" t="e">
        <f>AND('PROG FORMACIÓN TITULADA'!Q726,"AAAAAD7793w=")</f>
        <v>#VALUE!</v>
      </c>
      <c r="DV106" t="e">
        <f>AND('PROG FORMACIÓN TITULADA'!R726,"AAAAAD77930=")</f>
        <v>#VALUE!</v>
      </c>
      <c r="DW106" t="e">
        <f>AND('PROG FORMACIÓN TITULADA'!S726,"AAAAAD77934=")</f>
        <v>#VALUE!</v>
      </c>
      <c r="DX106" t="e">
        <f>AND('PROG FORMACIÓN TITULADA'!T726,"AAAAAD77938=")</f>
        <v>#VALUE!</v>
      </c>
      <c r="DY106" t="e">
        <f>AND('PROG FORMACIÓN TITULADA'!U726,"AAAAAD7794A=")</f>
        <v>#VALUE!</v>
      </c>
      <c r="DZ106" t="e">
        <f>AND('PROG FORMACIÓN TITULADA'!V726,"AAAAAD7794E=")</f>
        <v>#VALUE!</v>
      </c>
      <c r="EA106" t="e">
        <f>AND('PROG FORMACIÓN TITULADA'!W726,"AAAAAD7794I=")</f>
        <v>#VALUE!</v>
      </c>
      <c r="EB106" t="e">
        <f>AND('PROG FORMACIÓN TITULADA'!X726,"AAAAAD7794M=")</f>
        <v>#VALUE!</v>
      </c>
      <c r="EC106" t="e">
        <f>AND('PROG FORMACIÓN TITULADA'!Y726,"AAAAAD7794Q=")</f>
        <v>#VALUE!</v>
      </c>
      <c r="ED106" t="e">
        <f>AND('PROG FORMACIÓN TITULADA'!Z726,"AAAAAD7794U=")</f>
        <v>#VALUE!</v>
      </c>
      <c r="EE106">
        <f>IF('PROG FORMACIÓN TITULADA'!727:727,"AAAAAD7794Y=",0)</f>
        <v>0</v>
      </c>
      <c r="EF106" t="e">
        <f>AND('PROG FORMACIÓN TITULADA'!A727,"AAAAAD7794c=")</f>
        <v>#VALUE!</v>
      </c>
      <c r="EG106" t="e">
        <f>AND('PROG FORMACIÓN TITULADA'!B727,"AAAAAD7794g=")</f>
        <v>#VALUE!</v>
      </c>
      <c r="EH106" t="e">
        <f>AND('PROG FORMACIÓN TITULADA'!C727,"AAAAAD7794k=")</f>
        <v>#VALUE!</v>
      </c>
      <c r="EI106" t="e">
        <f>AND('PROG FORMACIÓN TITULADA'!D727,"AAAAAD7794o=")</f>
        <v>#VALUE!</v>
      </c>
      <c r="EJ106" t="e">
        <f>AND('PROG FORMACIÓN TITULADA'!E727,"AAAAAD7794s=")</f>
        <v>#VALUE!</v>
      </c>
      <c r="EK106" t="e">
        <f>AND('PROG FORMACIÓN TITULADA'!F727,"AAAAAD7794w=")</f>
        <v>#VALUE!</v>
      </c>
      <c r="EL106" t="e">
        <f>AND('PROG FORMACIÓN TITULADA'!G727,"AAAAAD77940=")</f>
        <v>#VALUE!</v>
      </c>
      <c r="EM106" t="e">
        <f>AND('PROG FORMACIÓN TITULADA'!H727,"AAAAAD77944=")</f>
        <v>#VALUE!</v>
      </c>
      <c r="EN106" t="e">
        <f>AND('PROG FORMACIÓN TITULADA'!I727,"AAAAAD77948=")</f>
        <v>#VALUE!</v>
      </c>
      <c r="EO106" t="e">
        <f>AND('PROG FORMACIÓN TITULADA'!J727,"AAAAAD7795A=")</f>
        <v>#VALUE!</v>
      </c>
      <c r="EP106" t="e">
        <f>AND('PROG FORMACIÓN TITULADA'!K727,"AAAAAD7795E=")</f>
        <v>#VALUE!</v>
      </c>
      <c r="EQ106" t="e">
        <f>AND('PROG FORMACIÓN TITULADA'!L727,"AAAAAD7795I=")</f>
        <v>#VALUE!</v>
      </c>
      <c r="ER106" t="e">
        <f>AND('PROG FORMACIÓN TITULADA'!M727,"AAAAAD7795M=")</f>
        <v>#VALUE!</v>
      </c>
      <c r="ES106" t="e">
        <f>AND('PROG FORMACIÓN TITULADA'!N727,"AAAAAD7795Q=")</f>
        <v>#VALUE!</v>
      </c>
      <c r="ET106" t="e">
        <f>AND('PROG FORMACIÓN TITULADA'!O727,"AAAAAD7795U=")</f>
        <v>#VALUE!</v>
      </c>
      <c r="EU106" t="e">
        <f>AND('PROG FORMACIÓN TITULADA'!P727,"AAAAAD7795Y=")</f>
        <v>#VALUE!</v>
      </c>
      <c r="EV106" t="e">
        <f>AND('PROG FORMACIÓN TITULADA'!Q727,"AAAAAD7795c=")</f>
        <v>#VALUE!</v>
      </c>
      <c r="EW106" t="e">
        <f>AND('PROG FORMACIÓN TITULADA'!R727,"AAAAAD7795g=")</f>
        <v>#VALUE!</v>
      </c>
      <c r="EX106" t="e">
        <f>AND('PROG FORMACIÓN TITULADA'!S727,"AAAAAD7795k=")</f>
        <v>#VALUE!</v>
      </c>
      <c r="EY106" t="e">
        <f>AND('PROG FORMACIÓN TITULADA'!T727,"AAAAAD7795o=")</f>
        <v>#VALUE!</v>
      </c>
      <c r="EZ106" t="e">
        <f>AND('PROG FORMACIÓN TITULADA'!U727,"AAAAAD7795s=")</f>
        <v>#VALUE!</v>
      </c>
      <c r="FA106" t="e">
        <f>AND('PROG FORMACIÓN TITULADA'!V727,"AAAAAD7795w=")</f>
        <v>#VALUE!</v>
      </c>
      <c r="FB106" t="e">
        <f>AND('PROG FORMACIÓN TITULADA'!W727,"AAAAAD77950=")</f>
        <v>#VALUE!</v>
      </c>
      <c r="FC106" t="e">
        <f>AND('PROG FORMACIÓN TITULADA'!X727,"AAAAAD77954=")</f>
        <v>#VALUE!</v>
      </c>
      <c r="FD106" t="e">
        <f>AND('PROG FORMACIÓN TITULADA'!Y727,"AAAAAD77958=")</f>
        <v>#VALUE!</v>
      </c>
      <c r="FE106" t="e">
        <f>AND('PROG FORMACIÓN TITULADA'!Z727,"AAAAAD7796A=")</f>
        <v>#VALUE!</v>
      </c>
      <c r="FF106">
        <f>IF('PROG FORMACIÓN TITULADA'!728:728,"AAAAAD7796E=",0)</f>
        <v>0</v>
      </c>
      <c r="FG106" t="e">
        <f>AND('PROG FORMACIÓN TITULADA'!A728,"AAAAAD7796I=")</f>
        <v>#VALUE!</v>
      </c>
      <c r="FH106" t="e">
        <f>AND('PROG FORMACIÓN TITULADA'!B728,"AAAAAD7796M=")</f>
        <v>#VALUE!</v>
      </c>
      <c r="FI106" t="e">
        <f>AND('PROG FORMACIÓN TITULADA'!C728,"AAAAAD7796Q=")</f>
        <v>#VALUE!</v>
      </c>
      <c r="FJ106" t="e">
        <f>AND('PROG FORMACIÓN TITULADA'!D728,"AAAAAD7796U=")</f>
        <v>#VALUE!</v>
      </c>
      <c r="FK106" t="e">
        <f>AND('PROG FORMACIÓN TITULADA'!E728,"AAAAAD7796Y=")</f>
        <v>#VALUE!</v>
      </c>
      <c r="FL106" t="e">
        <f>AND('PROG FORMACIÓN TITULADA'!F728,"AAAAAD7796c=")</f>
        <v>#VALUE!</v>
      </c>
      <c r="FM106" t="e">
        <f>AND('PROG FORMACIÓN TITULADA'!G728,"AAAAAD7796g=")</f>
        <v>#VALUE!</v>
      </c>
      <c r="FN106" t="e">
        <f>AND('PROG FORMACIÓN TITULADA'!H728,"AAAAAD7796k=")</f>
        <v>#VALUE!</v>
      </c>
      <c r="FO106" t="e">
        <f>AND('PROG FORMACIÓN TITULADA'!I728,"AAAAAD7796o=")</f>
        <v>#VALUE!</v>
      </c>
      <c r="FP106" t="e">
        <f>AND('PROG FORMACIÓN TITULADA'!J728,"AAAAAD7796s=")</f>
        <v>#VALUE!</v>
      </c>
      <c r="FQ106" t="e">
        <f>AND('PROG FORMACIÓN TITULADA'!K728,"AAAAAD7796w=")</f>
        <v>#VALUE!</v>
      </c>
      <c r="FR106" t="e">
        <f>AND('PROG FORMACIÓN TITULADA'!L728,"AAAAAD77960=")</f>
        <v>#VALUE!</v>
      </c>
      <c r="FS106" t="e">
        <f>AND('PROG FORMACIÓN TITULADA'!M728,"AAAAAD77964=")</f>
        <v>#VALUE!</v>
      </c>
      <c r="FT106" t="e">
        <f>AND('PROG FORMACIÓN TITULADA'!N728,"AAAAAD77968=")</f>
        <v>#VALUE!</v>
      </c>
      <c r="FU106" t="e">
        <f>AND('PROG FORMACIÓN TITULADA'!O728,"AAAAAD7797A=")</f>
        <v>#VALUE!</v>
      </c>
      <c r="FV106" t="e">
        <f>AND('PROG FORMACIÓN TITULADA'!P728,"AAAAAD7797E=")</f>
        <v>#VALUE!</v>
      </c>
      <c r="FW106" t="e">
        <f>AND('PROG FORMACIÓN TITULADA'!Q728,"AAAAAD7797I=")</f>
        <v>#VALUE!</v>
      </c>
      <c r="FX106" t="e">
        <f>AND('PROG FORMACIÓN TITULADA'!R728,"AAAAAD7797M=")</f>
        <v>#VALUE!</v>
      </c>
      <c r="FY106" t="e">
        <f>AND('PROG FORMACIÓN TITULADA'!S728,"AAAAAD7797Q=")</f>
        <v>#VALUE!</v>
      </c>
      <c r="FZ106" t="e">
        <f>AND('PROG FORMACIÓN TITULADA'!T728,"AAAAAD7797U=")</f>
        <v>#VALUE!</v>
      </c>
      <c r="GA106" t="e">
        <f>AND('PROG FORMACIÓN TITULADA'!U728,"AAAAAD7797Y=")</f>
        <v>#VALUE!</v>
      </c>
      <c r="GB106" t="e">
        <f>AND('PROG FORMACIÓN TITULADA'!V728,"AAAAAD7797c=")</f>
        <v>#VALUE!</v>
      </c>
      <c r="GC106" t="e">
        <f>AND('PROG FORMACIÓN TITULADA'!W728,"AAAAAD7797g=")</f>
        <v>#VALUE!</v>
      </c>
      <c r="GD106" t="e">
        <f>AND('PROG FORMACIÓN TITULADA'!X728,"AAAAAD7797k=")</f>
        <v>#VALUE!</v>
      </c>
      <c r="GE106" t="e">
        <f>AND('PROG FORMACIÓN TITULADA'!Y728,"AAAAAD7797o=")</f>
        <v>#VALUE!</v>
      </c>
      <c r="GF106" t="e">
        <f>AND('PROG FORMACIÓN TITULADA'!Z728,"AAAAAD7797s=")</f>
        <v>#VALUE!</v>
      </c>
      <c r="GG106">
        <f>IF('PROG FORMACIÓN TITULADA'!729:729,"AAAAAD7797w=",0)</f>
        <v>0</v>
      </c>
      <c r="GH106" t="e">
        <f>AND('PROG FORMACIÓN TITULADA'!A729,"AAAAAD77970=")</f>
        <v>#VALUE!</v>
      </c>
      <c r="GI106" t="e">
        <f>AND('PROG FORMACIÓN TITULADA'!B729,"AAAAAD77974=")</f>
        <v>#VALUE!</v>
      </c>
      <c r="GJ106" t="e">
        <f>AND('PROG FORMACIÓN TITULADA'!C729,"AAAAAD77978=")</f>
        <v>#VALUE!</v>
      </c>
      <c r="GK106" t="e">
        <f>AND('PROG FORMACIÓN TITULADA'!D729,"AAAAAD7798A=")</f>
        <v>#VALUE!</v>
      </c>
      <c r="GL106" t="e">
        <f>AND('PROG FORMACIÓN TITULADA'!E729,"AAAAAD7798E=")</f>
        <v>#VALUE!</v>
      </c>
      <c r="GM106" t="e">
        <f>AND('PROG FORMACIÓN TITULADA'!F729,"AAAAAD7798I=")</f>
        <v>#VALUE!</v>
      </c>
      <c r="GN106" t="e">
        <f>AND('PROG FORMACIÓN TITULADA'!G729,"AAAAAD7798M=")</f>
        <v>#VALUE!</v>
      </c>
      <c r="GO106" t="e">
        <f>AND('PROG FORMACIÓN TITULADA'!H729,"AAAAAD7798Q=")</f>
        <v>#VALUE!</v>
      </c>
      <c r="GP106" t="e">
        <f>AND('PROG FORMACIÓN TITULADA'!I729,"AAAAAD7798U=")</f>
        <v>#VALUE!</v>
      </c>
      <c r="GQ106" t="e">
        <f>AND('PROG FORMACIÓN TITULADA'!J729,"AAAAAD7798Y=")</f>
        <v>#VALUE!</v>
      </c>
      <c r="GR106" t="e">
        <f>AND('PROG FORMACIÓN TITULADA'!K729,"AAAAAD7798c=")</f>
        <v>#VALUE!</v>
      </c>
      <c r="GS106" t="e">
        <f>AND('PROG FORMACIÓN TITULADA'!L729,"AAAAAD7798g=")</f>
        <v>#VALUE!</v>
      </c>
      <c r="GT106" t="e">
        <f>AND('PROG FORMACIÓN TITULADA'!M729,"AAAAAD7798k=")</f>
        <v>#VALUE!</v>
      </c>
      <c r="GU106" t="e">
        <f>AND('PROG FORMACIÓN TITULADA'!N729,"AAAAAD7798o=")</f>
        <v>#VALUE!</v>
      </c>
      <c r="GV106" t="e">
        <f>AND('PROG FORMACIÓN TITULADA'!O729,"AAAAAD7798s=")</f>
        <v>#VALUE!</v>
      </c>
      <c r="GW106" t="e">
        <f>AND('PROG FORMACIÓN TITULADA'!P729,"AAAAAD7798w=")</f>
        <v>#VALUE!</v>
      </c>
      <c r="GX106" t="e">
        <f>AND('PROG FORMACIÓN TITULADA'!Q729,"AAAAAD77980=")</f>
        <v>#VALUE!</v>
      </c>
      <c r="GY106" t="e">
        <f>AND('PROG FORMACIÓN TITULADA'!R729,"AAAAAD77984=")</f>
        <v>#VALUE!</v>
      </c>
      <c r="GZ106" t="e">
        <f>AND('PROG FORMACIÓN TITULADA'!S729,"AAAAAD77988=")</f>
        <v>#VALUE!</v>
      </c>
      <c r="HA106" t="e">
        <f>AND('PROG FORMACIÓN TITULADA'!T729,"AAAAAD7799A=")</f>
        <v>#VALUE!</v>
      </c>
      <c r="HB106" t="e">
        <f>AND('PROG FORMACIÓN TITULADA'!U729,"AAAAAD7799E=")</f>
        <v>#VALUE!</v>
      </c>
      <c r="HC106" t="e">
        <f>AND('PROG FORMACIÓN TITULADA'!V729,"AAAAAD7799I=")</f>
        <v>#VALUE!</v>
      </c>
      <c r="HD106" t="e">
        <f>AND('PROG FORMACIÓN TITULADA'!W729,"AAAAAD7799M=")</f>
        <v>#VALUE!</v>
      </c>
      <c r="HE106" t="e">
        <f>AND('PROG FORMACIÓN TITULADA'!X729,"AAAAAD7799Q=")</f>
        <v>#VALUE!</v>
      </c>
      <c r="HF106" t="e">
        <f>AND('PROG FORMACIÓN TITULADA'!Y729,"AAAAAD7799U=")</f>
        <v>#VALUE!</v>
      </c>
      <c r="HG106" t="e">
        <f>AND('PROG FORMACIÓN TITULADA'!Z729,"AAAAAD7799Y=")</f>
        <v>#VALUE!</v>
      </c>
      <c r="HH106">
        <f>IF('PROG FORMACIÓN TITULADA'!730:730,"AAAAAD7799c=",0)</f>
        <v>0</v>
      </c>
      <c r="HI106" t="e">
        <f>AND('PROG FORMACIÓN TITULADA'!A730,"AAAAAD7799g=")</f>
        <v>#VALUE!</v>
      </c>
      <c r="HJ106" t="e">
        <f>AND('PROG FORMACIÓN TITULADA'!B730,"AAAAAD7799k=")</f>
        <v>#VALUE!</v>
      </c>
      <c r="HK106" t="e">
        <f>AND('PROG FORMACIÓN TITULADA'!C730,"AAAAAD7799o=")</f>
        <v>#VALUE!</v>
      </c>
      <c r="HL106" t="e">
        <f>AND('PROG FORMACIÓN TITULADA'!D730,"AAAAAD7799s=")</f>
        <v>#VALUE!</v>
      </c>
      <c r="HM106" t="e">
        <f>AND('PROG FORMACIÓN TITULADA'!E730,"AAAAAD7799w=")</f>
        <v>#VALUE!</v>
      </c>
      <c r="HN106" t="e">
        <f>AND('PROG FORMACIÓN TITULADA'!F730,"AAAAAD77990=")</f>
        <v>#VALUE!</v>
      </c>
      <c r="HO106" t="e">
        <f>AND('PROG FORMACIÓN TITULADA'!G730,"AAAAAD77994=")</f>
        <v>#VALUE!</v>
      </c>
      <c r="HP106" t="e">
        <f>AND('PROG FORMACIÓN TITULADA'!H730,"AAAAAD77998=")</f>
        <v>#VALUE!</v>
      </c>
      <c r="HQ106" t="e">
        <f>AND('PROG FORMACIÓN TITULADA'!I730,"AAAAAD779+A=")</f>
        <v>#VALUE!</v>
      </c>
      <c r="HR106" t="e">
        <f>AND('PROG FORMACIÓN TITULADA'!J730,"AAAAAD779+E=")</f>
        <v>#VALUE!</v>
      </c>
      <c r="HS106" t="e">
        <f>AND('PROG FORMACIÓN TITULADA'!K730,"AAAAAD779+I=")</f>
        <v>#VALUE!</v>
      </c>
      <c r="HT106" t="e">
        <f>AND('PROG FORMACIÓN TITULADA'!L730,"AAAAAD779+M=")</f>
        <v>#VALUE!</v>
      </c>
      <c r="HU106" t="e">
        <f>AND('PROG FORMACIÓN TITULADA'!M730,"AAAAAD779+Q=")</f>
        <v>#VALUE!</v>
      </c>
      <c r="HV106" t="e">
        <f>AND('PROG FORMACIÓN TITULADA'!N730,"AAAAAD779+U=")</f>
        <v>#VALUE!</v>
      </c>
      <c r="HW106" t="e">
        <f>AND('PROG FORMACIÓN TITULADA'!O730,"AAAAAD779+Y=")</f>
        <v>#VALUE!</v>
      </c>
      <c r="HX106" t="e">
        <f>AND('PROG FORMACIÓN TITULADA'!P730,"AAAAAD779+c=")</f>
        <v>#VALUE!</v>
      </c>
      <c r="HY106" t="e">
        <f>AND('PROG FORMACIÓN TITULADA'!Q730,"AAAAAD779+g=")</f>
        <v>#VALUE!</v>
      </c>
      <c r="HZ106" t="e">
        <f>AND('PROG FORMACIÓN TITULADA'!R730,"AAAAAD779+k=")</f>
        <v>#VALUE!</v>
      </c>
      <c r="IA106" t="e">
        <f>AND('PROG FORMACIÓN TITULADA'!S730,"AAAAAD779+o=")</f>
        <v>#VALUE!</v>
      </c>
      <c r="IB106" t="e">
        <f>AND('PROG FORMACIÓN TITULADA'!T730,"AAAAAD779+s=")</f>
        <v>#VALUE!</v>
      </c>
      <c r="IC106" t="e">
        <f>AND('PROG FORMACIÓN TITULADA'!U730,"AAAAAD779+w=")</f>
        <v>#VALUE!</v>
      </c>
      <c r="ID106" t="e">
        <f>AND('PROG FORMACIÓN TITULADA'!V730,"AAAAAD779+0=")</f>
        <v>#VALUE!</v>
      </c>
      <c r="IE106" t="e">
        <f>AND('PROG FORMACIÓN TITULADA'!W730,"AAAAAD779+4=")</f>
        <v>#VALUE!</v>
      </c>
      <c r="IF106" t="e">
        <f>AND('PROG FORMACIÓN TITULADA'!X730,"AAAAAD779+8=")</f>
        <v>#VALUE!</v>
      </c>
      <c r="IG106" t="e">
        <f>AND('PROG FORMACIÓN TITULADA'!Y730,"AAAAAD779/A=")</f>
        <v>#VALUE!</v>
      </c>
      <c r="IH106" t="e">
        <f>AND('PROG FORMACIÓN TITULADA'!Z730,"AAAAAD779/E=")</f>
        <v>#VALUE!</v>
      </c>
      <c r="II106">
        <f>IF('PROG FORMACIÓN TITULADA'!731:731,"AAAAAD779/I=",0)</f>
        <v>0</v>
      </c>
      <c r="IJ106" t="e">
        <f>AND('PROG FORMACIÓN TITULADA'!A731,"AAAAAD779/M=")</f>
        <v>#VALUE!</v>
      </c>
      <c r="IK106" t="e">
        <f>AND('PROG FORMACIÓN TITULADA'!B731,"AAAAAD779/Q=")</f>
        <v>#VALUE!</v>
      </c>
      <c r="IL106" t="e">
        <f>AND('PROG FORMACIÓN TITULADA'!C731,"AAAAAD779/U=")</f>
        <v>#VALUE!</v>
      </c>
      <c r="IM106" t="e">
        <f>AND('PROG FORMACIÓN TITULADA'!D731,"AAAAAD779/Y=")</f>
        <v>#VALUE!</v>
      </c>
      <c r="IN106" t="e">
        <f>AND('PROG FORMACIÓN TITULADA'!E731,"AAAAAD779/c=")</f>
        <v>#VALUE!</v>
      </c>
      <c r="IO106" t="e">
        <f>AND('PROG FORMACIÓN TITULADA'!F731,"AAAAAD779/g=")</f>
        <v>#VALUE!</v>
      </c>
      <c r="IP106" t="e">
        <f>AND('PROG FORMACIÓN TITULADA'!G731,"AAAAAD779/k=")</f>
        <v>#VALUE!</v>
      </c>
      <c r="IQ106" t="e">
        <f>AND('PROG FORMACIÓN TITULADA'!H731,"AAAAAD779/o=")</f>
        <v>#VALUE!</v>
      </c>
      <c r="IR106" t="e">
        <f>AND('PROG FORMACIÓN TITULADA'!I731,"AAAAAD779/s=")</f>
        <v>#VALUE!</v>
      </c>
      <c r="IS106" t="e">
        <f>AND('PROG FORMACIÓN TITULADA'!J731,"AAAAAD779/w=")</f>
        <v>#VALUE!</v>
      </c>
      <c r="IT106" t="e">
        <f>AND('PROG FORMACIÓN TITULADA'!K731,"AAAAAD779/0=")</f>
        <v>#VALUE!</v>
      </c>
      <c r="IU106" t="e">
        <f>AND('PROG FORMACIÓN TITULADA'!L731,"AAAAAD779/4=")</f>
        <v>#VALUE!</v>
      </c>
      <c r="IV106" t="e">
        <f>AND('PROG FORMACIÓN TITULADA'!M731,"AAAAAD779/8=")</f>
        <v>#VALUE!</v>
      </c>
    </row>
    <row r="107" spans="1:256" x14ac:dyDescent="0.2">
      <c r="A107" t="e">
        <f>AND('PROG FORMACIÓN TITULADA'!N731,"AAAAAHb/PwA=")</f>
        <v>#VALUE!</v>
      </c>
      <c r="B107" t="e">
        <f>AND('PROG FORMACIÓN TITULADA'!O731,"AAAAAHb/PwE=")</f>
        <v>#VALUE!</v>
      </c>
      <c r="C107" t="e">
        <f>AND('PROG FORMACIÓN TITULADA'!P731,"AAAAAHb/PwI=")</f>
        <v>#VALUE!</v>
      </c>
      <c r="D107" t="e">
        <f>AND('PROG FORMACIÓN TITULADA'!Q731,"AAAAAHb/PwM=")</f>
        <v>#VALUE!</v>
      </c>
      <c r="E107" t="e">
        <f>AND('PROG FORMACIÓN TITULADA'!R731,"AAAAAHb/PwQ=")</f>
        <v>#VALUE!</v>
      </c>
      <c r="F107" t="e">
        <f>AND('PROG FORMACIÓN TITULADA'!S731,"AAAAAHb/PwU=")</f>
        <v>#VALUE!</v>
      </c>
      <c r="G107" t="e">
        <f>AND('PROG FORMACIÓN TITULADA'!T731,"AAAAAHb/PwY=")</f>
        <v>#VALUE!</v>
      </c>
      <c r="H107" t="e">
        <f>AND('PROG FORMACIÓN TITULADA'!U731,"AAAAAHb/Pwc=")</f>
        <v>#VALUE!</v>
      </c>
      <c r="I107" t="e">
        <f>AND('PROG FORMACIÓN TITULADA'!V731,"AAAAAHb/Pwg=")</f>
        <v>#VALUE!</v>
      </c>
      <c r="J107" t="e">
        <f>AND('PROG FORMACIÓN TITULADA'!W731,"AAAAAHb/Pwk=")</f>
        <v>#VALUE!</v>
      </c>
      <c r="K107" t="e">
        <f>AND('PROG FORMACIÓN TITULADA'!X731,"AAAAAHb/Pwo=")</f>
        <v>#VALUE!</v>
      </c>
      <c r="L107" t="e">
        <f>AND('PROG FORMACIÓN TITULADA'!Y731,"AAAAAHb/Pws=")</f>
        <v>#VALUE!</v>
      </c>
      <c r="M107" t="e">
        <f>AND('PROG FORMACIÓN TITULADA'!Z731,"AAAAAHb/Pww=")</f>
        <v>#VALUE!</v>
      </c>
      <c r="N107">
        <f>IF('PROG FORMACIÓN TITULADA'!732:732,"AAAAAHb/Pw0=",0)</f>
        <v>0</v>
      </c>
      <c r="O107" t="e">
        <f>AND('PROG FORMACIÓN TITULADA'!A732,"AAAAAHb/Pw4=")</f>
        <v>#VALUE!</v>
      </c>
      <c r="P107" t="e">
        <f>AND('PROG FORMACIÓN TITULADA'!B732,"AAAAAHb/Pw8=")</f>
        <v>#VALUE!</v>
      </c>
      <c r="Q107" t="e">
        <f>AND('PROG FORMACIÓN TITULADA'!C732,"AAAAAHb/PxA=")</f>
        <v>#VALUE!</v>
      </c>
      <c r="R107" t="e">
        <f>AND('PROG FORMACIÓN TITULADA'!D732,"AAAAAHb/PxE=")</f>
        <v>#VALUE!</v>
      </c>
      <c r="S107" t="e">
        <f>AND('PROG FORMACIÓN TITULADA'!E732,"AAAAAHb/PxI=")</f>
        <v>#VALUE!</v>
      </c>
      <c r="T107" t="e">
        <f>AND('PROG FORMACIÓN TITULADA'!F732,"AAAAAHb/PxM=")</f>
        <v>#VALUE!</v>
      </c>
      <c r="U107" t="e">
        <f>AND('PROG FORMACIÓN TITULADA'!G732,"AAAAAHb/PxQ=")</f>
        <v>#VALUE!</v>
      </c>
      <c r="V107" t="e">
        <f>AND('PROG FORMACIÓN TITULADA'!H732,"AAAAAHb/PxU=")</f>
        <v>#VALUE!</v>
      </c>
      <c r="W107" t="e">
        <f>AND('PROG FORMACIÓN TITULADA'!I732,"AAAAAHb/PxY=")</f>
        <v>#VALUE!</v>
      </c>
      <c r="X107" t="e">
        <f>AND('PROG FORMACIÓN TITULADA'!J732,"AAAAAHb/Pxc=")</f>
        <v>#VALUE!</v>
      </c>
      <c r="Y107" t="e">
        <f>AND('PROG FORMACIÓN TITULADA'!K732,"AAAAAHb/Pxg=")</f>
        <v>#VALUE!</v>
      </c>
      <c r="Z107" t="e">
        <f>AND('PROG FORMACIÓN TITULADA'!L732,"AAAAAHb/Pxk=")</f>
        <v>#VALUE!</v>
      </c>
      <c r="AA107" t="e">
        <f>AND('PROG FORMACIÓN TITULADA'!M732,"AAAAAHb/Pxo=")</f>
        <v>#VALUE!</v>
      </c>
      <c r="AB107" t="e">
        <f>AND('PROG FORMACIÓN TITULADA'!N732,"AAAAAHb/Pxs=")</f>
        <v>#VALUE!</v>
      </c>
      <c r="AC107" t="e">
        <f>AND('PROG FORMACIÓN TITULADA'!O732,"AAAAAHb/Pxw=")</f>
        <v>#VALUE!</v>
      </c>
      <c r="AD107" t="e">
        <f>AND('PROG FORMACIÓN TITULADA'!P732,"AAAAAHb/Px0=")</f>
        <v>#VALUE!</v>
      </c>
      <c r="AE107" t="e">
        <f>AND('PROG FORMACIÓN TITULADA'!Q732,"AAAAAHb/Px4=")</f>
        <v>#VALUE!</v>
      </c>
      <c r="AF107" t="e">
        <f>AND('PROG FORMACIÓN TITULADA'!R732,"AAAAAHb/Px8=")</f>
        <v>#VALUE!</v>
      </c>
      <c r="AG107" t="e">
        <f>AND('PROG FORMACIÓN TITULADA'!S732,"AAAAAHb/PyA=")</f>
        <v>#VALUE!</v>
      </c>
      <c r="AH107" t="e">
        <f>AND('PROG FORMACIÓN TITULADA'!T732,"AAAAAHb/PyE=")</f>
        <v>#VALUE!</v>
      </c>
      <c r="AI107" t="e">
        <f>AND('PROG FORMACIÓN TITULADA'!U732,"AAAAAHb/PyI=")</f>
        <v>#VALUE!</v>
      </c>
      <c r="AJ107" t="e">
        <f>AND('PROG FORMACIÓN TITULADA'!V732,"AAAAAHb/PyM=")</f>
        <v>#VALUE!</v>
      </c>
      <c r="AK107" t="e">
        <f>AND('PROG FORMACIÓN TITULADA'!W732,"AAAAAHb/PyQ=")</f>
        <v>#VALUE!</v>
      </c>
      <c r="AL107" t="e">
        <f>AND('PROG FORMACIÓN TITULADA'!X732,"AAAAAHb/PyU=")</f>
        <v>#VALUE!</v>
      </c>
      <c r="AM107" t="e">
        <f>AND('PROG FORMACIÓN TITULADA'!Y732,"AAAAAHb/PyY=")</f>
        <v>#VALUE!</v>
      </c>
      <c r="AN107" t="e">
        <f>AND('PROG FORMACIÓN TITULADA'!Z732,"AAAAAHb/Pyc=")</f>
        <v>#VALUE!</v>
      </c>
      <c r="AO107">
        <f>IF('PROG FORMACIÓN TITULADA'!733:733,"AAAAAHb/Pyg=",0)</f>
        <v>0</v>
      </c>
      <c r="AP107" t="e">
        <f>AND('PROG FORMACIÓN TITULADA'!A733,"AAAAAHb/Pyk=")</f>
        <v>#VALUE!</v>
      </c>
      <c r="AQ107" t="e">
        <f>AND('PROG FORMACIÓN TITULADA'!B733,"AAAAAHb/Pyo=")</f>
        <v>#VALUE!</v>
      </c>
      <c r="AR107" t="e">
        <f>AND('PROG FORMACIÓN TITULADA'!C733,"AAAAAHb/Pys=")</f>
        <v>#VALUE!</v>
      </c>
      <c r="AS107" t="e">
        <f>AND('PROG FORMACIÓN TITULADA'!D733,"AAAAAHb/Pyw=")</f>
        <v>#VALUE!</v>
      </c>
      <c r="AT107" t="e">
        <f>AND('PROG FORMACIÓN TITULADA'!E733,"AAAAAHb/Py0=")</f>
        <v>#VALUE!</v>
      </c>
      <c r="AU107" t="e">
        <f>AND('PROG FORMACIÓN TITULADA'!F733,"AAAAAHb/Py4=")</f>
        <v>#VALUE!</v>
      </c>
      <c r="AV107" t="e">
        <f>AND('PROG FORMACIÓN TITULADA'!G733,"AAAAAHb/Py8=")</f>
        <v>#VALUE!</v>
      </c>
      <c r="AW107" t="e">
        <f>AND('PROG FORMACIÓN TITULADA'!H733,"AAAAAHb/PzA=")</f>
        <v>#VALUE!</v>
      </c>
      <c r="AX107" t="e">
        <f>AND('PROG FORMACIÓN TITULADA'!I733,"AAAAAHb/PzE=")</f>
        <v>#VALUE!</v>
      </c>
      <c r="AY107" t="e">
        <f>AND('PROG FORMACIÓN TITULADA'!J733,"AAAAAHb/PzI=")</f>
        <v>#VALUE!</v>
      </c>
      <c r="AZ107" t="e">
        <f>AND('PROG FORMACIÓN TITULADA'!K733,"AAAAAHb/PzM=")</f>
        <v>#VALUE!</v>
      </c>
      <c r="BA107" t="e">
        <f>AND('PROG FORMACIÓN TITULADA'!L733,"AAAAAHb/PzQ=")</f>
        <v>#VALUE!</v>
      </c>
      <c r="BB107" t="e">
        <f>AND('PROG FORMACIÓN TITULADA'!M733,"AAAAAHb/PzU=")</f>
        <v>#VALUE!</v>
      </c>
      <c r="BC107" t="e">
        <f>AND('PROG FORMACIÓN TITULADA'!N733,"AAAAAHb/PzY=")</f>
        <v>#VALUE!</v>
      </c>
      <c r="BD107" t="e">
        <f>AND('PROG FORMACIÓN TITULADA'!O733,"AAAAAHb/Pzc=")</f>
        <v>#VALUE!</v>
      </c>
      <c r="BE107" t="e">
        <f>AND('PROG FORMACIÓN TITULADA'!P733,"AAAAAHb/Pzg=")</f>
        <v>#VALUE!</v>
      </c>
      <c r="BF107" t="e">
        <f>AND('PROG FORMACIÓN TITULADA'!Q733,"AAAAAHb/Pzk=")</f>
        <v>#VALUE!</v>
      </c>
      <c r="BG107" t="e">
        <f>AND('PROG FORMACIÓN TITULADA'!R733,"AAAAAHb/Pzo=")</f>
        <v>#VALUE!</v>
      </c>
      <c r="BH107" t="e">
        <f>AND('PROG FORMACIÓN TITULADA'!S733,"AAAAAHb/Pzs=")</f>
        <v>#VALUE!</v>
      </c>
      <c r="BI107" t="e">
        <f>AND('PROG FORMACIÓN TITULADA'!T733,"AAAAAHb/Pzw=")</f>
        <v>#VALUE!</v>
      </c>
      <c r="BJ107" t="e">
        <f>AND('PROG FORMACIÓN TITULADA'!U733,"AAAAAHb/Pz0=")</f>
        <v>#VALUE!</v>
      </c>
      <c r="BK107" t="e">
        <f>AND('PROG FORMACIÓN TITULADA'!V733,"AAAAAHb/Pz4=")</f>
        <v>#VALUE!</v>
      </c>
      <c r="BL107" t="e">
        <f>AND('PROG FORMACIÓN TITULADA'!W733,"AAAAAHb/Pz8=")</f>
        <v>#VALUE!</v>
      </c>
      <c r="BM107" t="e">
        <f>AND('PROG FORMACIÓN TITULADA'!X733,"AAAAAHb/P0A=")</f>
        <v>#VALUE!</v>
      </c>
      <c r="BN107" t="e">
        <f>AND('PROG FORMACIÓN TITULADA'!Y733,"AAAAAHb/P0E=")</f>
        <v>#VALUE!</v>
      </c>
      <c r="BO107" t="e">
        <f>AND('PROG FORMACIÓN TITULADA'!Z733,"AAAAAHb/P0I=")</f>
        <v>#VALUE!</v>
      </c>
      <c r="BP107">
        <f>IF('PROG FORMACIÓN TITULADA'!734:734,"AAAAAHb/P0M=",0)</f>
        <v>0</v>
      </c>
      <c r="BQ107" t="e">
        <f>AND('PROG FORMACIÓN TITULADA'!A734,"AAAAAHb/P0Q=")</f>
        <v>#VALUE!</v>
      </c>
      <c r="BR107" t="e">
        <f>AND('PROG FORMACIÓN TITULADA'!B734,"AAAAAHb/P0U=")</f>
        <v>#VALUE!</v>
      </c>
      <c r="BS107" t="e">
        <f>AND('PROG FORMACIÓN TITULADA'!C734,"AAAAAHb/P0Y=")</f>
        <v>#VALUE!</v>
      </c>
      <c r="BT107" t="e">
        <f>AND('PROG FORMACIÓN TITULADA'!D734,"AAAAAHb/P0c=")</f>
        <v>#VALUE!</v>
      </c>
      <c r="BU107" t="e">
        <f>AND('PROG FORMACIÓN TITULADA'!E734,"AAAAAHb/P0g=")</f>
        <v>#VALUE!</v>
      </c>
      <c r="BV107" t="e">
        <f>AND('PROG FORMACIÓN TITULADA'!F734,"AAAAAHb/P0k=")</f>
        <v>#VALUE!</v>
      </c>
      <c r="BW107" t="e">
        <f>AND('PROG FORMACIÓN TITULADA'!G734,"AAAAAHb/P0o=")</f>
        <v>#VALUE!</v>
      </c>
      <c r="BX107" t="e">
        <f>AND('PROG FORMACIÓN TITULADA'!H734,"AAAAAHb/P0s=")</f>
        <v>#VALUE!</v>
      </c>
      <c r="BY107" t="e">
        <f>AND('PROG FORMACIÓN TITULADA'!I734,"AAAAAHb/P0w=")</f>
        <v>#VALUE!</v>
      </c>
      <c r="BZ107" t="e">
        <f>AND('PROG FORMACIÓN TITULADA'!J734,"AAAAAHb/P00=")</f>
        <v>#VALUE!</v>
      </c>
      <c r="CA107" t="e">
        <f>AND('PROG FORMACIÓN TITULADA'!K734,"AAAAAHb/P04=")</f>
        <v>#VALUE!</v>
      </c>
      <c r="CB107" t="e">
        <f>AND('PROG FORMACIÓN TITULADA'!L734,"AAAAAHb/P08=")</f>
        <v>#VALUE!</v>
      </c>
      <c r="CC107" t="e">
        <f>AND('PROG FORMACIÓN TITULADA'!M734,"AAAAAHb/P1A=")</f>
        <v>#VALUE!</v>
      </c>
      <c r="CD107" t="e">
        <f>AND('PROG FORMACIÓN TITULADA'!N734,"AAAAAHb/P1E=")</f>
        <v>#VALUE!</v>
      </c>
      <c r="CE107" t="e">
        <f>AND('PROG FORMACIÓN TITULADA'!O734,"AAAAAHb/P1I=")</f>
        <v>#VALUE!</v>
      </c>
      <c r="CF107" t="e">
        <f>AND('PROG FORMACIÓN TITULADA'!P734,"AAAAAHb/P1M=")</f>
        <v>#VALUE!</v>
      </c>
      <c r="CG107" t="e">
        <f>AND('PROG FORMACIÓN TITULADA'!Q734,"AAAAAHb/P1Q=")</f>
        <v>#VALUE!</v>
      </c>
      <c r="CH107" t="e">
        <f>AND('PROG FORMACIÓN TITULADA'!R734,"AAAAAHb/P1U=")</f>
        <v>#VALUE!</v>
      </c>
      <c r="CI107" t="e">
        <f>AND('PROG FORMACIÓN TITULADA'!S734,"AAAAAHb/P1Y=")</f>
        <v>#VALUE!</v>
      </c>
      <c r="CJ107" t="e">
        <f>AND('PROG FORMACIÓN TITULADA'!T734,"AAAAAHb/P1c=")</f>
        <v>#VALUE!</v>
      </c>
      <c r="CK107" t="e">
        <f>AND('PROG FORMACIÓN TITULADA'!U734,"AAAAAHb/P1g=")</f>
        <v>#VALUE!</v>
      </c>
      <c r="CL107" t="e">
        <f>AND('PROG FORMACIÓN TITULADA'!V734,"AAAAAHb/P1k=")</f>
        <v>#VALUE!</v>
      </c>
      <c r="CM107" t="e">
        <f>AND('PROG FORMACIÓN TITULADA'!W734,"AAAAAHb/P1o=")</f>
        <v>#VALUE!</v>
      </c>
      <c r="CN107" t="e">
        <f>AND('PROG FORMACIÓN TITULADA'!X734,"AAAAAHb/P1s=")</f>
        <v>#VALUE!</v>
      </c>
      <c r="CO107" t="e">
        <f>AND('PROG FORMACIÓN TITULADA'!Y734,"AAAAAHb/P1w=")</f>
        <v>#VALUE!</v>
      </c>
      <c r="CP107" t="e">
        <f>AND('PROG FORMACIÓN TITULADA'!Z734,"AAAAAHb/P10=")</f>
        <v>#VALUE!</v>
      </c>
      <c r="CQ107">
        <f>IF('PROG FORMACIÓN TITULADA'!735:735,"AAAAAHb/P14=",0)</f>
        <v>0</v>
      </c>
      <c r="CR107" t="e">
        <f>AND('PROG FORMACIÓN TITULADA'!A735,"AAAAAHb/P18=")</f>
        <v>#VALUE!</v>
      </c>
      <c r="CS107" t="e">
        <f>AND('PROG FORMACIÓN TITULADA'!B735,"AAAAAHb/P2A=")</f>
        <v>#VALUE!</v>
      </c>
      <c r="CT107" t="e">
        <f>AND('PROG FORMACIÓN TITULADA'!C735,"AAAAAHb/P2E=")</f>
        <v>#VALUE!</v>
      </c>
      <c r="CU107" t="e">
        <f>AND('PROG FORMACIÓN TITULADA'!D735,"AAAAAHb/P2I=")</f>
        <v>#VALUE!</v>
      </c>
      <c r="CV107" t="e">
        <f>AND('PROG FORMACIÓN TITULADA'!E735,"AAAAAHb/P2M=")</f>
        <v>#VALUE!</v>
      </c>
      <c r="CW107" t="e">
        <f>AND('PROG FORMACIÓN TITULADA'!F735,"AAAAAHb/P2Q=")</f>
        <v>#VALUE!</v>
      </c>
      <c r="CX107" t="e">
        <f>AND('PROG FORMACIÓN TITULADA'!G735,"AAAAAHb/P2U=")</f>
        <v>#VALUE!</v>
      </c>
      <c r="CY107" t="e">
        <f>AND('PROG FORMACIÓN TITULADA'!H735,"AAAAAHb/P2Y=")</f>
        <v>#VALUE!</v>
      </c>
      <c r="CZ107" t="e">
        <f>AND('PROG FORMACIÓN TITULADA'!I735,"AAAAAHb/P2c=")</f>
        <v>#VALUE!</v>
      </c>
      <c r="DA107" t="e">
        <f>AND('PROG FORMACIÓN TITULADA'!J735,"AAAAAHb/P2g=")</f>
        <v>#VALUE!</v>
      </c>
      <c r="DB107" t="e">
        <f>AND('PROG FORMACIÓN TITULADA'!K735,"AAAAAHb/P2k=")</f>
        <v>#VALUE!</v>
      </c>
      <c r="DC107" t="e">
        <f>AND('PROG FORMACIÓN TITULADA'!L735,"AAAAAHb/P2o=")</f>
        <v>#VALUE!</v>
      </c>
      <c r="DD107" t="e">
        <f>AND('PROG FORMACIÓN TITULADA'!M735,"AAAAAHb/P2s=")</f>
        <v>#VALUE!</v>
      </c>
      <c r="DE107" t="e">
        <f>AND('PROG FORMACIÓN TITULADA'!N735,"AAAAAHb/P2w=")</f>
        <v>#VALUE!</v>
      </c>
      <c r="DF107" t="e">
        <f>AND('PROG FORMACIÓN TITULADA'!O735,"AAAAAHb/P20=")</f>
        <v>#VALUE!</v>
      </c>
      <c r="DG107" t="e">
        <f>AND('PROG FORMACIÓN TITULADA'!P735,"AAAAAHb/P24=")</f>
        <v>#VALUE!</v>
      </c>
      <c r="DH107" t="e">
        <f>AND('PROG FORMACIÓN TITULADA'!Q735,"AAAAAHb/P28=")</f>
        <v>#VALUE!</v>
      </c>
      <c r="DI107" t="e">
        <f>AND('PROG FORMACIÓN TITULADA'!R735,"AAAAAHb/P3A=")</f>
        <v>#VALUE!</v>
      </c>
      <c r="DJ107" t="e">
        <f>AND('PROG FORMACIÓN TITULADA'!S735,"AAAAAHb/P3E=")</f>
        <v>#VALUE!</v>
      </c>
      <c r="DK107" t="e">
        <f>AND('PROG FORMACIÓN TITULADA'!T735,"AAAAAHb/P3I=")</f>
        <v>#VALUE!</v>
      </c>
      <c r="DL107" t="e">
        <f>AND('PROG FORMACIÓN TITULADA'!U735,"AAAAAHb/P3M=")</f>
        <v>#VALUE!</v>
      </c>
      <c r="DM107" t="e">
        <f>AND('PROG FORMACIÓN TITULADA'!V735,"AAAAAHb/P3Q=")</f>
        <v>#VALUE!</v>
      </c>
      <c r="DN107" t="e">
        <f>AND('PROG FORMACIÓN TITULADA'!W735,"AAAAAHb/P3U=")</f>
        <v>#VALUE!</v>
      </c>
      <c r="DO107" t="e">
        <f>AND('PROG FORMACIÓN TITULADA'!X735,"AAAAAHb/P3Y=")</f>
        <v>#VALUE!</v>
      </c>
      <c r="DP107" t="e">
        <f>AND('PROG FORMACIÓN TITULADA'!Y735,"AAAAAHb/P3c=")</f>
        <v>#VALUE!</v>
      </c>
      <c r="DQ107" t="e">
        <f>AND('PROG FORMACIÓN TITULADA'!Z735,"AAAAAHb/P3g=")</f>
        <v>#VALUE!</v>
      </c>
      <c r="DR107">
        <f>IF('PROG FORMACIÓN TITULADA'!736:736,"AAAAAHb/P3k=",0)</f>
        <v>0</v>
      </c>
      <c r="DS107" t="e">
        <f>AND('PROG FORMACIÓN TITULADA'!A736,"AAAAAHb/P3o=")</f>
        <v>#VALUE!</v>
      </c>
      <c r="DT107" t="e">
        <f>AND('PROG FORMACIÓN TITULADA'!B736,"AAAAAHb/P3s=")</f>
        <v>#VALUE!</v>
      </c>
      <c r="DU107" t="e">
        <f>AND('PROG FORMACIÓN TITULADA'!C736,"AAAAAHb/P3w=")</f>
        <v>#VALUE!</v>
      </c>
      <c r="DV107" t="e">
        <f>AND('PROG FORMACIÓN TITULADA'!D736,"AAAAAHb/P30=")</f>
        <v>#VALUE!</v>
      </c>
      <c r="DW107" t="e">
        <f>AND('PROG FORMACIÓN TITULADA'!E736,"AAAAAHb/P34=")</f>
        <v>#VALUE!</v>
      </c>
      <c r="DX107" t="e">
        <f>AND('PROG FORMACIÓN TITULADA'!F736,"AAAAAHb/P38=")</f>
        <v>#VALUE!</v>
      </c>
      <c r="DY107" t="e">
        <f>AND('PROG FORMACIÓN TITULADA'!G736,"AAAAAHb/P4A=")</f>
        <v>#VALUE!</v>
      </c>
      <c r="DZ107" t="e">
        <f>AND('PROG FORMACIÓN TITULADA'!H736,"AAAAAHb/P4E=")</f>
        <v>#VALUE!</v>
      </c>
      <c r="EA107" t="e">
        <f>AND('PROG FORMACIÓN TITULADA'!I736,"AAAAAHb/P4I=")</f>
        <v>#VALUE!</v>
      </c>
      <c r="EB107" t="e">
        <f>AND('PROG FORMACIÓN TITULADA'!J736,"AAAAAHb/P4M=")</f>
        <v>#VALUE!</v>
      </c>
      <c r="EC107" t="e">
        <f>AND('PROG FORMACIÓN TITULADA'!K736,"AAAAAHb/P4Q=")</f>
        <v>#VALUE!</v>
      </c>
      <c r="ED107" t="e">
        <f>AND('PROG FORMACIÓN TITULADA'!L736,"AAAAAHb/P4U=")</f>
        <v>#VALUE!</v>
      </c>
      <c r="EE107" t="e">
        <f>AND('PROG FORMACIÓN TITULADA'!M736,"AAAAAHb/P4Y=")</f>
        <v>#VALUE!</v>
      </c>
      <c r="EF107" t="e">
        <f>AND('PROG FORMACIÓN TITULADA'!N736,"AAAAAHb/P4c=")</f>
        <v>#VALUE!</v>
      </c>
      <c r="EG107" t="e">
        <f>AND('PROG FORMACIÓN TITULADA'!O736,"AAAAAHb/P4g=")</f>
        <v>#VALUE!</v>
      </c>
      <c r="EH107" t="e">
        <f>AND('PROG FORMACIÓN TITULADA'!P736,"AAAAAHb/P4k=")</f>
        <v>#VALUE!</v>
      </c>
      <c r="EI107" t="e">
        <f>AND('PROG FORMACIÓN TITULADA'!Q736,"AAAAAHb/P4o=")</f>
        <v>#VALUE!</v>
      </c>
      <c r="EJ107" t="e">
        <f>AND('PROG FORMACIÓN TITULADA'!R736,"AAAAAHb/P4s=")</f>
        <v>#VALUE!</v>
      </c>
      <c r="EK107" t="e">
        <f>AND('PROG FORMACIÓN TITULADA'!S736,"AAAAAHb/P4w=")</f>
        <v>#VALUE!</v>
      </c>
      <c r="EL107" t="e">
        <f>AND('PROG FORMACIÓN TITULADA'!T736,"AAAAAHb/P40=")</f>
        <v>#VALUE!</v>
      </c>
      <c r="EM107" t="e">
        <f>AND('PROG FORMACIÓN TITULADA'!U736,"AAAAAHb/P44=")</f>
        <v>#VALUE!</v>
      </c>
      <c r="EN107" t="e">
        <f>AND('PROG FORMACIÓN TITULADA'!V736,"AAAAAHb/P48=")</f>
        <v>#VALUE!</v>
      </c>
      <c r="EO107" t="e">
        <f>AND('PROG FORMACIÓN TITULADA'!W736,"AAAAAHb/P5A=")</f>
        <v>#VALUE!</v>
      </c>
      <c r="EP107" t="e">
        <f>AND('PROG FORMACIÓN TITULADA'!X736,"AAAAAHb/P5E=")</f>
        <v>#VALUE!</v>
      </c>
      <c r="EQ107" t="e">
        <f>AND('PROG FORMACIÓN TITULADA'!Y736,"AAAAAHb/P5I=")</f>
        <v>#VALUE!</v>
      </c>
      <c r="ER107" t="e">
        <f>AND('PROG FORMACIÓN TITULADA'!Z736,"AAAAAHb/P5M=")</f>
        <v>#VALUE!</v>
      </c>
      <c r="ES107">
        <f>IF('PROG FORMACIÓN TITULADA'!737:737,"AAAAAHb/P5Q=",0)</f>
        <v>0</v>
      </c>
      <c r="ET107" t="e">
        <f>AND('PROG FORMACIÓN TITULADA'!A737,"AAAAAHb/P5U=")</f>
        <v>#VALUE!</v>
      </c>
      <c r="EU107" t="e">
        <f>AND('PROG FORMACIÓN TITULADA'!B737,"AAAAAHb/P5Y=")</f>
        <v>#VALUE!</v>
      </c>
      <c r="EV107" t="e">
        <f>AND('PROG FORMACIÓN TITULADA'!C737,"AAAAAHb/P5c=")</f>
        <v>#VALUE!</v>
      </c>
      <c r="EW107" t="e">
        <f>AND('PROG FORMACIÓN TITULADA'!D737,"AAAAAHb/P5g=")</f>
        <v>#VALUE!</v>
      </c>
      <c r="EX107" t="e">
        <f>AND('PROG FORMACIÓN TITULADA'!E737,"AAAAAHb/P5k=")</f>
        <v>#VALUE!</v>
      </c>
      <c r="EY107" t="e">
        <f>AND('PROG FORMACIÓN TITULADA'!F737,"AAAAAHb/P5o=")</f>
        <v>#VALUE!</v>
      </c>
      <c r="EZ107" t="e">
        <f>AND('PROG FORMACIÓN TITULADA'!G737,"AAAAAHb/P5s=")</f>
        <v>#VALUE!</v>
      </c>
      <c r="FA107" t="e">
        <f>AND('PROG FORMACIÓN TITULADA'!H737,"AAAAAHb/P5w=")</f>
        <v>#VALUE!</v>
      </c>
      <c r="FB107" t="e">
        <f>AND('PROG FORMACIÓN TITULADA'!I737,"AAAAAHb/P50=")</f>
        <v>#VALUE!</v>
      </c>
      <c r="FC107" t="e">
        <f>AND('PROG FORMACIÓN TITULADA'!J737,"AAAAAHb/P54=")</f>
        <v>#VALUE!</v>
      </c>
      <c r="FD107" t="e">
        <f>AND('PROG FORMACIÓN TITULADA'!K737,"AAAAAHb/P58=")</f>
        <v>#VALUE!</v>
      </c>
      <c r="FE107" t="e">
        <f>AND('PROG FORMACIÓN TITULADA'!L737,"AAAAAHb/P6A=")</f>
        <v>#VALUE!</v>
      </c>
      <c r="FF107" t="e">
        <f>AND('PROG FORMACIÓN TITULADA'!M737,"AAAAAHb/P6E=")</f>
        <v>#VALUE!</v>
      </c>
      <c r="FG107" t="e">
        <f>AND('PROG FORMACIÓN TITULADA'!N737,"AAAAAHb/P6I=")</f>
        <v>#VALUE!</v>
      </c>
      <c r="FH107" t="e">
        <f>AND('PROG FORMACIÓN TITULADA'!O737,"AAAAAHb/P6M=")</f>
        <v>#VALUE!</v>
      </c>
      <c r="FI107" t="e">
        <f>AND('PROG FORMACIÓN TITULADA'!P737,"AAAAAHb/P6Q=")</f>
        <v>#VALUE!</v>
      </c>
      <c r="FJ107" t="e">
        <f>AND('PROG FORMACIÓN TITULADA'!Q737,"AAAAAHb/P6U=")</f>
        <v>#VALUE!</v>
      </c>
      <c r="FK107" t="e">
        <f>AND('PROG FORMACIÓN TITULADA'!R737,"AAAAAHb/P6Y=")</f>
        <v>#VALUE!</v>
      </c>
      <c r="FL107" t="e">
        <f>AND('PROG FORMACIÓN TITULADA'!S737,"AAAAAHb/P6c=")</f>
        <v>#VALUE!</v>
      </c>
      <c r="FM107" t="e">
        <f>AND('PROG FORMACIÓN TITULADA'!T737,"AAAAAHb/P6g=")</f>
        <v>#VALUE!</v>
      </c>
      <c r="FN107" t="e">
        <f>AND('PROG FORMACIÓN TITULADA'!U737,"AAAAAHb/P6k=")</f>
        <v>#VALUE!</v>
      </c>
      <c r="FO107" t="e">
        <f>AND('PROG FORMACIÓN TITULADA'!V737,"AAAAAHb/P6o=")</f>
        <v>#VALUE!</v>
      </c>
      <c r="FP107" t="e">
        <f>AND('PROG FORMACIÓN TITULADA'!W737,"AAAAAHb/P6s=")</f>
        <v>#VALUE!</v>
      </c>
      <c r="FQ107" t="e">
        <f>AND('PROG FORMACIÓN TITULADA'!X737,"AAAAAHb/P6w=")</f>
        <v>#VALUE!</v>
      </c>
      <c r="FR107" t="e">
        <f>AND('PROG FORMACIÓN TITULADA'!Y737,"AAAAAHb/P60=")</f>
        <v>#VALUE!</v>
      </c>
      <c r="FS107" t="e">
        <f>AND('PROG FORMACIÓN TITULADA'!Z737,"AAAAAHb/P64=")</f>
        <v>#VALUE!</v>
      </c>
      <c r="FT107">
        <f>IF('PROG FORMACIÓN TITULADA'!738:738,"AAAAAHb/P68=",0)</f>
        <v>0</v>
      </c>
      <c r="FU107" t="e">
        <f>AND('PROG FORMACIÓN TITULADA'!A738,"AAAAAHb/P7A=")</f>
        <v>#VALUE!</v>
      </c>
      <c r="FV107" t="e">
        <f>AND('PROG FORMACIÓN TITULADA'!B738,"AAAAAHb/P7E=")</f>
        <v>#VALUE!</v>
      </c>
      <c r="FW107" t="e">
        <f>AND('PROG FORMACIÓN TITULADA'!C738,"AAAAAHb/P7I=")</f>
        <v>#VALUE!</v>
      </c>
      <c r="FX107" t="e">
        <f>AND('PROG FORMACIÓN TITULADA'!D738,"AAAAAHb/P7M=")</f>
        <v>#VALUE!</v>
      </c>
      <c r="FY107" t="e">
        <f>AND('PROG FORMACIÓN TITULADA'!E738,"AAAAAHb/P7Q=")</f>
        <v>#VALUE!</v>
      </c>
      <c r="FZ107" t="e">
        <f>AND('PROG FORMACIÓN TITULADA'!F738,"AAAAAHb/P7U=")</f>
        <v>#VALUE!</v>
      </c>
      <c r="GA107" t="e">
        <f>AND('PROG FORMACIÓN TITULADA'!G738,"AAAAAHb/P7Y=")</f>
        <v>#VALUE!</v>
      </c>
      <c r="GB107" t="e">
        <f>AND('PROG FORMACIÓN TITULADA'!H738,"AAAAAHb/P7c=")</f>
        <v>#VALUE!</v>
      </c>
      <c r="GC107" t="e">
        <f>AND('PROG FORMACIÓN TITULADA'!I738,"AAAAAHb/P7g=")</f>
        <v>#VALUE!</v>
      </c>
      <c r="GD107" t="e">
        <f>AND('PROG FORMACIÓN TITULADA'!J738,"AAAAAHb/P7k=")</f>
        <v>#VALUE!</v>
      </c>
      <c r="GE107" t="e">
        <f>AND('PROG FORMACIÓN TITULADA'!K738,"AAAAAHb/P7o=")</f>
        <v>#VALUE!</v>
      </c>
      <c r="GF107" t="e">
        <f>AND('PROG FORMACIÓN TITULADA'!L738,"AAAAAHb/P7s=")</f>
        <v>#VALUE!</v>
      </c>
      <c r="GG107" t="e">
        <f>AND('PROG FORMACIÓN TITULADA'!M738,"AAAAAHb/P7w=")</f>
        <v>#VALUE!</v>
      </c>
      <c r="GH107" t="e">
        <f>AND('PROG FORMACIÓN TITULADA'!N738,"AAAAAHb/P70=")</f>
        <v>#VALUE!</v>
      </c>
      <c r="GI107" t="e">
        <f>AND('PROG FORMACIÓN TITULADA'!O738,"AAAAAHb/P74=")</f>
        <v>#VALUE!</v>
      </c>
      <c r="GJ107" t="e">
        <f>AND('PROG FORMACIÓN TITULADA'!P738,"AAAAAHb/P78=")</f>
        <v>#VALUE!</v>
      </c>
      <c r="GK107" t="e">
        <f>AND('PROG FORMACIÓN TITULADA'!Q738,"AAAAAHb/P8A=")</f>
        <v>#VALUE!</v>
      </c>
      <c r="GL107" t="e">
        <f>AND('PROG FORMACIÓN TITULADA'!R738,"AAAAAHb/P8E=")</f>
        <v>#VALUE!</v>
      </c>
      <c r="GM107" t="e">
        <f>AND('PROG FORMACIÓN TITULADA'!S738,"AAAAAHb/P8I=")</f>
        <v>#VALUE!</v>
      </c>
      <c r="GN107" t="e">
        <f>AND('PROG FORMACIÓN TITULADA'!T738,"AAAAAHb/P8M=")</f>
        <v>#VALUE!</v>
      </c>
      <c r="GO107" t="e">
        <f>AND('PROG FORMACIÓN TITULADA'!U738,"AAAAAHb/P8Q=")</f>
        <v>#VALUE!</v>
      </c>
      <c r="GP107" t="e">
        <f>AND('PROG FORMACIÓN TITULADA'!V738,"AAAAAHb/P8U=")</f>
        <v>#VALUE!</v>
      </c>
      <c r="GQ107" t="e">
        <f>AND('PROG FORMACIÓN TITULADA'!W738,"AAAAAHb/P8Y=")</f>
        <v>#VALUE!</v>
      </c>
      <c r="GR107" t="e">
        <f>AND('PROG FORMACIÓN TITULADA'!X738,"AAAAAHb/P8c=")</f>
        <v>#VALUE!</v>
      </c>
      <c r="GS107" t="e">
        <f>AND('PROG FORMACIÓN TITULADA'!Y738,"AAAAAHb/P8g=")</f>
        <v>#VALUE!</v>
      </c>
      <c r="GT107" t="e">
        <f>AND('PROG FORMACIÓN TITULADA'!Z738,"AAAAAHb/P8k=")</f>
        <v>#VALUE!</v>
      </c>
      <c r="GU107">
        <f>IF('PROG FORMACIÓN TITULADA'!739:739,"AAAAAHb/P8o=",0)</f>
        <v>0</v>
      </c>
      <c r="GV107" t="e">
        <f>AND('PROG FORMACIÓN TITULADA'!A739,"AAAAAHb/P8s=")</f>
        <v>#VALUE!</v>
      </c>
      <c r="GW107" t="e">
        <f>AND('PROG FORMACIÓN TITULADA'!B739,"AAAAAHb/P8w=")</f>
        <v>#VALUE!</v>
      </c>
      <c r="GX107" t="e">
        <f>AND('PROG FORMACIÓN TITULADA'!C739,"AAAAAHb/P80=")</f>
        <v>#VALUE!</v>
      </c>
      <c r="GY107" t="e">
        <f>AND('PROG FORMACIÓN TITULADA'!D739,"AAAAAHb/P84=")</f>
        <v>#VALUE!</v>
      </c>
      <c r="GZ107" t="e">
        <f>AND('PROG FORMACIÓN TITULADA'!E739,"AAAAAHb/P88=")</f>
        <v>#VALUE!</v>
      </c>
      <c r="HA107" t="e">
        <f>AND('PROG FORMACIÓN TITULADA'!F739,"AAAAAHb/P9A=")</f>
        <v>#VALUE!</v>
      </c>
      <c r="HB107" t="e">
        <f>AND('PROG FORMACIÓN TITULADA'!G739,"AAAAAHb/P9E=")</f>
        <v>#VALUE!</v>
      </c>
      <c r="HC107" t="e">
        <f>AND('PROG FORMACIÓN TITULADA'!H739,"AAAAAHb/P9I=")</f>
        <v>#VALUE!</v>
      </c>
      <c r="HD107" t="e">
        <f>AND('PROG FORMACIÓN TITULADA'!I739,"AAAAAHb/P9M=")</f>
        <v>#VALUE!</v>
      </c>
      <c r="HE107" t="e">
        <f>AND('PROG FORMACIÓN TITULADA'!J739,"AAAAAHb/P9Q=")</f>
        <v>#VALUE!</v>
      </c>
      <c r="HF107" t="e">
        <f>AND('PROG FORMACIÓN TITULADA'!K739,"AAAAAHb/P9U=")</f>
        <v>#VALUE!</v>
      </c>
      <c r="HG107" t="e">
        <f>AND('PROG FORMACIÓN TITULADA'!L739,"AAAAAHb/P9Y=")</f>
        <v>#VALUE!</v>
      </c>
      <c r="HH107" t="e">
        <f>AND('PROG FORMACIÓN TITULADA'!M739,"AAAAAHb/P9c=")</f>
        <v>#VALUE!</v>
      </c>
      <c r="HI107" t="e">
        <f>AND('PROG FORMACIÓN TITULADA'!N739,"AAAAAHb/P9g=")</f>
        <v>#VALUE!</v>
      </c>
      <c r="HJ107" t="e">
        <f>AND('PROG FORMACIÓN TITULADA'!O739,"AAAAAHb/P9k=")</f>
        <v>#VALUE!</v>
      </c>
      <c r="HK107" t="e">
        <f>AND('PROG FORMACIÓN TITULADA'!P739,"AAAAAHb/P9o=")</f>
        <v>#VALUE!</v>
      </c>
      <c r="HL107" t="e">
        <f>AND('PROG FORMACIÓN TITULADA'!Q739,"AAAAAHb/P9s=")</f>
        <v>#VALUE!</v>
      </c>
      <c r="HM107" t="e">
        <f>AND('PROG FORMACIÓN TITULADA'!R739,"AAAAAHb/P9w=")</f>
        <v>#VALUE!</v>
      </c>
      <c r="HN107" t="e">
        <f>AND('PROG FORMACIÓN TITULADA'!S739,"AAAAAHb/P90=")</f>
        <v>#VALUE!</v>
      </c>
      <c r="HO107" t="e">
        <f>AND('PROG FORMACIÓN TITULADA'!T739,"AAAAAHb/P94=")</f>
        <v>#VALUE!</v>
      </c>
      <c r="HP107" t="e">
        <f>AND('PROG FORMACIÓN TITULADA'!U739,"AAAAAHb/P98=")</f>
        <v>#VALUE!</v>
      </c>
      <c r="HQ107" t="e">
        <f>AND('PROG FORMACIÓN TITULADA'!V739,"AAAAAHb/P+A=")</f>
        <v>#VALUE!</v>
      </c>
      <c r="HR107" t="e">
        <f>AND('PROG FORMACIÓN TITULADA'!W739,"AAAAAHb/P+E=")</f>
        <v>#VALUE!</v>
      </c>
      <c r="HS107" t="e">
        <f>AND('PROG FORMACIÓN TITULADA'!X739,"AAAAAHb/P+I=")</f>
        <v>#VALUE!</v>
      </c>
      <c r="HT107" t="e">
        <f>AND('PROG FORMACIÓN TITULADA'!Y739,"AAAAAHb/P+M=")</f>
        <v>#VALUE!</v>
      </c>
      <c r="HU107" t="e">
        <f>AND('PROG FORMACIÓN TITULADA'!Z739,"AAAAAHb/P+Q=")</f>
        <v>#VALUE!</v>
      </c>
      <c r="HV107">
        <f>IF('PROG FORMACIÓN TITULADA'!740:740,"AAAAAHb/P+U=",0)</f>
        <v>0</v>
      </c>
      <c r="HW107" t="e">
        <f>AND('PROG FORMACIÓN TITULADA'!A740,"AAAAAHb/P+Y=")</f>
        <v>#VALUE!</v>
      </c>
      <c r="HX107" t="e">
        <f>AND('PROG FORMACIÓN TITULADA'!B740,"AAAAAHb/P+c=")</f>
        <v>#VALUE!</v>
      </c>
      <c r="HY107" t="e">
        <f>AND('PROG FORMACIÓN TITULADA'!C740,"AAAAAHb/P+g=")</f>
        <v>#VALUE!</v>
      </c>
      <c r="HZ107" t="e">
        <f>AND('PROG FORMACIÓN TITULADA'!D740,"AAAAAHb/P+k=")</f>
        <v>#VALUE!</v>
      </c>
      <c r="IA107" t="e">
        <f>AND('PROG FORMACIÓN TITULADA'!E740,"AAAAAHb/P+o=")</f>
        <v>#VALUE!</v>
      </c>
      <c r="IB107" t="e">
        <f>AND('PROG FORMACIÓN TITULADA'!F740,"AAAAAHb/P+s=")</f>
        <v>#VALUE!</v>
      </c>
      <c r="IC107" t="e">
        <f>AND('PROG FORMACIÓN TITULADA'!G740,"AAAAAHb/P+w=")</f>
        <v>#VALUE!</v>
      </c>
      <c r="ID107" t="e">
        <f>AND('PROG FORMACIÓN TITULADA'!H740,"AAAAAHb/P+0=")</f>
        <v>#VALUE!</v>
      </c>
      <c r="IE107" t="e">
        <f>AND('PROG FORMACIÓN TITULADA'!I740,"AAAAAHb/P+4=")</f>
        <v>#VALUE!</v>
      </c>
      <c r="IF107" t="e">
        <f>AND('PROG FORMACIÓN TITULADA'!J740,"AAAAAHb/P+8=")</f>
        <v>#VALUE!</v>
      </c>
      <c r="IG107" t="e">
        <f>AND('PROG FORMACIÓN TITULADA'!K740,"AAAAAHb/P/A=")</f>
        <v>#VALUE!</v>
      </c>
      <c r="IH107" t="e">
        <f>AND('PROG FORMACIÓN TITULADA'!L740,"AAAAAHb/P/E=")</f>
        <v>#VALUE!</v>
      </c>
      <c r="II107" t="e">
        <f>AND('PROG FORMACIÓN TITULADA'!M740,"AAAAAHb/P/I=")</f>
        <v>#VALUE!</v>
      </c>
      <c r="IJ107" t="e">
        <f>AND('PROG FORMACIÓN TITULADA'!N740,"AAAAAHb/P/M=")</f>
        <v>#VALUE!</v>
      </c>
      <c r="IK107" t="e">
        <f>AND('PROG FORMACIÓN TITULADA'!O740,"AAAAAHb/P/Q=")</f>
        <v>#VALUE!</v>
      </c>
      <c r="IL107" t="e">
        <f>AND('PROG FORMACIÓN TITULADA'!P740,"AAAAAHb/P/U=")</f>
        <v>#VALUE!</v>
      </c>
      <c r="IM107" t="e">
        <f>AND('PROG FORMACIÓN TITULADA'!Q740,"AAAAAHb/P/Y=")</f>
        <v>#VALUE!</v>
      </c>
      <c r="IN107" t="e">
        <f>AND('PROG FORMACIÓN TITULADA'!R740,"AAAAAHb/P/c=")</f>
        <v>#VALUE!</v>
      </c>
      <c r="IO107" t="e">
        <f>AND('PROG FORMACIÓN TITULADA'!S740,"AAAAAHb/P/g=")</f>
        <v>#VALUE!</v>
      </c>
      <c r="IP107" t="e">
        <f>AND('PROG FORMACIÓN TITULADA'!T740,"AAAAAHb/P/k=")</f>
        <v>#VALUE!</v>
      </c>
      <c r="IQ107" t="e">
        <f>AND('PROG FORMACIÓN TITULADA'!U740,"AAAAAHb/P/o=")</f>
        <v>#VALUE!</v>
      </c>
      <c r="IR107" t="e">
        <f>AND('PROG FORMACIÓN TITULADA'!V740,"AAAAAHb/P/s=")</f>
        <v>#VALUE!</v>
      </c>
      <c r="IS107" t="e">
        <f>AND('PROG FORMACIÓN TITULADA'!W740,"AAAAAHb/P/w=")</f>
        <v>#VALUE!</v>
      </c>
      <c r="IT107" t="e">
        <f>AND('PROG FORMACIÓN TITULADA'!X740,"AAAAAHb/P/0=")</f>
        <v>#VALUE!</v>
      </c>
      <c r="IU107" t="e">
        <f>AND('PROG FORMACIÓN TITULADA'!Y740,"AAAAAHb/P/4=")</f>
        <v>#VALUE!</v>
      </c>
      <c r="IV107" t="e">
        <f>AND('PROG FORMACIÓN TITULADA'!Z740,"AAAAAHb/P/8=")</f>
        <v>#VALUE!</v>
      </c>
    </row>
    <row r="108" spans="1:256" x14ac:dyDescent="0.2">
      <c r="A108">
        <f>IF('PROG FORMACIÓN TITULADA'!741:741,"AAAAAAP/dAA=",0)</f>
        <v>0</v>
      </c>
      <c r="B108" t="e">
        <f>AND('PROG FORMACIÓN TITULADA'!A741,"AAAAAAP/dAE=")</f>
        <v>#VALUE!</v>
      </c>
      <c r="C108" t="e">
        <f>AND('PROG FORMACIÓN TITULADA'!B741,"AAAAAAP/dAI=")</f>
        <v>#VALUE!</v>
      </c>
      <c r="D108" t="e">
        <f>AND('PROG FORMACIÓN TITULADA'!C741,"AAAAAAP/dAM=")</f>
        <v>#VALUE!</v>
      </c>
      <c r="E108" t="e">
        <f>AND('PROG FORMACIÓN TITULADA'!D741,"AAAAAAP/dAQ=")</f>
        <v>#VALUE!</v>
      </c>
      <c r="F108" t="e">
        <f>AND('PROG FORMACIÓN TITULADA'!E741,"AAAAAAP/dAU=")</f>
        <v>#VALUE!</v>
      </c>
      <c r="G108" t="e">
        <f>AND('PROG FORMACIÓN TITULADA'!F741,"AAAAAAP/dAY=")</f>
        <v>#VALUE!</v>
      </c>
      <c r="H108" t="e">
        <f>AND('PROG FORMACIÓN TITULADA'!G741,"AAAAAAP/dAc=")</f>
        <v>#VALUE!</v>
      </c>
      <c r="I108" t="e">
        <f>AND('PROG FORMACIÓN TITULADA'!H741,"AAAAAAP/dAg=")</f>
        <v>#VALUE!</v>
      </c>
      <c r="J108" t="e">
        <f>AND('PROG FORMACIÓN TITULADA'!I741,"AAAAAAP/dAk=")</f>
        <v>#VALUE!</v>
      </c>
      <c r="K108" t="e">
        <f>AND('PROG FORMACIÓN TITULADA'!J741,"AAAAAAP/dAo=")</f>
        <v>#VALUE!</v>
      </c>
      <c r="L108" t="e">
        <f>AND('PROG FORMACIÓN TITULADA'!K741,"AAAAAAP/dAs=")</f>
        <v>#VALUE!</v>
      </c>
      <c r="M108" t="e">
        <f>AND('PROG FORMACIÓN TITULADA'!L741,"AAAAAAP/dAw=")</f>
        <v>#VALUE!</v>
      </c>
      <c r="N108" t="e">
        <f>AND('PROG FORMACIÓN TITULADA'!M741,"AAAAAAP/dA0=")</f>
        <v>#VALUE!</v>
      </c>
      <c r="O108" t="e">
        <f>AND('PROG FORMACIÓN TITULADA'!N741,"AAAAAAP/dA4=")</f>
        <v>#VALUE!</v>
      </c>
      <c r="P108" t="e">
        <f>AND('PROG FORMACIÓN TITULADA'!O741,"AAAAAAP/dA8=")</f>
        <v>#VALUE!</v>
      </c>
      <c r="Q108" t="e">
        <f>AND('PROG FORMACIÓN TITULADA'!P741,"AAAAAAP/dBA=")</f>
        <v>#VALUE!</v>
      </c>
      <c r="R108" t="e">
        <f>AND('PROG FORMACIÓN TITULADA'!Q741,"AAAAAAP/dBE=")</f>
        <v>#VALUE!</v>
      </c>
      <c r="S108" t="e">
        <f>AND('PROG FORMACIÓN TITULADA'!R741,"AAAAAAP/dBI=")</f>
        <v>#VALUE!</v>
      </c>
      <c r="T108" t="e">
        <f>AND('PROG FORMACIÓN TITULADA'!S741,"AAAAAAP/dBM=")</f>
        <v>#VALUE!</v>
      </c>
      <c r="U108" t="e">
        <f>AND('PROG FORMACIÓN TITULADA'!T741,"AAAAAAP/dBQ=")</f>
        <v>#VALUE!</v>
      </c>
      <c r="V108" t="e">
        <f>AND('PROG FORMACIÓN TITULADA'!U741,"AAAAAAP/dBU=")</f>
        <v>#VALUE!</v>
      </c>
      <c r="W108" t="e">
        <f>AND('PROG FORMACIÓN TITULADA'!V741,"AAAAAAP/dBY=")</f>
        <v>#VALUE!</v>
      </c>
      <c r="X108" t="e">
        <f>AND('PROG FORMACIÓN TITULADA'!W741,"AAAAAAP/dBc=")</f>
        <v>#VALUE!</v>
      </c>
      <c r="Y108" t="e">
        <f>AND('PROG FORMACIÓN TITULADA'!X741,"AAAAAAP/dBg=")</f>
        <v>#VALUE!</v>
      </c>
      <c r="Z108" t="e">
        <f>AND('PROG FORMACIÓN TITULADA'!Y741,"AAAAAAP/dBk=")</f>
        <v>#VALUE!</v>
      </c>
      <c r="AA108" t="e">
        <f>AND('PROG FORMACIÓN TITULADA'!Z741,"AAAAAAP/dBo=")</f>
        <v>#VALUE!</v>
      </c>
      <c r="AB108">
        <f>IF('PROG FORMACIÓN TITULADA'!742:742,"AAAAAAP/dBs=",0)</f>
        <v>0</v>
      </c>
      <c r="AC108" t="e">
        <f>AND('PROG FORMACIÓN TITULADA'!A742,"AAAAAAP/dBw=")</f>
        <v>#VALUE!</v>
      </c>
      <c r="AD108" t="e">
        <f>AND('PROG FORMACIÓN TITULADA'!B742,"AAAAAAP/dB0=")</f>
        <v>#VALUE!</v>
      </c>
      <c r="AE108" t="e">
        <f>AND('PROG FORMACIÓN TITULADA'!C742,"AAAAAAP/dB4=")</f>
        <v>#VALUE!</v>
      </c>
      <c r="AF108" t="e">
        <f>AND('PROG FORMACIÓN TITULADA'!D742,"AAAAAAP/dB8=")</f>
        <v>#VALUE!</v>
      </c>
      <c r="AG108" t="e">
        <f>AND('PROG FORMACIÓN TITULADA'!E742,"AAAAAAP/dCA=")</f>
        <v>#VALUE!</v>
      </c>
      <c r="AH108" t="e">
        <f>AND('PROG FORMACIÓN TITULADA'!F742,"AAAAAAP/dCE=")</f>
        <v>#VALUE!</v>
      </c>
      <c r="AI108" t="e">
        <f>AND('PROG FORMACIÓN TITULADA'!G742,"AAAAAAP/dCI=")</f>
        <v>#VALUE!</v>
      </c>
      <c r="AJ108" t="e">
        <f>AND('PROG FORMACIÓN TITULADA'!H742,"AAAAAAP/dCM=")</f>
        <v>#VALUE!</v>
      </c>
      <c r="AK108" t="e">
        <f>AND('PROG FORMACIÓN TITULADA'!I742,"AAAAAAP/dCQ=")</f>
        <v>#VALUE!</v>
      </c>
      <c r="AL108" t="e">
        <f>AND('PROG FORMACIÓN TITULADA'!J742,"AAAAAAP/dCU=")</f>
        <v>#VALUE!</v>
      </c>
      <c r="AM108" t="e">
        <f>AND('PROG FORMACIÓN TITULADA'!K742,"AAAAAAP/dCY=")</f>
        <v>#VALUE!</v>
      </c>
      <c r="AN108" t="e">
        <f>AND('PROG FORMACIÓN TITULADA'!L742,"AAAAAAP/dCc=")</f>
        <v>#VALUE!</v>
      </c>
      <c r="AO108" t="e">
        <f>AND('PROG FORMACIÓN TITULADA'!M742,"AAAAAAP/dCg=")</f>
        <v>#VALUE!</v>
      </c>
      <c r="AP108" t="e">
        <f>AND('PROG FORMACIÓN TITULADA'!N742,"AAAAAAP/dCk=")</f>
        <v>#VALUE!</v>
      </c>
      <c r="AQ108" t="e">
        <f>AND('PROG FORMACIÓN TITULADA'!O742,"AAAAAAP/dCo=")</f>
        <v>#VALUE!</v>
      </c>
      <c r="AR108" t="e">
        <f>AND('PROG FORMACIÓN TITULADA'!P742,"AAAAAAP/dCs=")</f>
        <v>#VALUE!</v>
      </c>
      <c r="AS108" t="e">
        <f>AND('PROG FORMACIÓN TITULADA'!Q742,"AAAAAAP/dCw=")</f>
        <v>#VALUE!</v>
      </c>
      <c r="AT108" t="e">
        <f>AND('PROG FORMACIÓN TITULADA'!R742,"AAAAAAP/dC0=")</f>
        <v>#VALUE!</v>
      </c>
      <c r="AU108" t="e">
        <f>AND('PROG FORMACIÓN TITULADA'!S742,"AAAAAAP/dC4=")</f>
        <v>#VALUE!</v>
      </c>
      <c r="AV108" t="e">
        <f>AND('PROG FORMACIÓN TITULADA'!T742,"AAAAAAP/dC8=")</f>
        <v>#VALUE!</v>
      </c>
      <c r="AW108" t="e">
        <f>AND('PROG FORMACIÓN TITULADA'!U742,"AAAAAAP/dDA=")</f>
        <v>#VALUE!</v>
      </c>
      <c r="AX108" t="e">
        <f>AND('PROG FORMACIÓN TITULADA'!V742,"AAAAAAP/dDE=")</f>
        <v>#VALUE!</v>
      </c>
      <c r="AY108" t="e">
        <f>AND('PROG FORMACIÓN TITULADA'!W742,"AAAAAAP/dDI=")</f>
        <v>#VALUE!</v>
      </c>
      <c r="AZ108" t="e">
        <f>AND('PROG FORMACIÓN TITULADA'!X742,"AAAAAAP/dDM=")</f>
        <v>#VALUE!</v>
      </c>
      <c r="BA108" t="e">
        <f>AND('PROG FORMACIÓN TITULADA'!Y742,"AAAAAAP/dDQ=")</f>
        <v>#VALUE!</v>
      </c>
      <c r="BB108" t="e">
        <f>AND('PROG FORMACIÓN TITULADA'!Z742,"AAAAAAP/dDU=")</f>
        <v>#VALUE!</v>
      </c>
      <c r="BC108">
        <f>IF('PROG FORMACIÓN TITULADA'!743:743,"AAAAAAP/dDY=",0)</f>
        <v>0</v>
      </c>
      <c r="BD108" t="e">
        <f>AND('PROG FORMACIÓN TITULADA'!A743,"AAAAAAP/dDc=")</f>
        <v>#VALUE!</v>
      </c>
      <c r="BE108" t="e">
        <f>AND('PROG FORMACIÓN TITULADA'!B743,"AAAAAAP/dDg=")</f>
        <v>#VALUE!</v>
      </c>
      <c r="BF108" t="e">
        <f>AND('PROG FORMACIÓN TITULADA'!C743,"AAAAAAP/dDk=")</f>
        <v>#VALUE!</v>
      </c>
      <c r="BG108" t="e">
        <f>AND('PROG FORMACIÓN TITULADA'!D743,"AAAAAAP/dDo=")</f>
        <v>#VALUE!</v>
      </c>
      <c r="BH108" t="e">
        <f>AND('PROG FORMACIÓN TITULADA'!E743,"AAAAAAP/dDs=")</f>
        <v>#VALUE!</v>
      </c>
      <c r="BI108" t="e">
        <f>AND('PROG FORMACIÓN TITULADA'!F743,"AAAAAAP/dDw=")</f>
        <v>#VALUE!</v>
      </c>
      <c r="BJ108" t="e">
        <f>AND('PROG FORMACIÓN TITULADA'!G743,"AAAAAAP/dD0=")</f>
        <v>#VALUE!</v>
      </c>
      <c r="BK108" t="e">
        <f>AND('PROG FORMACIÓN TITULADA'!H743,"AAAAAAP/dD4=")</f>
        <v>#VALUE!</v>
      </c>
      <c r="BL108" t="e">
        <f>AND('PROG FORMACIÓN TITULADA'!I743,"AAAAAAP/dD8=")</f>
        <v>#VALUE!</v>
      </c>
      <c r="BM108" t="e">
        <f>AND('PROG FORMACIÓN TITULADA'!J743,"AAAAAAP/dEA=")</f>
        <v>#VALUE!</v>
      </c>
      <c r="BN108" t="e">
        <f>AND('PROG FORMACIÓN TITULADA'!K743,"AAAAAAP/dEE=")</f>
        <v>#VALUE!</v>
      </c>
      <c r="BO108" t="e">
        <f>AND('PROG FORMACIÓN TITULADA'!L743,"AAAAAAP/dEI=")</f>
        <v>#VALUE!</v>
      </c>
      <c r="BP108" t="e">
        <f>AND('PROG FORMACIÓN TITULADA'!M743,"AAAAAAP/dEM=")</f>
        <v>#VALUE!</v>
      </c>
      <c r="BQ108" t="e">
        <f>AND('PROG FORMACIÓN TITULADA'!N743,"AAAAAAP/dEQ=")</f>
        <v>#VALUE!</v>
      </c>
      <c r="BR108" t="e">
        <f>AND('PROG FORMACIÓN TITULADA'!O743,"AAAAAAP/dEU=")</f>
        <v>#VALUE!</v>
      </c>
      <c r="BS108" t="e">
        <f>AND('PROG FORMACIÓN TITULADA'!P743,"AAAAAAP/dEY=")</f>
        <v>#VALUE!</v>
      </c>
      <c r="BT108" t="e">
        <f>AND('PROG FORMACIÓN TITULADA'!Q743,"AAAAAAP/dEc=")</f>
        <v>#VALUE!</v>
      </c>
      <c r="BU108" t="e">
        <f>AND('PROG FORMACIÓN TITULADA'!R743,"AAAAAAP/dEg=")</f>
        <v>#VALUE!</v>
      </c>
      <c r="BV108" t="e">
        <f>AND('PROG FORMACIÓN TITULADA'!S743,"AAAAAAP/dEk=")</f>
        <v>#VALUE!</v>
      </c>
      <c r="BW108" t="e">
        <f>AND('PROG FORMACIÓN TITULADA'!T743,"AAAAAAP/dEo=")</f>
        <v>#VALUE!</v>
      </c>
      <c r="BX108" t="e">
        <f>AND('PROG FORMACIÓN TITULADA'!U743,"AAAAAAP/dEs=")</f>
        <v>#VALUE!</v>
      </c>
      <c r="BY108" t="e">
        <f>AND('PROG FORMACIÓN TITULADA'!V743,"AAAAAAP/dEw=")</f>
        <v>#VALUE!</v>
      </c>
      <c r="BZ108" t="e">
        <f>AND('PROG FORMACIÓN TITULADA'!W743,"AAAAAAP/dE0=")</f>
        <v>#VALUE!</v>
      </c>
      <c r="CA108" t="e">
        <f>AND('PROG FORMACIÓN TITULADA'!X743,"AAAAAAP/dE4=")</f>
        <v>#VALUE!</v>
      </c>
      <c r="CB108" t="e">
        <f>AND('PROG FORMACIÓN TITULADA'!Y743,"AAAAAAP/dE8=")</f>
        <v>#VALUE!</v>
      </c>
      <c r="CC108" t="e">
        <f>AND('PROG FORMACIÓN TITULADA'!Z743,"AAAAAAP/dFA=")</f>
        <v>#VALUE!</v>
      </c>
      <c r="CD108">
        <f>IF('PROG FORMACIÓN TITULADA'!744:744,"AAAAAAP/dFE=",0)</f>
        <v>0</v>
      </c>
      <c r="CE108" t="e">
        <f>AND('PROG FORMACIÓN TITULADA'!A744,"AAAAAAP/dFI=")</f>
        <v>#VALUE!</v>
      </c>
      <c r="CF108" t="e">
        <f>AND('PROG FORMACIÓN TITULADA'!B744,"AAAAAAP/dFM=")</f>
        <v>#VALUE!</v>
      </c>
      <c r="CG108" t="e">
        <f>AND('PROG FORMACIÓN TITULADA'!C744,"AAAAAAP/dFQ=")</f>
        <v>#VALUE!</v>
      </c>
      <c r="CH108" t="e">
        <f>AND('PROG FORMACIÓN TITULADA'!D744,"AAAAAAP/dFU=")</f>
        <v>#VALUE!</v>
      </c>
      <c r="CI108" t="e">
        <f>AND('PROG FORMACIÓN TITULADA'!E744,"AAAAAAP/dFY=")</f>
        <v>#VALUE!</v>
      </c>
      <c r="CJ108" t="e">
        <f>AND('PROG FORMACIÓN TITULADA'!F744,"AAAAAAP/dFc=")</f>
        <v>#VALUE!</v>
      </c>
      <c r="CK108" t="e">
        <f>AND('PROG FORMACIÓN TITULADA'!G744,"AAAAAAP/dFg=")</f>
        <v>#VALUE!</v>
      </c>
      <c r="CL108" t="e">
        <f>AND('PROG FORMACIÓN TITULADA'!H744,"AAAAAAP/dFk=")</f>
        <v>#VALUE!</v>
      </c>
      <c r="CM108" t="e">
        <f>AND('PROG FORMACIÓN TITULADA'!I744,"AAAAAAP/dFo=")</f>
        <v>#VALUE!</v>
      </c>
      <c r="CN108" t="e">
        <f>AND('PROG FORMACIÓN TITULADA'!J744,"AAAAAAP/dFs=")</f>
        <v>#VALUE!</v>
      </c>
      <c r="CO108" t="e">
        <f>AND('PROG FORMACIÓN TITULADA'!K744,"AAAAAAP/dFw=")</f>
        <v>#VALUE!</v>
      </c>
      <c r="CP108" t="e">
        <f>AND('PROG FORMACIÓN TITULADA'!L744,"AAAAAAP/dF0=")</f>
        <v>#VALUE!</v>
      </c>
      <c r="CQ108" t="e">
        <f>AND('PROG FORMACIÓN TITULADA'!M744,"AAAAAAP/dF4=")</f>
        <v>#VALUE!</v>
      </c>
      <c r="CR108" t="e">
        <f>AND('PROG FORMACIÓN TITULADA'!N744,"AAAAAAP/dF8=")</f>
        <v>#VALUE!</v>
      </c>
      <c r="CS108" t="e">
        <f>AND('PROG FORMACIÓN TITULADA'!O744,"AAAAAAP/dGA=")</f>
        <v>#VALUE!</v>
      </c>
      <c r="CT108" t="e">
        <f>AND('PROG FORMACIÓN TITULADA'!P744,"AAAAAAP/dGE=")</f>
        <v>#VALUE!</v>
      </c>
      <c r="CU108" t="e">
        <f>AND('PROG FORMACIÓN TITULADA'!Q744,"AAAAAAP/dGI=")</f>
        <v>#VALUE!</v>
      </c>
      <c r="CV108" t="e">
        <f>AND('PROG FORMACIÓN TITULADA'!R744,"AAAAAAP/dGM=")</f>
        <v>#VALUE!</v>
      </c>
      <c r="CW108" t="e">
        <f>AND('PROG FORMACIÓN TITULADA'!S744,"AAAAAAP/dGQ=")</f>
        <v>#VALUE!</v>
      </c>
      <c r="CX108" t="e">
        <f>AND('PROG FORMACIÓN TITULADA'!T744,"AAAAAAP/dGU=")</f>
        <v>#VALUE!</v>
      </c>
      <c r="CY108" t="e">
        <f>AND('PROG FORMACIÓN TITULADA'!U744,"AAAAAAP/dGY=")</f>
        <v>#VALUE!</v>
      </c>
      <c r="CZ108" t="e">
        <f>AND('PROG FORMACIÓN TITULADA'!V744,"AAAAAAP/dGc=")</f>
        <v>#VALUE!</v>
      </c>
      <c r="DA108" t="e">
        <f>AND('PROG FORMACIÓN TITULADA'!W744,"AAAAAAP/dGg=")</f>
        <v>#VALUE!</v>
      </c>
      <c r="DB108" t="e">
        <f>AND('PROG FORMACIÓN TITULADA'!X744,"AAAAAAP/dGk=")</f>
        <v>#VALUE!</v>
      </c>
      <c r="DC108" t="e">
        <f>AND('PROG FORMACIÓN TITULADA'!Y744,"AAAAAAP/dGo=")</f>
        <v>#VALUE!</v>
      </c>
      <c r="DD108" t="e">
        <f>AND('PROG FORMACIÓN TITULADA'!Z744,"AAAAAAP/dGs=")</f>
        <v>#VALUE!</v>
      </c>
      <c r="DE108">
        <f>IF('PROG FORMACIÓN TITULADA'!745:745,"AAAAAAP/dGw=",0)</f>
        <v>0</v>
      </c>
      <c r="DF108" t="e">
        <f>AND('PROG FORMACIÓN TITULADA'!A745,"AAAAAAP/dG0=")</f>
        <v>#VALUE!</v>
      </c>
      <c r="DG108" t="e">
        <f>AND('PROG FORMACIÓN TITULADA'!B745,"AAAAAAP/dG4=")</f>
        <v>#VALUE!</v>
      </c>
      <c r="DH108" t="e">
        <f>AND('PROG FORMACIÓN TITULADA'!C745,"AAAAAAP/dG8=")</f>
        <v>#VALUE!</v>
      </c>
      <c r="DI108" t="e">
        <f>AND('PROG FORMACIÓN TITULADA'!D745,"AAAAAAP/dHA=")</f>
        <v>#VALUE!</v>
      </c>
      <c r="DJ108" t="e">
        <f>AND('PROG FORMACIÓN TITULADA'!E745,"AAAAAAP/dHE=")</f>
        <v>#VALUE!</v>
      </c>
      <c r="DK108" t="e">
        <f>AND('PROG FORMACIÓN TITULADA'!F745,"AAAAAAP/dHI=")</f>
        <v>#VALUE!</v>
      </c>
      <c r="DL108" t="e">
        <f>AND('PROG FORMACIÓN TITULADA'!G745,"AAAAAAP/dHM=")</f>
        <v>#VALUE!</v>
      </c>
      <c r="DM108" t="e">
        <f>AND('PROG FORMACIÓN TITULADA'!H745,"AAAAAAP/dHQ=")</f>
        <v>#VALUE!</v>
      </c>
      <c r="DN108" t="e">
        <f>AND('PROG FORMACIÓN TITULADA'!I745,"AAAAAAP/dHU=")</f>
        <v>#VALUE!</v>
      </c>
      <c r="DO108" t="e">
        <f>AND('PROG FORMACIÓN TITULADA'!J745,"AAAAAAP/dHY=")</f>
        <v>#VALUE!</v>
      </c>
      <c r="DP108" t="e">
        <f>AND('PROG FORMACIÓN TITULADA'!K745,"AAAAAAP/dHc=")</f>
        <v>#VALUE!</v>
      </c>
      <c r="DQ108" t="e">
        <f>AND('PROG FORMACIÓN TITULADA'!L745,"AAAAAAP/dHg=")</f>
        <v>#VALUE!</v>
      </c>
      <c r="DR108" t="e">
        <f>AND('PROG FORMACIÓN TITULADA'!M745,"AAAAAAP/dHk=")</f>
        <v>#VALUE!</v>
      </c>
      <c r="DS108" t="e">
        <f>AND('PROG FORMACIÓN TITULADA'!N745,"AAAAAAP/dHo=")</f>
        <v>#VALUE!</v>
      </c>
      <c r="DT108" t="e">
        <f>AND('PROG FORMACIÓN TITULADA'!O745,"AAAAAAP/dHs=")</f>
        <v>#VALUE!</v>
      </c>
      <c r="DU108" t="e">
        <f>AND('PROG FORMACIÓN TITULADA'!P745,"AAAAAAP/dHw=")</f>
        <v>#VALUE!</v>
      </c>
      <c r="DV108" t="e">
        <f>AND('PROG FORMACIÓN TITULADA'!Q745,"AAAAAAP/dH0=")</f>
        <v>#VALUE!</v>
      </c>
      <c r="DW108" t="e">
        <f>AND('PROG FORMACIÓN TITULADA'!R745,"AAAAAAP/dH4=")</f>
        <v>#VALUE!</v>
      </c>
      <c r="DX108" t="e">
        <f>AND('PROG FORMACIÓN TITULADA'!S745,"AAAAAAP/dH8=")</f>
        <v>#VALUE!</v>
      </c>
      <c r="DY108" t="e">
        <f>AND('PROG FORMACIÓN TITULADA'!T745,"AAAAAAP/dIA=")</f>
        <v>#VALUE!</v>
      </c>
      <c r="DZ108" t="e">
        <f>AND('PROG FORMACIÓN TITULADA'!U745,"AAAAAAP/dIE=")</f>
        <v>#VALUE!</v>
      </c>
      <c r="EA108" t="e">
        <f>AND('PROG FORMACIÓN TITULADA'!V745,"AAAAAAP/dII=")</f>
        <v>#VALUE!</v>
      </c>
      <c r="EB108" t="e">
        <f>AND('PROG FORMACIÓN TITULADA'!W745,"AAAAAAP/dIM=")</f>
        <v>#VALUE!</v>
      </c>
      <c r="EC108" t="e">
        <f>AND('PROG FORMACIÓN TITULADA'!X745,"AAAAAAP/dIQ=")</f>
        <v>#VALUE!</v>
      </c>
      <c r="ED108" t="e">
        <f>AND('PROG FORMACIÓN TITULADA'!Y745,"AAAAAAP/dIU=")</f>
        <v>#VALUE!</v>
      </c>
      <c r="EE108" t="e">
        <f>AND('PROG FORMACIÓN TITULADA'!Z745,"AAAAAAP/dIY=")</f>
        <v>#VALUE!</v>
      </c>
      <c r="EF108">
        <f>IF('PROG FORMACIÓN TITULADA'!746:746,"AAAAAAP/dIc=",0)</f>
        <v>0</v>
      </c>
      <c r="EG108" t="e">
        <f>AND('PROG FORMACIÓN TITULADA'!A746,"AAAAAAP/dIg=")</f>
        <v>#VALUE!</v>
      </c>
      <c r="EH108" t="e">
        <f>AND('PROG FORMACIÓN TITULADA'!B746,"AAAAAAP/dIk=")</f>
        <v>#VALUE!</v>
      </c>
      <c r="EI108" t="e">
        <f>AND('PROG FORMACIÓN TITULADA'!C746,"AAAAAAP/dIo=")</f>
        <v>#VALUE!</v>
      </c>
      <c r="EJ108" t="e">
        <f>AND('PROG FORMACIÓN TITULADA'!D746,"AAAAAAP/dIs=")</f>
        <v>#VALUE!</v>
      </c>
      <c r="EK108" t="e">
        <f>AND('PROG FORMACIÓN TITULADA'!E746,"AAAAAAP/dIw=")</f>
        <v>#VALUE!</v>
      </c>
      <c r="EL108" t="e">
        <f>AND('PROG FORMACIÓN TITULADA'!F746,"AAAAAAP/dI0=")</f>
        <v>#VALUE!</v>
      </c>
      <c r="EM108" t="e">
        <f>AND('PROG FORMACIÓN TITULADA'!G746,"AAAAAAP/dI4=")</f>
        <v>#VALUE!</v>
      </c>
      <c r="EN108" t="e">
        <f>AND('PROG FORMACIÓN TITULADA'!H746,"AAAAAAP/dI8=")</f>
        <v>#VALUE!</v>
      </c>
      <c r="EO108" t="e">
        <f>AND('PROG FORMACIÓN TITULADA'!I746,"AAAAAAP/dJA=")</f>
        <v>#VALUE!</v>
      </c>
      <c r="EP108" t="e">
        <f>AND('PROG FORMACIÓN TITULADA'!J746,"AAAAAAP/dJE=")</f>
        <v>#VALUE!</v>
      </c>
      <c r="EQ108" t="e">
        <f>AND('PROG FORMACIÓN TITULADA'!K746,"AAAAAAP/dJI=")</f>
        <v>#VALUE!</v>
      </c>
      <c r="ER108" t="e">
        <f>AND('PROG FORMACIÓN TITULADA'!L746,"AAAAAAP/dJM=")</f>
        <v>#VALUE!</v>
      </c>
      <c r="ES108" t="e">
        <f>AND('PROG FORMACIÓN TITULADA'!M746,"AAAAAAP/dJQ=")</f>
        <v>#VALUE!</v>
      </c>
      <c r="ET108" t="e">
        <f>AND('PROG FORMACIÓN TITULADA'!N746,"AAAAAAP/dJU=")</f>
        <v>#VALUE!</v>
      </c>
      <c r="EU108" t="e">
        <f>AND('PROG FORMACIÓN TITULADA'!O746,"AAAAAAP/dJY=")</f>
        <v>#VALUE!</v>
      </c>
      <c r="EV108" t="e">
        <f>AND('PROG FORMACIÓN TITULADA'!P746,"AAAAAAP/dJc=")</f>
        <v>#VALUE!</v>
      </c>
      <c r="EW108" t="e">
        <f>AND('PROG FORMACIÓN TITULADA'!Q746,"AAAAAAP/dJg=")</f>
        <v>#VALUE!</v>
      </c>
      <c r="EX108" t="e">
        <f>AND('PROG FORMACIÓN TITULADA'!R746,"AAAAAAP/dJk=")</f>
        <v>#VALUE!</v>
      </c>
      <c r="EY108" t="e">
        <f>AND('PROG FORMACIÓN TITULADA'!S746,"AAAAAAP/dJo=")</f>
        <v>#VALUE!</v>
      </c>
      <c r="EZ108" t="e">
        <f>AND('PROG FORMACIÓN TITULADA'!T746,"AAAAAAP/dJs=")</f>
        <v>#VALUE!</v>
      </c>
      <c r="FA108" t="e">
        <f>AND('PROG FORMACIÓN TITULADA'!U746,"AAAAAAP/dJw=")</f>
        <v>#VALUE!</v>
      </c>
      <c r="FB108" t="e">
        <f>AND('PROG FORMACIÓN TITULADA'!V746,"AAAAAAP/dJ0=")</f>
        <v>#VALUE!</v>
      </c>
      <c r="FC108" t="e">
        <f>AND('PROG FORMACIÓN TITULADA'!W746,"AAAAAAP/dJ4=")</f>
        <v>#VALUE!</v>
      </c>
      <c r="FD108" t="e">
        <f>AND('PROG FORMACIÓN TITULADA'!X746,"AAAAAAP/dJ8=")</f>
        <v>#VALUE!</v>
      </c>
      <c r="FE108" t="e">
        <f>AND('PROG FORMACIÓN TITULADA'!Y746,"AAAAAAP/dKA=")</f>
        <v>#VALUE!</v>
      </c>
      <c r="FF108" t="e">
        <f>AND('PROG FORMACIÓN TITULADA'!Z746,"AAAAAAP/dKE=")</f>
        <v>#VALUE!</v>
      </c>
      <c r="FG108">
        <f>IF('PROG FORMACIÓN TITULADA'!747:747,"AAAAAAP/dKI=",0)</f>
        <v>0</v>
      </c>
      <c r="FH108" t="e">
        <f>AND('PROG FORMACIÓN TITULADA'!A747,"AAAAAAP/dKM=")</f>
        <v>#VALUE!</v>
      </c>
      <c r="FI108" t="e">
        <f>AND('PROG FORMACIÓN TITULADA'!B747,"AAAAAAP/dKQ=")</f>
        <v>#VALUE!</v>
      </c>
      <c r="FJ108" t="e">
        <f>AND('PROG FORMACIÓN TITULADA'!C747,"AAAAAAP/dKU=")</f>
        <v>#VALUE!</v>
      </c>
      <c r="FK108" t="e">
        <f>AND('PROG FORMACIÓN TITULADA'!D747,"AAAAAAP/dKY=")</f>
        <v>#VALUE!</v>
      </c>
      <c r="FL108" t="e">
        <f>AND('PROG FORMACIÓN TITULADA'!E747,"AAAAAAP/dKc=")</f>
        <v>#VALUE!</v>
      </c>
      <c r="FM108" t="e">
        <f>AND('PROG FORMACIÓN TITULADA'!F747,"AAAAAAP/dKg=")</f>
        <v>#VALUE!</v>
      </c>
      <c r="FN108" t="e">
        <f>AND('PROG FORMACIÓN TITULADA'!G747,"AAAAAAP/dKk=")</f>
        <v>#VALUE!</v>
      </c>
      <c r="FO108" t="e">
        <f>AND('PROG FORMACIÓN TITULADA'!H747,"AAAAAAP/dKo=")</f>
        <v>#VALUE!</v>
      </c>
      <c r="FP108" t="e">
        <f>AND('PROG FORMACIÓN TITULADA'!I747,"AAAAAAP/dKs=")</f>
        <v>#VALUE!</v>
      </c>
      <c r="FQ108" t="e">
        <f>AND('PROG FORMACIÓN TITULADA'!J747,"AAAAAAP/dKw=")</f>
        <v>#VALUE!</v>
      </c>
      <c r="FR108" t="e">
        <f>AND('PROG FORMACIÓN TITULADA'!K747,"AAAAAAP/dK0=")</f>
        <v>#VALUE!</v>
      </c>
      <c r="FS108" t="e">
        <f>AND('PROG FORMACIÓN TITULADA'!L747,"AAAAAAP/dK4=")</f>
        <v>#VALUE!</v>
      </c>
      <c r="FT108" t="e">
        <f>AND('PROG FORMACIÓN TITULADA'!M747,"AAAAAAP/dK8=")</f>
        <v>#VALUE!</v>
      </c>
      <c r="FU108" t="e">
        <f>AND('PROG FORMACIÓN TITULADA'!N747,"AAAAAAP/dLA=")</f>
        <v>#VALUE!</v>
      </c>
      <c r="FV108" t="e">
        <f>AND('PROG FORMACIÓN TITULADA'!O747,"AAAAAAP/dLE=")</f>
        <v>#VALUE!</v>
      </c>
      <c r="FW108" t="e">
        <f>AND('PROG FORMACIÓN TITULADA'!P747,"AAAAAAP/dLI=")</f>
        <v>#VALUE!</v>
      </c>
      <c r="FX108" t="e">
        <f>AND('PROG FORMACIÓN TITULADA'!Q747,"AAAAAAP/dLM=")</f>
        <v>#VALUE!</v>
      </c>
      <c r="FY108" t="e">
        <f>AND('PROG FORMACIÓN TITULADA'!R747,"AAAAAAP/dLQ=")</f>
        <v>#VALUE!</v>
      </c>
      <c r="FZ108" t="e">
        <f>AND('PROG FORMACIÓN TITULADA'!S747,"AAAAAAP/dLU=")</f>
        <v>#VALUE!</v>
      </c>
      <c r="GA108" t="e">
        <f>AND('PROG FORMACIÓN TITULADA'!T747,"AAAAAAP/dLY=")</f>
        <v>#VALUE!</v>
      </c>
      <c r="GB108" t="e">
        <f>AND('PROG FORMACIÓN TITULADA'!U747,"AAAAAAP/dLc=")</f>
        <v>#VALUE!</v>
      </c>
      <c r="GC108" t="e">
        <f>AND('PROG FORMACIÓN TITULADA'!V747,"AAAAAAP/dLg=")</f>
        <v>#VALUE!</v>
      </c>
      <c r="GD108" t="e">
        <f>AND('PROG FORMACIÓN TITULADA'!W747,"AAAAAAP/dLk=")</f>
        <v>#VALUE!</v>
      </c>
      <c r="GE108" t="e">
        <f>AND('PROG FORMACIÓN TITULADA'!X747,"AAAAAAP/dLo=")</f>
        <v>#VALUE!</v>
      </c>
      <c r="GF108" t="e">
        <f>AND('PROG FORMACIÓN TITULADA'!Y747,"AAAAAAP/dLs=")</f>
        <v>#VALUE!</v>
      </c>
      <c r="GG108" t="e">
        <f>AND('PROG FORMACIÓN TITULADA'!Z747,"AAAAAAP/dLw=")</f>
        <v>#VALUE!</v>
      </c>
      <c r="GH108">
        <f>IF('PROG FORMACIÓN TITULADA'!748:748,"AAAAAAP/dL0=",0)</f>
        <v>0</v>
      </c>
      <c r="GI108" t="e">
        <f>AND('PROG FORMACIÓN TITULADA'!A748,"AAAAAAP/dL4=")</f>
        <v>#VALUE!</v>
      </c>
      <c r="GJ108" t="e">
        <f>AND('PROG FORMACIÓN TITULADA'!B748,"AAAAAAP/dL8=")</f>
        <v>#VALUE!</v>
      </c>
      <c r="GK108" t="e">
        <f>AND('PROG FORMACIÓN TITULADA'!C748,"AAAAAAP/dMA=")</f>
        <v>#VALUE!</v>
      </c>
      <c r="GL108" t="e">
        <f>AND('PROG FORMACIÓN TITULADA'!D748,"AAAAAAP/dME=")</f>
        <v>#VALUE!</v>
      </c>
      <c r="GM108" t="e">
        <f>AND('PROG FORMACIÓN TITULADA'!E748,"AAAAAAP/dMI=")</f>
        <v>#VALUE!</v>
      </c>
      <c r="GN108" t="e">
        <f>AND('PROG FORMACIÓN TITULADA'!F748,"AAAAAAP/dMM=")</f>
        <v>#VALUE!</v>
      </c>
      <c r="GO108" t="e">
        <f>AND('PROG FORMACIÓN TITULADA'!G748,"AAAAAAP/dMQ=")</f>
        <v>#VALUE!</v>
      </c>
      <c r="GP108" t="e">
        <f>AND('PROG FORMACIÓN TITULADA'!H748,"AAAAAAP/dMU=")</f>
        <v>#VALUE!</v>
      </c>
      <c r="GQ108" t="e">
        <f>AND('PROG FORMACIÓN TITULADA'!I748,"AAAAAAP/dMY=")</f>
        <v>#VALUE!</v>
      </c>
      <c r="GR108" t="e">
        <f>AND('PROG FORMACIÓN TITULADA'!J748,"AAAAAAP/dMc=")</f>
        <v>#VALUE!</v>
      </c>
      <c r="GS108" t="e">
        <f>AND('PROG FORMACIÓN TITULADA'!K748,"AAAAAAP/dMg=")</f>
        <v>#VALUE!</v>
      </c>
      <c r="GT108" t="e">
        <f>AND('PROG FORMACIÓN TITULADA'!L748,"AAAAAAP/dMk=")</f>
        <v>#VALUE!</v>
      </c>
      <c r="GU108" t="e">
        <f>AND('PROG FORMACIÓN TITULADA'!M748,"AAAAAAP/dMo=")</f>
        <v>#VALUE!</v>
      </c>
      <c r="GV108" t="e">
        <f>AND('PROG FORMACIÓN TITULADA'!N748,"AAAAAAP/dMs=")</f>
        <v>#VALUE!</v>
      </c>
      <c r="GW108" t="e">
        <f>AND('PROG FORMACIÓN TITULADA'!O748,"AAAAAAP/dMw=")</f>
        <v>#VALUE!</v>
      </c>
      <c r="GX108" t="e">
        <f>AND('PROG FORMACIÓN TITULADA'!P748,"AAAAAAP/dM0=")</f>
        <v>#VALUE!</v>
      </c>
      <c r="GY108" t="e">
        <f>AND('PROG FORMACIÓN TITULADA'!Q748,"AAAAAAP/dM4=")</f>
        <v>#VALUE!</v>
      </c>
      <c r="GZ108" t="e">
        <f>AND('PROG FORMACIÓN TITULADA'!R748,"AAAAAAP/dM8=")</f>
        <v>#VALUE!</v>
      </c>
      <c r="HA108" t="e">
        <f>AND('PROG FORMACIÓN TITULADA'!S748,"AAAAAAP/dNA=")</f>
        <v>#VALUE!</v>
      </c>
      <c r="HB108" t="e">
        <f>AND('PROG FORMACIÓN TITULADA'!T748,"AAAAAAP/dNE=")</f>
        <v>#VALUE!</v>
      </c>
      <c r="HC108" t="e">
        <f>AND('PROG FORMACIÓN TITULADA'!U748,"AAAAAAP/dNI=")</f>
        <v>#VALUE!</v>
      </c>
      <c r="HD108" t="e">
        <f>AND('PROG FORMACIÓN TITULADA'!V748,"AAAAAAP/dNM=")</f>
        <v>#VALUE!</v>
      </c>
      <c r="HE108" t="e">
        <f>AND('PROG FORMACIÓN TITULADA'!W748,"AAAAAAP/dNQ=")</f>
        <v>#VALUE!</v>
      </c>
      <c r="HF108" t="e">
        <f>AND('PROG FORMACIÓN TITULADA'!X748,"AAAAAAP/dNU=")</f>
        <v>#VALUE!</v>
      </c>
      <c r="HG108" t="e">
        <f>AND('PROG FORMACIÓN TITULADA'!Y748,"AAAAAAP/dNY=")</f>
        <v>#VALUE!</v>
      </c>
      <c r="HH108" t="e">
        <f>AND('PROG FORMACIÓN TITULADA'!Z748,"AAAAAAP/dNc=")</f>
        <v>#VALUE!</v>
      </c>
      <c r="HI108">
        <f>IF('PROG FORMACIÓN TITULADA'!749:749,"AAAAAAP/dNg=",0)</f>
        <v>0</v>
      </c>
      <c r="HJ108" t="e">
        <f>AND('PROG FORMACIÓN TITULADA'!A749,"AAAAAAP/dNk=")</f>
        <v>#VALUE!</v>
      </c>
      <c r="HK108" t="e">
        <f>AND('PROG FORMACIÓN TITULADA'!B749,"AAAAAAP/dNo=")</f>
        <v>#VALUE!</v>
      </c>
      <c r="HL108" t="e">
        <f>AND('PROG FORMACIÓN TITULADA'!C749,"AAAAAAP/dNs=")</f>
        <v>#VALUE!</v>
      </c>
      <c r="HM108" t="e">
        <f>AND('PROG FORMACIÓN TITULADA'!D749,"AAAAAAP/dNw=")</f>
        <v>#VALUE!</v>
      </c>
      <c r="HN108" t="e">
        <f>AND('PROG FORMACIÓN TITULADA'!E749,"AAAAAAP/dN0=")</f>
        <v>#VALUE!</v>
      </c>
      <c r="HO108" t="e">
        <f>AND('PROG FORMACIÓN TITULADA'!F749,"AAAAAAP/dN4=")</f>
        <v>#VALUE!</v>
      </c>
      <c r="HP108" t="e">
        <f>AND('PROG FORMACIÓN TITULADA'!G749,"AAAAAAP/dN8=")</f>
        <v>#VALUE!</v>
      </c>
      <c r="HQ108" t="e">
        <f>AND('PROG FORMACIÓN TITULADA'!H749,"AAAAAAP/dOA=")</f>
        <v>#VALUE!</v>
      </c>
      <c r="HR108" t="e">
        <f>AND('PROG FORMACIÓN TITULADA'!I749,"AAAAAAP/dOE=")</f>
        <v>#VALUE!</v>
      </c>
      <c r="HS108" t="e">
        <f>AND('PROG FORMACIÓN TITULADA'!J749,"AAAAAAP/dOI=")</f>
        <v>#VALUE!</v>
      </c>
      <c r="HT108" t="e">
        <f>AND('PROG FORMACIÓN TITULADA'!K749,"AAAAAAP/dOM=")</f>
        <v>#VALUE!</v>
      </c>
      <c r="HU108" t="e">
        <f>AND('PROG FORMACIÓN TITULADA'!L749,"AAAAAAP/dOQ=")</f>
        <v>#VALUE!</v>
      </c>
      <c r="HV108" t="e">
        <f>AND('PROG FORMACIÓN TITULADA'!M749,"AAAAAAP/dOU=")</f>
        <v>#VALUE!</v>
      </c>
      <c r="HW108" t="e">
        <f>AND('PROG FORMACIÓN TITULADA'!N749,"AAAAAAP/dOY=")</f>
        <v>#VALUE!</v>
      </c>
      <c r="HX108" t="e">
        <f>AND('PROG FORMACIÓN TITULADA'!O749,"AAAAAAP/dOc=")</f>
        <v>#VALUE!</v>
      </c>
      <c r="HY108" t="e">
        <f>AND('PROG FORMACIÓN TITULADA'!P749,"AAAAAAP/dOg=")</f>
        <v>#VALUE!</v>
      </c>
      <c r="HZ108" t="e">
        <f>AND('PROG FORMACIÓN TITULADA'!Q749,"AAAAAAP/dOk=")</f>
        <v>#VALUE!</v>
      </c>
      <c r="IA108" t="e">
        <f>AND('PROG FORMACIÓN TITULADA'!R749,"AAAAAAP/dOo=")</f>
        <v>#VALUE!</v>
      </c>
      <c r="IB108" t="e">
        <f>AND('PROG FORMACIÓN TITULADA'!S749,"AAAAAAP/dOs=")</f>
        <v>#VALUE!</v>
      </c>
      <c r="IC108" t="e">
        <f>AND('PROG FORMACIÓN TITULADA'!T749,"AAAAAAP/dOw=")</f>
        <v>#VALUE!</v>
      </c>
      <c r="ID108" t="e">
        <f>AND('PROG FORMACIÓN TITULADA'!U749,"AAAAAAP/dO0=")</f>
        <v>#VALUE!</v>
      </c>
      <c r="IE108" t="e">
        <f>AND('PROG FORMACIÓN TITULADA'!V749,"AAAAAAP/dO4=")</f>
        <v>#VALUE!</v>
      </c>
      <c r="IF108" t="e">
        <f>AND('PROG FORMACIÓN TITULADA'!W749,"AAAAAAP/dO8=")</f>
        <v>#VALUE!</v>
      </c>
      <c r="IG108" t="e">
        <f>AND('PROG FORMACIÓN TITULADA'!X749,"AAAAAAP/dPA=")</f>
        <v>#VALUE!</v>
      </c>
      <c r="IH108" t="e">
        <f>AND('PROG FORMACIÓN TITULADA'!Y749,"AAAAAAP/dPE=")</f>
        <v>#VALUE!</v>
      </c>
      <c r="II108" t="e">
        <f>AND('PROG FORMACIÓN TITULADA'!Z749,"AAAAAAP/dPI=")</f>
        <v>#VALUE!</v>
      </c>
      <c r="IJ108">
        <f>IF('PROG FORMACIÓN TITULADA'!750:750,"AAAAAAP/dPM=",0)</f>
        <v>0</v>
      </c>
      <c r="IK108" t="e">
        <f>AND('PROG FORMACIÓN TITULADA'!A750,"AAAAAAP/dPQ=")</f>
        <v>#VALUE!</v>
      </c>
      <c r="IL108" t="e">
        <f>AND('PROG FORMACIÓN TITULADA'!B750,"AAAAAAP/dPU=")</f>
        <v>#VALUE!</v>
      </c>
      <c r="IM108" t="e">
        <f>AND('PROG FORMACIÓN TITULADA'!C750,"AAAAAAP/dPY=")</f>
        <v>#VALUE!</v>
      </c>
      <c r="IN108" t="e">
        <f>AND('PROG FORMACIÓN TITULADA'!D750,"AAAAAAP/dPc=")</f>
        <v>#VALUE!</v>
      </c>
      <c r="IO108" t="e">
        <f>AND('PROG FORMACIÓN TITULADA'!E750,"AAAAAAP/dPg=")</f>
        <v>#VALUE!</v>
      </c>
      <c r="IP108" t="e">
        <f>AND('PROG FORMACIÓN TITULADA'!F750,"AAAAAAP/dPk=")</f>
        <v>#VALUE!</v>
      </c>
      <c r="IQ108" t="e">
        <f>AND('PROG FORMACIÓN TITULADA'!G750,"AAAAAAP/dPo=")</f>
        <v>#VALUE!</v>
      </c>
      <c r="IR108" t="e">
        <f>AND('PROG FORMACIÓN TITULADA'!H750,"AAAAAAP/dPs=")</f>
        <v>#VALUE!</v>
      </c>
      <c r="IS108" t="e">
        <f>AND('PROG FORMACIÓN TITULADA'!I750,"AAAAAAP/dPw=")</f>
        <v>#VALUE!</v>
      </c>
      <c r="IT108" t="e">
        <f>AND('PROG FORMACIÓN TITULADA'!J750,"AAAAAAP/dP0=")</f>
        <v>#VALUE!</v>
      </c>
      <c r="IU108" t="e">
        <f>AND('PROG FORMACIÓN TITULADA'!K750,"AAAAAAP/dP4=")</f>
        <v>#VALUE!</v>
      </c>
      <c r="IV108" t="e">
        <f>AND('PROG FORMACIÓN TITULADA'!L750,"AAAAAAP/dP8=")</f>
        <v>#VALUE!</v>
      </c>
    </row>
    <row r="109" spans="1:256" x14ac:dyDescent="0.2">
      <c r="A109" t="e">
        <f>AND('PROG FORMACIÓN TITULADA'!M750,"AAAAAB3H/QA=")</f>
        <v>#VALUE!</v>
      </c>
      <c r="B109" t="e">
        <f>AND('PROG FORMACIÓN TITULADA'!N750,"AAAAAB3H/QE=")</f>
        <v>#VALUE!</v>
      </c>
      <c r="C109" t="e">
        <f>AND('PROG FORMACIÓN TITULADA'!O750,"AAAAAB3H/QI=")</f>
        <v>#VALUE!</v>
      </c>
      <c r="D109" t="e">
        <f>AND('PROG FORMACIÓN TITULADA'!P750,"AAAAAB3H/QM=")</f>
        <v>#VALUE!</v>
      </c>
      <c r="E109" t="e">
        <f>AND('PROG FORMACIÓN TITULADA'!Q750,"AAAAAB3H/QQ=")</f>
        <v>#VALUE!</v>
      </c>
      <c r="F109" t="e">
        <f>AND('PROG FORMACIÓN TITULADA'!R750,"AAAAAB3H/QU=")</f>
        <v>#VALUE!</v>
      </c>
      <c r="G109" t="e">
        <f>AND('PROG FORMACIÓN TITULADA'!S750,"AAAAAB3H/QY=")</f>
        <v>#VALUE!</v>
      </c>
      <c r="H109" t="e">
        <f>AND('PROG FORMACIÓN TITULADA'!T750,"AAAAAB3H/Qc=")</f>
        <v>#VALUE!</v>
      </c>
      <c r="I109" t="e">
        <f>AND('PROG FORMACIÓN TITULADA'!U750,"AAAAAB3H/Qg=")</f>
        <v>#VALUE!</v>
      </c>
      <c r="J109" t="e">
        <f>AND('PROG FORMACIÓN TITULADA'!V750,"AAAAAB3H/Qk=")</f>
        <v>#VALUE!</v>
      </c>
      <c r="K109" t="e">
        <f>AND('PROG FORMACIÓN TITULADA'!W750,"AAAAAB3H/Qo=")</f>
        <v>#VALUE!</v>
      </c>
      <c r="L109" t="e">
        <f>AND('PROG FORMACIÓN TITULADA'!X750,"AAAAAB3H/Qs=")</f>
        <v>#VALUE!</v>
      </c>
      <c r="M109" t="e">
        <f>AND('PROG FORMACIÓN TITULADA'!Y750,"AAAAAB3H/Qw=")</f>
        <v>#VALUE!</v>
      </c>
      <c r="N109" t="e">
        <f>AND('PROG FORMACIÓN TITULADA'!Z750,"AAAAAB3H/Q0=")</f>
        <v>#VALUE!</v>
      </c>
      <c r="O109">
        <f>IF('PROG FORMACIÓN TITULADA'!751:751,"AAAAAB3H/Q4=",0)</f>
        <v>0</v>
      </c>
      <c r="P109" t="e">
        <f>AND('PROG FORMACIÓN TITULADA'!A751,"AAAAAB3H/Q8=")</f>
        <v>#VALUE!</v>
      </c>
      <c r="Q109" t="e">
        <f>AND('PROG FORMACIÓN TITULADA'!B751,"AAAAAB3H/RA=")</f>
        <v>#VALUE!</v>
      </c>
      <c r="R109" t="e">
        <f>AND('PROG FORMACIÓN TITULADA'!C751,"AAAAAB3H/RE=")</f>
        <v>#VALUE!</v>
      </c>
      <c r="S109" t="e">
        <f>AND('PROG FORMACIÓN TITULADA'!D751,"AAAAAB3H/RI=")</f>
        <v>#VALUE!</v>
      </c>
      <c r="T109" t="e">
        <f>AND('PROG FORMACIÓN TITULADA'!E751,"AAAAAB3H/RM=")</f>
        <v>#VALUE!</v>
      </c>
      <c r="U109" t="e">
        <f>AND('PROG FORMACIÓN TITULADA'!F751,"AAAAAB3H/RQ=")</f>
        <v>#VALUE!</v>
      </c>
      <c r="V109" t="e">
        <f>AND('PROG FORMACIÓN TITULADA'!G751,"AAAAAB3H/RU=")</f>
        <v>#VALUE!</v>
      </c>
      <c r="W109" t="e">
        <f>AND('PROG FORMACIÓN TITULADA'!H751,"AAAAAB3H/RY=")</f>
        <v>#VALUE!</v>
      </c>
      <c r="X109" t="e">
        <f>AND('PROG FORMACIÓN TITULADA'!I751,"AAAAAB3H/Rc=")</f>
        <v>#VALUE!</v>
      </c>
      <c r="Y109" t="e">
        <f>AND('PROG FORMACIÓN TITULADA'!J751,"AAAAAB3H/Rg=")</f>
        <v>#VALUE!</v>
      </c>
      <c r="Z109" t="e">
        <f>AND('PROG FORMACIÓN TITULADA'!K751,"AAAAAB3H/Rk=")</f>
        <v>#VALUE!</v>
      </c>
      <c r="AA109" t="e">
        <f>AND('PROG FORMACIÓN TITULADA'!L751,"AAAAAB3H/Ro=")</f>
        <v>#VALUE!</v>
      </c>
      <c r="AB109" t="e">
        <f>AND('PROG FORMACIÓN TITULADA'!M751,"AAAAAB3H/Rs=")</f>
        <v>#VALUE!</v>
      </c>
      <c r="AC109" t="e">
        <f>AND('PROG FORMACIÓN TITULADA'!N751,"AAAAAB3H/Rw=")</f>
        <v>#VALUE!</v>
      </c>
      <c r="AD109" t="e">
        <f>AND('PROG FORMACIÓN TITULADA'!O751,"AAAAAB3H/R0=")</f>
        <v>#VALUE!</v>
      </c>
      <c r="AE109" t="e">
        <f>AND('PROG FORMACIÓN TITULADA'!P751,"AAAAAB3H/R4=")</f>
        <v>#VALUE!</v>
      </c>
      <c r="AF109" t="e">
        <f>AND('PROG FORMACIÓN TITULADA'!Q751,"AAAAAB3H/R8=")</f>
        <v>#VALUE!</v>
      </c>
      <c r="AG109" t="e">
        <f>AND('PROG FORMACIÓN TITULADA'!R751,"AAAAAB3H/SA=")</f>
        <v>#VALUE!</v>
      </c>
      <c r="AH109" t="e">
        <f>AND('PROG FORMACIÓN TITULADA'!S751,"AAAAAB3H/SE=")</f>
        <v>#VALUE!</v>
      </c>
      <c r="AI109" t="e">
        <f>AND('PROG FORMACIÓN TITULADA'!T751,"AAAAAB3H/SI=")</f>
        <v>#VALUE!</v>
      </c>
      <c r="AJ109" t="e">
        <f>AND('PROG FORMACIÓN TITULADA'!U751,"AAAAAB3H/SM=")</f>
        <v>#VALUE!</v>
      </c>
      <c r="AK109" t="e">
        <f>AND('PROG FORMACIÓN TITULADA'!V751,"AAAAAB3H/SQ=")</f>
        <v>#VALUE!</v>
      </c>
      <c r="AL109" t="e">
        <f>AND('PROG FORMACIÓN TITULADA'!W751,"AAAAAB3H/SU=")</f>
        <v>#VALUE!</v>
      </c>
      <c r="AM109" t="e">
        <f>AND('PROG FORMACIÓN TITULADA'!X751,"AAAAAB3H/SY=")</f>
        <v>#VALUE!</v>
      </c>
      <c r="AN109" t="e">
        <f>AND('PROG FORMACIÓN TITULADA'!Y751,"AAAAAB3H/Sc=")</f>
        <v>#VALUE!</v>
      </c>
      <c r="AO109" t="e">
        <f>AND('PROG FORMACIÓN TITULADA'!Z751,"AAAAAB3H/Sg=")</f>
        <v>#VALUE!</v>
      </c>
      <c r="AP109">
        <f>IF('PROG FORMACIÓN TITULADA'!752:752,"AAAAAB3H/Sk=",0)</f>
        <v>0</v>
      </c>
      <c r="AQ109" t="e">
        <f>AND('PROG FORMACIÓN TITULADA'!A752,"AAAAAB3H/So=")</f>
        <v>#VALUE!</v>
      </c>
      <c r="AR109" t="e">
        <f>AND('PROG FORMACIÓN TITULADA'!B752,"AAAAAB3H/Ss=")</f>
        <v>#VALUE!</v>
      </c>
      <c r="AS109" t="e">
        <f>AND('PROG FORMACIÓN TITULADA'!C752,"AAAAAB3H/Sw=")</f>
        <v>#VALUE!</v>
      </c>
      <c r="AT109" t="e">
        <f>AND('PROG FORMACIÓN TITULADA'!D752,"AAAAAB3H/S0=")</f>
        <v>#VALUE!</v>
      </c>
      <c r="AU109" t="e">
        <f>AND('PROG FORMACIÓN TITULADA'!E752,"AAAAAB3H/S4=")</f>
        <v>#VALUE!</v>
      </c>
      <c r="AV109" t="e">
        <f>AND('PROG FORMACIÓN TITULADA'!F752,"AAAAAB3H/S8=")</f>
        <v>#VALUE!</v>
      </c>
      <c r="AW109" t="e">
        <f>AND('PROG FORMACIÓN TITULADA'!G752,"AAAAAB3H/TA=")</f>
        <v>#VALUE!</v>
      </c>
      <c r="AX109" t="e">
        <f>AND('PROG FORMACIÓN TITULADA'!H752,"AAAAAB3H/TE=")</f>
        <v>#VALUE!</v>
      </c>
      <c r="AY109" t="e">
        <f>AND('PROG FORMACIÓN TITULADA'!I752,"AAAAAB3H/TI=")</f>
        <v>#VALUE!</v>
      </c>
      <c r="AZ109" t="e">
        <f>AND('PROG FORMACIÓN TITULADA'!J752,"AAAAAB3H/TM=")</f>
        <v>#VALUE!</v>
      </c>
      <c r="BA109" t="e">
        <f>AND('PROG FORMACIÓN TITULADA'!K752,"AAAAAB3H/TQ=")</f>
        <v>#VALUE!</v>
      </c>
      <c r="BB109" t="e">
        <f>AND('PROG FORMACIÓN TITULADA'!L752,"AAAAAB3H/TU=")</f>
        <v>#VALUE!</v>
      </c>
      <c r="BC109" t="e">
        <f>AND('PROG FORMACIÓN TITULADA'!M752,"AAAAAB3H/TY=")</f>
        <v>#VALUE!</v>
      </c>
      <c r="BD109" t="e">
        <f>AND('PROG FORMACIÓN TITULADA'!N752,"AAAAAB3H/Tc=")</f>
        <v>#VALUE!</v>
      </c>
      <c r="BE109" t="e">
        <f>AND('PROG FORMACIÓN TITULADA'!O752,"AAAAAB3H/Tg=")</f>
        <v>#VALUE!</v>
      </c>
      <c r="BF109" t="e">
        <f>AND('PROG FORMACIÓN TITULADA'!P752,"AAAAAB3H/Tk=")</f>
        <v>#VALUE!</v>
      </c>
      <c r="BG109" t="e">
        <f>AND('PROG FORMACIÓN TITULADA'!Q752,"AAAAAB3H/To=")</f>
        <v>#VALUE!</v>
      </c>
      <c r="BH109" t="e">
        <f>AND('PROG FORMACIÓN TITULADA'!R752,"AAAAAB3H/Ts=")</f>
        <v>#VALUE!</v>
      </c>
      <c r="BI109" t="e">
        <f>AND('PROG FORMACIÓN TITULADA'!S752,"AAAAAB3H/Tw=")</f>
        <v>#VALUE!</v>
      </c>
      <c r="BJ109" t="e">
        <f>AND('PROG FORMACIÓN TITULADA'!T752,"AAAAAB3H/T0=")</f>
        <v>#VALUE!</v>
      </c>
      <c r="BK109" t="e">
        <f>AND('PROG FORMACIÓN TITULADA'!U752,"AAAAAB3H/T4=")</f>
        <v>#VALUE!</v>
      </c>
      <c r="BL109" t="e">
        <f>AND('PROG FORMACIÓN TITULADA'!V752,"AAAAAB3H/T8=")</f>
        <v>#VALUE!</v>
      </c>
      <c r="BM109" t="e">
        <f>AND('PROG FORMACIÓN TITULADA'!W752,"AAAAAB3H/UA=")</f>
        <v>#VALUE!</v>
      </c>
      <c r="BN109" t="e">
        <f>AND('PROG FORMACIÓN TITULADA'!X752,"AAAAAB3H/UE=")</f>
        <v>#VALUE!</v>
      </c>
      <c r="BO109" t="e">
        <f>AND('PROG FORMACIÓN TITULADA'!Y752,"AAAAAB3H/UI=")</f>
        <v>#VALUE!</v>
      </c>
      <c r="BP109" t="e">
        <f>AND('PROG FORMACIÓN TITULADA'!Z752,"AAAAAB3H/UM=")</f>
        <v>#VALUE!</v>
      </c>
      <c r="BQ109">
        <f>IF('PROG FORMACIÓN TITULADA'!753:753,"AAAAAB3H/UQ=",0)</f>
        <v>0</v>
      </c>
      <c r="BR109" t="e">
        <f>AND('PROG FORMACIÓN TITULADA'!A753,"AAAAAB3H/UU=")</f>
        <v>#VALUE!</v>
      </c>
      <c r="BS109" t="e">
        <f>AND('PROG FORMACIÓN TITULADA'!B753,"AAAAAB3H/UY=")</f>
        <v>#VALUE!</v>
      </c>
      <c r="BT109" t="e">
        <f>AND('PROG FORMACIÓN TITULADA'!C753,"AAAAAB3H/Uc=")</f>
        <v>#VALUE!</v>
      </c>
      <c r="BU109" t="e">
        <f>AND('PROG FORMACIÓN TITULADA'!D753,"AAAAAB3H/Ug=")</f>
        <v>#VALUE!</v>
      </c>
      <c r="BV109" t="e">
        <f>AND('PROG FORMACIÓN TITULADA'!E753,"AAAAAB3H/Uk=")</f>
        <v>#VALUE!</v>
      </c>
      <c r="BW109" t="e">
        <f>AND('PROG FORMACIÓN TITULADA'!F753,"AAAAAB3H/Uo=")</f>
        <v>#VALUE!</v>
      </c>
      <c r="BX109" t="e">
        <f>AND('PROG FORMACIÓN TITULADA'!G753,"AAAAAB3H/Us=")</f>
        <v>#VALUE!</v>
      </c>
      <c r="BY109" t="e">
        <f>AND('PROG FORMACIÓN TITULADA'!H753,"AAAAAB3H/Uw=")</f>
        <v>#VALUE!</v>
      </c>
      <c r="BZ109" t="e">
        <f>AND('PROG FORMACIÓN TITULADA'!I753,"AAAAAB3H/U0=")</f>
        <v>#VALUE!</v>
      </c>
      <c r="CA109" t="e">
        <f>AND('PROG FORMACIÓN TITULADA'!J753,"AAAAAB3H/U4=")</f>
        <v>#VALUE!</v>
      </c>
      <c r="CB109" t="e">
        <f>AND('PROG FORMACIÓN TITULADA'!K753,"AAAAAB3H/U8=")</f>
        <v>#VALUE!</v>
      </c>
      <c r="CC109" t="e">
        <f>AND('PROG FORMACIÓN TITULADA'!L753,"AAAAAB3H/VA=")</f>
        <v>#VALUE!</v>
      </c>
      <c r="CD109" t="e">
        <f>AND('PROG FORMACIÓN TITULADA'!M753,"AAAAAB3H/VE=")</f>
        <v>#VALUE!</v>
      </c>
      <c r="CE109" t="e">
        <f>AND('PROG FORMACIÓN TITULADA'!N753,"AAAAAB3H/VI=")</f>
        <v>#VALUE!</v>
      </c>
      <c r="CF109" t="e">
        <f>AND('PROG FORMACIÓN TITULADA'!O753,"AAAAAB3H/VM=")</f>
        <v>#VALUE!</v>
      </c>
      <c r="CG109" t="e">
        <f>AND('PROG FORMACIÓN TITULADA'!P753,"AAAAAB3H/VQ=")</f>
        <v>#VALUE!</v>
      </c>
      <c r="CH109" t="e">
        <f>AND('PROG FORMACIÓN TITULADA'!Q753,"AAAAAB3H/VU=")</f>
        <v>#VALUE!</v>
      </c>
      <c r="CI109" t="e">
        <f>AND('PROG FORMACIÓN TITULADA'!R753,"AAAAAB3H/VY=")</f>
        <v>#VALUE!</v>
      </c>
      <c r="CJ109" t="e">
        <f>AND('PROG FORMACIÓN TITULADA'!S753,"AAAAAB3H/Vc=")</f>
        <v>#VALUE!</v>
      </c>
      <c r="CK109" t="e">
        <f>AND('PROG FORMACIÓN TITULADA'!T753,"AAAAAB3H/Vg=")</f>
        <v>#VALUE!</v>
      </c>
      <c r="CL109" t="e">
        <f>AND('PROG FORMACIÓN TITULADA'!U753,"AAAAAB3H/Vk=")</f>
        <v>#VALUE!</v>
      </c>
      <c r="CM109" t="e">
        <f>AND('PROG FORMACIÓN TITULADA'!V753,"AAAAAB3H/Vo=")</f>
        <v>#VALUE!</v>
      </c>
      <c r="CN109" t="e">
        <f>AND('PROG FORMACIÓN TITULADA'!W753,"AAAAAB3H/Vs=")</f>
        <v>#VALUE!</v>
      </c>
      <c r="CO109" t="e">
        <f>AND('PROG FORMACIÓN TITULADA'!X753,"AAAAAB3H/Vw=")</f>
        <v>#VALUE!</v>
      </c>
      <c r="CP109" t="e">
        <f>AND('PROG FORMACIÓN TITULADA'!Y753,"AAAAAB3H/V0=")</f>
        <v>#VALUE!</v>
      </c>
      <c r="CQ109" t="e">
        <f>AND('PROG FORMACIÓN TITULADA'!Z753,"AAAAAB3H/V4=")</f>
        <v>#VALUE!</v>
      </c>
      <c r="CR109">
        <f>IF('PROG FORMACIÓN TITULADA'!754:754,"AAAAAB3H/V8=",0)</f>
        <v>0</v>
      </c>
      <c r="CS109" t="e">
        <f>AND('PROG FORMACIÓN TITULADA'!A754,"AAAAAB3H/WA=")</f>
        <v>#VALUE!</v>
      </c>
      <c r="CT109" t="e">
        <f>AND('PROG FORMACIÓN TITULADA'!B754,"AAAAAB3H/WE=")</f>
        <v>#VALUE!</v>
      </c>
      <c r="CU109" t="e">
        <f>AND('PROG FORMACIÓN TITULADA'!C754,"AAAAAB3H/WI=")</f>
        <v>#VALUE!</v>
      </c>
      <c r="CV109" t="e">
        <f>AND('PROG FORMACIÓN TITULADA'!D754,"AAAAAB3H/WM=")</f>
        <v>#VALUE!</v>
      </c>
      <c r="CW109" t="e">
        <f>AND('PROG FORMACIÓN TITULADA'!E754,"AAAAAB3H/WQ=")</f>
        <v>#VALUE!</v>
      </c>
      <c r="CX109" t="e">
        <f>AND('PROG FORMACIÓN TITULADA'!F754,"AAAAAB3H/WU=")</f>
        <v>#VALUE!</v>
      </c>
      <c r="CY109" t="e">
        <f>AND('PROG FORMACIÓN TITULADA'!G754,"AAAAAB3H/WY=")</f>
        <v>#VALUE!</v>
      </c>
      <c r="CZ109" t="e">
        <f>AND('PROG FORMACIÓN TITULADA'!H754,"AAAAAB3H/Wc=")</f>
        <v>#VALUE!</v>
      </c>
      <c r="DA109" t="e">
        <f>AND('PROG FORMACIÓN TITULADA'!I754,"AAAAAB3H/Wg=")</f>
        <v>#VALUE!</v>
      </c>
      <c r="DB109" t="e">
        <f>AND('PROG FORMACIÓN TITULADA'!J754,"AAAAAB3H/Wk=")</f>
        <v>#VALUE!</v>
      </c>
      <c r="DC109" t="e">
        <f>AND('PROG FORMACIÓN TITULADA'!K754,"AAAAAB3H/Wo=")</f>
        <v>#VALUE!</v>
      </c>
      <c r="DD109" t="e">
        <f>AND('PROG FORMACIÓN TITULADA'!L754,"AAAAAB3H/Ws=")</f>
        <v>#VALUE!</v>
      </c>
      <c r="DE109" t="e">
        <f>AND('PROG FORMACIÓN TITULADA'!M754,"AAAAAB3H/Ww=")</f>
        <v>#VALUE!</v>
      </c>
      <c r="DF109" t="e">
        <f>AND('PROG FORMACIÓN TITULADA'!N754,"AAAAAB3H/W0=")</f>
        <v>#VALUE!</v>
      </c>
      <c r="DG109" t="e">
        <f>AND('PROG FORMACIÓN TITULADA'!O754,"AAAAAB3H/W4=")</f>
        <v>#VALUE!</v>
      </c>
      <c r="DH109" t="e">
        <f>AND('PROG FORMACIÓN TITULADA'!P754,"AAAAAB3H/W8=")</f>
        <v>#VALUE!</v>
      </c>
      <c r="DI109" t="e">
        <f>AND('PROG FORMACIÓN TITULADA'!Q754,"AAAAAB3H/XA=")</f>
        <v>#VALUE!</v>
      </c>
      <c r="DJ109" t="e">
        <f>AND('PROG FORMACIÓN TITULADA'!R754,"AAAAAB3H/XE=")</f>
        <v>#VALUE!</v>
      </c>
      <c r="DK109" t="e">
        <f>AND('PROG FORMACIÓN TITULADA'!S754,"AAAAAB3H/XI=")</f>
        <v>#VALUE!</v>
      </c>
      <c r="DL109" t="e">
        <f>AND('PROG FORMACIÓN TITULADA'!T754,"AAAAAB3H/XM=")</f>
        <v>#VALUE!</v>
      </c>
      <c r="DM109" t="e">
        <f>AND('PROG FORMACIÓN TITULADA'!U754,"AAAAAB3H/XQ=")</f>
        <v>#VALUE!</v>
      </c>
      <c r="DN109" t="e">
        <f>AND('PROG FORMACIÓN TITULADA'!V754,"AAAAAB3H/XU=")</f>
        <v>#VALUE!</v>
      </c>
      <c r="DO109" t="e">
        <f>AND('PROG FORMACIÓN TITULADA'!W754,"AAAAAB3H/XY=")</f>
        <v>#VALUE!</v>
      </c>
      <c r="DP109" t="e">
        <f>AND('PROG FORMACIÓN TITULADA'!X754,"AAAAAB3H/Xc=")</f>
        <v>#VALUE!</v>
      </c>
      <c r="DQ109" t="e">
        <f>AND('PROG FORMACIÓN TITULADA'!Y754,"AAAAAB3H/Xg=")</f>
        <v>#VALUE!</v>
      </c>
      <c r="DR109" t="e">
        <f>AND('PROG FORMACIÓN TITULADA'!Z754,"AAAAAB3H/Xk=")</f>
        <v>#VALUE!</v>
      </c>
      <c r="DS109">
        <f>IF('PROG FORMACIÓN TITULADA'!755:755,"AAAAAB3H/Xo=",0)</f>
        <v>0</v>
      </c>
      <c r="DT109" t="e">
        <f>AND('PROG FORMACIÓN TITULADA'!A755,"AAAAAB3H/Xs=")</f>
        <v>#VALUE!</v>
      </c>
      <c r="DU109" t="e">
        <f>AND('PROG FORMACIÓN TITULADA'!B755,"AAAAAB3H/Xw=")</f>
        <v>#VALUE!</v>
      </c>
      <c r="DV109" t="e">
        <f>AND('PROG FORMACIÓN TITULADA'!C755,"AAAAAB3H/X0=")</f>
        <v>#VALUE!</v>
      </c>
      <c r="DW109" t="e">
        <f>AND('PROG FORMACIÓN TITULADA'!D755,"AAAAAB3H/X4=")</f>
        <v>#VALUE!</v>
      </c>
      <c r="DX109" t="e">
        <f>AND('PROG FORMACIÓN TITULADA'!E755,"AAAAAB3H/X8=")</f>
        <v>#VALUE!</v>
      </c>
      <c r="DY109" t="e">
        <f>AND('PROG FORMACIÓN TITULADA'!F755,"AAAAAB3H/YA=")</f>
        <v>#VALUE!</v>
      </c>
      <c r="DZ109" t="e">
        <f>AND('PROG FORMACIÓN TITULADA'!G755,"AAAAAB3H/YE=")</f>
        <v>#VALUE!</v>
      </c>
      <c r="EA109" t="e">
        <f>AND('PROG FORMACIÓN TITULADA'!H755,"AAAAAB3H/YI=")</f>
        <v>#VALUE!</v>
      </c>
      <c r="EB109" t="e">
        <f>AND('PROG FORMACIÓN TITULADA'!I755,"AAAAAB3H/YM=")</f>
        <v>#VALUE!</v>
      </c>
      <c r="EC109" t="e">
        <f>AND('PROG FORMACIÓN TITULADA'!J755,"AAAAAB3H/YQ=")</f>
        <v>#VALUE!</v>
      </c>
      <c r="ED109" t="e">
        <f>AND('PROG FORMACIÓN TITULADA'!K755,"AAAAAB3H/YU=")</f>
        <v>#VALUE!</v>
      </c>
      <c r="EE109" t="e">
        <f>AND('PROG FORMACIÓN TITULADA'!L755,"AAAAAB3H/YY=")</f>
        <v>#VALUE!</v>
      </c>
      <c r="EF109" t="e">
        <f>AND('PROG FORMACIÓN TITULADA'!M755,"AAAAAB3H/Yc=")</f>
        <v>#VALUE!</v>
      </c>
      <c r="EG109" t="e">
        <f>AND('PROG FORMACIÓN TITULADA'!N755,"AAAAAB3H/Yg=")</f>
        <v>#VALUE!</v>
      </c>
      <c r="EH109" t="e">
        <f>AND('PROG FORMACIÓN TITULADA'!O755,"AAAAAB3H/Yk=")</f>
        <v>#VALUE!</v>
      </c>
      <c r="EI109" t="e">
        <f>AND('PROG FORMACIÓN TITULADA'!P755,"AAAAAB3H/Yo=")</f>
        <v>#VALUE!</v>
      </c>
      <c r="EJ109" t="e">
        <f>AND('PROG FORMACIÓN TITULADA'!Q755,"AAAAAB3H/Ys=")</f>
        <v>#VALUE!</v>
      </c>
      <c r="EK109" t="e">
        <f>AND('PROG FORMACIÓN TITULADA'!R755,"AAAAAB3H/Yw=")</f>
        <v>#VALUE!</v>
      </c>
      <c r="EL109" t="e">
        <f>AND('PROG FORMACIÓN TITULADA'!S755,"AAAAAB3H/Y0=")</f>
        <v>#VALUE!</v>
      </c>
      <c r="EM109" t="e">
        <f>AND('PROG FORMACIÓN TITULADA'!T755,"AAAAAB3H/Y4=")</f>
        <v>#VALUE!</v>
      </c>
      <c r="EN109" t="e">
        <f>AND('PROG FORMACIÓN TITULADA'!U755,"AAAAAB3H/Y8=")</f>
        <v>#VALUE!</v>
      </c>
      <c r="EO109" t="e">
        <f>AND('PROG FORMACIÓN TITULADA'!V755,"AAAAAB3H/ZA=")</f>
        <v>#VALUE!</v>
      </c>
      <c r="EP109" t="e">
        <f>AND('PROG FORMACIÓN TITULADA'!W755,"AAAAAB3H/ZE=")</f>
        <v>#VALUE!</v>
      </c>
      <c r="EQ109" t="e">
        <f>AND('PROG FORMACIÓN TITULADA'!X755,"AAAAAB3H/ZI=")</f>
        <v>#VALUE!</v>
      </c>
      <c r="ER109" t="e">
        <f>AND('PROG FORMACIÓN TITULADA'!Y755,"AAAAAB3H/ZM=")</f>
        <v>#VALUE!</v>
      </c>
      <c r="ES109" t="e">
        <f>AND('PROG FORMACIÓN TITULADA'!Z755,"AAAAAB3H/ZQ=")</f>
        <v>#VALUE!</v>
      </c>
      <c r="ET109">
        <f>IF('PROG FORMACIÓN TITULADA'!756:756,"AAAAAB3H/ZU=",0)</f>
        <v>0</v>
      </c>
      <c r="EU109" t="e">
        <f>AND('PROG FORMACIÓN TITULADA'!A756,"AAAAAB3H/ZY=")</f>
        <v>#VALUE!</v>
      </c>
      <c r="EV109" t="e">
        <f>AND('PROG FORMACIÓN TITULADA'!B756,"AAAAAB3H/Zc=")</f>
        <v>#VALUE!</v>
      </c>
      <c r="EW109" t="e">
        <f>AND('PROG FORMACIÓN TITULADA'!C756,"AAAAAB3H/Zg=")</f>
        <v>#VALUE!</v>
      </c>
      <c r="EX109" t="e">
        <f>AND('PROG FORMACIÓN TITULADA'!D756,"AAAAAB3H/Zk=")</f>
        <v>#VALUE!</v>
      </c>
      <c r="EY109" t="e">
        <f>AND('PROG FORMACIÓN TITULADA'!E756,"AAAAAB3H/Zo=")</f>
        <v>#VALUE!</v>
      </c>
      <c r="EZ109" t="e">
        <f>AND('PROG FORMACIÓN TITULADA'!F756,"AAAAAB3H/Zs=")</f>
        <v>#VALUE!</v>
      </c>
      <c r="FA109" t="e">
        <f>AND('PROG FORMACIÓN TITULADA'!G756,"AAAAAB3H/Zw=")</f>
        <v>#VALUE!</v>
      </c>
      <c r="FB109" t="e">
        <f>AND('PROG FORMACIÓN TITULADA'!H756,"AAAAAB3H/Z0=")</f>
        <v>#VALUE!</v>
      </c>
      <c r="FC109" t="e">
        <f>AND('PROG FORMACIÓN TITULADA'!I756,"AAAAAB3H/Z4=")</f>
        <v>#VALUE!</v>
      </c>
      <c r="FD109" t="e">
        <f>AND('PROG FORMACIÓN TITULADA'!J756,"AAAAAB3H/Z8=")</f>
        <v>#VALUE!</v>
      </c>
      <c r="FE109" t="e">
        <f>AND('PROG FORMACIÓN TITULADA'!K756,"AAAAAB3H/aA=")</f>
        <v>#VALUE!</v>
      </c>
      <c r="FF109" t="e">
        <f>AND('PROG FORMACIÓN TITULADA'!L756,"AAAAAB3H/aE=")</f>
        <v>#VALUE!</v>
      </c>
      <c r="FG109" t="e">
        <f>AND('PROG FORMACIÓN TITULADA'!M756,"AAAAAB3H/aI=")</f>
        <v>#VALUE!</v>
      </c>
      <c r="FH109" t="e">
        <f>AND('PROG FORMACIÓN TITULADA'!N756,"AAAAAB3H/aM=")</f>
        <v>#VALUE!</v>
      </c>
      <c r="FI109" t="e">
        <f>AND('PROG FORMACIÓN TITULADA'!O756,"AAAAAB3H/aQ=")</f>
        <v>#VALUE!</v>
      </c>
      <c r="FJ109" t="e">
        <f>AND('PROG FORMACIÓN TITULADA'!P756,"AAAAAB3H/aU=")</f>
        <v>#VALUE!</v>
      </c>
      <c r="FK109" t="e">
        <f>AND('PROG FORMACIÓN TITULADA'!Q756,"AAAAAB3H/aY=")</f>
        <v>#VALUE!</v>
      </c>
      <c r="FL109" t="e">
        <f>AND('PROG FORMACIÓN TITULADA'!R756,"AAAAAB3H/ac=")</f>
        <v>#VALUE!</v>
      </c>
      <c r="FM109" t="e">
        <f>AND('PROG FORMACIÓN TITULADA'!S756,"AAAAAB3H/ag=")</f>
        <v>#VALUE!</v>
      </c>
      <c r="FN109" t="e">
        <f>AND('PROG FORMACIÓN TITULADA'!T756,"AAAAAB3H/ak=")</f>
        <v>#VALUE!</v>
      </c>
      <c r="FO109" t="e">
        <f>AND('PROG FORMACIÓN TITULADA'!U756,"AAAAAB3H/ao=")</f>
        <v>#VALUE!</v>
      </c>
      <c r="FP109" t="e">
        <f>AND('PROG FORMACIÓN TITULADA'!V756,"AAAAAB3H/as=")</f>
        <v>#VALUE!</v>
      </c>
      <c r="FQ109" t="e">
        <f>AND('PROG FORMACIÓN TITULADA'!W756,"AAAAAB3H/aw=")</f>
        <v>#VALUE!</v>
      </c>
      <c r="FR109" t="e">
        <f>AND('PROG FORMACIÓN TITULADA'!X756,"AAAAAB3H/a0=")</f>
        <v>#VALUE!</v>
      </c>
      <c r="FS109" t="e">
        <f>AND('PROG FORMACIÓN TITULADA'!Y756,"AAAAAB3H/a4=")</f>
        <v>#VALUE!</v>
      </c>
      <c r="FT109" t="e">
        <f>AND('PROG FORMACIÓN TITULADA'!Z756,"AAAAAB3H/a8=")</f>
        <v>#VALUE!</v>
      </c>
      <c r="FU109">
        <f>IF('PROG FORMACIÓN TITULADA'!757:757,"AAAAAB3H/bA=",0)</f>
        <v>0</v>
      </c>
      <c r="FV109" t="e">
        <f>AND('PROG FORMACIÓN TITULADA'!A757,"AAAAAB3H/bE=")</f>
        <v>#VALUE!</v>
      </c>
      <c r="FW109" t="e">
        <f>AND('PROG FORMACIÓN TITULADA'!B757,"AAAAAB3H/bI=")</f>
        <v>#VALUE!</v>
      </c>
      <c r="FX109" t="e">
        <f>AND('PROG FORMACIÓN TITULADA'!C757,"AAAAAB3H/bM=")</f>
        <v>#VALUE!</v>
      </c>
      <c r="FY109" t="e">
        <f>AND('PROG FORMACIÓN TITULADA'!D757,"AAAAAB3H/bQ=")</f>
        <v>#VALUE!</v>
      </c>
      <c r="FZ109" t="e">
        <f>AND('PROG FORMACIÓN TITULADA'!E757,"AAAAAB3H/bU=")</f>
        <v>#VALUE!</v>
      </c>
      <c r="GA109" t="e">
        <f>AND('PROG FORMACIÓN TITULADA'!F757,"AAAAAB3H/bY=")</f>
        <v>#VALUE!</v>
      </c>
      <c r="GB109" t="e">
        <f>AND('PROG FORMACIÓN TITULADA'!G757,"AAAAAB3H/bc=")</f>
        <v>#VALUE!</v>
      </c>
      <c r="GC109" t="e">
        <f>AND('PROG FORMACIÓN TITULADA'!H757,"AAAAAB3H/bg=")</f>
        <v>#VALUE!</v>
      </c>
      <c r="GD109" t="e">
        <f>AND('PROG FORMACIÓN TITULADA'!I757,"AAAAAB3H/bk=")</f>
        <v>#VALUE!</v>
      </c>
      <c r="GE109" t="e">
        <f>AND('PROG FORMACIÓN TITULADA'!J757,"AAAAAB3H/bo=")</f>
        <v>#VALUE!</v>
      </c>
      <c r="GF109" t="e">
        <f>AND('PROG FORMACIÓN TITULADA'!K757,"AAAAAB3H/bs=")</f>
        <v>#VALUE!</v>
      </c>
      <c r="GG109" t="e">
        <f>AND('PROG FORMACIÓN TITULADA'!L757,"AAAAAB3H/bw=")</f>
        <v>#VALUE!</v>
      </c>
      <c r="GH109" t="e">
        <f>AND('PROG FORMACIÓN TITULADA'!M757,"AAAAAB3H/b0=")</f>
        <v>#VALUE!</v>
      </c>
      <c r="GI109" t="e">
        <f>AND('PROG FORMACIÓN TITULADA'!N757,"AAAAAB3H/b4=")</f>
        <v>#VALUE!</v>
      </c>
      <c r="GJ109" t="e">
        <f>AND('PROG FORMACIÓN TITULADA'!O757,"AAAAAB3H/b8=")</f>
        <v>#VALUE!</v>
      </c>
      <c r="GK109" t="e">
        <f>AND('PROG FORMACIÓN TITULADA'!P757,"AAAAAB3H/cA=")</f>
        <v>#VALUE!</v>
      </c>
      <c r="GL109" t="e">
        <f>AND('PROG FORMACIÓN TITULADA'!Q757,"AAAAAB3H/cE=")</f>
        <v>#VALUE!</v>
      </c>
      <c r="GM109" t="e">
        <f>AND('PROG FORMACIÓN TITULADA'!R757,"AAAAAB3H/cI=")</f>
        <v>#VALUE!</v>
      </c>
      <c r="GN109" t="e">
        <f>AND('PROG FORMACIÓN TITULADA'!S757,"AAAAAB3H/cM=")</f>
        <v>#VALUE!</v>
      </c>
      <c r="GO109" t="e">
        <f>AND('PROG FORMACIÓN TITULADA'!T757,"AAAAAB3H/cQ=")</f>
        <v>#VALUE!</v>
      </c>
      <c r="GP109" t="e">
        <f>AND('PROG FORMACIÓN TITULADA'!U757,"AAAAAB3H/cU=")</f>
        <v>#VALUE!</v>
      </c>
      <c r="GQ109" t="e">
        <f>AND('PROG FORMACIÓN TITULADA'!V757,"AAAAAB3H/cY=")</f>
        <v>#VALUE!</v>
      </c>
      <c r="GR109" t="e">
        <f>AND('PROG FORMACIÓN TITULADA'!W757,"AAAAAB3H/cc=")</f>
        <v>#VALUE!</v>
      </c>
      <c r="GS109" t="e">
        <f>AND('PROG FORMACIÓN TITULADA'!X757,"AAAAAB3H/cg=")</f>
        <v>#VALUE!</v>
      </c>
      <c r="GT109" t="e">
        <f>AND('PROG FORMACIÓN TITULADA'!Y757,"AAAAAB3H/ck=")</f>
        <v>#VALUE!</v>
      </c>
      <c r="GU109" t="e">
        <f>AND('PROG FORMACIÓN TITULADA'!Z757,"AAAAAB3H/co=")</f>
        <v>#VALUE!</v>
      </c>
      <c r="GV109">
        <f>IF('PROG FORMACIÓN TITULADA'!758:758,"AAAAAB3H/cs=",0)</f>
        <v>0</v>
      </c>
      <c r="GW109" t="e">
        <f>AND('PROG FORMACIÓN TITULADA'!A758,"AAAAAB3H/cw=")</f>
        <v>#VALUE!</v>
      </c>
      <c r="GX109" t="e">
        <f>AND('PROG FORMACIÓN TITULADA'!B758,"AAAAAB3H/c0=")</f>
        <v>#VALUE!</v>
      </c>
      <c r="GY109" t="e">
        <f>AND('PROG FORMACIÓN TITULADA'!C758,"AAAAAB3H/c4=")</f>
        <v>#VALUE!</v>
      </c>
      <c r="GZ109" t="e">
        <f>AND('PROG FORMACIÓN TITULADA'!D758,"AAAAAB3H/c8=")</f>
        <v>#VALUE!</v>
      </c>
      <c r="HA109" t="e">
        <f>AND('PROG FORMACIÓN TITULADA'!E758,"AAAAAB3H/dA=")</f>
        <v>#VALUE!</v>
      </c>
      <c r="HB109" t="e">
        <f>AND('PROG FORMACIÓN TITULADA'!F758,"AAAAAB3H/dE=")</f>
        <v>#VALUE!</v>
      </c>
      <c r="HC109" t="e">
        <f>AND('PROG FORMACIÓN TITULADA'!G758,"AAAAAB3H/dI=")</f>
        <v>#VALUE!</v>
      </c>
      <c r="HD109" t="e">
        <f>AND('PROG FORMACIÓN TITULADA'!H758,"AAAAAB3H/dM=")</f>
        <v>#VALUE!</v>
      </c>
      <c r="HE109" t="e">
        <f>AND('PROG FORMACIÓN TITULADA'!I758,"AAAAAB3H/dQ=")</f>
        <v>#VALUE!</v>
      </c>
      <c r="HF109" t="e">
        <f>AND('PROG FORMACIÓN TITULADA'!J758,"AAAAAB3H/dU=")</f>
        <v>#VALUE!</v>
      </c>
      <c r="HG109" t="e">
        <f>AND('PROG FORMACIÓN TITULADA'!K758,"AAAAAB3H/dY=")</f>
        <v>#VALUE!</v>
      </c>
      <c r="HH109" t="e">
        <f>AND('PROG FORMACIÓN TITULADA'!L758,"AAAAAB3H/dc=")</f>
        <v>#VALUE!</v>
      </c>
      <c r="HI109" t="e">
        <f>AND('PROG FORMACIÓN TITULADA'!M758,"AAAAAB3H/dg=")</f>
        <v>#VALUE!</v>
      </c>
      <c r="HJ109" t="e">
        <f>AND('PROG FORMACIÓN TITULADA'!N758,"AAAAAB3H/dk=")</f>
        <v>#VALUE!</v>
      </c>
      <c r="HK109" t="e">
        <f>AND('PROG FORMACIÓN TITULADA'!O758,"AAAAAB3H/do=")</f>
        <v>#VALUE!</v>
      </c>
      <c r="HL109" t="e">
        <f>AND('PROG FORMACIÓN TITULADA'!P758,"AAAAAB3H/ds=")</f>
        <v>#VALUE!</v>
      </c>
      <c r="HM109" t="e">
        <f>AND('PROG FORMACIÓN TITULADA'!Q758,"AAAAAB3H/dw=")</f>
        <v>#VALUE!</v>
      </c>
      <c r="HN109" t="e">
        <f>AND('PROG FORMACIÓN TITULADA'!R758,"AAAAAB3H/d0=")</f>
        <v>#VALUE!</v>
      </c>
      <c r="HO109" t="e">
        <f>AND('PROG FORMACIÓN TITULADA'!S758,"AAAAAB3H/d4=")</f>
        <v>#VALUE!</v>
      </c>
      <c r="HP109" t="e">
        <f>AND('PROG FORMACIÓN TITULADA'!T758,"AAAAAB3H/d8=")</f>
        <v>#VALUE!</v>
      </c>
      <c r="HQ109" t="e">
        <f>AND('PROG FORMACIÓN TITULADA'!U758,"AAAAAB3H/eA=")</f>
        <v>#VALUE!</v>
      </c>
      <c r="HR109" t="e">
        <f>AND('PROG FORMACIÓN TITULADA'!V758,"AAAAAB3H/eE=")</f>
        <v>#VALUE!</v>
      </c>
      <c r="HS109" t="e">
        <f>AND('PROG FORMACIÓN TITULADA'!W758,"AAAAAB3H/eI=")</f>
        <v>#VALUE!</v>
      </c>
      <c r="HT109" t="e">
        <f>AND('PROG FORMACIÓN TITULADA'!X758,"AAAAAB3H/eM=")</f>
        <v>#VALUE!</v>
      </c>
      <c r="HU109" t="e">
        <f>AND('PROG FORMACIÓN TITULADA'!Y758,"AAAAAB3H/eQ=")</f>
        <v>#VALUE!</v>
      </c>
      <c r="HV109" t="e">
        <f>AND('PROG FORMACIÓN TITULADA'!Z758,"AAAAAB3H/eU=")</f>
        <v>#VALUE!</v>
      </c>
      <c r="HW109">
        <f>IF('PROG FORMACIÓN TITULADA'!759:759,"AAAAAB3H/eY=",0)</f>
        <v>0</v>
      </c>
      <c r="HX109" t="e">
        <f>AND('PROG FORMACIÓN TITULADA'!A759,"AAAAAB3H/ec=")</f>
        <v>#VALUE!</v>
      </c>
      <c r="HY109" t="e">
        <f>AND('PROG FORMACIÓN TITULADA'!B759,"AAAAAB3H/eg=")</f>
        <v>#VALUE!</v>
      </c>
      <c r="HZ109" t="e">
        <f>AND('PROG FORMACIÓN TITULADA'!C759,"AAAAAB3H/ek=")</f>
        <v>#VALUE!</v>
      </c>
      <c r="IA109" t="e">
        <f>AND('PROG FORMACIÓN TITULADA'!D759,"AAAAAB3H/eo=")</f>
        <v>#VALUE!</v>
      </c>
      <c r="IB109" t="e">
        <f>AND('PROG FORMACIÓN TITULADA'!E759,"AAAAAB3H/es=")</f>
        <v>#VALUE!</v>
      </c>
      <c r="IC109" t="e">
        <f>AND('PROG FORMACIÓN TITULADA'!F759,"AAAAAB3H/ew=")</f>
        <v>#VALUE!</v>
      </c>
      <c r="ID109" t="e">
        <f>AND('PROG FORMACIÓN TITULADA'!G759,"AAAAAB3H/e0=")</f>
        <v>#VALUE!</v>
      </c>
      <c r="IE109" t="e">
        <f>AND('PROG FORMACIÓN TITULADA'!H759,"AAAAAB3H/e4=")</f>
        <v>#VALUE!</v>
      </c>
      <c r="IF109" t="e">
        <f>AND('PROG FORMACIÓN TITULADA'!I759,"AAAAAB3H/e8=")</f>
        <v>#VALUE!</v>
      </c>
      <c r="IG109" t="e">
        <f>AND('PROG FORMACIÓN TITULADA'!J759,"AAAAAB3H/fA=")</f>
        <v>#VALUE!</v>
      </c>
      <c r="IH109" t="e">
        <f>AND('PROG FORMACIÓN TITULADA'!K759,"AAAAAB3H/fE=")</f>
        <v>#VALUE!</v>
      </c>
      <c r="II109" t="e">
        <f>AND('PROG FORMACIÓN TITULADA'!L759,"AAAAAB3H/fI=")</f>
        <v>#VALUE!</v>
      </c>
      <c r="IJ109" t="e">
        <f>AND('PROG FORMACIÓN TITULADA'!M759,"AAAAAB3H/fM=")</f>
        <v>#VALUE!</v>
      </c>
      <c r="IK109" t="e">
        <f>AND('PROG FORMACIÓN TITULADA'!N759,"AAAAAB3H/fQ=")</f>
        <v>#VALUE!</v>
      </c>
      <c r="IL109" t="e">
        <f>AND('PROG FORMACIÓN TITULADA'!O759,"AAAAAB3H/fU=")</f>
        <v>#VALUE!</v>
      </c>
      <c r="IM109" t="e">
        <f>AND('PROG FORMACIÓN TITULADA'!P759,"AAAAAB3H/fY=")</f>
        <v>#VALUE!</v>
      </c>
      <c r="IN109" t="e">
        <f>AND('PROG FORMACIÓN TITULADA'!Q759,"AAAAAB3H/fc=")</f>
        <v>#VALUE!</v>
      </c>
      <c r="IO109" t="e">
        <f>AND('PROG FORMACIÓN TITULADA'!R759,"AAAAAB3H/fg=")</f>
        <v>#VALUE!</v>
      </c>
      <c r="IP109" t="e">
        <f>AND('PROG FORMACIÓN TITULADA'!S759,"AAAAAB3H/fk=")</f>
        <v>#VALUE!</v>
      </c>
      <c r="IQ109" t="e">
        <f>AND('PROG FORMACIÓN TITULADA'!T759,"AAAAAB3H/fo=")</f>
        <v>#VALUE!</v>
      </c>
      <c r="IR109" t="e">
        <f>AND('PROG FORMACIÓN TITULADA'!U759,"AAAAAB3H/fs=")</f>
        <v>#VALUE!</v>
      </c>
      <c r="IS109" t="e">
        <f>AND('PROG FORMACIÓN TITULADA'!V759,"AAAAAB3H/fw=")</f>
        <v>#VALUE!</v>
      </c>
      <c r="IT109" t="e">
        <f>AND('PROG FORMACIÓN TITULADA'!W759,"AAAAAB3H/f0=")</f>
        <v>#VALUE!</v>
      </c>
      <c r="IU109" t="e">
        <f>AND('PROG FORMACIÓN TITULADA'!X759,"AAAAAB3H/f4=")</f>
        <v>#VALUE!</v>
      </c>
      <c r="IV109" t="e">
        <f>AND('PROG FORMACIÓN TITULADA'!Y759,"AAAAAB3H/f8=")</f>
        <v>#VALUE!</v>
      </c>
    </row>
    <row r="110" spans="1:256" x14ac:dyDescent="0.2">
      <c r="A110" t="e">
        <f>AND('PROG FORMACIÓN TITULADA'!Z759,"AAAAAHqnNwA=")</f>
        <v>#VALUE!</v>
      </c>
      <c r="B110">
        <f>IF('PROG FORMACIÓN TITULADA'!760:760,"AAAAAHqnNwE=",0)</f>
        <v>0</v>
      </c>
      <c r="C110" t="e">
        <f>AND('PROG FORMACIÓN TITULADA'!A760,"AAAAAHqnNwI=")</f>
        <v>#VALUE!</v>
      </c>
      <c r="D110" t="e">
        <f>AND('PROG FORMACIÓN TITULADA'!B760,"AAAAAHqnNwM=")</f>
        <v>#VALUE!</v>
      </c>
      <c r="E110" t="e">
        <f>AND('PROG FORMACIÓN TITULADA'!C760,"AAAAAHqnNwQ=")</f>
        <v>#VALUE!</v>
      </c>
      <c r="F110" t="e">
        <f>AND('PROG FORMACIÓN TITULADA'!D760,"AAAAAHqnNwU=")</f>
        <v>#VALUE!</v>
      </c>
      <c r="G110" t="e">
        <f>AND('PROG FORMACIÓN TITULADA'!E760,"AAAAAHqnNwY=")</f>
        <v>#VALUE!</v>
      </c>
      <c r="H110" t="e">
        <f>AND('PROG FORMACIÓN TITULADA'!F760,"AAAAAHqnNwc=")</f>
        <v>#VALUE!</v>
      </c>
      <c r="I110" t="e">
        <f>AND('PROG FORMACIÓN TITULADA'!G760,"AAAAAHqnNwg=")</f>
        <v>#VALUE!</v>
      </c>
      <c r="J110" t="e">
        <f>AND('PROG FORMACIÓN TITULADA'!H760,"AAAAAHqnNwk=")</f>
        <v>#VALUE!</v>
      </c>
      <c r="K110" t="e">
        <f>AND('PROG FORMACIÓN TITULADA'!I760,"AAAAAHqnNwo=")</f>
        <v>#VALUE!</v>
      </c>
      <c r="L110" t="e">
        <f>AND('PROG FORMACIÓN TITULADA'!J760,"AAAAAHqnNws=")</f>
        <v>#VALUE!</v>
      </c>
      <c r="M110" t="e">
        <f>AND('PROG FORMACIÓN TITULADA'!K760,"AAAAAHqnNww=")</f>
        <v>#VALUE!</v>
      </c>
      <c r="N110" t="e">
        <f>AND('PROG FORMACIÓN TITULADA'!L760,"AAAAAHqnNw0=")</f>
        <v>#VALUE!</v>
      </c>
      <c r="O110" t="e">
        <f>AND('PROG FORMACIÓN TITULADA'!M760,"AAAAAHqnNw4=")</f>
        <v>#VALUE!</v>
      </c>
      <c r="P110" t="e">
        <f>AND('PROG FORMACIÓN TITULADA'!N760,"AAAAAHqnNw8=")</f>
        <v>#VALUE!</v>
      </c>
      <c r="Q110" t="e">
        <f>AND('PROG FORMACIÓN TITULADA'!O760,"AAAAAHqnNxA=")</f>
        <v>#VALUE!</v>
      </c>
      <c r="R110" t="e">
        <f>AND('PROG FORMACIÓN TITULADA'!P760,"AAAAAHqnNxE=")</f>
        <v>#VALUE!</v>
      </c>
      <c r="S110" t="e">
        <f>AND('PROG FORMACIÓN TITULADA'!Q760,"AAAAAHqnNxI=")</f>
        <v>#VALUE!</v>
      </c>
      <c r="T110" t="e">
        <f>AND('PROG FORMACIÓN TITULADA'!R760,"AAAAAHqnNxM=")</f>
        <v>#VALUE!</v>
      </c>
      <c r="U110" t="e">
        <f>AND('PROG FORMACIÓN TITULADA'!S760,"AAAAAHqnNxQ=")</f>
        <v>#VALUE!</v>
      </c>
      <c r="V110" t="e">
        <f>AND('PROG FORMACIÓN TITULADA'!T760,"AAAAAHqnNxU=")</f>
        <v>#VALUE!</v>
      </c>
      <c r="W110" t="e">
        <f>AND('PROG FORMACIÓN TITULADA'!U760,"AAAAAHqnNxY=")</f>
        <v>#VALUE!</v>
      </c>
      <c r="X110" t="e">
        <f>AND('PROG FORMACIÓN TITULADA'!V760,"AAAAAHqnNxc=")</f>
        <v>#VALUE!</v>
      </c>
      <c r="Y110" t="e">
        <f>AND('PROG FORMACIÓN TITULADA'!W760,"AAAAAHqnNxg=")</f>
        <v>#VALUE!</v>
      </c>
      <c r="Z110" t="e">
        <f>AND('PROG FORMACIÓN TITULADA'!X760,"AAAAAHqnNxk=")</f>
        <v>#VALUE!</v>
      </c>
      <c r="AA110" t="e">
        <f>AND('PROG FORMACIÓN TITULADA'!Y760,"AAAAAHqnNxo=")</f>
        <v>#VALUE!</v>
      </c>
      <c r="AB110" t="e">
        <f>AND('PROG FORMACIÓN TITULADA'!Z760,"AAAAAHqnNxs=")</f>
        <v>#VALUE!</v>
      </c>
      <c r="AC110">
        <f>IF('PROG FORMACIÓN TITULADA'!761:761,"AAAAAHqnNxw=",0)</f>
        <v>0</v>
      </c>
      <c r="AD110" t="e">
        <f>AND('PROG FORMACIÓN TITULADA'!A761,"AAAAAHqnNx0=")</f>
        <v>#VALUE!</v>
      </c>
      <c r="AE110" t="e">
        <f>AND('PROG FORMACIÓN TITULADA'!B761,"AAAAAHqnNx4=")</f>
        <v>#VALUE!</v>
      </c>
      <c r="AF110" t="e">
        <f>AND('PROG FORMACIÓN TITULADA'!C761,"AAAAAHqnNx8=")</f>
        <v>#VALUE!</v>
      </c>
      <c r="AG110" t="e">
        <f>AND('PROG FORMACIÓN TITULADA'!D761,"AAAAAHqnNyA=")</f>
        <v>#VALUE!</v>
      </c>
      <c r="AH110" t="e">
        <f>AND('PROG FORMACIÓN TITULADA'!E761,"AAAAAHqnNyE=")</f>
        <v>#VALUE!</v>
      </c>
      <c r="AI110" t="e">
        <f>AND('PROG FORMACIÓN TITULADA'!F761,"AAAAAHqnNyI=")</f>
        <v>#VALUE!</v>
      </c>
      <c r="AJ110" t="e">
        <f>AND('PROG FORMACIÓN TITULADA'!G761,"AAAAAHqnNyM=")</f>
        <v>#VALUE!</v>
      </c>
      <c r="AK110" t="e">
        <f>AND('PROG FORMACIÓN TITULADA'!H761,"AAAAAHqnNyQ=")</f>
        <v>#VALUE!</v>
      </c>
      <c r="AL110" t="e">
        <f>AND('PROG FORMACIÓN TITULADA'!I761,"AAAAAHqnNyU=")</f>
        <v>#VALUE!</v>
      </c>
      <c r="AM110" t="e">
        <f>AND('PROG FORMACIÓN TITULADA'!J761,"AAAAAHqnNyY=")</f>
        <v>#VALUE!</v>
      </c>
      <c r="AN110" t="e">
        <f>AND('PROG FORMACIÓN TITULADA'!K761,"AAAAAHqnNyc=")</f>
        <v>#VALUE!</v>
      </c>
      <c r="AO110" t="e">
        <f>AND('PROG FORMACIÓN TITULADA'!L761,"AAAAAHqnNyg=")</f>
        <v>#VALUE!</v>
      </c>
      <c r="AP110" t="e">
        <f>AND('PROG FORMACIÓN TITULADA'!M761,"AAAAAHqnNyk=")</f>
        <v>#VALUE!</v>
      </c>
      <c r="AQ110" t="e">
        <f>AND('PROG FORMACIÓN TITULADA'!N761,"AAAAAHqnNyo=")</f>
        <v>#VALUE!</v>
      </c>
      <c r="AR110" t="e">
        <f>AND('PROG FORMACIÓN TITULADA'!O761,"AAAAAHqnNys=")</f>
        <v>#VALUE!</v>
      </c>
      <c r="AS110" t="e">
        <f>AND('PROG FORMACIÓN TITULADA'!P761,"AAAAAHqnNyw=")</f>
        <v>#VALUE!</v>
      </c>
      <c r="AT110" t="e">
        <f>AND('PROG FORMACIÓN TITULADA'!Q761,"AAAAAHqnNy0=")</f>
        <v>#VALUE!</v>
      </c>
      <c r="AU110" t="e">
        <f>AND('PROG FORMACIÓN TITULADA'!R761,"AAAAAHqnNy4=")</f>
        <v>#VALUE!</v>
      </c>
      <c r="AV110" t="e">
        <f>AND('PROG FORMACIÓN TITULADA'!S761,"AAAAAHqnNy8=")</f>
        <v>#VALUE!</v>
      </c>
      <c r="AW110" t="e">
        <f>AND('PROG FORMACIÓN TITULADA'!T761,"AAAAAHqnNzA=")</f>
        <v>#VALUE!</v>
      </c>
      <c r="AX110" t="e">
        <f>AND('PROG FORMACIÓN TITULADA'!U761,"AAAAAHqnNzE=")</f>
        <v>#VALUE!</v>
      </c>
      <c r="AY110" t="e">
        <f>AND('PROG FORMACIÓN TITULADA'!V761,"AAAAAHqnNzI=")</f>
        <v>#VALUE!</v>
      </c>
      <c r="AZ110" t="e">
        <f>AND('PROG FORMACIÓN TITULADA'!W761,"AAAAAHqnNzM=")</f>
        <v>#VALUE!</v>
      </c>
      <c r="BA110" t="e">
        <f>AND('PROG FORMACIÓN TITULADA'!X761,"AAAAAHqnNzQ=")</f>
        <v>#VALUE!</v>
      </c>
      <c r="BB110" t="e">
        <f>AND('PROG FORMACIÓN TITULADA'!Y761,"AAAAAHqnNzU=")</f>
        <v>#VALUE!</v>
      </c>
      <c r="BC110" t="e">
        <f>AND('PROG FORMACIÓN TITULADA'!Z761,"AAAAAHqnNzY=")</f>
        <v>#VALUE!</v>
      </c>
      <c r="BD110">
        <f>IF('PROG FORMACIÓN TITULADA'!762:762,"AAAAAHqnNzc=",0)</f>
        <v>0</v>
      </c>
      <c r="BE110" t="e">
        <f>AND('PROG FORMACIÓN TITULADA'!A762,"AAAAAHqnNzg=")</f>
        <v>#VALUE!</v>
      </c>
      <c r="BF110" t="e">
        <f>AND('PROG FORMACIÓN TITULADA'!B762,"AAAAAHqnNzk=")</f>
        <v>#VALUE!</v>
      </c>
      <c r="BG110" t="e">
        <f>AND('PROG FORMACIÓN TITULADA'!C762,"AAAAAHqnNzo=")</f>
        <v>#VALUE!</v>
      </c>
      <c r="BH110" t="e">
        <f>AND('PROG FORMACIÓN TITULADA'!D762,"AAAAAHqnNzs=")</f>
        <v>#VALUE!</v>
      </c>
      <c r="BI110" t="e">
        <f>AND('PROG FORMACIÓN TITULADA'!E762,"AAAAAHqnNzw=")</f>
        <v>#VALUE!</v>
      </c>
      <c r="BJ110" t="e">
        <f>AND('PROG FORMACIÓN TITULADA'!F762,"AAAAAHqnNz0=")</f>
        <v>#VALUE!</v>
      </c>
      <c r="BK110" t="e">
        <f>AND('PROG FORMACIÓN TITULADA'!G762,"AAAAAHqnNz4=")</f>
        <v>#VALUE!</v>
      </c>
      <c r="BL110" t="e">
        <f>AND('PROG FORMACIÓN TITULADA'!H762,"AAAAAHqnNz8=")</f>
        <v>#VALUE!</v>
      </c>
      <c r="BM110" t="e">
        <f>AND('PROG FORMACIÓN TITULADA'!I762,"AAAAAHqnN0A=")</f>
        <v>#VALUE!</v>
      </c>
      <c r="BN110" t="e">
        <f>AND('PROG FORMACIÓN TITULADA'!J762,"AAAAAHqnN0E=")</f>
        <v>#VALUE!</v>
      </c>
      <c r="BO110" t="e">
        <f>AND('PROG FORMACIÓN TITULADA'!K762,"AAAAAHqnN0I=")</f>
        <v>#VALUE!</v>
      </c>
      <c r="BP110" t="e">
        <f>AND('PROG FORMACIÓN TITULADA'!L762,"AAAAAHqnN0M=")</f>
        <v>#VALUE!</v>
      </c>
      <c r="BQ110" t="e">
        <f>AND('PROG FORMACIÓN TITULADA'!M762,"AAAAAHqnN0Q=")</f>
        <v>#VALUE!</v>
      </c>
      <c r="BR110" t="e">
        <f>AND('PROG FORMACIÓN TITULADA'!N762,"AAAAAHqnN0U=")</f>
        <v>#VALUE!</v>
      </c>
      <c r="BS110" t="e">
        <f>AND('PROG FORMACIÓN TITULADA'!O762,"AAAAAHqnN0Y=")</f>
        <v>#VALUE!</v>
      </c>
      <c r="BT110" t="e">
        <f>AND('PROG FORMACIÓN TITULADA'!P762,"AAAAAHqnN0c=")</f>
        <v>#VALUE!</v>
      </c>
      <c r="BU110" t="e">
        <f>AND('PROG FORMACIÓN TITULADA'!Q762,"AAAAAHqnN0g=")</f>
        <v>#VALUE!</v>
      </c>
      <c r="BV110" t="e">
        <f>AND('PROG FORMACIÓN TITULADA'!R762,"AAAAAHqnN0k=")</f>
        <v>#VALUE!</v>
      </c>
      <c r="BW110" t="e">
        <f>AND('PROG FORMACIÓN TITULADA'!S762,"AAAAAHqnN0o=")</f>
        <v>#VALUE!</v>
      </c>
      <c r="BX110" t="e">
        <f>AND('PROG FORMACIÓN TITULADA'!T762,"AAAAAHqnN0s=")</f>
        <v>#VALUE!</v>
      </c>
      <c r="BY110" t="e">
        <f>AND('PROG FORMACIÓN TITULADA'!U762,"AAAAAHqnN0w=")</f>
        <v>#VALUE!</v>
      </c>
      <c r="BZ110" t="e">
        <f>AND('PROG FORMACIÓN TITULADA'!V762,"AAAAAHqnN00=")</f>
        <v>#VALUE!</v>
      </c>
      <c r="CA110" t="e">
        <f>AND('PROG FORMACIÓN TITULADA'!W762,"AAAAAHqnN04=")</f>
        <v>#VALUE!</v>
      </c>
      <c r="CB110" t="e">
        <f>AND('PROG FORMACIÓN TITULADA'!X762,"AAAAAHqnN08=")</f>
        <v>#VALUE!</v>
      </c>
      <c r="CC110" t="e">
        <f>AND('PROG FORMACIÓN TITULADA'!Y762,"AAAAAHqnN1A=")</f>
        <v>#VALUE!</v>
      </c>
      <c r="CD110" t="e">
        <f>AND('PROG FORMACIÓN TITULADA'!Z762,"AAAAAHqnN1E=")</f>
        <v>#VALUE!</v>
      </c>
      <c r="CE110">
        <f>IF('PROG FORMACIÓN TITULADA'!763:763,"AAAAAHqnN1I=",0)</f>
        <v>0</v>
      </c>
      <c r="CF110" t="e">
        <f>AND('PROG FORMACIÓN TITULADA'!A763,"AAAAAHqnN1M=")</f>
        <v>#VALUE!</v>
      </c>
      <c r="CG110" t="e">
        <f>AND('PROG FORMACIÓN TITULADA'!B763,"AAAAAHqnN1Q=")</f>
        <v>#VALUE!</v>
      </c>
      <c r="CH110" t="e">
        <f>AND('PROG FORMACIÓN TITULADA'!C763,"AAAAAHqnN1U=")</f>
        <v>#VALUE!</v>
      </c>
      <c r="CI110" t="e">
        <f>AND('PROG FORMACIÓN TITULADA'!D763,"AAAAAHqnN1Y=")</f>
        <v>#VALUE!</v>
      </c>
      <c r="CJ110" t="e">
        <f>AND('PROG FORMACIÓN TITULADA'!E763,"AAAAAHqnN1c=")</f>
        <v>#VALUE!</v>
      </c>
      <c r="CK110" t="e">
        <f>AND('PROG FORMACIÓN TITULADA'!F763,"AAAAAHqnN1g=")</f>
        <v>#VALUE!</v>
      </c>
      <c r="CL110" t="e">
        <f>AND('PROG FORMACIÓN TITULADA'!G763,"AAAAAHqnN1k=")</f>
        <v>#VALUE!</v>
      </c>
      <c r="CM110" t="e">
        <f>AND('PROG FORMACIÓN TITULADA'!H763,"AAAAAHqnN1o=")</f>
        <v>#VALUE!</v>
      </c>
      <c r="CN110" t="e">
        <f>AND('PROG FORMACIÓN TITULADA'!I763,"AAAAAHqnN1s=")</f>
        <v>#VALUE!</v>
      </c>
      <c r="CO110" t="e">
        <f>AND('PROG FORMACIÓN TITULADA'!J763,"AAAAAHqnN1w=")</f>
        <v>#VALUE!</v>
      </c>
      <c r="CP110" t="e">
        <f>AND('PROG FORMACIÓN TITULADA'!K763,"AAAAAHqnN10=")</f>
        <v>#VALUE!</v>
      </c>
      <c r="CQ110" t="e">
        <f>AND('PROG FORMACIÓN TITULADA'!L763,"AAAAAHqnN14=")</f>
        <v>#VALUE!</v>
      </c>
      <c r="CR110" t="e">
        <f>AND('PROG FORMACIÓN TITULADA'!M763,"AAAAAHqnN18=")</f>
        <v>#VALUE!</v>
      </c>
      <c r="CS110" t="e">
        <f>AND('PROG FORMACIÓN TITULADA'!N763,"AAAAAHqnN2A=")</f>
        <v>#VALUE!</v>
      </c>
      <c r="CT110" t="e">
        <f>AND('PROG FORMACIÓN TITULADA'!O763,"AAAAAHqnN2E=")</f>
        <v>#VALUE!</v>
      </c>
      <c r="CU110" t="e">
        <f>AND('PROG FORMACIÓN TITULADA'!P763,"AAAAAHqnN2I=")</f>
        <v>#VALUE!</v>
      </c>
      <c r="CV110" t="e">
        <f>AND('PROG FORMACIÓN TITULADA'!Q763,"AAAAAHqnN2M=")</f>
        <v>#VALUE!</v>
      </c>
      <c r="CW110" t="e">
        <f>AND('PROG FORMACIÓN TITULADA'!R763,"AAAAAHqnN2Q=")</f>
        <v>#VALUE!</v>
      </c>
      <c r="CX110" t="e">
        <f>AND('PROG FORMACIÓN TITULADA'!S763,"AAAAAHqnN2U=")</f>
        <v>#VALUE!</v>
      </c>
      <c r="CY110" t="e">
        <f>AND('PROG FORMACIÓN TITULADA'!T763,"AAAAAHqnN2Y=")</f>
        <v>#VALUE!</v>
      </c>
      <c r="CZ110" t="e">
        <f>AND('PROG FORMACIÓN TITULADA'!U763,"AAAAAHqnN2c=")</f>
        <v>#VALUE!</v>
      </c>
      <c r="DA110" t="e">
        <f>AND('PROG FORMACIÓN TITULADA'!V763,"AAAAAHqnN2g=")</f>
        <v>#VALUE!</v>
      </c>
      <c r="DB110" t="e">
        <f>AND('PROG FORMACIÓN TITULADA'!W763,"AAAAAHqnN2k=")</f>
        <v>#VALUE!</v>
      </c>
      <c r="DC110" t="e">
        <f>AND('PROG FORMACIÓN TITULADA'!X763,"AAAAAHqnN2o=")</f>
        <v>#VALUE!</v>
      </c>
      <c r="DD110" t="e">
        <f>AND('PROG FORMACIÓN TITULADA'!Y763,"AAAAAHqnN2s=")</f>
        <v>#VALUE!</v>
      </c>
      <c r="DE110" t="e">
        <f>AND('PROG FORMACIÓN TITULADA'!Z763,"AAAAAHqnN2w=")</f>
        <v>#VALUE!</v>
      </c>
      <c r="DF110">
        <f>IF('PROG FORMACIÓN TITULADA'!764:764,"AAAAAHqnN20=",0)</f>
        <v>0</v>
      </c>
      <c r="DG110" t="e">
        <f>AND('PROG FORMACIÓN TITULADA'!A764,"AAAAAHqnN24=")</f>
        <v>#VALUE!</v>
      </c>
      <c r="DH110" t="e">
        <f>AND('PROG FORMACIÓN TITULADA'!B764,"AAAAAHqnN28=")</f>
        <v>#VALUE!</v>
      </c>
      <c r="DI110" t="e">
        <f>AND('PROG FORMACIÓN TITULADA'!C764,"AAAAAHqnN3A=")</f>
        <v>#VALUE!</v>
      </c>
      <c r="DJ110" t="e">
        <f>AND('PROG FORMACIÓN TITULADA'!D764,"AAAAAHqnN3E=")</f>
        <v>#VALUE!</v>
      </c>
      <c r="DK110" t="e">
        <f>AND('PROG FORMACIÓN TITULADA'!E764,"AAAAAHqnN3I=")</f>
        <v>#VALUE!</v>
      </c>
      <c r="DL110" t="e">
        <f>AND('PROG FORMACIÓN TITULADA'!F764,"AAAAAHqnN3M=")</f>
        <v>#VALUE!</v>
      </c>
      <c r="DM110" t="e">
        <f>AND('PROG FORMACIÓN TITULADA'!G764,"AAAAAHqnN3Q=")</f>
        <v>#VALUE!</v>
      </c>
      <c r="DN110" t="e">
        <f>AND('PROG FORMACIÓN TITULADA'!H764,"AAAAAHqnN3U=")</f>
        <v>#VALUE!</v>
      </c>
      <c r="DO110" t="e">
        <f>AND('PROG FORMACIÓN TITULADA'!I764,"AAAAAHqnN3Y=")</f>
        <v>#VALUE!</v>
      </c>
      <c r="DP110" t="e">
        <f>AND('PROG FORMACIÓN TITULADA'!J764,"AAAAAHqnN3c=")</f>
        <v>#VALUE!</v>
      </c>
      <c r="DQ110" t="e">
        <f>AND('PROG FORMACIÓN TITULADA'!K764,"AAAAAHqnN3g=")</f>
        <v>#VALUE!</v>
      </c>
      <c r="DR110" t="e">
        <f>AND('PROG FORMACIÓN TITULADA'!L764,"AAAAAHqnN3k=")</f>
        <v>#VALUE!</v>
      </c>
      <c r="DS110" t="e">
        <f>AND('PROG FORMACIÓN TITULADA'!M764,"AAAAAHqnN3o=")</f>
        <v>#VALUE!</v>
      </c>
      <c r="DT110" t="e">
        <f>AND('PROG FORMACIÓN TITULADA'!N764,"AAAAAHqnN3s=")</f>
        <v>#VALUE!</v>
      </c>
      <c r="DU110" t="e">
        <f>AND('PROG FORMACIÓN TITULADA'!O764,"AAAAAHqnN3w=")</f>
        <v>#VALUE!</v>
      </c>
      <c r="DV110" t="e">
        <f>AND('PROG FORMACIÓN TITULADA'!P764,"AAAAAHqnN30=")</f>
        <v>#VALUE!</v>
      </c>
      <c r="DW110" t="e">
        <f>AND('PROG FORMACIÓN TITULADA'!Q764,"AAAAAHqnN34=")</f>
        <v>#VALUE!</v>
      </c>
      <c r="DX110" t="e">
        <f>AND('PROG FORMACIÓN TITULADA'!R764,"AAAAAHqnN38=")</f>
        <v>#VALUE!</v>
      </c>
      <c r="DY110" t="e">
        <f>AND('PROG FORMACIÓN TITULADA'!S764,"AAAAAHqnN4A=")</f>
        <v>#VALUE!</v>
      </c>
      <c r="DZ110" t="e">
        <f>AND('PROG FORMACIÓN TITULADA'!T764,"AAAAAHqnN4E=")</f>
        <v>#VALUE!</v>
      </c>
      <c r="EA110" t="e">
        <f>AND('PROG FORMACIÓN TITULADA'!U764,"AAAAAHqnN4I=")</f>
        <v>#VALUE!</v>
      </c>
      <c r="EB110" t="e">
        <f>AND('PROG FORMACIÓN TITULADA'!V764,"AAAAAHqnN4M=")</f>
        <v>#VALUE!</v>
      </c>
      <c r="EC110" t="e">
        <f>AND('PROG FORMACIÓN TITULADA'!W764,"AAAAAHqnN4Q=")</f>
        <v>#VALUE!</v>
      </c>
      <c r="ED110" t="e">
        <f>AND('PROG FORMACIÓN TITULADA'!X764,"AAAAAHqnN4U=")</f>
        <v>#VALUE!</v>
      </c>
      <c r="EE110" t="e">
        <f>AND('PROG FORMACIÓN TITULADA'!Y764,"AAAAAHqnN4Y=")</f>
        <v>#VALUE!</v>
      </c>
      <c r="EF110" t="e">
        <f>AND('PROG FORMACIÓN TITULADA'!Z764,"AAAAAHqnN4c=")</f>
        <v>#VALUE!</v>
      </c>
      <c r="EG110">
        <f>IF('PROG FORMACIÓN TITULADA'!765:765,"AAAAAHqnN4g=",0)</f>
        <v>0</v>
      </c>
      <c r="EH110" t="e">
        <f>AND('PROG FORMACIÓN TITULADA'!A765,"AAAAAHqnN4k=")</f>
        <v>#VALUE!</v>
      </c>
      <c r="EI110" t="e">
        <f>AND('PROG FORMACIÓN TITULADA'!B765,"AAAAAHqnN4o=")</f>
        <v>#VALUE!</v>
      </c>
      <c r="EJ110" t="e">
        <f>AND('PROG FORMACIÓN TITULADA'!C765,"AAAAAHqnN4s=")</f>
        <v>#VALUE!</v>
      </c>
      <c r="EK110" t="e">
        <f>AND('PROG FORMACIÓN TITULADA'!D765,"AAAAAHqnN4w=")</f>
        <v>#VALUE!</v>
      </c>
      <c r="EL110" t="e">
        <f>AND('PROG FORMACIÓN TITULADA'!E765,"AAAAAHqnN40=")</f>
        <v>#VALUE!</v>
      </c>
      <c r="EM110" t="e">
        <f>AND('PROG FORMACIÓN TITULADA'!F765,"AAAAAHqnN44=")</f>
        <v>#VALUE!</v>
      </c>
      <c r="EN110" t="e">
        <f>AND('PROG FORMACIÓN TITULADA'!G765,"AAAAAHqnN48=")</f>
        <v>#VALUE!</v>
      </c>
      <c r="EO110" t="e">
        <f>AND('PROG FORMACIÓN TITULADA'!H765,"AAAAAHqnN5A=")</f>
        <v>#VALUE!</v>
      </c>
      <c r="EP110" t="e">
        <f>AND('PROG FORMACIÓN TITULADA'!I765,"AAAAAHqnN5E=")</f>
        <v>#VALUE!</v>
      </c>
      <c r="EQ110" t="e">
        <f>AND('PROG FORMACIÓN TITULADA'!J765,"AAAAAHqnN5I=")</f>
        <v>#VALUE!</v>
      </c>
      <c r="ER110" t="e">
        <f>AND('PROG FORMACIÓN TITULADA'!K765,"AAAAAHqnN5M=")</f>
        <v>#VALUE!</v>
      </c>
      <c r="ES110" t="e">
        <f>AND('PROG FORMACIÓN TITULADA'!L765,"AAAAAHqnN5Q=")</f>
        <v>#VALUE!</v>
      </c>
      <c r="ET110" t="e">
        <f>AND('PROG FORMACIÓN TITULADA'!M765,"AAAAAHqnN5U=")</f>
        <v>#VALUE!</v>
      </c>
      <c r="EU110" t="e">
        <f>AND('PROG FORMACIÓN TITULADA'!N765,"AAAAAHqnN5Y=")</f>
        <v>#VALUE!</v>
      </c>
      <c r="EV110" t="e">
        <f>AND('PROG FORMACIÓN TITULADA'!O765,"AAAAAHqnN5c=")</f>
        <v>#VALUE!</v>
      </c>
      <c r="EW110" t="e">
        <f>AND('PROG FORMACIÓN TITULADA'!P765,"AAAAAHqnN5g=")</f>
        <v>#VALUE!</v>
      </c>
      <c r="EX110" t="e">
        <f>AND('PROG FORMACIÓN TITULADA'!Q765,"AAAAAHqnN5k=")</f>
        <v>#VALUE!</v>
      </c>
      <c r="EY110" t="e">
        <f>AND('PROG FORMACIÓN TITULADA'!R765,"AAAAAHqnN5o=")</f>
        <v>#VALUE!</v>
      </c>
      <c r="EZ110" t="e">
        <f>AND('PROG FORMACIÓN TITULADA'!S765,"AAAAAHqnN5s=")</f>
        <v>#VALUE!</v>
      </c>
      <c r="FA110" t="e">
        <f>AND('PROG FORMACIÓN TITULADA'!T765,"AAAAAHqnN5w=")</f>
        <v>#VALUE!</v>
      </c>
      <c r="FB110" t="e">
        <f>AND('PROG FORMACIÓN TITULADA'!U765,"AAAAAHqnN50=")</f>
        <v>#VALUE!</v>
      </c>
      <c r="FC110" t="e">
        <f>AND('PROG FORMACIÓN TITULADA'!V765,"AAAAAHqnN54=")</f>
        <v>#VALUE!</v>
      </c>
      <c r="FD110" t="e">
        <f>AND('PROG FORMACIÓN TITULADA'!W765,"AAAAAHqnN58=")</f>
        <v>#VALUE!</v>
      </c>
      <c r="FE110" t="e">
        <f>AND('PROG FORMACIÓN TITULADA'!X765,"AAAAAHqnN6A=")</f>
        <v>#VALUE!</v>
      </c>
      <c r="FF110" t="e">
        <f>AND('PROG FORMACIÓN TITULADA'!Y765,"AAAAAHqnN6E=")</f>
        <v>#VALUE!</v>
      </c>
      <c r="FG110" t="e">
        <f>AND('PROG FORMACIÓN TITULADA'!Z765,"AAAAAHqnN6I=")</f>
        <v>#VALUE!</v>
      </c>
      <c r="FH110">
        <f>IF('PROG FORMACIÓN TITULADA'!766:766,"AAAAAHqnN6M=",0)</f>
        <v>0</v>
      </c>
      <c r="FI110" t="e">
        <f>AND('PROG FORMACIÓN TITULADA'!A766,"AAAAAHqnN6Q=")</f>
        <v>#VALUE!</v>
      </c>
      <c r="FJ110" t="e">
        <f>AND('PROG FORMACIÓN TITULADA'!B766,"AAAAAHqnN6U=")</f>
        <v>#VALUE!</v>
      </c>
      <c r="FK110" t="e">
        <f>AND('PROG FORMACIÓN TITULADA'!C766,"AAAAAHqnN6Y=")</f>
        <v>#VALUE!</v>
      </c>
      <c r="FL110" t="e">
        <f>AND('PROG FORMACIÓN TITULADA'!D766,"AAAAAHqnN6c=")</f>
        <v>#VALUE!</v>
      </c>
      <c r="FM110" t="e">
        <f>AND('PROG FORMACIÓN TITULADA'!E766,"AAAAAHqnN6g=")</f>
        <v>#VALUE!</v>
      </c>
      <c r="FN110" t="e">
        <f>AND('PROG FORMACIÓN TITULADA'!F766,"AAAAAHqnN6k=")</f>
        <v>#VALUE!</v>
      </c>
      <c r="FO110" t="e">
        <f>AND('PROG FORMACIÓN TITULADA'!G766,"AAAAAHqnN6o=")</f>
        <v>#VALUE!</v>
      </c>
      <c r="FP110" t="e">
        <f>AND('PROG FORMACIÓN TITULADA'!H766,"AAAAAHqnN6s=")</f>
        <v>#VALUE!</v>
      </c>
      <c r="FQ110" t="e">
        <f>AND('PROG FORMACIÓN TITULADA'!I766,"AAAAAHqnN6w=")</f>
        <v>#VALUE!</v>
      </c>
      <c r="FR110" t="e">
        <f>AND('PROG FORMACIÓN TITULADA'!J766,"AAAAAHqnN60=")</f>
        <v>#VALUE!</v>
      </c>
      <c r="FS110" t="e">
        <f>AND('PROG FORMACIÓN TITULADA'!K766,"AAAAAHqnN64=")</f>
        <v>#VALUE!</v>
      </c>
      <c r="FT110" t="e">
        <f>AND('PROG FORMACIÓN TITULADA'!L766,"AAAAAHqnN68=")</f>
        <v>#VALUE!</v>
      </c>
      <c r="FU110" t="e">
        <f>AND('PROG FORMACIÓN TITULADA'!M766,"AAAAAHqnN7A=")</f>
        <v>#VALUE!</v>
      </c>
      <c r="FV110" t="e">
        <f>AND('PROG FORMACIÓN TITULADA'!N766,"AAAAAHqnN7E=")</f>
        <v>#VALUE!</v>
      </c>
      <c r="FW110" t="e">
        <f>AND('PROG FORMACIÓN TITULADA'!O766,"AAAAAHqnN7I=")</f>
        <v>#VALUE!</v>
      </c>
      <c r="FX110" t="e">
        <f>AND('PROG FORMACIÓN TITULADA'!P766,"AAAAAHqnN7M=")</f>
        <v>#VALUE!</v>
      </c>
      <c r="FY110" t="e">
        <f>AND('PROG FORMACIÓN TITULADA'!Q766,"AAAAAHqnN7Q=")</f>
        <v>#VALUE!</v>
      </c>
      <c r="FZ110" t="e">
        <f>AND('PROG FORMACIÓN TITULADA'!R766,"AAAAAHqnN7U=")</f>
        <v>#VALUE!</v>
      </c>
      <c r="GA110" t="e">
        <f>AND('PROG FORMACIÓN TITULADA'!S766,"AAAAAHqnN7Y=")</f>
        <v>#VALUE!</v>
      </c>
      <c r="GB110" t="e">
        <f>AND('PROG FORMACIÓN TITULADA'!T766,"AAAAAHqnN7c=")</f>
        <v>#VALUE!</v>
      </c>
      <c r="GC110" t="e">
        <f>AND('PROG FORMACIÓN TITULADA'!U766,"AAAAAHqnN7g=")</f>
        <v>#VALUE!</v>
      </c>
      <c r="GD110" t="e">
        <f>AND('PROG FORMACIÓN TITULADA'!V766,"AAAAAHqnN7k=")</f>
        <v>#VALUE!</v>
      </c>
      <c r="GE110" t="e">
        <f>AND('PROG FORMACIÓN TITULADA'!W766,"AAAAAHqnN7o=")</f>
        <v>#VALUE!</v>
      </c>
      <c r="GF110" t="e">
        <f>AND('PROG FORMACIÓN TITULADA'!X766,"AAAAAHqnN7s=")</f>
        <v>#VALUE!</v>
      </c>
      <c r="GG110" t="e">
        <f>AND('PROG FORMACIÓN TITULADA'!Y766,"AAAAAHqnN7w=")</f>
        <v>#VALUE!</v>
      </c>
      <c r="GH110" t="e">
        <f>AND('PROG FORMACIÓN TITULADA'!Z766,"AAAAAHqnN70=")</f>
        <v>#VALUE!</v>
      </c>
      <c r="GI110">
        <f>IF('PROG FORMACIÓN TITULADA'!767:767,"AAAAAHqnN74=",0)</f>
        <v>0</v>
      </c>
      <c r="GJ110" t="e">
        <f>AND('PROG FORMACIÓN TITULADA'!A767,"AAAAAHqnN78=")</f>
        <v>#VALUE!</v>
      </c>
      <c r="GK110" t="e">
        <f>AND('PROG FORMACIÓN TITULADA'!B767,"AAAAAHqnN8A=")</f>
        <v>#VALUE!</v>
      </c>
      <c r="GL110" t="e">
        <f>AND('PROG FORMACIÓN TITULADA'!C767,"AAAAAHqnN8E=")</f>
        <v>#VALUE!</v>
      </c>
      <c r="GM110" t="e">
        <f>AND('PROG FORMACIÓN TITULADA'!D767,"AAAAAHqnN8I=")</f>
        <v>#VALUE!</v>
      </c>
      <c r="GN110" t="e">
        <f>AND('PROG FORMACIÓN TITULADA'!E767,"AAAAAHqnN8M=")</f>
        <v>#VALUE!</v>
      </c>
      <c r="GO110" t="e">
        <f>AND('PROG FORMACIÓN TITULADA'!F767,"AAAAAHqnN8Q=")</f>
        <v>#VALUE!</v>
      </c>
      <c r="GP110" t="e">
        <f>AND('PROG FORMACIÓN TITULADA'!G767,"AAAAAHqnN8U=")</f>
        <v>#VALUE!</v>
      </c>
      <c r="GQ110" t="e">
        <f>AND('PROG FORMACIÓN TITULADA'!H767,"AAAAAHqnN8Y=")</f>
        <v>#VALUE!</v>
      </c>
      <c r="GR110" t="e">
        <f>AND('PROG FORMACIÓN TITULADA'!I767,"AAAAAHqnN8c=")</f>
        <v>#VALUE!</v>
      </c>
      <c r="GS110" t="e">
        <f>AND('PROG FORMACIÓN TITULADA'!J767,"AAAAAHqnN8g=")</f>
        <v>#VALUE!</v>
      </c>
      <c r="GT110" t="e">
        <f>AND('PROG FORMACIÓN TITULADA'!K767,"AAAAAHqnN8k=")</f>
        <v>#VALUE!</v>
      </c>
      <c r="GU110" t="e">
        <f>AND('PROG FORMACIÓN TITULADA'!L767,"AAAAAHqnN8o=")</f>
        <v>#VALUE!</v>
      </c>
      <c r="GV110" t="e">
        <f>AND('PROG FORMACIÓN TITULADA'!M767,"AAAAAHqnN8s=")</f>
        <v>#VALUE!</v>
      </c>
      <c r="GW110" t="e">
        <f>AND('PROG FORMACIÓN TITULADA'!N767,"AAAAAHqnN8w=")</f>
        <v>#VALUE!</v>
      </c>
      <c r="GX110" t="e">
        <f>AND('PROG FORMACIÓN TITULADA'!O767,"AAAAAHqnN80=")</f>
        <v>#VALUE!</v>
      </c>
      <c r="GY110" t="e">
        <f>AND('PROG FORMACIÓN TITULADA'!P767,"AAAAAHqnN84=")</f>
        <v>#VALUE!</v>
      </c>
      <c r="GZ110" t="e">
        <f>AND('PROG FORMACIÓN TITULADA'!Q767,"AAAAAHqnN88=")</f>
        <v>#VALUE!</v>
      </c>
      <c r="HA110" t="e">
        <f>AND('PROG FORMACIÓN TITULADA'!R767,"AAAAAHqnN9A=")</f>
        <v>#VALUE!</v>
      </c>
      <c r="HB110" t="e">
        <f>AND('PROG FORMACIÓN TITULADA'!S767,"AAAAAHqnN9E=")</f>
        <v>#VALUE!</v>
      </c>
      <c r="HC110" t="e">
        <f>AND('PROG FORMACIÓN TITULADA'!T767,"AAAAAHqnN9I=")</f>
        <v>#VALUE!</v>
      </c>
      <c r="HD110" t="e">
        <f>AND('PROG FORMACIÓN TITULADA'!U767,"AAAAAHqnN9M=")</f>
        <v>#VALUE!</v>
      </c>
      <c r="HE110" t="e">
        <f>AND('PROG FORMACIÓN TITULADA'!V767,"AAAAAHqnN9Q=")</f>
        <v>#VALUE!</v>
      </c>
      <c r="HF110" t="e">
        <f>AND('PROG FORMACIÓN TITULADA'!W767,"AAAAAHqnN9U=")</f>
        <v>#VALUE!</v>
      </c>
      <c r="HG110" t="e">
        <f>AND('PROG FORMACIÓN TITULADA'!X767,"AAAAAHqnN9Y=")</f>
        <v>#VALUE!</v>
      </c>
      <c r="HH110" t="e">
        <f>AND('PROG FORMACIÓN TITULADA'!Y767,"AAAAAHqnN9c=")</f>
        <v>#VALUE!</v>
      </c>
      <c r="HI110" t="e">
        <f>AND('PROG FORMACIÓN TITULADA'!Z767,"AAAAAHqnN9g=")</f>
        <v>#VALUE!</v>
      </c>
      <c r="HJ110">
        <f>IF('PROG FORMACIÓN TITULADA'!768:768,"AAAAAHqnN9k=",0)</f>
        <v>0</v>
      </c>
      <c r="HK110" t="e">
        <f>AND('PROG FORMACIÓN TITULADA'!A768,"AAAAAHqnN9o=")</f>
        <v>#VALUE!</v>
      </c>
      <c r="HL110" t="e">
        <f>AND('PROG FORMACIÓN TITULADA'!B768,"AAAAAHqnN9s=")</f>
        <v>#VALUE!</v>
      </c>
      <c r="HM110" t="e">
        <f>AND('PROG FORMACIÓN TITULADA'!C768,"AAAAAHqnN9w=")</f>
        <v>#VALUE!</v>
      </c>
      <c r="HN110" t="e">
        <f>AND('PROG FORMACIÓN TITULADA'!D768,"AAAAAHqnN90=")</f>
        <v>#VALUE!</v>
      </c>
      <c r="HO110" t="e">
        <f>AND('PROG FORMACIÓN TITULADA'!E768,"AAAAAHqnN94=")</f>
        <v>#VALUE!</v>
      </c>
      <c r="HP110" t="e">
        <f>AND('PROG FORMACIÓN TITULADA'!F768,"AAAAAHqnN98=")</f>
        <v>#VALUE!</v>
      </c>
      <c r="HQ110" t="e">
        <f>AND('PROG FORMACIÓN TITULADA'!G768,"AAAAAHqnN+A=")</f>
        <v>#VALUE!</v>
      </c>
      <c r="HR110" t="e">
        <f>AND('PROG FORMACIÓN TITULADA'!H768,"AAAAAHqnN+E=")</f>
        <v>#VALUE!</v>
      </c>
      <c r="HS110" t="e">
        <f>AND('PROG FORMACIÓN TITULADA'!I768,"AAAAAHqnN+I=")</f>
        <v>#VALUE!</v>
      </c>
      <c r="HT110" t="e">
        <f>AND('PROG FORMACIÓN TITULADA'!J768,"AAAAAHqnN+M=")</f>
        <v>#VALUE!</v>
      </c>
      <c r="HU110" t="e">
        <f>AND('PROG FORMACIÓN TITULADA'!K768,"AAAAAHqnN+Q=")</f>
        <v>#VALUE!</v>
      </c>
      <c r="HV110" t="e">
        <f>AND('PROG FORMACIÓN TITULADA'!L768,"AAAAAHqnN+U=")</f>
        <v>#VALUE!</v>
      </c>
      <c r="HW110" t="e">
        <f>AND('PROG FORMACIÓN TITULADA'!M768,"AAAAAHqnN+Y=")</f>
        <v>#VALUE!</v>
      </c>
      <c r="HX110" t="e">
        <f>AND('PROG FORMACIÓN TITULADA'!N768,"AAAAAHqnN+c=")</f>
        <v>#VALUE!</v>
      </c>
      <c r="HY110" t="e">
        <f>AND('PROG FORMACIÓN TITULADA'!O768,"AAAAAHqnN+g=")</f>
        <v>#VALUE!</v>
      </c>
      <c r="HZ110" t="e">
        <f>AND('PROG FORMACIÓN TITULADA'!P768,"AAAAAHqnN+k=")</f>
        <v>#VALUE!</v>
      </c>
      <c r="IA110" t="e">
        <f>AND('PROG FORMACIÓN TITULADA'!Q768,"AAAAAHqnN+o=")</f>
        <v>#VALUE!</v>
      </c>
      <c r="IB110" t="e">
        <f>AND('PROG FORMACIÓN TITULADA'!R768,"AAAAAHqnN+s=")</f>
        <v>#VALUE!</v>
      </c>
      <c r="IC110" t="e">
        <f>AND('PROG FORMACIÓN TITULADA'!S768,"AAAAAHqnN+w=")</f>
        <v>#VALUE!</v>
      </c>
      <c r="ID110" t="e">
        <f>AND('PROG FORMACIÓN TITULADA'!T768,"AAAAAHqnN+0=")</f>
        <v>#VALUE!</v>
      </c>
      <c r="IE110" t="e">
        <f>AND('PROG FORMACIÓN TITULADA'!U768,"AAAAAHqnN+4=")</f>
        <v>#VALUE!</v>
      </c>
      <c r="IF110" t="e">
        <f>AND('PROG FORMACIÓN TITULADA'!V768,"AAAAAHqnN+8=")</f>
        <v>#VALUE!</v>
      </c>
      <c r="IG110" t="e">
        <f>AND('PROG FORMACIÓN TITULADA'!W768,"AAAAAHqnN/A=")</f>
        <v>#VALUE!</v>
      </c>
      <c r="IH110" t="e">
        <f>AND('PROG FORMACIÓN TITULADA'!X768,"AAAAAHqnN/E=")</f>
        <v>#VALUE!</v>
      </c>
      <c r="II110" t="e">
        <f>AND('PROG FORMACIÓN TITULADA'!Y768,"AAAAAHqnN/I=")</f>
        <v>#VALUE!</v>
      </c>
      <c r="IJ110" t="e">
        <f>AND('PROG FORMACIÓN TITULADA'!Z768,"AAAAAHqnN/M=")</f>
        <v>#VALUE!</v>
      </c>
      <c r="IK110">
        <f>IF('PROG FORMACIÓN TITULADA'!769:769,"AAAAAHqnN/Q=",0)</f>
        <v>0</v>
      </c>
      <c r="IL110" t="e">
        <f>AND('PROG FORMACIÓN TITULADA'!A769,"AAAAAHqnN/U=")</f>
        <v>#VALUE!</v>
      </c>
      <c r="IM110" t="e">
        <f>AND('PROG FORMACIÓN TITULADA'!B769,"AAAAAHqnN/Y=")</f>
        <v>#VALUE!</v>
      </c>
      <c r="IN110" t="e">
        <f>AND('PROG FORMACIÓN TITULADA'!C769,"AAAAAHqnN/c=")</f>
        <v>#VALUE!</v>
      </c>
      <c r="IO110" t="e">
        <f>AND('PROG FORMACIÓN TITULADA'!D769,"AAAAAHqnN/g=")</f>
        <v>#VALUE!</v>
      </c>
      <c r="IP110" t="e">
        <f>AND('PROG FORMACIÓN TITULADA'!E769,"AAAAAHqnN/k=")</f>
        <v>#VALUE!</v>
      </c>
      <c r="IQ110" t="e">
        <f>AND('PROG FORMACIÓN TITULADA'!F769,"AAAAAHqnN/o=")</f>
        <v>#VALUE!</v>
      </c>
      <c r="IR110" t="e">
        <f>AND('PROG FORMACIÓN TITULADA'!G769,"AAAAAHqnN/s=")</f>
        <v>#VALUE!</v>
      </c>
      <c r="IS110" t="e">
        <f>AND('PROG FORMACIÓN TITULADA'!H769,"AAAAAHqnN/w=")</f>
        <v>#VALUE!</v>
      </c>
      <c r="IT110" t="e">
        <f>AND('PROG FORMACIÓN TITULADA'!I769,"AAAAAHqnN/0=")</f>
        <v>#VALUE!</v>
      </c>
      <c r="IU110" t="e">
        <f>AND('PROG FORMACIÓN TITULADA'!J769,"AAAAAHqnN/4=")</f>
        <v>#VALUE!</v>
      </c>
      <c r="IV110" t="e">
        <f>AND('PROG FORMACIÓN TITULADA'!K769,"AAAAAHqnN/8=")</f>
        <v>#VALUE!</v>
      </c>
    </row>
    <row r="111" spans="1:256" x14ac:dyDescent="0.2">
      <c r="A111" t="e">
        <f>AND('PROG FORMACIÓN TITULADA'!L769,"AAAAABePfwA=")</f>
        <v>#VALUE!</v>
      </c>
      <c r="B111" t="e">
        <f>AND('PROG FORMACIÓN TITULADA'!M769,"AAAAABePfwE=")</f>
        <v>#VALUE!</v>
      </c>
      <c r="C111" t="e">
        <f>AND('PROG FORMACIÓN TITULADA'!N769,"AAAAABePfwI=")</f>
        <v>#VALUE!</v>
      </c>
      <c r="D111" t="e">
        <f>AND('PROG FORMACIÓN TITULADA'!O769,"AAAAABePfwM=")</f>
        <v>#VALUE!</v>
      </c>
      <c r="E111" t="e">
        <f>AND('PROG FORMACIÓN TITULADA'!P769,"AAAAABePfwQ=")</f>
        <v>#VALUE!</v>
      </c>
      <c r="F111" t="e">
        <f>AND('PROG FORMACIÓN TITULADA'!Q769,"AAAAABePfwU=")</f>
        <v>#VALUE!</v>
      </c>
      <c r="G111" t="e">
        <f>AND('PROG FORMACIÓN TITULADA'!R769,"AAAAABePfwY=")</f>
        <v>#VALUE!</v>
      </c>
      <c r="H111" t="e">
        <f>AND('PROG FORMACIÓN TITULADA'!S769,"AAAAABePfwc=")</f>
        <v>#VALUE!</v>
      </c>
      <c r="I111" t="e">
        <f>AND('PROG FORMACIÓN TITULADA'!T769,"AAAAABePfwg=")</f>
        <v>#VALUE!</v>
      </c>
      <c r="J111" t="e">
        <f>AND('PROG FORMACIÓN TITULADA'!U769,"AAAAABePfwk=")</f>
        <v>#VALUE!</v>
      </c>
      <c r="K111" t="e">
        <f>AND('PROG FORMACIÓN TITULADA'!V769,"AAAAABePfwo=")</f>
        <v>#VALUE!</v>
      </c>
      <c r="L111" t="e">
        <f>AND('PROG FORMACIÓN TITULADA'!W769,"AAAAABePfws=")</f>
        <v>#VALUE!</v>
      </c>
      <c r="M111" t="e">
        <f>AND('PROG FORMACIÓN TITULADA'!X769,"AAAAABePfww=")</f>
        <v>#VALUE!</v>
      </c>
      <c r="N111" t="e">
        <f>AND('PROG FORMACIÓN TITULADA'!Y769,"AAAAABePfw0=")</f>
        <v>#VALUE!</v>
      </c>
      <c r="O111" t="e">
        <f>AND('PROG FORMACIÓN TITULADA'!Z769,"AAAAABePfw4=")</f>
        <v>#VALUE!</v>
      </c>
      <c r="P111">
        <f>IF('PROG FORMACIÓN TITULADA'!770:770,"AAAAABePfw8=",0)</f>
        <v>0</v>
      </c>
      <c r="Q111" t="e">
        <f>AND('PROG FORMACIÓN TITULADA'!A770,"AAAAABePfxA=")</f>
        <v>#VALUE!</v>
      </c>
      <c r="R111" t="e">
        <f>AND('PROG FORMACIÓN TITULADA'!B770,"AAAAABePfxE=")</f>
        <v>#VALUE!</v>
      </c>
      <c r="S111" t="e">
        <f>AND('PROG FORMACIÓN TITULADA'!C770,"AAAAABePfxI=")</f>
        <v>#VALUE!</v>
      </c>
      <c r="T111" t="e">
        <f>AND('PROG FORMACIÓN TITULADA'!D770,"AAAAABePfxM=")</f>
        <v>#VALUE!</v>
      </c>
      <c r="U111" t="e">
        <f>AND('PROG FORMACIÓN TITULADA'!E770,"AAAAABePfxQ=")</f>
        <v>#VALUE!</v>
      </c>
      <c r="V111" t="e">
        <f>AND('PROG FORMACIÓN TITULADA'!F770,"AAAAABePfxU=")</f>
        <v>#VALUE!</v>
      </c>
      <c r="W111" t="e">
        <f>AND('PROG FORMACIÓN TITULADA'!G770,"AAAAABePfxY=")</f>
        <v>#VALUE!</v>
      </c>
      <c r="X111" t="e">
        <f>AND('PROG FORMACIÓN TITULADA'!H770,"AAAAABePfxc=")</f>
        <v>#VALUE!</v>
      </c>
      <c r="Y111" t="e">
        <f>AND('PROG FORMACIÓN TITULADA'!I770,"AAAAABePfxg=")</f>
        <v>#VALUE!</v>
      </c>
      <c r="Z111" t="e">
        <f>AND('PROG FORMACIÓN TITULADA'!J770,"AAAAABePfxk=")</f>
        <v>#VALUE!</v>
      </c>
      <c r="AA111" t="e">
        <f>AND('PROG FORMACIÓN TITULADA'!K770,"AAAAABePfxo=")</f>
        <v>#VALUE!</v>
      </c>
      <c r="AB111" t="e">
        <f>AND('PROG FORMACIÓN TITULADA'!L770,"AAAAABePfxs=")</f>
        <v>#VALUE!</v>
      </c>
      <c r="AC111" t="e">
        <f>AND('PROG FORMACIÓN TITULADA'!M770,"AAAAABePfxw=")</f>
        <v>#VALUE!</v>
      </c>
      <c r="AD111" t="e">
        <f>AND('PROG FORMACIÓN TITULADA'!N770,"AAAAABePfx0=")</f>
        <v>#VALUE!</v>
      </c>
      <c r="AE111" t="e">
        <f>AND('PROG FORMACIÓN TITULADA'!O770,"AAAAABePfx4=")</f>
        <v>#VALUE!</v>
      </c>
      <c r="AF111" t="e">
        <f>AND('PROG FORMACIÓN TITULADA'!P770,"AAAAABePfx8=")</f>
        <v>#VALUE!</v>
      </c>
      <c r="AG111" t="e">
        <f>AND('PROG FORMACIÓN TITULADA'!Q770,"AAAAABePfyA=")</f>
        <v>#VALUE!</v>
      </c>
      <c r="AH111" t="e">
        <f>AND('PROG FORMACIÓN TITULADA'!R770,"AAAAABePfyE=")</f>
        <v>#VALUE!</v>
      </c>
      <c r="AI111" t="e">
        <f>AND('PROG FORMACIÓN TITULADA'!S770,"AAAAABePfyI=")</f>
        <v>#VALUE!</v>
      </c>
      <c r="AJ111" t="e">
        <f>AND('PROG FORMACIÓN TITULADA'!T770,"AAAAABePfyM=")</f>
        <v>#VALUE!</v>
      </c>
      <c r="AK111" t="e">
        <f>AND('PROG FORMACIÓN TITULADA'!U770,"AAAAABePfyQ=")</f>
        <v>#VALUE!</v>
      </c>
      <c r="AL111" t="e">
        <f>AND('PROG FORMACIÓN TITULADA'!V770,"AAAAABePfyU=")</f>
        <v>#VALUE!</v>
      </c>
      <c r="AM111" t="e">
        <f>AND('PROG FORMACIÓN TITULADA'!W770,"AAAAABePfyY=")</f>
        <v>#VALUE!</v>
      </c>
      <c r="AN111" t="e">
        <f>AND('PROG FORMACIÓN TITULADA'!X770,"AAAAABePfyc=")</f>
        <v>#VALUE!</v>
      </c>
      <c r="AO111" t="e">
        <f>AND('PROG FORMACIÓN TITULADA'!Y770,"AAAAABePfyg=")</f>
        <v>#VALUE!</v>
      </c>
      <c r="AP111" t="e">
        <f>AND('PROG FORMACIÓN TITULADA'!Z770,"AAAAABePfyk=")</f>
        <v>#VALUE!</v>
      </c>
      <c r="AQ111">
        <f>IF('PROG FORMACIÓN TITULADA'!771:771,"AAAAABePfyo=",0)</f>
        <v>0</v>
      </c>
      <c r="AR111" t="e">
        <f>AND('PROG FORMACIÓN TITULADA'!A771,"AAAAABePfys=")</f>
        <v>#VALUE!</v>
      </c>
      <c r="AS111" t="e">
        <f>AND('PROG FORMACIÓN TITULADA'!B771,"AAAAABePfyw=")</f>
        <v>#VALUE!</v>
      </c>
      <c r="AT111" t="e">
        <f>AND('PROG FORMACIÓN TITULADA'!C771,"AAAAABePfy0=")</f>
        <v>#VALUE!</v>
      </c>
      <c r="AU111" t="e">
        <f>AND('PROG FORMACIÓN TITULADA'!D771,"AAAAABePfy4=")</f>
        <v>#VALUE!</v>
      </c>
      <c r="AV111" t="e">
        <f>AND('PROG FORMACIÓN TITULADA'!E771,"AAAAABePfy8=")</f>
        <v>#VALUE!</v>
      </c>
      <c r="AW111" t="e">
        <f>AND('PROG FORMACIÓN TITULADA'!F771,"AAAAABePfzA=")</f>
        <v>#VALUE!</v>
      </c>
      <c r="AX111" t="e">
        <f>AND('PROG FORMACIÓN TITULADA'!G771,"AAAAABePfzE=")</f>
        <v>#VALUE!</v>
      </c>
      <c r="AY111" t="e">
        <f>AND('PROG FORMACIÓN TITULADA'!H771,"AAAAABePfzI=")</f>
        <v>#VALUE!</v>
      </c>
      <c r="AZ111" t="e">
        <f>AND('PROG FORMACIÓN TITULADA'!I771,"AAAAABePfzM=")</f>
        <v>#VALUE!</v>
      </c>
      <c r="BA111" t="e">
        <f>AND('PROG FORMACIÓN TITULADA'!J771,"AAAAABePfzQ=")</f>
        <v>#VALUE!</v>
      </c>
      <c r="BB111" t="e">
        <f>AND('PROG FORMACIÓN TITULADA'!K771,"AAAAABePfzU=")</f>
        <v>#VALUE!</v>
      </c>
      <c r="BC111" t="e">
        <f>AND('PROG FORMACIÓN TITULADA'!L771,"AAAAABePfzY=")</f>
        <v>#VALUE!</v>
      </c>
      <c r="BD111" t="e">
        <f>AND('PROG FORMACIÓN TITULADA'!M771,"AAAAABePfzc=")</f>
        <v>#VALUE!</v>
      </c>
      <c r="BE111" t="e">
        <f>AND('PROG FORMACIÓN TITULADA'!N771,"AAAAABePfzg=")</f>
        <v>#VALUE!</v>
      </c>
      <c r="BF111" t="e">
        <f>AND('PROG FORMACIÓN TITULADA'!O771,"AAAAABePfzk=")</f>
        <v>#VALUE!</v>
      </c>
      <c r="BG111" t="e">
        <f>AND('PROG FORMACIÓN TITULADA'!P771,"AAAAABePfzo=")</f>
        <v>#VALUE!</v>
      </c>
      <c r="BH111" t="e">
        <f>AND('PROG FORMACIÓN TITULADA'!Q771,"AAAAABePfzs=")</f>
        <v>#VALUE!</v>
      </c>
      <c r="BI111" t="e">
        <f>AND('PROG FORMACIÓN TITULADA'!R771,"AAAAABePfzw=")</f>
        <v>#VALUE!</v>
      </c>
      <c r="BJ111" t="e">
        <f>AND('PROG FORMACIÓN TITULADA'!S771,"AAAAABePfz0=")</f>
        <v>#VALUE!</v>
      </c>
      <c r="BK111" t="e">
        <f>AND('PROG FORMACIÓN TITULADA'!T771,"AAAAABePfz4=")</f>
        <v>#VALUE!</v>
      </c>
      <c r="BL111" t="e">
        <f>AND('PROG FORMACIÓN TITULADA'!U771,"AAAAABePfz8=")</f>
        <v>#VALUE!</v>
      </c>
      <c r="BM111" t="e">
        <f>AND('PROG FORMACIÓN TITULADA'!V771,"AAAAABePf0A=")</f>
        <v>#VALUE!</v>
      </c>
      <c r="BN111" t="e">
        <f>AND('PROG FORMACIÓN TITULADA'!W771,"AAAAABePf0E=")</f>
        <v>#VALUE!</v>
      </c>
      <c r="BO111" t="e">
        <f>AND('PROG FORMACIÓN TITULADA'!X771,"AAAAABePf0I=")</f>
        <v>#VALUE!</v>
      </c>
      <c r="BP111" t="e">
        <f>AND('PROG FORMACIÓN TITULADA'!Y771,"AAAAABePf0M=")</f>
        <v>#VALUE!</v>
      </c>
      <c r="BQ111" t="e">
        <f>AND('PROG FORMACIÓN TITULADA'!Z771,"AAAAABePf0Q=")</f>
        <v>#VALUE!</v>
      </c>
      <c r="BR111">
        <f>IF('PROG FORMACIÓN TITULADA'!772:772,"AAAAABePf0U=",0)</f>
        <v>0</v>
      </c>
      <c r="BS111" t="e">
        <f>AND('PROG FORMACIÓN TITULADA'!A772,"AAAAABePf0Y=")</f>
        <v>#VALUE!</v>
      </c>
      <c r="BT111" t="e">
        <f>AND('PROG FORMACIÓN TITULADA'!B772,"AAAAABePf0c=")</f>
        <v>#VALUE!</v>
      </c>
      <c r="BU111" t="e">
        <f>AND('PROG FORMACIÓN TITULADA'!C772,"AAAAABePf0g=")</f>
        <v>#VALUE!</v>
      </c>
      <c r="BV111" t="e">
        <f>AND('PROG FORMACIÓN TITULADA'!D772,"AAAAABePf0k=")</f>
        <v>#VALUE!</v>
      </c>
      <c r="BW111" t="e">
        <f>AND('PROG FORMACIÓN TITULADA'!E772,"AAAAABePf0o=")</f>
        <v>#VALUE!</v>
      </c>
      <c r="BX111" t="e">
        <f>AND('PROG FORMACIÓN TITULADA'!F772,"AAAAABePf0s=")</f>
        <v>#VALUE!</v>
      </c>
      <c r="BY111" t="e">
        <f>AND('PROG FORMACIÓN TITULADA'!G772,"AAAAABePf0w=")</f>
        <v>#VALUE!</v>
      </c>
      <c r="BZ111" t="e">
        <f>AND('PROG FORMACIÓN TITULADA'!H772,"AAAAABePf00=")</f>
        <v>#VALUE!</v>
      </c>
      <c r="CA111" t="e">
        <f>AND('PROG FORMACIÓN TITULADA'!I772,"AAAAABePf04=")</f>
        <v>#VALUE!</v>
      </c>
      <c r="CB111" t="e">
        <f>AND('PROG FORMACIÓN TITULADA'!J772,"AAAAABePf08=")</f>
        <v>#VALUE!</v>
      </c>
      <c r="CC111" t="e">
        <f>AND('PROG FORMACIÓN TITULADA'!K772,"AAAAABePf1A=")</f>
        <v>#VALUE!</v>
      </c>
      <c r="CD111" t="e">
        <f>AND('PROG FORMACIÓN TITULADA'!L772,"AAAAABePf1E=")</f>
        <v>#VALUE!</v>
      </c>
      <c r="CE111" t="e">
        <f>AND('PROG FORMACIÓN TITULADA'!M772,"AAAAABePf1I=")</f>
        <v>#VALUE!</v>
      </c>
      <c r="CF111" t="e">
        <f>AND('PROG FORMACIÓN TITULADA'!N772,"AAAAABePf1M=")</f>
        <v>#VALUE!</v>
      </c>
      <c r="CG111" t="e">
        <f>AND('PROG FORMACIÓN TITULADA'!O772,"AAAAABePf1Q=")</f>
        <v>#VALUE!</v>
      </c>
      <c r="CH111" t="e">
        <f>AND('PROG FORMACIÓN TITULADA'!P772,"AAAAABePf1U=")</f>
        <v>#VALUE!</v>
      </c>
      <c r="CI111" t="e">
        <f>AND('PROG FORMACIÓN TITULADA'!Q772,"AAAAABePf1Y=")</f>
        <v>#VALUE!</v>
      </c>
      <c r="CJ111" t="e">
        <f>AND('PROG FORMACIÓN TITULADA'!R772,"AAAAABePf1c=")</f>
        <v>#VALUE!</v>
      </c>
      <c r="CK111" t="e">
        <f>AND('PROG FORMACIÓN TITULADA'!S772,"AAAAABePf1g=")</f>
        <v>#VALUE!</v>
      </c>
      <c r="CL111" t="e">
        <f>AND('PROG FORMACIÓN TITULADA'!T772,"AAAAABePf1k=")</f>
        <v>#VALUE!</v>
      </c>
      <c r="CM111" t="e">
        <f>AND('PROG FORMACIÓN TITULADA'!U772,"AAAAABePf1o=")</f>
        <v>#VALUE!</v>
      </c>
      <c r="CN111" t="e">
        <f>AND('PROG FORMACIÓN TITULADA'!V772,"AAAAABePf1s=")</f>
        <v>#VALUE!</v>
      </c>
      <c r="CO111" t="e">
        <f>AND('PROG FORMACIÓN TITULADA'!W772,"AAAAABePf1w=")</f>
        <v>#VALUE!</v>
      </c>
      <c r="CP111" t="e">
        <f>AND('PROG FORMACIÓN TITULADA'!X772,"AAAAABePf10=")</f>
        <v>#VALUE!</v>
      </c>
      <c r="CQ111" t="e">
        <f>AND('PROG FORMACIÓN TITULADA'!Y772,"AAAAABePf14=")</f>
        <v>#VALUE!</v>
      </c>
      <c r="CR111" t="e">
        <f>AND('PROG FORMACIÓN TITULADA'!Z772,"AAAAABePf18=")</f>
        <v>#VALUE!</v>
      </c>
      <c r="CS111">
        <f>IF('PROG FORMACIÓN TITULADA'!773:773,"AAAAABePf2A=",0)</f>
        <v>0</v>
      </c>
      <c r="CT111" t="e">
        <f>AND('PROG FORMACIÓN TITULADA'!A773,"AAAAABePf2E=")</f>
        <v>#VALUE!</v>
      </c>
      <c r="CU111" t="e">
        <f>AND('PROG FORMACIÓN TITULADA'!B773,"AAAAABePf2I=")</f>
        <v>#VALUE!</v>
      </c>
      <c r="CV111" t="e">
        <f>AND('PROG FORMACIÓN TITULADA'!C773,"AAAAABePf2M=")</f>
        <v>#VALUE!</v>
      </c>
      <c r="CW111" t="e">
        <f>AND('PROG FORMACIÓN TITULADA'!D773,"AAAAABePf2Q=")</f>
        <v>#VALUE!</v>
      </c>
      <c r="CX111" t="e">
        <f>AND('PROG FORMACIÓN TITULADA'!E773,"AAAAABePf2U=")</f>
        <v>#VALUE!</v>
      </c>
      <c r="CY111" t="e">
        <f>AND('PROG FORMACIÓN TITULADA'!F773,"AAAAABePf2Y=")</f>
        <v>#VALUE!</v>
      </c>
      <c r="CZ111" t="e">
        <f>AND('PROG FORMACIÓN TITULADA'!G773,"AAAAABePf2c=")</f>
        <v>#VALUE!</v>
      </c>
      <c r="DA111" t="e">
        <f>AND('PROG FORMACIÓN TITULADA'!H773,"AAAAABePf2g=")</f>
        <v>#VALUE!</v>
      </c>
      <c r="DB111" t="e">
        <f>AND('PROG FORMACIÓN TITULADA'!I773,"AAAAABePf2k=")</f>
        <v>#VALUE!</v>
      </c>
      <c r="DC111" t="e">
        <f>AND('PROG FORMACIÓN TITULADA'!J773,"AAAAABePf2o=")</f>
        <v>#VALUE!</v>
      </c>
      <c r="DD111" t="e">
        <f>AND('PROG FORMACIÓN TITULADA'!K773,"AAAAABePf2s=")</f>
        <v>#VALUE!</v>
      </c>
      <c r="DE111" t="e">
        <f>AND('PROG FORMACIÓN TITULADA'!L773,"AAAAABePf2w=")</f>
        <v>#VALUE!</v>
      </c>
      <c r="DF111" t="e">
        <f>AND('PROG FORMACIÓN TITULADA'!M773,"AAAAABePf20=")</f>
        <v>#VALUE!</v>
      </c>
      <c r="DG111" t="e">
        <f>AND('PROG FORMACIÓN TITULADA'!N773,"AAAAABePf24=")</f>
        <v>#VALUE!</v>
      </c>
      <c r="DH111" t="e">
        <f>AND('PROG FORMACIÓN TITULADA'!O773,"AAAAABePf28=")</f>
        <v>#VALUE!</v>
      </c>
      <c r="DI111" t="e">
        <f>AND('PROG FORMACIÓN TITULADA'!P773,"AAAAABePf3A=")</f>
        <v>#VALUE!</v>
      </c>
      <c r="DJ111" t="e">
        <f>AND('PROG FORMACIÓN TITULADA'!Q773,"AAAAABePf3E=")</f>
        <v>#VALUE!</v>
      </c>
      <c r="DK111" t="e">
        <f>AND('PROG FORMACIÓN TITULADA'!R773,"AAAAABePf3I=")</f>
        <v>#VALUE!</v>
      </c>
      <c r="DL111" t="e">
        <f>AND('PROG FORMACIÓN TITULADA'!S773,"AAAAABePf3M=")</f>
        <v>#VALUE!</v>
      </c>
      <c r="DM111" t="e">
        <f>AND('PROG FORMACIÓN TITULADA'!T773,"AAAAABePf3Q=")</f>
        <v>#VALUE!</v>
      </c>
      <c r="DN111" t="e">
        <f>AND('PROG FORMACIÓN TITULADA'!U773,"AAAAABePf3U=")</f>
        <v>#VALUE!</v>
      </c>
      <c r="DO111" t="e">
        <f>AND('PROG FORMACIÓN TITULADA'!V773,"AAAAABePf3Y=")</f>
        <v>#VALUE!</v>
      </c>
      <c r="DP111" t="e">
        <f>AND('PROG FORMACIÓN TITULADA'!W773,"AAAAABePf3c=")</f>
        <v>#VALUE!</v>
      </c>
      <c r="DQ111" t="e">
        <f>AND('PROG FORMACIÓN TITULADA'!X773,"AAAAABePf3g=")</f>
        <v>#VALUE!</v>
      </c>
      <c r="DR111" t="e">
        <f>AND('PROG FORMACIÓN TITULADA'!Y773,"AAAAABePf3k=")</f>
        <v>#VALUE!</v>
      </c>
      <c r="DS111" t="e">
        <f>AND('PROG FORMACIÓN TITULADA'!Z773,"AAAAABePf3o=")</f>
        <v>#VALUE!</v>
      </c>
      <c r="DT111">
        <f>IF('PROG FORMACIÓN TITULADA'!774:774,"AAAAABePf3s=",0)</f>
        <v>0</v>
      </c>
      <c r="DU111" t="e">
        <f>AND('PROG FORMACIÓN TITULADA'!A774,"AAAAABePf3w=")</f>
        <v>#VALUE!</v>
      </c>
      <c r="DV111" t="e">
        <f>AND('PROG FORMACIÓN TITULADA'!B774,"AAAAABePf30=")</f>
        <v>#VALUE!</v>
      </c>
      <c r="DW111" t="e">
        <f>AND('PROG FORMACIÓN TITULADA'!C774,"AAAAABePf34=")</f>
        <v>#VALUE!</v>
      </c>
      <c r="DX111" t="e">
        <f>AND('PROG FORMACIÓN TITULADA'!D774,"AAAAABePf38=")</f>
        <v>#VALUE!</v>
      </c>
      <c r="DY111" t="e">
        <f>AND('PROG FORMACIÓN TITULADA'!E774,"AAAAABePf4A=")</f>
        <v>#VALUE!</v>
      </c>
      <c r="DZ111" t="e">
        <f>AND('PROG FORMACIÓN TITULADA'!F774,"AAAAABePf4E=")</f>
        <v>#VALUE!</v>
      </c>
      <c r="EA111" t="e">
        <f>AND('PROG FORMACIÓN TITULADA'!G774,"AAAAABePf4I=")</f>
        <v>#VALUE!</v>
      </c>
      <c r="EB111" t="e">
        <f>AND('PROG FORMACIÓN TITULADA'!H774,"AAAAABePf4M=")</f>
        <v>#VALUE!</v>
      </c>
      <c r="EC111" t="e">
        <f>AND('PROG FORMACIÓN TITULADA'!I774,"AAAAABePf4Q=")</f>
        <v>#VALUE!</v>
      </c>
      <c r="ED111" t="e">
        <f>AND('PROG FORMACIÓN TITULADA'!J774,"AAAAABePf4U=")</f>
        <v>#VALUE!</v>
      </c>
      <c r="EE111" t="e">
        <f>AND('PROG FORMACIÓN TITULADA'!K774,"AAAAABePf4Y=")</f>
        <v>#VALUE!</v>
      </c>
      <c r="EF111" t="e">
        <f>AND('PROG FORMACIÓN TITULADA'!L774,"AAAAABePf4c=")</f>
        <v>#VALUE!</v>
      </c>
      <c r="EG111" t="e">
        <f>AND('PROG FORMACIÓN TITULADA'!M774,"AAAAABePf4g=")</f>
        <v>#VALUE!</v>
      </c>
      <c r="EH111" t="e">
        <f>AND('PROG FORMACIÓN TITULADA'!N774,"AAAAABePf4k=")</f>
        <v>#VALUE!</v>
      </c>
      <c r="EI111" t="e">
        <f>AND('PROG FORMACIÓN TITULADA'!O774,"AAAAABePf4o=")</f>
        <v>#VALUE!</v>
      </c>
      <c r="EJ111" t="e">
        <f>AND('PROG FORMACIÓN TITULADA'!P774,"AAAAABePf4s=")</f>
        <v>#VALUE!</v>
      </c>
      <c r="EK111" t="e">
        <f>AND('PROG FORMACIÓN TITULADA'!Q774,"AAAAABePf4w=")</f>
        <v>#VALUE!</v>
      </c>
      <c r="EL111" t="e">
        <f>AND('PROG FORMACIÓN TITULADA'!R774,"AAAAABePf40=")</f>
        <v>#VALUE!</v>
      </c>
      <c r="EM111" t="e">
        <f>AND('PROG FORMACIÓN TITULADA'!S774,"AAAAABePf44=")</f>
        <v>#VALUE!</v>
      </c>
      <c r="EN111" t="e">
        <f>AND('PROG FORMACIÓN TITULADA'!T774,"AAAAABePf48=")</f>
        <v>#VALUE!</v>
      </c>
      <c r="EO111" t="e">
        <f>AND('PROG FORMACIÓN TITULADA'!U774,"AAAAABePf5A=")</f>
        <v>#VALUE!</v>
      </c>
      <c r="EP111" t="e">
        <f>AND('PROG FORMACIÓN TITULADA'!V774,"AAAAABePf5E=")</f>
        <v>#VALUE!</v>
      </c>
      <c r="EQ111" t="e">
        <f>AND('PROG FORMACIÓN TITULADA'!W774,"AAAAABePf5I=")</f>
        <v>#VALUE!</v>
      </c>
      <c r="ER111" t="e">
        <f>AND('PROG FORMACIÓN TITULADA'!X774,"AAAAABePf5M=")</f>
        <v>#VALUE!</v>
      </c>
      <c r="ES111" t="e">
        <f>AND('PROG FORMACIÓN TITULADA'!Y774,"AAAAABePf5Q=")</f>
        <v>#VALUE!</v>
      </c>
      <c r="ET111" t="e">
        <f>AND('PROG FORMACIÓN TITULADA'!Z774,"AAAAABePf5U=")</f>
        <v>#VALUE!</v>
      </c>
      <c r="EU111">
        <f>IF('PROG FORMACIÓN TITULADA'!775:775,"AAAAABePf5Y=",0)</f>
        <v>0</v>
      </c>
      <c r="EV111" t="e">
        <f>AND('PROG FORMACIÓN TITULADA'!A775,"AAAAABePf5c=")</f>
        <v>#VALUE!</v>
      </c>
      <c r="EW111" t="e">
        <f>AND('PROG FORMACIÓN TITULADA'!B775,"AAAAABePf5g=")</f>
        <v>#VALUE!</v>
      </c>
      <c r="EX111" t="e">
        <f>AND('PROG FORMACIÓN TITULADA'!C775,"AAAAABePf5k=")</f>
        <v>#VALUE!</v>
      </c>
      <c r="EY111" t="e">
        <f>AND('PROG FORMACIÓN TITULADA'!D775,"AAAAABePf5o=")</f>
        <v>#VALUE!</v>
      </c>
      <c r="EZ111" t="e">
        <f>AND('PROG FORMACIÓN TITULADA'!E775,"AAAAABePf5s=")</f>
        <v>#VALUE!</v>
      </c>
      <c r="FA111" t="e">
        <f>AND('PROG FORMACIÓN TITULADA'!F775,"AAAAABePf5w=")</f>
        <v>#VALUE!</v>
      </c>
      <c r="FB111" t="e">
        <f>AND('PROG FORMACIÓN TITULADA'!G775,"AAAAABePf50=")</f>
        <v>#VALUE!</v>
      </c>
      <c r="FC111" t="e">
        <f>AND('PROG FORMACIÓN TITULADA'!H775,"AAAAABePf54=")</f>
        <v>#VALUE!</v>
      </c>
      <c r="FD111" t="e">
        <f>AND('PROG FORMACIÓN TITULADA'!I775,"AAAAABePf58=")</f>
        <v>#VALUE!</v>
      </c>
      <c r="FE111" t="e">
        <f>AND('PROG FORMACIÓN TITULADA'!J775,"AAAAABePf6A=")</f>
        <v>#VALUE!</v>
      </c>
      <c r="FF111" t="e">
        <f>AND('PROG FORMACIÓN TITULADA'!K775,"AAAAABePf6E=")</f>
        <v>#VALUE!</v>
      </c>
      <c r="FG111" t="e">
        <f>AND('PROG FORMACIÓN TITULADA'!L775,"AAAAABePf6I=")</f>
        <v>#VALUE!</v>
      </c>
      <c r="FH111" t="e">
        <f>AND('PROG FORMACIÓN TITULADA'!M775,"AAAAABePf6M=")</f>
        <v>#VALUE!</v>
      </c>
      <c r="FI111" t="e">
        <f>AND('PROG FORMACIÓN TITULADA'!N775,"AAAAABePf6Q=")</f>
        <v>#VALUE!</v>
      </c>
      <c r="FJ111" t="e">
        <f>AND('PROG FORMACIÓN TITULADA'!O775,"AAAAABePf6U=")</f>
        <v>#VALUE!</v>
      </c>
      <c r="FK111" t="e">
        <f>AND('PROG FORMACIÓN TITULADA'!P775,"AAAAABePf6Y=")</f>
        <v>#VALUE!</v>
      </c>
      <c r="FL111" t="e">
        <f>AND('PROG FORMACIÓN TITULADA'!Q775,"AAAAABePf6c=")</f>
        <v>#VALUE!</v>
      </c>
      <c r="FM111" t="e">
        <f>AND('PROG FORMACIÓN TITULADA'!R775,"AAAAABePf6g=")</f>
        <v>#VALUE!</v>
      </c>
      <c r="FN111" t="e">
        <f>AND('PROG FORMACIÓN TITULADA'!S775,"AAAAABePf6k=")</f>
        <v>#VALUE!</v>
      </c>
      <c r="FO111" t="e">
        <f>AND('PROG FORMACIÓN TITULADA'!T775,"AAAAABePf6o=")</f>
        <v>#VALUE!</v>
      </c>
      <c r="FP111" t="e">
        <f>AND('PROG FORMACIÓN TITULADA'!U775,"AAAAABePf6s=")</f>
        <v>#VALUE!</v>
      </c>
      <c r="FQ111" t="e">
        <f>AND('PROG FORMACIÓN TITULADA'!V775,"AAAAABePf6w=")</f>
        <v>#VALUE!</v>
      </c>
      <c r="FR111" t="e">
        <f>AND('PROG FORMACIÓN TITULADA'!W775,"AAAAABePf60=")</f>
        <v>#VALUE!</v>
      </c>
      <c r="FS111" t="e">
        <f>AND('PROG FORMACIÓN TITULADA'!X775,"AAAAABePf64=")</f>
        <v>#VALUE!</v>
      </c>
      <c r="FT111" t="e">
        <f>AND('PROG FORMACIÓN TITULADA'!Y775,"AAAAABePf68=")</f>
        <v>#VALUE!</v>
      </c>
      <c r="FU111" t="e">
        <f>AND('PROG FORMACIÓN TITULADA'!Z775,"AAAAABePf7A=")</f>
        <v>#VALUE!</v>
      </c>
      <c r="FV111">
        <f>IF('PROG FORMACIÓN TITULADA'!776:776,"AAAAABePf7E=",0)</f>
        <v>0</v>
      </c>
      <c r="FW111" t="e">
        <f>AND('PROG FORMACIÓN TITULADA'!A776,"AAAAABePf7I=")</f>
        <v>#VALUE!</v>
      </c>
      <c r="FX111" t="e">
        <f>AND('PROG FORMACIÓN TITULADA'!B776,"AAAAABePf7M=")</f>
        <v>#VALUE!</v>
      </c>
      <c r="FY111" t="e">
        <f>AND('PROG FORMACIÓN TITULADA'!C776,"AAAAABePf7Q=")</f>
        <v>#VALUE!</v>
      </c>
      <c r="FZ111" t="e">
        <f>AND('PROG FORMACIÓN TITULADA'!D776,"AAAAABePf7U=")</f>
        <v>#VALUE!</v>
      </c>
      <c r="GA111" t="e">
        <f>AND('PROG FORMACIÓN TITULADA'!E776,"AAAAABePf7Y=")</f>
        <v>#VALUE!</v>
      </c>
      <c r="GB111" t="e">
        <f>AND('PROG FORMACIÓN TITULADA'!F776,"AAAAABePf7c=")</f>
        <v>#VALUE!</v>
      </c>
      <c r="GC111" t="e">
        <f>AND('PROG FORMACIÓN TITULADA'!G776,"AAAAABePf7g=")</f>
        <v>#VALUE!</v>
      </c>
      <c r="GD111" t="e">
        <f>AND('PROG FORMACIÓN TITULADA'!H776,"AAAAABePf7k=")</f>
        <v>#VALUE!</v>
      </c>
      <c r="GE111" t="e">
        <f>AND('PROG FORMACIÓN TITULADA'!I776,"AAAAABePf7o=")</f>
        <v>#VALUE!</v>
      </c>
      <c r="GF111" t="e">
        <f>AND('PROG FORMACIÓN TITULADA'!J776,"AAAAABePf7s=")</f>
        <v>#VALUE!</v>
      </c>
      <c r="GG111" t="e">
        <f>AND('PROG FORMACIÓN TITULADA'!K776,"AAAAABePf7w=")</f>
        <v>#VALUE!</v>
      </c>
      <c r="GH111" t="e">
        <f>AND('PROG FORMACIÓN TITULADA'!L776,"AAAAABePf70=")</f>
        <v>#VALUE!</v>
      </c>
      <c r="GI111" t="e">
        <f>AND('PROG FORMACIÓN TITULADA'!M776,"AAAAABePf74=")</f>
        <v>#VALUE!</v>
      </c>
      <c r="GJ111" t="e">
        <f>AND('PROG FORMACIÓN TITULADA'!N776,"AAAAABePf78=")</f>
        <v>#VALUE!</v>
      </c>
      <c r="GK111" t="e">
        <f>AND('PROG FORMACIÓN TITULADA'!O776,"AAAAABePf8A=")</f>
        <v>#VALUE!</v>
      </c>
      <c r="GL111" t="e">
        <f>AND('PROG FORMACIÓN TITULADA'!P776,"AAAAABePf8E=")</f>
        <v>#VALUE!</v>
      </c>
      <c r="GM111" t="e">
        <f>AND('PROG FORMACIÓN TITULADA'!Q776,"AAAAABePf8I=")</f>
        <v>#VALUE!</v>
      </c>
      <c r="GN111" t="e">
        <f>AND('PROG FORMACIÓN TITULADA'!R776,"AAAAABePf8M=")</f>
        <v>#VALUE!</v>
      </c>
      <c r="GO111" t="e">
        <f>AND('PROG FORMACIÓN TITULADA'!S776,"AAAAABePf8Q=")</f>
        <v>#VALUE!</v>
      </c>
      <c r="GP111" t="e">
        <f>AND('PROG FORMACIÓN TITULADA'!T776,"AAAAABePf8U=")</f>
        <v>#VALUE!</v>
      </c>
      <c r="GQ111" t="e">
        <f>AND('PROG FORMACIÓN TITULADA'!U776,"AAAAABePf8Y=")</f>
        <v>#VALUE!</v>
      </c>
      <c r="GR111" t="e">
        <f>AND('PROG FORMACIÓN TITULADA'!V776,"AAAAABePf8c=")</f>
        <v>#VALUE!</v>
      </c>
      <c r="GS111" t="e">
        <f>AND('PROG FORMACIÓN TITULADA'!W776,"AAAAABePf8g=")</f>
        <v>#VALUE!</v>
      </c>
      <c r="GT111" t="e">
        <f>AND('PROG FORMACIÓN TITULADA'!X776,"AAAAABePf8k=")</f>
        <v>#VALUE!</v>
      </c>
      <c r="GU111" t="e">
        <f>AND('PROG FORMACIÓN TITULADA'!Y776,"AAAAABePf8o=")</f>
        <v>#VALUE!</v>
      </c>
      <c r="GV111" t="e">
        <f>AND('PROG FORMACIÓN TITULADA'!Z776,"AAAAABePf8s=")</f>
        <v>#VALUE!</v>
      </c>
      <c r="GW111">
        <f>IF('PROG FORMACIÓN TITULADA'!777:777,"AAAAABePf8w=",0)</f>
        <v>0</v>
      </c>
      <c r="GX111" t="e">
        <f>AND('PROG FORMACIÓN TITULADA'!A777,"AAAAABePf80=")</f>
        <v>#VALUE!</v>
      </c>
      <c r="GY111" t="e">
        <f>AND('PROG FORMACIÓN TITULADA'!B777,"AAAAABePf84=")</f>
        <v>#VALUE!</v>
      </c>
      <c r="GZ111" t="e">
        <f>AND('PROG FORMACIÓN TITULADA'!C777,"AAAAABePf88=")</f>
        <v>#VALUE!</v>
      </c>
      <c r="HA111" t="e">
        <f>AND('PROG FORMACIÓN TITULADA'!D777,"AAAAABePf9A=")</f>
        <v>#VALUE!</v>
      </c>
      <c r="HB111" t="e">
        <f>AND('PROG FORMACIÓN TITULADA'!E777,"AAAAABePf9E=")</f>
        <v>#VALUE!</v>
      </c>
      <c r="HC111" t="e">
        <f>AND('PROG FORMACIÓN TITULADA'!F777,"AAAAABePf9I=")</f>
        <v>#VALUE!</v>
      </c>
      <c r="HD111" t="e">
        <f>AND('PROG FORMACIÓN TITULADA'!G777,"AAAAABePf9M=")</f>
        <v>#VALUE!</v>
      </c>
      <c r="HE111" t="e">
        <f>AND('PROG FORMACIÓN TITULADA'!H777,"AAAAABePf9Q=")</f>
        <v>#VALUE!</v>
      </c>
      <c r="HF111" t="e">
        <f>AND('PROG FORMACIÓN TITULADA'!I777,"AAAAABePf9U=")</f>
        <v>#VALUE!</v>
      </c>
      <c r="HG111" t="e">
        <f>AND('PROG FORMACIÓN TITULADA'!J777,"AAAAABePf9Y=")</f>
        <v>#VALUE!</v>
      </c>
      <c r="HH111" t="e">
        <f>AND('PROG FORMACIÓN TITULADA'!K777,"AAAAABePf9c=")</f>
        <v>#VALUE!</v>
      </c>
      <c r="HI111" t="e">
        <f>AND('PROG FORMACIÓN TITULADA'!L777,"AAAAABePf9g=")</f>
        <v>#VALUE!</v>
      </c>
      <c r="HJ111" t="e">
        <f>AND('PROG FORMACIÓN TITULADA'!M777,"AAAAABePf9k=")</f>
        <v>#VALUE!</v>
      </c>
      <c r="HK111" t="e">
        <f>AND('PROG FORMACIÓN TITULADA'!N777,"AAAAABePf9o=")</f>
        <v>#VALUE!</v>
      </c>
      <c r="HL111" t="e">
        <f>AND('PROG FORMACIÓN TITULADA'!O777,"AAAAABePf9s=")</f>
        <v>#VALUE!</v>
      </c>
      <c r="HM111" t="e">
        <f>AND('PROG FORMACIÓN TITULADA'!P777,"AAAAABePf9w=")</f>
        <v>#VALUE!</v>
      </c>
      <c r="HN111" t="e">
        <f>AND('PROG FORMACIÓN TITULADA'!Q777,"AAAAABePf90=")</f>
        <v>#VALUE!</v>
      </c>
      <c r="HO111" t="e">
        <f>AND('PROG FORMACIÓN TITULADA'!R777,"AAAAABePf94=")</f>
        <v>#VALUE!</v>
      </c>
      <c r="HP111" t="e">
        <f>AND('PROG FORMACIÓN TITULADA'!S777,"AAAAABePf98=")</f>
        <v>#VALUE!</v>
      </c>
      <c r="HQ111" t="e">
        <f>AND('PROG FORMACIÓN TITULADA'!T777,"AAAAABePf+A=")</f>
        <v>#VALUE!</v>
      </c>
      <c r="HR111" t="e">
        <f>AND('PROG FORMACIÓN TITULADA'!U777,"AAAAABePf+E=")</f>
        <v>#VALUE!</v>
      </c>
      <c r="HS111" t="e">
        <f>AND('PROG FORMACIÓN TITULADA'!V777,"AAAAABePf+I=")</f>
        <v>#VALUE!</v>
      </c>
      <c r="HT111" t="e">
        <f>AND('PROG FORMACIÓN TITULADA'!W777,"AAAAABePf+M=")</f>
        <v>#VALUE!</v>
      </c>
      <c r="HU111" t="e">
        <f>AND('PROG FORMACIÓN TITULADA'!X777,"AAAAABePf+Q=")</f>
        <v>#VALUE!</v>
      </c>
      <c r="HV111" t="e">
        <f>AND('PROG FORMACIÓN TITULADA'!Y777,"AAAAABePf+U=")</f>
        <v>#VALUE!</v>
      </c>
      <c r="HW111" t="e">
        <f>AND('PROG FORMACIÓN TITULADA'!Z777,"AAAAABePf+Y=")</f>
        <v>#VALUE!</v>
      </c>
      <c r="HX111">
        <f>IF('PROG FORMACIÓN TITULADA'!778:778,"AAAAABePf+c=",0)</f>
        <v>0</v>
      </c>
      <c r="HY111" t="e">
        <f>AND('PROG FORMACIÓN TITULADA'!A778,"AAAAABePf+g=")</f>
        <v>#VALUE!</v>
      </c>
      <c r="HZ111" t="e">
        <f>AND('PROG FORMACIÓN TITULADA'!B778,"AAAAABePf+k=")</f>
        <v>#VALUE!</v>
      </c>
      <c r="IA111" t="e">
        <f>AND('PROG FORMACIÓN TITULADA'!C778,"AAAAABePf+o=")</f>
        <v>#VALUE!</v>
      </c>
      <c r="IB111" t="e">
        <f>AND('PROG FORMACIÓN TITULADA'!D778,"AAAAABePf+s=")</f>
        <v>#VALUE!</v>
      </c>
      <c r="IC111" t="e">
        <f>AND('PROG FORMACIÓN TITULADA'!E778,"AAAAABePf+w=")</f>
        <v>#VALUE!</v>
      </c>
      <c r="ID111" t="e">
        <f>AND('PROG FORMACIÓN TITULADA'!F778,"AAAAABePf+0=")</f>
        <v>#VALUE!</v>
      </c>
      <c r="IE111" t="e">
        <f>AND('PROG FORMACIÓN TITULADA'!G778,"AAAAABePf+4=")</f>
        <v>#VALUE!</v>
      </c>
      <c r="IF111" t="e">
        <f>AND('PROG FORMACIÓN TITULADA'!H778,"AAAAABePf+8=")</f>
        <v>#VALUE!</v>
      </c>
      <c r="IG111" t="e">
        <f>AND('PROG FORMACIÓN TITULADA'!I778,"AAAAABePf/A=")</f>
        <v>#VALUE!</v>
      </c>
      <c r="IH111" t="e">
        <f>AND('PROG FORMACIÓN TITULADA'!J778,"AAAAABePf/E=")</f>
        <v>#VALUE!</v>
      </c>
      <c r="II111" t="e">
        <f>AND('PROG FORMACIÓN TITULADA'!K778,"AAAAABePf/I=")</f>
        <v>#VALUE!</v>
      </c>
      <c r="IJ111" t="e">
        <f>AND('PROG FORMACIÓN TITULADA'!L778,"AAAAABePf/M=")</f>
        <v>#VALUE!</v>
      </c>
      <c r="IK111" t="e">
        <f>AND('PROG FORMACIÓN TITULADA'!M778,"AAAAABePf/Q=")</f>
        <v>#VALUE!</v>
      </c>
      <c r="IL111" t="e">
        <f>AND('PROG FORMACIÓN TITULADA'!N778,"AAAAABePf/U=")</f>
        <v>#VALUE!</v>
      </c>
      <c r="IM111" t="e">
        <f>AND('PROG FORMACIÓN TITULADA'!O778,"AAAAABePf/Y=")</f>
        <v>#VALUE!</v>
      </c>
      <c r="IN111" t="e">
        <f>AND('PROG FORMACIÓN TITULADA'!P778,"AAAAABePf/c=")</f>
        <v>#VALUE!</v>
      </c>
      <c r="IO111" t="e">
        <f>AND('PROG FORMACIÓN TITULADA'!Q778,"AAAAABePf/g=")</f>
        <v>#VALUE!</v>
      </c>
      <c r="IP111" t="e">
        <f>AND('PROG FORMACIÓN TITULADA'!R778,"AAAAABePf/k=")</f>
        <v>#VALUE!</v>
      </c>
      <c r="IQ111" t="e">
        <f>AND('PROG FORMACIÓN TITULADA'!S778,"AAAAABePf/o=")</f>
        <v>#VALUE!</v>
      </c>
      <c r="IR111" t="e">
        <f>AND('PROG FORMACIÓN TITULADA'!T778,"AAAAABePf/s=")</f>
        <v>#VALUE!</v>
      </c>
      <c r="IS111" t="e">
        <f>AND('PROG FORMACIÓN TITULADA'!U778,"AAAAABePf/w=")</f>
        <v>#VALUE!</v>
      </c>
      <c r="IT111" t="e">
        <f>AND('PROG FORMACIÓN TITULADA'!V778,"AAAAABePf/0=")</f>
        <v>#VALUE!</v>
      </c>
      <c r="IU111" t="e">
        <f>AND('PROG FORMACIÓN TITULADA'!W778,"AAAAABePf/4=")</f>
        <v>#VALUE!</v>
      </c>
      <c r="IV111" t="e">
        <f>AND('PROG FORMACIÓN TITULADA'!X778,"AAAAABePf/8=")</f>
        <v>#VALUE!</v>
      </c>
    </row>
    <row r="112" spans="1:256" x14ac:dyDescent="0.2">
      <c r="A112" t="e">
        <f>AND('PROG FORMACIÓN TITULADA'!Y778,"AAAAACur1gA=")</f>
        <v>#VALUE!</v>
      </c>
      <c r="B112" t="e">
        <f>AND('PROG FORMACIÓN TITULADA'!Z778,"AAAAACur1gE=")</f>
        <v>#VALUE!</v>
      </c>
      <c r="C112">
        <f>IF('PROG FORMACIÓN TITULADA'!779:779,"AAAAACur1gI=",0)</f>
        <v>0</v>
      </c>
      <c r="D112" t="e">
        <f>AND('PROG FORMACIÓN TITULADA'!A779,"AAAAACur1gM=")</f>
        <v>#VALUE!</v>
      </c>
      <c r="E112" t="e">
        <f>AND('PROG FORMACIÓN TITULADA'!B779,"AAAAACur1gQ=")</f>
        <v>#VALUE!</v>
      </c>
      <c r="F112" t="e">
        <f>AND('PROG FORMACIÓN TITULADA'!C779,"AAAAACur1gU=")</f>
        <v>#VALUE!</v>
      </c>
      <c r="G112" t="e">
        <f>AND('PROG FORMACIÓN TITULADA'!D779,"AAAAACur1gY=")</f>
        <v>#VALUE!</v>
      </c>
      <c r="H112" t="e">
        <f>AND('PROG FORMACIÓN TITULADA'!E779,"AAAAACur1gc=")</f>
        <v>#VALUE!</v>
      </c>
      <c r="I112" t="e">
        <f>AND('PROG FORMACIÓN TITULADA'!F779,"AAAAACur1gg=")</f>
        <v>#VALUE!</v>
      </c>
      <c r="J112" t="e">
        <f>AND('PROG FORMACIÓN TITULADA'!G779,"AAAAACur1gk=")</f>
        <v>#VALUE!</v>
      </c>
      <c r="K112" t="e">
        <f>AND('PROG FORMACIÓN TITULADA'!H779,"AAAAACur1go=")</f>
        <v>#VALUE!</v>
      </c>
      <c r="L112" t="e">
        <f>AND('PROG FORMACIÓN TITULADA'!I779,"AAAAACur1gs=")</f>
        <v>#VALUE!</v>
      </c>
      <c r="M112" t="e">
        <f>AND('PROG FORMACIÓN TITULADA'!J779,"AAAAACur1gw=")</f>
        <v>#VALUE!</v>
      </c>
      <c r="N112" t="e">
        <f>AND('PROG FORMACIÓN TITULADA'!K779,"AAAAACur1g0=")</f>
        <v>#VALUE!</v>
      </c>
      <c r="O112" t="e">
        <f>AND('PROG FORMACIÓN TITULADA'!L779,"AAAAACur1g4=")</f>
        <v>#VALUE!</v>
      </c>
      <c r="P112" t="e">
        <f>AND('PROG FORMACIÓN TITULADA'!M779,"AAAAACur1g8=")</f>
        <v>#VALUE!</v>
      </c>
      <c r="Q112" t="e">
        <f>AND('PROG FORMACIÓN TITULADA'!N779,"AAAAACur1hA=")</f>
        <v>#VALUE!</v>
      </c>
      <c r="R112" t="e">
        <f>AND('PROG FORMACIÓN TITULADA'!O779,"AAAAACur1hE=")</f>
        <v>#VALUE!</v>
      </c>
      <c r="S112" t="e">
        <f>AND('PROG FORMACIÓN TITULADA'!P779,"AAAAACur1hI=")</f>
        <v>#VALUE!</v>
      </c>
      <c r="T112" t="e">
        <f>AND('PROG FORMACIÓN TITULADA'!Q779,"AAAAACur1hM=")</f>
        <v>#VALUE!</v>
      </c>
      <c r="U112" t="e">
        <f>AND('PROG FORMACIÓN TITULADA'!R779,"AAAAACur1hQ=")</f>
        <v>#VALUE!</v>
      </c>
      <c r="V112" t="e">
        <f>AND('PROG FORMACIÓN TITULADA'!S779,"AAAAACur1hU=")</f>
        <v>#VALUE!</v>
      </c>
      <c r="W112" t="e">
        <f>AND('PROG FORMACIÓN TITULADA'!T779,"AAAAACur1hY=")</f>
        <v>#VALUE!</v>
      </c>
      <c r="X112" t="e">
        <f>AND('PROG FORMACIÓN TITULADA'!U779,"AAAAACur1hc=")</f>
        <v>#VALUE!</v>
      </c>
      <c r="Y112" t="e">
        <f>AND('PROG FORMACIÓN TITULADA'!V779,"AAAAACur1hg=")</f>
        <v>#VALUE!</v>
      </c>
      <c r="Z112" t="e">
        <f>AND('PROG FORMACIÓN TITULADA'!W779,"AAAAACur1hk=")</f>
        <v>#VALUE!</v>
      </c>
      <c r="AA112" t="e">
        <f>AND('PROG FORMACIÓN TITULADA'!X779,"AAAAACur1ho=")</f>
        <v>#VALUE!</v>
      </c>
      <c r="AB112" t="e">
        <f>AND('PROG FORMACIÓN TITULADA'!Y779,"AAAAACur1hs=")</f>
        <v>#VALUE!</v>
      </c>
      <c r="AC112" t="e">
        <f>AND('PROG FORMACIÓN TITULADA'!Z779,"AAAAACur1hw=")</f>
        <v>#VALUE!</v>
      </c>
      <c r="AD112">
        <f>IF('PROG FORMACIÓN TITULADA'!780:780,"AAAAACur1h0=",0)</f>
        <v>0</v>
      </c>
      <c r="AE112" t="e">
        <f>AND('PROG FORMACIÓN TITULADA'!A780,"AAAAACur1h4=")</f>
        <v>#VALUE!</v>
      </c>
      <c r="AF112" t="e">
        <f>AND('PROG FORMACIÓN TITULADA'!B780,"AAAAACur1h8=")</f>
        <v>#VALUE!</v>
      </c>
      <c r="AG112" t="e">
        <f>AND('PROG FORMACIÓN TITULADA'!C780,"AAAAACur1iA=")</f>
        <v>#VALUE!</v>
      </c>
      <c r="AH112" t="e">
        <f>AND('PROG FORMACIÓN TITULADA'!D780,"AAAAACur1iE=")</f>
        <v>#VALUE!</v>
      </c>
      <c r="AI112" t="e">
        <f>AND('PROG FORMACIÓN TITULADA'!E780,"AAAAACur1iI=")</f>
        <v>#VALUE!</v>
      </c>
      <c r="AJ112" t="e">
        <f>AND('PROG FORMACIÓN TITULADA'!F780,"AAAAACur1iM=")</f>
        <v>#VALUE!</v>
      </c>
      <c r="AK112" t="e">
        <f>AND('PROG FORMACIÓN TITULADA'!G780,"AAAAACur1iQ=")</f>
        <v>#VALUE!</v>
      </c>
      <c r="AL112" t="e">
        <f>AND('PROG FORMACIÓN TITULADA'!H780,"AAAAACur1iU=")</f>
        <v>#VALUE!</v>
      </c>
      <c r="AM112" t="e">
        <f>AND('PROG FORMACIÓN TITULADA'!I780,"AAAAACur1iY=")</f>
        <v>#VALUE!</v>
      </c>
      <c r="AN112" t="e">
        <f>AND('PROG FORMACIÓN TITULADA'!J780,"AAAAACur1ic=")</f>
        <v>#VALUE!</v>
      </c>
      <c r="AO112" t="e">
        <f>AND('PROG FORMACIÓN TITULADA'!K780,"AAAAACur1ig=")</f>
        <v>#VALUE!</v>
      </c>
      <c r="AP112" t="e">
        <f>AND('PROG FORMACIÓN TITULADA'!L780,"AAAAACur1ik=")</f>
        <v>#VALUE!</v>
      </c>
      <c r="AQ112" t="e">
        <f>AND('PROG FORMACIÓN TITULADA'!M780,"AAAAACur1io=")</f>
        <v>#VALUE!</v>
      </c>
      <c r="AR112" t="e">
        <f>AND('PROG FORMACIÓN TITULADA'!N780,"AAAAACur1is=")</f>
        <v>#VALUE!</v>
      </c>
      <c r="AS112" t="e">
        <f>AND('PROG FORMACIÓN TITULADA'!O780,"AAAAACur1iw=")</f>
        <v>#VALUE!</v>
      </c>
      <c r="AT112" t="e">
        <f>AND('PROG FORMACIÓN TITULADA'!P780,"AAAAACur1i0=")</f>
        <v>#VALUE!</v>
      </c>
      <c r="AU112" t="e">
        <f>AND('PROG FORMACIÓN TITULADA'!Q780,"AAAAACur1i4=")</f>
        <v>#VALUE!</v>
      </c>
      <c r="AV112" t="e">
        <f>AND('PROG FORMACIÓN TITULADA'!R780,"AAAAACur1i8=")</f>
        <v>#VALUE!</v>
      </c>
      <c r="AW112" t="e">
        <f>AND('PROG FORMACIÓN TITULADA'!S780,"AAAAACur1jA=")</f>
        <v>#VALUE!</v>
      </c>
      <c r="AX112" t="e">
        <f>AND('PROG FORMACIÓN TITULADA'!T780,"AAAAACur1jE=")</f>
        <v>#VALUE!</v>
      </c>
      <c r="AY112" t="e">
        <f>AND('PROG FORMACIÓN TITULADA'!U780,"AAAAACur1jI=")</f>
        <v>#VALUE!</v>
      </c>
      <c r="AZ112" t="e">
        <f>AND('PROG FORMACIÓN TITULADA'!V780,"AAAAACur1jM=")</f>
        <v>#VALUE!</v>
      </c>
      <c r="BA112" t="e">
        <f>AND('PROG FORMACIÓN TITULADA'!W780,"AAAAACur1jQ=")</f>
        <v>#VALUE!</v>
      </c>
      <c r="BB112" t="e">
        <f>AND('PROG FORMACIÓN TITULADA'!X780,"AAAAACur1jU=")</f>
        <v>#VALUE!</v>
      </c>
      <c r="BC112" t="e">
        <f>AND('PROG FORMACIÓN TITULADA'!Y780,"AAAAACur1jY=")</f>
        <v>#VALUE!</v>
      </c>
      <c r="BD112" t="e">
        <f>AND('PROG FORMACIÓN TITULADA'!Z780,"AAAAACur1jc=")</f>
        <v>#VALUE!</v>
      </c>
      <c r="BE112">
        <f>IF('PROG FORMACIÓN TITULADA'!781:781,"AAAAACur1jg=",0)</f>
        <v>0</v>
      </c>
      <c r="BF112" t="e">
        <f>AND('PROG FORMACIÓN TITULADA'!A781,"AAAAACur1jk=")</f>
        <v>#VALUE!</v>
      </c>
      <c r="BG112" t="e">
        <f>AND('PROG FORMACIÓN TITULADA'!B781,"AAAAACur1jo=")</f>
        <v>#VALUE!</v>
      </c>
      <c r="BH112" t="e">
        <f>AND('PROG FORMACIÓN TITULADA'!C781,"AAAAACur1js=")</f>
        <v>#VALUE!</v>
      </c>
      <c r="BI112" t="e">
        <f>AND('PROG FORMACIÓN TITULADA'!D781,"AAAAACur1jw=")</f>
        <v>#VALUE!</v>
      </c>
      <c r="BJ112" t="e">
        <f>AND('PROG FORMACIÓN TITULADA'!E781,"AAAAACur1j0=")</f>
        <v>#VALUE!</v>
      </c>
      <c r="BK112" t="e">
        <f>AND('PROG FORMACIÓN TITULADA'!F781,"AAAAACur1j4=")</f>
        <v>#VALUE!</v>
      </c>
      <c r="BL112" t="e">
        <f>AND('PROG FORMACIÓN TITULADA'!G781,"AAAAACur1j8=")</f>
        <v>#VALUE!</v>
      </c>
      <c r="BM112" t="e">
        <f>AND('PROG FORMACIÓN TITULADA'!H781,"AAAAACur1kA=")</f>
        <v>#VALUE!</v>
      </c>
      <c r="BN112" t="e">
        <f>AND('PROG FORMACIÓN TITULADA'!I781,"AAAAACur1kE=")</f>
        <v>#VALUE!</v>
      </c>
      <c r="BO112" t="e">
        <f>AND('PROG FORMACIÓN TITULADA'!J781,"AAAAACur1kI=")</f>
        <v>#VALUE!</v>
      </c>
      <c r="BP112" t="e">
        <f>AND('PROG FORMACIÓN TITULADA'!K781,"AAAAACur1kM=")</f>
        <v>#VALUE!</v>
      </c>
      <c r="BQ112" t="e">
        <f>AND('PROG FORMACIÓN TITULADA'!L781,"AAAAACur1kQ=")</f>
        <v>#VALUE!</v>
      </c>
      <c r="BR112" t="e">
        <f>AND('PROG FORMACIÓN TITULADA'!M781,"AAAAACur1kU=")</f>
        <v>#VALUE!</v>
      </c>
      <c r="BS112" t="e">
        <f>AND('PROG FORMACIÓN TITULADA'!N781,"AAAAACur1kY=")</f>
        <v>#VALUE!</v>
      </c>
      <c r="BT112" t="e">
        <f>AND('PROG FORMACIÓN TITULADA'!O781,"AAAAACur1kc=")</f>
        <v>#VALUE!</v>
      </c>
      <c r="BU112" t="e">
        <f>AND('PROG FORMACIÓN TITULADA'!P781,"AAAAACur1kg=")</f>
        <v>#VALUE!</v>
      </c>
      <c r="BV112" t="e">
        <f>AND('PROG FORMACIÓN TITULADA'!Q781,"AAAAACur1kk=")</f>
        <v>#VALUE!</v>
      </c>
      <c r="BW112" t="e">
        <f>AND('PROG FORMACIÓN TITULADA'!R781,"AAAAACur1ko=")</f>
        <v>#VALUE!</v>
      </c>
      <c r="BX112" t="e">
        <f>AND('PROG FORMACIÓN TITULADA'!S781,"AAAAACur1ks=")</f>
        <v>#VALUE!</v>
      </c>
      <c r="BY112" t="e">
        <f>AND('PROG FORMACIÓN TITULADA'!T781,"AAAAACur1kw=")</f>
        <v>#VALUE!</v>
      </c>
      <c r="BZ112" t="e">
        <f>AND('PROG FORMACIÓN TITULADA'!U781,"AAAAACur1k0=")</f>
        <v>#VALUE!</v>
      </c>
      <c r="CA112" t="e">
        <f>AND('PROG FORMACIÓN TITULADA'!V781,"AAAAACur1k4=")</f>
        <v>#VALUE!</v>
      </c>
      <c r="CB112" t="e">
        <f>AND('PROG FORMACIÓN TITULADA'!W781,"AAAAACur1k8=")</f>
        <v>#VALUE!</v>
      </c>
      <c r="CC112" t="e">
        <f>AND('PROG FORMACIÓN TITULADA'!X781,"AAAAACur1lA=")</f>
        <v>#VALUE!</v>
      </c>
      <c r="CD112" t="e">
        <f>AND('PROG FORMACIÓN TITULADA'!Y781,"AAAAACur1lE=")</f>
        <v>#VALUE!</v>
      </c>
      <c r="CE112" t="e">
        <f>AND('PROG FORMACIÓN TITULADA'!Z781,"AAAAACur1lI=")</f>
        <v>#VALUE!</v>
      </c>
      <c r="CF112">
        <f>IF('PROG FORMACIÓN TITULADA'!782:782,"AAAAACur1lM=",0)</f>
        <v>0</v>
      </c>
      <c r="CG112" t="e">
        <f>AND('PROG FORMACIÓN TITULADA'!A782,"AAAAACur1lQ=")</f>
        <v>#VALUE!</v>
      </c>
      <c r="CH112" t="e">
        <f>AND('PROG FORMACIÓN TITULADA'!B782,"AAAAACur1lU=")</f>
        <v>#VALUE!</v>
      </c>
      <c r="CI112" t="e">
        <f>AND('PROG FORMACIÓN TITULADA'!C782,"AAAAACur1lY=")</f>
        <v>#VALUE!</v>
      </c>
      <c r="CJ112" t="e">
        <f>AND('PROG FORMACIÓN TITULADA'!D782,"AAAAACur1lc=")</f>
        <v>#VALUE!</v>
      </c>
      <c r="CK112" t="e">
        <f>AND('PROG FORMACIÓN TITULADA'!E782,"AAAAACur1lg=")</f>
        <v>#VALUE!</v>
      </c>
      <c r="CL112" t="e">
        <f>AND('PROG FORMACIÓN TITULADA'!F782,"AAAAACur1lk=")</f>
        <v>#VALUE!</v>
      </c>
      <c r="CM112" t="e">
        <f>AND('PROG FORMACIÓN TITULADA'!G782,"AAAAACur1lo=")</f>
        <v>#VALUE!</v>
      </c>
      <c r="CN112" t="e">
        <f>AND('PROG FORMACIÓN TITULADA'!H782,"AAAAACur1ls=")</f>
        <v>#VALUE!</v>
      </c>
      <c r="CO112" t="e">
        <f>AND('PROG FORMACIÓN TITULADA'!I782,"AAAAACur1lw=")</f>
        <v>#VALUE!</v>
      </c>
      <c r="CP112" t="e">
        <f>AND('PROG FORMACIÓN TITULADA'!J782,"AAAAACur1l0=")</f>
        <v>#VALUE!</v>
      </c>
      <c r="CQ112" t="e">
        <f>AND('PROG FORMACIÓN TITULADA'!K782,"AAAAACur1l4=")</f>
        <v>#VALUE!</v>
      </c>
      <c r="CR112" t="e">
        <f>AND('PROG FORMACIÓN TITULADA'!L782,"AAAAACur1l8=")</f>
        <v>#VALUE!</v>
      </c>
      <c r="CS112" t="e">
        <f>AND('PROG FORMACIÓN TITULADA'!M782,"AAAAACur1mA=")</f>
        <v>#VALUE!</v>
      </c>
      <c r="CT112" t="e">
        <f>AND('PROG FORMACIÓN TITULADA'!N782,"AAAAACur1mE=")</f>
        <v>#VALUE!</v>
      </c>
      <c r="CU112" t="e">
        <f>AND('PROG FORMACIÓN TITULADA'!O782,"AAAAACur1mI=")</f>
        <v>#VALUE!</v>
      </c>
      <c r="CV112" t="e">
        <f>AND('PROG FORMACIÓN TITULADA'!P782,"AAAAACur1mM=")</f>
        <v>#VALUE!</v>
      </c>
      <c r="CW112" t="e">
        <f>AND('PROG FORMACIÓN TITULADA'!Q782,"AAAAACur1mQ=")</f>
        <v>#VALUE!</v>
      </c>
      <c r="CX112" t="e">
        <f>AND('PROG FORMACIÓN TITULADA'!R782,"AAAAACur1mU=")</f>
        <v>#VALUE!</v>
      </c>
      <c r="CY112" t="e">
        <f>AND('PROG FORMACIÓN TITULADA'!S782,"AAAAACur1mY=")</f>
        <v>#VALUE!</v>
      </c>
      <c r="CZ112" t="e">
        <f>AND('PROG FORMACIÓN TITULADA'!T782,"AAAAACur1mc=")</f>
        <v>#VALUE!</v>
      </c>
      <c r="DA112" t="e">
        <f>AND('PROG FORMACIÓN TITULADA'!U782,"AAAAACur1mg=")</f>
        <v>#VALUE!</v>
      </c>
      <c r="DB112" t="e">
        <f>AND('PROG FORMACIÓN TITULADA'!V782,"AAAAACur1mk=")</f>
        <v>#VALUE!</v>
      </c>
      <c r="DC112" t="e">
        <f>AND('PROG FORMACIÓN TITULADA'!W782,"AAAAACur1mo=")</f>
        <v>#VALUE!</v>
      </c>
      <c r="DD112" t="e">
        <f>AND('PROG FORMACIÓN TITULADA'!X782,"AAAAACur1ms=")</f>
        <v>#VALUE!</v>
      </c>
      <c r="DE112" t="e">
        <f>AND('PROG FORMACIÓN TITULADA'!Y782,"AAAAACur1mw=")</f>
        <v>#VALUE!</v>
      </c>
      <c r="DF112" t="e">
        <f>AND('PROG FORMACIÓN TITULADA'!Z782,"AAAAACur1m0=")</f>
        <v>#VALUE!</v>
      </c>
      <c r="DG112">
        <f>IF('PROG FORMACIÓN TITULADA'!783:783,"AAAAACur1m4=",0)</f>
        <v>0</v>
      </c>
      <c r="DH112" t="e">
        <f>AND('PROG FORMACIÓN TITULADA'!A783,"AAAAACur1m8=")</f>
        <v>#VALUE!</v>
      </c>
      <c r="DI112" t="e">
        <f>AND('PROG FORMACIÓN TITULADA'!B783,"AAAAACur1nA=")</f>
        <v>#VALUE!</v>
      </c>
      <c r="DJ112" t="e">
        <f>AND('PROG FORMACIÓN TITULADA'!C783,"AAAAACur1nE=")</f>
        <v>#VALUE!</v>
      </c>
      <c r="DK112" t="e">
        <f>AND('PROG FORMACIÓN TITULADA'!D783,"AAAAACur1nI=")</f>
        <v>#VALUE!</v>
      </c>
      <c r="DL112" t="e">
        <f>AND('PROG FORMACIÓN TITULADA'!E783,"AAAAACur1nM=")</f>
        <v>#VALUE!</v>
      </c>
      <c r="DM112" t="e">
        <f>AND('PROG FORMACIÓN TITULADA'!F783,"AAAAACur1nQ=")</f>
        <v>#VALUE!</v>
      </c>
      <c r="DN112" t="e">
        <f>AND('PROG FORMACIÓN TITULADA'!G783,"AAAAACur1nU=")</f>
        <v>#VALUE!</v>
      </c>
      <c r="DO112" t="e">
        <f>AND('PROG FORMACIÓN TITULADA'!H783,"AAAAACur1nY=")</f>
        <v>#VALUE!</v>
      </c>
      <c r="DP112" t="e">
        <f>AND('PROG FORMACIÓN TITULADA'!I783,"AAAAACur1nc=")</f>
        <v>#VALUE!</v>
      </c>
      <c r="DQ112" t="e">
        <f>AND('PROG FORMACIÓN TITULADA'!J783,"AAAAACur1ng=")</f>
        <v>#VALUE!</v>
      </c>
      <c r="DR112" t="e">
        <f>AND('PROG FORMACIÓN TITULADA'!K783,"AAAAACur1nk=")</f>
        <v>#VALUE!</v>
      </c>
      <c r="DS112" t="e">
        <f>AND('PROG FORMACIÓN TITULADA'!L783,"AAAAACur1no=")</f>
        <v>#VALUE!</v>
      </c>
      <c r="DT112" t="e">
        <f>AND('PROG FORMACIÓN TITULADA'!M783,"AAAAACur1ns=")</f>
        <v>#VALUE!</v>
      </c>
      <c r="DU112" t="e">
        <f>AND('PROG FORMACIÓN TITULADA'!N783,"AAAAACur1nw=")</f>
        <v>#VALUE!</v>
      </c>
      <c r="DV112" t="e">
        <f>AND('PROG FORMACIÓN TITULADA'!O783,"AAAAACur1n0=")</f>
        <v>#VALUE!</v>
      </c>
      <c r="DW112" t="e">
        <f>AND('PROG FORMACIÓN TITULADA'!P783,"AAAAACur1n4=")</f>
        <v>#VALUE!</v>
      </c>
      <c r="DX112" t="e">
        <f>AND('PROG FORMACIÓN TITULADA'!Q783,"AAAAACur1n8=")</f>
        <v>#VALUE!</v>
      </c>
      <c r="DY112" t="e">
        <f>AND('PROG FORMACIÓN TITULADA'!R783,"AAAAACur1oA=")</f>
        <v>#VALUE!</v>
      </c>
      <c r="DZ112" t="e">
        <f>AND('PROG FORMACIÓN TITULADA'!S783,"AAAAACur1oE=")</f>
        <v>#VALUE!</v>
      </c>
      <c r="EA112" t="e">
        <f>AND('PROG FORMACIÓN TITULADA'!T783,"AAAAACur1oI=")</f>
        <v>#VALUE!</v>
      </c>
      <c r="EB112" t="e">
        <f>AND('PROG FORMACIÓN TITULADA'!U783,"AAAAACur1oM=")</f>
        <v>#VALUE!</v>
      </c>
      <c r="EC112" t="e">
        <f>AND('PROG FORMACIÓN TITULADA'!V783,"AAAAACur1oQ=")</f>
        <v>#VALUE!</v>
      </c>
      <c r="ED112" t="e">
        <f>AND('PROG FORMACIÓN TITULADA'!W783,"AAAAACur1oU=")</f>
        <v>#VALUE!</v>
      </c>
      <c r="EE112" t="e">
        <f>AND('PROG FORMACIÓN TITULADA'!X783,"AAAAACur1oY=")</f>
        <v>#VALUE!</v>
      </c>
      <c r="EF112" t="e">
        <f>AND('PROG FORMACIÓN TITULADA'!Y783,"AAAAACur1oc=")</f>
        <v>#VALUE!</v>
      </c>
      <c r="EG112" t="e">
        <f>AND('PROG FORMACIÓN TITULADA'!Z783,"AAAAACur1og=")</f>
        <v>#VALUE!</v>
      </c>
      <c r="EH112">
        <f>IF('PROG FORMACIÓN TITULADA'!784:784,"AAAAACur1ok=",0)</f>
        <v>0</v>
      </c>
      <c r="EI112" t="e">
        <f>AND('PROG FORMACIÓN TITULADA'!A784,"AAAAACur1oo=")</f>
        <v>#VALUE!</v>
      </c>
      <c r="EJ112" t="e">
        <f>AND('PROG FORMACIÓN TITULADA'!B784,"AAAAACur1os=")</f>
        <v>#VALUE!</v>
      </c>
      <c r="EK112" t="e">
        <f>AND('PROG FORMACIÓN TITULADA'!C784,"AAAAACur1ow=")</f>
        <v>#VALUE!</v>
      </c>
      <c r="EL112" t="e">
        <f>AND('PROG FORMACIÓN TITULADA'!D784,"AAAAACur1o0=")</f>
        <v>#VALUE!</v>
      </c>
      <c r="EM112" t="e">
        <f>AND('PROG FORMACIÓN TITULADA'!E784,"AAAAACur1o4=")</f>
        <v>#VALUE!</v>
      </c>
      <c r="EN112" t="e">
        <f>AND('PROG FORMACIÓN TITULADA'!F784,"AAAAACur1o8=")</f>
        <v>#VALUE!</v>
      </c>
      <c r="EO112" t="e">
        <f>AND('PROG FORMACIÓN TITULADA'!G784,"AAAAACur1pA=")</f>
        <v>#VALUE!</v>
      </c>
      <c r="EP112" t="e">
        <f>AND('PROG FORMACIÓN TITULADA'!H784,"AAAAACur1pE=")</f>
        <v>#VALUE!</v>
      </c>
      <c r="EQ112" t="e">
        <f>AND('PROG FORMACIÓN TITULADA'!I784,"AAAAACur1pI=")</f>
        <v>#VALUE!</v>
      </c>
      <c r="ER112" t="e">
        <f>AND('PROG FORMACIÓN TITULADA'!J784,"AAAAACur1pM=")</f>
        <v>#VALUE!</v>
      </c>
      <c r="ES112" t="e">
        <f>AND('PROG FORMACIÓN TITULADA'!K784,"AAAAACur1pQ=")</f>
        <v>#VALUE!</v>
      </c>
      <c r="ET112" t="e">
        <f>AND('PROG FORMACIÓN TITULADA'!L784,"AAAAACur1pU=")</f>
        <v>#VALUE!</v>
      </c>
      <c r="EU112" t="e">
        <f>AND('PROG FORMACIÓN TITULADA'!M784,"AAAAACur1pY=")</f>
        <v>#VALUE!</v>
      </c>
      <c r="EV112" t="e">
        <f>AND('PROG FORMACIÓN TITULADA'!N784,"AAAAACur1pc=")</f>
        <v>#VALUE!</v>
      </c>
      <c r="EW112" t="e">
        <f>AND('PROG FORMACIÓN TITULADA'!O784,"AAAAACur1pg=")</f>
        <v>#VALUE!</v>
      </c>
      <c r="EX112" t="e">
        <f>AND('PROG FORMACIÓN TITULADA'!P784,"AAAAACur1pk=")</f>
        <v>#VALUE!</v>
      </c>
      <c r="EY112" t="e">
        <f>AND('PROG FORMACIÓN TITULADA'!Q784,"AAAAACur1po=")</f>
        <v>#VALUE!</v>
      </c>
      <c r="EZ112" t="e">
        <f>AND('PROG FORMACIÓN TITULADA'!R784,"AAAAACur1ps=")</f>
        <v>#VALUE!</v>
      </c>
      <c r="FA112" t="e">
        <f>AND('PROG FORMACIÓN TITULADA'!S784,"AAAAACur1pw=")</f>
        <v>#VALUE!</v>
      </c>
      <c r="FB112" t="e">
        <f>AND('PROG FORMACIÓN TITULADA'!T784,"AAAAACur1p0=")</f>
        <v>#VALUE!</v>
      </c>
      <c r="FC112" t="e">
        <f>AND('PROG FORMACIÓN TITULADA'!U784,"AAAAACur1p4=")</f>
        <v>#VALUE!</v>
      </c>
      <c r="FD112" t="e">
        <f>AND('PROG FORMACIÓN TITULADA'!V784,"AAAAACur1p8=")</f>
        <v>#VALUE!</v>
      </c>
      <c r="FE112" t="e">
        <f>AND('PROG FORMACIÓN TITULADA'!W784,"AAAAACur1qA=")</f>
        <v>#VALUE!</v>
      </c>
      <c r="FF112" t="e">
        <f>AND('PROG FORMACIÓN TITULADA'!X784,"AAAAACur1qE=")</f>
        <v>#VALUE!</v>
      </c>
      <c r="FG112" t="e">
        <f>AND('PROG FORMACIÓN TITULADA'!Y784,"AAAAACur1qI=")</f>
        <v>#VALUE!</v>
      </c>
      <c r="FH112" t="e">
        <f>AND('PROG FORMACIÓN TITULADA'!Z784,"AAAAACur1qM=")</f>
        <v>#VALUE!</v>
      </c>
      <c r="FI112">
        <f>IF('PROG FORMACIÓN TITULADA'!785:785,"AAAAACur1qQ=",0)</f>
        <v>0</v>
      </c>
      <c r="FJ112" t="e">
        <f>AND('PROG FORMACIÓN TITULADA'!A785,"AAAAACur1qU=")</f>
        <v>#VALUE!</v>
      </c>
      <c r="FK112" t="e">
        <f>AND('PROG FORMACIÓN TITULADA'!B785,"AAAAACur1qY=")</f>
        <v>#VALUE!</v>
      </c>
      <c r="FL112" t="e">
        <f>AND('PROG FORMACIÓN TITULADA'!C785,"AAAAACur1qc=")</f>
        <v>#VALUE!</v>
      </c>
      <c r="FM112" t="e">
        <f>AND('PROG FORMACIÓN TITULADA'!D785,"AAAAACur1qg=")</f>
        <v>#VALUE!</v>
      </c>
      <c r="FN112" t="e">
        <f>AND('PROG FORMACIÓN TITULADA'!E785,"AAAAACur1qk=")</f>
        <v>#VALUE!</v>
      </c>
      <c r="FO112" t="e">
        <f>AND('PROG FORMACIÓN TITULADA'!F785,"AAAAACur1qo=")</f>
        <v>#VALUE!</v>
      </c>
      <c r="FP112" t="e">
        <f>AND('PROG FORMACIÓN TITULADA'!G785,"AAAAACur1qs=")</f>
        <v>#VALUE!</v>
      </c>
      <c r="FQ112" t="e">
        <f>AND('PROG FORMACIÓN TITULADA'!H785,"AAAAACur1qw=")</f>
        <v>#VALUE!</v>
      </c>
      <c r="FR112" t="e">
        <f>AND('PROG FORMACIÓN TITULADA'!I785,"AAAAACur1q0=")</f>
        <v>#VALUE!</v>
      </c>
      <c r="FS112" t="e">
        <f>AND('PROG FORMACIÓN TITULADA'!J785,"AAAAACur1q4=")</f>
        <v>#VALUE!</v>
      </c>
      <c r="FT112" t="e">
        <f>AND('PROG FORMACIÓN TITULADA'!K785,"AAAAACur1q8=")</f>
        <v>#VALUE!</v>
      </c>
      <c r="FU112" t="e">
        <f>AND('PROG FORMACIÓN TITULADA'!L785,"AAAAACur1rA=")</f>
        <v>#VALUE!</v>
      </c>
      <c r="FV112" t="e">
        <f>AND('PROG FORMACIÓN TITULADA'!M785,"AAAAACur1rE=")</f>
        <v>#VALUE!</v>
      </c>
      <c r="FW112" t="e">
        <f>AND('PROG FORMACIÓN TITULADA'!N785,"AAAAACur1rI=")</f>
        <v>#VALUE!</v>
      </c>
      <c r="FX112" t="e">
        <f>AND('PROG FORMACIÓN TITULADA'!O785,"AAAAACur1rM=")</f>
        <v>#VALUE!</v>
      </c>
      <c r="FY112" t="e">
        <f>AND('PROG FORMACIÓN TITULADA'!P785,"AAAAACur1rQ=")</f>
        <v>#VALUE!</v>
      </c>
      <c r="FZ112" t="e">
        <f>AND('PROG FORMACIÓN TITULADA'!Q785,"AAAAACur1rU=")</f>
        <v>#VALUE!</v>
      </c>
      <c r="GA112" t="e">
        <f>AND('PROG FORMACIÓN TITULADA'!R785,"AAAAACur1rY=")</f>
        <v>#VALUE!</v>
      </c>
      <c r="GB112" t="e">
        <f>AND('PROG FORMACIÓN TITULADA'!S785,"AAAAACur1rc=")</f>
        <v>#VALUE!</v>
      </c>
      <c r="GC112" t="e">
        <f>AND('PROG FORMACIÓN TITULADA'!T785,"AAAAACur1rg=")</f>
        <v>#VALUE!</v>
      </c>
      <c r="GD112" t="e">
        <f>AND('PROG FORMACIÓN TITULADA'!U785,"AAAAACur1rk=")</f>
        <v>#VALUE!</v>
      </c>
      <c r="GE112" t="e">
        <f>AND('PROG FORMACIÓN TITULADA'!V785,"AAAAACur1ro=")</f>
        <v>#VALUE!</v>
      </c>
      <c r="GF112" t="e">
        <f>AND('PROG FORMACIÓN TITULADA'!W785,"AAAAACur1rs=")</f>
        <v>#VALUE!</v>
      </c>
      <c r="GG112" t="e">
        <f>AND('PROG FORMACIÓN TITULADA'!X785,"AAAAACur1rw=")</f>
        <v>#VALUE!</v>
      </c>
      <c r="GH112" t="e">
        <f>AND('PROG FORMACIÓN TITULADA'!Y785,"AAAAACur1r0=")</f>
        <v>#VALUE!</v>
      </c>
      <c r="GI112" t="e">
        <f>AND('PROG FORMACIÓN TITULADA'!Z785,"AAAAACur1r4=")</f>
        <v>#VALUE!</v>
      </c>
      <c r="GJ112">
        <f>IF('PROG FORMACIÓN TITULADA'!786:786,"AAAAACur1r8=",0)</f>
        <v>0</v>
      </c>
      <c r="GK112" t="e">
        <f>AND('PROG FORMACIÓN TITULADA'!A786,"AAAAACur1sA=")</f>
        <v>#VALUE!</v>
      </c>
      <c r="GL112" t="e">
        <f>AND('PROG FORMACIÓN TITULADA'!B786,"AAAAACur1sE=")</f>
        <v>#VALUE!</v>
      </c>
      <c r="GM112" t="e">
        <f>AND('PROG FORMACIÓN TITULADA'!C786,"AAAAACur1sI=")</f>
        <v>#VALUE!</v>
      </c>
      <c r="GN112" t="e">
        <f>AND('PROG FORMACIÓN TITULADA'!D786,"AAAAACur1sM=")</f>
        <v>#VALUE!</v>
      </c>
      <c r="GO112" t="e">
        <f>AND('PROG FORMACIÓN TITULADA'!E786,"AAAAACur1sQ=")</f>
        <v>#VALUE!</v>
      </c>
      <c r="GP112" t="e">
        <f>AND('PROG FORMACIÓN TITULADA'!F786,"AAAAACur1sU=")</f>
        <v>#VALUE!</v>
      </c>
      <c r="GQ112" t="e">
        <f>AND('PROG FORMACIÓN TITULADA'!G786,"AAAAACur1sY=")</f>
        <v>#VALUE!</v>
      </c>
      <c r="GR112" t="e">
        <f>AND('PROG FORMACIÓN TITULADA'!H786,"AAAAACur1sc=")</f>
        <v>#VALUE!</v>
      </c>
      <c r="GS112" t="e">
        <f>AND('PROG FORMACIÓN TITULADA'!I786,"AAAAACur1sg=")</f>
        <v>#VALUE!</v>
      </c>
      <c r="GT112" t="e">
        <f>AND('PROG FORMACIÓN TITULADA'!J786,"AAAAACur1sk=")</f>
        <v>#VALUE!</v>
      </c>
      <c r="GU112" t="e">
        <f>AND('PROG FORMACIÓN TITULADA'!K786,"AAAAACur1so=")</f>
        <v>#VALUE!</v>
      </c>
      <c r="GV112" t="e">
        <f>AND('PROG FORMACIÓN TITULADA'!L786,"AAAAACur1ss=")</f>
        <v>#VALUE!</v>
      </c>
      <c r="GW112" t="e">
        <f>AND('PROG FORMACIÓN TITULADA'!M786,"AAAAACur1sw=")</f>
        <v>#VALUE!</v>
      </c>
      <c r="GX112" t="e">
        <f>AND('PROG FORMACIÓN TITULADA'!N786,"AAAAACur1s0=")</f>
        <v>#VALUE!</v>
      </c>
      <c r="GY112" t="e">
        <f>AND('PROG FORMACIÓN TITULADA'!O786,"AAAAACur1s4=")</f>
        <v>#VALUE!</v>
      </c>
      <c r="GZ112" t="e">
        <f>AND('PROG FORMACIÓN TITULADA'!P786,"AAAAACur1s8=")</f>
        <v>#VALUE!</v>
      </c>
      <c r="HA112" t="e">
        <f>AND('PROG FORMACIÓN TITULADA'!Q786,"AAAAACur1tA=")</f>
        <v>#VALUE!</v>
      </c>
      <c r="HB112" t="e">
        <f>AND('PROG FORMACIÓN TITULADA'!R786,"AAAAACur1tE=")</f>
        <v>#VALUE!</v>
      </c>
      <c r="HC112" t="e">
        <f>AND('PROG FORMACIÓN TITULADA'!S786,"AAAAACur1tI=")</f>
        <v>#VALUE!</v>
      </c>
      <c r="HD112" t="e">
        <f>AND('PROG FORMACIÓN TITULADA'!T786,"AAAAACur1tM=")</f>
        <v>#VALUE!</v>
      </c>
      <c r="HE112" t="e">
        <f>AND('PROG FORMACIÓN TITULADA'!U786,"AAAAACur1tQ=")</f>
        <v>#VALUE!</v>
      </c>
      <c r="HF112" t="e">
        <f>AND('PROG FORMACIÓN TITULADA'!V786,"AAAAACur1tU=")</f>
        <v>#VALUE!</v>
      </c>
      <c r="HG112" t="e">
        <f>AND('PROG FORMACIÓN TITULADA'!W786,"AAAAACur1tY=")</f>
        <v>#VALUE!</v>
      </c>
      <c r="HH112" t="e">
        <f>AND('PROG FORMACIÓN TITULADA'!X786,"AAAAACur1tc=")</f>
        <v>#VALUE!</v>
      </c>
      <c r="HI112" t="e">
        <f>AND('PROG FORMACIÓN TITULADA'!Y786,"AAAAACur1tg=")</f>
        <v>#VALUE!</v>
      </c>
      <c r="HJ112" t="e">
        <f>AND('PROG FORMACIÓN TITULADA'!Z786,"AAAAACur1tk=")</f>
        <v>#VALUE!</v>
      </c>
      <c r="HK112">
        <f>IF('PROG FORMACIÓN TITULADA'!787:787,"AAAAACur1to=",0)</f>
        <v>0</v>
      </c>
      <c r="HL112" t="e">
        <f>AND('PROG FORMACIÓN TITULADA'!A787,"AAAAACur1ts=")</f>
        <v>#VALUE!</v>
      </c>
      <c r="HM112" t="e">
        <f>AND('PROG FORMACIÓN TITULADA'!B787,"AAAAACur1tw=")</f>
        <v>#VALUE!</v>
      </c>
      <c r="HN112" t="e">
        <f>AND('PROG FORMACIÓN TITULADA'!C787,"AAAAACur1t0=")</f>
        <v>#VALUE!</v>
      </c>
      <c r="HO112" t="e">
        <f>AND('PROG FORMACIÓN TITULADA'!D787,"AAAAACur1t4=")</f>
        <v>#VALUE!</v>
      </c>
      <c r="HP112" t="e">
        <f>AND('PROG FORMACIÓN TITULADA'!E787,"AAAAACur1t8=")</f>
        <v>#VALUE!</v>
      </c>
      <c r="HQ112" t="e">
        <f>AND('PROG FORMACIÓN TITULADA'!F787,"AAAAACur1uA=")</f>
        <v>#VALUE!</v>
      </c>
      <c r="HR112" t="e">
        <f>AND('PROG FORMACIÓN TITULADA'!G787,"AAAAACur1uE=")</f>
        <v>#VALUE!</v>
      </c>
      <c r="HS112" t="e">
        <f>AND('PROG FORMACIÓN TITULADA'!H787,"AAAAACur1uI=")</f>
        <v>#VALUE!</v>
      </c>
      <c r="HT112" t="e">
        <f>AND('PROG FORMACIÓN TITULADA'!I787,"AAAAACur1uM=")</f>
        <v>#VALUE!</v>
      </c>
      <c r="HU112" t="e">
        <f>AND('PROG FORMACIÓN TITULADA'!J787,"AAAAACur1uQ=")</f>
        <v>#VALUE!</v>
      </c>
      <c r="HV112" t="e">
        <f>AND('PROG FORMACIÓN TITULADA'!K787,"AAAAACur1uU=")</f>
        <v>#VALUE!</v>
      </c>
      <c r="HW112" t="e">
        <f>AND('PROG FORMACIÓN TITULADA'!L787,"AAAAACur1uY=")</f>
        <v>#VALUE!</v>
      </c>
      <c r="HX112" t="e">
        <f>AND('PROG FORMACIÓN TITULADA'!M787,"AAAAACur1uc=")</f>
        <v>#VALUE!</v>
      </c>
      <c r="HY112" t="e">
        <f>AND('PROG FORMACIÓN TITULADA'!N787,"AAAAACur1ug=")</f>
        <v>#VALUE!</v>
      </c>
      <c r="HZ112" t="e">
        <f>AND('PROG FORMACIÓN TITULADA'!O787,"AAAAACur1uk=")</f>
        <v>#VALUE!</v>
      </c>
      <c r="IA112" t="e">
        <f>AND('PROG FORMACIÓN TITULADA'!P787,"AAAAACur1uo=")</f>
        <v>#VALUE!</v>
      </c>
      <c r="IB112" t="e">
        <f>AND('PROG FORMACIÓN TITULADA'!Q787,"AAAAACur1us=")</f>
        <v>#VALUE!</v>
      </c>
      <c r="IC112" t="e">
        <f>AND('PROG FORMACIÓN TITULADA'!R787,"AAAAACur1uw=")</f>
        <v>#VALUE!</v>
      </c>
      <c r="ID112" t="e">
        <f>AND('PROG FORMACIÓN TITULADA'!S787,"AAAAACur1u0=")</f>
        <v>#VALUE!</v>
      </c>
      <c r="IE112" t="e">
        <f>AND('PROG FORMACIÓN TITULADA'!T787,"AAAAACur1u4=")</f>
        <v>#VALUE!</v>
      </c>
      <c r="IF112" t="e">
        <f>AND('PROG FORMACIÓN TITULADA'!U787,"AAAAACur1u8=")</f>
        <v>#VALUE!</v>
      </c>
      <c r="IG112" t="e">
        <f>AND('PROG FORMACIÓN TITULADA'!V787,"AAAAACur1vA=")</f>
        <v>#VALUE!</v>
      </c>
      <c r="IH112" t="e">
        <f>AND('PROG FORMACIÓN TITULADA'!W787,"AAAAACur1vE=")</f>
        <v>#VALUE!</v>
      </c>
      <c r="II112" t="e">
        <f>AND('PROG FORMACIÓN TITULADA'!X787,"AAAAACur1vI=")</f>
        <v>#VALUE!</v>
      </c>
      <c r="IJ112" t="e">
        <f>AND('PROG FORMACIÓN TITULADA'!Y787,"AAAAACur1vM=")</f>
        <v>#VALUE!</v>
      </c>
      <c r="IK112" t="e">
        <f>AND('PROG FORMACIÓN TITULADA'!Z787,"AAAAACur1vQ=")</f>
        <v>#VALUE!</v>
      </c>
      <c r="IL112">
        <f>IF('PROG FORMACIÓN TITULADA'!788:788,"AAAAACur1vU=",0)</f>
        <v>0</v>
      </c>
      <c r="IM112" t="e">
        <f>AND('PROG FORMACIÓN TITULADA'!A788,"AAAAACur1vY=")</f>
        <v>#VALUE!</v>
      </c>
      <c r="IN112" t="e">
        <f>AND('PROG FORMACIÓN TITULADA'!B788,"AAAAACur1vc=")</f>
        <v>#VALUE!</v>
      </c>
      <c r="IO112" t="e">
        <f>AND('PROG FORMACIÓN TITULADA'!C788,"AAAAACur1vg=")</f>
        <v>#VALUE!</v>
      </c>
      <c r="IP112" t="e">
        <f>AND('PROG FORMACIÓN TITULADA'!D788,"AAAAACur1vk=")</f>
        <v>#VALUE!</v>
      </c>
      <c r="IQ112" t="e">
        <f>AND('PROG FORMACIÓN TITULADA'!E788,"AAAAACur1vo=")</f>
        <v>#VALUE!</v>
      </c>
      <c r="IR112" t="e">
        <f>AND('PROG FORMACIÓN TITULADA'!F788,"AAAAACur1vs=")</f>
        <v>#VALUE!</v>
      </c>
      <c r="IS112" t="e">
        <f>AND('PROG FORMACIÓN TITULADA'!G788,"AAAAACur1vw=")</f>
        <v>#VALUE!</v>
      </c>
      <c r="IT112" t="e">
        <f>AND('PROG FORMACIÓN TITULADA'!H788,"AAAAACur1v0=")</f>
        <v>#VALUE!</v>
      </c>
      <c r="IU112" t="e">
        <f>AND('PROG FORMACIÓN TITULADA'!I788,"AAAAACur1v4=")</f>
        <v>#VALUE!</v>
      </c>
      <c r="IV112" t="e">
        <f>AND('PROG FORMACIÓN TITULADA'!J788,"AAAAACur1v8=")</f>
        <v>#VALUE!</v>
      </c>
    </row>
    <row r="113" spans="1:256" x14ac:dyDescent="0.2">
      <c r="A113" t="e">
        <f>AND('PROG FORMACIÓN TITULADA'!K788,"AAAAAHf+/wA=")</f>
        <v>#VALUE!</v>
      </c>
      <c r="B113" t="e">
        <f>AND('PROG FORMACIÓN TITULADA'!L788,"AAAAAHf+/wE=")</f>
        <v>#VALUE!</v>
      </c>
      <c r="C113" t="e">
        <f>AND('PROG FORMACIÓN TITULADA'!M788,"AAAAAHf+/wI=")</f>
        <v>#VALUE!</v>
      </c>
      <c r="D113" t="e">
        <f>AND('PROG FORMACIÓN TITULADA'!N788,"AAAAAHf+/wM=")</f>
        <v>#VALUE!</v>
      </c>
      <c r="E113" t="e">
        <f>AND('PROG FORMACIÓN TITULADA'!O788,"AAAAAHf+/wQ=")</f>
        <v>#VALUE!</v>
      </c>
      <c r="F113" t="e">
        <f>AND('PROG FORMACIÓN TITULADA'!P788,"AAAAAHf+/wU=")</f>
        <v>#VALUE!</v>
      </c>
      <c r="G113" t="e">
        <f>AND('PROG FORMACIÓN TITULADA'!Q788,"AAAAAHf+/wY=")</f>
        <v>#VALUE!</v>
      </c>
      <c r="H113" t="e">
        <f>AND('PROG FORMACIÓN TITULADA'!R788,"AAAAAHf+/wc=")</f>
        <v>#VALUE!</v>
      </c>
      <c r="I113" t="e">
        <f>AND('PROG FORMACIÓN TITULADA'!S788,"AAAAAHf+/wg=")</f>
        <v>#VALUE!</v>
      </c>
      <c r="J113" t="e">
        <f>AND('PROG FORMACIÓN TITULADA'!T788,"AAAAAHf+/wk=")</f>
        <v>#VALUE!</v>
      </c>
      <c r="K113" t="e">
        <f>AND('PROG FORMACIÓN TITULADA'!U788,"AAAAAHf+/wo=")</f>
        <v>#VALUE!</v>
      </c>
      <c r="L113" t="e">
        <f>AND('PROG FORMACIÓN TITULADA'!V788,"AAAAAHf+/ws=")</f>
        <v>#VALUE!</v>
      </c>
      <c r="M113" t="e">
        <f>AND('PROG FORMACIÓN TITULADA'!W788,"AAAAAHf+/ww=")</f>
        <v>#VALUE!</v>
      </c>
      <c r="N113" t="e">
        <f>AND('PROG FORMACIÓN TITULADA'!X788,"AAAAAHf+/w0=")</f>
        <v>#VALUE!</v>
      </c>
      <c r="O113" t="e">
        <f>AND('PROG FORMACIÓN TITULADA'!Y788,"AAAAAHf+/w4=")</f>
        <v>#VALUE!</v>
      </c>
      <c r="P113" t="e">
        <f>AND('PROG FORMACIÓN TITULADA'!Z788,"AAAAAHf+/w8=")</f>
        <v>#VALUE!</v>
      </c>
      <c r="Q113">
        <f>IF('PROG FORMACIÓN TITULADA'!789:789,"AAAAAHf+/xA=",0)</f>
        <v>0</v>
      </c>
      <c r="R113" t="e">
        <f>AND('PROG FORMACIÓN TITULADA'!A789,"AAAAAHf+/xE=")</f>
        <v>#VALUE!</v>
      </c>
      <c r="S113" t="e">
        <f>AND('PROG FORMACIÓN TITULADA'!B789,"AAAAAHf+/xI=")</f>
        <v>#VALUE!</v>
      </c>
      <c r="T113" t="e">
        <f>AND('PROG FORMACIÓN TITULADA'!C789,"AAAAAHf+/xM=")</f>
        <v>#VALUE!</v>
      </c>
      <c r="U113" t="e">
        <f>AND('PROG FORMACIÓN TITULADA'!D789,"AAAAAHf+/xQ=")</f>
        <v>#VALUE!</v>
      </c>
      <c r="V113" t="e">
        <f>AND('PROG FORMACIÓN TITULADA'!E789,"AAAAAHf+/xU=")</f>
        <v>#VALUE!</v>
      </c>
      <c r="W113" t="e">
        <f>AND('PROG FORMACIÓN TITULADA'!F789,"AAAAAHf+/xY=")</f>
        <v>#VALUE!</v>
      </c>
      <c r="X113" t="e">
        <f>AND('PROG FORMACIÓN TITULADA'!G789,"AAAAAHf+/xc=")</f>
        <v>#VALUE!</v>
      </c>
      <c r="Y113" t="e">
        <f>AND('PROG FORMACIÓN TITULADA'!H789,"AAAAAHf+/xg=")</f>
        <v>#VALUE!</v>
      </c>
      <c r="Z113" t="e">
        <f>AND('PROG FORMACIÓN TITULADA'!I789,"AAAAAHf+/xk=")</f>
        <v>#VALUE!</v>
      </c>
      <c r="AA113" t="e">
        <f>AND('PROG FORMACIÓN TITULADA'!J789,"AAAAAHf+/xo=")</f>
        <v>#VALUE!</v>
      </c>
      <c r="AB113" t="e">
        <f>AND('PROG FORMACIÓN TITULADA'!K789,"AAAAAHf+/xs=")</f>
        <v>#VALUE!</v>
      </c>
      <c r="AC113" t="e">
        <f>AND('PROG FORMACIÓN TITULADA'!L789,"AAAAAHf+/xw=")</f>
        <v>#VALUE!</v>
      </c>
      <c r="AD113" t="e">
        <f>AND('PROG FORMACIÓN TITULADA'!M789,"AAAAAHf+/x0=")</f>
        <v>#VALUE!</v>
      </c>
      <c r="AE113" t="e">
        <f>AND('PROG FORMACIÓN TITULADA'!N789,"AAAAAHf+/x4=")</f>
        <v>#VALUE!</v>
      </c>
      <c r="AF113" t="e">
        <f>AND('PROG FORMACIÓN TITULADA'!O789,"AAAAAHf+/x8=")</f>
        <v>#VALUE!</v>
      </c>
      <c r="AG113" t="e">
        <f>AND('PROG FORMACIÓN TITULADA'!P789,"AAAAAHf+/yA=")</f>
        <v>#VALUE!</v>
      </c>
      <c r="AH113" t="e">
        <f>AND('PROG FORMACIÓN TITULADA'!Q789,"AAAAAHf+/yE=")</f>
        <v>#VALUE!</v>
      </c>
      <c r="AI113" t="e">
        <f>AND('PROG FORMACIÓN TITULADA'!R789,"AAAAAHf+/yI=")</f>
        <v>#VALUE!</v>
      </c>
      <c r="AJ113" t="e">
        <f>AND('PROG FORMACIÓN TITULADA'!S789,"AAAAAHf+/yM=")</f>
        <v>#VALUE!</v>
      </c>
      <c r="AK113" t="e">
        <f>AND('PROG FORMACIÓN TITULADA'!T789,"AAAAAHf+/yQ=")</f>
        <v>#VALUE!</v>
      </c>
      <c r="AL113" t="e">
        <f>AND('PROG FORMACIÓN TITULADA'!U789,"AAAAAHf+/yU=")</f>
        <v>#VALUE!</v>
      </c>
      <c r="AM113" t="e">
        <f>AND('PROG FORMACIÓN TITULADA'!V789,"AAAAAHf+/yY=")</f>
        <v>#VALUE!</v>
      </c>
      <c r="AN113" t="e">
        <f>AND('PROG FORMACIÓN TITULADA'!W789,"AAAAAHf+/yc=")</f>
        <v>#VALUE!</v>
      </c>
      <c r="AO113" t="e">
        <f>AND('PROG FORMACIÓN TITULADA'!X789,"AAAAAHf+/yg=")</f>
        <v>#VALUE!</v>
      </c>
      <c r="AP113" t="e">
        <f>AND('PROG FORMACIÓN TITULADA'!Y789,"AAAAAHf+/yk=")</f>
        <v>#VALUE!</v>
      </c>
      <c r="AQ113" t="e">
        <f>AND('PROG FORMACIÓN TITULADA'!Z789,"AAAAAHf+/yo=")</f>
        <v>#VALUE!</v>
      </c>
      <c r="AR113">
        <f>IF('PROG FORMACIÓN TITULADA'!790:790,"AAAAAHf+/ys=",0)</f>
        <v>0</v>
      </c>
      <c r="AS113" t="e">
        <f>AND('PROG FORMACIÓN TITULADA'!A790,"AAAAAHf+/yw=")</f>
        <v>#VALUE!</v>
      </c>
      <c r="AT113" t="e">
        <f>AND('PROG FORMACIÓN TITULADA'!B790,"AAAAAHf+/y0=")</f>
        <v>#VALUE!</v>
      </c>
      <c r="AU113" t="e">
        <f>AND('PROG FORMACIÓN TITULADA'!C790,"AAAAAHf+/y4=")</f>
        <v>#VALUE!</v>
      </c>
      <c r="AV113" t="e">
        <f>AND('PROG FORMACIÓN TITULADA'!D790,"AAAAAHf+/y8=")</f>
        <v>#VALUE!</v>
      </c>
      <c r="AW113" t="e">
        <f>AND('PROG FORMACIÓN TITULADA'!E790,"AAAAAHf+/zA=")</f>
        <v>#VALUE!</v>
      </c>
      <c r="AX113" t="e">
        <f>AND('PROG FORMACIÓN TITULADA'!F790,"AAAAAHf+/zE=")</f>
        <v>#VALUE!</v>
      </c>
      <c r="AY113" t="e">
        <f>AND('PROG FORMACIÓN TITULADA'!G790,"AAAAAHf+/zI=")</f>
        <v>#VALUE!</v>
      </c>
      <c r="AZ113" t="e">
        <f>AND('PROG FORMACIÓN TITULADA'!H790,"AAAAAHf+/zM=")</f>
        <v>#VALUE!</v>
      </c>
      <c r="BA113" t="e">
        <f>AND('PROG FORMACIÓN TITULADA'!I790,"AAAAAHf+/zQ=")</f>
        <v>#VALUE!</v>
      </c>
      <c r="BB113" t="e">
        <f>AND('PROG FORMACIÓN TITULADA'!J790,"AAAAAHf+/zU=")</f>
        <v>#VALUE!</v>
      </c>
      <c r="BC113" t="e">
        <f>AND('PROG FORMACIÓN TITULADA'!K790,"AAAAAHf+/zY=")</f>
        <v>#VALUE!</v>
      </c>
      <c r="BD113" t="e">
        <f>AND('PROG FORMACIÓN TITULADA'!L790,"AAAAAHf+/zc=")</f>
        <v>#VALUE!</v>
      </c>
      <c r="BE113" t="e">
        <f>AND('PROG FORMACIÓN TITULADA'!M790,"AAAAAHf+/zg=")</f>
        <v>#VALUE!</v>
      </c>
      <c r="BF113" t="e">
        <f>AND('PROG FORMACIÓN TITULADA'!N790,"AAAAAHf+/zk=")</f>
        <v>#VALUE!</v>
      </c>
      <c r="BG113" t="e">
        <f>AND('PROG FORMACIÓN TITULADA'!O790,"AAAAAHf+/zo=")</f>
        <v>#VALUE!</v>
      </c>
      <c r="BH113" t="e">
        <f>AND('PROG FORMACIÓN TITULADA'!P790,"AAAAAHf+/zs=")</f>
        <v>#VALUE!</v>
      </c>
      <c r="BI113" t="e">
        <f>AND('PROG FORMACIÓN TITULADA'!Q790,"AAAAAHf+/zw=")</f>
        <v>#VALUE!</v>
      </c>
      <c r="BJ113" t="e">
        <f>AND('PROG FORMACIÓN TITULADA'!R790,"AAAAAHf+/z0=")</f>
        <v>#VALUE!</v>
      </c>
      <c r="BK113" t="e">
        <f>AND('PROG FORMACIÓN TITULADA'!S790,"AAAAAHf+/z4=")</f>
        <v>#VALUE!</v>
      </c>
      <c r="BL113" t="e">
        <f>AND('PROG FORMACIÓN TITULADA'!T790,"AAAAAHf+/z8=")</f>
        <v>#VALUE!</v>
      </c>
      <c r="BM113" t="e">
        <f>AND('PROG FORMACIÓN TITULADA'!U790,"AAAAAHf+/0A=")</f>
        <v>#VALUE!</v>
      </c>
      <c r="BN113" t="e">
        <f>AND('PROG FORMACIÓN TITULADA'!V790,"AAAAAHf+/0E=")</f>
        <v>#VALUE!</v>
      </c>
      <c r="BO113" t="e">
        <f>AND('PROG FORMACIÓN TITULADA'!W790,"AAAAAHf+/0I=")</f>
        <v>#VALUE!</v>
      </c>
      <c r="BP113" t="e">
        <f>AND('PROG FORMACIÓN TITULADA'!X790,"AAAAAHf+/0M=")</f>
        <v>#VALUE!</v>
      </c>
      <c r="BQ113" t="e">
        <f>AND('PROG FORMACIÓN TITULADA'!Y790,"AAAAAHf+/0Q=")</f>
        <v>#VALUE!</v>
      </c>
      <c r="BR113" t="e">
        <f>AND('PROG FORMACIÓN TITULADA'!Z790,"AAAAAHf+/0U=")</f>
        <v>#VALUE!</v>
      </c>
      <c r="BS113">
        <f>IF('PROG FORMACIÓN TITULADA'!791:791,"AAAAAHf+/0Y=",0)</f>
        <v>0</v>
      </c>
      <c r="BT113" t="e">
        <f>AND('PROG FORMACIÓN TITULADA'!A791,"AAAAAHf+/0c=")</f>
        <v>#VALUE!</v>
      </c>
      <c r="BU113" t="e">
        <f>AND('PROG FORMACIÓN TITULADA'!B791,"AAAAAHf+/0g=")</f>
        <v>#VALUE!</v>
      </c>
      <c r="BV113" t="e">
        <f>AND('PROG FORMACIÓN TITULADA'!C791,"AAAAAHf+/0k=")</f>
        <v>#VALUE!</v>
      </c>
      <c r="BW113" t="e">
        <f>AND('PROG FORMACIÓN TITULADA'!D791,"AAAAAHf+/0o=")</f>
        <v>#VALUE!</v>
      </c>
      <c r="BX113" t="e">
        <f>AND('PROG FORMACIÓN TITULADA'!E791,"AAAAAHf+/0s=")</f>
        <v>#VALUE!</v>
      </c>
      <c r="BY113" t="e">
        <f>AND('PROG FORMACIÓN TITULADA'!F791,"AAAAAHf+/0w=")</f>
        <v>#VALUE!</v>
      </c>
      <c r="BZ113" t="e">
        <f>AND('PROG FORMACIÓN TITULADA'!G791,"AAAAAHf+/00=")</f>
        <v>#VALUE!</v>
      </c>
      <c r="CA113" t="e">
        <f>AND('PROG FORMACIÓN TITULADA'!H791,"AAAAAHf+/04=")</f>
        <v>#VALUE!</v>
      </c>
      <c r="CB113" t="e">
        <f>AND('PROG FORMACIÓN TITULADA'!I791,"AAAAAHf+/08=")</f>
        <v>#VALUE!</v>
      </c>
      <c r="CC113" t="e">
        <f>AND('PROG FORMACIÓN TITULADA'!J791,"AAAAAHf+/1A=")</f>
        <v>#VALUE!</v>
      </c>
      <c r="CD113" t="e">
        <f>AND('PROG FORMACIÓN TITULADA'!K791,"AAAAAHf+/1E=")</f>
        <v>#VALUE!</v>
      </c>
      <c r="CE113" t="e">
        <f>AND('PROG FORMACIÓN TITULADA'!L791,"AAAAAHf+/1I=")</f>
        <v>#VALUE!</v>
      </c>
      <c r="CF113" t="e">
        <f>AND('PROG FORMACIÓN TITULADA'!M791,"AAAAAHf+/1M=")</f>
        <v>#VALUE!</v>
      </c>
      <c r="CG113" t="e">
        <f>AND('PROG FORMACIÓN TITULADA'!N791,"AAAAAHf+/1Q=")</f>
        <v>#VALUE!</v>
      </c>
      <c r="CH113" t="e">
        <f>AND('PROG FORMACIÓN TITULADA'!O791,"AAAAAHf+/1U=")</f>
        <v>#VALUE!</v>
      </c>
      <c r="CI113" t="e">
        <f>AND('PROG FORMACIÓN TITULADA'!P791,"AAAAAHf+/1Y=")</f>
        <v>#VALUE!</v>
      </c>
      <c r="CJ113" t="e">
        <f>AND('PROG FORMACIÓN TITULADA'!Q791,"AAAAAHf+/1c=")</f>
        <v>#VALUE!</v>
      </c>
      <c r="CK113" t="e">
        <f>AND('PROG FORMACIÓN TITULADA'!R791,"AAAAAHf+/1g=")</f>
        <v>#VALUE!</v>
      </c>
      <c r="CL113" t="e">
        <f>AND('PROG FORMACIÓN TITULADA'!S791,"AAAAAHf+/1k=")</f>
        <v>#VALUE!</v>
      </c>
      <c r="CM113" t="e">
        <f>AND('PROG FORMACIÓN TITULADA'!T791,"AAAAAHf+/1o=")</f>
        <v>#VALUE!</v>
      </c>
      <c r="CN113" t="e">
        <f>AND('PROG FORMACIÓN TITULADA'!U791,"AAAAAHf+/1s=")</f>
        <v>#VALUE!</v>
      </c>
      <c r="CO113" t="e">
        <f>AND('PROG FORMACIÓN TITULADA'!V791,"AAAAAHf+/1w=")</f>
        <v>#VALUE!</v>
      </c>
      <c r="CP113" t="e">
        <f>AND('PROG FORMACIÓN TITULADA'!W791,"AAAAAHf+/10=")</f>
        <v>#VALUE!</v>
      </c>
      <c r="CQ113" t="e">
        <f>AND('PROG FORMACIÓN TITULADA'!X791,"AAAAAHf+/14=")</f>
        <v>#VALUE!</v>
      </c>
      <c r="CR113" t="e">
        <f>AND('PROG FORMACIÓN TITULADA'!Y791,"AAAAAHf+/18=")</f>
        <v>#VALUE!</v>
      </c>
      <c r="CS113" t="e">
        <f>AND('PROG FORMACIÓN TITULADA'!Z791,"AAAAAHf+/2A=")</f>
        <v>#VALUE!</v>
      </c>
      <c r="CT113">
        <f>IF('PROG FORMACIÓN TITULADA'!792:792,"AAAAAHf+/2E=",0)</f>
        <v>0</v>
      </c>
      <c r="CU113" t="e">
        <f>AND('PROG FORMACIÓN TITULADA'!A792,"AAAAAHf+/2I=")</f>
        <v>#VALUE!</v>
      </c>
      <c r="CV113" t="e">
        <f>AND('PROG FORMACIÓN TITULADA'!B792,"AAAAAHf+/2M=")</f>
        <v>#VALUE!</v>
      </c>
      <c r="CW113" t="e">
        <f>AND('PROG FORMACIÓN TITULADA'!C792,"AAAAAHf+/2Q=")</f>
        <v>#VALUE!</v>
      </c>
      <c r="CX113" t="e">
        <f>AND('PROG FORMACIÓN TITULADA'!D792,"AAAAAHf+/2U=")</f>
        <v>#VALUE!</v>
      </c>
      <c r="CY113" t="e">
        <f>AND('PROG FORMACIÓN TITULADA'!E792,"AAAAAHf+/2Y=")</f>
        <v>#VALUE!</v>
      </c>
      <c r="CZ113" t="e">
        <f>AND('PROG FORMACIÓN TITULADA'!F792,"AAAAAHf+/2c=")</f>
        <v>#VALUE!</v>
      </c>
      <c r="DA113" t="e">
        <f>AND('PROG FORMACIÓN TITULADA'!G792,"AAAAAHf+/2g=")</f>
        <v>#VALUE!</v>
      </c>
      <c r="DB113" t="e">
        <f>AND('PROG FORMACIÓN TITULADA'!H792,"AAAAAHf+/2k=")</f>
        <v>#VALUE!</v>
      </c>
      <c r="DC113" t="e">
        <f>AND('PROG FORMACIÓN TITULADA'!I792,"AAAAAHf+/2o=")</f>
        <v>#VALUE!</v>
      </c>
      <c r="DD113" t="e">
        <f>AND('PROG FORMACIÓN TITULADA'!J792,"AAAAAHf+/2s=")</f>
        <v>#VALUE!</v>
      </c>
      <c r="DE113" t="e">
        <f>AND('PROG FORMACIÓN TITULADA'!K792,"AAAAAHf+/2w=")</f>
        <v>#VALUE!</v>
      </c>
      <c r="DF113" t="e">
        <f>AND('PROG FORMACIÓN TITULADA'!L792,"AAAAAHf+/20=")</f>
        <v>#VALUE!</v>
      </c>
      <c r="DG113" t="e">
        <f>AND('PROG FORMACIÓN TITULADA'!M792,"AAAAAHf+/24=")</f>
        <v>#VALUE!</v>
      </c>
      <c r="DH113" t="e">
        <f>AND('PROG FORMACIÓN TITULADA'!N792,"AAAAAHf+/28=")</f>
        <v>#VALUE!</v>
      </c>
      <c r="DI113" t="e">
        <f>AND('PROG FORMACIÓN TITULADA'!O792,"AAAAAHf+/3A=")</f>
        <v>#VALUE!</v>
      </c>
      <c r="DJ113" t="e">
        <f>AND('PROG FORMACIÓN TITULADA'!P792,"AAAAAHf+/3E=")</f>
        <v>#VALUE!</v>
      </c>
      <c r="DK113" t="e">
        <f>AND('PROG FORMACIÓN TITULADA'!Q792,"AAAAAHf+/3I=")</f>
        <v>#VALUE!</v>
      </c>
      <c r="DL113" t="e">
        <f>AND('PROG FORMACIÓN TITULADA'!R792,"AAAAAHf+/3M=")</f>
        <v>#VALUE!</v>
      </c>
      <c r="DM113" t="e">
        <f>AND('PROG FORMACIÓN TITULADA'!S792,"AAAAAHf+/3Q=")</f>
        <v>#VALUE!</v>
      </c>
      <c r="DN113" t="e">
        <f>AND('PROG FORMACIÓN TITULADA'!T792,"AAAAAHf+/3U=")</f>
        <v>#VALUE!</v>
      </c>
      <c r="DO113" t="e">
        <f>AND('PROG FORMACIÓN TITULADA'!U792,"AAAAAHf+/3Y=")</f>
        <v>#VALUE!</v>
      </c>
      <c r="DP113" t="e">
        <f>AND('PROG FORMACIÓN TITULADA'!V792,"AAAAAHf+/3c=")</f>
        <v>#VALUE!</v>
      </c>
      <c r="DQ113" t="e">
        <f>AND('PROG FORMACIÓN TITULADA'!W792,"AAAAAHf+/3g=")</f>
        <v>#VALUE!</v>
      </c>
      <c r="DR113" t="e">
        <f>AND('PROG FORMACIÓN TITULADA'!X792,"AAAAAHf+/3k=")</f>
        <v>#VALUE!</v>
      </c>
      <c r="DS113" t="e">
        <f>AND('PROG FORMACIÓN TITULADA'!Y792,"AAAAAHf+/3o=")</f>
        <v>#VALUE!</v>
      </c>
      <c r="DT113" t="e">
        <f>AND('PROG FORMACIÓN TITULADA'!Z792,"AAAAAHf+/3s=")</f>
        <v>#VALUE!</v>
      </c>
      <c r="DU113">
        <f>IF('PROG FORMACIÓN TITULADA'!793:793,"AAAAAHf+/3w=",0)</f>
        <v>0</v>
      </c>
      <c r="DV113" t="e">
        <f>AND('PROG FORMACIÓN TITULADA'!A793,"AAAAAHf+/30=")</f>
        <v>#VALUE!</v>
      </c>
      <c r="DW113" t="e">
        <f>AND('PROG FORMACIÓN TITULADA'!B793,"AAAAAHf+/34=")</f>
        <v>#VALUE!</v>
      </c>
      <c r="DX113" t="e">
        <f>AND('PROG FORMACIÓN TITULADA'!C793,"AAAAAHf+/38=")</f>
        <v>#VALUE!</v>
      </c>
      <c r="DY113" t="e">
        <f>AND('PROG FORMACIÓN TITULADA'!D793,"AAAAAHf+/4A=")</f>
        <v>#VALUE!</v>
      </c>
      <c r="DZ113" t="e">
        <f>AND('PROG FORMACIÓN TITULADA'!E793,"AAAAAHf+/4E=")</f>
        <v>#VALUE!</v>
      </c>
      <c r="EA113" t="e">
        <f>AND('PROG FORMACIÓN TITULADA'!F793,"AAAAAHf+/4I=")</f>
        <v>#VALUE!</v>
      </c>
      <c r="EB113" t="e">
        <f>AND('PROG FORMACIÓN TITULADA'!G793,"AAAAAHf+/4M=")</f>
        <v>#VALUE!</v>
      </c>
      <c r="EC113" t="e">
        <f>AND('PROG FORMACIÓN TITULADA'!H793,"AAAAAHf+/4Q=")</f>
        <v>#VALUE!</v>
      </c>
      <c r="ED113" t="e">
        <f>AND('PROG FORMACIÓN TITULADA'!I793,"AAAAAHf+/4U=")</f>
        <v>#VALUE!</v>
      </c>
      <c r="EE113" t="e">
        <f>AND('PROG FORMACIÓN TITULADA'!J793,"AAAAAHf+/4Y=")</f>
        <v>#VALUE!</v>
      </c>
      <c r="EF113" t="e">
        <f>AND('PROG FORMACIÓN TITULADA'!K793,"AAAAAHf+/4c=")</f>
        <v>#VALUE!</v>
      </c>
      <c r="EG113" t="e">
        <f>AND('PROG FORMACIÓN TITULADA'!L793,"AAAAAHf+/4g=")</f>
        <v>#VALUE!</v>
      </c>
      <c r="EH113" t="e">
        <f>AND('PROG FORMACIÓN TITULADA'!M793,"AAAAAHf+/4k=")</f>
        <v>#VALUE!</v>
      </c>
      <c r="EI113" t="e">
        <f>AND('PROG FORMACIÓN TITULADA'!N793,"AAAAAHf+/4o=")</f>
        <v>#VALUE!</v>
      </c>
      <c r="EJ113" t="e">
        <f>AND('PROG FORMACIÓN TITULADA'!O793,"AAAAAHf+/4s=")</f>
        <v>#VALUE!</v>
      </c>
      <c r="EK113" t="e">
        <f>AND('PROG FORMACIÓN TITULADA'!P793,"AAAAAHf+/4w=")</f>
        <v>#VALUE!</v>
      </c>
      <c r="EL113" t="e">
        <f>AND('PROG FORMACIÓN TITULADA'!Q793,"AAAAAHf+/40=")</f>
        <v>#VALUE!</v>
      </c>
      <c r="EM113" t="e">
        <f>AND('PROG FORMACIÓN TITULADA'!R793,"AAAAAHf+/44=")</f>
        <v>#VALUE!</v>
      </c>
      <c r="EN113" t="e">
        <f>AND('PROG FORMACIÓN TITULADA'!S793,"AAAAAHf+/48=")</f>
        <v>#VALUE!</v>
      </c>
      <c r="EO113" t="e">
        <f>AND('PROG FORMACIÓN TITULADA'!T793,"AAAAAHf+/5A=")</f>
        <v>#VALUE!</v>
      </c>
      <c r="EP113" t="e">
        <f>AND('PROG FORMACIÓN TITULADA'!U793,"AAAAAHf+/5E=")</f>
        <v>#VALUE!</v>
      </c>
      <c r="EQ113" t="e">
        <f>AND('PROG FORMACIÓN TITULADA'!V793,"AAAAAHf+/5I=")</f>
        <v>#VALUE!</v>
      </c>
      <c r="ER113" t="e">
        <f>AND('PROG FORMACIÓN TITULADA'!W793,"AAAAAHf+/5M=")</f>
        <v>#VALUE!</v>
      </c>
      <c r="ES113" t="e">
        <f>AND('PROG FORMACIÓN TITULADA'!X793,"AAAAAHf+/5Q=")</f>
        <v>#VALUE!</v>
      </c>
      <c r="ET113" t="e">
        <f>AND('PROG FORMACIÓN TITULADA'!Y793,"AAAAAHf+/5U=")</f>
        <v>#VALUE!</v>
      </c>
      <c r="EU113" t="e">
        <f>AND('PROG FORMACIÓN TITULADA'!Z793,"AAAAAHf+/5Y=")</f>
        <v>#VALUE!</v>
      </c>
      <c r="EV113">
        <f>IF('PROG FORMACIÓN TITULADA'!794:794,"AAAAAHf+/5c=",0)</f>
        <v>0</v>
      </c>
      <c r="EW113" t="e">
        <f>AND('PROG FORMACIÓN TITULADA'!A794,"AAAAAHf+/5g=")</f>
        <v>#VALUE!</v>
      </c>
      <c r="EX113" t="e">
        <f>AND('PROG FORMACIÓN TITULADA'!B794,"AAAAAHf+/5k=")</f>
        <v>#VALUE!</v>
      </c>
      <c r="EY113" t="e">
        <f>AND('PROG FORMACIÓN TITULADA'!C794,"AAAAAHf+/5o=")</f>
        <v>#VALUE!</v>
      </c>
      <c r="EZ113" t="e">
        <f>AND('PROG FORMACIÓN TITULADA'!D794,"AAAAAHf+/5s=")</f>
        <v>#VALUE!</v>
      </c>
      <c r="FA113" t="e">
        <f>AND('PROG FORMACIÓN TITULADA'!E794,"AAAAAHf+/5w=")</f>
        <v>#VALUE!</v>
      </c>
      <c r="FB113" t="e">
        <f>AND('PROG FORMACIÓN TITULADA'!F794,"AAAAAHf+/50=")</f>
        <v>#VALUE!</v>
      </c>
      <c r="FC113" t="e">
        <f>AND('PROG FORMACIÓN TITULADA'!G794,"AAAAAHf+/54=")</f>
        <v>#VALUE!</v>
      </c>
      <c r="FD113" t="e">
        <f>AND('PROG FORMACIÓN TITULADA'!H794,"AAAAAHf+/58=")</f>
        <v>#VALUE!</v>
      </c>
      <c r="FE113" t="e">
        <f>AND('PROG FORMACIÓN TITULADA'!I794,"AAAAAHf+/6A=")</f>
        <v>#VALUE!</v>
      </c>
      <c r="FF113" t="e">
        <f>AND('PROG FORMACIÓN TITULADA'!J794,"AAAAAHf+/6E=")</f>
        <v>#VALUE!</v>
      </c>
      <c r="FG113" t="e">
        <f>AND('PROG FORMACIÓN TITULADA'!K794,"AAAAAHf+/6I=")</f>
        <v>#VALUE!</v>
      </c>
      <c r="FH113" t="e">
        <f>AND('PROG FORMACIÓN TITULADA'!L794,"AAAAAHf+/6M=")</f>
        <v>#VALUE!</v>
      </c>
      <c r="FI113" t="e">
        <f>AND('PROG FORMACIÓN TITULADA'!M794,"AAAAAHf+/6Q=")</f>
        <v>#VALUE!</v>
      </c>
      <c r="FJ113" t="e">
        <f>AND('PROG FORMACIÓN TITULADA'!N794,"AAAAAHf+/6U=")</f>
        <v>#VALUE!</v>
      </c>
      <c r="FK113" t="e">
        <f>AND('PROG FORMACIÓN TITULADA'!O794,"AAAAAHf+/6Y=")</f>
        <v>#VALUE!</v>
      </c>
      <c r="FL113" t="e">
        <f>AND('PROG FORMACIÓN TITULADA'!P794,"AAAAAHf+/6c=")</f>
        <v>#VALUE!</v>
      </c>
      <c r="FM113" t="e">
        <f>AND('PROG FORMACIÓN TITULADA'!Q794,"AAAAAHf+/6g=")</f>
        <v>#VALUE!</v>
      </c>
      <c r="FN113" t="e">
        <f>AND('PROG FORMACIÓN TITULADA'!R794,"AAAAAHf+/6k=")</f>
        <v>#VALUE!</v>
      </c>
      <c r="FO113" t="e">
        <f>AND('PROG FORMACIÓN TITULADA'!S794,"AAAAAHf+/6o=")</f>
        <v>#VALUE!</v>
      </c>
      <c r="FP113" t="e">
        <f>AND('PROG FORMACIÓN TITULADA'!T794,"AAAAAHf+/6s=")</f>
        <v>#VALUE!</v>
      </c>
      <c r="FQ113" t="e">
        <f>AND('PROG FORMACIÓN TITULADA'!U794,"AAAAAHf+/6w=")</f>
        <v>#VALUE!</v>
      </c>
      <c r="FR113" t="e">
        <f>AND('PROG FORMACIÓN TITULADA'!V794,"AAAAAHf+/60=")</f>
        <v>#VALUE!</v>
      </c>
      <c r="FS113" t="e">
        <f>AND('PROG FORMACIÓN TITULADA'!W794,"AAAAAHf+/64=")</f>
        <v>#VALUE!</v>
      </c>
      <c r="FT113" t="e">
        <f>AND('PROG FORMACIÓN TITULADA'!X794,"AAAAAHf+/68=")</f>
        <v>#VALUE!</v>
      </c>
      <c r="FU113" t="e">
        <f>AND('PROG FORMACIÓN TITULADA'!Y794,"AAAAAHf+/7A=")</f>
        <v>#VALUE!</v>
      </c>
      <c r="FV113" t="e">
        <f>AND('PROG FORMACIÓN TITULADA'!Z794,"AAAAAHf+/7E=")</f>
        <v>#VALUE!</v>
      </c>
      <c r="FW113">
        <f>IF('PROG FORMACIÓN TITULADA'!795:795,"AAAAAHf+/7I=",0)</f>
        <v>0</v>
      </c>
      <c r="FX113" t="e">
        <f>AND('PROG FORMACIÓN TITULADA'!A795,"AAAAAHf+/7M=")</f>
        <v>#VALUE!</v>
      </c>
      <c r="FY113" t="e">
        <f>AND('PROG FORMACIÓN TITULADA'!B795,"AAAAAHf+/7Q=")</f>
        <v>#VALUE!</v>
      </c>
      <c r="FZ113" t="e">
        <f>AND('PROG FORMACIÓN TITULADA'!C795,"AAAAAHf+/7U=")</f>
        <v>#VALUE!</v>
      </c>
      <c r="GA113" t="e">
        <f>AND('PROG FORMACIÓN TITULADA'!D795,"AAAAAHf+/7Y=")</f>
        <v>#VALUE!</v>
      </c>
      <c r="GB113" t="e">
        <f>AND('PROG FORMACIÓN TITULADA'!E795,"AAAAAHf+/7c=")</f>
        <v>#VALUE!</v>
      </c>
      <c r="GC113" t="e">
        <f>AND('PROG FORMACIÓN TITULADA'!F795,"AAAAAHf+/7g=")</f>
        <v>#VALUE!</v>
      </c>
      <c r="GD113" t="e">
        <f>AND('PROG FORMACIÓN TITULADA'!G795,"AAAAAHf+/7k=")</f>
        <v>#VALUE!</v>
      </c>
      <c r="GE113" t="e">
        <f>AND('PROG FORMACIÓN TITULADA'!H795,"AAAAAHf+/7o=")</f>
        <v>#VALUE!</v>
      </c>
      <c r="GF113" t="e">
        <f>AND('PROG FORMACIÓN TITULADA'!I795,"AAAAAHf+/7s=")</f>
        <v>#VALUE!</v>
      </c>
      <c r="GG113" t="e">
        <f>AND('PROG FORMACIÓN TITULADA'!J795,"AAAAAHf+/7w=")</f>
        <v>#VALUE!</v>
      </c>
      <c r="GH113" t="e">
        <f>AND('PROG FORMACIÓN TITULADA'!K795,"AAAAAHf+/70=")</f>
        <v>#VALUE!</v>
      </c>
      <c r="GI113" t="e">
        <f>AND('PROG FORMACIÓN TITULADA'!L795,"AAAAAHf+/74=")</f>
        <v>#VALUE!</v>
      </c>
      <c r="GJ113" t="e">
        <f>AND('PROG FORMACIÓN TITULADA'!M795,"AAAAAHf+/78=")</f>
        <v>#VALUE!</v>
      </c>
      <c r="GK113" t="e">
        <f>AND('PROG FORMACIÓN TITULADA'!N795,"AAAAAHf+/8A=")</f>
        <v>#VALUE!</v>
      </c>
      <c r="GL113" t="e">
        <f>AND('PROG FORMACIÓN TITULADA'!O795,"AAAAAHf+/8E=")</f>
        <v>#VALUE!</v>
      </c>
      <c r="GM113" t="e">
        <f>AND('PROG FORMACIÓN TITULADA'!P795,"AAAAAHf+/8I=")</f>
        <v>#VALUE!</v>
      </c>
      <c r="GN113" t="e">
        <f>AND('PROG FORMACIÓN TITULADA'!Q795,"AAAAAHf+/8M=")</f>
        <v>#VALUE!</v>
      </c>
      <c r="GO113" t="e">
        <f>AND('PROG FORMACIÓN TITULADA'!R795,"AAAAAHf+/8Q=")</f>
        <v>#VALUE!</v>
      </c>
      <c r="GP113" t="e">
        <f>AND('PROG FORMACIÓN TITULADA'!S795,"AAAAAHf+/8U=")</f>
        <v>#VALUE!</v>
      </c>
      <c r="GQ113" t="e">
        <f>AND('PROG FORMACIÓN TITULADA'!T795,"AAAAAHf+/8Y=")</f>
        <v>#VALUE!</v>
      </c>
      <c r="GR113" t="e">
        <f>AND('PROG FORMACIÓN TITULADA'!U795,"AAAAAHf+/8c=")</f>
        <v>#VALUE!</v>
      </c>
      <c r="GS113" t="e">
        <f>AND('PROG FORMACIÓN TITULADA'!V795,"AAAAAHf+/8g=")</f>
        <v>#VALUE!</v>
      </c>
      <c r="GT113" t="e">
        <f>AND('PROG FORMACIÓN TITULADA'!W795,"AAAAAHf+/8k=")</f>
        <v>#VALUE!</v>
      </c>
      <c r="GU113" t="e">
        <f>AND('PROG FORMACIÓN TITULADA'!X795,"AAAAAHf+/8o=")</f>
        <v>#VALUE!</v>
      </c>
      <c r="GV113" t="e">
        <f>AND('PROG FORMACIÓN TITULADA'!Y795,"AAAAAHf+/8s=")</f>
        <v>#VALUE!</v>
      </c>
      <c r="GW113" t="e">
        <f>AND('PROG FORMACIÓN TITULADA'!Z795,"AAAAAHf+/8w=")</f>
        <v>#VALUE!</v>
      </c>
      <c r="GX113">
        <f>IF('PROG FORMACIÓN TITULADA'!796:796,"AAAAAHf+/80=",0)</f>
        <v>0</v>
      </c>
      <c r="GY113" t="e">
        <f>AND('PROG FORMACIÓN TITULADA'!A796,"AAAAAHf+/84=")</f>
        <v>#VALUE!</v>
      </c>
      <c r="GZ113" t="e">
        <f>AND('PROG FORMACIÓN TITULADA'!B796,"AAAAAHf+/88=")</f>
        <v>#VALUE!</v>
      </c>
      <c r="HA113" t="e">
        <f>AND('PROG FORMACIÓN TITULADA'!C796,"AAAAAHf+/9A=")</f>
        <v>#VALUE!</v>
      </c>
      <c r="HB113" t="e">
        <f>AND('PROG FORMACIÓN TITULADA'!D796,"AAAAAHf+/9E=")</f>
        <v>#VALUE!</v>
      </c>
      <c r="HC113" t="e">
        <f>AND('PROG FORMACIÓN TITULADA'!E796,"AAAAAHf+/9I=")</f>
        <v>#VALUE!</v>
      </c>
      <c r="HD113" t="e">
        <f>AND('PROG FORMACIÓN TITULADA'!F796,"AAAAAHf+/9M=")</f>
        <v>#VALUE!</v>
      </c>
      <c r="HE113" t="e">
        <f>AND('PROG FORMACIÓN TITULADA'!G796,"AAAAAHf+/9Q=")</f>
        <v>#VALUE!</v>
      </c>
      <c r="HF113" t="e">
        <f>AND('PROG FORMACIÓN TITULADA'!H796,"AAAAAHf+/9U=")</f>
        <v>#VALUE!</v>
      </c>
      <c r="HG113" t="e">
        <f>AND('PROG FORMACIÓN TITULADA'!I796,"AAAAAHf+/9Y=")</f>
        <v>#VALUE!</v>
      </c>
      <c r="HH113" t="e">
        <f>AND('PROG FORMACIÓN TITULADA'!J796,"AAAAAHf+/9c=")</f>
        <v>#VALUE!</v>
      </c>
      <c r="HI113" t="e">
        <f>AND('PROG FORMACIÓN TITULADA'!K796,"AAAAAHf+/9g=")</f>
        <v>#VALUE!</v>
      </c>
      <c r="HJ113" t="e">
        <f>AND('PROG FORMACIÓN TITULADA'!L796,"AAAAAHf+/9k=")</f>
        <v>#VALUE!</v>
      </c>
      <c r="HK113" t="e">
        <f>AND('PROG FORMACIÓN TITULADA'!M796,"AAAAAHf+/9o=")</f>
        <v>#VALUE!</v>
      </c>
      <c r="HL113" t="e">
        <f>AND('PROG FORMACIÓN TITULADA'!N796,"AAAAAHf+/9s=")</f>
        <v>#VALUE!</v>
      </c>
      <c r="HM113" t="e">
        <f>AND('PROG FORMACIÓN TITULADA'!O796,"AAAAAHf+/9w=")</f>
        <v>#VALUE!</v>
      </c>
      <c r="HN113" t="e">
        <f>AND('PROG FORMACIÓN TITULADA'!P796,"AAAAAHf+/90=")</f>
        <v>#VALUE!</v>
      </c>
      <c r="HO113" t="e">
        <f>AND('PROG FORMACIÓN TITULADA'!Q796,"AAAAAHf+/94=")</f>
        <v>#VALUE!</v>
      </c>
      <c r="HP113" t="e">
        <f>AND('PROG FORMACIÓN TITULADA'!R796,"AAAAAHf+/98=")</f>
        <v>#VALUE!</v>
      </c>
      <c r="HQ113" t="e">
        <f>AND('PROG FORMACIÓN TITULADA'!S796,"AAAAAHf+/+A=")</f>
        <v>#VALUE!</v>
      </c>
      <c r="HR113" t="e">
        <f>AND('PROG FORMACIÓN TITULADA'!T796,"AAAAAHf+/+E=")</f>
        <v>#VALUE!</v>
      </c>
      <c r="HS113" t="e">
        <f>AND('PROG FORMACIÓN TITULADA'!U796,"AAAAAHf+/+I=")</f>
        <v>#VALUE!</v>
      </c>
      <c r="HT113" t="e">
        <f>AND('PROG FORMACIÓN TITULADA'!V796,"AAAAAHf+/+M=")</f>
        <v>#VALUE!</v>
      </c>
      <c r="HU113" t="e">
        <f>AND('PROG FORMACIÓN TITULADA'!W796,"AAAAAHf+/+Q=")</f>
        <v>#VALUE!</v>
      </c>
      <c r="HV113" t="e">
        <f>AND('PROG FORMACIÓN TITULADA'!X796,"AAAAAHf+/+U=")</f>
        <v>#VALUE!</v>
      </c>
      <c r="HW113" t="e">
        <f>AND('PROG FORMACIÓN TITULADA'!Y796,"AAAAAHf+/+Y=")</f>
        <v>#VALUE!</v>
      </c>
      <c r="HX113" t="e">
        <f>AND('PROG FORMACIÓN TITULADA'!Z796,"AAAAAHf+/+c=")</f>
        <v>#VALUE!</v>
      </c>
      <c r="HY113">
        <f>IF('PROG FORMACIÓN TITULADA'!797:797,"AAAAAHf+/+g=",0)</f>
        <v>0</v>
      </c>
      <c r="HZ113" t="e">
        <f>AND('PROG FORMACIÓN TITULADA'!A797,"AAAAAHf+/+k=")</f>
        <v>#VALUE!</v>
      </c>
      <c r="IA113" t="e">
        <f>AND('PROG FORMACIÓN TITULADA'!B797,"AAAAAHf+/+o=")</f>
        <v>#VALUE!</v>
      </c>
      <c r="IB113" t="e">
        <f>AND('PROG FORMACIÓN TITULADA'!C797,"AAAAAHf+/+s=")</f>
        <v>#VALUE!</v>
      </c>
      <c r="IC113" t="e">
        <f>AND('PROG FORMACIÓN TITULADA'!D797,"AAAAAHf+/+w=")</f>
        <v>#VALUE!</v>
      </c>
      <c r="ID113" t="e">
        <f>AND('PROG FORMACIÓN TITULADA'!E797,"AAAAAHf+/+0=")</f>
        <v>#VALUE!</v>
      </c>
      <c r="IE113" t="e">
        <f>AND('PROG FORMACIÓN TITULADA'!F797,"AAAAAHf+/+4=")</f>
        <v>#VALUE!</v>
      </c>
      <c r="IF113" t="e">
        <f>AND('PROG FORMACIÓN TITULADA'!G797,"AAAAAHf+/+8=")</f>
        <v>#VALUE!</v>
      </c>
      <c r="IG113" t="e">
        <f>AND('PROG FORMACIÓN TITULADA'!H797,"AAAAAHf+//A=")</f>
        <v>#VALUE!</v>
      </c>
      <c r="IH113" t="e">
        <f>AND('PROG FORMACIÓN TITULADA'!I797,"AAAAAHf+//E=")</f>
        <v>#VALUE!</v>
      </c>
      <c r="II113" t="e">
        <f>AND('PROG FORMACIÓN TITULADA'!J797,"AAAAAHf+//I=")</f>
        <v>#VALUE!</v>
      </c>
      <c r="IJ113" t="e">
        <f>AND('PROG FORMACIÓN TITULADA'!K797,"AAAAAHf+//M=")</f>
        <v>#VALUE!</v>
      </c>
      <c r="IK113" t="e">
        <f>AND('PROG FORMACIÓN TITULADA'!L797,"AAAAAHf+//Q=")</f>
        <v>#VALUE!</v>
      </c>
      <c r="IL113" t="e">
        <f>AND('PROG FORMACIÓN TITULADA'!M797,"AAAAAHf+//U=")</f>
        <v>#VALUE!</v>
      </c>
      <c r="IM113" t="e">
        <f>AND('PROG FORMACIÓN TITULADA'!N797,"AAAAAHf+//Y=")</f>
        <v>#VALUE!</v>
      </c>
      <c r="IN113" t="e">
        <f>AND('PROG FORMACIÓN TITULADA'!O797,"AAAAAHf+//c=")</f>
        <v>#VALUE!</v>
      </c>
      <c r="IO113" t="e">
        <f>AND('PROG FORMACIÓN TITULADA'!P797,"AAAAAHf+//g=")</f>
        <v>#VALUE!</v>
      </c>
      <c r="IP113" t="e">
        <f>AND('PROG FORMACIÓN TITULADA'!Q797,"AAAAAHf+//k=")</f>
        <v>#VALUE!</v>
      </c>
      <c r="IQ113" t="e">
        <f>AND('PROG FORMACIÓN TITULADA'!R797,"AAAAAHf+//o=")</f>
        <v>#VALUE!</v>
      </c>
      <c r="IR113" t="e">
        <f>AND('PROG FORMACIÓN TITULADA'!S797,"AAAAAHf+//s=")</f>
        <v>#VALUE!</v>
      </c>
      <c r="IS113" t="e">
        <f>AND('PROG FORMACIÓN TITULADA'!T797,"AAAAAHf+//w=")</f>
        <v>#VALUE!</v>
      </c>
      <c r="IT113" t="e">
        <f>AND('PROG FORMACIÓN TITULADA'!U797,"AAAAAHf+//0=")</f>
        <v>#VALUE!</v>
      </c>
      <c r="IU113" t="e">
        <f>AND('PROG FORMACIÓN TITULADA'!V797,"AAAAAHf+//4=")</f>
        <v>#VALUE!</v>
      </c>
      <c r="IV113" t="e">
        <f>AND('PROG FORMACIÓN TITULADA'!W797,"AAAAAHf+//8=")</f>
        <v>#VALUE!</v>
      </c>
    </row>
    <row r="114" spans="1:256" x14ac:dyDescent="0.2">
      <c r="A114" t="e">
        <f>AND('PROG FORMACIÓN TITULADA'!X797,"AAAAAC/f/wA=")</f>
        <v>#VALUE!</v>
      </c>
      <c r="B114" t="e">
        <f>AND('PROG FORMACIÓN TITULADA'!Y797,"AAAAAC/f/wE=")</f>
        <v>#VALUE!</v>
      </c>
      <c r="C114" t="e">
        <f>AND('PROG FORMACIÓN TITULADA'!Z797,"AAAAAC/f/wI=")</f>
        <v>#VALUE!</v>
      </c>
      <c r="D114">
        <f>IF('PROG FORMACIÓN TITULADA'!798:798,"AAAAAC/f/wM=",0)</f>
        <v>0</v>
      </c>
      <c r="E114" t="e">
        <f>AND('PROG FORMACIÓN TITULADA'!A798,"AAAAAC/f/wQ=")</f>
        <v>#VALUE!</v>
      </c>
      <c r="F114" t="e">
        <f>AND('PROG FORMACIÓN TITULADA'!B798,"AAAAAC/f/wU=")</f>
        <v>#VALUE!</v>
      </c>
      <c r="G114" t="e">
        <f>AND('PROG FORMACIÓN TITULADA'!C798,"AAAAAC/f/wY=")</f>
        <v>#VALUE!</v>
      </c>
      <c r="H114" t="e">
        <f>AND('PROG FORMACIÓN TITULADA'!D798,"AAAAAC/f/wc=")</f>
        <v>#VALUE!</v>
      </c>
      <c r="I114" t="e">
        <f>AND('PROG FORMACIÓN TITULADA'!E798,"AAAAAC/f/wg=")</f>
        <v>#VALUE!</v>
      </c>
      <c r="J114" t="e">
        <f>AND('PROG FORMACIÓN TITULADA'!F798,"AAAAAC/f/wk=")</f>
        <v>#VALUE!</v>
      </c>
      <c r="K114" t="e">
        <f>AND('PROG FORMACIÓN TITULADA'!G798,"AAAAAC/f/wo=")</f>
        <v>#VALUE!</v>
      </c>
      <c r="L114" t="e">
        <f>AND('PROG FORMACIÓN TITULADA'!H798,"AAAAAC/f/ws=")</f>
        <v>#VALUE!</v>
      </c>
      <c r="M114" t="e">
        <f>AND('PROG FORMACIÓN TITULADA'!I798,"AAAAAC/f/ww=")</f>
        <v>#VALUE!</v>
      </c>
      <c r="N114" t="e">
        <f>AND('PROG FORMACIÓN TITULADA'!J798,"AAAAAC/f/w0=")</f>
        <v>#VALUE!</v>
      </c>
      <c r="O114" t="e">
        <f>AND('PROG FORMACIÓN TITULADA'!K798,"AAAAAC/f/w4=")</f>
        <v>#VALUE!</v>
      </c>
      <c r="P114" t="e">
        <f>AND('PROG FORMACIÓN TITULADA'!L798,"AAAAAC/f/w8=")</f>
        <v>#VALUE!</v>
      </c>
      <c r="Q114" t="e">
        <f>AND('PROG FORMACIÓN TITULADA'!M798,"AAAAAC/f/xA=")</f>
        <v>#VALUE!</v>
      </c>
      <c r="R114" t="e">
        <f>AND('PROG FORMACIÓN TITULADA'!N798,"AAAAAC/f/xE=")</f>
        <v>#VALUE!</v>
      </c>
      <c r="S114" t="e">
        <f>AND('PROG FORMACIÓN TITULADA'!O798,"AAAAAC/f/xI=")</f>
        <v>#VALUE!</v>
      </c>
      <c r="T114" t="e">
        <f>AND('PROG FORMACIÓN TITULADA'!P798,"AAAAAC/f/xM=")</f>
        <v>#VALUE!</v>
      </c>
      <c r="U114" t="e">
        <f>AND('PROG FORMACIÓN TITULADA'!Q798,"AAAAAC/f/xQ=")</f>
        <v>#VALUE!</v>
      </c>
      <c r="V114" t="e">
        <f>AND('PROG FORMACIÓN TITULADA'!R798,"AAAAAC/f/xU=")</f>
        <v>#VALUE!</v>
      </c>
      <c r="W114" t="e">
        <f>AND('PROG FORMACIÓN TITULADA'!S798,"AAAAAC/f/xY=")</f>
        <v>#VALUE!</v>
      </c>
      <c r="X114" t="e">
        <f>AND('PROG FORMACIÓN TITULADA'!T798,"AAAAAC/f/xc=")</f>
        <v>#VALUE!</v>
      </c>
      <c r="Y114" t="e">
        <f>AND('PROG FORMACIÓN TITULADA'!U798,"AAAAAC/f/xg=")</f>
        <v>#VALUE!</v>
      </c>
      <c r="Z114" t="e">
        <f>AND('PROG FORMACIÓN TITULADA'!V798,"AAAAAC/f/xk=")</f>
        <v>#VALUE!</v>
      </c>
      <c r="AA114" t="e">
        <f>AND('PROG FORMACIÓN TITULADA'!W798,"AAAAAC/f/xo=")</f>
        <v>#VALUE!</v>
      </c>
      <c r="AB114" t="e">
        <f>AND('PROG FORMACIÓN TITULADA'!X798,"AAAAAC/f/xs=")</f>
        <v>#VALUE!</v>
      </c>
      <c r="AC114" t="e">
        <f>AND('PROG FORMACIÓN TITULADA'!Y798,"AAAAAC/f/xw=")</f>
        <v>#VALUE!</v>
      </c>
      <c r="AD114" t="e">
        <f>AND('PROG FORMACIÓN TITULADA'!Z798,"AAAAAC/f/x0=")</f>
        <v>#VALUE!</v>
      </c>
      <c r="AE114">
        <f>IF('PROG FORMACIÓN TITULADA'!799:799,"AAAAAC/f/x4=",0)</f>
        <v>0</v>
      </c>
      <c r="AF114" t="e">
        <f>AND('PROG FORMACIÓN TITULADA'!A799,"AAAAAC/f/x8=")</f>
        <v>#VALUE!</v>
      </c>
      <c r="AG114" t="e">
        <f>AND('PROG FORMACIÓN TITULADA'!B799,"AAAAAC/f/yA=")</f>
        <v>#VALUE!</v>
      </c>
      <c r="AH114" t="e">
        <f>AND('PROG FORMACIÓN TITULADA'!C799,"AAAAAC/f/yE=")</f>
        <v>#VALUE!</v>
      </c>
      <c r="AI114" t="e">
        <f>AND('PROG FORMACIÓN TITULADA'!D799,"AAAAAC/f/yI=")</f>
        <v>#VALUE!</v>
      </c>
      <c r="AJ114" t="e">
        <f>AND('PROG FORMACIÓN TITULADA'!E799,"AAAAAC/f/yM=")</f>
        <v>#VALUE!</v>
      </c>
      <c r="AK114" t="e">
        <f>AND('PROG FORMACIÓN TITULADA'!F799,"AAAAAC/f/yQ=")</f>
        <v>#VALUE!</v>
      </c>
      <c r="AL114" t="e">
        <f>AND('PROG FORMACIÓN TITULADA'!G799,"AAAAAC/f/yU=")</f>
        <v>#VALUE!</v>
      </c>
      <c r="AM114" t="e">
        <f>AND('PROG FORMACIÓN TITULADA'!H799,"AAAAAC/f/yY=")</f>
        <v>#VALUE!</v>
      </c>
      <c r="AN114" t="e">
        <f>AND('PROG FORMACIÓN TITULADA'!I799,"AAAAAC/f/yc=")</f>
        <v>#VALUE!</v>
      </c>
      <c r="AO114" t="e">
        <f>AND('PROG FORMACIÓN TITULADA'!J799,"AAAAAC/f/yg=")</f>
        <v>#VALUE!</v>
      </c>
      <c r="AP114" t="e">
        <f>AND('PROG FORMACIÓN TITULADA'!K799,"AAAAAC/f/yk=")</f>
        <v>#VALUE!</v>
      </c>
      <c r="AQ114" t="e">
        <f>AND('PROG FORMACIÓN TITULADA'!L799,"AAAAAC/f/yo=")</f>
        <v>#VALUE!</v>
      </c>
      <c r="AR114" t="e">
        <f>AND('PROG FORMACIÓN TITULADA'!M799,"AAAAAC/f/ys=")</f>
        <v>#VALUE!</v>
      </c>
      <c r="AS114" t="e">
        <f>AND('PROG FORMACIÓN TITULADA'!N799,"AAAAAC/f/yw=")</f>
        <v>#VALUE!</v>
      </c>
      <c r="AT114" t="e">
        <f>AND('PROG FORMACIÓN TITULADA'!O799,"AAAAAC/f/y0=")</f>
        <v>#VALUE!</v>
      </c>
      <c r="AU114" t="e">
        <f>AND('PROG FORMACIÓN TITULADA'!P799,"AAAAAC/f/y4=")</f>
        <v>#VALUE!</v>
      </c>
      <c r="AV114" t="e">
        <f>AND('PROG FORMACIÓN TITULADA'!Q799,"AAAAAC/f/y8=")</f>
        <v>#VALUE!</v>
      </c>
      <c r="AW114" t="e">
        <f>AND('PROG FORMACIÓN TITULADA'!R799,"AAAAAC/f/zA=")</f>
        <v>#VALUE!</v>
      </c>
      <c r="AX114" t="e">
        <f>AND('PROG FORMACIÓN TITULADA'!S799,"AAAAAC/f/zE=")</f>
        <v>#VALUE!</v>
      </c>
      <c r="AY114" t="e">
        <f>AND('PROG FORMACIÓN TITULADA'!T799,"AAAAAC/f/zI=")</f>
        <v>#VALUE!</v>
      </c>
      <c r="AZ114" t="e">
        <f>AND('PROG FORMACIÓN TITULADA'!U799,"AAAAAC/f/zM=")</f>
        <v>#VALUE!</v>
      </c>
      <c r="BA114" t="e">
        <f>AND('PROG FORMACIÓN TITULADA'!V799,"AAAAAC/f/zQ=")</f>
        <v>#VALUE!</v>
      </c>
      <c r="BB114" t="e">
        <f>AND('PROG FORMACIÓN TITULADA'!W799,"AAAAAC/f/zU=")</f>
        <v>#VALUE!</v>
      </c>
      <c r="BC114" t="e">
        <f>AND('PROG FORMACIÓN TITULADA'!X799,"AAAAAC/f/zY=")</f>
        <v>#VALUE!</v>
      </c>
      <c r="BD114" t="e">
        <f>AND('PROG FORMACIÓN TITULADA'!Y799,"AAAAAC/f/zc=")</f>
        <v>#VALUE!</v>
      </c>
      <c r="BE114" t="e">
        <f>AND('PROG FORMACIÓN TITULADA'!Z799,"AAAAAC/f/zg=")</f>
        <v>#VALUE!</v>
      </c>
      <c r="BF114">
        <f>IF('PROG FORMACIÓN TITULADA'!800:800,"AAAAAC/f/zk=",0)</f>
        <v>0</v>
      </c>
      <c r="BG114" t="e">
        <f>AND('PROG FORMACIÓN TITULADA'!A800,"AAAAAC/f/zo=")</f>
        <v>#VALUE!</v>
      </c>
      <c r="BH114" t="e">
        <f>AND('PROG FORMACIÓN TITULADA'!B800,"AAAAAC/f/zs=")</f>
        <v>#VALUE!</v>
      </c>
      <c r="BI114" t="e">
        <f>AND('PROG FORMACIÓN TITULADA'!C800,"AAAAAC/f/zw=")</f>
        <v>#VALUE!</v>
      </c>
      <c r="BJ114" t="e">
        <f>AND('PROG FORMACIÓN TITULADA'!D800,"AAAAAC/f/z0=")</f>
        <v>#VALUE!</v>
      </c>
      <c r="BK114" t="e">
        <f>AND('PROG FORMACIÓN TITULADA'!E800,"AAAAAC/f/z4=")</f>
        <v>#VALUE!</v>
      </c>
      <c r="BL114" t="e">
        <f>AND('PROG FORMACIÓN TITULADA'!F800,"AAAAAC/f/z8=")</f>
        <v>#VALUE!</v>
      </c>
      <c r="BM114" t="e">
        <f>AND('PROG FORMACIÓN TITULADA'!G800,"AAAAAC/f/0A=")</f>
        <v>#VALUE!</v>
      </c>
      <c r="BN114" t="e">
        <f>AND('PROG FORMACIÓN TITULADA'!H800,"AAAAAC/f/0E=")</f>
        <v>#VALUE!</v>
      </c>
      <c r="BO114" t="e">
        <f>AND('PROG FORMACIÓN TITULADA'!I800,"AAAAAC/f/0I=")</f>
        <v>#VALUE!</v>
      </c>
      <c r="BP114" t="e">
        <f>AND('PROG FORMACIÓN TITULADA'!J800,"AAAAAC/f/0M=")</f>
        <v>#VALUE!</v>
      </c>
      <c r="BQ114" t="e">
        <f>AND('PROG FORMACIÓN TITULADA'!K800,"AAAAAC/f/0Q=")</f>
        <v>#VALUE!</v>
      </c>
      <c r="BR114" t="e">
        <f>AND('PROG FORMACIÓN TITULADA'!L800,"AAAAAC/f/0U=")</f>
        <v>#VALUE!</v>
      </c>
      <c r="BS114" t="e">
        <f>AND('PROG FORMACIÓN TITULADA'!M800,"AAAAAC/f/0Y=")</f>
        <v>#VALUE!</v>
      </c>
      <c r="BT114" t="e">
        <f>AND('PROG FORMACIÓN TITULADA'!N800,"AAAAAC/f/0c=")</f>
        <v>#VALUE!</v>
      </c>
      <c r="BU114" t="e">
        <f>AND('PROG FORMACIÓN TITULADA'!O800,"AAAAAC/f/0g=")</f>
        <v>#VALUE!</v>
      </c>
      <c r="BV114" t="e">
        <f>AND('PROG FORMACIÓN TITULADA'!P800,"AAAAAC/f/0k=")</f>
        <v>#VALUE!</v>
      </c>
      <c r="BW114" t="e">
        <f>AND('PROG FORMACIÓN TITULADA'!Q800,"AAAAAC/f/0o=")</f>
        <v>#VALUE!</v>
      </c>
      <c r="BX114" t="e">
        <f>AND('PROG FORMACIÓN TITULADA'!R800,"AAAAAC/f/0s=")</f>
        <v>#VALUE!</v>
      </c>
      <c r="BY114" t="e">
        <f>AND('PROG FORMACIÓN TITULADA'!S800,"AAAAAC/f/0w=")</f>
        <v>#VALUE!</v>
      </c>
      <c r="BZ114" t="e">
        <f>AND('PROG FORMACIÓN TITULADA'!T800,"AAAAAC/f/00=")</f>
        <v>#VALUE!</v>
      </c>
      <c r="CA114" t="e">
        <f>AND('PROG FORMACIÓN TITULADA'!U800,"AAAAAC/f/04=")</f>
        <v>#VALUE!</v>
      </c>
      <c r="CB114" t="e">
        <f>AND('PROG FORMACIÓN TITULADA'!V800,"AAAAAC/f/08=")</f>
        <v>#VALUE!</v>
      </c>
      <c r="CC114" t="e">
        <f>AND('PROG FORMACIÓN TITULADA'!W800,"AAAAAC/f/1A=")</f>
        <v>#VALUE!</v>
      </c>
      <c r="CD114" t="e">
        <f>AND('PROG FORMACIÓN TITULADA'!X800,"AAAAAC/f/1E=")</f>
        <v>#VALUE!</v>
      </c>
      <c r="CE114" t="e">
        <f>AND('PROG FORMACIÓN TITULADA'!Y800,"AAAAAC/f/1I=")</f>
        <v>#VALUE!</v>
      </c>
      <c r="CF114" t="e">
        <f>AND('PROG FORMACIÓN TITULADA'!Z800,"AAAAAC/f/1M=")</f>
        <v>#VALUE!</v>
      </c>
      <c r="CG114">
        <f>IF('PROG FORMACIÓN TITULADA'!801:801,"AAAAAC/f/1Q=",0)</f>
        <v>0</v>
      </c>
      <c r="CH114" t="e">
        <f>AND('PROG FORMACIÓN TITULADA'!A801,"AAAAAC/f/1U=")</f>
        <v>#VALUE!</v>
      </c>
      <c r="CI114" t="e">
        <f>AND('PROG FORMACIÓN TITULADA'!B801,"AAAAAC/f/1Y=")</f>
        <v>#VALUE!</v>
      </c>
      <c r="CJ114" t="e">
        <f>AND('PROG FORMACIÓN TITULADA'!C801,"AAAAAC/f/1c=")</f>
        <v>#VALUE!</v>
      </c>
      <c r="CK114" t="e">
        <f>AND('PROG FORMACIÓN TITULADA'!D801,"AAAAAC/f/1g=")</f>
        <v>#VALUE!</v>
      </c>
      <c r="CL114" t="e">
        <f>AND('PROG FORMACIÓN TITULADA'!E801,"AAAAAC/f/1k=")</f>
        <v>#VALUE!</v>
      </c>
      <c r="CM114" t="e">
        <f>AND('PROG FORMACIÓN TITULADA'!F801,"AAAAAC/f/1o=")</f>
        <v>#VALUE!</v>
      </c>
      <c r="CN114" t="e">
        <f>AND('PROG FORMACIÓN TITULADA'!G801,"AAAAAC/f/1s=")</f>
        <v>#VALUE!</v>
      </c>
      <c r="CO114" t="e">
        <f>AND('PROG FORMACIÓN TITULADA'!H801,"AAAAAC/f/1w=")</f>
        <v>#VALUE!</v>
      </c>
      <c r="CP114" t="e">
        <f>AND('PROG FORMACIÓN TITULADA'!I801,"AAAAAC/f/10=")</f>
        <v>#VALUE!</v>
      </c>
      <c r="CQ114" t="e">
        <f>AND('PROG FORMACIÓN TITULADA'!J801,"AAAAAC/f/14=")</f>
        <v>#VALUE!</v>
      </c>
      <c r="CR114" t="e">
        <f>AND('PROG FORMACIÓN TITULADA'!K801,"AAAAAC/f/18=")</f>
        <v>#VALUE!</v>
      </c>
      <c r="CS114" t="e">
        <f>AND('PROG FORMACIÓN TITULADA'!L801,"AAAAAC/f/2A=")</f>
        <v>#VALUE!</v>
      </c>
      <c r="CT114" t="e">
        <f>AND('PROG FORMACIÓN TITULADA'!M801,"AAAAAC/f/2E=")</f>
        <v>#VALUE!</v>
      </c>
      <c r="CU114" t="e">
        <f>AND('PROG FORMACIÓN TITULADA'!N801,"AAAAAC/f/2I=")</f>
        <v>#VALUE!</v>
      </c>
      <c r="CV114" t="e">
        <f>AND('PROG FORMACIÓN TITULADA'!O801,"AAAAAC/f/2M=")</f>
        <v>#VALUE!</v>
      </c>
      <c r="CW114" t="e">
        <f>AND('PROG FORMACIÓN TITULADA'!P801,"AAAAAC/f/2Q=")</f>
        <v>#VALUE!</v>
      </c>
      <c r="CX114" t="e">
        <f>AND('PROG FORMACIÓN TITULADA'!Q801,"AAAAAC/f/2U=")</f>
        <v>#VALUE!</v>
      </c>
      <c r="CY114" t="e">
        <f>AND('PROG FORMACIÓN TITULADA'!R801,"AAAAAC/f/2Y=")</f>
        <v>#VALUE!</v>
      </c>
      <c r="CZ114" t="e">
        <f>AND('PROG FORMACIÓN TITULADA'!S801,"AAAAAC/f/2c=")</f>
        <v>#VALUE!</v>
      </c>
      <c r="DA114" t="e">
        <f>AND('PROG FORMACIÓN TITULADA'!T801,"AAAAAC/f/2g=")</f>
        <v>#VALUE!</v>
      </c>
      <c r="DB114" t="e">
        <f>AND('PROG FORMACIÓN TITULADA'!U801,"AAAAAC/f/2k=")</f>
        <v>#VALUE!</v>
      </c>
      <c r="DC114" t="e">
        <f>AND('PROG FORMACIÓN TITULADA'!V801,"AAAAAC/f/2o=")</f>
        <v>#VALUE!</v>
      </c>
      <c r="DD114" t="e">
        <f>AND('PROG FORMACIÓN TITULADA'!W801,"AAAAAC/f/2s=")</f>
        <v>#VALUE!</v>
      </c>
      <c r="DE114" t="e">
        <f>AND('PROG FORMACIÓN TITULADA'!X801,"AAAAAC/f/2w=")</f>
        <v>#VALUE!</v>
      </c>
      <c r="DF114" t="e">
        <f>AND('PROG FORMACIÓN TITULADA'!Y801,"AAAAAC/f/20=")</f>
        <v>#VALUE!</v>
      </c>
      <c r="DG114" t="e">
        <f>AND('PROG FORMACIÓN TITULADA'!Z801,"AAAAAC/f/24=")</f>
        <v>#VALUE!</v>
      </c>
      <c r="DH114">
        <f>IF('PROG FORMACIÓN TITULADA'!802:802,"AAAAAC/f/28=",0)</f>
        <v>0</v>
      </c>
      <c r="DI114" t="e">
        <f>AND('PROG FORMACIÓN TITULADA'!A802,"AAAAAC/f/3A=")</f>
        <v>#VALUE!</v>
      </c>
      <c r="DJ114" t="e">
        <f>AND('PROG FORMACIÓN TITULADA'!B802,"AAAAAC/f/3E=")</f>
        <v>#VALUE!</v>
      </c>
      <c r="DK114" t="e">
        <f>AND('PROG FORMACIÓN TITULADA'!C802,"AAAAAC/f/3I=")</f>
        <v>#VALUE!</v>
      </c>
      <c r="DL114" t="e">
        <f>AND('PROG FORMACIÓN TITULADA'!D802,"AAAAAC/f/3M=")</f>
        <v>#VALUE!</v>
      </c>
      <c r="DM114" t="e">
        <f>AND('PROG FORMACIÓN TITULADA'!E802,"AAAAAC/f/3Q=")</f>
        <v>#VALUE!</v>
      </c>
      <c r="DN114" t="e">
        <f>AND('PROG FORMACIÓN TITULADA'!F802,"AAAAAC/f/3U=")</f>
        <v>#VALUE!</v>
      </c>
      <c r="DO114" t="e">
        <f>AND('PROG FORMACIÓN TITULADA'!G802,"AAAAAC/f/3Y=")</f>
        <v>#VALUE!</v>
      </c>
      <c r="DP114" t="e">
        <f>AND('PROG FORMACIÓN TITULADA'!H802,"AAAAAC/f/3c=")</f>
        <v>#VALUE!</v>
      </c>
      <c r="DQ114" t="e">
        <f>AND('PROG FORMACIÓN TITULADA'!I802,"AAAAAC/f/3g=")</f>
        <v>#VALUE!</v>
      </c>
      <c r="DR114" t="e">
        <f>AND('PROG FORMACIÓN TITULADA'!J802,"AAAAAC/f/3k=")</f>
        <v>#VALUE!</v>
      </c>
      <c r="DS114" t="e">
        <f>AND('PROG FORMACIÓN TITULADA'!K802,"AAAAAC/f/3o=")</f>
        <v>#VALUE!</v>
      </c>
      <c r="DT114" t="e">
        <f>AND('PROG FORMACIÓN TITULADA'!L802,"AAAAAC/f/3s=")</f>
        <v>#VALUE!</v>
      </c>
      <c r="DU114" t="e">
        <f>AND('PROG FORMACIÓN TITULADA'!M802,"AAAAAC/f/3w=")</f>
        <v>#VALUE!</v>
      </c>
      <c r="DV114" t="e">
        <f>AND('PROG FORMACIÓN TITULADA'!N802,"AAAAAC/f/30=")</f>
        <v>#VALUE!</v>
      </c>
      <c r="DW114" t="e">
        <f>AND('PROG FORMACIÓN TITULADA'!O802,"AAAAAC/f/34=")</f>
        <v>#VALUE!</v>
      </c>
      <c r="DX114" t="e">
        <f>AND('PROG FORMACIÓN TITULADA'!P802,"AAAAAC/f/38=")</f>
        <v>#VALUE!</v>
      </c>
      <c r="DY114" t="e">
        <f>AND('PROG FORMACIÓN TITULADA'!Q802,"AAAAAC/f/4A=")</f>
        <v>#VALUE!</v>
      </c>
      <c r="DZ114" t="e">
        <f>AND('PROG FORMACIÓN TITULADA'!R802,"AAAAAC/f/4E=")</f>
        <v>#VALUE!</v>
      </c>
      <c r="EA114" t="e">
        <f>AND('PROG FORMACIÓN TITULADA'!S802,"AAAAAC/f/4I=")</f>
        <v>#VALUE!</v>
      </c>
      <c r="EB114" t="e">
        <f>AND('PROG FORMACIÓN TITULADA'!T802,"AAAAAC/f/4M=")</f>
        <v>#VALUE!</v>
      </c>
      <c r="EC114" t="e">
        <f>AND('PROG FORMACIÓN TITULADA'!U802,"AAAAAC/f/4Q=")</f>
        <v>#VALUE!</v>
      </c>
      <c r="ED114" t="e">
        <f>AND('PROG FORMACIÓN TITULADA'!V802,"AAAAAC/f/4U=")</f>
        <v>#VALUE!</v>
      </c>
      <c r="EE114" t="e">
        <f>AND('PROG FORMACIÓN TITULADA'!W802,"AAAAAC/f/4Y=")</f>
        <v>#VALUE!</v>
      </c>
      <c r="EF114" t="e">
        <f>AND('PROG FORMACIÓN TITULADA'!X802,"AAAAAC/f/4c=")</f>
        <v>#VALUE!</v>
      </c>
      <c r="EG114" t="e">
        <f>AND('PROG FORMACIÓN TITULADA'!Y802,"AAAAAC/f/4g=")</f>
        <v>#VALUE!</v>
      </c>
      <c r="EH114" t="e">
        <f>AND('PROG FORMACIÓN TITULADA'!Z802,"AAAAAC/f/4k=")</f>
        <v>#VALUE!</v>
      </c>
      <c r="EI114">
        <f>IF('PROG FORMACIÓN TITULADA'!803:803,"AAAAAC/f/4o=",0)</f>
        <v>0</v>
      </c>
      <c r="EJ114" t="e">
        <f>AND('PROG FORMACIÓN TITULADA'!A803,"AAAAAC/f/4s=")</f>
        <v>#VALUE!</v>
      </c>
      <c r="EK114" t="e">
        <f>AND('PROG FORMACIÓN TITULADA'!B803,"AAAAAC/f/4w=")</f>
        <v>#VALUE!</v>
      </c>
      <c r="EL114" t="e">
        <f>AND('PROG FORMACIÓN TITULADA'!C803,"AAAAAC/f/40=")</f>
        <v>#VALUE!</v>
      </c>
      <c r="EM114" t="e">
        <f>AND('PROG FORMACIÓN TITULADA'!D803,"AAAAAC/f/44=")</f>
        <v>#VALUE!</v>
      </c>
      <c r="EN114" t="e">
        <f>AND('PROG FORMACIÓN TITULADA'!E803,"AAAAAC/f/48=")</f>
        <v>#VALUE!</v>
      </c>
      <c r="EO114" t="e">
        <f>AND('PROG FORMACIÓN TITULADA'!F803,"AAAAAC/f/5A=")</f>
        <v>#VALUE!</v>
      </c>
      <c r="EP114" t="e">
        <f>AND('PROG FORMACIÓN TITULADA'!G803,"AAAAAC/f/5E=")</f>
        <v>#VALUE!</v>
      </c>
      <c r="EQ114" t="e">
        <f>AND('PROG FORMACIÓN TITULADA'!H803,"AAAAAC/f/5I=")</f>
        <v>#VALUE!</v>
      </c>
      <c r="ER114" t="e">
        <f>AND('PROG FORMACIÓN TITULADA'!I803,"AAAAAC/f/5M=")</f>
        <v>#VALUE!</v>
      </c>
      <c r="ES114" t="e">
        <f>AND('PROG FORMACIÓN TITULADA'!J803,"AAAAAC/f/5Q=")</f>
        <v>#VALUE!</v>
      </c>
      <c r="ET114" t="e">
        <f>AND('PROG FORMACIÓN TITULADA'!K803,"AAAAAC/f/5U=")</f>
        <v>#VALUE!</v>
      </c>
      <c r="EU114" t="e">
        <f>AND('PROG FORMACIÓN TITULADA'!L803,"AAAAAC/f/5Y=")</f>
        <v>#VALUE!</v>
      </c>
      <c r="EV114" t="e">
        <f>AND('PROG FORMACIÓN TITULADA'!M803,"AAAAAC/f/5c=")</f>
        <v>#VALUE!</v>
      </c>
      <c r="EW114" t="e">
        <f>AND('PROG FORMACIÓN TITULADA'!N803,"AAAAAC/f/5g=")</f>
        <v>#VALUE!</v>
      </c>
      <c r="EX114" t="e">
        <f>AND('PROG FORMACIÓN TITULADA'!O803,"AAAAAC/f/5k=")</f>
        <v>#VALUE!</v>
      </c>
      <c r="EY114" t="e">
        <f>AND('PROG FORMACIÓN TITULADA'!P803,"AAAAAC/f/5o=")</f>
        <v>#VALUE!</v>
      </c>
      <c r="EZ114" t="e">
        <f>AND('PROG FORMACIÓN TITULADA'!Q803,"AAAAAC/f/5s=")</f>
        <v>#VALUE!</v>
      </c>
      <c r="FA114" t="e">
        <f>AND('PROG FORMACIÓN TITULADA'!R803,"AAAAAC/f/5w=")</f>
        <v>#VALUE!</v>
      </c>
      <c r="FB114" t="e">
        <f>AND('PROG FORMACIÓN TITULADA'!S803,"AAAAAC/f/50=")</f>
        <v>#VALUE!</v>
      </c>
      <c r="FC114" t="e">
        <f>AND('PROG FORMACIÓN TITULADA'!T803,"AAAAAC/f/54=")</f>
        <v>#VALUE!</v>
      </c>
      <c r="FD114" t="e">
        <f>AND('PROG FORMACIÓN TITULADA'!U803,"AAAAAC/f/58=")</f>
        <v>#VALUE!</v>
      </c>
      <c r="FE114" t="e">
        <f>AND('PROG FORMACIÓN TITULADA'!V803,"AAAAAC/f/6A=")</f>
        <v>#VALUE!</v>
      </c>
      <c r="FF114" t="e">
        <f>AND('PROG FORMACIÓN TITULADA'!W803,"AAAAAC/f/6E=")</f>
        <v>#VALUE!</v>
      </c>
      <c r="FG114" t="e">
        <f>AND('PROG FORMACIÓN TITULADA'!X803,"AAAAAC/f/6I=")</f>
        <v>#VALUE!</v>
      </c>
      <c r="FH114" t="e">
        <f>AND('PROG FORMACIÓN TITULADA'!Y803,"AAAAAC/f/6M=")</f>
        <v>#VALUE!</v>
      </c>
      <c r="FI114" t="e">
        <f>AND('PROG FORMACIÓN TITULADA'!Z803,"AAAAAC/f/6Q=")</f>
        <v>#VALUE!</v>
      </c>
      <c r="FJ114">
        <f>IF('PROG FORMACIÓN TITULADA'!804:804,"AAAAAC/f/6U=",0)</f>
        <v>0</v>
      </c>
      <c r="FK114" t="e">
        <f>AND('PROG FORMACIÓN TITULADA'!A804,"AAAAAC/f/6Y=")</f>
        <v>#VALUE!</v>
      </c>
      <c r="FL114" t="e">
        <f>AND('PROG FORMACIÓN TITULADA'!B804,"AAAAAC/f/6c=")</f>
        <v>#VALUE!</v>
      </c>
      <c r="FM114" t="e">
        <f>AND('PROG FORMACIÓN TITULADA'!C804,"AAAAAC/f/6g=")</f>
        <v>#VALUE!</v>
      </c>
      <c r="FN114" t="e">
        <f>AND('PROG FORMACIÓN TITULADA'!D804,"AAAAAC/f/6k=")</f>
        <v>#VALUE!</v>
      </c>
      <c r="FO114" t="e">
        <f>AND('PROG FORMACIÓN TITULADA'!E804,"AAAAAC/f/6o=")</f>
        <v>#VALUE!</v>
      </c>
      <c r="FP114" t="e">
        <f>AND('PROG FORMACIÓN TITULADA'!F804,"AAAAAC/f/6s=")</f>
        <v>#VALUE!</v>
      </c>
      <c r="FQ114" t="e">
        <f>AND('PROG FORMACIÓN TITULADA'!G804,"AAAAAC/f/6w=")</f>
        <v>#VALUE!</v>
      </c>
      <c r="FR114" t="e">
        <f>AND('PROG FORMACIÓN TITULADA'!H804,"AAAAAC/f/60=")</f>
        <v>#VALUE!</v>
      </c>
      <c r="FS114" t="e">
        <f>AND('PROG FORMACIÓN TITULADA'!I804,"AAAAAC/f/64=")</f>
        <v>#VALUE!</v>
      </c>
      <c r="FT114" t="e">
        <f>AND('PROG FORMACIÓN TITULADA'!J804,"AAAAAC/f/68=")</f>
        <v>#VALUE!</v>
      </c>
      <c r="FU114" t="e">
        <f>AND('PROG FORMACIÓN TITULADA'!K804,"AAAAAC/f/7A=")</f>
        <v>#VALUE!</v>
      </c>
      <c r="FV114" t="e">
        <f>AND('PROG FORMACIÓN TITULADA'!L804,"AAAAAC/f/7E=")</f>
        <v>#VALUE!</v>
      </c>
      <c r="FW114" t="e">
        <f>AND('PROG FORMACIÓN TITULADA'!M804,"AAAAAC/f/7I=")</f>
        <v>#VALUE!</v>
      </c>
      <c r="FX114" t="e">
        <f>AND('PROG FORMACIÓN TITULADA'!N804,"AAAAAC/f/7M=")</f>
        <v>#VALUE!</v>
      </c>
      <c r="FY114" t="e">
        <f>AND('PROG FORMACIÓN TITULADA'!O804,"AAAAAC/f/7Q=")</f>
        <v>#VALUE!</v>
      </c>
      <c r="FZ114" t="e">
        <f>AND('PROG FORMACIÓN TITULADA'!P804,"AAAAAC/f/7U=")</f>
        <v>#VALUE!</v>
      </c>
      <c r="GA114" t="e">
        <f>AND('PROG FORMACIÓN TITULADA'!Q804,"AAAAAC/f/7Y=")</f>
        <v>#VALUE!</v>
      </c>
      <c r="GB114" t="e">
        <f>AND('PROG FORMACIÓN TITULADA'!R804,"AAAAAC/f/7c=")</f>
        <v>#VALUE!</v>
      </c>
      <c r="GC114" t="e">
        <f>AND('PROG FORMACIÓN TITULADA'!S804,"AAAAAC/f/7g=")</f>
        <v>#VALUE!</v>
      </c>
      <c r="GD114" t="e">
        <f>AND('PROG FORMACIÓN TITULADA'!T804,"AAAAAC/f/7k=")</f>
        <v>#VALUE!</v>
      </c>
      <c r="GE114" t="e">
        <f>AND('PROG FORMACIÓN TITULADA'!U804,"AAAAAC/f/7o=")</f>
        <v>#VALUE!</v>
      </c>
      <c r="GF114" t="e">
        <f>AND('PROG FORMACIÓN TITULADA'!V804,"AAAAAC/f/7s=")</f>
        <v>#VALUE!</v>
      </c>
      <c r="GG114" t="e">
        <f>AND('PROG FORMACIÓN TITULADA'!W804,"AAAAAC/f/7w=")</f>
        <v>#VALUE!</v>
      </c>
      <c r="GH114" t="e">
        <f>AND('PROG FORMACIÓN TITULADA'!X804,"AAAAAC/f/70=")</f>
        <v>#VALUE!</v>
      </c>
      <c r="GI114" t="e">
        <f>AND('PROG FORMACIÓN TITULADA'!Y804,"AAAAAC/f/74=")</f>
        <v>#VALUE!</v>
      </c>
      <c r="GJ114" t="e">
        <f>AND('PROG FORMACIÓN TITULADA'!Z804,"AAAAAC/f/78=")</f>
        <v>#VALUE!</v>
      </c>
      <c r="GK114">
        <f>IF('PROG FORMACIÓN TITULADA'!805:805,"AAAAAC/f/8A=",0)</f>
        <v>0</v>
      </c>
      <c r="GL114" t="e">
        <f>AND('PROG FORMACIÓN TITULADA'!A805,"AAAAAC/f/8E=")</f>
        <v>#VALUE!</v>
      </c>
      <c r="GM114" t="e">
        <f>AND('PROG FORMACIÓN TITULADA'!B805,"AAAAAC/f/8I=")</f>
        <v>#VALUE!</v>
      </c>
      <c r="GN114" t="e">
        <f>AND('PROG FORMACIÓN TITULADA'!C805,"AAAAAC/f/8M=")</f>
        <v>#VALUE!</v>
      </c>
      <c r="GO114" t="e">
        <f>AND('PROG FORMACIÓN TITULADA'!D805,"AAAAAC/f/8Q=")</f>
        <v>#VALUE!</v>
      </c>
      <c r="GP114" t="e">
        <f>AND('PROG FORMACIÓN TITULADA'!E805,"AAAAAC/f/8U=")</f>
        <v>#VALUE!</v>
      </c>
      <c r="GQ114" t="e">
        <f>AND('PROG FORMACIÓN TITULADA'!F805,"AAAAAC/f/8Y=")</f>
        <v>#VALUE!</v>
      </c>
      <c r="GR114" t="e">
        <f>AND('PROG FORMACIÓN TITULADA'!G805,"AAAAAC/f/8c=")</f>
        <v>#VALUE!</v>
      </c>
      <c r="GS114" t="e">
        <f>AND('PROG FORMACIÓN TITULADA'!H805,"AAAAAC/f/8g=")</f>
        <v>#VALUE!</v>
      </c>
      <c r="GT114" t="e">
        <f>AND('PROG FORMACIÓN TITULADA'!I805,"AAAAAC/f/8k=")</f>
        <v>#VALUE!</v>
      </c>
      <c r="GU114" t="e">
        <f>AND('PROG FORMACIÓN TITULADA'!J805,"AAAAAC/f/8o=")</f>
        <v>#VALUE!</v>
      </c>
      <c r="GV114" t="e">
        <f>AND('PROG FORMACIÓN TITULADA'!K805,"AAAAAC/f/8s=")</f>
        <v>#VALUE!</v>
      </c>
      <c r="GW114" t="e">
        <f>AND('PROG FORMACIÓN TITULADA'!L805,"AAAAAC/f/8w=")</f>
        <v>#VALUE!</v>
      </c>
      <c r="GX114" t="e">
        <f>AND('PROG FORMACIÓN TITULADA'!M805,"AAAAAC/f/80=")</f>
        <v>#VALUE!</v>
      </c>
      <c r="GY114" t="e">
        <f>AND('PROG FORMACIÓN TITULADA'!N805,"AAAAAC/f/84=")</f>
        <v>#VALUE!</v>
      </c>
      <c r="GZ114" t="e">
        <f>AND('PROG FORMACIÓN TITULADA'!O805,"AAAAAC/f/88=")</f>
        <v>#VALUE!</v>
      </c>
      <c r="HA114" t="e">
        <f>AND('PROG FORMACIÓN TITULADA'!P805,"AAAAAC/f/9A=")</f>
        <v>#VALUE!</v>
      </c>
      <c r="HB114" t="e">
        <f>AND('PROG FORMACIÓN TITULADA'!Q805,"AAAAAC/f/9E=")</f>
        <v>#VALUE!</v>
      </c>
      <c r="HC114" t="e">
        <f>AND('PROG FORMACIÓN TITULADA'!R805,"AAAAAC/f/9I=")</f>
        <v>#VALUE!</v>
      </c>
      <c r="HD114" t="e">
        <f>AND('PROG FORMACIÓN TITULADA'!S805,"AAAAAC/f/9M=")</f>
        <v>#VALUE!</v>
      </c>
      <c r="HE114" t="e">
        <f>AND('PROG FORMACIÓN TITULADA'!T805,"AAAAAC/f/9Q=")</f>
        <v>#VALUE!</v>
      </c>
      <c r="HF114" t="e">
        <f>AND('PROG FORMACIÓN TITULADA'!U805,"AAAAAC/f/9U=")</f>
        <v>#VALUE!</v>
      </c>
      <c r="HG114" t="e">
        <f>AND('PROG FORMACIÓN TITULADA'!V805,"AAAAAC/f/9Y=")</f>
        <v>#VALUE!</v>
      </c>
      <c r="HH114" t="e">
        <f>AND('PROG FORMACIÓN TITULADA'!W805,"AAAAAC/f/9c=")</f>
        <v>#VALUE!</v>
      </c>
      <c r="HI114" t="e">
        <f>AND('PROG FORMACIÓN TITULADA'!X805,"AAAAAC/f/9g=")</f>
        <v>#VALUE!</v>
      </c>
      <c r="HJ114" t="e">
        <f>AND('PROG FORMACIÓN TITULADA'!Y805,"AAAAAC/f/9k=")</f>
        <v>#VALUE!</v>
      </c>
      <c r="HK114" t="e">
        <f>AND('PROG FORMACIÓN TITULADA'!Z805,"AAAAAC/f/9o=")</f>
        <v>#VALUE!</v>
      </c>
      <c r="HL114">
        <f>IF('PROG FORMACIÓN TITULADA'!806:806,"AAAAAC/f/9s=",0)</f>
        <v>0</v>
      </c>
      <c r="HM114" t="e">
        <f>AND('PROG FORMACIÓN TITULADA'!A806,"AAAAAC/f/9w=")</f>
        <v>#VALUE!</v>
      </c>
      <c r="HN114" t="e">
        <f>AND('PROG FORMACIÓN TITULADA'!B806,"AAAAAC/f/90=")</f>
        <v>#VALUE!</v>
      </c>
      <c r="HO114" t="e">
        <f>AND('PROG FORMACIÓN TITULADA'!C806,"AAAAAC/f/94=")</f>
        <v>#VALUE!</v>
      </c>
      <c r="HP114" t="e">
        <f>AND('PROG FORMACIÓN TITULADA'!D806,"AAAAAC/f/98=")</f>
        <v>#VALUE!</v>
      </c>
      <c r="HQ114" t="e">
        <f>AND('PROG FORMACIÓN TITULADA'!E806,"AAAAAC/f/+A=")</f>
        <v>#VALUE!</v>
      </c>
      <c r="HR114" t="e">
        <f>AND('PROG FORMACIÓN TITULADA'!F806,"AAAAAC/f/+E=")</f>
        <v>#VALUE!</v>
      </c>
      <c r="HS114" t="e">
        <f>AND('PROG FORMACIÓN TITULADA'!G806,"AAAAAC/f/+I=")</f>
        <v>#VALUE!</v>
      </c>
      <c r="HT114" t="e">
        <f>AND('PROG FORMACIÓN TITULADA'!H806,"AAAAAC/f/+M=")</f>
        <v>#VALUE!</v>
      </c>
      <c r="HU114" t="e">
        <f>AND('PROG FORMACIÓN TITULADA'!I806,"AAAAAC/f/+Q=")</f>
        <v>#VALUE!</v>
      </c>
      <c r="HV114" t="e">
        <f>AND('PROG FORMACIÓN TITULADA'!J806,"AAAAAC/f/+U=")</f>
        <v>#VALUE!</v>
      </c>
      <c r="HW114" t="e">
        <f>AND('PROG FORMACIÓN TITULADA'!K806,"AAAAAC/f/+Y=")</f>
        <v>#VALUE!</v>
      </c>
      <c r="HX114" t="e">
        <f>AND('PROG FORMACIÓN TITULADA'!L806,"AAAAAC/f/+c=")</f>
        <v>#VALUE!</v>
      </c>
      <c r="HY114" t="e">
        <f>AND('PROG FORMACIÓN TITULADA'!M806,"AAAAAC/f/+g=")</f>
        <v>#VALUE!</v>
      </c>
      <c r="HZ114" t="e">
        <f>AND('PROG FORMACIÓN TITULADA'!N806,"AAAAAC/f/+k=")</f>
        <v>#VALUE!</v>
      </c>
      <c r="IA114" t="e">
        <f>AND('PROG FORMACIÓN TITULADA'!O806,"AAAAAC/f/+o=")</f>
        <v>#VALUE!</v>
      </c>
      <c r="IB114" t="e">
        <f>AND('PROG FORMACIÓN TITULADA'!P806,"AAAAAC/f/+s=")</f>
        <v>#VALUE!</v>
      </c>
      <c r="IC114" t="e">
        <f>AND('PROG FORMACIÓN TITULADA'!Q806,"AAAAAC/f/+w=")</f>
        <v>#VALUE!</v>
      </c>
      <c r="ID114" t="e">
        <f>AND('PROG FORMACIÓN TITULADA'!R806,"AAAAAC/f/+0=")</f>
        <v>#VALUE!</v>
      </c>
      <c r="IE114" t="e">
        <f>AND('PROG FORMACIÓN TITULADA'!S806,"AAAAAC/f/+4=")</f>
        <v>#VALUE!</v>
      </c>
      <c r="IF114" t="e">
        <f>AND('PROG FORMACIÓN TITULADA'!T806,"AAAAAC/f/+8=")</f>
        <v>#VALUE!</v>
      </c>
      <c r="IG114" t="e">
        <f>AND('PROG FORMACIÓN TITULADA'!U806,"AAAAAC/f//A=")</f>
        <v>#VALUE!</v>
      </c>
      <c r="IH114" t="e">
        <f>AND('PROG FORMACIÓN TITULADA'!V806,"AAAAAC/f//E=")</f>
        <v>#VALUE!</v>
      </c>
      <c r="II114" t="e">
        <f>AND('PROG FORMACIÓN TITULADA'!W806,"AAAAAC/f//I=")</f>
        <v>#VALUE!</v>
      </c>
      <c r="IJ114" t="e">
        <f>AND('PROG FORMACIÓN TITULADA'!X806,"AAAAAC/f//M=")</f>
        <v>#VALUE!</v>
      </c>
      <c r="IK114" t="e">
        <f>AND('PROG FORMACIÓN TITULADA'!Y806,"AAAAAC/f//Q=")</f>
        <v>#VALUE!</v>
      </c>
      <c r="IL114" t="e">
        <f>AND('PROG FORMACIÓN TITULADA'!Z806,"AAAAAC/f//U=")</f>
        <v>#VALUE!</v>
      </c>
      <c r="IM114">
        <f>IF('PROG FORMACIÓN TITULADA'!807:807,"AAAAAC/f//Y=",0)</f>
        <v>0</v>
      </c>
      <c r="IN114" t="e">
        <f>AND('PROG FORMACIÓN TITULADA'!A807,"AAAAAC/f//c=")</f>
        <v>#VALUE!</v>
      </c>
      <c r="IO114" t="e">
        <f>AND('PROG FORMACIÓN TITULADA'!B807,"AAAAAC/f//g=")</f>
        <v>#VALUE!</v>
      </c>
      <c r="IP114" t="e">
        <f>AND('PROG FORMACIÓN TITULADA'!C807,"AAAAAC/f//k=")</f>
        <v>#VALUE!</v>
      </c>
      <c r="IQ114" t="e">
        <f>AND('PROG FORMACIÓN TITULADA'!D807,"AAAAAC/f//o=")</f>
        <v>#VALUE!</v>
      </c>
      <c r="IR114" t="e">
        <f>AND('PROG FORMACIÓN TITULADA'!E807,"AAAAAC/f//s=")</f>
        <v>#VALUE!</v>
      </c>
      <c r="IS114" t="e">
        <f>AND('PROG FORMACIÓN TITULADA'!F807,"AAAAAC/f//w=")</f>
        <v>#VALUE!</v>
      </c>
      <c r="IT114" t="e">
        <f>AND('PROG FORMACIÓN TITULADA'!G807,"AAAAAC/f//0=")</f>
        <v>#VALUE!</v>
      </c>
      <c r="IU114" t="e">
        <f>AND('PROG FORMACIÓN TITULADA'!H807,"AAAAAC/f//4=")</f>
        <v>#VALUE!</v>
      </c>
      <c r="IV114" t="e">
        <f>AND('PROG FORMACIÓN TITULADA'!I807,"AAAAAC/f//8=")</f>
        <v>#VALUE!</v>
      </c>
    </row>
    <row r="115" spans="1:256" x14ac:dyDescent="0.2">
      <c r="A115" t="e">
        <f>AND('PROG FORMACIÓN TITULADA'!J807,"AAAAAHS/fgA=")</f>
        <v>#VALUE!</v>
      </c>
      <c r="B115" t="e">
        <f>AND('PROG FORMACIÓN TITULADA'!K807,"AAAAAHS/fgE=")</f>
        <v>#VALUE!</v>
      </c>
      <c r="C115" t="e">
        <f>AND('PROG FORMACIÓN TITULADA'!L807,"AAAAAHS/fgI=")</f>
        <v>#VALUE!</v>
      </c>
      <c r="D115" t="e">
        <f>AND('PROG FORMACIÓN TITULADA'!M807,"AAAAAHS/fgM=")</f>
        <v>#VALUE!</v>
      </c>
      <c r="E115" t="e">
        <f>AND('PROG FORMACIÓN TITULADA'!N807,"AAAAAHS/fgQ=")</f>
        <v>#VALUE!</v>
      </c>
      <c r="F115" t="e">
        <f>AND('PROG FORMACIÓN TITULADA'!O807,"AAAAAHS/fgU=")</f>
        <v>#VALUE!</v>
      </c>
      <c r="G115" t="e">
        <f>AND('PROG FORMACIÓN TITULADA'!P807,"AAAAAHS/fgY=")</f>
        <v>#VALUE!</v>
      </c>
      <c r="H115" t="e">
        <f>AND('PROG FORMACIÓN TITULADA'!Q807,"AAAAAHS/fgc=")</f>
        <v>#VALUE!</v>
      </c>
      <c r="I115" t="e">
        <f>AND('PROG FORMACIÓN TITULADA'!R807,"AAAAAHS/fgg=")</f>
        <v>#VALUE!</v>
      </c>
      <c r="J115" t="e">
        <f>AND('PROG FORMACIÓN TITULADA'!S807,"AAAAAHS/fgk=")</f>
        <v>#VALUE!</v>
      </c>
      <c r="K115" t="e">
        <f>AND('PROG FORMACIÓN TITULADA'!T807,"AAAAAHS/fgo=")</f>
        <v>#VALUE!</v>
      </c>
      <c r="L115" t="e">
        <f>AND('PROG FORMACIÓN TITULADA'!U807,"AAAAAHS/fgs=")</f>
        <v>#VALUE!</v>
      </c>
      <c r="M115" t="e">
        <f>AND('PROG FORMACIÓN TITULADA'!V807,"AAAAAHS/fgw=")</f>
        <v>#VALUE!</v>
      </c>
      <c r="N115" t="e">
        <f>AND('PROG FORMACIÓN TITULADA'!W807,"AAAAAHS/fg0=")</f>
        <v>#VALUE!</v>
      </c>
      <c r="O115" t="e">
        <f>AND('PROG FORMACIÓN TITULADA'!X807,"AAAAAHS/fg4=")</f>
        <v>#VALUE!</v>
      </c>
      <c r="P115" t="e">
        <f>AND('PROG FORMACIÓN TITULADA'!Y807,"AAAAAHS/fg8=")</f>
        <v>#VALUE!</v>
      </c>
      <c r="Q115" t="e">
        <f>AND('PROG FORMACIÓN TITULADA'!Z807,"AAAAAHS/fhA=")</f>
        <v>#VALUE!</v>
      </c>
      <c r="R115">
        <f>IF('PROG FORMACIÓN TITULADA'!808:808,"AAAAAHS/fhE=",0)</f>
        <v>0</v>
      </c>
      <c r="S115" t="e">
        <f>AND('PROG FORMACIÓN TITULADA'!A808,"AAAAAHS/fhI=")</f>
        <v>#VALUE!</v>
      </c>
      <c r="T115" t="e">
        <f>AND('PROG FORMACIÓN TITULADA'!B808,"AAAAAHS/fhM=")</f>
        <v>#VALUE!</v>
      </c>
      <c r="U115" t="e">
        <f>AND('PROG FORMACIÓN TITULADA'!C808,"AAAAAHS/fhQ=")</f>
        <v>#VALUE!</v>
      </c>
      <c r="V115" t="e">
        <f>AND('PROG FORMACIÓN TITULADA'!D808,"AAAAAHS/fhU=")</f>
        <v>#VALUE!</v>
      </c>
      <c r="W115" t="e">
        <f>AND('PROG FORMACIÓN TITULADA'!E808,"AAAAAHS/fhY=")</f>
        <v>#VALUE!</v>
      </c>
      <c r="X115" t="e">
        <f>AND('PROG FORMACIÓN TITULADA'!F808,"AAAAAHS/fhc=")</f>
        <v>#VALUE!</v>
      </c>
      <c r="Y115" t="e">
        <f>AND('PROG FORMACIÓN TITULADA'!G808,"AAAAAHS/fhg=")</f>
        <v>#VALUE!</v>
      </c>
      <c r="Z115" t="e">
        <f>AND('PROG FORMACIÓN TITULADA'!H808,"AAAAAHS/fhk=")</f>
        <v>#VALUE!</v>
      </c>
      <c r="AA115" t="e">
        <f>AND('PROG FORMACIÓN TITULADA'!I808,"AAAAAHS/fho=")</f>
        <v>#VALUE!</v>
      </c>
      <c r="AB115" t="e">
        <f>AND('PROG FORMACIÓN TITULADA'!J808,"AAAAAHS/fhs=")</f>
        <v>#VALUE!</v>
      </c>
      <c r="AC115" t="e">
        <f>AND('PROG FORMACIÓN TITULADA'!K808,"AAAAAHS/fhw=")</f>
        <v>#VALUE!</v>
      </c>
      <c r="AD115" t="e">
        <f>AND('PROG FORMACIÓN TITULADA'!L808,"AAAAAHS/fh0=")</f>
        <v>#VALUE!</v>
      </c>
      <c r="AE115" t="e">
        <f>AND('PROG FORMACIÓN TITULADA'!M808,"AAAAAHS/fh4=")</f>
        <v>#VALUE!</v>
      </c>
      <c r="AF115" t="e">
        <f>AND('PROG FORMACIÓN TITULADA'!N808,"AAAAAHS/fh8=")</f>
        <v>#VALUE!</v>
      </c>
      <c r="AG115" t="e">
        <f>AND('PROG FORMACIÓN TITULADA'!O808,"AAAAAHS/fiA=")</f>
        <v>#VALUE!</v>
      </c>
      <c r="AH115" t="e">
        <f>AND('PROG FORMACIÓN TITULADA'!P808,"AAAAAHS/fiE=")</f>
        <v>#VALUE!</v>
      </c>
      <c r="AI115" t="e">
        <f>AND('PROG FORMACIÓN TITULADA'!Q808,"AAAAAHS/fiI=")</f>
        <v>#VALUE!</v>
      </c>
      <c r="AJ115" t="e">
        <f>AND('PROG FORMACIÓN TITULADA'!R808,"AAAAAHS/fiM=")</f>
        <v>#VALUE!</v>
      </c>
      <c r="AK115" t="e">
        <f>AND('PROG FORMACIÓN TITULADA'!S808,"AAAAAHS/fiQ=")</f>
        <v>#VALUE!</v>
      </c>
      <c r="AL115" t="e">
        <f>AND('PROG FORMACIÓN TITULADA'!T808,"AAAAAHS/fiU=")</f>
        <v>#VALUE!</v>
      </c>
      <c r="AM115" t="e">
        <f>AND('PROG FORMACIÓN TITULADA'!U808,"AAAAAHS/fiY=")</f>
        <v>#VALUE!</v>
      </c>
      <c r="AN115" t="e">
        <f>AND('PROG FORMACIÓN TITULADA'!V808,"AAAAAHS/fic=")</f>
        <v>#VALUE!</v>
      </c>
      <c r="AO115" t="e">
        <f>AND('PROG FORMACIÓN TITULADA'!W808,"AAAAAHS/fig=")</f>
        <v>#VALUE!</v>
      </c>
      <c r="AP115" t="e">
        <f>AND('PROG FORMACIÓN TITULADA'!X808,"AAAAAHS/fik=")</f>
        <v>#VALUE!</v>
      </c>
      <c r="AQ115" t="e">
        <f>AND('PROG FORMACIÓN TITULADA'!Y808,"AAAAAHS/fio=")</f>
        <v>#VALUE!</v>
      </c>
      <c r="AR115" t="e">
        <f>AND('PROG FORMACIÓN TITULADA'!Z808,"AAAAAHS/fis=")</f>
        <v>#VALUE!</v>
      </c>
      <c r="AS115">
        <f>IF('PROG FORMACIÓN TITULADA'!809:809,"AAAAAHS/fiw=",0)</f>
        <v>0</v>
      </c>
      <c r="AT115" t="e">
        <f>AND('PROG FORMACIÓN TITULADA'!A809,"AAAAAHS/fi0=")</f>
        <v>#VALUE!</v>
      </c>
      <c r="AU115" t="e">
        <f>AND('PROG FORMACIÓN TITULADA'!B809,"AAAAAHS/fi4=")</f>
        <v>#VALUE!</v>
      </c>
      <c r="AV115" t="e">
        <f>AND('PROG FORMACIÓN TITULADA'!C809,"AAAAAHS/fi8=")</f>
        <v>#VALUE!</v>
      </c>
      <c r="AW115" t="e">
        <f>AND('PROG FORMACIÓN TITULADA'!D809,"AAAAAHS/fjA=")</f>
        <v>#VALUE!</v>
      </c>
      <c r="AX115" t="e">
        <f>AND('PROG FORMACIÓN TITULADA'!E809,"AAAAAHS/fjE=")</f>
        <v>#VALUE!</v>
      </c>
      <c r="AY115" t="e">
        <f>AND('PROG FORMACIÓN TITULADA'!F809,"AAAAAHS/fjI=")</f>
        <v>#VALUE!</v>
      </c>
      <c r="AZ115" t="e">
        <f>AND('PROG FORMACIÓN TITULADA'!G809,"AAAAAHS/fjM=")</f>
        <v>#VALUE!</v>
      </c>
      <c r="BA115" t="e">
        <f>AND('PROG FORMACIÓN TITULADA'!H809,"AAAAAHS/fjQ=")</f>
        <v>#VALUE!</v>
      </c>
      <c r="BB115" t="e">
        <f>AND('PROG FORMACIÓN TITULADA'!I809,"AAAAAHS/fjU=")</f>
        <v>#VALUE!</v>
      </c>
      <c r="BC115" t="e">
        <f>AND('PROG FORMACIÓN TITULADA'!J809,"AAAAAHS/fjY=")</f>
        <v>#VALUE!</v>
      </c>
      <c r="BD115" t="e">
        <f>AND('PROG FORMACIÓN TITULADA'!K809,"AAAAAHS/fjc=")</f>
        <v>#VALUE!</v>
      </c>
      <c r="BE115" t="e">
        <f>AND('PROG FORMACIÓN TITULADA'!L809,"AAAAAHS/fjg=")</f>
        <v>#VALUE!</v>
      </c>
      <c r="BF115" t="e">
        <f>AND('PROG FORMACIÓN TITULADA'!M809,"AAAAAHS/fjk=")</f>
        <v>#VALUE!</v>
      </c>
      <c r="BG115" t="e">
        <f>AND('PROG FORMACIÓN TITULADA'!N809,"AAAAAHS/fjo=")</f>
        <v>#VALUE!</v>
      </c>
      <c r="BH115" t="e">
        <f>AND('PROG FORMACIÓN TITULADA'!O809,"AAAAAHS/fjs=")</f>
        <v>#VALUE!</v>
      </c>
      <c r="BI115" t="e">
        <f>AND('PROG FORMACIÓN TITULADA'!P809,"AAAAAHS/fjw=")</f>
        <v>#VALUE!</v>
      </c>
      <c r="BJ115" t="e">
        <f>AND('PROG FORMACIÓN TITULADA'!Q809,"AAAAAHS/fj0=")</f>
        <v>#VALUE!</v>
      </c>
      <c r="BK115" t="e">
        <f>AND('PROG FORMACIÓN TITULADA'!R809,"AAAAAHS/fj4=")</f>
        <v>#VALUE!</v>
      </c>
      <c r="BL115" t="e">
        <f>AND('PROG FORMACIÓN TITULADA'!S809,"AAAAAHS/fj8=")</f>
        <v>#VALUE!</v>
      </c>
      <c r="BM115" t="e">
        <f>AND('PROG FORMACIÓN TITULADA'!T809,"AAAAAHS/fkA=")</f>
        <v>#VALUE!</v>
      </c>
      <c r="BN115" t="e">
        <f>AND('PROG FORMACIÓN TITULADA'!U809,"AAAAAHS/fkE=")</f>
        <v>#VALUE!</v>
      </c>
      <c r="BO115" t="e">
        <f>AND('PROG FORMACIÓN TITULADA'!V809,"AAAAAHS/fkI=")</f>
        <v>#VALUE!</v>
      </c>
      <c r="BP115" t="e">
        <f>AND('PROG FORMACIÓN TITULADA'!W809,"AAAAAHS/fkM=")</f>
        <v>#VALUE!</v>
      </c>
      <c r="BQ115" t="e">
        <f>AND('PROG FORMACIÓN TITULADA'!X809,"AAAAAHS/fkQ=")</f>
        <v>#VALUE!</v>
      </c>
      <c r="BR115" t="e">
        <f>AND('PROG FORMACIÓN TITULADA'!Y809,"AAAAAHS/fkU=")</f>
        <v>#VALUE!</v>
      </c>
      <c r="BS115" t="e">
        <f>AND('PROG FORMACIÓN TITULADA'!Z809,"AAAAAHS/fkY=")</f>
        <v>#VALUE!</v>
      </c>
      <c r="BT115">
        <f>IF('PROG FORMACIÓN TITULADA'!810:810,"AAAAAHS/fkc=",0)</f>
        <v>0</v>
      </c>
      <c r="BU115" t="e">
        <f>AND('PROG FORMACIÓN TITULADA'!A810,"AAAAAHS/fkg=")</f>
        <v>#VALUE!</v>
      </c>
      <c r="BV115" t="e">
        <f>AND('PROG FORMACIÓN TITULADA'!B810,"AAAAAHS/fkk=")</f>
        <v>#VALUE!</v>
      </c>
      <c r="BW115" t="e">
        <f>AND('PROG FORMACIÓN TITULADA'!C810,"AAAAAHS/fko=")</f>
        <v>#VALUE!</v>
      </c>
      <c r="BX115" t="e">
        <f>AND('PROG FORMACIÓN TITULADA'!D810,"AAAAAHS/fks=")</f>
        <v>#VALUE!</v>
      </c>
      <c r="BY115" t="e">
        <f>AND('PROG FORMACIÓN TITULADA'!E810,"AAAAAHS/fkw=")</f>
        <v>#VALUE!</v>
      </c>
      <c r="BZ115" t="e">
        <f>AND('PROG FORMACIÓN TITULADA'!F810,"AAAAAHS/fk0=")</f>
        <v>#VALUE!</v>
      </c>
      <c r="CA115" t="e">
        <f>AND('PROG FORMACIÓN TITULADA'!G810,"AAAAAHS/fk4=")</f>
        <v>#VALUE!</v>
      </c>
      <c r="CB115" t="e">
        <f>AND('PROG FORMACIÓN TITULADA'!H810,"AAAAAHS/fk8=")</f>
        <v>#VALUE!</v>
      </c>
      <c r="CC115" t="e">
        <f>AND('PROG FORMACIÓN TITULADA'!I810,"AAAAAHS/flA=")</f>
        <v>#VALUE!</v>
      </c>
      <c r="CD115" t="e">
        <f>AND('PROG FORMACIÓN TITULADA'!J810,"AAAAAHS/flE=")</f>
        <v>#VALUE!</v>
      </c>
      <c r="CE115" t="e">
        <f>AND('PROG FORMACIÓN TITULADA'!K810,"AAAAAHS/flI=")</f>
        <v>#VALUE!</v>
      </c>
      <c r="CF115" t="e">
        <f>AND('PROG FORMACIÓN TITULADA'!L810,"AAAAAHS/flM=")</f>
        <v>#VALUE!</v>
      </c>
      <c r="CG115" t="e">
        <f>AND('PROG FORMACIÓN TITULADA'!M810,"AAAAAHS/flQ=")</f>
        <v>#VALUE!</v>
      </c>
      <c r="CH115" t="e">
        <f>AND('PROG FORMACIÓN TITULADA'!N810,"AAAAAHS/flU=")</f>
        <v>#VALUE!</v>
      </c>
      <c r="CI115" t="e">
        <f>AND('PROG FORMACIÓN TITULADA'!O810,"AAAAAHS/flY=")</f>
        <v>#VALUE!</v>
      </c>
      <c r="CJ115" t="e">
        <f>AND('PROG FORMACIÓN TITULADA'!P810,"AAAAAHS/flc=")</f>
        <v>#VALUE!</v>
      </c>
      <c r="CK115" t="e">
        <f>AND('PROG FORMACIÓN TITULADA'!Q810,"AAAAAHS/flg=")</f>
        <v>#VALUE!</v>
      </c>
      <c r="CL115" t="e">
        <f>AND('PROG FORMACIÓN TITULADA'!R810,"AAAAAHS/flk=")</f>
        <v>#VALUE!</v>
      </c>
      <c r="CM115" t="e">
        <f>AND('PROG FORMACIÓN TITULADA'!S810,"AAAAAHS/flo=")</f>
        <v>#VALUE!</v>
      </c>
      <c r="CN115" t="e">
        <f>AND('PROG FORMACIÓN TITULADA'!T810,"AAAAAHS/fls=")</f>
        <v>#VALUE!</v>
      </c>
      <c r="CO115" t="e">
        <f>AND('PROG FORMACIÓN TITULADA'!U810,"AAAAAHS/flw=")</f>
        <v>#VALUE!</v>
      </c>
      <c r="CP115" t="e">
        <f>AND('PROG FORMACIÓN TITULADA'!V810,"AAAAAHS/fl0=")</f>
        <v>#VALUE!</v>
      </c>
      <c r="CQ115" t="e">
        <f>AND('PROG FORMACIÓN TITULADA'!W810,"AAAAAHS/fl4=")</f>
        <v>#VALUE!</v>
      </c>
      <c r="CR115" t="e">
        <f>AND('PROG FORMACIÓN TITULADA'!X810,"AAAAAHS/fl8=")</f>
        <v>#VALUE!</v>
      </c>
      <c r="CS115" t="e">
        <f>AND('PROG FORMACIÓN TITULADA'!Y810,"AAAAAHS/fmA=")</f>
        <v>#VALUE!</v>
      </c>
      <c r="CT115" t="e">
        <f>AND('PROG FORMACIÓN TITULADA'!Z810,"AAAAAHS/fmE=")</f>
        <v>#VALUE!</v>
      </c>
      <c r="CU115">
        <f>IF('PROG FORMACIÓN TITULADA'!811:811,"AAAAAHS/fmI=",0)</f>
        <v>0</v>
      </c>
      <c r="CV115" t="e">
        <f>AND('PROG FORMACIÓN TITULADA'!A811,"AAAAAHS/fmM=")</f>
        <v>#VALUE!</v>
      </c>
      <c r="CW115" t="e">
        <f>AND('PROG FORMACIÓN TITULADA'!B811,"AAAAAHS/fmQ=")</f>
        <v>#VALUE!</v>
      </c>
      <c r="CX115" t="e">
        <f>AND('PROG FORMACIÓN TITULADA'!C811,"AAAAAHS/fmU=")</f>
        <v>#VALUE!</v>
      </c>
      <c r="CY115" t="e">
        <f>AND('PROG FORMACIÓN TITULADA'!D811,"AAAAAHS/fmY=")</f>
        <v>#VALUE!</v>
      </c>
      <c r="CZ115" t="e">
        <f>AND('PROG FORMACIÓN TITULADA'!E811,"AAAAAHS/fmc=")</f>
        <v>#VALUE!</v>
      </c>
      <c r="DA115" t="e">
        <f>AND('PROG FORMACIÓN TITULADA'!F811,"AAAAAHS/fmg=")</f>
        <v>#VALUE!</v>
      </c>
      <c r="DB115" t="e">
        <f>AND('PROG FORMACIÓN TITULADA'!G811,"AAAAAHS/fmk=")</f>
        <v>#VALUE!</v>
      </c>
      <c r="DC115" t="e">
        <f>AND('PROG FORMACIÓN TITULADA'!H811,"AAAAAHS/fmo=")</f>
        <v>#VALUE!</v>
      </c>
      <c r="DD115" t="e">
        <f>AND('PROG FORMACIÓN TITULADA'!I811,"AAAAAHS/fms=")</f>
        <v>#VALUE!</v>
      </c>
      <c r="DE115" t="e">
        <f>AND('PROG FORMACIÓN TITULADA'!J811,"AAAAAHS/fmw=")</f>
        <v>#VALUE!</v>
      </c>
      <c r="DF115" t="e">
        <f>AND('PROG FORMACIÓN TITULADA'!K811,"AAAAAHS/fm0=")</f>
        <v>#VALUE!</v>
      </c>
      <c r="DG115" t="e">
        <f>AND('PROG FORMACIÓN TITULADA'!L811,"AAAAAHS/fm4=")</f>
        <v>#VALUE!</v>
      </c>
      <c r="DH115" t="e">
        <f>AND('PROG FORMACIÓN TITULADA'!M811,"AAAAAHS/fm8=")</f>
        <v>#VALUE!</v>
      </c>
      <c r="DI115" t="e">
        <f>AND('PROG FORMACIÓN TITULADA'!N811,"AAAAAHS/fnA=")</f>
        <v>#VALUE!</v>
      </c>
      <c r="DJ115" t="e">
        <f>AND('PROG FORMACIÓN TITULADA'!O811,"AAAAAHS/fnE=")</f>
        <v>#VALUE!</v>
      </c>
      <c r="DK115" t="e">
        <f>AND('PROG FORMACIÓN TITULADA'!P811,"AAAAAHS/fnI=")</f>
        <v>#VALUE!</v>
      </c>
      <c r="DL115" t="e">
        <f>AND('PROG FORMACIÓN TITULADA'!Q811,"AAAAAHS/fnM=")</f>
        <v>#VALUE!</v>
      </c>
      <c r="DM115" t="e">
        <f>AND('PROG FORMACIÓN TITULADA'!R811,"AAAAAHS/fnQ=")</f>
        <v>#VALUE!</v>
      </c>
      <c r="DN115" t="e">
        <f>AND('PROG FORMACIÓN TITULADA'!S811,"AAAAAHS/fnU=")</f>
        <v>#VALUE!</v>
      </c>
      <c r="DO115" t="e">
        <f>AND('PROG FORMACIÓN TITULADA'!T811,"AAAAAHS/fnY=")</f>
        <v>#VALUE!</v>
      </c>
      <c r="DP115" t="e">
        <f>AND('PROG FORMACIÓN TITULADA'!U811,"AAAAAHS/fnc=")</f>
        <v>#VALUE!</v>
      </c>
      <c r="DQ115" t="e">
        <f>AND('PROG FORMACIÓN TITULADA'!V811,"AAAAAHS/fng=")</f>
        <v>#VALUE!</v>
      </c>
      <c r="DR115" t="e">
        <f>AND('PROG FORMACIÓN TITULADA'!W811,"AAAAAHS/fnk=")</f>
        <v>#VALUE!</v>
      </c>
      <c r="DS115" t="e">
        <f>AND('PROG FORMACIÓN TITULADA'!X811,"AAAAAHS/fno=")</f>
        <v>#VALUE!</v>
      </c>
      <c r="DT115" t="e">
        <f>AND('PROG FORMACIÓN TITULADA'!Y811,"AAAAAHS/fns=")</f>
        <v>#VALUE!</v>
      </c>
      <c r="DU115" t="e">
        <f>AND('PROG FORMACIÓN TITULADA'!Z811,"AAAAAHS/fnw=")</f>
        <v>#VALUE!</v>
      </c>
      <c r="DV115">
        <f>IF('PROG FORMACIÓN TITULADA'!812:812,"AAAAAHS/fn0=",0)</f>
        <v>0</v>
      </c>
      <c r="DW115" t="e">
        <f>AND('PROG FORMACIÓN TITULADA'!A812,"AAAAAHS/fn4=")</f>
        <v>#VALUE!</v>
      </c>
      <c r="DX115" t="e">
        <f>AND('PROG FORMACIÓN TITULADA'!B812,"AAAAAHS/fn8=")</f>
        <v>#VALUE!</v>
      </c>
      <c r="DY115" t="e">
        <f>AND('PROG FORMACIÓN TITULADA'!C812,"AAAAAHS/foA=")</f>
        <v>#VALUE!</v>
      </c>
      <c r="DZ115" t="e">
        <f>AND('PROG FORMACIÓN TITULADA'!D812,"AAAAAHS/foE=")</f>
        <v>#VALUE!</v>
      </c>
      <c r="EA115" t="e">
        <f>AND('PROG FORMACIÓN TITULADA'!E812,"AAAAAHS/foI=")</f>
        <v>#VALUE!</v>
      </c>
      <c r="EB115" t="e">
        <f>AND('PROG FORMACIÓN TITULADA'!F812,"AAAAAHS/foM=")</f>
        <v>#VALUE!</v>
      </c>
      <c r="EC115" t="e">
        <f>AND('PROG FORMACIÓN TITULADA'!G812,"AAAAAHS/foQ=")</f>
        <v>#VALUE!</v>
      </c>
      <c r="ED115" t="e">
        <f>AND('PROG FORMACIÓN TITULADA'!H812,"AAAAAHS/foU=")</f>
        <v>#VALUE!</v>
      </c>
      <c r="EE115" t="e">
        <f>AND('PROG FORMACIÓN TITULADA'!I812,"AAAAAHS/foY=")</f>
        <v>#VALUE!</v>
      </c>
      <c r="EF115" t="e">
        <f>AND('PROG FORMACIÓN TITULADA'!J812,"AAAAAHS/foc=")</f>
        <v>#VALUE!</v>
      </c>
      <c r="EG115" t="e">
        <f>AND('PROG FORMACIÓN TITULADA'!K812,"AAAAAHS/fog=")</f>
        <v>#VALUE!</v>
      </c>
      <c r="EH115" t="e">
        <f>AND('PROG FORMACIÓN TITULADA'!L812,"AAAAAHS/fok=")</f>
        <v>#VALUE!</v>
      </c>
      <c r="EI115" t="e">
        <f>AND('PROG FORMACIÓN TITULADA'!M812,"AAAAAHS/foo=")</f>
        <v>#VALUE!</v>
      </c>
      <c r="EJ115" t="e">
        <f>AND('PROG FORMACIÓN TITULADA'!N812,"AAAAAHS/fos=")</f>
        <v>#VALUE!</v>
      </c>
      <c r="EK115" t="e">
        <f>AND('PROG FORMACIÓN TITULADA'!O812,"AAAAAHS/fow=")</f>
        <v>#VALUE!</v>
      </c>
      <c r="EL115" t="e">
        <f>AND('PROG FORMACIÓN TITULADA'!P812,"AAAAAHS/fo0=")</f>
        <v>#VALUE!</v>
      </c>
      <c r="EM115" t="e">
        <f>AND('PROG FORMACIÓN TITULADA'!Q812,"AAAAAHS/fo4=")</f>
        <v>#VALUE!</v>
      </c>
      <c r="EN115" t="e">
        <f>AND('PROG FORMACIÓN TITULADA'!R812,"AAAAAHS/fo8=")</f>
        <v>#VALUE!</v>
      </c>
      <c r="EO115" t="e">
        <f>AND('PROG FORMACIÓN TITULADA'!S812,"AAAAAHS/fpA=")</f>
        <v>#VALUE!</v>
      </c>
      <c r="EP115" t="e">
        <f>AND('PROG FORMACIÓN TITULADA'!T812,"AAAAAHS/fpE=")</f>
        <v>#VALUE!</v>
      </c>
      <c r="EQ115" t="e">
        <f>AND('PROG FORMACIÓN TITULADA'!U812,"AAAAAHS/fpI=")</f>
        <v>#VALUE!</v>
      </c>
      <c r="ER115" t="e">
        <f>AND('PROG FORMACIÓN TITULADA'!V812,"AAAAAHS/fpM=")</f>
        <v>#VALUE!</v>
      </c>
      <c r="ES115" t="e">
        <f>AND('PROG FORMACIÓN TITULADA'!W812,"AAAAAHS/fpQ=")</f>
        <v>#VALUE!</v>
      </c>
      <c r="ET115" t="e">
        <f>AND('PROG FORMACIÓN TITULADA'!X812,"AAAAAHS/fpU=")</f>
        <v>#VALUE!</v>
      </c>
      <c r="EU115" t="e">
        <f>AND('PROG FORMACIÓN TITULADA'!Y812,"AAAAAHS/fpY=")</f>
        <v>#VALUE!</v>
      </c>
      <c r="EV115" t="e">
        <f>AND('PROG FORMACIÓN TITULADA'!Z812,"AAAAAHS/fpc=")</f>
        <v>#VALUE!</v>
      </c>
      <c r="EW115">
        <f>IF('PROG FORMACIÓN TITULADA'!813:813,"AAAAAHS/fpg=",0)</f>
        <v>0</v>
      </c>
      <c r="EX115" t="e">
        <f>AND('PROG FORMACIÓN TITULADA'!A813,"AAAAAHS/fpk=")</f>
        <v>#VALUE!</v>
      </c>
      <c r="EY115" t="e">
        <f>AND('PROG FORMACIÓN TITULADA'!B813,"AAAAAHS/fpo=")</f>
        <v>#VALUE!</v>
      </c>
      <c r="EZ115" t="e">
        <f>AND('PROG FORMACIÓN TITULADA'!C813,"AAAAAHS/fps=")</f>
        <v>#VALUE!</v>
      </c>
      <c r="FA115" t="e">
        <f>AND('PROG FORMACIÓN TITULADA'!D813,"AAAAAHS/fpw=")</f>
        <v>#VALUE!</v>
      </c>
      <c r="FB115" t="e">
        <f>AND('PROG FORMACIÓN TITULADA'!E813,"AAAAAHS/fp0=")</f>
        <v>#VALUE!</v>
      </c>
      <c r="FC115" t="e">
        <f>AND('PROG FORMACIÓN TITULADA'!F813,"AAAAAHS/fp4=")</f>
        <v>#VALUE!</v>
      </c>
      <c r="FD115" t="e">
        <f>AND('PROG FORMACIÓN TITULADA'!G813,"AAAAAHS/fp8=")</f>
        <v>#VALUE!</v>
      </c>
      <c r="FE115" t="e">
        <f>AND('PROG FORMACIÓN TITULADA'!H813,"AAAAAHS/fqA=")</f>
        <v>#VALUE!</v>
      </c>
      <c r="FF115" t="e">
        <f>AND('PROG FORMACIÓN TITULADA'!I813,"AAAAAHS/fqE=")</f>
        <v>#VALUE!</v>
      </c>
      <c r="FG115" t="e">
        <f>AND('PROG FORMACIÓN TITULADA'!J813,"AAAAAHS/fqI=")</f>
        <v>#VALUE!</v>
      </c>
      <c r="FH115" t="e">
        <f>AND('PROG FORMACIÓN TITULADA'!K813,"AAAAAHS/fqM=")</f>
        <v>#VALUE!</v>
      </c>
      <c r="FI115" t="e">
        <f>AND('PROG FORMACIÓN TITULADA'!L813,"AAAAAHS/fqQ=")</f>
        <v>#VALUE!</v>
      </c>
      <c r="FJ115" t="e">
        <f>AND('PROG FORMACIÓN TITULADA'!M813,"AAAAAHS/fqU=")</f>
        <v>#VALUE!</v>
      </c>
      <c r="FK115" t="e">
        <f>AND('PROG FORMACIÓN TITULADA'!N813,"AAAAAHS/fqY=")</f>
        <v>#VALUE!</v>
      </c>
      <c r="FL115" t="e">
        <f>AND('PROG FORMACIÓN TITULADA'!O813,"AAAAAHS/fqc=")</f>
        <v>#VALUE!</v>
      </c>
      <c r="FM115" t="e">
        <f>AND('PROG FORMACIÓN TITULADA'!P813,"AAAAAHS/fqg=")</f>
        <v>#VALUE!</v>
      </c>
      <c r="FN115" t="e">
        <f>AND('PROG FORMACIÓN TITULADA'!Q813,"AAAAAHS/fqk=")</f>
        <v>#VALUE!</v>
      </c>
      <c r="FO115" t="e">
        <f>AND('PROG FORMACIÓN TITULADA'!R813,"AAAAAHS/fqo=")</f>
        <v>#VALUE!</v>
      </c>
      <c r="FP115" t="e">
        <f>AND('PROG FORMACIÓN TITULADA'!S813,"AAAAAHS/fqs=")</f>
        <v>#VALUE!</v>
      </c>
      <c r="FQ115" t="e">
        <f>AND('PROG FORMACIÓN TITULADA'!T813,"AAAAAHS/fqw=")</f>
        <v>#VALUE!</v>
      </c>
      <c r="FR115" t="e">
        <f>AND('PROG FORMACIÓN TITULADA'!U813,"AAAAAHS/fq0=")</f>
        <v>#VALUE!</v>
      </c>
      <c r="FS115" t="e">
        <f>AND('PROG FORMACIÓN TITULADA'!V813,"AAAAAHS/fq4=")</f>
        <v>#VALUE!</v>
      </c>
      <c r="FT115" t="e">
        <f>AND('PROG FORMACIÓN TITULADA'!W813,"AAAAAHS/fq8=")</f>
        <v>#VALUE!</v>
      </c>
      <c r="FU115" t="e">
        <f>AND('PROG FORMACIÓN TITULADA'!X813,"AAAAAHS/frA=")</f>
        <v>#VALUE!</v>
      </c>
      <c r="FV115" t="e">
        <f>AND('PROG FORMACIÓN TITULADA'!Y813,"AAAAAHS/frE=")</f>
        <v>#VALUE!</v>
      </c>
      <c r="FW115" t="e">
        <f>AND('PROG FORMACIÓN TITULADA'!Z813,"AAAAAHS/frI=")</f>
        <v>#VALUE!</v>
      </c>
      <c r="FX115">
        <f>IF('PROG FORMACIÓN TITULADA'!814:814,"AAAAAHS/frM=",0)</f>
        <v>0</v>
      </c>
      <c r="FY115" t="e">
        <f>AND('PROG FORMACIÓN TITULADA'!A814,"AAAAAHS/frQ=")</f>
        <v>#VALUE!</v>
      </c>
      <c r="FZ115" t="e">
        <f>AND('PROG FORMACIÓN TITULADA'!B814,"AAAAAHS/frU=")</f>
        <v>#VALUE!</v>
      </c>
      <c r="GA115" t="e">
        <f>AND('PROG FORMACIÓN TITULADA'!C814,"AAAAAHS/frY=")</f>
        <v>#VALUE!</v>
      </c>
      <c r="GB115" t="e">
        <f>AND('PROG FORMACIÓN TITULADA'!D814,"AAAAAHS/frc=")</f>
        <v>#VALUE!</v>
      </c>
      <c r="GC115" t="e">
        <f>AND('PROG FORMACIÓN TITULADA'!E814,"AAAAAHS/frg=")</f>
        <v>#VALUE!</v>
      </c>
      <c r="GD115" t="e">
        <f>AND('PROG FORMACIÓN TITULADA'!F814,"AAAAAHS/frk=")</f>
        <v>#VALUE!</v>
      </c>
      <c r="GE115" t="e">
        <f>AND('PROG FORMACIÓN TITULADA'!G814,"AAAAAHS/fro=")</f>
        <v>#VALUE!</v>
      </c>
      <c r="GF115" t="e">
        <f>AND('PROG FORMACIÓN TITULADA'!H814,"AAAAAHS/frs=")</f>
        <v>#VALUE!</v>
      </c>
      <c r="GG115" t="e">
        <f>AND('PROG FORMACIÓN TITULADA'!I814,"AAAAAHS/frw=")</f>
        <v>#VALUE!</v>
      </c>
      <c r="GH115" t="e">
        <f>AND('PROG FORMACIÓN TITULADA'!J814,"AAAAAHS/fr0=")</f>
        <v>#VALUE!</v>
      </c>
      <c r="GI115" t="e">
        <f>AND('PROG FORMACIÓN TITULADA'!K814,"AAAAAHS/fr4=")</f>
        <v>#VALUE!</v>
      </c>
      <c r="GJ115" t="e">
        <f>AND('PROG FORMACIÓN TITULADA'!L814,"AAAAAHS/fr8=")</f>
        <v>#VALUE!</v>
      </c>
      <c r="GK115" t="e">
        <f>AND('PROG FORMACIÓN TITULADA'!M814,"AAAAAHS/fsA=")</f>
        <v>#VALUE!</v>
      </c>
      <c r="GL115" t="e">
        <f>AND('PROG FORMACIÓN TITULADA'!N814,"AAAAAHS/fsE=")</f>
        <v>#VALUE!</v>
      </c>
      <c r="GM115" t="e">
        <f>AND('PROG FORMACIÓN TITULADA'!O814,"AAAAAHS/fsI=")</f>
        <v>#VALUE!</v>
      </c>
      <c r="GN115" t="e">
        <f>AND('PROG FORMACIÓN TITULADA'!P814,"AAAAAHS/fsM=")</f>
        <v>#VALUE!</v>
      </c>
      <c r="GO115" t="e">
        <f>AND('PROG FORMACIÓN TITULADA'!Q814,"AAAAAHS/fsQ=")</f>
        <v>#VALUE!</v>
      </c>
      <c r="GP115" t="e">
        <f>AND('PROG FORMACIÓN TITULADA'!R814,"AAAAAHS/fsU=")</f>
        <v>#VALUE!</v>
      </c>
      <c r="GQ115" t="e">
        <f>AND('PROG FORMACIÓN TITULADA'!S814,"AAAAAHS/fsY=")</f>
        <v>#VALUE!</v>
      </c>
      <c r="GR115" t="e">
        <f>AND('PROG FORMACIÓN TITULADA'!T814,"AAAAAHS/fsc=")</f>
        <v>#VALUE!</v>
      </c>
      <c r="GS115" t="e">
        <f>AND('PROG FORMACIÓN TITULADA'!U814,"AAAAAHS/fsg=")</f>
        <v>#VALUE!</v>
      </c>
      <c r="GT115" t="e">
        <f>AND('PROG FORMACIÓN TITULADA'!V814,"AAAAAHS/fsk=")</f>
        <v>#VALUE!</v>
      </c>
      <c r="GU115" t="e">
        <f>AND('PROG FORMACIÓN TITULADA'!W814,"AAAAAHS/fso=")</f>
        <v>#VALUE!</v>
      </c>
      <c r="GV115" t="e">
        <f>AND('PROG FORMACIÓN TITULADA'!X814,"AAAAAHS/fss=")</f>
        <v>#VALUE!</v>
      </c>
      <c r="GW115" t="e">
        <f>AND('PROG FORMACIÓN TITULADA'!Y814,"AAAAAHS/fsw=")</f>
        <v>#VALUE!</v>
      </c>
      <c r="GX115" t="e">
        <f>AND('PROG FORMACIÓN TITULADA'!Z814,"AAAAAHS/fs0=")</f>
        <v>#VALUE!</v>
      </c>
      <c r="GY115">
        <f>IF('PROG FORMACIÓN TITULADA'!815:815,"AAAAAHS/fs4=",0)</f>
        <v>0</v>
      </c>
      <c r="GZ115" t="e">
        <f>AND('PROG FORMACIÓN TITULADA'!A815,"AAAAAHS/fs8=")</f>
        <v>#VALUE!</v>
      </c>
      <c r="HA115" t="e">
        <f>AND('PROG FORMACIÓN TITULADA'!B815,"AAAAAHS/ftA=")</f>
        <v>#VALUE!</v>
      </c>
      <c r="HB115" t="e">
        <f>AND('PROG FORMACIÓN TITULADA'!C815,"AAAAAHS/ftE=")</f>
        <v>#VALUE!</v>
      </c>
      <c r="HC115" t="e">
        <f>AND('PROG FORMACIÓN TITULADA'!D815,"AAAAAHS/ftI=")</f>
        <v>#VALUE!</v>
      </c>
      <c r="HD115" t="e">
        <f>AND('PROG FORMACIÓN TITULADA'!E815,"AAAAAHS/ftM=")</f>
        <v>#VALUE!</v>
      </c>
      <c r="HE115" t="e">
        <f>AND('PROG FORMACIÓN TITULADA'!F815,"AAAAAHS/ftQ=")</f>
        <v>#VALUE!</v>
      </c>
      <c r="HF115" t="e">
        <f>AND('PROG FORMACIÓN TITULADA'!G815,"AAAAAHS/ftU=")</f>
        <v>#VALUE!</v>
      </c>
      <c r="HG115" t="e">
        <f>AND('PROG FORMACIÓN TITULADA'!H815,"AAAAAHS/ftY=")</f>
        <v>#VALUE!</v>
      </c>
      <c r="HH115" t="e">
        <f>AND('PROG FORMACIÓN TITULADA'!I815,"AAAAAHS/ftc=")</f>
        <v>#VALUE!</v>
      </c>
      <c r="HI115" t="e">
        <f>AND('PROG FORMACIÓN TITULADA'!J815,"AAAAAHS/ftg=")</f>
        <v>#VALUE!</v>
      </c>
      <c r="HJ115" t="e">
        <f>AND('PROG FORMACIÓN TITULADA'!K815,"AAAAAHS/ftk=")</f>
        <v>#VALUE!</v>
      </c>
      <c r="HK115" t="e">
        <f>AND('PROG FORMACIÓN TITULADA'!L815,"AAAAAHS/fto=")</f>
        <v>#VALUE!</v>
      </c>
      <c r="HL115" t="e">
        <f>AND('PROG FORMACIÓN TITULADA'!M815,"AAAAAHS/fts=")</f>
        <v>#VALUE!</v>
      </c>
      <c r="HM115" t="e">
        <f>AND('PROG FORMACIÓN TITULADA'!N815,"AAAAAHS/ftw=")</f>
        <v>#VALUE!</v>
      </c>
      <c r="HN115" t="e">
        <f>AND('PROG FORMACIÓN TITULADA'!O815,"AAAAAHS/ft0=")</f>
        <v>#VALUE!</v>
      </c>
      <c r="HO115" t="e">
        <f>AND('PROG FORMACIÓN TITULADA'!P815,"AAAAAHS/ft4=")</f>
        <v>#VALUE!</v>
      </c>
      <c r="HP115" t="e">
        <f>AND('PROG FORMACIÓN TITULADA'!Q815,"AAAAAHS/ft8=")</f>
        <v>#VALUE!</v>
      </c>
      <c r="HQ115" t="e">
        <f>AND('PROG FORMACIÓN TITULADA'!R815,"AAAAAHS/fuA=")</f>
        <v>#VALUE!</v>
      </c>
      <c r="HR115" t="e">
        <f>AND('PROG FORMACIÓN TITULADA'!S815,"AAAAAHS/fuE=")</f>
        <v>#VALUE!</v>
      </c>
      <c r="HS115" t="e">
        <f>AND('PROG FORMACIÓN TITULADA'!T815,"AAAAAHS/fuI=")</f>
        <v>#VALUE!</v>
      </c>
      <c r="HT115" t="e">
        <f>AND('PROG FORMACIÓN TITULADA'!U815,"AAAAAHS/fuM=")</f>
        <v>#VALUE!</v>
      </c>
      <c r="HU115" t="e">
        <f>AND('PROG FORMACIÓN TITULADA'!V815,"AAAAAHS/fuQ=")</f>
        <v>#VALUE!</v>
      </c>
      <c r="HV115" t="e">
        <f>AND('PROG FORMACIÓN TITULADA'!W815,"AAAAAHS/fuU=")</f>
        <v>#VALUE!</v>
      </c>
      <c r="HW115" t="e">
        <f>AND('PROG FORMACIÓN TITULADA'!X815,"AAAAAHS/fuY=")</f>
        <v>#VALUE!</v>
      </c>
      <c r="HX115" t="e">
        <f>AND('PROG FORMACIÓN TITULADA'!Y815,"AAAAAHS/fuc=")</f>
        <v>#VALUE!</v>
      </c>
      <c r="HY115" t="e">
        <f>AND('PROG FORMACIÓN TITULADA'!Z815,"AAAAAHS/fug=")</f>
        <v>#VALUE!</v>
      </c>
      <c r="HZ115">
        <f>IF('PROG FORMACIÓN TITULADA'!816:816,"AAAAAHS/fuk=",0)</f>
        <v>0</v>
      </c>
      <c r="IA115" t="e">
        <f>AND('PROG FORMACIÓN TITULADA'!A816,"AAAAAHS/fuo=")</f>
        <v>#VALUE!</v>
      </c>
      <c r="IB115" t="e">
        <f>AND('PROG FORMACIÓN TITULADA'!B816,"AAAAAHS/fus=")</f>
        <v>#VALUE!</v>
      </c>
      <c r="IC115" t="e">
        <f>AND('PROG FORMACIÓN TITULADA'!C816,"AAAAAHS/fuw=")</f>
        <v>#VALUE!</v>
      </c>
      <c r="ID115" t="e">
        <f>AND('PROG FORMACIÓN TITULADA'!D816,"AAAAAHS/fu0=")</f>
        <v>#VALUE!</v>
      </c>
      <c r="IE115" t="e">
        <f>AND('PROG FORMACIÓN TITULADA'!E816,"AAAAAHS/fu4=")</f>
        <v>#VALUE!</v>
      </c>
      <c r="IF115" t="e">
        <f>AND('PROG FORMACIÓN TITULADA'!F816,"AAAAAHS/fu8=")</f>
        <v>#VALUE!</v>
      </c>
      <c r="IG115" t="e">
        <f>AND('PROG FORMACIÓN TITULADA'!G816,"AAAAAHS/fvA=")</f>
        <v>#VALUE!</v>
      </c>
      <c r="IH115" t="e">
        <f>AND('PROG FORMACIÓN TITULADA'!H816,"AAAAAHS/fvE=")</f>
        <v>#VALUE!</v>
      </c>
      <c r="II115" t="e">
        <f>AND('PROG FORMACIÓN TITULADA'!I816,"AAAAAHS/fvI=")</f>
        <v>#VALUE!</v>
      </c>
      <c r="IJ115" t="e">
        <f>AND('PROG FORMACIÓN TITULADA'!J816,"AAAAAHS/fvM=")</f>
        <v>#VALUE!</v>
      </c>
      <c r="IK115" t="e">
        <f>AND('PROG FORMACIÓN TITULADA'!K816,"AAAAAHS/fvQ=")</f>
        <v>#VALUE!</v>
      </c>
      <c r="IL115" t="e">
        <f>AND('PROG FORMACIÓN TITULADA'!L816,"AAAAAHS/fvU=")</f>
        <v>#VALUE!</v>
      </c>
      <c r="IM115" t="e">
        <f>AND('PROG FORMACIÓN TITULADA'!M816,"AAAAAHS/fvY=")</f>
        <v>#VALUE!</v>
      </c>
      <c r="IN115" t="e">
        <f>AND('PROG FORMACIÓN TITULADA'!N816,"AAAAAHS/fvc=")</f>
        <v>#VALUE!</v>
      </c>
      <c r="IO115" t="e">
        <f>AND('PROG FORMACIÓN TITULADA'!O816,"AAAAAHS/fvg=")</f>
        <v>#VALUE!</v>
      </c>
      <c r="IP115" t="e">
        <f>AND('PROG FORMACIÓN TITULADA'!P816,"AAAAAHS/fvk=")</f>
        <v>#VALUE!</v>
      </c>
      <c r="IQ115" t="e">
        <f>AND('PROG FORMACIÓN TITULADA'!Q816,"AAAAAHS/fvo=")</f>
        <v>#VALUE!</v>
      </c>
      <c r="IR115" t="e">
        <f>AND('PROG FORMACIÓN TITULADA'!R816,"AAAAAHS/fvs=")</f>
        <v>#VALUE!</v>
      </c>
      <c r="IS115" t="e">
        <f>AND('PROG FORMACIÓN TITULADA'!S816,"AAAAAHS/fvw=")</f>
        <v>#VALUE!</v>
      </c>
      <c r="IT115" t="e">
        <f>AND('PROG FORMACIÓN TITULADA'!T816,"AAAAAHS/fv0=")</f>
        <v>#VALUE!</v>
      </c>
      <c r="IU115" t="e">
        <f>AND('PROG FORMACIÓN TITULADA'!U816,"AAAAAHS/fv4=")</f>
        <v>#VALUE!</v>
      </c>
      <c r="IV115" t="e">
        <f>AND('PROG FORMACIÓN TITULADA'!V816,"AAAAAHS/fv8=")</f>
        <v>#VALUE!</v>
      </c>
    </row>
    <row r="116" spans="1:256" x14ac:dyDescent="0.2">
      <c r="A116" t="e">
        <f>AND('PROG FORMACIÓN TITULADA'!W816,"AAAAAEv3tgA=")</f>
        <v>#VALUE!</v>
      </c>
      <c r="B116" t="e">
        <f>AND('PROG FORMACIÓN TITULADA'!X816,"AAAAAEv3tgE=")</f>
        <v>#VALUE!</v>
      </c>
      <c r="C116" t="e">
        <f>AND('PROG FORMACIÓN TITULADA'!Y816,"AAAAAEv3tgI=")</f>
        <v>#VALUE!</v>
      </c>
      <c r="D116" t="e">
        <f>AND('PROG FORMACIÓN TITULADA'!Z816,"AAAAAEv3tgM=")</f>
        <v>#VALUE!</v>
      </c>
      <c r="E116">
        <f>IF('PROG FORMACIÓN TITULADA'!817:817,"AAAAAEv3tgQ=",0)</f>
        <v>0</v>
      </c>
      <c r="F116" t="e">
        <f>AND('PROG FORMACIÓN TITULADA'!A817,"AAAAAEv3tgU=")</f>
        <v>#VALUE!</v>
      </c>
      <c r="G116" t="e">
        <f>AND('PROG FORMACIÓN TITULADA'!B817,"AAAAAEv3tgY=")</f>
        <v>#VALUE!</v>
      </c>
      <c r="H116" t="e">
        <f>AND('PROG FORMACIÓN TITULADA'!C817,"AAAAAEv3tgc=")</f>
        <v>#VALUE!</v>
      </c>
      <c r="I116" t="e">
        <f>AND('PROG FORMACIÓN TITULADA'!D817,"AAAAAEv3tgg=")</f>
        <v>#VALUE!</v>
      </c>
      <c r="J116" t="e">
        <f>AND('PROG FORMACIÓN TITULADA'!E817,"AAAAAEv3tgk=")</f>
        <v>#VALUE!</v>
      </c>
      <c r="K116" t="e">
        <f>AND('PROG FORMACIÓN TITULADA'!F817,"AAAAAEv3tgo=")</f>
        <v>#VALUE!</v>
      </c>
      <c r="L116" t="e">
        <f>AND('PROG FORMACIÓN TITULADA'!G817,"AAAAAEv3tgs=")</f>
        <v>#VALUE!</v>
      </c>
      <c r="M116" t="e">
        <f>AND('PROG FORMACIÓN TITULADA'!H817,"AAAAAEv3tgw=")</f>
        <v>#VALUE!</v>
      </c>
      <c r="N116" t="e">
        <f>AND('PROG FORMACIÓN TITULADA'!I817,"AAAAAEv3tg0=")</f>
        <v>#VALUE!</v>
      </c>
      <c r="O116" t="e">
        <f>AND('PROG FORMACIÓN TITULADA'!J817,"AAAAAEv3tg4=")</f>
        <v>#VALUE!</v>
      </c>
      <c r="P116" t="e">
        <f>AND('PROG FORMACIÓN TITULADA'!K817,"AAAAAEv3tg8=")</f>
        <v>#VALUE!</v>
      </c>
      <c r="Q116" t="e">
        <f>AND('PROG FORMACIÓN TITULADA'!L817,"AAAAAEv3thA=")</f>
        <v>#VALUE!</v>
      </c>
      <c r="R116" t="e">
        <f>AND('PROG FORMACIÓN TITULADA'!M817,"AAAAAEv3thE=")</f>
        <v>#VALUE!</v>
      </c>
      <c r="S116" t="e">
        <f>AND('PROG FORMACIÓN TITULADA'!N817,"AAAAAEv3thI=")</f>
        <v>#VALUE!</v>
      </c>
      <c r="T116" t="e">
        <f>AND('PROG FORMACIÓN TITULADA'!O817,"AAAAAEv3thM=")</f>
        <v>#VALUE!</v>
      </c>
      <c r="U116" t="e">
        <f>AND('PROG FORMACIÓN TITULADA'!P817,"AAAAAEv3thQ=")</f>
        <v>#VALUE!</v>
      </c>
      <c r="V116" t="e">
        <f>AND('PROG FORMACIÓN TITULADA'!Q817,"AAAAAEv3thU=")</f>
        <v>#VALUE!</v>
      </c>
      <c r="W116" t="e">
        <f>AND('PROG FORMACIÓN TITULADA'!R817,"AAAAAEv3thY=")</f>
        <v>#VALUE!</v>
      </c>
      <c r="X116" t="e">
        <f>AND('PROG FORMACIÓN TITULADA'!S817,"AAAAAEv3thc=")</f>
        <v>#VALUE!</v>
      </c>
      <c r="Y116" t="e">
        <f>AND('PROG FORMACIÓN TITULADA'!T817,"AAAAAEv3thg=")</f>
        <v>#VALUE!</v>
      </c>
      <c r="Z116" t="e">
        <f>AND('PROG FORMACIÓN TITULADA'!U817,"AAAAAEv3thk=")</f>
        <v>#VALUE!</v>
      </c>
      <c r="AA116" t="e">
        <f>AND('PROG FORMACIÓN TITULADA'!V817,"AAAAAEv3tho=")</f>
        <v>#VALUE!</v>
      </c>
      <c r="AB116" t="e">
        <f>AND('PROG FORMACIÓN TITULADA'!W817,"AAAAAEv3ths=")</f>
        <v>#VALUE!</v>
      </c>
      <c r="AC116" t="e">
        <f>AND('PROG FORMACIÓN TITULADA'!X817,"AAAAAEv3thw=")</f>
        <v>#VALUE!</v>
      </c>
      <c r="AD116" t="e">
        <f>AND('PROG FORMACIÓN TITULADA'!Y817,"AAAAAEv3th0=")</f>
        <v>#VALUE!</v>
      </c>
      <c r="AE116" t="e">
        <f>AND('PROG FORMACIÓN TITULADA'!Z817,"AAAAAEv3th4=")</f>
        <v>#VALUE!</v>
      </c>
      <c r="AF116">
        <f>IF('PROG FORMACIÓN TITULADA'!818:818,"AAAAAEv3th8=",0)</f>
        <v>0</v>
      </c>
      <c r="AG116" t="e">
        <f>AND('PROG FORMACIÓN TITULADA'!A818,"AAAAAEv3tiA=")</f>
        <v>#VALUE!</v>
      </c>
      <c r="AH116" t="e">
        <f>AND('PROG FORMACIÓN TITULADA'!B818,"AAAAAEv3tiE=")</f>
        <v>#VALUE!</v>
      </c>
      <c r="AI116" t="e">
        <f>AND('PROG FORMACIÓN TITULADA'!C818,"AAAAAEv3tiI=")</f>
        <v>#VALUE!</v>
      </c>
      <c r="AJ116" t="e">
        <f>AND('PROG FORMACIÓN TITULADA'!D818,"AAAAAEv3tiM=")</f>
        <v>#VALUE!</v>
      </c>
      <c r="AK116" t="e">
        <f>AND('PROG FORMACIÓN TITULADA'!E818,"AAAAAEv3tiQ=")</f>
        <v>#VALUE!</v>
      </c>
      <c r="AL116" t="e">
        <f>AND('PROG FORMACIÓN TITULADA'!F818,"AAAAAEv3tiU=")</f>
        <v>#VALUE!</v>
      </c>
      <c r="AM116" t="e">
        <f>AND('PROG FORMACIÓN TITULADA'!G818,"AAAAAEv3tiY=")</f>
        <v>#VALUE!</v>
      </c>
      <c r="AN116" t="e">
        <f>AND('PROG FORMACIÓN TITULADA'!H818,"AAAAAEv3tic=")</f>
        <v>#VALUE!</v>
      </c>
      <c r="AO116" t="e">
        <f>AND('PROG FORMACIÓN TITULADA'!I818,"AAAAAEv3tig=")</f>
        <v>#VALUE!</v>
      </c>
      <c r="AP116" t="e">
        <f>AND('PROG FORMACIÓN TITULADA'!J818,"AAAAAEv3tik=")</f>
        <v>#VALUE!</v>
      </c>
      <c r="AQ116" t="e">
        <f>AND('PROG FORMACIÓN TITULADA'!K818,"AAAAAEv3tio=")</f>
        <v>#VALUE!</v>
      </c>
      <c r="AR116" t="e">
        <f>AND('PROG FORMACIÓN TITULADA'!L818,"AAAAAEv3tis=")</f>
        <v>#VALUE!</v>
      </c>
      <c r="AS116" t="e">
        <f>AND('PROG FORMACIÓN TITULADA'!M818,"AAAAAEv3tiw=")</f>
        <v>#VALUE!</v>
      </c>
      <c r="AT116" t="e">
        <f>AND('PROG FORMACIÓN TITULADA'!N818,"AAAAAEv3ti0=")</f>
        <v>#VALUE!</v>
      </c>
      <c r="AU116" t="e">
        <f>AND('PROG FORMACIÓN TITULADA'!O818,"AAAAAEv3ti4=")</f>
        <v>#VALUE!</v>
      </c>
      <c r="AV116" t="e">
        <f>AND('PROG FORMACIÓN TITULADA'!P818,"AAAAAEv3ti8=")</f>
        <v>#VALUE!</v>
      </c>
      <c r="AW116" t="e">
        <f>AND('PROG FORMACIÓN TITULADA'!Q818,"AAAAAEv3tjA=")</f>
        <v>#VALUE!</v>
      </c>
      <c r="AX116" t="e">
        <f>AND('PROG FORMACIÓN TITULADA'!R818,"AAAAAEv3tjE=")</f>
        <v>#VALUE!</v>
      </c>
      <c r="AY116" t="e">
        <f>AND('PROG FORMACIÓN TITULADA'!S818,"AAAAAEv3tjI=")</f>
        <v>#VALUE!</v>
      </c>
      <c r="AZ116" t="e">
        <f>AND('PROG FORMACIÓN TITULADA'!T818,"AAAAAEv3tjM=")</f>
        <v>#VALUE!</v>
      </c>
      <c r="BA116" t="e">
        <f>AND('PROG FORMACIÓN TITULADA'!U818,"AAAAAEv3tjQ=")</f>
        <v>#VALUE!</v>
      </c>
      <c r="BB116" t="e">
        <f>AND('PROG FORMACIÓN TITULADA'!V818,"AAAAAEv3tjU=")</f>
        <v>#VALUE!</v>
      </c>
      <c r="BC116" t="e">
        <f>AND('PROG FORMACIÓN TITULADA'!W818,"AAAAAEv3tjY=")</f>
        <v>#VALUE!</v>
      </c>
      <c r="BD116" t="e">
        <f>AND('PROG FORMACIÓN TITULADA'!X818,"AAAAAEv3tjc=")</f>
        <v>#VALUE!</v>
      </c>
      <c r="BE116" t="e">
        <f>AND('PROG FORMACIÓN TITULADA'!Y818,"AAAAAEv3tjg=")</f>
        <v>#VALUE!</v>
      </c>
      <c r="BF116" t="e">
        <f>AND('PROG FORMACIÓN TITULADA'!Z818,"AAAAAEv3tjk=")</f>
        <v>#VALUE!</v>
      </c>
      <c r="BG116">
        <f>IF('PROG FORMACIÓN TITULADA'!819:819,"AAAAAEv3tjo=",0)</f>
        <v>0</v>
      </c>
      <c r="BH116" t="e">
        <f>AND('PROG FORMACIÓN TITULADA'!A819,"AAAAAEv3tjs=")</f>
        <v>#VALUE!</v>
      </c>
      <c r="BI116" t="e">
        <f>AND('PROG FORMACIÓN TITULADA'!B819,"AAAAAEv3tjw=")</f>
        <v>#VALUE!</v>
      </c>
      <c r="BJ116" t="e">
        <f>AND('PROG FORMACIÓN TITULADA'!C819,"AAAAAEv3tj0=")</f>
        <v>#VALUE!</v>
      </c>
      <c r="BK116" t="e">
        <f>AND('PROG FORMACIÓN TITULADA'!D819,"AAAAAEv3tj4=")</f>
        <v>#VALUE!</v>
      </c>
      <c r="BL116" t="e">
        <f>AND('PROG FORMACIÓN TITULADA'!E819,"AAAAAEv3tj8=")</f>
        <v>#VALUE!</v>
      </c>
      <c r="BM116" t="e">
        <f>AND('PROG FORMACIÓN TITULADA'!F819,"AAAAAEv3tkA=")</f>
        <v>#VALUE!</v>
      </c>
      <c r="BN116" t="e">
        <f>AND('PROG FORMACIÓN TITULADA'!G819,"AAAAAEv3tkE=")</f>
        <v>#VALUE!</v>
      </c>
      <c r="BO116" t="e">
        <f>AND('PROG FORMACIÓN TITULADA'!H819,"AAAAAEv3tkI=")</f>
        <v>#VALUE!</v>
      </c>
      <c r="BP116" t="e">
        <f>AND('PROG FORMACIÓN TITULADA'!I819,"AAAAAEv3tkM=")</f>
        <v>#VALUE!</v>
      </c>
      <c r="BQ116" t="e">
        <f>AND('PROG FORMACIÓN TITULADA'!J819,"AAAAAEv3tkQ=")</f>
        <v>#VALUE!</v>
      </c>
      <c r="BR116" t="e">
        <f>AND('PROG FORMACIÓN TITULADA'!K819,"AAAAAEv3tkU=")</f>
        <v>#VALUE!</v>
      </c>
      <c r="BS116" t="e">
        <f>AND('PROG FORMACIÓN TITULADA'!L819,"AAAAAEv3tkY=")</f>
        <v>#VALUE!</v>
      </c>
      <c r="BT116" t="e">
        <f>AND('PROG FORMACIÓN TITULADA'!M819,"AAAAAEv3tkc=")</f>
        <v>#VALUE!</v>
      </c>
      <c r="BU116" t="e">
        <f>AND('PROG FORMACIÓN TITULADA'!N819,"AAAAAEv3tkg=")</f>
        <v>#VALUE!</v>
      </c>
      <c r="BV116" t="e">
        <f>AND('PROG FORMACIÓN TITULADA'!O819,"AAAAAEv3tkk=")</f>
        <v>#VALUE!</v>
      </c>
      <c r="BW116" t="e">
        <f>AND('PROG FORMACIÓN TITULADA'!P819,"AAAAAEv3tko=")</f>
        <v>#VALUE!</v>
      </c>
      <c r="BX116" t="e">
        <f>AND('PROG FORMACIÓN TITULADA'!Q819,"AAAAAEv3tks=")</f>
        <v>#VALUE!</v>
      </c>
      <c r="BY116" t="e">
        <f>AND('PROG FORMACIÓN TITULADA'!R819,"AAAAAEv3tkw=")</f>
        <v>#VALUE!</v>
      </c>
      <c r="BZ116" t="e">
        <f>AND('PROG FORMACIÓN TITULADA'!S819,"AAAAAEv3tk0=")</f>
        <v>#VALUE!</v>
      </c>
      <c r="CA116" t="e">
        <f>AND('PROG FORMACIÓN TITULADA'!T819,"AAAAAEv3tk4=")</f>
        <v>#VALUE!</v>
      </c>
      <c r="CB116" t="e">
        <f>AND('PROG FORMACIÓN TITULADA'!U819,"AAAAAEv3tk8=")</f>
        <v>#VALUE!</v>
      </c>
      <c r="CC116" t="e">
        <f>AND('PROG FORMACIÓN TITULADA'!V819,"AAAAAEv3tlA=")</f>
        <v>#VALUE!</v>
      </c>
      <c r="CD116" t="e">
        <f>AND('PROG FORMACIÓN TITULADA'!W819,"AAAAAEv3tlE=")</f>
        <v>#VALUE!</v>
      </c>
      <c r="CE116" t="e">
        <f>AND('PROG FORMACIÓN TITULADA'!X819,"AAAAAEv3tlI=")</f>
        <v>#VALUE!</v>
      </c>
      <c r="CF116" t="e">
        <f>AND('PROG FORMACIÓN TITULADA'!Y819,"AAAAAEv3tlM=")</f>
        <v>#VALUE!</v>
      </c>
      <c r="CG116" t="e">
        <f>AND('PROG FORMACIÓN TITULADA'!Z819,"AAAAAEv3tlQ=")</f>
        <v>#VALUE!</v>
      </c>
      <c r="CH116">
        <f>IF('PROG FORMACIÓN TITULADA'!820:820,"AAAAAEv3tlU=",0)</f>
        <v>0</v>
      </c>
      <c r="CI116" t="e">
        <f>AND('PROG FORMACIÓN TITULADA'!A820,"AAAAAEv3tlY=")</f>
        <v>#VALUE!</v>
      </c>
      <c r="CJ116" t="e">
        <f>AND('PROG FORMACIÓN TITULADA'!B820,"AAAAAEv3tlc=")</f>
        <v>#VALUE!</v>
      </c>
      <c r="CK116" t="e">
        <f>AND('PROG FORMACIÓN TITULADA'!C820,"AAAAAEv3tlg=")</f>
        <v>#VALUE!</v>
      </c>
      <c r="CL116" t="e">
        <f>AND('PROG FORMACIÓN TITULADA'!D820,"AAAAAEv3tlk=")</f>
        <v>#VALUE!</v>
      </c>
      <c r="CM116" t="e">
        <f>AND('PROG FORMACIÓN TITULADA'!E820,"AAAAAEv3tlo=")</f>
        <v>#VALUE!</v>
      </c>
      <c r="CN116" t="e">
        <f>AND('PROG FORMACIÓN TITULADA'!F820,"AAAAAEv3tls=")</f>
        <v>#VALUE!</v>
      </c>
      <c r="CO116" t="e">
        <f>AND('PROG FORMACIÓN TITULADA'!G820,"AAAAAEv3tlw=")</f>
        <v>#VALUE!</v>
      </c>
      <c r="CP116" t="e">
        <f>AND('PROG FORMACIÓN TITULADA'!H820,"AAAAAEv3tl0=")</f>
        <v>#VALUE!</v>
      </c>
      <c r="CQ116" t="e">
        <f>AND('PROG FORMACIÓN TITULADA'!I820,"AAAAAEv3tl4=")</f>
        <v>#VALUE!</v>
      </c>
      <c r="CR116" t="e">
        <f>AND('PROG FORMACIÓN TITULADA'!J820,"AAAAAEv3tl8=")</f>
        <v>#VALUE!</v>
      </c>
      <c r="CS116" t="e">
        <f>AND('PROG FORMACIÓN TITULADA'!K820,"AAAAAEv3tmA=")</f>
        <v>#VALUE!</v>
      </c>
      <c r="CT116" t="e">
        <f>AND('PROG FORMACIÓN TITULADA'!L820,"AAAAAEv3tmE=")</f>
        <v>#VALUE!</v>
      </c>
      <c r="CU116" t="e">
        <f>AND('PROG FORMACIÓN TITULADA'!M820,"AAAAAEv3tmI=")</f>
        <v>#VALUE!</v>
      </c>
      <c r="CV116" t="e">
        <f>AND('PROG FORMACIÓN TITULADA'!N820,"AAAAAEv3tmM=")</f>
        <v>#VALUE!</v>
      </c>
      <c r="CW116" t="e">
        <f>AND('PROG FORMACIÓN TITULADA'!O820,"AAAAAEv3tmQ=")</f>
        <v>#VALUE!</v>
      </c>
      <c r="CX116" t="e">
        <f>AND('PROG FORMACIÓN TITULADA'!P820,"AAAAAEv3tmU=")</f>
        <v>#VALUE!</v>
      </c>
      <c r="CY116" t="e">
        <f>AND('PROG FORMACIÓN TITULADA'!Q820,"AAAAAEv3tmY=")</f>
        <v>#VALUE!</v>
      </c>
      <c r="CZ116" t="e">
        <f>AND('PROG FORMACIÓN TITULADA'!R820,"AAAAAEv3tmc=")</f>
        <v>#VALUE!</v>
      </c>
      <c r="DA116" t="e">
        <f>AND('PROG FORMACIÓN TITULADA'!S820,"AAAAAEv3tmg=")</f>
        <v>#VALUE!</v>
      </c>
      <c r="DB116" t="e">
        <f>AND('PROG FORMACIÓN TITULADA'!T820,"AAAAAEv3tmk=")</f>
        <v>#VALUE!</v>
      </c>
      <c r="DC116" t="e">
        <f>AND('PROG FORMACIÓN TITULADA'!U820,"AAAAAEv3tmo=")</f>
        <v>#VALUE!</v>
      </c>
      <c r="DD116" t="e">
        <f>AND('PROG FORMACIÓN TITULADA'!V820,"AAAAAEv3tms=")</f>
        <v>#VALUE!</v>
      </c>
      <c r="DE116" t="e">
        <f>AND('PROG FORMACIÓN TITULADA'!W820,"AAAAAEv3tmw=")</f>
        <v>#VALUE!</v>
      </c>
      <c r="DF116" t="e">
        <f>AND('PROG FORMACIÓN TITULADA'!X820,"AAAAAEv3tm0=")</f>
        <v>#VALUE!</v>
      </c>
      <c r="DG116" t="e">
        <f>AND('PROG FORMACIÓN TITULADA'!Y820,"AAAAAEv3tm4=")</f>
        <v>#VALUE!</v>
      </c>
      <c r="DH116" t="e">
        <f>AND('PROG FORMACIÓN TITULADA'!Z820,"AAAAAEv3tm8=")</f>
        <v>#VALUE!</v>
      </c>
      <c r="DI116">
        <f>IF('PROG FORMACIÓN TITULADA'!821:821,"AAAAAEv3tnA=",0)</f>
        <v>0</v>
      </c>
      <c r="DJ116" t="e">
        <f>AND('PROG FORMACIÓN TITULADA'!A821,"AAAAAEv3tnE=")</f>
        <v>#VALUE!</v>
      </c>
      <c r="DK116" t="e">
        <f>AND('PROG FORMACIÓN TITULADA'!#REF!,"AAAAAEv3tnI=")</f>
        <v>#REF!</v>
      </c>
      <c r="DL116" t="e">
        <f>AND('PROG FORMACIÓN TITULADA'!C821,"AAAAAEv3tnM=")</f>
        <v>#VALUE!</v>
      </c>
      <c r="DM116" t="e">
        <f>AND('PROG FORMACIÓN TITULADA'!D821,"AAAAAEv3tnQ=")</f>
        <v>#VALUE!</v>
      </c>
      <c r="DN116" t="e">
        <f>AND('PROG FORMACIÓN TITULADA'!E821,"AAAAAEv3tnU=")</f>
        <v>#VALUE!</v>
      </c>
      <c r="DO116" t="e">
        <f>AND('PROG FORMACIÓN TITULADA'!F821,"AAAAAEv3tnY=")</f>
        <v>#VALUE!</v>
      </c>
      <c r="DP116" t="e">
        <f>AND('PROG FORMACIÓN TITULADA'!G821,"AAAAAEv3tnc=")</f>
        <v>#VALUE!</v>
      </c>
      <c r="DQ116" t="e">
        <f>AND('PROG FORMACIÓN TITULADA'!H821,"AAAAAEv3tng=")</f>
        <v>#VALUE!</v>
      </c>
      <c r="DR116" t="e">
        <f>AND('PROG FORMACIÓN TITULADA'!I821,"AAAAAEv3tnk=")</f>
        <v>#VALUE!</v>
      </c>
      <c r="DS116" t="e">
        <f>AND('PROG FORMACIÓN TITULADA'!J821,"AAAAAEv3tno=")</f>
        <v>#VALUE!</v>
      </c>
      <c r="DT116" t="e">
        <f>AND('PROG FORMACIÓN TITULADA'!K821,"AAAAAEv3tns=")</f>
        <v>#VALUE!</v>
      </c>
      <c r="DU116" t="e">
        <f>AND('PROG FORMACIÓN TITULADA'!L821,"AAAAAEv3tnw=")</f>
        <v>#VALUE!</v>
      </c>
      <c r="DV116" t="e">
        <f>AND('PROG FORMACIÓN TITULADA'!M821,"AAAAAEv3tn0=")</f>
        <v>#VALUE!</v>
      </c>
      <c r="DW116" t="e">
        <f>AND('PROG FORMACIÓN TITULADA'!N821,"AAAAAEv3tn4=")</f>
        <v>#VALUE!</v>
      </c>
      <c r="DX116" t="e">
        <f>AND('PROG FORMACIÓN TITULADA'!O821,"AAAAAEv3tn8=")</f>
        <v>#VALUE!</v>
      </c>
      <c r="DY116" t="e">
        <f>AND('PROG FORMACIÓN TITULADA'!P821,"AAAAAEv3toA=")</f>
        <v>#VALUE!</v>
      </c>
      <c r="DZ116" t="e">
        <f>AND('PROG FORMACIÓN TITULADA'!Q821,"AAAAAEv3toE=")</f>
        <v>#VALUE!</v>
      </c>
      <c r="EA116" t="e">
        <f>AND('PROG FORMACIÓN TITULADA'!R821,"AAAAAEv3toI=")</f>
        <v>#VALUE!</v>
      </c>
      <c r="EB116" t="e">
        <f>AND('PROG FORMACIÓN TITULADA'!S821,"AAAAAEv3toM=")</f>
        <v>#VALUE!</v>
      </c>
      <c r="EC116" t="e">
        <f>AND('PROG FORMACIÓN TITULADA'!T821,"AAAAAEv3toQ=")</f>
        <v>#VALUE!</v>
      </c>
      <c r="ED116" t="e">
        <f>AND('PROG FORMACIÓN TITULADA'!U821,"AAAAAEv3toU=")</f>
        <v>#VALUE!</v>
      </c>
      <c r="EE116" t="e">
        <f>AND('PROG FORMACIÓN TITULADA'!V821,"AAAAAEv3toY=")</f>
        <v>#VALUE!</v>
      </c>
      <c r="EF116" t="e">
        <f>AND('PROG FORMACIÓN TITULADA'!W821,"AAAAAEv3toc=")</f>
        <v>#VALUE!</v>
      </c>
      <c r="EG116" t="e">
        <f>AND('PROG FORMACIÓN TITULADA'!X821,"AAAAAEv3tog=")</f>
        <v>#VALUE!</v>
      </c>
      <c r="EH116" t="e">
        <f>AND('PROG FORMACIÓN TITULADA'!Y821,"AAAAAEv3tok=")</f>
        <v>#VALUE!</v>
      </c>
      <c r="EI116" t="e">
        <f>AND('PROG FORMACIÓN TITULADA'!Z821,"AAAAAEv3too=")</f>
        <v>#VALUE!</v>
      </c>
      <c r="EJ116">
        <f>IF('PROG FORMACIÓN TITULADA'!822:822,"AAAAAEv3tos=",0)</f>
        <v>0</v>
      </c>
      <c r="EK116" t="e">
        <f>AND('PROG FORMACIÓN TITULADA'!A822,"AAAAAEv3tow=")</f>
        <v>#VALUE!</v>
      </c>
      <c r="EL116" t="e">
        <f>AND('PROG FORMACIÓN TITULADA'!B821,"AAAAAEv3to0=")</f>
        <v>#VALUE!</v>
      </c>
      <c r="EM116" t="e">
        <f>AND('PROG FORMACIÓN TITULADA'!C822,"AAAAAEv3to4=")</f>
        <v>#VALUE!</v>
      </c>
      <c r="EN116" t="e">
        <f>AND('PROG FORMACIÓN TITULADA'!D822,"AAAAAEv3to8=")</f>
        <v>#VALUE!</v>
      </c>
      <c r="EO116" t="e">
        <f>AND('PROG FORMACIÓN TITULADA'!E822,"AAAAAEv3tpA=")</f>
        <v>#VALUE!</v>
      </c>
      <c r="EP116" t="e">
        <f>AND('PROG FORMACIÓN TITULADA'!F822,"AAAAAEv3tpE=")</f>
        <v>#VALUE!</v>
      </c>
      <c r="EQ116" t="e">
        <f>AND('PROG FORMACIÓN TITULADA'!G822,"AAAAAEv3tpI=")</f>
        <v>#VALUE!</v>
      </c>
      <c r="ER116" t="e">
        <f>AND('PROG FORMACIÓN TITULADA'!H822,"AAAAAEv3tpM=")</f>
        <v>#VALUE!</v>
      </c>
      <c r="ES116" t="e">
        <f>AND('PROG FORMACIÓN TITULADA'!I822,"AAAAAEv3tpQ=")</f>
        <v>#VALUE!</v>
      </c>
      <c r="ET116" t="e">
        <f>AND('PROG FORMACIÓN TITULADA'!J822,"AAAAAEv3tpU=")</f>
        <v>#VALUE!</v>
      </c>
      <c r="EU116" t="e">
        <f>AND('PROG FORMACIÓN TITULADA'!K822,"AAAAAEv3tpY=")</f>
        <v>#VALUE!</v>
      </c>
      <c r="EV116" t="e">
        <f>AND('PROG FORMACIÓN TITULADA'!L822,"AAAAAEv3tpc=")</f>
        <v>#VALUE!</v>
      </c>
      <c r="EW116" t="e">
        <f>AND('PROG FORMACIÓN TITULADA'!M822,"AAAAAEv3tpg=")</f>
        <v>#VALUE!</v>
      </c>
      <c r="EX116" t="e">
        <f>AND('PROG FORMACIÓN TITULADA'!N822,"AAAAAEv3tpk=")</f>
        <v>#VALUE!</v>
      </c>
      <c r="EY116" t="e">
        <f>AND('PROG FORMACIÓN TITULADA'!O822,"AAAAAEv3tpo=")</f>
        <v>#VALUE!</v>
      </c>
      <c r="EZ116" t="e">
        <f>AND('PROG FORMACIÓN TITULADA'!P822,"AAAAAEv3tps=")</f>
        <v>#VALUE!</v>
      </c>
      <c r="FA116" t="e">
        <f>AND('PROG FORMACIÓN TITULADA'!Q822,"AAAAAEv3tpw=")</f>
        <v>#VALUE!</v>
      </c>
      <c r="FB116" t="e">
        <f>AND('PROG FORMACIÓN TITULADA'!R822,"AAAAAEv3tp0=")</f>
        <v>#VALUE!</v>
      </c>
      <c r="FC116" t="e">
        <f>AND('PROG FORMACIÓN TITULADA'!S822,"AAAAAEv3tp4=")</f>
        <v>#VALUE!</v>
      </c>
      <c r="FD116" t="e">
        <f>AND('PROG FORMACIÓN TITULADA'!T822,"AAAAAEv3tp8=")</f>
        <v>#VALUE!</v>
      </c>
      <c r="FE116" t="e">
        <f>AND('PROG FORMACIÓN TITULADA'!U822,"AAAAAEv3tqA=")</f>
        <v>#VALUE!</v>
      </c>
      <c r="FF116" t="e">
        <f>AND('PROG FORMACIÓN TITULADA'!V822,"AAAAAEv3tqE=")</f>
        <v>#VALUE!</v>
      </c>
      <c r="FG116" t="e">
        <f>AND('PROG FORMACIÓN TITULADA'!W822,"AAAAAEv3tqI=")</f>
        <v>#VALUE!</v>
      </c>
      <c r="FH116" t="e">
        <f>AND('PROG FORMACIÓN TITULADA'!X822,"AAAAAEv3tqM=")</f>
        <v>#VALUE!</v>
      </c>
      <c r="FI116" t="e">
        <f>AND('PROG FORMACIÓN TITULADA'!Y822,"AAAAAEv3tqQ=")</f>
        <v>#VALUE!</v>
      </c>
      <c r="FJ116" t="e">
        <f>AND('PROG FORMACIÓN TITULADA'!Z822,"AAAAAEv3tqU=")</f>
        <v>#VALUE!</v>
      </c>
      <c r="FK116">
        <f>IF('PROG FORMACIÓN TITULADA'!823:823,"AAAAAEv3tqY=",0)</f>
        <v>0</v>
      </c>
      <c r="FL116" t="e">
        <f>AND('PROG FORMACIÓN TITULADA'!A823,"AAAAAEv3tqc=")</f>
        <v>#VALUE!</v>
      </c>
      <c r="FM116" t="e">
        <f>AND('PROG FORMACIÓN TITULADA'!B822,"AAAAAEv3tqg=")</f>
        <v>#VALUE!</v>
      </c>
      <c r="FN116" t="e">
        <f>AND('PROG FORMACIÓN TITULADA'!C823,"AAAAAEv3tqk=")</f>
        <v>#VALUE!</v>
      </c>
      <c r="FO116" t="e">
        <f>AND('PROG FORMACIÓN TITULADA'!D823,"AAAAAEv3tqo=")</f>
        <v>#VALUE!</v>
      </c>
      <c r="FP116" t="e">
        <f>AND('PROG FORMACIÓN TITULADA'!E823,"AAAAAEv3tqs=")</f>
        <v>#VALUE!</v>
      </c>
      <c r="FQ116" t="e">
        <f>AND('PROG FORMACIÓN TITULADA'!F823,"AAAAAEv3tqw=")</f>
        <v>#VALUE!</v>
      </c>
      <c r="FR116" t="e">
        <f>AND('PROG FORMACIÓN TITULADA'!G823,"AAAAAEv3tq0=")</f>
        <v>#VALUE!</v>
      </c>
      <c r="FS116" t="e">
        <f>AND('PROG FORMACIÓN TITULADA'!H823,"AAAAAEv3tq4=")</f>
        <v>#VALUE!</v>
      </c>
      <c r="FT116" t="e">
        <f>AND('PROG FORMACIÓN TITULADA'!I823,"AAAAAEv3tq8=")</f>
        <v>#VALUE!</v>
      </c>
      <c r="FU116" t="e">
        <f>AND('PROG FORMACIÓN TITULADA'!J823,"AAAAAEv3trA=")</f>
        <v>#VALUE!</v>
      </c>
      <c r="FV116" t="e">
        <f>AND('PROG FORMACIÓN TITULADA'!K823,"AAAAAEv3trE=")</f>
        <v>#VALUE!</v>
      </c>
      <c r="FW116" t="e">
        <f>AND('PROG FORMACIÓN TITULADA'!L823,"AAAAAEv3trI=")</f>
        <v>#VALUE!</v>
      </c>
      <c r="FX116" t="e">
        <f>AND('PROG FORMACIÓN TITULADA'!M823,"AAAAAEv3trM=")</f>
        <v>#VALUE!</v>
      </c>
      <c r="FY116" t="e">
        <f>AND('PROG FORMACIÓN TITULADA'!N823,"AAAAAEv3trQ=")</f>
        <v>#VALUE!</v>
      </c>
      <c r="FZ116" t="e">
        <f>AND('PROG FORMACIÓN TITULADA'!O823,"AAAAAEv3trU=")</f>
        <v>#VALUE!</v>
      </c>
      <c r="GA116" t="e">
        <f>AND('PROG FORMACIÓN TITULADA'!P823,"AAAAAEv3trY=")</f>
        <v>#VALUE!</v>
      </c>
      <c r="GB116" t="e">
        <f>AND('PROG FORMACIÓN TITULADA'!Q823,"AAAAAEv3trc=")</f>
        <v>#VALUE!</v>
      </c>
      <c r="GC116" t="e">
        <f>AND('PROG FORMACIÓN TITULADA'!R823,"AAAAAEv3trg=")</f>
        <v>#VALUE!</v>
      </c>
      <c r="GD116" t="e">
        <f>AND('PROG FORMACIÓN TITULADA'!S823,"AAAAAEv3trk=")</f>
        <v>#VALUE!</v>
      </c>
      <c r="GE116" t="e">
        <f>AND('PROG FORMACIÓN TITULADA'!T823,"AAAAAEv3tro=")</f>
        <v>#VALUE!</v>
      </c>
      <c r="GF116" t="e">
        <f>AND('PROG FORMACIÓN TITULADA'!U823,"AAAAAEv3trs=")</f>
        <v>#VALUE!</v>
      </c>
      <c r="GG116" t="e">
        <f>AND('PROG FORMACIÓN TITULADA'!V823,"AAAAAEv3trw=")</f>
        <v>#VALUE!</v>
      </c>
      <c r="GH116" t="e">
        <f>AND('PROG FORMACIÓN TITULADA'!W823,"AAAAAEv3tr0=")</f>
        <v>#VALUE!</v>
      </c>
      <c r="GI116" t="e">
        <f>AND('PROG FORMACIÓN TITULADA'!X823,"AAAAAEv3tr4=")</f>
        <v>#VALUE!</v>
      </c>
      <c r="GJ116" t="e">
        <f>AND('PROG FORMACIÓN TITULADA'!Y823,"AAAAAEv3tr8=")</f>
        <v>#VALUE!</v>
      </c>
      <c r="GK116" t="e">
        <f>AND('PROG FORMACIÓN TITULADA'!Z823,"AAAAAEv3tsA=")</f>
        <v>#VALUE!</v>
      </c>
      <c r="GL116">
        <f>IF('PROG FORMACIÓN TITULADA'!824:824,"AAAAAEv3tsE=",0)</f>
        <v>0</v>
      </c>
      <c r="GM116" t="e">
        <f>AND('PROG FORMACIÓN TITULADA'!A824,"AAAAAEv3tsI=")</f>
        <v>#VALUE!</v>
      </c>
      <c r="GN116" t="e">
        <f>AND('PROG FORMACIÓN TITULADA'!B823,"AAAAAEv3tsM=")</f>
        <v>#VALUE!</v>
      </c>
      <c r="GO116" t="e">
        <f>AND('PROG FORMACIÓN TITULADA'!C824,"AAAAAEv3tsQ=")</f>
        <v>#VALUE!</v>
      </c>
      <c r="GP116" t="e">
        <f>AND('PROG FORMACIÓN TITULADA'!D824,"AAAAAEv3tsU=")</f>
        <v>#VALUE!</v>
      </c>
      <c r="GQ116" t="e">
        <f>AND('PROG FORMACIÓN TITULADA'!E824,"AAAAAEv3tsY=")</f>
        <v>#VALUE!</v>
      </c>
      <c r="GR116" t="e">
        <f>AND('PROG FORMACIÓN TITULADA'!F824,"AAAAAEv3tsc=")</f>
        <v>#VALUE!</v>
      </c>
      <c r="GS116" t="e">
        <f>AND('PROG FORMACIÓN TITULADA'!G824,"AAAAAEv3tsg=")</f>
        <v>#VALUE!</v>
      </c>
      <c r="GT116" t="e">
        <f>AND('PROG FORMACIÓN TITULADA'!H824,"AAAAAEv3tsk=")</f>
        <v>#VALUE!</v>
      </c>
      <c r="GU116" t="e">
        <f>AND('PROG FORMACIÓN TITULADA'!I824,"AAAAAEv3tso=")</f>
        <v>#VALUE!</v>
      </c>
      <c r="GV116" t="e">
        <f>AND('PROG FORMACIÓN TITULADA'!J824,"AAAAAEv3tss=")</f>
        <v>#VALUE!</v>
      </c>
      <c r="GW116" t="e">
        <f>AND('PROG FORMACIÓN TITULADA'!K824,"AAAAAEv3tsw=")</f>
        <v>#VALUE!</v>
      </c>
      <c r="GX116" t="e">
        <f>AND('PROG FORMACIÓN TITULADA'!L824,"AAAAAEv3ts0=")</f>
        <v>#VALUE!</v>
      </c>
      <c r="GY116" t="e">
        <f>AND('PROG FORMACIÓN TITULADA'!M824,"AAAAAEv3ts4=")</f>
        <v>#VALUE!</v>
      </c>
      <c r="GZ116" t="e">
        <f>AND('PROG FORMACIÓN TITULADA'!N824,"AAAAAEv3ts8=")</f>
        <v>#VALUE!</v>
      </c>
      <c r="HA116" t="e">
        <f>AND('PROG FORMACIÓN TITULADA'!O824,"AAAAAEv3ttA=")</f>
        <v>#VALUE!</v>
      </c>
      <c r="HB116" t="e">
        <f>AND('PROG FORMACIÓN TITULADA'!P824,"AAAAAEv3ttE=")</f>
        <v>#VALUE!</v>
      </c>
      <c r="HC116" t="e">
        <f>AND('PROG FORMACIÓN TITULADA'!Q824,"AAAAAEv3ttI=")</f>
        <v>#VALUE!</v>
      </c>
      <c r="HD116" t="e">
        <f>AND('PROG FORMACIÓN TITULADA'!R824,"AAAAAEv3ttM=")</f>
        <v>#VALUE!</v>
      </c>
      <c r="HE116" t="e">
        <f>AND('PROG FORMACIÓN TITULADA'!S824,"AAAAAEv3ttQ=")</f>
        <v>#VALUE!</v>
      </c>
      <c r="HF116" t="e">
        <f>AND('PROG FORMACIÓN TITULADA'!T824,"AAAAAEv3ttU=")</f>
        <v>#VALUE!</v>
      </c>
      <c r="HG116" t="e">
        <f>AND('PROG FORMACIÓN TITULADA'!U824,"AAAAAEv3ttY=")</f>
        <v>#VALUE!</v>
      </c>
      <c r="HH116" t="e">
        <f>AND('PROG FORMACIÓN TITULADA'!V824,"AAAAAEv3ttc=")</f>
        <v>#VALUE!</v>
      </c>
      <c r="HI116" t="e">
        <f>AND('PROG FORMACIÓN TITULADA'!W824,"AAAAAEv3ttg=")</f>
        <v>#VALUE!</v>
      </c>
      <c r="HJ116" t="e">
        <f>AND('PROG FORMACIÓN TITULADA'!X824,"AAAAAEv3ttk=")</f>
        <v>#VALUE!</v>
      </c>
      <c r="HK116" t="e">
        <f>AND('PROG FORMACIÓN TITULADA'!Y824,"AAAAAEv3tto=")</f>
        <v>#VALUE!</v>
      </c>
      <c r="HL116" t="e">
        <f>AND('PROG FORMACIÓN TITULADA'!Z824,"AAAAAEv3tts=")</f>
        <v>#VALUE!</v>
      </c>
      <c r="HM116">
        <f>IF('PROG FORMACIÓN TITULADA'!825:825,"AAAAAEv3ttw=",0)</f>
        <v>0</v>
      </c>
      <c r="HN116" t="e">
        <f>AND('PROG FORMACIÓN TITULADA'!A825,"AAAAAEv3tt0=")</f>
        <v>#VALUE!</v>
      </c>
      <c r="HO116" t="e">
        <f>AND('PROG FORMACIÓN TITULADA'!B824,"AAAAAEv3tt4=")</f>
        <v>#VALUE!</v>
      </c>
      <c r="HP116" t="e">
        <f>AND('PROG FORMACIÓN TITULADA'!C825,"AAAAAEv3tt8=")</f>
        <v>#VALUE!</v>
      </c>
      <c r="HQ116" t="e">
        <f>AND('PROG FORMACIÓN TITULADA'!D825,"AAAAAEv3tuA=")</f>
        <v>#VALUE!</v>
      </c>
      <c r="HR116" t="e">
        <f>AND('PROG FORMACIÓN TITULADA'!E825,"AAAAAEv3tuE=")</f>
        <v>#VALUE!</v>
      </c>
      <c r="HS116" t="e">
        <f>AND('PROG FORMACIÓN TITULADA'!F825,"AAAAAEv3tuI=")</f>
        <v>#VALUE!</v>
      </c>
      <c r="HT116" t="e">
        <f>AND('PROG FORMACIÓN TITULADA'!G825,"AAAAAEv3tuM=")</f>
        <v>#VALUE!</v>
      </c>
      <c r="HU116" t="e">
        <f>AND('PROG FORMACIÓN TITULADA'!H825,"AAAAAEv3tuQ=")</f>
        <v>#VALUE!</v>
      </c>
      <c r="HV116" t="e">
        <f>AND('PROG FORMACIÓN TITULADA'!I825,"AAAAAEv3tuU=")</f>
        <v>#VALUE!</v>
      </c>
      <c r="HW116" t="e">
        <f>AND('PROG FORMACIÓN TITULADA'!J825,"AAAAAEv3tuY=")</f>
        <v>#VALUE!</v>
      </c>
      <c r="HX116" t="e">
        <f>AND('PROG FORMACIÓN TITULADA'!K825,"AAAAAEv3tuc=")</f>
        <v>#VALUE!</v>
      </c>
      <c r="HY116" t="e">
        <f>AND('PROG FORMACIÓN TITULADA'!L825,"AAAAAEv3tug=")</f>
        <v>#VALUE!</v>
      </c>
      <c r="HZ116" t="e">
        <f>AND('PROG FORMACIÓN TITULADA'!M825,"AAAAAEv3tuk=")</f>
        <v>#VALUE!</v>
      </c>
      <c r="IA116" t="e">
        <f>AND('PROG FORMACIÓN TITULADA'!N825,"AAAAAEv3tuo=")</f>
        <v>#VALUE!</v>
      </c>
      <c r="IB116" t="e">
        <f>AND('PROG FORMACIÓN TITULADA'!O825,"AAAAAEv3tus=")</f>
        <v>#VALUE!</v>
      </c>
      <c r="IC116" t="e">
        <f>AND('PROG FORMACIÓN TITULADA'!P825,"AAAAAEv3tuw=")</f>
        <v>#VALUE!</v>
      </c>
      <c r="ID116" t="e">
        <f>AND('PROG FORMACIÓN TITULADA'!Q825,"AAAAAEv3tu0=")</f>
        <v>#VALUE!</v>
      </c>
      <c r="IE116" t="e">
        <f>AND('PROG FORMACIÓN TITULADA'!R825,"AAAAAEv3tu4=")</f>
        <v>#VALUE!</v>
      </c>
      <c r="IF116" t="e">
        <f>AND('PROG FORMACIÓN TITULADA'!S825,"AAAAAEv3tu8=")</f>
        <v>#VALUE!</v>
      </c>
      <c r="IG116" t="e">
        <f>AND('PROG FORMACIÓN TITULADA'!T825,"AAAAAEv3tvA=")</f>
        <v>#VALUE!</v>
      </c>
      <c r="IH116" t="e">
        <f>AND('PROG FORMACIÓN TITULADA'!U825,"AAAAAEv3tvE=")</f>
        <v>#VALUE!</v>
      </c>
      <c r="II116" t="e">
        <f>AND('PROG FORMACIÓN TITULADA'!V825,"AAAAAEv3tvI=")</f>
        <v>#VALUE!</v>
      </c>
      <c r="IJ116" t="e">
        <f>AND('PROG FORMACIÓN TITULADA'!W825,"AAAAAEv3tvM=")</f>
        <v>#VALUE!</v>
      </c>
      <c r="IK116" t="e">
        <f>AND('PROG FORMACIÓN TITULADA'!X825,"AAAAAEv3tvQ=")</f>
        <v>#VALUE!</v>
      </c>
      <c r="IL116" t="e">
        <f>AND('PROG FORMACIÓN TITULADA'!Y825,"AAAAAEv3tvU=")</f>
        <v>#VALUE!</v>
      </c>
      <c r="IM116" t="e">
        <f>AND('PROG FORMACIÓN TITULADA'!Z825,"AAAAAEv3tvY=")</f>
        <v>#VALUE!</v>
      </c>
      <c r="IN116">
        <f>IF('PROG FORMACIÓN TITULADA'!826:826,"AAAAAEv3tvc=",0)</f>
        <v>0</v>
      </c>
      <c r="IO116" t="e">
        <f>AND('PROG FORMACIÓN TITULADA'!A826,"AAAAAEv3tvg=")</f>
        <v>#VALUE!</v>
      </c>
      <c r="IP116" t="e">
        <f>AND('PROG FORMACIÓN TITULADA'!B825,"AAAAAEv3tvk=")</f>
        <v>#VALUE!</v>
      </c>
      <c r="IQ116" t="e">
        <f>AND('PROG FORMACIÓN TITULADA'!C826,"AAAAAEv3tvo=")</f>
        <v>#VALUE!</v>
      </c>
      <c r="IR116" t="e">
        <f>AND('PROG FORMACIÓN TITULADA'!D826,"AAAAAEv3tvs=")</f>
        <v>#VALUE!</v>
      </c>
      <c r="IS116" t="e">
        <f>AND('PROG FORMACIÓN TITULADA'!E826,"AAAAAEv3tvw=")</f>
        <v>#VALUE!</v>
      </c>
      <c r="IT116" t="e">
        <f>AND('PROG FORMACIÓN TITULADA'!F826,"AAAAAEv3tv0=")</f>
        <v>#VALUE!</v>
      </c>
      <c r="IU116" t="e">
        <f>AND('PROG FORMACIÓN TITULADA'!G826,"AAAAAEv3tv4=")</f>
        <v>#VALUE!</v>
      </c>
      <c r="IV116" t="e">
        <f>AND('PROG FORMACIÓN TITULADA'!H826,"AAAAAEv3tv8=")</f>
        <v>#VALUE!</v>
      </c>
    </row>
    <row r="117" spans="1:256" x14ac:dyDescent="0.2">
      <c r="A117" t="e">
        <f>AND('PROG FORMACIÓN TITULADA'!I826,"AAAAAD/nfwA=")</f>
        <v>#VALUE!</v>
      </c>
      <c r="B117" t="e">
        <f>AND('PROG FORMACIÓN TITULADA'!J826,"AAAAAD/nfwE=")</f>
        <v>#VALUE!</v>
      </c>
      <c r="C117" t="e">
        <f>AND('PROG FORMACIÓN TITULADA'!K826,"AAAAAD/nfwI=")</f>
        <v>#VALUE!</v>
      </c>
      <c r="D117" t="e">
        <f>AND('PROG FORMACIÓN TITULADA'!L826,"AAAAAD/nfwM=")</f>
        <v>#VALUE!</v>
      </c>
      <c r="E117" t="e">
        <f>AND('PROG FORMACIÓN TITULADA'!M826,"AAAAAD/nfwQ=")</f>
        <v>#VALUE!</v>
      </c>
      <c r="F117" t="e">
        <f>AND('PROG FORMACIÓN TITULADA'!N826,"AAAAAD/nfwU=")</f>
        <v>#VALUE!</v>
      </c>
      <c r="G117" t="e">
        <f>AND('PROG FORMACIÓN TITULADA'!O826,"AAAAAD/nfwY=")</f>
        <v>#VALUE!</v>
      </c>
      <c r="H117" t="e">
        <f>AND('PROG FORMACIÓN TITULADA'!P826,"AAAAAD/nfwc=")</f>
        <v>#VALUE!</v>
      </c>
      <c r="I117" t="e">
        <f>AND('PROG FORMACIÓN TITULADA'!Q826,"AAAAAD/nfwg=")</f>
        <v>#VALUE!</v>
      </c>
      <c r="J117" t="e">
        <f>AND('PROG FORMACIÓN TITULADA'!R826,"AAAAAD/nfwk=")</f>
        <v>#VALUE!</v>
      </c>
      <c r="K117" t="e">
        <f>AND('PROG FORMACIÓN TITULADA'!S826,"AAAAAD/nfwo=")</f>
        <v>#VALUE!</v>
      </c>
      <c r="L117" t="e">
        <f>AND('PROG FORMACIÓN TITULADA'!T826,"AAAAAD/nfws=")</f>
        <v>#VALUE!</v>
      </c>
      <c r="M117" t="e">
        <f>AND('PROG FORMACIÓN TITULADA'!U826,"AAAAAD/nfww=")</f>
        <v>#VALUE!</v>
      </c>
      <c r="N117" t="e">
        <f>AND('PROG FORMACIÓN TITULADA'!V826,"AAAAAD/nfw0=")</f>
        <v>#VALUE!</v>
      </c>
      <c r="O117" t="e">
        <f>AND('PROG FORMACIÓN TITULADA'!W826,"AAAAAD/nfw4=")</f>
        <v>#VALUE!</v>
      </c>
      <c r="P117" t="e">
        <f>AND('PROG FORMACIÓN TITULADA'!X826,"AAAAAD/nfw8=")</f>
        <v>#VALUE!</v>
      </c>
      <c r="Q117" t="e">
        <f>AND('PROG FORMACIÓN TITULADA'!Y826,"AAAAAD/nfxA=")</f>
        <v>#VALUE!</v>
      </c>
      <c r="R117" t="e">
        <f>AND('PROG FORMACIÓN TITULADA'!Z826,"AAAAAD/nfxE=")</f>
        <v>#VALUE!</v>
      </c>
      <c r="S117">
        <f>IF('PROG FORMACIÓN TITULADA'!827:827,"AAAAAD/nfxI=",0)</f>
        <v>0</v>
      </c>
      <c r="T117" t="e">
        <f>AND('PROG FORMACIÓN TITULADA'!A827,"AAAAAD/nfxM=")</f>
        <v>#VALUE!</v>
      </c>
      <c r="U117" t="e">
        <f>AND('PROG FORMACIÓN TITULADA'!B826,"AAAAAD/nfxQ=")</f>
        <v>#VALUE!</v>
      </c>
      <c r="V117" t="e">
        <f>AND('PROG FORMACIÓN TITULADA'!C827,"AAAAAD/nfxU=")</f>
        <v>#VALUE!</v>
      </c>
      <c r="W117" t="e">
        <f>AND('PROG FORMACIÓN TITULADA'!D827,"AAAAAD/nfxY=")</f>
        <v>#VALUE!</v>
      </c>
      <c r="X117" t="e">
        <f>AND('PROG FORMACIÓN TITULADA'!E827,"AAAAAD/nfxc=")</f>
        <v>#VALUE!</v>
      </c>
      <c r="Y117" t="e">
        <f>AND('PROG FORMACIÓN TITULADA'!F827,"AAAAAD/nfxg=")</f>
        <v>#VALUE!</v>
      </c>
      <c r="Z117" t="e">
        <f>AND('PROG FORMACIÓN TITULADA'!G827,"AAAAAD/nfxk=")</f>
        <v>#VALUE!</v>
      </c>
      <c r="AA117" t="e">
        <f>AND('PROG FORMACIÓN TITULADA'!H827,"AAAAAD/nfxo=")</f>
        <v>#VALUE!</v>
      </c>
      <c r="AB117" t="e">
        <f>AND('PROG FORMACIÓN TITULADA'!I827,"AAAAAD/nfxs=")</f>
        <v>#VALUE!</v>
      </c>
      <c r="AC117" t="e">
        <f>AND('PROG FORMACIÓN TITULADA'!J827,"AAAAAD/nfxw=")</f>
        <v>#VALUE!</v>
      </c>
      <c r="AD117" t="e">
        <f>AND('PROG FORMACIÓN TITULADA'!K827,"AAAAAD/nfx0=")</f>
        <v>#VALUE!</v>
      </c>
      <c r="AE117" t="e">
        <f>AND('PROG FORMACIÓN TITULADA'!L827,"AAAAAD/nfx4=")</f>
        <v>#VALUE!</v>
      </c>
      <c r="AF117" t="e">
        <f>AND('PROG FORMACIÓN TITULADA'!M827,"AAAAAD/nfx8=")</f>
        <v>#VALUE!</v>
      </c>
      <c r="AG117" t="e">
        <f>AND('PROG FORMACIÓN TITULADA'!N827,"AAAAAD/nfyA=")</f>
        <v>#VALUE!</v>
      </c>
      <c r="AH117" t="e">
        <f>AND('PROG FORMACIÓN TITULADA'!O827,"AAAAAD/nfyE=")</f>
        <v>#VALUE!</v>
      </c>
      <c r="AI117" t="e">
        <f>AND('PROG FORMACIÓN TITULADA'!P827,"AAAAAD/nfyI=")</f>
        <v>#VALUE!</v>
      </c>
      <c r="AJ117" t="e">
        <f>AND('PROG FORMACIÓN TITULADA'!Q827,"AAAAAD/nfyM=")</f>
        <v>#VALUE!</v>
      </c>
      <c r="AK117" t="e">
        <f>AND('PROG FORMACIÓN TITULADA'!R827,"AAAAAD/nfyQ=")</f>
        <v>#VALUE!</v>
      </c>
      <c r="AL117" t="e">
        <f>AND('PROG FORMACIÓN TITULADA'!S827,"AAAAAD/nfyU=")</f>
        <v>#VALUE!</v>
      </c>
      <c r="AM117" t="e">
        <f>AND('PROG FORMACIÓN TITULADA'!T827,"AAAAAD/nfyY=")</f>
        <v>#VALUE!</v>
      </c>
      <c r="AN117" t="e">
        <f>AND('PROG FORMACIÓN TITULADA'!U827,"AAAAAD/nfyc=")</f>
        <v>#VALUE!</v>
      </c>
      <c r="AO117" t="e">
        <f>AND('PROG FORMACIÓN TITULADA'!V827,"AAAAAD/nfyg=")</f>
        <v>#VALUE!</v>
      </c>
      <c r="AP117" t="e">
        <f>AND('PROG FORMACIÓN TITULADA'!W827,"AAAAAD/nfyk=")</f>
        <v>#VALUE!</v>
      </c>
      <c r="AQ117" t="e">
        <f>AND('PROG FORMACIÓN TITULADA'!X827,"AAAAAD/nfyo=")</f>
        <v>#VALUE!</v>
      </c>
      <c r="AR117" t="e">
        <f>AND('PROG FORMACIÓN TITULADA'!Y827,"AAAAAD/nfys=")</f>
        <v>#VALUE!</v>
      </c>
      <c r="AS117" t="e">
        <f>AND('PROG FORMACIÓN TITULADA'!Z827,"AAAAAD/nfyw=")</f>
        <v>#VALUE!</v>
      </c>
      <c r="AT117">
        <f>IF('PROG FORMACIÓN TITULADA'!828:828,"AAAAAD/nfy0=",0)</f>
        <v>0</v>
      </c>
      <c r="AU117" t="e">
        <f>AND('PROG FORMACIÓN TITULADA'!A828,"AAAAAD/nfy4=")</f>
        <v>#VALUE!</v>
      </c>
      <c r="AV117" t="e">
        <f>AND('PROG FORMACIÓN TITULADA'!B827,"AAAAAD/nfy8=")</f>
        <v>#VALUE!</v>
      </c>
      <c r="AW117" t="e">
        <f>AND('PROG FORMACIÓN TITULADA'!C828,"AAAAAD/nfzA=")</f>
        <v>#VALUE!</v>
      </c>
      <c r="AX117" t="e">
        <f>AND('PROG FORMACIÓN TITULADA'!D828,"AAAAAD/nfzE=")</f>
        <v>#VALUE!</v>
      </c>
      <c r="AY117" t="e">
        <f>AND('PROG FORMACIÓN TITULADA'!E828,"AAAAAD/nfzI=")</f>
        <v>#VALUE!</v>
      </c>
      <c r="AZ117" t="e">
        <f>AND('PROG FORMACIÓN TITULADA'!F828,"AAAAAD/nfzM=")</f>
        <v>#VALUE!</v>
      </c>
      <c r="BA117" t="e">
        <f>AND('PROG FORMACIÓN TITULADA'!G828,"AAAAAD/nfzQ=")</f>
        <v>#VALUE!</v>
      </c>
      <c r="BB117" t="e">
        <f>AND('PROG FORMACIÓN TITULADA'!H828,"AAAAAD/nfzU=")</f>
        <v>#VALUE!</v>
      </c>
      <c r="BC117" t="e">
        <f>AND('PROG FORMACIÓN TITULADA'!I828,"AAAAAD/nfzY=")</f>
        <v>#VALUE!</v>
      </c>
      <c r="BD117" t="e">
        <f>AND('PROG FORMACIÓN TITULADA'!J828,"AAAAAD/nfzc=")</f>
        <v>#VALUE!</v>
      </c>
      <c r="BE117" t="e">
        <f>AND('PROG FORMACIÓN TITULADA'!K828,"AAAAAD/nfzg=")</f>
        <v>#VALUE!</v>
      </c>
      <c r="BF117" t="e">
        <f>AND('PROG FORMACIÓN TITULADA'!L828,"AAAAAD/nfzk=")</f>
        <v>#VALUE!</v>
      </c>
      <c r="BG117" t="e">
        <f>AND('PROG FORMACIÓN TITULADA'!M828,"AAAAAD/nfzo=")</f>
        <v>#VALUE!</v>
      </c>
      <c r="BH117" t="e">
        <f>AND('PROG FORMACIÓN TITULADA'!N828,"AAAAAD/nfzs=")</f>
        <v>#VALUE!</v>
      </c>
      <c r="BI117" t="e">
        <f>AND('PROG FORMACIÓN TITULADA'!O828,"AAAAAD/nfzw=")</f>
        <v>#VALUE!</v>
      </c>
      <c r="BJ117" t="e">
        <f>AND('PROG FORMACIÓN TITULADA'!P828,"AAAAAD/nfz0=")</f>
        <v>#VALUE!</v>
      </c>
      <c r="BK117" t="e">
        <f>AND('PROG FORMACIÓN TITULADA'!Q828,"AAAAAD/nfz4=")</f>
        <v>#VALUE!</v>
      </c>
      <c r="BL117" t="e">
        <f>AND('PROG FORMACIÓN TITULADA'!R828,"AAAAAD/nfz8=")</f>
        <v>#VALUE!</v>
      </c>
      <c r="BM117" t="e">
        <f>AND('PROG FORMACIÓN TITULADA'!S828,"AAAAAD/nf0A=")</f>
        <v>#VALUE!</v>
      </c>
      <c r="BN117" t="e">
        <f>AND('PROG FORMACIÓN TITULADA'!T828,"AAAAAD/nf0E=")</f>
        <v>#VALUE!</v>
      </c>
      <c r="BO117" t="e">
        <f>AND('PROG FORMACIÓN TITULADA'!U828,"AAAAAD/nf0I=")</f>
        <v>#VALUE!</v>
      </c>
      <c r="BP117" t="e">
        <f>AND('PROG FORMACIÓN TITULADA'!V828,"AAAAAD/nf0M=")</f>
        <v>#VALUE!</v>
      </c>
      <c r="BQ117" t="e">
        <f>AND('PROG FORMACIÓN TITULADA'!W828,"AAAAAD/nf0Q=")</f>
        <v>#VALUE!</v>
      </c>
      <c r="BR117" t="e">
        <f>AND('PROG FORMACIÓN TITULADA'!X828,"AAAAAD/nf0U=")</f>
        <v>#VALUE!</v>
      </c>
      <c r="BS117" t="e">
        <f>AND('PROG FORMACIÓN TITULADA'!Y828,"AAAAAD/nf0Y=")</f>
        <v>#VALUE!</v>
      </c>
      <c r="BT117" t="e">
        <f>AND('PROG FORMACIÓN TITULADA'!Z828,"AAAAAD/nf0c=")</f>
        <v>#VALUE!</v>
      </c>
      <c r="BU117">
        <f>IF('PROG FORMACIÓN TITULADA'!829:829,"AAAAAD/nf0g=",0)</f>
        <v>0</v>
      </c>
      <c r="BV117" t="e">
        <f>AND('PROG FORMACIÓN TITULADA'!A829,"AAAAAD/nf0k=")</f>
        <v>#VALUE!</v>
      </c>
      <c r="BW117" t="e">
        <f>AND('PROG FORMACIÓN TITULADA'!B828,"AAAAAD/nf0o=")</f>
        <v>#VALUE!</v>
      </c>
      <c r="BX117" t="e">
        <f>AND('PROG FORMACIÓN TITULADA'!C829,"AAAAAD/nf0s=")</f>
        <v>#VALUE!</v>
      </c>
      <c r="BY117" t="e">
        <f>AND('PROG FORMACIÓN TITULADA'!D829,"AAAAAD/nf0w=")</f>
        <v>#VALUE!</v>
      </c>
      <c r="BZ117" t="e">
        <f>AND('PROG FORMACIÓN TITULADA'!E829,"AAAAAD/nf00=")</f>
        <v>#VALUE!</v>
      </c>
      <c r="CA117" t="e">
        <f>AND('PROG FORMACIÓN TITULADA'!F829,"AAAAAD/nf04=")</f>
        <v>#VALUE!</v>
      </c>
      <c r="CB117" t="e">
        <f>AND('PROG FORMACIÓN TITULADA'!G829,"AAAAAD/nf08=")</f>
        <v>#VALUE!</v>
      </c>
      <c r="CC117" t="e">
        <f>AND('PROG FORMACIÓN TITULADA'!H829,"AAAAAD/nf1A=")</f>
        <v>#VALUE!</v>
      </c>
      <c r="CD117" t="e">
        <f>AND('PROG FORMACIÓN TITULADA'!I829,"AAAAAD/nf1E=")</f>
        <v>#VALUE!</v>
      </c>
      <c r="CE117" t="e">
        <f>AND('PROG FORMACIÓN TITULADA'!J829,"AAAAAD/nf1I=")</f>
        <v>#VALUE!</v>
      </c>
      <c r="CF117" t="e">
        <f>AND('PROG FORMACIÓN TITULADA'!K829,"AAAAAD/nf1M=")</f>
        <v>#VALUE!</v>
      </c>
      <c r="CG117" t="e">
        <f>AND('PROG FORMACIÓN TITULADA'!L829,"AAAAAD/nf1Q=")</f>
        <v>#VALUE!</v>
      </c>
      <c r="CH117" t="e">
        <f>AND('PROG FORMACIÓN TITULADA'!M829,"AAAAAD/nf1U=")</f>
        <v>#VALUE!</v>
      </c>
      <c r="CI117" t="e">
        <f>AND('PROG FORMACIÓN TITULADA'!N829,"AAAAAD/nf1Y=")</f>
        <v>#VALUE!</v>
      </c>
      <c r="CJ117" t="e">
        <f>AND('PROG FORMACIÓN TITULADA'!O829,"AAAAAD/nf1c=")</f>
        <v>#VALUE!</v>
      </c>
      <c r="CK117" t="e">
        <f>AND('PROG FORMACIÓN TITULADA'!P829,"AAAAAD/nf1g=")</f>
        <v>#VALUE!</v>
      </c>
      <c r="CL117" t="e">
        <f>AND('PROG FORMACIÓN TITULADA'!Q829,"AAAAAD/nf1k=")</f>
        <v>#VALUE!</v>
      </c>
      <c r="CM117" t="e">
        <f>AND('PROG FORMACIÓN TITULADA'!R829,"AAAAAD/nf1o=")</f>
        <v>#VALUE!</v>
      </c>
      <c r="CN117" t="e">
        <f>AND('PROG FORMACIÓN TITULADA'!S829,"AAAAAD/nf1s=")</f>
        <v>#VALUE!</v>
      </c>
      <c r="CO117" t="e">
        <f>AND('PROG FORMACIÓN TITULADA'!T829,"AAAAAD/nf1w=")</f>
        <v>#VALUE!</v>
      </c>
      <c r="CP117" t="e">
        <f>AND('PROG FORMACIÓN TITULADA'!U829,"AAAAAD/nf10=")</f>
        <v>#VALUE!</v>
      </c>
      <c r="CQ117" t="e">
        <f>AND('PROG FORMACIÓN TITULADA'!V829,"AAAAAD/nf14=")</f>
        <v>#VALUE!</v>
      </c>
      <c r="CR117" t="e">
        <f>AND('PROG FORMACIÓN TITULADA'!W829,"AAAAAD/nf18=")</f>
        <v>#VALUE!</v>
      </c>
      <c r="CS117" t="e">
        <f>AND('PROG FORMACIÓN TITULADA'!X829,"AAAAAD/nf2A=")</f>
        <v>#VALUE!</v>
      </c>
      <c r="CT117" t="e">
        <f>AND('PROG FORMACIÓN TITULADA'!Y829,"AAAAAD/nf2E=")</f>
        <v>#VALUE!</v>
      </c>
      <c r="CU117" t="e">
        <f>AND('PROG FORMACIÓN TITULADA'!Z829,"AAAAAD/nf2I=")</f>
        <v>#VALUE!</v>
      </c>
      <c r="CV117">
        <f>IF('PROG FORMACIÓN TITULADA'!830:830,"AAAAAD/nf2M=",0)</f>
        <v>0</v>
      </c>
      <c r="CW117" t="e">
        <f>AND('PROG FORMACIÓN TITULADA'!A830,"AAAAAD/nf2Q=")</f>
        <v>#VALUE!</v>
      </c>
      <c r="CX117" t="e">
        <f>AND('PROG FORMACIÓN TITULADA'!B829,"AAAAAD/nf2U=")</f>
        <v>#VALUE!</v>
      </c>
      <c r="CY117" t="e">
        <f>AND('PROG FORMACIÓN TITULADA'!C830,"AAAAAD/nf2Y=")</f>
        <v>#VALUE!</v>
      </c>
      <c r="CZ117" t="e">
        <f>AND('PROG FORMACIÓN TITULADA'!D830,"AAAAAD/nf2c=")</f>
        <v>#VALUE!</v>
      </c>
      <c r="DA117" t="e">
        <f>AND('PROG FORMACIÓN TITULADA'!E830,"AAAAAD/nf2g=")</f>
        <v>#VALUE!</v>
      </c>
      <c r="DB117" t="e">
        <f>AND('PROG FORMACIÓN TITULADA'!F830,"AAAAAD/nf2k=")</f>
        <v>#VALUE!</v>
      </c>
      <c r="DC117" t="e">
        <f>AND('PROG FORMACIÓN TITULADA'!G830,"AAAAAD/nf2o=")</f>
        <v>#VALUE!</v>
      </c>
      <c r="DD117" t="e">
        <f>AND('PROG FORMACIÓN TITULADA'!H830,"AAAAAD/nf2s=")</f>
        <v>#VALUE!</v>
      </c>
      <c r="DE117" t="e">
        <f>AND('PROG FORMACIÓN TITULADA'!I830,"AAAAAD/nf2w=")</f>
        <v>#VALUE!</v>
      </c>
      <c r="DF117" t="e">
        <f>AND('PROG FORMACIÓN TITULADA'!J830,"AAAAAD/nf20=")</f>
        <v>#VALUE!</v>
      </c>
      <c r="DG117" t="e">
        <f>AND('PROG FORMACIÓN TITULADA'!K830,"AAAAAD/nf24=")</f>
        <v>#VALUE!</v>
      </c>
      <c r="DH117" t="e">
        <f>AND('PROG FORMACIÓN TITULADA'!L830,"AAAAAD/nf28=")</f>
        <v>#VALUE!</v>
      </c>
      <c r="DI117" t="e">
        <f>AND('PROG FORMACIÓN TITULADA'!M830,"AAAAAD/nf3A=")</f>
        <v>#VALUE!</v>
      </c>
      <c r="DJ117" t="e">
        <f>AND('PROG FORMACIÓN TITULADA'!N830,"AAAAAD/nf3E=")</f>
        <v>#VALUE!</v>
      </c>
      <c r="DK117" t="e">
        <f>AND('PROG FORMACIÓN TITULADA'!O830,"AAAAAD/nf3I=")</f>
        <v>#VALUE!</v>
      </c>
      <c r="DL117" t="e">
        <f>AND('PROG FORMACIÓN TITULADA'!P830,"AAAAAD/nf3M=")</f>
        <v>#VALUE!</v>
      </c>
      <c r="DM117" t="e">
        <f>AND('PROG FORMACIÓN TITULADA'!Q830,"AAAAAD/nf3Q=")</f>
        <v>#VALUE!</v>
      </c>
      <c r="DN117" t="e">
        <f>AND('PROG FORMACIÓN TITULADA'!R830,"AAAAAD/nf3U=")</f>
        <v>#VALUE!</v>
      </c>
      <c r="DO117" t="e">
        <f>AND('PROG FORMACIÓN TITULADA'!S830,"AAAAAD/nf3Y=")</f>
        <v>#VALUE!</v>
      </c>
      <c r="DP117" t="e">
        <f>AND('PROG FORMACIÓN TITULADA'!T830,"AAAAAD/nf3c=")</f>
        <v>#VALUE!</v>
      </c>
      <c r="DQ117" t="e">
        <f>AND('PROG FORMACIÓN TITULADA'!U830,"AAAAAD/nf3g=")</f>
        <v>#VALUE!</v>
      </c>
      <c r="DR117" t="e">
        <f>AND('PROG FORMACIÓN TITULADA'!V830,"AAAAAD/nf3k=")</f>
        <v>#VALUE!</v>
      </c>
      <c r="DS117" t="e">
        <f>AND('PROG FORMACIÓN TITULADA'!W830,"AAAAAD/nf3o=")</f>
        <v>#VALUE!</v>
      </c>
      <c r="DT117" t="e">
        <f>AND('PROG FORMACIÓN TITULADA'!X830,"AAAAAD/nf3s=")</f>
        <v>#VALUE!</v>
      </c>
      <c r="DU117" t="e">
        <f>AND('PROG FORMACIÓN TITULADA'!Y830,"AAAAAD/nf3w=")</f>
        <v>#VALUE!</v>
      </c>
      <c r="DV117" t="e">
        <f>AND('PROG FORMACIÓN TITULADA'!Z830,"AAAAAD/nf30=")</f>
        <v>#VALUE!</v>
      </c>
      <c r="DW117">
        <f>IF('PROG FORMACIÓN TITULADA'!831:831,"AAAAAD/nf34=",0)</f>
        <v>0</v>
      </c>
      <c r="DX117" t="e">
        <f>AND('PROG FORMACIÓN TITULADA'!A831,"AAAAAD/nf38=")</f>
        <v>#VALUE!</v>
      </c>
      <c r="DY117" t="e">
        <f>AND('PROG FORMACIÓN TITULADA'!B830,"AAAAAD/nf4A=")</f>
        <v>#VALUE!</v>
      </c>
      <c r="DZ117" t="e">
        <f>AND('PROG FORMACIÓN TITULADA'!C831,"AAAAAD/nf4E=")</f>
        <v>#VALUE!</v>
      </c>
      <c r="EA117" t="e">
        <f>AND('PROG FORMACIÓN TITULADA'!D831,"AAAAAD/nf4I=")</f>
        <v>#VALUE!</v>
      </c>
      <c r="EB117" t="e">
        <f>AND('PROG FORMACIÓN TITULADA'!E831,"AAAAAD/nf4M=")</f>
        <v>#VALUE!</v>
      </c>
      <c r="EC117" t="e">
        <f>AND('PROG FORMACIÓN TITULADA'!F831,"AAAAAD/nf4Q=")</f>
        <v>#VALUE!</v>
      </c>
      <c r="ED117" t="e">
        <f>AND('PROG FORMACIÓN TITULADA'!G831,"AAAAAD/nf4U=")</f>
        <v>#VALUE!</v>
      </c>
      <c r="EE117" t="e">
        <f>AND('PROG FORMACIÓN TITULADA'!H831,"AAAAAD/nf4Y=")</f>
        <v>#VALUE!</v>
      </c>
      <c r="EF117" t="e">
        <f>AND('PROG FORMACIÓN TITULADA'!I831,"AAAAAD/nf4c=")</f>
        <v>#VALUE!</v>
      </c>
      <c r="EG117" t="e">
        <f>AND('PROG FORMACIÓN TITULADA'!J831,"AAAAAD/nf4g=")</f>
        <v>#VALUE!</v>
      </c>
      <c r="EH117" t="e">
        <f>AND('PROG FORMACIÓN TITULADA'!K831,"AAAAAD/nf4k=")</f>
        <v>#VALUE!</v>
      </c>
      <c r="EI117" t="e">
        <f>AND('PROG FORMACIÓN TITULADA'!L831,"AAAAAD/nf4o=")</f>
        <v>#VALUE!</v>
      </c>
      <c r="EJ117" t="e">
        <f>AND('PROG FORMACIÓN TITULADA'!M831,"AAAAAD/nf4s=")</f>
        <v>#VALUE!</v>
      </c>
      <c r="EK117" t="e">
        <f>AND('PROG FORMACIÓN TITULADA'!N831,"AAAAAD/nf4w=")</f>
        <v>#VALUE!</v>
      </c>
      <c r="EL117" t="e">
        <f>AND('PROG FORMACIÓN TITULADA'!O831,"AAAAAD/nf40=")</f>
        <v>#VALUE!</v>
      </c>
      <c r="EM117" t="e">
        <f>AND('PROG FORMACIÓN TITULADA'!P831,"AAAAAD/nf44=")</f>
        <v>#VALUE!</v>
      </c>
      <c r="EN117" t="e">
        <f>AND('PROG FORMACIÓN TITULADA'!Q831,"AAAAAD/nf48=")</f>
        <v>#VALUE!</v>
      </c>
      <c r="EO117" t="e">
        <f>AND('PROG FORMACIÓN TITULADA'!R831,"AAAAAD/nf5A=")</f>
        <v>#VALUE!</v>
      </c>
      <c r="EP117" t="e">
        <f>AND('PROG FORMACIÓN TITULADA'!S831,"AAAAAD/nf5E=")</f>
        <v>#VALUE!</v>
      </c>
      <c r="EQ117" t="e">
        <f>AND('PROG FORMACIÓN TITULADA'!T831,"AAAAAD/nf5I=")</f>
        <v>#VALUE!</v>
      </c>
      <c r="ER117" t="e">
        <f>AND('PROG FORMACIÓN TITULADA'!U831,"AAAAAD/nf5M=")</f>
        <v>#VALUE!</v>
      </c>
      <c r="ES117" t="e">
        <f>AND('PROG FORMACIÓN TITULADA'!V831,"AAAAAD/nf5Q=")</f>
        <v>#VALUE!</v>
      </c>
      <c r="ET117" t="e">
        <f>AND('PROG FORMACIÓN TITULADA'!W831,"AAAAAD/nf5U=")</f>
        <v>#VALUE!</v>
      </c>
      <c r="EU117" t="e">
        <f>AND('PROG FORMACIÓN TITULADA'!X831,"AAAAAD/nf5Y=")</f>
        <v>#VALUE!</v>
      </c>
      <c r="EV117" t="e">
        <f>AND('PROG FORMACIÓN TITULADA'!Y831,"AAAAAD/nf5c=")</f>
        <v>#VALUE!</v>
      </c>
      <c r="EW117" t="e">
        <f>AND('PROG FORMACIÓN TITULADA'!Z831,"AAAAAD/nf5g=")</f>
        <v>#VALUE!</v>
      </c>
      <c r="EX117">
        <f>IF('PROG FORMACIÓN TITULADA'!832:832,"AAAAAD/nf5k=",0)</f>
        <v>0</v>
      </c>
      <c r="EY117" t="e">
        <f>AND('PROG FORMACIÓN TITULADA'!A832,"AAAAAD/nf5o=")</f>
        <v>#VALUE!</v>
      </c>
      <c r="EZ117" t="e">
        <f>AND('PROG FORMACIÓN TITULADA'!B831,"AAAAAD/nf5s=")</f>
        <v>#VALUE!</v>
      </c>
      <c r="FA117" t="e">
        <f>AND('PROG FORMACIÓN TITULADA'!C832,"AAAAAD/nf5w=")</f>
        <v>#VALUE!</v>
      </c>
      <c r="FB117" t="e">
        <f>AND('PROG FORMACIÓN TITULADA'!D832,"AAAAAD/nf50=")</f>
        <v>#VALUE!</v>
      </c>
      <c r="FC117" t="e">
        <f>AND('PROG FORMACIÓN TITULADA'!E832,"AAAAAD/nf54=")</f>
        <v>#VALUE!</v>
      </c>
      <c r="FD117" t="e">
        <f>AND('PROG FORMACIÓN TITULADA'!F832,"AAAAAD/nf58=")</f>
        <v>#VALUE!</v>
      </c>
      <c r="FE117" t="e">
        <f>AND('PROG FORMACIÓN TITULADA'!G832,"AAAAAD/nf6A=")</f>
        <v>#VALUE!</v>
      </c>
      <c r="FF117" t="e">
        <f>AND('PROG FORMACIÓN TITULADA'!H832,"AAAAAD/nf6E=")</f>
        <v>#VALUE!</v>
      </c>
      <c r="FG117" t="e">
        <f>AND('PROG FORMACIÓN TITULADA'!I832,"AAAAAD/nf6I=")</f>
        <v>#VALUE!</v>
      </c>
      <c r="FH117" t="e">
        <f>AND('PROG FORMACIÓN TITULADA'!J832,"AAAAAD/nf6M=")</f>
        <v>#VALUE!</v>
      </c>
      <c r="FI117" t="e">
        <f>AND('PROG FORMACIÓN TITULADA'!K832,"AAAAAD/nf6Q=")</f>
        <v>#VALUE!</v>
      </c>
      <c r="FJ117" t="e">
        <f>AND('PROG FORMACIÓN TITULADA'!L832,"AAAAAD/nf6U=")</f>
        <v>#VALUE!</v>
      </c>
      <c r="FK117" t="e">
        <f>AND('PROG FORMACIÓN TITULADA'!M832,"AAAAAD/nf6Y=")</f>
        <v>#VALUE!</v>
      </c>
      <c r="FL117" t="e">
        <f>AND('PROG FORMACIÓN TITULADA'!N832,"AAAAAD/nf6c=")</f>
        <v>#VALUE!</v>
      </c>
      <c r="FM117" t="e">
        <f>AND('PROG FORMACIÓN TITULADA'!O832,"AAAAAD/nf6g=")</f>
        <v>#VALUE!</v>
      </c>
      <c r="FN117" t="e">
        <f>AND('PROG FORMACIÓN TITULADA'!P832,"AAAAAD/nf6k=")</f>
        <v>#VALUE!</v>
      </c>
      <c r="FO117" t="e">
        <f>AND('PROG FORMACIÓN TITULADA'!Q832,"AAAAAD/nf6o=")</f>
        <v>#VALUE!</v>
      </c>
      <c r="FP117" t="e">
        <f>AND('PROG FORMACIÓN TITULADA'!R832,"AAAAAD/nf6s=")</f>
        <v>#VALUE!</v>
      </c>
      <c r="FQ117" t="e">
        <f>AND('PROG FORMACIÓN TITULADA'!S832,"AAAAAD/nf6w=")</f>
        <v>#VALUE!</v>
      </c>
      <c r="FR117" t="e">
        <f>AND('PROG FORMACIÓN TITULADA'!T832,"AAAAAD/nf60=")</f>
        <v>#VALUE!</v>
      </c>
      <c r="FS117" t="e">
        <f>AND('PROG FORMACIÓN TITULADA'!U832,"AAAAAD/nf64=")</f>
        <v>#VALUE!</v>
      </c>
      <c r="FT117" t="e">
        <f>AND('PROG FORMACIÓN TITULADA'!V832,"AAAAAD/nf68=")</f>
        <v>#VALUE!</v>
      </c>
      <c r="FU117" t="e">
        <f>AND('PROG FORMACIÓN TITULADA'!W832,"AAAAAD/nf7A=")</f>
        <v>#VALUE!</v>
      </c>
      <c r="FV117" t="e">
        <f>AND('PROG FORMACIÓN TITULADA'!X832,"AAAAAD/nf7E=")</f>
        <v>#VALUE!</v>
      </c>
      <c r="FW117" t="e">
        <f>AND('PROG FORMACIÓN TITULADA'!Y832,"AAAAAD/nf7I=")</f>
        <v>#VALUE!</v>
      </c>
      <c r="FX117" t="e">
        <f>AND('PROG FORMACIÓN TITULADA'!Z832,"AAAAAD/nf7M=")</f>
        <v>#VALUE!</v>
      </c>
      <c r="FY117">
        <f>IF('PROG FORMACIÓN TITULADA'!833:833,"AAAAAD/nf7Q=",0)</f>
        <v>0</v>
      </c>
      <c r="FZ117" t="e">
        <f>AND('PROG FORMACIÓN TITULADA'!A833,"AAAAAD/nf7U=")</f>
        <v>#VALUE!</v>
      </c>
      <c r="GA117" t="e">
        <f>AND('PROG FORMACIÓN TITULADA'!B832,"AAAAAD/nf7Y=")</f>
        <v>#VALUE!</v>
      </c>
      <c r="GB117" t="e">
        <f>AND('PROG FORMACIÓN TITULADA'!C833,"AAAAAD/nf7c=")</f>
        <v>#VALUE!</v>
      </c>
      <c r="GC117" t="e">
        <f>AND('PROG FORMACIÓN TITULADA'!D833,"AAAAAD/nf7g=")</f>
        <v>#VALUE!</v>
      </c>
      <c r="GD117" t="e">
        <f>AND('PROG FORMACIÓN TITULADA'!E833,"AAAAAD/nf7k=")</f>
        <v>#VALUE!</v>
      </c>
      <c r="GE117" t="e">
        <f>AND('PROG FORMACIÓN TITULADA'!F833,"AAAAAD/nf7o=")</f>
        <v>#VALUE!</v>
      </c>
      <c r="GF117" t="e">
        <f>AND('PROG FORMACIÓN TITULADA'!G833,"AAAAAD/nf7s=")</f>
        <v>#VALUE!</v>
      </c>
      <c r="GG117" t="e">
        <f>AND('PROG FORMACIÓN TITULADA'!H833,"AAAAAD/nf7w=")</f>
        <v>#VALUE!</v>
      </c>
      <c r="GH117" t="e">
        <f>AND('PROG FORMACIÓN TITULADA'!I833,"AAAAAD/nf70=")</f>
        <v>#VALUE!</v>
      </c>
      <c r="GI117" t="e">
        <f>AND('PROG FORMACIÓN TITULADA'!J833,"AAAAAD/nf74=")</f>
        <v>#VALUE!</v>
      </c>
      <c r="GJ117" t="e">
        <f>AND('PROG FORMACIÓN TITULADA'!K833,"AAAAAD/nf78=")</f>
        <v>#VALUE!</v>
      </c>
      <c r="GK117" t="e">
        <f>AND('PROG FORMACIÓN TITULADA'!L833,"AAAAAD/nf8A=")</f>
        <v>#VALUE!</v>
      </c>
      <c r="GL117" t="e">
        <f>AND('PROG FORMACIÓN TITULADA'!M833,"AAAAAD/nf8E=")</f>
        <v>#VALUE!</v>
      </c>
      <c r="GM117" t="e">
        <f>AND('PROG FORMACIÓN TITULADA'!N833,"AAAAAD/nf8I=")</f>
        <v>#VALUE!</v>
      </c>
      <c r="GN117" t="e">
        <f>AND('PROG FORMACIÓN TITULADA'!O833,"AAAAAD/nf8M=")</f>
        <v>#VALUE!</v>
      </c>
      <c r="GO117" t="e">
        <f>AND('PROG FORMACIÓN TITULADA'!P833,"AAAAAD/nf8Q=")</f>
        <v>#VALUE!</v>
      </c>
      <c r="GP117" t="e">
        <f>AND('PROG FORMACIÓN TITULADA'!Q833,"AAAAAD/nf8U=")</f>
        <v>#VALUE!</v>
      </c>
      <c r="GQ117" t="e">
        <f>AND('PROG FORMACIÓN TITULADA'!R833,"AAAAAD/nf8Y=")</f>
        <v>#VALUE!</v>
      </c>
      <c r="GR117" t="e">
        <f>AND('PROG FORMACIÓN TITULADA'!S833,"AAAAAD/nf8c=")</f>
        <v>#VALUE!</v>
      </c>
      <c r="GS117" t="e">
        <f>AND('PROG FORMACIÓN TITULADA'!T833,"AAAAAD/nf8g=")</f>
        <v>#VALUE!</v>
      </c>
      <c r="GT117" t="e">
        <f>AND('PROG FORMACIÓN TITULADA'!U833,"AAAAAD/nf8k=")</f>
        <v>#VALUE!</v>
      </c>
      <c r="GU117" t="e">
        <f>AND('PROG FORMACIÓN TITULADA'!V833,"AAAAAD/nf8o=")</f>
        <v>#VALUE!</v>
      </c>
      <c r="GV117" t="e">
        <f>AND('PROG FORMACIÓN TITULADA'!W833,"AAAAAD/nf8s=")</f>
        <v>#VALUE!</v>
      </c>
      <c r="GW117" t="e">
        <f>AND('PROG FORMACIÓN TITULADA'!X833,"AAAAAD/nf8w=")</f>
        <v>#VALUE!</v>
      </c>
      <c r="GX117" t="e">
        <f>AND('PROG FORMACIÓN TITULADA'!Y833,"AAAAAD/nf80=")</f>
        <v>#VALUE!</v>
      </c>
      <c r="GY117" t="e">
        <f>AND('PROG FORMACIÓN TITULADA'!Z833,"AAAAAD/nf84=")</f>
        <v>#VALUE!</v>
      </c>
      <c r="GZ117">
        <f>IF('PROG FORMACIÓN TITULADA'!834:834,"AAAAAD/nf88=",0)</f>
        <v>0</v>
      </c>
      <c r="HA117" t="e">
        <f>AND('PROG FORMACIÓN TITULADA'!A834,"AAAAAD/nf9A=")</f>
        <v>#VALUE!</v>
      </c>
      <c r="HB117" t="e">
        <f>AND('PROG FORMACIÓN TITULADA'!B833,"AAAAAD/nf9E=")</f>
        <v>#VALUE!</v>
      </c>
      <c r="HC117" t="e">
        <f>AND('PROG FORMACIÓN TITULADA'!C834,"AAAAAD/nf9I=")</f>
        <v>#VALUE!</v>
      </c>
      <c r="HD117" t="e">
        <f>AND('PROG FORMACIÓN TITULADA'!D834,"AAAAAD/nf9M=")</f>
        <v>#VALUE!</v>
      </c>
      <c r="HE117" t="e">
        <f>AND('PROG FORMACIÓN TITULADA'!E834,"AAAAAD/nf9Q=")</f>
        <v>#VALUE!</v>
      </c>
      <c r="HF117" t="e">
        <f>AND('PROG FORMACIÓN TITULADA'!F834,"AAAAAD/nf9U=")</f>
        <v>#VALUE!</v>
      </c>
      <c r="HG117" t="e">
        <f>AND('PROG FORMACIÓN TITULADA'!G834,"AAAAAD/nf9Y=")</f>
        <v>#VALUE!</v>
      </c>
      <c r="HH117" t="e">
        <f>AND('PROG FORMACIÓN TITULADA'!H834,"AAAAAD/nf9c=")</f>
        <v>#VALUE!</v>
      </c>
      <c r="HI117" t="e">
        <f>AND('PROG FORMACIÓN TITULADA'!I834,"AAAAAD/nf9g=")</f>
        <v>#VALUE!</v>
      </c>
      <c r="HJ117" t="e">
        <f>AND('PROG FORMACIÓN TITULADA'!J834,"AAAAAD/nf9k=")</f>
        <v>#VALUE!</v>
      </c>
      <c r="HK117" t="e">
        <f>AND('PROG FORMACIÓN TITULADA'!K834,"AAAAAD/nf9o=")</f>
        <v>#VALUE!</v>
      </c>
      <c r="HL117" t="e">
        <f>AND('PROG FORMACIÓN TITULADA'!L834,"AAAAAD/nf9s=")</f>
        <v>#VALUE!</v>
      </c>
      <c r="HM117" t="e">
        <f>AND('PROG FORMACIÓN TITULADA'!M834,"AAAAAD/nf9w=")</f>
        <v>#VALUE!</v>
      </c>
      <c r="HN117" t="e">
        <f>AND('PROG FORMACIÓN TITULADA'!N834,"AAAAAD/nf90=")</f>
        <v>#VALUE!</v>
      </c>
      <c r="HO117" t="e">
        <f>AND('PROG FORMACIÓN TITULADA'!O834,"AAAAAD/nf94=")</f>
        <v>#VALUE!</v>
      </c>
      <c r="HP117" t="e">
        <f>AND('PROG FORMACIÓN TITULADA'!P834,"AAAAAD/nf98=")</f>
        <v>#VALUE!</v>
      </c>
      <c r="HQ117" t="e">
        <f>AND('PROG FORMACIÓN TITULADA'!Q834,"AAAAAD/nf+A=")</f>
        <v>#VALUE!</v>
      </c>
      <c r="HR117" t="e">
        <f>AND('PROG FORMACIÓN TITULADA'!R834,"AAAAAD/nf+E=")</f>
        <v>#VALUE!</v>
      </c>
      <c r="HS117" t="e">
        <f>AND('PROG FORMACIÓN TITULADA'!S834,"AAAAAD/nf+I=")</f>
        <v>#VALUE!</v>
      </c>
      <c r="HT117" t="e">
        <f>AND('PROG FORMACIÓN TITULADA'!T834,"AAAAAD/nf+M=")</f>
        <v>#VALUE!</v>
      </c>
      <c r="HU117" t="e">
        <f>AND('PROG FORMACIÓN TITULADA'!U834,"AAAAAD/nf+Q=")</f>
        <v>#VALUE!</v>
      </c>
      <c r="HV117" t="e">
        <f>AND('PROG FORMACIÓN TITULADA'!V834,"AAAAAD/nf+U=")</f>
        <v>#VALUE!</v>
      </c>
      <c r="HW117" t="e">
        <f>AND('PROG FORMACIÓN TITULADA'!W834,"AAAAAD/nf+Y=")</f>
        <v>#VALUE!</v>
      </c>
      <c r="HX117" t="e">
        <f>AND('PROG FORMACIÓN TITULADA'!X834,"AAAAAD/nf+c=")</f>
        <v>#VALUE!</v>
      </c>
      <c r="HY117" t="e">
        <f>AND('PROG FORMACIÓN TITULADA'!Y834,"AAAAAD/nf+g=")</f>
        <v>#VALUE!</v>
      </c>
      <c r="HZ117" t="e">
        <f>AND('PROG FORMACIÓN TITULADA'!Z834,"AAAAAD/nf+k=")</f>
        <v>#VALUE!</v>
      </c>
      <c r="IA117">
        <f>IF('PROG FORMACIÓN TITULADA'!835:835,"AAAAAD/nf+o=",0)</f>
        <v>0</v>
      </c>
      <c r="IB117" t="e">
        <f>AND('PROG FORMACIÓN TITULADA'!A835,"AAAAAD/nf+s=")</f>
        <v>#VALUE!</v>
      </c>
      <c r="IC117" t="e">
        <f>AND('PROG FORMACIÓN TITULADA'!B834,"AAAAAD/nf+w=")</f>
        <v>#VALUE!</v>
      </c>
      <c r="ID117" t="e">
        <f>AND('PROG FORMACIÓN TITULADA'!C835,"AAAAAD/nf+0=")</f>
        <v>#VALUE!</v>
      </c>
      <c r="IE117" t="e">
        <f>AND('PROG FORMACIÓN TITULADA'!D835,"AAAAAD/nf+4=")</f>
        <v>#VALUE!</v>
      </c>
      <c r="IF117" t="e">
        <f>AND('PROG FORMACIÓN TITULADA'!E835,"AAAAAD/nf+8=")</f>
        <v>#VALUE!</v>
      </c>
      <c r="IG117" t="e">
        <f>AND('PROG FORMACIÓN TITULADA'!F835,"AAAAAD/nf/A=")</f>
        <v>#VALUE!</v>
      </c>
      <c r="IH117" t="e">
        <f>AND('PROG FORMACIÓN TITULADA'!G835,"AAAAAD/nf/E=")</f>
        <v>#VALUE!</v>
      </c>
      <c r="II117" t="e">
        <f>AND('PROG FORMACIÓN TITULADA'!H835,"AAAAAD/nf/I=")</f>
        <v>#VALUE!</v>
      </c>
      <c r="IJ117" t="e">
        <f>AND('PROG FORMACIÓN TITULADA'!I835,"AAAAAD/nf/M=")</f>
        <v>#VALUE!</v>
      </c>
      <c r="IK117" t="e">
        <f>AND('PROG FORMACIÓN TITULADA'!J835,"AAAAAD/nf/Q=")</f>
        <v>#VALUE!</v>
      </c>
      <c r="IL117" t="e">
        <f>AND('PROG FORMACIÓN TITULADA'!K835,"AAAAAD/nf/U=")</f>
        <v>#VALUE!</v>
      </c>
      <c r="IM117" t="e">
        <f>AND('PROG FORMACIÓN TITULADA'!L835,"AAAAAD/nf/Y=")</f>
        <v>#VALUE!</v>
      </c>
      <c r="IN117" t="e">
        <f>AND('PROG FORMACIÓN TITULADA'!M835,"AAAAAD/nf/c=")</f>
        <v>#VALUE!</v>
      </c>
      <c r="IO117" t="e">
        <f>AND('PROG FORMACIÓN TITULADA'!N835,"AAAAAD/nf/g=")</f>
        <v>#VALUE!</v>
      </c>
      <c r="IP117" t="e">
        <f>AND('PROG FORMACIÓN TITULADA'!O835,"AAAAAD/nf/k=")</f>
        <v>#VALUE!</v>
      </c>
      <c r="IQ117" t="e">
        <f>AND('PROG FORMACIÓN TITULADA'!P835,"AAAAAD/nf/o=")</f>
        <v>#VALUE!</v>
      </c>
      <c r="IR117" t="e">
        <f>AND('PROG FORMACIÓN TITULADA'!Q835,"AAAAAD/nf/s=")</f>
        <v>#VALUE!</v>
      </c>
      <c r="IS117" t="e">
        <f>AND('PROG FORMACIÓN TITULADA'!R835,"AAAAAD/nf/w=")</f>
        <v>#VALUE!</v>
      </c>
      <c r="IT117" t="e">
        <f>AND('PROG FORMACIÓN TITULADA'!S835,"AAAAAD/nf/0=")</f>
        <v>#VALUE!</v>
      </c>
      <c r="IU117" t="e">
        <f>AND('PROG FORMACIÓN TITULADA'!T835,"AAAAAD/nf/4=")</f>
        <v>#VALUE!</v>
      </c>
      <c r="IV117" t="e">
        <f>AND('PROG FORMACIÓN TITULADA'!U835,"AAAAAD/nf/8=")</f>
        <v>#VALUE!</v>
      </c>
    </row>
    <row r="118" spans="1:256" x14ac:dyDescent="0.2">
      <c r="A118" t="e">
        <f>AND('PROG FORMACIÓN TITULADA'!V835,"AAAAAH59fwA=")</f>
        <v>#VALUE!</v>
      </c>
      <c r="B118" t="e">
        <f>AND('PROG FORMACIÓN TITULADA'!W835,"AAAAAH59fwE=")</f>
        <v>#VALUE!</v>
      </c>
      <c r="C118" t="e">
        <f>AND('PROG FORMACIÓN TITULADA'!X835,"AAAAAH59fwI=")</f>
        <v>#VALUE!</v>
      </c>
      <c r="D118" t="e">
        <f>AND('PROG FORMACIÓN TITULADA'!Y835,"AAAAAH59fwM=")</f>
        <v>#VALUE!</v>
      </c>
      <c r="E118" t="e">
        <f>AND('PROG FORMACIÓN TITULADA'!Z835,"AAAAAH59fwQ=")</f>
        <v>#VALUE!</v>
      </c>
      <c r="F118">
        <f>IF('PROG FORMACIÓN TITULADA'!836:836,"AAAAAH59fwU=",0)</f>
        <v>0</v>
      </c>
      <c r="G118" t="e">
        <f>AND('PROG FORMACIÓN TITULADA'!A836,"AAAAAH59fwY=")</f>
        <v>#VALUE!</v>
      </c>
      <c r="H118" t="e">
        <f>AND('PROG FORMACIÓN TITULADA'!B835,"AAAAAH59fwc=")</f>
        <v>#VALUE!</v>
      </c>
      <c r="I118" t="e">
        <f>AND('PROG FORMACIÓN TITULADA'!C836,"AAAAAH59fwg=")</f>
        <v>#VALUE!</v>
      </c>
      <c r="J118" t="e">
        <f>AND('PROG FORMACIÓN TITULADA'!D836,"AAAAAH59fwk=")</f>
        <v>#VALUE!</v>
      </c>
      <c r="K118" t="e">
        <f>AND('PROG FORMACIÓN TITULADA'!E836,"AAAAAH59fwo=")</f>
        <v>#VALUE!</v>
      </c>
      <c r="L118" t="e">
        <f>AND('PROG FORMACIÓN TITULADA'!F836,"AAAAAH59fws=")</f>
        <v>#VALUE!</v>
      </c>
      <c r="M118" t="e">
        <f>AND('PROG FORMACIÓN TITULADA'!G836,"AAAAAH59fww=")</f>
        <v>#VALUE!</v>
      </c>
      <c r="N118" t="e">
        <f>AND('PROG FORMACIÓN TITULADA'!H836,"AAAAAH59fw0=")</f>
        <v>#VALUE!</v>
      </c>
      <c r="O118" t="e">
        <f>AND('PROG FORMACIÓN TITULADA'!I836,"AAAAAH59fw4=")</f>
        <v>#VALUE!</v>
      </c>
      <c r="P118" t="e">
        <f>AND('PROG FORMACIÓN TITULADA'!J836,"AAAAAH59fw8=")</f>
        <v>#VALUE!</v>
      </c>
      <c r="Q118" t="e">
        <f>AND('PROG FORMACIÓN TITULADA'!K836,"AAAAAH59fxA=")</f>
        <v>#VALUE!</v>
      </c>
      <c r="R118" t="e">
        <f>AND('PROG FORMACIÓN TITULADA'!L836,"AAAAAH59fxE=")</f>
        <v>#VALUE!</v>
      </c>
      <c r="S118" t="e">
        <f>AND('PROG FORMACIÓN TITULADA'!M836,"AAAAAH59fxI=")</f>
        <v>#VALUE!</v>
      </c>
      <c r="T118" t="e">
        <f>AND('PROG FORMACIÓN TITULADA'!N836,"AAAAAH59fxM=")</f>
        <v>#VALUE!</v>
      </c>
      <c r="U118" t="e">
        <f>AND('PROG FORMACIÓN TITULADA'!O836,"AAAAAH59fxQ=")</f>
        <v>#VALUE!</v>
      </c>
      <c r="V118" t="e">
        <f>AND('PROG FORMACIÓN TITULADA'!P836,"AAAAAH59fxU=")</f>
        <v>#VALUE!</v>
      </c>
      <c r="W118" t="e">
        <f>AND('PROG FORMACIÓN TITULADA'!Q836,"AAAAAH59fxY=")</f>
        <v>#VALUE!</v>
      </c>
      <c r="X118" t="e">
        <f>AND('PROG FORMACIÓN TITULADA'!R836,"AAAAAH59fxc=")</f>
        <v>#VALUE!</v>
      </c>
      <c r="Y118" t="e">
        <f>AND('PROG FORMACIÓN TITULADA'!S836,"AAAAAH59fxg=")</f>
        <v>#VALUE!</v>
      </c>
      <c r="Z118" t="e">
        <f>AND('PROG FORMACIÓN TITULADA'!T836,"AAAAAH59fxk=")</f>
        <v>#VALUE!</v>
      </c>
      <c r="AA118" t="e">
        <f>AND('PROG FORMACIÓN TITULADA'!U836,"AAAAAH59fxo=")</f>
        <v>#VALUE!</v>
      </c>
      <c r="AB118" t="e">
        <f>AND('PROG FORMACIÓN TITULADA'!V836,"AAAAAH59fxs=")</f>
        <v>#VALUE!</v>
      </c>
      <c r="AC118" t="e">
        <f>AND('PROG FORMACIÓN TITULADA'!W836,"AAAAAH59fxw=")</f>
        <v>#VALUE!</v>
      </c>
      <c r="AD118" t="e">
        <f>AND('PROG FORMACIÓN TITULADA'!X836,"AAAAAH59fx0=")</f>
        <v>#VALUE!</v>
      </c>
      <c r="AE118" t="e">
        <f>AND('PROG FORMACIÓN TITULADA'!Y836,"AAAAAH59fx4=")</f>
        <v>#VALUE!</v>
      </c>
      <c r="AF118" t="e">
        <f>AND('PROG FORMACIÓN TITULADA'!Z836,"AAAAAH59fx8=")</f>
        <v>#VALUE!</v>
      </c>
      <c r="AG118">
        <f>IF('PROG FORMACIÓN TITULADA'!837:837,"AAAAAH59fyA=",0)</f>
        <v>0</v>
      </c>
      <c r="AH118" t="e">
        <f>AND('PROG FORMACIÓN TITULADA'!A837,"AAAAAH59fyE=")</f>
        <v>#VALUE!</v>
      </c>
      <c r="AI118" t="e">
        <f>AND('PROG FORMACIÓN TITULADA'!B836,"AAAAAH59fyI=")</f>
        <v>#VALUE!</v>
      </c>
      <c r="AJ118" t="e">
        <f>AND('PROG FORMACIÓN TITULADA'!C837,"AAAAAH59fyM=")</f>
        <v>#VALUE!</v>
      </c>
      <c r="AK118" t="e">
        <f>AND('PROG FORMACIÓN TITULADA'!D837,"AAAAAH59fyQ=")</f>
        <v>#VALUE!</v>
      </c>
      <c r="AL118" t="e">
        <f>AND('PROG FORMACIÓN TITULADA'!E837,"AAAAAH59fyU=")</f>
        <v>#VALUE!</v>
      </c>
      <c r="AM118" t="e">
        <f>AND('PROG FORMACIÓN TITULADA'!F837,"AAAAAH59fyY=")</f>
        <v>#VALUE!</v>
      </c>
      <c r="AN118" t="e">
        <f>AND('PROG FORMACIÓN TITULADA'!G837,"AAAAAH59fyc=")</f>
        <v>#VALUE!</v>
      </c>
      <c r="AO118" t="e">
        <f>AND('PROG FORMACIÓN TITULADA'!H837,"AAAAAH59fyg=")</f>
        <v>#VALUE!</v>
      </c>
      <c r="AP118" t="e">
        <f>AND('PROG FORMACIÓN TITULADA'!I837,"AAAAAH59fyk=")</f>
        <v>#VALUE!</v>
      </c>
      <c r="AQ118" t="e">
        <f>AND('PROG FORMACIÓN TITULADA'!J837,"AAAAAH59fyo=")</f>
        <v>#VALUE!</v>
      </c>
      <c r="AR118" t="e">
        <f>AND('PROG FORMACIÓN TITULADA'!K837,"AAAAAH59fys=")</f>
        <v>#VALUE!</v>
      </c>
      <c r="AS118" t="e">
        <f>AND('PROG FORMACIÓN TITULADA'!L837,"AAAAAH59fyw=")</f>
        <v>#VALUE!</v>
      </c>
      <c r="AT118" t="e">
        <f>AND('PROG FORMACIÓN TITULADA'!M837,"AAAAAH59fy0=")</f>
        <v>#VALUE!</v>
      </c>
      <c r="AU118" t="e">
        <f>AND('PROG FORMACIÓN TITULADA'!N837,"AAAAAH59fy4=")</f>
        <v>#VALUE!</v>
      </c>
      <c r="AV118" t="e">
        <f>AND('PROG FORMACIÓN TITULADA'!O837,"AAAAAH59fy8=")</f>
        <v>#VALUE!</v>
      </c>
      <c r="AW118" t="e">
        <f>AND('PROG FORMACIÓN TITULADA'!P837,"AAAAAH59fzA=")</f>
        <v>#VALUE!</v>
      </c>
      <c r="AX118" t="e">
        <f>AND('PROG FORMACIÓN TITULADA'!Q837,"AAAAAH59fzE=")</f>
        <v>#VALUE!</v>
      </c>
      <c r="AY118" t="e">
        <f>AND('PROG FORMACIÓN TITULADA'!R837,"AAAAAH59fzI=")</f>
        <v>#VALUE!</v>
      </c>
      <c r="AZ118" t="e">
        <f>AND('PROG FORMACIÓN TITULADA'!S837,"AAAAAH59fzM=")</f>
        <v>#VALUE!</v>
      </c>
      <c r="BA118" t="e">
        <f>AND('PROG FORMACIÓN TITULADA'!T837,"AAAAAH59fzQ=")</f>
        <v>#VALUE!</v>
      </c>
      <c r="BB118" t="e">
        <f>AND('PROG FORMACIÓN TITULADA'!U837,"AAAAAH59fzU=")</f>
        <v>#VALUE!</v>
      </c>
      <c r="BC118" t="e">
        <f>AND('PROG FORMACIÓN TITULADA'!V837,"AAAAAH59fzY=")</f>
        <v>#VALUE!</v>
      </c>
      <c r="BD118" t="e">
        <f>AND('PROG FORMACIÓN TITULADA'!W837,"AAAAAH59fzc=")</f>
        <v>#VALUE!</v>
      </c>
      <c r="BE118" t="e">
        <f>AND('PROG FORMACIÓN TITULADA'!X837,"AAAAAH59fzg=")</f>
        <v>#VALUE!</v>
      </c>
      <c r="BF118" t="e">
        <f>AND('PROG FORMACIÓN TITULADA'!Y837,"AAAAAH59fzk=")</f>
        <v>#VALUE!</v>
      </c>
      <c r="BG118" t="e">
        <f>AND('PROG FORMACIÓN TITULADA'!Z837,"AAAAAH59fzo=")</f>
        <v>#VALUE!</v>
      </c>
      <c r="BH118">
        <f>IF('PROG FORMACIÓN TITULADA'!838:838,"AAAAAH59fzs=",0)</f>
        <v>0</v>
      </c>
      <c r="BI118" t="e">
        <f>AND('PROG FORMACIÓN TITULADA'!A838,"AAAAAH59fzw=")</f>
        <v>#VALUE!</v>
      </c>
      <c r="BJ118" t="e">
        <f>AND('PROG FORMACIÓN TITULADA'!B837,"AAAAAH59fz0=")</f>
        <v>#VALUE!</v>
      </c>
      <c r="BK118" t="e">
        <f>AND('PROG FORMACIÓN TITULADA'!C838,"AAAAAH59fz4=")</f>
        <v>#VALUE!</v>
      </c>
      <c r="BL118" t="e">
        <f>AND('PROG FORMACIÓN TITULADA'!D838,"AAAAAH59fz8=")</f>
        <v>#VALUE!</v>
      </c>
      <c r="BM118" t="e">
        <f>AND('PROG FORMACIÓN TITULADA'!E838,"AAAAAH59f0A=")</f>
        <v>#VALUE!</v>
      </c>
      <c r="BN118" t="e">
        <f>AND('PROG FORMACIÓN TITULADA'!F838,"AAAAAH59f0E=")</f>
        <v>#VALUE!</v>
      </c>
      <c r="BO118" t="e">
        <f>AND('PROG FORMACIÓN TITULADA'!G838,"AAAAAH59f0I=")</f>
        <v>#VALUE!</v>
      </c>
      <c r="BP118" t="e">
        <f>AND('PROG FORMACIÓN TITULADA'!H838,"AAAAAH59f0M=")</f>
        <v>#VALUE!</v>
      </c>
      <c r="BQ118" t="e">
        <f>AND('PROG FORMACIÓN TITULADA'!I838,"AAAAAH59f0Q=")</f>
        <v>#VALUE!</v>
      </c>
      <c r="BR118" t="e">
        <f>AND('PROG FORMACIÓN TITULADA'!J838,"AAAAAH59f0U=")</f>
        <v>#VALUE!</v>
      </c>
      <c r="BS118" t="e">
        <f>AND('PROG FORMACIÓN TITULADA'!K838,"AAAAAH59f0Y=")</f>
        <v>#VALUE!</v>
      </c>
      <c r="BT118" t="e">
        <f>AND('PROG FORMACIÓN TITULADA'!L838,"AAAAAH59f0c=")</f>
        <v>#VALUE!</v>
      </c>
      <c r="BU118" t="e">
        <f>AND('PROG FORMACIÓN TITULADA'!M838,"AAAAAH59f0g=")</f>
        <v>#VALUE!</v>
      </c>
      <c r="BV118" t="e">
        <f>AND('PROG FORMACIÓN TITULADA'!N838,"AAAAAH59f0k=")</f>
        <v>#VALUE!</v>
      </c>
      <c r="BW118" t="e">
        <f>AND('PROG FORMACIÓN TITULADA'!O838,"AAAAAH59f0o=")</f>
        <v>#VALUE!</v>
      </c>
      <c r="BX118" t="e">
        <f>AND('PROG FORMACIÓN TITULADA'!P838,"AAAAAH59f0s=")</f>
        <v>#VALUE!</v>
      </c>
      <c r="BY118" t="e">
        <f>AND('PROG FORMACIÓN TITULADA'!Q838,"AAAAAH59f0w=")</f>
        <v>#VALUE!</v>
      </c>
      <c r="BZ118" t="e">
        <f>AND('PROG FORMACIÓN TITULADA'!R838,"AAAAAH59f00=")</f>
        <v>#VALUE!</v>
      </c>
      <c r="CA118" t="e">
        <f>AND('PROG FORMACIÓN TITULADA'!S838,"AAAAAH59f04=")</f>
        <v>#VALUE!</v>
      </c>
      <c r="CB118" t="e">
        <f>AND('PROG FORMACIÓN TITULADA'!T838,"AAAAAH59f08=")</f>
        <v>#VALUE!</v>
      </c>
      <c r="CC118" t="e">
        <f>AND('PROG FORMACIÓN TITULADA'!U838,"AAAAAH59f1A=")</f>
        <v>#VALUE!</v>
      </c>
      <c r="CD118" t="e">
        <f>AND('PROG FORMACIÓN TITULADA'!V838,"AAAAAH59f1E=")</f>
        <v>#VALUE!</v>
      </c>
      <c r="CE118" t="e">
        <f>AND('PROG FORMACIÓN TITULADA'!W838,"AAAAAH59f1I=")</f>
        <v>#VALUE!</v>
      </c>
      <c r="CF118" t="e">
        <f>AND('PROG FORMACIÓN TITULADA'!X838,"AAAAAH59f1M=")</f>
        <v>#VALUE!</v>
      </c>
      <c r="CG118" t="e">
        <f>AND('PROG FORMACIÓN TITULADA'!Y838,"AAAAAH59f1Q=")</f>
        <v>#VALUE!</v>
      </c>
      <c r="CH118" t="e">
        <f>AND('PROG FORMACIÓN TITULADA'!Z838,"AAAAAH59f1U=")</f>
        <v>#VALUE!</v>
      </c>
      <c r="CI118">
        <f>IF('PROG FORMACIÓN TITULADA'!839:839,"AAAAAH59f1Y=",0)</f>
        <v>0</v>
      </c>
      <c r="CJ118" t="e">
        <f>AND('PROG FORMACIÓN TITULADA'!A839,"AAAAAH59f1c=")</f>
        <v>#VALUE!</v>
      </c>
      <c r="CK118" t="e">
        <f>AND('PROG FORMACIÓN TITULADA'!B838,"AAAAAH59f1g=")</f>
        <v>#VALUE!</v>
      </c>
      <c r="CL118" t="e">
        <f>AND('PROG FORMACIÓN TITULADA'!C839,"AAAAAH59f1k=")</f>
        <v>#VALUE!</v>
      </c>
      <c r="CM118" t="e">
        <f>AND('PROG FORMACIÓN TITULADA'!D839,"AAAAAH59f1o=")</f>
        <v>#VALUE!</v>
      </c>
      <c r="CN118" t="e">
        <f>AND('PROG FORMACIÓN TITULADA'!E839,"AAAAAH59f1s=")</f>
        <v>#VALUE!</v>
      </c>
      <c r="CO118" t="e">
        <f>AND('PROG FORMACIÓN TITULADA'!F839,"AAAAAH59f1w=")</f>
        <v>#VALUE!</v>
      </c>
      <c r="CP118" t="e">
        <f>AND('PROG FORMACIÓN TITULADA'!G839,"AAAAAH59f10=")</f>
        <v>#VALUE!</v>
      </c>
      <c r="CQ118" t="e">
        <f>AND('PROG FORMACIÓN TITULADA'!H839,"AAAAAH59f14=")</f>
        <v>#VALUE!</v>
      </c>
      <c r="CR118" t="e">
        <f>AND('PROG FORMACIÓN TITULADA'!I839,"AAAAAH59f18=")</f>
        <v>#VALUE!</v>
      </c>
      <c r="CS118" t="e">
        <f>AND('PROG FORMACIÓN TITULADA'!J839,"AAAAAH59f2A=")</f>
        <v>#VALUE!</v>
      </c>
      <c r="CT118" t="e">
        <f>AND('PROG FORMACIÓN TITULADA'!K839,"AAAAAH59f2E=")</f>
        <v>#VALUE!</v>
      </c>
      <c r="CU118" t="e">
        <f>AND('PROG FORMACIÓN TITULADA'!L839,"AAAAAH59f2I=")</f>
        <v>#VALUE!</v>
      </c>
      <c r="CV118" t="e">
        <f>AND('PROG FORMACIÓN TITULADA'!M839,"AAAAAH59f2M=")</f>
        <v>#VALUE!</v>
      </c>
      <c r="CW118" t="e">
        <f>AND('PROG FORMACIÓN TITULADA'!N839,"AAAAAH59f2Q=")</f>
        <v>#VALUE!</v>
      </c>
      <c r="CX118" t="e">
        <f>AND('PROG FORMACIÓN TITULADA'!O839,"AAAAAH59f2U=")</f>
        <v>#VALUE!</v>
      </c>
      <c r="CY118" t="e">
        <f>AND('PROG FORMACIÓN TITULADA'!P839,"AAAAAH59f2Y=")</f>
        <v>#VALUE!</v>
      </c>
      <c r="CZ118" t="e">
        <f>AND('PROG FORMACIÓN TITULADA'!Q839,"AAAAAH59f2c=")</f>
        <v>#VALUE!</v>
      </c>
      <c r="DA118" t="e">
        <f>AND('PROG FORMACIÓN TITULADA'!R839,"AAAAAH59f2g=")</f>
        <v>#VALUE!</v>
      </c>
      <c r="DB118" t="e">
        <f>AND('PROG FORMACIÓN TITULADA'!S839,"AAAAAH59f2k=")</f>
        <v>#VALUE!</v>
      </c>
      <c r="DC118" t="e">
        <f>AND('PROG FORMACIÓN TITULADA'!T839,"AAAAAH59f2o=")</f>
        <v>#VALUE!</v>
      </c>
      <c r="DD118" t="e">
        <f>AND('PROG FORMACIÓN TITULADA'!U839,"AAAAAH59f2s=")</f>
        <v>#VALUE!</v>
      </c>
      <c r="DE118" t="e">
        <f>AND('PROG FORMACIÓN TITULADA'!V839,"AAAAAH59f2w=")</f>
        <v>#VALUE!</v>
      </c>
      <c r="DF118" t="e">
        <f>AND('PROG FORMACIÓN TITULADA'!W839,"AAAAAH59f20=")</f>
        <v>#VALUE!</v>
      </c>
      <c r="DG118" t="e">
        <f>AND('PROG FORMACIÓN TITULADA'!X839,"AAAAAH59f24=")</f>
        <v>#VALUE!</v>
      </c>
      <c r="DH118" t="e">
        <f>AND('PROG FORMACIÓN TITULADA'!Y839,"AAAAAH59f28=")</f>
        <v>#VALUE!</v>
      </c>
      <c r="DI118" t="e">
        <f>AND('PROG FORMACIÓN TITULADA'!Z839,"AAAAAH59f3A=")</f>
        <v>#VALUE!</v>
      </c>
      <c r="DJ118">
        <f>IF('PROG FORMACIÓN TITULADA'!840:840,"AAAAAH59f3E=",0)</f>
        <v>0</v>
      </c>
      <c r="DK118" t="e">
        <f>AND('PROG FORMACIÓN TITULADA'!A840,"AAAAAH59f3I=")</f>
        <v>#VALUE!</v>
      </c>
      <c r="DL118" t="e">
        <f>AND('PROG FORMACIÓN TITULADA'!B839,"AAAAAH59f3M=")</f>
        <v>#VALUE!</v>
      </c>
      <c r="DM118" t="e">
        <f>AND('PROG FORMACIÓN TITULADA'!C840,"AAAAAH59f3Q=")</f>
        <v>#VALUE!</v>
      </c>
      <c r="DN118" t="e">
        <f>AND('PROG FORMACIÓN TITULADA'!D840,"AAAAAH59f3U=")</f>
        <v>#VALUE!</v>
      </c>
      <c r="DO118" t="e">
        <f>AND('PROG FORMACIÓN TITULADA'!E840,"AAAAAH59f3Y=")</f>
        <v>#VALUE!</v>
      </c>
      <c r="DP118" t="e">
        <f>AND('PROG FORMACIÓN TITULADA'!F840,"AAAAAH59f3c=")</f>
        <v>#VALUE!</v>
      </c>
      <c r="DQ118" t="e">
        <f>AND('PROG FORMACIÓN TITULADA'!G840,"AAAAAH59f3g=")</f>
        <v>#VALUE!</v>
      </c>
      <c r="DR118" t="e">
        <f>AND('PROG FORMACIÓN TITULADA'!H840,"AAAAAH59f3k=")</f>
        <v>#VALUE!</v>
      </c>
      <c r="DS118" t="e">
        <f>AND('PROG FORMACIÓN TITULADA'!I840,"AAAAAH59f3o=")</f>
        <v>#VALUE!</v>
      </c>
      <c r="DT118" t="e">
        <f>AND('PROG FORMACIÓN TITULADA'!J840,"AAAAAH59f3s=")</f>
        <v>#VALUE!</v>
      </c>
      <c r="DU118" t="e">
        <f>AND('PROG FORMACIÓN TITULADA'!K840,"AAAAAH59f3w=")</f>
        <v>#VALUE!</v>
      </c>
      <c r="DV118" t="e">
        <f>AND('PROG FORMACIÓN TITULADA'!L840,"AAAAAH59f30=")</f>
        <v>#VALUE!</v>
      </c>
      <c r="DW118" t="e">
        <f>AND('PROG FORMACIÓN TITULADA'!M840,"AAAAAH59f34=")</f>
        <v>#VALUE!</v>
      </c>
      <c r="DX118" t="e">
        <f>AND('PROG FORMACIÓN TITULADA'!N840,"AAAAAH59f38=")</f>
        <v>#VALUE!</v>
      </c>
      <c r="DY118" t="e">
        <f>AND('PROG FORMACIÓN TITULADA'!O840,"AAAAAH59f4A=")</f>
        <v>#VALUE!</v>
      </c>
      <c r="DZ118" t="e">
        <f>AND('PROG FORMACIÓN TITULADA'!P840,"AAAAAH59f4E=")</f>
        <v>#VALUE!</v>
      </c>
      <c r="EA118" t="e">
        <f>AND('PROG FORMACIÓN TITULADA'!Q840,"AAAAAH59f4I=")</f>
        <v>#VALUE!</v>
      </c>
      <c r="EB118" t="e">
        <f>AND('PROG FORMACIÓN TITULADA'!R840,"AAAAAH59f4M=")</f>
        <v>#VALUE!</v>
      </c>
      <c r="EC118" t="e">
        <f>AND('PROG FORMACIÓN TITULADA'!S840,"AAAAAH59f4Q=")</f>
        <v>#VALUE!</v>
      </c>
      <c r="ED118" t="e">
        <f>AND('PROG FORMACIÓN TITULADA'!T840,"AAAAAH59f4U=")</f>
        <v>#VALUE!</v>
      </c>
      <c r="EE118" t="e">
        <f>AND('PROG FORMACIÓN TITULADA'!U840,"AAAAAH59f4Y=")</f>
        <v>#VALUE!</v>
      </c>
      <c r="EF118" t="e">
        <f>AND('PROG FORMACIÓN TITULADA'!V840,"AAAAAH59f4c=")</f>
        <v>#VALUE!</v>
      </c>
      <c r="EG118" t="e">
        <f>AND('PROG FORMACIÓN TITULADA'!W840,"AAAAAH59f4g=")</f>
        <v>#VALUE!</v>
      </c>
      <c r="EH118" t="e">
        <f>AND('PROG FORMACIÓN TITULADA'!X840,"AAAAAH59f4k=")</f>
        <v>#VALUE!</v>
      </c>
      <c r="EI118" t="e">
        <f>AND('PROG FORMACIÓN TITULADA'!Y840,"AAAAAH59f4o=")</f>
        <v>#VALUE!</v>
      </c>
      <c r="EJ118" t="e">
        <f>AND('PROG FORMACIÓN TITULADA'!Z840,"AAAAAH59f4s=")</f>
        <v>#VALUE!</v>
      </c>
      <c r="EK118">
        <f>IF('PROG FORMACIÓN TITULADA'!841:841,"AAAAAH59f4w=",0)</f>
        <v>0</v>
      </c>
      <c r="EL118" t="e">
        <f>AND('PROG FORMACIÓN TITULADA'!A841,"AAAAAH59f40=")</f>
        <v>#VALUE!</v>
      </c>
      <c r="EM118" t="e">
        <f>AND('PROG FORMACIÓN TITULADA'!B840,"AAAAAH59f44=")</f>
        <v>#VALUE!</v>
      </c>
      <c r="EN118" t="e">
        <f>AND('PROG FORMACIÓN TITULADA'!C841,"AAAAAH59f48=")</f>
        <v>#VALUE!</v>
      </c>
      <c r="EO118" t="e">
        <f>AND('PROG FORMACIÓN TITULADA'!D841,"AAAAAH59f5A=")</f>
        <v>#VALUE!</v>
      </c>
      <c r="EP118" t="e">
        <f>AND('PROG FORMACIÓN TITULADA'!E841,"AAAAAH59f5E=")</f>
        <v>#VALUE!</v>
      </c>
      <c r="EQ118" t="e">
        <f>AND('PROG FORMACIÓN TITULADA'!F841,"AAAAAH59f5I=")</f>
        <v>#VALUE!</v>
      </c>
      <c r="ER118" t="e">
        <f>AND('PROG FORMACIÓN TITULADA'!G841,"AAAAAH59f5M=")</f>
        <v>#VALUE!</v>
      </c>
      <c r="ES118" t="e">
        <f>AND('PROG FORMACIÓN TITULADA'!H841,"AAAAAH59f5Q=")</f>
        <v>#VALUE!</v>
      </c>
      <c r="ET118" t="e">
        <f>AND('PROG FORMACIÓN TITULADA'!I841,"AAAAAH59f5U=")</f>
        <v>#VALUE!</v>
      </c>
      <c r="EU118" t="e">
        <f>AND('PROG FORMACIÓN TITULADA'!J841,"AAAAAH59f5Y=")</f>
        <v>#VALUE!</v>
      </c>
      <c r="EV118" t="e">
        <f>AND('PROG FORMACIÓN TITULADA'!K841,"AAAAAH59f5c=")</f>
        <v>#VALUE!</v>
      </c>
      <c r="EW118" t="e">
        <f>AND('PROG FORMACIÓN TITULADA'!L841,"AAAAAH59f5g=")</f>
        <v>#VALUE!</v>
      </c>
      <c r="EX118" t="e">
        <f>AND('PROG FORMACIÓN TITULADA'!M841,"AAAAAH59f5k=")</f>
        <v>#VALUE!</v>
      </c>
      <c r="EY118" t="e">
        <f>AND('PROG FORMACIÓN TITULADA'!N841,"AAAAAH59f5o=")</f>
        <v>#VALUE!</v>
      </c>
      <c r="EZ118" t="e">
        <f>AND('PROG FORMACIÓN TITULADA'!O841,"AAAAAH59f5s=")</f>
        <v>#VALUE!</v>
      </c>
      <c r="FA118" t="e">
        <f>AND('PROG FORMACIÓN TITULADA'!P841,"AAAAAH59f5w=")</f>
        <v>#VALUE!</v>
      </c>
      <c r="FB118" t="e">
        <f>AND('PROG FORMACIÓN TITULADA'!Q841,"AAAAAH59f50=")</f>
        <v>#VALUE!</v>
      </c>
      <c r="FC118" t="e">
        <f>AND('PROG FORMACIÓN TITULADA'!R841,"AAAAAH59f54=")</f>
        <v>#VALUE!</v>
      </c>
      <c r="FD118" t="e">
        <f>AND('PROG FORMACIÓN TITULADA'!S841,"AAAAAH59f58=")</f>
        <v>#VALUE!</v>
      </c>
      <c r="FE118" t="e">
        <f>AND('PROG FORMACIÓN TITULADA'!T841,"AAAAAH59f6A=")</f>
        <v>#VALUE!</v>
      </c>
      <c r="FF118" t="e">
        <f>AND('PROG FORMACIÓN TITULADA'!U841,"AAAAAH59f6E=")</f>
        <v>#VALUE!</v>
      </c>
      <c r="FG118" t="e">
        <f>AND('PROG FORMACIÓN TITULADA'!V841,"AAAAAH59f6I=")</f>
        <v>#VALUE!</v>
      </c>
      <c r="FH118" t="e">
        <f>AND('PROG FORMACIÓN TITULADA'!W841,"AAAAAH59f6M=")</f>
        <v>#VALUE!</v>
      </c>
      <c r="FI118" t="e">
        <f>AND('PROG FORMACIÓN TITULADA'!X841,"AAAAAH59f6Q=")</f>
        <v>#VALUE!</v>
      </c>
      <c r="FJ118" t="e">
        <f>AND('PROG FORMACIÓN TITULADA'!Y841,"AAAAAH59f6U=")</f>
        <v>#VALUE!</v>
      </c>
      <c r="FK118" t="e">
        <f>AND('PROG FORMACIÓN TITULADA'!Z841,"AAAAAH59f6Y=")</f>
        <v>#VALUE!</v>
      </c>
      <c r="FL118">
        <f>IF('PROG FORMACIÓN TITULADA'!842:842,"AAAAAH59f6c=",0)</f>
        <v>0</v>
      </c>
      <c r="FM118" t="e">
        <f>AND('PROG FORMACIÓN TITULADA'!A842,"AAAAAH59f6g=")</f>
        <v>#VALUE!</v>
      </c>
      <c r="FN118" t="e">
        <f>AND('PROG FORMACIÓN TITULADA'!B841,"AAAAAH59f6k=")</f>
        <v>#VALUE!</v>
      </c>
      <c r="FO118" t="e">
        <f>AND('PROG FORMACIÓN TITULADA'!C842,"AAAAAH59f6o=")</f>
        <v>#VALUE!</v>
      </c>
      <c r="FP118" t="e">
        <f>AND('PROG FORMACIÓN TITULADA'!D842,"AAAAAH59f6s=")</f>
        <v>#VALUE!</v>
      </c>
      <c r="FQ118" t="e">
        <f>AND('PROG FORMACIÓN TITULADA'!E842,"AAAAAH59f6w=")</f>
        <v>#VALUE!</v>
      </c>
      <c r="FR118" t="e">
        <f>AND('PROG FORMACIÓN TITULADA'!F842,"AAAAAH59f60=")</f>
        <v>#VALUE!</v>
      </c>
      <c r="FS118" t="e">
        <f>AND('PROG FORMACIÓN TITULADA'!G842,"AAAAAH59f64=")</f>
        <v>#VALUE!</v>
      </c>
      <c r="FT118" t="e">
        <f>AND('PROG FORMACIÓN TITULADA'!H842,"AAAAAH59f68=")</f>
        <v>#VALUE!</v>
      </c>
      <c r="FU118" t="e">
        <f>AND('PROG FORMACIÓN TITULADA'!I842,"AAAAAH59f7A=")</f>
        <v>#VALUE!</v>
      </c>
      <c r="FV118" t="e">
        <f>AND('PROG FORMACIÓN TITULADA'!J842,"AAAAAH59f7E=")</f>
        <v>#VALUE!</v>
      </c>
      <c r="FW118" t="e">
        <f>AND('PROG FORMACIÓN TITULADA'!K842,"AAAAAH59f7I=")</f>
        <v>#VALUE!</v>
      </c>
      <c r="FX118" t="e">
        <f>AND('PROG FORMACIÓN TITULADA'!L842,"AAAAAH59f7M=")</f>
        <v>#VALUE!</v>
      </c>
      <c r="FY118" t="e">
        <f>AND('PROG FORMACIÓN TITULADA'!M842,"AAAAAH59f7Q=")</f>
        <v>#VALUE!</v>
      </c>
      <c r="FZ118" t="e">
        <f>AND('PROG FORMACIÓN TITULADA'!N842,"AAAAAH59f7U=")</f>
        <v>#VALUE!</v>
      </c>
      <c r="GA118" t="e">
        <f>AND('PROG FORMACIÓN TITULADA'!O842,"AAAAAH59f7Y=")</f>
        <v>#VALUE!</v>
      </c>
      <c r="GB118" t="e">
        <f>AND('PROG FORMACIÓN TITULADA'!P842,"AAAAAH59f7c=")</f>
        <v>#VALUE!</v>
      </c>
      <c r="GC118" t="e">
        <f>AND('PROG FORMACIÓN TITULADA'!Q842,"AAAAAH59f7g=")</f>
        <v>#VALUE!</v>
      </c>
      <c r="GD118" t="e">
        <f>AND('PROG FORMACIÓN TITULADA'!R842,"AAAAAH59f7k=")</f>
        <v>#VALUE!</v>
      </c>
      <c r="GE118" t="e">
        <f>AND('PROG FORMACIÓN TITULADA'!S842,"AAAAAH59f7o=")</f>
        <v>#VALUE!</v>
      </c>
      <c r="GF118" t="e">
        <f>AND('PROG FORMACIÓN TITULADA'!T842,"AAAAAH59f7s=")</f>
        <v>#VALUE!</v>
      </c>
      <c r="GG118" t="e">
        <f>AND('PROG FORMACIÓN TITULADA'!U842,"AAAAAH59f7w=")</f>
        <v>#VALUE!</v>
      </c>
      <c r="GH118" t="e">
        <f>AND('PROG FORMACIÓN TITULADA'!V842,"AAAAAH59f70=")</f>
        <v>#VALUE!</v>
      </c>
      <c r="GI118" t="e">
        <f>AND('PROG FORMACIÓN TITULADA'!W842,"AAAAAH59f74=")</f>
        <v>#VALUE!</v>
      </c>
      <c r="GJ118" t="e">
        <f>AND('PROG FORMACIÓN TITULADA'!X842,"AAAAAH59f78=")</f>
        <v>#VALUE!</v>
      </c>
      <c r="GK118" t="e">
        <f>AND('PROG FORMACIÓN TITULADA'!Y842,"AAAAAH59f8A=")</f>
        <v>#VALUE!</v>
      </c>
      <c r="GL118" t="e">
        <f>AND('PROG FORMACIÓN TITULADA'!Z842,"AAAAAH59f8E=")</f>
        <v>#VALUE!</v>
      </c>
      <c r="GM118">
        <f>IF('PROG FORMACIÓN TITULADA'!843:843,"AAAAAH59f8I=",0)</f>
        <v>0</v>
      </c>
      <c r="GN118" t="e">
        <f>AND('PROG FORMACIÓN TITULADA'!A843,"AAAAAH59f8M=")</f>
        <v>#VALUE!</v>
      </c>
      <c r="GO118" t="e">
        <f>AND('PROG FORMACIÓN TITULADA'!B842,"AAAAAH59f8Q=")</f>
        <v>#VALUE!</v>
      </c>
      <c r="GP118" t="e">
        <f>AND('PROG FORMACIÓN TITULADA'!C843,"AAAAAH59f8U=")</f>
        <v>#VALUE!</v>
      </c>
      <c r="GQ118" t="e">
        <f>AND('PROG FORMACIÓN TITULADA'!D843,"AAAAAH59f8Y=")</f>
        <v>#VALUE!</v>
      </c>
      <c r="GR118" t="e">
        <f>AND('PROG FORMACIÓN TITULADA'!E843,"AAAAAH59f8c=")</f>
        <v>#VALUE!</v>
      </c>
      <c r="GS118" t="e">
        <f>AND('PROG FORMACIÓN TITULADA'!F843,"AAAAAH59f8g=")</f>
        <v>#VALUE!</v>
      </c>
      <c r="GT118" t="e">
        <f>AND('PROG FORMACIÓN TITULADA'!G843,"AAAAAH59f8k=")</f>
        <v>#VALUE!</v>
      </c>
      <c r="GU118" t="e">
        <f>AND('PROG FORMACIÓN TITULADA'!H843,"AAAAAH59f8o=")</f>
        <v>#VALUE!</v>
      </c>
      <c r="GV118" t="e">
        <f>AND('PROG FORMACIÓN TITULADA'!I843,"AAAAAH59f8s=")</f>
        <v>#VALUE!</v>
      </c>
      <c r="GW118" t="e">
        <f>AND('PROG FORMACIÓN TITULADA'!J843,"AAAAAH59f8w=")</f>
        <v>#VALUE!</v>
      </c>
      <c r="GX118" t="e">
        <f>AND('PROG FORMACIÓN TITULADA'!K843,"AAAAAH59f80=")</f>
        <v>#VALUE!</v>
      </c>
      <c r="GY118" t="e">
        <f>AND('PROG FORMACIÓN TITULADA'!L843,"AAAAAH59f84=")</f>
        <v>#VALUE!</v>
      </c>
      <c r="GZ118" t="e">
        <f>AND('PROG FORMACIÓN TITULADA'!M843,"AAAAAH59f88=")</f>
        <v>#VALUE!</v>
      </c>
      <c r="HA118" t="e">
        <f>AND('PROG FORMACIÓN TITULADA'!N843,"AAAAAH59f9A=")</f>
        <v>#VALUE!</v>
      </c>
      <c r="HB118" t="e">
        <f>AND('PROG FORMACIÓN TITULADA'!O843,"AAAAAH59f9E=")</f>
        <v>#VALUE!</v>
      </c>
      <c r="HC118" t="e">
        <f>AND('PROG FORMACIÓN TITULADA'!P843,"AAAAAH59f9I=")</f>
        <v>#VALUE!</v>
      </c>
      <c r="HD118" t="e">
        <f>AND('PROG FORMACIÓN TITULADA'!Q843,"AAAAAH59f9M=")</f>
        <v>#VALUE!</v>
      </c>
      <c r="HE118" t="e">
        <f>AND('PROG FORMACIÓN TITULADA'!R843,"AAAAAH59f9Q=")</f>
        <v>#VALUE!</v>
      </c>
      <c r="HF118" t="e">
        <f>AND('PROG FORMACIÓN TITULADA'!S843,"AAAAAH59f9U=")</f>
        <v>#VALUE!</v>
      </c>
      <c r="HG118" t="e">
        <f>AND('PROG FORMACIÓN TITULADA'!T843,"AAAAAH59f9Y=")</f>
        <v>#VALUE!</v>
      </c>
      <c r="HH118" t="e">
        <f>AND('PROG FORMACIÓN TITULADA'!U843,"AAAAAH59f9c=")</f>
        <v>#VALUE!</v>
      </c>
      <c r="HI118" t="e">
        <f>AND('PROG FORMACIÓN TITULADA'!V843,"AAAAAH59f9g=")</f>
        <v>#VALUE!</v>
      </c>
      <c r="HJ118" t="e">
        <f>AND('PROG FORMACIÓN TITULADA'!W843,"AAAAAH59f9k=")</f>
        <v>#VALUE!</v>
      </c>
      <c r="HK118" t="e">
        <f>AND('PROG FORMACIÓN TITULADA'!X843,"AAAAAH59f9o=")</f>
        <v>#VALUE!</v>
      </c>
      <c r="HL118" t="e">
        <f>AND('PROG FORMACIÓN TITULADA'!Y843,"AAAAAH59f9s=")</f>
        <v>#VALUE!</v>
      </c>
      <c r="HM118" t="e">
        <f>AND('PROG FORMACIÓN TITULADA'!Z843,"AAAAAH59f9w=")</f>
        <v>#VALUE!</v>
      </c>
      <c r="HN118">
        <f>IF('PROG FORMACIÓN TITULADA'!844:844,"AAAAAH59f90=",0)</f>
        <v>0</v>
      </c>
      <c r="HO118" t="e">
        <f>AND('PROG FORMACIÓN TITULADA'!A844,"AAAAAH59f94=")</f>
        <v>#VALUE!</v>
      </c>
      <c r="HP118" t="e">
        <f>AND('PROG FORMACIÓN TITULADA'!B843,"AAAAAH59f98=")</f>
        <v>#VALUE!</v>
      </c>
      <c r="HQ118" t="e">
        <f>AND('PROG FORMACIÓN TITULADA'!C844,"AAAAAH59f+A=")</f>
        <v>#VALUE!</v>
      </c>
      <c r="HR118" t="e">
        <f>AND('PROG FORMACIÓN TITULADA'!D844,"AAAAAH59f+E=")</f>
        <v>#VALUE!</v>
      </c>
      <c r="HS118" t="e">
        <f>AND('PROG FORMACIÓN TITULADA'!E844,"AAAAAH59f+I=")</f>
        <v>#VALUE!</v>
      </c>
      <c r="HT118" t="e">
        <f>AND('PROG FORMACIÓN TITULADA'!F844,"AAAAAH59f+M=")</f>
        <v>#VALUE!</v>
      </c>
      <c r="HU118" t="e">
        <f>AND('PROG FORMACIÓN TITULADA'!G844,"AAAAAH59f+Q=")</f>
        <v>#VALUE!</v>
      </c>
      <c r="HV118" t="e">
        <f>AND('PROG FORMACIÓN TITULADA'!H844,"AAAAAH59f+U=")</f>
        <v>#VALUE!</v>
      </c>
      <c r="HW118" t="e">
        <f>AND('PROG FORMACIÓN TITULADA'!I844,"AAAAAH59f+Y=")</f>
        <v>#VALUE!</v>
      </c>
      <c r="HX118" t="e">
        <f>AND('PROG FORMACIÓN TITULADA'!J844,"AAAAAH59f+c=")</f>
        <v>#VALUE!</v>
      </c>
      <c r="HY118" t="e">
        <f>AND('PROG FORMACIÓN TITULADA'!K844,"AAAAAH59f+g=")</f>
        <v>#VALUE!</v>
      </c>
      <c r="HZ118" t="e">
        <f>AND('PROG FORMACIÓN TITULADA'!L844,"AAAAAH59f+k=")</f>
        <v>#VALUE!</v>
      </c>
      <c r="IA118" t="e">
        <f>AND('PROG FORMACIÓN TITULADA'!M844,"AAAAAH59f+o=")</f>
        <v>#VALUE!</v>
      </c>
      <c r="IB118" t="e">
        <f>AND('PROG FORMACIÓN TITULADA'!N844,"AAAAAH59f+s=")</f>
        <v>#VALUE!</v>
      </c>
      <c r="IC118" t="e">
        <f>AND('PROG FORMACIÓN TITULADA'!O844,"AAAAAH59f+w=")</f>
        <v>#VALUE!</v>
      </c>
      <c r="ID118" t="e">
        <f>AND('PROG FORMACIÓN TITULADA'!P844,"AAAAAH59f+0=")</f>
        <v>#VALUE!</v>
      </c>
      <c r="IE118" t="e">
        <f>AND('PROG FORMACIÓN TITULADA'!Q844,"AAAAAH59f+4=")</f>
        <v>#VALUE!</v>
      </c>
      <c r="IF118" t="e">
        <f>AND('PROG FORMACIÓN TITULADA'!R844,"AAAAAH59f+8=")</f>
        <v>#VALUE!</v>
      </c>
      <c r="IG118" t="e">
        <f>AND('PROG FORMACIÓN TITULADA'!S844,"AAAAAH59f/A=")</f>
        <v>#VALUE!</v>
      </c>
      <c r="IH118" t="e">
        <f>AND('PROG FORMACIÓN TITULADA'!T844,"AAAAAH59f/E=")</f>
        <v>#VALUE!</v>
      </c>
      <c r="II118" t="e">
        <f>AND('PROG FORMACIÓN TITULADA'!U844,"AAAAAH59f/I=")</f>
        <v>#VALUE!</v>
      </c>
      <c r="IJ118" t="e">
        <f>AND('PROG FORMACIÓN TITULADA'!V844,"AAAAAH59f/M=")</f>
        <v>#VALUE!</v>
      </c>
      <c r="IK118" t="e">
        <f>AND('PROG FORMACIÓN TITULADA'!W844,"AAAAAH59f/Q=")</f>
        <v>#VALUE!</v>
      </c>
      <c r="IL118" t="e">
        <f>AND('PROG FORMACIÓN TITULADA'!X844,"AAAAAH59f/U=")</f>
        <v>#VALUE!</v>
      </c>
      <c r="IM118" t="e">
        <f>AND('PROG FORMACIÓN TITULADA'!Y844,"AAAAAH59f/Y=")</f>
        <v>#VALUE!</v>
      </c>
      <c r="IN118" t="e">
        <f>AND('PROG FORMACIÓN TITULADA'!Z844,"AAAAAH59f/c=")</f>
        <v>#VALUE!</v>
      </c>
      <c r="IO118">
        <f>IF('PROG FORMACIÓN TITULADA'!845:845,"AAAAAH59f/g=",0)</f>
        <v>0</v>
      </c>
      <c r="IP118" t="e">
        <f>AND('PROG FORMACIÓN TITULADA'!A845,"AAAAAH59f/k=")</f>
        <v>#VALUE!</v>
      </c>
      <c r="IQ118" t="e">
        <f>AND('PROG FORMACIÓN TITULADA'!B844,"AAAAAH59f/o=")</f>
        <v>#VALUE!</v>
      </c>
      <c r="IR118" t="e">
        <f>AND('PROG FORMACIÓN TITULADA'!C845,"AAAAAH59f/s=")</f>
        <v>#VALUE!</v>
      </c>
      <c r="IS118" t="e">
        <f>AND('PROG FORMACIÓN TITULADA'!D845,"AAAAAH59f/w=")</f>
        <v>#VALUE!</v>
      </c>
      <c r="IT118" t="e">
        <f>AND('PROG FORMACIÓN TITULADA'!E845,"AAAAAH59f/0=")</f>
        <v>#VALUE!</v>
      </c>
      <c r="IU118" t="e">
        <f>AND('PROG FORMACIÓN TITULADA'!F845,"AAAAAH59f/4=")</f>
        <v>#VALUE!</v>
      </c>
      <c r="IV118" t="e">
        <f>AND('PROG FORMACIÓN TITULADA'!G845,"AAAAAH59f/8=")</f>
        <v>#VALUE!</v>
      </c>
    </row>
    <row r="119" spans="1:256" x14ac:dyDescent="0.2">
      <c r="A119" t="e">
        <f>AND('PROG FORMACIÓN TITULADA'!H845,"AAAAAHS7+wA=")</f>
        <v>#VALUE!</v>
      </c>
      <c r="B119" t="e">
        <f>AND('PROG FORMACIÓN TITULADA'!I845,"AAAAAHS7+wE=")</f>
        <v>#VALUE!</v>
      </c>
      <c r="C119" t="e">
        <f>AND('PROG FORMACIÓN TITULADA'!J845,"AAAAAHS7+wI=")</f>
        <v>#VALUE!</v>
      </c>
      <c r="D119" t="e">
        <f>AND('PROG FORMACIÓN TITULADA'!K845,"AAAAAHS7+wM=")</f>
        <v>#VALUE!</v>
      </c>
      <c r="E119" t="e">
        <f>AND('PROG FORMACIÓN TITULADA'!L845,"AAAAAHS7+wQ=")</f>
        <v>#VALUE!</v>
      </c>
      <c r="F119" t="e">
        <f>AND('PROG FORMACIÓN TITULADA'!M845,"AAAAAHS7+wU=")</f>
        <v>#VALUE!</v>
      </c>
      <c r="G119" t="e">
        <f>AND('PROG FORMACIÓN TITULADA'!N845,"AAAAAHS7+wY=")</f>
        <v>#VALUE!</v>
      </c>
      <c r="H119" t="e">
        <f>AND('PROG FORMACIÓN TITULADA'!O845,"AAAAAHS7+wc=")</f>
        <v>#VALUE!</v>
      </c>
      <c r="I119" t="e">
        <f>AND('PROG FORMACIÓN TITULADA'!P845,"AAAAAHS7+wg=")</f>
        <v>#VALUE!</v>
      </c>
      <c r="J119" t="e">
        <f>AND('PROG FORMACIÓN TITULADA'!Q845,"AAAAAHS7+wk=")</f>
        <v>#VALUE!</v>
      </c>
      <c r="K119" t="e">
        <f>AND('PROG FORMACIÓN TITULADA'!R845,"AAAAAHS7+wo=")</f>
        <v>#VALUE!</v>
      </c>
      <c r="L119" t="e">
        <f>AND('PROG FORMACIÓN TITULADA'!S845,"AAAAAHS7+ws=")</f>
        <v>#VALUE!</v>
      </c>
      <c r="M119" t="e">
        <f>AND('PROG FORMACIÓN TITULADA'!T845,"AAAAAHS7+ww=")</f>
        <v>#VALUE!</v>
      </c>
      <c r="N119" t="e">
        <f>AND('PROG FORMACIÓN TITULADA'!U845,"AAAAAHS7+w0=")</f>
        <v>#VALUE!</v>
      </c>
      <c r="O119" t="e">
        <f>AND('PROG FORMACIÓN TITULADA'!V845,"AAAAAHS7+w4=")</f>
        <v>#VALUE!</v>
      </c>
      <c r="P119" t="e">
        <f>AND('PROG FORMACIÓN TITULADA'!W845,"AAAAAHS7+w8=")</f>
        <v>#VALUE!</v>
      </c>
      <c r="Q119" t="e">
        <f>AND('PROG FORMACIÓN TITULADA'!X845,"AAAAAHS7+xA=")</f>
        <v>#VALUE!</v>
      </c>
      <c r="R119" t="e">
        <f>AND('PROG FORMACIÓN TITULADA'!Y845,"AAAAAHS7+xE=")</f>
        <v>#VALUE!</v>
      </c>
      <c r="S119" t="e">
        <f>AND('PROG FORMACIÓN TITULADA'!Z845,"AAAAAHS7+xI=")</f>
        <v>#VALUE!</v>
      </c>
      <c r="T119">
        <f>IF('PROG FORMACIÓN TITULADA'!846:846,"AAAAAHS7+xM=",0)</f>
        <v>0</v>
      </c>
      <c r="U119" t="e">
        <f>AND('PROG FORMACIÓN TITULADA'!A846,"AAAAAHS7+xQ=")</f>
        <v>#VALUE!</v>
      </c>
      <c r="V119" t="e">
        <f>AND('PROG FORMACIÓN TITULADA'!B845,"AAAAAHS7+xU=")</f>
        <v>#VALUE!</v>
      </c>
      <c r="W119" t="e">
        <f>AND('PROG FORMACIÓN TITULADA'!C846,"AAAAAHS7+xY=")</f>
        <v>#VALUE!</v>
      </c>
      <c r="X119" t="e">
        <f>AND('PROG FORMACIÓN TITULADA'!D846,"AAAAAHS7+xc=")</f>
        <v>#VALUE!</v>
      </c>
      <c r="Y119" t="e">
        <f>AND('PROG FORMACIÓN TITULADA'!E846,"AAAAAHS7+xg=")</f>
        <v>#VALUE!</v>
      </c>
      <c r="Z119" t="e">
        <f>AND('PROG FORMACIÓN TITULADA'!F846,"AAAAAHS7+xk=")</f>
        <v>#VALUE!</v>
      </c>
      <c r="AA119" t="e">
        <f>AND('PROG FORMACIÓN TITULADA'!G846,"AAAAAHS7+xo=")</f>
        <v>#VALUE!</v>
      </c>
      <c r="AB119" t="e">
        <f>AND('PROG FORMACIÓN TITULADA'!H846,"AAAAAHS7+xs=")</f>
        <v>#VALUE!</v>
      </c>
      <c r="AC119" t="e">
        <f>AND('PROG FORMACIÓN TITULADA'!I846,"AAAAAHS7+xw=")</f>
        <v>#VALUE!</v>
      </c>
      <c r="AD119" t="e">
        <f>AND('PROG FORMACIÓN TITULADA'!J846,"AAAAAHS7+x0=")</f>
        <v>#VALUE!</v>
      </c>
      <c r="AE119" t="e">
        <f>AND('PROG FORMACIÓN TITULADA'!K846,"AAAAAHS7+x4=")</f>
        <v>#VALUE!</v>
      </c>
      <c r="AF119" t="e">
        <f>AND('PROG FORMACIÓN TITULADA'!L846,"AAAAAHS7+x8=")</f>
        <v>#VALUE!</v>
      </c>
      <c r="AG119" t="e">
        <f>AND('PROG FORMACIÓN TITULADA'!M846,"AAAAAHS7+yA=")</f>
        <v>#VALUE!</v>
      </c>
      <c r="AH119" t="e">
        <f>AND('PROG FORMACIÓN TITULADA'!N846,"AAAAAHS7+yE=")</f>
        <v>#VALUE!</v>
      </c>
      <c r="AI119" t="e">
        <f>AND('PROG FORMACIÓN TITULADA'!O846,"AAAAAHS7+yI=")</f>
        <v>#VALUE!</v>
      </c>
      <c r="AJ119" t="e">
        <f>AND('PROG FORMACIÓN TITULADA'!P846,"AAAAAHS7+yM=")</f>
        <v>#VALUE!</v>
      </c>
      <c r="AK119" t="e">
        <f>AND('PROG FORMACIÓN TITULADA'!Q846,"AAAAAHS7+yQ=")</f>
        <v>#VALUE!</v>
      </c>
      <c r="AL119" t="e">
        <f>AND('PROG FORMACIÓN TITULADA'!R846,"AAAAAHS7+yU=")</f>
        <v>#VALUE!</v>
      </c>
      <c r="AM119" t="e">
        <f>AND('PROG FORMACIÓN TITULADA'!S846,"AAAAAHS7+yY=")</f>
        <v>#VALUE!</v>
      </c>
      <c r="AN119" t="e">
        <f>AND('PROG FORMACIÓN TITULADA'!T846,"AAAAAHS7+yc=")</f>
        <v>#VALUE!</v>
      </c>
      <c r="AO119" t="e">
        <f>AND('PROG FORMACIÓN TITULADA'!U846,"AAAAAHS7+yg=")</f>
        <v>#VALUE!</v>
      </c>
      <c r="AP119" t="e">
        <f>AND('PROG FORMACIÓN TITULADA'!V846,"AAAAAHS7+yk=")</f>
        <v>#VALUE!</v>
      </c>
      <c r="AQ119" t="e">
        <f>AND('PROG FORMACIÓN TITULADA'!W846,"AAAAAHS7+yo=")</f>
        <v>#VALUE!</v>
      </c>
      <c r="AR119" t="e">
        <f>AND('PROG FORMACIÓN TITULADA'!X846,"AAAAAHS7+ys=")</f>
        <v>#VALUE!</v>
      </c>
      <c r="AS119" t="e">
        <f>AND('PROG FORMACIÓN TITULADA'!Y846,"AAAAAHS7+yw=")</f>
        <v>#VALUE!</v>
      </c>
      <c r="AT119" t="e">
        <f>AND('PROG FORMACIÓN TITULADA'!Z846,"AAAAAHS7+y0=")</f>
        <v>#VALUE!</v>
      </c>
      <c r="AU119">
        <f>IF('PROG FORMACIÓN TITULADA'!847:847,"AAAAAHS7+y4=",0)</f>
        <v>0</v>
      </c>
      <c r="AV119" t="e">
        <f>AND('PROG FORMACIÓN TITULADA'!A847,"AAAAAHS7+y8=")</f>
        <v>#VALUE!</v>
      </c>
      <c r="AW119" t="e">
        <f>AND('PROG FORMACIÓN TITULADA'!B846,"AAAAAHS7+zA=")</f>
        <v>#VALUE!</v>
      </c>
      <c r="AX119" t="e">
        <f>AND('PROG FORMACIÓN TITULADA'!C847,"AAAAAHS7+zE=")</f>
        <v>#VALUE!</v>
      </c>
      <c r="AY119" t="e">
        <f>AND('PROG FORMACIÓN TITULADA'!D847,"AAAAAHS7+zI=")</f>
        <v>#VALUE!</v>
      </c>
      <c r="AZ119" t="e">
        <f>AND('PROG FORMACIÓN TITULADA'!E847,"AAAAAHS7+zM=")</f>
        <v>#VALUE!</v>
      </c>
      <c r="BA119" t="e">
        <f>AND('PROG FORMACIÓN TITULADA'!F847,"AAAAAHS7+zQ=")</f>
        <v>#VALUE!</v>
      </c>
      <c r="BB119" t="e">
        <f>AND('PROG FORMACIÓN TITULADA'!G847,"AAAAAHS7+zU=")</f>
        <v>#VALUE!</v>
      </c>
      <c r="BC119" t="e">
        <f>AND('PROG FORMACIÓN TITULADA'!H847,"AAAAAHS7+zY=")</f>
        <v>#VALUE!</v>
      </c>
      <c r="BD119" t="e">
        <f>AND('PROG FORMACIÓN TITULADA'!I847,"AAAAAHS7+zc=")</f>
        <v>#VALUE!</v>
      </c>
      <c r="BE119" t="e">
        <f>AND('PROG FORMACIÓN TITULADA'!J847,"AAAAAHS7+zg=")</f>
        <v>#VALUE!</v>
      </c>
      <c r="BF119" t="e">
        <f>AND('PROG FORMACIÓN TITULADA'!K847,"AAAAAHS7+zk=")</f>
        <v>#VALUE!</v>
      </c>
      <c r="BG119" t="e">
        <f>AND('PROG FORMACIÓN TITULADA'!L847,"AAAAAHS7+zo=")</f>
        <v>#VALUE!</v>
      </c>
      <c r="BH119" t="e">
        <f>AND('PROG FORMACIÓN TITULADA'!M847,"AAAAAHS7+zs=")</f>
        <v>#VALUE!</v>
      </c>
      <c r="BI119" t="e">
        <f>AND('PROG FORMACIÓN TITULADA'!N847,"AAAAAHS7+zw=")</f>
        <v>#VALUE!</v>
      </c>
      <c r="BJ119" t="e">
        <f>AND('PROG FORMACIÓN TITULADA'!O847,"AAAAAHS7+z0=")</f>
        <v>#VALUE!</v>
      </c>
      <c r="BK119" t="e">
        <f>AND('PROG FORMACIÓN TITULADA'!P847,"AAAAAHS7+z4=")</f>
        <v>#VALUE!</v>
      </c>
      <c r="BL119" t="e">
        <f>AND('PROG FORMACIÓN TITULADA'!Q847,"AAAAAHS7+z8=")</f>
        <v>#VALUE!</v>
      </c>
      <c r="BM119" t="e">
        <f>AND('PROG FORMACIÓN TITULADA'!R847,"AAAAAHS7+0A=")</f>
        <v>#VALUE!</v>
      </c>
      <c r="BN119" t="e">
        <f>AND('PROG FORMACIÓN TITULADA'!S847,"AAAAAHS7+0E=")</f>
        <v>#VALUE!</v>
      </c>
      <c r="BO119" t="e">
        <f>AND('PROG FORMACIÓN TITULADA'!T847,"AAAAAHS7+0I=")</f>
        <v>#VALUE!</v>
      </c>
      <c r="BP119" t="e">
        <f>AND('PROG FORMACIÓN TITULADA'!U847,"AAAAAHS7+0M=")</f>
        <v>#VALUE!</v>
      </c>
      <c r="BQ119" t="e">
        <f>AND('PROG FORMACIÓN TITULADA'!V847,"AAAAAHS7+0Q=")</f>
        <v>#VALUE!</v>
      </c>
      <c r="BR119" t="e">
        <f>AND('PROG FORMACIÓN TITULADA'!W847,"AAAAAHS7+0U=")</f>
        <v>#VALUE!</v>
      </c>
      <c r="BS119" t="e">
        <f>AND('PROG FORMACIÓN TITULADA'!X847,"AAAAAHS7+0Y=")</f>
        <v>#VALUE!</v>
      </c>
      <c r="BT119" t="e">
        <f>AND('PROG FORMACIÓN TITULADA'!Y847,"AAAAAHS7+0c=")</f>
        <v>#VALUE!</v>
      </c>
      <c r="BU119" t="e">
        <f>AND('PROG FORMACIÓN TITULADA'!Z847,"AAAAAHS7+0g=")</f>
        <v>#VALUE!</v>
      </c>
      <c r="BV119">
        <f>IF('PROG FORMACIÓN TITULADA'!848:848,"AAAAAHS7+0k=",0)</f>
        <v>0</v>
      </c>
      <c r="BW119" t="e">
        <f>AND('PROG FORMACIÓN TITULADA'!A848,"AAAAAHS7+0o=")</f>
        <v>#VALUE!</v>
      </c>
      <c r="BX119" t="e">
        <f>AND('PROG FORMACIÓN TITULADA'!B847,"AAAAAHS7+0s=")</f>
        <v>#VALUE!</v>
      </c>
      <c r="BY119" t="e">
        <f>AND('PROG FORMACIÓN TITULADA'!C848,"AAAAAHS7+0w=")</f>
        <v>#VALUE!</v>
      </c>
      <c r="BZ119" t="e">
        <f>AND('PROG FORMACIÓN TITULADA'!D848,"AAAAAHS7+00=")</f>
        <v>#VALUE!</v>
      </c>
      <c r="CA119" t="e">
        <f>AND('PROG FORMACIÓN TITULADA'!E848,"AAAAAHS7+04=")</f>
        <v>#VALUE!</v>
      </c>
      <c r="CB119" t="e">
        <f>AND('PROG FORMACIÓN TITULADA'!F848,"AAAAAHS7+08=")</f>
        <v>#VALUE!</v>
      </c>
      <c r="CC119" t="e">
        <f>AND('PROG FORMACIÓN TITULADA'!G848,"AAAAAHS7+1A=")</f>
        <v>#VALUE!</v>
      </c>
      <c r="CD119" t="e">
        <f>AND('PROG FORMACIÓN TITULADA'!H848,"AAAAAHS7+1E=")</f>
        <v>#VALUE!</v>
      </c>
      <c r="CE119" t="e">
        <f>AND('PROG FORMACIÓN TITULADA'!I848,"AAAAAHS7+1I=")</f>
        <v>#VALUE!</v>
      </c>
      <c r="CF119" t="e">
        <f>AND('PROG FORMACIÓN TITULADA'!J848,"AAAAAHS7+1M=")</f>
        <v>#VALUE!</v>
      </c>
      <c r="CG119" t="e">
        <f>AND('PROG FORMACIÓN TITULADA'!K848,"AAAAAHS7+1Q=")</f>
        <v>#VALUE!</v>
      </c>
      <c r="CH119" t="e">
        <f>AND('PROG FORMACIÓN TITULADA'!L848,"AAAAAHS7+1U=")</f>
        <v>#VALUE!</v>
      </c>
      <c r="CI119" t="e">
        <f>AND('PROG FORMACIÓN TITULADA'!M848,"AAAAAHS7+1Y=")</f>
        <v>#VALUE!</v>
      </c>
      <c r="CJ119" t="e">
        <f>AND('PROG FORMACIÓN TITULADA'!N848,"AAAAAHS7+1c=")</f>
        <v>#VALUE!</v>
      </c>
      <c r="CK119" t="e">
        <f>AND('PROG FORMACIÓN TITULADA'!O848,"AAAAAHS7+1g=")</f>
        <v>#VALUE!</v>
      </c>
      <c r="CL119" t="e">
        <f>AND('PROG FORMACIÓN TITULADA'!P848,"AAAAAHS7+1k=")</f>
        <v>#VALUE!</v>
      </c>
      <c r="CM119" t="e">
        <f>AND('PROG FORMACIÓN TITULADA'!Q848,"AAAAAHS7+1o=")</f>
        <v>#VALUE!</v>
      </c>
      <c r="CN119" t="e">
        <f>AND('PROG FORMACIÓN TITULADA'!R848,"AAAAAHS7+1s=")</f>
        <v>#VALUE!</v>
      </c>
      <c r="CO119" t="e">
        <f>AND('PROG FORMACIÓN TITULADA'!S848,"AAAAAHS7+1w=")</f>
        <v>#VALUE!</v>
      </c>
      <c r="CP119" t="e">
        <f>AND('PROG FORMACIÓN TITULADA'!T848,"AAAAAHS7+10=")</f>
        <v>#VALUE!</v>
      </c>
      <c r="CQ119" t="e">
        <f>AND('PROG FORMACIÓN TITULADA'!U848,"AAAAAHS7+14=")</f>
        <v>#VALUE!</v>
      </c>
      <c r="CR119" t="e">
        <f>AND('PROG FORMACIÓN TITULADA'!V848,"AAAAAHS7+18=")</f>
        <v>#VALUE!</v>
      </c>
      <c r="CS119" t="e">
        <f>AND('PROG FORMACIÓN TITULADA'!W848,"AAAAAHS7+2A=")</f>
        <v>#VALUE!</v>
      </c>
      <c r="CT119" t="e">
        <f>AND('PROG FORMACIÓN TITULADA'!X848,"AAAAAHS7+2E=")</f>
        <v>#VALUE!</v>
      </c>
      <c r="CU119" t="e">
        <f>AND('PROG FORMACIÓN TITULADA'!Y848,"AAAAAHS7+2I=")</f>
        <v>#VALUE!</v>
      </c>
      <c r="CV119" t="e">
        <f>AND('PROG FORMACIÓN TITULADA'!Z848,"AAAAAHS7+2M=")</f>
        <v>#VALUE!</v>
      </c>
      <c r="CW119">
        <f>IF('PROG FORMACIÓN TITULADA'!849:849,"AAAAAHS7+2Q=",0)</f>
        <v>0</v>
      </c>
      <c r="CX119" t="e">
        <f>AND('PROG FORMACIÓN TITULADA'!A849,"AAAAAHS7+2U=")</f>
        <v>#VALUE!</v>
      </c>
      <c r="CY119" t="e">
        <f>AND('PROG FORMACIÓN TITULADA'!B848,"AAAAAHS7+2Y=")</f>
        <v>#VALUE!</v>
      </c>
      <c r="CZ119" t="e">
        <f>AND('PROG FORMACIÓN TITULADA'!C849,"AAAAAHS7+2c=")</f>
        <v>#VALUE!</v>
      </c>
      <c r="DA119" t="e">
        <f>AND('PROG FORMACIÓN TITULADA'!D849,"AAAAAHS7+2g=")</f>
        <v>#VALUE!</v>
      </c>
      <c r="DB119" t="e">
        <f>AND('PROG FORMACIÓN TITULADA'!E849,"AAAAAHS7+2k=")</f>
        <v>#VALUE!</v>
      </c>
      <c r="DC119" t="e">
        <f>AND('PROG FORMACIÓN TITULADA'!F849,"AAAAAHS7+2o=")</f>
        <v>#VALUE!</v>
      </c>
      <c r="DD119" t="e">
        <f>AND('PROG FORMACIÓN TITULADA'!G849,"AAAAAHS7+2s=")</f>
        <v>#VALUE!</v>
      </c>
      <c r="DE119" t="e">
        <f>AND('PROG FORMACIÓN TITULADA'!H849,"AAAAAHS7+2w=")</f>
        <v>#VALUE!</v>
      </c>
      <c r="DF119" t="e">
        <f>AND('PROG FORMACIÓN TITULADA'!I849,"AAAAAHS7+20=")</f>
        <v>#VALUE!</v>
      </c>
      <c r="DG119" t="e">
        <f>AND('PROG FORMACIÓN TITULADA'!J849,"AAAAAHS7+24=")</f>
        <v>#VALUE!</v>
      </c>
      <c r="DH119" t="e">
        <f>AND('PROG FORMACIÓN TITULADA'!K849,"AAAAAHS7+28=")</f>
        <v>#VALUE!</v>
      </c>
      <c r="DI119" t="e">
        <f>AND('PROG FORMACIÓN TITULADA'!L849,"AAAAAHS7+3A=")</f>
        <v>#VALUE!</v>
      </c>
      <c r="DJ119" t="e">
        <f>AND('PROG FORMACIÓN TITULADA'!M849,"AAAAAHS7+3E=")</f>
        <v>#VALUE!</v>
      </c>
      <c r="DK119" t="e">
        <f>AND('PROG FORMACIÓN TITULADA'!N849,"AAAAAHS7+3I=")</f>
        <v>#VALUE!</v>
      </c>
      <c r="DL119" t="e">
        <f>AND('PROG FORMACIÓN TITULADA'!O849,"AAAAAHS7+3M=")</f>
        <v>#VALUE!</v>
      </c>
      <c r="DM119" t="e">
        <f>AND('PROG FORMACIÓN TITULADA'!P849,"AAAAAHS7+3Q=")</f>
        <v>#VALUE!</v>
      </c>
      <c r="DN119" t="e">
        <f>AND('PROG FORMACIÓN TITULADA'!Q849,"AAAAAHS7+3U=")</f>
        <v>#VALUE!</v>
      </c>
      <c r="DO119" t="e">
        <f>AND('PROG FORMACIÓN TITULADA'!R849,"AAAAAHS7+3Y=")</f>
        <v>#VALUE!</v>
      </c>
      <c r="DP119" t="e">
        <f>AND('PROG FORMACIÓN TITULADA'!S849,"AAAAAHS7+3c=")</f>
        <v>#VALUE!</v>
      </c>
      <c r="DQ119" t="e">
        <f>AND('PROG FORMACIÓN TITULADA'!T849,"AAAAAHS7+3g=")</f>
        <v>#VALUE!</v>
      </c>
      <c r="DR119" t="e">
        <f>AND('PROG FORMACIÓN TITULADA'!U849,"AAAAAHS7+3k=")</f>
        <v>#VALUE!</v>
      </c>
      <c r="DS119" t="e">
        <f>AND('PROG FORMACIÓN TITULADA'!V849,"AAAAAHS7+3o=")</f>
        <v>#VALUE!</v>
      </c>
      <c r="DT119" t="e">
        <f>AND('PROG FORMACIÓN TITULADA'!W849,"AAAAAHS7+3s=")</f>
        <v>#VALUE!</v>
      </c>
      <c r="DU119" t="e">
        <f>AND('PROG FORMACIÓN TITULADA'!X849,"AAAAAHS7+3w=")</f>
        <v>#VALUE!</v>
      </c>
      <c r="DV119" t="e">
        <f>AND('PROG FORMACIÓN TITULADA'!Y849,"AAAAAHS7+30=")</f>
        <v>#VALUE!</v>
      </c>
      <c r="DW119" t="e">
        <f>AND('PROG FORMACIÓN TITULADA'!Z849,"AAAAAHS7+34=")</f>
        <v>#VALUE!</v>
      </c>
      <c r="DX119">
        <f>IF('PROG FORMACIÓN TITULADA'!850:850,"AAAAAHS7+38=",0)</f>
        <v>0</v>
      </c>
      <c r="DY119" t="e">
        <f>AND('PROG FORMACIÓN TITULADA'!A850,"AAAAAHS7+4A=")</f>
        <v>#VALUE!</v>
      </c>
      <c r="DZ119" t="e">
        <f>AND('PROG FORMACIÓN TITULADA'!B849,"AAAAAHS7+4E=")</f>
        <v>#VALUE!</v>
      </c>
      <c r="EA119" t="e">
        <f>AND('PROG FORMACIÓN TITULADA'!C850,"AAAAAHS7+4I=")</f>
        <v>#VALUE!</v>
      </c>
      <c r="EB119" t="e">
        <f>AND('PROG FORMACIÓN TITULADA'!D850,"AAAAAHS7+4M=")</f>
        <v>#VALUE!</v>
      </c>
      <c r="EC119" t="e">
        <f>AND('PROG FORMACIÓN TITULADA'!E850,"AAAAAHS7+4Q=")</f>
        <v>#VALUE!</v>
      </c>
      <c r="ED119" t="e">
        <f>AND('PROG FORMACIÓN TITULADA'!F850,"AAAAAHS7+4U=")</f>
        <v>#VALUE!</v>
      </c>
      <c r="EE119" t="e">
        <f>AND('PROG FORMACIÓN TITULADA'!G850,"AAAAAHS7+4Y=")</f>
        <v>#VALUE!</v>
      </c>
      <c r="EF119" t="e">
        <f>AND('PROG FORMACIÓN TITULADA'!H850,"AAAAAHS7+4c=")</f>
        <v>#VALUE!</v>
      </c>
      <c r="EG119" t="e">
        <f>AND('PROG FORMACIÓN TITULADA'!I850,"AAAAAHS7+4g=")</f>
        <v>#VALUE!</v>
      </c>
      <c r="EH119" t="e">
        <f>AND('PROG FORMACIÓN TITULADA'!J850,"AAAAAHS7+4k=")</f>
        <v>#VALUE!</v>
      </c>
      <c r="EI119" t="e">
        <f>AND('PROG FORMACIÓN TITULADA'!K850,"AAAAAHS7+4o=")</f>
        <v>#VALUE!</v>
      </c>
      <c r="EJ119" t="e">
        <f>AND('PROG FORMACIÓN TITULADA'!L850,"AAAAAHS7+4s=")</f>
        <v>#VALUE!</v>
      </c>
      <c r="EK119" t="e">
        <f>AND('PROG FORMACIÓN TITULADA'!M850,"AAAAAHS7+4w=")</f>
        <v>#VALUE!</v>
      </c>
      <c r="EL119" t="e">
        <f>AND('PROG FORMACIÓN TITULADA'!N850,"AAAAAHS7+40=")</f>
        <v>#VALUE!</v>
      </c>
      <c r="EM119" t="e">
        <f>AND('PROG FORMACIÓN TITULADA'!O850,"AAAAAHS7+44=")</f>
        <v>#VALUE!</v>
      </c>
      <c r="EN119" t="e">
        <f>AND('PROG FORMACIÓN TITULADA'!P850,"AAAAAHS7+48=")</f>
        <v>#VALUE!</v>
      </c>
      <c r="EO119" t="e">
        <f>AND('PROG FORMACIÓN TITULADA'!Q850,"AAAAAHS7+5A=")</f>
        <v>#VALUE!</v>
      </c>
      <c r="EP119" t="e">
        <f>AND('PROG FORMACIÓN TITULADA'!R850,"AAAAAHS7+5E=")</f>
        <v>#VALUE!</v>
      </c>
      <c r="EQ119" t="e">
        <f>AND('PROG FORMACIÓN TITULADA'!S850,"AAAAAHS7+5I=")</f>
        <v>#VALUE!</v>
      </c>
      <c r="ER119" t="e">
        <f>AND('PROG FORMACIÓN TITULADA'!T850,"AAAAAHS7+5M=")</f>
        <v>#VALUE!</v>
      </c>
      <c r="ES119" t="e">
        <f>AND('PROG FORMACIÓN TITULADA'!U850,"AAAAAHS7+5Q=")</f>
        <v>#VALUE!</v>
      </c>
      <c r="ET119" t="e">
        <f>AND('PROG FORMACIÓN TITULADA'!V850,"AAAAAHS7+5U=")</f>
        <v>#VALUE!</v>
      </c>
      <c r="EU119" t="e">
        <f>AND('PROG FORMACIÓN TITULADA'!W850,"AAAAAHS7+5Y=")</f>
        <v>#VALUE!</v>
      </c>
      <c r="EV119" t="e">
        <f>AND('PROG FORMACIÓN TITULADA'!X850,"AAAAAHS7+5c=")</f>
        <v>#VALUE!</v>
      </c>
      <c r="EW119" t="e">
        <f>AND('PROG FORMACIÓN TITULADA'!Y850,"AAAAAHS7+5g=")</f>
        <v>#VALUE!</v>
      </c>
      <c r="EX119" t="e">
        <f>AND('PROG FORMACIÓN TITULADA'!Z850,"AAAAAHS7+5k=")</f>
        <v>#VALUE!</v>
      </c>
      <c r="EY119">
        <f>IF('PROG FORMACIÓN TITULADA'!851:851,"AAAAAHS7+5o=",0)</f>
        <v>0</v>
      </c>
      <c r="EZ119" t="e">
        <f>AND('PROG FORMACIÓN TITULADA'!A851,"AAAAAHS7+5s=")</f>
        <v>#VALUE!</v>
      </c>
      <c r="FA119" t="e">
        <f>AND('PROG FORMACIÓN TITULADA'!B850,"AAAAAHS7+5w=")</f>
        <v>#VALUE!</v>
      </c>
      <c r="FB119" t="e">
        <f>AND('PROG FORMACIÓN TITULADA'!C851,"AAAAAHS7+50=")</f>
        <v>#VALUE!</v>
      </c>
      <c r="FC119" t="e">
        <f>AND('PROG FORMACIÓN TITULADA'!D851,"AAAAAHS7+54=")</f>
        <v>#VALUE!</v>
      </c>
      <c r="FD119" t="e">
        <f>AND('PROG FORMACIÓN TITULADA'!E851,"AAAAAHS7+58=")</f>
        <v>#VALUE!</v>
      </c>
      <c r="FE119" t="e">
        <f>AND('PROG FORMACIÓN TITULADA'!F851,"AAAAAHS7+6A=")</f>
        <v>#VALUE!</v>
      </c>
      <c r="FF119" t="e">
        <f>AND('PROG FORMACIÓN TITULADA'!G851,"AAAAAHS7+6E=")</f>
        <v>#VALUE!</v>
      </c>
      <c r="FG119" t="e">
        <f>AND('PROG FORMACIÓN TITULADA'!H851,"AAAAAHS7+6I=")</f>
        <v>#VALUE!</v>
      </c>
      <c r="FH119" t="e">
        <f>AND('PROG FORMACIÓN TITULADA'!I851,"AAAAAHS7+6M=")</f>
        <v>#VALUE!</v>
      </c>
      <c r="FI119" t="e">
        <f>AND('PROG FORMACIÓN TITULADA'!J851,"AAAAAHS7+6Q=")</f>
        <v>#VALUE!</v>
      </c>
      <c r="FJ119" t="e">
        <f>AND('PROG FORMACIÓN TITULADA'!K851,"AAAAAHS7+6U=")</f>
        <v>#VALUE!</v>
      </c>
      <c r="FK119" t="e">
        <f>AND('PROG FORMACIÓN TITULADA'!L851,"AAAAAHS7+6Y=")</f>
        <v>#VALUE!</v>
      </c>
      <c r="FL119" t="e">
        <f>AND('PROG FORMACIÓN TITULADA'!M851,"AAAAAHS7+6c=")</f>
        <v>#VALUE!</v>
      </c>
      <c r="FM119" t="e">
        <f>AND('PROG FORMACIÓN TITULADA'!N851,"AAAAAHS7+6g=")</f>
        <v>#VALUE!</v>
      </c>
      <c r="FN119" t="e">
        <f>AND('PROG FORMACIÓN TITULADA'!O851,"AAAAAHS7+6k=")</f>
        <v>#VALUE!</v>
      </c>
      <c r="FO119" t="e">
        <f>AND('PROG FORMACIÓN TITULADA'!P851,"AAAAAHS7+6o=")</f>
        <v>#VALUE!</v>
      </c>
      <c r="FP119" t="e">
        <f>AND('PROG FORMACIÓN TITULADA'!Q851,"AAAAAHS7+6s=")</f>
        <v>#VALUE!</v>
      </c>
      <c r="FQ119" t="e">
        <f>AND('PROG FORMACIÓN TITULADA'!R851,"AAAAAHS7+6w=")</f>
        <v>#VALUE!</v>
      </c>
      <c r="FR119" t="e">
        <f>AND('PROG FORMACIÓN TITULADA'!S851,"AAAAAHS7+60=")</f>
        <v>#VALUE!</v>
      </c>
      <c r="FS119" t="e">
        <f>AND('PROG FORMACIÓN TITULADA'!T851,"AAAAAHS7+64=")</f>
        <v>#VALUE!</v>
      </c>
      <c r="FT119" t="e">
        <f>AND('PROG FORMACIÓN TITULADA'!U851,"AAAAAHS7+68=")</f>
        <v>#VALUE!</v>
      </c>
      <c r="FU119" t="e">
        <f>AND('PROG FORMACIÓN TITULADA'!V851,"AAAAAHS7+7A=")</f>
        <v>#VALUE!</v>
      </c>
      <c r="FV119" t="e">
        <f>AND('PROG FORMACIÓN TITULADA'!W851,"AAAAAHS7+7E=")</f>
        <v>#VALUE!</v>
      </c>
      <c r="FW119" t="e">
        <f>AND('PROG FORMACIÓN TITULADA'!X851,"AAAAAHS7+7I=")</f>
        <v>#VALUE!</v>
      </c>
      <c r="FX119" t="e">
        <f>AND('PROG FORMACIÓN TITULADA'!Y851,"AAAAAHS7+7M=")</f>
        <v>#VALUE!</v>
      </c>
      <c r="FY119" t="e">
        <f>AND('PROG FORMACIÓN TITULADA'!Z851,"AAAAAHS7+7Q=")</f>
        <v>#VALUE!</v>
      </c>
      <c r="FZ119">
        <f>IF('PROG FORMACIÓN TITULADA'!852:852,"AAAAAHS7+7U=",0)</f>
        <v>0</v>
      </c>
      <c r="GA119" t="e">
        <f>AND('PROG FORMACIÓN TITULADA'!A852,"AAAAAHS7+7Y=")</f>
        <v>#VALUE!</v>
      </c>
      <c r="GB119" t="e">
        <f>AND('PROG FORMACIÓN TITULADA'!B851,"AAAAAHS7+7c=")</f>
        <v>#VALUE!</v>
      </c>
      <c r="GC119" t="e">
        <f>AND('PROG FORMACIÓN TITULADA'!C852,"AAAAAHS7+7g=")</f>
        <v>#VALUE!</v>
      </c>
      <c r="GD119" t="e">
        <f>AND('PROG FORMACIÓN TITULADA'!D852,"AAAAAHS7+7k=")</f>
        <v>#VALUE!</v>
      </c>
      <c r="GE119" t="e">
        <f>AND('PROG FORMACIÓN TITULADA'!E852,"AAAAAHS7+7o=")</f>
        <v>#VALUE!</v>
      </c>
      <c r="GF119" t="e">
        <f>AND('PROG FORMACIÓN TITULADA'!F852,"AAAAAHS7+7s=")</f>
        <v>#VALUE!</v>
      </c>
      <c r="GG119" t="e">
        <f>AND('PROG FORMACIÓN TITULADA'!G852,"AAAAAHS7+7w=")</f>
        <v>#VALUE!</v>
      </c>
      <c r="GH119" t="e">
        <f>AND('PROG FORMACIÓN TITULADA'!H852,"AAAAAHS7+70=")</f>
        <v>#VALUE!</v>
      </c>
      <c r="GI119" t="e">
        <f>AND('PROG FORMACIÓN TITULADA'!I852,"AAAAAHS7+74=")</f>
        <v>#VALUE!</v>
      </c>
      <c r="GJ119" t="e">
        <f>AND('PROG FORMACIÓN TITULADA'!J852,"AAAAAHS7+78=")</f>
        <v>#VALUE!</v>
      </c>
      <c r="GK119" t="e">
        <f>AND('PROG FORMACIÓN TITULADA'!K852,"AAAAAHS7+8A=")</f>
        <v>#VALUE!</v>
      </c>
      <c r="GL119" t="e">
        <f>AND('PROG FORMACIÓN TITULADA'!L852,"AAAAAHS7+8E=")</f>
        <v>#VALUE!</v>
      </c>
      <c r="GM119" t="e">
        <f>AND('PROG FORMACIÓN TITULADA'!M852,"AAAAAHS7+8I=")</f>
        <v>#VALUE!</v>
      </c>
      <c r="GN119" t="e">
        <f>AND('PROG FORMACIÓN TITULADA'!N852,"AAAAAHS7+8M=")</f>
        <v>#VALUE!</v>
      </c>
      <c r="GO119" t="e">
        <f>AND('PROG FORMACIÓN TITULADA'!O852,"AAAAAHS7+8Q=")</f>
        <v>#VALUE!</v>
      </c>
      <c r="GP119" t="e">
        <f>AND('PROG FORMACIÓN TITULADA'!P852,"AAAAAHS7+8U=")</f>
        <v>#VALUE!</v>
      </c>
      <c r="GQ119" t="e">
        <f>AND('PROG FORMACIÓN TITULADA'!Q852,"AAAAAHS7+8Y=")</f>
        <v>#VALUE!</v>
      </c>
      <c r="GR119" t="e">
        <f>AND('PROG FORMACIÓN TITULADA'!R852,"AAAAAHS7+8c=")</f>
        <v>#VALUE!</v>
      </c>
      <c r="GS119" t="e">
        <f>AND('PROG FORMACIÓN TITULADA'!S852,"AAAAAHS7+8g=")</f>
        <v>#VALUE!</v>
      </c>
      <c r="GT119" t="e">
        <f>AND('PROG FORMACIÓN TITULADA'!T852,"AAAAAHS7+8k=")</f>
        <v>#VALUE!</v>
      </c>
      <c r="GU119" t="e">
        <f>AND('PROG FORMACIÓN TITULADA'!U852,"AAAAAHS7+8o=")</f>
        <v>#VALUE!</v>
      </c>
      <c r="GV119" t="e">
        <f>AND('PROG FORMACIÓN TITULADA'!V852,"AAAAAHS7+8s=")</f>
        <v>#VALUE!</v>
      </c>
      <c r="GW119" t="e">
        <f>AND('PROG FORMACIÓN TITULADA'!W852,"AAAAAHS7+8w=")</f>
        <v>#VALUE!</v>
      </c>
      <c r="GX119" t="e">
        <f>AND('PROG FORMACIÓN TITULADA'!X852,"AAAAAHS7+80=")</f>
        <v>#VALUE!</v>
      </c>
      <c r="GY119" t="e">
        <f>AND('PROG FORMACIÓN TITULADA'!Y852,"AAAAAHS7+84=")</f>
        <v>#VALUE!</v>
      </c>
      <c r="GZ119" t="e">
        <f>AND('PROG FORMACIÓN TITULADA'!Z852,"AAAAAHS7+88=")</f>
        <v>#VALUE!</v>
      </c>
      <c r="HA119">
        <f>IF('PROG FORMACIÓN TITULADA'!853:853,"AAAAAHS7+9A=",0)</f>
        <v>0</v>
      </c>
      <c r="HB119" t="e">
        <f>AND('PROG FORMACIÓN TITULADA'!A853,"AAAAAHS7+9E=")</f>
        <v>#VALUE!</v>
      </c>
      <c r="HC119" t="e">
        <f>AND('PROG FORMACIÓN TITULADA'!B852,"AAAAAHS7+9I=")</f>
        <v>#VALUE!</v>
      </c>
      <c r="HD119" t="e">
        <f>AND('PROG FORMACIÓN TITULADA'!C853,"AAAAAHS7+9M=")</f>
        <v>#VALUE!</v>
      </c>
      <c r="HE119" t="e">
        <f>AND('PROG FORMACIÓN TITULADA'!D853,"AAAAAHS7+9Q=")</f>
        <v>#VALUE!</v>
      </c>
      <c r="HF119" t="e">
        <f>AND('PROG FORMACIÓN TITULADA'!E853,"AAAAAHS7+9U=")</f>
        <v>#VALUE!</v>
      </c>
      <c r="HG119" t="e">
        <f>AND('PROG FORMACIÓN TITULADA'!F853,"AAAAAHS7+9Y=")</f>
        <v>#VALUE!</v>
      </c>
      <c r="HH119" t="e">
        <f>AND('PROG FORMACIÓN TITULADA'!G853,"AAAAAHS7+9c=")</f>
        <v>#VALUE!</v>
      </c>
      <c r="HI119" t="e">
        <f>AND('PROG FORMACIÓN TITULADA'!H853,"AAAAAHS7+9g=")</f>
        <v>#VALUE!</v>
      </c>
      <c r="HJ119" t="e">
        <f>AND('PROG FORMACIÓN TITULADA'!I853,"AAAAAHS7+9k=")</f>
        <v>#VALUE!</v>
      </c>
      <c r="HK119" t="e">
        <f>AND('PROG FORMACIÓN TITULADA'!J853,"AAAAAHS7+9o=")</f>
        <v>#VALUE!</v>
      </c>
      <c r="HL119" t="e">
        <f>AND('PROG FORMACIÓN TITULADA'!K853,"AAAAAHS7+9s=")</f>
        <v>#VALUE!</v>
      </c>
      <c r="HM119" t="e">
        <f>AND('PROG FORMACIÓN TITULADA'!L853,"AAAAAHS7+9w=")</f>
        <v>#VALUE!</v>
      </c>
      <c r="HN119" t="e">
        <f>AND('PROG FORMACIÓN TITULADA'!M853,"AAAAAHS7+90=")</f>
        <v>#VALUE!</v>
      </c>
      <c r="HO119" t="e">
        <f>AND('PROG FORMACIÓN TITULADA'!N853,"AAAAAHS7+94=")</f>
        <v>#VALUE!</v>
      </c>
      <c r="HP119" t="e">
        <f>AND('PROG FORMACIÓN TITULADA'!O853,"AAAAAHS7+98=")</f>
        <v>#VALUE!</v>
      </c>
      <c r="HQ119" t="e">
        <f>AND('PROG FORMACIÓN TITULADA'!P853,"AAAAAHS7++A=")</f>
        <v>#VALUE!</v>
      </c>
      <c r="HR119" t="e">
        <f>AND('PROG FORMACIÓN TITULADA'!Q853,"AAAAAHS7++E=")</f>
        <v>#VALUE!</v>
      </c>
      <c r="HS119" t="e">
        <f>AND('PROG FORMACIÓN TITULADA'!R853,"AAAAAHS7++I=")</f>
        <v>#VALUE!</v>
      </c>
      <c r="HT119" t="e">
        <f>AND('PROG FORMACIÓN TITULADA'!S853,"AAAAAHS7++M=")</f>
        <v>#VALUE!</v>
      </c>
      <c r="HU119" t="e">
        <f>AND('PROG FORMACIÓN TITULADA'!T853,"AAAAAHS7++Q=")</f>
        <v>#VALUE!</v>
      </c>
      <c r="HV119" t="e">
        <f>AND('PROG FORMACIÓN TITULADA'!U853,"AAAAAHS7++U=")</f>
        <v>#VALUE!</v>
      </c>
      <c r="HW119" t="e">
        <f>AND('PROG FORMACIÓN TITULADA'!V853,"AAAAAHS7++Y=")</f>
        <v>#VALUE!</v>
      </c>
      <c r="HX119" t="e">
        <f>AND('PROG FORMACIÓN TITULADA'!W853,"AAAAAHS7++c=")</f>
        <v>#VALUE!</v>
      </c>
      <c r="HY119" t="e">
        <f>AND('PROG FORMACIÓN TITULADA'!X853,"AAAAAHS7++g=")</f>
        <v>#VALUE!</v>
      </c>
      <c r="HZ119" t="e">
        <f>AND('PROG FORMACIÓN TITULADA'!Y853,"AAAAAHS7++k=")</f>
        <v>#VALUE!</v>
      </c>
      <c r="IA119" t="e">
        <f>AND('PROG FORMACIÓN TITULADA'!Z853,"AAAAAHS7++o=")</f>
        <v>#VALUE!</v>
      </c>
      <c r="IB119">
        <f>IF('PROG FORMACIÓN TITULADA'!854:854,"AAAAAHS7++s=",0)</f>
        <v>0</v>
      </c>
      <c r="IC119" t="e">
        <f>AND('PROG FORMACIÓN TITULADA'!A854,"AAAAAHS7++w=")</f>
        <v>#VALUE!</v>
      </c>
      <c r="ID119" t="e">
        <f>AND('PROG FORMACIÓN TITULADA'!B853,"AAAAAHS7++0=")</f>
        <v>#VALUE!</v>
      </c>
      <c r="IE119" t="e">
        <f>AND('PROG FORMACIÓN TITULADA'!C854,"AAAAAHS7++4=")</f>
        <v>#VALUE!</v>
      </c>
      <c r="IF119" t="e">
        <f>AND('PROG FORMACIÓN TITULADA'!D854,"AAAAAHS7++8=")</f>
        <v>#VALUE!</v>
      </c>
      <c r="IG119" t="e">
        <f>AND('PROG FORMACIÓN TITULADA'!E854,"AAAAAHS7+/A=")</f>
        <v>#VALUE!</v>
      </c>
      <c r="IH119" t="e">
        <f>AND('PROG FORMACIÓN TITULADA'!F854,"AAAAAHS7+/E=")</f>
        <v>#VALUE!</v>
      </c>
      <c r="II119" t="e">
        <f>AND('PROG FORMACIÓN TITULADA'!G854,"AAAAAHS7+/I=")</f>
        <v>#VALUE!</v>
      </c>
      <c r="IJ119" t="e">
        <f>AND('PROG FORMACIÓN TITULADA'!H854,"AAAAAHS7+/M=")</f>
        <v>#VALUE!</v>
      </c>
      <c r="IK119" t="e">
        <f>AND('PROG FORMACIÓN TITULADA'!I854,"AAAAAHS7+/Q=")</f>
        <v>#VALUE!</v>
      </c>
      <c r="IL119" t="e">
        <f>AND('PROG FORMACIÓN TITULADA'!J854,"AAAAAHS7+/U=")</f>
        <v>#VALUE!</v>
      </c>
      <c r="IM119" t="e">
        <f>AND('PROG FORMACIÓN TITULADA'!K854,"AAAAAHS7+/Y=")</f>
        <v>#VALUE!</v>
      </c>
      <c r="IN119" t="e">
        <f>AND('PROG FORMACIÓN TITULADA'!L854,"AAAAAHS7+/c=")</f>
        <v>#VALUE!</v>
      </c>
      <c r="IO119" t="e">
        <f>AND('PROG FORMACIÓN TITULADA'!M854,"AAAAAHS7+/g=")</f>
        <v>#VALUE!</v>
      </c>
      <c r="IP119" t="e">
        <f>AND('PROG FORMACIÓN TITULADA'!N854,"AAAAAHS7+/k=")</f>
        <v>#VALUE!</v>
      </c>
      <c r="IQ119" t="e">
        <f>AND('PROG FORMACIÓN TITULADA'!O854,"AAAAAHS7+/o=")</f>
        <v>#VALUE!</v>
      </c>
      <c r="IR119" t="e">
        <f>AND('PROG FORMACIÓN TITULADA'!P854,"AAAAAHS7+/s=")</f>
        <v>#VALUE!</v>
      </c>
      <c r="IS119" t="e">
        <f>AND('PROG FORMACIÓN TITULADA'!Q854,"AAAAAHS7+/w=")</f>
        <v>#VALUE!</v>
      </c>
      <c r="IT119" t="e">
        <f>AND('PROG FORMACIÓN TITULADA'!R854,"AAAAAHS7+/0=")</f>
        <v>#VALUE!</v>
      </c>
      <c r="IU119" t="e">
        <f>AND('PROG FORMACIÓN TITULADA'!S854,"AAAAAHS7+/4=")</f>
        <v>#VALUE!</v>
      </c>
      <c r="IV119" t="e">
        <f>AND('PROG FORMACIÓN TITULADA'!T854,"AAAAAHS7+/8=")</f>
        <v>#VALUE!</v>
      </c>
    </row>
    <row r="120" spans="1:256" x14ac:dyDescent="0.2">
      <c r="A120" t="e">
        <f>AND('PROG FORMACIÓN TITULADA'!U854,"AAAAAD7m6wA=")</f>
        <v>#VALUE!</v>
      </c>
      <c r="B120" t="e">
        <f>AND('PROG FORMACIÓN TITULADA'!V854,"AAAAAD7m6wE=")</f>
        <v>#VALUE!</v>
      </c>
      <c r="C120" t="e">
        <f>AND('PROG FORMACIÓN TITULADA'!W854,"AAAAAD7m6wI=")</f>
        <v>#VALUE!</v>
      </c>
      <c r="D120" t="e">
        <f>AND('PROG FORMACIÓN TITULADA'!X854,"AAAAAD7m6wM=")</f>
        <v>#VALUE!</v>
      </c>
      <c r="E120" t="e">
        <f>AND('PROG FORMACIÓN TITULADA'!Y854,"AAAAAD7m6wQ=")</f>
        <v>#VALUE!</v>
      </c>
      <c r="F120" t="e">
        <f>AND('PROG FORMACIÓN TITULADA'!Z854,"AAAAAD7m6wU=")</f>
        <v>#VALUE!</v>
      </c>
      <c r="G120">
        <f>IF('PROG FORMACIÓN TITULADA'!855:855,"AAAAAD7m6wY=",0)</f>
        <v>0</v>
      </c>
      <c r="H120" t="e">
        <f>AND('PROG FORMACIÓN TITULADA'!A855,"AAAAAD7m6wc=")</f>
        <v>#VALUE!</v>
      </c>
      <c r="I120" t="e">
        <f>AND('PROG FORMACIÓN TITULADA'!B854,"AAAAAD7m6wg=")</f>
        <v>#VALUE!</v>
      </c>
      <c r="J120" t="e">
        <f>AND('PROG FORMACIÓN TITULADA'!C855,"AAAAAD7m6wk=")</f>
        <v>#VALUE!</v>
      </c>
      <c r="K120" t="e">
        <f>AND('PROG FORMACIÓN TITULADA'!D855,"AAAAAD7m6wo=")</f>
        <v>#VALUE!</v>
      </c>
      <c r="L120" t="e">
        <f>AND('PROG FORMACIÓN TITULADA'!E855,"AAAAAD7m6ws=")</f>
        <v>#VALUE!</v>
      </c>
      <c r="M120" t="e">
        <f>AND('PROG FORMACIÓN TITULADA'!F855,"AAAAAD7m6ww=")</f>
        <v>#VALUE!</v>
      </c>
      <c r="N120" t="e">
        <f>AND('PROG FORMACIÓN TITULADA'!G855,"AAAAAD7m6w0=")</f>
        <v>#VALUE!</v>
      </c>
      <c r="O120" t="e">
        <f>AND('PROG FORMACIÓN TITULADA'!H855,"AAAAAD7m6w4=")</f>
        <v>#VALUE!</v>
      </c>
      <c r="P120" t="e">
        <f>AND('PROG FORMACIÓN TITULADA'!I855,"AAAAAD7m6w8=")</f>
        <v>#VALUE!</v>
      </c>
      <c r="Q120" t="e">
        <f>AND('PROG FORMACIÓN TITULADA'!J855,"AAAAAD7m6xA=")</f>
        <v>#VALUE!</v>
      </c>
      <c r="R120" t="e">
        <f>AND('PROG FORMACIÓN TITULADA'!K855,"AAAAAD7m6xE=")</f>
        <v>#VALUE!</v>
      </c>
      <c r="S120" t="e">
        <f>AND('PROG FORMACIÓN TITULADA'!L855,"AAAAAD7m6xI=")</f>
        <v>#VALUE!</v>
      </c>
      <c r="T120" t="e">
        <f>AND('PROG FORMACIÓN TITULADA'!M855,"AAAAAD7m6xM=")</f>
        <v>#VALUE!</v>
      </c>
      <c r="U120" t="e">
        <f>AND('PROG FORMACIÓN TITULADA'!N855,"AAAAAD7m6xQ=")</f>
        <v>#VALUE!</v>
      </c>
      <c r="V120" t="e">
        <f>AND('PROG FORMACIÓN TITULADA'!O855,"AAAAAD7m6xU=")</f>
        <v>#VALUE!</v>
      </c>
      <c r="W120" t="e">
        <f>AND('PROG FORMACIÓN TITULADA'!P855,"AAAAAD7m6xY=")</f>
        <v>#VALUE!</v>
      </c>
      <c r="X120" t="e">
        <f>AND('PROG FORMACIÓN TITULADA'!Q855,"AAAAAD7m6xc=")</f>
        <v>#VALUE!</v>
      </c>
      <c r="Y120" t="e">
        <f>AND('PROG FORMACIÓN TITULADA'!R855,"AAAAAD7m6xg=")</f>
        <v>#VALUE!</v>
      </c>
      <c r="Z120" t="e">
        <f>AND('PROG FORMACIÓN TITULADA'!S855,"AAAAAD7m6xk=")</f>
        <v>#VALUE!</v>
      </c>
      <c r="AA120" t="e">
        <f>AND('PROG FORMACIÓN TITULADA'!T855,"AAAAAD7m6xo=")</f>
        <v>#VALUE!</v>
      </c>
      <c r="AB120" t="e">
        <f>AND('PROG FORMACIÓN TITULADA'!U855,"AAAAAD7m6xs=")</f>
        <v>#VALUE!</v>
      </c>
      <c r="AC120" t="e">
        <f>AND('PROG FORMACIÓN TITULADA'!V855,"AAAAAD7m6xw=")</f>
        <v>#VALUE!</v>
      </c>
      <c r="AD120" t="e">
        <f>AND('PROG FORMACIÓN TITULADA'!W855,"AAAAAD7m6x0=")</f>
        <v>#VALUE!</v>
      </c>
      <c r="AE120" t="e">
        <f>AND('PROG FORMACIÓN TITULADA'!X855,"AAAAAD7m6x4=")</f>
        <v>#VALUE!</v>
      </c>
      <c r="AF120" t="e">
        <f>AND('PROG FORMACIÓN TITULADA'!Y855,"AAAAAD7m6x8=")</f>
        <v>#VALUE!</v>
      </c>
      <c r="AG120" t="e">
        <f>AND('PROG FORMACIÓN TITULADA'!Z855,"AAAAAD7m6yA=")</f>
        <v>#VALUE!</v>
      </c>
      <c r="AH120">
        <f>IF('PROG FORMACIÓN TITULADA'!856:856,"AAAAAD7m6yE=",0)</f>
        <v>0</v>
      </c>
      <c r="AI120" t="e">
        <f>AND('PROG FORMACIÓN TITULADA'!A856,"AAAAAD7m6yI=")</f>
        <v>#VALUE!</v>
      </c>
      <c r="AJ120" t="e">
        <f>AND('PROG FORMACIÓN TITULADA'!B855,"AAAAAD7m6yM=")</f>
        <v>#VALUE!</v>
      </c>
      <c r="AK120" t="e">
        <f>AND('PROG FORMACIÓN TITULADA'!C856,"AAAAAD7m6yQ=")</f>
        <v>#VALUE!</v>
      </c>
      <c r="AL120" t="e">
        <f>AND('PROG FORMACIÓN TITULADA'!D856,"AAAAAD7m6yU=")</f>
        <v>#VALUE!</v>
      </c>
      <c r="AM120" t="e">
        <f>AND('PROG FORMACIÓN TITULADA'!E856,"AAAAAD7m6yY=")</f>
        <v>#VALUE!</v>
      </c>
      <c r="AN120" t="e">
        <f>AND('PROG FORMACIÓN TITULADA'!F856,"AAAAAD7m6yc=")</f>
        <v>#VALUE!</v>
      </c>
      <c r="AO120" t="e">
        <f>AND('PROG FORMACIÓN TITULADA'!G856,"AAAAAD7m6yg=")</f>
        <v>#VALUE!</v>
      </c>
      <c r="AP120" t="e">
        <f>AND('PROG FORMACIÓN TITULADA'!H856,"AAAAAD7m6yk=")</f>
        <v>#VALUE!</v>
      </c>
      <c r="AQ120" t="e">
        <f>AND('PROG FORMACIÓN TITULADA'!I856,"AAAAAD7m6yo=")</f>
        <v>#VALUE!</v>
      </c>
      <c r="AR120" t="e">
        <f>AND('PROG FORMACIÓN TITULADA'!J856,"AAAAAD7m6ys=")</f>
        <v>#VALUE!</v>
      </c>
      <c r="AS120" t="e">
        <f>AND('PROG FORMACIÓN TITULADA'!K856,"AAAAAD7m6yw=")</f>
        <v>#VALUE!</v>
      </c>
      <c r="AT120" t="e">
        <f>AND('PROG FORMACIÓN TITULADA'!L856,"AAAAAD7m6y0=")</f>
        <v>#VALUE!</v>
      </c>
      <c r="AU120" t="e">
        <f>AND('PROG FORMACIÓN TITULADA'!M856,"AAAAAD7m6y4=")</f>
        <v>#VALUE!</v>
      </c>
      <c r="AV120" t="e">
        <f>AND('PROG FORMACIÓN TITULADA'!N856,"AAAAAD7m6y8=")</f>
        <v>#VALUE!</v>
      </c>
      <c r="AW120" t="e">
        <f>AND('PROG FORMACIÓN TITULADA'!O856,"AAAAAD7m6zA=")</f>
        <v>#VALUE!</v>
      </c>
      <c r="AX120" t="e">
        <f>AND('PROG FORMACIÓN TITULADA'!P856,"AAAAAD7m6zE=")</f>
        <v>#VALUE!</v>
      </c>
      <c r="AY120" t="e">
        <f>AND('PROG FORMACIÓN TITULADA'!Q856,"AAAAAD7m6zI=")</f>
        <v>#VALUE!</v>
      </c>
      <c r="AZ120" t="e">
        <f>AND('PROG FORMACIÓN TITULADA'!R856,"AAAAAD7m6zM=")</f>
        <v>#VALUE!</v>
      </c>
      <c r="BA120" t="e">
        <f>AND('PROG FORMACIÓN TITULADA'!S856,"AAAAAD7m6zQ=")</f>
        <v>#VALUE!</v>
      </c>
      <c r="BB120" t="e">
        <f>AND('PROG FORMACIÓN TITULADA'!T856,"AAAAAD7m6zU=")</f>
        <v>#VALUE!</v>
      </c>
      <c r="BC120" t="e">
        <f>AND('PROG FORMACIÓN TITULADA'!U856,"AAAAAD7m6zY=")</f>
        <v>#VALUE!</v>
      </c>
      <c r="BD120" t="e">
        <f>AND('PROG FORMACIÓN TITULADA'!V856,"AAAAAD7m6zc=")</f>
        <v>#VALUE!</v>
      </c>
      <c r="BE120" t="e">
        <f>AND('PROG FORMACIÓN TITULADA'!W856,"AAAAAD7m6zg=")</f>
        <v>#VALUE!</v>
      </c>
      <c r="BF120" t="e">
        <f>AND('PROG FORMACIÓN TITULADA'!X856,"AAAAAD7m6zk=")</f>
        <v>#VALUE!</v>
      </c>
      <c r="BG120" t="e">
        <f>AND('PROG FORMACIÓN TITULADA'!Y856,"AAAAAD7m6zo=")</f>
        <v>#VALUE!</v>
      </c>
      <c r="BH120" t="e">
        <f>AND('PROG FORMACIÓN TITULADA'!Z856,"AAAAAD7m6zs=")</f>
        <v>#VALUE!</v>
      </c>
      <c r="BI120">
        <f>IF('PROG FORMACIÓN TITULADA'!857:857,"AAAAAD7m6zw=",0)</f>
        <v>0</v>
      </c>
      <c r="BJ120" t="e">
        <f>AND('PROG FORMACIÓN TITULADA'!A857,"AAAAAD7m6z0=")</f>
        <v>#VALUE!</v>
      </c>
      <c r="BK120" t="e">
        <f>AND('PROG FORMACIÓN TITULADA'!B856,"AAAAAD7m6z4=")</f>
        <v>#VALUE!</v>
      </c>
      <c r="BL120" t="e">
        <f>AND('PROG FORMACIÓN TITULADA'!C857,"AAAAAD7m6z8=")</f>
        <v>#VALUE!</v>
      </c>
      <c r="BM120" t="e">
        <f>AND('PROG FORMACIÓN TITULADA'!D857,"AAAAAD7m60A=")</f>
        <v>#VALUE!</v>
      </c>
      <c r="BN120" t="e">
        <f>AND('PROG FORMACIÓN TITULADA'!E857,"AAAAAD7m60E=")</f>
        <v>#VALUE!</v>
      </c>
      <c r="BO120" t="e">
        <f>AND('PROG FORMACIÓN TITULADA'!F857,"AAAAAD7m60I=")</f>
        <v>#VALUE!</v>
      </c>
      <c r="BP120" t="e">
        <f>AND('PROG FORMACIÓN TITULADA'!G857,"AAAAAD7m60M=")</f>
        <v>#VALUE!</v>
      </c>
      <c r="BQ120" t="e">
        <f>AND('PROG FORMACIÓN TITULADA'!H857,"AAAAAD7m60Q=")</f>
        <v>#VALUE!</v>
      </c>
      <c r="BR120" t="e">
        <f>AND('PROG FORMACIÓN TITULADA'!I857,"AAAAAD7m60U=")</f>
        <v>#VALUE!</v>
      </c>
      <c r="BS120" t="e">
        <f>AND('PROG FORMACIÓN TITULADA'!J857,"AAAAAD7m60Y=")</f>
        <v>#VALUE!</v>
      </c>
      <c r="BT120" t="e">
        <f>AND('PROG FORMACIÓN TITULADA'!K857,"AAAAAD7m60c=")</f>
        <v>#VALUE!</v>
      </c>
      <c r="BU120" t="e">
        <f>AND('PROG FORMACIÓN TITULADA'!L857,"AAAAAD7m60g=")</f>
        <v>#VALUE!</v>
      </c>
      <c r="BV120" t="e">
        <f>AND('PROG FORMACIÓN TITULADA'!M857,"AAAAAD7m60k=")</f>
        <v>#VALUE!</v>
      </c>
      <c r="BW120" t="e">
        <f>AND('PROG FORMACIÓN TITULADA'!N857,"AAAAAD7m60o=")</f>
        <v>#VALUE!</v>
      </c>
      <c r="BX120" t="e">
        <f>AND('PROG FORMACIÓN TITULADA'!O857,"AAAAAD7m60s=")</f>
        <v>#VALUE!</v>
      </c>
      <c r="BY120" t="e">
        <f>AND('PROG FORMACIÓN TITULADA'!P857,"AAAAAD7m60w=")</f>
        <v>#VALUE!</v>
      </c>
      <c r="BZ120" t="e">
        <f>AND('PROG FORMACIÓN TITULADA'!Q857,"AAAAAD7m600=")</f>
        <v>#VALUE!</v>
      </c>
      <c r="CA120" t="e">
        <f>AND('PROG FORMACIÓN TITULADA'!R857,"AAAAAD7m604=")</f>
        <v>#VALUE!</v>
      </c>
      <c r="CB120" t="e">
        <f>AND('PROG FORMACIÓN TITULADA'!S857,"AAAAAD7m608=")</f>
        <v>#VALUE!</v>
      </c>
      <c r="CC120" t="e">
        <f>AND('PROG FORMACIÓN TITULADA'!T857,"AAAAAD7m61A=")</f>
        <v>#VALUE!</v>
      </c>
      <c r="CD120" t="e">
        <f>AND('PROG FORMACIÓN TITULADA'!U857,"AAAAAD7m61E=")</f>
        <v>#VALUE!</v>
      </c>
      <c r="CE120" t="e">
        <f>AND('PROG FORMACIÓN TITULADA'!V857,"AAAAAD7m61I=")</f>
        <v>#VALUE!</v>
      </c>
      <c r="CF120" t="e">
        <f>AND('PROG FORMACIÓN TITULADA'!W857,"AAAAAD7m61M=")</f>
        <v>#VALUE!</v>
      </c>
      <c r="CG120" t="e">
        <f>AND('PROG FORMACIÓN TITULADA'!X857,"AAAAAD7m61Q=")</f>
        <v>#VALUE!</v>
      </c>
      <c r="CH120" t="e">
        <f>AND('PROG FORMACIÓN TITULADA'!Y857,"AAAAAD7m61U=")</f>
        <v>#VALUE!</v>
      </c>
      <c r="CI120" t="e">
        <f>AND('PROG FORMACIÓN TITULADA'!Z857,"AAAAAD7m61Y=")</f>
        <v>#VALUE!</v>
      </c>
      <c r="CJ120">
        <f>IF('PROG FORMACIÓN TITULADA'!858:858,"AAAAAD7m61c=",0)</f>
        <v>0</v>
      </c>
      <c r="CK120" t="e">
        <f>AND('PROG FORMACIÓN TITULADA'!A858,"AAAAAD7m61g=")</f>
        <v>#VALUE!</v>
      </c>
      <c r="CL120" t="e">
        <f>AND('PROG FORMACIÓN TITULADA'!B857,"AAAAAD7m61k=")</f>
        <v>#VALUE!</v>
      </c>
      <c r="CM120" t="e">
        <f>AND('PROG FORMACIÓN TITULADA'!C858,"AAAAAD7m61o=")</f>
        <v>#VALUE!</v>
      </c>
      <c r="CN120" t="e">
        <f>AND('PROG FORMACIÓN TITULADA'!D858,"AAAAAD7m61s=")</f>
        <v>#VALUE!</v>
      </c>
      <c r="CO120" t="e">
        <f>AND('PROG FORMACIÓN TITULADA'!E858,"AAAAAD7m61w=")</f>
        <v>#VALUE!</v>
      </c>
      <c r="CP120" t="e">
        <f>AND('PROG FORMACIÓN TITULADA'!F858,"AAAAAD7m610=")</f>
        <v>#VALUE!</v>
      </c>
      <c r="CQ120" t="e">
        <f>AND('PROG FORMACIÓN TITULADA'!G858,"AAAAAD7m614=")</f>
        <v>#VALUE!</v>
      </c>
      <c r="CR120" t="e">
        <f>AND('PROG FORMACIÓN TITULADA'!H858,"AAAAAD7m618=")</f>
        <v>#VALUE!</v>
      </c>
      <c r="CS120" t="e">
        <f>AND('PROG FORMACIÓN TITULADA'!I858,"AAAAAD7m62A=")</f>
        <v>#VALUE!</v>
      </c>
      <c r="CT120" t="e">
        <f>AND('PROG FORMACIÓN TITULADA'!J858,"AAAAAD7m62E=")</f>
        <v>#VALUE!</v>
      </c>
      <c r="CU120" t="e">
        <f>AND('PROG FORMACIÓN TITULADA'!K858,"AAAAAD7m62I=")</f>
        <v>#VALUE!</v>
      </c>
      <c r="CV120" t="e">
        <f>AND('PROG FORMACIÓN TITULADA'!L858,"AAAAAD7m62M=")</f>
        <v>#VALUE!</v>
      </c>
      <c r="CW120" t="e">
        <f>AND('PROG FORMACIÓN TITULADA'!M858,"AAAAAD7m62Q=")</f>
        <v>#VALUE!</v>
      </c>
      <c r="CX120" t="e">
        <f>AND('PROG FORMACIÓN TITULADA'!N858,"AAAAAD7m62U=")</f>
        <v>#VALUE!</v>
      </c>
      <c r="CY120" t="e">
        <f>AND('PROG FORMACIÓN TITULADA'!O858,"AAAAAD7m62Y=")</f>
        <v>#VALUE!</v>
      </c>
      <c r="CZ120" t="e">
        <f>AND('PROG FORMACIÓN TITULADA'!P858,"AAAAAD7m62c=")</f>
        <v>#VALUE!</v>
      </c>
      <c r="DA120" t="e">
        <f>AND('PROG FORMACIÓN TITULADA'!Q858,"AAAAAD7m62g=")</f>
        <v>#VALUE!</v>
      </c>
      <c r="DB120" t="e">
        <f>AND('PROG FORMACIÓN TITULADA'!R858,"AAAAAD7m62k=")</f>
        <v>#VALUE!</v>
      </c>
      <c r="DC120" t="e">
        <f>AND('PROG FORMACIÓN TITULADA'!S858,"AAAAAD7m62o=")</f>
        <v>#VALUE!</v>
      </c>
      <c r="DD120" t="e">
        <f>AND('PROG FORMACIÓN TITULADA'!T858,"AAAAAD7m62s=")</f>
        <v>#VALUE!</v>
      </c>
      <c r="DE120" t="e">
        <f>AND('PROG FORMACIÓN TITULADA'!U858,"AAAAAD7m62w=")</f>
        <v>#VALUE!</v>
      </c>
      <c r="DF120" t="e">
        <f>AND('PROG FORMACIÓN TITULADA'!V858,"AAAAAD7m620=")</f>
        <v>#VALUE!</v>
      </c>
      <c r="DG120" t="e">
        <f>AND('PROG FORMACIÓN TITULADA'!W858,"AAAAAD7m624=")</f>
        <v>#VALUE!</v>
      </c>
      <c r="DH120" t="e">
        <f>AND('PROG FORMACIÓN TITULADA'!X858,"AAAAAD7m628=")</f>
        <v>#VALUE!</v>
      </c>
      <c r="DI120" t="e">
        <f>AND('PROG FORMACIÓN TITULADA'!Y858,"AAAAAD7m63A=")</f>
        <v>#VALUE!</v>
      </c>
      <c r="DJ120" t="e">
        <f>AND('PROG FORMACIÓN TITULADA'!Z858,"AAAAAD7m63E=")</f>
        <v>#VALUE!</v>
      </c>
      <c r="DK120">
        <f>IF('PROG FORMACIÓN TITULADA'!859:859,"AAAAAD7m63I=",0)</f>
        <v>0</v>
      </c>
      <c r="DL120" t="e">
        <f>AND('PROG FORMACIÓN TITULADA'!A859,"AAAAAD7m63M=")</f>
        <v>#VALUE!</v>
      </c>
      <c r="DM120" t="e">
        <f>AND('PROG FORMACIÓN TITULADA'!B858,"AAAAAD7m63Q=")</f>
        <v>#VALUE!</v>
      </c>
      <c r="DN120" t="e">
        <f>AND('PROG FORMACIÓN TITULADA'!C859,"AAAAAD7m63U=")</f>
        <v>#VALUE!</v>
      </c>
      <c r="DO120" t="e">
        <f>AND('PROG FORMACIÓN TITULADA'!D859,"AAAAAD7m63Y=")</f>
        <v>#VALUE!</v>
      </c>
      <c r="DP120" t="e">
        <f>AND('PROG FORMACIÓN TITULADA'!E859,"AAAAAD7m63c=")</f>
        <v>#VALUE!</v>
      </c>
      <c r="DQ120" t="e">
        <f>AND('PROG FORMACIÓN TITULADA'!F859,"AAAAAD7m63g=")</f>
        <v>#VALUE!</v>
      </c>
      <c r="DR120" t="e">
        <f>AND('PROG FORMACIÓN TITULADA'!G859,"AAAAAD7m63k=")</f>
        <v>#VALUE!</v>
      </c>
      <c r="DS120" t="e">
        <f>AND('PROG FORMACIÓN TITULADA'!H859,"AAAAAD7m63o=")</f>
        <v>#VALUE!</v>
      </c>
      <c r="DT120" t="e">
        <f>AND('PROG FORMACIÓN TITULADA'!I859,"AAAAAD7m63s=")</f>
        <v>#VALUE!</v>
      </c>
      <c r="DU120" t="e">
        <f>AND('PROG FORMACIÓN TITULADA'!J859,"AAAAAD7m63w=")</f>
        <v>#VALUE!</v>
      </c>
      <c r="DV120" t="e">
        <f>AND('PROG FORMACIÓN TITULADA'!K859,"AAAAAD7m630=")</f>
        <v>#VALUE!</v>
      </c>
      <c r="DW120" t="e">
        <f>AND('PROG FORMACIÓN TITULADA'!L859,"AAAAAD7m634=")</f>
        <v>#VALUE!</v>
      </c>
      <c r="DX120" t="e">
        <f>AND('PROG FORMACIÓN TITULADA'!M859,"AAAAAD7m638=")</f>
        <v>#VALUE!</v>
      </c>
      <c r="DY120" t="e">
        <f>AND('PROG FORMACIÓN TITULADA'!N859,"AAAAAD7m64A=")</f>
        <v>#VALUE!</v>
      </c>
      <c r="DZ120" t="e">
        <f>AND('PROG FORMACIÓN TITULADA'!O859,"AAAAAD7m64E=")</f>
        <v>#VALUE!</v>
      </c>
      <c r="EA120" t="e">
        <f>AND('PROG FORMACIÓN TITULADA'!P859,"AAAAAD7m64I=")</f>
        <v>#VALUE!</v>
      </c>
      <c r="EB120" t="e">
        <f>AND('PROG FORMACIÓN TITULADA'!Q859,"AAAAAD7m64M=")</f>
        <v>#VALUE!</v>
      </c>
      <c r="EC120" t="e">
        <f>AND('PROG FORMACIÓN TITULADA'!R859,"AAAAAD7m64Q=")</f>
        <v>#VALUE!</v>
      </c>
      <c r="ED120" t="e">
        <f>AND('PROG FORMACIÓN TITULADA'!S859,"AAAAAD7m64U=")</f>
        <v>#VALUE!</v>
      </c>
      <c r="EE120" t="e">
        <f>AND('PROG FORMACIÓN TITULADA'!T859,"AAAAAD7m64Y=")</f>
        <v>#VALUE!</v>
      </c>
      <c r="EF120" t="e">
        <f>AND('PROG FORMACIÓN TITULADA'!U859,"AAAAAD7m64c=")</f>
        <v>#VALUE!</v>
      </c>
      <c r="EG120" t="e">
        <f>AND('PROG FORMACIÓN TITULADA'!V859,"AAAAAD7m64g=")</f>
        <v>#VALUE!</v>
      </c>
      <c r="EH120" t="e">
        <f>AND('PROG FORMACIÓN TITULADA'!W859,"AAAAAD7m64k=")</f>
        <v>#VALUE!</v>
      </c>
      <c r="EI120" t="e">
        <f>AND('PROG FORMACIÓN TITULADA'!X859,"AAAAAD7m64o=")</f>
        <v>#VALUE!</v>
      </c>
      <c r="EJ120" t="e">
        <f>AND('PROG FORMACIÓN TITULADA'!Y859,"AAAAAD7m64s=")</f>
        <v>#VALUE!</v>
      </c>
      <c r="EK120" t="e">
        <f>AND('PROG FORMACIÓN TITULADA'!Z859,"AAAAAD7m64w=")</f>
        <v>#VALUE!</v>
      </c>
      <c r="EL120">
        <f>IF('PROG FORMACIÓN TITULADA'!860:860,"AAAAAD7m640=",0)</f>
        <v>0</v>
      </c>
      <c r="EM120" t="e">
        <f>AND('PROG FORMACIÓN TITULADA'!A860,"AAAAAD7m644=")</f>
        <v>#VALUE!</v>
      </c>
      <c r="EN120" t="e">
        <f>AND('PROG FORMACIÓN TITULADA'!B859,"AAAAAD7m648=")</f>
        <v>#VALUE!</v>
      </c>
      <c r="EO120" t="e">
        <f>AND('PROG FORMACIÓN TITULADA'!C860,"AAAAAD7m65A=")</f>
        <v>#VALUE!</v>
      </c>
      <c r="EP120" t="e">
        <f>AND('PROG FORMACIÓN TITULADA'!D860,"AAAAAD7m65E=")</f>
        <v>#VALUE!</v>
      </c>
      <c r="EQ120" t="e">
        <f>AND('PROG FORMACIÓN TITULADA'!E860,"AAAAAD7m65I=")</f>
        <v>#VALUE!</v>
      </c>
      <c r="ER120" t="e">
        <f>AND('PROG FORMACIÓN TITULADA'!F860,"AAAAAD7m65M=")</f>
        <v>#VALUE!</v>
      </c>
      <c r="ES120" t="e">
        <f>AND('PROG FORMACIÓN TITULADA'!G860,"AAAAAD7m65Q=")</f>
        <v>#VALUE!</v>
      </c>
      <c r="ET120" t="e">
        <f>AND('PROG FORMACIÓN TITULADA'!H860,"AAAAAD7m65U=")</f>
        <v>#VALUE!</v>
      </c>
      <c r="EU120" t="e">
        <f>AND('PROG FORMACIÓN TITULADA'!I860,"AAAAAD7m65Y=")</f>
        <v>#VALUE!</v>
      </c>
      <c r="EV120" t="e">
        <f>AND('PROG FORMACIÓN TITULADA'!J860,"AAAAAD7m65c=")</f>
        <v>#VALUE!</v>
      </c>
      <c r="EW120" t="e">
        <f>AND('PROG FORMACIÓN TITULADA'!K860,"AAAAAD7m65g=")</f>
        <v>#VALUE!</v>
      </c>
      <c r="EX120" t="e">
        <f>AND('PROG FORMACIÓN TITULADA'!L860,"AAAAAD7m65k=")</f>
        <v>#VALUE!</v>
      </c>
      <c r="EY120" t="e">
        <f>AND('PROG FORMACIÓN TITULADA'!M860,"AAAAAD7m65o=")</f>
        <v>#VALUE!</v>
      </c>
      <c r="EZ120" t="e">
        <f>AND('PROG FORMACIÓN TITULADA'!N860,"AAAAAD7m65s=")</f>
        <v>#VALUE!</v>
      </c>
      <c r="FA120" t="e">
        <f>AND('PROG FORMACIÓN TITULADA'!O860,"AAAAAD7m65w=")</f>
        <v>#VALUE!</v>
      </c>
      <c r="FB120" t="e">
        <f>AND('PROG FORMACIÓN TITULADA'!P860,"AAAAAD7m650=")</f>
        <v>#VALUE!</v>
      </c>
      <c r="FC120" t="e">
        <f>AND('PROG FORMACIÓN TITULADA'!Q860,"AAAAAD7m654=")</f>
        <v>#VALUE!</v>
      </c>
      <c r="FD120" t="e">
        <f>AND('PROG FORMACIÓN TITULADA'!R860,"AAAAAD7m658=")</f>
        <v>#VALUE!</v>
      </c>
      <c r="FE120" t="e">
        <f>AND('PROG FORMACIÓN TITULADA'!S860,"AAAAAD7m66A=")</f>
        <v>#VALUE!</v>
      </c>
      <c r="FF120" t="e">
        <f>AND('PROG FORMACIÓN TITULADA'!T860,"AAAAAD7m66E=")</f>
        <v>#VALUE!</v>
      </c>
      <c r="FG120" t="e">
        <f>AND('PROG FORMACIÓN TITULADA'!U860,"AAAAAD7m66I=")</f>
        <v>#VALUE!</v>
      </c>
      <c r="FH120" t="e">
        <f>AND('PROG FORMACIÓN TITULADA'!V860,"AAAAAD7m66M=")</f>
        <v>#VALUE!</v>
      </c>
      <c r="FI120" t="e">
        <f>AND('PROG FORMACIÓN TITULADA'!W860,"AAAAAD7m66Q=")</f>
        <v>#VALUE!</v>
      </c>
      <c r="FJ120" t="e">
        <f>AND('PROG FORMACIÓN TITULADA'!X860,"AAAAAD7m66U=")</f>
        <v>#VALUE!</v>
      </c>
      <c r="FK120" t="e">
        <f>AND('PROG FORMACIÓN TITULADA'!Y860,"AAAAAD7m66Y=")</f>
        <v>#VALUE!</v>
      </c>
      <c r="FL120" t="e">
        <f>AND('PROG FORMACIÓN TITULADA'!Z860,"AAAAAD7m66c=")</f>
        <v>#VALUE!</v>
      </c>
      <c r="FM120">
        <f>IF('PROG FORMACIÓN TITULADA'!861:861,"AAAAAD7m66g=",0)</f>
        <v>0</v>
      </c>
      <c r="FN120" t="e">
        <f>AND('PROG FORMACIÓN TITULADA'!A861,"AAAAAD7m66k=")</f>
        <v>#VALUE!</v>
      </c>
      <c r="FO120" t="e">
        <f>AND('PROG FORMACIÓN TITULADA'!B860,"AAAAAD7m66o=")</f>
        <v>#VALUE!</v>
      </c>
      <c r="FP120" t="e">
        <f>AND('PROG FORMACIÓN TITULADA'!C861,"AAAAAD7m66s=")</f>
        <v>#VALUE!</v>
      </c>
      <c r="FQ120" t="e">
        <f>AND('PROG FORMACIÓN TITULADA'!D861,"AAAAAD7m66w=")</f>
        <v>#VALUE!</v>
      </c>
      <c r="FR120" t="e">
        <f>AND('PROG FORMACIÓN TITULADA'!E861,"AAAAAD7m660=")</f>
        <v>#VALUE!</v>
      </c>
      <c r="FS120" t="e">
        <f>AND('PROG FORMACIÓN TITULADA'!F861,"AAAAAD7m664=")</f>
        <v>#VALUE!</v>
      </c>
      <c r="FT120" t="e">
        <f>AND('PROG FORMACIÓN TITULADA'!G861,"AAAAAD7m668=")</f>
        <v>#VALUE!</v>
      </c>
      <c r="FU120" t="e">
        <f>AND('PROG FORMACIÓN TITULADA'!H861,"AAAAAD7m67A=")</f>
        <v>#VALUE!</v>
      </c>
      <c r="FV120" t="e">
        <f>AND('PROG FORMACIÓN TITULADA'!I861,"AAAAAD7m67E=")</f>
        <v>#VALUE!</v>
      </c>
      <c r="FW120" t="e">
        <f>AND('PROG FORMACIÓN TITULADA'!J861,"AAAAAD7m67I=")</f>
        <v>#VALUE!</v>
      </c>
      <c r="FX120" t="e">
        <f>AND('PROG FORMACIÓN TITULADA'!K861,"AAAAAD7m67M=")</f>
        <v>#VALUE!</v>
      </c>
      <c r="FY120" t="e">
        <f>AND('PROG FORMACIÓN TITULADA'!L861,"AAAAAD7m67Q=")</f>
        <v>#VALUE!</v>
      </c>
      <c r="FZ120" t="e">
        <f>AND('PROG FORMACIÓN TITULADA'!M861,"AAAAAD7m67U=")</f>
        <v>#VALUE!</v>
      </c>
      <c r="GA120" t="e">
        <f>AND('PROG FORMACIÓN TITULADA'!N861,"AAAAAD7m67Y=")</f>
        <v>#VALUE!</v>
      </c>
      <c r="GB120" t="e">
        <f>AND('PROG FORMACIÓN TITULADA'!O861,"AAAAAD7m67c=")</f>
        <v>#VALUE!</v>
      </c>
      <c r="GC120" t="e">
        <f>AND('PROG FORMACIÓN TITULADA'!P861,"AAAAAD7m67g=")</f>
        <v>#VALUE!</v>
      </c>
      <c r="GD120" t="e">
        <f>AND('PROG FORMACIÓN TITULADA'!Q861,"AAAAAD7m67k=")</f>
        <v>#VALUE!</v>
      </c>
      <c r="GE120" t="e">
        <f>AND('PROG FORMACIÓN TITULADA'!R861,"AAAAAD7m67o=")</f>
        <v>#VALUE!</v>
      </c>
      <c r="GF120" t="e">
        <f>AND('PROG FORMACIÓN TITULADA'!S861,"AAAAAD7m67s=")</f>
        <v>#VALUE!</v>
      </c>
      <c r="GG120" t="e">
        <f>AND('PROG FORMACIÓN TITULADA'!T861,"AAAAAD7m67w=")</f>
        <v>#VALUE!</v>
      </c>
      <c r="GH120" t="e">
        <f>AND('PROG FORMACIÓN TITULADA'!U861,"AAAAAD7m670=")</f>
        <v>#VALUE!</v>
      </c>
      <c r="GI120" t="e">
        <f>AND('PROG FORMACIÓN TITULADA'!V861,"AAAAAD7m674=")</f>
        <v>#VALUE!</v>
      </c>
      <c r="GJ120" t="e">
        <f>AND('PROG FORMACIÓN TITULADA'!W861,"AAAAAD7m678=")</f>
        <v>#VALUE!</v>
      </c>
      <c r="GK120" t="e">
        <f>AND('PROG FORMACIÓN TITULADA'!X861,"AAAAAD7m68A=")</f>
        <v>#VALUE!</v>
      </c>
      <c r="GL120" t="e">
        <f>AND('PROG FORMACIÓN TITULADA'!Y861,"AAAAAD7m68E=")</f>
        <v>#VALUE!</v>
      </c>
      <c r="GM120" t="e">
        <f>AND('PROG FORMACIÓN TITULADA'!Z861,"AAAAAD7m68I=")</f>
        <v>#VALUE!</v>
      </c>
      <c r="GN120">
        <f>IF('PROG FORMACIÓN TITULADA'!862:862,"AAAAAD7m68M=",0)</f>
        <v>0</v>
      </c>
      <c r="GO120" t="e">
        <f>AND('PROG FORMACIÓN TITULADA'!A862,"AAAAAD7m68Q=")</f>
        <v>#VALUE!</v>
      </c>
      <c r="GP120" t="e">
        <f>AND('PROG FORMACIÓN TITULADA'!B861,"AAAAAD7m68U=")</f>
        <v>#VALUE!</v>
      </c>
      <c r="GQ120" t="e">
        <f>AND('PROG FORMACIÓN TITULADA'!C862,"AAAAAD7m68Y=")</f>
        <v>#VALUE!</v>
      </c>
      <c r="GR120" t="e">
        <f>AND('PROG FORMACIÓN TITULADA'!D862,"AAAAAD7m68c=")</f>
        <v>#VALUE!</v>
      </c>
      <c r="GS120" t="e">
        <f>AND('PROG FORMACIÓN TITULADA'!E862,"AAAAAD7m68g=")</f>
        <v>#VALUE!</v>
      </c>
      <c r="GT120" t="e">
        <f>AND('PROG FORMACIÓN TITULADA'!F862,"AAAAAD7m68k=")</f>
        <v>#VALUE!</v>
      </c>
      <c r="GU120" t="e">
        <f>AND('PROG FORMACIÓN TITULADA'!G862,"AAAAAD7m68o=")</f>
        <v>#VALUE!</v>
      </c>
      <c r="GV120" t="e">
        <f>AND('PROG FORMACIÓN TITULADA'!H862,"AAAAAD7m68s=")</f>
        <v>#VALUE!</v>
      </c>
      <c r="GW120" t="e">
        <f>AND('PROG FORMACIÓN TITULADA'!I862,"AAAAAD7m68w=")</f>
        <v>#VALUE!</v>
      </c>
      <c r="GX120" t="e">
        <f>AND('PROG FORMACIÓN TITULADA'!J862,"AAAAAD7m680=")</f>
        <v>#VALUE!</v>
      </c>
      <c r="GY120" t="e">
        <f>AND('PROG FORMACIÓN TITULADA'!K862,"AAAAAD7m684=")</f>
        <v>#VALUE!</v>
      </c>
      <c r="GZ120" t="e">
        <f>AND('PROG FORMACIÓN TITULADA'!L862,"AAAAAD7m688=")</f>
        <v>#VALUE!</v>
      </c>
      <c r="HA120" t="e">
        <f>AND('PROG FORMACIÓN TITULADA'!M862,"AAAAAD7m69A=")</f>
        <v>#VALUE!</v>
      </c>
      <c r="HB120" t="e">
        <f>AND('PROG FORMACIÓN TITULADA'!N862,"AAAAAD7m69E=")</f>
        <v>#VALUE!</v>
      </c>
      <c r="HC120" t="e">
        <f>AND('PROG FORMACIÓN TITULADA'!O862,"AAAAAD7m69I=")</f>
        <v>#VALUE!</v>
      </c>
      <c r="HD120" t="e">
        <f>AND('PROG FORMACIÓN TITULADA'!P862,"AAAAAD7m69M=")</f>
        <v>#VALUE!</v>
      </c>
      <c r="HE120" t="e">
        <f>AND('PROG FORMACIÓN TITULADA'!Q862,"AAAAAD7m69Q=")</f>
        <v>#VALUE!</v>
      </c>
      <c r="HF120" t="e">
        <f>AND('PROG FORMACIÓN TITULADA'!R862,"AAAAAD7m69U=")</f>
        <v>#VALUE!</v>
      </c>
      <c r="HG120" t="e">
        <f>AND('PROG FORMACIÓN TITULADA'!S862,"AAAAAD7m69Y=")</f>
        <v>#VALUE!</v>
      </c>
      <c r="HH120" t="e">
        <f>AND('PROG FORMACIÓN TITULADA'!T862,"AAAAAD7m69c=")</f>
        <v>#VALUE!</v>
      </c>
      <c r="HI120" t="e">
        <f>AND('PROG FORMACIÓN TITULADA'!U862,"AAAAAD7m69g=")</f>
        <v>#VALUE!</v>
      </c>
      <c r="HJ120" t="e">
        <f>AND('PROG FORMACIÓN TITULADA'!V862,"AAAAAD7m69k=")</f>
        <v>#VALUE!</v>
      </c>
      <c r="HK120" t="e">
        <f>AND('PROG FORMACIÓN TITULADA'!W862,"AAAAAD7m69o=")</f>
        <v>#VALUE!</v>
      </c>
      <c r="HL120" t="e">
        <f>AND('PROG FORMACIÓN TITULADA'!X862,"AAAAAD7m69s=")</f>
        <v>#VALUE!</v>
      </c>
      <c r="HM120" t="e">
        <f>AND('PROG FORMACIÓN TITULADA'!Y862,"AAAAAD7m69w=")</f>
        <v>#VALUE!</v>
      </c>
      <c r="HN120" t="e">
        <f>AND('PROG FORMACIÓN TITULADA'!Z862,"AAAAAD7m690=")</f>
        <v>#VALUE!</v>
      </c>
      <c r="HO120">
        <f>IF('PROG FORMACIÓN TITULADA'!863:863,"AAAAAD7m694=",0)</f>
        <v>0</v>
      </c>
      <c r="HP120" t="e">
        <f>AND('PROG FORMACIÓN TITULADA'!A863,"AAAAAD7m698=")</f>
        <v>#VALUE!</v>
      </c>
      <c r="HQ120" t="e">
        <f>AND('PROG FORMACIÓN TITULADA'!B862,"AAAAAD7m6+A=")</f>
        <v>#VALUE!</v>
      </c>
      <c r="HR120" t="e">
        <f>AND('PROG FORMACIÓN TITULADA'!C863,"AAAAAD7m6+E=")</f>
        <v>#VALUE!</v>
      </c>
      <c r="HS120" t="e">
        <f>AND('PROG FORMACIÓN TITULADA'!D863,"AAAAAD7m6+I=")</f>
        <v>#VALUE!</v>
      </c>
      <c r="HT120" t="e">
        <f>AND('PROG FORMACIÓN TITULADA'!E863,"AAAAAD7m6+M=")</f>
        <v>#VALUE!</v>
      </c>
      <c r="HU120" t="e">
        <f>AND('PROG FORMACIÓN TITULADA'!F863,"AAAAAD7m6+Q=")</f>
        <v>#VALUE!</v>
      </c>
      <c r="HV120" t="e">
        <f>AND('PROG FORMACIÓN TITULADA'!G863,"AAAAAD7m6+U=")</f>
        <v>#VALUE!</v>
      </c>
      <c r="HW120" t="e">
        <f>AND('PROG FORMACIÓN TITULADA'!H863,"AAAAAD7m6+Y=")</f>
        <v>#VALUE!</v>
      </c>
      <c r="HX120" t="e">
        <f>AND('PROG FORMACIÓN TITULADA'!I863,"AAAAAD7m6+c=")</f>
        <v>#VALUE!</v>
      </c>
      <c r="HY120" t="e">
        <f>AND('PROG FORMACIÓN TITULADA'!J863,"AAAAAD7m6+g=")</f>
        <v>#VALUE!</v>
      </c>
      <c r="HZ120" t="e">
        <f>AND('PROG FORMACIÓN TITULADA'!K863,"AAAAAD7m6+k=")</f>
        <v>#VALUE!</v>
      </c>
      <c r="IA120" t="e">
        <f>AND('PROG FORMACIÓN TITULADA'!L863,"AAAAAD7m6+o=")</f>
        <v>#VALUE!</v>
      </c>
      <c r="IB120" t="e">
        <f>AND('PROG FORMACIÓN TITULADA'!M863,"AAAAAD7m6+s=")</f>
        <v>#VALUE!</v>
      </c>
      <c r="IC120" t="e">
        <f>AND('PROG FORMACIÓN TITULADA'!N863,"AAAAAD7m6+w=")</f>
        <v>#VALUE!</v>
      </c>
      <c r="ID120" t="e">
        <f>AND('PROG FORMACIÓN TITULADA'!O863,"AAAAAD7m6+0=")</f>
        <v>#VALUE!</v>
      </c>
      <c r="IE120" t="e">
        <f>AND('PROG FORMACIÓN TITULADA'!P863,"AAAAAD7m6+4=")</f>
        <v>#VALUE!</v>
      </c>
      <c r="IF120" t="e">
        <f>AND('PROG FORMACIÓN TITULADA'!Q863,"AAAAAD7m6+8=")</f>
        <v>#VALUE!</v>
      </c>
      <c r="IG120" t="e">
        <f>AND('PROG FORMACIÓN TITULADA'!R863,"AAAAAD7m6/A=")</f>
        <v>#VALUE!</v>
      </c>
      <c r="IH120" t="e">
        <f>AND('PROG FORMACIÓN TITULADA'!S863,"AAAAAD7m6/E=")</f>
        <v>#VALUE!</v>
      </c>
      <c r="II120" t="e">
        <f>AND('PROG FORMACIÓN TITULADA'!T863,"AAAAAD7m6/I=")</f>
        <v>#VALUE!</v>
      </c>
      <c r="IJ120" t="e">
        <f>AND('PROG FORMACIÓN TITULADA'!U863,"AAAAAD7m6/M=")</f>
        <v>#VALUE!</v>
      </c>
      <c r="IK120" t="e">
        <f>AND('PROG FORMACIÓN TITULADA'!V863,"AAAAAD7m6/Q=")</f>
        <v>#VALUE!</v>
      </c>
      <c r="IL120" t="e">
        <f>AND('PROG FORMACIÓN TITULADA'!W863,"AAAAAD7m6/U=")</f>
        <v>#VALUE!</v>
      </c>
      <c r="IM120" t="e">
        <f>AND('PROG FORMACIÓN TITULADA'!X863,"AAAAAD7m6/Y=")</f>
        <v>#VALUE!</v>
      </c>
      <c r="IN120" t="e">
        <f>AND('PROG FORMACIÓN TITULADA'!Y863,"AAAAAD7m6/c=")</f>
        <v>#VALUE!</v>
      </c>
      <c r="IO120" t="e">
        <f>AND('PROG FORMACIÓN TITULADA'!Z863,"AAAAAD7m6/g=")</f>
        <v>#VALUE!</v>
      </c>
      <c r="IP120">
        <f>IF('PROG FORMACIÓN TITULADA'!864:864,"AAAAAD7m6/k=",0)</f>
        <v>0</v>
      </c>
      <c r="IQ120" t="e">
        <f>AND('PROG FORMACIÓN TITULADA'!A864,"AAAAAD7m6/o=")</f>
        <v>#VALUE!</v>
      </c>
      <c r="IR120" t="e">
        <f>AND('PROG FORMACIÓN TITULADA'!B863,"AAAAAD7m6/s=")</f>
        <v>#VALUE!</v>
      </c>
      <c r="IS120" t="e">
        <f>AND('PROG FORMACIÓN TITULADA'!C864,"AAAAAD7m6/w=")</f>
        <v>#VALUE!</v>
      </c>
      <c r="IT120" t="e">
        <f>AND('PROG FORMACIÓN TITULADA'!D864,"AAAAAD7m6/0=")</f>
        <v>#VALUE!</v>
      </c>
      <c r="IU120" t="e">
        <f>AND('PROG FORMACIÓN TITULADA'!E864,"AAAAAD7m6/4=")</f>
        <v>#VALUE!</v>
      </c>
      <c r="IV120" t="e">
        <f>AND('PROG FORMACIÓN TITULADA'!F864,"AAAAAD7m6/8=")</f>
        <v>#VALUE!</v>
      </c>
    </row>
    <row r="121" spans="1:256" x14ac:dyDescent="0.2">
      <c r="A121" t="e">
        <f>AND('PROG FORMACIÓN TITULADA'!G864,"AAAAAHdP8gA=")</f>
        <v>#VALUE!</v>
      </c>
      <c r="B121" t="e">
        <f>AND('PROG FORMACIÓN TITULADA'!H864,"AAAAAHdP8gE=")</f>
        <v>#VALUE!</v>
      </c>
      <c r="C121" t="e">
        <f>AND('PROG FORMACIÓN TITULADA'!I864,"AAAAAHdP8gI=")</f>
        <v>#VALUE!</v>
      </c>
      <c r="D121" t="e">
        <f>AND('PROG FORMACIÓN TITULADA'!J864,"AAAAAHdP8gM=")</f>
        <v>#VALUE!</v>
      </c>
      <c r="E121" t="e">
        <f>AND('PROG FORMACIÓN TITULADA'!K864,"AAAAAHdP8gQ=")</f>
        <v>#VALUE!</v>
      </c>
      <c r="F121" t="e">
        <f>AND('PROG FORMACIÓN TITULADA'!L864,"AAAAAHdP8gU=")</f>
        <v>#VALUE!</v>
      </c>
      <c r="G121" t="e">
        <f>AND('PROG FORMACIÓN TITULADA'!M864,"AAAAAHdP8gY=")</f>
        <v>#VALUE!</v>
      </c>
      <c r="H121" t="e">
        <f>AND('PROG FORMACIÓN TITULADA'!N864,"AAAAAHdP8gc=")</f>
        <v>#VALUE!</v>
      </c>
      <c r="I121" t="e">
        <f>AND('PROG FORMACIÓN TITULADA'!O864,"AAAAAHdP8gg=")</f>
        <v>#VALUE!</v>
      </c>
      <c r="J121" t="e">
        <f>AND('PROG FORMACIÓN TITULADA'!P864,"AAAAAHdP8gk=")</f>
        <v>#VALUE!</v>
      </c>
      <c r="K121" t="e">
        <f>AND('PROG FORMACIÓN TITULADA'!Q864,"AAAAAHdP8go=")</f>
        <v>#VALUE!</v>
      </c>
      <c r="L121" t="e">
        <f>AND('PROG FORMACIÓN TITULADA'!R864,"AAAAAHdP8gs=")</f>
        <v>#VALUE!</v>
      </c>
      <c r="M121" t="e">
        <f>AND('PROG FORMACIÓN TITULADA'!S864,"AAAAAHdP8gw=")</f>
        <v>#VALUE!</v>
      </c>
      <c r="N121" t="e">
        <f>AND('PROG FORMACIÓN TITULADA'!T864,"AAAAAHdP8g0=")</f>
        <v>#VALUE!</v>
      </c>
      <c r="O121" t="e">
        <f>AND('PROG FORMACIÓN TITULADA'!U864,"AAAAAHdP8g4=")</f>
        <v>#VALUE!</v>
      </c>
      <c r="P121" t="e">
        <f>AND('PROG FORMACIÓN TITULADA'!V864,"AAAAAHdP8g8=")</f>
        <v>#VALUE!</v>
      </c>
      <c r="Q121" t="e">
        <f>AND('PROG FORMACIÓN TITULADA'!W864,"AAAAAHdP8hA=")</f>
        <v>#VALUE!</v>
      </c>
      <c r="R121" t="e">
        <f>AND('PROG FORMACIÓN TITULADA'!X864,"AAAAAHdP8hE=")</f>
        <v>#VALUE!</v>
      </c>
      <c r="S121" t="e">
        <f>AND('PROG FORMACIÓN TITULADA'!Y864,"AAAAAHdP8hI=")</f>
        <v>#VALUE!</v>
      </c>
      <c r="T121" t="e">
        <f>AND('PROG FORMACIÓN TITULADA'!Z864,"AAAAAHdP8hM=")</f>
        <v>#VALUE!</v>
      </c>
      <c r="U121">
        <f>IF('PROG FORMACIÓN TITULADA'!865:865,"AAAAAHdP8hQ=",0)</f>
        <v>0</v>
      </c>
      <c r="V121" t="e">
        <f>AND('PROG FORMACIÓN TITULADA'!A865,"AAAAAHdP8hU=")</f>
        <v>#VALUE!</v>
      </c>
      <c r="W121" t="e">
        <f>AND('PROG FORMACIÓN TITULADA'!B864,"AAAAAHdP8hY=")</f>
        <v>#VALUE!</v>
      </c>
      <c r="X121" t="e">
        <f>AND('PROG FORMACIÓN TITULADA'!C865,"AAAAAHdP8hc=")</f>
        <v>#VALUE!</v>
      </c>
      <c r="Y121" t="e">
        <f>AND('PROG FORMACIÓN TITULADA'!D865,"AAAAAHdP8hg=")</f>
        <v>#VALUE!</v>
      </c>
      <c r="Z121" t="e">
        <f>AND('PROG FORMACIÓN TITULADA'!E865,"AAAAAHdP8hk=")</f>
        <v>#VALUE!</v>
      </c>
      <c r="AA121" t="e">
        <f>AND('PROG FORMACIÓN TITULADA'!F865,"AAAAAHdP8ho=")</f>
        <v>#VALUE!</v>
      </c>
      <c r="AB121" t="e">
        <f>AND('PROG FORMACIÓN TITULADA'!G865,"AAAAAHdP8hs=")</f>
        <v>#VALUE!</v>
      </c>
      <c r="AC121" t="e">
        <f>AND('PROG FORMACIÓN TITULADA'!H865,"AAAAAHdP8hw=")</f>
        <v>#VALUE!</v>
      </c>
      <c r="AD121" t="e">
        <f>AND('PROG FORMACIÓN TITULADA'!I865,"AAAAAHdP8h0=")</f>
        <v>#VALUE!</v>
      </c>
      <c r="AE121" t="e">
        <f>AND('PROG FORMACIÓN TITULADA'!J865,"AAAAAHdP8h4=")</f>
        <v>#VALUE!</v>
      </c>
      <c r="AF121" t="e">
        <f>AND('PROG FORMACIÓN TITULADA'!K865,"AAAAAHdP8h8=")</f>
        <v>#VALUE!</v>
      </c>
      <c r="AG121" t="e">
        <f>AND('PROG FORMACIÓN TITULADA'!L865,"AAAAAHdP8iA=")</f>
        <v>#VALUE!</v>
      </c>
      <c r="AH121" t="e">
        <f>AND('PROG FORMACIÓN TITULADA'!M865,"AAAAAHdP8iE=")</f>
        <v>#VALUE!</v>
      </c>
      <c r="AI121" t="e">
        <f>AND('PROG FORMACIÓN TITULADA'!N865,"AAAAAHdP8iI=")</f>
        <v>#VALUE!</v>
      </c>
      <c r="AJ121" t="e">
        <f>AND('PROG FORMACIÓN TITULADA'!O865,"AAAAAHdP8iM=")</f>
        <v>#VALUE!</v>
      </c>
      <c r="AK121" t="e">
        <f>AND('PROG FORMACIÓN TITULADA'!P865,"AAAAAHdP8iQ=")</f>
        <v>#VALUE!</v>
      </c>
      <c r="AL121" t="e">
        <f>AND('PROG FORMACIÓN TITULADA'!Q865,"AAAAAHdP8iU=")</f>
        <v>#VALUE!</v>
      </c>
      <c r="AM121" t="e">
        <f>AND('PROG FORMACIÓN TITULADA'!R865,"AAAAAHdP8iY=")</f>
        <v>#VALUE!</v>
      </c>
      <c r="AN121" t="e">
        <f>AND('PROG FORMACIÓN TITULADA'!S865,"AAAAAHdP8ic=")</f>
        <v>#VALUE!</v>
      </c>
      <c r="AO121" t="e">
        <f>AND('PROG FORMACIÓN TITULADA'!T865,"AAAAAHdP8ig=")</f>
        <v>#VALUE!</v>
      </c>
      <c r="AP121" t="e">
        <f>AND('PROG FORMACIÓN TITULADA'!U865,"AAAAAHdP8ik=")</f>
        <v>#VALUE!</v>
      </c>
      <c r="AQ121" t="e">
        <f>AND('PROG FORMACIÓN TITULADA'!V865,"AAAAAHdP8io=")</f>
        <v>#VALUE!</v>
      </c>
      <c r="AR121" t="e">
        <f>AND('PROG FORMACIÓN TITULADA'!W865,"AAAAAHdP8is=")</f>
        <v>#VALUE!</v>
      </c>
      <c r="AS121" t="e">
        <f>AND('PROG FORMACIÓN TITULADA'!X865,"AAAAAHdP8iw=")</f>
        <v>#VALUE!</v>
      </c>
      <c r="AT121" t="e">
        <f>AND('PROG FORMACIÓN TITULADA'!Y865,"AAAAAHdP8i0=")</f>
        <v>#VALUE!</v>
      </c>
      <c r="AU121" t="e">
        <f>AND('PROG FORMACIÓN TITULADA'!Z865,"AAAAAHdP8i4=")</f>
        <v>#VALUE!</v>
      </c>
      <c r="AV121">
        <f>IF('PROG FORMACIÓN TITULADA'!866:866,"AAAAAHdP8i8=",0)</f>
        <v>0</v>
      </c>
      <c r="AW121" t="e">
        <f>AND('PROG FORMACIÓN TITULADA'!A866,"AAAAAHdP8jA=")</f>
        <v>#VALUE!</v>
      </c>
      <c r="AX121" t="e">
        <f>AND('PROG FORMACIÓN TITULADA'!B865,"AAAAAHdP8jE=")</f>
        <v>#VALUE!</v>
      </c>
      <c r="AY121" t="e">
        <f>AND('PROG FORMACIÓN TITULADA'!C866,"AAAAAHdP8jI=")</f>
        <v>#VALUE!</v>
      </c>
      <c r="AZ121" t="e">
        <f>AND('PROG FORMACIÓN TITULADA'!D866,"AAAAAHdP8jM=")</f>
        <v>#VALUE!</v>
      </c>
      <c r="BA121" t="e">
        <f>AND('PROG FORMACIÓN TITULADA'!E866,"AAAAAHdP8jQ=")</f>
        <v>#VALUE!</v>
      </c>
      <c r="BB121" t="e">
        <f>AND('PROG FORMACIÓN TITULADA'!F866,"AAAAAHdP8jU=")</f>
        <v>#VALUE!</v>
      </c>
      <c r="BC121" t="e">
        <f>AND('PROG FORMACIÓN TITULADA'!G866,"AAAAAHdP8jY=")</f>
        <v>#VALUE!</v>
      </c>
      <c r="BD121" t="e">
        <f>AND('PROG FORMACIÓN TITULADA'!H866,"AAAAAHdP8jc=")</f>
        <v>#VALUE!</v>
      </c>
      <c r="BE121" t="e">
        <f>AND('PROG FORMACIÓN TITULADA'!I866,"AAAAAHdP8jg=")</f>
        <v>#VALUE!</v>
      </c>
      <c r="BF121" t="e">
        <f>AND('PROG FORMACIÓN TITULADA'!J866,"AAAAAHdP8jk=")</f>
        <v>#VALUE!</v>
      </c>
      <c r="BG121" t="e">
        <f>AND('PROG FORMACIÓN TITULADA'!K866,"AAAAAHdP8jo=")</f>
        <v>#VALUE!</v>
      </c>
      <c r="BH121" t="e">
        <f>AND('PROG FORMACIÓN TITULADA'!L866,"AAAAAHdP8js=")</f>
        <v>#VALUE!</v>
      </c>
      <c r="BI121" t="e">
        <f>AND('PROG FORMACIÓN TITULADA'!M866,"AAAAAHdP8jw=")</f>
        <v>#VALUE!</v>
      </c>
      <c r="BJ121" t="e">
        <f>AND('PROG FORMACIÓN TITULADA'!N866,"AAAAAHdP8j0=")</f>
        <v>#VALUE!</v>
      </c>
      <c r="BK121" t="e">
        <f>AND('PROG FORMACIÓN TITULADA'!O866,"AAAAAHdP8j4=")</f>
        <v>#VALUE!</v>
      </c>
      <c r="BL121" t="e">
        <f>AND('PROG FORMACIÓN TITULADA'!P866,"AAAAAHdP8j8=")</f>
        <v>#VALUE!</v>
      </c>
      <c r="BM121" t="e">
        <f>AND('PROG FORMACIÓN TITULADA'!Q866,"AAAAAHdP8kA=")</f>
        <v>#VALUE!</v>
      </c>
      <c r="BN121" t="e">
        <f>AND('PROG FORMACIÓN TITULADA'!R866,"AAAAAHdP8kE=")</f>
        <v>#VALUE!</v>
      </c>
      <c r="BO121" t="e">
        <f>AND('PROG FORMACIÓN TITULADA'!S866,"AAAAAHdP8kI=")</f>
        <v>#VALUE!</v>
      </c>
      <c r="BP121" t="e">
        <f>AND('PROG FORMACIÓN TITULADA'!T866,"AAAAAHdP8kM=")</f>
        <v>#VALUE!</v>
      </c>
      <c r="BQ121" t="e">
        <f>AND('PROG FORMACIÓN TITULADA'!U866,"AAAAAHdP8kQ=")</f>
        <v>#VALUE!</v>
      </c>
      <c r="BR121" t="e">
        <f>AND('PROG FORMACIÓN TITULADA'!V866,"AAAAAHdP8kU=")</f>
        <v>#VALUE!</v>
      </c>
      <c r="BS121" t="e">
        <f>AND('PROG FORMACIÓN TITULADA'!W866,"AAAAAHdP8kY=")</f>
        <v>#VALUE!</v>
      </c>
      <c r="BT121" t="e">
        <f>AND('PROG FORMACIÓN TITULADA'!X866,"AAAAAHdP8kc=")</f>
        <v>#VALUE!</v>
      </c>
      <c r="BU121" t="e">
        <f>AND('PROG FORMACIÓN TITULADA'!Y866,"AAAAAHdP8kg=")</f>
        <v>#VALUE!</v>
      </c>
      <c r="BV121" t="e">
        <f>AND('PROG FORMACIÓN TITULADA'!Z866,"AAAAAHdP8kk=")</f>
        <v>#VALUE!</v>
      </c>
      <c r="BW121">
        <f>IF('PROG FORMACIÓN TITULADA'!867:867,"AAAAAHdP8ko=",0)</f>
        <v>0</v>
      </c>
      <c r="BX121" t="e">
        <f>AND('PROG FORMACIÓN TITULADA'!A867,"AAAAAHdP8ks=")</f>
        <v>#VALUE!</v>
      </c>
      <c r="BY121" t="e">
        <f>AND('PROG FORMACIÓN TITULADA'!B866,"AAAAAHdP8kw=")</f>
        <v>#VALUE!</v>
      </c>
      <c r="BZ121" t="e">
        <f>AND('PROG FORMACIÓN TITULADA'!C867,"AAAAAHdP8k0=")</f>
        <v>#VALUE!</v>
      </c>
      <c r="CA121" t="e">
        <f>AND('PROG FORMACIÓN TITULADA'!D867,"AAAAAHdP8k4=")</f>
        <v>#VALUE!</v>
      </c>
      <c r="CB121" t="e">
        <f>AND('PROG FORMACIÓN TITULADA'!E867,"AAAAAHdP8k8=")</f>
        <v>#VALUE!</v>
      </c>
      <c r="CC121" t="e">
        <f>AND('PROG FORMACIÓN TITULADA'!F867,"AAAAAHdP8lA=")</f>
        <v>#VALUE!</v>
      </c>
      <c r="CD121" t="e">
        <f>AND('PROG FORMACIÓN TITULADA'!G867,"AAAAAHdP8lE=")</f>
        <v>#VALUE!</v>
      </c>
      <c r="CE121" t="e">
        <f>AND('PROG FORMACIÓN TITULADA'!H867,"AAAAAHdP8lI=")</f>
        <v>#VALUE!</v>
      </c>
      <c r="CF121" t="e">
        <f>AND('PROG FORMACIÓN TITULADA'!I867,"AAAAAHdP8lM=")</f>
        <v>#VALUE!</v>
      </c>
      <c r="CG121" t="e">
        <f>AND('PROG FORMACIÓN TITULADA'!J867,"AAAAAHdP8lQ=")</f>
        <v>#VALUE!</v>
      </c>
      <c r="CH121" t="e">
        <f>AND('PROG FORMACIÓN TITULADA'!K867,"AAAAAHdP8lU=")</f>
        <v>#VALUE!</v>
      </c>
      <c r="CI121" t="e">
        <f>AND('PROG FORMACIÓN TITULADA'!L867,"AAAAAHdP8lY=")</f>
        <v>#VALUE!</v>
      </c>
      <c r="CJ121" t="e">
        <f>AND('PROG FORMACIÓN TITULADA'!M867,"AAAAAHdP8lc=")</f>
        <v>#VALUE!</v>
      </c>
      <c r="CK121" t="e">
        <f>AND('PROG FORMACIÓN TITULADA'!N867,"AAAAAHdP8lg=")</f>
        <v>#VALUE!</v>
      </c>
      <c r="CL121" t="e">
        <f>AND('PROG FORMACIÓN TITULADA'!O867,"AAAAAHdP8lk=")</f>
        <v>#VALUE!</v>
      </c>
      <c r="CM121" t="e">
        <f>AND('PROG FORMACIÓN TITULADA'!P867,"AAAAAHdP8lo=")</f>
        <v>#VALUE!</v>
      </c>
      <c r="CN121" t="e">
        <f>AND('PROG FORMACIÓN TITULADA'!Q867,"AAAAAHdP8ls=")</f>
        <v>#VALUE!</v>
      </c>
      <c r="CO121" t="e">
        <f>AND('PROG FORMACIÓN TITULADA'!R867,"AAAAAHdP8lw=")</f>
        <v>#VALUE!</v>
      </c>
      <c r="CP121" t="e">
        <f>AND('PROG FORMACIÓN TITULADA'!S867,"AAAAAHdP8l0=")</f>
        <v>#VALUE!</v>
      </c>
      <c r="CQ121" t="e">
        <f>AND('PROG FORMACIÓN TITULADA'!T867,"AAAAAHdP8l4=")</f>
        <v>#VALUE!</v>
      </c>
      <c r="CR121" t="e">
        <f>AND('PROG FORMACIÓN TITULADA'!U867,"AAAAAHdP8l8=")</f>
        <v>#VALUE!</v>
      </c>
      <c r="CS121" t="e">
        <f>AND('PROG FORMACIÓN TITULADA'!V867,"AAAAAHdP8mA=")</f>
        <v>#VALUE!</v>
      </c>
      <c r="CT121" t="e">
        <f>AND('PROG FORMACIÓN TITULADA'!W867,"AAAAAHdP8mE=")</f>
        <v>#VALUE!</v>
      </c>
      <c r="CU121" t="e">
        <f>AND('PROG FORMACIÓN TITULADA'!X867,"AAAAAHdP8mI=")</f>
        <v>#VALUE!</v>
      </c>
      <c r="CV121" t="e">
        <f>AND('PROG FORMACIÓN TITULADA'!Y867,"AAAAAHdP8mM=")</f>
        <v>#VALUE!</v>
      </c>
      <c r="CW121" t="e">
        <f>AND('PROG FORMACIÓN TITULADA'!Z867,"AAAAAHdP8mQ=")</f>
        <v>#VALUE!</v>
      </c>
      <c r="CX121">
        <f>IF('PROG FORMACIÓN TITULADA'!868:868,"AAAAAHdP8mU=",0)</f>
        <v>0</v>
      </c>
      <c r="CY121" t="e">
        <f>AND('PROG FORMACIÓN TITULADA'!A868,"AAAAAHdP8mY=")</f>
        <v>#VALUE!</v>
      </c>
      <c r="CZ121" t="e">
        <f>AND('PROG FORMACIÓN TITULADA'!B867,"AAAAAHdP8mc=")</f>
        <v>#VALUE!</v>
      </c>
      <c r="DA121" t="e">
        <f>AND('PROG FORMACIÓN TITULADA'!C868,"AAAAAHdP8mg=")</f>
        <v>#VALUE!</v>
      </c>
      <c r="DB121" t="e">
        <f>AND('PROG FORMACIÓN TITULADA'!D868,"AAAAAHdP8mk=")</f>
        <v>#VALUE!</v>
      </c>
      <c r="DC121" t="e">
        <f>AND('PROG FORMACIÓN TITULADA'!E868,"AAAAAHdP8mo=")</f>
        <v>#VALUE!</v>
      </c>
      <c r="DD121" t="e">
        <f>AND('PROG FORMACIÓN TITULADA'!F868,"AAAAAHdP8ms=")</f>
        <v>#VALUE!</v>
      </c>
      <c r="DE121" t="e">
        <f>AND('PROG FORMACIÓN TITULADA'!G868,"AAAAAHdP8mw=")</f>
        <v>#VALUE!</v>
      </c>
      <c r="DF121" t="e">
        <f>AND('PROG FORMACIÓN TITULADA'!H868,"AAAAAHdP8m0=")</f>
        <v>#VALUE!</v>
      </c>
      <c r="DG121" t="e">
        <f>AND('PROG FORMACIÓN TITULADA'!I868,"AAAAAHdP8m4=")</f>
        <v>#VALUE!</v>
      </c>
      <c r="DH121" t="e">
        <f>AND('PROG FORMACIÓN TITULADA'!J868,"AAAAAHdP8m8=")</f>
        <v>#VALUE!</v>
      </c>
      <c r="DI121" t="e">
        <f>AND('PROG FORMACIÓN TITULADA'!K868,"AAAAAHdP8nA=")</f>
        <v>#VALUE!</v>
      </c>
      <c r="DJ121" t="e">
        <f>AND('PROG FORMACIÓN TITULADA'!L868,"AAAAAHdP8nE=")</f>
        <v>#VALUE!</v>
      </c>
      <c r="DK121" t="e">
        <f>AND('PROG FORMACIÓN TITULADA'!M868,"AAAAAHdP8nI=")</f>
        <v>#VALUE!</v>
      </c>
      <c r="DL121" t="e">
        <f>AND('PROG FORMACIÓN TITULADA'!N868,"AAAAAHdP8nM=")</f>
        <v>#VALUE!</v>
      </c>
      <c r="DM121" t="e">
        <f>AND('PROG FORMACIÓN TITULADA'!O868,"AAAAAHdP8nQ=")</f>
        <v>#VALUE!</v>
      </c>
      <c r="DN121" t="e">
        <f>AND('PROG FORMACIÓN TITULADA'!P868,"AAAAAHdP8nU=")</f>
        <v>#VALUE!</v>
      </c>
      <c r="DO121" t="e">
        <f>AND('PROG FORMACIÓN TITULADA'!Q868,"AAAAAHdP8nY=")</f>
        <v>#VALUE!</v>
      </c>
      <c r="DP121" t="e">
        <f>AND('PROG FORMACIÓN TITULADA'!R868,"AAAAAHdP8nc=")</f>
        <v>#VALUE!</v>
      </c>
      <c r="DQ121" t="e">
        <f>AND('PROG FORMACIÓN TITULADA'!S868,"AAAAAHdP8ng=")</f>
        <v>#VALUE!</v>
      </c>
      <c r="DR121" t="e">
        <f>AND('PROG FORMACIÓN TITULADA'!T868,"AAAAAHdP8nk=")</f>
        <v>#VALUE!</v>
      </c>
      <c r="DS121" t="e">
        <f>AND('PROG FORMACIÓN TITULADA'!U868,"AAAAAHdP8no=")</f>
        <v>#VALUE!</v>
      </c>
      <c r="DT121" t="e">
        <f>AND('PROG FORMACIÓN TITULADA'!V868,"AAAAAHdP8ns=")</f>
        <v>#VALUE!</v>
      </c>
      <c r="DU121" t="e">
        <f>AND('PROG FORMACIÓN TITULADA'!W868,"AAAAAHdP8nw=")</f>
        <v>#VALUE!</v>
      </c>
      <c r="DV121" t="e">
        <f>AND('PROG FORMACIÓN TITULADA'!X868,"AAAAAHdP8n0=")</f>
        <v>#VALUE!</v>
      </c>
      <c r="DW121" t="e">
        <f>AND('PROG FORMACIÓN TITULADA'!Y868,"AAAAAHdP8n4=")</f>
        <v>#VALUE!</v>
      </c>
      <c r="DX121" t="e">
        <f>AND('PROG FORMACIÓN TITULADA'!Z868,"AAAAAHdP8n8=")</f>
        <v>#VALUE!</v>
      </c>
      <c r="DY121">
        <f>IF('PROG FORMACIÓN TITULADA'!869:869,"AAAAAHdP8oA=",0)</f>
        <v>0</v>
      </c>
      <c r="DZ121" t="e">
        <f>AND('PROG FORMACIÓN TITULADA'!A869,"AAAAAHdP8oE=")</f>
        <v>#VALUE!</v>
      </c>
      <c r="EA121" t="e">
        <f>AND('PROG FORMACIÓN TITULADA'!B868,"AAAAAHdP8oI=")</f>
        <v>#VALUE!</v>
      </c>
      <c r="EB121" t="e">
        <f>AND('PROG FORMACIÓN TITULADA'!C869,"AAAAAHdP8oM=")</f>
        <v>#VALUE!</v>
      </c>
      <c r="EC121" t="e">
        <f>AND('PROG FORMACIÓN TITULADA'!D869,"AAAAAHdP8oQ=")</f>
        <v>#VALUE!</v>
      </c>
      <c r="ED121" t="e">
        <f>AND('PROG FORMACIÓN TITULADA'!E869,"AAAAAHdP8oU=")</f>
        <v>#VALUE!</v>
      </c>
      <c r="EE121" t="e">
        <f>AND('PROG FORMACIÓN TITULADA'!F869,"AAAAAHdP8oY=")</f>
        <v>#VALUE!</v>
      </c>
      <c r="EF121" t="e">
        <f>AND('PROG FORMACIÓN TITULADA'!G869,"AAAAAHdP8oc=")</f>
        <v>#VALUE!</v>
      </c>
      <c r="EG121" t="e">
        <f>AND('PROG FORMACIÓN TITULADA'!H869,"AAAAAHdP8og=")</f>
        <v>#VALUE!</v>
      </c>
      <c r="EH121" t="e">
        <f>AND('PROG FORMACIÓN TITULADA'!I869,"AAAAAHdP8ok=")</f>
        <v>#VALUE!</v>
      </c>
      <c r="EI121" t="e">
        <f>AND('PROG FORMACIÓN TITULADA'!J869,"AAAAAHdP8oo=")</f>
        <v>#VALUE!</v>
      </c>
      <c r="EJ121" t="e">
        <f>AND('PROG FORMACIÓN TITULADA'!K869,"AAAAAHdP8os=")</f>
        <v>#VALUE!</v>
      </c>
      <c r="EK121" t="e">
        <f>AND('PROG FORMACIÓN TITULADA'!L869,"AAAAAHdP8ow=")</f>
        <v>#VALUE!</v>
      </c>
      <c r="EL121" t="e">
        <f>AND('PROG FORMACIÓN TITULADA'!M869,"AAAAAHdP8o0=")</f>
        <v>#VALUE!</v>
      </c>
      <c r="EM121" t="e">
        <f>AND('PROG FORMACIÓN TITULADA'!N869,"AAAAAHdP8o4=")</f>
        <v>#VALUE!</v>
      </c>
      <c r="EN121" t="e">
        <f>AND('PROG FORMACIÓN TITULADA'!O869,"AAAAAHdP8o8=")</f>
        <v>#VALUE!</v>
      </c>
      <c r="EO121" t="e">
        <f>AND('PROG FORMACIÓN TITULADA'!P869,"AAAAAHdP8pA=")</f>
        <v>#VALUE!</v>
      </c>
      <c r="EP121" t="e">
        <f>AND('PROG FORMACIÓN TITULADA'!Q869,"AAAAAHdP8pE=")</f>
        <v>#VALUE!</v>
      </c>
      <c r="EQ121" t="e">
        <f>AND('PROG FORMACIÓN TITULADA'!R869,"AAAAAHdP8pI=")</f>
        <v>#VALUE!</v>
      </c>
      <c r="ER121" t="e">
        <f>AND('PROG FORMACIÓN TITULADA'!S869,"AAAAAHdP8pM=")</f>
        <v>#VALUE!</v>
      </c>
      <c r="ES121" t="e">
        <f>AND('PROG FORMACIÓN TITULADA'!T869,"AAAAAHdP8pQ=")</f>
        <v>#VALUE!</v>
      </c>
      <c r="ET121" t="e">
        <f>AND('PROG FORMACIÓN TITULADA'!U869,"AAAAAHdP8pU=")</f>
        <v>#VALUE!</v>
      </c>
      <c r="EU121" t="e">
        <f>AND('PROG FORMACIÓN TITULADA'!V869,"AAAAAHdP8pY=")</f>
        <v>#VALUE!</v>
      </c>
      <c r="EV121" t="e">
        <f>AND('PROG FORMACIÓN TITULADA'!W869,"AAAAAHdP8pc=")</f>
        <v>#VALUE!</v>
      </c>
      <c r="EW121" t="e">
        <f>AND('PROG FORMACIÓN TITULADA'!X869,"AAAAAHdP8pg=")</f>
        <v>#VALUE!</v>
      </c>
      <c r="EX121" t="e">
        <f>AND('PROG FORMACIÓN TITULADA'!Y869,"AAAAAHdP8pk=")</f>
        <v>#VALUE!</v>
      </c>
      <c r="EY121" t="e">
        <f>AND('PROG FORMACIÓN TITULADA'!Z869,"AAAAAHdP8po=")</f>
        <v>#VALUE!</v>
      </c>
      <c r="EZ121">
        <f>IF('PROG FORMACIÓN TITULADA'!870:870,"AAAAAHdP8ps=",0)</f>
        <v>0</v>
      </c>
      <c r="FA121" t="e">
        <f>AND('PROG FORMACIÓN TITULADA'!A870,"AAAAAHdP8pw=")</f>
        <v>#VALUE!</v>
      </c>
      <c r="FB121" t="e">
        <f>AND('PROG FORMACIÓN TITULADA'!B869,"AAAAAHdP8p0=")</f>
        <v>#VALUE!</v>
      </c>
      <c r="FC121" t="e">
        <f>AND('PROG FORMACIÓN TITULADA'!C870,"AAAAAHdP8p4=")</f>
        <v>#VALUE!</v>
      </c>
      <c r="FD121" t="e">
        <f>AND('PROG FORMACIÓN TITULADA'!D870,"AAAAAHdP8p8=")</f>
        <v>#VALUE!</v>
      </c>
      <c r="FE121" t="e">
        <f>AND('PROG FORMACIÓN TITULADA'!E870,"AAAAAHdP8qA=")</f>
        <v>#VALUE!</v>
      </c>
      <c r="FF121" t="e">
        <f>AND('PROG FORMACIÓN TITULADA'!F870,"AAAAAHdP8qE=")</f>
        <v>#VALUE!</v>
      </c>
      <c r="FG121" t="e">
        <f>AND('PROG FORMACIÓN TITULADA'!G870,"AAAAAHdP8qI=")</f>
        <v>#VALUE!</v>
      </c>
      <c r="FH121" t="e">
        <f>AND('PROG FORMACIÓN TITULADA'!H870,"AAAAAHdP8qM=")</f>
        <v>#VALUE!</v>
      </c>
      <c r="FI121" t="e">
        <f>AND('PROG FORMACIÓN TITULADA'!I870,"AAAAAHdP8qQ=")</f>
        <v>#VALUE!</v>
      </c>
      <c r="FJ121" t="e">
        <f>AND('PROG FORMACIÓN TITULADA'!J870,"AAAAAHdP8qU=")</f>
        <v>#VALUE!</v>
      </c>
      <c r="FK121" t="e">
        <f>AND('PROG FORMACIÓN TITULADA'!K870,"AAAAAHdP8qY=")</f>
        <v>#VALUE!</v>
      </c>
      <c r="FL121" t="e">
        <f>AND('PROG FORMACIÓN TITULADA'!L870,"AAAAAHdP8qc=")</f>
        <v>#VALUE!</v>
      </c>
      <c r="FM121" t="e">
        <f>AND('PROG FORMACIÓN TITULADA'!M870,"AAAAAHdP8qg=")</f>
        <v>#VALUE!</v>
      </c>
      <c r="FN121" t="e">
        <f>AND('PROG FORMACIÓN TITULADA'!N870,"AAAAAHdP8qk=")</f>
        <v>#VALUE!</v>
      </c>
      <c r="FO121" t="e">
        <f>AND('PROG FORMACIÓN TITULADA'!O870,"AAAAAHdP8qo=")</f>
        <v>#VALUE!</v>
      </c>
      <c r="FP121" t="e">
        <f>AND('PROG FORMACIÓN TITULADA'!P870,"AAAAAHdP8qs=")</f>
        <v>#VALUE!</v>
      </c>
      <c r="FQ121" t="e">
        <f>AND('PROG FORMACIÓN TITULADA'!Q870,"AAAAAHdP8qw=")</f>
        <v>#VALUE!</v>
      </c>
      <c r="FR121" t="e">
        <f>AND('PROG FORMACIÓN TITULADA'!R870,"AAAAAHdP8q0=")</f>
        <v>#VALUE!</v>
      </c>
      <c r="FS121" t="e">
        <f>AND('PROG FORMACIÓN TITULADA'!S870,"AAAAAHdP8q4=")</f>
        <v>#VALUE!</v>
      </c>
      <c r="FT121" t="e">
        <f>AND('PROG FORMACIÓN TITULADA'!T870,"AAAAAHdP8q8=")</f>
        <v>#VALUE!</v>
      </c>
      <c r="FU121" t="e">
        <f>AND('PROG FORMACIÓN TITULADA'!U870,"AAAAAHdP8rA=")</f>
        <v>#VALUE!</v>
      </c>
      <c r="FV121" t="e">
        <f>AND('PROG FORMACIÓN TITULADA'!V870,"AAAAAHdP8rE=")</f>
        <v>#VALUE!</v>
      </c>
      <c r="FW121" t="e">
        <f>AND('PROG FORMACIÓN TITULADA'!W870,"AAAAAHdP8rI=")</f>
        <v>#VALUE!</v>
      </c>
      <c r="FX121" t="e">
        <f>AND('PROG FORMACIÓN TITULADA'!X870,"AAAAAHdP8rM=")</f>
        <v>#VALUE!</v>
      </c>
      <c r="FY121" t="e">
        <f>AND('PROG FORMACIÓN TITULADA'!Y870,"AAAAAHdP8rQ=")</f>
        <v>#VALUE!</v>
      </c>
      <c r="FZ121" t="e">
        <f>AND('PROG FORMACIÓN TITULADA'!Z870,"AAAAAHdP8rU=")</f>
        <v>#VALUE!</v>
      </c>
      <c r="GA121">
        <f>IF('PROG FORMACIÓN TITULADA'!871:871,"AAAAAHdP8rY=",0)</f>
        <v>0</v>
      </c>
      <c r="GB121" t="e">
        <f>AND('PROG FORMACIÓN TITULADA'!A871,"AAAAAHdP8rc=")</f>
        <v>#VALUE!</v>
      </c>
      <c r="GC121" t="e">
        <f>AND('PROG FORMACIÓN TITULADA'!B870,"AAAAAHdP8rg=")</f>
        <v>#VALUE!</v>
      </c>
      <c r="GD121" t="e">
        <f>AND('PROG FORMACIÓN TITULADA'!C871,"AAAAAHdP8rk=")</f>
        <v>#VALUE!</v>
      </c>
      <c r="GE121" t="e">
        <f>AND('PROG FORMACIÓN TITULADA'!D871,"AAAAAHdP8ro=")</f>
        <v>#VALUE!</v>
      </c>
      <c r="GF121" t="e">
        <f>AND('PROG FORMACIÓN TITULADA'!E871,"AAAAAHdP8rs=")</f>
        <v>#VALUE!</v>
      </c>
      <c r="GG121" t="e">
        <f>AND('PROG FORMACIÓN TITULADA'!F871,"AAAAAHdP8rw=")</f>
        <v>#VALUE!</v>
      </c>
      <c r="GH121" t="e">
        <f>AND('PROG FORMACIÓN TITULADA'!G871,"AAAAAHdP8r0=")</f>
        <v>#VALUE!</v>
      </c>
      <c r="GI121" t="e">
        <f>AND('PROG FORMACIÓN TITULADA'!H871,"AAAAAHdP8r4=")</f>
        <v>#VALUE!</v>
      </c>
      <c r="GJ121" t="e">
        <f>AND('PROG FORMACIÓN TITULADA'!I871,"AAAAAHdP8r8=")</f>
        <v>#VALUE!</v>
      </c>
      <c r="GK121" t="e">
        <f>AND('PROG FORMACIÓN TITULADA'!J871,"AAAAAHdP8sA=")</f>
        <v>#VALUE!</v>
      </c>
      <c r="GL121" t="e">
        <f>AND('PROG FORMACIÓN TITULADA'!K871,"AAAAAHdP8sE=")</f>
        <v>#VALUE!</v>
      </c>
      <c r="GM121" t="e">
        <f>AND('PROG FORMACIÓN TITULADA'!L871,"AAAAAHdP8sI=")</f>
        <v>#VALUE!</v>
      </c>
      <c r="GN121" t="e">
        <f>AND('PROG FORMACIÓN TITULADA'!M871,"AAAAAHdP8sM=")</f>
        <v>#VALUE!</v>
      </c>
      <c r="GO121" t="e">
        <f>AND('PROG FORMACIÓN TITULADA'!N871,"AAAAAHdP8sQ=")</f>
        <v>#VALUE!</v>
      </c>
      <c r="GP121" t="e">
        <f>AND('PROG FORMACIÓN TITULADA'!O871,"AAAAAHdP8sU=")</f>
        <v>#VALUE!</v>
      </c>
      <c r="GQ121" t="e">
        <f>AND('PROG FORMACIÓN TITULADA'!P871,"AAAAAHdP8sY=")</f>
        <v>#VALUE!</v>
      </c>
      <c r="GR121" t="e">
        <f>AND('PROG FORMACIÓN TITULADA'!Q871,"AAAAAHdP8sc=")</f>
        <v>#VALUE!</v>
      </c>
      <c r="GS121" t="e">
        <f>AND('PROG FORMACIÓN TITULADA'!R871,"AAAAAHdP8sg=")</f>
        <v>#VALUE!</v>
      </c>
      <c r="GT121" t="e">
        <f>AND('PROG FORMACIÓN TITULADA'!S871,"AAAAAHdP8sk=")</f>
        <v>#VALUE!</v>
      </c>
      <c r="GU121" t="e">
        <f>AND('PROG FORMACIÓN TITULADA'!T871,"AAAAAHdP8so=")</f>
        <v>#VALUE!</v>
      </c>
      <c r="GV121" t="e">
        <f>AND('PROG FORMACIÓN TITULADA'!U871,"AAAAAHdP8ss=")</f>
        <v>#VALUE!</v>
      </c>
      <c r="GW121" t="e">
        <f>AND('PROG FORMACIÓN TITULADA'!V871,"AAAAAHdP8sw=")</f>
        <v>#VALUE!</v>
      </c>
      <c r="GX121" t="e">
        <f>AND('PROG FORMACIÓN TITULADA'!W871,"AAAAAHdP8s0=")</f>
        <v>#VALUE!</v>
      </c>
      <c r="GY121" t="e">
        <f>AND('PROG FORMACIÓN TITULADA'!X871,"AAAAAHdP8s4=")</f>
        <v>#VALUE!</v>
      </c>
      <c r="GZ121" t="e">
        <f>AND('PROG FORMACIÓN TITULADA'!Y871,"AAAAAHdP8s8=")</f>
        <v>#VALUE!</v>
      </c>
      <c r="HA121" t="e">
        <f>AND('PROG FORMACIÓN TITULADA'!Z871,"AAAAAHdP8tA=")</f>
        <v>#VALUE!</v>
      </c>
      <c r="HB121">
        <f>IF('PROG FORMACIÓN TITULADA'!872:872,"AAAAAHdP8tE=",0)</f>
        <v>0</v>
      </c>
      <c r="HC121" t="e">
        <f>AND('PROG FORMACIÓN TITULADA'!A872,"AAAAAHdP8tI=")</f>
        <v>#VALUE!</v>
      </c>
      <c r="HD121" t="e">
        <f>AND('PROG FORMACIÓN TITULADA'!B871,"AAAAAHdP8tM=")</f>
        <v>#VALUE!</v>
      </c>
      <c r="HE121" t="e">
        <f>AND('PROG FORMACIÓN TITULADA'!C872,"AAAAAHdP8tQ=")</f>
        <v>#VALUE!</v>
      </c>
      <c r="HF121" t="e">
        <f>AND('PROG FORMACIÓN TITULADA'!D872,"AAAAAHdP8tU=")</f>
        <v>#VALUE!</v>
      </c>
      <c r="HG121" t="e">
        <f>AND('PROG FORMACIÓN TITULADA'!E872,"AAAAAHdP8tY=")</f>
        <v>#VALUE!</v>
      </c>
      <c r="HH121" t="e">
        <f>AND('PROG FORMACIÓN TITULADA'!F872,"AAAAAHdP8tc=")</f>
        <v>#VALUE!</v>
      </c>
      <c r="HI121" t="e">
        <f>AND('PROG FORMACIÓN TITULADA'!G872,"AAAAAHdP8tg=")</f>
        <v>#VALUE!</v>
      </c>
      <c r="HJ121" t="e">
        <f>AND('PROG FORMACIÓN TITULADA'!H872,"AAAAAHdP8tk=")</f>
        <v>#VALUE!</v>
      </c>
      <c r="HK121" t="e">
        <f>AND('PROG FORMACIÓN TITULADA'!I872,"AAAAAHdP8to=")</f>
        <v>#VALUE!</v>
      </c>
      <c r="HL121" t="e">
        <f>AND('PROG FORMACIÓN TITULADA'!J872,"AAAAAHdP8ts=")</f>
        <v>#VALUE!</v>
      </c>
      <c r="HM121" t="e">
        <f>AND('PROG FORMACIÓN TITULADA'!K872,"AAAAAHdP8tw=")</f>
        <v>#VALUE!</v>
      </c>
      <c r="HN121" t="e">
        <f>AND('PROG FORMACIÓN TITULADA'!L872,"AAAAAHdP8t0=")</f>
        <v>#VALUE!</v>
      </c>
      <c r="HO121" t="e">
        <f>AND('PROG FORMACIÓN TITULADA'!M872,"AAAAAHdP8t4=")</f>
        <v>#VALUE!</v>
      </c>
      <c r="HP121" t="e">
        <f>AND('PROG FORMACIÓN TITULADA'!N872,"AAAAAHdP8t8=")</f>
        <v>#VALUE!</v>
      </c>
      <c r="HQ121" t="e">
        <f>AND('PROG FORMACIÓN TITULADA'!O872,"AAAAAHdP8uA=")</f>
        <v>#VALUE!</v>
      </c>
      <c r="HR121" t="e">
        <f>AND('PROG FORMACIÓN TITULADA'!P872,"AAAAAHdP8uE=")</f>
        <v>#VALUE!</v>
      </c>
      <c r="HS121" t="e">
        <f>AND('PROG FORMACIÓN TITULADA'!Q872,"AAAAAHdP8uI=")</f>
        <v>#VALUE!</v>
      </c>
      <c r="HT121" t="e">
        <f>AND('PROG FORMACIÓN TITULADA'!R872,"AAAAAHdP8uM=")</f>
        <v>#VALUE!</v>
      </c>
      <c r="HU121" t="e">
        <f>AND('PROG FORMACIÓN TITULADA'!S872,"AAAAAHdP8uQ=")</f>
        <v>#VALUE!</v>
      </c>
      <c r="HV121" t="e">
        <f>AND('PROG FORMACIÓN TITULADA'!T872,"AAAAAHdP8uU=")</f>
        <v>#VALUE!</v>
      </c>
      <c r="HW121" t="e">
        <f>AND('PROG FORMACIÓN TITULADA'!U872,"AAAAAHdP8uY=")</f>
        <v>#VALUE!</v>
      </c>
      <c r="HX121" t="e">
        <f>AND('PROG FORMACIÓN TITULADA'!V872,"AAAAAHdP8uc=")</f>
        <v>#VALUE!</v>
      </c>
      <c r="HY121" t="e">
        <f>AND('PROG FORMACIÓN TITULADA'!W872,"AAAAAHdP8ug=")</f>
        <v>#VALUE!</v>
      </c>
      <c r="HZ121" t="e">
        <f>AND('PROG FORMACIÓN TITULADA'!X872,"AAAAAHdP8uk=")</f>
        <v>#VALUE!</v>
      </c>
      <c r="IA121" t="e">
        <f>AND('PROG FORMACIÓN TITULADA'!Y872,"AAAAAHdP8uo=")</f>
        <v>#VALUE!</v>
      </c>
      <c r="IB121" t="e">
        <f>AND('PROG FORMACIÓN TITULADA'!Z872,"AAAAAHdP8us=")</f>
        <v>#VALUE!</v>
      </c>
      <c r="IC121">
        <f>IF('PROG FORMACIÓN TITULADA'!873:873,"AAAAAHdP8uw=",0)</f>
        <v>0</v>
      </c>
      <c r="ID121" t="e">
        <f>AND('PROG FORMACIÓN TITULADA'!A873,"AAAAAHdP8u0=")</f>
        <v>#VALUE!</v>
      </c>
      <c r="IE121" t="e">
        <f>AND('PROG FORMACIÓN TITULADA'!B872,"AAAAAHdP8u4=")</f>
        <v>#VALUE!</v>
      </c>
      <c r="IF121" t="e">
        <f>AND('PROG FORMACIÓN TITULADA'!C873,"AAAAAHdP8u8=")</f>
        <v>#VALUE!</v>
      </c>
      <c r="IG121" t="e">
        <f>AND('PROG FORMACIÓN TITULADA'!D873,"AAAAAHdP8vA=")</f>
        <v>#VALUE!</v>
      </c>
      <c r="IH121">
        <f>IF('PROG FORMACIÓN TITULADA'!874:874,"AAAAAHdP8vE=",0)</f>
        <v>0</v>
      </c>
      <c r="II121" t="e">
        <f>AND('PROG FORMACIÓN TITULADA'!A874,"AAAAAHdP8vI=")</f>
        <v>#VALUE!</v>
      </c>
      <c r="IJ121" t="e">
        <f>AND('PROG FORMACIÓN TITULADA'!B873,"AAAAAHdP8vM=")</f>
        <v>#VALUE!</v>
      </c>
      <c r="IK121" t="e">
        <f>AND('PROG FORMACIÓN TITULADA'!C874,"AAAAAHdP8vQ=")</f>
        <v>#VALUE!</v>
      </c>
      <c r="IL121" t="e">
        <f>AND('PROG FORMACIÓN TITULADA'!D874,"AAAAAHdP8vU=")</f>
        <v>#VALUE!</v>
      </c>
      <c r="IM121">
        <f>IF('PROG FORMACIÓN TITULADA'!875:875,"AAAAAHdP8vY=",0)</f>
        <v>0</v>
      </c>
      <c r="IN121" t="e">
        <f>AND('PROG FORMACIÓN TITULADA'!A875,"AAAAAHdP8vc=")</f>
        <v>#VALUE!</v>
      </c>
      <c r="IO121" t="e">
        <f>AND('PROG FORMACIÓN TITULADA'!B874,"AAAAAHdP8vg=")</f>
        <v>#VALUE!</v>
      </c>
      <c r="IP121" t="e">
        <f>AND('PROG FORMACIÓN TITULADA'!C875,"AAAAAHdP8vk=")</f>
        <v>#VALUE!</v>
      </c>
      <c r="IQ121" t="e">
        <f>AND('PROG FORMACIÓN TITULADA'!D875,"AAAAAHdP8vo=")</f>
        <v>#VALUE!</v>
      </c>
      <c r="IR121">
        <f>IF('PROG FORMACIÓN TITULADA'!876:876,"AAAAAHdP8vs=",0)</f>
        <v>0</v>
      </c>
      <c r="IS121" t="e">
        <f>AND('PROG FORMACIÓN TITULADA'!A876,"AAAAAHdP8vw=")</f>
        <v>#VALUE!</v>
      </c>
      <c r="IT121" t="e">
        <f>AND('PROG FORMACIÓN TITULADA'!B875,"AAAAAHdP8v0=")</f>
        <v>#VALUE!</v>
      </c>
      <c r="IU121" t="e">
        <f>AND('PROG FORMACIÓN TITULADA'!C876,"AAAAAHdP8v4=")</f>
        <v>#VALUE!</v>
      </c>
      <c r="IV121" t="e">
        <f>AND('PROG FORMACIÓN TITULADA'!D876,"AAAAAHdP8v8=")</f>
        <v>#VALUE!</v>
      </c>
    </row>
    <row r="122" spans="1:256" x14ac:dyDescent="0.2">
      <c r="A122">
        <f>IF('PROG FORMACIÓN TITULADA'!877:877,"AAAAAHvjZQA=",0)</f>
        <v>0</v>
      </c>
      <c r="B122" t="e">
        <f>AND('PROG FORMACIÓN TITULADA'!A877,"AAAAAHvjZQE=")</f>
        <v>#VALUE!</v>
      </c>
      <c r="C122" t="e">
        <f>AND('PROG FORMACIÓN TITULADA'!B876,"AAAAAHvjZQI=")</f>
        <v>#VALUE!</v>
      </c>
      <c r="D122" t="e">
        <f>AND('PROG FORMACIÓN TITULADA'!C877,"AAAAAHvjZQM=")</f>
        <v>#VALUE!</v>
      </c>
      <c r="E122" t="e">
        <f>AND('PROG FORMACIÓN TITULADA'!D877,"AAAAAHvjZQQ=")</f>
        <v>#VALUE!</v>
      </c>
      <c r="F122">
        <f>IF('PROG FORMACIÓN TITULADA'!878:878,"AAAAAHvjZQU=",0)</f>
        <v>0</v>
      </c>
      <c r="G122" t="e">
        <f>AND('PROG FORMACIÓN TITULADA'!A878,"AAAAAHvjZQY=")</f>
        <v>#VALUE!</v>
      </c>
      <c r="H122" t="e">
        <f>AND('PROG FORMACIÓN TITULADA'!B877,"AAAAAHvjZQc=")</f>
        <v>#VALUE!</v>
      </c>
      <c r="I122" t="e">
        <f>AND('PROG FORMACIÓN TITULADA'!C878,"AAAAAHvjZQg=")</f>
        <v>#VALUE!</v>
      </c>
      <c r="J122" t="e">
        <f>AND('PROG FORMACIÓN TITULADA'!D878,"AAAAAHvjZQk=")</f>
        <v>#VALUE!</v>
      </c>
      <c r="K122">
        <f>IF('PROG FORMACIÓN TITULADA'!879:879,"AAAAAHvjZQo=",0)</f>
        <v>0</v>
      </c>
      <c r="L122" t="e">
        <f>AND('PROG FORMACIÓN TITULADA'!A879,"AAAAAHvjZQs=")</f>
        <v>#VALUE!</v>
      </c>
      <c r="M122" t="e">
        <f>AND('PROG FORMACIÓN TITULADA'!B878,"AAAAAHvjZQw=")</f>
        <v>#VALUE!</v>
      </c>
      <c r="N122" t="e">
        <f>AND('PROG FORMACIÓN TITULADA'!C879,"AAAAAHvjZQ0=")</f>
        <v>#VALUE!</v>
      </c>
      <c r="O122" t="e">
        <f>AND('PROG FORMACIÓN TITULADA'!D879,"AAAAAHvjZQ4=")</f>
        <v>#VALUE!</v>
      </c>
      <c r="P122">
        <f>IF('PROG FORMACIÓN TITULADA'!880:880,"AAAAAHvjZQ8=",0)</f>
        <v>0</v>
      </c>
      <c r="Q122" t="e">
        <f>AND('PROG FORMACIÓN TITULADA'!A880,"AAAAAHvjZRA=")</f>
        <v>#VALUE!</v>
      </c>
      <c r="R122" t="e">
        <f>AND('PROG FORMACIÓN TITULADA'!B879,"AAAAAHvjZRE=")</f>
        <v>#VALUE!</v>
      </c>
      <c r="S122" t="e">
        <f>AND('PROG FORMACIÓN TITULADA'!C880,"AAAAAHvjZRI=")</f>
        <v>#VALUE!</v>
      </c>
      <c r="T122" t="e">
        <f>AND('PROG FORMACIÓN TITULADA'!D880,"AAAAAHvjZRM=")</f>
        <v>#VALUE!</v>
      </c>
      <c r="U122">
        <f>IF('PROG FORMACIÓN TITULADA'!881:881,"AAAAAHvjZRQ=",0)</f>
        <v>0</v>
      </c>
      <c r="V122" t="e">
        <f>AND('PROG FORMACIÓN TITULADA'!A881,"AAAAAHvjZRU=")</f>
        <v>#VALUE!</v>
      </c>
      <c r="W122" t="e">
        <f>AND('PROG FORMACIÓN TITULADA'!B880,"AAAAAHvjZRY=")</f>
        <v>#VALUE!</v>
      </c>
      <c r="X122" t="e">
        <f>AND('PROG FORMACIÓN TITULADA'!C881,"AAAAAHvjZRc=")</f>
        <v>#VALUE!</v>
      </c>
      <c r="Y122" t="e">
        <f>AND('PROG FORMACIÓN TITULADA'!D881,"AAAAAHvjZRg=")</f>
        <v>#VALUE!</v>
      </c>
      <c r="Z122">
        <f>IF('PROG FORMACIÓN TITULADA'!882:882,"AAAAAHvjZRk=",0)</f>
        <v>0</v>
      </c>
      <c r="AA122" t="e">
        <f>AND('PROG FORMACIÓN TITULADA'!A882,"AAAAAHvjZRo=")</f>
        <v>#VALUE!</v>
      </c>
      <c r="AB122" t="e">
        <f>AND('PROG FORMACIÓN TITULADA'!B881,"AAAAAHvjZRs=")</f>
        <v>#VALUE!</v>
      </c>
      <c r="AC122" t="e">
        <f>AND('PROG FORMACIÓN TITULADA'!C882,"AAAAAHvjZRw=")</f>
        <v>#VALUE!</v>
      </c>
      <c r="AD122" t="e">
        <f>AND('PROG FORMACIÓN TITULADA'!D882,"AAAAAHvjZR0=")</f>
        <v>#VALUE!</v>
      </c>
      <c r="AE122">
        <f>IF('PROG FORMACIÓN TITULADA'!883:883,"AAAAAHvjZR4=",0)</f>
        <v>0</v>
      </c>
      <c r="AF122" t="e">
        <f>AND('PROG FORMACIÓN TITULADA'!A883,"AAAAAHvjZR8=")</f>
        <v>#VALUE!</v>
      </c>
      <c r="AG122" t="e">
        <f>AND('PROG FORMACIÓN TITULADA'!B882,"AAAAAHvjZSA=")</f>
        <v>#VALUE!</v>
      </c>
      <c r="AH122" t="e">
        <f>AND('PROG FORMACIÓN TITULADA'!C883,"AAAAAHvjZSE=")</f>
        <v>#VALUE!</v>
      </c>
      <c r="AI122" t="e">
        <f>AND('PROG FORMACIÓN TITULADA'!D883,"AAAAAHvjZSI=")</f>
        <v>#VALUE!</v>
      </c>
      <c r="AJ122">
        <f>IF('PROG FORMACIÓN TITULADA'!884:884,"AAAAAHvjZSM=",0)</f>
        <v>0</v>
      </c>
      <c r="AK122" t="e">
        <f>AND('PROG FORMACIÓN TITULADA'!A884,"AAAAAHvjZSQ=")</f>
        <v>#VALUE!</v>
      </c>
      <c r="AL122" t="e">
        <f>AND('PROG FORMACIÓN TITULADA'!B883,"AAAAAHvjZSU=")</f>
        <v>#VALUE!</v>
      </c>
      <c r="AM122" t="e">
        <f>AND('PROG FORMACIÓN TITULADA'!C884,"AAAAAHvjZSY=")</f>
        <v>#VALUE!</v>
      </c>
      <c r="AN122" t="e">
        <f>AND('PROG FORMACIÓN TITULADA'!D884,"AAAAAHvjZSc=")</f>
        <v>#VALUE!</v>
      </c>
      <c r="AO122">
        <f>IF('PROG FORMACIÓN TITULADA'!885:885,"AAAAAHvjZSg=",0)</f>
        <v>0</v>
      </c>
      <c r="AP122" t="e">
        <f>AND('PROG FORMACIÓN TITULADA'!A885,"AAAAAHvjZSk=")</f>
        <v>#VALUE!</v>
      </c>
      <c r="AQ122" t="e">
        <f>AND('PROG FORMACIÓN TITULADA'!B884,"AAAAAHvjZSo=")</f>
        <v>#VALUE!</v>
      </c>
      <c r="AR122" t="e">
        <f>AND('PROG FORMACIÓN TITULADA'!C885,"AAAAAHvjZSs=")</f>
        <v>#VALUE!</v>
      </c>
      <c r="AS122" t="e">
        <f>AND('PROG FORMACIÓN TITULADA'!D885,"AAAAAHvjZSw=")</f>
        <v>#VALUE!</v>
      </c>
      <c r="AT122">
        <f>IF('PROG FORMACIÓN TITULADA'!886:886,"AAAAAHvjZS0=",0)</f>
        <v>0</v>
      </c>
      <c r="AU122" t="e">
        <f>AND('PROG FORMACIÓN TITULADA'!A886,"AAAAAHvjZS4=")</f>
        <v>#VALUE!</v>
      </c>
      <c r="AV122" t="e">
        <f>AND('PROG FORMACIÓN TITULADA'!B885,"AAAAAHvjZS8=")</f>
        <v>#VALUE!</v>
      </c>
      <c r="AW122" t="e">
        <f>AND('PROG FORMACIÓN TITULADA'!C886,"AAAAAHvjZTA=")</f>
        <v>#VALUE!</v>
      </c>
      <c r="AX122" t="e">
        <f>AND('PROG FORMACIÓN TITULADA'!D886,"AAAAAHvjZTE=")</f>
        <v>#VALUE!</v>
      </c>
      <c r="AY122">
        <f>IF('PROG FORMACIÓN TITULADA'!887:887,"AAAAAHvjZTI=",0)</f>
        <v>0</v>
      </c>
      <c r="AZ122" t="e">
        <f>AND('PROG FORMACIÓN TITULADA'!A887,"AAAAAHvjZTM=")</f>
        <v>#VALUE!</v>
      </c>
      <c r="BA122" t="e">
        <f>AND('PROG FORMACIÓN TITULADA'!B886,"AAAAAHvjZTQ=")</f>
        <v>#VALUE!</v>
      </c>
      <c r="BB122" t="e">
        <f>AND('PROG FORMACIÓN TITULADA'!C887,"AAAAAHvjZTU=")</f>
        <v>#VALUE!</v>
      </c>
      <c r="BC122" t="e">
        <f>AND('PROG FORMACIÓN TITULADA'!D887,"AAAAAHvjZTY=")</f>
        <v>#VALUE!</v>
      </c>
      <c r="BD122">
        <f>IF('PROG FORMACIÓN TITULADA'!888:888,"AAAAAHvjZTc=",0)</f>
        <v>0</v>
      </c>
      <c r="BE122" t="e">
        <f>AND('PROG FORMACIÓN TITULADA'!A888,"AAAAAHvjZTg=")</f>
        <v>#VALUE!</v>
      </c>
      <c r="BF122" t="e">
        <f>AND('PROG FORMACIÓN TITULADA'!B887,"AAAAAHvjZTk=")</f>
        <v>#VALUE!</v>
      </c>
      <c r="BG122" t="e">
        <f>AND('PROG FORMACIÓN TITULADA'!C888,"AAAAAHvjZTo=")</f>
        <v>#VALUE!</v>
      </c>
      <c r="BH122" t="e">
        <f>AND('PROG FORMACIÓN TITULADA'!D888,"AAAAAHvjZTs=")</f>
        <v>#VALUE!</v>
      </c>
      <c r="BI122">
        <f>IF('PROG FORMACIÓN TITULADA'!889:889,"AAAAAHvjZTw=",0)</f>
        <v>0</v>
      </c>
      <c r="BJ122" t="e">
        <f>AND('PROG FORMACIÓN TITULADA'!A889,"AAAAAHvjZT0=")</f>
        <v>#VALUE!</v>
      </c>
      <c r="BK122" t="e">
        <f>AND('PROG FORMACIÓN TITULADA'!B888,"AAAAAHvjZT4=")</f>
        <v>#VALUE!</v>
      </c>
      <c r="BL122" t="e">
        <f>AND('PROG FORMACIÓN TITULADA'!C889,"AAAAAHvjZT8=")</f>
        <v>#VALUE!</v>
      </c>
      <c r="BM122" t="e">
        <f>AND('PROG FORMACIÓN TITULADA'!D889,"AAAAAHvjZUA=")</f>
        <v>#VALUE!</v>
      </c>
      <c r="BN122">
        <f>IF('PROG FORMACIÓN TITULADA'!890:890,"AAAAAHvjZUE=",0)</f>
        <v>0</v>
      </c>
      <c r="BO122" t="e">
        <f>AND('PROG FORMACIÓN TITULADA'!A890,"AAAAAHvjZUI=")</f>
        <v>#VALUE!</v>
      </c>
      <c r="BP122" t="e">
        <f>AND('PROG FORMACIÓN TITULADA'!B889,"AAAAAHvjZUM=")</f>
        <v>#VALUE!</v>
      </c>
      <c r="BQ122" t="e">
        <f>AND('PROG FORMACIÓN TITULADA'!C890,"AAAAAHvjZUQ=")</f>
        <v>#VALUE!</v>
      </c>
      <c r="BR122" t="e">
        <f>AND('PROG FORMACIÓN TITULADA'!D890,"AAAAAHvjZUU=")</f>
        <v>#VALUE!</v>
      </c>
      <c r="BS122">
        <f>IF('PROG FORMACIÓN TITULADA'!891:891,"AAAAAHvjZUY=",0)</f>
        <v>0</v>
      </c>
      <c r="BT122" t="e">
        <f>AND('PROG FORMACIÓN TITULADA'!A891,"AAAAAHvjZUc=")</f>
        <v>#VALUE!</v>
      </c>
      <c r="BU122" t="e">
        <f>AND('PROG FORMACIÓN TITULADA'!B890,"AAAAAHvjZUg=")</f>
        <v>#VALUE!</v>
      </c>
      <c r="BV122" t="e">
        <f>AND('PROG FORMACIÓN TITULADA'!C891,"AAAAAHvjZUk=")</f>
        <v>#VALUE!</v>
      </c>
      <c r="BW122" t="e">
        <f>AND('PROG FORMACIÓN TITULADA'!D891,"AAAAAHvjZUo=")</f>
        <v>#VALUE!</v>
      </c>
      <c r="BX122">
        <f>IF('PROG FORMACIÓN TITULADA'!892:892,"AAAAAHvjZUs=",0)</f>
        <v>0</v>
      </c>
      <c r="BY122" t="e">
        <f>AND('PROG FORMACIÓN TITULADA'!A892,"AAAAAHvjZUw=")</f>
        <v>#VALUE!</v>
      </c>
      <c r="BZ122" t="e">
        <f>AND('PROG FORMACIÓN TITULADA'!B891,"AAAAAHvjZU0=")</f>
        <v>#VALUE!</v>
      </c>
      <c r="CA122" t="e">
        <f>AND('PROG FORMACIÓN TITULADA'!C892,"AAAAAHvjZU4=")</f>
        <v>#VALUE!</v>
      </c>
      <c r="CB122" t="e">
        <f>AND('PROG FORMACIÓN TITULADA'!D892,"AAAAAHvjZU8=")</f>
        <v>#VALUE!</v>
      </c>
      <c r="CC122">
        <f>IF('PROG FORMACIÓN TITULADA'!893:893,"AAAAAHvjZVA=",0)</f>
        <v>0</v>
      </c>
      <c r="CD122" t="e">
        <f>AND('PROG FORMACIÓN TITULADA'!A893,"AAAAAHvjZVE=")</f>
        <v>#VALUE!</v>
      </c>
      <c r="CE122" t="e">
        <f>AND('PROG FORMACIÓN TITULADA'!B892,"AAAAAHvjZVI=")</f>
        <v>#VALUE!</v>
      </c>
      <c r="CF122" t="e">
        <f>AND('PROG FORMACIÓN TITULADA'!C893,"AAAAAHvjZVM=")</f>
        <v>#VALUE!</v>
      </c>
      <c r="CG122" t="e">
        <f>AND('PROG FORMACIÓN TITULADA'!D893,"AAAAAHvjZVQ=")</f>
        <v>#VALUE!</v>
      </c>
      <c r="CH122">
        <f>IF('PROG FORMACIÓN TITULADA'!894:894,"AAAAAHvjZVU=",0)</f>
        <v>0</v>
      </c>
      <c r="CI122" t="e">
        <f>AND('PROG FORMACIÓN TITULADA'!A894,"AAAAAHvjZVY=")</f>
        <v>#VALUE!</v>
      </c>
      <c r="CJ122" t="e">
        <f>AND('PROG FORMACIÓN TITULADA'!B893,"AAAAAHvjZVc=")</f>
        <v>#VALUE!</v>
      </c>
      <c r="CK122" t="e">
        <f>AND('PROG FORMACIÓN TITULADA'!C894,"AAAAAHvjZVg=")</f>
        <v>#VALUE!</v>
      </c>
      <c r="CL122" t="e">
        <f>AND('PROG FORMACIÓN TITULADA'!D894,"AAAAAHvjZVk=")</f>
        <v>#VALUE!</v>
      </c>
      <c r="CM122">
        <f>IF('PROG FORMACIÓN TITULADA'!895:895,"AAAAAHvjZVo=",0)</f>
        <v>0</v>
      </c>
      <c r="CN122" t="e">
        <f>AND('PROG FORMACIÓN TITULADA'!A895,"AAAAAHvjZVs=")</f>
        <v>#VALUE!</v>
      </c>
      <c r="CO122" t="e">
        <f>AND('PROG FORMACIÓN TITULADA'!B894,"AAAAAHvjZVw=")</f>
        <v>#VALUE!</v>
      </c>
      <c r="CP122" t="e">
        <f>AND('PROG FORMACIÓN TITULADA'!C895,"AAAAAHvjZV0=")</f>
        <v>#VALUE!</v>
      </c>
      <c r="CQ122" t="e">
        <f>AND('PROG FORMACIÓN TITULADA'!D895,"AAAAAHvjZV4=")</f>
        <v>#VALUE!</v>
      </c>
      <c r="CR122">
        <f>IF('PROG FORMACIÓN TITULADA'!896:896,"AAAAAHvjZV8=",0)</f>
        <v>0</v>
      </c>
      <c r="CS122" t="e">
        <f>AND('PROG FORMACIÓN TITULADA'!A896,"AAAAAHvjZWA=")</f>
        <v>#VALUE!</v>
      </c>
      <c r="CT122" t="e">
        <f>AND('PROG FORMACIÓN TITULADA'!B895,"AAAAAHvjZWE=")</f>
        <v>#VALUE!</v>
      </c>
      <c r="CU122" t="e">
        <f>AND('PROG FORMACIÓN TITULADA'!C896,"AAAAAHvjZWI=")</f>
        <v>#VALUE!</v>
      </c>
      <c r="CV122" t="e">
        <f>AND('PROG FORMACIÓN TITULADA'!D896,"AAAAAHvjZWM=")</f>
        <v>#VALUE!</v>
      </c>
      <c r="CW122">
        <f>IF('PROG FORMACIÓN TITULADA'!897:897,"AAAAAHvjZWQ=",0)</f>
        <v>0</v>
      </c>
      <c r="CX122" t="e">
        <f>AND('PROG FORMACIÓN TITULADA'!A897,"AAAAAHvjZWU=")</f>
        <v>#VALUE!</v>
      </c>
      <c r="CY122" t="e">
        <f>AND('PROG FORMACIÓN TITULADA'!B896,"AAAAAHvjZWY=")</f>
        <v>#VALUE!</v>
      </c>
      <c r="CZ122" t="e">
        <f>AND('PROG FORMACIÓN TITULADA'!C897,"AAAAAHvjZWc=")</f>
        <v>#VALUE!</v>
      </c>
      <c r="DA122" t="e">
        <f>AND('PROG FORMACIÓN TITULADA'!D897,"AAAAAHvjZWg=")</f>
        <v>#VALUE!</v>
      </c>
      <c r="DB122">
        <f>IF('PROG FORMACIÓN TITULADA'!898:898,"AAAAAHvjZWk=",0)</f>
        <v>0</v>
      </c>
      <c r="DC122" t="e">
        <f>AND('PROG FORMACIÓN TITULADA'!A898,"AAAAAHvjZWo=")</f>
        <v>#VALUE!</v>
      </c>
      <c r="DD122" t="e">
        <f>AND('PROG FORMACIÓN TITULADA'!B897,"AAAAAHvjZWs=")</f>
        <v>#VALUE!</v>
      </c>
      <c r="DE122" t="e">
        <f>AND('PROG FORMACIÓN TITULADA'!C898,"AAAAAHvjZWw=")</f>
        <v>#VALUE!</v>
      </c>
      <c r="DF122" t="e">
        <f>AND('PROG FORMACIÓN TITULADA'!D898,"AAAAAHvjZW0=")</f>
        <v>#VALUE!</v>
      </c>
      <c r="DG122">
        <f>IF('PROG FORMACIÓN TITULADA'!899:899,"AAAAAHvjZW4=",0)</f>
        <v>0</v>
      </c>
      <c r="DH122" t="e">
        <f>AND('PROG FORMACIÓN TITULADA'!A899,"AAAAAHvjZW8=")</f>
        <v>#VALUE!</v>
      </c>
      <c r="DI122" t="e">
        <f>AND('PROG FORMACIÓN TITULADA'!B898,"AAAAAHvjZXA=")</f>
        <v>#VALUE!</v>
      </c>
      <c r="DJ122" t="e">
        <f>AND('PROG FORMACIÓN TITULADA'!C899,"AAAAAHvjZXE=")</f>
        <v>#VALUE!</v>
      </c>
      <c r="DK122" t="e">
        <f>AND('PROG FORMACIÓN TITULADA'!D899,"AAAAAHvjZXI=")</f>
        <v>#VALUE!</v>
      </c>
      <c r="DL122">
        <f>IF('PROG FORMACIÓN TITULADA'!900:900,"AAAAAHvjZXM=",0)</f>
        <v>0</v>
      </c>
      <c r="DM122" t="e">
        <f>AND('PROG FORMACIÓN TITULADA'!A900,"AAAAAHvjZXQ=")</f>
        <v>#VALUE!</v>
      </c>
      <c r="DN122" t="e">
        <f>AND('PROG FORMACIÓN TITULADA'!B899,"AAAAAHvjZXU=")</f>
        <v>#VALUE!</v>
      </c>
      <c r="DO122" t="e">
        <f>AND('PROG FORMACIÓN TITULADA'!C900,"AAAAAHvjZXY=")</f>
        <v>#VALUE!</v>
      </c>
      <c r="DP122" t="e">
        <f>AND('PROG FORMACIÓN TITULADA'!D900,"AAAAAHvjZXc=")</f>
        <v>#VALUE!</v>
      </c>
      <c r="DQ122">
        <f>IF('PROG FORMACIÓN TITULADA'!901:901,"AAAAAHvjZXg=",0)</f>
        <v>0</v>
      </c>
      <c r="DR122" t="e">
        <f>AND('PROG FORMACIÓN TITULADA'!A901,"AAAAAHvjZXk=")</f>
        <v>#VALUE!</v>
      </c>
      <c r="DS122" t="e">
        <f>AND('PROG FORMACIÓN TITULADA'!B900,"AAAAAHvjZXo=")</f>
        <v>#VALUE!</v>
      </c>
      <c r="DT122" t="e">
        <f>AND('PROG FORMACIÓN TITULADA'!C901,"AAAAAHvjZXs=")</f>
        <v>#VALUE!</v>
      </c>
      <c r="DU122" t="e">
        <f>AND('PROG FORMACIÓN TITULADA'!D901,"AAAAAHvjZXw=")</f>
        <v>#VALUE!</v>
      </c>
      <c r="DV122">
        <f>IF('PROG FORMACIÓN TITULADA'!902:902,"AAAAAHvjZX0=",0)</f>
        <v>0</v>
      </c>
      <c r="DW122" t="e">
        <f>AND('PROG FORMACIÓN TITULADA'!A902,"AAAAAHvjZX4=")</f>
        <v>#VALUE!</v>
      </c>
      <c r="DX122" t="e">
        <f>AND('PROG FORMACIÓN TITULADA'!B901,"AAAAAHvjZX8=")</f>
        <v>#VALUE!</v>
      </c>
      <c r="DY122" t="e">
        <f>AND('PROG FORMACIÓN TITULADA'!C902,"AAAAAHvjZYA=")</f>
        <v>#VALUE!</v>
      </c>
      <c r="DZ122" t="e">
        <f>AND('PROG FORMACIÓN TITULADA'!D902,"AAAAAHvjZYE=")</f>
        <v>#VALUE!</v>
      </c>
      <c r="EA122">
        <f>IF('PROG FORMACIÓN TITULADA'!903:903,"AAAAAHvjZYI=",0)</f>
        <v>0</v>
      </c>
      <c r="EB122" t="e">
        <f>AND('PROG FORMACIÓN TITULADA'!A903,"AAAAAHvjZYM=")</f>
        <v>#VALUE!</v>
      </c>
      <c r="EC122" t="e">
        <f>AND('PROG FORMACIÓN TITULADA'!B902,"AAAAAHvjZYQ=")</f>
        <v>#VALUE!</v>
      </c>
      <c r="ED122" t="e">
        <f>AND('PROG FORMACIÓN TITULADA'!C903,"AAAAAHvjZYU=")</f>
        <v>#VALUE!</v>
      </c>
      <c r="EE122" t="e">
        <f>AND('PROG FORMACIÓN TITULADA'!D903,"AAAAAHvjZYY=")</f>
        <v>#VALUE!</v>
      </c>
      <c r="EF122">
        <f>IF('PROG FORMACIÓN TITULADA'!904:904,"AAAAAHvjZYc=",0)</f>
        <v>0</v>
      </c>
      <c r="EG122" t="e">
        <f>AND('PROG FORMACIÓN TITULADA'!A904,"AAAAAHvjZYg=")</f>
        <v>#VALUE!</v>
      </c>
      <c r="EH122" t="e">
        <f>AND('PROG FORMACIÓN TITULADA'!B903,"AAAAAHvjZYk=")</f>
        <v>#VALUE!</v>
      </c>
      <c r="EI122" t="e">
        <f>AND('PROG FORMACIÓN TITULADA'!C904,"AAAAAHvjZYo=")</f>
        <v>#VALUE!</v>
      </c>
      <c r="EJ122" t="e">
        <f>AND('PROG FORMACIÓN TITULADA'!D904,"AAAAAHvjZYs=")</f>
        <v>#VALUE!</v>
      </c>
      <c r="EK122">
        <f>IF('PROG FORMACIÓN TITULADA'!905:905,"AAAAAHvjZYw=",0)</f>
        <v>0</v>
      </c>
      <c r="EL122" t="e">
        <f>AND('PROG FORMACIÓN TITULADA'!A905,"AAAAAHvjZY0=")</f>
        <v>#VALUE!</v>
      </c>
      <c r="EM122" t="e">
        <f>AND('PROG FORMACIÓN TITULADA'!B904,"AAAAAHvjZY4=")</f>
        <v>#VALUE!</v>
      </c>
      <c r="EN122" t="e">
        <f>AND('PROG FORMACIÓN TITULADA'!C905,"AAAAAHvjZY8=")</f>
        <v>#VALUE!</v>
      </c>
      <c r="EO122" t="e">
        <f>AND('PROG FORMACIÓN TITULADA'!D905,"AAAAAHvjZZA=")</f>
        <v>#VALUE!</v>
      </c>
      <c r="EP122">
        <f>IF('PROG FORMACIÓN TITULADA'!906:906,"AAAAAHvjZZE=",0)</f>
        <v>0</v>
      </c>
      <c r="EQ122" t="e">
        <f>AND('PROG FORMACIÓN TITULADA'!A906,"AAAAAHvjZZI=")</f>
        <v>#VALUE!</v>
      </c>
      <c r="ER122" t="e">
        <f>AND('PROG FORMACIÓN TITULADA'!B905,"AAAAAHvjZZM=")</f>
        <v>#VALUE!</v>
      </c>
      <c r="ES122" t="e">
        <f>AND('PROG FORMACIÓN TITULADA'!C906,"AAAAAHvjZZQ=")</f>
        <v>#VALUE!</v>
      </c>
      <c r="ET122" t="e">
        <f>AND('PROG FORMACIÓN TITULADA'!D906,"AAAAAHvjZZU=")</f>
        <v>#VALUE!</v>
      </c>
      <c r="EU122">
        <f>IF('PROG FORMACIÓN TITULADA'!907:907,"AAAAAHvjZZY=",0)</f>
        <v>0</v>
      </c>
      <c r="EV122" t="e">
        <f>AND('PROG FORMACIÓN TITULADA'!A907,"AAAAAHvjZZc=")</f>
        <v>#VALUE!</v>
      </c>
      <c r="EW122" t="e">
        <f>AND('PROG FORMACIÓN TITULADA'!B906,"AAAAAHvjZZg=")</f>
        <v>#VALUE!</v>
      </c>
      <c r="EX122" t="e">
        <f>AND('PROG FORMACIÓN TITULADA'!C907,"AAAAAHvjZZk=")</f>
        <v>#VALUE!</v>
      </c>
      <c r="EY122" t="e">
        <f>AND('PROG FORMACIÓN TITULADA'!D907,"AAAAAHvjZZo=")</f>
        <v>#VALUE!</v>
      </c>
      <c r="EZ122">
        <f>IF('PROG FORMACIÓN TITULADA'!908:908,"AAAAAHvjZZs=",0)</f>
        <v>0</v>
      </c>
      <c r="FA122" t="e">
        <f>AND('PROG FORMACIÓN TITULADA'!A908,"AAAAAHvjZZw=")</f>
        <v>#VALUE!</v>
      </c>
      <c r="FB122" t="e">
        <f>AND('PROG FORMACIÓN TITULADA'!B907,"AAAAAHvjZZ0=")</f>
        <v>#VALUE!</v>
      </c>
      <c r="FC122" t="e">
        <f>AND('PROG FORMACIÓN TITULADA'!C908,"AAAAAHvjZZ4=")</f>
        <v>#VALUE!</v>
      </c>
      <c r="FD122" t="e">
        <f>AND('PROG FORMACIÓN TITULADA'!D908,"AAAAAHvjZZ8=")</f>
        <v>#VALUE!</v>
      </c>
      <c r="FE122">
        <f>IF('PROG FORMACIÓN TITULADA'!909:909,"AAAAAHvjZaA=",0)</f>
        <v>0</v>
      </c>
      <c r="FF122" t="e">
        <f>AND('PROG FORMACIÓN TITULADA'!A909,"AAAAAHvjZaE=")</f>
        <v>#VALUE!</v>
      </c>
      <c r="FG122" t="e">
        <f>AND('PROG FORMACIÓN TITULADA'!B908,"AAAAAHvjZaI=")</f>
        <v>#VALUE!</v>
      </c>
      <c r="FH122" t="e">
        <f>AND('PROG FORMACIÓN TITULADA'!C909,"AAAAAHvjZaM=")</f>
        <v>#VALUE!</v>
      </c>
      <c r="FI122" t="e">
        <f>AND('PROG FORMACIÓN TITULADA'!D909,"AAAAAHvjZaQ=")</f>
        <v>#VALUE!</v>
      </c>
      <c r="FJ122">
        <f>IF('PROG FORMACIÓN TITULADA'!910:910,"AAAAAHvjZaU=",0)</f>
        <v>0</v>
      </c>
      <c r="FK122" t="e">
        <f>AND('PROG FORMACIÓN TITULADA'!A910,"AAAAAHvjZaY=")</f>
        <v>#VALUE!</v>
      </c>
      <c r="FL122" t="e">
        <f>AND('PROG FORMACIÓN TITULADA'!B909,"AAAAAHvjZac=")</f>
        <v>#VALUE!</v>
      </c>
      <c r="FM122" t="e">
        <f>AND('PROG FORMACIÓN TITULADA'!C910,"AAAAAHvjZag=")</f>
        <v>#VALUE!</v>
      </c>
      <c r="FN122" t="e">
        <f>AND('PROG FORMACIÓN TITULADA'!D910,"AAAAAHvjZak=")</f>
        <v>#VALUE!</v>
      </c>
      <c r="FO122">
        <f>IF('PROG FORMACIÓN TITULADA'!911:911,"AAAAAHvjZao=",0)</f>
        <v>0</v>
      </c>
      <c r="FP122" t="e">
        <f>AND('PROG FORMACIÓN TITULADA'!A911,"AAAAAHvjZas=")</f>
        <v>#VALUE!</v>
      </c>
      <c r="FQ122" t="e">
        <f>AND('PROG FORMACIÓN TITULADA'!B910,"AAAAAHvjZaw=")</f>
        <v>#VALUE!</v>
      </c>
      <c r="FR122" t="e">
        <f>AND('PROG FORMACIÓN TITULADA'!C911,"AAAAAHvjZa0=")</f>
        <v>#VALUE!</v>
      </c>
      <c r="FS122" t="e">
        <f>AND('PROG FORMACIÓN TITULADA'!D911,"AAAAAHvjZa4=")</f>
        <v>#VALUE!</v>
      </c>
      <c r="FT122">
        <f>IF('PROG FORMACIÓN TITULADA'!912:912,"AAAAAHvjZa8=",0)</f>
        <v>0</v>
      </c>
      <c r="FU122" t="e">
        <f>AND('PROG FORMACIÓN TITULADA'!A912,"AAAAAHvjZbA=")</f>
        <v>#VALUE!</v>
      </c>
      <c r="FV122" t="e">
        <f>AND('PROG FORMACIÓN TITULADA'!B911,"AAAAAHvjZbE=")</f>
        <v>#VALUE!</v>
      </c>
      <c r="FW122" t="e">
        <f>AND('PROG FORMACIÓN TITULADA'!C912,"AAAAAHvjZbI=")</f>
        <v>#VALUE!</v>
      </c>
      <c r="FX122" t="e">
        <f>AND('PROG FORMACIÓN TITULADA'!D912,"AAAAAHvjZbM=")</f>
        <v>#VALUE!</v>
      </c>
      <c r="FY122">
        <f>IF('PROG FORMACIÓN TITULADA'!913:913,"AAAAAHvjZbQ=",0)</f>
        <v>0</v>
      </c>
      <c r="FZ122" t="e">
        <f>AND('PROG FORMACIÓN TITULADA'!A913,"AAAAAHvjZbU=")</f>
        <v>#VALUE!</v>
      </c>
      <c r="GA122" t="e">
        <f>AND('PROG FORMACIÓN TITULADA'!B912,"AAAAAHvjZbY=")</f>
        <v>#VALUE!</v>
      </c>
      <c r="GB122" t="e">
        <f>AND('PROG FORMACIÓN TITULADA'!C913,"AAAAAHvjZbc=")</f>
        <v>#VALUE!</v>
      </c>
      <c r="GC122" t="e">
        <f>AND('PROG FORMACIÓN TITULADA'!D913,"AAAAAHvjZbg=")</f>
        <v>#VALUE!</v>
      </c>
      <c r="GD122">
        <f>IF('PROG FORMACIÓN TITULADA'!914:914,"AAAAAHvjZbk=",0)</f>
        <v>0</v>
      </c>
      <c r="GE122" t="e">
        <f>AND('PROG FORMACIÓN TITULADA'!A914,"AAAAAHvjZbo=")</f>
        <v>#VALUE!</v>
      </c>
      <c r="GF122" t="e">
        <f>AND('PROG FORMACIÓN TITULADA'!B913,"AAAAAHvjZbs=")</f>
        <v>#VALUE!</v>
      </c>
      <c r="GG122" t="e">
        <f>AND('PROG FORMACIÓN TITULADA'!C914,"AAAAAHvjZbw=")</f>
        <v>#VALUE!</v>
      </c>
      <c r="GH122" t="e">
        <f>AND('PROG FORMACIÓN TITULADA'!D914,"AAAAAHvjZb0=")</f>
        <v>#VALUE!</v>
      </c>
      <c r="GI122">
        <f>IF('PROG FORMACIÓN TITULADA'!915:915,"AAAAAHvjZb4=",0)</f>
        <v>0</v>
      </c>
      <c r="GJ122" t="e">
        <f>AND('PROG FORMACIÓN TITULADA'!A915,"AAAAAHvjZb8=")</f>
        <v>#VALUE!</v>
      </c>
      <c r="GK122" t="e">
        <f>AND('PROG FORMACIÓN TITULADA'!B914,"AAAAAHvjZcA=")</f>
        <v>#VALUE!</v>
      </c>
      <c r="GL122" t="e">
        <f>AND('PROG FORMACIÓN TITULADA'!C915,"AAAAAHvjZcE=")</f>
        <v>#VALUE!</v>
      </c>
      <c r="GM122" t="e">
        <f>AND('PROG FORMACIÓN TITULADA'!D915,"AAAAAHvjZcI=")</f>
        <v>#VALUE!</v>
      </c>
      <c r="GN122">
        <f>IF('PROG FORMACIÓN TITULADA'!916:916,"AAAAAHvjZcM=",0)</f>
        <v>0</v>
      </c>
      <c r="GO122" t="e">
        <f>AND('PROG FORMACIÓN TITULADA'!A916,"AAAAAHvjZcQ=")</f>
        <v>#VALUE!</v>
      </c>
      <c r="GP122" t="e">
        <f>AND('PROG FORMACIÓN TITULADA'!B915,"AAAAAHvjZcU=")</f>
        <v>#VALUE!</v>
      </c>
      <c r="GQ122" t="e">
        <f>AND('PROG FORMACIÓN TITULADA'!C916,"AAAAAHvjZcY=")</f>
        <v>#VALUE!</v>
      </c>
      <c r="GR122" t="e">
        <f>AND('PROG FORMACIÓN TITULADA'!D916,"AAAAAHvjZcc=")</f>
        <v>#VALUE!</v>
      </c>
      <c r="GS122">
        <f>IF('PROG FORMACIÓN TITULADA'!917:917,"AAAAAHvjZcg=",0)</f>
        <v>0</v>
      </c>
      <c r="GT122" t="e">
        <f>AND('PROG FORMACIÓN TITULADA'!A917,"AAAAAHvjZck=")</f>
        <v>#VALUE!</v>
      </c>
      <c r="GU122" t="e">
        <f>AND('PROG FORMACIÓN TITULADA'!B916,"AAAAAHvjZco=")</f>
        <v>#VALUE!</v>
      </c>
      <c r="GV122" t="e">
        <f>AND('PROG FORMACIÓN TITULADA'!C917,"AAAAAHvjZcs=")</f>
        <v>#VALUE!</v>
      </c>
      <c r="GW122" t="e">
        <f>AND('PROG FORMACIÓN TITULADA'!D917,"AAAAAHvjZcw=")</f>
        <v>#VALUE!</v>
      </c>
      <c r="GX122">
        <f>IF('PROG FORMACIÓN TITULADA'!918:918,"AAAAAHvjZc0=",0)</f>
        <v>0</v>
      </c>
      <c r="GY122" t="e">
        <f>AND('PROG FORMACIÓN TITULADA'!A918,"AAAAAHvjZc4=")</f>
        <v>#VALUE!</v>
      </c>
      <c r="GZ122" t="e">
        <f>AND('PROG FORMACIÓN TITULADA'!B917,"AAAAAHvjZc8=")</f>
        <v>#VALUE!</v>
      </c>
      <c r="HA122" t="e">
        <f>AND('PROG FORMACIÓN TITULADA'!C918,"AAAAAHvjZdA=")</f>
        <v>#VALUE!</v>
      </c>
      <c r="HB122" t="e">
        <f>AND('PROG FORMACIÓN TITULADA'!D918,"AAAAAHvjZdE=")</f>
        <v>#VALUE!</v>
      </c>
      <c r="HC122">
        <f>IF('PROG FORMACIÓN TITULADA'!919:919,"AAAAAHvjZdI=",0)</f>
        <v>0</v>
      </c>
      <c r="HD122" t="e">
        <f>AND('PROG FORMACIÓN TITULADA'!A919,"AAAAAHvjZdM=")</f>
        <v>#VALUE!</v>
      </c>
      <c r="HE122" t="e">
        <f>AND('PROG FORMACIÓN TITULADA'!B918,"AAAAAHvjZdQ=")</f>
        <v>#VALUE!</v>
      </c>
      <c r="HF122" t="e">
        <f>AND('PROG FORMACIÓN TITULADA'!C919,"AAAAAHvjZdU=")</f>
        <v>#VALUE!</v>
      </c>
      <c r="HG122" t="e">
        <f>AND('PROG FORMACIÓN TITULADA'!D919,"AAAAAHvjZdY=")</f>
        <v>#VALUE!</v>
      </c>
      <c r="HH122">
        <f>IF('PROG FORMACIÓN TITULADA'!920:920,"AAAAAHvjZdc=",0)</f>
        <v>0</v>
      </c>
      <c r="HI122" t="e">
        <f>AND('PROG FORMACIÓN TITULADA'!A920,"AAAAAHvjZdg=")</f>
        <v>#VALUE!</v>
      </c>
      <c r="HJ122" t="e">
        <f>AND('PROG FORMACIÓN TITULADA'!B919,"AAAAAHvjZdk=")</f>
        <v>#VALUE!</v>
      </c>
      <c r="HK122" t="e">
        <f>AND('PROG FORMACIÓN TITULADA'!C920,"AAAAAHvjZdo=")</f>
        <v>#VALUE!</v>
      </c>
      <c r="HL122" t="e">
        <f>AND('PROG FORMACIÓN TITULADA'!D920,"AAAAAHvjZds=")</f>
        <v>#VALUE!</v>
      </c>
      <c r="HM122">
        <f>IF('PROG FORMACIÓN TITULADA'!921:921,"AAAAAHvjZdw=",0)</f>
        <v>0</v>
      </c>
      <c r="HN122" t="e">
        <f>AND('PROG FORMACIÓN TITULADA'!A921,"AAAAAHvjZd0=")</f>
        <v>#VALUE!</v>
      </c>
      <c r="HO122" t="e">
        <f>AND('PROG FORMACIÓN TITULADA'!B920,"AAAAAHvjZd4=")</f>
        <v>#VALUE!</v>
      </c>
      <c r="HP122" t="e">
        <f>AND('PROG FORMACIÓN TITULADA'!C921,"AAAAAHvjZd8=")</f>
        <v>#VALUE!</v>
      </c>
      <c r="HQ122" t="e">
        <f>AND('PROG FORMACIÓN TITULADA'!D921,"AAAAAHvjZeA=")</f>
        <v>#VALUE!</v>
      </c>
      <c r="HR122">
        <f>IF('PROG FORMACIÓN TITULADA'!922:922,"AAAAAHvjZeE=",0)</f>
        <v>0</v>
      </c>
      <c r="HS122" t="e">
        <f>AND('PROG FORMACIÓN TITULADA'!A922,"AAAAAHvjZeI=")</f>
        <v>#VALUE!</v>
      </c>
      <c r="HT122" t="e">
        <f>AND('PROG FORMACIÓN TITULADA'!B921,"AAAAAHvjZeM=")</f>
        <v>#VALUE!</v>
      </c>
      <c r="HU122" t="e">
        <f>AND('PROG FORMACIÓN TITULADA'!C922,"AAAAAHvjZeQ=")</f>
        <v>#VALUE!</v>
      </c>
      <c r="HV122" t="e">
        <f>AND('PROG FORMACIÓN TITULADA'!D922,"AAAAAHvjZeU=")</f>
        <v>#VALUE!</v>
      </c>
      <c r="HW122">
        <f>IF('PROG FORMACIÓN TITULADA'!923:923,"AAAAAHvjZeY=",0)</f>
        <v>0</v>
      </c>
      <c r="HX122" t="e">
        <f>AND('PROG FORMACIÓN TITULADA'!A923,"AAAAAHvjZec=")</f>
        <v>#VALUE!</v>
      </c>
      <c r="HY122" t="e">
        <f>AND('PROG FORMACIÓN TITULADA'!B922,"AAAAAHvjZeg=")</f>
        <v>#VALUE!</v>
      </c>
      <c r="HZ122" t="e">
        <f>AND('PROG FORMACIÓN TITULADA'!C923,"AAAAAHvjZek=")</f>
        <v>#VALUE!</v>
      </c>
      <c r="IA122" t="e">
        <f>AND('PROG FORMACIÓN TITULADA'!D923,"AAAAAHvjZeo=")</f>
        <v>#VALUE!</v>
      </c>
      <c r="IB122">
        <f>IF('PROG FORMACIÓN TITULADA'!924:924,"AAAAAHvjZes=",0)</f>
        <v>0</v>
      </c>
      <c r="IC122" t="e">
        <f>AND('PROG FORMACIÓN TITULADA'!A924,"AAAAAHvjZew=")</f>
        <v>#VALUE!</v>
      </c>
      <c r="ID122" t="e">
        <f>AND('PROG FORMACIÓN TITULADA'!B923,"AAAAAHvjZe0=")</f>
        <v>#VALUE!</v>
      </c>
      <c r="IE122" t="e">
        <f>AND('PROG FORMACIÓN TITULADA'!C924,"AAAAAHvjZe4=")</f>
        <v>#VALUE!</v>
      </c>
      <c r="IF122" t="e">
        <f>AND('PROG FORMACIÓN TITULADA'!D924,"AAAAAHvjZe8=")</f>
        <v>#VALUE!</v>
      </c>
      <c r="IG122">
        <f>IF('PROG FORMACIÓN TITULADA'!925:925,"AAAAAHvjZfA=",0)</f>
        <v>0</v>
      </c>
      <c r="IH122" t="e">
        <f>AND('PROG FORMACIÓN TITULADA'!A925,"AAAAAHvjZfE=")</f>
        <v>#VALUE!</v>
      </c>
      <c r="II122" t="e">
        <f>AND('PROG FORMACIÓN TITULADA'!B924,"AAAAAHvjZfI=")</f>
        <v>#VALUE!</v>
      </c>
      <c r="IJ122" t="e">
        <f>AND('PROG FORMACIÓN TITULADA'!C925,"AAAAAHvjZfM=")</f>
        <v>#VALUE!</v>
      </c>
      <c r="IK122" t="e">
        <f>AND('PROG FORMACIÓN TITULADA'!D925,"AAAAAHvjZfQ=")</f>
        <v>#VALUE!</v>
      </c>
      <c r="IL122">
        <f>IF('PROG FORMACIÓN TITULADA'!926:926,"AAAAAHvjZfU=",0)</f>
        <v>0</v>
      </c>
      <c r="IM122" t="e">
        <f>AND('PROG FORMACIÓN TITULADA'!A926,"AAAAAHvjZfY=")</f>
        <v>#VALUE!</v>
      </c>
      <c r="IN122" t="e">
        <f>AND('PROG FORMACIÓN TITULADA'!B925,"AAAAAHvjZfc=")</f>
        <v>#VALUE!</v>
      </c>
      <c r="IO122" t="e">
        <f>AND('PROG FORMACIÓN TITULADA'!C926,"AAAAAHvjZfg=")</f>
        <v>#VALUE!</v>
      </c>
      <c r="IP122" t="e">
        <f>AND('PROG FORMACIÓN TITULADA'!D926,"AAAAAHvjZfk=")</f>
        <v>#VALUE!</v>
      </c>
      <c r="IQ122">
        <f>IF('PROG FORMACIÓN TITULADA'!927:927,"AAAAAHvjZfo=",0)</f>
        <v>0</v>
      </c>
      <c r="IR122" t="e">
        <f>AND('PROG FORMACIÓN TITULADA'!A927,"AAAAAHvjZfs=")</f>
        <v>#VALUE!</v>
      </c>
      <c r="IS122" t="e">
        <f>AND('PROG FORMACIÓN TITULADA'!B926,"AAAAAHvjZfw=")</f>
        <v>#VALUE!</v>
      </c>
      <c r="IT122" t="e">
        <f>AND('PROG FORMACIÓN TITULADA'!C927,"AAAAAHvjZf0=")</f>
        <v>#VALUE!</v>
      </c>
      <c r="IU122" t="e">
        <f>AND('PROG FORMACIÓN TITULADA'!D927,"AAAAAHvjZf4=")</f>
        <v>#VALUE!</v>
      </c>
      <c r="IV122">
        <f>IF('PROG FORMACIÓN TITULADA'!928:928,"AAAAAHvjZf8=",0)</f>
        <v>0</v>
      </c>
    </row>
    <row r="123" spans="1:256" x14ac:dyDescent="0.2">
      <c r="A123" t="e">
        <f>AND('PROG FORMACIÓN TITULADA'!A928,"AAAAAH6l/wA=")</f>
        <v>#VALUE!</v>
      </c>
      <c r="B123" t="e">
        <f>AND('PROG FORMACIÓN TITULADA'!B927,"AAAAAH6l/wE=")</f>
        <v>#VALUE!</v>
      </c>
      <c r="C123" t="e">
        <f>AND('PROG FORMACIÓN TITULADA'!C928,"AAAAAH6l/wI=")</f>
        <v>#VALUE!</v>
      </c>
      <c r="D123" t="e">
        <f>AND('PROG FORMACIÓN TITULADA'!D928,"AAAAAH6l/wM=")</f>
        <v>#VALUE!</v>
      </c>
      <c r="E123">
        <f>IF('PROG FORMACIÓN TITULADA'!929:929,"AAAAAH6l/wQ=",0)</f>
        <v>0</v>
      </c>
      <c r="F123" t="e">
        <f>AND('PROG FORMACIÓN TITULADA'!A929,"AAAAAH6l/wU=")</f>
        <v>#VALUE!</v>
      </c>
      <c r="G123" t="e">
        <f>AND('PROG FORMACIÓN TITULADA'!B928,"AAAAAH6l/wY=")</f>
        <v>#VALUE!</v>
      </c>
      <c r="H123" t="e">
        <f>AND('PROG FORMACIÓN TITULADA'!C929,"AAAAAH6l/wc=")</f>
        <v>#VALUE!</v>
      </c>
      <c r="I123" t="e">
        <f>AND('PROG FORMACIÓN TITULADA'!D929,"AAAAAH6l/wg=")</f>
        <v>#VALUE!</v>
      </c>
      <c r="J123">
        <f>IF('PROG FORMACIÓN TITULADA'!930:930,"AAAAAH6l/wk=",0)</f>
        <v>0</v>
      </c>
      <c r="K123" t="e">
        <f>AND('PROG FORMACIÓN TITULADA'!A930,"AAAAAH6l/wo=")</f>
        <v>#VALUE!</v>
      </c>
      <c r="L123" t="e">
        <f>AND('PROG FORMACIÓN TITULADA'!B929,"AAAAAH6l/ws=")</f>
        <v>#VALUE!</v>
      </c>
      <c r="M123" t="e">
        <f>AND('PROG FORMACIÓN TITULADA'!C930,"AAAAAH6l/ww=")</f>
        <v>#VALUE!</v>
      </c>
      <c r="N123" t="e">
        <f>AND('PROG FORMACIÓN TITULADA'!D930,"AAAAAH6l/w0=")</f>
        <v>#VALUE!</v>
      </c>
      <c r="O123">
        <f>IF('PROG FORMACIÓN TITULADA'!931:931,"AAAAAH6l/w4=",0)</f>
        <v>0</v>
      </c>
      <c r="P123" t="e">
        <f>AND('PROG FORMACIÓN TITULADA'!A931,"AAAAAH6l/w8=")</f>
        <v>#VALUE!</v>
      </c>
      <c r="Q123" t="e">
        <f>AND('PROG FORMACIÓN TITULADA'!B930,"AAAAAH6l/xA=")</f>
        <v>#VALUE!</v>
      </c>
      <c r="R123" t="e">
        <f>AND('PROG FORMACIÓN TITULADA'!C931,"AAAAAH6l/xE=")</f>
        <v>#VALUE!</v>
      </c>
      <c r="S123" t="e">
        <f>AND('PROG FORMACIÓN TITULADA'!D931,"AAAAAH6l/xI=")</f>
        <v>#VALUE!</v>
      </c>
      <c r="T123">
        <f>IF('PROG FORMACIÓN TITULADA'!932:932,"AAAAAH6l/xM=",0)</f>
        <v>0</v>
      </c>
      <c r="U123" t="e">
        <f>AND('PROG FORMACIÓN TITULADA'!A932,"AAAAAH6l/xQ=")</f>
        <v>#VALUE!</v>
      </c>
      <c r="V123" t="e">
        <f>AND('PROG FORMACIÓN TITULADA'!B931,"AAAAAH6l/xU=")</f>
        <v>#VALUE!</v>
      </c>
      <c r="W123" t="e">
        <f>AND('PROG FORMACIÓN TITULADA'!C932,"AAAAAH6l/xY=")</f>
        <v>#VALUE!</v>
      </c>
      <c r="X123" t="e">
        <f>AND('PROG FORMACIÓN TITULADA'!D932,"AAAAAH6l/xc=")</f>
        <v>#VALUE!</v>
      </c>
      <c r="Y123">
        <f>IF('PROG FORMACIÓN TITULADA'!933:933,"AAAAAH6l/xg=",0)</f>
        <v>0</v>
      </c>
      <c r="Z123" t="e">
        <f>AND('PROG FORMACIÓN TITULADA'!A933,"AAAAAH6l/xk=")</f>
        <v>#VALUE!</v>
      </c>
      <c r="AA123" t="e">
        <f>AND('PROG FORMACIÓN TITULADA'!B932,"AAAAAH6l/xo=")</f>
        <v>#VALUE!</v>
      </c>
      <c r="AB123" t="e">
        <f>AND('PROG FORMACIÓN TITULADA'!C933,"AAAAAH6l/xs=")</f>
        <v>#VALUE!</v>
      </c>
      <c r="AC123" t="e">
        <f>AND('PROG FORMACIÓN TITULADA'!D933,"AAAAAH6l/xw=")</f>
        <v>#VALUE!</v>
      </c>
      <c r="AD123">
        <f>IF('PROG FORMACIÓN TITULADA'!934:934,"AAAAAH6l/x0=",0)</f>
        <v>0</v>
      </c>
      <c r="AE123" t="e">
        <f>AND('PROG FORMACIÓN TITULADA'!A934,"AAAAAH6l/x4=")</f>
        <v>#VALUE!</v>
      </c>
      <c r="AF123" t="e">
        <f>AND('PROG FORMACIÓN TITULADA'!B933,"AAAAAH6l/x8=")</f>
        <v>#VALUE!</v>
      </c>
      <c r="AG123" t="e">
        <f>AND('PROG FORMACIÓN TITULADA'!C934,"AAAAAH6l/yA=")</f>
        <v>#VALUE!</v>
      </c>
      <c r="AH123" t="e">
        <f>AND('PROG FORMACIÓN TITULADA'!D934,"AAAAAH6l/yE=")</f>
        <v>#VALUE!</v>
      </c>
      <c r="AI123">
        <f>IF('PROG FORMACIÓN TITULADA'!935:935,"AAAAAH6l/yI=",0)</f>
        <v>0</v>
      </c>
      <c r="AJ123" t="e">
        <f>AND('PROG FORMACIÓN TITULADA'!A935,"AAAAAH6l/yM=")</f>
        <v>#VALUE!</v>
      </c>
      <c r="AK123" t="e">
        <f>AND('PROG FORMACIÓN TITULADA'!B934,"AAAAAH6l/yQ=")</f>
        <v>#VALUE!</v>
      </c>
      <c r="AL123" t="e">
        <f>AND('PROG FORMACIÓN TITULADA'!C935,"AAAAAH6l/yU=")</f>
        <v>#VALUE!</v>
      </c>
      <c r="AM123" t="e">
        <f>AND('PROG FORMACIÓN TITULADA'!D935,"AAAAAH6l/yY=")</f>
        <v>#VALUE!</v>
      </c>
      <c r="AN123">
        <f>IF('PROG FORMACIÓN TITULADA'!936:936,"AAAAAH6l/yc=",0)</f>
        <v>0</v>
      </c>
      <c r="AO123" t="e">
        <f>AND('PROG FORMACIÓN TITULADA'!A936,"AAAAAH6l/yg=")</f>
        <v>#VALUE!</v>
      </c>
      <c r="AP123" t="e">
        <f>AND('PROG FORMACIÓN TITULADA'!B935,"AAAAAH6l/yk=")</f>
        <v>#VALUE!</v>
      </c>
      <c r="AQ123" t="e">
        <f>AND('PROG FORMACIÓN TITULADA'!C936,"AAAAAH6l/yo=")</f>
        <v>#VALUE!</v>
      </c>
      <c r="AR123" t="e">
        <f>AND('PROG FORMACIÓN TITULADA'!D936,"AAAAAH6l/ys=")</f>
        <v>#VALUE!</v>
      </c>
      <c r="AS123">
        <f>IF('PROG FORMACIÓN TITULADA'!937:937,"AAAAAH6l/yw=",0)</f>
        <v>0</v>
      </c>
      <c r="AT123" t="e">
        <f>AND('PROG FORMACIÓN TITULADA'!A937,"AAAAAH6l/y0=")</f>
        <v>#VALUE!</v>
      </c>
      <c r="AU123" t="e">
        <f>AND('PROG FORMACIÓN TITULADA'!B936,"AAAAAH6l/y4=")</f>
        <v>#VALUE!</v>
      </c>
      <c r="AV123" t="e">
        <f>AND('PROG FORMACIÓN TITULADA'!C937,"AAAAAH6l/y8=")</f>
        <v>#VALUE!</v>
      </c>
      <c r="AW123" t="e">
        <f>AND('PROG FORMACIÓN TITULADA'!D937,"AAAAAH6l/zA=")</f>
        <v>#VALUE!</v>
      </c>
      <c r="AX123">
        <f>IF('PROG FORMACIÓN TITULADA'!938:938,"AAAAAH6l/zE=",0)</f>
        <v>0</v>
      </c>
      <c r="AY123" t="e">
        <f>AND('PROG FORMACIÓN TITULADA'!A938,"AAAAAH6l/zI=")</f>
        <v>#VALUE!</v>
      </c>
      <c r="AZ123" t="e">
        <f>AND('PROG FORMACIÓN TITULADA'!B937,"AAAAAH6l/zM=")</f>
        <v>#VALUE!</v>
      </c>
      <c r="BA123" t="e">
        <f>AND('PROG FORMACIÓN TITULADA'!C938,"AAAAAH6l/zQ=")</f>
        <v>#VALUE!</v>
      </c>
      <c r="BB123" t="e">
        <f>AND('PROG FORMACIÓN TITULADA'!D938,"AAAAAH6l/zU=")</f>
        <v>#VALUE!</v>
      </c>
      <c r="BC123">
        <f>IF('PROG FORMACIÓN TITULADA'!939:939,"AAAAAH6l/zY=",0)</f>
        <v>0</v>
      </c>
      <c r="BD123" t="e">
        <f>AND('PROG FORMACIÓN TITULADA'!A939,"AAAAAH6l/zc=")</f>
        <v>#VALUE!</v>
      </c>
      <c r="BE123" t="e">
        <f>AND('PROG FORMACIÓN TITULADA'!B938,"AAAAAH6l/zg=")</f>
        <v>#VALUE!</v>
      </c>
      <c r="BF123" t="e">
        <f>AND('PROG FORMACIÓN TITULADA'!C939,"AAAAAH6l/zk=")</f>
        <v>#VALUE!</v>
      </c>
      <c r="BG123" t="e">
        <f>AND('PROG FORMACIÓN TITULADA'!D939,"AAAAAH6l/zo=")</f>
        <v>#VALUE!</v>
      </c>
      <c r="BH123">
        <f>IF('PROG FORMACIÓN TITULADA'!940:940,"AAAAAH6l/zs=",0)</f>
        <v>0</v>
      </c>
      <c r="BI123" t="e">
        <f>AND('PROG FORMACIÓN TITULADA'!A940,"AAAAAH6l/zw=")</f>
        <v>#VALUE!</v>
      </c>
      <c r="BJ123" t="e">
        <f>AND('PROG FORMACIÓN TITULADA'!B939,"AAAAAH6l/z0=")</f>
        <v>#VALUE!</v>
      </c>
      <c r="BK123" t="e">
        <f>AND('PROG FORMACIÓN TITULADA'!C940,"AAAAAH6l/z4=")</f>
        <v>#VALUE!</v>
      </c>
      <c r="BL123" t="e">
        <f>AND('PROG FORMACIÓN TITULADA'!D940,"AAAAAH6l/z8=")</f>
        <v>#VALUE!</v>
      </c>
      <c r="BM123">
        <f>IF('PROG FORMACIÓN TITULADA'!941:941,"AAAAAH6l/0A=",0)</f>
        <v>0</v>
      </c>
      <c r="BN123" t="e">
        <f>AND('PROG FORMACIÓN TITULADA'!A941,"AAAAAH6l/0E=")</f>
        <v>#VALUE!</v>
      </c>
      <c r="BO123" t="e">
        <f>AND('PROG FORMACIÓN TITULADA'!B940,"AAAAAH6l/0I=")</f>
        <v>#VALUE!</v>
      </c>
      <c r="BP123" t="e">
        <f>AND('PROG FORMACIÓN TITULADA'!C941,"AAAAAH6l/0M=")</f>
        <v>#VALUE!</v>
      </c>
      <c r="BQ123" t="e">
        <f>AND('PROG FORMACIÓN TITULADA'!D941,"AAAAAH6l/0Q=")</f>
        <v>#VALUE!</v>
      </c>
      <c r="BR123">
        <f>IF('PROG FORMACIÓN TITULADA'!942:942,"AAAAAH6l/0U=",0)</f>
        <v>0</v>
      </c>
      <c r="BS123" t="e">
        <f>AND('PROG FORMACIÓN TITULADA'!A942,"AAAAAH6l/0Y=")</f>
        <v>#VALUE!</v>
      </c>
      <c r="BT123" t="e">
        <f>AND('PROG FORMACIÓN TITULADA'!B941,"AAAAAH6l/0c=")</f>
        <v>#VALUE!</v>
      </c>
      <c r="BU123" t="e">
        <f>AND('PROG FORMACIÓN TITULADA'!C942,"AAAAAH6l/0g=")</f>
        <v>#VALUE!</v>
      </c>
      <c r="BV123" t="e">
        <f>AND('PROG FORMACIÓN TITULADA'!D942,"AAAAAH6l/0k=")</f>
        <v>#VALUE!</v>
      </c>
      <c r="BW123">
        <f>IF('PROG FORMACIÓN TITULADA'!943:943,"AAAAAH6l/0o=",0)</f>
        <v>0</v>
      </c>
      <c r="BX123" t="e">
        <f>AND('PROG FORMACIÓN TITULADA'!A943,"AAAAAH6l/0s=")</f>
        <v>#VALUE!</v>
      </c>
      <c r="BY123" t="e">
        <f>AND('PROG FORMACIÓN TITULADA'!B942,"AAAAAH6l/0w=")</f>
        <v>#VALUE!</v>
      </c>
      <c r="BZ123" t="e">
        <f>AND('PROG FORMACIÓN TITULADA'!C943,"AAAAAH6l/00=")</f>
        <v>#VALUE!</v>
      </c>
      <c r="CA123" t="e">
        <f>AND('PROG FORMACIÓN TITULADA'!D943,"AAAAAH6l/04=")</f>
        <v>#VALUE!</v>
      </c>
      <c r="CB123">
        <f>IF('PROG FORMACIÓN TITULADA'!944:944,"AAAAAH6l/08=",0)</f>
        <v>0</v>
      </c>
      <c r="CC123" t="e">
        <f>AND('PROG FORMACIÓN TITULADA'!A944,"AAAAAH6l/1A=")</f>
        <v>#VALUE!</v>
      </c>
      <c r="CD123" t="e">
        <f>AND('PROG FORMACIÓN TITULADA'!B943,"AAAAAH6l/1E=")</f>
        <v>#VALUE!</v>
      </c>
      <c r="CE123" t="e">
        <f>AND('PROG FORMACIÓN TITULADA'!C944,"AAAAAH6l/1I=")</f>
        <v>#VALUE!</v>
      </c>
      <c r="CF123" t="e">
        <f>AND('PROG FORMACIÓN TITULADA'!D944,"AAAAAH6l/1M=")</f>
        <v>#VALUE!</v>
      </c>
      <c r="CG123">
        <f>IF('PROG FORMACIÓN TITULADA'!945:945,"AAAAAH6l/1Q=",0)</f>
        <v>0</v>
      </c>
      <c r="CH123" t="e">
        <f>AND('PROG FORMACIÓN TITULADA'!A945,"AAAAAH6l/1U=")</f>
        <v>#VALUE!</v>
      </c>
      <c r="CI123" t="e">
        <f>AND('PROG FORMACIÓN TITULADA'!B944,"AAAAAH6l/1Y=")</f>
        <v>#VALUE!</v>
      </c>
      <c r="CJ123" t="e">
        <f>AND('PROG FORMACIÓN TITULADA'!C945,"AAAAAH6l/1c=")</f>
        <v>#VALUE!</v>
      </c>
      <c r="CK123" t="e">
        <f>AND('PROG FORMACIÓN TITULADA'!D945,"AAAAAH6l/1g=")</f>
        <v>#VALUE!</v>
      </c>
      <c r="CL123">
        <f>IF('PROG FORMACIÓN TITULADA'!946:946,"AAAAAH6l/1k=",0)</f>
        <v>0</v>
      </c>
      <c r="CM123" t="e">
        <f>AND('PROG FORMACIÓN TITULADA'!A946,"AAAAAH6l/1o=")</f>
        <v>#VALUE!</v>
      </c>
      <c r="CN123" t="e">
        <f>AND('PROG FORMACIÓN TITULADA'!B945,"AAAAAH6l/1s=")</f>
        <v>#VALUE!</v>
      </c>
      <c r="CO123" t="e">
        <f>AND('PROG FORMACIÓN TITULADA'!C946,"AAAAAH6l/1w=")</f>
        <v>#VALUE!</v>
      </c>
      <c r="CP123" t="e">
        <f>AND('PROG FORMACIÓN TITULADA'!D946,"AAAAAH6l/10=")</f>
        <v>#VALUE!</v>
      </c>
      <c r="CQ123">
        <f>IF('PROG FORMACIÓN TITULADA'!947:947,"AAAAAH6l/14=",0)</f>
        <v>0</v>
      </c>
      <c r="CR123" t="e">
        <f>AND('PROG FORMACIÓN TITULADA'!A947,"AAAAAH6l/18=")</f>
        <v>#VALUE!</v>
      </c>
      <c r="CS123" t="e">
        <f>AND('PROG FORMACIÓN TITULADA'!B946,"AAAAAH6l/2A=")</f>
        <v>#VALUE!</v>
      </c>
      <c r="CT123" t="e">
        <f>AND('PROG FORMACIÓN TITULADA'!C947,"AAAAAH6l/2E=")</f>
        <v>#VALUE!</v>
      </c>
      <c r="CU123" t="e">
        <f>AND('PROG FORMACIÓN TITULADA'!D947,"AAAAAH6l/2I=")</f>
        <v>#VALUE!</v>
      </c>
      <c r="CV123">
        <f>IF('PROG FORMACIÓN TITULADA'!948:948,"AAAAAH6l/2M=",0)</f>
        <v>0</v>
      </c>
      <c r="CW123" t="e">
        <f>AND('PROG FORMACIÓN TITULADA'!A948,"AAAAAH6l/2Q=")</f>
        <v>#VALUE!</v>
      </c>
      <c r="CX123" t="e">
        <f>AND('PROG FORMACIÓN TITULADA'!B947,"AAAAAH6l/2U=")</f>
        <v>#VALUE!</v>
      </c>
      <c r="CY123" t="e">
        <f>AND('PROG FORMACIÓN TITULADA'!C948,"AAAAAH6l/2Y=")</f>
        <v>#VALUE!</v>
      </c>
      <c r="CZ123" t="e">
        <f>AND('PROG FORMACIÓN TITULADA'!D948,"AAAAAH6l/2c=")</f>
        <v>#VALUE!</v>
      </c>
      <c r="DA123">
        <f>IF('PROG FORMACIÓN TITULADA'!949:949,"AAAAAH6l/2g=",0)</f>
        <v>0</v>
      </c>
      <c r="DB123" t="e">
        <f>AND('PROG FORMACIÓN TITULADA'!A949,"AAAAAH6l/2k=")</f>
        <v>#VALUE!</v>
      </c>
      <c r="DC123" t="e">
        <f>AND('PROG FORMACIÓN TITULADA'!B948,"AAAAAH6l/2o=")</f>
        <v>#VALUE!</v>
      </c>
      <c r="DD123" t="e">
        <f>AND('PROG FORMACIÓN TITULADA'!C949,"AAAAAH6l/2s=")</f>
        <v>#VALUE!</v>
      </c>
      <c r="DE123" t="e">
        <f>AND('PROG FORMACIÓN TITULADA'!D949,"AAAAAH6l/2w=")</f>
        <v>#VALUE!</v>
      </c>
      <c r="DF123">
        <f>IF('PROG FORMACIÓN TITULADA'!950:950,"AAAAAH6l/20=",0)</f>
        <v>0</v>
      </c>
      <c r="DG123" t="e">
        <f>AND('PROG FORMACIÓN TITULADA'!A950,"AAAAAH6l/24=")</f>
        <v>#VALUE!</v>
      </c>
      <c r="DH123" t="e">
        <f>AND('PROG FORMACIÓN TITULADA'!B949,"AAAAAH6l/28=")</f>
        <v>#VALUE!</v>
      </c>
      <c r="DI123" t="e">
        <f>AND('PROG FORMACIÓN TITULADA'!C950,"AAAAAH6l/3A=")</f>
        <v>#VALUE!</v>
      </c>
      <c r="DJ123" t="e">
        <f>AND('PROG FORMACIÓN TITULADA'!D950,"AAAAAH6l/3E=")</f>
        <v>#VALUE!</v>
      </c>
      <c r="DK123">
        <f>IF('PROG FORMACIÓN TITULADA'!951:951,"AAAAAH6l/3I=",0)</f>
        <v>0</v>
      </c>
      <c r="DL123" t="e">
        <f>AND('PROG FORMACIÓN TITULADA'!A951,"AAAAAH6l/3M=")</f>
        <v>#VALUE!</v>
      </c>
      <c r="DM123" t="e">
        <f>AND('PROG FORMACIÓN TITULADA'!B950,"AAAAAH6l/3Q=")</f>
        <v>#VALUE!</v>
      </c>
      <c r="DN123" t="e">
        <f>AND('PROG FORMACIÓN TITULADA'!C951,"AAAAAH6l/3U=")</f>
        <v>#VALUE!</v>
      </c>
      <c r="DO123" t="e">
        <f>AND('PROG FORMACIÓN TITULADA'!D951,"AAAAAH6l/3Y=")</f>
        <v>#VALUE!</v>
      </c>
      <c r="DP123">
        <f>IF('PROG FORMACIÓN TITULADA'!952:952,"AAAAAH6l/3c=",0)</f>
        <v>0</v>
      </c>
      <c r="DQ123" t="e">
        <f>AND('PROG FORMACIÓN TITULADA'!A952,"AAAAAH6l/3g=")</f>
        <v>#VALUE!</v>
      </c>
      <c r="DR123" t="e">
        <f>AND('PROG FORMACIÓN TITULADA'!B951,"AAAAAH6l/3k=")</f>
        <v>#VALUE!</v>
      </c>
      <c r="DS123" t="e">
        <f>AND('PROG FORMACIÓN TITULADA'!C952,"AAAAAH6l/3o=")</f>
        <v>#VALUE!</v>
      </c>
      <c r="DT123" t="e">
        <f>AND('PROG FORMACIÓN TITULADA'!D952,"AAAAAH6l/3s=")</f>
        <v>#VALUE!</v>
      </c>
      <c r="DU123">
        <f>IF('PROG FORMACIÓN TITULADA'!953:953,"AAAAAH6l/3w=",0)</f>
        <v>0</v>
      </c>
      <c r="DV123" t="e">
        <f>AND('PROG FORMACIÓN TITULADA'!A953,"AAAAAH6l/30=")</f>
        <v>#VALUE!</v>
      </c>
      <c r="DW123" t="e">
        <f>AND('PROG FORMACIÓN TITULADA'!B952,"AAAAAH6l/34=")</f>
        <v>#VALUE!</v>
      </c>
      <c r="DX123" t="e">
        <f>AND('PROG FORMACIÓN TITULADA'!C953,"AAAAAH6l/38=")</f>
        <v>#VALUE!</v>
      </c>
      <c r="DY123" t="e">
        <f>AND('PROG FORMACIÓN TITULADA'!D953,"AAAAAH6l/4A=")</f>
        <v>#VALUE!</v>
      </c>
      <c r="DZ123">
        <f>IF('PROG FORMACIÓN TITULADA'!954:954,"AAAAAH6l/4E=",0)</f>
        <v>0</v>
      </c>
      <c r="EA123" t="e">
        <f>AND('PROG FORMACIÓN TITULADA'!A954,"AAAAAH6l/4I=")</f>
        <v>#VALUE!</v>
      </c>
      <c r="EB123" t="e">
        <f>AND('PROG FORMACIÓN TITULADA'!B953,"AAAAAH6l/4M=")</f>
        <v>#VALUE!</v>
      </c>
      <c r="EC123" t="e">
        <f>AND('PROG FORMACIÓN TITULADA'!C954,"AAAAAH6l/4Q=")</f>
        <v>#VALUE!</v>
      </c>
      <c r="ED123" t="e">
        <f>AND('PROG FORMACIÓN TITULADA'!D954,"AAAAAH6l/4U=")</f>
        <v>#VALUE!</v>
      </c>
      <c r="EE123">
        <f>IF('PROG FORMACIÓN TITULADA'!955:955,"AAAAAH6l/4Y=",0)</f>
        <v>0</v>
      </c>
      <c r="EF123" t="e">
        <f>AND('PROG FORMACIÓN TITULADA'!A955,"AAAAAH6l/4c=")</f>
        <v>#VALUE!</v>
      </c>
      <c r="EG123" t="e">
        <f>AND('PROG FORMACIÓN TITULADA'!B954,"AAAAAH6l/4g=")</f>
        <v>#VALUE!</v>
      </c>
      <c r="EH123" t="e">
        <f>AND('PROG FORMACIÓN TITULADA'!C955,"AAAAAH6l/4k=")</f>
        <v>#VALUE!</v>
      </c>
      <c r="EI123" t="e">
        <f>AND('PROG FORMACIÓN TITULADA'!D955,"AAAAAH6l/4o=")</f>
        <v>#VALUE!</v>
      </c>
      <c r="EJ123">
        <f>IF('PROG FORMACIÓN TITULADA'!956:956,"AAAAAH6l/4s=",0)</f>
        <v>0</v>
      </c>
      <c r="EK123" t="e">
        <f>AND('PROG FORMACIÓN TITULADA'!A956,"AAAAAH6l/4w=")</f>
        <v>#VALUE!</v>
      </c>
      <c r="EL123" t="e">
        <f>AND('PROG FORMACIÓN TITULADA'!B955,"AAAAAH6l/40=")</f>
        <v>#VALUE!</v>
      </c>
      <c r="EM123" t="e">
        <f>AND('PROG FORMACIÓN TITULADA'!C956,"AAAAAH6l/44=")</f>
        <v>#VALUE!</v>
      </c>
      <c r="EN123" t="e">
        <f>AND('PROG FORMACIÓN TITULADA'!D956,"AAAAAH6l/48=")</f>
        <v>#VALUE!</v>
      </c>
      <c r="EO123">
        <f>IF('PROG FORMACIÓN TITULADA'!957:957,"AAAAAH6l/5A=",0)</f>
        <v>0</v>
      </c>
      <c r="EP123" t="e">
        <f>AND('PROG FORMACIÓN TITULADA'!A957,"AAAAAH6l/5E=")</f>
        <v>#VALUE!</v>
      </c>
      <c r="EQ123" t="e">
        <f>AND('PROG FORMACIÓN TITULADA'!B956,"AAAAAH6l/5I=")</f>
        <v>#VALUE!</v>
      </c>
      <c r="ER123" t="e">
        <f>AND('PROG FORMACIÓN TITULADA'!C957,"AAAAAH6l/5M=")</f>
        <v>#VALUE!</v>
      </c>
      <c r="ES123" t="e">
        <f>AND('PROG FORMACIÓN TITULADA'!D957,"AAAAAH6l/5Q=")</f>
        <v>#VALUE!</v>
      </c>
      <c r="ET123">
        <f>IF('PROG FORMACIÓN TITULADA'!958:958,"AAAAAH6l/5U=",0)</f>
        <v>0</v>
      </c>
      <c r="EU123" t="e">
        <f>AND('PROG FORMACIÓN TITULADA'!A958,"AAAAAH6l/5Y=")</f>
        <v>#VALUE!</v>
      </c>
      <c r="EV123" t="e">
        <f>AND('PROG FORMACIÓN TITULADA'!B957,"AAAAAH6l/5c=")</f>
        <v>#VALUE!</v>
      </c>
      <c r="EW123" t="e">
        <f>AND('PROG FORMACIÓN TITULADA'!C958,"AAAAAH6l/5g=")</f>
        <v>#VALUE!</v>
      </c>
      <c r="EX123" t="e">
        <f>AND('PROG FORMACIÓN TITULADA'!D958,"AAAAAH6l/5k=")</f>
        <v>#VALUE!</v>
      </c>
      <c r="EY123">
        <f>IF('PROG FORMACIÓN TITULADA'!959:959,"AAAAAH6l/5o=",0)</f>
        <v>0</v>
      </c>
      <c r="EZ123" t="e">
        <f>AND('PROG FORMACIÓN TITULADA'!A959,"AAAAAH6l/5s=")</f>
        <v>#VALUE!</v>
      </c>
      <c r="FA123" t="e">
        <f>AND('PROG FORMACIÓN TITULADA'!B958,"AAAAAH6l/5w=")</f>
        <v>#VALUE!</v>
      </c>
      <c r="FB123" t="e">
        <f>AND('PROG FORMACIÓN TITULADA'!C959,"AAAAAH6l/50=")</f>
        <v>#VALUE!</v>
      </c>
      <c r="FC123" t="e">
        <f>AND('PROG FORMACIÓN TITULADA'!D959,"AAAAAH6l/54=")</f>
        <v>#VALUE!</v>
      </c>
      <c r="FD123">
        <f>IF('PROG FORMACIÓN TITULADA'!960:960,"AAAAAH6l/58=",0)</f>
        <v>0</v>
      </c>
      <c r="FE123" t="e">
        <f>AND('PROG FORMACIÓN TITULADA'!A960,"AAAAAH6l/6A=")</f>
        <v>#VALUE!</v>
      </c>
      <c r="FF123" t="e">
        <f>AND('PROG FORMACIÓN TITULADA'!B959,"AAAAAH6l/6E=")</f>
        <v>#VALUE!</v>
      </c>
      <c r="FG123" t="e">
        <f>AND('PROG FORMACIÓN TITULADA'!C960,"AAAAAH6l/6I=")</f>
        <v>#VALUE!</v>
      </c>
      <c r="FH123" t="e">
        <f>AND('PROG FORMACIÓN TITULADA'!D960,"AAAAAH6l/6M=")</f>
        <v>#VALUE!</v>
      </c>
      <c r="FI123">
        <f>IF('PROG FORMACIÓN TITULADA'!961:961,"AAAAAH6l/6Q=",0)</f>
        <v>0</v>
      </c>
      <c r="FJ123" t="e">
        <f>AND('PROG FORMACIÓN TITULADA'!A961,"AAAAAH6l/6U=")</f>
        <v>#VALUE!</v>
      </c>
      <c r="FK123" t="e">
        <f>AND('PROG FORMACIÓN TITULADA'!B960,"AAAAAH6l/6Y=")</f>
        <v>#VALUE!</v>
      </c>
      <c r="FL123" t="e">
        <f>AND('PROG FORMACIÓN TITULADA'!C961,"AAAAAH6l/6c=")</f>
        <v>#VALUE!</v>
      </c>
      <c r="FM123" t="e">
        <f>AND('PROG FORMACIÓN TITULADA'!D961,"AAAAAH6l/6g=")</f>
        <v>#VALUE!</v>
      </c>
      <c r="FN123">
        <f>IF('PROG FORMACIÓN TITULADA'!962:962,"AAAAAH6l/6k=",0)</f>
        <v>0</v>
      </c>
      <c r="FO123" t="e">
        <f>AND('PROG FORMACIÓN TITULADA'!A962,"AAAAAH6l/6o=")</f>
        <v>#VALUE!</v>
      </c>
      <c r="FP123" t="e">
        <f>AND('PROG FORMACIÓN TITULADA'!B961,"AAAAAH6l/6s=")</f>
        <v>#VALUE!</v>
      </c>
      <c r="FQ123" t="e">
        <f>AND('PROG FORMACIÓN TITULADA'!C962,"AAAAAH6l/6w=")</f>
        <v>#VALUE!</v>
      </c>
      <c r="FR123" t="e">
        <f>AND('PROG FORMACIÓN TITULADA'!D962,"AAAAAH6l/60=")</f>
        <v>#VALUE!</v>
      </c>
      <c r="FS123">
        <f>IF('PROG FORMACIÓN TITULADA'!963:963,"AAAAAH6l/64=",0)</f>
        <v>0</v>
      </c>
      <c r="FT123" t="e">
        <f>AND('PROG FORMACIÓN TITULADA'!A963,"AAAAAH6l/68=")</f>
        <v>#VALUE!</v>
      </c>
      <c r="FU123" t="e">
        <f>AND('PROG FORMACIÓN TITULADA'!B962,"AAAAAH6l/7A=")</f>
        <v>#VALUE!</v>
      </c>
      <c r="FV123" t="e">
        <f>AND('PROG FORMACIÓN TITULADA'!C963,"AAAAAH6l/7E=")</f>
        <v>#VALUE!</v>
      </c>
      <c r="FW123" t="e">
        <f>AND('PROG FORMACIÓN TITULADA'!D963,"AAAAAH6l/7I=")</f>
        <v>#VALUE!</v>
      </c>
      <c r="FX123">
        <f>IF('PROG FORMACIÓN TITULADA'!964:964,"AAAAAH6l/7M=",0)</f>
        <v>0</v>
      </c>
      <c r="FY123" t="e">
        <f>AND('PROG FORMACIÓN TITULADA'!A964,"AAAAAH6l/7Q=")</f>
        <v>#VALUE!</v>
      </c>
      <c r="FZ123" t="e">
        <f>AND('PROG FORMACIÓN TITULADA'!B963,"AAAAAH6l/7U=")</f>
        <v>#VALUE!</v>
      </c>
      <c r="GA123" t="e">
        <f>AND('PROG FORMACIÓN TITULADA'!C964,"AAAAAH6l/7Y=")</f>
        <v>#VALUE!</v>
      </c>
      <c r="GB123" t="e">
        <f>AND('PROG FORMACIÓN TITULADA'!D964,"AAAAAH6l/7c=")</f>
        <v>#VALUE!</v>
      </c>
      <c r="GC123">
        <f>IF('PROG FORMACIÓN TITULADA'!965:965,"AAAAAH6l/7g=",0)</f>
        <v>0</v>
      </c>
      <c r="GD123" t="e">
        <f>AND('PROG FORMACIÓN TITULADA'!A965,"AAAAAH6l/7k=")</f>
        <v>#VALUE!</v>
      </c>
      <c r="GE123" t="e">
        <f>AND('PROG FORMACIÓN TITULADA'!B964,"AAAAAH6l/7o=")</f>
        <v>#VALUE!</v>
      </c>
      <c r="GF123" t="e">
        <f>AND('PROG FORMACIÓN TITULADA'!C965,"AAAAAH6l/7s=")</f>
        <v>#VALUE!</v>
      </c>
      <c r="GG123" t="e">
        <f>AND('PROG FORMACIÓN TITULADA'!D965,"AAAAAH6l/7w=")</f>
        <v>#VALUE!</v>
      </c>
      <c r="GH123">
        <f>IF('PROG FORMACIÓN TITULADA'!966:966,"AAAAAH6l/70=",0)</f>
        <v>0</v>
      </c>
      <c r="GI123" t="e">
        <f>AND('PROG FORMACIÓN TITULADA'!A966,"AAAAAH6l/74=")</f>
        <v>#VALUE!</v>
      </c>
      <c r="GJ123" t="e">
        <f>AND('PROG FORMACIÓN TITULADA'!B965,"AAAAAH6l/78=")</f>
        <v>#VALUE!</v>
      </c>
      <c r="GK123" t="e">
        <f>AND('PROG FORMACIÓN TITULADA'!C966,"AAAAAH6l/8A=")</f>
        <v>#VALUE!</v>
      </c>
      <c r="GL123" t="e">
        <f>AND('PROG FORMACIÓN TITULADA'!D966,"AAAAAH6l/8E=")</f>
        <v>#VALUE!</v>
      </c>
      <c r="GM123">
        <f>IF('PROG FORMACIÓN TITULADA'!967:967,"AAAAAH6l/8I=",0)</f>
        <v>0</v>
      </c>
      <c r="GN123" t="e">
        <f>AND('PROG FORMACIÓN TITULADA'!A967,"AAAAAH6l/8M=")</f>
        <v>#VALUE!</v>
      </c>
      <c r="GO123" t="e">
        <f>AND('PROG FORMACIÓN TITULADA'!B966,"AAAAAH6l/8Q=")</f>
        <v>#VALUE!</v>
      </c>
      <c r="GP123" t="e">
        <f>AND('PROG FORMACIÓN TITULADA'!C967,"AAAAAH6l/8U=")</f>
        <v>#VALUE!</v>
      </c>
      <c r="GQ123" t="e">
        <f>AND('PROG FORMACIÓN TITULADA'!D967,"AAAAAH6l/8Y=")</f>
        <v>#VALUE!</v>
      </c>
      <c r="GR123">
        <f>IF('PROG FORMACIÓN TITULADA'!968:968,"AAAAAH6l/8c=",0)</f>
        <v>0</v>
      </c>
      <c r="GS123" t="e">
        <f>AND('PROG FORMACIÓN TITULADA'!A968,"AAAAAH6l/8g=")</f>
        <v>#VALUE!</v>
      </c>
      <c r="GT123" t="e">
        <f>AND('PROG FORMACIÓN TITULADA'!B967,"AAAAAH6l/8k=")</f>
        <v>#VALUE!</v>
      </c>
      <c r="GU123" t="e">
        <f>AND('PROG FORMACIÓN TITULADA'!C968,"AAAAAH6l/8o=")</f>
        <v>#VALUE!</v>
      </c>
      <c r="GV123" t="e">
        <f>AND('PROG FORMACIÓN TITULADA'!D968,"AAAAAH6l/8s=")</f>
        <v>#VALUE!</v>
      </c>
      <c r="GW123">
        <f>IF('PROG FORMACIÓN TITULADA'!969:969,"AAAAAH6l/8w=",0)</f>
        <v>0</v>
      </c>
      <c r="GX123" t="e">
        <f>AND('PROG FORMACIÓN TITULADA'!A969,"AAAAAH6l/80=")</f>
        <v>#VALUE!</v>
      </c>
      <c r="GY123" t="e">
        <f>AND('PROG FORMACIÓN TITULADA'!B968,"AAAAAH6l/84=")</f>
        <v>#VALUE!</v>
      </c>
      <c r="GZ123" t="e">
        <f>AND('PROG FORMACIÓN TITULADA'!C969,"AAAAAH6l/88=")</f>
        <v>#VALUE!</v>
      </c>
      <c r="HA123" t="e">
        <f>AND('PROG FORMACIÓN TITULADA'!D969,"AAAAAH6l/9A=")</f>
        <v>#VALUE!</v>
      </c>
      <c r="HB123">
        <f>IF('PROG FORMACIÓN TITULADA'!970:970,"AAAAAH6l/9E=",0)</f>
        <v>0</v>
      </c>
      <c r="HC123" t="e">
        <f>AND('PROG FORMACIÓN TITULADA'!A970,"AAAAAH6l/9I=")</f>
        <v>#VALUE!</v>
      </c>
      <c r="HD123" t="e">
        <f>AND('PROG FORMACIÓN TITULADA'!B969,"AAAAAH6l/9M=")</f>
        <v>#VALUE!</v>
      </c>
      <c r="HE123" t="e">
        <f>AND('PROG FORMACIÓN TITULADA'!C970,"AAAAAH6l/9Q=")</f>
        <v>#VALUE!</v>
      </c>
      <c r="HF123" t="e">
        <f>AND('PROG FORMACIÓN TITULADA'!D970,"AAAAAH6l/9U=")</f>
        <v>#VALUE!</v>
      </c>
      <c r="HG123">
        <f>IF('PROG FORMACIÓN TITULADA'!971:971,"AAAAAH6l/9Y=",0)</f>
        <v>0</v>
      </c>
      <c r="HH123" t="e">
        <f>AND('PROG FORMACIÓN TITULADA'!A971,"AAAAAH6l/9c=")</f>
        <v>#VALUE!</v>
      </c>
      <c r="HI123" t="e">
        <f>AND('PROG FORMACIÓN TITULADA'!B970,"AAAAAH6l/9g=")</f>
        <v>#VALUE!</v>
      </c>
      <c r="HJ123" t="e">
        <f>AND('PROG FORMACIÓN TITULADA'!C971,"AAAAAH6l/9k=")</f>
        <v>#VALUE!</v>
      </c>
      <c r="HK123" t="e">
        <f>AND('PROG FORMACIÓN TITULADA'!D971,"AAAAAH6l/9o=")</f>
        <v>#VALUE!</v>
      </c>
      <c r="HL123">
        <f>IF('PROG FORMACIÓN TITULADA'!972:972,"AAAAAH6l/9s=",0)</f>
        <v>0</v>
      </c>
      <c r="HM123" t="e">
        <f>AND('PROG FORMACIÓN TITULADA'!A972,"AAAAAH6l/9w=")</f>
        <v>#VALUE!</v>
      </c>
      <c r="HN123" t="e">
        <f>AND('PROG FORMACIÓN TITULADA'!B971,"AAAAAH6l/90=")</f>
        <v>#VALUE!</v>
      </c>
      <c r="HO123" t="e">
        <f>AND('PROG FORMACIÓN TITULADA'!C972,"AAAAAH6l/94=")</f>
        <v>#VALUE!</v>
      </c>
      <c r="HP123" t="e">
        <f>AND('PROG FORMACIÓN TITULADA'!D972,"AAAAAH6l/98=")</f>
        <v>#VALUE!</v>
      </c>
      <c r="HQ123">
        <f>IF('PROG FORMACIÓN TITULADA'!973:973,"AAAAAH6l/+A=",0)</f>
        <v>0</v>
      </c>
      <c r="HR123" t="e">
        <f>AND('PROG FORMACIÓN TITULADA'!A973,"AAAAAH6l/+E=")</f>
        <v>#VALUE!</v>
      </c>
      <c r="HS123" t="e">
        <f>AND('PROG FORMACIÓN TITULADA'!B972,"AAAAAH6l/+I=")</f>
        <v>#VALUE!</v>
      </c>
      <c r="HT123" t="e">
        <f>AND('PROG FORMACIÓN TITULADA'!C973,"AAAAAH6l/+M=")</f>
        <v>#VALUE!</v>
      </c>
      <c r="HU123" t="e">
        <f>AND('PROG FORMACIÓN TITULADA'!D973,"AAAAAH6l/+Q=")</f>
        <v>#VALUE!</v>
      </c>
      <c r="HV123">
        <f>IF('PROG FORMACIÓN TITULADA'!974:974,"AAAAAH6l/+U=",0)</f>
        <v>0</v>
      </c>
      <c r="HW123" t="e">
        <f>AND('PROG FORMACIÓN TITULADA'!A974,"AAAAAH6l/+Y=")</f>
        <v>#VALUE!</v>
      </c>
      <c r="HX123" t="e">
        <f>AND('PROG FORMACIÓN TITULADA'!B973,"AAAAAH6l/+c=")</f>
        <v>#VALUE!</v>
      </c>
      <c r="HY123" t="e">
        <f>AND('PROG FORMACIÓN TITULADA'!C974,"AAAAAH6l/+g=")</f>
        <v>#VALUE!</v>
      </c>
      <c r="HZ123" t="e">
        <f>AND('PROG FORMACIÓN TITULADA'!D974,"AAAAAH6l/+k=")</f>
        <v>#VALUE!</v>
      </c>
      <c r="IA123">
        <f>IF('PROG FORMACIÓN TITULADA'!975:975,"AAAAAH6l/+o=",0)</f>
        <v>0</v>
      </c>
      <c r="IB123" t="e">
        <f>AND('PROG FORMACIÓN TITULADA'!A975,"AAAAAH6l/+s=")</f>
        <v>#VALUE!</v>
      </c>
      <c r="IC123" t="e">
        <f>AND('PROG FORMACIÓN TITULADA'!B974,"AAAAAH6l/+w=")</f>
        <v>#VALUE!</v>
      </c>
      <c r="ID123" t="e">
        <f>AND('PROG FORMACIÓN TITULADA'!C975,"AAAAAH6l/+0=")</f>
        <v>#VALUE!</v>
      </c>
      <c r="IE123" t="e">
        <f>AND('PROG FORMACIÓN TITULADA'!D975,"AAAAAH6l/+4=")</f>
        <v>#VALUE!</v>
      </c>
      <c r="IF123">
        <f>IF('PROG FORMACIÓN TITULADA'!976:976,"AAAAAH6l/+8=",0)</f>
        <v>0</v>
      </c>
      <c r="IG123" t="e">
        <f>AND('PROG FORMACIÓN TITULADA'!A976,"AAAAAH6l//A=")</f>
        <v>#VALUE!</v>
      </c>
      <c r="IH123" t="e">
        <f>AND('PROG FORMACIÓN TITULADA'!B975,"AAAAAH6l//E=")</f>
        <v>#VALUE!</v>
      </c>
      <c r="II123" t="e">
        <f>AND('PROG FORMACIÓN TITULADA'!C976,"AAAAAH6l//I=")</f>
        <v>#VALUE!</v>
      </c>
      <c r="IJ123" t="e">
        <f>AND('PROG FORMACIÓN TITULADA'!D976,"AAAAAH6l//M=")</f>
        <v>#VALUE!</v>
      </c>
      <c r="IK123">
        <f>IF('PROG FORMACIÓN TITULADA'!977:977,"AAAAAH6l//Q=",0)</f>
        <v>0</v>
      </c>
      <c r="IL123" t="e">
        <f>AND('PROG FORMACIÓN TITULADA'!A977,"AAAAAH6l//U=")</f>
        <v>#VALUE!</v>
      </c>
      <c r="IM123" t="e">
        <f>AND('PROG FORMACIÓN TITULADA'!B976,"AAAAAH6l//Y=")</f>
        <v>#VALUE!</v>
      </c>
      <c r="IN123" t="e">
        <f>AND('PROG FORMACIÓN TITULADA'!C977,"AAAAAH6l//c=")</f>
        <v>#VALUE!</v>
      </c>
      <c r="IO123" t="e">
        <f>AND('PROG FORMACIÓN TITULADA'!D977,"AAAAAH6l//g=")</f>
        <v>#VALUE!</v>
      </c>
      <c r="IP123">
        <f>IF('PROG FORMACIÓN TITULADA'!978:978,"AAAAAH6l//k=",0)</f>
        <v>0</v>
      </c>
      <c r="IQ123" t="e">
        <f>AND('PROG FORMACIÓN TITULADA'!A978,"AAAAAH6l//o=")</f>
        <v>#VALUE!</v>
      </c>
      <c r="IR123" t="e">
        <f>AND('PROG FORMACIÓN TITULADA'!B977,"AAAAAH6l//s=")</f>
        <v>#VALUE!</v>
      </c>
      <c r="IS123" t="e">
        <f>AND('PROG FORMACIÓN TITULADA'!C978,"AAAAAH6l//w=")</f>
        <v>#VALUE!</v>
      </c>
      <c r="IT123" t="e">
        <f>AND('PROG FORMACIÓN TITULADA'!D978,"AAAAAH6l//0=")</f>
        <v>#VALUE!</v>
      </c>
      <c r="IU123">
        <f>IF('PROG FORMACIÓN TITULADA'!979:979,"AAAAAH6l//4=",0)</f>
        <v>0</v>
      </c>
      <c r="IV123" t="e">
        <f>AND('PROG FORMACIÓN TITULADA'!A979,"AAAAAH6l//8=")</f>
        <v>#VALUE!</v>
      </c>
    </row>
    <row r="124" spans="1:256" x14ac:dyDescent="0.2">
      <c r="A124" t="e">
        <f>AND('PROG FORMACIÓN TITULADA'!B978,"AAAAAC3/VwA=")</f>
        <v>#VALUE!</v>
      </c>
      <c r="B124" t="e">
        <f>AND('PROG FORMACIÓN TITULADA'!C979,"AAAAAC3/VwE=")</f>
        <v>#VALUE!</v>
      </c>
      <c r="C124" t="e">
        <f>AND('PROG FORMACIÓN TITULADA'!D979,"AAAAAC3/VwI=")</f>
        <v>#VALUE!</v>
      </c>
      <c r="D124">
        <f>IF('PROG FORMACIÓN TITULADA'!980:980,"AAAAAC3/VwM=",0)</f>
        <v>0</v>
      </c>
      <c r="E124" t="e">
        <f>AND('PROG FORMACIÓN TITULADA'!A980,"AAAAAC3/VwQ=")</f>
        <v>#VALUE!</v>
      </c>
      <c r="F124" t="e">
        <f>AND('PROG FORMACIÓN TITULADA'!B979,"AAAAAC3/VwU=")</f>
        <v>#VALUE!</v>
      </c>
      <c r="G124" t="e">
        <f>AND('PROG FORMACIÓN TITULADA'!C980,"AAAAAC3/VwY=")</f>
        <v>#VALUE!</v>
      </c>
      <c r="H124" t="e">
        <f>AND('PROG FORMACIÓN TITULADA'!D980,"AAAAAC3/Vwc=")</f>
        <v>#VALUE!</v>
      </c>
      <c r="I124">
        <f>IF('PROG FORMACIÓN TITULADA'!981:981,"AAAAAC3/Vwg=",0)</f>
        <v>0</v>
      </c>
      <c r="J124" t="e">
        <f>AND('PROG FORMACIÓN TITULADA'!A981,"AAAAAC3/Vwk=")</f>
        <v>#VALUE!</v>
      </c>
      <c r="K124" t="e">
        <f>AND('PROG FORMACIÓN TITULADA'!B980,"AAAAAC3/Vwo=")</f>
        <v>#VALUE!</v>
      </c>
      <c r="L124" t="e">
        <f>AND('PROG FORMACIÓN TITULADA'!C981,"AAAAAC3/Vws=")</f>
        <v>#VALUE!</v>
      </c>
      <c r="M124" t="e">
        <f>AND('PROG FORMACIÓN TITULADA'!D981,"AAAAAC3/Vww=")</f>
        <v>#VALUE!</v>
      </c>
      <c r="N124">
        <f>IF('PROG FORMACIÓN TITULADA'!982:982,"AAAAAC3/Vw0=",0)</f>
        <v>0</v>
      </c>
      <c r="O124" t="e">
        <f>AND('PROG FORMACIÓN TITULADA'!A982,"AAAAAC3/Vw4=")</f>
        <v>#VALUE!</v>
      </c>
      <c r="P124" t="e">
        <f>AND('PROG FORMACIÓN TITULADA'!B981,"AAAAAC3/Vw8=")</f>
        <v>#VALUE!</v>
      </c>
      <c r="Q124" t="e">
        <f>AND('PROG FORMACIÓN TITULADA'!C982,"AAAAAC3/VxA=")</f>
        <v>#VALUE!</v>
      </c>
      <c r="R124" t="e">
        <f>AND('PROG FORMACIÓN TITULADA'!D982,"AAAAAC3/VxE=")</f>
        <v>#VALUE!</v>
      </c>
      <c r="S124">
        <f>IF('PROG FORMACIÓN TITULADA'!983:983,"AAAAAC3/VxI=",0)</f>
        <v>0</v>
      </c>
      <c r="T124" t="e">
        <f>AND('PROG FORMACIÓN TITULADA'!A983,"AAAAAC3/VxM=")</f>
        <v>#VALUE!</v>
      </c>
      <c r="U124" t="e">
        <f>AND('PROG FORMACIÓN TITULADA'!B982,"AAAAAC3/VxQ=")</f>
        <v>#VALUE!</v>
      </c>
      <c r="V124" t="e">
        <f>AND('PROG FORMACIÓN TITULADA'!C983,"AAAAAC3/VxU=")</f>
        <v>#VALUE!</v>
      </c>
      <c r="W124" t="e">
        <f>AND('PROG FORMACIÓN TITULADA'!D983,"AAAAAC3/VxY=")</f>
        <v>#VALUE!</v>
      </c>
      <c r="X124">
        <f>IF('PROG FORMACIÓN TITULADA'!984:984,"AAAAAC3/Vxc=",0)</f>
        <v>0</v>
      </c>
      <c r="Y124" t="e">
        <f>AND('PROG FORMACIÓN TITULADA'!A984,"AAAAAC3/Vxg=")</f>
        <v>#VALUE!</v>
      </c>
      <c r="Z124" t="e">
        <f>AND('PROG FORMACIÓN TITULADA'!B983,"AAAAAC3/Vxk=")</f>
        <v>#VALUE!</v>
      </c>
      <c r="AA124" t="e">
        <f>AND('PROG FORMACIÓN TITULADA'!C984,"AAAAAC3/Vxo=")</f>
        <v>#VALUE!</v>
      </c>
      <c r="AB124" t="e">
        <f>AND('PROG FORMACIÓN TITULADA'!D984,"AAAAAC3/Vxs=")</f>
        <v>#VALUE!</v>
      </c>
      <c r="AC124">
        <f>IF('PROG FORMACIÓN TITULADA'!985:985,"AAAAAC3/Vxw=",0)</f>
        <v>0</v>
      </c>
      <c r="AD124" t="e">
        <f>AND('PROG FORMACIÓN TITULADA'!A985,"AAAAAC3/Vx0=")</f>
        <v>#VALUE!</v>
      </c>
      <c r="AE124" t="e">
        <f>AND('PROG FORMACIÓN TITULADA'!B984,"AAAAAC3/Vx4=")</f>
        <v>#VALUE!</v>
      </c>
      <c r="AF124" t="e">
        <f>AND('PROG FORMACIÓN TITULADA'!C985,"AAAAAC3/Vx8=")</f>
        <v>#VALUE!</v>
      </c>
      <c r="AG124" t="e">
        <f>AND('PROG FORMACIÓN TITULADA'!D985,"AAAAAC3/VyA=")</f>
        <v>#VALUE!</v>
      </c>
      <c r="AH124">
        <f>IF('PROG FORMACIÓN TITULADA'!986:986,"AAAAAC3/VyE=",0)</f>
        <v>0</v>
      </c>
      <c r="AI124" t="e">
        <f>AND('PROG FORMACIÓN TITULADA'!A986,"AAAAAC3/VyI=")</f>
        <v>#VALUE!</v>
      </c>
      <c r="AJ124" t="e">
        <f>AND('PROG FORMACIÓN TITULADA'!B985,"AAAAAC3/VyM=")</f>
        <v>#VALUE!</v>
      </c>
      <c r="AK124" t="e">
        <f>AND('PROG FORMACIÓN TITULADA'!C986,"AAAAAC3/VyQ=")</f>
        <v>#VALUE!</v>
      </c>
      <c r="AL124" t="e">
        <f>AND('PROG FORMACIÓN TITULADA'!D986,"AAAAAC3/VyU=")</f>
        <v>#VALUE!</v>
      </c>
      <c r="AM124">
        <f>IF('PROG FORMACIÓN TITULADA'!987:987,"AAAAAC3/VyY=",0)</f>
        <v>0</v>
      </c>
      <c r="AN124" t="e">
        <f>AND('PROG FORMACIÓN TITULADA'!A987,"AAAAAC3/Vyc=")</f>
        <v>#VALUE!</v>
      </c>
      <c r="AO124" t="e">
        <f>AND('PROG FORMACIÓN TITULADA'!B986,"AAAAAC3/Vyg=")</f>
        <v>#VALUE!</v>
      </c>
      <c r="AP124" t="e">
        <f>AND('PROG FORMACIÓN TITULADA'!C987,"AAAAAC3/Vyk=")</f>
        <v>#VALUE!</v>
      </c>
      <c r="AQ124" t="e">
        <f>AND('PROG FORMACIÓN TITULADA'!D987,"AAAAAC3/Vyo=")</f>
        <v>#VALUE!</v>
      </c>
      <c r="AR124">
        <f>IF('PROG FORMACIÓN TITULADA'!988:988,"AAAAAC3/Vys=",0)</f>
        <v>0</v>
      </c>
      <c r="AS124" t="e">
        <f>AND('PROG FORMACIÓN TITULADA'!A988,"AAAAAC3/Vyw=")</f>
        <v>#VALUE!</v>
      </c>
      <c r="AT124" t="e">
        <f>AND('PROG FORMACIÓN TITULADA'!B987,"AAAAAC3/Vy0=")</f>
        <v>#VALUE!</v>
      </c>
      <c r="AU124" t="e">
        <f>AND('PROG FORMACIÓN TITULADA'!C988,"AAAAAC3/Vy4=")</f>
        <v>#VALUE!</v>
      </c>
      <c r="AV124" t="e">
        <f>AND('PROG FORMACIÓN TITULADA'!D988,"AAAAAC3/Vy8=")</f>
        <v>#VALUE!</v>
      </c>
      <c r="AW124">
        <f>IF('PROG FORMACIÓN TITULADA'!989:989,"AAAAAC3/VzA=",0)</f>
        <v>0</v>
      </c>
      <c r="AX124" t="e">
        <f>AND('PROG FORMACIÓN TITULADA'!A989,"AAAAAC3/VzE=")</f>
        <v>#VALUE!</v>
      </c>
      <c r="AY124" t="e">
        <f>AND('PROG FORMACIÓN TITULADA'!B988,"AAAAAC3/VzI=")</f>
        <v>#VALUE!</v>
      </c>
      <c r="AZ124" t="e">
        <f>AND('PROG FORMACIÓN TITULADA'!C989,"AAAAAC3/VzM=")</f>
        <v>#VALUE!</v>
      </c>
      <c r="BA124" t="e">
        <f>AND('PROG FORMACIÓN TITULADA'!D989,"AAAAAC3/VzQ=")</f>
        <v>#VALUE!</v>
      </c>
      <c r="BB124">
        <f>IF('PROG FORMACIÓN TITULADA'!990:990,"AAAAAC3/VzU=",0)</f>
        <v>0</v>
      </c>
      <c r="BC124" t="e">
        <f>AND('PROG FORMACIÓN TITULADA'!A990,"AAAAAC3/VzY=")</f>
        <v>#VALUE!</v>
      </c>
      <c r="BD124" t="e">
        <f>AND('PROG FORMACIÓN TITULADA'!B989,"AAAAAC3/Vzc=")</f>
        <v>#VALUE!</v>
      </c>
      <c r="BE124" t="e">
        <f>AND('PROG FORMACIÓN TITULADA'!C990,"AAAAAC3/Vzg=")</f>
        <v>#VALUE!</v>
      </c>
      <c r="BF124" t="e">
        <f>AND('PROG FORMACIÓN TITULADA'!D990,"AAAAAC3/Vzk=")</f>
        <v>#VALUE!</v>
      </c>
      <c r="BG124">
        <f>IF('PROG FORMACIÓN TITULADA'!991:991,"AAAAAC3/Vzo=",0)</f>
        <v>0</v>
      </c>
      <c r="BH124" t="e">
        <f>AND('PROG FORMACIÓN TITULADA'!A991,"AAAAAC3/Vzs=")</f>
        <v>#VALUE!</v>
      </c>
      <c r="BI124" t="e">
        <f>AND('PROG FORMACIÓN TITULADA'!B990,"AAAAAC3/Vzw=")</f>
        <v>#VALUE!</v>
      </c>
      <c r="BJ124" t="e">
        <f>AND('PROG FORMACIÓN TITULADA'!C991,"AAAAAC3/Vz0=")</f>
        <v>#VALUE!</v>
      </c>
      <c r="BK124" t="e">
        <f>AND('PROG FORMACIÓN TITULADA'!D991,"AAAAAC3/Vz4=")</f>
        <v>#VALUE!</v>
      </c>
      <c r="BL124">
        <f>IF('PROG FORMACIÓN TITULADA'!992:992,"AAAAAC3/Vz8=",0)</f>
        <v>0</v>
      </c>
      <c r="BM124" t="e">
        <f>AND('PROG FORMACIÓN TITULADA'!A992,"AAAAAC3/V0A=")</f>
        <v>#VALUE!</v>
      </c>
      <c r="BN124" t="e">
        <f>AND('PROG FORMACIÓN TITULADA'!B991,"AAAAAC3/V0E=")</f>
        <v>#VALUE!</v>
      </c>
      <c r="BO124" t="e">
        <f>AND('PROG FORMACIÓN TITULADA'!C992,"AAAAAC3/V0I=")</f>
        <v>#VALUE!</v>
      </c>
      <c r="BP124" t="e">
        <f>AND('PROG FORMACIÓN TITULADA'!D992,"AAAAAC3/V0M=")</f>
        <v>#VALUE!</v>
      </c>
      <c r="BQ124">
        <f>IF('PROG FORMACIÓN TITULADA'!993:993,"AAAAAC3/V0Q=",0)</f>
        <v>0</v>
      </c>
      <c r="BR124" t="e">
        <f>AND('PROG FORMACIÓN TITULADA'!A993,"AAAAAC3/V0U=")</f>
        <v>#VALUE!</v>
      </c>
      <c r="BS124" t="e">
        <f>AND('PROG FORMACIÓN TITULADA'!B992,"AAAAAC3/V0Y=")</f>
        <v>#VALUE!</v>
      </c>
      <c r="BT124" t="e">
        <f>AND('PROG FORMACIÓN TITULADA'!C993,"AAAAAC3/V0c=")</f>
        <v>#VALUE!</v>
      </c>
      <c r="BU124" t="e">
        <f>AND('PROG FORMACIÓN TITULADA'!D993,"AAAAAC3/V0g=")</f>
        <v>#VALUE!</v>
      </c>
      <c r="BV124">
        <f>IF('PROG FORMACIÓN TITULADA'!994:994,"AAAAAC3/V0k=",0)</f>
        <v>0</v>
      </c>
      <c r="BW124" t="e">
        <f>AND('PROG FORMACIÓN TITULADA'!A994,"AAAAAC3/V0o=")</f>
        <v>#VALUE!</v>
      </c>
      <c r="BX124" t="e">
        <f>AND('PROG FORMACIÓN TITULADA'!B993,"AAAAAC3/V0s=")</f>
        <v>#VALUE!</v>
      </c>
      <c r="BY124" t="e">
        <f>AND('PROG FORMACIÓN TITULADA'!C994,"AAAAAC3/V0w=")</f>
        <v>#VALUE!</v>
      </c>
      <c r="BZ124" t="e">
        <f>AND('PROG FORMACIÓN TITULADA'!D994,"AAAAAC3/V00=")</f>
        <v>#VALUE!</v>
      </c>
      <c r="CA124">
        <f>IF('PROG FORMACIÓN TITULADA'!995:995,"AAAAAC3/V04=",0)</f>
        <v>0</v>
      </c>
      <c r="CB124" t="e">
        <f>AND('PROG FORMACIÓN TITULADA'!A995,"AAAAAC3/V08=")</f>
        <v>#VALUE!</v>
      </c>
      <c r="CC124" t="e">
        <f>AND('PROG FORMACIÓN TITULADA'!B994,"AAAAAC3/V1A=")</f>
        <v>#VALUE!</v>
      </c>
      <c r="CD124" t="e">
        <f>AND('PROG FORMACIÓN TITULADA'!C995,"AAAAAC3/V1E=")</f>
        <v>#VALUE!</v>
      </c>
      <c r="CE124" t="e">
        <f>AND('PROG FORMACIÓN TITULADA'!D995,"AAAAAC3/V1I=")</f>
        <v>#VALUE!</v>
      </c>
      <c r="CF124">
        <f>IF('PROG FORMACIÓN TITULADA'!996:996,"AAAAAC3/V1M=",0)</f>
        <v>0</v>
      </c>
      <c r="CG124" t="e">
        <f>AND('PROG FORMACIÓN TITULADA'!A996,"AAAAAC3/V1Q=")</f>
        <v>#VALUE!</v>
      </c>
      <c r="CH124" t="e">
        <f>AND('PROG FORMACIÓN TITULADA'!B995,"AAAAAC3/V1U=")</f>
        <v>#VALUE!</v>
      </c>
      <c r="CI124" t="e">
        <f>AND('PROG FORMACIÓN TITULADA'!C996,"AAAAAC3/V1Y=")</f>
        <v>#VALUE!</v>
      </c>
      <c r="CJ124" t="e">
        <f>AND('PROG FORMACIÓN TITULADA'!D996,"AAAAAC3/V1c=")</f>
        <v>#VALUE!</v>
      </c>
      <c r="CK124">
        <f>IF('PROG FORMACIÓN TITULADA'!997:997,"AAAAAC3/V1g=",0)</f>
        <v>0</v>
      </c>
      <c r="CL124" t="e">
        <f>AND('PROG FORMACIÓN TITULADA'!A997,"AAAAAC3/V1k=")</f>
        <v>#VALUE!</v>
      </c>
      <c r="CM124" t="e">
        <f>AND('PROG FORMACIÓN TITULADA'!B996,"AAAAAC3/V1o=")</f>
        <v>#VALUE!</v>
      </c>
      <c r="CN124" t="e">
        <f>AND('PROG FORMACIÓN TITULADA'!C997,"AAAAAC3/V1s=")</f>
        <v>#VALUE!</v>
      </c>
      <c r="CO124" t="e">
        <f>AND('PROG FORMACIÓN TITULADA'!D997,"AAAAAC3/V1w=")</f>
        <v>#VALUE!</v>
      </c>
      <c r="CP124">
        <f>IF('PROG FORMACIÓN TITULADA'!998:998,"AAAAAC3/V10=",0)</f>
        <v>0</v>
      </c>
      <c r="CQ124" t="e">
        <f>AND('PROG FORMACIÓN TITULADA'!A998,"AAAAAC3/V14=")</f>
        <v>#VALUE!</v>
      </c>
      <c r="CR124" t="e">
        <f>AND('PROG FORMACIÓN TITULADA'!B997,"AAAAAC3/V18=")</f>
        <v>#VALUE!</v>
      </c>
      <c r="CS124" t="e">
        <f>AND('PROG FORMACIÓN TITULADA'!C998,"AAAAAC3/V2A=")</f>
        <v>#VALUE!</v>
      </c>
      <c r="CT124" t="e">
        <f>AND('PROG FORMACIÓN TITULADA'!D998,"AAAAAC3/V2E=")</f>
        <v>#VALUE!</v>
      </c>
      <c r="CU124">
        <f>IF('PROG FORMACIÓN TITULADA'!999:999,"AAAAAC3/V2I=",0)</f>
        <v>0</v>
      </c>
      <c r="CV124" t="e">
        <f>AND('PROG FORMACIÓN TITULADA'!A999,"AAAAAC3/V2M=")</f>
        <v>#VALUE!</v>
      </c>
      <c r="CW124" t="e">
        <f>AND('PROG FORMACIÓN TITULADA'!B998,"AAAAAC3/V2Q=")</f>
        <v>#VALUE!</v>
      </c>
      <c r="CX124" t="e">
        <f>AND('PROG FORMACIÓN TITULADA'!C999,"AAAAAC3/V2U=")</f>
        <v>#VALUE!</v>
      </c>
      <c r="CY124" t="e">
        <f>AND('PROG FORMACIÓN TITULADA'!D999,"AAAAAC3/V2Y=")</f>
        <v>#VALUE!</v>
      </c>
      <c r="CZ124">
        <f>IF('PROG FORMACIÓN TITULADA'!1000:1000,"AAAAAC3/V2c=",0)</f>
        <v>0</v>
      </c>
      <c r="DA124" t="e">
        <f>AND('PROG FORMACIÓN TITULADA'!A1000,"AAAAAC3/V2g=")</f>
        <v>#VALUE!</v>
      </c>
      <c r="DB124" t="e">
        <f>AND('PROG FORMACIÓN TITULADA'!B999,"AAAAAC3/V2k=")</f>
        <v>#VALUE!</v>
      </c>
      <c r="DC124" t="e">
        <f>AND('PROG FORMACIÓN TITULADA'!C1000,"AAAAAC3/V2o=")</f>
        <v>#VALUE!</v>
      </c>
      <c r="DD124" t="e">
        <f>AND('PROG FORMACIÓN TITULADA'!D1000,"AAAAAC3/V2s=")</f>
        <v>#VALUE!</v>
      </c>
      <c r="DE124">
        <f>IF('PROG FORMACIÓN TITULADA'!1001:1001,"AAAAAC3/V2w=",0)</f>
        <v>0</v>
      </c>
      <c r="DF124" t="e">
        <f>AND('PROG FORMACIÓN TITULADA'!A1001,"AAAAAC3/V20=")</f>
        <v>#VALUE!</v>
      </c>
      <c r="DG124" t="e">
        <f>AND('PROG FORMACIÓN TITULADA'!B1000,"AAAAAC3/V24=")</f>
        <v>#VALUE!</v>
      </c>
      <c r="DH124" t="e">
        <f>AND('PROG FORMACIÓN TITULADA'!C1001,"AAAAAC3/V28=")</f>
        <v>#VALUE!</v>
      </c>
      <c r="DI124" t="e">
        <f>AND('PROG FORMACIÓN TITULADA'!D1001,"AAAAAC3/V3A=")</f>
        <v>#VALUE!</v>
      </c>
      <c r="DJ124">
        <f>IF('PROG FORMACIÓN TITULADA'!1002:1002,"AAAAAC3/V3E=",0)</f>
        <v>0</v>
      </c>
      <c r="DK124" t="e">
        <f>AND('PROG FORMACIÓN TITULADA'!A1002,"AAAAAC3/V3I=")</f>
        <v>#VALUE!</v>
      </c>
      <c r="DL124" t="e">
        <f>AND('PROG FORMACIÓN TITULADA'!B1001,"AAAAAC3/V3M=")</f>
        <v>#VALUE!</v>
      </c>
      <c r="DM124" t="e">
        <f>AND('PROG FORMACIÓN TITULADA'!C1002,"AAAAAC3/V3Q=")</f>
        <v>#VALUE!</v>
      </c>
      <c r="DN124" t="e">
        <f>AND('PROG FORMACIÓN TITULADA'!D1002,"AAAAAC3/V3U=")</f>
        <v>#VALUE!</v>
      </c>
      <c r="DO124">
        <f>IF('PROG FORMACIÓN TITULADA'!1003:1003,"AAAAAC3/V3Y=",0)</f>
        <v>0</v>
      </c>
      <c r="DP124" t="e">
        <f>AND('PROG FORMACIÓN TITULADA'!A1003,"AAAAAC3/V3c=")</f>
        <v>#VALUE!</v>
      </c>
      <c r="DQ124" t="e">
        <f>AND('PROG FORMACIÓN TITULADA'!B1002,"AAAAAC3/V3g=")</f>
        <v>#VALUE!</v>
      </c>
      <c r="DR124" t="e">
        <f>AND('PROG FORMACIÓN TITULADA'!C1003,"AAAAAC3/V3k=")</f>
        <v>#VALUE!</v>
      </c>
      <c r="DS124" t="e">
        <f>AND('PROG FORMACIÓN TITULADA'!D1003,"AAAAAC3/V3o=")</f>
        <v>#VALUE!</v>
      </c>
      <c r="DT124">
        <f>IF('PROG FORMACIÓN TITULADA'!1004:1004,"AAAAAC3/V3s=",0)</f>
        <v>0</v>
      </c>
      <c r="DU124" t="e">
        <f>AND('PROG FORMACIÓN TITULADA'!A1004,"AAAAAC3/V3w=")</f>
        <v>#VALUE!</v>
      </c>
      <c r="DV124" t="e">
        <f>AND('PROG FORMACIÓN TITULADA'!B1003,"AAAAAC3/V30=")</f>
        <v>#VALUE!</v>
      </c>
      <c r="DW124" t="e">
        <f>AND('PROG FORMACIÓN TITULADA'!C1004,"AAAAAC3/V34=")</f>
        <v>#VALUE!</v>
      </c>
      <c r="DX124" t="e">
        <f>AND('PROG FORMACIÓN TITULADA'!D1004,"AAAAAC3/V38=")</f>
        <v>#VALUE!</v>
      </c>
      <c r="DY124">
        <f>IF('PROG FORMACIÓN TITULADA'!1005:1005,"AAAAAC3/V4A=",0)</f>
        <v>0</v>
      </c>
      <c r="DZ124" t="e">
        <f>AND('PROG FORMACIÓN TITULADA'!A1005,"AAAAAC3/V4E=")</f>
        <v>#VALUE!</v>
      </c>
      <c r="EA124" t="e">
        <f>AND('PROG FORMACIÓN TITULADA'!B1004,"AAAAAC3/V4I=")</f>
        <v>#VALUE!</v>
      </c>
      <c r="EB124" t="e">
        <f>AND('PROG FORMACIÓN TITULADA'!C1005,"AAAAAC3/V4M=")</f>
        <v>#VALUE!</v>
      </c>
      <c r="EC124" t="e">
        <f>AND('PROG FORMACIÓN TITULADA'!D1005,"AAAAAC3/V4Q=")</f>
        <v>#VALUE!</v>
      </c>
      <c r="ED124">
        <f>IF('PROG FORMACIÓN TITULADA'!1006:1006,"AAAAAC3/V4U=",0)</f>
        <v>0</v>
      </c>
      <c r="EE124" t="e">
        <f>AND('PROG FORMACIÓN TITULADA'!A1006,"AAAAAC3/V4Y=")</f>
        <v>#VALUE!</v>
      </c>
      <c r="EF124" t="e">
        <f>AND('PROG FORMACIÓN TITULADA'!B1005,"AAAAAC3/V4c=")</f>
        <v>#VALUE!</v>
      </c>
      <c r="EG124" t="e">
        <f>AND('PROG FORMACIÓN TITULADA'!C1006,"AAAAAC3/V4g=")</f>
        <v>#VALUE!</v>
      </c>
      <c r="EH124" t="e">
        <f>AND('PROG FORMACIÓN TITULADA'!D1006,"AAAAAC3/V4k=")</f>
        <v>#VALUE!</v>
      </c>
      <c r="EI124">
        <f>IF('PROG FORMACIÓN TITULADA'!1007:1007,"AAAAAC3/V4o=",0)</f>
        <v>0</v>
      </c>
      <c r="EJ124" t="e">
        <f>AND('PROG FORMACIÓN TITULADA'!A1007,"AAAAAC3/V4s=")</f>
        <v>#VALUE!</v>
      </c>
      <c r="EK124" t="e">
        <f>AND('PROG FORMACIÓN TITULADA'!B1006,"AAAAAC3/V4w=")</f>
        <v>#VALUE!</v>
      </c>
      <c r="EL124" t="e">
        <f>AND('PROG FORMACIÓN TITULADA'!C1007,"AAAAAC3/V40=")</f>
        <v>#VALUE!</v>
      </c>
      <c r="EM124" t="e">
        <f>AND('PROG FORMACIÓN TITULADA'!D1007,"AAAAAC3/V44=")</f>
        <v>#VALUE!</v>
      </c>
      <c r="EN124">
        <f>IF('PROG FORMACIÓN TITULADA'!1008:1008,"AAAAAC3/V48=",0)</f>
        <v>0</v>
      </c>
      <c r="EO124" t="e">
        <f>AND('PROG FORMACIÓN TITULADA'!A1008,"AAAAAC3/V5A=")</f>
        <v>#VALUE!</v>
      </c>
      <c r="EP124" t="e">
        <f>AND('PROG FORMACIÓN TITULADA'!B1007,"AAAAAC3/V5E=")</f>
        <v>#VALUE!</v>
      </c>
      <c r="EQ124" t="e">
        <f>AND('PROG FORMACIÓN TITULADA'!C1008,"AAAAAC3/V5I=")</f>
        <v>#VALUE!</v>
      </c>
      <c r="ER124" t="e">
        <f>AND('PROG FORMACIÓN TITULADA'!D1008,"AAAAAC3/V5M=")</f>
        <v>#VALUE!</v>
      </c>
      <c r="ES124">
        <f>IF('PROG FORMACIÓN TITULADA'!1009:1009,"AAAAAC3/V5Q=",0)</f>
        <v>0</v>
      </c>
      <c r="ET124" t="e">
        <f>AND('PROG FORMACIÓN TITULADA'!A1009,"AAAAAC3/V5U=")</f>
        <v>#VALUE!</v>
      </c>
      <c r="EU124" t="e">
        <f>AND('PROG FORMACIÓN TITULADA'!B1008,"AAAAAC3/V5Y=")</f>
        <v>#VALUE!</v>
      </c>
      <c r="EV124" t="e">
        <f>AND('PROG FORMACIÓN TITULADA'!C1009,"AAAAAC3/V5c=")</f>
        <v>#VALUE!</v>
      </c>
      <c r="EW124" t="e">
        <f>AND('PROG FORMACIÓN TITULADA'!D1009,"AAAAAC3/V5g=")</f>
        <v>#VALUE!</v>
      </c>
      <c r="EX124">
        <f>IF('PROG FORMACIÓN TITULADA'!1010:1010,"AAAAAC3/V5k=",0)</f>
        <v>0</v>
      </c>
      <c r="EY124" t="e">
        <f>AND('PROG FORMACIÓN TITULADA'!A1010,"AAAAAC3/V5o=")</f>
        <v>#VALUE!</v>
      </c>
      <c r="EZ124" t="e">
        <f>AND('PROG FORMACIÓN TITULADA'!B1009,"AAAAAC3/V5s=")</f>
        <v>#VALUE!</v>
      </c>
      <c r="FA124" t="e">
        <f>AND('PROG FORMACIÓN TITULADA'!C1010,"AAAAAC3/V5w=")</f>
        <v>#VALUE!</v>
      </c>
      <c r="FB124" t="e">
        <f>AND('PROG FORMACIÓN TITULADA'!D1010,"AAAAAC3/V50=")</f>
        <v>#VALUE!</v>
      </c>
      <c r="FC124">
        <f>IF('PROG FORMACIÓN TITULADA'!1011:1011,"AAAAAC3/V54=",0)</f>
        <v>0</v>
      </c>
      <c r="FD124" t="e">
        <f>AND('PROG FORMACIÓN TITULADA'!A1011,"AAAAAC3/V58=")</f>
        <v>#VALUE!</v>
      </c>
      <c r="FE124" t="e">
        <f>AND('PROG FORMACIÓN TITULADA'!B1010,"AAAAAC3/V6A=")</f>
        <v>#VALUE!</v>
      </c>
      <c r="FF124" t="e">
        <f>AND('PROG FORMACIÓN TITULADA'!C1011,"AAAAAC3/V6E=")</f>
        <v>#VALUE!</v>
      </c>
      <c r="FG124" t="e">
        <f>AND('PROG FORMACIÓN TITULADA'!D1011,"AAAAAC3/V6I=")</f>
        <v>#VALUE!</v>
      </c>
      <c r="FH124">
        <f>IF('PROG FORMACIÓN TITULADA'!1012:1012,"AAAAAC3/V6M=",0)</f>
        <v>0</v>
      </c>
      <c r="FI124" t="e">
        <f>AND('PROG FORMACIÓN TITULADA'!A1012,"AAAAAC3/V6Q=")</f>
        <v>#VALUE!</v>
      </c>
      <c r="FJ124" t="e">
        <f>AND('PROG FORMACIÓN TITULADA'!B1011,"AAAAAC3/V6U=")</f>
        <v>#VALUE!</v>
      </c>
      <c r="FK124" t="e">
        <f>AND('PROG FORMACIÓN TITULADA'!C1012,"AAAAAC3/V6Y=")</f>
        <v>#VALUE!</v>
      </c>
      <c r="FL124" t="e">
        <f>AND('PROG FORMACIÓN TITULADA'!D1012,"AAAAAC3/V6c=")</f>
        <v>#VALUE!</v>
      </c>
      <c r="FM124">
        <f>IF('PROG FORMACIÓN TITULADA'!1013:1013,"AAAAAC3/V6g=",0)</f>
        <v>0</v>
      </c>
      <c r="FN124" t="e">
        <f>AND('PROG FORMACIÓN TITULADA'!A1013,"AAAAAC3/V6k=")</f>
        <v>#VALUE!</v>
      </c>
      <c r="FO124" t="e">
        <f>AND('PROG FORMACIÓN TITULADA'!B1012,"AAAAAC3/V6o=")</f>
        <v>#VALUE!</v>
      </c>
      <c r="FP124" t="e">
        <f>AND('PROG FORMACIÓN TITULADA'!C1013,"AAAAAC3/V6s=")</f>
        <v>#VALUE!</v>
      </c>
      <c r="FQ124" t="e">
        <f>AND('PROG FORMACIÓN TITULADA'!D1013,"AAAAAC3/V6w=")</f>
        <v>#VALUE!</v>
      </c>
      <c r="FR124">
        <f>IF('PROG FORMACIÓN TITULADA'!1014:1014,"AAAAAC3/V60=",0)</f>
        <v>0</v>
      </c>
      <c r="FS124" t="e">
        <f>AND('PROG FORMACIÓN TITULADA'!A1014,"AAAAAC3/V64=")</f>
        <v>#VALUE!</v>
      </c>
      <c r="FT124" t="e">
        <f>AND('PROG FORMACIÓN TITULADA'!B1013,"AAAAAC3/V68=")</f>
        <v>#VALUE!</v>
      </c>
      <c r="FU124" t="e">
        <f>AND('PROG FORMACIÓN TITULADA'!C1014,"AAAAAC3/V7A=")</f>
        <v>#VALUE!</v>
      </c>
      <c r="FV124" t="e">
        <f>AND('PROG FORMACIÓN TITULADA'!D1014,"AAAAAC3/V7E=")</f>
        <v>#VALUE!</v>
      </c>
      <c r="FW124">
        <f>IF('PROG FORMACIÓN TITULADA'!1015:1015,"AAAAAC3/V7I=",0)</f>
        <v>0</v>
      </c>
      <c r="FX124" t="e">
        <f>AND('PROG FORMACIÓN TITULADA'!A1015,"AAAAAC3/V7M=")</f>
        <v>#VALUE!</v>
      </c>
      <c r="FY124" t="e">
        <f>AND('PROG FORMACIÓN TITULADA'!B1014,"AAAAAC3/V7Q=")</f>
        <v>#VALUE!</v>
      </c>
      <c r="FZ124" t="e">
        <f>AND('PROG FORMACIÓN TITULADA'!C1015,"AAAAAC3/V7U=")</f>
        <v>#VALUE!</v>
      </c>
      <c r="GA124" t="e">
        <f>AND('PROG FORMACIÓN TITULADA'!D1015,"AAAAAC3/V7Y=")</f>
        <v>#VALUE!</v>
      </c>
      <c r="GB124">
        <f>IF('PROG FORMACIÓN TITULADA'!1016:1016,"AAAAAC3/V7c=",0)</f>
        <v>0</v>
      </c>
      <c r="GC124" t="e">
        <f>AND('PROG FORMACIÓN TITULADA'!A1016,"AAAAAC3/V7g=")</f>
        <v>#VALUE!</v>
      </c>
      <c r="GD124" t="e">
        <f>AND('PROG FORMACIÓN TITULADA'!B1015,"AAAAAC3/V7k=")</f>
        <v>#VALUE!</v>
      </c>
      <c r="GE124" t="e">
        <f>AND('PROG FORMACIÓN TITULADA'!C1016,"AAAAAC3/V7o=")</f>
        <v>#VALUE!</v>
      </c>
      <c r="GF124" t="e">
        <f>AND('PROG FORMACIÓN TITULADA'!D1016,"AAAAAC3/V7s=")</f>
        <v>#VALUE!</v>
      </c>
      <c r="GG124">
        <f>IF('PROG FORMACIÓN TITULADA'!1017:1017,"AAAAAC3/V7w=",0)</f>
        <v>0</v>
      </c>
      <c r="GH124" t="e">
        <f>AND('PROG FORMACIÓN TITULADA'!A1017,"AAAAAC3/V70=")</f>
        <v>#VALUE!</v>
      </c>
      <c r="GI124" t="e">
        <f>AND('PROG FORMACIÓN TITULADA'!B1016,"AAAAAC3/V74=")</f>
        <v>#VALUE!</v>
      </c>
      <c r="GJ124" t="e">
        <f>AND('PROG FORMACIÓN TITULADA'!C1017,"AAAAAC3/V78=")</f>
        <v>#VALUE!</v>
      </c>
      <c r="GK124" t="e">
        <f>AND('PROG FORMACIÓN TITULADA'!D1017,"AAAAAC3/V8A=")</f>
        <v>#VALUE!</v>
      </c>
      <c r="GL124">
        <f>IF('PROG FORMACIÓN TITULADA'!1018:1018,"AAAAAC3/V8E=",0)</f>
        <v>0</v>
      </c>
      <c r="GM124" t="e">
        <f>AND('PROG FORMACIÓN TITULADA'!A1018,"AAAAAC3/V8I=")</f>
        <v>#VALUE!</v>
      </c>
      <c r="GN124" t="e">
        <f>AND('PROG FORMACIÓN TITULADA'!B1017,"AAAAAC3/V8M=")</f>
        <v>#VALUE!</v>
      </c>
      <c r="GO124" t="e">
        <f>AND('PROG FORMACIÓN TITULADA'!C1018,"AAAAAC3/V8Q=")</f>
        <v>#VALUE!</v>
      </c>
      <c r="GP124" t="e">
        <f>AND('PROG FORMACIÓN TITULADA'!D1018,"AAAAAC3/V8U=")</f>
        <v>#VALUE!</v>
      </c>
      <c r="GQ124">
        <f>IF('PROG FORMACIÓN TITULADA'!1019:1019,"AAAAAC3/V8Y=",0)</f>
        <v>0</v>
      </c>
      <c r="GR124" t="e">
        <f>AND('PROG FORMACIÓN TITULADA'!A1019,"AAAAAC3/V8c=")</f>
        <v>#VALUE!</v>
      </c>
      <c r="GS124" t="e">
        <f>AND('PROG FORMACIÓN TITULADA'!B1018,"AAAAAC3/V8g=")</f>
        <v>#VALUE!</v>
      </c>
      <c r="GT124" t="e">
        <f>AND('PROG FORMACIÓN TITULADA'!C1019,"AAAAAC3/V8k=")</f>
        <v>#VALUE!</v>
      </c>
      <c r="GU124" t="e">
        <f>AND('PROG FORMACIÓN TITULADA'!D1019,"AAAAAC3/V8o=")</f>
        <v>#VALUE!</v>
      </c>
      <c r="GV124">
        <f>IF('PROG FORMACIÓN TITULADA'!1020:1020,"AAAAAC3/V8s=",0)</f>
        <v>0</v>
      </c>
      <c r="GW124" t="e">
        <f>AND('PROG FORMACIÓN TITULADA'!A1020,"AAAAAC3/V8w=")</f>
        <v>#VALUE!</v>
      </c>
      <c r="GX124" t="e">
        <f>AND('PROG FORMACIÓN TITULADA'!B1019,"AAAAAC3/V80=")</f>
        <v>#VALUE!</v>
      </c>
      <c r="GY124" t="e">
        <f>AND('PROG FORMACIÓN TITULADA'!C1020,"AAAAAC3/V84=")</f>
        <v>#VALUE!</v>
      </c>
      <c r="GZ124" t="e">
        <f>AND('PROG FORMACIÓN TITULADA'!D1020,"AAAAAC3/V88=")</f>
        <v>#VALUE!</v>
      </c>
      <c r="HA124">
        <f>IF('PROG FORMACIÓN TITULADA'!1021:1021,"AAAAAC3/V9A=",0)</f>
        <v>0</v>
      </c>
      <c r="HB124" t="e">
        <f>AND('PROG FORMACIÓN TITULADA'!A1021,"AAAAAC3/V9E=")</f>
        <v>#VALUE!</v>
      </c>
      <c r="HC124" t="e">
        <f>AND('PROG FORMACIÓN TITULADA'!B1020,"AAAAAC3/V9I=")</f>
        <v>#VALUE!</v>
      </c>
      <c r="HD124" t="e">
        <f>AND('PROG FORMACIÓN TITULADA'!C1021,"AAAAAC3/V9M=")</f>
        <v>#VALUE!</v>
      </c>
      <c r="HE124" t="e">
        <f>AND('PROG FORMACIÓN TITULADA'!D1021,"AAAAAC3/V9Q=")</f>
        <v>#VALUE!</v>
      </c>
      <c r="HF124">
        <f>IF('PROG FORMACIÓN TITULADA'!1022:1022,"AAAAAC3/V9U=",0)</f>
        <v>0</v>
      </c>
      <c r="HG124" t="e">
        <f>AND('PROG FORMACIÓN TITULADA'!A1022,"AAAAAC3/V9Y=")</f>
        <v>#VALUE!</v>
      </c>
      <c r="HH124" t="e">
        <f>AND('PROG FORMACIÓN TITULADA'!B1021,"AAAAAC3/V9c=")</f>
        <v>#VALUE!</v>
      </c>
      <c r="HI124" t="e">
        <f>AND('PROG FORMACIÓN TITULADA'!C1022,"AAAAAC3/V9g=")</f>
        <v>#VALUE!</v>
      </c>
      <c r="HJ124" t="e">
        <f>AND('PROG FORMACIÓN TITULADA'!D1022,"AAAAAC3/V9k=")</f>
        <v>#VALUE!</v>
      </c>
      <c r="HK124">
        <f>IF('PROG FORMACIÓN TITULADA'!1023:1023,"AAAAAC3/V9o=",0)</f>
        <v>0</v>
      </c>
      <c r="HL124" t="e">
        <f>AND('PROG FORMACIÓN TITULADA'!A1023,"AAAAAC3/V9s=")</f>
        <v>#VALUE!</v>
      </c>
      <c r="HM124" t="e">
        <f>AND('PROG FORMACIÓN TITULADA'!B1022,"AAAAAC3/V9w=")</f>
        <v>#VALUE!</v>
      </c>
      <c r="HN124" t="e">
        <f>AND('PROG FORMACIÓN TITULADA'!C1023,"AAAAAC3/V90=")</f>
        <v>#VALUE!</v>
      </c>
      <c r="HO124" t="e">
        <f>AND('PROG FORMACIÓN TITULADA'!D1023,"AAAAAC3/V94=")</f>
        <v>#VALUE!</v>
      </c>
      <c r="HP124">
        <f>IF('PROG FORMACIÓN TITULADA'!1024:1024,"AAAAAC3/V98=",0)</f>
        <v>0</v>
      </c>
      <c r="HQ124" t="e">
        <f>AND('PROG FORMACIÓN TITULADA'!A1024,"AAAAAC3/V+A=")</f>
        <v>#VALUE!</v>
      </c>
      <c r="HR124" t="e">
        <f>AND('PROG FORMACIÓN TITULADA'!B1023,"AAAAAC3/V+E=")</f>
        <v>#VALUE!</v>
      </c>
      <c r="HS124" t="e">
        <f>AND('PROG FORMACIÓN TITULADA'!C1024,"AAAAAC3/V+I=")</f>
        <v>#VALUE!</v>
      </c>
      <c r="HT124" t="e">
        <f>AND('PROG FORMACIÓN TITULADA'!D1024,"AAAAAC3/V+M=")</f>
        <v>#VALUE!</v>
      </c>
      <c r="HU124">
        <f>IF('PROG FORMACIÓN TITULADA'!1025:1025,"AAAAAC3/V+Q=",0)</f>
        <v>0</v>
      </c>
      <c r="HV124" t="e">
        <f>AND('PROG FORMACIÓN TITULADA'!A1025,"AAAAAC3/V+U=")</f>
        <v>#VALUE!</v>
      </c>
      <c r="HW124" t="e">
        <f>AND('PROG FORMACIÓN TITULADA'!B1024,"AAAAAC3/V+Y=")</f>
        <v>#VALUE!</v>
      </c>
      <c r="HX124" t="e">
        <f>AND('PROG FORMACIÓN TITULADA'!C1025,"AAAAAC3/V+c=")</f>
        <v>#VALUE!</v>
      </c>
      <c r="HY124" t="e">
        <f>AND('PROG FORMACIÓN TITULADA'!D1025,"AAAAAC3/V+g=")</f>
        <v>#VALUE!</v>
      </c>
      <c r="HZ124">
        <f>IF('PROG FORMACIÓN TITULADA'!1026:1026,"AAAAAC3/V+k=",0)</f>
        <v>0</v>
      </c>
      <c r="IA124" t="e">
        <f>AND('PROG FORMACIÓN TITULADA'!A1026,"AAAAAC3/V+o=")</f>
        <v>#VALUE!</v>
      </c>
      <c r="IB124" t="e">
        <f>AND('PROG FORMACIÓN TITULADA'!B1025,"AAAAAC3/V+s=")</f>
        <v>#VALUE!</v>
      </c>
      <c r="IC124" t="e">
        <f>AND('PROG FORMACIÓN TITULADA'!C1026,"AAAAAC3/V+w=")</f>
        <v>#VALUE!</v>
      </c>
      <c r="ID124" t="e">
        <f>AND('PROG FORMACIÓN TITULADA'!D1026,"AAAAAC3/V+0=")</f>
        <v>#VALUE!</v>
      </c>
      <c r="IE124">
        <f>IF('PROG FORMACIÓN TITULADA'!1027:1027,"AAAAAC3/V+4=",0)</f>
        <v>0</v>
      </c>
      <c r="IF124" t="e">
        <f>AND('PROG FORMACIÓN TITULADA'!A1027,"AAAAAC3/V+8=")</f>
        <v>#VALUE!</v>
      </c>
      <c r="IG124" t="e">
        <f>AND('PROG FORMACIÓN TITULADA'!B1026,"AAAAAC3/V/A=")</f>
        <v>#VALUE!</v>
      </c>
      <c r="IH124" t="e">
        <f>AND('PROG FORMACIÓN TITULADA'!C1027,"AAAAAC3/V/E=")</f>
        <v>#VALUE!</v>
      </c>
      <c r="II124" t="e">
        <f>AND('PROG FORMACIÓN TITULADA'!D1027,"AAAAAC3/V/I=")</f>
        <v>#VALUE!</v>
      </c>
      <c r="IJ124">
        <f>IF('PROG FORMACIÓN TITULADA'!1028:1028,"AAAAAC3/V/M=",0)</f>
        <v>0</v>
      </c>
      <c r="IK124" t="e">
        <f>AND('PROG FORMACIÓN TITULADA'!A1028,"AAAAAC3/V/Q=")</f>
        <v>#VALUE!</v>
      </c>
      <c r="IL124" t="e">
        <f>AND('PROG FORMACIÓN TITULADA'!B1027,"AAAAAC3/V/U=")</f>
        <v>#VALUE!</v>
      </c>
      <c r="IM124" t="e">
        <f>AND('PROG FORMACIÓN TITULADA'!C1028,"AAAAAC3/V/Y=")</f>
        <v>#VALUE!</v>
      </c>
      <c r="IN124" t="e">
        <f>AND('PROG FORMACIÓN TITULADA'!D1028,"AAAAAC3/V/c=")</f>
        <v>#VALUE!</v>
      </c>
      <c r="IO124">
        <f>IF('PROG FORMACIÓN TITULADA'!1029:1029,"AAAAAC3/V/g=",0)</f>
        <v>0</v>
      </c>
      <c r="IP124" t="e">
        <f>AND('PROG FORMACIÓN TITULADA'!A1029,"AAAAAC3/V/k=")</f>
        <v>#VALUE!</v>
      </c>
      <c r="IQ124" t="e">
        <f>AND('PROG FORMACIÓN TITULADA'!B1028,"AAAAAC3/V/o=")</f>
        <v>#VALUE!</v>
      </c>
      <c r="IR124" t="e">
        <f>AND('PROG FORMACIÓN TITULADA'!C1029,"AAAAAC3/V/s=")</f>
        <v>#VALUE!</v>
      </c>
      <c r="IS124" t="e">
        <f>AND('PROG FORMACIÓN TITULADA'!D1029,"AAAAAC3/V/w=")</f>
        <v>#VALUE!</v>
      </c>
      <c r="IT124">
        <f>IF('PROG FORMACIÓN TITULADA'!1030:1030,"AAAAAC3/V/0=",0)</f>
        <v>0</v>
      </c>
      <c r="IU124" t="e">
        <f>AND('PROG FORMACIÓN TITULADA'!A1030,"AAAAAC3/V/4=")</f>
        <v>#VALUE!</v>
      </c>
      <c r="IV124" t="e">
        <f>AND('PROG FORMACIÓN TITULADA'!B1029,"AAAAAC3/V/8=")</f>
        <v>#VALUE!</v>
      </c>
    </row>
    <row r="125" spans="1:256" x14ac:dyDescent="0.2">
      <c r="A125" t="e">
        <f>AND('PROG FORMACIÓN TITULADA'!C1030,"AAAAAA39fwA=")</f>
        <v>#VALUE!</v>
      </c>
      <c r="B125" t="e">
        <f>AND('PROG FORMACIÓN TITULADA'!D1030,"AAAAAA39fwE=")</f>
        <v>#VALUE!</v>
      </c>
      <c r="C125">
        <f>IF('PROG FORMACIÓN TITULADA'!1031:1031,"AAAAAA39fwI=",0)</f>
        <v>0</v>
      </c>
      <c r="D125" t="e">
        <f>AND('PROG FORMACIÓN TITULADA'!A1031,"AAAAAA39fwM=")</f>
        <v>#VALUE!</v>
      </c>
      <c r="E125" t="e">
        <f>AND('PROG FORMACIÓN TITULADA'!B1030,"AAAAAA39fwQ=")</f>
        <v>#VALUE!</v>
      </c>
      <c r="F125" t="e">
        <f>AND('PROG FORMACIÓN TITULADA'!C1031,"AAAAAA39fwU=")</f>
        <v>#VALUE!</v>
      </c>
      <c r="G125" t="e">
        <f>AND('PROG FORMACIÓN TITULADA'!D1031,"AAAAAA39fwY=")</f>
        <v>#VALUE!</v>
      </c>
      <c r="H125">
        <f>IF('PROG FORMACIÓN TITULADA'!1032:1032,"AAAAAA39fwc=",0)</f>
        <v>0</v>
      </c>
      <c r="I125" t="e">
        <f>AND('PROG FORMACIÓN TITULADA'!A1032,"AAAAAA39fwg=")</f>
        <v>#VALUE!</v>
      </c>
      <c r="J125" t="e">
        <f>AND('PROG FORMACIÓN TITULADA'!B1031,"AAAAAA39fwk=")</f>
        <v>#VALUE!</v>
      </c>
      <c r="K125" t="e">
        <f>AND('PROG FORMACIÓN TITULADA'!C1032,"AAAAAA39fwo=")</f>
        <v>#VALUE!</v>
      </c>
      <c r="L125" t="e">
        <f>AND('PROG FORMACIÓN TITULADA'!D1032,"AAAAAA39fws=")</f>
        <v>#VALUE!</v>
      </c>
      <c r="M125">
        <f>IF('PROG FORMACIÓN TITULADA'!1033:1033,"AAAAAA39fww=",0)</f>
        <v>0</v>
      </c>
      <c r="N125" t="e">
        <f>AND('PROG FORMACIÓN TITULADA'!A1033,"AAAAAA39fw0=")</f>
        <v>#VALUE!</v>
      </c>
      <c r="O125" t="e">
        <f>AND('PROG FORMACIÓN TITULADA'!B1032,"AAAAAA39fw4=")</f>
        <v>#VALUE!</v>
      </c>
      <c r="P125" t="e">
        <f>AND('PROG FORMACIÓN TITULADA'!C1033,"AAAAAA39fw8=")</f>
        <v>#VALUE!</v>
      </c>
      <c r="Q125" t="e">
        <f>AND('PROG FORMACIÓN TITULADA'!D1033,"AAAAAA39fxA=")</f>
        <v>#VALUE!</v>
      </c>
      <c r="R125">
        <f>IF('PROG FORMACIÓN TITULADA'!1034:1034,"AAAAAA39fxE=",0)</f>
        <v>0</v>
      </c>
      <c r="S125" t="e">
        <f>AND('PROG FORMACIÓN TITULADA'!A1034,"AAAAAA39fxI=")</f>
        <v>#VALUE!</v>
      </c>
      <c r="T125" t="e">
        <f>AND('PROG FORMACIÓN TITULADA'!B1033,"AAAAAA39fxM=")</f>
        <v>#VALUE!</v>
      </c>
      <c r="U125" t="e">
        <f>AND('PROG FORMACIÓN TITULADA'!C1034,"AAAAAA39fxQ=")</f>
        <v>#VALUE!</v>
      </c>
      <c r="V125" t="e">
        <f>AND('PROG FORMACIÓN TITULADA'!D1034,"AAAAAA39fxU=")</f>
        <v>#VALUE!</v>
      </c>
      <c r="W125">
        <f>IF('PROG FORMACIÓN TITULADA'!1035:1035,"AAAAAA39fxY=",0)</f>
        <v>0</v>
      </c>
      <c r="X125" t="e">
        <f>AND('PROG FORMACIÓN TITULADA'!A1035,"AAAAAA39fxc=")</f>
        <v>#VALUE!</v>
      </c>
      <c r="Y125" t="e">
        <f>AND('PROG FORMACIÓN TITULADA'!B1034,"AAAAAA39fxg=")</f>
        <v>#VALUE!</v>
      </c>
      <c r="Z125" t="e">
        <f>AND('PROG FORMACIÓN TITULADA'!C1035,"AAAAAA39fxk=")</f>
        <v>#VALUE!</v>
      </c>
      <c r="AA125" t="e">
        <f>AND('PROG FORMACIÓN TITULADA'!D1035,"AAAAAA39fxo=")</f>
        <v>#VALUE!</v>
      </c>
      <c r="AB125">
        <f>IF('PROG FORMACIÓN TITULADA'!1036:1036,"AAAAAA39fxs=",0)</f>
        <v>0</v>
      </c>
      <c r="AC125" t="e">
        <f>AND('PROG FORMACIÓN TITULADA'!A1036,"AAAAAA39fxw=")</f>
        <v>#VALUE!</v>
      </c>
      <c r="AD125" t="e">
        <f>AND('PROG FORMACIÓN TITULADA'!B1035,"AAAAAA39fx0=")</f>
        <v>#VALUE!</v>
      </c>
      <c r="AE125" t="e">
        <f>AND('PROG FORMACIÓN TITULADA'!C1036,"AAAAAA39fx4=")</f>
        <v>#VALUE!</v>
      </c>
      <c r="AF125" t="e">
        <f>AND('PROG FORMACIÓN TITULADA'!D1036,"AAAAAA39fx8=")</f>
        <v>#VALUE!</v>
      </c>
      <c r="AG125">
        <f>IF('PROG FORMACIÓN TITULADA'!1037:1037,"AAAAAA39fyA=",0)</f>
        <v>0</v>
      </c>
      <c r="AH125" t="e">
        <f>AND('PROG FORMACIÓN TITULADA'!A1037,"AAAAAA39fyE=")</f>
        <v>#VALUE!</v>
      </c>
      <c r="AI125" t="e">
        <f>AND('PROG FORMACIÓN TITULADA'!B1036,"AAAAAA39fyI=")</f>
        <v>#VALUE!</v>
      </c>
      <c r="AJ125" t="e">
        <f>AND('PROG FORMACIÓN TITULADA'!C1037,"AAAAAA39fyM=")</f>
        <v>#VALUE!</v>
      </c>
      <c r="AK125" t="e">
        <f>AND('PROG FORMACIÓN TITULADA'!D1037,"AAAAAA39fyQ=")</f>
        <v>#VALUE!</v>
      </c>
      <c r="AL125">
        <f>IF('PROG FORMACIÓN TITULADA'!1038:1038,"AAAAAA39fyU=",0)</f>
        <v>0</v>
      </c>
      <c r="AM125" t="e">
        <f>AND('PROG FORMACIÓN TITULADA'!A1038,"AAAAAA39fyY=")</f>
        <v>#VALUE!</v>
      </c>
      <c r="AN125" t="e">
        <f>AND('PROG FORMACIÓN TITULADA'!B1037,"AAAAAA39fyc=")</f>
        <v>#VALUE!</v>
      </c>
      <c r="AO125" t="e">
        <f>AND('PROG FORMACIÓN TITULADA'!C1038,"AAAAAA39fyg=")</f>
        <v>#VALUE!</v>
      </c>
      <c r="AP125" t="e">
        <f>AND('PROG FORMACIÓN TITULADA'!D1038,"AAAAAA39fyk=")</f>
        <v>#VALUE!</v>
      </c>
      <c r="AQ125">
        <f>IF('PROG FORMACIÓN TITULADA'!1039:1039,"AAAAAA39fyo=",0)</f>
        <v>0</v>
      </c>
      <c r="AR125" t="e">
        <f>AND('PROG FORMACIÓN TITULADA'!A1039,"AAAAAA39fys=")</f>
        <v>#VALUE!</v>
      </c>
      <c r="AS125" t="e">
        <f>AND('PROG FORMACIÓN TITULADA'!B1038,"AAAAAA39fyw=")</f>
        <v>#VALUE!</v>
      </c>
      <c r="AT125" t="e">
        <f>AND('PROG FORMACIÓN TITULADA'!C1039,"AAAAAA39fy0=")</f>
        <v>#VALUE!</v>
      </c>
      <c r="AU125" t="e">
        <f>AND('PROG FORMACIÓN TITULADA'!D1039,"AAAAAA39fy4=")</f>
        <v>#VALUE!</v>
      </c>
      <c r="AV125">
        <f>IF('PROG FORMACIÓN TITULADA'!1040:1040,"AAAAAA39fy8=",0)</f>
        <v>0</v>
      </c>
      <c r="AW125" t="e">
        <f>AND('PROG FORMACIÓN TITULADA'!A1040,"AAAAAA39fzA=")</f>
        <v>#VALUE!</v>
      </c>
      <c r="AX125" t="e">
        <f>AND('PROG FORMACIÓN TITULADA'!B1039,"AAAAAA39fzE=")</f>
        <v>#VALUE!</v>
      </c>
      <c r="AY125" t="e">
        <f>AND('PROG FORMACIÓN TITULADA'!C1040,"AAAAAA39fzI=")</f>
        <v>#VALUE!</v>
      </c>
      <c r="AZ125" t="e">
        <f>AND('PROG FORMACIÓN TITULADA'!D1040,"AAAAAA39fzM=")</f>
        <v>#VALUE!</v>
      </c>
      <c r="BA125">
        <f>IF('PROG FORMACIÓN TITULADA'!1041:1041,"AAAAAA39fzQ=",0)</f>
        <v>0</v>
      </c>
      <c r="BB125" t="e">
        <f>AND('PROG FORMACIÓN TITULADA'!A1041,"AAAAAA39fzU=")</f>
        <v>#VALUE!</v>
      </c>
      <c r="BC125" t="e">
        <f>AND('PROG FORMACIÓN TITULADA'!B1040,"AAAAAA39fzY=")</f>
        <v>#VALUE!</v>
      </c>
      <c r="BD125" t="e">
        <f>AND('PROG FORMACIÓN TITULADA'!C1041,"AAAAAA39fzc=")</f>
        <v>#VALUE!</v>
      </c>
      <c r="BE125" t="e">
        <f>AND('PROG FORMACIÓN TITULADA'!D1041,"AAAAAA39fzg=")</f>
        <v>#VALUE!</v>
      </c>
      <c r="BF125">
        <f>IF('PROG FORMACIÓN TITULADA'!1042:1042,"AAAAAA39fzk=",0)</f>
        <v>0</v>
      </c>
      <c r="BG125" t="e">
        <f>AND('PROG FORMACIÓN TITULADA'!A1042,"AAAAAA39fzo=")</f>
        <v>#VALUE!</v>
      </c>
      <c r="BH125" t="e">
        <f>AND('PROG FORMACIÓN TITULADA'!B1041,"AAAAAA39fzs=")</f>
        <v>#VALUE!</v>
      </c>
      <c r="BI125" t="e">
        <f>AND('PROG FORMACIÓN TITULADA'!C1042,"AAAAAA39fzw=")</f>
        <v>#VALUE!</v>
      </c>
      <c r="BJ125" t="e">
        <f>AND('PROG FORMACIÓN TITULADA'!D1042,"AAAAAA39fz0=")</f>
        <v>#VALUE!</v>
      </c>
      <c r="BK125">
        <f>IF('PROG FORMACIÓN TITULADA'!1043:1043,"AAAAAA39fz4=",0)</f>
        <v>0</v>
      </c>
      <c r="BL125" t="e">
        <f>AND('PROG FORMACIÓN TITULADA'!A1043,"AAAAAA39fz8=")</f>
        <v>#VALUE!</v>
      </c>
      <c r="BM125" t="e">
        <f>AND('PROG FORMACIÓN TITULADA'!B1042,"AAAAAA39f0A=")</f>
        <v>#VALUE!</v>
      </c>
      <c r="BN125" t="e">
        <f>AND('PROG FORMACIÓN TITULADA'!C1043,"AAAAAA39f0E=")</f>
        <v>#VALUE!</v>
      </c>
      <c r="BO125" t="e">
        <f>AND('PROG FORMACIÓN TITULADA'!D1043,"AAAAAA39f0I=")</f>
        <v>#VALUE!</v>
      </c>
      <c r="BP125">
        <f>IF('PROG FORMACIÓN TITULADA'!1044:1044,"AAAAAA39f0M=",0)</f>
        <v>0</v>
      </c>
      <c r="BQ125" t="e">
        <f>AND('PROG FORMACIÓN TITULADA'!A1044,"AAAAAA39f0Q=")</f>
        <v>#VALUE!</v>
      </c>
      <c r="BR125" t="e">
        <f>AND('PROG FORMACIÓN TITULADA'!B1043,"AAAAAA39f0U=")</f>
        <v>#VALUE!</v>
      </c>
      <c r="BS125" t="e">
        <f>AND('PROG FORMACIÓN TITULADA'!C1044,"AAAAAA39f0Y=")</f>
        <v>#VALUE!</v>
      </c>
      <c r="BT125" t="e">
        <f>AND('PROG FORMACIÓN TITULADA'!D1044,"AAAAAA39f0c=")</f>
        <v>#VALUE!</v>
      </c>
      <c r="BU125">
        <f>IF('PROG FORMACIÓN TITULADA'!1045:1045,"AAAAAA39f0g=",0)</f>
        <v>0</v>
      </c>
      <c r="BV125" t="e">
        <f>AND('PROG FORMACIÓN TITULADA'!A1045,"AAAAAA39f0k=")</f>
        <v>#VALUE!</v>
      </c>
      <c r="BW125" t="e">
        <f>AND('PROG FORMACIÓN TITULADA'!B1044,"AAAAAA39f0o=")</f>
        <v>#VALUE!</v>
      </c>
      <c r="BX125" t="e">
        <f>AND('PROG FORMACIÓN TITULADA'!C1045,"AAAAAA39f0s=")</f>
        <v>#VALUE!</v>
      </c>
      <c r="BY125" t="e">
        <f>AND('PROG FORMACIÓN TITULADA'!D1045,"AAAAAA39f0w=")</f>
        <v>#VALUE!</v>
      </c>
      <c r="BZ125">
        <f>IF('PROG FORMACIÓN TITULADA'!1046:1046,"AAAAAA39f00=",0)</f>
        <v>0</v>
      </c>
      <c r="CA125" t="e">
        <f>AND('PROG FORMACIÓN TITULADA'!A1046,"AAAAAA39f04=")</f>
        <v>#VALUE!</v>
      </c>
      <c r="CB125" t="e">
        <f>AND('PROG FORMACIÓN TITULADA'!B1045,"AAAAAA39f08=")</f>
        <v>#VALUE!</v>
      </c>
      <c r="CC125" t="e">
        <f>AND('PROG FORMACIÓN TITULADA'!C1046,"AAAAAA39f1A=")</f>
        <v>#VALUE!</v>
      </c>
      <c r="CD125" t="e">
        <f>AND('PROG FORMACIÓN TITULADA'!D1046,"AAAAAA39f1E=")</f>
        <v>#VALUE!</v>
      </c>
      <c r="CE125">
        <f>IF('PROG FORMACIÓN TITULADA'!1047:1047,"AAAAAA39f1I=",0)</f>
        <v>0</v>
      </c>
      <c r="CF125" t="e">
        <f>AND('PROG FORMACIÓN TITULADA'!A1047,"AAAAAA39f1M=")</f>
        <v>#VALUE!</v>
      </c>
      <c r="CG125" t="e">
        <f>AND('PROG FORMACIÓN TITULADA'!B1046,"AAAAAA39f1Q=")</f>
        <v>#VALUE!</v>
      </c>
      <c r="CH125" t="e">
        <f>AND('PROG FORMACIÓN TITULADA'!C1047,"AAAAAA39f1U=")</f>
        <v>#VALUE!</v>
      </c>
      <c r="CI125" t="e">
        <f>AND('PROG FORMACIÓN TITULADA'!D1047,"AAAAAA39f1Y=")</f>
        <v>#VALUE!</v>
      </c>
      <c r="CJ125">
        <f>IF('PROG FORMACIÓN TITULADA'!1048:1048,"AAAAAA39f1c=",0)</f>
        <v>0</v>
      </c>
      <c r="CK125" t="e">
        <f>AND('PROG FORMACIÓN TITULADA'!A1048,"AAAAAA39f1g=")</f>
        <v>#VALUE!</v>
      </c>
      <c r="CL125" t="e">
        <f>AND('PROG FORMACIÓN TITULADA'!B1047,"AAAAAA39f1k=")</f>
        <v>#VALUE!</v>
      </c>
      <c r="CM125" t="e">
        <f>AND('PROG FORMACIÓN TITULADA'!C1048,"AAAAAA39f1o=")</f>
        <v>#VALUE!</v>
      </c>
      <c r="CN125" t="e">
        <f>AND('PROG FORMACIÓN TITULADA'!D1048,"AAAAAA39f1s=")</f>
        <v>#VALUE!</v>
      </c>
      <c r="CO125">
        <f>IF('PROG FORMACIÓN TITULADA'!1049:1049,"AAAAAA39f1w=",0)</f>
        <v>0</v>
      </c>
      <c r="CP125" t="e">
        <f>AND('PROG FORMACIÓN TITULADA'!A1049,"AAAAAA39f10=")</f>
        <v>#VALUE!</v>
      </c>
      <c r="CQ125" t="e">
        <f>AND('PROG FORMACIÓN TITULADA'!B1048,"AAAAAA39f14=")</f>
        <v>#VALUE!</v>
      </c>
      <c r="CR125" t="e">
        <f>AND('PROG FORMACIÓN TITULADA'!C1049,"AAAAAA39f18=")</f>
        <v>#VALUE!</v>
      </c>
      <c r="CS125" t="e">
        <f>AND('PROG FORMACIÓN TITULADA'!D1049,"AAAAAA39f2A=")</f>
        <v>#VALUE!</v>
      </c>
      <c r="CT125">
        <f>IF('PROG FORMACIÓN TITULADA'!1050:1050,"AAAAAA39f2E=",0)</f>
        <v>0</v>
      </c>
      <c r="CU125" t="e">
        <f>AND('PROG FORMACIÓN TITULADA'!A1050,"AAAAAA39f2I=")</f>
        <v>#VALUE!</v>
      </c>
      <c r="CV125" t="e">
        <f>AND('PROG FORMACIÓN TITULADA'!B1049,"AAAAAA39f2M=")</f>
        <v>#VALUE!</v>
      </c>
      <c r="CW125" t="e">
        <f>AND('PROG FORMACIÓN TITULADA'!C1050,"AAAAAA39f2Q=")</f>
        <v>#VALUE!</v>
      </c>
      <c r="CX125" t="e">
        <f>AND('PROG FORMACIÓN TITULADA'!D1050,"AAAAAA39f2U=")</f>
        <v>#VALUE!</v>
      </c>
      <c r="CY125">
        <f>IF('PROG FORMACIÓN TITULADA'!1051:1051,"AAAAAA39f2Y=",0)</f>
        <v>0</v>
      </c>
      <c r="CZ125" t="e">
        <f>AND('PROG FORMACIÓN TITULADA'!A1051,"AAAAAA39f2c=")</f>
        <v>#VALUE!</v>
      </c>
      <c r="DA125" t="e">
        <f>AND('PROG FORMACIÓN TITULADA'!B1050,"AAAAAA39f2g=")</f>
        <v>#VALUE!</v>
      </c>
      <c r="DB125" t="e">
        <f>AND('PROG FORMACIÓN TITULADA'!C1051,"AAAAAA39f2k=")</f>
        <v>#VALUE!</v>
      </c>
      <c r="DC125" t="e">
        <f>AND('PROG FORMACIÓN TITULADA'!D1051,"AAAAAA39f2o=")</f>
        <v>#VALUE!</v>
      </c>
      <c r="DD125">
        <f>IF('PROG FORMACIÓN TITULADA'!1052:1052,"AAAAAA39f2s=",0)</f>
        <v>0</v>
      </c>
      <c r="DE125" t="e">
        <f>AND('PROG FORMACIÓN TITULADA'!A1052,"AAAAAA39f2w=")</f>
        <v>#VALUE!</v>
      </c>
      <c r="DF125" t="e">
        <f>AND('PROG FORMACIÓN TITULADA'!B1051,"AAAAAA39f20=")</f>
        <v>#VALUE!</v>
      </c>
      <c r="DG125" t="e">
        <f>AND('PROG FORMACIÓN TITULADA'!C1052,"AAAAAA39f24=")</f>
        <v>#VALUE!</v>
      </c>
      <c r="DH125" t="e">
        <f>AND('PROG FORMACIÓN TITULADA'!D1052,"AAAAAA39f28=")</f>
        <v>#VALUE!</v>
      </c>
      <c r="DI125">
        <f>IF('PROG FORMACIÓN TITULADA'!1053:1053,"AAAAAA39f3A=",0)</f>
        <v>0</v>
      </c>
      <c r="DJ125" t="e">
        <f>AND('PROG FORMACIÓN TITULADA'!A1053,"AAAAAA39f3E=")</f>
        <v>#VALUE!</v>
      </c>
      <c r="DK125" t="e">
        <f>AND('PROG FORMACIÓN TITULADA'!B1052,"AAAAAA39f3I=")</f>
        <v>#VALUE!</v>
      </c>
      <c r="DL125" t="e">
        <f>AND('PROG FORMACIÓN TITULADA'!C1053,"AAAAAA39f3M=")</f>
        <v>#VALUE!</v>
      </c>
      <c r="DM125" t="e">
        <f>AND('PROG FORMACIÓN TITULADA'!D1053,"AAAAAA39f3Q=")</f>
        <v>#VALUE!</v>
      </c>
      <c r="DN125">
        <f>IF('PROG FORMACIÓN TITULADA'!1054:1054,"AAAAAA39f3U=",0)</f>
        <v>0</v>
      </c>
      <c r="DO125" t="e">
        <f>AND('PROG FORMACIÓN TITULADA'!A1054,"AAAAAA39f3Y=")</f>
        <v>#VALUE!</v>
      </c>
      <c r="DP125" t="e">
        <f>AND('PROG FORMACIÓN TITULADA'!B1053,"AAAAAA39f3c=")</f>
        <v>#VALUE!</v>
      </c>
      <c r="DQ125" t="e">
        <f>AND('PROG FORMACIÓN TITULADA'!C1054,"AAAAAA39f3g=")</f>
        <v>#VALUE!</v>
      </c>
      <c r="DR125" t="e">
        <f>AND('PROG FORMACIÓN TITULADA'!D1054,"AAAAAA39f3k=")</f>
        <v>#VALUE!</v>
      </c>
      <c r="DS125">
        <f>IF('PROG FORMACIÓN TITULADA'!1055:1055,"AAAAAA39f3o=",0)</f>
        <v>0</v>
      </c>
      <c r="DT125" t="e">
        <f>AND('PROG FORMACIÓN TITULADA'!A1055,"AAAAAA39f3s=")</f>
        <v>#VALUE!</v>
      </c>
      <c r="DU125" t="e">
        <f>AND('PROG FORMACIÓN TITULADA'!B1054,"AAAAAA39f3w=")</f>
        <v>#VALUE!</v>
      </c>
      <c r="DV125" t="e">
        <f>AND('PROG FORMACIÓN TITULADA'!C1055,"AAAAAA39f30=")</f>
        <v>#VALUE!</v>
      </c>
      <c r="DW125" t="e">
        <f>AND('PROG FORMACIÓN TITULADA'!D1055,"AAAAAA39f34=")</f>
        <v>#VALUE!</v>
      </c>
      <c r="DX125">
        <f>IF('PROG FORMACIÓN TITULADA'!1056:1056,"AAAAAA39f38=",0)</f>
        <v>0</v>
      </c>
      <c r="DY125" t="e">
        <f>AND('PROG FORMACIÓN TITULADA'!A1056,"AAAAAA39f4A=")</f>
        <v>#VALUE!</v>
      </c>
      <c r="DZ125" t="e">
        <f>AND('PROG FORMACIÓN TITULADA'!B1055,"AAAAAA39f4E=")</f>
        <v>#VALUE!</v>
      </c>
      <c r="EA125" t="e">
        <f>AND('PROG FORMACIÓN TITULADA'!C1056,"AAAAAA39f4I=")</f>
        <v>#VALUE!</v>
      </c>
      <c r="EB125" t="e">
        <f>AND('PROG FORMACIÓN TITULADA'!D1056,"AAAAAA39f4M=")</f>
        <v>#VALUE!</v>
      </c>
      <c r="EC125">
        <f>IF('PROG FORMACIÓN TITULADA'!1057:1057,"AAAAAA39f4Q=",0)</f>
        <v>0</v>
      </c>
      <c r="ED125" t="e">
        <f>AND('PROG FORMACIÓN TITULADA'!A1057,"AAAAAA39f4U=")</f>
        <v>#VALUE!</v>
      </c>
      <c r="EE125" t="e">
        <f>AND('PROG FORMACIÓN TITULADA'!B1056,"AAAAAA39f4Y=")</f>
        <v>#VALUE!</v>
      </c>
      <c r="EF125" t="e">
        <f>AND('PROG FORMACIÓN TITULADA'!C1057,"AAAAAA39f4c=")</f>
        <v>#VALUE!</v>
      </c>
      <c r="EG125" t="e">
        <f>AND('PROG FORMACIÓN TITULADA'!D1057,"AAAAAA39f4g=")</f>
        <v>#VALUE!</v>
      </c>
      <c r="EH125">
        <f>IF('PROG FORMACIÓN TITULADA'!1058:1058,"AAAAAA39f4k=",0)</f>
        <v>0</v>
      </c>
      <c r="EI125" t="e">
        <f>AND('PROG FORMACIÓN TITULADA'!A1058,"AAAAAA39f4o=")</f>
        <v>#VALUE!</v>
      </c>
      <c r="EJ125" t="e">
        <f>AND('PROG FORMACIÓN TITULADA'!B1057,"AAAAAA39f4s=")</f>
        <v>#VALUE!</v>
      </c>
      <c r="EK125" t="e">
        <f>AND('PROG FORMACIÓN TITULADA'!C1058,"AAAAAA39f4w=")</f>
        <v>#VALUE!</v>
      </c>
      <c r="EL125" t="e">
        <f>AND('PROG FORMACIÓN TITULADA'!D1058,"AAAAAA39f40=")</f>
        <v>#VALUE!</v>
      </c>
      <c r="EM125">
        <f>IF('PROG FORMACIÓN TITULADA'!1059:1059,"AAAAAA39f44=",0)</f>
        <v>0</v>
      </c>
      <c r="EN125" t="e">
        <f>AND('PROG FORMACIÓN TITULADA'!A1059,"AAAAAA39f48=")</f>
        <v>#VALUE!</v>
      </c>
      <c r="EO125" t="e">
        <f>AND('PROG FORMACIÓN TITULADA'!B1058,"AAAAAA39f5A=")</f>
        <v>#VALUE!</v>
      </c>
      <c r="EP125" t="e">
        <f>AND('PROG FORMACIÓN TITULADA'!C1059,"AAAAAA39f5E=")</f>
        <v>#VALUE!</v>
      </c>
      <c r="EQ125" t="e">
        <f>AND('PROG FORMACIÓN TITULADA'!D1059,"AAAAAA39f5I=")</f>
        <v>#VALUE!</v>
      </c>
      <c r="ER125">
        <f>IF('PROG FORMACIÓN TITULADA'!1060:1060,"AAAAAA39f5M=",0)</f>
        <v>0</v>
      </c>
      <c r="ES125" t="e">
        <f>AND('PROG FORMACIÓN TITULADA'!A1060,"AAAAAA39f5Q=")</f>
        <v>#VALUE!</v>
      </c>
      <c r="ET125" t="e">
        <f>AND('PROG FORMACIÓN TITULADA'!B1059,"AAAAAA39f5U=")</f>
        <v>#VALUE!</v>
      </c>
      <c r="EU125" t="e">
        <f>AND('PROG FORMACIÓN TITULADA'!C1060,"AAAAAA39f5Y=")</f>
        <v>#VALUE!</v>
      </c>
      <c r="EV125" t="e">
        <f>AND('PROG FORMACIÓN TITULADA'!D1060,"AAAAAA39f5c=")</f>
        <v>#VALUE!</v>
      </c>
      <c r="EW125">
        <f>IF('PROG FORMACIÓN TITULADA'!1061:1061,"AAAAAA39f5g=",0)</f>
        <v>0</v>
      </c>
      <c r="EX125" t="e">
        <f>AND('PROG FORMACIÓN TITULADA'!A1061,"AAAAAA39f5k=")</f>
        <v>#VALUE!</v>
      </c>
      <c r="EY125" t="e">
        <f>AND('PROG FORMACIÓN TITULADA'!B1060,"AAAAAA39f5o=")</f>
        <v>#VALUE!</v>
      </c>
      <c r="EZ125" t="e">
        <f>AND('PROG FORMACIÓN TITULADA'!C1061,"AAAAAA39f5s=")</f>
        <v>#VALUE!</v>
      </c>
      <c r="FA125" t="e">
        <f>AND('PROG FORMACIÓN TITULADA'!D1061,"AAAAAA39f5w=")</f>
        <v>#VALUE!</v>
      </c>
      <c r="FB125">
        <f>IF('PROG FORMACIÓN TITULADA'!1062:1062,"AAAAAA39f50=",0)</f>
        <v>0</v>
      </c>
      <c r="FC125" t="e">
        <f>AND('PROG FORMACIÓN TITULADA'!A1062,"AAAAAA39f54=")</f>
        <v>#VALUE!</v>
      </c>
      <c r="FD125" t="e">
        <f>AND('PROG FORMACIÓN TITULADA'!B1061,"AAAAAA39f58=")</f>
        <v>#VALUE!</v>
      </c>
      <c r="FE125" t="e">
        <f>AND('PROG FORMACIÓN TITULADA'!C1062,"AAAAAA39f6A=")</f>
        <v>#VALUE!</v>
      </c>
      <c r="FF125" t="e">
        <f>AND('PROG FORMACIÓN TITULADA'!D1062,"AAAAAA39f6E=")</f>
        <v>#VALUE!</v>
      </c>
      <c r="FG125">
        <f>IF('PROG FORMACIÓN TITULADA'!1063:1063,"AAAAAA39f6I=",0)</f>
        <v>0</v>
      </c>
      <c r="FH125" t="e">
        <f>AND('PROG FORMACIÓN TITULADA'!A1063,"AAAAAA39f6M=")</f>
        <v>#VALUE!</v>
      </c>
      <c r="FI125" t="e">
        <f>AND('PROG FORMACIÓN TITULADA'!B1062,"AAAAAA39f6Q=")</f>
        <v>#VALUE!</v>
      </c>
      <c r="FJ125" t="e">
        <f>AND('PROG FORMACIÓN TITULADA'!C1063,"AAAAAA39f6U=")</f>
        <v>#VALUE!</v>
      </c>
      <c r="FK125" t="e">
        <f>AND('PROG FORMACIÓN TITULADA'!D1063,"AAAAAA39f6Y=")</f>
        <v>#VALUE!</v>
      </c>
      <c r="FL125">
        <f>IF('PROG FORMACIÓN TITULADA'!1064:1064,"AAAAAA39f6c=",0)</f>
        <v>0</v>
      </c>
      <c r="FM125" t="e">
        <f>AND('PROG FORMACIÓN TITULADA'!A1064,"AAAAAA39f6g=")</f>
        <v>#VALUE!</v>
      </c>
      <c r="FN125" t="e">
        <f>AND('PROG FORMACIÓN TITULADA'!B1063,"AAAAAA39f6k=")</f>
        <v>#VALUE!</v>
      </c>
      <c r="FO125" t="e">
        <f>AND('PROG FORMACIÓN TITULADA'!C1064,"AAAAAA39f6o=")</f>
        <v>#VALUE!</v>
      </c>
      <c r="FP125" t="e">
        <f>AND('PROG FORMACIÓN TITULADA'!D1064,"AAAAAA39f6s=")</f>
        <v>#VALUE!</v>
      </c>
      <c r="FQ125">
        <f>IF('PROG FORMACIÓN TITULADA'!1065:1065,"AAAAAA39f6w=",0)</f>
        <v>0</v>
      </c>
      <c r="FR125" t="e">
        <f>AND('PROG FORMACIÓN TITULADA'!A1065,"AAAAAA39f60=")</f>
        <v>#VALUE!</v>
      </c>
      <c r="FS125" t="e">
        <f>AND('PROG FORMACIÓN TITULADA'!B1064,"AAAAAA39f64=")</f>
        <v>#VALUE!</v>
      </c>
      <c r="FT125" t="e">
        <f>AND('PROG FORMACIÓN TITULADA'!C1065,"AAAAAA39f68=")</f>
        <v>#VALUE!</v>
      </c>
      <c r="FU125" t="e">
        <f>AND('PROG FORMACIÓN TITULADA'!D1065,"AAAAAA39f7A=")</f>
        <v>#VALUE!</v>
      </c>
      <c r="FV125">
        <f>IF('PROG FORMACIÓN TITULADA'!1066:1066,"AAAAAA39f7E=",0)</f>
        <v>0</v>
      </c>
      <c r="FW125" t="e">
        <f>AND('PROG FORMACIÓN TITULADA'!A1066,"AAAAAA39f7I=")</f>
        <v>#VALUE!</v>
      </c>
      <c r="FX125" t="e">
        <f>AND('PROG FORMACIÓN TITULADA'!B1065,"AAAAAA39f7M=")</f>
        <v>#VALUE!</v>
      </c>
      <c r="FY125" t="e">
        <f>AND('PROG FORMACIÓN TITULADA'!C1066,"AAAAAA39f7Q=")</f>
        <v>#VALUE!</v>
      </c>
      <c r="FZ125" t="e">
        <f>AND('PROG FORMACIÓN TITULADA'!D1066,"AAAAAA39f7U=")</f>
        <v>#VALUE!</v>
      </c>
      <c r="GA125">
        <f>IF('PROG FORMACIÓN TITULADA'!1067:1067,"AAAAAA39f7Y=",0)</f>
        <v>0</v>
      </c>
      <c r="GB125" t="e">
        <f>AND('PROG FORMACIÓN TITULADA'!A1067,"AAAAAA39f7c=")</f>
        <v>#VALUE!</v>
      </c>
      <c r="GC125" t="e">
        <f>AND('PROG FORMACIÓN TITULADA'!B1066,"AAAAAA39f7g=")</f>
        <v>#VALUE!</v>
      </c>
      <c r="GD125" t="e">
        <f>AND('PROG FORMACIÓN TITULADA'!C1067,"AAAAAA39f7k=")</f>
        <v>#VALUE!</v>
      </c>
      <c r="GE125" t="e">
        <f>AND('PROG FORMACIÓN TITULADA'!D1067,"AAAAAA39f7o=")</f>
        <v>#VALUE!</v>
      </c>
      <c r="GF125">
        <f>IF('PROG FORMACIÓN TITULADA'!1068:1068,"AAAAAA39f7s=",0)</f>
        <v>0</v>
      </c>
      <c r="GG125" t="e">
        <f>AND('PROG FORMACIÓN TITULADA'!A1068,"AAAAAA39f7w=")</f>
        <v>#VALUE!</v>
      </c>
      <c r="GH125" t="e">
        <f>AND('PROG FORMACIÓN TITULADA'!B1067,"AAAAAA39f70=")</f>
        <v>#VALUE!</v>
      </c>
      <c r="GI125" t="e">
        <f>AND('PROG FORMACIÓN TITULADA'!C1068,"AAAAAA39f74=")</f>
        <v>#VALUE!</v>
      </c>
      <c r="GJ125" t="e">
        <f>AND('PROG FORMACIÓN TITULADA'!D1068,"AAAAAA39f78=")</f>
        <v>#VALUE!</v>
      </c>
      <c r="GK125">
        <f>IF('PROG FORMACIÓN TITULADA'!1069:1069,"AAAAAA39f8A=",0)</f>
        <v>0</v>
      </c>
      <c r="GL125" t="e">
        <f>AND('PROG FORMACIÓN TITULADA'!A1069,"AAAAAA39f8E=")</f>
        <v>#VALUE!</v>
      </c>
      <c r="GM125" t="e">
        <f>AND('PROG FORMACIÓN TITULADA'!B1068,"AAAAAA39f8I=")</f>
        <v>#VALUE!</v>
      </c>
      <c r="GN125" t="e">
        <f>AND('PROG FORMACIÓN TITULADA'!C1069,"AAAAAA39f8M=")</f>
        <v>#VALUE!</v>
      </c>
      <c r="GO125" t="e">
        <f>AND('PROG FORMACIÓN TITULADA'!D1069,"AAAAAA39f8Q=")</f>
        <v>#VALUE!</v>
      </c>
      <c r="GP125">
        <f>IF('PROG FORMACIÓN TITULADA'!1070:1070,"AAAAAA39f8U=",0)</f>
        <v>0</v>
      </c>
      <c r="GQ125" t="e">
        <f>AND('PROG FORMACIÓN TITULADA'!A1070,"AAAAAA39f8Y=")</f>
        <v>#VALUE!</v>
      </c>
      <c r="GR125" t="e">
        <f>AND('PROG FORMACIÓN TITULADA'!B1069,"AAAAAA39f8c=")</f>
        <v>#VALUE!</v>
      </c>
      <c r="GS125" t="e">
        <f>AND('PROG FORMACIÓN TITULADA'!C1070,"AAAAAA39f8g=")</f>
        <v>#VALUE!</v>
      </c>
      <c r="GT125" t="e">
        <f>AND('PROG FORMACIÓN TITULADA'!D1070,"AAAAAA39f8k=")</f>
        <v>#VALUE!</v>
      </c>
      <c r="GU125" t="e">
        <f>IF('PROG FORMACIÓN TITULADA'!#REF!,"AAAAAA39f8o=",0)</f>
        <v>#REF!</v>
      </c>
      <c r="GV125" t="e">
        <f>AND('PROG FORMACIÓN TITULADA'!#REF!,"AAAAAA39f8s=")</f>
        <v>#REF!</v>
      </c>
      <c r="GW125" t="e">
        <f>AND('PROG FORMACIÓN TITULADA'!#REF!,"AAAAAA39f8w=")</f>
        <v>#REF!</v>
      </c>
      <c r="GX125" t="e">
        <f>AND('PROG FORMACIÓN TITULADA'!#REF!,"AAAAAA39f80=")</f>
        <v>#REF!</v>
      </c>
      <c r="GY125" t="e">
        <f>AND('PROG FORMACIÓN TITULADA'!#REF!,"AAAAAA39f84=")</f>
        <v>#REF!</v>
      </c>
      <c r="GZ125" t="e">
        <f>IF('PROG FORMACIÓN TITULADA'!#REF!,"AAAAAA39f88=",0)</f>
        <v>#REF!</v>
      </c>
      <c r="HA125" t="e">
        <f>AND('PROG FORMACIÓN TITULADA'!#REF!,"AAAAAA39f9A=")</f>
        <v>#REF!</v>
      </c>
      <c r="HB125" t="e">
        <f>AND('PROG FORMACIÓN TITULADA'!#REF!,"AAAAAA39f9E=")</f>
        <v>#REF!</v>
      </c>
      <c r="HC125" t="e">
        <f>AND('PROG FORMACIÓN TITULADA'!#REF!,"AAAAAA39f9I=")</f>
        <v>#REF!</v>
      </c>
      <c r="HD125" t="e">
        <f>AND('PROG FORMACIÓN TITULADA'!#REF!,"AAAAAA39f9M=")</f>
        <v>#REF!</v>
      </c>
      <c r="HE125" t="e">
        <f>IF('PROG FORMACIÓN TITULADA'!#REF!,"AAAAAA39f9Q=",0)</f>
        <v>#REF!</v>
      </c>
      <c r="HF125" t="e">
        <f>AND('PROG FORMACIÓN TITULADA'!#REF!,"AAAAAA39f9U=")</f>
        <v>#REF!</v>
      </c>
      <c r="HG125" t="e">
        <f>AND('PROG FORMACIÓN TITULADA'!#REF!,"AAAAAA39f9Y=")</f>
        <v>#REF!</v>
      </c>
      <c r="HH125" t="e">
        <f>AND('PROG FORMACIÓN TITULADA'!#REF!,"AAAAAA39f9c=")</f>
        <v>#REF!</v>
      </c>
      <c r="HI125" t="e">
        <f>AND('PROG FORMACIÓN TITULADA'!#REF!,"AAAAAA39f9g=")</f>
        <v>#REF!</v>
      </c>
      <c r="HJ125" t="e">
        <f>IF('PROG FORMACIÓN TITULADA'!#REF!,"AAAAAA39f9k=",0)</f>
        <v>#REF!</v>
      </c>
      <c r="HK125" t="e">
        <f>AND('PROG FORMACIÓN TITULADA'!#REF!,"AAAAAA39f9o=")</f>
        <v>#REF!</v>
      </c>
      <c r="HL125" t="e">
        <f>AND('PROG FORMACIÓN TITULADA'!#REF!,"AAAAAA39f9s=")</f>
        <v>#REF!</v>
      </c>
      <c r="HM125" t="e">
        <f>AND('PROG FORMACIÓN TITULADA'!#REF!,"AAAAAA39f9w=")</f>
        <v>#REF!</v>
      </c>
      <c r="HN125" t="e">
        <f>AND('PROG FORMACIÓN TITULADA'!#REF!,"AAAAAA39f90=")</f>
        <v>#REF!</v>
      </c>
      <c r="HO125" t="e">
        <f>IF('PROG FORMACIÓN TITULADA'!#REF!,"AAAAAA39f94=",0)</f>
        <v>#REF!</v>
      </c>
      <c r="HP125" t="e">
        <f>AND('PROG FORMACIÓN TITULADA'!#REF!,"AAAAAA39f98=")</f>
        <v>#REF!</v>
      </c>
      <c r="HQ125" t="e">
        <f>AND('PROG FORMACIÓN TITULADA'!#REF!,"AAAAAA39f+A=")</f>
        <v>#REF!</v>
      </c>
      <c r="HR125" t="e">
        <f>AND('PROG FORMACIÓN TITULADA'!#REF!,"AAAAAA39f+E=")</f>
        <v>#REF!</v>
      </c>
      <c r="HS125" t="e">
        <f>AND('PROG FORMACIÓN TITULADA'!#REF!,"AAAAAA39f+I=")</f>
        <v>#REF!</v>
      </c>
      <c r="HT125" t="e">
        <f>IF('PROG FORMACIÓN TITULADA'!#REF!,"AAAAAA39f+M=",0)</f>
        <v>#REF!</v>
      </c>
      <c r="HU125" t="e">
        <f>AND('PROG FORMACIÓN TITULADA'!#REF!,"AAAAAA39f+Q=")</f>
        <v>#REF!</v>
      </c>
      <c r="HV125" t="e">
        <f>AND('PROG FORMACIÓN TITULADA'!#REF!,"AAAAAA39f+U=")</f>
        <v>#REF!</v>
      </c>
      <c r="HW125" t="e">
        <f>AND('PROG FORMACIÓN TITULADA'!#REF!,"AAAAAA39f+Y=")</f>
        <v>#REF!</v>
      </c>
      <c r="HX125" t="e">
        <f>AND('PROG FORMACIÓN TITULADA'!#REF!,"AAAAAA39f+c=")</f>
        <v>#REF!</v>
      </c>
      <c r="HY125" t="e">
        <f>IF('PROG FORMACIÓN TITULADA'!#REF!,"AAAAAA39f+g=",0)</f>
        <v>#REF!</v>
      </c>
      <c r="HZ125" t="e">
        <f>AND('PROG FORMACIÓN TITULADA'!#REF!,"AAAAAA39f+k=")</f>
        <v>#REF!</v>
      </c>
      <c r="IA125" t="e">
        <f>AND('PROG FORMACIÓN TITULADA'!#REF!,"AAAAAA39f+o=")</f>
        <v>#REF!</v>
      </c>
      <c r="IB125" t="e">
        <f>AND('PROG FORMACIÓN TITULADA'!#REF!,"AAAAAA39f+s=")</f>
        <v>#REF!</v>
      </c>
      <c r="IC125" t="e">
        <f>AND('PROG FORMACIÓN TITULADA'!#REF!,"AAAAAA39f+w=")</f>
        <v>#REF!</v>
      </c>
      <c r="ID125" t="e">
        <f>IF('PROG FORMACIÓN TITULADA'!#REF!,"AAAAAA39f+0=",0)</f>
        <v>#REF!</v>
      </c>
      <c r="IE125" t="e">
        <f>AND('PROG FORMACIÓN TITULADA'!#REF!,"AAAAAA39f+4=")</f>
        <v>#REF!</v>
      </c>
      <c r="IF125" t="e">
        <f>AND('PROG FORMACIÓN TITULADA'!#REF!,"AAAAAA39f+8=")</f>
        <v>#REF!</v>
      </c>
      <c r="IG125" t="e">
        <f>AND('PROG FORMACIÓN TITULADA'!#REF!,"AAAAAA39f/A=")</f>
        <v>#REF!</v>
      </c>
      <c r="IH125" t="e">
        <f>AND('PROG FORMACIÓN TITULADA'!#REF!,"AAAAAA39f/E=")</f>
        <v>#REF!</v>
      </c>
      <c r="II125" t="e">
        <f>IF('PROG FORMACIÓN TITULADA'!#REF!,"AAAAAA39f/I=",0)</f>
        <v>#REF!</v>
      </c>
      <c r="IJ125" t="e">
        <f>AND('PROG FORMACIÓN TITULADA'!#REF!,"AAAAAA39f/M=")</f>
        <v>#REF!</v>
      </c>
      <c r="IK125" t="e">
        <f>AND('PROG FORMACIÓN TITULADA'!#REF!,"AAAAAA39f/Q=")</f>
        <v>#REF!</v>
      </c>
      <c r="IL125" t="e">
        <f>AND('PROG FORMACIÓN TITULADA'!#REF!,"AAAAAA39f/U=")</f>
        <v>#REF!</v>
      </c>
      <c r="IM125" t="e">
        <f>AND('PROG FORMACIÓN TITULADA'!#REF!,"AAAAAA39f/Y=")</f>
        <v>#REF!</v>
      </c>
      <c r="IN125" t="e">
        <f>IF('PROG FORMACIÓN TITULADA'!#REF!,"AAAAAA39f/c=",0)</f>
        <v>#REF!</v>
      </c>
      <c r="IO125" t="e">
        <f>AND('PROG FORMACIÓN TITULADA'!#REF!,"AAAAAA39f/g=")</f>
        <v>#REF!</v>
      </c>
      <c r="IP125" t="e">
        <f>AND('PROG FORMACIÓN TITULADA'!#REF!,"AAAAAA39f/k=")</f>
        <v>#REF!</v>
      </c>
      <c r="IQ125" t="e">
        <f>AND('PROG FORMACIÓN TITULADA'!#REF!,"AAAAAA39f/o=")</f>
        <v>#REF!</v>
      </c>
      <c r="IR125" t="e">
        <f>AND('PROG FORMACIÓN TITULADA'!#REF!,"AAAAAA39f/s=")</f>
        <v>#REF!</v>
      </c>
      <c r="IS125" t="e">
        <f>IF('PROG FORMACIÓN TITULADA'!#REF!,"AAAAAA39f/w=",0)</f>
        <v>#REF!</v>
      </c>
      <c r="IT125" t="e">
        <f>AND('PROG FORMACIÓN TITULADA'!#REF!,"AAAAAA39f/0=")</f>
        <v>#REF!</v>
      </c>
      <c r="IU125" t="e">
        <f>AND('PROG FORMACIÓN TITULADA'!#REF!,"AAAAAA39f/4=")</f>
        <v>#REF!</v>
      </c>
      <c r="IV125" t="e">
        <f>AND('PROG FORMACIÓN TITULADA'!#REF!,"AAAAAA39f/8=")</f>
        <v>#REF!</v>
      </c>
    </row>
    <row r="126" spans="1:256" x14ac:dyDescent="0.2">
      <c r="A126" t="e">
        <f>AND('PROG FORMACIÓN TITULADA'!#REF!,"AAAAAH/f9wA=")</f>
        <v>#REF!</v>
      </c>
      <c r="B126" t="e">
        <f>IF('PROG FORMACIÓN TITULADA'!#REF!,"AAAAAH/f9wE=",0)</f>
        <v>#REF!</v>
      </c>
      <c r="C126" t="e">
        <f>AND('PROG FORMACIÓN TITULADA'!#REF!,"AAAAAH/f9wI=")</f>
        <v>#REF!</v>
      </c>
      <c r="D126" t="e">
        <f>AND('PROG FORMACIÓN TITULADA'!#REF!,"AAAAAH/f9wM=")</f>
        <v>#REF!</v>
      </c>
      <c r="E126" t="e">
        <f>AND('PROG FORMACIÓN TITULADA'!#REF!,"AAAAAH/f9wQ=")</f>
        <v>#REF!</v>
      </c>
      <c r="F126" t="e">
        <f>AND('PROG FORMACIÓN TITULADA'!#REF!,"AAAAAH/f9wU=")</f>
        <v>#REF!</v>
      </c>
      <c r="G126" t="e">
        <f>IF('PROG FORMACIÓN TITULADA'!#REF!,"AAAAAH/f9wY=",0)</f>
        <v>#REF!</v>
      </c>
      <c r="H126" t="e">
        <f>AND('PROG FORMACIÓN TITULADA'!#REF!,"AAAAAH/f9wc=")</f>
        <v>#REF!</v>
      </c>
      <c r="I126" t="e">
        <f>AND('PROG FORMACIÓN TITULADA'!#REF!,"AAAAAH/f9wg=")</f>
        <v>#REF!</v>
      </c>
      <c r="J126" t="e">
        <f>AND('PROG FORMACIÓN TITULADA'!#REF!,"AAAAAH/f9wk=")</f>
        <v>#REF!</v>
      </c>
      <c r="K126" t="e">
        <f>AND('PROG FORMACIÓN TITULADA'!#REF!,"AAAAAH/f9wo=")</f>
        <v>#REF!</v>
      </c>
      <c r="L126" t="e">
        <f>IF('PROG FORMACIÓN TITULADA'!#REF!,"AAAAAH/f9ws=",0)</f>
        <v>#REF!</v>
      </c>
      <c r="M126" t="e">
        <f>AND('PROG FORMACIÓN TITULADA'!#REF!,"AAAAAH/f9ww=")</f>
        <v>#REF!</v>
      </c>
      <c r="N126" t="e">
        <f>AND('PROG FORMACIÓN TITULADA'!#REF!,"AAAAAH/f9w0=")</f>
        <v>#REF!</v>
      </c>
      <c r="O126" t="e">
        <f>AND('PROG FORMACIÓN TITULADA'!#REF!,"AAAAAH/f9w4=")</f>
        <v>#REF!</v>
      </c>
      <c r="P126" t="e">
        <f>AND('PROG FORMACIÓN TITULADA'!#REF!,"AAAAAH/f9w8=")</f>
        <v>#REF!</v>
      </c>
      <c r="Q126" t="e">
        <f>IF('PROG FORMACIÓN TITULADA'!#REF!,"AAAAAH/f9xA=",0)</f>
        <v>#REF!</v>
      </c>
      <c r="R126" t="e">
        <f>AND('PROG FORMACIÓN TITULADA'!#REF!,"AAAAAH/f9xE=")</f>
        <v>#REF!</v>
      </c>
      <c r="S126" t="e">
        <f>AND('PROG FORMACIÓN TITULADA'!#REF!,"AAAAAH/f9xI=")</f>
        <v>#REF!</v>
      </c>
      <c r="T126" t="e">
        <f>AND('PROG FORMACIÓN TITULADA'!#REF!,"AAAAAH/f9xM=")</f>
        <v>#REF!</v>
      </c>
      <c r="U126" t="e">
        <f>AND('PROG FORMACIÓN TITULADA'!#REF!,"AAAAAH/f9xQ=")</f>
        <v>#REF!</v>
      </c>
      <c r="V126" t="e">
        <f>IF('PROG FORMACIÓN TITULADA'!#REF!,"AAAAAH/f9xU=",0)</f>
        <v>#REF!</v>
      </c>
      <c r="W126" t="e">
        <f>AND('PROG FORMACIÓN TITULADA'!#REF!,"AAAAAH/f9xY=")</f>
        <v>#REF!</v>
      </c>
      <c r="X126" t="e">
        <f>AND('PROG FORMACIÓN TITULADA'!#REF!,"AAAAAH/f9xc=")</f>
        <v>#REF!</v>
      </c>
      <c r="Y126" t="e">
        <f>AND('PROG FORMACIÓN TITULADA'!#REF!,"AAAAAH/f9xg=")</f>
        <v>#REF!</v>
      </c>
      <c r="Z126" t="e">
        <f>AND('PROG FORMACIÓN TITULADA'!#REF!,"AAAAAH/f9xk=")</f>
        <v>#REF!</v>
      </c>
      <c r="AA126" t="e">
        <f>IF('PROG FORMACIÓN TITULADA'!#REF!,"AAAAAH/f9xo=",0)</f>
        <v>#REF!</v>
      </c>
      <c r="AB126" t="e">
        <f>AND('PROG FORMACIÓN TITULADA'!#REF!,"AAAAAH/f9xs=")</f>
        <v>#REF!</v>
      </c>
      <c r="AC126" t="e">
        <f>AND('PROG FORMACIÓN TITULADA'!#REF!,"AAAAAH/f9xw=")</f>
        <v>#REF!</v>
      </c>
      <c r="AD126" t="e">
        <f>AND('PROG FORMACIÓN TITULADA'!#REF!,"AAAAAH/f9x0=")</f>
        <v>#REF!</v>
      </c>
      <c r="AE126" t="e">
        <f>AND('PROG FORMACIÓN TITULADA'!#REF!,"AAAAAH/f9x4=")</f>
        <v>#REF!</v>
      </c>
      <c r="AF126" t="e">
        <f>IF('PROG FORMACIÓN TITULADA'!#REF!,"AAAAAH/f9x8=",0)</f>
        <v>#REF!</v>
      </c>
      <c r="AG126" t="e">
        <f>AND('PROG FORMACIÓN TITULADA'!#REF!,"AAAAAH/f9yA=")</f>
        <v>#REF!</v>
      </c>
      <c r="AH126" t="e">
        <f>AND('PROG FORMACIÓN TITULADA'!#REF!,"AAAAAH/f9yE=")</f>
        <v>#REF!</v>
      </c>
      <c r="AI126" t="e">
        <f>AND('PROG FORMACIÓN TITULADA'!#REF!,"AAAAAH/f9yI=")</f>
        <v>#REF!</v>
      </c>
      <c r="AJ126" t="e">
        <f>AND('PROG FORMACIÓN TITULADA'!#REF!,"AAAAAH/f9yM=")</f>
        <v>#REF!</v>
      </c>
      <c r="AK126" t="e">
        <f>IF('PROG FORMACIÓN TITULADA'!#REF!,"AAAAAH/f9yQ=",0)</f>
        <v>#REF!</v>
      </c>
      <c r="AL126" t="e">
        <f>AND('PROG FORMACIÓN TITULADA'!#REF!,"AAAAAH/f9yU=")</f>
        <v>#REF!</v>
      </c>
      <c r="AM126" t="e">
        <f>AND('PROG FORMACIÓN TITULADA'!#REF!,"AAAAAH/f9yY=")</f>
        <v>#REF!</v>
      </c>
      <c r="AN126" t="e">
        <f>AND('PROG FORMACIÓN TITULADA'!#REF!,"AAAAAH/f9yc=")</f>
        <v>#REF!</v>
      </c>
      <c r="AO126" t="e">
        <f>AND('PROG FORMACIÓN TITULADA'!#REF!,"AAAAAH/f9yg=")</f>
        <v>#REF!</v>
      </c>
      <c r="AP126" t="e">
        <f>IF('PROG FORMACIÓN TITULADA'!#REF!,"AAAAAH/f9yk=",0)</f>
        <v>#REF!</v>
      </c>
      <c r="AQ126" t="e">
        <f>AND('PROG FORMACIÓN TITULADA'!#REF!,"AAAAAH/f9yo=")</f>
        <v>#REF!</v>
      </c>
      <c r="AR126" t="e">
        <f>AND('PROG FORMACIÓN TITULADA'!#REF!,"AAAAAH/f9ys=")</f>
        <v>#REF!</v>
      </c>
      <c r="AS126" t="e">
        <f>AND('PROG FORMACIÓN TITULADA'!#REF!,"AAAAAH/f9yw=")</f>
        <v>#REF!</v>
      </c>
      <c r="AT126" t="e">
        <f>AND('PROG FORMACIÓN TITULADA'!#REF!,"AAAAAH/f9y0=")</f>
        <v>#REF!</v>
      </c>
      <c r="AU126" t="e">
        <f>IF('PROG FORMACIÓN TITULADA'!#REF!,"AAAAAH/f9y4=",0)</f>
        <v>#REF!</v>
      </c>
      <c r="AV126" t="e">
        <f>AND('PROG FORMACIÓN TITULADA'!#REF!,"AAAAAH/f9y8=")</f>
        <v>#REF!</v>
      </c>
      <c r="AW126" t="e">
        <f>AND('PROG FORMACIÓN TITULADA'!#REF!,"AAAAAH/f9zA=")</f>
        <v>#REF!</v>
      </c>
      <c r="AX126" t="e">
        <f>AND('PROG FORMACIÓN TITULADA'!#REF!,"AAAAAH/f9zE=")</f>
        <v>#REF!</v>
      </c>
      <c r="AY126" t="e">
        <f>AND('PROG FORMACIÓN TITULADA'!#REF!,"AAAAAH/f9zI=")</f>
        <v>#REF!</v>
      </c>
      <c r="AZ126" t="e">
        <f>IF('PROG FORMACIÓN TITULADA'!#REF!,"AAAAAH/f9zM=",0)</f>
        <v>#REF!</v>
      </c>
      <c r="BA126" t="e">
        <f>AND('PROG FORMACIÓN TITULADA'!#REF!,"AAAAAH/f9zQ=")</f>
        <v>#REF!</v>
      </c>
      <c r="BB126" t="e">
        <f>AND('PROG FORMACIÓN TITULADA'!#REF!,"AAAAAH/f9zU=")</f>
        <v>#REF!</v>
      </c>
      <c r="BC126" t="e">
        <f>AND('PROG FORMACIÓN TITULADA'!#REF!,"AAAAAH/f9zY=")</f>
        <v>#REF!</v>
      </c>
      <c r="BD126" t="e">
        <f>AND('PROG FORMACIÓN TITULADA'!#REF!,"AAAAAH/f9zc=")</f>
        <v>#REF!</v>
      </c>
      <c r="BE126" t="e">
        <f>IF('PROG FORMACIÓN TITULADA'!#REF!,"AAAAAH/f9zg=",0)</f>
        <v>#REF!</v>
      </c>
      <c r="BF126" t="e">
        <f>AND('PROG FORMACIÓN TITULADA'!#REF!,"AAAAAH/f9zk=")</f>
        <v>#REF!</v>
      </c>
      <c r="BG126" t="e">
        <f>AND('PROG FORMACIÓN TITULADA'!#REF!,"AAAAAH/f9zo=")</f>
        <v>#REF!</v>
      </c>
      <c r="BH126" t="e">
        <f>AND('PROG FORMACIÓN TITULADA'!#REF!,"AAAAAH/f9zs=")</f>
        <v>#REF!</v>
      </c>
      <c r="BI126" t="e">
        <f>AND('PROG FORMACIÓN TITULADA'!#REF!,"AAAAAH/f9zw=")</f>
        <v>#REF!</v>
      </c>
      <c r="BJ126" t="e">
        <f>IF('PROG FORMACIÓN TITULADA'!#REF!,"AAAAAH/f9z0=",0)</f>
        <v>#REF!</v>
      </c>
      <c r="BK126" t="e">
        <f>AND('PROG FORMACIÓN TITULADA'!#REF!,"AAAAAH/f9z4=")</f>
        <v>#REF!</v>
      </c>
      <c r="BL126" t="e">
        <f>AND('PROG FORMACIÓN TITULADA'!#REF!,"AAAAAH/f9z8=")</f>
        <v>#REF!</v>
      </c>
      <c r="BM126" t="e">
        <f>AND('PROG FORMACIÓN TITULADA'!#REF!,"AAAAAH/f90A=")</f>
        <v>#REF!</v>
      </c>
      <c r="BN126" t="e">
        <f>AND('PROG FORMACIÓN TITULADA'!#REF!,"AAAAAH/f90E=")</f>
        <v>#REF!</v>
      </c>
      <c r="BO126" t="e">
        <f>IF('PROG FORMACIÓN TITULADA'!#REF!,"AAAAAH/f90I=",0)</f>
        <v>#REF!</v>
      </c>
      <c r="BP126" t="e">
        <f>AND('PROG FORMACIÓN TITULADA'!#REF!,"AAAAAH/f90M=")</f>
        <v>#REF!</v>
      </c>
      <c r="BQ126" t="e">
        <f>AND('PROG FORMACIÓN TITULADA'!#REF!,"AAAAAH/f90Q=")</f>
        <v>#REF!</v>
      </c>
      <c r="BR126" t="e">
        <f>AND('PROG FORMACIÓN TITULADA'!#REF!,"AAAAAH/f90U=")</f>
        <v>#REF!</v>
      </c>
      <c r="BS126" t="e">
        <f>AND('PROG FORMACIÓN TITULADA'!#REF!,"AAAAAH/f90Y=")</f>
        <v>#REF!</v>
      </c>
      <c r="BT126" t="e">
        <f>IF('PROG FORMACIÓN TITULADA'!#REF!,"AAAAAH/f90c=",0)</f>
        <v>#REF!</v>
      </c>
      <c r="BU126" t="e">
        <f>AND('PROG FORMACIÓN TITULADA'!#REF!,"AAAAAH/f90g=")</f>
        <v>#REF!</v>
      </c>
      <c r="BV126" t="e">
        <f>AND('PROG FORMACIÓN TITULADA'!#REF!,"AAAAAH/f90k=")</f>
        <v>#REF!</v>
      </c>
      <c r="BW126" t="e">
        <f>AND('PROG FORMACIÓN TITULADA'!#REF!,"AAAAAH/f90o=")</f>
        <v>#REF!</v>
      </c>
      <c r="BX126" t="e">
        <f>AND('PROG FORMACIÓN TITULADA'!#REF!,"AAAAAH/f90s=")</f>
        <v>#REF!</v>
      </c>
      <c r="BY126" t="e">
        <f>IF('PROG FORMACIÓN TITULADA'!#REF!,"AAAAAH/f90w=",0)</f>
        <v>#REF!</v>
      </c>
      <c r="BZ126" t="e">
        <f>AND('PROG FORMACIÓN TITULADA'!#REF!,"AAAAAH/f900=")</f>
        <v>#REF!</v>
      </c>
      <c r="CA126" t="e">
        <f>AND('PROG FORMACIÓN TITULADA'!#REF!,"AAAAAH/f904=")</f>
        <v>#REF!</v>
      </c>
      <c r="CB126" t="e">
        <f>AND('PROG FORMACIÓN TITULADA'!#REF!,"AAAAAH/f908=")</f>
        <v>#REF!</v>
      </c>
      <c r="CC126" t="e">
        <f>AND('PROG FORMACIÓN TITULADA'!#REF!,"AAAAAH/f91A=")</f>
        <v>#REF!</v>
      </c>
      <c r="CD126" t="e">
        <f>IF('PROG FORMACIÓN TITULADA'!#REF!,"AAAAAH/f91E=",0)</f>
        <v>#REF!</v>
      </c>
      <c r="CE126" t="e">
        <f>AND('PROG FORMACIÓN TITULADA'!#REF!,"AAAAAH/f91I=")</f>
        <v>#REF!</v>
      </c>
      <c r="CF126" t="e">
        <f>AND('PROG FORMACIÓN TITULADA'!#REF!,"AAAAAH/f91M=")</f>
        <v>#REF!</v>
      </c>
      <c r="CG126" t="e">
        <f>AND('PROG FORMACIÓN TITULADA'!#REF!,"AAAAAH/f91Q=")</f>
        <v>#REF!</v>
      </c>
      <c r="CH126" t="e">
        <f>AND('PROG FORMACIÓN TITULADA'!#REF!,"AAAAAH/f91U=")</f>
        <v>#REF!</v>
      </c>
      <c r="CI126" t="e">
        <f>IF('PROG FORMACIÓN TITULADA'!#REF!,"AAAAAH/f91Y=",0)</f>
        <v>#REF!</v>
      </c>
      <c r="CJ126" t="e">
        <f>AND('PROG FORMACIÓN TITULADA'!#REF!,"AAAAAH/f91c=")</f>
        <v>#REF!</v>
      </c>
      <c r="CK126" t="e">
        <f>AND('PROG FORMACIÓN TITULADA'!#REF!,"AAAAAH/f91g=")</f>
        <v>#REF!</v>
      </c>
      <c r="CL126" t="e">
        <f>AND('PROG FORMACIÓN TITULADA'!#REF!,"AAAAAH/f91k=")</f>
        <v>#REF!</v>
      </c>
      <c r="CM126" t="e">
        <f>AND('PROG FORMACIÓN TITULADA'!#REF!,"AAAAAH/f91o=")</f>
        <v>#REF!</v>
      </c>
      <c r="CN126" t="e">
        <f>IF('PROG FORMACIÓN TITULADA'!#REF!,"AAAAAH/f91s=",0)</f>
        <v>#REF!</v>
      </c>
      <c r="CO126" t="e">
        <f>AND('PROG FORMACIÓN TITULADA'!#REF!,"AAAAAH/f91w=")</f>
        <v>#REF!</v>
      </c>
      <c r="CP126" t="e">
        <f>AND('PROG FORMACIÓN TITULADA'!#REF!,"AAAAAH/f910=")</f>
        <v>#REF!</v>
      </c>
      <c r="CQ126" t="e">
        <f>AND('PROG FORMACIÓN TITULADA'!#REF!,"AAAAAH/f914=")</f>
        <v>#REF!</v>
      </c>
      <c r="CR126" t="e">
        <f>AND('PROG FORMACIÓN TITULADA'!#REF!,"AAAAAH/f918=")</f>
        <v>#REF!</v>
      </c>
      <c r="CS126" t="e">
        <f>IF('PROG FORMACIÓN TITULADA'!#REF!,"AAAAAH/f92A=",0)</f>
        <v>#REF!</v>
      </c>
      <c r="CT126" t="e">
        <f>AND('PROG FORMACIÓN TITULADA'!#REF!,"AAAAAH/f92E=")</f>
        <v>#REF!</v>
      </c>
      <c r="CU126" t="e">
        <f>AND('PROG FORMACIÓN TITULADA'!#REF!,"AAAAAH/f92I=")</f>
        <v>#REF!</v>
      </c>
      <c r="CV126" t="e">
        <f>AND('PROG FORMACIÓN TITULADA'!#REF!,"AAAAAH/f92M=")</f>
        <v>#REF!</v>
      </c>
      <c r="CW126" t="e">
        <f>AND('PROG FORMACIÓN TITULADA'!#REF!,"AAAAAH/f92Q=")</f>
        <v>#REF!</v>
      </c>
      <c r="CX126" t="e">
        <f>IF('PROG FORMACIÓN TITULADA'!#REF!,"AAAAAH/f92U=",0)</f>
        <v>#REF!</v>
      </c>
      <c r="CY126" t="e">
        <f>AND('PROG FORMACIÓN TITULADA'!#REF!,"AAAAAH/f92Y=")</f>
        <v>#REF!</v>
      </c>
      <c r="CZ126" t="e">
        <f>AND('PROG FORMACIÓN TITULADA'!#REF!,"AAAAAH/f92c=")</f>
        <v>#REF!</v>
      </c>
      <c r="DA126" t="e">
        <f>AND('PROG FORMACIÓN TITULADA'!#REF!,"AAAAAH/f92g=")</f>
        <v>#REF!</v>
      </c>
      <c r="DB126" t="e">
        <f>AND('PROG FORMACIÓN TITULADA'!#REF!,"AAAAAH/f92k=")</f>
        <v>#REF!</v>
      </c>
      <c r="DC126" t="e">
        <f>IF('PROG FORMACIÓN TITULADA'!#REF!,"AAAAAH/f92o=",0)</f>
        <v>#REF!</v>
      </c>
      <c r="DD126" t="e">
        <f>AND('PROG FORMACIÓN TITULADA'!#REF!,"AAAAAH/f92s=")</f>
        <v>#REF!</v>
      </c>
      <c r="DE126" t="e">
        <f>AND('PROG FORMACIÓN TITULADA'!#REF!,"AAAAAH/f92w=")</f>
        <v>#REF!</v>
      </c>
      <c r="DF126" t="e">
        <f>AND('PROG FORMACIÓN TITULADA'!#REF!,"AAAAAH/f920=")</f>
        <v>#REF!</v>
      </c>
      <c r="DG126" t="e">
        <f>AND('PROG FORMACIÓN TITULADA'!#REF!,"AAAAAH/f924=")</f>
        <v>#REF!</v>
      </c>
      <c r="DH126" t="e">
        <f>IF('PROG FORMACIÓN TITULADA'!#REF!,"AAAAAH/f928=",0)</f>
        <v>#REF!</v>
      </c>
      <c r="DI126" t="e">
        <f>AND('PROG FORMACIÓN TITULADA'!#REF!,"AAAAAH/f93A=")</f>
        <v>#REF!</v>
      </c>
      <c r="DJ126" t="e">
        <f>AND('PROG FORMACIÓN TITULADA'!#REF!,"AAAAAH/f93E=")</f>
        <v>#REF!</v>
      </c>
      <c r="DK126" t="e">
        <f>AND('PROG FORMACIÓN TITULADA'!#REF!,"AAAAAH/f93I=")</f>
        <v>#REF!</v>
      </c>
      <c r="DL126" t="e">
        <f>AND('PROG FORMACIÓN TITULADA'!#REF!,"AAAAAH/f93M=")</f>
        <v>#REF!</v>
      </c>
      <c r="DM126" t="e">
        <f>IF('PROG FORMACIÓN TITULADA'!#REF!,"AAAAAH/f93Q=",0)</f>
        <v>#REF!</v>
      </c>
      <c r="DN126" t="e">
        <f>AND('PROG FORMACIÓN TITULADA'!#REF!,"AAAAAH/f93U=")</f>
        <v>#REF!</v>
      </c>
      <c r="DO126" t="e">
        <f>AND('PROG FORMACIÓN TITULADA'!#REF!,"AAAAAH/f93Y=")</f>
        <v>#REF!</v>
      </c>
      <c r="DP126" t="e">
        <f>AND('PROG FORMACIÓN TITULADA'!#REF!,"AAAAAH/f93c=")</f>
        <v>#REF!</v>
      </c>
      <c r="DQ126" t="e">
        <f>AND('PROG FORMACIÓN TITULADA'!#REF!,"AAAAAH/f93g=")</f>
        <v>#REF!</v>
      </c>
      <c r="DR126" t="e">
        <f>IF('PROG FORMACIÓN TITULADA'!#REF!,"AAAAAH/f93k=",0)</f>
        <v>#REF!</v>
      </c>
      <c r="DS126" t="e">
        <f>AND('PROG FORMACIÓN TITULADA'!#REF!,"AAAAAH/f93o=")</f>
        <v>#REF!</v>
      </c>
      <c r="DT126" t="e">
        <f>AND('PROG FORMACIÓN TITULADA'!#REF!,"AAAAAH/f93s=")</f>
        <v>#REF!</v>
      </c>
      <c r="DU126" t="e">
        <f>AND('PROG FORMACIÓN TITULADA'!#REF!,"AAAAAH/f93w=")</f>
        <v>#REF!</v>
      </c>
      <c r="DV126" t="e">
        <f>AND('PROG FORMACIÓN TITULADA'!#REF!,"AAAAAH/f930=")</f>
        <v>#REF!</v>
      </c>
      <c r="DW126" t="e">
        <f>IF('PROG FORMACIÓN TITULADA'!#REF!,"AAAAAH/f934=",0)</f>
        <v>#REF!</v>
      </c>
      <c r="DX126" t="e">
        <f>AND('PROG FORMACIÓN TITULADA'!#REF!,"AAAAAH/f938=")</f>
        <v>#REF!</v>
      </c>
      <c r="DY126" t="e">
        <f>AND('PROG FORMACIÓN TITULADA'!#REF!,"AAAAAH/f94A=")</f>
        <v>#REF!</v>
      </c>
      <c r="DZ126" t="e">
        <f>AND('PROG FORMACIÓN TITULADA'!#REF!,"AAAAAH/f94E=")</f>
        <v>#REF!</v>
      </c>
      <c r="EA126" t="e">
        <f>AND('PROG FORMACIÓN TITULADA'!#REF!,"AAAAAH/f94I=")</f>
        <v>#REF!</v>
      </c>
      <c r="EB126" t="e">
        <f>IF('PROG FORMACIÓN TITULADA'!#REF!,"AAAAAH/f94M=",0)</f>
        <v>#REF!</v>
      </c>
      <c r="EC126" t="e">
        <f>AND('PROG FORMACIÓN TITULADA'!#REF!,"AAAAAH/f94Q=")</f>
        <v>#REF!</v>
      </c>
      <c r="ED126" t="e">
        <f>AND('PROG FORMACIÓN TITULADA'!#REF!,"AAAAAH/f94U=")</f>
        <v>#REF!</v>
      </c>
      <c r="EE126" t="e">
        <f>AND('PROG FORMACIÓN TITULADA'!#REF!,"AAAAAH/f94Y=")</f>
        <v>#REF!</v>
      </c>
      <c r="EF126" t="e">
        <f>AND('PROG FORMACIÓN TITULADA'!#REF!,"AAAAAH/f94c=")</f>
        <v>#REF!</v>
      </c>
      <c r="EG126" t="e">
        <f>IF('PROG FORMACIÓN TITULADA'!#REF!,"AAAAAH/f94g=",0)</f>
        <v>#REF!</v>
      </c>
      <c r="EH126" t="e">
        <f>AND('PROG FORMACIÓN TITULADA'!#REF!,"AAAAAH/f94k=")</f>
        <v>#REF!</v>
      </c>
      <c r="EI126" t="e">
        <f>AND('PROG FORMACIÓN TITULADA'!#REF!,"AAAAAH/f94o=")</f>
        <v>#REF!</v>
      </c>
      <c r="EJ126" t="e">
        <f>AND('PROG FORMACIÓN TITULADA'!#REF!,"AAAAAH/f94s=")</f>
        <v>#REF!</v>
      </c>
      <c r="EK126" t="e">
        <f>AND('PROG FORMACIÓN TITULADA'!#REF!,"AAAAAH/f94w=")</f>
        <v>#REF!</v>
      </c>
      <c r="EL126" t="e">
        <f>IF('PROG FORMACIÓN TITULADA'!#REF!,"AAAAAH/f940=",0)</f>
        <v>#REF!</v>
      </c>
      <c r="EM126" t="e">
        <f>AND('PROG FORMACIÓN TITULADA'!#REF!,"AAAAAH/f944=")</f>
        <v>#REF!</v>
      </c>
      <c r="EN126" t="e">
        <f>AND('PROG FORMACIÓN TITULADA'!#REF!,"AAAAAH/f948=")</f>
        <v>#REF!</v>
      </c>
      <c r="EO126" t="e">
        <f>AND('PROG FORMACIÓN TITULADA'!#REF!,"AAAAAH/f95A=")</f>
        <v>#REF!</v>
      </c>
      <c r="EP126" t="e">
        <f>AND('PROG FORMACIÓN TITULADA'!#REF!,"AAAAAH/f95E=")</f>
        <v>#REF!</v>
      </c>
      <c r="EQ126" t="e">
        <f>IF('PROG FORMACIÓN TITULADA'!#REF!,"AAAAAH/f95I=",0)</f>
        <v>#REF!</v>
      </c>
      <c r="ER126" t="e">
        <f>AND('PROG FORMACIÓN TITULADA'!#REF!,"AAAAAH/f95M=")</f>
        <v>#REF!</v>
      </c>
      <c r="ES126" t="e">
        <f>AND('PROG FORMACIÓN TITULADA'!#REF!,"AAAAAH/f95Q=")</f>
        <v>#REF!</v>
      </c>
      <c r="ET126" t="e">
        <f>AND('PROG FORMACIÓN TITULADA'!#REF!,"AAAAAH/f95U=")</f>
        <v>#REF!</v>
      </c>
      <c r="EU126" t="e">
        <f>AND('PROG FORMACIÓN TITULADA'!#REF!,"AAAAAH/f95Y=")</f>
        <v>#REF!</v>
      </c>
      <c r="EV126" t="e">
        <f>IF('PROG FORMACIÓN TITULADA'!#REF!,"AAAAAH/f95c=",0)</f>
        <v>#REF!</v>
      </c>
      <c r="EW126" t="e">
        <f>AND('PROG FORMACIÓN TITULADA'!#REF!,"AAAAAH/f95g=")</f>
        <v>#REF!</v>
      </c>
      <c r="EX126" t="e">
        <f>AND('PROG FORMACIÓN TITULADA'!#REF!,"AAAAAH/f95k=")</f>
        <v>#REF!</v>
      </c>
      <c r="EY126" t="e">
        <f>AND('PROG FORMACIÓN TITULADA'!#REF!,"AAAAAH/f95o=")</f>
        <v>#REF!</v>
      </c>
      <c r="EZ126" t="e">
        <f>AND('PROG FORMACIÓN TITULADA'!#REF!,"AAAAAH/f95s=")</f>
        <v>#REF!</v>
      </c>
      <c r="FA126" t="e">
        <f>IF('PROG FORMACIÓN TITULADA'!#REF!,"AAAAAH/f95w=",0)</f>
        <v>#REF!</v>
      </c>
      <c r="FB126" t="e">
        <f>AND('PROG FORMACIÓN TITULADA'!#REF!,"AAAAAH/f950=")</f>
        <v>#REF!</v>
      </c>
      <c r="FC126" t="e">
        <f>AND('PROG FORMACIÓN TITULADA'!#REF!,"AAAAAH/f954=")</f>
        <v>#REF!</v>
      </c>
      <c r="FD126" t="e">
        <f>AND('PROG FORMACIÓN TITULADA'!#REF!,"AAAAAH/f958=")</f>
        <v>#REF!</v>
      </c>
      <c r="FE126" t="e">
        <f>AND('PROG FORMACIÓN TITULADA'!#REF!,"AAAAAH/f96A=")</f>
        <v>#REF!</v>
      </c>
      <c r="FF126" t="e">
        <f>IF('PROG FORMACIÓN TITULADA'!#REF!,"AAAAAH/f96E=",0)</f>
        <v>#REF!</v>
      </c>
      <c r="FG126" t="e">
        <f>AND('PROG FORMACIÓN TITULADA'!#REF!,"AAAAAH/f96I=")</f>
        <v>#REF!</v>
      </c>
      <c r="FH126" t="e">
        <f>AND('PROG FORMACIÓN TITULADA'!#REF!,"AAAAAH/f96M=")</f>
        <v>#REF!</v>
      </c>
      <c r="FI126" t="e">
        <f>AND('PROG FORMACIÓN TITULADA'!#REF!,"AAAAAH/f96Q=")</f>
        <v>#REF!</v>
      </c>
      <c r="FJ126" t="e">
        <f>AND('PROG FORMACIÓN TITULADA'!#REF!,"AAAAAH/f96U=")</f>
        <v>#REF!</v>
      </c>
      <c r="FK126" t="e">
        <f>IF('PROG FORMACIÓN TITULADA'!#REF!,"AAAAAH/f96Y=",0)</f>
        <v>#REF!</v>
      </c>
      <c r="FL126" t="e">
        <f>AND('PROG FORMACIÓN TITULADA'!#REF!,"AAAAAH/f96c=")</f>
        <v>#REF!</v>
      </c>
      <c r="FM126" t="e">
        <f>AND('PROG FORMACIÓN TITULADA'!#REF!,"AAAAAH/f96g=")</f>
        <v>#REF!</v>
      </c>
      <c r="FN126" t="e">
        <f>AND('PROG FORMACIÓN TITULADA'!#REF!,"AAAAAH/f96k=")</f>
        <v>#REF!</v>
      </c>
      <c r="FO126" t="e">
        <f>AND('PROG FORMACIÓN TITULADA'!#REF!,"AAAAAH/f96o=")</f>
        <v>#REF!</v>
      </c>
      <c r="FP126" t="e">
        <f>IF('PROG FORMACIÓN TITULADA'!#REF!,"AAAAAH/f96s=",0)</f>
        <v>#REF!</v>
      </c>
      <c r="FQ126" t="e">
        <f>AND('PROG FORMACIÓN TITULADA'!#REF!,"AAAAAH/f96w=")</f>
        <v>#REF!</v>
      </c>
      <c r="FR126" t="e">
        <f>AND('PROG FORMACIÓN TITULADA'!#REF!,"AAAAAH/f960=")</f>
        <v>#REF!</v>
      </c>
      <c r="FS126" t="e">
        <f>AND('PROG FORMACIÓN TITULADA'!#REF!,"AAAAAH/f964=")</f>
        <v>#REF!</v>
      </c>
      <c r="FT126" t="e">
        <f>AND('PROG FORMACIÓN TITULADA'!#REF!,"AAAAAH/f968=")</f>
        <v>#REF!</v>
      </c>
      <c r="FU126" t="e">
        <f>IF('PROG FORMACIÓN TITULADA'!#REF!,"AAAAAH/f97A=",0)</f>
        <v>#REF!</v>
      </c>
      <c r="FV126" t="e">
        <f>AND('PROG FORMACIÓN TITULADA'!#REF!,"AAAAAH/f97E=")</f>
        <v>#REF!</v>
      </c>
      <c r="FW126" t="e">
        <f>AND('PROG FORMACIÓN TITULADA'!#REF!,"AAAAAH/f97I=")</f>
        <v>#REF!</v>
      </c>
      <c r="FX126" t="e">
        <f>AND('PROG FORMACIÓN TITULADA'!#REF!,"AAAAAH/f97M=")</f>
        <v>#REF!</v>
      </c>
      <c r="FY126" t="e">
        <f>AND('PROG FORMACIÓN TITULADA'!#REF!,"AAAAAH/f97Q=")</f>
        <v>#REF!</v>
      </c>
      <c r="FZ126" t="e">
        <f>IF('PROG FORMACIÓN TITULADA'!#REF!,"AAAAAH/f97U=",0)</f>
        <v>#REF!</v>
      </c>
      <c r="GA126" t="e">
        <f>AND('PROG FORMACIÓN TITULADA'!#REF!,"AAAAAH/f97Y=")</f>
        <v>#REF!</v>
      </c>
      <c r="GB126" t="e">
        <f>AND('PROG FORMACIÓN TITULADA'!#REF!,"AAAAAH/f97c=")</f>
        <v>#REF!</v>
      </c>
      <c r="GC126" t="e">
        <f>AND('PROG FORMACIÓN TITULADA'!#REF!,"AAAAAH/f97g=")</f>
        <v>#REF!</v>
      </c>
      <c r="GD126" t="e">
        <f>AND('PROG FORMACIÓN TITULADA'!#REF!,"AAAAAH/f97k=")</f>
        <v>#REF!</v>
      </c>
      <c r="GE126" t="e">
        <f>IF('PROG FORMACIÓN TITULADA'!#REF!,"AAAAAH/f97o=",0)</f>
        <v>#REF!</v>
      </c>
      <c r="GF126" t="e">
        <f>AND('PROG FORMACIÓN TITULADA'!#REF!,"AAAAAH/f97s=")</f>
        <v>#REF!</v>
      </c>
      <c r="GG126" t="e">
        <f>AND('PROG FORMACIÓN TITULADA'!#REF!,"AAAAAH/f97w=")</f>
        <v>#REF!</v>
      </c>
      <c r="GH126" t="e">
        <f>AND('PROG FORMACIÓN TITULADA'!#REF!,"AAAAAH/f970=")</f>
        <v>#REF!</v>
      </c>
      <c r="GI126" t="e">
        <f>AND('PROG FORMACIÓN TITULADA'!#REF!,"AAAAAH/f974=")</f>
        <v>#REF!</v>
      </c>
      <c r="GJ126" t="e">
        <f>IF('PROG FORMACIÓN TITULADA'!#REF!,"AAAAAH/f978=",0)</f>
        <v>#REF!</v>
      </c>
      <c r="GK126" t="e">
        <f>AND('PROG FORMACIÓN TITULADA'!#REF!,"AAAAAH/f98A=")</f>
        <v>#REF!</v>
      </c>
      <c r="GL126" t="e">
        <f>AND('PROG FORMACIÓN TITULADA'!#REF!,"AAAAAH/f98E=")</f>
        <v>#REF!</v>
      </c>
      <c r="GM126" t="e">
        <f>AND('PROG FORMACIÓN TITULADA'!#REF!,"AAAAAH/f98I=")</f>
        <v>#REF!</v>
      </c>
      <c r="GN126" t="e">
        <f>AND('PROG FORMACIÓN TITULADA'!#REF!,"AAAAAH/f98M=")</f>
        <v>#REF!</v>
      </c>
      <c r="GO126" t="e">
        <f>IF('PROG FORMACIÓN TITULADA'!#REF!,"AAAAAH/f98Q=",0)</f>
        <v>#REF!</v>
      </c>
      <c r="GP126" t="e">
        <f>AND('PROG FORMACIÓN TITULADA'!#REF!,"AAAAAH/f98U=")</f>
        <v>#REF!</v>
      </c>
      <c r="GQ126" t="e">
        <f>AND('PROG FORMACIÓN TITULADA'!#REF!,"AAAAAH/f98Y=")</f>
        <v>#REF!</v>
      </c>
      <c r="GR126" t="e">
        <f>AND('PROG FORMACIÓN TITULADA'!#REF!,"AAAAAH/f98c=")</f>
        <v>#REF!</v>
      </c>
      <c r="GS126" t="e">
        <f>AND('PROG FORMACIÓN TITULADA'!#REF!,"AAAAAH/f98g=")</f>
        <v>#REF!</v>
      </c>
      <c r="GT126" t="e">
        <f>IF('PROG FORMACIÓN TITULADA'!#REF!,"AAAAAH/f98k=",0)</f>
        <v>#REF!</v>
      </c>
      <c r="GU126" t="e">
        <f>AND('PROG FORMACIÓN TITULADA'!#REF!,"AAAAAH/f98o=")</f>
        <v>#REF!</v>
      </c>
      <c r="GV126" t="e">
        <f>AND('PROG FORMACIÓN TITULADA'!#REF!,"AAAAAH/f98s=")</f>
        <v>#REF!</v>
      </c>
      <c r="GW126" t="e">
        <f>AND('PROG FORMACIÓN TITULADA'!#REF!,"AAAAAH/f98w=")</f>
        <v>#REF!</v>
      </c>
      <c r="GX126" t="e">
        <f>AND('PROG FORMACIÓN TITULADA'!#REF!,"AAAAAH/f980=")</f>
        <v>#REF!</v>
      </c>
      <c r="GY126" t="e">
        <f>IF('PROG FORMACIÓN TITULADA'!#REF!,"AAAAAH/f984=",0)</f>
        <v>#REF!</v>
      </c>
      <c r="GZ126" t="e">
        <f>AND('PROG FORMACIÓN TITULADA'!#REF!,"AAAAAH/f988=")</f>
        <v>#REF!</v>
      </c>
      <c r="HA126" t="e">
        <f>AND('PROG FORMACIÓN TITULADA'!#REF!,"AAAAAH/f99A=")</f>
        <v>#REF!</v>
      </c>
      <c r="HB126" t="e">
        <f>AND('PROG FORMACIÓN TITULADA'!#REF!,"AAAAAH/f99E=")</f>
        <v>#REF!</v>
      </c>
      <c r="HC126" t="e">
        <f>AND('PROG FORMACIÓN TITULADA'!#REF!,"AAAAAH/f99I=")</f>
        <v>#REF!</v>
      </c>
      <c r="HD126" t="e">
        <f>IF('PROG FORMACIÓN TITULADA'!#REF!,"AAAAAH/f99M=",0)</f>
        <v>#REF!</v>
      </c>
      <c r="HE126" t="e">
        <f>AND('PROG FORMACIÓN TITULADA'!#REF!,"AAAAAH/f99Q=")</f>
        <v>#REF!</v>
      </c>
      <c r="HF126" t="e">
        <f>AND('PROG FORMACIÓN TITULADA'!#REF!,"AAAAAH/f99U=")</f>
        <v>#REF!</v>
      </c>
      <c r="HG126" t="e">
        <f>AND('PROG FORMACIÓN TITULADA'!#REF!,"AAAAAH/f99Y=")</f>
        <v>#REF!</v>
      </c>
      <c r="HH126" t="e">
        <f>AND('PROG FORMACIÓN TITULADA'!#REF!,"AAAAAH/f99c=")</f>
        <v>#REF!</v>
      </c>
      <c r="HI126" t="e">
        <f>IF('PROG FORMACIÓN TITULADA'!#REF!,"AAAAAH/f99g=",0)</f>
        <v>#REF!</v>
      </c>
      <c r="HJ126" t="e">
        <f>AND('PROG FORMACIÓN TITULADA'!#REF!,"AAAAAH/f99k=")</f>
        <v>#REF!</v>
      </c>
      <c r="HK126" t="e">
        <f>AND('PROG FORMACIÓN TITULADA'!#REF!,"AAAAAH/f99o=")</f>
        <v>#REF!</v>
      </c>
      <c r="HL126" t="e">
        <f>AND('PROG FORMACIÓN TITULADA'!#REF!,"AAAAAH/f99s=")</f>
        <v>#REF!</v>
      </c>
      <c r="HM126" t="e">
        <f>AND('PROG FORMACIÓN TITULADA'!#REF!,"AAAAAH/f99w=")</f>
        <v>#REF!</v>
      </c>
      <c r="HN126" t="e">
        <f>IF('PROG FORMACIÓN TITULADA'!#REF!,"AAAAAH/f990=",0)</f>
        <v>#REF!</v>
      </c>
      <c r="HO126" t="e">
        <f>AND('PROG FORMACIÓN TITULADA'!#REF!,"AAAAAH/f994=")</f>
        <v>#REF!</v>
      </c>
      <c r="HP126" t="e">
        <f>AND('PROG FORMACIÓN TITULADA'!#REF!,"AAAAAH/f998=")</f>
        <v>#REF!</v>
      </c>
      <c r="HQ126" t="e">
        <f>AND('PROG FORMACIÓN TITULADA'!#REF!,"AAAAAH/f9+A=")</f>
        <v>#REF!</v>
      </c>
      <c r="HR126" t="e">
        <f>AND('PROG FORMACIÓN TITULADA'!#REF!,"AAAAAH/f9+E=")</f>
        <v>#REF!</v>
      </c>
      <c r="HS126" t="e">
        <f>IF('PROG FORMACIÓN TITULADA'!#REF!,"AAAAAH/f9+I=",0)</f>
        <v>#REF!</v>
      </c>
      <c r="HT126" t="e">
        <f>AND('PROG FORMACIÓN TITULADA'!#REF!,"AAAAAH/f9+M=")</f>
        <v>#REF!</v>
      </c>
      <c r="HU126" t="e">
        <f>AND('PROG FORMACIÓN TITULADA'!#REF!,"AAAAAH/f9+Q=")</f>
        <v>#REF!</v>
      </c>
      <c r="HV126" t="e">
        <f>AND('PROG FORMACIÓN TITULADA'!#REF!,"AAAAAH/f9+U=")</f>
        <v>#REF!</v>
      </c>
      <c r="HW126" t="e">
        <f>AND('PROG FORMACIÓN TITULADA'!#REF!,"AAAAAH/f9+Y=")</f>
        <v>#REF!</v>
      </c>
      <c r="HX126" t="e">
        <f>IF('PROG FORMACIÓN TITULADA'!#REF!,"AAAAAH/f9+c=",0)</f>
        <v>#REF!</v>
      </c>
      <c r="HY126" t="e">
        <f>AND('PROG FORMACIÓN TITULADA'!#REF!,"AAAAAH/f9+g=")</f>
        <v>#REF!</v>
      </c>
      <c r="HZ126" t="e">
        <f>AND('PROG FORMACIÓN TITULADA'!#REF!,"AAAAAH/f9+k=")</f>
        <v>#REF!</v>
      </c>
      <c r="IA126" t="e">
        <f>AND('PROG FORMACIÓN TITULADA'!#REF!,"AAAAAH/f9+o=")</f>
        <v>#REF!</v>
      </c>
      <c r="IB126" t="e">
        <f>AND('PROG FORMACIÓN TITULADA'!#REF!,"AAAAAH/f9+s=")</f>
        <v>#REF!</v>
      </c>
      <c r="IC126" t="e">
        <f>IF('PROG FORMACIÓN TITULADA'!#REF!,"AAAAAH/f9+w=",0)</f>
        <v>#REF!</v>
      </c>
      <c r="ID126" t="e">
        <f>AND('PROG FORMACIÓN TITULADA'!#REF!,"AAAAAH/f9+0=")</f>
        <v>#REF!</v>
      </c>
      <c r="IE126" t="e">
        <f>AND('PROG FORMACIÓN TITULADA'!#REF!,"AAAAAH/f9+4=")</f>
        <v>#REF!</v>
      </c>
      <c r="IF126" t="e">
        <f>AND('PROG FORMACIÓN TITULADA'!#REF!,"AAAAAH/f9+8=")</f>
        <v>#REF!</v>
      </c>
      <c r="IG126" t="e">
        <f>AND('PROG FORMACIÓN TITULADA'!#REF!,"AAAAAH/f9/A=")</f>
        <v>#REF!</v>
      </c>
      <c r="IH126" t="e">
        <f>IF('PROG FORMACIÓN TITULADA'!#REF!,"AAAAAH/f9/E=",0)</f>
        <v>#REF!</v>
      </c>
      <c r="II126" t="e">
        <f>AND('PROG FORMACIÓN TITULADA'!#REF!,"AAAAAH/f9/I=")</f>
        <v>#REF!</v>
      </c>
      <c r="IJ126" t="e">
        <f>AND('PROG FORMACIÓN TITULADA'!#REF!,"AAAAAH/f9/M=")</f>
        <v>#REF!</v>
      </c>
      <c r="IK126" t="e">
        <f>AND('PROG FORMACIÓN TITULADA'!#REF!,"AAAAAH/f9/Q=")</f>
        <v>#REF!</v>
      </c>
      <c r="IL126" t="e">
        <f>AND('PROG FORMACIÓN TITULADA'!#REF!,"AAAAAH/f9/U=")</f>
        <v>#REF!</v>
      </c>
      <c r="IM126" t="e">
        <f>IF('PROG FORMACIÓN TITULADA'!#REF!,"AAAAAH/f9/Y=",0)</f>
        <v>#REF!</v>
      </c>
      <c r="IN126" t="e">
        <f>AND('PROG FORMACIÓN TITULADA'!#REF!,"AAAAAH/f9/c=")</f>
        <v>#REF!</v>
      </c>
      <c r="IO126" t="e">
        <f>AND('PROG FORMACIÓN TITULADA'!#REF!,"AAAAAH/f9/g=")</f>
        <v>#REF!</v>
      </c>
      <c r="IP126" t="e">
        <f>AND('PROG FORMACIÓN TITULADA'!#REF!,"AAAAAH/f9/k=")</f>
        <v>#REF!</v>
      </c>
      <c r="IQ126" t="e">
        <f>AND('PROG FORMACIÓN TITULADA'!#REF!,"AAAAAH/f9/o=")</f>
        <v>#REF!</v>
      </c>
      <c r="IR126" t="e">
        <f>IF('PROG FORMACIÓN TITULADA'!#REF!,"AAAAAH/f9/s=",0)</f>
        <v>#REF!</v>
      </c>
      <c r="IS126" t="e">
        <f>AND('PROG FORMACIÓN TITULADA'!#REF!,"AAAAAH/f9/w=")</f>
        <v>#REF!</v>
      </c>
      <c r="IT126" t="e">
        <f>AND('PROG FORMACIÓN TITULADA'!#REF!,"AAAAAH/f9/0=")</f>
        <v>#REF!</v>
      </c>
      <c r="IU126" t="e">
        <f>AND('PROG FORMACIÓN TITULADA'!#REF!,"AAAAAH/f9/4=")</f>
        <v>#REF!</v>
      </c>
      <c r="IV126" t="e">
        <f>AND('PROG FORMACIÓN TITULADA'!#REF!,"AAAAAH/f9/8=")</f>
        <v>#REF!</v>
      </c>
    </row>
    <row r="127" spans="1:256" x14ac:dyDescent="0.2">
      <c r="A127" t="e">
        <f>IF('PROG FORMACIÓN TITULADA'!#REF!,"AAAAAC9P/QA=",0)</f>
        <v>#REF!</v>
      </c>
      <c r="B127" t="e">
        <f>AND('PROG FORMACIÓN TITULADA'!#REF!,"AAAAAC9P/QE=")</f>
        <v>#REF!</v>
      </c>
      <c r="C127" t="e">
        <f>AND('PROG FORMACIÓN TITULADA'!#REF!,"AAAAAC9P/QI=")</f>
        <v>#REF!</v>
      </c>
      <c r="D127" t="e">
        <f>AND('PROG FORMACIÓN TITULADA'!#REF!,"AAAAAC9P/QM=")</f>
        <v>#REF!</v>
      </c>
      <c r="E127" t="e">
        <f>AND('PROG FORMACIÓN TITULADA'!#REF!,"AAAAAC9P/QQ=")</f>
        <v>#REF!</v>
      </c>
      <c r="F127" t="e">
        <f>IF('PROG FORMACIÓN TITULADA'!#REF!,"AAAAAC9P/QU=",0)</f>
        <v>#REF!</v>
      </c>
      <c r="G127" t="e">
        <f>AND('PROG FORMACIÓN TITULADA'!#REF!,"AAAAAC9P/QY=")</f>
        <v>#REF!</v>
      </c>
      <c r="H127" t="e">
        <f>AND('PROG FORMACIÓN TITULADA'!#REF!,"AAAAAC9P/Qc=")</f>
        <v>#REF!</v>
      </c>
      <c r="I127" t="e">
        <f>AND('PROG FORMACIÓN TITULADA'!#REF!,"AAAAAC9P/Qg=")</f>
        <v>#REF!</v>
      </c>
      <c r="J127" t="e">
        <f>AND('PROG FORMACIÓN TITULADA'!#REF!,"AAAAAC9P/Qk=")</f>
        <v>#REF!</v>
      </c>
      <c r="K127" t="e">
        <f>IF('PROG FORMACIÓN TITULADA'!#REF!,"AAAAAC9P/Qo=",0)</f>
        <v>#REF!</v>
      </c>
      <c r="L127" t="e">
        <f>AND('PROG FORMACIÓN TITULADA'!#REF!,"AAAAAC9P/Qs=")</f>
        <v>#REF!</v>
      </c>
      <c r="M127" t="e">
        <f>AND('PROG FORMACIÓN TITULADA'!#REF!,"AAAAAC9P/Qw=")</f>
        <v>#REF!</v>
      </c>
      <c r="N127" t="e">
        <f>AND('PROG FORMACIÓN TITULADA'!#REF!,"AAAAAC9P/Q0=")</f>
        <v>#REF!</v>
      </c>
      <c r="O127" t="e">
        <f>AND('PROG FORMACIÓN TITULADA'!#REF!,"AAAAAC9P/Q4=")</f>
        <v>#REF!</v>
      </c>
      <c r="P127" t="e">
        <f>IF('PROG FORMACIÓN TITULADA'!#REF!,"AAAAAC9P/Q8=",0)</f>
        <v>#REF!</v>
      </c>
      <c r="Q127" t="e">
        <f>AND('PROG FORMACIÓN TITULADA'!#REF!,"AAAAAC9P/RA=")</f>
        <v>#REF!</v>
      </c>
      <c r="R127" t="e">
        <f>AND('PROG FORMACIÓN TITULADA'!#REF!,"AAAAAC9P/RE=")</f>
        <v>#REF!</v>
      </c>
      <c r="S127" t="e">
        <f>AND('PROG FORMACIÓN TITULADA'!#REF!,"AAAAAC9P/RI=")</f>
        <v>#REF!</v>
      </c>
      <c r="T127" t="e">
        <f>AND('PROG FORMACIÓN TITULADA'!#REF!,"AAAAAC9P/RM=")</f>
        <v>#REF!</v>
      </c>
      <c r="U127" t="e">
        <f>IF('PROG FORMACIÓN TITULADA'!#REF!,"AAAAAC9P/RQ=",0)</f>
        <v>#REF!</v>
      </c>
      <c r="V127" t="e">
        <f>AND('PROG FORMACIÓN TITULADA'!#REF!,"AAAAAC9P/RU=")</f>
        <v>#REF!</v>
      </c>
      <c r="W127" t="e">
        <f>AND('PROG FORMACIÓN TITULADA'!#REF!,"AAAAAC9P/RY=")</f>
        <v>#REF!</v>
      </c>
      <c r="X127" t="e">
        <f>AND('PROG FORMACIÓN TITULADA'!#REF!,"AAAAAC9P/Rc=")</f>
        <v>#REF!</v>
      </c>
      <c r="Y127" t="e">
        <f>AND('PROG FORMACIÓN TITULADA'!#REF!,"AAAAAC9P/Rg=")</f>
        <v>#REF!</v>
      </c>
      <c r="Z127" t="e">
        <f>IF('PROG FORMACIÓN TITULADA'!#REF!,"AAAAAC9P/Rk=",0)</f>
        <v>#REF!</v>
      </c>
      <c r="AA127" t="e">
        <f>AND('PROG FORMACIÓN TITULADA'!#REF!,"AAAAAC9P/Ro=")</f>
        <v>#REF!</v>
      </c>
      <c r="AB127" t="e">
        <f>AND('PROG FORMACIÓN TITULADA'!#REF!,"AAAAAC9P/Rs=")</f>
        <v>#REF!</v>
      </c>
      <c r="AC127" t="e">
        <f>AND('PROG FORMACIÓN TITULADA'!#REF!,"AAAAAC9P/Rw=")</f>
        <v>#REF!</v>
      </c>
      <c r="AD127" t="e">
        <f>AND('PROG FORMACIÓN TITULADA'!#REF!,"AAAAAC9P/R0=")</f>
        <v>#REF!</v>
      </c>
      <c r="AE127" t="e">
        <f>IF('PROG FORMACIÓN TITULADA'!#REF!,"AAAAAC9P/R4=",0)</f>
        <v>#REF!</v>
      </c>
      <c r="AF127" t="e">
        <f>AND('PROG FORMACIÓN TITULADA'!#REF!,"AAAAAC9P/R8=")</f>
        <v>#REF!</v>
      </c>
      <c r="AG127" t="e">
        <f>AND('PROG FORMACIÓN TITULADA'!#REF!,"AAAAAC9P/SA=")</f>
        <v>#REF!</v>
      </c>
      <c r="AH127" t="e">
        <f>AND('PROG FORMACIÓN TITULADA'!#REF!,"AAAAAC9P/SE=")</f>
        <v>#REF!</v>
      </c>
      <c r="AI127" t="e">
        <f>AND('PROG FORMACIÓN TITULADA'!#REF!,"AAAAAC9P/SI=")</f>
        <v>#REF!</v>
      </c>
      <c r="AJ127" t="e">
        <f>IF('PROG FORMACIÓN TITULADA'!#REF!,"AAAAAC9P/SM=",0)</f>
        <v>#REF!</v>
      </c>
      <c r="AK127" t="e">
        <f>AND('PROG FORMACIÓN TITULADA'!#REF!,"AAAAAC9P/SQ=")</f>
        <v>#REF!</v>
      </c>
      <c r="AL127" t="e">
        <f>AND('PROG FORMACIÓN TITULADA'!#REF!,"AAAAAC9P/SU=")</f>
        <v>#REF!</v>
      </c>
      <c r="AM127" t="e">
        <f>AND('PROG FORMACIÓN TITULADA'!#REF!,"AAAAAC9P/SY=")</f>
        <v>#REF!</v>
      </c>
      <c r="AN127" t="e">
        <f>AND('PROG FORMACIÓN TITULADA'!#REF!,"AAAAAC9P/Sc=")</f>
        <v>#REF!</v>
      </c>
      <c r="AO127" t="e">
        <f>IF('PROG FORMACIÓN TITULADA'!#REF!,"AAAAAC9P/Sg=",0)</f>
        <v>#REF!</v>
      </c>
      <c r="AP127" t="e">
        <f>AND('PROG FORMACIÓN TITULADA'!#REF!,"AAAAAC9P/Sk=")</f>
        <v>#REF!</v>
      </c>
      <c r="AQ127" t="e">
        <f>AND('PROG FORMACIÓN TITULADA'!#REF!,"AAAAAC9P/So=")</f>
        <v>#REF!</v>
      </c>
      <c r="AR127" t="e">
        <f>AND('PROG FORMACIÓN TITULADA'!#REF!,"AAAAAC9P/Ss=")</f>
        <v>#REF!</v>
      </c>
      <c r="AS127" t="e">
        <f>AND('PROG FORMACIÓN TITULADA'!#REF!,"AAAAAC9P/Sw=")</f>
        <v>#REF!</v>
      </c>
      <c r="AT127" t="e">
        <f>IF('PROG FORMACIÓN TITULADA'!#REF!,"AAAAAC9P/S0=",0)</f>
        <v>#REF!</v>
      </c>
      <c r="AU127" t="e">
        <f>AND('PROG FORMACIÓN TITULADA'!#REF!,"AAAAAC9P/S4=")</f>
        <v>#REF!</v>
      </c>
      <c r="AV127" t="e">
        <f>AND('PROG FORMACIÓN TITULADA'!#REF!,"AAAAAC9P/S8=")</f>
        <v>#REF!</v>
      </c>
      <c r="AW127" t="e">
        <f>AND('PROG FORMACIÓN TITULADA'!#REF!,"AAAAAC9P/TA=")</f>
        <v>#REF!</v>
      </c>
      <c r="AX127" t="e">
        <f>AND('PROG FORMACIÓN TITULADA'!#REF!,"AAAAAC9P/TE=")</f>
        <v>#REF!</v>
      </c>
      <c r="AY127" t="e">
        <f>IF('PROG FORMACIÓN TITULADA'!#REF!,"AAAAAC9P/TI=",0)</f>
        <v>#REF!</v>
      </c>
      <c r="AZ127" t="e">
        <f>AND('PROG FORMACIÓN TITULADA'!#REF!,"AAAAAC9P/TM=")</f>
        <v>#REF!</v>
      </c>
      <c r="BA127" t="e">
        <f>AND('PROG FORMACIÓN TITULADA'!#REF!,"AAAAAC9P/TQ=")</f>
        <v>#REF!</v>
      </c>
      <c r="BB127" t="e">
        <f>AND('PROG FORMACIÓN TITULADA'!#REF!,"AAAAAC9P/TU=")</f>
        <v>#REF!</v>
      </c>
      <c r="BC127" t="e">
        <f>AND('PROG FORMACIÓN TITULADA'!#REF!,"AAAAAC9P/TY=")</f>
        <v>#REF!</v>
      </c>
      <c r="BD127" t="e">
        <f>IF('PROG FORMACIÓN TITULADA'!#REF!,"AAAAAC9P/Tc=",0)</f>
        <v>#REF!</v>
      </c>
      <c r="BE127" t="e">
        <f>AND('PROG FORMACIÓN TITULADA'!#REF!,"AAAAAC9P/Tg=")</f>
        <v>#REF!</v>
      </c>
      <c r="BF127" t="e">
        <f>AND('PROG FORMACIÓN TITULADA'!#REF!,"AAAAAC9P/Tk=")</f>
        <v>#REF!</v>
      </c>
      <c r="BG127" t="e">
        <f>AND('PROG FORMACIÓN TITULADA'!#REF!,"AAAAAC9P/To=")</f>
        <v>#REF!</v>
      </c>
      <c r="BH127" t="e">
        <f>AND('PROG FORMACIÓN TITULADA'!#REF!,"AAAAAC9P/Ts=")</f>
        <v>#REF!</v>
      </c>
      <c r="BI127" t="e">
        <f>IF('PROG FORMACIÓN TITULADA'!#REF!,"AAAAAC9P/Tw=",0)</f>
        <v>#REF!</v>
      </c>
      <c r="BJ127" t="e">
        <f>AND('PROG FORMACIÓN TITULADA'!#REF!,"AAAAAC9P/T0=")</f>
        <v>#REF!</v>
      </c>
      <c r="BK127" t="e">
        <f>AND('PROG FORMACIÓN TITULADA'!#REF!,"AAAAAC9P/T4=")</f>
        <v>#REF!</v>
      </c>
      <c r="BL127" t="e">
        <f>AND('PROG FORMACIÓN TITULADA'!#REF!,"AAAAAC9P/T8=")</f>
        <v>#REF!</v>
      </c>
      <c r="BM127" t="e">
        <f>AND('PROG FORMACIÓN TITULADA'!#REF!,"AAAAAC9P/UA=")</f>
        <v>#REF!</v>
      </c>
      <c r="BN127" t="e">
        <f>IF('PROG FORMACIÓN TITULADA'!#REF!,"AAAAAC9P/UE=",0)</f>
        <v>#REF!</v>
      </c>
      <c r="BO127" t="e">
        <f>AND('PROG FORMACIÓN TITULADA'!#REF!,"AAAAAC9P/UI=")</f>
        <v>#REF!</v>
      </c>
      <c r="BP127" t="e">
        <f>AND('PROG FORMACIÓN TITULADA'!#REF!,"AAAAAC9P/UM=")</f>
        <v>#REF!</v>
      </c>
      <c r="BQ127" t="e">
        <f>AND('PROG FORMACIÓN TITULADA'!#REF!,"AAAAAC9P/UQ=")</f>
        <v>#REF!</v>
      </c>
      <c r="BR127" t="e">
        <f>AND('PROG FORMACIÓN TITULADA'!#REF!,"AAAAAC9P/UU=")</f>
        <v>#REF!</v>
      </c>
      <c r="BS127" t="e">
        <f>IF('PROG FORMACIÓN TITULADA'!#REF!,"AAAAAC9P/UY=",0)</f>
        <v>#REF!</v>
      </c>
      <c r="BT127" t="e">
        <f>AND('PROG FORMACIÓN TITULADA'!#REF!,"AAAAAC9P/Uc=")</f>
        <v>#REF!</v>
      </c>
      <c r="BU127" t="e">
        <f>AND('PROG FORMACIÓN TITULADA'!#REF!,"AAAAAC9P/Ug=")</f>
        <v>#REF!</v>
      </c>
      <c r="BV127" t="e">
        <f>AND('PROG FORMACIÓN TITULADA'!#REF!,"AAAAAC9P/Uk=")</f>
        <v>#REF!</v>
      </c>
      <c r="BW127" t="e">
        <f>AND('PROG FORMACIÓN TITULADA'!#REF!,"AAAAAC9P/Uo=")</f>
        <v>#REF!</v>
      </c>
      <c r="BX127" t="e">
        <f>IF('PROG FORMACIÓN TITULADA'!#REF!,"AAAAAC9P/Us=",0)</f>
        <v>#REF!</v>
      </c>
      <c r="BY127" t="e">
        <f>AND('PROG FORMACIÓN TITULADA'!#REF!,"AAAAAC9P/Uw=")</f>
        <v>#REF!</v>
      </c>
      <c r="BZ127" t="e">
        <f>AND('PROG FORMACIÓN TITULADA'!#REF!,"AAAAAC9P/U0=")</f>
        <v>#REF!</v>
      </c>
      <c r="CA127" t="e">
        <f>AND('PROG FORMACIÓN TITULADA'!#REF!,"AAAAAC9P/U4=")</f>
        <v>#REF!</v>
      </c>
      <c r="CB127" t="e">
        <f>AND('PROG FORMACIÓN TITULADA'!#REF!,"AAAAAC9P/U8=")</f>
        <v>#REF!</v>
      </c>
      <c r="CC127" t="e">
        <f>IF('PROG FORMACIÓN TITULADA'!#REF!,"AAAAAC9P/VA=",0)</f>
        <v>#REF!</v>
      </c>
      <c r="CD127" t="e">
        <f>AND('PROG FORMACIÓN TITULADA'!#REF!,"AAAAAC9P/VE=")</f>
        <v>#REF!</v>
      </c>
      <c r="CE127" t="e">
        <f>AND('PROG FORMACIÓN TITULADA'!#REF!,"AAAAAC9P/VI=")</f>
        <v>#REF!</v>
      </c>
      <c r="CF127" t="e">
        <f>AND('PROG FORMACIÓN TITULADA'!#REF!,"AAAAAC9P/VM=")</f>
        <v>#REF!</v>
      </c>
      <c r="CG127" t="e">
        <f>AND('PROG FORMACIÓN TITULADA'!#REF!,"AAAAAC9P/VQ=")</f>
        <v>#REF!</v>
      </c>
      <c r="CH127" t="e">
        <f>IF('PROG FORMACIÓN TITULADA'!#REF!,"AAAAAC9P/VU=",0)</f>
        <v>#REF!</v>
      </c>
      <c r="CI127" t="e">
        <f>AND('PROG FORMACIÓN TITULADA'!#REF!,"AAAAAC9P/VY=")</f>
        <v>#REF!</v>
      </c>
      <c r="CJ127" t="e">
        <f>AND('PROG FORMACIÓN TITULADA'!#REF!,"AAAAAC9P/Vc=")</f>
        <v>#REF!</v>
      </c>
      <c r="CK127" t="e">
        <f>AND('PROG FORMACIÓN TITULADA'!#REF!,"AAAAAC9P/Vg=")</f>
        <v>#REF!</v>
      </c>
      <c r="CL127" t="e">
        <f>AND('PROG FORMACIÓN TITULADA'!#REF!,"AAAAAC9P/Vk=")</f>
        <v>#REF!</v>
      </c>
      <c r="CM127" t="e">
        <f>IF('PROG FORMACIÓN TITULADA'!#REF!,"AAAAAC9P/Vo=",0)</f>
        <v>#REF!</v>
      </c>
      <c r="CN127" t="e">
        <f>AND('PROG FORMACIÓN TITULADA'!#REF!,"AAAAAC9P/Vs=")</f>
        <v>#REF!</v>
      </c>
      <c r="CO127" t="e">
        <f>AND('PROG FORMACIÓN TITULADA'!#REF!,"AAAAAC9P/Vw=")</f>
        <v>#REF!</v>
      </c>
      <c r="CP127" t="e">
        <f>AND('PROG FORMACIÓN TITULADA'!#REF!,"AAAAAC9P/V0=")</f>
        <v>#REF!</v>
      </c>
      <c r="CQ127" t="e">
        <f>AND('PROG FORMACIÓN TITULADA'!#REF!,"AAAAAC9P/V4=")</f>
        <v>#REF!</v>
      </c>
      <c r="CR127" t="e">
        <f>IF('PROG FORMACIÓN TITULADA'!#REF!,"AAAAAC9P/V8=",0)</f>
        <v>#REF!</v>
      </c>
      <c r="CS127" t="e">
        <f>AND('PROG FORMACIÓN TITULADA'!#REF!,"AAAAAC9P/WA=")</f>
        <v>#REF!</v>
      </c>
      <c r="CT127" t="e">
        <f>AND('PROG FORMACIÓN TITULADA'!#REF!,"AAAAAC9P/WE=")</f>
        <v>#REF!</v>
      </c>
      <c r="CU127" t="e">
        <f>AND('PROG FORMACIÓN TITULADA'!#REF!,"AAAAAC9P/WI=")</f>
        <v>#REF!</v>
      </c>
      <c r="CV127" t="e">
        <f>AND('PROG FORMACIÓN TITULADA'!#REF!,"AAAAAC9P/WM=")</f>
        <v>#REF!</v>
      </c>
      <c r="CW127" t="e">
        <f>IF('PROG FORMACIÓN TITULADA'!#REF!,"AAAAAC9P/WQ=",0)</f>
        <v>#REF!</v>
      </c>
      <c r="CX127" t="e">
        <f>AND('PROG FORMACIÓN TITULADA'!#REF!,"AAAAAC9P/WU=")</f>
        <v>#REF!</v>
      </c>
      <c r="CY127" t="e">
        <f>AND('PROG FORMACIÓN TITULADA'!#REF!,"AAAAAC9P/WY=")</f>
        <v>#REF!</v>
      </c>
      <c r="CZ127" t="e">
        <f>AND('PROG FORMACIÓN TITULADA'!#REF!,"AAAAAC9P/Wc=")</f>
        <v>#REF!</v>
      </c>
      <c r="DA127" t="e">
        <f>AND('PROG FORMACIÓN TITULADA'!#REF!,"AAAAAC9P/Wg=")</f>
        <v>#REF!</v>
      </c>
      <c r="DB127" t="e">
        <f>IF('PROG FORMACIÓN TITULADA'!#REF!,"AAAAAC9P/Wk=",0)</f>
        <v>#REF!</v>
      </c>
      <c r="DC127" t="e">
        <f>AND('PROG FORMACIÓN TITULADA'!#REF!,"AAAAAC9P/Wo=")</f>
        <v>#REF!</v>
      </c>
      <c r="DD127" t="e">
        <f>AND('PROG FORMACIÓN TITULADA'!#REF!,"AAAAAC9P/Ws=")</f>
        <v>#REF!</v>
      </c>
      <c r="DE127" t="e">
        <f>AND('PROG FORMACIÓN TITULADA'!#REF!,"AAAAAC9P/Ww=")</f>
        <v>#REF!</v>
      </c>
      <c r="DF127" t="e">
        <f>AND('PROG FORMACIÓN TITULADA'!#REF!,"AAAAAC9P/W0=")</f>
        <v>#REF!</v>
      </c>
      <c r="DG127" t="e">
        <f>IF('PROG FORMACIÓN TITULADA'!#REF!,"AAAAAC9P/W4=",0)</f>
        <v>#REF!</v>
      </c>
      <c r="DH127" t="e">
        <f>AND('PROG FORMACIÓN TITULADA'!#REF!,"AAAAAC9P/W8=")</f>
        <v>#REF!</v>
      </c>
      <c r="DI127" t="e">
        <f>AND('PROG FORMACIÓN TITULADA'!#REF!,"AAAAAC9P/XA=")</f>
        <v>#REF!</v>
      </c>
      <c r="DJ127" t="e">
        <f>AND('PROG FORMACIÓN TITULADA'!#REF!,"AAAAAC9P/XE=")</f>
        <v>#REF!</v>
      </c>
      <c r="DK127" t="e">
        <f>AND('PROG FORMACIÓN TITULADA'!#REF!,"AAAAAC9P/XI=")</f>
        <v>#REF!</v>
      </c>
      <c r="DL127" t="e">
        <f>IF('PROG FORMACIÓN TITULADA'!#REF!,"AAAAAC9P/XM=",0)</f>
        <v>#REF!</v>
      </c>
      <c r="DM127" t="e">
        <f>AND('PROG FORMACIÓN TITULADA'!#REF!,"AAAAAC9P/XQ=")</f>
        <v>#REF!</v>
      </c>
      <c r="DN127" t="e">
        <f>AND('PROG FORMACIÓN TITULADA'!#REF!,"AAAAAC9P/XU=")</f>
        <v>#REF!</v>
      </c>
      <c r="DO127" t="e">
        <f>AND('PROG FORMACIÓN TITULADA'!#REF!,"AAAAAC9P/XY=")</f>
        <v>#REF!</v>
      </c>
      <c r="DP127" t="e">
        <f>AND('PROG FORMACIÓN TITULADA'!#REF!,"AAAAAC9P/Xc=")</f>
        <v>#REF!</v>
      </c>
      <c r="DQ127" t="e">
        <f>IF('PROG FORMACIÓN TITULADA'!#REF!,"AAAAAC9P/Xg=",0)</f>
        <v>#REF!</v>
      </c>
      <c r="DR127" t="e">
        <f>AND('PROG FORMACIÓN TITULADA'!#REF!,"AAAAAC9P/Xk=")</f>
        <v>#REF!</v>
      </c>
      <c r="DS127" t="e">
        <f>AND('PROG FORMACIÓN TITULADA'!#REF!,"AAAAAC9P/Xo=")</f>
        <v>#REF!</v>
      </c>
      <c r="DT127" t="e">
        <f>AND('PROG FORMACIÓN TITULADA'!#REF!,"AAAAAC9P/Xs=")</f>
        <v>#REF!</v>
      </c>
      <c r="DU127" t="e">
        <f>AND('PROG FORMACIÓN TITULADA'!#REF!,"AAAAAC9P/Xw=")</f>
        <v>#REF!</v>
      </c>
      <c r="DV127" t="e">
        <f>IF('PROG FORMACIÓN TITULADA'!#REF!,"AAAAAC9P/X0=",0)</f>
        <v>#REF!</v>
      </c>
      <c r="DW127" t="e">
        <f>AND('PROG FORMACIÓN TITULADA'!#REF!,"AAAAAC9P/X4=")</f>
        <v>#REF!</v>
      </c>
      <c r="DX127" t="e">
        <f>AND('PROG FORMACIÓN TITULADA'!#REF!,"AAAAAC9P/X8=")</f>
        <v>#REF!</v>
      </c>
      <c r="DY127" t="e">
        <f>AND('PROG FORMACIÓN TITULADA'!#REF!,"AAAAAC9P/YA=")</f>
        <v>#REF!</v>
      </c>
      <c r="DZ127" t="e">
        <f>AND('PROG FORMACIÓN TITULADA'!#REF!,"AAAAAC9P/YE=")</f>
        <v>#REF!</v>
      </c>
      <c r="EA127" t="e">
        <f>IF('PROG FORMACIÓN TITULADA'!#REF!,"AAAAAC9P/YI=",0)</f>
        <v>#REF!</v>
      </c>
      <c r="EB127" t="e">
        <f>AND('PROG FORMACIÓN TITULADA'!#REF!,"AAAAAC9P/YM=")</f>
        <v>#REF!</v>
      </c>
      <c r="EC127" t="e">
        <f>AND('PROG FORMACIÓN TITULADA'!#REF!,"AAAAAC9P/YQ=")</f>
        <v>#REF!</v>
      </c>
      <c r="ED127" t="e">
        <f>AND('PROG FORMACIÓN TITULADA'!#REF!,"AAAAAC9P/YU=")</f>
        <v>#REF!</v>
      </c>
      <c r="EE127" t="e">
        <f>AND('PROG FORMACIÓN TITULADA'!#REF!,"AAAAAC9P/YY=")</f>
        <v>#REF!</v>
      </c>
      <c r="EF127" t="e">
        <f>IF('PROG FORMACIÓN TITULADA'!#REF!,"AAAAAC9P/Yc=",0)</f>
        <v>#REF!</v>
      </c>
      <c r="EG127" t="e">
        <f>AND('PROG FORMACIÓN TITULADA'!#REF!,"AAAAAC9P/Yg=")</f>
        <v>#REF!</v>
      </c>
      <c r="EH127" t="e">
        <f>AND('PROG FORMACIÓN TITULADA'!#REF!,"AAAAAC9P/Yk=")</f>
        <v>#REF!</v>
      </c>
      <c r="EI127" t="e">
        <f>AND('PROG FORMACIÓN TITULADA'!#REF!,"AAAAAC9P/Yo=")</f>
        <v>#REF!</v>
      </c>
      <c r="EJ127" t="e">
        <f>AND('PROG FORMACIÓN TITULADA'!#REF!,"AAAAAC9P/Ys=")</f>
        <v>#REF!</v>
      </c>
      <c r="EK127" t="e">
        <f>IF('PROG FORMACIÓN TITULADA'!#REF!,"AAAAAC9P/Yw=",0)</f>
        <v>#REF!</v>
      </c>
      <c r="EL127" t="e">
        <f>AND('PROG FORMACIÓN TITULADA'!#REF!,"AAAAAC9P/Y0=")</f>
        <v>#REF!</v>
      </c>
      <c r="EM127" t="e">
        <f>AND('PROG FORMACIÓN TITULADA'!#REF!,"AAAAAC9P/Y4=")</f>
        <v>#REF!</v>
      </c>
      <c r="EN127" t="e">
        <f>AND('PROG FORMACIÓN TITULADA'!#REF!,"AAAAAC9P/Y8=")</f>
        <v>#REF!</v>
      </c>
      <c r="EO127" t="e">
        <f>AND('PROG FORMACIÓN TITULADA'!#REF!,"AAAAAC9P/ZA=")</f>
        <v>#REF!</v>
      </c>
      <c r="EP127" t="e">
        <f>IF('PROG FORMACIÓN TITULADA'!#REF!,"AAAAAC9P/ZE=",0)</f>
        <v>#REF!</v>
      </c>
      <c r="EQ127" t="e">
        <f>AND('PROG FORMACIÓN TITULADA'!#REF!,"AAAAAC9P/ZI=")</f>
        <v>#REF!</v>
      </c>
      <c r="ER127" t="e">
        <f>AND('PROG FORMACIÓN TITULADA'!#REF!,"AAAAAC9P/ZM=")</f>
        <v>#REF!</v>
      </c>
      <c r="ES127" t="e">
        <f>AND('PROG FORMACIÓN TITULADA'!#REF!,"AAAAAC9P/ZQ=")</f>
        <v>#REF!</v>
      </c>
      <c r="ET127" t="e">
        <f>AND('PROG FORMACIÓN TITULADA'!#REF!,"AAAAAC9P/ZU=")</f>
        <v>#REF!</v>
      </c>
      <c r="EU127" t="e">
        <f>IF('PROG FORMACIÓN TITULADA'!#REF!,"AAAAAC9P/ZY=",0)</f>
        <v>#REF!</v>
      </c>
      <c r="EV127" t="e">
        <f>AND('PROG FORMACIÓN TITULADA'!#REF!,"AAAAAC9P/Zc=")</f>
        <v>#REF!</v>
      </c>
      <c r="EW127" t="e">
        <f>AND('PROG FORMACIÓN TITULADA'!#REF!,"AAAAAC9P/Zg=")</f>
        <v>#REF!</v>
      </c>
      <c r="EX127" t="e">
        <f>AND('PROG FORMACIÓN TITULADA'!#REF!,"AAAAAC9P/Zk=")</f>
        <v>#REF!</v>
      </c>
      <c r="EY127" t="e">
        <f>AND('PROG FORMACIÓN TITULADA'!#REF!,"AAAAAC9P/Zo=")</f>
        <v>#REF!</v>
      </c>
      <c r="EZ127" t="e">
        <f>IF('PROG FORMACIÓN TITULADA'!#REF!,"AAAAAC9P/Zs=",0)</f>
        <v>#REF!</v>
      </c>
      <c r="FA127" t="e">
        <f>AND('PROG FORMACIÓN TITULADA'!#REF!,"AAAAAC9P/Zw=")</f>
        <v>#REF!</v>
      </c>
      <c r="FB127" t="e">
        <f>AND('PROG FORMACIÓN TITULADA'!#REF!,"AAAAAC9P/Z0=")</f>
        <v>#REF!</v>
      </c>
      <c r="FC127" t="e">
        <f>AND('PROG FORMACIÓN TITULADA'!#REF!,"AAAAAC9P/Z4=")</f>
        <v>#REF!</v>
      </c>
      <c r="FD127" t="e">
        <f>AND('PROG FORMACIÓN TITULADA'!#REF!,"AAAAAC9P/Z8=")</f>
        <v>#REF!</v>
      </c>
      <c r="FE127" t="e">
        <f>IF('PROG FORMACIÓN TITULADA'!#REF!,"AAAAAC9P/aA=",0)</f>
        <v>#REF!</v>
      </c>
      <c r="FF127" t="e">
        <f>AND('PROG FORMACIÓN TITULADA'!#REF!,"AAAAAC9P/aE=")</f>
        <v>#REF!</v>
      </c>
      <c r="FG127" t="e">
        <f>AND('PROG FORMACIÓN TITULADA'!#REF!,"AAAAAC9P/aI=")</f>
        <v>#REF!</v>
      </c>
      <c r="FH127" t="e">
        <f>AND('PROG FORMACIÓN TITULADA'!#REF!,"AAAAAC9P/aM=")</f>
        <v>#REF!</v>
      </c>
      <c r="FI127" t="e">
        <f>AND('PROG FORMACIÓN TITULADA'!#REF!,"AAAAAC9P/aQ=")</f>
        <v>#REF!</v>
      </c>
      <c r="FJ127" t="e">
        <f>IF('PROG FORMACIÓN TITULADA'!#REF!,"AAAAAC9P/aU=",0)</f>
        <v>#REF!</v>
      </c>
      <c r="FK127" t="e">
        <f>AND('PROG FORMACIÓN TITULADA'!#REF!,"AAAAAC9P/aY=")</f>
        <v>#REF!</v>
      </c>
      <c r="FL127" t="e">
        <f>AND('PROG FORMACIÓN TITULADA'!#REF!,"AAAAAC9P/ac=")</f>
        <v>#REF!</v>
      </c>
      <c r="FM127" t="e">
        <f>AND('PROG FORMACIÓN TITULADA'!#REF!,"AAAAAC9P/ag=")</f>
        <v>#REF!</v>
      </c>
      <c r="FN127" t="e">
        <f>AND('PROG FORMACIÓN TITULADA'!#REF!,"AAAAAC9P/ak=")</f>
        <v>#REF!</v>
      </c>
      <c r="FO127" t="e">
        <f>IF('PROG FORMACIÓN TITULADA'!#REF!,"AAAAAC9P/ao=",0)</f>
        <v>#REF!</v>
      </c>
      <c r="FP127" t="e">
        <f>AND('PROG FORMACIÓN TITULADA'!#REF!,"AAAAAC9P/as=")</f>
        <v>#REF!</v>
      </c>
      <c r="FQ127" t="e">
        <f>AND('PROG FORMACIÓN TITULADA'!#REF!,"AAAAAC9P/aw=")</f>
        <v>#REF!</v>
      </c>
      <c r="FR127" t="e">
        <f>AND('PROG FORMACIÓN TITULADA'!#REF!,"AAAAAC9P/a0=")</f>
        <v>#REF!</v>
      </c>
      <c r="FS127" t="e">
        <f>AND('PROG FORMACIÓN TITULADA'!#REF!,"AAAAAC9P/a4=")</f>
        <v>#REF!</v>
      </c>
      <c r="FT127" t="e">
        <f>IF('PROG FORMACIÓN TITULADA'!#REF!,"AAAAAC9P/a8=",0)</f>
        <v>#REF!</v>
      </c>
      <c r="FU127" t="e">
        <f>AND('PROG FORMACIÓN TITULADA'!#REF!,"AAAAAC9P/bA=")</f>
        <v>#REF!</v>
      </c>
      <c r="FV127" t="e">
        <f>AND('PROG FORMACIÓN TITULADA'!#REF!,"AAAAAC9P/bE=")</f>
        <v>#REF!</v>
      </c>
      <c r="FW127" t="e">
        <f>AND('PROG FORMACIÓN TITULADA'!#REF!,"AAAAAC9P/bI=")</f>
        <v>#REF!</v>
      </c>
      <c r="FX127" t="e">
        <f>AND('PROG FORMACIÓN TITULADA'!#REF!,"AAAAAC9P/bM=")</f>
        <v>#REF!</v>
      </c>
      <c r="FY127" t="e">
        <f>IF('PROG FORMACIÓN TITULADA'!#REF!,"AAAAAC9P/bQ=",0)</f>
        <v>#REF!</v>
      </c>
      <c r="FZ127" t="e">
        <f>AND('PROG FORMACIÓN TITULADA'!#REF!,"AAAAAC9P/bU=")</f>
        <v>#REF!</v>
      </c>
      <c r="GA127" t="e">
        <f>AND('PROG FORMACIÓN TITULADA'!#REF!,"AAAAAC9P/bY=")</f>
        <v>#REF!</v>
      </c>
      <c r="GB127" t="e">
        <f>AND('PROG FORMACIÓN TITULADA'!#REF!,"AAAAAC9P/bc=")</f>
        <v>#REF!</v>
      </c>
      <c r="GC127" t="e">
        <f>AND('PROG FORMACIÓN TITULADA'!#REF!,"AAAAAC9P/bg=")</f>
        <v>#REF!</v>
      </c>
      <c r="GD127" t="e">
        <f>IF('PROG FORMACIÓN TITULADA'!#REF!,"AAAAAC9P/bk=",0)</f>
        <v>#REF!</v>
      </c>
      <c r="GE127" t="e">
        <f>AND('PROG FORMACIÓN TITULADA'!#REF!,"AAAAAC9P/bo=")</f>
        <v>#REF!</v>
      </c>
      <c r="GF127" t="e">
        <f>AND('PROG FORMACIÓN TITULADA'!#REF!,"AAAAAC9P/bs=")</f>
        <v>#REF!</v>
      </c>
      <c r="GG127" t="e">
        <f>AND('PROG FORMACIÓN TITULADA'!#REF!,"AAAAAC9P/bw=")</f>
        <v>#REF!</v>
      </c>
      <c r="GH127" t="e">
        <f>AND('PROG FORMACIÓN TITULADA'!#REF!,"AAAAAC9P/b0=")</f>
        <v>#REF!</v>
      </c>
      <c r="GI127" t="e">
        <f>IF('PROG FORMACIÓN TITULADA'!#REF!,"AAAAAC9P/b4=",0)</f>
        <v>#REF!</v>
      </c>
      <c r="GJ127" t="e">
        <f>AND('PROG FORMACIÓN TITULADA'!#REF!,"AAAAAC9P/b8=")</f>
        <v>#REF!</v>
      </c>
      <c r="GK127" t="e">
        <f>AND('PROG FORMACIÓN TITULADA'!#REF!,"AAAAAC9P/cA=")</f>
        <v>#REF!</v>
      </c>
      <c r="GL127" t="e">
        <f>AND('PROG FORMACIÓN TITULADA'!#REF!,"AAAAAC9P/cE=")</f>
        <v>#REF!</v>
      </c>
      <c r="GM127" t="e">
        <f>AND('PROG FORMACIÓN TITULADA'!#REF!,"AAAAAC9P/cI=")</f>
        <v>#REF!</v>
      </c>
      <c r="GN127" t="e">
        <f>IF('PROG FORMACIÓN TITULADA'!#REF!,"AAAAAC9P/cM=",0)</f>
        <v>#REF!</v>
      </c>
      <c r="GO127" t="e">
        <f>AND('PROG FORMACIÓN TITULADA'!#REF!,"AAAAAC9P/cQ=")</f>
        <v>#REF!</v>
      </c>
      <c r="GP127" t="e">
        <f>AND('PROG FORMACIÓN TITULADA'!#REF!,"AAAAAC9P/cU=")</f>
        <v>#REF!</v>
      </c>
      <c r="GQ127" t="e">
        <f>AND('PROG FORMACIÓN TITULADA'!#REF!,"AAAAAC9P/cY=")</f>
        <v>#REF!</v>
      </c>
      <c r="GR127" t="e">
        <f>AND('PROG FORMACIÓN TITULADA'!#REF!,"AAAAAC9P/cc=")</f>
        <v>#REF!</v>
      </c>
      <c r="GS127" t="e">
        <f>IF('PROG FORMACIÓN TITULADA'!#REF!,"AAAAAC9P/cg=",0)</f>
        <v>#REF!</v>
      </c>
      <c r="GT127" t="e">
        <f>AND('PROG FORMACIÓN TITULADA'!#REF!,"AAAAAC9P/ck=")</f>
        <v>#REF!</v>
      </c>
      <c r="GU127" t="e">
        <f>AND('PROG FORMACIÓN TITULADA'!#REF!,"AAAAAC9P/co=")</f>
        <v>#REF!</v>
      </c>
      <c r="GV127" t="e">
        <f>AND('PROG FORMACIÓN TITULADA'!#REF!,"AAAAAC9P/cs=")</f>
        <v>#REF!</v>
      </c>
      <c r="GW127" t="e">
        <f>AND('PROG FORMACIÓN TITULADA'!#REF!,"AAAAAC9P/cw=")</f>
        <v>#REF!</v>
      </c>
      <c r="GX127" t="e">
        <f>IF('PROG FORMACIÓN TITULADA'!#REF!,"AAAAAC9P/c0=",0)</f>
        <v>#REF!</v>
      </c>
      <c r="GY127" t="e">
        <f>AND('PROG FORMACIÓN TITULADA'!#REF!,"AAAAAC9P/c4=")</f>
        <v>#REF!</v>
      </c>
      <c r="GZ127" t="e">
        <f>AND('PROG FORMACIÓN TITULADA'!#REF!,"AAAAAC9P/c8=")</f>
        <v>#REF!</v>
      </c>
      <c r="HA127" t="e">
        <f>AND('PROG FORMACIÓN TITULADA'!#REF!,"AAAAAC9P/dA=")</f>
        <v>#REF!</v>
      </c>
      <c r="HB127" t="e">
        <f>AND('PROG FORMACIÓN TITULADA'!#REF!,"AAAAAC9P/dE=")</f>
        <v>#REF!</v>
      </c>
      <c r="HC127" t="e">
        <f>IF('PROG FORMACIÓN TITULADA'!#REF!,"AAAAAC9P/dI=",0)</f>
        <v>#REF!</v>
      </c>
      <c r="HD127" t="e">
        <f>AND('PROG FORMACIÓN TITULADA'!#REF!,"AAAAAC9P/dM=")</f>
        <v>#REF!</v>
      </c>
      <c r="HE127" t="e">
        <f>AND('PROG FORMACIÓN TITULADA'!#REF!,"AAAAAC9P/dQ=")</f>
        <v>#REF!</v>
      </c>
      <c r="HF127" t="e">
        <f>AND('PROG FORMACIÓN TITULADA'!#REF!,"AAAAAC9P/dU=")</f>
        <v>#REF!</v>
      </c>
      <c r="HG127" t="e">
        <f>AND('PROG FORMACIÓN TITULADA'!#REF!,"AAAAAC9P/dY=")</f>
        <v>#REF!</v>
      </c>
      <c r="HH127" t="e">
        <f>IF('PROG FORMACIÓN TITULADA'!#REF!,"AAAAAC9P/dc=",0)</f>
        <v>#REF!</v>
      </c>
      <c r="HI127" t="e">
        <f>AND('PROG FORMACIÓN TITULADA'!#REF!,"AAAAAC9P/dg=")</f>
        <v>#REF!</v>
      </c>
      <c r="HJ127" t="e">
        <f>AND('PROG FORMACIÓN TITULADA'!#REF!,"AAAAAC9P/dk=")</f>
        <v>#REF!</v>
      </c>
      <c r="HK127" t="e">
        <f>AND('PROG FORMACIÓN TITULADA'!#REF!,"AAAAAC9P/do=")</f>
        <v>#REF!</v>
      </c>
      <c r="HL127" t="e">
        <f>AND('PROG FORMACIÓN TITULADA'!#REF!,"AAAAAC9P/ds=")</f>
        <v>#REF!</v>
      </c>
      <c r="HM127" t="e">
        <f>IF('PROG FORMACIÓN TITULADA'!#REF!,"AAAAAC9P/dw=",0)</f>
        <v>#REF!</v>
      </c>
      <c r="HN127" t="e">
        <f>AND('PROG FORMACIÓN TITULADA'!#REF!,"AAAAAC9P/d0=")</f>
        <v>#REF!</v>
      </c>
      <c r="HO127" t="e">
        <f>AND('PROG FORMACIÓN TITULADA'!#REF!,"AAAAAC9P/d4=")</f>
        <v>#REF!</v>
      </c>
      <c r="HP127" t="e">
        <f>AND('PROG FORMACIÓN TITULADA'!#REF!,"AAAAAC9P/d8=")</f>
        <v>#REF!</v>
      </c>
      <c r="HQ127" t="e">
        <f>AND('PROG FORMACIÓN TITULADA'!#REF!,"AAAAAC9P/eA=")</f>
        <v>#REF!</v>
      </c>
      <c r="HR127" t="e">
        <f>IF('PROG FORMACIÓN TITULADA'!#REF!,"AAAAAC9P/eE=",0)</f>
        <v>#REF!</v>
      </c>
      <c r="HS127" t="e">
        <f>AND('PROG FORMACIÓN TITULADA'!#REF!,"AAAAAC9P/eI=")</f>
        <v>#REF!</v>
      </c>
      <c r="HT127" t="e">
        <f>AND('PROG FORMACIÓN TITULADA'!#REF!,"AAAAAC9P/eM=")</f>
        <v>#REF!</v>
      </c>
      <c r="HU127" t="e">
        <f>AND('PROG FORMACIÓN TITULADA'!#REF!,"AAAAAC9P/eQ=")</f>
        <v>#REF!</v>
      </c>
      <c r="HV127" t="e">
        <f>AND('PROG FORMACIÓN TITULADA'!#REF!,"AAAAAC9P/eU=")</f>
        <v>#REF!</v>
      </c>
      <c r="HW127" t="e">
        <f>IF('PROG FORMACIÓN TITULADA'!#REF!,"AAAAAC9P/eY=",0)</f>
        <v>#REF!</v>
      </c>
      <c r="HX127" t="e">
        <f>AND('PROG FORMACIÓN TITULADA'!#REF!,"AAAAAC9P/ec=")</f>
        <v>#REF!</v>
      </c>
      <c r="HY127" t="e">
        <f>AND('PROG FORMACIÓN TITULADA'!#REF!,"AAAAAC9P/eg=")</f>
        <v>#REF!</v>
      </c>
      <c r="HZ127" t="e">
        <f>AND('PROG FORMACIÓN TITULADA'!#REF!,"AAAAAC9P/ek=")</f>
        <v>#REF!</v>
      </c>
      <c r="IA127" t="e">
        <f>AND('PROG FORMACIÓN TITULADA'!#REF!,"AAAAAC9P/eo=")</f>
        <v>#REF!</v>
      </c>
      <c r="IB127" t="e">
        <f>IF('PROG FORMACIÓN TITULADA'!#REF!,"AAAAAC9P/es=",0)</f>
        <v>#REF!</v>
      </c>
      <c r="IC127" t="e">
        <f>AND('PROG FORMACIÓN TITULADA'!#REF!,"AAAAAC9P/ew=")</f>
        <v>#REF!</v>
      </c>
      <c r="ID127" t="e">
        <f>AND('PROG FORMACIÓN TITULADA'!#REF!,"AAAAAC9P/e0=")</f>
        <v>#REF!</v>
      </c>
      <c r="IE127" t="e">
        <f>AND('PROG FORMACIÓN TITULADA'!#REF!,"AAAAAC9P/e4=")</f>
        <v>#REF!</v>
      </c>
      <c r="IF127" t="e">
        <f>AND('PROG FORMACIÓN TITULADA'!#REF!,"AAAAAC9P/e8=")</f>
        <v>#REF!</v>
      </c>
      <c r="IG127" t="e">
        <f>IF('PROG FORMACIÓN TITULADA'!#REF!,"AAAAAC9P/fA=",0)</f>
        <v>#REF!</v>
      </c>
      <c r="IH127" t="e">
        <f>AND('PROG FORMACIÓN TITULADA'!#REF!,"AAAAAC9P/fE=")</f>
        <v>#REF!</v>
      </c>
      <c r="II127" t="e">
        <f>AND('PROG FORMACIÓN TITULADA'!#REF!,"AAAAAC9P/fI=")</f>
        <v>#REF!</v>
      </c>
      <c r="IJ127" t="e">
        <f>AND('PROG FORMACIÓN TITULADA'!#REF!,"AAAAAC9P/fM=")</f>
        <v>#REF!</v>
      </c>
      <c r="IK127" t="e">
        <f>AND('PROG FORMACIÓN TITULADA'!#REF!,"AAAAAC9P/fQ=")</f>
        <v>#REF!</v>
      </c>
      <c r="IL127" t="e">
        <f>IF('PROG FORMACIÓN TITULADA'!#REF!,"AAAAAC9P/fU=",0)</f>
        <v>#REF!</v>
      </c>
      <c r="IM127" t="e">
        <f>AND('PROG FORMACIÓN TITULADA'!#REF!,"AAAAAC9P/fY=")</f>
        <v>#REF!</v>
      </c>
      <c r="IN127" t="e">
        <f>AND('PROG FORMACIÓN TITULADA'!#REF!,"AAAAAC9P/fc=")</f>
        <v>#REF!</v>
      </c>
      <c r="IO127" t="e">
        <f>AND('PROG FORMACIÓN TITULADA'!#REF!,"AAAAAC9P/fg=")</f>
        <v>#REF!</v>
      </c>
      <c r="IP127" t="e">
        <f>AND('PROG FORMACIÓN TITULADA'!#REF!,"AAAAAC9P/fk=")</f>
        <v>#REF!</v>
      </c>
      <c r="IQ127" t="e">
        <f>IF('PROG FORMACIÓN TITULADA'!#REF!,"AAAAAC9P/fo=",0)</f>
        <v>#REF!</v>
      </c>
      <c r="IR127" t="e">
        <f>AND('PROG FORMACIÓN TITULADA'!#REF!,"AAAAAC9P/fs=")</f>
        <v>#REF!</v>
      </c>
      <c r="IS127" t="e">
        <f>AND('PROG FORMACIÓN TITULADA'!#REF!,"AAAAAC9P/fw=")</f>
        <v>#REF!</v>
      </c>
      <c r="IT127" t="e">
        <f>AND('PROG FORMACIÓN TITULADA'!#REF!,"AAAAAC9P/f0=")</f>
        <v>#REF!</v>
      </c>
      <c r="IU127" t="e">
        <f>AND('PROG FORMACIÓN TITULADA'!#REF!,"AAAAAC9P/f4=")</f>
        <v>#REF!</v>
      </c>
      <c r="IV127" t="e">
        <f>IF('PROG FORMACIÓN TITULADA'!#REF!,"AAAAAC9P/f8=",0)</f>
        <v>#REF!</v>
      </c>
    </row>
    <row r="128" spans="1:256" x14ac:dyDescent="0.2">
      <c r="A128" t="e">
        <f>AND('PROG FORMACIÓN TITULADA'!#REF!,"AAAAAFntvgA=")</f>
        <v>#REF!</v>
      </c>
      <c r="B128" t="e">
        <f>AND('PROG FORMACIÓN TITULADA'!#REF!,"AAAAAFntvgE=")</f>
        <v>#REF!</v>
      </c>
      <c r="C128" t="e">
        <f>AND('PROG FORMACIÓN TITULADA'!#REF!,"AAAAAFntvgI=")</f>
        <v>#REF!</v>
      </c>
      <c r="D128" t="e">
        <f>AND('PROG FORMACIÓN TITULADA'!#REF!,"AAAAAFntvgM=")</f>
        <v>#REF!</v>
      </c>
      <c r="E128" t="e">
        <f>IF('PROG FORMACIÓN TITULADA'!#REF!,"AAAAAFntvgQ=",0)</f>
        <v>#REF!</v>
      </c>
      <c r="F128" t="e">
        <f>AND('PROG FORMACIÓN TITULADA'!#REF!,"AAAAAFntvgU=")</f>
        <v>#REF!</v>
      </c>
      <c r="G128" t="e">
        <f>AND('PROG FORMACIÓN TITULADA'!#REF!,"AAAAAFntvgY=")</f>
        <v>#REF!</v>
      </c>
      <c r="H128" t="e">
        <f>AND('PROG FORMACIÓN TITULADA'!#REF!,"AAAAAFntvgc=")</f>
        <v>#REF!</v>
      </c>
      <c r="I128" t="e">
        <f>AND('PROG FORMACIÓN TITULADA'!#REF!,"AAAAAFntvgg=")</f>
        <v>#REF!</v>
      </c>
      <c r="J128" t="e">
        <f>IF('PROG FORMACIÓN TITULADA'!#REF!,"AAAAAFntvgk=",0)</f>
        <v>#REF!</v>
      </c>
      <c r="K128" t="e">
        <f>AND('PROG FORMACIÓN TITULADA'!#REF!,"AAAAAFntvgo=")</f>
        <v>#REF!</v>
      </c>
      <c r="L128" t="e">
        <f>AND('PROG FORMACIÓN TITULADA'!#REF!,"AAAAAFntvgs=")</f>
        <v>#REF!</v>
      </c>
      <c r="M128" t="e">
        <f>AND('PROG FORMACIÓN TITULADA'!#REF!,"AAAAAFntvgw=")</f>
        <v>#REF!</v>
      </c>
      <c r="N128" t="e">
        <f>AND('PROG FORMACIÓN TITULADA'!#REF!,"AAAAAFntvg0=")</f>
        <v>#REF!</v>
      </c>
      <c r="O128" t="e">
        <f>IF('PROG FORMACIÓN TITULADA'!#REF!,"AAAAAFntvg4=",0)</f>
        <v>#REF!</v>
      </c>
      <c r="P128" t="e">
        <f>AND('PROG FORMACIÓN TITULADA'!#REF!,"AAAAAFntvg8=")</f>
        <v>#REF!</v>
      </c>
      <c r="Q128" t="e">
        <f>AND('PROG FORMACIÓN TITULADA'!#REF!,"AAAAAFntvhA=")</f>
        <v>#REF!</v>
      </c>
      <c r="R128" t="e">
        <f>AND('PROG FORMACIÓN TITULADA'!#REF!,"AAAAAFntvhE=")</f>
        <v>#REF!</v>
      </c>
      <c r="S128" t="e">
        <f>AND('PROG FORMACIÓN TITULADA'!#REF!,"AAAAAFntvhI=")</f>
        <v>#REF!</v>
      </c>
      <c r="T128" t="e">
        <f>IF('PROG FORMACIÓN TITULADA'!#REF!,"AAAAAFntvhM=",0)</f>
        <v>#REF!</v>
      </c>
      <c r="U128" t="e">
        <f>AND('PROG FORMACIÓN TITULADA'!#REF!,"AAAAAFntvhQ=")</f>
        <v>#REF!</v>
      </c>
      <c r="V128" t="e">
        <f>AND('PROG FORMACIÓN TITULADA'!#REF!,"AAAAAFntvhU=")</f>
        <v>#REF!</v>
      </c>
      <c r="W128" t="e">
        <f>AND('PROG FORMACIÓN TITULADA'!#REF!,"AAAAAFntvhY=")</f>
        <v>#REF!</v>
      </c>
      <c r="X128" t="e">
        <f>AND('PROG FORMACIÓN TITULADA'!#REF!,"AAAAAFntvhc=")</f>
        <v>#REF!</v>
      </c>
      <c r="Y128" t="e">
        <f>IF('PROG FORMACIÓN TITULADA'!#REF!,"AAAAAFntvhg=",0)</f>
        <v>#REF!</v>
      </c>
      <c r="Z128" t="e">
        <f>AND('PROG FORMACIÓN TITULADA'!#REF!,"AAAAAFntvhk=")</f>
        <v>#REF!</v>
      </c>
      <c r="AA128" t="e">
        <f>AND('PROG FORMACIÓN TITULADA'!#REF!,"AAAAAFntvho=")</f>
        <v>#REF!</v>
      </c>
      <c r="AB128" t="e">
        <f>AND('PROG FORMACIÓN TITULADA'!#REF!,"AAAAAFntvhs=")</f>
        <v>#REF!</v>
      </c>
      <c r="AC128" t="e">
        <f>AND('PROG FORMACIÓN TITULADA'!#REF!,"AAAAAFntvhw=")</f>
        <v>#REF!</v>
      </c>
      <c r="AD128" t="e">
        <f>IF('PROG FORMACIÓN TITULADA'!#REF!,"AAAAAFntvh0=",0)</f>
        <v>#REF!</v>
      </c>
      <c r="AE128" t="e">
        <f>AND('PROG FORMACIÓN TITULADA'!#REF!,"AAAAAFntvh4=")</f>
        <v>#REF!</v>
      </c>
      <c r="AF128" t="e">
        <f>AND('PROG FORMACIÓN TITULADA'!#REF!,"AAAAAFntvh8=")</f>
        <v>#REF!</v>
      </c>
      <c r="AG128" t="e">
        <f>AND('PROG FORMACIÓN TITULADA'!#REF!,"AAAAAFntviA=")</f>
        <v>#REF!</v>
      </c>
      <c r="AH128" t="e">
        <f>AND('PROG FORMACIÓN TITULADA'!#REF!,"AAAAAFntviE=")</f>
        <v>#REF!</v>
      </c>
      <c r="AI128" t="e">
        <f>IF('PROG FORMACIÓN TITULADA'!#REF!,"AAAAAFntviI=",0)</f>
        <v>#REF!</v>
      </c>
      <c r="AJ128" t="e">
        <f>AND('PROG FORMACIÓN TITULADA'!#REF!,"AAAAAFntviM=")</f>
        <v>#REF!</v>
      </c>
      <c r="AK128" t="e">
        <f>AND('PROG FORMACIÓN TITULADA'!#REF!,"AAAAAFntviQ=")</f>
        <v>#REF!</v>
      </c>
      <c r="AL128" t="e">
        <f>AND('PROG FORMACIÓN TITULADA'!#REF!,"AAAAAFntviU=")</f>
        <v>#REF!</v>
      </c>
      <c r="AM128" t="e">
        <f>AND('PROG FORMACIÓN TITULADA'!#REF!,"AAAAAFntviY=")</f>
        <v>#REF!</v>
      </c>
      <c r="AN128" t="e">
        <f>IF('PROG FORMACIÓN TITULADA'!#REF!,"AAAAAFntvic=",0)</f>
        <v>#REF!</v>
      </c>
      <c r="AO128" t="e">
        <f>AND('PROG FORMACIÓN TITULADA'!#REF!,"AAAAAFntvig=")</f>
        <v>#REF!</v>
      </c>
      <c r="AP128" t="e">
        <f>AND('PROG FORMACIÓN TITULADA'!#REF!,"AAAAAFntvik=")</f>
        <v>#REF!</v>
      </c>
      <c r="AQ128" t="e">
        <f>AND('PROG FORMACIÓN TITULADA'!#REF!,"AAAAAFntvio=")</f>
        <v>#REF!</v>
      </c>
      <c r="AR128" t="e">
        <f>AND('PROG FORMACIÓN TITULADA'!#REF!,"AAAAAFntvis=")</f>
        <v>#REF!</v>
      </c>
      <c r="AS128" t="e">
        <f>IF('PROG FORMACIÓN TITULADA'!#REF!,"AAAAAFntviw=",0)</f>
        <v>#REF!</v>
      </c>
      <c r="AT128" t="e">
        <f>AND('PROG FORMACIÓN TITULADA'!#REF!,"AAAAAFntvi0=")</f>
        <v>#REF!</v>
      </c>
      <c r="AU128" t="e">
        <f>AND('PROG FORMACIÓN TITULADA'!#REF!,"AAAAAFntvi4=")</f>
        <v>#REF!</v>
      </c>
      <c r="AV128" t="e">
        <f>AND('PROG FORMACIÓN TITULADA'!#REF!,"AAAAAFntvi8=")</f>
        <v>#REF!</v>
      </c>
      <c r="AW128" t="e">
        <f>AND('PROG FORMACIÓN TITULADA'!#REF!,"AAAAAFntvjA=")</f>
        <v>#REF!</v>
      </c>
      <c r="AX128" t="e">
        <f>IF('PROG FORMACIÓN TITULADA'!#REF!,"AAAAAFntvjE=",0)</f>
        <v>#REF!</v>
      </c>
      <c r="AY128" t="e">
        <f>AND('PROG FORMACIÓN TITULADA'!#REF!,"AAAAAFntvjI=")</f>
        <v>#REF!</v>
      </c>
      <c r="AZ128" t="e">
        <f>AND('PROG FORMACIÓN TITULADA'!#REF!,"AAAAAFntvjM=")</f>
        <v>#REF!</v>
      </c>
      <c r="BA128" t="e">
        <f>AND('PROG FORMACIÓN TITULADA'!#REF!,"AAAAAFntvjQ=")</f>
        <v>#REF!</v>
      </c>
      <c r="BB128" t="e">
        <f>AND('PROG FORMACIÓN TITULADA'!#REF!,"AAAAAFntvjU=")</f>
        <v>#REF!</v>
      </c>
      <c r="BC128" t="e">
        <f>IF('PROG FORMACIÓN TITULADA'!#REF!,"AAAAAFntvjY=",0)</f>
        <v>#REF!</v>
      </c>
      <c r="BD128" t="e">
        <f>AND('PROG FORMACIÓN TITULADA'!#REF!,"AAAAAFntvjc=")</f>
        <v>#REF!</v>
      </c>
      <c r="BE128" t="e">
        <f>AND('PROG FORMACIÓN TITULADA'!#REF!,"AAAAAFntvjg=")</f>
        <v>#REF!</v>
      </c>
      <c r="BF128" t="e">
        <f>AND('PROG FORMACIÓN TITULADA'!#REF!,"AAAAAFntvjk=")</f>
        <v>#REF!</v>
      </c>
      <c r="BG128" t="e">
        <f>AND('PROG FORMACIÓN TITULADA'!#REF!,"AAAAAFntvjo=")</f>
        <v>#REF!</v>
      </c>
      <c r="BH128" t="e">
        <f>IF('PROG FORMACIÓN TITULADA'!#REF!,"AAAAAFntvjs=",0)</f>
        <v>#REF!</v>
      </c>
      <c r="BI128" t="e">
        <f>AND('PROG FORMACIÓN TITULADA'!#REF!,"AAAAAFntvjw=")</f>
        <v>#REF!</v>
      </c>
      <c r="BJ128" t="e">
        <f>AND('PROG FORMACIÓN TITULADA'!#REF!,"AAAAAFntvj0=")</f>
        <v>#REF!</v>
      </c>
      <c r="BK128" t="e">
        <f>AND('PROG FORMACIÓN TITULADA'!#REF!,"AAAAAFntvj4=")</f>
        <v>#REF!</v>
      </c>
      <c r="BL128" t="e">
        <f>AND('PROG FORMACIÓN TITULADA'!#REF!,"AAAAAFntvj8=")</f>
        <v>#REF!</v>
      </c>
      <c r="BM128" t="e">
        <f>IF('PROG FORMACIÓN TITULADA'!#REF!,"AAAAAFntvkA=",0)</f>
        <v>#REF!</v>
      </c>
      <c r="BN128" t="e">
        <f>AND('PROG FORMACIÓN TITULADA'!#REF!,"AAAAAFntvkE=")</f>
        <v>#REF!</v>
      </c>
      <c r="BO128" t="e">
        <f>AND('PROG FORMACIÓN TITULADA'!#REF!,"AAAAAFntvkI=")</f>
        <v>#REF!</v>
      </c>
      <c r="BP128" t="e">
        <f>AND('PROG FORMACIÓN TITULADA'!#REF!,"AAAAAFntvkM=")</f>
        <v>#REF!</v>
      </c>
      <c r="BQ128" t="e">
        <f>AND('PROG FORMACIÓN TITULADA'!#REF!,"AAAAAFntvkQ=")</f>
        <v>#REF!</v>
      </c>
      <c r="BR128" t="e">
        <f>IF('PROG FORMACIÓN TITULADA'!#REF!,"AAAAAFntvkU=",0)</f>
        <v>#REF!</v>
      </c>
      <c r="BS128" t="e">
        <f>AND('PROG FORMACIÓN TITULADA'!#REF!,"AAAAAFntvkY=")</f>
        <v>#REF!</v>
      </c>
      <c r="BT128" t="e">
        <f>AND('PROG FORMACIÓN TITULADA'!#REF!,"AAAAAFntvkc=")</f>
        <v>#REF!</v>
      </c>
      <c r="BU128" t="e">
        <f>AND('PROG FORMACIÓN TITULADA'!#REF!,"AAAAAFntvkg=")</f>
        <v>#REF!</v>
      </c>
      <c r="BV128" t="e">
        <f>AND('PROG FORMACIÓN TITULADA'!#REF!,"AAAAAFntvkk=")</f>
        <v>#REF!</v>
      </c>
      <c r="BW128" t="e">
        <f>IF('PROG FORMACIÓN TITULADA'!#REF!,"AAAAAFntvko=",0)</f>
        <v>#REF!</v>
      </c>
      <c r="BX128" t="e">
        <f>AND('PROG FORMACIÓN TITULADA'!#REF!,"AAAAAFntvks=")</f>
        <v>#REF!</v>
      </c>
      <c r="BY128" t="e">
        <f>AND('PROG FORMACIÓN TITULADA'!#REF!,"AAAAAFntvkw=")</f>
        <v>#REF!</v>
      </c>
      <c r="BZ128" t="e">
        <f>AND('PROG FORMACIÓN TITULADA'!#REF!,"AAAAAFntvk0=")</f>
        <v>#REF!</v>
      </c>
      <c r="CA128" t="e">
        <f>AND('PROG FORMACIÓN TITULADA'!#REF!,"AAAAAFntvk4=")</f>
        <v>#REF!</v>
      </c>
      <c r="CB128" t="e">
        <f>IF('PROG FORMACIÓN TITULADA'!#REF!,"AAAAAFntvk8=",0)</f>
        <v>#REF!</v>
      </c>
      <c r="CC128" t="e">
        <f>AND('PROG FORMACIÓN TITULADA'!#REF!,"AAAAAFntvlA=")</f>
        <v>#REF!</v>
      </c>
      <c r="CD128" t="e">
        <f>AND('PROG FORMACIÓN TITULADA'!#REF!,"AAAAAFntvlE=")</f>
        <v>#REF!</v>
      </c>
      <c r="CE128" t="e">
        <f>AND('PROG FORMACIÓN TITULADA'!#REF!,"AAAAAFntvlI=")</f>
        <v>#REF!</v>
      </c>
      <c r="CF128" t="e">
        <f>AND('PROG FORMACIÓN TITULADA'!#REF!,"AAAAAFntvlM=")</f>
        <v>#REF!</v>
      </c>
      <c r="CG128" t="e">
        <f>IF('PROG FORMACIÓN TITULADA'!#REF!,"AAAAAFntvlQ=",0)</f>
        <v>#REF!</v>
      </c>
      <c r="CH128" t="e">
        <f>AND('PROG FORMACIÓN TITULADA'!#REF!,"AAAAAFntvlU=")</f>
        <v>#REF!</v>
      </c>
      <c r="CI128" t="e">
        <f>AND('PROG FORMACIÓN TITULADA'!#REF!,"AAAAAFntvlY=")</f>
        <v>#REF!</v>
      </c>
      <c r="CJ128" t="e">
        <f>AND('PROG FORMACIÓN TITULADA'!#REF!,"AAAAAFntvlc=")</f>
        <v>#REF!</v>
      </c>
      <c r="CK128" t="e">
        <f>AND('PROG FORMACIÓN TITULADA'!#REF!,"AAAAAFntvlg=")</f>
        <v>#REF!</v>
      </c>
      <c r="CL128" t="e">
        <f>IF('PROG FORMACIÓN TITULADA'!#REF!,"AAAAAFntvlk=",0)</f>
        <v>#REF!</v>
      </c>
      <c r="CM128" t="e">
        <f>AND('PROG FORMACIÓN TITULADA'!#REF!,"AAAAAFntvlo=")</f>
        <v>#REF!</v>
      </c>
      <c r="CN128" t="e">
        <f>AND('PROG FORMACIÓN TITULADA'!#REF!,"AAAAAFntvls=")</f>
        <v>#REF!</v>
      </c>
      <c r="CO128" t="e">
        <f>AND('PROG FORMACIÓN TITULADA'!#REF!,"AAAAAFntvlw=")</f>
        <v>#REF!</v>
      </c>
      <c r="CP128" t="e">
        <f>AND('PROG FORMACIÓN TITULADA'!#REF!,"AAAAAFntvl0=")</f>
        <v>#REF!</v>
      </c>
      <c r="CQ128" t="e">
        <f>IF('PROG FORMACIÓN TITULADA'!#REF!,"AAAAAFntvl4=",0)</f>
        <v>#REF!</v>
      </c>
      <c r="CR128" t="e">
        <f>AND('PROG FORMACIÓN TITULADA'!#REF!,"AAAAAFntvl8=")</f>
        <v>#REF!</v>
      </c>
      <c r="CS128" t="e">
        <f>AND('PROG FORMACIÓN TITULADA'!#REF!,"AAAAAFntvmA=")</f>
        <v>#REF!</v>
      </c>
      <c r="CT128" t="e">
        <f>AND('PROG FORMACIÓN TITULADA'!#REF!,"AAAAAFntvmE=")</f>
        <v>#REF!</v>
      </c>
      <c r="CU128" t="e">
        <f>AND('PROG FORMACIÓN TITULADA'!#REF!,"AAAAAFntvmI=")</f>
        <v>#REF!</v>
      </c>
      <c r="CV128" t="e">
        <f>IF('PROG FORMACIÓN TITULADA'!#REF!,"AAAAAFntvmM=",0)</f>
        <v>#REF!</v>
      </c>
      <c r="CW128" t="e">
        <f>AND('PROG FORMACIÓN TITULADA'!#REF!,"AAAAAFntvmQ=")</f>
        <v>#REF!</v>
      </c>
      <c r="CX128" t="e">
        <f>AND('PROG FORMACIÓN TITULADA'!#REF!,"AAAAAFntvmU=")</f>
        <v>#REF!</v>
      </c>
      <c r="CY128" t="e">
        <f>AND('PROG FORMACIÓN TITULADA'!#REF!,"AAAAAFntvmY=")</f>
        <v>#REF!</v>
      </c>
      <c r="CZ128" t="e">
        <f>AND('PROG FORMACIÓN TITULADA'!#REF!,"AAAAAFntvmc=")</f>
        <v>#REF!</v>
      </c>
      <c r="DA128" t="e">
        <f>IF('PROG FORMACIÓN TITULADA'!#REF!,"AAAAAFntvmg=",0)</f>
        <v>#REF!</v>
      </c>
      <c r="DB128" t="e">
        <f>AND('PROG FORMACIÓN TITULADA'!#REF!,"AAAAAFntvmk=")</f>
        <v>#REF!</v>
      </c>
      <c r="DC128" t="e">
        <f>AND('PROG FORMACIÓN TITULADA'!#REF!,"AAAAAFntvmo=")</f>
        <v>#REF!</v>
      </c>
      <c r="DD128" t="e">
        <f>AND('PROG FORMACIÓN TITULADA'!#REF!,"AAAAAFntvms=")</f>
        <v>#REF!</v>
      </c>
      <c r="DE128" t="e">
        <f>AND('PROG FORMACIÓN TITULADA'!#REF!,"AAAAAFntvmw=")</f>
        <v>#REF!</v>
      </c>
      <c r="DF128" t="e">
        <f>IF('PROG FORMACIÓN TITULADA'!#REF!,"AAAAAFntvm0=",0)</f>
        <v>#REF!</v>
      </c>
      <c r="DG128" t="e">
        <f>AND('PROG FORMACIÓN TITULADA'!#REF!,"AAAAAFntvm4=")</f>
        <v>#REF!</v>
      </c>
      <c r="DH128" t="e">
        <f>AND('PROG FORMACIÓN TITULADA'!#REF!,"AAAAAFntvm8=")</f>
        <v>#REF!</v>
      </c>
      <c r="DI128" t="e">
        <f>AND('PROG FORMACIÓN TITULADA'!#REF!,"AAAAAFntvnA=")</f>
        <v>#REF!</v>
      </c>
      <c r="DJ128" t="e">
        <f>AND('PROG FORMACIÓN TITULADA'!#REF!,"AAAAAFntvnE=")</f>
        <v>#REF!</v>
      </c>
      <c r="DK128" t="e">
        <f>IF('PROG FORMACIÓN TITULADA'!#REF!,"AAAAAFntvnI=",0)</f>
        <v>#REF!</v>
      </c>
      <c r="DL128" t="e">
        <f>AND('PROG FORMACIÓN TITULADA'!#REF!,"AAAAAFntvnM=")</f>
        <v>#REF!</v>
      </c>
      <c r="DM128" t="e">
        <f>AND('PROG FORMACIÓN TITULADA'!#REF!,"AAAAAFntvnQ=")</f>
        <v>#REF!</v>
      </c>
      <c r="DN128" t="e">
        <f>AND('PROG FORMACIÓN TITULADA'!#REF!,"AAAAAFntvnU=")</f>
        <v>#REF!</v>
      </c>
      <c r="DO128" t="e">
        <f>AND('PROG FORMACIÓN TITULADA'!#REF!,"AAAAAFntvnY=")</f>
        <v>#REF!</v>
      </c>
      <c r="DP128" t="e">
        <f>IF('PROG FORMACIÓN TITULADA'!#REF!,"AAAAAFntvnc=",0)</f>
        <v>#REF!</v>
      </c>
      <c r="DQ128" t="e">
        <f>AND('PROG FORMACIÓN TITULADA'!#REF!,"AAAAAFntvng=")</f>
        <v>#REF!</v>
      </c>
      <c r="DR128" t="e">
        <f>AND('PROG FORMACIÓN TITULADA'!#REF!,"AAAAAFntvnk=")</f>
        <v>#REF!</v>
      </c>
      <c r="DS128" t="e">
        <f>AND('PROG FORMACIÓN TITULADA'!#REF!,"AAAAAFntvno=")</f>
        <v>#REF!</v>
      </c>
      <c r="DT128" t="e">
        <f>AND('PROG FORMACIÓN TITULADA'!#REF!,"AAAAAFntvns=")</f>
        <v>#REF!</v>
      </c>
      <c r="DU128" t="e">
        <f>IF('PROG FORMACIÓN TITULADA'!#REF!,"AAAAAFntvnw=",0)</f>
        <v>#REF!</v>
      </c>
      <c r="DV128" t="e">
        <f>AND('PROG FORMACIÓN TITULADA'!#REF!,"AAAAAFntvn0=")</f>
        <v>#REF!</v>
      </c>
      <c r="DW128" t="e">
        <f>AND('PROG FORMACIÓN TITULADA'!#REF!,"AAAAAFntvn4=")</f>
        <v>#REF!</v>
      </c>
      <c r="DX128" t="e">
        <f>AND('PROG FORMACIÓN TITULADA'!#REF!,"AAAAAFntvn8=")</f>
        <v>#REF!</v>
      </c>
      <c r="DY128" t="e">
        <f>AND('PROG FORMACIÓN TITULADA'!#REF!,"AAAAAFntvoA=")</f>
        <v>#REF!</v>
      </c>
      <c r="DZ128" t="e">
        <f>IF('PROG FORMACIÓN TITULADA'!#REF!,"AAAAAFntvoE=",0)</f>
        <v>#REF!</v>
      </c>
      <c r="EA128" t="e">
        <f>AND('PROG FORMACIÓN TITULADA'!#REF!,"AAAAAFntvoI=")</f>
        <v>#REF!</v>
      </c>
      <c r="EB128" t="e">
        <f>AND('PROG FORMACIÓN TITULADA'!#REF!,"AAAAAFntvoM=")</f>
        <v>#REF!</v>
      </c>
      <c r="EC128" t="e">
        <f>AND('PROG FORMACIÓN TITULADA'!#REF!,"AAAAAFntvoQ=")</f>
        <v>#REF!</v>
      </c>
      <c r="ED128" t="e">
        <f>AND('PROG FORMACIÓN TITULADA'!#REF!,"AAAAAFntvoU=")</f>
        <v>#REF!</v>
      </c>
      <c r="EE128" t="e">
        <f>IF('PROG FORMACIÓN TITULADA'!#REF!,"AAAAAFntvoY=",0)</f>
        <v>#REF!</v>
      </c>
      <c r="EF128" t="e">
        <f>AND('PROG FORMACIÓN TITULADA'!#REF!,"AAAAAFntvoc=")</f>
        <v>#REF!</v>
      </c>
      <c r="EG128" t="e">
        <f>AND('PROG FORMACIÓN TITULADA'!#REF!,"AAAAAFntvog=")</f>
        <v>#REF!</v>
      </c>
      <c r="EH128" t="e">
        <f>AND('PROG FORMACIÓN TITULADA'!#REF!,"AAAAAFntvok=")</f>
        <v>#REF!</v>
      </c>
      <c r="EI128" t="e">
        <f>AND('PROG FORMACIÓN TITULADA'!#REF!,"AAAAAFntvoo=")</f>
        <v>#REF!</v>
      </c>
      <c r="EJ128" t="e">
        <f>IF('PROG FORMACIÓN TITULADA'!#REF!,"AAAAAFntvos=",0)</f>
        <v>#REF!</v>
      </c>
      <c r="EK128" t="e">
        <f>AND('PROG FORMACIÓN TITULADA'!#REF!,"AAAAAFntvow=")</f>
        <v>#REF!</v>
      </c>
      <c r="EL128" t="e">
        <f>AND('PROG FORMACIÓN TITULADA'!#REF!,"AAAAAFntvo0=")</f>
        <v>#REF!</v>
      </c>
      <c r="EM128" t="e">
        <f>AND('PROG FORMACIÓN TITULADA'!#REF!,"AAAAAFntvo4=")</f>
        <v>#REF!</v>
      </c>
      <c r="EN128" t="e">
        <f>AND('PROG FORMACIÓN TITULADA'!#REF!,"AAAAAFntvo8=")</f>
        <v>#REF!</v>
      </c>
      <c r="EO128" t="e">
        <f>IF('PROG FORMACIÓN TITULADA'!#REF!,"AAAAAFntvpA=",0)</f>
        <v>#REF!</v>
      </c>
      <c r="EP128" t="e">
        <f>AND('PROG FORMACIÓN TITULADA'!#REF!,"AAAAAFntvpE=")</f>
        <v>#REF!</v>
      </c>
      <c r="EQ128" t="e">
        <f>AND('PROG FORMACIÓN TITULADA'!#REF!,"AAAAAFntvpI=")</f>
        <v>#REF!</v>
      </c>
      <c r="ER128" t="e">
        <f>AND('PROG FORMACIÓN TITULADA'!#REF!,"AAAAAFntvpM=")</f>
        <v>#REF!</v>
      </c>
      <c r="ES128" t="e">
        <f>AND('PROG FORMACIÓN TITULADA'!#REF!,"AAAAAFntvpQ=")</f>
        <v>#REF!</v>
      </c>
      <c r="ET128" t="e">
        <f>IF('PROG FORMACIÓN TITULADA'!#REF!,"AAAAAFntvpU=",0)</f>
        <v>#REF!</v>
      </c>
      <c r="EU128" t="e">
        <f>AND('PROG FORMACIÓN TITULADA'!#REF!,"AAAAAFntvpY=")</f>
        <v>#REF!</v>
      </c>
      <c r="EV128" t="e">
        <f>AND('PROG FORMACIÓN TITULADA'!#REF!,"AAAAAFntvpc=")</f>
        <v>#REF!</v>
      </c>
      <c r="EW128" t="e">
        <f>AND('PROG FORMACIÓN TITULADA'!#REF!,"AAAAAFntvpg=")</f>
        <v>#REF!</v>
      </c>
      <c r="EX128" t="e">
        <f>AND('PROG FORMACIÓN TITULADA'!#REF!,"AAAAAFntvpk=")</f>
        <v>#REF!</v>
      </c>
      <c r="EY128" t="e">
        <f>IF('PROG FORMACIÓN TITULADA'!#REF!,"AAAAAFntvpo=",0)</f>
        <v>#REF!</v>
      </c>
      <c r="EZ128" t="e">
        <f>AND('PROG FORMACIÓN TITULADA'!#REF!,"AAAAAFntvps=")</f>
        <v>#REF!</v>
      </c>
      <c r="FA128" t="e">
        <f>AND('PROG FORMACIÓN TITULADA'!#REF!,"AAAAAFntvpw=")</f>
        <v>#REF!</v>
      </c>
      <c r="FB128" t="e">
        <f>AND('PROG FORMACIÓN TITULADA'!#REF!,"AAAAAFntvp0=")</f>
        <v>#REF!</v>
      </c>
      <c r="FC128" t="e">
        <f>AND('PROG FORMACIÓN TITULADA'!#REF!,"AAAAAFntvp4=")</f>
        <v>#REF!</v>
      </c>
      <c r="FD128" t="e">
        <f>IF('PROG FORMACIÓN TITULADA'!#REF!,"AAAAAFntvp8=",0)</f>
        <v>#REF!</v>
      </c>
      <c r="FE128" t="e">
        <f>AND('PROG FORMACIÓN TITULADA'!#REF!,"AAAAAFntvqA=")</f>
        <v>#REF!</v>
      </c>
      <c r="FF128" t="e">
        <f>AND('PROG FORMACIÓN TITULADA'!#REF!,"AAAAAFntvqE=")</f>
        <v>#REF!</v>
      </c>
      <c r="FG128" t="e">
        <f>AND('PROG FORMACIÓN TITULADA'!#REF!,"AAAAAFntvqI=")</f>
        <v>#REF!</v>
      </c>
      <c r="FH128" t="e">
        <f>AND('PROG FORMACIÓN TITULADA'!#REF!,"AAAAAFntvqM=")</f>
        <v>#REF!</v>
      </c>
      <c r="FI128" t="e">
        <f>IF('PROG FORMACIÓN TITULADA'!#REF!,"AAAAAFntvqQ=",0)</f>
        <v>#REF!</v>
      </c>
      <c r="FJ128" t="e">
        <f>AND('PROG FORMACIÓN TITULADA'!#REF!,"AAAAAFntvqU=")</f>
        <v>#REF!</v>
      </c>
      <c r="FK128" t="e">
        <f>AND('PROG FORMACIÓN TITULADA'!#REF!,"AAAAAFntvqY=")</f>
        <v>#REF!</v>
      </c>
      <c r="FL128" t="e">
        <f>AND('PROG FORMACIÓN TITULADA'!#REF!,"AAAAAFntvqc=")</f>
        <v>#REF!</v>
      </c>
      <c r="FM128" t="e">
        <f>AND('PROG FORMACIÓN TITULADA'!#REF!,"AAAAAFntvqg=")</f>
        <v>#REF!</v>
      </c>
      <c r="FN128" t="e">
        <f>IF('PROG FORMACIÓN TITULADA'!#REF!,"AAAAAFntvqk=",0)</f>
        <v>#REF!</v>
      </c>
      <c r="FO128" t="e">
        <f>AND('PROG FORMACIÓN TITULADA'!#REF!,"AAAAAFntvqo=")</f>
        <v>#REF!</v>
      </c>
      <c r="FP128" t="e">
        <f>AND('PROG FORMACIÓN TITULADA'!#REF!,"AAAAAFntvqs=")</f>
        <v>#REF!</v>
      </c>
      <c r="FQ128" t="e">
        <f>AND('PROG FORMACIÓN TITULADA'!#REF!,"AAAAAFntvqw=")</f>
        <v>#REF!</v>
      </c>
      <c r="FR128" t="e">
        <f>AND('PROG FORMACIÓN TITULADA'!#REF!,"AAAAAFntvq0=")</f>
        <v>#REF!</v>
      </c>
      <c r="FS128" t="e">
        <f>IF('PROG FORMACIÓN TITULADA'!#REF!,"AAAAAFntvq4=",0)</f>
        <v>#REF!</v>
      </c>
      <c r="FT128" t="e">
        <f>AND('PROG FORMACIÓN TITULADA'!#REF!,"AAAAAFntvq8=")</f>
        <v>#REF!</v>
      </c>
      <c r="FU128" t="e">
        <f>AND('PROG FORMACIÓN TITULADA'!#REF!,"AAAAAFntvrA=")</f>
        <v>#REF!</v>
      </c>
      <c r="FV128" t="e">
        <f>AND('PROG FORMACIÓN TITULADA'!#REF!,"AAAAAFntvrE=")</f>
        <v>#REF!</v>
      </c>
      <c r="FW128" t="e">
        <f>AND('PROG FORMACIÓN TITULADA'!#REF!,"AAAAAFntvrI=")</f>
        <v>#REF!</v>
      </c>
      <c r="FX128" t="e">
        <f>IF('PROG FORMACIÓN TITULADA'!#REF!,"AAAAAFntvrM=",0)</f>
        <v>#REF!</v>
      </c>
      <c r="FY128" t="e">
        <f>AND('PROG FORMACIÓN TITULADA'!#REF!,"AAAAAFntvrQ=")</f>
        <v>#REF!</v>
      </c>
      <c r="FZ128" t="e">
        <f>AND('PROG FORMACIÓN TITULADA'!#REF!,"AAAAAFntvrU=")</f>
        <v>#REF!</v>
      </c>
      <c r="GA128" t="e">
        <f>AND('PROG FORMACIÓN TITULADA'!#REF!,"AAAAAFntvrY=")</f>
        <v>#REF!</v>
      </c>
      <c r="GB128" t="e">
        <f>AND('PROG FORMACIÓN TITULADA'!#REF!,"AAAAAFntvrc=")</f>
        <v>#REF!</v>
      </c>
      <c r="GC128" t="e">
        <f>IF('PROG FORMACIÓN TITULADA'!#REF!,"AAAAAFntvrg=",0)</f>
        <v>#REF!</v>
      </c>
      <c r="GD128" t="e">
        <f>AND('PROG FORMACIÓN TITULADA'!#REF!,"AAAAAFntvrk=")</f>
        <v>#REF!</v>
      </c>
      <c r="GE128" t="e">
        <f>AND('PROG FORMACIÓN TITULADA'!#REF!,"AAAAAFntvro=")</f>
        <v>#REF!</v>
      </c>
      <c r="GF128" t="e">
        <f>AND('PROG FORMACIÓN TITULADA'!#REF!,"AAAAAFntvrs=")</f>
        <v>#REF!</v>
      </c>
      <c r="GG128" t="e">
        <f>AND('PROG FORMACIÓN TITULADA'!#REF!,"AAAAAFntvrw=")</f>
        <v>#REF!</v>
      </c>
      <c r="GH128" t="e">
        <f>IF('PROG FORMACIÓN TITULADA'!#REF!,"AAAAAFntvr0=",0)</f>
        <v>#REF!</v>
      </c>
      <c r="GI128" t="e">
        <f>AND('PROG FORMACIÓN TITULADA'!#REF!,"AAAAAFntvr4=")</f>
        <v>#REF!</v>
      </c>
      <c r="GJ128" t="e">
        <f>AND('PROG FORMACIÓN TITULADA'!#REF!,"AAAAAFntvr8=")</f>
        <v>#REF!</v>
      </c>
      <c r="GK128" t="e">
        <f>AND('PROG FORMACIÓN TITULADA'!#REF!,"AAAAAFntvsA=")</f>
        <v>#REF!</v>
      </c>
      <c r="GL128" t="e">
        <f>AND('PROG FORMACIÓN TITULADA'!#REF!,"AAAAAFntvsE=")</f>
        <v>#REF!</v>
      </c>
      <c r="GM128" t="e">
        <f>IF('PROG FORMACIÓN TITULADA'!#REF!,"AAAAAFntvsI=",0)</f>
        <v>#REF!</v>
      </c>
      <c r="GN128" t="e">
        <f>AND('PROG FORMACIÓN TITULADA'!#REF!,"AAAAAFntvsM=")</f>
        <v>#REF!</v>
      </c>
      <c r="GO128" t="e">
        <f>AND('PROG FORMACIÓN TITULADA'!#REF!,"AAAAAFntvsQ=")</f>
        <v>#REF!</v>
      </c>
      <c r="GP128" t="e">
        <f>AND('PROG FORMACIÓN TITULADA'!#REF!,"AAAAAFntvsU=")</f>
        <v>#REF!</v>
      </c>
      <c r="GQ128" t="e">
        <f>AND('PROG FORMACIÓN TITULADA'!#REF!,"AAAAAFntvsY=")</f>
        <v>#REF!</v>
      </c>
      <c r="GR128" t="e">
        <f>IF('PROG FORMACIÓN TITULADA'!#REF!,"AAAAAFntvsc=",0)</f>
        <v>#REF!</v>
      </c>
      <c r="GS128" t="e">
        <f>AND('PROG FORMACIÓN TITULADA'!#REF!,"AAAAAFntvsg=")</f>
        <v>#REF!</v>
      </c>
      <c r="GT128" t="e">
        <f>AND('PROG FORMACIÓN TITULADA'!#REF!,"AAAAAFntvsk=")</f>
        <v>#REF!</v>
      </c>
      <c r="GU128" t="e">
        <f>AND('PROG FORMACIÓN TITULADA'!#REF!,"AAAAAFntvso=")</f>
        <v>#REF!</v>
      </c>
      <c r="GV128" t="e">
        <f>AND('PROG FORMACIÓN TITULADA'!#REF!,"AAAAAFntvss=")</f>
        <v>#REF!</v>
      </c>
      <c r="GW128" t="e">
        <f>IF('PROG FORMACIÓN TITULADA'!#REF!,"AAAAAFntvsw=",0)</f>
        <v>#REF!</v>
      </c>
      <c r="GX128" t="e">
        <f>AND('PROG FORMACIÓN TITULADA'!#REF!,"AAAAAFntvs0=")</f>
        <v>#REF!</v>
      </c>
      <c r="GY128" t="e">
        <f>AND('PROG FORMACIÓN TITULADA'!#REF!,"AAAAAFntvs4=")</f>
        <v>#REF!</v>
      </c>
      <c r="GZ128" t="e">
        <f>AND('PROG FORMACIÓN TITULADA'!#REF!,"AAAAAFntvs8=")</f>
        <v>#REF!</v>
      </c>
      <c r="HA128" t="e">
        <f>AND('PROG FORMACIÓN TITULADA'!#REF!,"AAAAAFntvtA=")</f>
        <v>#REF!</v>
      </c>
      <c r="HB128" t="e">
        <f>IF('PROG FORMACIÓN TITULADA'!#REF!,"AAAAAFntvtE=",0)</f>
        <v>#REF!</v>
      </c>
      <c r="HC128" t="e">
        <f>AND('PROG FORMACIÓN TITULADA'!#REF!,"AAAAAFntvtI=")</f>
        <v>#REF!</v>
      </c>
      <c r="HD128" t="e">
        <f>AND('PROG FORMACIÓN TITULADA'!#REF!,"AAAAAFntvtM=")</f>
        <v>#REF!</v>
      </c>
      <c r="HE128" t="e">
        <f>AND('PROG FORMACIÓN TITULADA'!#REF!,"AAAAAFntvtQ=")</f>
        <v>#REF!</v>
      </c>
      <c r="HF128" t="e">
        <f>AND('PROG FORMACIÓN TITULADA'!#REF!,"AAAAAFntvtU=")</f>
        <v>#REF!</v>
      </c>
      <c r="HG128" t="e">
        <f>IF('PROG FORMACIÓN TITULADA'!#REF!,"AAAAAFntvtY=",0)</f>
        <v>#REF!</v>
      </c>
      <c r="HH128" t="e">
        <f>AND('PROG FORMACIÓN TITULADA'!#REF!,"AAAAAFntvtc=")</f>
        <v>#REF!</v>
      </c>
      <c r="HI128" t="e">
        <f>AND('PROG FORMACIÓN TITULADA'!#REF!,"AAAAAFntvtg=")</f>
        <v>#REF!</v>
      </c>
      <c r="HJ128" t="e">
        <f>AND('PROG FORMACIÓN TITULADA'!#REF!,"AAAAAFntvtk=")</f>
        <v>#REF!</v>
      </c>
      <c r="HK128" t="e">
        <f>AND('PROG FORMACIÓN TITULADA'!#REF!,"AAAAAFntvto=")</f>
        <v>#REF!</v>
      </c>
      <c r="HL128" t="e">
        <f>IF('PROG FORMACIÓN TITULADA'!#REF!,"AAAAAFntvts=",0)</f>
        <v>#REF!</v>
      </c>
      <c r="HM128" t="e">
        <f>AND('PROG FORMACIÓN TITULADA'!#REF!,"AAAAAFntvtw=")</f>
        <v>#REF!</v>
      </c>
      <c r="HN128" t="e">
        <f>AND('PROG FORMACIÓN TITULADA'!#REF!,"AAAAAFntvt0=")</f>
        <v>#REF!</v>
      </c>
      <c r="HO128" t="e">
        <f>AND('PROG FORMACIÓN TITULADA'!#REF!,"AAAAAFntvt4=")</f>
        <v>#REF!</v>
      </c>
      <c r="HP128" t="e">
        <f>AND('PROG FORMACIÓN TITULADA'!#REF!,"AAAAAFntvt8=")</f>
        <v>#REF!</v>
      </c>
      <c r="HQ128" t="e">
        <f>IF('PROG FORMACIÓN TITULADA'!#REF!,"AAAAAFntvuA=",0)</f>
        <v>#REF!</v>
      </c>
      <c r="HR128" t="e">
        <f>AND('PROG FORMACIÓN TITULADA'!#REF!,"AAAAAFntvuE=")</f>
        <v>#REF!</v>
      </c>
      <c r="HS128" t="e">
        <f>AND('PROG FORMACIÓN TITULADA'!#REF!,"AAAAAFntvuI=")</f>
        <v>#REF!</v>
      </c>
      <c r="HT128" t="e">
        <f>AND('PROG FORMACIÓN TITULADA'!#REF!,"AAAAAFntvuM=")</f>
        <v>#REF!</v>
      </c>
      <c r="HU128" t="e">
        <f>AND('PROG FORMACIÓN TITULADA'!#REF!,"AAAAAFntvuQ=")</f>
        <v>#REF!</v>
      </c>
      <c r="HV128" t="e">
        <f>IF('PROG FORMACIÓN TITULADA'!#REF!,"AAAAAFntvuU=",0)</f>
        <v>#REF!</v>
      </c>
      <c r="HW128" t="e">
        <f>AND('PROG FORMACIÓN TITULADA'!#REF!,"AAAAAFntvuY=")</f>
        <v>#REF!</v>
      </c>
      <c r="HX128" t="e">
        <f>AND('PROG FORMACIÓN TITULADA'!#REF!,"AAAAAFntvuc=")</f>
        <v>#REF!</v>
      </c>
      <c r="HY128" t="e">
        <f>AND('PROG FORMACIÓN TITULADA'!#REF!,"AAAAAFntvug=")</f>
        <v>#REF!</v>
      </c>
      <c r="HZ128" t="e">
        <f>AND('PROG FORMACIÓN TITULADA'!#REF!,"AAAAAFntvuk=")</f>
        <v>#REF!</v>
      </c>
      <c r="IA128" t="e">
        <f>IF('PROG FORMACIÓN TITULADA'!#REF!,"AAAAAFntvuo=",0)</f>
        <v>#REF!</v>
      </c>
      <c r="IB128" t="e">
        <f>AND('PROG FORMACIÓN TITULADA'!#REF!,"AAAAAFntvus=")</f>
        <v>#REF!</v>
      </c>
      <c r="IC128" t="e">
        <f>AND('PROG FORMACIÓN TITULADA'!#REF!,"AAAAAFntvuw=")</f>
        <v>#REF!</v>
      </c>
      <c r="ID128" t="e">
        <f>AND('PROG FORMACIÓN TITULADA'!#REF!,"AAAAAFntvu0=")</f>
        <v>#REF!</v>
      </c>
      <c r="IE128" t="e">
        <f>AND('PROG FORMACIÓN TITULADA'!#REF!,"AAAAAFntvu4=")</f>
        <v>#REF!</v>
      </c>
      <c r="IF128" t="e">
        <f>IF('PROG FORMACIÓN TITULADA'!#REF!,"AAAAAFntvu8=",0)</f>
        <v>#REF!</v>
      </c>
      <c r="IG128" t="e">
        <f>AND('PROG FORMACIÓN TITULADA'!#REF!,"AAAAAFntvvA=")</f>
        <v>#REF!</v>
      </c>
      <c r="IH128" t="e">
        <f>AND('PROG FORMACIÓN TITULADA'!#REF!,"AAAAAFntvvE=")</f>
        <v>#REF!</v>
      </c>
      <c r="II128" t="e">
        <f>AND('PROG FORMACIÓN TITULADA'!#REF!,"AAAAAFntvvI=")</f>
        <v>#REF!</v>
      </c>
      <c r="IJ128" t="e">
        <f>AND('PROG FORMACIÓN TITULADA'!#REF!,"AAAAAFntvvM=")</f>
        <v>#REF!</v>
      </c>
      <c r="IK128" t="e">
        <f>IF('PROG FORMACIÓN TITULADA'!#REF!,"AAAAAFntvvQ=",0)</f>
        <v>#REF!</v>
      </c>
      <c r="IL128" t="e">
        <f>AND('PROG FORMACIÓN TITULADA'!#REF!,"AAAAAFntvvU=")</f>
        <v>#REF!</v>
      </c>
      <c r="IM128" t="e">
        <f>AND('PROG FORMACIÓN TITULADA'!#REF!,"AAAAAFntvvY=")</f>
        <v>#REF!</v>
      </c>
      <c r="IN128" t="e">
        <f>AND('PROG FORMACIÓN TITULADA'!#REF!,"AAAAAFntvvc=")</f>
        <v>#REF!</v>
      </c>
      <c r="IO128" t="e">
        <f>AND('PROG FORMACIÓN TITULADA'!#REF!,"AAAAAFntvvg=")</f>
        <v>#REF!</v>
      </c>
      <c r="IP128" t="e">
        <f>IF('PROG FORMACIÓN TITULADA'!#REF!,"AAAAAFntvvk=",0)</f>
        <v>#REF!</v>
      </c>
      <c r="IQ128" t="e">
        <f>AND('PROG FORMACIÓN TITULADA'!#REF!,"AAAAAFntvvo=")</f>
        <v>#REF!</v>
      </c>
      <c r="IR128" t="e">
        <f>AND('PROG FORMACIÓN TITULADA'!#REF!,"AAAAAFntvvs=")</f>
        <v>#REF!</v>
      </c>
      <c r="IS128" t="e">
        <f>AND('PROG FORMACIÓN TITULADA'!#REF!,"AAAAAFntvvw=")</f>
        <v>#REF!</v>
      </c>
      <c r="IT128" t="e">
        <f>AND('PROG FORMACIÓN TITULADA'!#REF!,"AAAAAFntvv0=")</f>
        <v>#REF!</v>
      </c>
      <c r="IU128" t="e">
        <f>IF('PROG FORMACIÓN TITULADA'!#REF!,"AAAAAFntvv4=",0)</f>
        <v>#REF!</v>
      </c>
      <c r="IV128" t="e">
        <f>AND('PROG FORMACIÓN TITULADA'!#REF!,"AAAAAFntvv8=")</f>
        <v>#REF!</v>
      </c>
    </row>
    <row r="129" spans="1:256" x14ac:dyDescent="0.2">
      <c r="A129" t="e">
        <f>AND('PROG FORMACIÓN TITULADA'!#REF!,"AAAAAH39fAA=")</f>
        <v>#REF!</v>
      </c>
      <c r="B129" t="e">
        <f>AND('PROG FORMACIÓN TITULADA'!#REF!,"AAAAAH39fAE=")</f>
        <v>#REF!</v>
      </c>
      <c r="C129" t="e">
        <f>AND('PROG FORMACIÓN TITULADA'!#REF!,"AAAAAH39fAI=")</f>
        <v>#REF!</v>
      </c>
      <c r="D129" t="e">
        <f>IF('PROG FORMACIÓN TITULADA'!#REF!,"AAAAAH39fAM=",0)</f>
        <v>#REF!</v>
      </c>
      <c r="E129" t="e">
        <f>AND('PROG FORMACIÓN TITULADA'!#REF!,"AAAAAH39fAQ=")</f>
        <v>#REF!</v>
      </c>
      <c r="F129" t="e">
        <f>AND('PROG FORMACIÓN TITULADA'!#REF!,"AAAAAH39fAU=")</f>
        <v>#REF!</v>
      </c>
      <c r="G129" t="e">
        <f>AND('PROG FORMACIÓN TITULADA'!#REF!,"AAAAAH39fAY=")</f>
        <v>#REF!</v>
      </c>
      <c r="H129" t="e">
        <f>AND('PROG FORMACIÓN TITULADA'!#REF!,"AAAAAH39fAc=")</f>
        <v>#REF!</v>
      </c>
      <c r="I129" t="e">
        <f>IF('PROG FORMACIÓN TITULADA'!#REF!,"AAAAAH39fAg=",0)</f>
        <v>#REF!</v>
      </c>
      <c r="J129" t="e">
        <f>AND('PROG FORMACIÓN TITULADA'!#REF!,"AAAAAH39fAk=")</f>
        <v>#REF!</v>
      </c>
      <c r="K129" t="e">
        <f>AND('PROG FORMACIÓN TITULADA'!#REF!,"AAAAAH39fAo=")</f>
        <v>#REF!</v>
      </c>
      <c r="L129" t="e">
        <f>AND('PROG FORMACIÓN TITULADA'!#REF!,"AAAAAH39fAs=")</f>
        <v>#REF!</v>
      </c>
      <c r="M129" t="e">
        <f>AND('PROG FORMACIÓN TITULADA'!#REF!,"AAAAAH39fAw=")</f>
        <v>#REF!</v>
      </c>
      <c r="N129" t="e">
        <f>IF('PROG FORMACIÓN TITULADA'!#REF!,"AAAAAH39fA0=",0)</f>
        <v>#REF!</v>
      </c>
      <c r="O129" t="e">
        <f>AND('PROG FORMACIÓN TITULADA'!#REF!,"AAAAAH39fA4=")</f>
        <v>#REF!</v>
      </c>
      <c r="P129" t="e">
        <f>AND('PROG FORMACIÓN TITULADA'!#REF!,"AAAAAH39fA8=")</f>
        <v>#REF!</v>
      </c>
      <c r="Q129" t="e">
        <f>AND('PROG FORMACIÓN TITULADA'!#REF!,"AAAAAH39fBA=")</f>
        <v>#REF!</v>
      </c>
      <c r="R129" t="e">
        <f>AND('PROG FORMACIÓN TITULADA'!#REF!,"AAAAAH39fBE=")</f>
        <v>#REF!</v>
      </c>
      <c r="S129" t="e">
        <f>IF('PROG FORMACIÓN TITULADA'!#REF!,"AAAAAH39fBI=",0)</f>
        <v>#REF!</v>
      </c>
      <c r="T129" t="e">
        <f>AND('PROG FORMACIÓN TITULADA'!#REF!,"AAAAAH39fBM=")</f>
        <v>#REF!</v>
      </c>
      <c r="U129" t="e">
        <f>AND('PROG FORMACIÓN TITULADA'!#REF!,"AAAAAH39fBQ=")</f>
        <v>#REF!</v>
      </c>
      <c r="V129" t="e">
        <f>AND('PROG FORMACIÓN TITULADA'!#REF!,"AAAAAH39fBU=")</f>
        <v>#REF!</v>
      </c>
      <c r="W129" t="e">
        <f>AND('PROG FORMACIÓN TITULADA'!#REF!,"AAAAAH39fBY=")</f>
        <v>#REF!</v>
      </c>
      <c r="X129" t="e">
        <f>IF('PROG FORMACIÓN TITULADA'!#REF!,"AAAAAH39fBc=",0)</f>
        <v>#REF!</v>
      </c>
      <c r="Y129" t="e">
        <f>AND('PROG FORMACIÓN TITULADA'!#REF!,"AAAAAH39fBg=")</f>
        <v>#REF!</v>
      </c>
      <c r="Z129" t="e">
        <f>AND('PROG FORMACIÓN TITULADA'!#REF!,"AAAAAH39fBk=")</f>
        <v>#REF!</v>
      </c>
      <c r="AA129" t="e">
        <f>AND('PROG FORMACIÓN TITULADA'!#REF!,"AAAAAH39fBo=")</f>
        <v>#REF!</v>
      </c>
      <c r="AB129" t="e">
        <f>AND('PROG FORMACIÓN TITULADA'!#REF!,"AAAAAH39fBs=")</f>
        <v>#REF!</v>
      </c>
      <c r="AC129" t="e">
        <f>IF('PROG FORMACIÓN TITULADA'!#REF!,"AAAAAH39fBw=",0)</f>
        <v>#REF!</v>
      </c>
      <c r="AD129" t="e">
        <f>AND('PROG FORMACIÓN TITULADA'!#REF!,"AAAAAH39fB0=")</f>
        <v>#REF!</v>
      </c>
      <c r="AE129" t="e">
        <f>AND('PROG FORMACIÓN TITULADA'!#REF!,"AAAAAH39fB4=")</f>
        <v>#REF!</v>
      </c>
      <c r="AF129" t="e">
        <f>AND('PROG FORMACIÓN TITULADA'!#REF!,"AAAAAH39fB8=")</f>
        <v>#REF!</v>
      </c>
      <c r="AG129" t="e">
        <f>AND('PROG FORMACIÓN TITULADA'!#REF!,"AAAAAH39fCA=")</f>
        <v>#REF!</v>
      </c>
      <c r="AH129" t="e">
        <f>IF('PROG FORMACIÓN TITULADA'!#REF!,"AAAAAH39fCE=",0)</f>
        <v>#REF!</v>
      </c>
      <c r="AI129" t="e">
        <f>AND('PROG FORMACIÓN TITULADA'!#REF!,"AAAAAH39fCI=")</f>
        <v>#REF!</v>
      </c>
      <c r="AJ129" t="e">
        <f>AND('PROG FORMACIÓN TITULADA'!#REF!,"AAAAAH39fCM=")</f>
        <v>#REF!</v>
      </c>
      <c r="AK129" t="e">
        <f>AND('PROG FORMACIÓN TITULADA'!#REF!,"AAAAAH39fCQ=")</f>
        <v>#REF!</v>
      </c>
      <c r="AL129" t="e">
        <f>AND('PROG FORMACIÓN TITULADA'!#REF!,"AAAAAH39fCU=")</f>
        <v>#REF!</v>
      </c>
      <c r="AM129" t="e">
        <f>IF('PROG FORMACIÓN TITULADA'!#REF!,"AAAAAH39fCY=",0)</f>
        <v>#REF!</v>
      </c>
      <c r="AN129" t="e">
        <f>AND('PROG FORMACIÓN TITULADA'!#REF!,"AAAAAH39fCc=")</f>
        <v>#REF!</v>
      </c>
      <c r="AO129" t="e">
        <f>AND('PROG FORMACIÓN TITULADA'!#REF!,"AAAAAH39fCg=")</f>
        <v>#REF!</v>
      </c>
      <c r="AP129" t="e">
        <f>AND('PROG FORMACIÓN TITULADA'!#REF!,"AAAAAH39fCk=")</f>
        <v>#REF!</v>
      </c>
      <c r="AQ129" t="e">
        <f>AND('PROG FORMACIÓN TITULADA'!#REF!,"AAAAAH39fCo=")</f>
        <v>#REF!</v>
      </c>
      <c r="AR129" t="e">
        <f>IF('PROG FORMACIÓN TITULADA'!#REF!,"AAAAAH39fCs=",0)</f>
        <v>#REF!</v>
      </c>
      <c r="AS129" t="e">
        <f>AND('PROG FORMACIÓN TITULADA'!#REF!,"AAAAAH39fCw=")</f>
        <v>#REF!</v>
      </c>
      <c r="AT129" t="e">
        <f>AND('PROG FORMACIÓN TITULADA'!#REF!,"AAAAAH39fC0=")</f>
        <v>#REF!</v>
      </c>
      <c r="AU129" t="e">
        <f>AND('PROG FORMACIÓN TITULADA'!#REF!,"AAAAAH39fC4=")</f>
        <v>#REF!</v>
      </c>
      <c r="AV129" t="e">
        <f>AND('PROG FORMACIÓN TITULADA'!#REF!,"AAAAAH39fC8=")</f>
        <v>#REF!</v>
      </c>
      <c r="AW129" t="e">
        <f>IF('PROG FORMACIÓN TITULADA'!#REF!,"AAAAAH39fDA=",0)</f>
        <v>#REF!</v>
      </c>
      <c r="AX129" t="e">
        <f>AND('PROG FORMACIÓN TITULADA'!#REF!,"AAAAAH39fDE=")</f>
        <v>#REF!</v>
      </c>
      <c r="AY129" t="e">
        <f>AND('PROG FORMACIÓN TITULADA'!#REF!,"AAAAAH39fDI=")</f>
        <v>#REF!</v>
      </c>
      <c r="AZ129" t="e">
        <f>AND('PROG FORMACIÓN TITULADA'!#REF!,"AAAAAH39fDM=")</f>
        <v>#REF!</v>
      </c>
      <c r="BA129" t="e">
        <f>AND('PROG FORMACIÓN TITULADA'!#REF!,"AAAAAH39fDQ=")</f>
        <v>#REF!</v>
      </c>
      <c r="BB129" t="e">
        <f>IF('PROG FORMACIÓN TITULADA'!#REF!,"AAAAAH39fDU=",0)</f>
        <v>#REF!</v>
      </c>
      <c r="BC129" t="e">
        <f>AND('PROG FORMACIÓN TITULADA'!#REF!,"AAAAAH39fDY=")</f>
        <v>#REF!</v>
      </c>
      <c r="BD129" t="e">
        <f>AND('PROG FORMACIÓN TITULADA'!#REF!,"AAAAAH39fDc=")</f>
        <v>#REF!</v>
      </c>
      <c r="BE129" t="e">
        <f>AND('PROG FORMACIÓN TITULADA'!#REF!,"AAAAAH39fDg=")</f>
        <v>#REF!</v>
      </c>
      <c r="BF129" t="e">
        <f>AND('PROG FORMACIÓN TITULADA'!#REF!,"AAAAAH39fDk=")</f>
        <v>#REF!</v>
      </c>
      <c r="BG129" t="e">
        <f>IF('PROG FORMACIÓN TITULADA'!#REF!,"AAAAAH39fDo=",0)</f>
        <v>#REF!</v>
      </c>
      <c r="BH129" t="e">
        <f>AND('PROG FORMACIÓN TITULADA'!#REF!,"AAAAAH39fDs=")</f>
        <v>#REF!</v>
      </c>
      <c r="BI129" t="e">
        <f>AND('PROG FORMACIÓN TITULADA'!#REF!,"AAAAAH39fDw=")</f>
        <v>#REF!</v>
      </c>
      <c r="BJ129" t="e">
        <f>AND('PROG FORMACIÓN TITULADA'!#REF!,"AAAAAH39fD0=")</f>
        <v>#REF!</v>
      </c>
      <c r="BK129" t="e">
        <f>AND('PROG FORMACIÓN TITULADA'!#REF!,"AAAAAH39fD4=")</f>
        <v>#REF!</v>
      </c>
      <c r="BL129" t="e">
        <f>IF('PROG FORMACIÓN TITULADA'!#REF!,"AAAAAH39fD8=",0)</f>
        <v>#REF!</v>
      </c>
      <c r="BM129" t="e">
        <f>AND('PROG FORMACIÓN TITULADA'!#REF!,"AAAAAH39fEA=")</f>
        <v>#REF!</v>
      </c>
      <c r="BN129" t="e">
        <f>AND('PROG FORMACIÓN TITULADA'!#REF!,"AAAAAH39fEE=")</f>
        <v>#REF!</v>
      </c>
      <c r="BO129" t="e">
        <f>AND('PROG FORMACIÓN TITULADA'!#REF!,"AAAAAH39fEI=")</f>
        <v>#REF!</v>
      </c>
      <c r="BP129" t="e">
        <f>AND('PROG FORMACIÓN TITULADA'!#REF!,"AAAAAH39fEM=")</f>
        <v>#REF!</v>
      </c>
      <c r="BQ129" t="e">
        <f>IF('PROG FORMACIÓN TITULADA'!#REF!,"AAAAAH39fEQ=",0)</f>
        <v>#REF!</v>
      </c>
      <c r="BR129" t="e">
        <f>AND('PROG FORMACIÓN TITULADA'!#REF!,"AAAAAH39fEU=")</f>
        <v>#REF!</v>
      </c>
      <c r="BS129" t="e">
        <f>AND('PROG FORMACIÓN TITULADA'!#REF!,"AAAAAH39fEY=")</f>
        <v>#REF!</v>
      </c>
      <c r="BT129" t="e">
        <f>AND('PROG FORMACIÓN TITULADA'!#REF!,"AAAAAH39fEc=")</f>
        <v>#REF!</v>
      </c>
      <c r="BU129" t="e">
        <f>AND('PROG FORMACIÓN TITULADA'!#REF!,"AAAAAH39fEg=")</f>
        <v>#REF!</v>
      </c>
      <c r="BV129" t="e">
        <f>IF('PROG FORMACIÓN TITULADA'!#REF!,"AAAAAH39fEk=",0)</f>
        <v>#REF!</v>
      </c>
      <c r="BW129" t="e">
        <f>AND('PROG FORMACIÓN TITULADA'!#REF!,"AAAAAH39fEo=")</f>
        <v>#REF!</v>
      </c>
      <c r="BX129" t="e">
        <f>AND('PROG FORMACIÓN TITULADA'!#REF!,"AAAAAH39fEs=")</f>
        <v>#REF!</v>
      </c>
      <c r="BY129" t="e">
        <f>AND('PROG FORMACIÓN TITULADA'!#REF!,"AAAAAH39fEw=")</f>
        <v>#REF!</v>
      </c>
      <c r="BZ129" t="e">
        <f>AND('PROG FORMACIÓN TITULADA'!#REF!,"AAAAAH39fE0=")</f>
        <v>#REF!</v>
      </c>
      <c r="CA129" t="e">
        <f>IF('PROG FORMACIÓN TITULADA'!#REF!,"AAAAAH39fE4=",0)</f>
        <v>#REF!</v>
      </c>
      <c r="CB129" t="e">
        <f>AND('PROG FORMACIÓN TITULADA'!#REF!,"AAAAAH39fE8=")</f>
        <v>#REF!</v>
      </c>
      <c r="CC129" t="e">
        <f>AND('PROG FORMACIÓN TITULADA'!#REF!,"AAAAAH39fFA=")</f>
        <v>#REF!</v>
      </c>
      <c r="CD129" t="e">
        <f>AND('PROG FORMACIÓN TITULADA'!#REF!,"AAAAAH39fFE=")</f>
        <v>#REF!</v>
      </c>
      <c r="CE129" t="e">
        <f>AND('PROG FORMACIÓN TITULADA'!#REF!,"AAAAAH39fFI=")</f>
        <v>#REF!</v>
      </c>
      <c r="CF129" t="e">
        <f>IF('PROG FORMACIÓN TITULADA'!#REF!,"AAAAAH39fFM=",0)</f>
        <v>#REF!</v>
      </c>
      <c r="CG129" t="e">
        <f>AND('PROG FORMACIÓN TITULADA'!#REF!,"AAAAAH39fFQ=")</f>
        <v>#REF!</v>
      </c>
      <c r="CH129" t="e">
        <f>AND('PROG FORMACIÓN TITULADA'!#REF!,"AAAAAH39fFU=")</f>
        <v>#REF!</v>
      </c>
      <c r="CI129" t="e">
        <f>AND('PROG FORMACIÓN TITULADA'!#REF!,"AAAAAH39fFY=")</f>
        <v>#REF!</v>
      </c>
      <c r="CJ129" t="e">
        <f>AND('PROG FORMACIÓN TITULADA'!#REF!,"AAAAAH39fFc=")</f>
        <v>#REF!</v>
      </c>
      <c r="CK129" t="e">
        <f>IF('PROG FORMACIÓN TITULADA'!#REF!,"AAAAAH39fFg=",0)</f>
        <v>#REF!</v>
      </c>
      <c r="CL129" t="e">
        <f>AND('PROG FORMACIÓN TITULADA'!#REF!,"AAAAAH39fFk=")</f>
        <v>#REF!</v>
      </c>
      <c r="CM129" t="e">
        <f>AND('PROG FORMACIÓN TITULADA'!#REF!,"AAAAAH39fFo=")</f>
        <v>#REF!</v>
      </c>
      <c r="CN129" t="e">
        <f>AND('PROG FORMACIÓN TITULADA'!#REF!,"AAAAAH39fFs=")</f>
        <v>#REF!</v>
      </c>
      <c r="CO129" t="e">
        <f>AND('PROG FORMACIÓN TITULADA'!#REF!,"AAAAAH39fFw=")</f>
        <v>#REF!</v>
      </c>
      <c r="CP129" t="e">
        <f>IF('PROG FORMACIÓN TITULADA'!#REF!,"AAAAAH39fF0=",0)</f>
        <v>#REF!</v>
      </c>
      <c r="CQ129" t="e">
        <f>AND('PROG FORMACIÓN TITULADA'!#REF!,"AAAAAH39fF4=")</f>
        <v>#REF!</v>
      </c>
      <c r="CR129" t="e">
        <f>AND('PROG FORMACIÓN TITULADA'!#REF!,"AAAAAH39fF8=")</f>
        <v>#REF!</v>
      </c>
      <c r="CS129" t="e">
        <f>AND('PROG FORMACIÓN TITULADA'!#REF!,"AAAAAH39fGA=")</f>
        <v>#REF!</v>
      </c>
      <c r="CT129" t="e">
        <f>AND('PROG FORMACIÓN TITULADA'!#REF!,"AAAAAH39fGE=")</f>
        <v>#REF!</v>
      </c>
      <c r="CU129" t="e">
        <f>IF('PROG FORMACIÓN TITULADA'!#REF!,"AAAAAH39fGI=",0)</f>
        <v>#REF!</v>
      </c>
      <c r="CV129" t="e">
        <f>AND('PROG FORMACIÓN TITULADA'!#REF!,"AAAAAH39fGM=")</f>
        <v>#REF!</v>
      </c>
      <c r="CW129" t="e">
        <f>AND('PROG FORMACIÓN TITULADA'!#REF!,"AAAAAH39fGQ=")</f>
        <v>#REF!</v>
      </c>
      <c r="CX129" t="e">
        <f>AND('PROG FORMACIÓN TITULADA'!#REF!,"AAAAAH39fGU=")</f>
        <v>#REF!</v>
      </c>
      <c r="CY129" t="e">
        <f>AND('PROG FORMACIÓN TITULADA'!#REF!,"AAAAAH39fGY=")</f>
        <v>#REF!</v>
      </c>
      <c r="CZ129" t="e">
        <f>IF('PROG FORMACIÓN TITULADA'!#REF!,"AAAAAH39fGc=",0)</f>
        <v>#REF!</v>
      </c>
      <c r="DA129" t="e">
        <f>AND('PROG FORMACIÓN TITULADA'!#REF!,"AAAAAH39fGg=")</f>
        <v>#REF!</v>
      </c>
      <c r="DB129" t="e">
        <f>AND('PROG FORMACIÓN TITULADA'!#REF!,"AAAAAH39fGk=")</f>
        <v>#REF!</v>
      </c>
      <c r="DC129" t="e">
        <f>AND('PROG FORMACIÓN TITULADA'!#REF!,"AAAAAH39fGo=")</f>
        <v>#REF!</v>
      </c>
      <c r="DD129" t="e">
        <f>AND('PROG FORMACIÓN TITULADA'!#REF!,"AAAAAH39fGs=")</f>
        <v>#REF!</v>
      </c>
      <c r="DE129" t="e">
        <f>IF('PROG FORMACIÓN TITULADA'!#REF!,"AAAAAH39fGw=",0)</f>
        <v>#REF!</v>
      </c>
      <c r="DF129" t="e">
        <f>AND('PROG FORMACIÓN TITULADA'!#REF!,"AAAAAH39fG0=")</f>
        <v>#REF!</v>
      </c>
      <c r="DG129" t="e">
        <f>AND('PROG FORMACIÓN TITULADA'!#REF!,"AAAAAH39fG4=")</f>
        <v>#REF!</v>
      </c>
      <c r="DH129" t="e">
        <f>AND('PROG FORMACIÓN TITULADA'!#REF!,"AAAAAH39fG8=")</f>
        <v>#REF!</v>
      </c>
      <c r="DI129" t="e">
        <f>AND('PROG FORMACIÓN TITULADA'!#REF!,"AAAAAH39fHA=")</f>
        <v>#REF!</v>
      </c>
      <c r="DJ129" t="e">
        <f>IF('PROG FORMACIÓN TITULADA'!#REF!,"AAAAAH39fHE=",0)</f>
        <v>#REF!</v>
      </c>
      <c r="DK129" t="e">
        <f>AND('PROG FORMACIÓN TITULADA'!#REF!,"AAAAAH39fHI=")</f>
        <v>#REF!</v>
      </c>
      <c r="DL129" t="e">
        <f>AND('PROG FORMACIÓN TITULADA'!#REF!,"AAAAAH39fHM=")</f>
        <v>#REF!</v>
      </c>
      <c r="DM129" t="e">
        <f>AND('PROG FORMACIÓN TITULADA'!#REF!,"AAAAAH39fHQ=")</f>
        <v>#REF!</v>
      </c>
      <c r="DN129" t="e">
        <f>AND('PROG FORMACIÓN TITULADA'!#REF!,"AAAAAH39fHU=")</f>
        <v>#REF!</v>
      </c>
      <c r="DO129" t="e">
        <f>IF('PROG FORMACIÓN TITULADA'!#REF!,"AAAAAH39fHY=",0)</f>
        <v>#REF!</v>
      </c>
      <c r="DP129" t="e">
        <f>AND('PROG FORMACIÓN TITULADA'!#REF!,"AAAAAH39fHc=")</f>
        <v>#REF!</v>
      </c>
      <c r="DQ129" t="e">
        <f>AND('PROG FORMACIÓN TITULADA'!#REF!,"AAAAAH39fHg=")</f>
        <v>#REF!</v>
      </c>
      <c r="DR129" t="e">
        <f>AND('PROG FORMACIÓN TITULADA'!#REF!,"AAAAAH39fHk=")</f>
        <v>#REF!</v>
      </c>
      <c r="DS129" t="e">
        <f>AND('PROG FORMACIÓN TITULADA'!#REF!,"AAAAAH39fHo=")</f>
        <v>#REF!</v>
      </c>
      <c r="DT129" t="e">
        <f>IF('PROG FORMACIÓN TITULADA'!#REF!,"AAAAAH39fHs=",0)</f>
        <v>#REF!</v>
      </c>
      <c r="DU129" t="e">
        <f>AND('PROG FORMACIÓN TITULADA'!#REF!,"AAAAAH39fHw=")</f>
        <v>#REF!</v>
      </c>
      <c r="DV129" t="e">
        <f>AND('PROG FORMACIÓN TITULADA'!#REF!,"AAAAAH39fH0=")</f>
        <v>#REF!</v>
      </c>
      <c r="DW129" t="e">
        <f>AND('PROG FORMACIÓN TITULADA'!#REF!,"AAAAAH39fH4=")</f>
        <v>#REF!</v>
      </c>
      <c r="DX129" t="e">
        <f>AND('PROG FORMACIÓN TITULADA'!#REF!,"AAAAAH39fH8=")</f>
        <v>#REF!</v>
      </c>
      <c r="DY129" t="e">
        <f>IF('PROG FORMACIÓN TITULADA'!#REF!,"AAAAAH39fIA=",0)</f>
        <v>#REF!</v>
      </c>
      <c r="DZ129" t="e">
        <f>AND('PROG FORMACIÓN TITULADA'!#REF!,"AAAAAH39fIE=")</f>
        <v>#REF!</v>
      </c>
      <c r="EA129" t="e">
        <f>AND('PROG FORMACIÓN TITULADA'!#REF!,"AAAAAH39fII=")</f>
        <v>#REF!</v>
      </c>
      <c r="EB129" t="e">
        <f>AND('PROG FORMACIÓN TITULADA'!#REF!,"AAAAAH39fIM=")</f>
        <v>#REF!</v>
      </c>
      <c r="EC129" t="e">
        <f>AND('PROG FORMACIÓN TITULADA'!#REF!,"AAAAAH39fIQ=")</f>
        <v>#REF!</v>
      </c>
      <c r="ED129" t="e">
        <f>IF('PROG FORMACIÓN TITULADA'!#REF!,"AAAAAH39fIU=",0)</f>
        <v>#REF!</v>
      </c>
      <c r="EE129" t="e">
        <f>AND('PROG FORMACIÓN TITULADA'!#REF!,"AAAAAH39fIY=")</f>
        <v>#REF!</v>
      </c>
      <c r="EF129" t="e">
        <f>AND('PROG FORMACIÓN TITULADA'!#REF!,"AAAAAH39fIc=")</f>
        <v>#REF!</v>
      </c>
      <c r="EG129" t="e">
        <f>AND('PROG FORMACIÓN TITULADA'!#REF!,"AAAAAH39fIg=")</f>
        <v>#REF!</v>
      </c>
      <c r="EH129" t="e">
        <f>AND('PROG FORMACIÓN TITULADA'!#REF!,"AAAAAH39fIk=")</f>
        <v>#REF!</v>
      </c>
      <c r="EI129" t="str">
        <f>IF('PROG FORMACIÓN TITULADA'!A:A,"AAAAAH39fIo=",0)</f>
        <v>AAAAAH39fIo=</v>
      </c>
      <c r="EJ129">
        <f>IF('PROG FORMACIÓN TITULADA'!B:B,"AAAAAH39fIs=",0)</f>
        <v>0</v>
      </c>
      <c r="EK129">
        <f>IF('PROG FORMACIÓN TITULADA'!C:C,"AAAAAH39fIw=",0)</f>
        <v>0</v>
      </c>
      <c r="EL129" t="e">
        <f>IF('PROG FORMACIÓN TITULADA'!D:D,"AAAAAH39fI0=",0)</f>
        <v>#VALUE!</v>
      </c>
      <c r="EM129">
        <f>IF('PROG FORMACIÓN TITULADA'!E:E,"AAAAAH39fI4=",0)</f>
        <v>0</v>
      </c>
      <c r="EN129">
        <f>IF('PROG FORMACIÓN TITULADA'!F:F,"AAAAAH39fI8=",0)</f>
        <v>0</v>
      </c>
      <c r="EO129">
        <f>IF('PROG FORMACIÓN TITULADA'!G:G,"AAAAAH39fJA=",0)</f>
        <v>0</v>
      </c>
      <c r="EP129">
        <f>IF('PROG FORMACIÓN TITULADA'!H:H,"AAAAAH39fJE=",0)</f>
        <v>0</v>
      </c>
      <c r="EQ129">
        <f>IF('PROG FORMACIÓN TITULADA'!I:I,"AAAAAH39fJI=",0)</f>
        <v>0</v>
      </c>
      <c r="ER129">
        <f>IF('PROG FORMACIÓN TITULADA'!J:J,"AAAAAH39fJM=",0)</f>
        <v>0</v>
      </c>
      <c r="ES129" t="str">
        <f>IF('PROG FORMACIÓN TITULADA'!K:K,"AAAAAH39fJQ=",0)</f>
        <v>AAAAAH39fJQ=</v>
      </c>
      <c r="ET129" t="str">
        <f>IF('PROG FORMACIÓN TITULADA'!L:L,"AAAAAH39fJU=",0)</f>
        <v>AAAAAH39fJU=</v>
      </c>
      <c r="EU129" t="e">
        <f>IF('PROG FORMACIÓN TITULADA'!M:M,"AAAAAH39fJY=",0)</f>
        <v>#VALUE!</v>
      </c>
      <c r="EV129" t="e">
        <f>IF('PROG FORMACIÓN TITULADA'!N:N,"AAAAAH39fJc=",0)</f>
        <v>#VALUE!</v>
      </c>
      <c r="EW129" t="e">
        <f>IF('PROG FORMACIÓN TITULADA'!O:O,"AAAAAH39fJg=",0)</f>
        <v>#VALUE!</v>
      </c>
      <c r="EX129" t="e">
        <f>IF('PROG FORMACIÓN TITULADA'!P:P,"AAAAAH39fJk=",0)</f>
        <v>#VALUE!</v>
      </c>
      <c r="EY129" t="e">
        <f>IF('PROG FORMACIÓN TITULADA'!Q:Q,"AAAAAH39fJo=",0)</f>
        <v>#VALUE!</v>
      </c>
      <c r="EZ129" t="str">
        <f>IF('PROG FORMACIÓN TITULADA'!R:R,"AAAAAH39fJs=",0)</f>
        <v>AAAAAH39fJs=</v>
      </c>
      <c r="FA129" t="e">
        <f>IF('PROG FORMACIÓN TITULADA'!S:S,"AAAAAH39fJw=",0)</f>
        <v>#VALUE!</v>
      </c>
      <c r="FB129" t="str">
        <f>IF('PROG FORMACIÓN TITULADA'!T:T,"AAAAAH39fJ0=",0)</f>
        <v>AAAAAH39fJ0=</v>
      </c>
      <c r="FC129" t="str">
        <f>IF('PROG FORMACIÓN TITULADA'!U:U,"AAAAAH39fJ4=",0)</f>
        <v>AAAAAH39fJ4=</v>
      </c>
      <c r="FD129" t="str">
        <f>IF('PROG FORMACIÓN TITULADA'!V:V,"AAAAAH39fJ8=",0)</f>
        <v>AAAAAH39fJ8=</v>
      </c>
      <c r="FE129">
        <f>IF('PROG FORMACIÓN TITULADA'!W:W,"AAAAAH39fKA=",0)</f>
        <v>0</v>
      </c>
      <c r="FF129">
        <f>IF('PROG FORMACIÓN TITULADA'!X:X,"AAAAAH39fKE=",0)</f>
        <v>0</v>
      </c>
      <c r="FG129">
        <f>IF('PROG FORMACIÓN TITULADA'!Y:Y,"AAAAAH39fKI=",0)</f>
        <v>0</v>
      </c>
      <c r="FH129">
        <f>IF('PROG FORMACIÓN TITULADA'!Z:Z,"AAAAAH39fKM=",0)</f>
        <v>0</v>
      </c>
      <c r="FI129" t="e">
        <f>IF(#REF!,"AAAAAH39fKQ=",0)</f>
        <v>#REF!</v>
      </c>
      <c r="FJ129" t="e">
        <f>AND(#REF!,"AAAAAH39fKU=")</f>
        <v>#REF!</v>
      </c>
      <c r="FK129" t="e">
        <f>AND(#REF!,"AAAAAH39fKY=")</f>
        <v>#REF!</v>
      </c>
      <c r="FL129" t="e">
        <f>AND(#REF!,"AAAAAH39fKc=")</f>
        <v>#REF!</v>
      </c>
      <c r="FM129" t="e">
        <f>AND(#REF!,"AAAAAH39fKg=")</f>
        <v>#REF!</v>
      </c>
      <c r="FN129" t="e">
        <f>AND(#REF!,"AAAAAH39fKk=")</f>
        <v>#REF!</v>
      </c>
      <c r="FO129" t="e">
        <f>AND(#REF!,"AAAAAH39fKo=")</f>
        <v>#REF!</v>
      </c>
      <c r="FP129" t="e">
        <f>AND(#REF!,"AAAAAH39fKs=")</f>
        <v>#REF!</v>
      </c>
      <c r="FQ129" t="e">
        <f>AND(#REF!,"AAAAAH39fKw=")</f>
        <v>#REF!</v>
      </c>
      <c r="FR129" t="e">
        <f>AND(#REF!,"AAAAAH39fK0=")</f>
        <v>#REF!</v>
      </c>
      <c r="FS129" t="e">
        <f>AND(#REF!,"AAAAAH39fK4=")</f>
        <v>#REF!</v>
      </c>
      <c r="FT129" t="e">
        <f>AND(#REF!,"AAAAAH39fK8=")</f>
        <v>#REF!</v>
      </c>
      <c r="FU129" t="e">
        <f>AND(#REF!,"AAAAAH39fLA=")</f>
        <v>#REF!</v>
      </c>
      <c r="FV129" t="e">
        <f>AND(#REF!,"AAAAAH39fLE=")</f>
        <v>#REF!</v>
      </c>
      <c r="FW129" t="e">
        <f>AND(#REF!,"AAAAAH39fLI=")</f>
        <v>#REF!</v>
      </c>
      <c r="FX129" t="e">
        <f>AND(#REF!,"AAAAAH39fLM=")</f>
        <v>#REF!</v>
      </c>
      <c r="FY129" t="e">
        <f>AND(#REF!,"AAAAAH39fLQ=")</f>
        <v>#REF!</v>
      </c>
      <c r="FZ129" t="e">
        <f>AND(#REF!,"AAAAAH39fLU=")</f>
        <v>#REF!</v>
      </c>
      <c r="GA129" t="e">
        <f>AND(#REF!,"AAAAAH39fLY=")</f>
        <v>#REF!</v>
      </c>
      <c r="GB129" t="e">
        <f>AND(#REF!,"AAAAAH39fLc=")</f>
        <v>#REF!</v>
      </c>
      <c r="GC129" t="e">
        <f>AND(#REF!,"AAAAAH39fLg=")</f>
        <v>#REF!</v>
      </c>
      <c r="GD129" t="e">
        <f>AND(#REF!,"AAAAAH39fLk=")</f>
        <v>#REF!</v>
      </c>
      <c r="GE129" t="e">
        <f>AND(#REF!,"AAAAAH39fLo=")</f>
        <v>#REF!</v>
      </c>
      <c r="GF129" t="e">
        <f>IF(#REF!,"AAAAAH39fLs=",0)</f>
        <v>#REF!</v>
      </c>
      <c r="GG129" t="e">
        <f>AND(#REF!,"AAAAAH39fLw=")</f>
        <v>#REF!</v>
      </c>
      <c r="GH129" t="e">
        <f>AND(#REF!,"AAAAAH39fL0=")</f>
        <v>#REF!</v>
      </c>
      <c r="GI129" t="e">
        <f>AND(#REF!,"AAAAAH39fL4=")</f>
        <v>#REF!</v>
      </c>
      <c r="GJ129" t="e">
        <f>AND(#REF!,"AAAAAH39fL8=")</f>
        <v>#REF!</v>
      </c>
      <c r="GK129" t="e">
        <f>AND(#REF!,"AAAAAH39fMA=")</f>
        <v>#REF!</v>
      </c>
      <c r="GL129" t="e">
        <f>AND(#REF!,"AAAAAH39fME=")</f>
        <v>#REF!</v>
      </c>
      <c r="GM129" t="e">
        <f>AND(#REF!,"AAAAAH39fMI=")</f>
        <v>#REF!</v>
      </c>
      <c r="GN129" t="e">
        <f>AND(#REF!,"AAAAAH39fMM=")</f>
        <v>#REF!</v>
      </c>
      <c r="GO129" t="e">
        <f>AND(#REF!,"AAAAAH39fMQ=")</f>
        <v>#REF!</v>
      </c>
      <c r="GP129" t="e">
        <f>AND(#REF!,"AAAAAH39fMU=")</f>
        <v>#REF!</v>
      </c>
      <c r="GQ129" t="e">
        <f>AND(#REF!,"AAAAAH39fMY=")</f>
        <v>#REF!</v>
      </c>
      <c r="GR129" t="e">
        <f>AND(#REF!,"AAAAAH39fMc=")</f>
        <v>#REF!</v>
      </c>
      <c r="GS129" t="e">
        <f>AND(#REF!,"AAAAAH39fMg=")</f>
        <v>#REF!</v>
      </c>
      <c r="GT129" t="e">
        <f>AND(#REF!,"AAAAAH39fMk=")</f>
        <v>#REF!</v>
      </c>
      <c r="GU129" t="e">
        <f>AND(#REF!,"AAAAAH39fMo=")</f>
        <v>#REF!</v>
      </c>
      <c r="GV129" t="e">
        <f>AND(#REF!,"AAAAAH39fMs=")</f>
        <v>#REF!</v>
      </c>
      <c r="GW129" t="e">
        <f>AND(#REF!,"AAAAAH39fMw=")</f>
        <v>#REF!</v>
      </c>
      <c r="GX129" t="e">
        <f>AND(#REF!,"AAAAAH39fM0=")</f>
        <v>#REF!</v>
      </c>
      <c r="GY129" t="e">
        <f>AND(#REF!,"AAAAAH39fM4=")</f>
        <v>#REF!</v>
      </c>
      <c r="GZ129" t="e">
        <f>AND(#REF!,"AAAAAH39fM8=")</f>
        <v>#REF!</v>
      </c>
      <c r="HA129" t="e">
        <f>AND(#REF!,"AAAAAH39fNA=")</f>
        <v>#REF!</v>
      </c>
      <c r="HB129" t="e">
        <f>AND(#REF!,"AAAAAH39fNE=")</f>
        <v>#REF!</v>
      </c>
      <c r="HC129" t="e">
        <f>IF(#REF!,"AAAAAH39fNI=",0)</f>
        <v>#REF!</v>
      </c>
      <c r="HD129" t="e">
        <f>AND(#REF!,"AAAAAH39fNM=")</f>
        <v>#REF!</v>
      </c>
      <c r="HE129" t="e">
        <f>AND(#REF!,"AAAAAH39fNQ=")</f>
        <v>#REF!</v>
      </c>
      <c r="HF129" t="e">
        <f>AND(#REF!,"AAAAAH39fNU=")</f>
        <v>#REF!</v>
      </c>
      <c r="HG129" t="e">
        <f>AND(#REF!,"AAAAAH39fNY=")</f>
        <v>#REF!</v>
      </c>
      <c r="HH129" t="e">
        <f>AND(#REF!,"AAAAAH39fNc=")</f>
        <v>#REF!</v>
      </c>
      <c r="HI129" t="e">
        <f>AND(#REF!,"AAAAAH39fNg=")</f>
        <v>#REF!</v>
      </c>
      <c r="HJ129" t="e">
        <f>AND(#REF!,"AAAAAH39fNk=")</f>
        <v>#REF!</v>
      </c>
      <c r="HK129" t="e">
        <f>AND(#REF!,"AAAAAH39fNo=")</f>
        <v>#REF!</v>
      </c>
      <c r="HL129" t="e">
        <f>AND(#REF!,"AAAAAH39fNs=")</f>
        <v>#REF!</v>
      </c>
      <c r="HM129" t="e">
        <f>AND(#REF!,"AAAAAH39fNw=")</f>
        <v>#REF!</v>
      </c>
      <c r="HN129" t="e">
        <f>AND(#REF!,"AAAAAH39fN0=")</f>
        <v>#REF!</v>
      </c>
      <c r="HO129" t="e">
        <f>AND(#REF!,"AAAAAH39fN4=")</f>
        <v>#REF!</v>
      </c>
      <c r="HP129" t="e">
        <f>AND(#REF!,"AAAAAH39fN8=")</f>
        <v>#REF!</v>
      </c>
      <c r="HQ129" t="e">
        <f>AND(#REF!,"AAAAAH39fOA=")</f>
        <v>#REF!</v>
      </c>
      <c r="HR129" t="e">
        <f>AND(#REF!,"AAAAAH39fOE=")</f>
        <v>#REF!</v>
      </c>
      <c r="HS129" t="e">
        <f>AND(#REF!,"AAAAAH39fOI=")</f>
        <v>#REF!</v>
      </c>
      <c r="HT129" t="e">
        <f>AND(#REF!,"AAAAAH39fOM=")</f>
        <v>#REF!</v>
      </c>
      <c r="HU129" t="e">
        <f>AND(#REF!,"AAAAAH39fOQ=")</f>
        <v>#REF!</v>
      </c>
      <c r="HV129" t="e">
        <f>AND(#REF!,"AAAAAH39fOU=")</f>
        <v>#REF!</v>
      </c>
      <c r="HW129" t="e">
        <f>AND(#REF!,"AAAAAH39fOY=")</f>
        <v>#REF!</v>
      </c>
      <c r="HX129" t="e">
        <f>AND(#REF!,"AAAAAH39fOc=")</f>
        <v>#REF!</v>
      </c>
      <c r="HY129" t="e">
        <f>AND(#REF!,"AAAAAH39fOg=")</f>
        <v>#REF!</v>
      </c>
      <c r="HZ129" t="e">
        <f>IF(#REF!,"AAAAAH39fOk=",0)</f>
        <v>#REF!</v>
      </c>
      <c r="IA129" t="e">
        <f>AND(#REF!,"AAAAAH39fOo=")</f>
        <v>#REF!</v>
      </c>
      <c r="IB129" t="e">
        <f>AND(#REF!,"AAAAAH39fOs=")</f>
        <v>#REF!</v>
      </c>
      <c r="IC129" t="e">
        <f>AND(#REF!,"AAAAAH39fOw=")</f>
        <v>#REF!</v>
      </c>
      <c r="ID129" t="e">
        <f>AND(#REF!,"AAAAAH39fO0=")</f>
        <v>#REF!</v>
      </c>
      <c r="IE129" t="e">
        <f>AND(#REF!,"AAAAAH39fO4=")</f>
        <v>#REF!</v>
      </c>
      <c r="IF129" t="e">
        <f>AND(#REF!,"AAAAAH39fO8=")</f>
        <v>#REF!</v>
      </c>
      <c r="IG129" t="e">
        <f>AND(#REF!,"AAAAAH39fPA=")</f>
        <v>#REF!</v>
      </c>
      <c r="IH129" t="e">
        <f>AND(#REF!,"AAAAAH39fPE=")</f>
        <v>#REF!</v>
      </c>
      <c r="II129" t="e">
        <f>AND(#REF!,"AAAAAH39fPI=")</f>
        <v>#REF!</v>
      </c>
      <c r="IJ129" t="e">
        <f>AND(#REF!,"AAAAAH39fPM=")</f>
        <v>#REF!</v>
      </c>
      <c r="IK129" t="e">
        <f>AND(#REF!,"AAAAAH39fPQ=")</f>
        <v>#REF!</v>
      </c>
      <c r="IL129" t="e">
        <f>AND(#REF!,"AAAAAH39fPU=")</f>
        <v>#REF!</v>
      </c>
      <c r="IM129" t="e">
        <f>AND(#REF!,"AAAAAH39fPY=")</f>
        <v>#REF!</v>
      </c>
      <c r="IN129" t="e">
        <f>AND(#REF!,"AAAAAH39fPc=")</f>
        <v>#REF!</v>
      </c>
      <c r="IO129" t="e">
        <f>AND(#REF!,"AAAAAH39fPg=")</f>
        <v>#REF!</v>
      </c>
      <c r="IP129" t="e">
        <f>AND(#REF!,"AAAAAH39fPk=")</f>
        <v>#REF!</v>
      </c>
      <c r="IQ129" t="e">
        <f>AND(#REF!,"AAAAAH39fPo=")</f>
        <v>#REF!</v>
      </c>
      <c r="IR129" t="e">
        <f>AND(#REF!,"AAAAAH39fPs=")</f>
        <v>#REF!</v>
      </c>
      <c r="IS129" t="e">
        <f>AND(#REF!,"AAAAAH39fPw=")</f>
        <v>#REF!</v>
      </c>
      <c r="IT129" t="e">
        <f>AND(#REF!,"AAAAAH39fP0=")</f>
        <v>#REF!</v>
      </c>
      <c r="IU129" t="e">
        <f>AND(#REF!,"AAAAAH39fP4=")</f>
        <v>#REF!</v>
      </c>
      <c r="IV129" t="e">
        <f>AND(#REF!,"AAAAAH39fP8=")</f>
        <v>#REF!</v>
      </c>
    </row>
    <row r="130" spans="1:256" x14ac:dyDescent="0.2">
      <c r="A130" t="e">
        <f>IF(#REF!,"AAAAAE377QA=",0)</f>
        <v>#REF!</v>
      </c>
      <c r="B130" t="e">
        <f>AND(#REF!,"AAAAAE377QE=")</f>
        <v>#REF!</v>
      </c>
      <c r="C130" t="e">
        <f>AND(#REF!,"AAAAAE377QI=")</f>
        <v>#REF!</v>
      </c>
      <c r="D130" t="e">
        <f>AND(#REF!,"AAAAAE377QM=")</f>
        <v>#REF!</v>
      </c>
      <c r="E130" t="e">
        <f>AND(#REF!,"AAAAAE377QQ=")</f>
        <v>#REF!</v>
      </c>
      <c r="F130" t="e">
        <f>AND(#REF!,"AAAAAE377QU=")</f>
        <v>#REF!</v>
      </c>
      <c r="G130" t="e">
        <f>AND(#REF!,"AAAAAE377QY=")</f>
        <v>#REF!</v>
      </c>
      <c r="H130" t="e">
        <f>AND(#REF!,"AAAAAE377Qc=")</f>
        <v>#REF!</v>
      </c>
      <c r="I130" t="e">
        <f>AND(#REF!,"AAAAAE377Qg=")</f>
        <v>#REF!</v>
      </c>
      <c r="J130" t="e">
        <f>AND(#REF!,"AAAAAE377Qk=")</f>
        <v>#REF!</v>
      </c>
      <c r="K130" t="e">
        <f>AND(#REF!,"AAAAAE377Qo=")</f>
        <v>#REF!</v>
      </c>
      <c r="L130" t="e">
        <f>AND(#REF!,"AAAAAE377Qs=")</f>
        <v>#REF!</v>
      </c>
      <c r="M130" t="e">
        <f>AND(#REF!,"AAAAAE377Qw=")</f>
        <v>#REF!</v>
      </c>
      <c r="N130" t="e">
        <f>AND(#REF!,"AAAAAE377Q0=")</f>
        <v>#REF!</v>
      </c>
      <c r="O130" t="e">
        <f>AND(#REF!,"AAAAAE377Q4=")</f>
        <v>#REF!</v>
      </c>
      <c r="P130" t="e">
        <f>AND(#REF!,"AAAAAE377Q8=")</f>
        <v>#REF!</v>
      </c>
      <c r="Q130" t="e">
        <f>AND(#REF!,"AAAAAE377RA=")</f>
        <v>#REF!</v>
      </c>
      <c r="R130" t="e">
        <f>AND(#REF!,"AAAAAE377RE=")</f>
        <v>#REF!</v>
      </c>
      <c r="S130" t="e">
        <f>AND(#REF!,"AAAAAE377RI=")</f>
        <v>#REF!</v>
      </c>
      <c r="T130" t="e">
        <f>AND(#REF!,"AAAAAE377RM=")</f>
        <v>#REF!</v>
      </c>
      <c r="U130" t="e">
        <f>AND(#REF!,"AAAAAE377RQ=")</f>
        <v>#REF!</v>
      </c>
      <c r="V130" t="e">
        <f>AND(#REF!,"AAAAAE377RU=")</f>
        <v>#REF!</v>
      </c>
      <c r="W130" t="e">
        <f>AND(#REF!,"AAAAAE377RY=")</f>
        <v>#REF!</v>
      </c>
      <c r="X130" t="e">
        <f>IF(#REF!,"AAAAAE377Rc=",0)</f>
        <v>#REF!</v>
      </c>
      <c r="Y130" t="e">
        <f>AND(#REF!,"AAAAAE377Rg=")</f>
        <v>#REF!</v>
      </c>
      <c r="Z130" t="e">
        <f>AND(#REF!,"AAAAAE377Rk=")</f>
        <v>#REF!</v>
      </c>
      <c r="AA130" t="e">
        <f>AND(#REF!,"AAAAAE377Ro=")</f>
        <v>#REF!</v>
      </c>
      <c r="AB130" t="e">
        <f>AND(#REF!,"AAAAAE377Rs=")</f>
        <v>#REF!</v>
      </c>
      <c r="AC130" t="e">
        <f>AND(#REF!,"AAAAAE377Rw=")</f>
        <v>#REF!</v>
      </c>
      <c r="AD130" t="e">
        <f>AND(#REF!,"AAAAAE377R0=")</f>
        <v>#REF!</v>
      </c>
      <c r="AE130" t="e">
        <f>AND(#REF!,"AAAAAE377R4=")</f>
        <v>#REF!</v>
      </c>
      <c r="AF130" t="e">
        <f>AND(#REF!,"AAAAAE377R8=")</f>
        <v>#REF!</v>
      </c>
      <c r="AG130" t="e">
        <f>AND(#REF!,"AAAAAE377SA=")</f>
        <v>#REF!</v>
      </c>
      <c r="AH130" t="e">
        <f>AND(#REF!,"AAAAAE377SE=")</f>
        <v>#REF!</v>
      </c>
      <c r="AI130" t="e">
        <f>AND(#REF!,"AAAAAE377SI=")</f>
        <v>#REF!</v>
      </c>
      <c r="AJ130" t="e">
        <f>AND(#REF!,"AAAAAE377SM=")</f>
        <v>#REF!</v>
      </c>
      <c r="AK130" t="e">
        <f>AND(#REF!,"AAAAAE377SQ=")</f>
        <v>#REF!</v>
      </c>
      <c r="AL130" t="e">
        <f>AND(#REF!,"AAAAAE377SU=")</f>
        <v>#REF!</v>
      </c>
      <c r="AM130" t="e">
        <f>AND(#REF!,"AAAAAE377SY=")</f>
        <v>#REF!</v>
      </c>
      <c r="AN130" t="e">
        <f>AND(#REF!,"AAAAAE377Sc=")</f>
        <v>#REF!</v>
      </c>
      <c r="AO130" t="e">
        <f>AND(#REF!,"AAAAAE377Sg=")</f>
        <v>#REF!</v>
      </c>
      <c r="AP130" t="e">
        <f>AND(#REF!,"AAAAAE377Sk=")</f>
        <v>#REF!</v>
      </c>
      <c r="AQ130" t="e">
        <f>AND(#REF!,"AAAAAE377So=")</f>
        <v>#REF!</v>
      </c>
      <c r="AR130" t="e">
        <f>AND(#REF!,"AAAAAE377Ss=")</f>
        <v>#REF!</v>
      </c>
      <c r="AS130" t="e">
        <f>AND(#REF!,"AAAAAE377Sw=")</f>
        <v>#REF!</v>
      </c>
      <c r="AT130" t="e">
        <f>AND(#REF!,"AAAAAE377S0=")</f>
        <v>#REF!</v>
      </c>
      <c r="AU130" t="e">
        <f>IF(#REF!,"AAAAAE377S4=",0)</f>
        <v>#REF!</v>
      </c>
      <c r="AV130" t="e">
        <f>AND(#REF!,"AAAAAE377S8=")</f>
        <v>#REF!</v>
      </c>
      <c r="AW130" t="e">
        <f>AND(#REF!,"AAAAAE377TA=")</f>
        <v>#REF!</v>
      </c>
      <c r="AX130" t="e">
        <f>AND(#REF!,"AAAAAE377TE=")</f>
        <v>#REF!</v>
      </c>
      <c r="AY130" t="e">
        <f>AND(#REF!,"AAAAAE377TI=")</f>
        <v>#REF!</v>
      </c>
      <c r="AZ130" t="e">
        <f>AND(#REF!,"AAAAAE377TM=")</f>
        <v>#REF!</v>
      </c>
      <c r="BA130" t="e">
        <f>AND(#REF!,"AAAAAE377TQ=")</f>
        <v>#REF!</v>
      </c>
      <c r="BB130" t="e">
        <f>AND(#REF!,"AAAAAE377TU=")</f>
        <v>#REF!</v>
      </c>
      <c r="BC130" t="e">
        <f>AND(#REF!,"AAAAAE377TY=")</f>
        <v>#REF!</v>
      </c>
      <c r="BD130" t="e">
        <f>AND(#REF!,"AAAAAE377Tc=")</f>
        <v>#REF!</v>
      </c>
      <c r="BE130" t="e">
        <f>AND(#REF!,"AAAAAE377Tg=")</f>
        <v>#REF!</v>
      </c>
      <c r="BF130" t="e">
        <f>AND(#REF!,"AAAAAE377Tk=")</f>
        <v>#REF!</v>
      </c>
      <c r="BG130" t="e">
        <f>AND(#REF!,"AAAAAE377To=")</f>
        <v>#REF!</v>
      </c>
      <c r="BH130" t="e">
        <f>AND(#REF!,"AAAAAE377Ts=")</f>
        <v>#REF!</v>
      </c>
      <c r="BI130" t="e">
        <f>AND(#REF!,"AAAAAE377Tw=")</f>
        <v>#REF!</v>
      </c>
      <c r="BJ130" t="e">
        <f>AND(#REF!,"AAAAAE377T0=")</f>
        <v>#REF!</v>
      </c>
      <c r="BK130" t="e">
        <f>AND(#REF!,"AAAAAE377T4=")</f>
        <v>#REF!</v>
      </c>
      <c r="BL130" t="e">
        <f>AND(#REF!,"AAAAAE377T8=")</f>
        <v>#REF!</v>
      </c>
      <c r="BM130" t="e">
        <f>AND(#REF!,"AAAAAE377UA=")</f>
        <v>#REF!</v>
      </c>
      <c r="BN130" t="e">
        <f>AND(#REF!,"AAAAAE377UE=")</f>
        <v>#REF!</v>
      </c>
      <c r="BO130" t="e">
        <f>AND(#REF!,"AAAAAE377UI=")</f>
        <v>#REF!</v>
      </c>
      <c r="BP130" t="e">
        <f>AND(#REF!,"AAAAAE377UM=")</f>
        <v>#REF!</v>
      </c>
      <c r="BQ130" t="e">
        <f>AND(#REF!,"AAAAAE377UQ=")</f>
        <v>#REF!</v>
      </c>
      <c r="BR130" t="e">
        <f>IF(#REF!,"AAAAAE377UU=",0)</f>
        <v>#REF!</v>
      </c>
      <c r="BS130" t="e">
        <f>AND(#REF!,"AAAAAE377UY=")</f>
        <v>#REF!</v>
      </c>
      <c r="BT130" t="e">
        <f>AND(#REF!,"AAAAAE377Uc=")</f>
        <v>#REF!</v>
      </c>
      <c r="BU130" t="e">
        <f>AND(#REF!,"AAAAAE377Ug=")</f>
        <v>#REF!</v>
      </c>
      <c r="BV130" t="e">
        <f>AND(#REF!,"AAAAAE377Uk=")</f>
        <v>#REF!</v>
      </c>
      <c r="BW130" t="e">
        <f>AND(#REF!,"AAAAAE377Uo=")</f>
        <v>#REF!</v>
      </c>
      <c r="BX130" t="e">
        <f>AND(#REF!,"AAAAAE377Us=")</f>
        <v>#REF!</v>
      </c>
      <c r="BY130" t="e">
        <f>AND(#REF!,"AAAAAE377Uw=")</f>
        <v>#REF!</v>
      </c>
      <c r="BZ130" t="e">
        <f>AND(#REF!,"AAAAAE377U0=")</f>
        <v>#REF!</v>
      </c>
      <c r="CA130" t="e">
        <f>AND(#REF!,"AAAAAE377U4=")</f>
        <v>#REF!</v>
      </c>
      <c r="CB130" t="e">
        <f>AND(#REF!,"AAAAAE377U8=")</f>
        <v>#REF!</v>
      </c>
      <c r="CC130" t="e">
        <f>AND(#REF!,"AAAAAE377VA=")</f>
        <v>#REF!</v>
      </c>
      <c r="CD130" t="e">
        <f>AND(#REF!,"AAAAAE377VE=")</f>
        <v>#REF!</v>
      </c>
      <c r="CE130" t="e">
        <f>AND(#REF!,"AAAAAE377VI=")</f>
        <v>#REF!</v>
      </c>
      <c r="CF130" t="e">
        <f>AND(#REF!,"AAAAAE377VM=")</f>
        <v>#REF!</v>
      </c>
      <c r="CG130" t="e">
        <f>AND(#REF!,"AAAAAE377VQ=")</f>
        <v>#REF!</v>
      </c>
      <c r="CH130" t="e">
        <f>AND(#REF!,"AAAAAE377VU=")</f>
        <v>#REF!</v>
      </c>
      <c r="CI130" t="e">
        <f>AND(#REF!,"AAAAAE377VY=")</f>
        <v>#REF!</v>
      </c>
      <c r="CJ130" t="e">
        <f>AND(#REF!,"AAAAAE377Vc=")</f>
        <v>#REF!</v>
      </c>
      <c r="CK130" t="e">
        <f>AND(#REF!,"AAAAAE377Vg=")</f>
        <v>#REF!</v>
      </c>
      <c r="CL130" t="e">
        <f>AND(#REF!,"AAAAAE377Vk=")</f>
        <v>#REF!</v>
      </c>
      <c r="CM130" t="e">
        <f>AND(#REF!,"AAAAAE377Vo=")</f>
        <v>#REF!</v>
      </c>
      <c r="CN130" t="e">
        <f>AND(#REF!,"AAAAAE377Vs=")</f>
        <v>#REF!</v>
      </c>
      <c r="CO130" t="e">
        <f>IF(#REF!,"AAAAAE377Vw=",0)</f>
        <v>#REF!</v>
      </c>
      <c r="CP130" t="e">
        <f>AND(#REF!,"AAAAAE377V0=")</f>
        <v>#REF!</v>
      </c>
      <c r="CQ130" t="e">
        <f>AND(#REF!,"AAAAAE377V4=")</f>
        <v>#REF!</v>
      </c>
      <c r="CR130" t="e">
        <f>AND(#REF!,"AAAAAE377V8=")</f>
        <v>#REF!</v>
      </c>
      <c r="CS130" t="e">
        <f>AND(#REF!,"AAAAAE377WA=")</f>
        <v>#REF!</v>
      </c>
      <c r="CT130" t="e">
        <f>AND(#REF!,"AAAAAE377WE=")</f>
        <v>#REF!</v>
      </c>
      <c r="CU130" t="e">
        <f>AND(#REF!,"AAAAAE377WI=")</f>
        <v>#REF!</v>
      </c>
      <c r="CV130" t="e">
        <f>AND(#REF!,"AAAAAE377WM=")</f>
        <v>#REF!</v>
      </c>
      <c r="CW130" t="e">
        <f>AND(#REF!,"AAAAAE377WQ=")</f>
        <v>#REF!</v>
      </c>
      <c r="CX130" t="e">
        <f>AND(#REF!,"AAAAAE377WU=")</f>
        <v>#REF!</v>
      </c>
      <c r="CY130" t="e">
        <f>AND(#REF!,"AAAAAE377WY=")</f>
        <v>#REF!</v>
      </c>
      <c r="CZ130" t="e">
        <f>AND(#REF!,"AAAAAE377Wc=")</f>
        <v>#REF!</v>
      </c>
      <c r="DA130" t="e">
        <f>AND(#REF!,"AAAAAE377Wg=")</f>
        <v>#REF!</v>
      </c>
      <c r="DB130" t="e">
        <f>AND(#REF!,"AAAAAE377Wk=")</f>
        <v>#REF!</v>
      </c>
      <c r="DC130" t="e">
        <f>AND(#REF!,"AAAAAE377Wo=")</f>
        <v>#REF!</v>
      </c>
      <c r="DD130" t="e">
        <f>AND(#REF!,"AAAAAE377Ws=")</f>
        <v>#REF!</v>
      </c>
      <c r="DE130" t="e">
        <f>AND(#REF!,"AAAAAE377Ww=")</f>
        <v>#REF!</v>
      </c>
      <c r="DF130" t="e">
        <f>AND(#REF!,"AAAAAE377W0=")</f>
        <v>#REF!</v>
      </c>
      <c r="DG130" t="e">
        <f>AND(#REF!,"AAAAAE377W4=")</f>
        <v>#REF!</v>
      </c>
      <c r="DH130" t="e">
        <f>AND(#REF!,"AAAAAE377W8=")</f>
        <v>#REF!</v>
      </c>
      <c r="DI130" t="e">
        <f>AND(#REF!,"AAAAAE377XA=")</f>
        <v>#REF!</v>
      </c>
      <c r="DJ130" t="e">
        <f>AND(#REF!,"AAAAAE377XE=")</f>
        <v>#REF!</v>
      </c>
      <c r="DK130" t="e">
        <f>AND(#REF!,"AAAAAE377XI=")</f>
        <v>#REF!</v>
      </c>
      <c r="DL130" t="e">
        <f>IF(#REF!,"AAAAAE377XM=",0)</f>
        <v>#REF!</v>
      </c>
      <c r="DM130" t="e">
        <f>AND(#REF!,"AAAAAE377XQ=")</f>
        <v>#REF!</v>
      </c>
      <c r="DN130" t="e">
        <f>AND(#REF!,"AAAAAE377XU=")</f>
        <v>#REF!</v>
      </c>
      <c r="DO130" t="e">
        <f>AND(#REF!,"AAAAAE377XY=")</f>
        <v>#REF!</v>
      </c>
      <c r="DP130" t="e">
        <f>AND(#REF!,"AAAAAE377Xc=")</f>
        <v>#REF!</v>
      </c>
      <c r="DQ130" t="e">
        <f>AND(#REF!,"AAAAAE377Xg=")</f>
        <v>#REF!</v>
      </c>
      <c r="DR130" t="e">
        <f>AND(#REF!,"AAAAAE377Xk=")</f>
        <v>#REF!</v>
      </c>
      <c r="DS130" t="e">
        <f>AND(#REF!,"AAAAAE377Xo=")</f>
        <v>#REF!</v>
      </c>
      <c r="DT130" t="e">
        <f>AND(#REF!,"AAAAAE377Xs=")</f>
        <v>#REF!</v>
      </c>
      <c r="DU130" t="e">
        <f>AND(#REF!,"AAAAAE377Xw=")</f>
        <v>#REF!</v>
      </c>
      <c r="DV130" t="e">
        <f>AND(#REF!,"AAAAAE377X0=")</f>
        <v>#REF!</v>
      </c>
      <c r="DW130" t="e">
        <f>AND(#REF!,"AAAAAE377X4=")</f>
        <v>#REF!</v>
      </c>
      <c r="DX130" t="e">
        <f>AND(#REF!,"AAAAAE377X8=")</f>
        <v>#REF!</v>
      </c>
      <c r="DY130" t="e">
        <f>AND(#REF!,"AAAAAE377YA=")</f>
        <v>#REF!</v>
      </c>
      <c r="DZ130" t="e">
        <f>AND(#REF!,"AAAAAE377YE=")</f>
        <v>#REF!</v>
      </c>
      <c r="EA130" t="e">
        <f>AND(#REF!,"AAAAAE377YI=")</f>
        <v>#REF!</v>
      </c>
      <c r="EB130" t="e">
        <f>AND(#REF!,"AAAAAE377YM=")</f>
        <v>#REF!</v>
      </c>
      <c r="EC130" t="e">
        <f>AND(#REF!,"AAAAAE377YQ=")</f>
        <v>#REF!</v>
      </c>
      <c r="ED130" t="e">
        <f>AND(#REF!,"AAAAAE377YU=")</f>
        <v>#REF!</v>
      </c>
      <c r="EE130" t="e">
        <f>AND(#REF!,"AAAAAE377YY=")</f>
        <v>#REF!</v>
      </c>
      <c r="EF130" t="e">
        <f>AND(#REF!,"AAAAAE377Yc=")</f>
        <v>#REF!</v>
      </c>
      <c r="EG130" t="e">
        <f>AND(#REF!,"AAAAAE377Yg=")</f>
        <v>#REF!</v>
      </c>
      <c r="EH130" t="e">
        <f>AND(#REF!,"AAAAAE377Yk=")</f>
        <v>#REF!</v>
      </c>
      <c r="EI130" t="e">
        <f>IF(#REF!,"AAAAAE377Yo=",0)</f>
        <v>#REF!</v>
      </c>
      <c r="EJ130" t="e">
        <f>AND(#REF!,"AAAAAE377Ys=")</f>
        <v>#REF!</v>
      </c>
      <c r="EK130" t="e">
        <f>AND(#REF!,"AAAAAE377Yw=")</f>
        <v>#REF!</v>
      </c>
      <c r="EL130" t="e">
        <f>AND(#REF!,"AAAAAE377Y0=")</f>
        <v>#REF!</v>
      </c>
      <c r="EM130" t="e">
        <f>AND(#REF!,"AAAAAE377Y4=")</f>
        <v>#REF!</v>
      </c>
      <c r="EN130" t="e">
        <f>AND(#REF!,"AAAAAE377Y8=")</f>
        <v>#REF!</v>
      </c>
      <c r="EO130" t="e">
        <f>AND(#REF!,"AAAAAE377ZA=")</f>
        <v>#REF!</v>
      </c>
      <c r="EP130" t="e">
        <f>AND(#REF!,"AAAAAE377ZE=")</f>
        <v>#REF!</v>
      </c>
      <c r="EQ130" t="e">
        <f>AND(#REF!,"AAAAAE377ZI=")</f>
        <v>#REF!</v>
      </c>
      <c r="ER130" t="e">
        <f>AND(#REF!,"AAAAAE377ZM=")</f>
        <v>#REF!</v>
      </c>
      <c r="ES130" t="e">
        <f>AND(#REF!,"AAAAAE377ZQ=")</f>
        <v>#REF!</v>
      </c>
      <c r="ET130" t="e">
        <f>AND(#REF!,"AAAAAE377ZU=")</f>
        <v>#REF!</v>
      </c>
      <c r="EU130" t="e">
        <f>AND(#REF!,"AAAAAE377ZY=")</f>
        <v>#REF!</v>
      </c>
      <c r="EV130" t="e">
        <f>AND(#REF!,"AAAAAE377Zc=")</f>
        <v>#REF!</v>
      </c>
      <c r="EW130" t="e">
        <f>AND(#REF!,"AAAAAE377Zg=")</f>
        <v>#REF!</v>
      </c>
      <c r="EX130" t="e">
        <f>AND(#REF!,"AAAAAE377Zk=")</f>
        <v>#REF!</v>
      </c>
      <c r="EY130" t="e">
        <f>AND(#REF!,"AAAAAE377Zo=")</f>
        <v>#REF!</v>
      </c>
      <c r="EZ130" t="e">
        <f>AND(#REF!,"AAAAAE377Zs=")</f>
        <v>#REF!</v>
      </c>
      <c r="FA130" t="e">
        <f>AND(#REF!,"AAAAAE377Zw=")</f>
        <v>#REF!</v>
      </c>
      <c r="FB130" t="e">
        <f>AND(#REF!,"AAAAAE377Z0=")</f>
        <v>#REF!</v>
      </c>
      <c r="FC130" t="e">
        <f>AND(#REF!,"AAAAAE377Z4=")</f>
        <v>#REF!</v>
      </c>
      <c r="FD130" t="e">
        <f>AND(#REF!,"AAAAAE377Z8=")</f>
        <v>#REF!</v>
      </c>
      <c r="FE130" t="e">
        <f>AND(#REF!,"AAAAAE377aA=")</f>
        <v>#REF!</v>
      </c>
      <c r="FF130" t="e">
        <f>IF(#REF!,"AAAAAE377aE=",0)</f>
        <v>#REF!</v>
      </c>
      <c r="FG130" t="e">
        <f>AND(#REF!,"AAAAAE377aI=")</f>
        <v>#REF!</v>
      </c>
      <c r="FH130" t="e">
        <f>AND(#REF!,"AAAAAE377aM=")</f>
        <v>#REF!</v>
      </c>
      <c r="FI130" t="e">
        <f>AND(#REF!,"AAAAAE377aQ=")</f>
        <v>#REF!</v>
      </c>
      <c r="FJ130" t="e">
        <f>AND(#REF!,"AAAAAE377aU=")</f>
        <v>#REF!</v>
      </c>
      <c r="FK130" t="e">
        <f>AND(#REF!,"AAAAAE377aY=")</f>
        <v>#REF!</v>
      </c>
      <c r="FL130" t="e">
        <f>AND(#REF!,"AAAAAE377ac=")</f>
        <v>#REF!</v>
      </c>
      <c r="FM130" t="e">
        <f>AND(#REF!,"AAAAAE377ag=")</f>
        <v>#REF!</v>
      </c>
      <c r="FN130" t="e">
        <f>AND(#REF!,"AAAAAE377ak=")</f>
        <v>#REF!</v>
      </c>
      <c r="FO130" t="e">
        <f>AND(#REF!,"AAAAAE377ao=")</f>
        <v>#REF!</v>
      </c>
      <c r="FP130" t="e">
        <f>AND(#REF!,"AAAAAE377as=")</f>
        <v>#REF!</v>
      </c>
      <c r="FQ130" t="e">
        <f>AND(#REF!,"AAAAAE377aw=")</f>
        <v>#REF!</v>
      </c>
      <c r="FR130" t="e">
        <f>AND(#REF!,"AAAAAE377a0=")</f>
        <v>#REF!</v>
      </c>
      <c r="FS130" t="e">
        <f>AND(#REF!,"AAAAAE377a4=")</f>
        <v>#REF!</v>
      </c>
      <c r="FT130" t="e">
        <f>AND(#REF!,"AAAAAE377a8=")</f>
        <v>#REF!</v>
      </c>
      <c r="FU130" t="e">
        <f>AND(#REF!,"AAAAAE377bA=")</f>
        <v>#REF!</v>
      </c>
      <c r="FV130" t="e">
        <f>AND(#REF!,"AAAAAE377bE=")</f>
        <v>#REF!</v>
      </c>
      <c r="FW130" t="e">
        <f>AND(#REF!,"AAAAAE377bI=")</f>
        <v>#REF!</v>
      </c>
      <c r="FX130" t="e">
        <f>AND(#REF!,"AAAAAE377bM=")</f>
        <v>#REF!</v>
      </c>
      <c r="FY130" t="e">
        <f>AND(#REF!,"AAAAAE377bQ=")</f>
        <v>#REF!</v>
      </c>
      <c r="FZ130" t="e">
        <f>AND(#REF!,"AAAAAE377bU=")</f>
        <v>#REF!</v>
      </c>
      <c r="GA130" t="e">
        <f>AND(#REF!,"AAAAAE377bY=")</f>
        <v>#REF!</v>
      </c>
      <c r="GB130" t="e">
        <f>AND(#REF!,"AAAAAE377bc=")</f>
        <v>#REF!</v>
      </c>
      <c r="GC130" t="e">
        <f>IF(#REF!,"AAAAAE377bg=",0)</f>
        <v>#REF!</v>
      </c>
      <c r="GD130" t="e">
        <f>AND(#REF!,"AAAAAE377bk=")</f>
        <v>#REF!</v>
      </c>
      <c r="GE130" t="e">
        <f>AND(#REF!,"AAAAAE377bo=")</f>
        <v>#REF!</v>
      </c>
      <c r="GF130" t="e">
        <f>AND(#REF!,"AAAAAE377bs=")</f>
        <v>#REF!</v>
      </c>
      <c r="GG130" t="e">
        <f>AND(#REF!,"AAAAAE377bw=")</f>
        <v>#REF!</v>
      </c>
      <c r="GH130" t="e">
        <f>AND(#REF!,"AAAAAE377b0=")</f>
        <v>#REF!</v>
      </c>
      <c r="GI130" t="e">
        <f>AND(#REF!,"AAAAAE377b4=")</f>
        <v>#REF!</v>
      </c>
      <c r="GJ130" t="e">
        <f>AND(#REF!,"AAAAAE377b8=")</f>
        <v>#REF!</v>
      </c>
      <c r="GK130" t="e">
        <f>AND(#REF!,"AAAAAE377cA=")</f>
        <v>#REF!</v>
      </c>
      <c r="GL130" t="e">
        <f>AND(#REF!,"AAAAAE377cE=")</f>
        <v>#REF!</v>
      </c>
      <c r="GM130" t="e">
        <f>AND(#REF!,"AAAAAE377cI=")</f>
        <v>#REF!</v>
      </c>
      <c r="GN130" t="e">
        <f>AND(#REF!,"AAAAAE377cM=")</f>
        <v>#REF!</v>
      </c>
      <c r="GO130" t="e">
        <f>AND(#REF!,"AAAAAE377cQ=")</f>
        <v>#REF!</v>
      </c>
      <c r="GP130" t="e">
        <f>AND(#REF!,"AAAAAE377cU=")</f>
        <v>#REF!</v>
      </c>
      <c r="GQ130" t="e">
        <f>AND(#REF!,"AAAAAE377cY=")</f>
        <v>#REF!</v>
      </c>
      <c r="GR130" t="e">
        <f>AND(#REF!,"AAAAAE377cc=")</f>
        <v>#REF!</v>
      </c>
      <c r="GS130" t="e">
        <f>AND(#REF!,"AAAAAE377cg=")</f>
        <v>#REF!</v>
      </c>
      <c r="GT130" t="e">
        <f>AND(#REF!,"AAAAAE377ck=")</f>
        <v>#REF!</v>
      </c>
      <c r="GU130" t="e">
        <f>AND(#REF!,"AAAAAE377co=")</f>
        <v>#REF!</v>
      </c>
      <c r="GV130" t="e">
        <f>AND(#REF!,"AAAAAE377cs=")</f>
        <v>#REF!</v>
      </c>
      <c r="GW130" t="e">
        <f>AND(#REF!,"AAAAAE377cw=")</f>
        <v>#REF!</v>
      </c>
      <c r="GX130" t="e">
        <f>AND(#REF!,"AAAAAE377c0=")</f>
        <v>#REF!</v>
      </c>
      <c r="GY130" t="e">
        <f>AND(#REF!,"AAAAAE377c4=")</f>
        <v>#REF!</v>
      </c>
      <c r="GZ130" t="e">
        <f>IF(#REF!,"AAAAAE377c8=",0)</f>
        <v>#REF!</v>
      </c>
      <c r="HA130" t="e">
        <f>AND(#REF!,"AAAAAE377dA=")</f>
        <v>#REF!</v>
      </c>
      <c r="HB130" t="e">
        <f>AND(#REF!,"AAAAAE377dE=")</f>
        <v>#REF!</v>
      </c>
      <c r="HC130" t="e">
        <f>AND(#REF!,"AAAAAE377dI=")</f>
        <v>#REF!</v>
      </c>
      <c r="HD130" t="e">
        <f>AND(#REF!,"AAAAAE377dM=")</f>
        <v>#REF!</v>
      </c>
      <c r="HE130" t="e">
        <f>AND(#REF!,"AAAAAE377dQ=")</f>
        <v>#REF!</v>
      </c>
      <c r="HF130" t="e">
        <f>AND(#REF!,"AAAAAE377dU=")</f>
        <v>#REF!</v>
      </c>
      <c r="HG130" t="e">
        <f>AND(#REF!,"AAAAAE377dY=")</f>
        <v>#REF!</v>
      </c>
      <c r="HH130" t="e">
        <f>AND(#REF!,"AAAAAE377dc=")</f>
        <v>#REF!</v>
      </c>
      <c r="HI130" t="e">
        <f>AND(#REF!,"AAAAAE377dg=")</f>
        <v>#REF!</v>
      </c>
      <c r="HJ130" t="e">
        <f>AND(#REF!,"AAAAAE377dk=")</f>
        <v>#REF!</v>
      </c>
      <c r="HK130" t="e">
        <f>AND(#REF!,"AAAAAE377do=")</f>
        <v>#REF!</v>
      </c>
      <c r="HL130" t="e">
        <f>AND(#REF!,"AAAAAE377ds=")</f>
        <v>#REF!</v>
      </c>
      <c r="HM130" t="e">
        <f>AND(#REF!,"AAAAAE377dw=")</f>
        <v>#REF!</v>
      </c>
      <c r="HN130" t="e">
        <f>AND(#REF!,"AAAAAE377d0=")</f>
        <v>#REF!</v>
      </c>
      <c r="HO130" t="e">
        <f>AND(#REF!,"AAAAAE377d4=")</f>
        <v>#REF!</v>
      </c>
      <c r="HP130" t="e">
        <f>AND(#REF!,"AAAAAE377d8=")</f>
        <v>#REF!</v>
      </c>
      <c r="HQ130" t="e">
        <f>AND(#REF!,"AAAAAE377eA=")</f>
        <v>#REF!</v>
      </c>
      <c r="HR130" t="e">
        <f>AND(#REF!,"AAAAAE377eE=")</f>
        <v>#REF!</v>
      </c>
      <c r="HS130" t="e">
        <f>AND(#REF!,"AAAAAE377eI=")</f>
        <v>#REF!</v>
      </c>
      <c r="HT130" t="e">
        <f>AND(#REF!,"AAAAAE377eM=")</f>
        <v>#REF!</v>
      </c>
      <c r="HU130" t="e">
        <f>AND(#REF!,"AAAAAE377eQ=")</f>
        <v>#REF!</v>
      </c>
      <c r="HV130" t="e">
        <f>AND(#REF!,"AAAAAE377eU=")</f>
        <v>#REF!</v>
      </c>
      <c r="HW130" t="e">
        <f>IF(#REF!,"AAAAAE377eY=",0)</f>
        <v>#REF!</v>
      </c>
      <c r="HX130" t="e">
        <f>AND(#REF!,"AAAAAE377ec=")</f>
        <v>#REF!</v>
      </c>
      <c r="HY130" t="e">
        <f>AND(#REF!,"AAAAAE377eg=")</f>
        <v>#REF!</v>
      </c>
      <c r="HZ130" t="e">
        <f>AND(#REF!,"AAAAAE377ek=")</f>
        <v>#REF!</v>
      </c>
      <c r="IA130" t="e">
        <f>AND(#REF!,"AAAAAE377eo=")</f>
        <v>#REF!</v>
      </c>
      <c r="IB130" t="e">
        <f>AND(#REF!,"AAAAAE377es=")</f>
        <v>#REF!</v>
      </c>
      <c r="IC130" t="e">
        <f>AND(#REF!,"AAAAAE377ew=")</f>
        <v>#REF!</v>
      </c>
      <c r="ID130" t="e">
        <f>AND(#REF!,"AAAAAE377e0=")</f>
        <v>#REF!</v>
      </c>
      <c r="IE130" t="e">
        <f>AND(#REF!,"AAAAAE377e4=")</f>
        <v>#REF!</v>
      </c>
      <c r="IF130" t="e">
        <f>AND(#REF!,"AAAAAE377e8=")</f>
        <v>#REF!</v>
      </c>
      <c r="IG130" t="e">
        <f>AND(#REF!,"AAAAAE377fA=")</f>
        <v>#REF!</v>
      </c>
      <c r="IH130" t="e">
        <f>AND(#REF!,"AAAAAE377fE=")</f>
        <v>#REF!</v>
      </c>
      <c r="II130" t="e">
        <f>AND(#REF!,"AAAAAE377fI=")</f>
        <v>#REF!</v>
      </c>
      <c r="IJ130" t="e">
        <f>AND(#REF!,"AAAAAE377fM=")</f>
        <v>#REF!</v>
      </c>
      <c r="IK130" t="e">
        <f>AND(#REF!,"AAAAAE377fQ=")</f>
        <v>#REF!</v>
      </c>
      <c r="IL130" t="e">
        <f>AND(#REF!,"AAAAAE377fU=")</f>
        <v>#REF!</v>
      </c>
      <c r="IM130" t="e">
        <f>AND(#REF!,"AAAAAE377fY=")</f>
        <v>#REF!</v>
      </c>
      <c r="IN130" t="e">
        <f>AND(#REF!,"AAAAAE377fc=")</f>
        <v>#REF!</v>
      </c>
      <c r="IO130" t="e">
        <f>AND(#REF!,"AAAAAE377fg=")</f>
        <v>#REF!</v>
      </c>
      <c r="IP130" t="e">
        <f>AND(#REF!,"AAAAAE377fk=")</f>
        <v>#REF!</v>
      </c>
      <c r="IQ130" t="e">
        <f>AND(#REF!,"AAAAAE377fo=")</f>
        <v>#REF!</v>
      </c>
      <c r="IR130" t="e">
        <f>AND(#REF!,"AAAAAE377fs=")</f>
        <v>#REF!</v>
      </c>
      <c r="IS130" t="e">
        <f>AND(#REF!,"AAAAAE377fw=")</f>
        <v>#REF!</v>
      </c>
      <c r="IT130" t="e">
        <f>IF(#REF!,"AAAAAE377f0=",0)</f>
        <v>#REF!</v>
      </c>
      <c r="IU130" t="e">
        <f>AND(#REF!,"AAAAAE377f4=")</f>
        <v>#REF!</v>
      </c>
      <c r="IV130" t="e">
        <f>AND(#REF!,"AAAAAE377f8=")</f>
        <v>#REF!</v>
      </c>
    </row>
    <row r="131" spans="1:256" x14ac:dyDescent="0.2">
      <c r="A131" t="e">
        <f>AND(#REF!,"AAAAAG/f3wA=")</f>
        <v>#REF!</v>
      </c>
      <c r="B131" t="e">
        <f>AND(#REF!,"AAAAAG/f3wE=")</f>
        <v>#REF!</v>
      </c>
      <c r="C131" t="e">
        <f>AND(#REF!,"AAAAAG/f3wI=")</f>
        <v>#REF!</v>
      </c>
      <c r="D131" t="e">
        <f>AND(#REF!,"AAAAAG/f3wM=")</f>
        <v>#REF!</v>
      </c>
      <c r="E131" t="e">
        <f>AND(#REF!,"AAAAAG/f3wQ=")</f>
        <v>#REF!</v>
      </c>
      <c r="F131" t="e">
        <f>AND(#REF!,"AAAAAG/f3wU=")</f>
        <v>#REF!</v>
      </c>
      <c r="G131" t="e">
        <f>AND(#REF!,"AAAAAG/f3wY=")</f>
        <v>#REF!</v>
      </c>
      <c r="H131" t="e">
        <f>AND(#REF!,"AAAAAG/f3wc=")</f>
        <v>#REF!</v>
      </c>
      <c r="I131" t="e">
        <f>AND(#REF!,"AAAAAG/f3wg=")</f>
        <v>#REF!</v>
      </c>
      <c r="J131" t="e">
        <f>AND(#REF!,"AAAAAG/f3wk=")</f>
        <v>#REF!</v>
      </c>
      <c r="K131" t="e">
        <f>AND(#REF!,"AAAAAG/f3wo=")</f>
        <v>#REF!</v>
      </c>
      <c r="L131" t="e">
        <f>AND(#REF!,"AAAAAG/f3ws=")</f>
        <v>#REF!</v>
      </c>
      <c r="M131" t="e">
        <f>AND(#REF!,"AAAAAG/f3ww=")</f>
        <v>#REF!</v>
      </c>
      <c r="N131" t="e">
        <f>AND(#REF!,"AAAAAG/f3w0=")</f>
        <v>#REF!</v>
      </c>
      <c r="O131" t="e">
        <f>AND(#REF!,"AAAAAG/f3w4=")</f>
        <v>#REF!</v>
      </c>
      <c r="P131" t="e">
        <f>AND(#REF!,"AAAAAG/f3w8=")</f>
        <v>#REF!</v>
      </c>
      <c r="Q131" t="e">
        <f>AND(#REF!,"AAAAAG/f3xA=")</f>
        <v>#REF!</v>
      </c>
      <c r="R131" t="e">
        <f>AND(#REF!,"AAAAAG/f3xE=")</f>
        <v>#REF!</v>
      </c>
      <c r="S131" t="e">
        <f>AND(#REF!,"AAAAAG/f3xI=")</f>
        <v>#REF!</v>
      </c>
      <c r="T131" t="e">
        <f>AND(#REF!,"AAAAAG/f3xM=")</f>
        <v>#REF!</v>
      </c>
      <c r="U131" t="e">
        <f>IF(#REF!,"AAAAAG/f3xQ=",0)</f>
        <v>#REF!</v>
      </c>
      <c r="V131" t="e">
        <f>AND(#REF!,"AAAAAG/f3xU=")</f>
        <v>#REF!</v>
      </c>
      <c r="W131" t="e">
        <f>AND(#REF!,"AAAAAG/f3xY=")</f>
        <v>#REF!</v>
      </c>
      <c r="X131" t="e">
        <f>AND(#REF!,"AAAAAG/f3xc=")</f>
        <v>#REF!</v>
      </c>
      <c r="Y131" t="e">
        <f>AND(#REF!,"AAAAAG/f3xg=")</f>
        <v>#REF!</v>
      </c>
      <c r="Z131" t="e">
        <f>AND(#REF!,"AAAAAG/f3xk=")</f>
        <v>#REF!</v>
      </c>
      <c r="AA131" t="e">
        <f>AND(#REF!,"AAAAAG/f3xo=")</f>
        <v>#REF!</v>
      </c>
      <c r="AB131" t="e">
        <f>AND(#REF!,"AAAAAG/f3xs=")</f>
        <v>#REF!</v>
      </c>
      <c r="AC131" t="e">
        <f>AND(#REF!,"AAAAAG/f3xw=")</f>
        <v>#REF!</v>
      </c>
      <c r="AD131" t="e">
        <f>AND(#REF!,"AAAAAG/f3x0=")</f>
        <v>#REF!</v>
      </c>
      <c r="AE131" t="e">
        <f>AND(#REF!,"AAAAAG/f3x4=")</f>
        <v>#REF!</v>
      </c>
      <c r="AF131" t="e">
        <f>AND(#REF!,"AAAAAG/f3x8=")</f>
        <v>#REF!</v>
      </c>
      <c r="AG131" t="e">
        <f>AND(#REF!,"AAAAAG/f3yA=")</f>
        <v>#REF!</v>
      </c>
      <c r="AH131" t="e">
        <f>AND(#REF!,"AAAAAG/f3yE=")</f>
        <v>#REF!</v>
      </c>
      <c r="AI131" t="e">
        <f>AND(#REF!,"AAAAAG/f3yI=")</f>
        <v>#REF!</v>
      </c>
      <c r="AJ131" t="e">
        <f>AND(#REF!,"AAAAAG/f3yM=")</f>
        <v>#REF!</v>
      </c>
      <c r="AK131" t="e">
        <f>AND(#REF!,"AAAAAG/f3yQ=")</f>
        <v>#REF!</v>
      </c>
      <c r="AL131" t="e">
        <f>AND(#REF!,"AAAAAG/f3yU=")</f>
        <v>#REF!</v>
      </c>
      <c r="AM131" t="e">
        <f>AND(#REF!,"AAAAAG/f3yY=")</f>
        <v>#REF!</v>
      </c>
      <c r="AN131" t="e">
        <f>AND(#REF!,"AAAAAG/f3yc=")</f>
        <v>#REF!</v>
      </c>
      <c r="AO131" t="e">
        <f>AND(#REF!,"AAAAAG/f3yg=")</f>
        <v>#REF!</v>
      </c>
      <c r="AP131" t="e">
        <f>AND(#REF!,"AAAAAG/f3yk=")</f>
        <v>#REF!</v>
      </c>
      <c r="AQ131" t="e">
        <f>AND(#REF!,"AAAAAG/f3yo=")</f>
        <v>#REF!</v>
      </c>
      <c r="AR131" t="e">
        <f>IF(#REF!,"AAAAAG/f3ys=",0)</f>
        <v>#REF!</v>
      </c>
      <c r="AS131" t="e">
        <f>AND(#REF!,"AAAAAG/f3yw=")</f>
        <v>#REF!</v>
      </c>
      <c r="AT131" t="e">
        <f>AND(#REF!,"AAAAAG/f3y0=")</f>
        <v>#REF!</v>
      </c>
      <c r="AU131" t="e">
        <f>AND(#REF!,"AAAAAG/f3y4=")</f>
        <v>#REF!</v>
      </c>
      <c r="AV131" t="e">
        <f>AND(#REF!,"AAAAAG/f3y8=")</f>
        <v>#REF!</v>
      </c>
      <c r="AW131" t="e">
        <f>AND(#REF!,"AAAAAG/f3zA=")</f>
        <v>#REF!</v>
      </c>
      <c r="AX131" t="e">
        <f>AND(#REF!,"AAAAAG/f3zE=")</f>
        <v>#REF!</v>
      </c>
      <c r="AY131" t="e">
        <f>AND(#REF!,"AAAAAG/f3zI=")</f>
        <v>#REF!</v>
      </c>
      <c r="AZ131" t="e">
        <f>AND(#REF!,"AAAAAG/f3zM=")</f>
        <v>#REF!</v>
      </c>
      <c r="BA131" t="e">
        <f>AND(#REF!,"AAAAAG/f3zQ=")</f>
        <v>#REF!</v>
      </c>
      <c r="BB131" t="e">
        <f>AND(#REF!,"AAAAAG/f3zU=")</f>
        <v>#REF!</v>
      </c>
      <c r="BC131" t="e">
        <f>AND(#REF!,"AAAAAG/f3zY=")</f>
        <v>#REF!</v>
      </c>
      <c r="BD131" t="e">
        <f>AND(#REF!,"AAAAAG/f3zc=")</f>
        <v>#REF!</v>
      </c>
      <c r="BE131" t="e">
        <f>AND(#REF!,"AAAAAG/f3zg=")</f>
        <v>#REF!</v>
      </c>
      <c r="BF131" t="e">
        <f>AND(#REF!,"AAAAAG/f3zk=")</f>
        <v>#REF!</v>
      </c>
      <c r="BG131" t="e">
        <f>AND(#REF!,"AAAAAG/f3zo=")</f>
        <v>#REF!</v>
      </c>
      <c r="BH131" t="e">
        <f>AND(#REF!,"AAAAAG/f3zs=")</f>
        <v>#REF!</v>
      </c>
      <c r="BI131" t="e">
        <f>AND(#REF!,"AAAAAG/f3zw=")</f>
        <v>#REF!</v>
      </c>
      <c r="BJ131" t="e">
        <f>AND(#REF!,"AAAAAG/f3z0=")</f>
        <v>#REF!</v>
      </c>
      <c r="BK131" t="e">
        <f>AND(#REF!,"AAAAAG/f3z4=")</f>
        <v>#REF!</v>
      </c>
      <c r="BL131" t="e">
        <f>AND(#REF!,"AAAAAG/f3z8=")</f>
        <v>#REF!</v>
      </c>
      <c r="BM131" t="e">
        <f>AND(#REF!,"AAAAAG/f30A=")</f>
        <v>#REF!</v>
      </c>
      <c r="BN131" t="e">
        <f>AND(#REF!,"AAAAAG/f30E=")</f>
        <v>#REF!</v>
      </c>
      <c r="BO131" t="e">
        <f>IF(#REF!,"AAAAAG/f30I=",0)</f>
        <v>#REF!</v>
      </c>
      <c r="BP131" t="e">
        <f>AND(#REF!,"AAAAAG/f30M=")</f>
        <v>#REF!</v>
      </c>
      <c r="BQ131" t="e">
        <f>AND(#REF!,"AAAAAG/f30Q=")</f>
        <v>#REF!</v>
      </c>
      <c r="BR131" t="e">
        <f>AND(#REF!,"AAAAAG/f30U=")</f>
        <v>#REF!</v>
      </c>
      <c r="BS131" t="e">
        <f>AND(#REF!,"AAAAAG/f30Y=")</f>
        <v>#REF!</v>
      </c>
      <c r="BT131" t="e">
        <f>AND(#REF!,"AAAAAG/f30c=")</f>
        <v>#REF!</v>
      </c>
      <c r="BU131" t="e">
        <f>AND(#REF!,"AAAAAG/f30g=")</f>
        <v>#REF!</v>
      </c>
      <c r="BV131" t="e">
        <f>AND(#REF!,"AAAAAG/f30k=")</f>
        <v>#REF!</v>
      </c>
      <c r="BW131" t="e">
        <f>AND(#REF!,"AAAAAG/f30o=")</f>
        <v>#REF!</v>
      </c>
      <c r="BX131" t="e">
        <f>AND(#REF!,"AAAAAG/f30s=")</f>
        <v>#REF!</v>
      </c>
      <c r="BY131" t="e">
        <f>AND(#REF!,"AAAAAG/f30w=")</f>
        <v>#REF!</v>
      </c>
      <c r="BZ131" t="e">
        <f>AND(#REF!,"AAAAAG/f300=")</f>
        <v>#REF!</v>
      </c>
      <c r="CA131" t="e">
        <f>AND(#REF!,"AAAAAG/f304=")</f>
        <v>#REF!</v>
      </c>
      <c r="CB131" t="e">
        <f>AND(#REF!,"AAAAAG/f308=")</f>
        <v>#REF!</v>
      </c>
      <c r="CC131" t="e">
        <f>AND(#REF!,"AAAAAG/f31A=")</f>
        <v>#REF!</v>
      </c>
      <c r="CD131" t="e">
        <f>AND(#REF!,"AAAAAG/f31E=")</f>
        <v>#REF!</v>
      </c>
      <c r="CE131" t="e">
        <f>AND(#REF!,"AAAAAG/f31I=")</f>
        <v>#REF!</v>
      </c>
      <c r="CF131" t="e">
        <f>AND(#REF!,"AAAAAG/f31M=")</f>
        <v>#REF!</v>
      </c>
      <c r="CG131" t="e">
        <f>AND(#REF!,"AAAAAG/f31Q=")</f>
        <v>#REF!</v>
      </c>
      <c r="CH131" t="e">
        <f>AND(#REF!,"AAAAAG/f31U=")</f>
        <v>#REF!</v>
      </c>
      <c r="CI131" t="e">
        <f>AND(#REF!,"AAAAAG/f31Y=")</f>
        <v>#REF!</v>
      </c>
      <c r="CJ131" t="e">
        <f>AND(#REF!,"AAAAAG/f31c=")</f>
        <v>#REF!</v>
      </c>
      <c r="CK131" t="e">
        <f>AND(#REF!,"AAAAAG/f31g=")</f>
        <v>#REF!</v>
      </c>
      <c r="CL131" t="e">
        <f>IF(#REF!,"AAAAAG/f31k=",0)</f>
        <v>#REF!</v>
      </c>
      <c r="CM131" t="e">
        <f>AND(#REF!,"AAAAAG/f31o=")</f>
        <v>#REF!</v>
      </c>
      <c r="CN131" t="e">
        <f>AND(#REF!,"AAAAAG/f31s=")</f>
        <v>#REF!</v>
      </c>
      <c r="CO131" t="e">
        <f>AND(#REF!,"AAAAAG/f31w=")</f>
        <v>#REF!</v>
      </c>
      <c r="CP131" t="e">
        <f>AND(#REF!,"AAAAAG/f310=")</f>
        <v>#REF!</v>
      </c>
      <c r="CQ131" t="e">
        <f>AND(#REF!,"AAAAAG/f314=")</f>
        <v>#REF!</v>
      </c>
      <c r="CR131" t="e">
        <f>AND(#REF!,"AAAAAG/f318=")</f>
        <v>#REF!</v>
      </c>
      <c r="CS131" t="e">
        <f>AND(#REF!,"AAAAAG/f32A=")</f>
        <v>#REF!</v>
      </c>
      <c r="CT131" t="e">
        <f>AND(#REF!,"AAAAAG/f32E=")</f>
        <v>#REF!</v>
      </c>
      <c r="CU131" t="e">
        <f>AND(#REF!,"AAAAAG/f32I=")</f>
        <v>#REF!</v>
      </c>
      <c r="CV131" t="e">
        <f>AND(#REF!,"AAAAAG/f32M=")</f>
        <v>#REF!</v>
      </c>
      <c r="CW131" t="e">
        <f>AND(#REF!,"AAAAAG/f32Q=")</f>
        <v>#REF!</v>
      </c>
      <c r="CX131" t="e">
        <f>AND(#REF!,"AAAAAG/f32U=")</f>
        <v>#REF!</v>
      </c>
      <c r="CY131" t="e">
        <f>AND(#REF!,"AAAAAG/f32Y=")</f>
        <v>#REF!</v>
      </c>
      <c r="CZ131" t="e">
        <f>AND(#REF!,"AAAAAG/f32c=")</f>
        <v>#REF!</v>
      </c>
      <c r="DA131" t="e">
        <f>AND(#REF!,"AAAAAG/f32g=")</f>
        <v>#REF!</v>
      </c>
      <c r="DB131" t="e">
        <f>AND(#REF!,"AAAAAG/f32k=")</f>
        <v>#REF!</v>
      </c>
      <c r="DC131" t="e">
        <f>AND(#REF!,"AAAAAG/f32o=")</f>
        <v>#REF!</v>
      </c>
      <c r="DD131" t="e">
        <f>AND(#REF!,"AAAAAG/f32s=")</f>
        <v>#REF!</v>
      </c>
      <c r="DE131" t="e">
        <f>AND(#REF!,"AAAAAG/f32w=")</f>
        <v>#REF!</v>
      </c>
      <c r="DF131" t="e">
        <f>AND(#REF!,"AAAAAG/f320=")</f>
        <v>#REF!</v>
      </c>
      <c r="DG131" t="e">
        <f>AND(#REF!,"AAAAAG/f324=")</f>
        <v>#REF!</v>
      </c>
      <c r="DH131" t="e">
        <f>AND(#REF!,"AAAAAG/f328=")</f>
        <v>#REF!</v>
      </c>
      <c r="DI131" t="e">
        <f>IF(#REF!,"AAAAAG/f33A=",0)</f>
        <v>#REF!</v>
      </c>
      <c r="DJ131" t="e">
        <f>AND(#REF!,"AAAAAG/f33E=")</f>
        <v>#REF!</v>
      </c>
      <c r="DK131" t="e">
        <f>AND(#REF!,"AAAAAG/f33I=")</f>
        <v>#REF!</v>
      </c>
      <c r="DL131" t="e">
        <f>AND(#REF!,"AAAAAG/f33M=")</f>
        <v>#REF!</v>
      </c>
      <c r="DM131" t="e">
        <f>AND(#REF!,"AAAAAG/f33Q=")</f>
        <v>#REF!</v>
      </c>
      <c r="DN131" t="e">
        <f>AND(#REF!,"AAAAAG/f33U=")</f>
        <v>#REF!</v>
      </c>
      <c r="DO131" t="e">
        <f>AND(#REF!,"AAAAAG/f33Y=")</f>
        <v>#REF!</v>
      </c>
      <c r="DP131" t="e">
        <f>AND(#REF!,"AAAAAG/f33c=")</f>
        <v>#REF!</v>
      </c>
      <c r="DQ131" t="e">
        <f>AND(#REF!,"AAAAAG/f33g=")</f>
        <v>#REF!</v>
      </c>
      <c r="DR131" t="e">
        <f>AND(#REF!,"AAAAAG/f33k=")</f>
        <v>#REF!</v>
      </c>
      <c r="DS131" t="e">
        <f>AND(#REF!,"AAAAAG/f33o=")</f>
        <v>#REF!</v>
      </c>
      <c r="DT131" t="e">
        <f>AND(#REF!,"AAAAAG/f33s=")</f>
        <v>#REF!</v>
      </c>
      <c r="DU131" t="e">
        <f>AND(#REF!,"AAAAAG/f33w=")</f>
        <v>#REF!</v>
      </c>
      <c r="DV131" t="e">
        <f>AND(#REF!,"AAAAAG/f330=")</f>
        <v>#REF!</v>
      </c>
      <c r="DW131" t="e">
        <f>AND(#REF!,"AAAAAG/f334=")</f>
        <v>#REF!</v>
      </c>
      <c r="DX131" t="e">
        <f>AND(#REF!,"AAAAAG/f338=")</f>
        <v>#REF!</v>
      </c>
      <c r="DY131" t="e">
        <f>AND(#REF!,"AAAAAG/f34A=")</f>
        <v>#REF!</v>
      </c>
      <c r="DZ131" t="e">
        <f>AND(#REF!,"AAAAAG/f34E=")</f>
        <v>#REF!</v>
      </c>
      <c r="EA131" t="e">
        <f>AND(#REF!,"AAAAAG/f34I=")</f>
        <v>#REF!</v>
      </c>
      <c r="EB131" t="e">
        <f>AND(#REF!,"AAAAAG/f34M=")</f>
        <v>#REF!</v>
      </c>
      <c r="EC131" t="e">
        <f>AND(#REF!,"AAAAAG/f34Q=")</f>
        <v>#REF!</v>
      </c>
      <c r="ED131" t="e">
        <f>AND(#REF!,"AAAAAG/f34U=")</f>
        <v>#REF!</v>
      </c>
      <c r="EE131" t="e">
        <f>AND(#REF!,"AAAAAG/f34Y=")</f>
        <v>#REF!</v>
      </c>
      <c r="EF131" t="e">
        <f>IF(#REF!,"AAAAAG/f34c=",0)</f>
        <v>#REF!</v>
      </c>
      <c r="EG131" t="e">
        <f>AND(#REF!,"AAAAAG/f34g=")</f>
        <v>#REF!</v>
      </c>
      <c r="EH131" t="e">
        <f>AND(#REF!,"AAAAAG/f34k=")</f>
        <v>#REF!</v>
      </c>
      <c r="EI131" t="e">
        <f>AND(#REF!,"AAAAAG/f34o=")</f>
        <v>#REF!</v>
      </c>
      <c r="EJ131" t="e">
        <f>AND(#REF!,"AAAAAG/f34s=")</f>
        <v>#REF!</v>
      </c>
      <c r="EK131" t="e">
        <f>AND(#REF!,"AAAAAG/f34w=")</f>
        <v>#REF!</v>
      </c>
      <c r="EL131" t="e">
        <f>AND(#REF!,"AAAAAG/f340=")</f>
        <v>#REF!</v>
      </c>
      <c r="EM131" t="e">
        <f>AND(#REF!,"AAAAAG/f344=")</f>
        <v>#REF!</v>
      </c>
      <c r="EN131" t="e">
        <f>AND(#REF!,"AAAAAG/f348=")</f>
        <v>#REF!</v>
      </c>
      <c r="EO131" t="e">
        <f>AND(#REF!,"AAAAAG/f35A=")</f>
        <v>#REF!</v>
      </c>
      <c r="EP131" t="e">
        <f>AND(#REF!,"AAAAAG/f35E=")</f>
        <v>#REF!</v>
      </c>
      <c r="EQ131" t="e">
        <f>AND(#REF!,"AAAAAG/f35I=")</f>
        <v>#REF!</v>
      </c>
      <c r="ER131" t="e">
        <f>AND(#REF!,"AAAAAG/f35M=")</f>
        <v>#REF!</v>
      </c>
      <c r="ES131" t="e">
        <f>AND(#REF!,"AAAAAG/f35Q=")</f>
        <v>#REF!</v>
      </c>
      <c r="ET131" t="e">
        <f>AND(#REF!,"AAAAAG/f35U=")</f>
        <v>#REF!</v>
      </c>
      <c r="EU131" t="e">
        <f>AND(#REF!,"AAAAAG/f35Y=")</f>
        <v>#REF!</v>
      </c>
      <c r="EV131" t="e">
        <f>AND(#REF!,"AAAAAG/f35c=")</f>
        <v>#REF!</v>
      </c>
      <c r="EW131" t="e">
        <f>AND(#REF!,"AAAAAG/f35g=")</f>
        <v>#REF!</v>
      </c>
      <c r="EX131" t="e">
        <f>AND(#REF!,"AAAAAG/f35k=")</f>
        <v>#REF!</v>
      </c>
      <c r="EY131" t="e">
        <f>AND(#REF!,"AAAAAG/f35o=")</f>
        <v>#REF!</v>
      </c>
      <c r="EZ131" t="e">
        <f>AND(#REF!,"AAAAAG/f35s=")</f>
        <v>#REF!</v>
      </c>
      <c r="FA131" t="e">
        <f>AND(#REF!,"AAAAAG/f35w=")</f>
        <v>#REF!</v>
      </c>
      <c r="FB131" t="e">
        <f>AND(#REF!,"AAAAAG/f350=")</f>
        <v>#REF!</v>
      </c>
      <c r="FC131" t="e">
        <f>IF(#REF!,"AAAAAG/f354=",0)</f>
        <v>#REF!</v>
      </c>
      <c r="FD131" t="e">
        <f>AND(#REF!,"AAAAAG/f358=")</f>
        <v>#REF!</v>
      </c>
      <c r="FE131" t="e">
        <f>AND(#REF!,"AAAAAG/f36A=")</f>
        <v>#REF!</v>
      </c>
      <c r="FF131" t="e">
        <f>AND(#REF!,"AAAAAG/f36E=")</f>
        <v>#REF!</v>
      </c>
      <c r="FG131" t="e">
        <f>AND(#REF!,"AAAAAG/f36I=")</f>
        <v>#REF!</v>
      </c>
      <c r="FH131" t="e">
        <f>AND(#REF!,"AAAAAG/f36M=")</f>
        <v>#REF!</v>
      </c>
      <c r="FI131" t="e">
        <f>AND(#REF!,"AAAAAG/f36Q=")</f>
        <v>#REF!</v>
      </c>
      <c r="FJ131" t="e">
        <f>AND(#REF!,"AAAAAG/f36U=")</f>
        <v>#REF!</v>
      </c>
      <c r="FK131" t="e">
        <f>AND(#REF!,"AAAAAG/f36Y=")</f>
        <v>#REF!</v>
      </c>
      <c r="FL131" t="e">
        <f>AND(#REF!,"AAAAAG/f36c=")</f>
        <v>#REF!</v>
      </c>
      <c r="FM131" t="e">
        <f>AND(#REF!,"AAAAAG/f36g=")</f>
        <v>#REF!</v>
      </c>
      <c r="FN131" t="e">
        <f>AND(#REF!,"AAAAAG/f36k=")</f>
        <v>#REF!</v>
      </c>
      <c r="FO131" t="e">
        <f>AND(#REF!,"AAAAAG/f36o=")</f>
        <v>#REF!</v>
      </c>
      <c r="FP131" t="e">
        <f>AND(#REF!,"AAAAAG/f36s=")</f>
        <v>#REF!</v>
      </c>
      <c r="FQ131" t="e">
        <f>AND(#REF!,"AAAAAG/f36w=")</f>
        <v>#REF!</v>
      </c>
      <c r="FR131" t="e">
        <f>AND(#REF!,"AAAAAG/f360=")</f>
        <v>#REF!</v>
      </c>
      <c r="FS131" t="e">
        <f>AND(#REF!,"AAAAAG/f364=")</f>
        <v>#REF!</v>
      </c>
      <c r="FT131" t="e">
        <f>AND(#REF!,"AAAAAG/f368=")</f>
        <v>#REF!</v>
      </c>
      <c r="FU131" t="e">
        <f>AND(#REF!,"AAAAAG/f37A=")</f>
        <v>#REF!</v>
      </c>
      <c r="FV131" t="e">
        <f>AND(#REF!,"AAAAAG/f37E=")</f>
        <v>#REF!</v>
      </c>
      <c r="FW131" t="e">
        <f>AND(#REF!,"AAAAAG/f37I=")</f>
        <v>#REF!</v>
      </c>
      <c r="FX131" t="e">
        <f>AND(#REF!,"AAAAAG/f37M=")</f>
        <v>#REF!</v>
      </c>
      <c r="FY131" t="e">
        <f>AND(#REF!,"AAAAAG/f37Q=")</f>
        <v>#REF!</v>
      </c>
      <c r="FZ131" t="e">
        <f>IF(#REF!,"AAAAAG/f37U=",0)</f>
        <v>#REF!</v>
      </c>
      <c r="GA131" t="e">
        <f>AND(#REF!,"AAAAAG/f37Y=")</f>
        <v>#REF!</v>
      </c>
      <c r="GB131" t="e">
        <f>AND(#REF!,"AAAAAG/f37c=")</f>
        <v>#REF!</v>
      </c>
      <c r="GC131" t="e">
        <f>AND(#REF!,"AAAAAG/f37g=")</f>
        <v>#REF!</v>
      </c>
      <c r="GD131" t="e">
        <f>AND(#REF!,"AAAAAG/f37k=")</f>
        <v>#REF!</v>
      </c>
      <c r="GE131" t="e">
        <f>AND(#REF!,"AAAAAG/f37o=")</f>
        <v>#REF!</v>
      </c>
      <c r="GF131" t="e">
        <f>AND(#REF!,"AAAAAG/f37s=")</f>
        <v>#REF!</v>
      </c>
      <c r="GG131" t="e">
        <f>AND(#REF!,"AAAAAG/f37w=")</f>
        <v>#REF!</v>
      </c>
      <c r="GH131" t="e">
        <f>AND(#REF!,"AAAAAG/f370=")</f>
        <v>#REF!</v>
      </c>
      <c r="GI131" t="e">
        <f>AND(#REF!,"AAAAAG/f374=")</f>
        <v>#REF!</v>
      </c>
      <c r="GJ131" t="e">
        <f>AND(#REF!,"AAAAAG/f378=")</f>
        <v>#REF!</v>
      </c>
      <c r="GK131" t="e">
        <f>AND(#REF!,"AAAAAG/f38A=")</f>
        <v>#REF!</v>
      </c>
      <c r="GL131" t="e">
        <f>AND(#REF!,"AAAAAG/f38E=")</f>
        <v>#REF!</v>
      </c>
      <c r="GM131" t="e">
        <f>AND(#REF!,"AAAAAG/f38I=")</f>
        <v>#REF!</v>
      </c>
      <c r="GN131" t="e">
        <f>AND(#REF!,"AAAAAG/f38M=")</f>
        <v>#REF!</v>
      </c>
      <c r="GO131" t="e">
        <f>AND(#REF!,"AAAAAG/f38Q=")</f>
        <v>#REF!</v>
      </c>
      <c r="GP131" t="e">
        <f>AND(#REF!,"AAAAAG/f38U=")</f>
        <v>#REF!</v>
      </c>
      <c r="GQ131" t="e">
        <f>AND(#REF!,"AAAAAG/f38Y=")</f>
        <v>#REF!</v>
      </c>
      <c r="GR131" t="e">
        <f>AND(#REF!,"AAAAAG/f38c=")</f>
        <v>#REF!</v>
      </c>
      <c r="GS131" t="e">
        <f>AND(#REF!,"AAAAAG/f38g=")</f>
        <v>#REF!</v>
      </c>
      <c r="GT131" t="e">
        <f>AND(#REF!,"AAAAAG/f38k=")</f>
        <v>#REF!</v>
      </c>
      <c r="GU131" t="e">
        <f>AND(#REF!,"AAAAAG/f38o=")</f>
        <v>#REF!</v>
      </c>
      <c r="GV131" t="e">
        <f>AND(#REF!,"AAAAAG/f38s=")</f>
        <v>#REF!</v>
      </c>
      <c r="GW131" t="e">
        <f>IF(#REF!,"AAAAAG/f38w=",0)</f>
        <v>#REF!</v>
      </c>
      <c r="GX131" t="e">
        <f>AND(#REF!,"AAAAAG/f380=")</f>
        <v>#REF!</v>
      </c>
      <c r="GY131" t="e">
        <f>AND(#REF!,"AAAAAG/f384=")</f>
        <v>#REF!</v>
      </c>
      <c r="GZ131" t="e">
        <f>AND(#REF!,"AAAAAG/f388=")</f>
        <v>#REF!</v>
      </c>
      <c r="HA131" t="e">
        <f>AND(#REF!,"AAAAAG/f39A=")</f>
        <v>#REF!</v>
      </c>
      <c r="HB131" t="e">
        <f>AND(#REF!,"AAAAAG/f39E=")</f>
        <v>#REF!</v>
      </c>
      <c r="HC131" t="e">
        <f>AND(#REF!,"AAAAAG/f39I=")</f>
        <v>#REF!</v>
      </c>
      <c r="HD131" t="e">
        <f>AND(#REF!,"AAAAAG/f39M=")</f>
        <v>#REF!</v>
      </c>
      <c r="HE131" t="e">
        <f>AND(#REF!,"AAAAAG/f39Q=")</f>
        <v>#REF!</v>
      </c>
      <c r="HF131" t="e">
        <f>AND(#REF!,"AAAAAG/f39U=")</f>
        <v>#REF!</v>
      </c>
      <c r="HG131" t="e">
        <f>AND(#REF!,"AAAAAG/f39Y=")</f>
        <v>#REF!</v>
      </c>
      <c r="HH131" t="e">
        <f>AND(#REF!,"AAAAAG/f39c=")</f>
        <v>#REF!</v>
      </c>
      <c r="HI131" t="e">
        <f>AND(#REF!,"AAAAAG/f39g=")</f>
        <v>#REF!</v>
      </c>
      <c r="HJ131" t="e">
        <f>AND(#REF!,"AAAAAG/f39k=")</f>
        <v>#REF!</v>
      </c>
      <c r="HK131" t="e">
        <f>AND(#REF!,"AAAAAG/f39o=")</f>
        <v>#REF!</v>
      </c>
      <c r="HL131" t="e">
        <f>AND(#REF!,"AAAAAG/f39s=")</f>
        <v>#REF!</v>
      </c>
      <c r="HM131" t="e">
        <f>AND(#REF!,"AAAAAG/f39w=")</f>
        <v>#REF!</v>
      </c>
      <c r="HN131" t="e">
        <f>AND(#REF!,"AAAAAG/f390=")</f>
        <v>#REF!</v>
      </c>
      <c r="HO131" t="e">
        <f>AND(#REF!,"AAAAAG/f394=")</f>
        <v>#REF!</v>
      </c>
      <c r="HP131" t="e">
        <f>AND(#REF!,"AAAAAG/f398=")</f>
        <v>#REF!</v>
      </c>
      <c r="HQ131" t="e">
        <f>AND(#REF!,"AAAAAG/f3+A=")</f>
        <v>#REF!</v>
      </c>
      <c r="HR131" t="e">
        <f>AND(#REF!,"AAAAAG/f3+E=")</f>
        <v>#REF!</v>
      </c>
      <c r="HS131" t="e">
        <f>AND(#REF!,"AAAAAG/f3+I=")</f>
        <v>#REF!</v>
      </c>
      <c r="HT131" t="e">
        <f>IF(#REF!,"AAAAAG/f3+M=",0)</f>
        <v>#REF!</v>
      </c>
      <c r="HU131" t="e">
        <f>AND(#REF!,"AAAAAG/f3+Q=")</f>
        <v>#REF!</v>
      </c>
      <c r="HV131" t="e">
        <f>AND(#REF!,"AAAAAG/f3+U=")</f>
        <v>#REF!</v>
      </c>
      <c r="HW131" t="e">
        <f>AND(#REF!,"AAAAAG/f3+Y=")</f>
        <v>#REF!</v>
      </c>
      <c r="HX131" t="e">
        <f>AND(#REF!,"AAAAAG/f3+c=")</f>
        <v>#REF!</v>
      </c>
      <c r="HY131" t="e">
        <f>AND(#REF!,"AAAAAG/f3+g=")</f>
        <v>#REF!</v>
      </c>
      <c r="HZ131" t="e">
        <f>AND(#REF!,"AAAAAG/f3+k=")</f>
        <v>#REF!</v>
      </c>
      <c r="IA131" t="e">
        <f>AND(#REF!,"AAAAAG/f3+o=")</f>
        <v>#REF!</v>
      </c>
      <c r="IB131" t="e">
        <f>AND(#REF!,"AAAAAG/f3+s=")</f>
        <v>#REF!</v>
      </c>
      <c r="IC131" t="e">
        <f>AND(#REF!,"AAAAAG/f3+w=")</f>
        <v>#REF!</v>
      </c>
      <c r="ID131" t="e">
        <f>AND(#REF!,"AAAAAG/f3+0=")</f>
        <v>#REF!</v>
      </c>
      <c r="IE131" t="e">
        <f>AND(#REF!,"AAAAAG/f3+4=")</f>
        <v>#REF!</v>
      </c>
      <c r="IF131" t="e">
        <f>AND(#REF!,"AAAAAG/f3+8=")</f>
        <v>#REF!</v>
      </c>
      <c r="IG131" t="e">
        <f>AND(#REF!,"AAAAAG/f3/A=")</f>
        <v>#REF!</v>
      </c>
      <c r="IH131" t="e">
        <f>AND(#REF!,"AAAAAG/f3/E=")</f>
        <v>#REF!</v>
      </c>
      <c r="II131" t="e">
        <f>AND(#REF!,"AAAAAG/f3/I=")</f>
        <v>#REF!</v>
      </c>
      <c r="IJ131" t="e">
        <f>AND(#REF!,"AAAAAG/f3/M=")</f>
        <v>#REF!</v>
      </c>
      <c r="IK131" t="e">
        <f>AND(#REF!,"AAAAAG/f3/Q=")</f>
        <v>#REF!</v>
      </c>
      <c r="IL131" t="e">
        <f>AND(#REF!,"AAAAAG/f3/U=")</f>
        <v>#REF!</v>
      </c>
      <c r="IM131" t="e">
        <f>AND(#REF!,"AAAAAG/f3/Y=")</f>
        <v>#REF!</v>
      </c>
      <c r="IN131" t="e">
        <f>AND(#REF!,"AAAAAG/f3/c=")</f>
        <v>#REF!</v>
      </c>
      <c r="IO131" t="e">
        <f>AND(#REF!,"AAAAAG/f3/g=")</f>
        <v>#REF!</v>
      </c>
      <c r="IP131" t="e">
        <f>AND(#REF!,"AAAAAG/f3/k=")</f>
        <v>#REF!</v>
      </c>
      <c r="IQ131" t="e">
        <f>IF(#REF!,"AAAAAG/f3/o=",0)</f>
        <v>#REF!</v>
      </c>
      <c r="IR131" t="e">
        <f>AND(#REF!,"AAAAAG/f3/s=")</f>
        <v>#REF!</v>
      </c>
      <c r="IS131" t="e">
        <f>AND(#REF!,"AAAAAG/f3/w=")</f>
        <v>#REF!</v>
      </c>
      <c r="IT131" t="e">
        <f>AND(#REF!,"AAAAAG/f3/0=")</f>
        <v>#REF!</v>
      </c>
      <c r="IU131" t="e">
        <f>AND(#REF!,"AAAAAG/f3/4=")</f>
        <v>#REF!</v>
      </c>
      <c r="IV131" t="e">
        <f>AND(#REF!,"AAAAAG/f3/8=")</f>
        <v>#REF!</v>
      </c>
    </row>
    <row r="132" spans="1:256" x14ac:dyDescent="0.2">
      <c r="A132" t="e">
        <f>AND(#REF!,"AAAAAD/l3wA=")</f>
        <v>#REF!</v>
      </c>
      <c r="B132" t="e">
        <f>AND(#REF!,"AAAAAD/l3wE=")</f>
        <v>#REF!</v>
      </c>
      <c r="C132" t="e">
        <f>AND(#REF!,"AAAAAD/l3wI=")</f>
        <v>#REF!</v>
      </c>
      <c r="D132" t="e">
        <f>AND(#REF!,"AAAAAD/l3wM=")</f>
        <v>#REF!</v>
      </c>
      <c r="E132" t="e">
        <f>AND(#REF!,"AAAAAD/l3wQ=")</f>
        <v>#REF!</v>
      </c>
      <c r="F132" t="e">
        <f>AND(#REF!,"AAAAAD/l3wU=")</f>
        <v>#REF!</v>
      </c>
      <c r="G132" t="e">
        <f>AND(#REF!,"AAAAAD/l3wY=")</f>
        <v>#REF!</v>
      </c>
      <c r="H132" t="e">
        <f>AND(#REF!,"AAAAAD/l3wc=")</f>
        <v>#REF!</v>
      </c>
      <c r="I132" t="e">
        <f>AND(#REF!,"AAAAAD/l3wg=")</f>
        <v>#REF!</v>
      </c>
      <c r="J132" t="e">
        <f>AND(#REF!,"AAAAAD/l3wk=")</f>
        <v>#REF!</v>
      </c>
      <c r="K132" t="e">
        <f>AND(#REF!,"AAAAAD/l3wo=")</f>
        <v>#REF!</v>
      </c>
      <c r="L132" t="e">
        <f>AND(#REF!,"AAAAAD/l3ws=")</f>
        <v>#REF!</v>
      </c>
      <c r="M132" t="e">
        <f>AND(#REF!,"AAAAAD/l3ww=")</f>
        <v>#REF!</v>
      </c>
      <c r="N132" t="e">
        <f>AND(#REF!,"AAAAAD/l3w0=")</f>
        <v>#REF!</v>
      </c>
      <c r="O132" t="e">
        <f>AND(#REF!,"AAAAAD/l3w4=")</f>
        <v>#REF!</v>
      </c>
      <c r="P132" t="e">
        <f>AND(#REF!,"AAAAAD/l3w8=")</f>
        <v>#REF!</v>
      </c>
      <c r="Q132" t="e">
        <f>AND(#REF!,"AAAAAD/l3xA=")</f>
        <v>#REF!</v>
      </c>
      <c r="R132" t="e">
        <f>IF(#REF!,"AAAAAD/l3xE=",0)</f>
        <v>#REF!</v>
      </c>
      <c r="S132" t="e">
        <f>AND(#REF!,"AAAAAD/l3xI=")</f>
        <v>#REF!</v>
      </c>
      <c r="T132" t="e">
        <f>AND(#REF!,"AAAAAD/l3xM=")</f>
        <v>#REF!</v>
      </c>
      <c r="U132" t="e">
        <f>AND(#REF!,"AAAAAD/l3xQ=")</f>
        <v>#REF!</v>
      </c>
      <c r="V132" t="e">
        <f>AND(#REF!,"AAAAAD/l3xU=")</f>
        <v>#REF!</v>
      </c>
      <c r="W132" t="e">
        <f>AND(#REF!,"AAAAAD/l3xY=")</f>
        <v>#REF!</v>
      </c>
      <c r="X132" t="e">
        <f>AND(#REF!,"AAAAAD/l3xc=")</f>
        <v>#REF!</v>
      </c>
      <c r="Y132" t="e">
        <f>AND(#REF!,"AAAAAD/l3xg=")</f>
        <v>#REF!</v>
      </c>
      <c r="Z132" t="e">
        <f>AND(#REF!,"AAAAAD/l3xk=")</f>
        <v>#REF!</v>
      </c>
      <c r="AA132" t="e">
        <f>AND(#REF!,"AAAAAD/l3xo=")</f>
        <v>#REF!</v>
      </c>
      <c r="AB132" t="e">
        <f>AND(#REF!,"AAAAAD/l3xs=")</f>
        <v>#REF!</v>
      </c>
      <c r="AC132" t="e">
        <f>AND(#REF!,"AAAAAD/l3xw=")</f>
        <v>#REF!</v>
      </c>
      <c r="AD132" t="e">
        <f>AND(#REF!,"AAAAAD/l3x0=")</f>
        <v>#REF!</v>
      </c>
      <c r="AE132" t="e">
        <f>AND(#REF!,"AAAAAD/l3x4=")</f>
        <v>#REF!</v>
      </c>
      <c r="AF132" t="e">
        <f>AND(#REF!,"AAAAAD/l3x8=")</f>
        <v>#REF!</v>
      </c>
      <c r="AG132" t="e">
        <f>AND(#REF!,"AAAAAD/l3yA=")</f>
        <v>#REF!</v>
      </c>
      <c r="AH132" t="e">
        <f>AND(#REF!,"AAAAAD/l3yE=")</f>
        <v>#REF!</v>
      </c>
      <c r="AI132" t="e">
        <f>AND(#REF!,"AAAAAD/l3yI=")</f>
        <v>#REF!</v>
      </c>
      <c r="AJ132" t="e">
        <f>AND(#REF!,"AAAAAD/l3yM=")</f>
        <v>#REF!</v>
      </c>
      <c r="AK132" t="e">
        <f>AND(#REF!,"AAAAAD/l3yQ=")</f>
        <v>#REF!</v>
      </c>
      <c r="AL132" t="e">
        <f>AND(#REF!,"AAAAAD/l3yU=")</f>
        <v>#REF!</v>
      </c>
      <c r="AM132" t="e">
        <f>AND(#REF!,"AAAAAD/l3yY=")</f>
        <v>#REF!</v>
      </c>
      <c r="AN132" t="e">
        <f>AND(#REF!,"AAAAAD/l3yc=")</f>
        <v>#REF!</v>
      </c>
      <c r="AO132" t="e">
        <f>IF(#REF!,"AAAAAD/l3yg=",0)</f>
        <v>#REF!</v>
      </c>
      <c r="AP132" t="e">
        <f>AND(#REF!,"AAAAAD/l3yk=")</f>
        <v>#REF!</v>
      </c>
      <c r="AQ132" t="e">
        <f>AND(#REF!,"AAAAAD/l3yo=")</f>
        <v>#REF!</v>
      </c>
      <c r="AR132" t="e">
        <f>AND(#REF!,"AAAAAD/l3ys=")</f>
        <v>#REF!</v>
      </c>
      <c r="AS132" t="e">
        <f>AND(#REF!,"AAAAAD/l3yw=")</f>
        <v>#REF!</v>
      </c>
      <c r="AT132" t="e">
        <f>AND(#REF!,"AAAAAD/l3y0=")</f>
        <v>#REF!</v>
      </c>
      <c r="AU132" t="e">
        <f>AND(#REF!,"AAAAAD/l3y4=")</f>
        <v>#REF!</v>
      </c>
      <c r="AV132" t="e">
        <f>AND(#REF!,"AAAAAD/l3y8=")</f>
        <v>#REF!</v>
      </c>
      <c r="AW132" t="e">
        <f>AND(#REF!,"AAAAAD/l3zA=")</f>
        <v>#REF!</v>
      </c>
      <c r="AX132" t="e">
        <f>AND(#REF!,"AAAAAD/l3zE=")</f>
        <v>#REF!</v>
      </c>
      <c r="AY132" t="e">
        <f>AND(#REF!,"AAAAAD/l3zI=")</f>
        <v>#REF!</v>
      </c>
      <c r="AZ132" t="e">
        <f>AND(#REF!,"AAAAAD/l3zM=")</f>
        <v>#REF!</v>
      </c>
      <c r="BA132" t="e">
        <f>AND(#REF!,"AAAAAD/l3zQ=")</f>
        <v>#REF!</v>
      </c>
      <c r="BB132" t="e">
        <f>AND(#REF!,"AAAAAD/l3zU=")</f>
        <v>#REF!</v>
      </c>
      <c r="BC132" t="e">
        <f>AND(#REF!,"AAAAAD/l3zY=")</f>
        <v>#REF!</v>
      </c>
      <c r="BD132" t="e">
        <f>AND(#REF!,"AAAAAD/l3zc=")</f>
        <v>#REF!</v>
      </c>
      <c r="BE132" t="e">
        <f>AND(#REF!,"AAAAAD/l3zg=")</f>
        <v>#REF!</v>
      </c>
      <c r="BF132" t="e">
        <f>AND(#REF!,"AAAAAD/l3zk=")</f>
        <v>#REF!</v>
      </c>
      <c r="BG132" t="e">
        <f>AND(#REF!,"AAAAAD/l3zo=")</f>
        <v>#REF!</v>
      </c>
      <c r="BH132" t="e">
        <f>AND(#REF!,"AAAAAD/l3zs=")</f>
        <v>#REF!</v>
      </c>
      <c r="BI132" t="e">
        <f>AND(#REF!,"AAAAAD/l3zw=")</f>
        <v>#REF!</v>
      </c>
      <c r="BJ132" t="e">
        <f>AND(#REF!,"AAAAAD/l3z0=")</f>
        <v>#REF!</v>
      </c>
      <c r="BK132" t="e">
        <f>AND(#REF!,"AAAAAD/l3z4=")</f>
        <v>#REF!</v>
      </c>
      <c r="BL132" t="e">
        <f>IF(#REF!,"AAAAAD/l3z8=",0)</f>
        <v>#REF!</v>
      </c>
      <c r="BM132" t="e">
        <f>AND(#REF!,"AAAAAD/l30A=")</f>
        <v>#REF!</v>
      </c>
      <c r="BN132" t="e">
        <f>AND(#REF!,"AAAAAD/l30E=")</f>
        <v>#REF!</v>
      </c>
      <c r="BO132" t="e">
        <f>AND(#REF!,"AAAAAD/l30I=")</f>
        <v>#REF!</v>
      </c>
      <c r="BP132" t="e">
        <f>AND(#REF!,"AAAAAD/l30M=")</f>
        <v>#REF!</v>
      </c>
      <c r="BQ132" t="e">
        <f>AND(#REF!,"AAAAAD/l30Q=")</f>
        <v>#REF!</v>
      </c>
      <c r="BR132" t="e">
        <f>AND(#REF!,"AAAAAD/l30U=")</f>
        <v>#REF!</v>
      </c>
      <c r="BS132" t="e">
        <f>AND(#REF!,"AAAAAD/l30Y=")</f>
        <v>#REF!</v>
      </c>
      <c r="BT132" t="e">
        <f>AND(#REF!,"AAAAAD/l30c=")</f>
        <v>#REF!</v>
      </c>
      <c r="BU132" t="e">
        <f>AND(#REF!,"AAAAAD/l30g=")</f>
        <v>#REF!</v>
      </c>
      <c r="BV132" t="e">
        <f>AND(#REF!,"AAAAAD/l30k=")</f>
        <v>#REF!</v>
      </c>
      <c r="BW132" t="e">
        <f>AND(#REF!,"AAAAAD/l30o=")</f>
        <v>#REF!</v>
      </c>
      <c r="BX132" t="e">
        <f>AND(#REF!,"AAAAAD/l30s=")</f>
        <v>#REF!</v>
      </c>
      <c r="BY132" t="e">
        <f>AND(#REF!,"AAAAAD/l30w=")</f>
        <v>#REF!</v>
      </c>
      <c r="BZ132" t="e">
        <f>AND(#REF!,"AAAAAD/l300=")</f>
        <v>#REF!</v>
      </c>
      <c r="CA132" t="e">
        <f>AND(#REF!,"AAAAAD/l304=")</f>
        <v>#REF!</v>
      </c>
      <c r="CB132" t="e">
        <f>AND(#REF!,"AAAAAD/l308=")</f>
        <v>#REF!</v>
      </c>
      <c r="CC132" t="e">
        <f>AND(#REF!,"AAAAAD/l31A=")</f>
        <v>#REF!</v>
      </c>
      <c r="CD132" t="e">
        <f>AND(#REF!,"AAAAAD/l31E=")</f>
        <v>#REF!</v>
      </c>
      <c r="CE132" t="e">
        <f>AND(#REF!,"AAAAAD/l31I=")</f>
        <v>#REF!</v>
      </c>
      <c r="CF132" t="e">
        <f>AND(#REF!,"AAAAAD/l31M=")</f>
        <v>#REF!</v>
      </c>
      <c r="CG132" t="e">
        <f>AND(#REF!,"AAAAAD/l31Q=")</f>
        <v>#REF!</v>
      </c>
      <c r="CH132" t="e">
        <f>AND(#REF!,"AAAAAD/l31U=")</f>
        <v>#REF!</v>
      </c>
      <c r="CI132" t="e">
        <f>IF(#REF!,"AAAAAD/l31Y=",0)</f>
        <v>#REF!</v>
      </c>
      <c r="CJ132" t="e">
        <f>AND(#REF!,"AAAAAD/l31c=")</f>
        <v>#REF!</v>
      </c>
      <c r="CK132" t="e">
        <f>AND(#REF!,"AAAAAD/l31g=")</f>
        <v>#REF!</v>
      </c>
      <c r="CL132" t="e">
        <f>AND(#REF!,"AAAAAD/l31k=")</f>
        <v>#REF!</v>
      </c>
      <c r="CM132" t="e">
        <f>AND(#REF!,"AAAAAD/l31o=")</f>
        <v>#REF!</v>
      </c>
      <c r="CN132" t="e">
        <f>AND(#REF!,"AAAAAD/l31s=")</f>
        <v>#REF!</v>
      </c>
      <c r="CO132" t="e">
        <f>AND(#REF!,"AAAAAD/l31w=")</f>
        <v>#REF!</v>
      </c>
      <c r="CP132" t="e">
        <f>AND(#REF!,"AAAAAD/l310=")</f>
        <v>#REF!</v>
      </c>
      <c r="CQ132" t="e">
        <f>AND(#REF!,"AAAAAD/l314=")</f>
        <v>#REF!</v>
      </c>
      <c r="CR132" t="e">
        <f>AND(#REF!,"AAAAAD/l318=")</f>
        <v>#REF!</v>
      </c>
      <c r="CS132" t="e">
        <f>AND(#REF!,"AAAAAD/l32A=")</f>
        <v>#REF!</v>
      </c>
      <c r="CT132" t="e">
        <f>AND(#REF!,"AAAAAD/l32E=")</f>
        <v>#REF!</v>
      </c>
      <c r="CU132" t="e">
        <f>AND(#REF!,"AAAAAD/l32I=")</f>
        <v>#REF!</v>
      </c>
      <c r="CV132" t="e">
        <f>AND(#REF!,"AAAAAD/l32M=")</f>
        <v>#REF!</v>
      </c>
      <c r="CW132" t="e">
        <f>AND(#REF!,"AAAAAD/l32Q=")</f>
        <v>#REF!</v>
      </c>
      <c r="CX132" t="e">
        <f>AND(#REF!,"AAAAAD/l32U=")</f>
        <v>#REF!</v>
      </c>
      <c r="CY132" t="e">
        <f>AND(#REF!,"AAAAAD/l32Y=")</f>
        <v>#REF!</v>
      </c>
      <c r="CZ132" t="e">
        <f>AND(#REF!,"AAAAAD/l32c=")</f>
        <v>#REF!</v>
      </c>
      <c r="DA132" t="e">
        <f>AND(#REF!,"AAAAAD/l32g=")</f>
        <v>#REF!</v>
      </c>
      <c r="DB132" t="e">
        <f>AND(#REF!,"AAAAAD/l32k=")</f>
        <v>#REF!</v>
      </c>
      <c r="DC132" t="e">
        <f>AND(#REF!,"AAAAAD/l32o=")</f>
        <v>#REF!</v>
      </c>
      <c r="DD132" t="e">
        <f>AND(#REF!,"AAAAAD/l32s=")</f>
        <v>#REF!</v>
      </c>
      <c r="DE132" t="e">
        <f>AND(#REF!,"AAAAAD/l32w=")</f>
        <v>#REF!</v>
      </c>
      <c r="DF132" t="e">
        <f>IF(#REF!,"AAAAAD/l320=",0)</f>
        <v>#REF!</v>
      </c>
      <c r="DG132" t="e">
        <f>AND(#REF!,"AAAAAD/l324=")</f>
        <v>#REF!</v>
      </c>
      <c r="DH132" t="e">
        <f>AND(#REF!,"AAAAAD/l328=")</f>
        <v>#REF!</v>
      </c>
      <c r="DI132" t="e">
        <f>AND(#REF!,"AAAAAD/l33A=")</f>
        <v>#REF!</v>
      </c>
      <c r="DJ132" t="e">
        <f>AND(#REF!,"AAAAAD/l33E=")</f>
        <v>#REF!</v>
      </c>
      <c r="DK132" t="e">
        <f>AND(#REF!,"AAAAAD/l33I=")</f>
        <v>#REF!</v>
      </c>
      <c r="DL132" t="e">
        <f>AND(#REF!,"AAAAAD/l33M=")</f>
        <v>#REF!</v>
      </c>
      <c r="DM132" t="e">
        <f>AND(#REF!,"AAAAAD/l33Q=")</f>
        <v>#REF!</v>
      </c>
      <c r="DN132" t="e">
        <f>AND(#REF!,"AAAAAD/l33U=")</f>
        <v>#REF!</v>
      </c>
      <c r="DO132" t="e">
        <f>AND(#REF!,"AAAAAD/l33Y=")</f>
        <v>#REF!</v>
      </c>
      <c r="DP132" t="e">
        <f>AND(#REF!,"AAAAAD/l33c=")</f>
        <v>#REF!</v>
      </c>
      <c r="DQ132" t="e">
        <f>AND(#REF!,"AAAAAD/l33g=")</f>
        <v>#REF!</v>
      </c>
      <c r="DR132" t="e">
        <f>AND(#REF!,"AAAAAD/l33k=")</f>
        <v>#REF!</v>
      </c>
      <c r="DS132" t="e">
        <f>AND(#REF!,"AAAAAD/l33o=")</f>
        <v>#REF!</v>
      </c>
      <c r="DT132" t="e">
        <f>AND(#REF!,"AAAAAD/l33s=")</f>
        <v>#REF!</v>
      </c>
      <c r="DU132" t="e">
        <f>AND(#REF!,"AAAAAD/l33w=")</f>
        <v>#REF!</v>
      </c>
      <c r="DV132" t="e">
        <f>AND(#REF!,"AAAAAD/l330=")</f>
        <v>#REF!</v>
      </c>
      <c r="DW132" t="e">
        <f>AND(#REF!,"AAAAAD/l334=")</f>
        <v>#REF!</v>
      </c>
      <c r="DX132" t="e">
        <f>AND(#REF!,"AAAAAD/l338=")</f>
        <v>#REF!</v>
      </c>
      <c r="DY132" t="e">
        <f>AND(#REF!,"AAAAAD/l34A=")</f>
        <v>#REF!</v>
      </c>
      <c r="DZ132" t="e">
        <f>AND(#REF!,"AAAAAD/l34E=")</f>
        <v>#REF!</v>
      </c>
      <c r="EA132" t="e">
        <f>AND(#REF!,"AAAAAD/l34I=")</f>
        <v>#REF!</v>
      </c>
      <c r="EB132" t="e">
        <f>AND(#REF!,"AAAAAD/l34M=")</f>
        <v>#REF!</v>
      </c>
      <c r="EC132" t="e">
        <f>IF(#REF!,"AAAAAD/l34Q=",0)</f>
        <v>#REF!</v>
      </c>
      <c r="ED132" t="e">
        <f>AND(#REF!,"AAAAAD/l34U=")</f>
        <v>#REF!</v>
      </c>
      <c r="EE132" t="e">
        <f>AND(#REF!,"AAAAAD/l34Y=")</f>
        <v>#REF!</v>
      </c>
      <c r="EF132" t="e">
        <f>AND(#REF!,"AAAAAD/l34c=")</f>
        <v>#REF!</v>
      </c>
      <c r="EG132" t="e">
        <f>AND(#REF!,"AAAAAD/l34g=")</f>
        <v>#REF!</v>
      </c>
      <c r="EH132" t="e">
        <f>AND(#REF!,"AAAAAD/l34k=")</f>
        <v>#REF!</v>
      </c>
      <c r="EI132" t="e">
        <f>AND(#REF!,"AAAAAD/l34o=")</f>
        <v>#REF!</v>
      </c>
      <c r="EJ132" t="e">
        <f>AND(#REF!,"AAAAAD/l34s=")</f>
        <v>#REF!</v>
      </c>
      <c r="EK132" t="e">
        <f>AND(#REF!,"AAAAAD/l34w=")</f>
        <v>#REF!</v>
      </c>
      <c r="EL132" t="e">
        <f>AND(#REF!,"AAAAAD/l340=")</f>
        <v>#REF!</v>
      </c>
      <c r="EM132" t="e">
        <f>AND(#REF!,"AAAAAD/l344=")</f>
        <v>#REF!</v>
      </c>
      <c r="EN132" t="e">
        <f>AND(#REF!,"AAAAAD/l348=")</f>
        <v>#REF!</v>
      </c>
      <c r="EO132" t="e">
        <f>AND(#REF!,"AAAAAD/l35A=")</f>
        <v>#REF!</v>
      </c>
      <c r="EP132" t="e">
        <f>AND(#REF!,"AAAAAD/l35E=")</f>
        <v>#REF!</v>
      </c>
      <c r="EQ132" t="e">
        <f>AND(#REF!,"AAAAAD/l35I=")</f>
        <v>#REF!</v>
      </c>
      <c r="ER132" t="e">
        <f>AND(#REF!,"AAAAAD/l35M=")</f>
        <v>#REF!</v>
      </c>
      <c r="ES132" t="e">
        <f>AND(#REF!,"AAAAAD/l35Q=")</f>
        <v>#REF!</v>
      </c>
      <c r="ET132" t="e">
        <f>AND(#REF!,"AAAAAD/l35U=")</f>
        <v>#REF!</v>
      </c>
      <c r="EU132" t="e">
        <f>AND(#REF!,"AAAAAD/l35Y=")</f>
        <v>#REF!</v>
      </c>
      <c r="EV132" t="e">
        <f>AND(#REF!,"AAAAAD/l35c=")</f>
        <v>#REF!</v>
      </c>
      <c r="EW132" t="e">
        <f>AND(#REF!,"AAAAAD/l35g=")</f>
        <v>#REF!</v>
      </c>
      <c r="EX132" t="e">
        <f>AND(#REF!,"AAAAAD/l35k=")</f>
        <v>#REF!</v>
      </c>
      <c r="EY132" t="e">
        <f>AND(#REF!,"AAAAAD/l35o=")</f>
        <v>#REF!</v>
      </c>
      <c r="EZ132" t="e">
        <f>IF(#REF!,"AAAAAD/l35s=",0)</f>
        <v>#REF!</v>
      </c>
      <c r="FA132" t="e">
        <f>AND(#REF!,"AAAAAD/l35w=")</f>
        <v>#REF!</v>
      </c>
      <c r="FB132" t="e">
        <f>AND(#REF!,"AAAAAD/l350=")</f>
        <v>#REF!</v>
      </c>
      <c r="FC132" t="e">
        <f>AND(#REF!,"AAAAAD/l354=")</f>
        <v>#REF!</v>
      </c>
      <c r="FD132" t="e">
        <f>AND(#REF!,"AAAAAD/l358=")</f>
        <v>#REF!</v>
      </c>
      <c r="FE132" t="e">
        <f>AND(#REF!,"AAAAAD/l36A=")</f>
        <v>#REF!</v>
      </c>
      <c r="FF132" t="e">
        <f>AND(#REF!,"AAAAAD/l36E=")</f>
        <v>#REF!</v>
      </c>
      <c r="FG132" t="e">
        <f>AND(#REF!,"AAAAAD/l36I=")</f>
        <v>#REF!</v>
      </c>
      <c r="FH132" t="e">
        <f>AND(#REF!,"AAAAAD/l36M=")</f>
        <v>#REF!</v>
      </c>
      <c r="FI132" t="e">
        <f>AND(#REF!,"AAAAAD/l36Q=")</f>
        <v>#REF!</v>
      </c>
      <c r="FJ132" t="e">
        <f>AND(#REF!,"AAAAAD/l36U=")</f>
        <v>#REF!</v>
      </c>
      <c r="FK132" t="e">
        <f>AND(#REF!,"AAAAAD/l36Y=")</f>
        <v>#REF!</v>
      </c>
      <c r="FL132" t="e">
        <f>AND(#REF!,"AAAAAD/l36c=")</f>
        <v>#REF!</v>
      </c>
      <c r="FM132" t="e">
        <f>AND(#REF!,"AAAAAD/l36g=")</f>
        <v>#REF!</v>
      </c>
      <c r="FN132" t="e">
        <f>AND(#REF!,"AAAAAD/l36k=")</f>
        <v>#REF!</v>
      </c>
      <c r="FO132" t="e">
        <f>AND(#REF!,"AAAAAD/l36o=")</f>
        <v>#REF!</v>
      </c>
      <c r="FP132" t="e">
        <f>AND(#REF!,"AAAAAD/l36s=")</f>
        <v>#REF!</v>
      </c>
      <c r="FQ132" t="e">
        <f>AND(#REF!,"AAAAAD/l36w=")</f>
        <v>#REF!</v>
      </c>
      <c r="FR132" t="e">
        <f>AND(#REF!,"AAAAAD/l360=")</f>
        <v>#REF!</v>
      </c>
      <c r="FS132" t="e">
        <f>AND(#REF!,"AAAAAD/l364=")</f>
        <v>#REF!</v>
      </c>
      <c r="FT132" t="e">
        <f>AND(#REF!,"AAAAAD/l368=")</f>
        <v>#REF!</v>
      </c>
      <c r="FU132" t="e">
        <f>AND(#REF!,"AAAAAD/l37A=")</f>
        <v>#REF!</v>
      </c>
      <c r="FV132" t="e">
        <f>AND(#REF!,"AAAAAD/l37E=")</f>
        <v>#REF!</v>
      </c>
      <c r="FW132" t="e">
        <f>IF(#REF!,"AAAAAD/l37I=",0)</f>
        <v>#REF!</v>
      </c>
      <c r="FX132" t="e">
        <f>AND(#REF!,"AAAAAD/l37M=")</f>
        <v>#REF!</v>
      </c>
      <c r="FY132" t="e">
        <f>AND(#REF!,"AAAAAD/l37Q=")</f>
        <v>#REF!</v>
      </c>
      <c r="FZ132" t="e">
        <f>AND(#REF!,"AAAAAD/l37U=")</f>
        <v>#REF!</v>
      </c>
      <c r="GA132" t="e">
        <f>AND(#REF!,"AAAAAD/l37Y=")</f>
        <v>#REF!</v>
      </c>
      <c r="GB132" t="e">
        <f>AND(#REF!,"AAAAAD/l37c=")</f>
        <v>#REF!</v>
      </c>
      <c r="GC132" t="e">
        <f>AND(#REF!,"AAAAAD/l37g=")</f>
        <v>#REF!</v>
      </c>
      <c r="GD132" t="e">
        <f>AND(#REF!,"AAAAAD/l37k=")</f>
        <v>#REF!</v>
      </c>
      <c r="GE132" t="e">
        <f>AND(#REF!,"AAAAAD/l37o=")</f>
        <v>#REF!</v>
      </c>
      <c r="GF132" t="e">
        <f>AND(#REF!,"AAAAAD/l37s=")</f>
        <v>#REF!</v>
      </c>
      <c r="GG132" t="e">
        <f>AND(#REF!,"AAAAAD/l37w=")</f>
        <v>#REF!</v>
      </c>
      <c r="GH132" t="e">
        <f>AND(#REF!,"AAAAAD/l370=")</f>
        <v>#REF!</v>
      </c>
      <c r="GI132" t="e">
        <f>AND(#REF!,"AAAAAD/l374=")</f>
        <v>#REF!</v>
      </c>
      <c r="GJ132" t="e">
        <f>AND(#REF!,"AAAAAD/l378=")</f>
        <v>#REF!</v>
      </c>
      <c r="GK132" t="e">
        <f>AND(#REF!,"AAAAAD/l38A=")</f>
        <v>#REF!</v>
      </c>
      <c r="GL132" t="e">
        <f>AND(#REF!,"AAAAAD/l38E=")</f>
        <v>#REF!</v>
      </c>
      <c r="GM132" t="e">
        <f>AND(#REF!,"AAAAAD/l38I=")</f>
        <v>#REF!</v>
      </c>
      <c r="GN132" t="e">
        <f>AND(#REF!,"AAAAAD/l38M=")</f>
        <v>#REF!</v>
      </c>
      <c r="GO132" t="e">
        <f>AND(#REF!,"AAAAAD/l38Q=")</f>
        <v>#REF!</v>
      </c>
      <c r="GP132" t="e">
        <f>AND(#REF!,"AAAAAD/l38U=")</f>
        <v>#REF!</v>
      </c>
      <c r="GQ132" t="e">
        <f>AND(#REF!,"AAAAAD/l38Y=")</f>
        <v>#REF!</v>
      </c>
      <c r="GR132" t="e">
        <f>AND(#REF!,"AAAAAD/l38c=")</f>
        <v>#REF!</v>
      </c>
      <c r="GS132" t="e">
        <f>AND(#REF!,"AAAAAD/l38g=")</f>
        <v>#REF!</v>
      </c>
      <c r="GT132" t="e">
        <f>IF(#REF!,"AAAAAD/l38k=",0)</f>
        <v>#REF!</v>
      </c>
      <c r="GU132" t="e">
        <f>AND(#REF!,"AAAAAD/l38o=")</f>
        <v>#REF!</v>
      </c>
      <c r="GV132" t="e">
        <f>AND(#REF!,"AAAAAD/l38s=")</f>
        <v>#REF!</v>
      </c>
      <c r="GW132" t="e">
        <f>AND(#REF!,"AAAAAD/l38w=")</f>
        <v>#REF!</v>
      </c>
      <c r="GX132" t="e">
        <f>AND(#REF!,"AAAAAD/l380=")</f>
        <v>#REF!</v>
      </c>
      <c r="GY132" t="e">
        <f>AND(#REF!,"AAAAAD/l384=")</f>
        <v>#REF!</v>
      </c>
      <c r="GZ132" t="e">
        <f>AND(#REF!,"AAAAAD/l388=")</f>
        <v>#REF!</v>
      </c>
      <c r="HA132" t="e">
        <f>AND(#REF!,"AAAAAD/l39A=")</f>
        <v>#REF!</v>
      </c>
      <c r="HB132" t="e">
        <f>AND(#REF!,"AAAAAD/l39E=")</f>
        <v>#REF!</v>
      </c>
      <c r="HC132" t="e">
        <f>AND(#REF!,"AAAAAD/l39I=")</f>
        <v>#REF!</v>
      </c>
      <c r="HD132" t="e">
        <f>AND(#REF!,"AAAAAD/l39M=")</f>
        <v>#REF!</v>
      </c>
      <c r="HE132" t="e">
        <f>AND(#REF!,"AAAAAD/l39Q=")</f>
        <v>#REF!</v>
      </c>
      <c r="HF132" t="e">
        <f>AND(#REF!,"AAAAAD/l39U=")</f>
        <v>#REF!</v>
      </c>
      <c r="HG132" t="e">
        <f>AND(#REF!,"AAAAAD/l39Y=")</f>
        <v>#REF!</v>
      </c>
      <c r="HH132" t="e">
        <f>AND(#REF!,"AAAAAD/l39c=")</f>
        <v>#REF!</v>
      </c>
      <c r="HI132" t="e">
        <f>AND(#REF!,"AAAAAD/l39g=")</f>
        <v>#REF!</v>
      </c>
      <c r="HJ132" t="e">
        <f>AND(#REF!,"AAAAAD/l39k=")</f>
        <v>#REF!</v>
      </c>
      <c r="HK132" t="e">
        <f>AND(#REF!,"AAAAAD/l39o=")</f>
        <v>#REF!</v>
      </c>
      <c r="HL132" t="e">
        <f>AND(#REF!,"AAAAAD/l39s=")</f>
        <v>#REF!</v>
      </c>
      <c r="HM132" t="e">
        <f>AND(#REF!,"AAAAAD/l39w=")</f>
        <v>#REF!</v>
      </c>
      <c r="HN132" t="e">
        <f>AND(#REF!,"AAAAAD/l390=")</f>
        <v>#REF!</v>
      </c>
      <c r="HO132" t="e">
        <f>AND(#REF!,"AAAAAD/l394=")</f>
        <v>#REF!</v>
      </c>
      <c r="HP132" t="e">
        <f>AND(#REF!,"AAAAAD/l398=")</f>
        <v>#REF!</v>
      </c>
      <c r="HQ132" t="e">
        <f>IF(#REF!,"AAAAAD/l3+A=",0)</f>
        <v>#REF!</v>
      </c>
      <c r="HR132" t="e">
        <f>AND(#REF!,"AAAAAD/l3+E=")</f>
        <v>#REF!</v>
      </c>
      <c r="HS132" t="e">
        <f>AND(#REF!,"AAAAAD/l3+I=")</f>
        <v>#REF!</v>
      </c>
      <c r="HT132" t="e">
        <f>AND(#REF!,"AAAAAD/l3+M=")</f>
        <v>#REF!</v>
      </c>
      <c r="HU132" t="e">
        <f>AND(#REF!,"AAAAAD/l3+Q=")</f>
        <v>#REF!</v>
      </c>
      <c r="HV132" t="e">
        <f>AND(#REF!,"AAAAAD/l3+U=")</f>
        <v>#REF!</v>
      </c>
      <c r="HW132" t="e">
        <f>AND(#REF!,"AAAAAD/l3+Y=")</f>
        <v>#REF!</v>
      </c>
      <c r="HX132" t="e">
        <f>AND(#REF!,"AAAAAD/l3+c=")</f>
        <v>#REF!</v>
      </c>
      <c r="HY132" t="e">
        <f>AND(#REF!,"AAAAAD/l3+g=")</f>
        <v>#REF!</v>
      </c>
      <c r="HZ132" t="e">
        <f>AND(#REF!,"AAAAAD/l3+k=")</f>
        <v>#REF!</v>
      </c>
      <c r="IA132" t="e">
        <f>AND(#REF!,"AAAAAD/l3+o=")</f>
        <v>#REF!</v>
      </c>
      <c r="IB132" t="e">
        <f>AND(#REF!,"AAAAAD/l3+s=")</f>
        <v>#REF!</v>
      </c>
      <c r="IC132" t="e">
        <f>AND(#REF!,"AAAAAD/l3+w=")</f>
        <v>#REF!</v>
      </c>
      <c r="ID132" t="e">
        <f>AND(#REF!,"AAAAAD/l3+0=")</f>
        <v>#REF!</v>
      </c>
      <c r="IE132" t="e">
        <f>AND(#REF!,"AAAAAD/l3+4=")</f>
        <v>#REF!</v>
      </c>
      <c r="IF132" t="e">
        <f>AND(#REF!,"AAAAAD/l3+8=")</f>
        <v>#REF!</v>
      </c>
      <c r="IG132" t="e">
        <f>AND(#REF!,"AAAAAD/l3/A=")</f>
        <v>#REF!</v>
      </c>
      <c r="IH132" t="e">
        <f>AND(#REF!,"AAAAAD/l3/E=")</f>
        <v>#REF!</v>
      </c>
      <c r="II132" t="e">
        <f>AND(#REF!,"AAAAAD/l3/I=")</f>
        <v>#REF!</v>
      </c>
      <c r="IJ132" t="e">
        <f>AND(#REF!,"AAAAAD/l3/M=")</f>
        <v>#REF!</v>
      </c>
      <c r="IK132" t="e">
        <f>AND(#REF!,"AAAAAD/l3/Q=")</f>
        <v>#REF!</v>
      </c>
      <c r="IL132" t="e">
        <f>AND(#REF!,"AAAAAD/l3/U=")</f>
        <v>#REF!</v>
      </c>
      <c r="IM132" t="e">
        <f>AND(#REF!,"AAAAAD/l3/Y=")</f>
        <v>#REF!</v>
      </c>
      <c r="IN132" t="e">
        <f>IF(#REF!,"AAAAAD/l3/c=",0)</f>
        <v>#REF!</v>
      </c>
      <c r="IO132" t="e">
        <f>AND(#REF!,"AAAAAD/l3/g=")</f>
        <v>#REF!</v>
      </c>
      <c r="IP132" t="e">
        <f>AND(#REF!,"AAAAAD/l3/k=")</f>
        <v>#REF!</v>
      </c>
      <c r="IQ132" t="e">
        <f>AND(#REF!,"AAAAAD/l3/o=")</f>
        <v>#REF!</v>
      </c>
      <c r="IR132" t="e">
        <f>AND(#REF!,"AAAAAD/l3/s=")</f>
        <v>#REF!</v>
      </c>
      <c r="IS132" t="e">
        <f>AND(#REF!,"AAAAAD/l3/w=")</f>
        <v>#REF!</v>
      </c>
      <c r="IT132" t="e">
        <f>AND(#REF!,"AAAAAD/l3/0=")</f>
        <v>#REF!</v>
      </c>
      <c r="IU132" t="e">
        <f>AND(#REF!,"AAAAAD/l3/4=")</f>
        <v>#REF!</v>
      </c>
      <c r="IV132" t="e">
        <f>AND(#REF!,"AAAAAD/l3/8=")</f>
        <v>#REF!</v>
      </c>
    </row>
    <row r="133" spans="1:256" x14ac:dyDescent="0.2">
      <c r="A133" t="e">
        <f>AND(#REF!,"AAAAAG+mvwA=")</f>
        <v>#REF!</v>
      </c>
      <c r="B133" t="e">
        <f>AND(#REF!,"AAAAAG+mvwE=")</f>
        <v>#REF!</v>
      </c>
      <c r="C133" t="e">
        <f>AND(#REF!,"AAAAAG+mvwI=")</f>
        <v>#REF!</v>
      </c>
      <c r="D133" t="e">
        <f>AND(#REF!,"AAAAAG+mvwM=")</f>
        <v>#REF!</v>
      </c>
      <c r="E133" t="e">
        <f>AND(#REF!,"AAAAAG+mvwQ=")</f>
        <v>#REF!</v>
      </c>
      <c r="F133" t="e">
        <f>AND(#REF!,"AAAAAG+mvwU=")</f>
        <v>#REF!</v>
      </c>
      <c r="G133" t="e">
        <f>AND(#REF!,"AAAAAG+mvwY=")</f>
        <v>#REF!</v>
      </c>
      <c r="H133" t="e">
        <f>AND(#REF!,"AAAAAG+mvwc=")</f>
        <v>#REF!</v>
      </c>
      <c r="I133" t="e">
        <f>AND(#REF!,"AAAAAG+mvwg=")</f>
        <v>#REF!</v>
      </c>
      <c r="J133" t="e">
        <f>AND(#REF!,"AAAAAG+mvwk=")</f>
        <v>#REF!</v>
      </c>
      <c r="K133" t="e">
        <f>AND(#REF!,"AAAAAG+mvwo=")</f>
        <v>#REF!</v>
      </c>
      <c r="L133" t="e">
        <f>AND(#REF!,"AAAAAG+mvws=")</f>
        <v>#REF!</v>
      </c>
      <c r="M133" t="e">
        <f>AND(#REF!,"AAAAAG+mvww=")</f>
        <v>#REF!</v>
      </c>
      <c r="N133" t="e">
        <f>AND(#REF!,"AAAAAG+mvw0=")</f>
        <v>#REF!</v>
      </c>
      <c r="O133" t="e">
        <f>IF(#REF!,"AAAAAG+mvw4=",0)</f>
        <v>#REF!</v>
      </c>
      <c r="P133" t="e">
        <f>AND(#REF!,"AAAAAG+mvw8=")</f>
        <v>#REF!</v>
      </c>
      <c r="Q133" t="e">
        <f>AND(#REF!,"AAAAAG+mvxA=")</f>
        <v>#REF!</v>
      </c>
      <c r="R133" t="e">
        <f>AND(#REF!,"AAAAAG+mvxE=")</f>
        <v>#REF!</v>
      </c>
      <c r="S133" t="e">
        <f>AND(#REF!,"AAAAAG+mvxI=")</f>
        <v>#REF!</v>
      </c>
      <c r="T133" t="e">
        <f>AND(#REF!,"AAAAAG+mvxM=")</f>
        <v>#REF!</v>
      </c>
      <c r="U133" t="e">
        <f>AND(#REF!,"AAAAAG+mvxQ=")</f>
        <v>#REF!</v>
      </c>
      <c r="V133" t="e">
        <f>AND(#REF!,"AAAAAG+mvxU=")</f>
        <v>#REF!</v>
      </c>
      <c r="W133" t="e">
        <f>AND(#REF!,"AAAAAG+mvxY=")</f>
        <v>#REF!</v>
      </c>
      <c r="X133" t="e">
        <f>AND(#REF!,"AAAAAG+mvxc=")</f>
        <v>#REF!</v>
      </c>
      <c r="Y133" t="e">
        <f>AND(#REF!,"AAAAAG+mvxg=")</f>
        <v>#REF!</v>
      </c>
      <c r="Z133" t="e">
        <f>AND(#REF!,"AAAAAG+mvxk=")</f>
        <v>#REF!</v>
      </c>
      <c r="AA133" t="e">
        <f>AND(#REF!,"AAAAAG+mvxo=")</f>
        <v>#REF!</v>
      </c>
      <c r="AB133" t="e">
        <f>AND(#REF!,"AAAAAG+mvxs=")</f>
        <v>#REF!</v>
      </c>
      <c r="AC133" t="e">
        <f>AND(#REF!,"AAAAAG+mvxw=")</f>
        <v>#REF!</v>
      </c>
      <c r="AD133" t="e">
        <f>AND(#REF!,"AAAAAG+mvx0=")</f>
        <v>#REF!</v>
      </c>
      <c r="AE133" t="e">
        <f>AND(#REF!,"AAAAAG+mvx4=")</f>
        <v>#REF!</v>
      </c>
      <c r="AF133" t="e">
        <f>AND(#REF!,"AAAAAG+mvx8=")</f>
        <v>#REF!</v>
      </c>
      <c r="AG133" t="e">
        <f>AND(#REF!,"AAAAAG+mvyA=")</f>
        <v>#REF!</v>
      </c>
      <c r="AH133" t="e">
        <f>AND(#REF!,"AAAAAG+mvyE=")</f>
        <v>#REF!</v>
      </c>
      <c r="AI133" t="e">
        <f>AND(#REF!,"AAAAAG+mvyI=")</f>
        <v>#REF!</v>
      </c>
      <c r="AJ133" t="e">
        <f>AND(#REF!,"AAAAAG+mvyM=")</f>
        <v>#REF!</v>
      </c>
      <c r="AK133" t="e">
        <f>AND(#REF!,"AAAAAG+mvyQ=")</f>
        <v>#REF!</v>
      </c>
      <c r="AL133" t="e">
        <f>IF(#REF!,"AAAAAG+mvyU=",0)</f>
        <v>#REF!</v>
      </c>
      <c r="AM133" t="e">
        <f>AND(#REF!,"AAAAAG+mvyY=")</f>
        <v>#REF!</v>
      </c>
      <c r="AN133" t="e">
        <f>AND(#REF!,"AAAAAG+mvyc=")</f>
        <v>#REF!</v>
      </c>
      <c r="AO133" t="e">
        <f>AND(#REF!,"AAAAAG+mvyg=")</f>
        <v>#REF!</v>
      </c>
      <c r="AP133" t="e">
        <f>AND(#REF!,"AAAAAG+mvyk=")</f>
        <v>#REF!</v>
      </c>
      <c r="AQ133" t="e">
        <f>AND(#REF!,"AAAAAG+mvyo=")</f>
        <v>#REF!</v>
      </c>
      <c r="AR133" t="e">
        <f>AND(#REF!,"AAAAAG+mvys=")</f>
        <v>#REF!</v>
      </c>
      <c r="AS133" t="e">
        <f>AND(#REF!,"AAAAAG+mvyw=")</f>
        <v>#REF!</v>
      </c>
      <c r="AT133" t="e">
        <f>AND(#REF!,"AAAAAG+mvy0=")</f>
        <v>#REF!</v>
      </c>
      <c r="AU133" t="e">
        <f>AND(#REF!,"AAAAAG+mvy4=")</f>
        <v>#REF!</v>
      </c>
      <c r="AV133" t="e">
        <f>AND(#REF!,"AAAAAG+mvy8=")</f>
        <v>#REF!</v>
      </c>
      <c r="AW133" t="e">
        <f>AND(#REF!,"AAAAAG+mvzA=")</f>
        <v>#REF!</v>
      </c>
      <c r="AX133" t="e">
        <f>AND(#REF!,"AAAAAG+mvzE=")</f>
        <v>#REF!</v>
      </c>
      <c r="AY133" t="e">
        <f>AND(#REF!,"AAAAAG+mvzI=")</f>
        <v>#REF!</v>
      </c>
      <c r="AZ133" t="e">
        <f>AND(#REF!,"AAAAAG+mvzM=")</f>
        <v>#REF!</v>
      </c>
      <c r="BA133" t="e">
        <f>AND(#REF!,"AAAAAG+mvzQ=")</f>
        <v>#REF!</v>
      </c>
      <c r="BB133" t="e">
        <f>AND(#REF!,"AAAAAG+mvzU=")</f>
        <v>#REF!</v>
      </c>
      <c r="BC133" t="e">
        <f>AND(#REF!,"AAAAAG+mvzY=")</f>
        <v>#REF!</v>
      </c>
      <c r="BD133" t="e">
        <f>AND(#REF!,"AAAAAG+mvzc=")</f>
        <v>#REF!</v>
      </c>
      <c r="BE133" t="e">
        <f>AND(#REF!,"AAAAAG+mvzg=")</f>
        <v>#REF!</v>
      </c>
      <c r="BF133" t="e">
        <f>AND(#REF!,"AAAAAG+mvzk=")</f>
        <v>#REF!</v>
      </c>
      <c r="BG133" t="e">
        <f>AND(#REF!,"AAAAAG+mvzo=")</f>
        <v>#REF!</v>
      </c>
      <c r="BH133" t="e">
        <f>AND(#REF!,"AAAAAG+mvzs=")</f>
        <v>#REF!</v>
      </c>
      <c r="BI133" t="e">
        <f>IF(#REF!,"AAAAAG+mvzw=",0)</f>
        <v>#REF!</v>
      </c>
      <c r="BJ133" t="e">
        <f>AND(#REF!,"AAAAAG+mvz0=")</f>
        <v>#REF!</v>
      </c>
      <c r="BK133" t="e">
        <f>AND(#REF!,"AAAAAG+mvz4=")</f>
        <v>#REF!</v>
      </c>
      <c r="BL133" t="e">
        <f>AND(#REF!,"AAAAAG+mvz8=")</f>
        <v>#REF!</v>
      </c>
      <c r="BM133" t="e">
        <f>AND(#REF!,"AAAAAG+mv0A=")</f>
        <v>#REF!</v>
      </c>
      <c r="BN133" t="e">
        <f>AND(#REF!,"AAAAAG+mv0E=")</f>
        <v>#REF!</v>
      </c>
      <c r="BO133" t="e">
        <f>AND(#REF!,"AAAAAG+mv0I=")</f>
        <v>#REF!</v>
      </c>
      <c r="BP133" t="e">
        <f>AND(#REF!,"AAAAAG+mv0M=")</f>
        <v>#REF!</v>
      </c>
      <c r="BQ133" t="e">
        <f>AND(#REF!,"AAAAAG+mv0Q=")</f>
        <v>#REF!</v>
      </c>
      <c r="BR133" t="e">
        <f>AND(#REF!,"AAAAAG+mv0U=")</f>
        <v>#REF!</v>
      </c>
      <c r="BS133" t="e">
        <f>AND(#REF!,"AAAAAG+mv0Y=")</f>
        <v>#REF!</v>
      </c>
      <c r="BT133" t="e">
        <f>AND(#REF!,"AAAAAG+mv0c=")</f>
        <v>#REF!</v>
      </c>
      <c r="BU133" t="e">
        <f>AND(#REF!,"AAAAAG+mv0g=")</f>
        <v>#REF!</v>
      </c>
      <c r="BV133" t="e">
        <f>AND(#REF!,"AAAAAG+mv0k=")</f>
        <v>#REF!</v>
      </c>
      <c r="BW133" t="e">
        <f>AND(#REF!,"AAAAAG+mv0o=")</f>
        <v>#REF!</v>
      </c>
      <c r="BX133" t="e">
        <f>AND(#REF!,"AAAAAG+mv0s=")</f>
        <v>#REF!</v>
      </c>
      <c r="BY133" t="e">
        <f>AND(#REF!,"AAAAAG+mv0w=")</f>
        <v>#REF!</v>
      </c>
      <c r="BZ133" t="e">
        <f>AND(#REF!,"AAAAAG+mv00=")</f>
        <v>#REF!</v>
      </c>
      <c r="CA133" t="e">
        <f>AND(#REF!,"AAAAAG+mv04=")</f>
        <v>#REF!</v>
      </c>
      <c r="CB133" t="e">
        <f>AND(#REF!,"AAAAAG+mv08=")</f>
        <v>#REF!</v>
      </c>
      <c r="CC133" t="e">
        <f>AND(#REF!,"AAAAAG+mv1A=")</f>
        <v>#REF!</v>
      </c>
      <c r="CD133" t="e">
        <f>AND(#REF!,"AAAAAG+mv1E=")</f>
        <v>#REF!</v>
      </c>
      <c r="CE133" t="e">
        <f>AND(#REF!,"AAAAAG+mv1I=")</f>
        <v>#REF!</v>
      </c>
      <c r="CF133" t="e">
        <f>IF(#REF!,"AAAAAG+mv1M=",0)</f>
        <v>#REF!</v>
      </c>
      <c r="CG133" t="e">
        <f>AND(#REF!,"AAAAAG+mv1Q=")</f>
        <v>#REF!</v>
      </c>
      <c r="CH133" t="e">
        <f>AND(#REF!,"AAAAAG+mv1U=")</f>
        <v>#REF!</v>
      </c>
      <c r="CI133" t="e">
        <f>AND(#REF!,"AAAAAG+mv1Y=")</f>
        <v>#REF!</v>
      </c>
      <c r="CJ133" t="e">
        <f>AND(#REF!,"AAAAAG+mv1c=")</f>
        <v>#REF!</v>
      </c>
      <c r="CK133" t="e">
        <f>AND(#REF!,"AAAAAG+mv1g=")</f>
        <v>#REF!</v>
      </c>
      <c r="CL133" t="e">
        <f>AND(#REF!,"AAAAAG+mv1k=")</f>
        <v>#REF!</v>
      </c>
      <c r="CM133" t="e">
        <f>AND(#REF!,"AAAAAG+mv1o=")</f>
        <v>#REF!</v>
      </c>
      <c r="CN133" t="e">
        <f>AND(#REF!,"AAAAAG+mv1s=")</f>
        <v>#REF!</v>
      </c>
      <c r="CO133" t="e">
        <f>AND(#REF!,"AAAAAG+mv1w=")</f>
        <v>#REF!</v>
      </c>
      <c r="CP133" t="e">
        <f>AND(#REF!,"AAAAAG+mv10=")</f>
        <v>#REF!</v>
      </c>
      <c r="CQ133" t="e">
        <f>AND(#REF!,"AAAAAG+mv14=")</f>
        <v>#REF!</v>
      </c>
      <c r="CR133" t="e">
        <f>AND(#REF!,"AAAAAG+mv18=")</f>
        <v>#REF!</v>
      </c>
      <c r="CS133" t="e">
        <f>AND(#REF!,"AAAAAG+mv2A=")</f>
        <v>#REF!</v>
      </c>
      <c r="CT133" t="e">
        <f>AND(#REF!,"AAAAAG+mv2E=")</f>
        <v>#REF!</v>
      </c>
      <c r="CU133" t="e">
        <f>AND(#REF!,"AAAAAG+mv2I=")</f>
        <v>#REF!</v>
      </c>
      <c r="CV133" t="e">
        <f>AND(#REF!,"AAAAAG+mv2M=")</f>
        <v>#REF!</v>
      </c>
      <c r="CW133" t="e">
        <f>AND(#REF!,"AAAAAG+mv2Q=")</f>
        <v>#REF!</v>
      </c>
      <c r="CX133" t="e">
        <f>AND(#REF!,"AAAAAG+mv2U=")</f>
        <v>#REF!</v>
      </c>
      <c r="CY133" t="e">
        <f>AND(#REF!,"AAAAAG+mv2Y=")</f>
        <v>#REF!</v>
      </c>
      <c r="CZ133" t="e">
        <f>AND(#REF!,"AAAAAG+mv2c=")</f>
        <v>#REF!</v>
      </c>
      <c r="DA133" t="e">
        <f>AND(#REF!,"AAAAAG+mv2g=")</f>
        <v>#REF!</v>
      </c>
      <c r="DB133" t="e">
        <f>AND(#REF!,"AAAAAG+mv2k=")</f>
        <v>#REF!</v>
      </c>
      <c r="DC133" t="e">
        <f>IF(#REF!,"AAAAAG+mv2o=",0)</f>
        <v>#REF!</v>
      </c>
      <c r="DD133" t="e">
        <f>AND(#REF!,"AAAAAG+mv2s=")</f>
        <v>#REF!</v>
      </c>
      <c r="DE133" t="e">
        <f>AND(#REF!,"AAAAAG+mv2w=")</f>
        <v>#REF!</v>
      </c>
      <c r="DF133" t="e">
        <f>AND(#REF!,"AAAAAG+mv20=")</f>
        <v>#REF!</v>
      </c>
      <c r="DG133" t="e">
        <f>AND(#REF!,"AAAAAG+mv24=")</f>
        <v>#REF!</v>
      </c>
      <c r="DH133" t="e">
        <f>AND(#REF!,"AAAAAG+mv28=")</f>
        <v>#REF!</v>
      </c>
      <c r="DI133" t="e">
        <f>AND(#REF!,"AAAAAG+mv3A=")</f>
        <v>#REF!</v>
      </c>
      <c r="DJ133" t="e">
        <f>AND(#REF!,"AAAAAG+mv3E=")</f>
        <v>#REF!</v>
      </c>
      <c r="DK133" t="e">
        <f>AND(#REF!,"AAAAAG+mv3I=")</f>
        <v>#REF!</v>
      </c>
      <c r="DL133" t="e">
        <f>AND(#REF!,"AAAAAG+mv3M=")</f>
        <v>#REF!</v>
      </c>
      <c r="DM133" t="e">
        <f>AND(#REF!,"AAAAAG+mv3Q=")</f>
        <v>#REF!</v>
      </c>
      <c r="DN133" t="e">
        <f>AND(#REF!,"AAAAAG+mv3U=")</f>
        <v>#REF!</v>
      </c>
      <c r="DO133" t="e">
        <f>AND(#REF!,"AAAAAG+mv3Y=")</f>
        <v>#REF!</v>
      </c>
      <c r="DP133" t="e">
        <f>AND(#REF!,"AAAAAG+mv3c=")</f>
        <v>#REF!</v>
      </c>
      <c r="DQ133" t="e">
        <f>AND(#REF!,"AAAAAG+mv3g=")</f>
        <v>#REF!</v>
      </c>
      <c r="DR133" t="e">
        <f>AND(#REF!,"AAAAAG+mv3k=")</f>
        <v>#REF!</v>
      </c>
      <c r="DS133" t="e">
        <f>AND(#REF!,"AAAAAG+mv3o=")</f>
        <v>#REF!</v>
      </c>
      <c r="DT133" t="e">
        <f>AND(#REF!,"AAAAAG+mv3s=")</f>
        <v>#REF!</v>
      </c>
      <c r="DU133" t="e">
        <f>AND(#REF!,"AAAAAG+mv3w=")</f>
        <v>#REF!</v>
      </c>
      <c r="DV133" t="e">
        <f>AND(#REF!,"AAAAAG+mv30=")</f>
        <v>#REF!</v>
      </c>
      <c r="DW133" t="e">
        <f>AND(#REF!,"AAAAAG+mv34=")</f>
        <v>#REF!</v>
      </c>
      <c r="DX133" t="e">
        <f>AND(#REF!,"AAAAAG+mv38=")</f>
        <v>#REF!</v>
      </c>
      <c r="DY133" t="e">
        <f>AND(#REF!,"AAAAAG+mv4A=")</f>
        <v>#REF!</v>
      </c>
      <c r="DZ133" t="e">
        <f>IF(#REF!,"AAAAAG+mv4E=",0)</f>
        <v>#REF!</v>
      </c>
      <c r="EA133" t="e">
        <f>AND(#REF!,"AAAAAG+mv4I=")</f>
        <v>#REF!</v>
      </c>
      <c r="EB133" t="e">
        <f>AND(#REF!,"AAAAAG+mv4M=")</f>
        <v>#REF!</v>
      </c>
      <c r="EC133" t="e">
        <f>AND(#REF!,"AAAAAG+mv4Q=")</f>
        <v>#REF!</v>
      </c>
      <c r="ED133" t="e">
        <f>AND(#REF!,"AAAAAG+mv4U=")</f>
        <v>#REF!</v>
      </c>
      <c r="EE133" t="e">
        <f>AND(#REF!,"AAAAAG+mv4Y=")</f>
        <v>#REF!</v>
      </c>
      <c r="EF133" t="e">
        <f>AND(#REF!,"AAAAAG+mv4c=")</f>
        <v>#REF!</v>
      </c>
      <c r="EG133" t="e">
        <f>AND(#REF!,"AAAAAG+mv4g=")</f>
        <v>#REF!</v>
      </c>
      <c r="EH133" t="e">
        <f>AND(#REF!,"AAAAAG+mv4k=")</f>
        <v>#REF!</v>
      </c>
      <c r="EI133" t="e">
        <f>AND(#REF!,"AAAAAG+mv4o=")</f>
        <v>#REF!</v>
      </c>
      <c r="EJ133" t="e">
        <f>AND(#REF!,"AAAAAG+mv4s=")</f>
        <v>#REF!</v>
      </c>
      <c r="EK133" t="e">
        <f>AND(#REF!,"AAAAAG+mv4w=")</f>
        <v>#REF!</v>
      </c>
      <c r="EL133" t="e">
        <f>AND(#REF!,"AAAAAG+mv40=")</f>
        <v>#REF!</v>
      </c>
      <c r="EM133" t="e">
        <f>AND(#REF!,"AAAAAG+mv44=")</f>
        <v>#REF!</v>
      </c>
      <c r="EN133" t="e">
        <f>AND(#REF!,"AAAAAG+mv48=")</f>
        <v>#REF!</v>
      </c>
      <c r="EO133" t="e">
        <f>AND(#REF!,"AAAAAG+mv5A=")</f>
        <v>#REF!</v>
      </c>
      <c r="EP133" t="e">
        <f>AND(#REF!,"AAAAAG+mv5E=")</f>
        <v>#REF!</v>
      </c>
      <c r="EQ133" t="e">
        <f>AND(#REF!,"AAAAAG+mv5I=")</f>
        <v>#REF!</v>
      </c>
      <c r="ER133" t="e">
        <f>AND(#REF!,"AAAAAG+mv5M=")</f>
        <v>#REF!</v>
      </c>
      <c r="ES133" t="e">
        <f>AND(#REF!,"AAAAAG+mv5Q=")</f>
        <v>#REF!</v>
      </c>
      <c r="ET133" t="e">
        <f>AND(#REF!,"AAAAAG+mv5U=")</f>
        <v>#REF!</v>
      </c>
      <c r="EU133" t="e">
        <f>AND(#REF!,"AAAAAG+mv5Y=")</f>
        <v>#REF!</v>
      </c>
      <c r="EV133" t="e">
        <f>AND(#REF!,"AAAAAG+mv5c=")</f>
        <v>#REF!</v>
      </c>
      <c r="EW133" t="e">
        <f>IF(#REF!,"AAAAAG+mv5g=",0)</f>
        <v>#REF!</v>
      </c>
      <c r="EX133" t="e">
        <f>AND(#REF!,"AAAAAG+mv5k=")</f>
        <v>#REF!</v>
      </c>
      <c r="EY133" t="e">
        <f>AND(#REF!,"AAAAAG+mv5o=")</f>
        <v>#REF!</v>
      </c>
      <c r="EZ133" t="e">
        <f>AND(#REF!,"AAAAAG+mv5s=")</f>
        <v>#REF!</v>
      </c>
      <c r="FA133" t="e">
        <f>AND(#REF!,"AAAAAG+mv5w=")</f>
        <v>#REF!</v>
      </c>
      <c r="FB133" t="e">
        <f>AND(#REF!,"AAAAAG+mv50=")</f>
        <v>#REF!</v>
      </c>
      <c r="FC133" t="e">
        <f>AND(#REF!,"AAAAAG+mv54=")</f>
        <v>#REF!</v>
      </c>
      <c r="FD133" t="e">
        <f>AND(#REF!,"AAAAAG+mv58=")</f>
        <v>#REF!</v>
      </c>
      <c r="FE133" t="e">
        <f>AND(#REF!,"AAAAAG+mv6A=")</f>
        <v>#REF!</v>
      </c>
      <c r="FF133" t="e">
        <f>AND(#REF!,"AAAAAG+mv6E=")</f>
        <v>#REF!</v>
      </c>
      <c r="FG133" t="e">
        <f>AND(#REF!,"AAAAAG+mv6I=")</f>
        <v>#REF!</v>
      </c>
      <c r="FH133" t="e">
        <f>AND(#REF!,"AAAAAG+mv6M=")</f>
        <v>#REF!</v>
      </c>
      <c r="FI133" t="e">
        <f>AND(#REF!,"AAAAAG+mv6Q=")</f>
        <v>#REF!</v>
      </c>
      <c r="FJ133" t="e">
        <f>AND(#REF!,"AAAAAG+mv6U=")</f>
        <v>#REF!</v>
      </c>
      <c r="FK133" t="e">
        <f>AND(#REF!,"AAAAAG+mv6Y=")</f>
        <v>#REF!</v>
      </c>
      <c r="FL133" t="e">
        <f>AND(#REF!,"AAAAAG+mv6c=")</f>
        <v>#REF!</v>
      </c>
      <c r="FM133" t="e">
        <f>AND(#REF!,"AAAAAG+mv6g=")</f>
        <v>#REF!</v>
      </c>
      <c r="FN133" t="e">
        <f>AND(#REF!,"AAAAAG+mv6k=")</f>
        <v>#REF!</v>
      </c>
      <c r="FO133" t="e">
        <f>AND(#REF!,"AAAAAG+mv6o=")</f>
        <v>#REF!</v>
      </c>
      <c r="FP133" t="e">
        <f>AND(#REF!,"AAAAAG+mv6s=")</f>
        <v>#REF!</v>
      </c>
      <c r="FQ133" t="e">
        <f>AND(#REF!,"AAAAAG+mv6w=")</f>
        <v>#REF!</v>
      </c>
      <c r="FR133" t="e">
        <f>AND(#REF!,"AAAAAG+mv60=")</f>
        <v>#REF!</v>
      </c>
      <c r="FS133" t="e">
        <f>AND(#REF!,"AAAAAG+mv64=")</f>
        <v>#REF!</v>
      </c>
      <c r="FT133" t="e">
        <f>IF(#REF!,"AAAAAG+mv68=",0)</f>
        <v>#REF!</v>
      </c>
      <c r="FU133" t="e">
        <f>AND(#REF!,"AAAAAG+mv7A=")</f>
        <v>#REF!</v>
      </c>
      <c r="FV133" t="e">
        <f>AND(#REF!,"AAAAAG+mv7E=")</f>
        <v>#REF!</v>
      </c>
      <c r="FW133" t="e">
        <f>AND(#REF!,"AAAAAG+mv7I=")</f>
        <v>#REF!</v>
      </c>
      <c r="FX133" t="e">
        <f>AND(#REF!,"AAAAAG+mv7M=")</f>
        <v>#REF!</v>
      </c>
      <c r="FY133" t="e">
        <f>AND(#REF!,"AAAAAG+mv7Q=")</f>
        <v>#REF!</v>
      </c>
      <c r="FZ133" t="e">
        <f>AND(#REF!,"AAAAAG+mv7U=")</f>
        <v>#REF!</v>
      </c>
      <c r="GA133" t="e">
        <f>AND(#REF!,"AAAAAG+mv7Y=")</f>
        <v>#REF!</v>
      </c>
      <c r="GB133" t="e">
        <f>AND(#REF!,"AAAAAG+mv7c=")</f>
        <v>#REF!</v>
      </c>
      <c r="GC133" t="e">
        <f>AND(#REF!,"AAAAAG+mv7g=")</f>
        <v>#REF!</v>
      </c>
      <c r="GD133" t="e">
        <f>AND(#REF!,"AAAAAG+mv7k=")</f>
        <v>#REF!</v>
      </c>
      <c r="GE133" t="e">
        <f>AND(#REF!,"AAAAAG+mv7o=")</f>
        <v>#REF!</v>
      </c>
      <c r="GF133" t="e">
        <f>AND(#REF!,"AAAAAG+mv7s=")</f>
        <v>#REF!</v>
      </c>
      <c r="GG133" t="e">
        <f>AND(#REF!,"AAAAAG+mv7w=")</f>
        <v>#REF!</v>
      </c>
      <c r="GH133" t="e">
        <f>AND(#REF!,"AAAAAG+mv70=")</f>
        <v>#REF!</v>
      </c>
      <c r="GI133" t="e">
        <f>AND(#REF!,"AAAAAG+mv74=")</f>
        <v>#REF!</v>
      </c>
      <c r="GJ133" t="e">
        <f>AND(#REF!,"AAAAAG+mv78=")</f>
        <v>#REF!</v>
      </c>
      <c r="GK133" t="e">
        <f>AND(#REF!,"AAAAAG+mv8A=")</f>
        <v>#REF!</v>
      </c>
      <c r="GL133" t="e">
        <f>AND(#REF!,"AAAAAG+mv8E=")</f>
        <v>#REF!</v>
      </c>
      <c r="GM133" t="e">
        <f>AND(#REF!,"AAAAAG+mv8I=")</f>
        <v>#REF!</v>
      </c>
      <c r="GN133" t="e">
        <f>AND(#REF!,"AAAAAG+mv8M=")</f>
        <v>#REF!</v>
      </c>
      <c r="GO133" t="e">
        <f>AND(#REF!,"AAAAAG+mv8Q=")</f>
        <v>#REF!</v>
      </c>
      <c r="GP133" t="e">
        <f>AND(#REF!,"AAAAAG+mv8U=")</f>
        <v>#REF!</v>
      </c>
      <c r="GQ133" t="e">
        <f>IF(#REF!,"AAAAAG+mv8Y=",0)</f>
        <v>#REF!</v>
      </c>
      <c r="GR133" t="e">
        <f>AND(#REF!,"AAAAAG+mv8c=")</f>
        <v>#REF!</v>
      </c>
      <c r="GS133" t="e">
        <f>AND(#REF!,"AAAAAG+mv8g=")</f>
        <v>#REF!</v>
      </c>
      <c r="GT133" t="e">
        <f>AND(#REF!,"AAAAAG+mv8k=")</f>
        <v>#REF!</v>
      </c>
      <c r="GU133" t="e">
        <f>AND(#REF!,"AAAAAG+mv8o=")</f>
        <v>#REF!</v>
      </c>
      <c r="GV133" t="e">
        <f>AND(#REF!,"AAAAAG+mv8s=")</f>
        <v>#REF!</v>
      </c>
      <c r="GW133" t="e">
        <f>AND(#REF!,"AAAAAG+mv8w=")</f>
        <v>#REF!</v>
      </c>
      <c r="GX133" t="e">
        <f>AND(#REF!,"AAAAAG+mv80=")</f>
        <v>#REF!</v>
      </c>
      <c r="GY133" t="e">
        <f>AND(#REF!,"AAAAAG+mv84=")</f>
        <v>#REF!</v>
      </c>
      <c r="GZ133" t="e">
        <f>AND(#REF!,"AAAAAG+mv88=")</f>
        <v>#REF!</v>
      </c>
      <c r="HA133" t="e">
        <f>AND(#REF!,"AAAAAG+mv9A=")</f>
        <v>#REF!</v>
      </c>
      <c r="HB133" t="e">
        <f>AND(#REF!,"AAAAAG+mv9E=")</f>
        <v>#REF!</v>
      </c>
      <c r="HC133" t="e">
        <f>AND(#REF!,"AAAAAG+mv9I=")</f>
        <v>#REF!</v>
      </c>
      <c r="HD133" t="e">
        <f>AND(#REF!,"AAAAAG+mv9M=")</f>
        <v>#REF!</v>
      </c>
      <c r="HE133" t="e">
        <f>AND(#REF!,"AAAAAG+mv9Q=")</f>
        <v>#REF!</v>
      </c>
      <c r="HF133" t="e">
        <f>AND(#REF!,"AAAAAG+mv9U=")</f>
        <v>#REF!</v>
      </c>
      <c r="HG133" t="e">
        <f>AND(#REF!,"AAAAAG+mv9Y=")</f>
        <v>#REF!</v>
      </c>
      <c r="HH133" t="e">
        <f>AND(#REF!,"AAAAAG+mv9c=")</f>
        <v>#REF!</v>
      </c>
      <c r="HI133" t="e">
        <f>AND(#REF!,"AAAAAG+mv9g=")</f>
        <v>#REF!</v>
      </c>
      <c r="HJ133" t="e">
        <f>AND(#REF!,"AAAAAG+mv9k=")</f>
        <v>#REF!</v>
      </c>
      <c r="HK133" t="e">
        <f>AND(#REF!,"AAAAAG+mv9o=")</f>
        <v>#REF!</v>
      </c>
      <c r="HL133" t="e">
        <f>AND(#REF!,"AAAAAG+mv9s=")</f>
        <v>#REF!</v>
      </c>
      <c r="HM133" t="e">
        <f>AND(#REF!,"AAAAAG+mv9w=")</f>
        <v>#REF!</v>
      </c>
      <c r="HN133" t="e">
        <f>IF(#REF!,"AAAAAG+mv90=",0)</f>
        <v>#REF!</v>
      </c>
      <c r="HO133" t="e">
        <f>AND(#REF!,"AAAAAG+mv94=")</f>
        <v>#REF!</v>
      </c>
      <c r="HP133" t="e">
        <f>AND(#REF!,"AAAAAG+mv98=")</f>
        <v>#REF!</v>
      </c>
      <c r="HQ133" t="e">
        <f>AND(#REF!,"AAAAAG+mv+A=")</f>
        <v>#REF!</v>
      </c>
      <c r="HR133" t="e">
        <f>AND(#REF!,"AAAAAG+mv+E=")</f>
        <v>#REF!</v>
      </c>
      <c r="HS133" t="e">
        <f>AND(#REF!,"AAAAAG+mv+I=")</f>
        <v>#REF!</v>
      </c>
      <c r="HT133" t="e">
        <f>AND(#REF!,"AAAAAG+mv+M=")</f>
        <v>#REF!</v>
      </c>
      <c r="HU133" t="e">
        <f>AND(#REF!,"AAAAAG+mv+Q=")</f>
        <v>#REF!</v>
      </c>
      <c r="HV133" t="e">
        <f>AND(#REF!,"AAAAAG+mv+U=")</f>
        <v>#REF!</v>
      </c>
      <c r="HW133" t="e">
        <f>AND(#REF!,"AAAAAG+mv+Y=")</f>
        <v>#REF!</v>
      </c>
      <c r="HX133" t="e">
        <f>AND(#REF!,"AAAAAG+mv+c=")</f>
        <v>#REF!</v>
      </c>
      <c r="HY133" t="e">
        <f>AND(#REF!,"AAAAAG+mv+g=")</f>
        <v>#REF!</v>
      </c>
      <c r="HZ133" t="e">
        <f>AND(#REF!,"AAAAAG+mv+k=")</f>
        <v>#REF!</v>
      </c>
      <c r="IA133" t="e">
        <f>AND(#REF!,"AAAAAG+mv+o=")</f>
        <v>#REF!</v>
      </c>
      <c r="IB133" t="e">
        <f>AND(#REF!,"AAAAAG+mv+s=")</f>
        <v>#REF!</v>
      </c>
      <c r="IC133" t="e">
        <f>AND(#REF!,"AAAAAG+mv+w=")</f>
        <v>#REF!</v>
      </c>
      <c r="ID133" t="e">
        <f>AND(#REF!,"AAAAAG+mv+0=")</f>
        <v>#REF!</v>
      </c>
      <c r="IE133" t="e">
        <f>AND(#REF!,"AAAAAG+mv+4=")</f>
        <v>#REF!</v>
      </c>
      <c r="IF133" t="e">
        <f>AND(#REF!,"AAAAAG+mv+8=")</f>
        <v>#REF!</v>
      </c>
      <c r="IG133" t="e">
        <f>AND(#REF!,"AAAAAG+mv/A=")</f>
        <v>#REF!</v>
      </c>
      <c r="IH133" t="e">
        <f>AND(#REF!,"AAAAAG+mv/E=")</f>
        <v>#REF!</v>
      </c>
      <c r="II133" t="e">
        <f>AND(#REF!,"AAAAAG+mv/I=")</f>
        <v>#REF!</v>
      </c>
      <c r="IJ133" t="e">
        <f>AND(#REF!,"AAAAAG+mv/M=")</f>
        <v>#REF!</v>
      </c>
      <c r="IK133" t="e">
        <f>IF(#REF!,"AAAAAG+mv/Q=",0)</f>
        <v>#REF!</v>
      </c>
      <c r="IL133" t="e">
        <f>AND(#REF!,"AAAAAG+mv/U=")</f>
        <v>#REF!</v>
      </c>
      <c r="IM133" t="e">
        <f>AND(#REF!,"AAAAAG+mv/Y=")</f>
        <v>#REF!</v>
      </c>
      <c r="IN133" t="e">
        <f>AND(#REF!,"AAAAAG+mv/c=")</f>
        <v>#REF!</v>
      </c>
      <c r="IO133" t="e">
        <f>AND(#REF!,"AAAAAG+mv/g=")</f>
        <v>#REF!</v>
      </c>
      <c r="IP133" t="e">
        <f>AND(#REF!,"AAAAAG+mv/k=")</f>
        <v>#REF!</v>
      </c>
      <c r="IQ133" t="e">
        <f>AND(#REF!,"AAAAAG+mv/o=")</f>
        <v>#REF!</v>
      </c>
      <c r="IR133" t="e">
        <f>AND(#REF!,"AAAAAG+mv/s=")</f>
        <v>#REF!</v>
      </c>
      <c r="IS133" t="e">
        <f>AND(#REF!,"AAAAAG+mv/w=")</f>
        <v>#REF!</v>
      </c>
      <c r="IT133" t="e">
        <f>AND(#REF!,"AAAAAG+mv/0=")</f>
        <v>#REF!</v>
      </c>
      <c r="IU133" t="e">
        <f>AND(#REF!,"AAAAAG+mv/4=")</f>
        <v>#REF!</v>
      </c>
      <c r="IV133" t="e">
        <f>AND(#REF!,"AAAAAG+mv/8=")</f>
        <v>#REF!</v>
      </c>
    </row>
    <row r="134" spans="1:256" x14ac:dyDescent="0.2">
      <c r="A134" t="e">
        <f>AND(#REF!,"AAAAAHN99QA=")</f>
        <v>#REF!</v>
      </c>
      <c r="B134" t="e">
        <f>AND(#REF!,"AAAAAHN99QE=")</f>
        <v>#REF!</v>
      </c>
      <c r="C134" t="e">
        <f>AND(#REF!,"AAAAAHN99QI=")</f>
        <v>#REF!</v>
      </c>
      <c r="D134" t="e">
        <f>AND(#REF!,"AAAAAHN99QM=")</f>
        <v>#REF!</v>
      </c>
      <c r="E134" t="e">
        <f>AND(#REF!,"AAAAAHN99QQ=")</f>
        <v>#REF!</v>
      </c>
      <c r="F134" t="e">
        <f>AND(#REF!,"AAAAAHN99QU=")</f>
        <v>#REF!</v>
      </c>
      <c r="G134" t="e">
        <f>AND(#REF!,"AAAAAHN99QY=")</f>
        <v>#REF!</v>
      </c>
      <c r="H134" t="e">
        <f>AND(#REF!,"AAAAAHN99Qc=")</f>
        <v>#REF!</v>
      </c>
      <c r="I134" t="e">
        <f>AND(#REF!,"AAAAAHN99Qg=")</f>
        <v>#REF!</v>
      </c>
      <c r="J134" t="e">
        <f>AND(#REF!,"AAAAAHN99Qk=")</f>
        <v>#REF!</v>
      </c>
      <c r="K134" t="e">
        <f>AND(#REF!,"AAAAAHN99Qo=")</f>
        <v>#REF!</v>
      </c>
      <c r="L134" t="e">
        <f>IF(#REF!,"AAAAAHN99Qs=",0)</f>
        <v>#REF!</v>
      </c>
      <c r="M134" t="e">
        <f>AND(#REF!,"AAAAAHN99Qw=")</f>
        <v>#REF!</v>
      </c>
      <c r="N134" t="e">
        <f>AND(#REF!,"AAAAAHN99Q0=")</f>
        <v>#REF!</v>
      </c>
      <c r="O134" t="e">
        <f>AND(#REF!,"AAAAAHN99Q4=")</f>
        <v>#REF!</v>
      </c>
      <c r="P134" t="e">
        <f>AND(#REF!,"AAAAAHN99Q8=")</f>
        <v>#REF!</v>
      </c>
      <c r="Q134" t="e">
        <f>AND(#REF!,"AAAAAHN99RA=")</f>
        <v>#REF!</v>
      </c>
      <c r="R134" t="e">
        <f>AND(#REF!,"AAAAAHN99RE=")</f>
        <v>#REF!</v>
      </c>
      <c r="S134" t="e">
        <f>AND(#REF!,"AAAAAHN99RI=")</f>
        <v>#REF!</v>
      </c>
      <c r="T134" t="e">
        <f>AND(#REF!,"AAAAAHN99RM=")</f>
        <v>#REF!</v>
      </c>
      <c r="U134" t="e">
        <f>AND(#REF!,"AAAAAHN99RQ=")</f>
        <v>#REF!</v>
      </c>
      <c r="V134" t="e">
        <f>AND(#REF!,"AAAAAHN99RU=")</f>
        <v>#REF!</v>
      </c>
      <c r="W134" t="e">
        <f>AND(#REF!,"AAAAAHN99RY=")</f>
        <v>#REF!</v>
      </c>
      <c r="X134" t="e">
        <f>AND(#REF!,"AAAAAHN99Rc=")</f>
        <v>#REF!</v>
      </c>
      <c r="Y134" t="e">
        <f>AND(#REF!,"AAAAAHN99Rg=")</f>
        <v>#REF!</v>
      </c>
      <c r="Z134" t="e">
        <f>AND(#REF!,"AAAAAHN99Rk=")</f>
        <v>#REF!</v>
      </c>
      <c r="AA134" t="e">
        <f>AND(#REF!,"AAAAAHN99Ro=")</f>
        <v>#REF!</v>
      </c>
      <c r="AB134" t="e">
        <f>AND(#REF!,"AAAAAHN99Rs=")</f>
        <v>#REF!</v>
      </c>
      <c r="AC134" t="e">
        <f>AND(#REF!,"AAAAAHN99Rw=")</f>
        <v>#REF!</v>
      </c>
      <c r="AD134" t="e">
        <f>AND(#REF!,"AAAAAHN99R0=")</f>
        <v>#REF!</v>
      </c>
      <c r="AE134" t="e">
        <f>AND(#REF!,"AAAAAHN99R4=")</f>
        <v>#REF!</v>
      </c>
      <c r="AF134" t="e">
        <f>AND(#REF!,"AAAAAHN99R8=")</f>
        <v>#REF!</v>
      </c>
      <c r="AG134" t="e">
        <f>AND(#REF!,"AAAAAHN99SA=")</f>
        <v>#REF!</v>
      </c>
      <c r="AH134" t="e">
        <f>AND(#REF!,"AAAAAHN99SE=")</f>
        <v>#REF!</v>
      </c>
      <c r="AI134" t="e">
        <f>IF(#REF!,"AAAAAHN99SI=",0)</f>
        <v>#REF!</v>
      </c>
      <c r="AJ134" t="e">
        <f>AND(#REF!,"AAAAAHN99SM=")</f>
        <v>#REF!</v>
      </c>
      <c r="AK134" t="e">
        <f>AND(#REF!,"AAAAAHN99SQ=")</f>
        <v>#REF!</v>
      </c>
      <c r="AL134" t="e">
        <f>AND(#REF!,"AAAAAHN99SU=")</f>
        <v>#REF!</v>
      </c>
      <c r="AM134" t="e">
        <f>AND(#REF!,"AAAAAHN99SY=")</f>
        <v>#REF!</v>
      </c>
      <c r="AN134" t="e">
        <f>AND(#REF!,"AAAAAHN99Sc=")</f>
        <v>#REF!</v>
      </c>
      <c r="AO134" t="e">
        <f>AND(#REF!,"AAAAAHN99Sg=")</f>
        <v>#REF!</v>
      </c>
      <c r="AP134" t="e">
        <f>AND(#REF!,"AAAAAHN99Sk=")</f>
        <v>#REF!</v>
      </c>
      <c r="AQ134" t="e">
        <f>AND(#REF!,"AAAAAHN99So=")</f>
        <v>#REF!</v>
      </c>
      <c r="AR134" t="e">
        <f>AND(#REF!,"AAAAAHN99Ss=")</f>
        <v>#REF!</v>
      </c>
      <c r="AS134" t="e">
        <f>AND(#REF!,"AAAAAHN99Sw=")</f>
        <v>#REF!</v>
      </c>
      <c r="AT134" t="e">
        <f>AND(#REF!,"AAAAAHN99S0=")</f>
        <v>#REF!</v>
      </c>
      <c r="AU134" t="e">
        <f>AND(#REF!,"AAAAAHN99S4=")</f>
        <v>#REF!</v>
      </c>
      <c r="AV134" t="e">
        <f>AND(#REF!,"AAAAAHN99S8=")</f>
        <v>#REF!</v>
      </c>
      <c r="AW134" t="e">
        <f>AND(#REF!,"AAAAAHN99TA=")</f>
        <v>#REF!</v>
      </c>
      <c r="AX134" t="e">
        <f>AND(#REF!,"AAAAAHN99TE=")</f>
        <v>#REF!</v>
      </c>
      <c r="AY134" t="e">
        <f>AND(#REF!,"AAAAAHN99TI=")</f>
        <v>#REF!</v>
      </c>
      <c r="AZ134" t="e">
        <f>AND(#REF!,"AAAAAHN99TM=")</f>
        <v>#REF!</v>
      </c>
      <c r="BA134" t="e">
        <f>AND(#REF!,"AAAAAHN99TQ=")</f>
        <v>#REF!</v>
      </c>
      <c r="BB134" t="e">
        <f>AND(#REF!,"AAAAAHN99TU=")</f>
        <v>#REF!</v>
      </c>
      <c r="BC134" t="e">
        <f>AND(#REF!,"AAAAAHN99TY=")</f>
        <v>#REF!</v>
      </c>
      <c r="BD134" t="e">
        <f>AND(#REF!,"AAAAAHN99Tc=")</f>
        <v>#REF!</v>
      </c>
      <c r="BE134" t="e">
        <f>AND(#REF!,"AAAAAHN99Tg=")</f>
        <v>#REF!</v>
      </c>
      <c r="BF134" t="e">
        <f>IF(#REF!,"AAAAAHN99Tk=",0)</f>
        <v>#REF!</v>
      </c>
      <c r="BG134" t="e">
        <f>AND(#REF!,"AAAAAHN99To=")</f>
        <v>#REF!</v>
      </c>
      <c r="BH134" t="e">
        <f>AND(#REF!,"AAAAAHN99Ts=")</f>
        <v>#REF!</v>
      </c>
      <c r="BI134" t="e">
        <f>AND(#REF!,"AAAAAHN99Tw=")</f>
        <v>#REF!</v>
      </c>
      <c r="BJ134" t="e">
        <f>AND(#REF!,"AAAAAHN99T0=")</f>
        <v>#REF!</v>
      </c>
      <c r="BK134" t="e">
        <f>AND(#REF!,"AAAAAHN99T4=")</f>
        <v>#REF!</v>
      </c>
      <c r="BL134" t="e">
        <f>AND(#REF!,"AAAAAHN99T8=")</f>
        <v>#REF!</v>
      </c>
      <c r="BM134" t="e">
        <f>AND(#REF!,"AAAAAHN99UA=")</f>
        <v>#REF!</v>
      </c>
      <c r="BN134" t="e">
        <f>AND(#REF!,"AAAAAHN99UE=")</f>
        <v>#REF!</v>
      </c>
      <c r="BO134" t="e">
        <f>AND(#REF!,"AAAAAHN99UI=")</f>
        <v>#REF!</v>
      </c>
      <c r="BP134" t="e">
        <f>AND(#REF!,"AAAAAHN99UM=")</f>
        <v>#REF!</v>
      </c>
      <c r="BQ134" t="e">
        <f>AND(#REF!,"AAAAAHN99UQ=")</f>
        <v>#REF!</v>
      </c>
      <c r="BR134" t="e">
        <f>AND(#REF!,"AAAAAHN99UU=")</f>
        <v>#REF!</v>
      </c>
      <c r="BS134" t="e">
        <f>AND(#REF!,"AAAAAHN99UY=")</f>
        <v>#REF!</v>
      </c>
      <c r="BT134" t="e">
        <f>AND(#REF!,"AAAAAHN99Uc=")</f>
        <v>#REF!</v>
      </c>
      <c r="BU134" t="e">
        <f>AND(#REF!,"AAAAAHN99Ug=")</f>
        <v>#REF!</v>
      </c>
      <c r="BV134" t="e">
        <f>AND(#REF!,"AAAAAHN99Uk=")</f>
        <v>#REF!</v>
      </c>
      <c r="BW134" t="e">
        <f>AND(#REF!,"AAAAAHN99Uo=")</f>
        <v>#REF!</v>
      </c>
      <c r="BX134" t="e">
        <f>AND(#REF!,"AAAAAHN99Us=")</f>
        <v>#REF!</v>
      </c>
      <c r="BY134" t="e">
        <f>AND(#REF!,"AAAAAHN99Uw=")</f>
        <v>#REF!</v>
      </c>
      <c r="BZ134" t="e">
        <f>AND(#REF!,"AAAAAHN99U0=")</f>
        <v>#REF!</v>
      </c>
      <c r="CA134" t="e">
        <f>AND(#REF!,"AAAAAHN99U4=")</f>
        <v>#REF!</v>
      </c>
      <c r="CB134" t="e">
        <f>AND(#REF!,"AAAAAHN99U8=")</f>
        <v>#REF!</v>
      </c>
      <c r="CC134" t="e">
        <f>IF(#REF!,"AAAAAHN99VA=",0)</f>
        <v>#REF!</v>
      </c>
      <c r="CD134" t="e">
        <f>AND(#REF!,"AAAAAHN99VE=")</f>
        <v>#REF!</v>
      </c>
      <c r="CE134" t="e">
        <f>AND(#REF!,"AAAAAHN99VI=")</f>
        <v>#REF!</v>
      </c>
      <c r="CF134" t="e">
        <f>AND(#REF!,"AAAAAHN99VM=")</f>
        <v>#REF!</v>
      </c>
      <c r="CG134" t="e">
        <f>AND(#REF!,"AAAAAHN99VQ=")</f>
        <v>#REF!</v>
      </c>
      <c r="CH134" t="e">
        <f>AND(#REF!,"AAAAAHN99VU=")</f>
        <v>#REF!</v>
      </c>
      <c r="CI134" t="e">
        <f>AND(#REF!,"AAAAAHN99VY=")</f>
        <v>#REF!</v>
      </c>
      <c r="CJ134" t="e">
        <f>AND(#REF!,"AAAAAHN99Vc=")</f>
        <v>#REF!</v>
      </c>
      <c r="CK134" t="e">
        <f>AND(#REF!,"AAAAAHN99Vg=")</f>
        <v>#REF!</v>
      </c>
      <c r="CL134" t="e">
        <f>AND(#REF!,"AAAAAHN99Vk=")</f>
        <v>#REF!</v>
      </c>
      <c r="CM134" t="e">
        <f>AND(#REF!,"AAAAAHN99Vo=")</f>
        <v>#REF!</v>
      </c>
      <c r="CN134" t="e">
        <f>AND(#REF!,"AAAAAHN99Vs=")</f>
        <v>#REF!</v>
      </c>
      <c r="CO134" t="e">
        <f>AND(#REF!,"AAAAAHN99Vw=")</f>
        <v>#REF!</v>
      </c>
      <c r="CP134" t="e">
        <f>AND(#REF!,"AAAAAHN99V0=")</f>
        <v>#REF!</v>
      </c>
      <c r="CQ134" t="e">
        <f>AND(#REF!,"AAAAAHN99V4=")</f>
        <v>#REF!</v>
      </c>
      <c r="CR134" t="e">
        <f>AND(#REF!,"AAAAAHN99V8=")</f>
        <v>#REF!</v>
      </c>
      <c r="CS134" t="e">
        <f>AND(#REF!,"AAAAAHN99WA=")</f>
        <v>#REF!</v>
      </c>
      <c r="CT134" t="e">
        <f>AND(#REF!,"AAAAAHN99WE=")</f>
        <v>#REF!</v>
      </c>
      <c r="CU134" t="e">
        <f>AND(#REF!,"AAAAAHN99WI=")</f>
        <v>#REF!</v>
      </c>
      <c r="CV134" t="e">
        <f>AND(#REF!,"AAAAAHN99WM=")</f>
        <v>#REF!</v>
      </c>
      <c r="CW134" t="e">
        <f>AND(#REF!,"AAAAAHN99WQ=")</f>
        <v>#REF!</v>
      </c>
      <c r="CX134" t="e">
        <f>AND(#REF!,"AAAAAHN99WU=")</f>
        <v>#REF!</v>
      </c>
      <c r="CY134" t="e">
        <f>AND(#REF!,"AAAAAHN99WY=")</f>
        <v>#REF!</v>
      </c>
      <c r="CZ134" t="e">
        <f>IF(#REF!,"AAAAAHN99Wc=",0)</f>
        <v>#REF!</v>
      </c>
      <c r="DA134" t="e">
        <f>AND(#REF!,"AAAAAHN99Wg=")</f>
        <v>#REF!</v>
      </c>
      <c r="DB134" t="e">
        <f>AND(#REF!,"AAAAAHN99Wk=")</f>
        <v>#REF!</v>
      </c>
      <c r="DC134" t="e">
        <f>AND(#REF!,"AAAAAHN99Wo=")</f>
        <v>#REF!</v>
      </c>
      <c r="DD134" t="e">
        <f>AND(#REF!,"AAAAAHN99Ws=")</f>
        <v>#REF!</v>
      </c>
      <c r="DE134" t="e">
        <f>AND(#REF!,"AAAAAHN99Ww=")</f>
        <v>#REF!</v>
      </c>
      <c r="DF134" t="e">
        <f>AND(#REF!,"AAAAAHN99W0=")</f>
        <v>#REF!</v>
      </c>
      <c r="DG134" t="e">
        <f>AND(#REF!,"AAAAAHN99W4=")</f>
        <v>#REF!</v>
      </c>
      <c r="DH134" t="e">
        <f>AND(#REF!,"AAAAAHN99W8=")</f>
        <v>#REF!</v>
      </c>
      <c r="DI134" t="e">
        <f>AND(#REF!,"AAAAAHN99XA=")</f>
        <v>#REF!</v>
      </c>
      <c r="DJ134" t="e">
        <f>AND(#REF!,"AAAAAHN99XE=")</f>
        <v>#REF!</v>
      </c>
      <c r="DK134" t="e">
        <f>AND(#REF!,"AAAAAHN99XI=")</f>
        <v>#REF!</v>
      </c>
      <c r="DL134" t="e">
        <f>AND(#REF!,"AAAAAHN99XM=")</f>
        <v>#REF!</v>
      </c>
      <c r="DM134" t="e">
        <f>AND(#REF!,"AAAAAHN99XQ=")</f>
        <v>#REF!</v>
      </c>
      <c r="DN134" t="e">
        <f>AND(#REF!,"AAAAAHN99XU=")</f>
        <v>#REF!</v>
      </c>
      <c r="DO134" t="e">
        <f>AND(#REF!,"AAAAAHN99XY=")</f>
        <v>#REF!</v>
      </c>
      <c r="DP134" t="e">
        <f>AND(#REF!,"AAAAAHN99Xc=")</f>
        <v>#REF!</v>
      </c>
      <c r="DQ134" t="e">
        <f>AND(#REF!,"AAAAAHN99Xg=")</f>
        <v>#REF!</v>
      </c>
      <c r="DR134" t="e">
        <f>AND(#REF!,"AAAAAHN99Xk=")</f>
        <v>#REF!</v>
      </c>
      <c r="DS134" t="e">
        <f>AND(#REF!,"AAAAAHN99Xo=")</f>
        <v>#REF!</v>
      </c>
      <c r="DT134" t="e">
        <f>AND(#REF!,"AAAAAHN99Xs=")</f>
        <v>#REF!</v>
      </c>
      <c r="DU134" t="e">
        <f>AND(#REF!,"AAAAAHN99Xw=")</f>
        <v>#REF!</v>
      </c>
      <c r="DV134" t="e">
        <f>AND(#REF!,"AAAAAHN99X0=")</f>
        <v>#REF!</v>
      </c>
      <c r="DW134" t="e">
        <f>IF(#REF!,"AAAAAHN99X4=",0)</f>
        <v>#REF!</v>
      </c>
      <c r="DX134" t="e">
        <f>AND(#REF!,"AAAAAHN99X8=")</f>
        <v>#REF!</v>
      </c>
      <c r="DY134" t="e">
        <f>AND(#REF!,"AAAAAHN99YA=")</f>
        <v>#REF!</v>
      </c>
      <c r="DZ134" t="e">
        <f>AND(#REF!,"AAAAAHN99YE=")</f>
        <v>#REF!</v>
      </c>
      <c r="EA134" t="e">
        <f>AND(#REF!,"AAAAAHN99YI=")</f>
        <v>#REF!</v>
      </c>
      <c r="EB134" t="e">
        <f>AND(#REF!,"AAAAAHN99YM=")</f>
        <v>#REF!</v>
      </c>
      <c r="EC134" t="e">
        <f>AND(#REF!,"AAAAAHN99YQ=")</f>
        <v>#REF!</v>
      </c>
      <c r="ED134" t="e">
        <f>AND(#REF!,"AAAAAHN99YU=")</f>
        <v>#REF!</v>
      </c>
      <c r="EE134" t="e">
        <f>AND(#REF!,"AAAAAHN99YY=")</f>
        <v>#REF!</v>
      </c>
      <c r="EF134" t="e">
        <f>AND(#REF!,"AAAAAHN99Yc=")</f>
        <v>#REF!</v>
      </c>
      <c r="EG134" t="e">
        <f>AND(#REF!,"AAAAAHN99Yg=")</f>
        <v>#REF!</v>
      </c>
      <c r="EH134" t="e">
        <f>AND(#REF!,"AAAAAHN99Yk=")</f>
        <v>#REF!</v>
      </c>
      <c r="EI134" t="e">
        <f>AND(#REF!,"AAAAAHN99Yo=")</f>
        <v>#REF!</v>
      </c>
      <c r="EJ134" t="e">
        <f>AND(#REF!,"AAAAAHN99Ys=")</f>
        <v>#REF!</v>
      </c>
      <c r="EK134" t="e">
        <f>AND(#REF!,"AAAAAHN99Yw=")</f>
        <v>#REF!</v>
      </c>
      <c r="EL134" t="e">
        <f>AND(#REF!,"AAAAAHN99Y0=")</f>
        <v>#REF!</v>
      </c>
      <c r="EM134" t="e">
        <f>AND(#REF!,"AAAAAHN99Y4=")</f>
        <v>#REF!</v>
      </c>
      <c r="EN134" t="e">
        <f>AND(#REF!,"AAAAAHN99Y8=")</f>
        <v>#REF!</v>
      </c>
      <c r="EO134" t="e">
        <f>AND(#REF!,"AAAAAHN99ZA=")</f>
        <v>#REF!</v>
      </c>
      <c r="EP134" t="e">
        <f>AND(#REF!,"AAAAAHN99ZE=")</f>
        <v>#REF!</v>
      </c>
      <c r="EQ134" t="e">
        <f>AND(#REF!,"AAAAAHN99ZI=")</f>
        <v>#REF!</v>
      </c>
      <c r="ER134" t="e">
        <f>AND(#REF!,"AAAAAHN99ZM=")</f>
        <v>#REF!</v>
      </c>
      <c r="ES134" t="e">
        <f>AND(#REF!,"AAAAAHN99ZQ=")</f>
        <v>#REF!</v>
      </c>
      <c r="ET134" t="e">
        <f>IF(#REF!,"AAAAAHN99ZU=",0)</f>
        <v>#REF!</v>
      </c>
      <c r="EU134" t="e">
        <f>AND(#REF!,"AAAAAHN99ZY=")</f>
        <v>#REF!</v>
      </c>
      <c r="EV134" t="e">
        <f>AND(#REF!,"AAAAAHN99Zc=")</f>
        <v>#REF!</v>
      </c>
      <c r="EW134" t="e">
        <f>AND(#REF!,"AAAAAHN99Zg=")</f>
        <v>#REF!</v>
      </c>
      <c r="EX134" t="e">
        <f>AND(#REF!,"AAAAAHN99Zk=")</f>
        <v>#REF!</v>
      </c>
      <c r="EY134" t="e">
        <f>AND(#REF!,"AAAAAHN99Zo=")</f>
        <v>#REF!</v>
      </c>
      <c r="EZ134" t="e">
        <f>AND(#REF!,"AAAAAHN99Zs=")</f>
        <v>#REF!</v>
      </c>
      <c r="FA134" t="e">
        <f>AND(#REF!,"AAAAAHN99Zw=")</f>
        <v>#REF!</v>
      </c>
      <c r="FB134" t="e">
        <f>AND(#REF!,"AAAAAHN99Z0=")</f>
        <v>#REF!</v>
      </c>
      <c r="FC134" t="e">
        <f>AND(#REF!,"AAAAAHN99Z4=")</f>
        <v>#REF!</v>
      </c>
      <c r="FD134" t="e">
        <f>AND(#REF!,"AAAAAHN99Z8=")</f>
        <v>#REF!</v>
      </c>
      <c r="FE134" t="e">
        <f>AND(#REF!,"AAAAAHN99aA=")</f>
        <v>#REF!</v>
      </c>
      <c r="FF134" t="e">
        <f>AND(#REF!,"AAAAAHN99aE=")</f>
        <v>#REF!</v>
      </c>
      <c r="FG134" t="e">
        <f>AND(#REF!,"AAAAAHN99aI=")</f>
        <v>#REF!</v>
      </c>
      <c r="FH134" t="e">
        <f>AND(#REF!,"AAAAAHN99aM=")</f>
        <v>#REF!</v>
      </c>
      <c r="FI134" t="e">
        <f>AND(#REF!,"AAAAAHN99aQ=")</f>
        <v>#REF!</v>
      </c>
      <c r="FJ134" t="e">
        <f>AND(#REF!,"AAAAAHN99aU=")</f>
        <v>#REF!</v>
      </c>
      <c r="FK134" t="e">
        <f>AND(#REF!,"AAAAAHN99aY=")</f>
        <v>#REF!</v>
      </c>
      <c r="FL134" t="e">
        <f>AND(#REF!,"AAAAAHN99ac=")</f>
        <v>#REF!</v>
      </c>
      <c r="FM134" t="e">
        <f>AND(#REF!,"AAAAAHN99ag=")</f>
        <v>#REF!</v>
      </c>
      <c r="FN134" t="e">
        <f>AND(#REF!,"AAAAAHN99ak=")</f>
        <v>#REF!</v>
      </c>
      <c r="FO134" t="e">
        <f>AND(#REF!,"AAAAAHN99ao=")</f>
        <v>#REF!</v>
      </c>
      <c r="FP134" t="e">
        <f>AND(#REF!,"AAAAAHN99as=")</f>
        <v>#REF!</v>
      </c>
      <c r="FQ134" t="e">
        <f>IF(#REF!,"AAAAAHN99aw=",0)</f>
        <v>#REF!</v>
      </c>
      <c r="FR134" t="e">
        <f>AND(#REF!,"AAAAAHN99a0=")</f>
        <v>#REF!</v>
      </c>
      <c r="FS134" t="e">
        <f>AND(#REF!,"AAAAAHN99a4=")</f>
        <v>#REF!</v>
      </c>
      <c r="FT134" t="e">
        <f>AND(#REF!,"AAAAAHN99a8=")</f>
        <v>#REF!</v>
      </c>
      <c r="FU134" t="e">
        <f>AND(#REF!,"AAAAAHN99bA=")</f>
        <v>#REF!</v>
      </c>
      <c r="FV134" t="e">
        <f>AND(#REF!,"AAAAAHN99bE=")</f>
        <v>#REF!</v>
      </c>
      <c r="FW134" t="e">
        <f>AND(#REF!,"AAAAAHN99bI=")</f>
        <v>#REF!</v>
      </c>
      <c r="FX134" t="e">
        <f>AND(#REF!,"AAAAAHN99bM=")</f>
        <v>#REF!</v>
      </c>
      <c r="FY134" t="e">
        <f>AND(#REF!,"AAAAAHN99bQ=")</f>
        <v>#REF!</v>
      </c>
      <c r="FZ134" t="e">
        <f>AND(#REF!,"AAAAAHN99bU=")</f>
        <v>#REF!</v>
      </c>
      <c r="GA134" t="e">
        <f>AND(#REF!,"AAAAAHN99bY=")</f>
        <v>#REF!</v>
      </c>
      <c r="GB134" t="e">
        <f>AND(#REF!,"AAAAAHN99bc=")</f>
        <v>#REF!</v>
      </c>
      <c r="GC134" t="e">
        <f>AND(#REF!,"AAAAAHN99bg=")</f>
        <v>#REF!</v>
      </c>
      <c r="GD134" t="e">
        <f>AND(#REF!,"AAAAAHN99bk=")</f>
        <v>#REF!</v>
      </c>
      <c r="GE134" t="e">
        <f>AND(#REF!,"AAAAAHN99bo=")</f>
        <v>#REF!</v>
      </c>
      <c r="GF134" t="e">
        <f>AND(#REF!,"AAAAAHN99bs=")</f>
        <v>#REF!</v>
      </c>
      <c r="GG134" t="e">
        <f>AND(#REF!,"AAAAAHN99bw=")</f>
        <v>#REF!</v>
      </c>
      <c r="GH134" t="e">
        <f>AND(#REF!,"AAAAAHN99b0=")</f>
        <v>#REF!</v>
      </c>
      <c r="GI134" t="e">
        <f>AND(#REF!,"AAAAAHN99b4=")</f>
        <v>#REF!</v>
      </c>
      <c r="GJ134" t="e">
        <f>AND(#REF!,"AAAAAHN99b8=")</f>
        <v>#REF!</v>
      </c>
      <c r="GK134" t="e">
        <f>AND(#REF!,"AAAAAHN99cA=")</f>
        <v>#REF!</v>
      </c>
      <c r="GL134" t="e">
        <f>AND(#REF!,"AAAAAHN99cE=")</f>
        <v>#REF!</v>
      </c>
      <c r="GM134" t="e">
        <f>AND(#REF!,"AAAAAHN99cI=")</f>
        <v>#REF!</v>
      </c>
      <c r="GN134" t="e">
        <f>IF(#REF!,"AAAAAHN99cM=",0)</f>
        <v>#REF!</v>
      </c>
      <c r="GO134" t="e">
        <f>AND(#REF!,"AAAAAHN99cQ=")</f>
        <v>#REF!</v>
      </c>
      <c r="GP134" t="e">
        <f>AND(#REF!,"AAAAAHN99cU=")</f>
        <v>#REF!</v>
      </c>
      <c r="GQ134" t="e">
        <f>AND(#REF!,"AAAAAHN99cY=")</f>
        <v>#REF!</v>
      </c>
      <c r="GR134" t="e">
        <f>AND(#REF!,"AAAAAHN99cc=")</f>
        <v>#REF!</v>
      </c>
      <c r="GS134" t="e">
        <f>AND(#REF!,"AAAAAHN99cg=")</f>
        <v>#REF!</v>
      </c>
      <c r="GT134" t="e">
        <f>AND(#REF!,"AAAAAHN99ck=")</f>
        <v>#REF!</v>
      </c>
      <c r="GU134" t="e">
        <f>AND(#REF!,"AAAAAHN99co=")</f>
        <v>#REF!</v>
      </c>
      <c r="GV134" t="e">
        <f>AND(#REF!,"AAAAAHN99cs=")</f>
        <v>#REF!</v>
      </c>
      <c r="GW134" t="e">
        <f>AND(#REF!,"AAAAAHN99cw=")</f>
        <v>#REF!</v>
      </c>
      <c r="GX134" t="e">
        <f>AND(#REF!,"AAAAAHN99c0=")</f>
        <v>#REF!</v>
      </c>
      <c r="GY134" t="e">
        <f>AND(#REF!,"AAAAAHN99c4=")</f>
        <v>#REF!</v>
      </c>
      <c r="GZ134" t="e">
        <f>AND(#REF!,"AAAAAHN99c8=")</f>
        <v>#REF!</v>
      </c>
      <c r="HA134" t="e">
        <f>AND(#REF!,"AAAAAHN99dA=")</f>
        <v>#REF!</v>
      </c>
      <c r="HB134" t="e">
        <f>AND(#REF!,"AAAAAHN99dE=")</f>
        <v>#REF!</v>
      </c>
      <c r="HC134" t="e">
        <f>AND(#REF!,"AAAAAHN99dI=")</f>
        <v>#REF!</v>
      </c>
      <c r="HD134" t="e">
        <f>AND(#REF!,"AAAAAHN99dM=")</f>
        <v>#REF!</v>
      </c>
      <c r="HE134" t="e">
        <f>AND(#REF!,"AAAAAHN99dQ=")</f>
        <v>#REF!</v>
      </c>
      <c r="HF134" t="e">
        <f>AND(#REF!,"AAAAAHN99dU=")</f>
        <v>#REF!</v>
      </c>
      <c r="HG134" t="e">
        <f>AND(#REF!,"AAAAAHN99dY=")</f>
        <v>#REF!</v>
      </c>
      <c r="HH134" t="e">
        <f>AND(#REF!,"AAAAAHN99dc=")</f>
        <v>#REF!</v>
      </c>
      <c r="HI134" t="e">
        <f>AND(#REF!,"AAAAAHN99dg=")</f>
        <v>#REF!</v>
      </c>
      <c r="HJ134" t="e">
        <f>AND(#REF!,"AAAAAHN99dk=")</f>
        <v>#REF!</v>
      </c>
      <c r="HK134" t="e">
        <f>IF(#REF!,"AAAAAHN99do=",0)</f>
        <v>#REF!</v>
      </c>
      <c r="HL134" t="e">
        <f>AND(#REF!,"AAAAAHN99ds=")</f>
        <v>#REF!</v>
      </c>
      <c r="HM134" t="e">
        <f>AND(#REF!,"AAAAAHN99dw=")</f>
        <v>#REF!</v>
      </c>
      <c r="HN134" t="e">
        <f>AND(#REF!,"AAAAAHN99d0=")</f>
        <v>#REF!</v>
      </c>
      <c r="HO134" t="e">
        <f>AND(#REF!,"AAAAAHN99d4=")</f>
        <v>#REF!</v>
      </c>
      <c r="HP134" t="e">
        <f>AND(#REF!,"AAAAAHN99d8=")</f>
        <v>#REF!</v>
      </c>
      <c r="HQ134" t="e">
        <f>AND(#REF!,"AAAAAHN99eA=")</f>
        <v>#REF!</v>
      </c>
      <c r="HR134" t="e">
        <f>AND(#REF!,"AAAAAHN99eE=")</f>
        <v>#REF!</v>
      </c>
      <c r="HS134" t="e">
        <f>AND(#REF!,"AAAAAHN99eI=")</f>
        <v>#REF!</v>
      </c>
      <c r="HT134" t="e">
        <f>AND(#REF!,"AAAAAHN99eM=")</f>
        <v>#REF!</v>
      </c>
      <c r="HU134" t="e">
        <f>AND(#REF!,"AAAAAHN99eQ=")</f>
        <v>#REF!</v>
      </c>
      <c r="HV134" t="e">
        <f>AND(#REF!,"AAAAAHN99eU=")</f>
        <v>#REF!</v>
      </c>
      <c r="HW134" t="e">
        <f>AND(#REF!,"AAAAAHN99eY=")</f>
        <v>#REF!</v>
      </c>
      <c r="HX134" t="e">
        <f>AND(#REF!,"AAAAAHN99ec=")</f>
        <v>#REF!</v>
      </c>
      <c r="HY134" t="e">
        <f>AND(#REF!,"AAAAAHN99eg=")</f>
        <v>#REF!</v>
      </c>
      <c r="HZ134" t="e">
        <f>AND(#REF!,"AAAAAHN99ek=")</f>
        <v>#REF!</v>
      </c>
      <c r="IA134" t="e">
        <f>AND(#REF!,"AAAAAHN99eo=")</f>
        <v>#REF!</v>
      </c>
      <c r="IB134" t="e">
        <f>AND(#REF!,"AAAAAHN99es=")</f>
        <v>#REF!</v>
      </c>
      <c r="IC134" t="e">
        <f>AND(#REF!,"AAAAAHN99ew=")</f>
        <v>#REF!</v>
      </c>
      <c r="ID134" t="e">
        <f>AND(#REF!,"AAAAAHN99e0=")</f>
        <v>#REF!</v>
      </c>
      <c r="IE134" t="e">
        <f>AND(#REF!,"AAAAAHN99e4=")</f>
        <v>#REF!</v>
      </c>
      <c r="IF134" t="e">
        <f>AND(#REF!,"AAAAAHN99e8=")</f>
        <v>#REF!</v>
      </c>
      <c r="IG134" t="e">
        <f>AND(#REF!,"AAAAAHN99fA=")</f>
        <v>#REF!</v>
      </c>
      <c r="IH134" t="e">
        <f>IF(#REF!,"AAAAAHN99fE=",0)</f>
        <v>#REF!</v>
      </c>
      <c r="II134" t="e">
        <f>AND(#REF!,"AAAAAHN99fI=")</f>
        <v>#REF!</v>
      </c>
      <c r="IJ134" t="e">
        <f>AND(#REF!,"AAAAAHN99fM=")</f>
        <v>#REF!</v>
      </c>
      <c r="IK134" t="e">
        <f>AND(#REF!,"AAAAAHN99fQ=")</f>
        <v>#REF!</v>
      </c>
      <c r="IL134" t="e">
        <f>AND(#REF!,"AAAAAHN99fU=")</f>
        <v>#REF!</v>
      </c>
      <c r="IM134" t="e">
        <f>AND(#REF!,"AAAAAHN99fY=")</f>
        <v>#REF!</v>
      </c>
      <c r="IN134" t="e">
        <f>AND(#REF!,"AAAAAHN99fc=")</f>
        <v>#REF!</v>
      </c>
      <c r="IO134" t="e">
        <f>AND(#REF!,"AAAAAHN99fg=")</f>
        <v>#REF!</v>
      </c>
      <c r="IP134" t="e">
        <f>AND(#REF!,"AAAAAHN99fk=")</f>
        <v>#REF!</v>
      </c>
      <c r="IQ134" t="e">
        <f>AND(#REF!,"AAAAAHN99fo=")</f>
        <v>#REF!</v>
      </c>
      <c r="IR134" t="e">
        <f>AND(#REF!,"AAAAAHN99fs=")</f>
        <v>#REF!</v>
      </c>
      <c r="IS134" t="e">
        <f>AND(#REF!,"AAAAAHN99fw=")</f>
        <v>#REF!</v>
      </c>
      <c r="IT134" t="e">
        <f>AND(#REF!,"AAAAAHN99f0=")</f>
        <v>#REF!</v>
      </c>
      <c r="IU134" t="e">
        <f>AND(#REF!,"AAAAAHN99f4=")</f>
        <v>#REF!</v>
      </c>
      <c r="IV134" t="e">
        <f>AND(#REF!,"AAAAAHN99f8=")</f>
        <v>#REF!</v>
      </c>
    </row>
    <row r="135" spans="1:256" x14ac:dyDescent="0.2">
      <c r="A135" t="e">
        <f>AND(#REF!,"AAAAAH75BwA=")</f>
        <v>#REF!</v>
      </c>
      <c r="B135" t="e">
        <f>AND(#REF!,"AAAAAH75BwE=")</f>
        <v>#REF!</v>
      </c>
      <c r="C135" t="e">
        <f>AND(#REF!,"AAAAAH75BwI=")</f>
        <v>#REF!</v>
      </c>
      <c r="D135" t="e">
        <f>AND(#REF!,"AAAAAH75BwM=")</f>
        <v>#REF!</v>
      </c>
      <c r="E135" t="e">
        <f>AND(#REF!,"AAAAAH75BwQ=")</f>
        <v>#REF!</v>
      </c>
      <c r="F135" t="e">
        <f>AND(#REF!,"AAAAAH75BwU=")</f>
        <v>#REF!</v>
      </c>
      <c r="G135" t="e">
        <f>AND(#REF!,"AAAAAH75BwY=")</f>
        <v>#REF!</v>
      </c>
      <c r="H135" t="e">
        <f>AND(#REF!,"AAAAAH75Bwc=")</f>
        <v>#REF!</v>
      </c>
      <c r="I135" t="e">
        <f>IF(#REF!,"AAAAAH75Bwg=",0)</f>
        <v>#REF!</v>
      </c>
      <c r="J135" t="e">
        <f>AND(#REF!,"AAAAAH75Bwk=")</f>
        <v>#REF!</v>
      </c>
      <c r="K135" t="e">
        <f>AND(#REF!,"AAAAAH75Bwo=")</f>
        <v>#REF!</v>
      </c>
      <c r="L135" t="e">
        <f>AND(#REF!,"AAAAAH75Bws=")</f>
        <v>#REF!</v>
      </c>
      <c r="M135" t="e">
        <f>AND(#REF!,"AAAAAH75Bww=")</f>
        <v>#REF!</v>
      </c>
      <c r="N135" t="e">
        <f>AND(#REF!,"AAAAAH75Bw0=")</f>
        <v>#REF!</v>
      </c>
      <c r="O135" t="e">
        <f>AND(#REF!,"AAAAAH75Bw4=")</f>
        <v>#REF!</v>
      </c>
      <c r="P135" t="e">
        <f>AND(#REF!,"AAAAAH75Bw8=")</f>
        <v>#REF!</v>
      </c>
      <c r="Q135" t="e">
        <f>AND(#REF!,"AAAAAH75BxA=")</f>
        <v>#REF!</v>
      </c>
      <c r="R135" t="e">
        <f>AND(#REF!,"AAAAAH75BxE=")</f>
        <v>#REF!</v>
      </c>
      <c r="S135" t="e">
        <f>AND(#REF!,"AAAAAH75BxI=")</f>
        <v>#REF!</v>
      </c>
      <c r="T135" t="e">
        <f>AND(#REF!,"AAAAAH75BxM=")</f>
        <v>#REF!</v>
      </c>
      <c r="U135" t="e">
        <f>AND(#REF!,"AAAAAH75BxQ=")</f>
        <v>#REF!</v>
      </c>
      <c r="V135" t="e">
        <f>AND(#REF!,"AAAAAH75BxU=")</f>
        <v>#REF!</v>
      </c>
      <c r="W135" t="e">
        <f>AND(#REF!,"AAAAAH75BxY=")</f>
        <v>#REF!</v>
      </c>
      <c r="X135" t="e">
        <f>AND(#REF!,"AAAAAH75Bxc=")</f>
        <v>#REF!</v>
      </c>
      <c r="Y135" t="e">
        <f>AND(#REF!,"AAAAAH75Bxg=")</f>
        <v>#REF!</v>
      </c>
      <c r="Z135" t="e">
        <f>AND(#REF!,"AAAAAH75Bxk=")</f>
        <v>#REF!</v>
      </c>
      <c r="AA135" t="e">
        <f>AND(#REF!,"AAAAAH75Bxo=")</f>
        <v>#REF!</v>
      </c>
      <c r="AB135" t="e">
        <f>AND(#REF!,"AAAAAH75Bxs=")</f>
        <v>#REF!</v>
      </c>
      <c r="AC135" t="e">
        <f>AND(#REF!,"AAAAAH75Bxw=")</f>
        <v>#REF!</v>
      </c>
      <c r="AD135" t="e">
        <f>AND(#REF!,"AAAAAH75Bx0=")</f>
        <v>#REF!</v>
      </c>
      <c r="AE135" t="e">
        <f>AND(#REF!,"AAAAAH75Bx4=")</f>
        <v>#REF!</v>
      </c>
      <c r="AF135" t="e">
        <f>IF(#REF!,"AAAAAH75Bx8=",0)</f>
        <v>#REF!</v>
      </c>
      <c r="AG135" t="e">
        <f>AND(#REF!,"AAAAAH75ByA=")</f>
        <v>#REF!</v>
      </c>
      <c r="AH135" t="e">
        <f>AND(#REF!,"AAAAAH75ByE=")</f>
        <v>#REF!</v>
      </c>
      <c r="AI135" t="e">
        <f>AND(#REF!,"AAAAAH75ByI=")</f>
        <v>#REF!</v>
      </c>
      <c r="AJ135" t="e">
        <f>AND(#REF!,"AAAAAH75ByM=")</f>
        <v>#REF!</v>
      </c>
      <c r="AK135" t="e">
        <f>AND(#REF!,"AAAAAH75ByQ=")</f>
        <v>#REF!</v>
      </c>
      <c r="AL135" t="e">
        <f>AND(#REF!,"AAAAAH75ByU=")</f>
        <v>#REF!</v>
      </c>
      <c r="AM135" t="e">
        <f>AND(#REF!,"AAAAAH75ByY=")</f>
        <v>#REF!</v>
      </c>
      <c r="AN135" t="e">
        <f>AND(#REF!,"AAAAAH75Byc=")</f>
        <v>#REF!</v>
      </c>
      <c r="AO135" t="e">
        <f>AND(#REF!,"AAAAAH75Byg=")</f>
        <v>#REF!</v>
      </c>
      <c r="AP135" t="e">
        <f>AND(#REF!,"AAAAAH75Byk=")</f>
        <v>#REF!</v>
      </c>
      <c r="AQ135" t="e">
        <f>AND(#REF!,"AAAAAH75Byo=")</f>
        <v>#REF!</v>
      </c>
      <c r="AR135" t="e">
        <f>AND(#REF!,"AAAAAH75Bys=")</f>
        <v>#REF!</v>
      </c>
      <c r="AS135" t="e">
        <f>AND(#REF!,"AAAAAH75Byw=")</f>
        <v>#REF!</v>
      </c>
      <c r="AT135" t="e">
        <f>AND(#REF!,"AAAAAH75By0=")</f>
        <v>#REF!</v>
      </c>
      <c r="AU135" t="e">
        <f>AND(#REF!,"AAAAAH75By4=")</f>
        <v>#REF!</v>
      </c>
      <c r="AV135" t="e">
        <f>AND(#REF!,"AAAAAH75By8=")</f>
        <v>#REF!</v>
      </c>
      <c r="AW135" t="e">
        <f>AND(#REF!,"AAAAAH75BzA=")</f>
        <v>#REF!</v>
      </c>
      <c r="AX135" t="e">
        <f>AND(#REF!,"AAAAAH75BzE=")</f>
        <v>#REF!</v>
      </c>
      <c r="AY135" t="e">
        <f>AND(#REF!,"AAAAAH75BzI=")</f>
        <v>#REF!</v>
      </c>
      <c r="AZ135" t="e">
        <f>AND(#REF!,"AAAAAH75BzM=")</f>
        <v>#REF!</v>
      </c>
      <c r="BA135" t="e">
        <f>AND(#REF!,"AAAAAH75BzQ=")</f>
        <v>#REF!</v>
      </c>
      <c r="BB135" t="e">
        <f>AND(#REF!,"AAAAAH75BzU=")</f>
        <v>#REF!</v>
      </c>
      <c r="BC135" t="e">
        <f>IF(#REF!,"AAAAAH75BzY=",0)</f>
        <v>#REF!</v>
      </c>
      <c r="BD135" t="e">
        <f>AND(#REF!,"AAAAAH75Bzc=")</f>
        <v>#REF!</v>
      </c>
      <c r="BE135" t="e">
        <f>AND(#REF!,"AAAAAH75Bzg=")</f>
        <v>#REF!</v>
      </c>
      <c r="BF135" t="e">
        <f>AND(#REF!,"AAAAAH75Bzk=")</f>
        <v>#REF!</v>
      </c>
      <c r="BG135" t="e">
        <f>AND(#REF!,"AAAAAH75Bzo=")</f>
        <v>#REF!</v>
      </c>
      <c r="BH135" t="e">
        <f>AND(#REF!,"AAAAAH75Bzs=")</f>
        <v>#REF!</v>
      </c>
      <c r="BI135" t="e">
        <f>AND(#REF!,"AAAAAH75Bzw=")</f>
        <v>#REF!</v>
      </c>
      <c r="BJ135" t="e">
        <f>AND(#REF!,"AAAAAH75Bz0=")</f>
        <v>#REF!</v>
      </c>
      <c r="BK135" t="e">
        <f>AND(#REF!,"AAAAAH75Bz4=")</f>
        <v>#REF!</v>
      </c>
      <c r="BL135" t="e">
        <f>AND(#REF!,"AAAAAH75Bz8=")</f>
        <v>#REF!</v>
      </c>
      <c r="BM135" t="e">
        <f>AND(#REF!,"AAAAAH75B0A=")</f>
        <v>#REF!</v>
      </c>
      <c r="BN135" t="e">
        <f>AND(#REF!,"AAAAAH75B0E=")</f>
        <v>#REF!</v>
      </c>
      <c r="BO135" t="e">
        <f>AND(#REF!,"AAAAAH75B0I=")</f>
        <v>#REF!</v>
      </c>
      <c r="BP135" t="e">
        <f>AND(#REF!,"AAAAAH75B0M=")</f>
        <v>#REF!</v>
      </c>
      <c r="BQ135" t="e">
        <f>AND(#REF!,"AAAAAH75B0Q=")</f>
        <v>#REF!</v>
      </c>
      <c r="BR135" t="e">
        <f>AND(#REF!,"AAAAAH75B0U=")</f>
        <v>#REF!</v>
      </c>
      <c r="BS135" t="e">
        <f>AND(#REF!,"AAAAAH75B0Y=")</f>
        <v>#REF!</v>
      </c>
      <c r="BT135" t="e">
        <f>AND(#REF!,"AAAAAH75B0c=")</f>
        <v>#REF!</v>
      </c>
      <c r="BU135" t="e">
        <f>AND(#REF!,"AAAAAH75B0g=")</f>
        <v>#REF!</v>
      </c>
      <c r="BV135" t="e">
        <f>AND(#REF!,"AAAAAH75B0k=")</f>
        <v>#REF!</v>
      </c>
      <c r="BW135" t="e">
        <f>AND(#REF!,"AAAAAH75B0o=")</f>
        <v>#REF!</v>
      </c>
      <c r="BX135" t="e">
        <f>AND(#REF!,"AAAAAH75B0s=")</f>
        <v>#REF!</v>
      </c>
      <c r="BY135" t="e">
        <f>AND(#REF!,"AAAAAH75B0w=")</f>
        <v>#REF!</v>
      </c>
      <c r="BZ135" t="e">
        <f>IF(#REF!,"AAAAAH75B00=",0)</f>
        <v>#REF!</v>
      </c>
      <c r="CA135" t="e">
        <f>AND(#REF!,"AAAAAH75B04=")</f>
        <v>#REF!</v>
      </c>
      <c r="CB135" t="e">
        <f>AND(#REF!,"AAAAAH75B08=")</f>
        <v>#REF!</v>
      </c>
      <c r="CC135" t="e">
        <f>AND(#REF!,"AAAAAH75B1A=")</f>
        <v>#REF!</v>
      </c>
      <c r="CD135" t="e">
        <f>AND(#REF!,"AAAAAH75B1E=")</f>
        <v>#REF!</v>
      </c>
      <c r="CE135" t="e">
        <f>AND(#REF!,"AAAAAH75B1I=")</f>
        <v>#REF!</v>
      </c>
      <c r="CF135" t="e">
        <f>AND(#REF!,"AAAAAH75B1M=")</f>
        <v>#REF!</v>
      </c>
      <c r="CG135" t="e">
        <f>AND(#REF!,"AAAAAH75B1Q=")</f>
        <v>#REF!</v>
      </c>
      <c r="CH135" t="e">
        <f>AND(#REF!,"AAAAAH75B1U=")</f>
        <v>#REF!</v>
      </c>
      <c r="CI135" t="e">
        <f>AND(#REF!,"AAAAAH75B1Y=")</f>
        <v>#REF!</v>
      </c>
      <c r="CJ135" t="e">
        <f>AND(#REF!,"AAAAAH75B1c=")</f>
        <v>#REF!</v>
      </c>
      <c r="CK135" t="e">
        <f>AND(#REF!,"AAAAAH75B1g=")</f>
        <v>#REF!</v>
      </c>
      <c r="CL135" t="e">
        <f>AND(#REF!,"AAAAAH75B1k=")</f>
        <v>#REF!</v>
      </c>
      <c r="CM135" t="e">
        <f>AND(#REF!,"AAAAAH75B1o=")</f>
        <v>#REF!</v>
      </c>
      <c r="CN135" t="e">
        <f>AND(#REF!,"AAAAAH75B1s=")</f>
        <v>#REF!</v>
      </c>
      <c r="CO135" t="e">
        <f>AND(#REF!,"AAAAAH75B1w=")</f>
        <v>#REF!</v>
      </c>
      <c r="CP135" t="e">
        <f>AND(#REF!,"AAAAAH75B10=")</f>
        <v>#REF!</v>
      </c>
      <c r="CQ135" t="e">
        <f>AND(#REF!,"AAAAAH75B14=")</f>
        <v>#REF!</v>
      </c>
      <c r="CR135" t="e">
        <f>AND(#REF!,"AAAAAH75B18=")</f>
        <v>#REF!</v>
      </c>
      <c r="CS135" t="e">
        <f>AND(#REF!,"AAAAAH75B2A=")</f>
        <v>#REF!</v>
      </c>
      <c r="CT135" t="e">
        <f>AND(#REF!,"AAAAAH75B2E=")</f>
        <v>#REF!</v>
      </c>
      <c r="CU135" t="e">
        <f>AND(#REF!,"AAAAAH75B2I=")</f>
        <v>#REF!</v>
      </c>
      <c r="CV135" t="e">
        <f>AND(#REF!,"AAAAAH75B2M=")</f>
        <v>#REF!</v>
      </c>
      <c r="CW135" t="e">
        <f>IF(#REF!,"AAAAAH75B2Q=",0)</f>
        <v>#REF!</v>
      </c>
      <c r="CX135" t="e">
        <f>AND(#REF!,"AAAAAH75B2U=")</f>
        <v>#REF!</v>
      </c>
      <c r="CY135" t="e">
        <f>AND(#REF!,"AAAAAH75B2Y=")</f>
        <v>#REF!</v>
      </c>
      <c r="CZ135" t="e">
        <f>AND(#REF!,"AAAAAH75B2c=")</f>
        <v>#REF!</v>
      </c>
      <c r="DA135" t="e">
        <f>AND(#REF!,"AAAAAH75B2g=")</f>
        <v>#REF!</v>
      </c>
      <c r="DB135" t="e">
        <f>AND(#REF!,"AAAAAH75B2k=")</f>
        <v>#REF!</v>
      </c>
      <c r="DC135" t="e">
        <f>AND(#REF!,"AAAAAH75B2o=")</f>
        <v>#REF!</v>
      </c>
      <c r="DD135" t="e">
        <f>AND(#REF!,"AAAAAH75B2s=")</f>
        <v>#REF!</v>
      </c>
      <c r="DE135" t="e">
        <f>AND(#REF!,"AAAAAH75B2w=")</f>
        <v>#REF!</v>
      </c>
      <c r="DF135" t="e">
        <f>AND(#REF!,"AAAAAH75B20=")</f>
        <v>#REF!</v>
      </c>
      <c r="DG135" t="e">
        <f>AND(#REF!,"AAAAAH75B24=")</f>
        <v>#REF!</v>
      </c>
      <c r="DH135" t="e">
        <f>AND(#REF!,"AAAAAH75B28=")</f>
        <v>#REF!</v>
      </c>
      <c r="DI135" t="e">
        <f>AND(#REF!,"AAAAAH75B3A=")</f>
        <v>#REF!</v>
      </c>
      <c r="DJ135" t="e">
        <f>AND(#REF!,"AAAAAH75B3E=")</f>
        <v>#REF!</v>
      </c>
      <c r="DK135" t="e">
        <f>AND(#REF!,"AAAAAH75B3I=")</f>
        <v>#REF!</v>
      </c>
      <c r="DL135" t="e">
        <f>AND(#REF!,"AAAAAH75B3M=")</f>
        <v>#REF!</v>
      </c>
      <c r="DM135" t="e">
        <f>AND(#REF!,"AAAAAH75B3Q=")</f>
        <v>#REF!</v>
      </c>
      <c r="DN135" t="e">
        <f>AND(#REF!,"AAAAAH75B3U=")</f>
        <v>#REF!</v>
      </c>
      <c r="DO135" t="e">
        <f>AND(#REF!,"AAAAAH75B3Y=")</f>
        <v>#REF!</v>
      </c>
      <c r="DP135" t="e">
        <f>AND(#REF!,"AAAAAH75B3c=")</f>
        <v>#REF!</v>
      </c>
      <c r="DQ135" t="e">
        <f>AND(#REF!,"AAAAAH75B3g=")</f>
        <v>#REF!</v>
      </c>
      <c r="DR135" t="e">
        <f>AND(#REF!,"AAAAAH75B3k=")</f>
        <v>#REF!</v>
      </c>
      <c r="DS135" t="e">
        <f>AND(#REF!,"AAAAAH75B3o=")</f>
        <v>#REF!</v>
      </c>
      <c r="DT135" t="e">
        <f>IF(#REF!,"AAAAAH75B3s=",0)</f>
        <v>#REF!</v>
      </c>
      <c r="DU135" t="e">
        <f>AND(#REF!,"AAAAAH75B3w=")</f>
        <v>#REF!</v>
      </c>
      <c r="DV135" t="e">
        <f>AND(#REF!,"AAAAAH75B30=")</f>
        <v>#REF!</v>
      </c>
      <c r="DW135" t="e">
        <f>AND(#REF!,"AAAAAH75B34=")</f>
        <v>#REF!</v>
      </c>
      <c r="DX135" t="e">
        <f>AND(#REF!,"AAAAAH75B38=")</f>
        <v>#REF!</v>
      </c>
      <c r="DY135" t="e">
        <f>AND(#REF!,"AAAAAH75B4A=")</f>
        <v>#REF!</v>
      </c>
      <c r="DZ135" t="e">
        <f>AND(#REF!,"AAAAAH75B4E=")</f>
        <v>#REF!</v>
      </c>
      <c r="EA135" t="e">
        <f>AND(#REF!,"AAAAAH75B4I=")</f>
        <v>#REF!</v>
      </c>
      <c r="EB135" t="e">
        <f>AND(#REF!,"AAAAAH75B4M=")</f>
        <v>#REF!</v>
      </c>
      <c r="EC135" t="e">
        <f>AND(#REF!,"AAAAAH75B4Q=")</f>
        <v>#REF!</v>
      </c>
      <c r="ED135" t="e">
        <f>AND(#REF!,"AAAAAH75B4U=")</f>
        <v>#REF!</v>
      </c>
      <c r="EE135" t="e">
        <f>AND(#REF!,"AAAAAH75B4Y=")</f>
        <v>#REF!</v>
      </c>
      <c r="EF135" t="e">
        <f>AND(#REF!,"AAAAAH75B4c=")</f>
        <v>#REF!</v>
      </c>
      <c r="EG135" t="e">
        <f>AND(#REF!,"AAAAAH75B4g=")</f>
        <v>#REF!</v>
      </c>
      <c r="EH135" t="e">
        <f>AND(#REF!,"AAAAAH75B4k=")</f>
        <v>#REF!</v>
      </c>
      <c r="EI135" t="e">
        <f>AND(#REF!,"AAAAAH75B4o=")</f>
        <v>#REF!</v>
      </c>
      <c r="EJ135" t="e">
        <f>AND(#REF!,"AAAAAH75B4s=")</f>
        <v>#REF!</v>
      </c>
      <c r="EK135" t="e">
        <f>AND(#REF!,"AAAAAH75B4w=")</f>
        <v>#REF!</v>
      </c>
      <c r="EL135" t="e">
        <f>AND(#REF!,"AAAAAH75B40=")</f>
        <v>#REF!</v>
      </c>
      <c r="EM135" t="e">
        <f>AND(#REF!,"AAAAAH75B44=")</f>
        <v>#REF!</v>
      </c>
      <c r="EN135" t="e">
        <f>AND(#REF!,"AAAAAH75B48=")</f>
        <v>#REF!</v>
      </c>
      <c r="EO135" t="e">
        <f>AND(#REF!,"AAAAAH75B5A=")</f>
        <v>#REF!</v>
      </c>
      <c r="EP135" t="e">
        <f>AND(#REF!,"AAAAAH75B5E=")</f>
        <v>#REF!</v>
      </c>
      <c r="EQ135" t="e">
        <f>IF(#REF!,"AAAAAH75B5I=",0)</f>
        <v>#REF!</v>
      </c>
      <c r="ER135" t="e">
        <f>AND(#REF!,"AAAAAH75B5M=")</f>
        <v>#REF!</v>
      </c>
      <c r="ES135" t="e">
        <f>AND(#REF!,"AAAAAH75B5Q=")</f>
        <v>#REF!</v>
      </c>
      <c r="ET135" t="e">
        <f>AND(#REF!,"AAAAAH75B5U=")</f>
        <v>#REF!</v>
      </c>
      <c r="EU135" t="e">
        <f>AND(#REF!,"AAAAAH75B5Y=")</f>
        <v>#REF!</v>
      </c>
      <c r="EV135" t="e">
        <f>AND(#REF!,"AAAAAH75B5c=")</f>
        <v>#REF!</v>
      </c>
      <c r="EW135" t="e">
        <f>AND(#REF!,"AAAAAH75B5g=")</f>
        <v>#REF!</v>
      </c>
      <c r="EX135" t="e">
        <f>AND(#REF!,"AAAAAH75B5k=")</f>
        <v>#REF!</v>
      </c>
      <c r="EY135" t="e">
        <f>AND(#REF!,"AAAAAH75B5o=")</f>
        <v>#REF!</v>
      </c>
      <c r="EZ135" t="e">
        <f>AND(#REF!,"AAAAAH75B5s=")</f>
        <v>#REF!</v>
      </c>
      <c r="FA135" t="e">
        <f>AND(#REF!,"AAAAAH75B5w=")</f>
        <v>#REF!</v>
      </c>
      <c r="FB135" t="e">
        <f>AND(#REF!,"AAAAAH75B50=")</f>
        <v>#REF!</v>
      </c>
      <c r="FC135" t="e">
        <f>AND(#REF!,"AAAAAH75B54=")</f>
        <v>#REF!</v>
      </c>
      <c r="FD135" t="e">
        <f>AND(#REF!,"AAAAAH75B58=")</f>
        <v>#REF!</v>
      </c>
      <c r="FE135" t="e">
        <f>AND(#REF!,"AAAAAH75B6A=")</f>
        <v>#REF!</v>
      </c>
      <c r="FF135" t="e">
        <f>AND(#REF!,"AAAAAH75B6E=")</f>
        <v>#REF!</v>
      </c>
      <c r="FG135" t="e">
        <f>AND(#REF!,"AAAAAH75B6I=")</f>
        <v>#REF!</v>
      </c>
      <c r="FH135" t="e">
        <f>AND(#REF!,"AAAAAH75B6M=")</f>
        <v>#REF!</v>
      </c>
      <c r="FI135" t="e">
        <f>AND(#REF!,"AAAAAH75B6Q=")</f>
        <v>#REF!</v>
      </c>
      <c r="FJ135" t="e">
        <f>AND(#REF!,"AAAAAH75B6U=")</f>
        <v>#REF!</v>
      </c>
      <c r="FK135" t="e">
        <f>AND(#REF!,"AAAAAH75B6Y=")</f>
        <v>#REF!</v>
      </c>
      <c r="FL135" t="e">
        <f>AND(#REF!,"AAAAAH75B6c=")</f>
        <v>#REF!</v>
      </c>
      <c r="FM135" t="e">
        <f>AND(#REF!,"AAAAAH75B6g=")</f>
        <v>#REF!</v>
      </c>
      <c r="FN135" t="e">
        <f>IF(#REF!,"AAAAAH75B6k=",0)</f>
        <v>#REF!</v>
      </c>
      <c r="FO135" t="e">
        <f>AND(#REF!,"AAAAAH75B6o=")</f>
        <v>#REF!</v>
      </c>
      <c r="FP135" t="e">
        <f>AND(#REF!,"AAAAAH75B6s=")</f>
        <v>#REF!</v>
      </c>
      <c r="FQ135" t="e">
        <f>AND(#REF!,"AAAAAH75B6w=")</f>
        <v>#REF!</v>
      </c>
      <c r="FR135" t="e">
        <f>AND(#REF!,"AAAAAH75B60=")</f>
        <v>#REF!</v>
      </c>
      <c r="FS135" t="e">
        <f>AND(#REF!,"AAAAAH75B64=")</f>
        <v>#REF!</v>
      </c>
      <c r="FT135" t="e">
        <f>AND(#REF!,"AAAAAH75B68=")</f>
        <v>#REF!</v>
      </c>
      <c r="FU135" t="e">
        <f>AND(#REF!,"AAAAAH75B7A=")</f>
        <v>#REF!</v>
      </c>
      <c r="FV135" t="e">
        <f>AND(#REF!,"AAAAAH75B7E=")</f>
        <v>#REF!</v>
      </c>
      <c r="FW135" t="e">
        <f>AND(#REF!,"AAAAAH75B7I=")</f>
        <v>#REF!</v>
      </c>
      <c r="FX135" t="e">
        <f>AND(#REF!,"AAAAAH75B7M=")</f>
        <v>#REF!</v>
      </c>
      <c r="FY135" t="e">
        <f>AND(#REF!,"AAAAAH75B7Q=")</f>
        <v>#REF!</v>
      </c>
      <c r="FZ135" t="e">
        <f>AND(#REF!,"AAAAAH75B7U=")</f>
        <v>#REF!</v>
      </c>
      <c r="GA135" t="e">
        <f>AND(#REF!,"AAAAAH75B7Y=")</f>
        <v>#REF!</v>
      </c>
      <c r="GB135" t="e">
        <f>AND(#REF!,"AAAAAH75B7c=")</f>
        <v>#REF!</v>
      </c>
      <c r="GC135" t="e">
        <f>AND(#REF!,"AAAAAH75B7g=")</f>
        <v>#REF!</v>
      </c>
      <c r="GD135" t="e">
        <f>AND(#REF!,"AAAAAH75B7k=")</f>
        <v>#REF!</v>
      </c>
      <c r="GE135" t="e">
        <f>AND(#REF!,"AAAAAH75B7o=")</f>
        <v>#REF!</v>
      </c>
      <c r="GF135" t="e">
        <f>AND(#REF!,"AAAAAH75B7s=")</f>
        <v>#REF!</v>
      </c>
      <c r="GG135" t="e">
        <f>AND(#REF!,"AAAAAH75B7w=")</f>
        <v>#REF!</v>
      </c>
      <c r="GH135" t="e">
        <f>AND(#REF!,"AAAAAH75B70=")</f>
        <v>#REF!</v>
      </c>
      <c r="GI135" t="e">
        <f>AND(#REF!,"AAAAAH75B74=")</f>
        <v>#REF!</v>
      </c>
      <c r="GJ135" t="e">
        <f>AND(#REF!,"AAAAAH75B78=")</f>
        <v>#REF!</v>
      </c>
      <c r="GK135" t="e">
        <f>IF(#REF!,"AAAAAH75B8A=",0)</f>
        <v>#REF!</v>
      </c>
      <c r="GL135" t="e">
        <f>AND(#REF!,"AAAAAH75B8E=")</f>
        <v>#REF!</v>
      </c>
      <c r="GM135" t="e">
        <f>AND(#REF!,"AAAAAH75B8I=")</f>
        <v>#REF!</v>
      </c>
      <c r="GN135" t="e">
        <f>AND(#REF!,"AAAAAH75B8M=")</f>
        <v>#REF!</v>
      </c>
      <c r="GO135" t="e">
        <f>AND(#REF!,"AAAAAH75B8Q=")</f>
        <v>#REF!</v>
      </c>
      <c r="GP135" t="e">
        <f>AND(#REF!,"AAAAAH75B8U=")</f>
        <v>#REF!</v>
      </c>
      <c r="GQ135" t="e">
        <f>AND(#REF!,"AAAAAH75B8Y=")</f>
        <v>#REF!</v>
      </c>
      <c r="GR135" t="e">
        <f>AND(#REF!,"AAAAAH75B8c=")</f>
        <v>#REF!</v>
      </c>
      <c r="GS135" t="e">
        <f>AND(#REF!,"AAAAAH75B8g=")</f>
        <v>#REF!</v>
      </c>
      <c r="GT135" t="e">
        <f>AND(#REF!,"AAAAAH75B8k=")</f>
        <v>#REF!</v>
      </c>
      <c r="GU135" t="e">
        <f>AND(#REF!,"AAAAAH75B8o=")</f>
        <v>#REF!</v>
      </c>
      <c r="GV135" t="e">
        <f>AND(#REF!,"AAAAAH75B8s=")</f>
        <v>#REF!</v>
      </c>
      <c r="GW135" t="e">
        <f>AND(#REF!,"AAAAAH75B8w=")</f>
        <v>#REF!</v>
      </c>
      <c r="GX135" t="e">
        <f>AND(#REF!,"AAAAAH75B80=")</f>
        <v>#REF!</v>
      </c>
      <c r="GY135" t="e">
        <f>AND(#REF!,"AAAAAH75B84=")</f>
        <v>#REF!</v>
      </c>
      <c r="GZ135" t="e">
        <f>AND(#REF!,"AAAAAH75B88=")</f>
        <v>#REF!</v>
      </c>
      <c r="HA135" t="e">
        <f>AND(#REF!,"AAAAAH75B9A=")</f>
        <v>#REF!</v>
      </c>
      <c r="HB135" t="e">
        <f>AND(#REF!,"AAAAAH75B9E=")</f>
        <v>#REF!</v>
      </c>
      <c r="HC135" t="e">
        <f>AND(#REF!,"AAAAAH75B9I=")</f>
        <v>#REF!</v>
      </c>
      <c r="HD135" t="e">
        <f>AND(#REF!,"AAAAAH75B9M=")</f>
        <v>#REF!</v>
      </c>
      <c r="HE135" t="e">
        <f>AND(#REF!,"AAAAAH75B9Q=")</f>
        <v>#REF!</v>
      </c>
      <c r="HF135" t="e">
        <f>AND(#REF!,"AAAAAH75B9U=")</f>
        <v>#REF!</v>
      </c>
      <c r="HG135" t="e">
        <f>AND(#REF!,"AAAAAH75B9Y=")</f>
        <v>#REF!</v>
      </c>
      <c r="HH135" t="e">
        <f>IF(#REF!,"AAAAAH75B9c=",0)</f>
        <v>#REF!</v>
      </c>
      <c r="HI135" t="e">
        <f>AND(#REF!,"AAAAAH75B9g=")</f>
        <v>#REF!</v>
      </c>
      <c r="HJ135" t="e">
        <f>AND(#REF!,"AAAAAH75B9k=")</f>
        <v>#REF!</v>
      </c>
      <c r="HK135" t="e">
        <f>AND(#REF!,"AAAAAH75B9o=")</f>
        <v>#REF!</v>
      </c>
      <c r="HL135" t="e">
        <f>AND(#REF!,"AAAAAH75B9s=")</f>
        <v>#REF!</v>
      </c>
      <c r="HM135" t="e">
        <f>AND(#REF!,"AAAAAH75B9w=")</f>
        <v>#REF!</v>
      </c>
      <c r="HN135" t="e">
        <f>AND(#REF!,"AAAAAH75B90=")</f>
        <v>#REF!</v>
      </c>
      <c r="HO135" t="e">
        <f>AND(#REF!,"AAAAAH75B94=")</f>
        <v>#REF!</v>
      </c>
      <c r="HP135" t="e">
        <f>AND(#REF!,"AAAAAH75B98=")</f>
        <v>#REF!</v>
      </c>
      <c r="HQ135" t="e">
        <f>AND(#REF!,"AAAAAH75B+A=")</f>
        <v>#REF!</v>
      </c>
      <c r="HR135" t="e">
        <f>AND(#REF!,"AAAAAH75B+E=")</f>
        <v>#REF!</v>
      </c>
      <c r="HS135" t="e">
        <f>AND(#REF!,"AAAAAH75B+I=")</f>
        <v>#REF!</v>
      </c>
      <c r="HT135" t="e">
        <f>AND(#REF!,"AAAAAH75B+M=")</f>
        <v>#REF!</v>
      </c>
      <c r="HU135" t="e">
        <f>AND(#REF!,"AAAAAH75B+Q=")</f>
        <v>#REF!</v>
      </c>
      <c r="HV135" t="e">
        <f>AND(#REF!,"AAAAAH75B+U=")</f>
        <v>#REF!</v>
      </c>
      <c r="HW135" t="e">
        <f>AND(#REF!,"AAAAAH75B+Y=")</f>
        <v>#REF!</v>
      </c>
      <c r="HX135" t="e">
        <f>AND(#REF!,"AAAAAH75B+c=")</f>
        <v>#REF!</v>
      </c>
      <c r="HY135" t="e">
        <f>AND(#REF!,"AAAAAH75B+g=")</f>
        <v>#REF!</v>
      </c>
      <c r="HZ135" t="e">
        <f>AND(#REF!,"AAAAAH75B+k=")</f>
        <v>#REF!</v>
      </c>
      <c r="IA135" t="e">
        <f>AND(#REF!,"AAAAAH75B+o=")</f>
        <v>#REF!</v>
      </c>
      <c r="IB135" t="e">
        <f>AND(#REF!,"AAAAAH75B+s=")</f>
        <v>#REF!</v>
      </c>
      <c r="IC135" t="e">
        <f>AND(#REF!,"AAAAAH75B+w=")</f>
        <v>#REF!</v>
      </c>
      <c r="ID135" t="e">
        <f>AND(#REF!,"AAAAAH75B+0=")</f>
        <v>#REF!</v>
      </c>
      <c r="IE135" t="e">
        <f>IF(#REF!,"AAAAAH75B+4=",0)</f>
        <v>#REF!</v>
      </c>
      <c r="IF135" t="e">
        <f>AND(#REF!,"AAAAAH75B+8=")</f>
        <v>#REF!</v>
      </c>
      <c r="IG135" t="e">
        <f>AND(#REF!,"AAAAAH75B/A=")</f>
        <v>#REF!</v>
      </c>
      <c r="IH135" t="e">
        <f>AND(#REF!,"AAAAAH75B/E=")</f>
        <v>#REF!</v>
      </c>
      <c r="II135" t="e">
        <f>AND(#REF!,"AAAAAH75B/I=")</f>
        <v>#REF!</v>
      </c>
      <c r="IJ135" t="e">
        <f>AND(#REF!,"AAAAAH75B/M=")</f>
        <v>#REF!</v>
      </c>
      <c r="IK135" t="e">
        <f>AND(#REF!,"AAAAAH75B/Q=")</f>
        <v>#REF!</v>
      </c>
      <c r="IL135" t="e">
        <f>AND(#REF!,"AAAAAH75B/U=")</f>
        <v>#REF!</v>
      </c>
      <c r="IM135" t="e">
        <f>AND(#REF!,"AAAAAH75B/Y=")</f>
        <v>#REF!</v>
      </c>
      <c r="IN135" t="e">
        <f>AND(#REF!,"AAAAAH75B/c=")</f>
        <v>#REF!</v>
      </c>
      <c r="IO135" t="e">
        <f>AND(#REF!,"AAAAAH75B/g=")</f>
        <v>#REF!</v>
      </c>
      <c r="IP135" t="e">
        <f>AND(#REF!,"AAAAAH75B/k=")</f>
        <v>#REF!</v>
      </c>
      <c r="IQ135" t="e">
        <f>AND(#REF!,"AAAAAH75B/o=")</f>
        <v>#REF!</v>
      </c>
      <c r="IR135" t="e">
        <f>AND(#REF!,"AAAAAH75B/s=")</f>
        <v>#REF!</v>
      </c>
      <c r="IS135" t="e">
        <f>AND(#REF!,"AAAAAH75B/w=")</f>
        <v>#REF!</v>
      </c>
      <c r="IT135" t="e">
        <f>AND(#REF!,"AAAAAH75B/0=")</f>
        <v>#REF!</v>
      </c>
      <c r="IU135" t="e">
        <f>AND(#REF!,"AAAAAH75B/4=")</f>
        <v>#REF!</v>
      </c>
      <c r="IV135" t="e">
        <f>AND(#REF!,"AAAAAH75B/8=")</f>
        <v>#REF!</v>
      </c>
    </row>
    <row r="136" spans="1:256" x14ac:dyDescent="0.2">
      <c r="A136" t="e">
        <f>AND(#REF!,"AAAAAC/W3wA=")</f>
        <v>#REF!</v>
      </c>
      <c r="B136" t="e">
        <f>AND(#REF!,"AAAAAC/W3wE=")</f>
        <v>#REF!</v>
      </c>
      <c r="C136" t="e">
        <f>AND(#REF!,"AAAAAC/W3wI=")</f>
        <v>#REF!</v>
      </c>
      <c r="D136" t="e">
        <f>AND(#REF!,"AAAAAC/W3wM=")</f>
        <v>#REF!</v>
      </c>
      <c r="E136" t="e">
        <f>AND(#REF!,"AAAAAC/W3wQ=")</f>
        <v>#REF!</v>
      </c>
      <c r="F136" t="e">
        <f>IF(#REF!,"AAAAAC/W3wU=",0)</f>
        <v>#REF!</v>
      </c>
      <c r="G136" t="e">
        <f>AND(#REF!,"AAAAAC/W3wY=")</f>
        <v>#REF!</v>
      </c>
      <c r="H136" t="e">
        <f>AND(#REF!,"AAAAAC/W3wc=")</f>
        <v>#REF!</v>
      </c>
      <c r="I136" t="e">
        <f>AND(#REF!,"AAAAAC/W3wg=")</f>
        <v>#REF!</v>
      </c>
      <c r="J136" t="e">
        <f>AND(#REF!,"AAAAAC/W3wk=")</f>
        <v>#REF!</v>
      </c>
      <c r="K136" t="e">
        <f>AND(#REF!,"AAAAAC/W3wo=")</f>
        <v>#REF!</v>
      </c>
      <c r="L136" t="e">
        <f>AND(#REF!,"AAAAAC/W3ws=")</f>
        <v>#REF!</v>
      </c>
      <c r="M136" t="e">
        <f>AND(#REF!,"AAAAAC/W3ww=")</f>
        <v>#REF!</v>
      </c>
      <c r="N136" t="e">
        <f>AND(#REF!,"AAAAAC/W3w0=")</f>
        <v>#REF!</v>
      </c>
      <c r="O136" t="e">
        <f>AND(#REF!,"AAAAAC/W3w4=")</f>
        <v>#REF!</v>
      </c>
      <c r="P136" t="e">
        <f>AND(#REF!,"AAAAAC/W3w8=")</f>
        <v>#REF!</v>
      </c>
      <c r="Q136" t="e">
        <f>AND(#REF!,"AAAAAC/W3xA=")</f>
        <v>#REF!</v>
      </c>
      <c r="R136" t="e">
        <f>AND(#REF!,"AAAAAC/W3xE=")</f>
        <v>#REF!</v>
      </c>
      <c r="S136" t="e">
        <f>AND(#REF!,"AAAAAC/W3xI=")</f>
        <v>#REF!</v>
      </c>
      <c r="T136" t="e">
        <f>AND(#REF!,"AAAAAC/W3xM=")</f>
        <v>#REF!</v>
      </c>
      <c r="U136" t="e">
        <f>AND(#REF!,"AAAAAC/W3xQ=")</f>
        <v>#REF!</v>
      </c>
      <c r="V136" t="e">
        <f>AND(#REF!,"AAAAAC/W3xU=")</f>
        <v>#REF!</v>
      </c>
      <c r="W136" t="e">
        <f>AND(#REF!,"AAAAAC/W3xY=")</f>
        <v>#REF!</v>
      </c>
      <c r="X136" t="e">
        <f>AND(#REF!,"AAAAAC/W3xc=")</f>
        <v>#REF!</v>
      </c>
      <c r="Y136" t="e">
        <f>AND(#REF!,"AAAAAC/W3xg=")</f>
        <v>#REF!</v>
      </c>
      <c r="Z136" t="e">
        <f>AND(#REF!,"AAAAAC/W3xk=")</f>
        <v>#REF!</v>
      </c>
      <c r="AA136" t="e">
        <f>AND(#REF!,"AAAAAC/W3xo=")</f>
        <v>#REF!</v>
      </c>
      <c r="AB136" t="e">
        <f>AND(#REF!,"AAAAAC/W3xs=")</f>
        <v>#REF!</v>
      </c>
      <c r="AC136" t="e">
        <f>IF(#REF!,"AAAAAC/W3xw=",0)</f>
        <v>#REF!</v>
      </c>
      <c r="AD136" t="e">
        <f>AND(#REF!,"AAAAAC/W3x0=")</f>
        <v>#REF!</v>
      </c>
      <c r="AE136" t="e">
        <f>AND(#REF!,"AAAAAC/W3x4=")</f>
        <v>#REF!</v>
      </c>
      <c r="AF136" t="e">
        <f>AND(#REF!,"AAAAAC/W3x8=")</f>
        <v>#REF!</v>
      </c>
      <c r="AG136" t="e">
        <f>AND(#REF!,"AAAAAC/W3yA=")</f>
        <v>#REF!</v>
      </c>
      <c r="AH136" t="e">
        <f>AND(#REF!,"AAAAAC/W3yE=")</f>
        <v>#REF!</v>
      </c>
      <c r="AI136" t="e">
        <f>AND(#REF!,"AAAAAC/W3yI=")</f>
        <v>#REF!</v>
      </c>
      <c r="AJ136" t="e">
        <f>AND(#REF!,"AAAAAC/W3yM=")</f>
        <v>#REF!</v>
      </c>
      <c r="AK136" t="e">
        <f>AND(#REF!,"AAAAAC/W3yQ=")</f>
        <v>#REF!</v>
      </c>
      <c r="AL136" t="e">
        <f>AND(#REF!,"AAAAAC/W3yU=")</f>
        <v>#REF!</v>
      </c>
      <c r="AM136" t="e">
        <f>AND(#REF!,"AAAAAC/W3yY=")</f>
        <v>#REF!</v>
      </c>
      <c r="AN136" t="e">
        <f>AND(#REF!,"AAAAAC/W3yc=")</f>
        <v>#REF!</v>
      </c>
      <c r="AO136" t="e">
        <f>AND(#REF!,"AAAAAC/W3yg=")</f>
        <v>#REF!</v>
      </c>
      <c r="AP136" t="e">
        <f>AND(#REF!,"AAAAAC/W3yk=")</f>
        <v>#REF!</v>
      </c>
      <c r="AQ136" t="e">
        <f>AND(#REF!,"AAAAAC/W3yo=")</f>
        <v>#REF!</v>
      </c>
      <c r="AR136" t="e">
        <f>AND(#REF!,"AAAAAC/W3ys=")</f>
        <v>#REF!</v>
      </c>
      <c r="AS136" t="e">
        <f>AND(#REF!,"AAAAAC/W3yw=")</f>
        <v>#REF!</v>
      </c>
      <c r="AT136" t="e">
        <f>AND(#REF!,"AAAAAC/W3y0=")</f>
        <v>#REF!</v>
      </c>
      <c r="AU136" t="e">
        <f>AND(#REF!,"AAAAAC/W3y4=")</f>
        <v>#REF!</v>
      </c>
      <c r="AV136" t="e">
        <f>AND(#REF!,"AAAAAC/W3y8=")</f>
        <v>#REF!</v>
      </c>
      <c r="AW136" t="e">
        <f>AND(#REF!,"AAAAAC/W3zA=")</f>
        <v>#REF!</v>
      </c>
      <c r="AX136" t="e">
        <f>AND(#REF!,"AAAAAC/W3zE=")</f>
        <v>#REF!</v>
      </c>
      <c r="AY136" t="e">
        <f>AND(#REF!,"AAAAAC/W3zI=")</f>
        <v>#REF!</v>
      </c>
      <c r="AZ136" t="e">
        <f>IF(#REF!,"AAAAAC/W3zM=",0)</f>
        <v>#REF!</v>
      </c>
      <c r="BA136" t="e">
        <f>AND(#REF!,"AAAAAC/W3zQ=")</f>
        <v>#REF!</v>
      </c>
      <c r="BB136" t="e">
        <f>AND(#REF!,"AAAAAC/W3zU=")</f>
        <v>#REF!</v>
      </c>
      <c r="BC136" t="e">
        <f>AND(#REF!,"AAAAAC/W3zY=")</f>
        <v>#REF!</v>
      </c>
      <c r="BD136" t="e">
        <f>AND(#REF!,"AAAAAC/W3zc=")</f>
        <v>#REF!</v>
      </c>
      <c r="BE136" t="e">
        <f>AND(#REF!,"AAAAAC/W3zg=")</f>
        <v>#REF!</v>
      </c>
      <c r="BF136" t="e">
        <f>AND(#REF!,"AAAAAC/W3zk=")</f>
        <v>#REF!</v>
      </c>
      <c r="BG136" t="e">
        <f>AND(#REF!,"AAAAAC/W3zo=")</f>
        <v>#REF!</v>
      </c>
      <c r="BH136" t="e">
        <f>AND(#REF!,"AAAAAC/W3zs=")</f>
        <v>#REF!</v>
      </c>
      <c r="BI136" t="e">
        <f>AND(#REF!,"AAAAAC/W3zw=")</f>
        <v>#REF!</v>
      </c>
      <c r="BJ136" t="e">
        <f>AND(#REF!,"AAAAAC/W3z0=")</f>
        <v>#REF!</v>
      </c>
      <c r="BK136" t="e">
        <f>AND(#REF!,"AAAAAC/W3z4=")</f>
        <v>#REF!</v>
      </c>
      <c r="BL136" t="e">
        <f>AND(#REF!,"AAAAAC/W3z8=")</f>
        <v>#REF!</v>
      </c>
      <c r="BM136" t="e">
        <f>AND(#REF!,"AAAAAC/W30A=")</f>
        <v>#REF!</v>
      </c>
      <c r="BN136" t="e">
        <f>AND(#REF!,"AAAAAC/W30E=")</f>
        <v>#REF!</v>
      </c>
      <c r="BO136" t="e">
        <f>AND(#REF!,"AAAAAC/W30I=")</f>
        <v>#REF!</v>
      </c>
      <c r="BP136" t="e">
        <f>AND(#REF!,"AAAAAC/W30M=")</f>
        <v>#REF!</v>
      </c>
      <c r="BQ136" t="e">
        <f>AND(#REF!,"AAAAAC/W30Q=")</f>
        <v>#REF!</v>
      </c>
      <c r="BR136" t="e">
        <f>AND(#REF!,"AAAAAC/W30U=")</f>
        <v>#REF!</v>
      </c>
      <c r="BS136" t="e">
        <f>AND(#REF!,"AAAAAC/W30Y=")</f>
        <v>#REF!</v>
      </c>
      <c r="BT136" t="e">
        <f>AND(#REF!,"AAAAAC/W30c=")</f>
        <v>#REF!</v>
      </c>
      <c r="BU136" t="e">
        <f>AND(#REF!,"AAAAAC/W30g=")</f>
        <v>#REF!</v>
      </c>
      <c r="BV136" t="e">
        <f>AND(#REF!,"AAAAAC/W30k=")</f>
        <v>#REF!</v>
      </c>
      <c r="BW136" t="e">
        <f>IF(#REF!,"AAAAAC/W30o=",0)</f>
        <v>#REF!</v>
      </c>
      <c r="BX136" t="e">
        <f>AND(#REF!,"AAAAAC/W30s=")</f>
        <v>#REF!</v>
      </c>
      <c r="BY136" t="e">
        <f>AND(#REF!,"AAAAAC/W30w=")</f>
        <v>#REF!</v>
      </c>
      <c r="BZ136" t="e">
        <f>AND(#REF!,"AAAAAC/W300=")</f>
        <v>#REF!</v>
      </c>
      <c r="CA136" t="e">
        <f>AND(#REF!,"AAAAAC/W304=")</f>
        <v>#REF!</v>
      </c>
      <c r="CB136" t="e">
        <f>AND(#REF!,"AAAAAC/W308=")</f>
        <v>#REF!</v>
      </c>
      <c r="CC136" t="e">
        <f>AND(#REF!,"AAAAAC/W31A=")</f>
        <v>#REF!</v>
      </c>
      <c r="CD136" t="e">
        <f>AND(#REF!,"AAAAAC/W31E=")</f>
        <v>#REF!</v>
      </c>
      <c r="CE136" t="e">
        <f>AND(#REF!,"AAAAAC/W31I=")</f>
        <v>#REF!</v>
      </c>
      <c r="CF136" t="e">
        <f>AND(#REF!,"AAAAAC/W31M=")</f>
        <v>#REF!</v>
      </c>
      <c r="CG136" t="e">
        <f>AND(#REF!,"AAAAAC/W31Q=")</f>
        <v>#REF!</v>
      </c>
      <c r="CH136" t="e">
        <f>AND(#REF!,"AAAAAC/W31U=")</f>
        <v>#REF!</v>
      </c>
      <c r="CI136" t="e">
        <f>AND(#REF!,"AAAAAC/W31Y=")</f>
        <v>#REF!</v>
      </c>
      <c r="CJ136" t="e">
        <f>AND(#REF!,"AAAAAC/W31c=")</f>
        <v>#REF!</v>
      </c>
      <c r="CK136" t="e">
        <f>AND(#REF!,"AAAAAC/W31g=")</f>
        <v>#REF!</v>
      </c>
      <c r="CL136" t="e">
        <f>AND(#REF!,"AAAAAC/W31k=")</f>
        <v>#REF!</v>
      </c>
      <c r="CM136" t="e">
        <f>AND(#REF!,"AAAAAC/W31o=")</f>
        <v>#REF!</v>
      </c>
      <c r="CN136" t="e">
        <f>AND(#REF!,"AAAAAC/W31s=")</f>
        <v>#REF!</v>
      </c>
      <c r="CO136" t="e">
        <f>AND(#REF!,"AAAAAC/W31w=")</f>
        <v>#REF!</v>
      </c>
      <c r="CP136" t="e">
        <f>AND(#REF!,"AAAAAC/W310=")</f>
        <v>#REF!</v>
      </c>
      <c r="CQ136" t="e">
        <f>AND(#REF!,"AAAAAC/W314=")</f>
        <v>#REF!</v>
      </c>
      <c r="CR136" t="e">
        <f>AND(#REF!,"AAAAAC/W318=")</f>
        <v>#REF!</v>
      </c>
      <c r="CS136" t="e">
        <f>AND(#REF!,"AAAAAC/W32A=")</f>
        <v>#REF!</v>
      </c>
      <c r="CT136" t="e">
        <f>IF(#REF!,"AAAAAC/W32E=",0)</f>
        <v>#REF!</v>
      </c>
      <c r="CU136" t="e">
        <f>AND(#REF!,"AAAAAC/W32I=")</f>
        <v>#REF!</v>
      </c>
      <c r="CV136" t="e">
        <f>AND(#REF!,"AAAAAC/W32M=")</f>
        <v>#REF!</v>
      </c>
      <c r="CW136" t="e">
        <f>AND(#REF!,"AAAAAC/W32Q=")</f>
        <v>#REF!</v>
      </c>
      <c r="CX136" t="e">
        <f>AND(#REF!,"AAAAAC/W32U=")</f>
        <v>#REF!</v>
      </c>
      <c r="CY136" t="e">
        <f>AND(#REF!,"AAAAAC/W32Y=")</f>
        <v>#REF!</v>
      </c>
      <c r="CZ136" t="e">
        <f>AND(#REF!,"AAAAAC/W32c=")</f>
        <v>#REF!</v>
      </c>
      <c r="DA136" t="e">
        <f>AND(#REF!,"AAAAAC/W32g=")</f>
        <v>#REF!</v>
      </c>
      <c r="DB136" t="e">
        <f>AND(#REF!,"AAAAAC/W32k=")</f>
        <v>#REF!</v>
      </c>
      <c r="DC136" t="e">
        <f>AND(#REF!,"AAAAAC/W32o=")</f>
        <v>#REF!</v>
      </c>
      <c r="DD136" t="e">
        <f>AND(#REF!,"AAAAAC/W32s=")</f>
        <v>#REF!</v>
      </c>
      <c r="DE136" t="e">
        <f>AND(#REF!,"AAAAAC/W32w=")</f>
        <v>#REF!</v>
      </c>
      <c r="DF136" t="e">
        <f>AND(#REF!,"AAAAAC/W320=")</f>
        <v>#REF!</v>
      </c>
      <c r="DG136" t="e">
        <f>AND(#REF!,"AAAAAC/W324=")</f>
        <v>#REF!</v>
      </c>
      <c r="DH136" t="e">
        <f>AND(#REF!,"AAAAAC/W328=")</f>
        <v>#REF!</v>
      </c>
      <c r="DI136" t="e">
        <f>AND(#REF!,"AAAAAC/W33A=")</f>
        <v>#REF!</v>
      </c>
      <c r="DJ136" t="e">
        <f>AND(#REF!,"AAAAAC/W33E=")</f>
        <v>#REF!</v>
      </c>
      <c r="DK136" t="e">
        <f>AND(#REF!,"AAAAAC/W33I=")</f>
        <v>#REF!</v>
      </c>
      <c r="DL136" t="e">
        <f>AND(#REF!,"AAAAAC/W33M=")</f>
        <v>#REF!</v>
      </c>
      <c r="DM136" t="e">
        <f>AND(#REF!,"AAAAAC/W33Q=")</f>
        <v>#REF!</v>
      </c>
      <c r="DN136" t="e">
        <f>AND(#REF!,"AAAAAC/W33U=")</f>
        <v>#REF!</v>
      </c>
      <c r="DO136" t="e">
        <f>AND(#REF!,"AAAAAC/W33Y=")</f>
        <v>#REF!</v>
      </c>
      <c r="DP136" t="e">
        <f>AND(#REF!,"AAAAAC/W33c=")</f>
        <v>#REF!</v>
      </c>
      <c r="DQ136" t="e">
        <f>IF(#REF!,"AAAAAC/W33g=",0)</f>
        <v>#REF!</v>
      </c>
      <c r="DR136" t="e">
        <f>AND(#REF!,"AAAAAC/W33k=")</f>
        <v>#REF!</v>
      </c>
      <c r="DS136" t="e">
        <f>AND(#REF!,"AAAAAC/W33o=")</f>
        <v>#REF!</v>
      </c>
      <c r="DT136" t="e">
        <f>AND(#REF!,"AAAAAC/W33s=")</f>
        <v>#REF!</v>
      </c>
      <c r="DU136" t="e">
        <f>AND(#REF!,"AAAAAC/W33w=")</f>
        <v>#REF!</v>
      </c>
      <c r="DV136" t="e">
        <f>AND(#REF!,"AAAAAC/W330=")</f>
        <v>#REF!</v>
      </c>
      <c r="DW136" t="e">
        <f>AND(#REF!,"AAAAAC/W334=")</f>
        <v>#REF!</v>
      </c>
      <c r="DX136" t="e">
        <f>AND(#REF!,"AAAAAC/W338=")</f>
        <v>#REF!</v>
      </c>
      <c r="DY136" t="e">
        <f>AND(#REF!,"AAAAAC/W34A=")</f>
        <v>#REF!</v>
      </c>
      <c r="DZ136" t="e">
        <f>AND(#REF!,"AAAAAC/W34E=")</f>
        <v>#REF!</v>
      </c>
      <c r="EA136" t="e">
        <f>AND(#REF!,"AAAAAC/W34I=")</f>
        <v>#REF!</v>
      </c>
      <c r="EB136" t="e">
        <f>AND(#REF!,"AAAAAC/W34M=")</f>
        <v>#REF!</v>
      </c>
      <c r="EC136" t="e">
        <f>AND(#REF!,"AAAAAC/W34Q=")</f>
        <v>#REF!</v>
      </c>
      <c r="ED136" t="e">
        <f>AND(#REF!,"AAAAAC/W34U=")</f>
        <v>#REF!</v>
      </c>
      <c r="EE136" t="e">
        <f>AND(#REF!,"AAAAAC/W34Y=")</f>
        <v>#REF!</v>
      </c>
      <c r="EF136" t="e">
        <f>AND(#REF!,"AAAAAC/W34c=")</f>
        <v>#REF!</v>
      </c>
      <c r="EG136" t="e">
        <f>AND(#REF!,"AAAAAC/W34g=")</f>
        <v>#REF!</v>
      </c>
      <c r="EH136" t="e">
        <f>AND(#REF!,"AAAAAC/W34k=")</f>
        <v>#REF!</v>
      </c>
      <c r="EI136" t="e">
        <f>AND(#REF!,"AAAAAC/W34o=")</f>
        <v>#REF!</v>
      </c>
      <c r="EJ136" t="e">
        <f>AND(#REF!,"AAAAAC/W34s=")</f>
        <v>#REF!</v>
      </c>
      <c r="EK136" t="e">
        <f>AND(#REF!,"AAAAAC/W34w=")</f>
        <v>#REF!</v>
      </c>
      <c r="EL136" t="e">
        <f>AND(#REF!,"AAAAAC/W340=")</f>
        <v>#REF!</v>
      </c>
      <c r="EM136" t="e">
        <f>AND(#REF!,"AAAAAC/W344=")</f>
        <v>#REF!</v>
      </c>
      <c r="EN136" t="e">
        <f>IF(#REF!,"AAAAAC/W348=",0)</f>
        <v>#REF!</v>
      </c>
      <c r="EO136" t="e">
        <f>AND(#REF!,"AAAAAC/W35A=")</f>
        <v>#REF!</v>
      </c>
      <c r="EP136" t="e">
        <f>AND(#REF!,"AAAAAC/W35E=")</f>
        <v>#REF!</v>
      </c>
      <c r="EQ136" t="e">
        <f>AND(#REF!,"AAAAAC/W35I=")</f>
        <v>#REF!</v>
      </c>
      <c r="ER136" t="e">
        <f>AND(#REF!,"AAAAAC/W35M=")</f>
        <v>#REF!</v>
      </c>
      <c r="ES136" t="e">
        <f>AND(#REF!,"AAAAAC/W35Q=")</f>
        <v>#REF!</v>
      </c>
      <c r="ET136" t="e">
        <f>AND(#REF!,"AAAAAC/W35U=")</f>
        <v>#REF!</v>
      </c>
      <c r="EU136" t="e">
        <f>AND(#REF!,"AAAAAC/W35Y=")</f>
        <v>#REF!</v>
      </c>
      <c r="EV136" t="e">
        <f>AND(#REF!,"AAAAAC/W35c=")</f>
        <v>#REF!</v>
      </c>
      <c r="EW136" t="e">
        <f>AND(#REF!,"AAAAAC/W35g=")</f>
        <v>#REF!</v>
      </c>
      <c r="EX136" t="e">
        <f>AND(#REF!,"AAAAAC/W35k=")</f>
        <v>#REF!</v>
      </c>
      <c r="EY136" t="e">
        <f>AND(#REF!,"AAAAAC/W35o=")</f>
        <v>#REF!</v>
      </c>
      <c r="EZ136" t="e">
        <f>AND(#REF!,"AAAAAC/W35s=")</f>
        <v>#REF!</v>
      </c>
      <c r="FA136" t="e">
        <f>AND(#REF!,"AAAAAC/W35w=")</f>
        <v>#REF!</v>
      </c>
      <c r="FB136" t="e">
        <f>AND(#REF!,"AAAAAC/W350=")</f>
        <v>#REF!</v>
      </c>
      <c r="FC136" t="e">
        <f>AND(#REF!,"AAAAAC/W354=")</f>
        <v>#REF!</v>
      </c>
      <c r="FD136" t="e">
        <f>AND(#REF!,"AAAAAC/W358=")</f>
        <v>#REF!</v>
      </c>
      <c r="FE136" t="e">
        <f>AND(#REF!,"AAAAAC/W36A=")</f>
        <v>#REF!</v>
      </c>
      <c r="FF136" t="e">
        <f>AND(#REF!,"AAAAAC/W36E=")</f>
        <v>#REF!</v>
      </c>
      <c r="FG136" t="e">
        <f>AND(#REF!,"AAAAAC/W36I=")</f>
        <v>#REF!</v>
      </c>
      <c r="FH136" t="e">
        <f>AND(#REF!,"AAAAAC/W36M=")</f>
        <v>#REF!</v>
      </c>
      <c r="FI136" t="e">
        <f>AND(#REF!,"AAAAAC/W36Q=")</f>
        <v>#REF!</v>
      </c>
      <c r="FJ136" t="e">
        <f>AND(#REF!,"AAAAAC/W36U=")</f>
        <v>#REF!</v>
      </c>
      <c r="FK136" t="e">
        <f>IF(#REF!,"AAAAAC/W36Y=",0)</f>
        <v>#REF!</v>
      </c>
      <c r="FL136" t="e">
        <f>AND(#REF!,"AAAAAC/W36c=")</f>
        <v>#REF!</v>
      </c>
      <c r="FM136" t="e">
        <f>AND(#REF!,"AAAAAC/W36g=")</f>
        <v>#REF!</v>
      </c>
      <c r="FN136" t="e">
        <f>AND(#REF!,"AAAAAC/W36k=")</f>
        <v>#REF!</v>
      </c>
      <c r="FO136" t="e">
        <f>AND(#REF!,"AAAAAC/W36o=")</f>
        <v>#REF!</v>
      </c>
      <c r="FP136" t="e">
        <f>AND(#REF!,"AAAAAC/W36s=")</f>
        <v>#REF!</v>
      </c>
      <c r="FQ136" t="e">
        <f>AND(#REF!,"AAAAAC/W36w=")</f>
        <v>#REF!</v>
      </c>
      <c r="FR136" t="e">
        <f>AND(#REF!,"AAAAAC/W360=")</f>
        <v>#REF!</v>
      </c>
      <c r="FS136" t="e">
        <f>AND(#REF!,"AAAAAC/W364=")</f>
        <v>#REF!</v>
      </c>
      <c r="FT136" t="e">
        <f>AND(#REF!,"AAAAAC/W368=")</f>
        <v>#REF!</v>
      </c>
      <c r="FU136" t="e">
        <f>AND(#REF!,"AAAAAC/W37A=")</f>
        <v>#REF!</v>
      </c>
      <c r="FV136" t="e">
        <f>AND(#REF!,"AAAAAC/W37E=")</f>
        <v>#REF!</v>
      </c>
      <c r="FW136" t="e">
        <f>AND(#REF!,"AAAAAC/W37I=")</f>
        <v>#REF!</v>
      </c>
      <c r="FX136" t="e">
        <f>AND(#REF!,"AAAAAC/W37M=")</f>
        <v>#REF!</v>
      </c>
      <c r="FY136" t="e">
        <f>AND(#REF!,"AAAAAC/W37Q=")</f>
        <v>#REF!</v>
      </c>
      <c r="FZ136" t="e">
        <f>AND(#REF!,"AAAAAC/W37U=")</f>
        <v>#REF!</v>
      </c>
      <c r="GA136" t="e">
        <f>AND(#REF!,"AAAAAC/W37Y=")</f>
        <v>#REF!</v>
      </c>
      <c r="GB136" t="e">
        <f>AND(#REF!,"AAAAAC/W37c=")</f>
        <v>#REF!</v>
      </c>
      <c r="GC136" t="e">
        <f>AND(#REF!,"AAAAAC/W37g=")</f>
        <v>#REF!</v>
      </c>
      <c r="GD136" t="e">
        <f>AND(#REF!,"AAAAAC/W37k=")</f>
        <v>#REF!</v>
      </c>
      <c r="GE136" t="e">
        <f>AND(#REF!,"AAAAAC/W37o=")</f>
        <v>#REF!</v>
      </c>
      <c r="GF136" t="e">
        <f>AND(#REF!,"AAAAAC/W37s=")</f>
        <v>#REF!</v>
      </c>
      <c r="GG136" t="e">
        <f>AND(#REF!,"AAAAAC/W37w=")</f>
        <v>#REF!</v>
      </c>
      <c r="GH136" t="e">
        <f>IF(#REF!,"AAAAAC/W370=",0)</f>
        <v>#REF!</v>
      </c>
      <c r="GI136" t="e">
        <f>AND(#REF!,"AAAAAC/W374=")</f>
        <v>#REF!</v>
      </c>
      <c r="GJ136" t="e">
        <f>AND(#REF!,"AAAAAC/W378=")</f>
        <v>#REF!</v>
      </c>
      <c r="GK136" t="e">
        <f>AND(#REF!,"AAAAAC/W38A=")</f>
        <v>#REF!</v>
      </c>
      <c r="GL136" t="e">
        <f>AND(#REF!,"AAAAAC/W38E=")</f>
        <v>#REF!</v>
      </c>
      <c r="GM136" t="e">
        <f>AND(#REF!,"AAAAAC/W38I=")</f>
        <v>#REF!</v>
      </c>
      <c r="GN136" t="e">
        <f>AND(#REF!,"AAAAAC/W38M=")</f>
        <v>#REF!</v>
      </c>
      <c r="GO136" t="e">
        <f>AND(#REF!,"AAAAAC/W38Q=")</f>
        <v>#REF!</v>
      </c>
      <c r="GP136" t="e">
        <f>AND(#REF!,"AAAAAC/W38U=")</f>
        <v>#REF!</v>
      </c>
      <c r="GQ136" t="e">
        <f>AND(#REF!,"AAAAAC/W38Y=")</f>
        <v>#REF!</v>
      </c>
      <c r="GR136" t="e">
        <f>AND(#REF!,"AAAAAC/W38c=")</f>
        <v>#REF!</v>
      </c>
      <c r="GS136" t="e">
        <f>AND(#REF!,"AAAAAC/W38g=")</f>
        <v>#REF!</v>
      </c>
      <c r="GT136" t="e">
        <f>AND(#REF!,"AAAAAC/W38k=")</f>
        <v>#REF!</v>
      </c>
      <c r="GU136" t="e">
        <f>AND(#REF!,"AAAAAC/W38o=")</f>
        <v>#REF!</v>
      </c>
      <c r="GV136" t="e">
        <f>AND(#REF!,"AAAAAC/W38s=")</f>
        <v>#REF!</v>
      </c>
      <c r="GW136" t="e">
        <f>AND(#REF!,"AAAAAC/W38w=")</f>
        <v>#REF!</v>
      </c>
      <c r="GX136" t="e">
        <f>AND(#REF!,"AAAAAC/W380=")</f>
        <v>#REF!</v>
      </c>
      <c r="GY136" t="e">
        <f>AND(#REF!,"AAAAAC/W384=")</f>
        <v>#REF!</v>
      </c>
      <c r="GZ136" t="e">
        <f>AND(#REF!,"AAAAAC/W388=")</f>
        <v>#REF!</v>
      </c>
      <c r="HA136" t="e">
        <f>AND(#REF!,"AAAAAC/W39A=")</f>
        <v>#REF!</v>
      </c>
      <c r="HB136" t="e">
        <f>AND(#REF!,"AAAAAC/W39E=")</f>
        <v>#REF!</v>
      </c>
      <c r="HC136" t="e">
        <f>AND(#REF!,"AAAAAC/W39I=")</f>
        <v>#REF!</v>
      </c>
      <c r="HD136" t="e">
        <f>AND(#REF!,"AAAAAC/W39M=")</f>
        <v>#REF!</v>
      </c>
      <c r="HE136" t="e">
        <f>IF(#REF!,"AAAAAC/W39Q=",0)</f>
        <v>#REF!</v>
      </c>
      <c r="HF136" t="e">
        <f>AND(#REF!,"AAAAAC/W39U=")</f>
        <v>#REF!</v>
      </c>
      <c r="HG136" t="e">
        <f>AND(#REF!,"AAAAAC/W39Y=")</f>
        <v>#REF!</v>
      </c>
      <c r="HH136" t="e">
        <f>AND(#REF!,"AAAAAC/W39c=")</f>
        <v>#REF!</v>
      </c>
      <c r="HI136" t="e">
        <f>AND(#REF!,"AAAAAC/W39g=")</f>
        <v>#REF!</v>
      </c>
      <c r="HJ136" t="e">
        <f>AND(#REF!,"AAAAAC/W39k=")</f>
        <v>#REF!</v>
      </c>
      <c r="HK136" t="e">
        <f>AND(#REF!,"AAAAAC/W39o=")</f>
        <v>#REF!</v>
      </c>
      <c r="HL136" t="e">
        <f>AND(#REF!,"AAAAAC/W39s=")</f>
        <v>#REF!</v>
      </c>
      <c r="HM136" t="e">
        <f>AND(#REF!,"AAAAAC/W39w=")</f>
        <v>#REF!</v>
      </c>
      <c r="HN136" t="e">
        <f>AND(#REF!,"AAAAAC/W390=")</f>
        <v>#REF!</v>
      </c>
      <c r="HO136" t="e">
        <f>AND(#REF!,"AAAAAC/W394=")</f>
        <v>#REF!</v>
      </c>
      <c r="HP136" t="e">
        <f>AND(#REF!,"AAAAAC/W398=")</f>
        <v>#REF!</v>
      </c>
      <c r="HQ136" t="e">
        <f>AND(#REF!,"AAAAAC/W3+A=")</f>
        <v>#REF!</v>
      </c>
      <c r="HR136" t="e">
        <f>AND(#REF!,"AAAAAC/W3+E=")</f>
        <v>#REF!</v>
      </c>
      <c r="HS136" t="e">
        <f>AND(#REF!,"AAAAAC/W3+I=")</f>
        <v>#REF!</v>
      </c>
      <c r="HT136" t="e">
        <f>AND(#REF!,"AAAAAC/W3+M=")</f>
        <v>#REF!</v>
      </c>
      <c r="HU136" t="e">
        <f>AND(#REF!,"AAAAAC/W3+Q=")</f>
        <v>#REF!</v>
      </c>
      <c r="HV136" t="e">
        <f>AND(#REF!,"AAAAAC/W3+U=")</f>
        <v>#REF!</v>
      </c>
      <c r="HW136" t="e">
        <f>AND(#REF!,"AAAAAC/W3+Y=")</f>
        <v>#REF!</v>
      </c>
      <c r="HX136" t="e">
        <f>AND(#REF!,"AAAAAC/W3+c=")</f>
        <v>#REF!</v>
      </c>
      <c r="HY136" t="e">
        <f>AND(#REF!,"AAAAAC/W3+g=")</f>
        <v>#REF!</v>
      </c>
      <c r="HZ136" t="e">
        <f>AND(#REF!,"AAAAAC/W3+k=")</f>
        <v>#REF!</v>
      </c>
      <c r="IA136" t="e">
        <f>AND(#REF!,"AAAAAC/W3+o=")</f>
        <v>#REF!</v>
      </c>
      <c r="IB136" t="e">
        <f>IF(#REF!,"AAAAAC/W3+s=",0)</f>
        <v>#REF!</v>
      </c>
      <c r="IC136" t="e">
        <f>AND(#REF!,"AAAAAC/W3+w=")</f>
        <v>#REF!</v>
      </c>
      <c r="ID136" t="e">
        <f>AND(#REF!,"AAAAAC/W3+0=")</f>
        <v>#REF!</v>
      </c>
      <c r="IE136" t="e">
        <f>AND(#REF!,"AAAAAC/W3+4=")</f>
        <v>#REF!</v>
      </c>
      <c r="IF136" t="e">
        <f>AND(#REF!,"AAAAAC/W3+8=")</f>
        <v>#REF!</v>
      </c>
      <c r="IG136" t="e">
        <f>AND(#REF!,"AAAAAC/W3/A=")</f>
        <v>#REF!</v>
      </c>
      <c r="IH136" t="e">
        <f>AND(#REF!,"AAAAAC/W3/E=")</f>
        <v>#REF!</v>
      </c>
      <c r="II136" t="e">
        <f>AND(#REF!,"AAAAAC/W3/I=")</f>
        <v>#REF!</v>
      </c>
      <c r="IJ136" t="e">
        <f>AND(#REF!,"AAAAAC/W3/M=")</f>
        <v>#REF!</v>
      </c>
      <c r="IK136" t="e">
        <f>AND(#REF!,"AAAAAC/W3/Q=")</f>
        <v>#REF!</v>
      </c>
      <c r="IL136" t="e">
        <f>AND(#REF!,"AAAAAC/W3/U=")</f>
        <v>#REF!</v>
      </c>
      <c r="IM136" t="e">
        <f>AND(#REF!,"AAAAAC/W3/Y=")</f>
        <v>#REF!</v>
      </c>
      <c r="IN136" t="e">
        <f>AND(#REF!,"AAAAAC/W3/c=")</f>
        <v>#REF!</v>
      </c>
      <c r="IO136" t="e">
        <f>AND(#REF!,"AAAAAC/W3/g=")</f>
        <v>#REF!</v>
      </c>
      <c r="IP136" t="e">
        <f>AND(#REF!,"AAAAAC/W3/k=")</f>
        <v>#REF!</v>
      </c>
      <c r="IQ136" t="e">
        <f>AND(#REF!,"AAAAAC/W3/o=")</f>
        <v>#REF!</v>
      </c>
      <c r="IR136" t="e">
        <f>AND(#REF!,"AAAAAC/W3/s=")</f>
        <v>#REF!</v>
      </c>
      <c r="IS136" t="e">
        <f>AND(#REF!,"AAAAAC/W3/w=")</f>
        <v>#REF!</v>
      </c>
      <c r="IT136" t="e">
        <f>AND(#REF!,"AAAAAC/W3/0=")</f>
        <v>#REF!</v>
      </c>
      <c r="IU136" t="e">
        <f>AND(#REF!,"AAAAAC/W3/4=")</f>
        <v>#REF!</v>
      </c>
      <c r="IV136" t="e">
        <f>AND(#REF!,"AAAAAC/W3/8=")</f>
        <v>#REF!</v>
      </c>
    </row>
    <row r="137" spans="1:256" x14ac:dyDescent="0.2">
      <c r="A137" t="e">
        <f>AND(#REF!,"AAAAAHP/fAA=")</f>
        <v>#REF!</v>
      </c>
      <c r="B137" t="e">
        <f>AND(#REF!,"AAAAAHP/fAE=")</f>
        <v>#REF!</v>
      </c>
      <c r="C137" t="e">
        <f>IF(#REF!,"AAAAAHP/fAI=",0)</f>
        <v>#REF!</v>
      </c>
      <c r="D137" t="e">
        <f>AND(#REF!,"AAAAAHP/fAM=")</f>
        <v>#REF!</v>
      </c>
      <c r="E137" t="e">
        <f>AND(#REF!,"AAAAAHP/fAQ=")</f>
        <v>#REF!</v>
      </c>
      <c r="F137" t="e">
        <f>AND(#REF!,"AAAAAHP/fAU=")</f>
        <v>#REF!</v>
      </c>
      <c r="G137" t="e">
        <f>AND(#REF!,"AAAAAHP/fAY=")</f>
        <v>#REF!</v>
      </c>
      <c r="H137" t="e">
        <f>AND(#REF!,"AAAAAHP/fAc=")</f>
        <v>#REF!</v>
      </c>
      <c r="I137" t="e">
        <f>AND(#REF!,"AAAAAHP/fAg=")</f>
        <v>#REF!</v>
      </c>
      <c r="J137" t="e">
        <f>AND(#REF!,"AAAAAHP/fAk=")</f>
        <v>#REF!</v>
      </c>
      <c r="K137" t="e">
        <f>AND(#REF!,"AAAAAHP/fAo=")</f>
        <v>#REF!</v>
      </c>
      <c r="L137" t="e">
        <f>AND(#REF!,"AAAAAHP/fAs=")</f>
        <v>#REF!</v>
      </c>
      <c r="M137" t="e">
        <f>AND(#REF!,"AAAAAHP/fAw=")</f>
        <v>#REF!</v>
      </c>
      <c r="N137" t="e">
        <f>AND(#REF!,"AAAAAHP/fA0=")</f>
        <v>#REF!</v>
      </c>
      <c r="O137" t="e">
        <f>AND(#REF!,"AAAAAHP/fA4=")</f>
        <v>#REF!</v>
      </c>
      <c r="P137" t="e">
        <f>AND(#REF!,"AAAAAHP/fA8=")</f>
        <v>#REF!</v>
      </c>
      <c r="Q137" t="e">
        <f>AND(#REF!,"AAAAAHP/fBA=")</f>
        <v>#REF!</v>
      </c>
      <c r="R137" t="e">
        <f>AND(#REF!,"AAAAAHP/fBE=")</f>
        <v>#REF!</v>
      </c>
      <c r="S137" t="e">
        <f>AND(#REF!,"AAAAAHP/fBI=")</f>
        <v>#REF!</v>
      </c>
      <c r="T137" t="e">
        <f>AND(#REF!,"AAAAAHP/fBM=")</f>
        <v>#REF!</v>
      </c>
      <c r="U137" t="e">
        <f>AND(#REF!,"AAAAAHP/fBQ=")</f>
        <v>#REF!</v>
      </c>
      <c r="V137" t="e">
        <f>AND(#REF!,"AAAAAHP/fBU=")</f>
        <v>#REF!</v>
      </c>
      <c r="W137" t="e">
        <f>AND(#REF!,"AAAAAHP/fBY=")</f>
        <v>#REF!</v>
      </c>
      <c r="X137" t="e">
        <f>AND(#REF!,"AAAAAHP/fBc=")</f>
        <v>#REF!</v>
      </c>
      <c r="Y137" t="e">
        <f>AND(#REF!,"AAAAAHP/fBg=")</f>
        <v>#REF!</v>
      </c>
      <c r="Z137" t="e">
        <f>IF(#REF!,"AAAAAHP/fBk=",0)</f>
        <v>#REF!</v>
      </c>
      <c r="AA137" t="e">
        <f>AND(#REF!,"AAAAAHP/fBo=")</f>
        <v>#REF!</v>
      </c>
      <c r="AB137" t="e">
        <f>AND(#REF!,"AAAAAHP/fBs=")</f>
        <v>#REF!</v>
      </c>
      <c r="AC137" t="e">
        <f>AND(#REF!,"AAAAAHP/fBw=")</f>
        <v>#REF!</v>
      </c>
      <c r="AD137" t="e">
        <f>AND(#REF!,"AAAAAHP/fB0=")</f>
        <v>#REF!</v>
      </c>
      <c r="AE137" t="e">
        <f>AND(#REF!,"AAAAAHP/fB4=")</f>
        <v>#REF!</v>
      </c>
      <c r="AF137" t="e">
        <f>AND(#REF!,"AAAAAHP/fB8=")</f>
        <v>#REF!</v>
      </c>
      <c r="AG137" t="e">
        <f>AND(#REF!,"AAAAAHP/fCA=")</f>
        <v>#REF!</v>
      </c>
      <c r="AH137" t="e">
        <f>AND(#REF!,"AAAAAHP/fCE=")</f>
        <v>#REF!</v>
      </c>
      <c r="AI137" t="e">
        <f>AND(#REF!,"AAAAAHP/fCI=")</f>
        <v>#REF!</v>
      </c>
      <c r="AJ137" t="e">
        <f>AND(#REF!,"AAAAAHP/fCM=")</f>
        <v>#REF!</v>
      </c>
      <c r="AK137" t="e">
        <f>AND(#REF!,"AAAAAHP/fCQ=")</f>
        <v>#REF!</v>
      </c>
      <c r="AL137" t="e">
        <f>AND(#REF!,"AAAAAHP/fCU=")</f>
        <v>#REF!</v>
      </c>
      <c r="AM137" t="e">
        <f>AND(#REF!,"AAAAAHP/fCY=")</f>
        <v>#REF!</v>
      </c>
      <c r="AN137" t="e">
        <f>AND(#REF!,"AAAAAHP/fCc=")</f>
        <v>#REF!</v>
      </c>
      <c r="AO137" t="e">
        <f>AND(#REF!,"AAAAAHP/fCg=")</f>
        <v>#REF!</v>
      </c>
      <c r="AP137" t="e">
        <f>AND(#REF!,"AAAAAHP/fCk=")</f>
        <v>#REF!</v>
      </c>
      <c r="AQ137" t="e">
        <f>AND(#REF!,"AAAAAHP/fCo=")</f>
        <v>#REF!</v>
      </c>
      <c r="AR137" t="e">
        <f>AND(#REF!,"AAAAAHP/fCs=")</f>
        <v>#REF!</v>
      </c>
      <c r="AS137" t="e">
        <f>AND(#REF!,"AAAAAHP/fCw=")</f>
        <v>#REF!</v>
      </c>
      <c r="AT137" t="e">
        <f>AND(#REF!,"AAAAAHP/fC0=")</f>
        <v>#REF!</v>
      </c>
      <c r="AU137" t="e">
        <f>AND(#REF!,"AAAAAHP/fC4=")</f>
        <v>#REF!</v>
      </c>
      <c r="AV137" t="e">
        <f>AND(#REF!,"AAAAAHP/fC8=")</f>
        <v>#REF!</v>
      </c>
      <c r="AW137" t="e">
        <f>IF(#REF!,"AAAAAHP/fDA=",0)</f>
        <v>#REF!</v>
      </c>
      <c r="AX137" t="e">
        <f>AND(#REF!,"AAAAAHP/fDE=")</f>
        <v>#REF!</v>
      </c>
      <c r="AY137" t="e">
        <f>AND(#REF!,"AAAAAHP/fDI=")</f>
        <v>#REF!</v>
      </c>
      <c r="AZ137" t="e">
        <f>AND(#REF!,"AAAAAHP/fDM=")</f>
        <v>#REF!</v>
      </c>
      <c r="BA137" t="e">
        <f>AND(#REF!,"AAAAAHP/fDQ=")</f>
        <v>#REF!</v>
      </c>
      <c r="BB137" t="e">
        <f>AND(#REF!,"AAAAAHP/fDU=")</f>
        <v>#REF!</v>
      </c>
      <c r="BC137" t="e">
        <f>AND(#REF!,"AAAAAHP/fDY=")</f>
        <v>#REF!</v>
      </c>
      <c r="BD137" t="e">
        <f>AND(#REF!,"AAAAAHP/fDc=")</f>
        <v>#REF!</v>
      </c>
      <c r="BE137" t="e">
        <f>AND(#REF!,"AAAAAHP/fDg=")</f>
        <v>#REF!</v>
      </c>
      <c r="BF137" t="e">
        <f>AND(#REF!,"AAAAAHP/fDk=")</f>
        <v>#REF!</v>
      </c>
      <c r="BG137" t="e">
        <f>AND(#REF!,"AAAAAHP/fDo=")</f>
        <v>#REF!</v>
      </c>
      <c r="BH137" t="e">
        <f>AND(#REF!,"AAAAAHP/fDs=")</f>
        <v>#REF!</v>
      </c>
      <c r="BI137" t="e">
        <f>AND(#REF!,"AAAAAHP/fDw=")</f>
        <v>#REF!</v>
      </c>
      <c r="BJ137" t="e">
        <f>AND(#REF!,"AAAAAHP/fD0=")</f>
        <v>#REF!</v>
      </c>
      <c r="BK137" t="e">
        <f>AND(#REF!,"AAAAAHP/fD4=")</f>
        <v>#REF!</v>
      </c>
      <c r="BL137" t="e">
        <f>AND(#REF!,"AAAAAHP/fD8=")</f>
        <v>#REF!</v>
      </c>
      <c r="BM137" t="e">
        <f>AND(#REF!,"AAAAAHP/fEA=")</f>
        <v>#REF!</v>
      </c>
      <c r="BN137" t="e">
        <f>AND(#REF!,"AAAAAHP/fEE=")</f>
        <v>#REF!</v>
      </c>
      <c r="BO137" t="e">
        <f>AND(#REF!,"AAAAAHP/fEI=")</f>
        <v>#REF!</v>
      </c>
      <c r="BP137" t="e">
        <f>AND(#REF!,"AAAAAHP/fEM=")</f>
        <v>#REF!</v>
      </c>
      <c r="BQ137" t="e">
        <f>AND(#REF!,"AAAAAHP/fEQ=")</f>
        <v>#REF!</v>
      </c>
      <c r="BR137" t="e">
        <f>AND(#REF!,"AAAAAHP/fEU=")</f>
        <v>#REF!</v>
      </c>
      <c r="BS137" t="e">
        <f>AND(#REF!,"AAAAAHP/fEY=")</f>
        <v>#REF!</v>
      </c>
      <c r="BT137" t="e">
        <f>IF(#REF!,"AAAAAHP/fEc=",0)</f>
        <v>#REF!</v>
      </c>
      <c r="BU137" t="e">
        <f>AND(#REF!,"AAAAAHP/fEg=")</f>
        <v>#REF!</v>
      </c>
      <c r="BV137" t="e">
        <f>AND(#REF!,"AAAAAHP/fEk=")</f>
        <v>#REF!</v>
      </c>
      <c r="BW137" t="e">
        <f>AND(#REF!,"AAAAAHP/fEo=")</f>
        <v>#REF!</v>
      </c>
      <c r="BX137" t="e">
        <f>AND(#REF!,"AAAAAHP/fEs=")</f>
        <v>#REF!</v>
      </c>
      <c r="BY137" t="e">
        <f>AND(#REF!,"AAAAAHP/fEw=")</f>
        <v>#REF!</v>
      </c>
      <c r="BZ137" t="e">
        <f>AND(#REF!,"AAAAAHP/fE0=")</f>
        <v>#REF!</v>
      </c>
      <c r="CA137" t="e">
        <f>AND(#REF!,"AAAAAHP/fE4=")</f>
        <v>#REF!</v>
      </c>
      <c r="CB137" t="e">
        <f>AND(#REF!,"AAAAAHP/fE8=")</f>
        <v>#REF!</v>
      </c>
      <c r="CC137" t="e">
        <f>AND(#REF!,"AAAAAHP/fFA=")</f>
        <v>#REF!</v>
      </c>
      <c r="CD137" t="e">
        <f>AND(#REF!,"AAAAAHP/fFE=")</f>
        <v>#REF!</v>
      </c>
      <c r="CE137" t="e">
        <f>AND(#REF!,"AAAAAHP/fFI=")</f>
        <v>#REF!</v>
      </c>
      <c r="CF137" t="e">
        <f>AND(#REF!,"AAAAAHP/fFM=")</f>
        <v>#REF!</v>
      </c>
      <c r="CG137" t="e">
        <f>AND(#REF!,"AAAAAHP/fFQ=")</f>
        <v>#REF!</v>
      </c>
      <c r="CH137" t="e">
        <f>AND(#REF!,"AAAAAHP/fFU=")</f>
        <v>#REF!</v>
      </c>
      <c r="CI137" t="e">
        <f>AND(#REF!,"AAAAAHP/fFY=")</f>
        <v>#REF!</v>
      </c>
      <c r="CJ137" t="e">
        <f>AND(#REF!,"AAAAAHP/fFc=")</f>
        <v>#REF!</v>
      </c>
      <c r="CK137" t="e">
        <f>AND(#REF!,"AAAAAHP/fFg=")</f>
        <v>#REF!</v>
      </c>
      <c r="CL137" t="e">
        <f>AND(#REF!,"AAAAAHP/fFk=")</f>
        <v>#REF!</v>
      </c>
      <c r="CM137" t="e">
        <f>AND(#REF!,"AAAAAHP/fFo=")</f>
        <v>#REF!</v>
      </c>
      <c r="CN137" t="e">
        <f>AND(#REF!,"AAAAAHP/fFs=")</f>
        <v>#REF!</v>
      </c>
      <c r="CO137" t="e">
        <f>AND(#REF!,"AAAAAHP/fFw=")</f>
        <v>#REF!</v>
      </c>
      <c r="CP137" t="e">
        <f>AND(#REF!,"AAAAAHP/fF0=")</f>
        <v>#REF!</v>
      </c>
      <c r="CQ137" t="e">
        <f>IF(#REF!,"AAAAAHP/fF4=",0)</f>
        <v>#REF!</v>
      </c>
      <c r="CR137" t="e">
        <f>AND(#REF!,"AAAAAHP/fF8=")</f>
        <v>#REF!</v>
      </c>
      <c r="CS137" t="e">
        <f>AND(#REF!,"AAAAAHP/fGA=")</f>
        <v>#REF!</v>
      </c>
      <c r="CT137" t="e">
        <f>AND(#REF!,"AAAAAHP/fGE=")</f>
        <v>#REF!</v>
      </c>
      <c r="CU137" t="e">
        <f>AND(#REF!,"AAAAAHP/fGI=")</f>
        <v>#REF!</v>
      </c>
      <c r="CV137" t="e">
        <f>AND(#REF!,"AAAAAHP/fGM=")</f>
        <v>#REF!</v>
      </c>
      <c r="CW137" t="e">
        <f>AND(#REF!,"AAAAAHP/fGQ=")</f>
        <v>#REF!</v>
      </c>
      <c r="CX137" t="e">
        <f>AND(#REF!,"AAAAAHP/fGU=")</f>
        <v>#REF!</v>
      </c>
      <c r="CY137" t="e">
        <f>AND(#REF!,"AAAAAHP/fGY=")</f>
        <v>#REF!</v>
      </c>
      <c r="CZ137" t="e">
        <f>AND(#REF!,"AAAAAHP/fGc=")</f>
        <v>#REF!</v>
      </c>
      <c r="DA137" t="e">
        <f>AND(#REF!,"AAAAAHP/fGg=")</f>
        <v>#REF!</v>
      </c>
      <c r="DB137" t="e">
        <f>AND(#REF!,"AAAAAHP/fGk=")</f>
        <v>#REF!</v>
      </c>
      <c r="DC137" t="e">
        <f>AND(#REF!,"AAAAAHP/fGo=")</f>
        <v>#REF!</v>
      </c>
      <c r="DD137" t="e">
        <f>AND(#REF!,"AAAAAHP/fGs=")</f>
        <v>#REF!</v>
      </c>
      <c r="DE137" t="e">
        <f>AND(#REF!,"AAAAAHP/fGw=")</f>
        <v>#REF!</v>
      </c>
      <c r="DF137" t="e">
        <f>AND(#REF!,"AAAAAHP/fG0=")</f>
        <v>#REF!</v>
      </c>
      <c r="DG137" t="e">
        <f>AND(#REF!,"AAAAAHP/fG4=")</f>
        <v>#REF!</v>
      </c>
      <c r="DH137" t="e">
        <f>AND(#REF!,"AAAAAHP/fG8=")</f>
        <v>#REF!</v>
      </c>
      <c r="DI137" t="e">
        <f>AND(#REF!,"AAAAAHP/fHA=")</f>
        <v>#REF!</v>
      </c>
      <c r="DJ137" t="e">
        <f>AND(#REF!,"AAAAAHP/fHE=")</f>
        <v>#REF!</v>
      </c>
      <c r="DK137" t="e">
        <f>AND(#REF!,"AAAAAHP/fHI=")</f>
        <v>#REF!</v>
      </c>
      <c r="DL137" t="e">
        <f>AND(#REF!,"AAAAAHP/fHM=")</f>
        <v>#REF!</v>
      </c>
      <c r="DM137" t="e">
        <f>AND(#REF!,"AAAAAHP/fHQ=")</f>
        <v>#REF!</v>
      </c>
      <c r="DN137" t="e">
        <f>IF(#REF!,"AAAAAHP/fHU=",0)</f>
        <v>#REF!</v>
      </c>
      <c r="DO137" t="e">
        <f>AND(#REF!,"AAAAAHP/fHY=")</f>
        <v>#REF!</v>
      </c>
      <c r="DP137" t="e">
        <f>AND(#REF!,"AAAAAHP/fHc=")</f>
        <v>#REF!</v>
      </c>
      <c r="DQ137" t="e">
        <f>AND(#REF!,"AAAAAHP/fHg=")</f>
        <v>#REF!</v>
      </c>
      <c r="DR137" t="e">
        <f>AND(#REF!,"AAAAAHP/fHk=")</f>
        <v>#REF!</v>
      </c>
      <c r="DS137" t="e">
        <f>AND(#REF!,"AAAAAHP/fHo=")</f>
        <v>#REF!</v>
      </c>
      <c r="DT137" t="e">
        <f>AND(#REF!,"AAAAAHP/fHs=")</f>
        <v>#REF!</v>
      </c>
      <c r="DU137" t="e">
        <f>AND(#REF!,"AAAAAHP/fHw=")</f>
        <v>#REF!</v>
      </c>
      <c r="DV137" t="e">
        <f>AND(#REF!,"AAAAAHP/fH0=")</f>
        <v>#REF!</v>
      </c>
      <c r="DW137" t="e">
        <f>AND(#REF!,"AAAAAHP/fH4=")</f>
        <v>#REF!</v>
      </c>
      <c r="DX137" t="e">
        <f>AND(#REF!,"AAAAAHP/fH8=")</f>
        <v>#REF!</v>
      </c>
      <c r="DY137" t="e">
        <f>AND(#REF!,"AAAAAHP/fIA=")</f>
        <v>#REF!</v>
      </c>
      <c r="DZ137" t="e">
        <f>AND(#REF!,"AAAAAHP/fIE=")</f>
        <v>#REF!</v>
      </c>
      <c r="EA137" t="e">
        <f>AND(#REF!,"AAAAAHP/fII=")</f>
        <v>#REF!</v>
      </c>
      <c r="EB137" t="e">
        <f>AND(#REF!,"AAAAAHP/fIM=")</f>
        <v>#REF!</v>
      </c>
      <c r="EC137" t="e">
        <f>AND(#REF!,"AAAAAHP/fIQ=")</f>
        <v>#REF!</v>
      </c>
      <c r="ED137" t="e">
        <f>AND(#REF!,"AAAAAHP/fIU=")</f>
        <v>#REF!</v>
      </c>
      <c r="EE137" t="e">
        <f>AND(#REF!,"AAAAAHP/fIY=")</f>
        <v>#REF!</v>
      </c>
      <c r="EF137" t="e">
        <f>AND(#REF!,"AAAAAHP/fIc=")</f>
        <v>#REF!</v>
      </c>
      <c r="EG137" t="e">
        <f>AND(#REF!,"AAAAAHP/fIg=")</f>
        <v>#REF!</v>
      </c>
      <c r="EH137" t="e">
        <f>AND(#REF!,"AAAAAHP/fIk=")</f>
        <v>#REF!</v>
      </c>
      <c r="EI137" t="e">
        <f>AND(#REF!,"AAAAAHP/fIo=")</f>
        <v>#REF!</v>
      </c>
      <c r="EJ137" t="e">
        <f>AND(#REF!,"AAAAAHP/fIs=")</f>
        <v>#REF!</v>
      </c>
      <c r="EK137" t="e">
        <f>IF(#REF!,"AAAAAHP/fIw=",0)</f>
        <v>#REF!</v>
      </c>
      <c r="EL137" t="e">
        <f>AND(#REF!,"AAAAAHP/fI0=")</f>
        <v>#REF!</v>
      </c>
      <c r="EM137" t="e">
        <f>AND(#REF!,"AAAAAHP/fI4=")</f>
        <v>#REF!</v>
      </c>
      <c r="EN137" t="e">
        <f>AND(#REF!,"AAAAAHP/fI8=")</f>
        <v>#REF!</v>
      </c>
      <c r="EO137" t="e">
        <f>AND(#REF!,"AAAAAHP/fJA=")</f>
        <v>#REF!</v>
      </c>
      <c r="EP137" t="e">
        <f>AND(#REF!,"AAAAAHP/fJE=")</f>
        <v>#REF!</v>
      </c>
      <c r="EQ137" t="e">
        <f>AND(#REF!,"AAAAAHP/fJI=")</f>
        <v>#REF!</v>
      </c>
      <c r="ER137" t="e">
        <f>AND(#REF!,"AAAAAHP/fJM=")</f>
        <v>#REF!</v>
      </c>
      <c r="ES137" t="e">
        <f>AND(#REF!,"AAAAAHP/fJQ=")</f>
        <v>#REF!</v>
      </c>
      <c r="ET137" t="e">
        <f>AND(#REF!,"AAAAAHP/fJU=")</f>
        <v>#REF!</v>
      </c>
      <c r="EU137" t="e">
        <f>AND(#REF!,"AAAAAHP/fJY=")</f>
        <v>#REF!</v>
      </c>
      <c r="EV137" t="e">
        <f>AND(#REF!,"AAAAAHP/fJc=")</f>
        <v>#REF!</v>
      </c>
      <c r="EW137" t="e">
        <f>AND(#REF!,"AAAAAHP/fJg=")</f>
        <v>#REF!</v>
      </c>
      <c r="EX137" t="e">
        <f>AND(#REF!,"AAAAAHP/fJk=")</f>
        <v>#REF!</v>
      </c>
      <c r="EY137" t="e">
        <f>AND(#REF!,"AAAAAHP/fJo=")</f>
        <v>#REF!</v>
      </c>
      <c r="EZ137" t="e">
        <f>AND(#REF!,"AAAAAHP/fJs=")</f>
        <v>#REF!</v>
      </c>
      <c r="FA137" t="e">
        <f>AND(#REF!,"AAAAAHP/fJw=")</f>
        <v>#REF!</v>
      </c>
      <c r="FB137" t="e">
        <f>AND(#REF!,"AAAAAHP/fJ0=")</f>
        <v>#REF!</v>
      </c>
      <c r="FC137" t="e">
        <f>AND(#REF!,"AAAAAHP/fJ4=")</f>
        <v>#REF!</v>
      </c>
      <c r="FD137" t="e">
        <f>AND(#REF!,"AAAAAHP/fJ8=")</f>
        <v>#REF!</v>
      </c>
      <c r="FE137" t="e">
        <f>AND(#REF!,"AAAAAHP/fKA=")</f>
        <v>#REF!</v>
      </c>
      <c r="FF137" t="e">
        <f>AND(#REF!,"AAAAAHP/fKE=")</f>
        <v>#REF!</v>
      </c>
      <c r="FG137" t="e">
        <f>AND(#REF!,"AAAAAHP/fKI=")</f>
        <v>#REF!</v>
      </c>
      <c r="FH137" t="e">
        <f>IF(#REF!,"AAAAAHP/fKM=",0)</f>
        <v>#REF!</v>
      </c>
      <c r="FI137" t="e">
        <f>AND(#REF!,"AAAAAHP/fKQ=")</f>
        <v>#REF!</v>
      </c>
      <c r="FJ137" t="e">
        <f>AND(#REF!,"AAAAAHP/fKU=")</f>
        <v>#REF!</v>
      </c>
      <c r="FK137" t="e">
        <f>AND(#REF!,"AAAAAHP/fKY=")</f>
        <v>#REF!</v>
      </c>
      <c r="FL137" t="e">
        <f>AND(#REF!,"AAAAAHP/fKc=")</f>
        <v>#REF!</v>
      </c>
      <c r="FM137" t="e">
        <f>AND(#REF!,"AAAAAHP/fKg=")</f>
        <v>#REF!</v>
      </c>
      <c r="FN137" t="e">
        <f>AND(#REF!,"AAAAAHP/fKk=")</f>
        <v>#REF!</v>
      </c>
      <c r="FO137" t="e">
        <f>AND(#REF!,"AAAAAHP/fKo=")</f>
        <v>#REF!</v>
      </c>
      <c r="FP137" t="e">
        <f>AND(#REF!,"AAAAAHP/fKs=")</f>
        <v>#REF!</v>
      </c>
      <c r="FQ137" t="e">
        <f>AND(#REF!,"AAAAAHP/fKw=")</f>
        <v>#REF!</v>
      </c>
      <c r="FR137" t="e">
        <f>AND(#REF!,"AAAAAHP/fK0=")</f>
        <v>#REF!</v>
      </c>
      <c r="FS137" t="e">
        <f>AND(#REF!,"AAAAAHP/fK4=")</f>
        <v>#REF!</v>
      </c>
      <c r="FT137" t="e">
        <f>AND(#REF!,"AAAAAHP/fK8=")</f>
        <v>#REF!</v>
      </c>
      <c r="FU137" t="e">
        <f>AND(#REF!,"AAAAAHP/fLA=")</f>
        <v>#REF!</v>
      </c>
      <c r="FV137" t="e">
        <f>AND(#REF!,"AAAAAHP/fLE=")</f>
        <v>#REF!</v>
      </c>
      <c r="FW137" t="e">
        <f>AND(#REF!,"AAAAAHP/fLI=")</f>
        <v>#REF!</v>
      </c>
      <c r="FX137" t="e">
        <f>AND(#REF!,"AAAAAHP/fLM=")</f>
        <v>#REF!</v>
      </c>
      <c r="FY137" t="e">
        <f>AND(#REF!,"AAAAAHP/fLQ=")</f>
        <v>#REF!</v>
      </c>
      <c r="FZ137" t="e">
        <f>AND(#REF!,"AAAAAHP/fLU=")</f>
        <v>#REF!</v>
      </c>
      <c r="GA137" t="e">
        <f>AND(#REF!,"AAAAAHP/fLY=")</f>
        <v>#REF!</v>
      </c>
      <c r="GB137" t="e">
        <f>AND(#REF!,"AAAAAHP/fLc=")</f>
        <v>#REF!</v>
      </c>
      <c r="GC137" t="e">
        <f>AND(#REF!,"AAAAAHP/fLg=")</f>
        <v>#REF!</v>
      </c>
      <c r="GD137" t="e">
        <f>AND(#REF!,"AAAAAHP/fLk=")</f>
        <v>#REF!</v>
      </c>
      <c r="GE137" t="e">
        <f>IF(#REF!,"AAAAAHP/fLo=",0)</f>
        <v>#REF!</v>
      </c>
      <c r="GF137" t="e">
        <f>AND(#REF!,"AAAAAHP/fLs=")</f>
        <v>#REF!</v>
      </c>
      <c r="GG137" t="e">
        <f>AND(#REF!,"AAAAAHP/fLw=")</f>
        <v>#REF!</v>
      </c>
      <c r="GH137" t="e">
        <f>AND(#REF!,"AAAAAHP/fL0=")</f>
        <v>#REF!</v>
      </c>
      <c r="GI137" t="e">
        <f>AND(#REF!,"AAAAAHP/fL4=")</f>
        <v>#REF!</v>
      </c>
      <c r="GJ137" t="e">
        <f>AND(#REF!,"AAAAAHP/fL8=")</f>
        <v>#REF!</v>
      </c>
      <c r="GK137" t="e">
        <f>AND(#REF!,"AAAAAHP/fMA=")</f>
        <v>#REF!</v>
      </c>
      <c r="GL137" t="e">
        <f>AND(#REF!,"AAAAAHP/fME=")</f>
        <v>#REF!</v>
      </c>
      <c r="GM137" t="e">
        <f>AND(#REF!,"AAAAAHP/fMI=")</f>
        <v>#REF!</v>
      </c>
      <c r="GN137" t="e">
        <f>AND(#REF!,"AAAAAHP/fMM=")</f>
        <v>#REF!</v>
      </c>
      <c r="GO137" t="e">
        <f>AND(#REF!,"AAAAAHP/fMQ=")</f>
        <v>#REF!</v>
      </c>
      <c r="GP137" t="e">
        <f>AND(#REF!,"AAAAAHP/fMU=")</f>
        <v>#REF!</v>
      </c>
      <c r="GQ137" t="e">
        <f>AND(#REF!,"AAAAAHP/fMY=")</f>
        <v>#REF!</v>
      </c>
      <c r="GR137" t="e">
        <f>AND(#REF!,"AAAAAHP/fMc=")</f>
        <v>#REF!</v>
      </c>
      <c r="GS137" t="e">
        <f>AND(#REF!,"AAAAAHP/fMg=")</f>
        <v>#REF!</v>
      </c>
      <c r="GT137" t="e">
        <f>AND(#REF!,"AAAAAHP/fMk=")</f>
        <v>#REF!</v>
      </c>
      <c r="GU137" t="e">
        <f>AND(#REF!,"AAAAAHP/fMo=")</f>
        <v>#REF!</v>
      </c>
      <c r="GV137" t="e">
        <f>AND(#REF!,"AAAAAHP/fMs=")</f>
        <v>#REF!</v>
      </c>
      <c r="GW137" t="e">
        <f>AND(#REF!,"AAAAAHP/fMw=")</f>
        <v>#REF!</v>
      </c>
      <c r="GX137" t="e">
        <f>AND(#REF!,"AAAAAHP/fM0=")</f>
        <v>#REF!</v>
      </c>
      <c r="GY137" t="e">
        <f>AND(#REF!,"AAAAAHP/fM4=")</f>
        <v>#REF!</v>
      </c>
      <c r="GZ137" t="e">
        <f>AND(#REF!,"AAAAAHP/fM8=")</f>
        <v>#REF!</v>
      </c>
      <c r="HA137" t="e">
        <f>AND(#REF!,"AAAAAHP/fNA=")</f>
        <v>#REF!</v>
      </c>
      <c r="HB137" t="e">
        <f>IF(#REF!,"AAAAAHP/fNE=",0)</f>
        <v>#REF!</v>
      </c>
      <c r="HC137" t="e">
        <f>AND(#REF!,"AAAAAHP/fNI=")</f>
        <v>#REF!</v>
      </c>
      <c r="HD137" t="e">
        <f>AND(#REF!,"AAAAAHP/fNM=")</f>
        <v>#REF!</v>
      </c>
      <c r="HE137" t="e">
        <f>AND(#REF!,"AAAAAHP/fNQ=")</f>
        <v>#REF!</v>
      </c>
      <c r="HF137" t="e">
        <f>AND(#REF!,"AAAAAHP/fNU=")</f>
        <v>#REF!</v>
      </c>
      <c r="HG137" t="e">
        <f>AND(#REF!,"AAAAAHP/fNY=")</f>
        <v>#REF!</v>
      </c>
      <c r="HH137" t="e">
        <f>AND(#REF!,"AAAAAHP/fNc=")</f>
        <v>#REF!</v>
      </c>
      <c r="HI137" t="e">
        <f>AND(#REF!,"AAAAAHP/fNg=")</f>
        <v>#REF!</v>
      </c>
      <c r="HJ137" t="e">
        <f>AND(#REF!,"AAAAAHP/fNk=")</f>
        <v>#REF!</v>
      </c>
      <c r="HK137" t="e">
        <f>AND(#REF!,"AAAAAHP/fNo=")</f>
        <v>#REF!</v>
      </c>
      <c r="HL137" t="e">
        <f>AND(#REF!,"AAAAAHP/fNs=")</f>
        <v>#REF!</v>
      </c>
      <c r="HM137" t="e">
        <f>AND(#REF!,"AAAAAHP/fNw=")</f>
        <v>#REF!</v>
      </c>
      <c r="HN137" t="e">
        <f>AND(#REF!,"AAAAAHP/fN0=")</f>
        <v>#REF!</v>
      </c>
      <c r="HO137" t="e">
        <f>AND(#REF!,"AAAAAHP/fN4=")</f>
        <v>#REF!</v>
      </c>
      <c r="HP137" t="e">
        <f>AND(#REF!,"AAAAAHP/fN8=")</f>
        <v>#REF!</v>
      </c>
      <c r="HQ137" t="e">
        <f>AND(#REF!,"AAAAAHP/fOA=")</f>
        <v>#REF!</v>
      </c>
      <c r="HR137" t="e">
        <f>AND(#REF!,"AAAAAHP/fOE=")</f>
        <v>#REF!</v>
      </c>
      <c r="HS137" t="e">
        <f>AND(#REF!,"AAAAAHP/fOI=")</f>
        <v>#REF!</v>
      </c>
      <c r="HT137" t="e">
        <f>AND(#REF!,"AAAAAHP/fOM=")</f>
        <v>#REF!</v>
      </c>
      <c r="HU137" t="e">
        <f>AND(#REF!,"AAAAAHP/fOQ=")</f>
        <v>#REF!</v>
      </c>
      <c r="HV137" t="e">
        <f>AND(#REF!,"AAAAAHP/fOU=")</f>
        <v>#REF!</v>
      </c>
      <c r="HW137" t="e">
        <f>AND(#REF!,"AAAAAHP/fOY=")</f>
        <v>#REF!</v>
      </c>
      <c r="HX137" t="e">
        <f>AND(#REF!,"AAAAAHP/fOc=")</f>
        <v>#REF!</v>
      </c>
      <c r="HY137" t="e">
        <f>IF(#REF!,"AAAAAHP/fOg=",0)</f>
        <v>#REF!</v>
      </c>
      <c r="HZ137" t="e">
        <f>AND(#REF!,"AAAAAHP/fOk=")</f>
        <v>#REF!</v>
      </c>
      <c r="IA137" t="e">
        <f>AND(#REF!,"AAAAAHP/fOo=")</f>
        <v>#REF!</v>
      </c>
      <c r="IB137" t="e">
        <f>AND(#REF!,"AAAAAHP/fOs=")</f>
        <v>#REF!</v>
      </c>
      <c r="IC137" t="e">
        <f>AND(#REF!,"AAAAAHP/fOw=")</f>
        <v>#REF!</v>
      </c>
      <c r="ID137" t="e">
        <f>AND(#REF!,"AAAAAHP/fO0=")</f>
        <v>#REF!</v>
      </c>
      <c r="IE137" t="e">
        <f>AND(#REF!,"AAAAAHP/fO4=")</f>
        <v>#REF!</v>
      </c>
      <c r="IF137" t="e">
        <f>AND(#REF!,"AAAAAHP/fO8=")</f>
        <v>#REF!</v>
      </c>
      <c r="IG137" t="e">
        <f>AND(#REF!,"AAAAAHP/fPA=")</f>
        <v>#REF!</v>
      </c>
      <c r="IH137" t="e">
        <f>AND(#REF!,"AAAAAHP/fPE=")</f>
        <v>#REF!</v>
      </c>
      <c r="II137" t="e">
        <f>AND(#REF!,"AAAAAHP/fPI=")</f>
        <v>#REF!</v>
      </c>
      <c r="IJ137" t="e">
        <f>AND(#REF!,"AAAAAHP/fPM=")</f>
        <v>#REF!</v>
      </c>
      <c r="IK137" t="e">
        <f>AND(#REF!,"AAAAAHP/fPQ=")</f>
        <v>#REF!</v>
      </c>
      <c r="IL137" t="e">
        <f>AND(#REF!,"AAAAAHP/fPU=")</f>
        <v>#REF!</v>
      </c>
      <c r="IM137" t="e">
        <f>AND(#REF!,"AAAAAHP/fPY=")</f>
        <v>#REF!</v>
      </c>
      <c r="IN137" t="e">
        <f>AND(#REF!,"AAAAAHP/fPc=")</f>
        <v>#REF!</v>
      </c>
      <c r="IO137" t="e">
        <f>AND(#REF!,"AAAAAHP/fPg=")</f>
        <v>#REF!</v>
      </c>
      <c r="IP137" t="e">
        <f>AND(#REF!,"AAAAAHP/fPk=")</f>
        <v>#REF!</v>
      </c>
      <c r="IQ137" t="e">
        <f>AND(#REF!,"AAAAAHP/fPo=")</f>
        <v>#REF!</v>
      </c>
      <c r="IR137" t="e">
        <f>AND(#REF!,"AAAAAHP/fPs=")</f>
        <v>#REF!</v>
      </c>
      <c r="IS137" t="e">
        <f>AND(#REF!,"AAAAAHP/fPw=")</f>
        <v>#REF!</v>
      </c>
      <c r="IT137" t="e">
        <f>AND(#REF!,"AAAAAHP/fP0=")</f>
        <v>#REF!</v>
      </c>
      <c r="IU137" t="e">
        <f>AND(#REF!,"AAAAAHP/fP4=")</f>
        <v>#REF!</v>
      </c>
      <c r="IV137" t="e">
        <f>IF(#REF!,"AAAAAHP/fP8=",0)</f>
        <v>#REF!</v>
      </c>
    </row>
    <row r="138" spans="1:256" x14ac:dyDescent="0.2">
      <c r="A138" t="e">
        <f>AND(#REF!,"AAAAAHe5/wA=")</f>
        <v>#REF!</v>
      </c>
      <c r="B138" t="e">
        <f>AND(#REF!,"AAAAAHe5/wE=")</f>
        <v>#REF!</v>
      </c>
      <c r="C138" t="e">
        <f>AND(#REF!,"AAAAAHe5/wI=")</f>
        <v>#REF!</v>
      </c>
      <c r="D138" t="e">
        <f>AND(#REF!,"AAAAAHe5/wM=")</f>
        <v>#REF!</v>
      </c>
      <c r="E138" t="e">
        <f>AND(#REF!,"AAAAAHe5/wQ=")</f>
        <v>#REF!</v>
      </c>
      <c r="F138" t="e">
        <f>AND(#REF!,"AAAAAHe5/wU=")</f>
        <v>#REF!</v>
      </c>
      <c r="G138" t="e">
        <f>AND(#REF!,"AAAAAHe5/wY=")</f>
        <v>#REF!</v>
      </c>
      <c r="H138" t="e">
        <f>AND(#REF!,"AAAAAHe5/wc=")</f>
        <v>#REF!</v>
      </c>
      <c r="I138" t="e">
        <f>AND(#REF!,"AAAAAHe5/wg=")</f>
        <v>#REF!</v>
      </c>
      <c r="J138" t="e">
        <f>AND(#REF!,"AAAAAHe5/wk=")</f>
        <v>#REF!</v>
      </c>
      <c r="K138" t="e">
        <f>AND(#REF!,"AAAAAHe5/wo=")</f>
        <v>#REF!</v>
      </c>
      <c r="L138" t="e">
        <f>AND(#REF!,"AAAAAHe5/ws=")</f>
        <v>#REF!</v>
      </c>
      <c r="M138" t="e">
        <f>AND(#REF!,"AAAAAHe5/ww=")</f>
        <v>#REF!</v>
      </c>
      <c r="N138" t="e">
        <f>AND(#REF!,"AAAAAHe5/w0=")</f>
        <v>#REF!</v>
      </c>
      <c r="O138" t="e">
        <f>AND(#REF!,"AAAAAHe5/w4=")</f>
        <v>#REF!</v>
      </c>
      <c r="P138" t="e">
        <f>AND(#REF!,"AAAAAHe5/w8=")</f>
        <v>#REF!</v>
      </c>
      <c r="Q138" t="e">
        <f>AND(#REF!,"AAAAAHe5/xA=")</f>
        <v>#REF!</v>
      </c>
      <c r="R138" t="e">
        <f>AND(#REF!,"AAAAAHe5/xE=")</f>
        <v>#REF!</v>
      </c>
      <c r="S138" t="e">
        <f>AND(#REF!,"AAAAAHe5/xI=")</f>
        <v>#REF!</v>
      </c>
      <c r="T138" t="e">
        <f>AND(#REF!,"AAAAAHe5/xM=")</f>
        <v>#REF!</v>
      </c>
      <c r="U138" t="e">
        <f>AND(#REF!,"AAAAAHe5/xQ=")</f>
        <v>#REF!</v>
      </c>
      <c r="V138" t="e">
        <f>AND(#REF!,"AAAAAHe5/xU=")</f>
        <v>#REF!</v>
      </c>
      <c r="W138" t="e">
        <f>IF(#REF!,"AAAAAHe5/xY=",0)</f>
        <v>#REF!</v>
      </c>
      <c r="X138" t="e">
        <f>AND(#REF!,"AAAAAHe5/xc=")</f>
        <v>#REF!</v>
      </c>
      <c r="Y138" t="e">
        <f>AND(#REF!,"AAAAAHe5/xg=")</f>
        <v>#REF!</v>
      </c>
      <c r="Z138" t="e">
        <f>AND(#REF!,"AAAAAHe5/xk=")</f>
        <v>#REF!</v>
      </c>
      <c r="AA138" t="e">
        <f>AND(#REF!,"AAAAAHe5/xo=")</f>
        <v>#REF!</v>
      </c>
      <c r="AB138" t="e">
        <f>AND(#REF!,"AAAAAHe5/xs=")</f>
        <v>#REF!</v>
      </c>
      <c r="AC138" t="e">
        <f>AND(#REF!,"AAAAAHe5/xw=")</f>
        <v>#REF!</v>
      </c>
      <c r="AD138" t="e">
        <f>AND(#REF!,"AAAAAHe5/x0=")</f>
        <v>#REF!</v>
      </c>
      <c r="AE138" t="e">
        <f>AND(#REF!,"AAAAAHe5/x4=")</f>
        <v>#REF!</v>
      </c>
      <c r="AF138" t="e">
        <f>AND(#REF!,"AAAAAHe5/x8=")</f>
        <v>#REF!</v>
      </c>
      <c r="AG138" t="e">
        <f>AND(#REF!,"AAAAAHe5/yA=")</f>
        <v>#REF!</v>
      </c>
      <c r="AH138" t="e">
        <f>AND(#REF!,"AAAAAHe5/yE=")</f>
        <v>#REF!</v>
      </c>
      <c r="AI138" t="e">
        <f>AND(#REF!,"AAAAAHe5/yI=")</f>
        <v>#REF!</v>
      </c>
      <c r="AJ138" t="e">
        <f>AND(#REF!,"AAAAAHe5/yM=")</f>
        <v>#REF!</v>
      </c>
      <c r="AK138" t="e">
        <f>AND(#REF!,"AAAAAHe5/yQ=")</f>
        <v>#REF!</v>
      </c>
      <c r="AL138" t="e">
        <f>AND(#REF!,"AAAAAHe5/yU=")</f>
        <v>#REF!</v>
      </c>
      <c r="AM138" t="e">
        <f>AND(#REF!,"AAAAAHe5/yY=")</f>
        <v>#REF!</v>
      </c>
      <c r="AN138" t="e">
        <f>AND(#REF!,"AAAAAHe5/yc=")</f>
        <v>#REF!</v>
      </c>
      <c r="AO138" t="e">
        <f>AND(#REF!,"AAAAAHe5/yg=")</f>
        <v>#REF!</v>
      </c>
      <c r="AP138" t="e">
        <f>AND(#REF!,"AAAAAHe5/yk=")</f>
        <v>#REF!</v>
      </c>
      <c r="AQ138" t="e">
        <f>AND(#REF!,"AAAAAHe5/yo=")</f>
        <v>#REF!</v>
      </c>
      <c r="AR138" t="e">
        <f>AND(#REF!,"AAAAAHe5/ys=")</f>
        <v>#REF!</v>
      </c>
      <c r="AS138" t="e">
        <f>AND(#REF!,"AAAAAHe5/yw=")</f>
        <v>#REF!</v>
      </c>
      <c r="AT138" t="e">
        <f>IF(#REF!,"AAAAAHe5/y0=",0)</f>
        <v>#REF!</v>
      </c>
      <c r="AU138" t="e">
        <f>AND(#REF!,"AAAAAHe5/y4=")</f>
        <v>#REF!</v>
      </c>
      <c r="AV138" t="e">
        <f>AND(#REF!,"AAAAAHe5/y8=")</f>
        <v>#REF!</v>
      </c>
      <c r="AW138" t="e">
        <f>AND(#REF!,"AAAAAHe5/zA=")</f>
        <v>#REF!</v>
      </c>
      <c r="AX138" t="e">
        <f>AND(#REF!,"AAAAAHe5/zE=")</f>
        <v>#REF!</v>
      </c>
      <c r="AY138" t="e">
        <f>AND(#REF!,"AAAAAHe5/zI=")</f>
        <v>#REF!</v>
      </c>
      <c r="AZ138" t="e">
        <f>AND(#REF!,"AAAAAHe5/zM=")</f>
        <v>#REF!</v>
      </c>
      <c r="BA138" t="e">
        <f>AND(#REF!,"AAAAAHe5/zQ=")</f>
        <v>#REF!</v>
      </c>
      <c r="BB138" t="e">
        <f>AND(#REF!,"AAAAAHe5/zU=")</f>
        <v>#REF!</v>
      </c>
      <c r="BC138" t="e">
        <f>AND(#REF!,"AAAAAHe5/zY=")</f>
        <v>#REF!</v>
      </c>
      <c r="BD138" t="e">
        <f>AND(#REF!,"AAAAAHe5/zc=")</f>
        <v>#REF!</v>
      </c>
      <c r="BE138" t="e">
        <f>AND(#REF!,"AAAAAHe5/zg=")</f>
        <v>#REF!</v>
      </c>
      <c r="BF138" t="e">
        <f>AND(#REF!,"AAAAAHe5/zk=")</f>
        <v>#REF!</v>
      </c>
      <c r="BG138" t="e">
        <f>AND(#REF!,"AAAAAHe5/zo=")</f>
        <v>#REF!</v>
      </c>
      <c r="BH138" t="e">
        <f>AND(#REF!,"AAAAAHe5/zs=")</f>
        <v>#REF!</v>
      </c>
      <c r="BI138" t="e">
        <f>AND(#REF!,"AAAAAHe5/zw=")</f>
        <v>#REF!</v>
      </c>
      <c r="BJ138" t="e">
        <f>AND(#REF!,"AAAAAHe5/z0=")</f>
        <v>#REF!</v>
      </c>
      <c r="BK138" t="e">
        <f>AND(#REF!,"AAAAAHe5/z4=")</f>
        <v>#REF!</v>
      </c>
      <c r="BL138" t="e">
        <f>AND(#REF!,"AAAAAHe5/z8=")</f>
        <v>#REF!</v>
      </c>
      <c r="BM138" t="e">
        <f>AND(#REF!,"AAAAAHe5/0A=")</f>
        <v>#REF!</v>
      </c>
      <c r="BN138" t="e">
        <f>AND(#REF!,"AAAAAHe5/0E=")</f>
        <v>#REF!</v>
      </c>
      <c r="BO138" t="e">
        <f>AND(#REF!,"AAAAAHe5/0I=")</f>
        <v>#REF!</v>
      </c>
      <c r="BP138" t="e">
        <f>AND(#REF!,"AAAAAHe5/0M=")</f>
        <v>#REF!</v>
      </c>
      <c r="BQ138" t="e">
        <f>IF(#REF!,"AAAAAHe5/0Q=",0)</f>
        <v>#REF!</v>
      </c>
      <c r="BR138" t="e">
        <f>AND(#REF!,"AAAAAHe5/0U=")</f>
        <v>#REF!</v>
      </c>
      <c r="BS138" t="e">
        <f>AND(#REF!,"AAAAAHe5/0Y=")</f>
        <v>#REF!</v>
      </c>
      <c r="BT138" t="e">
        <f>AND(#REF!,"AAAAAHe5/0c=")</f>
        <v>#REF!</v>
      </c>
      <c r="BU138" t="e">
        <f>AND(#REF!,"AAAAAHe5/0g=")</f>
        <v>#REF!</v>
      </c>
      <c r="BV138" t="e">
        <f>AND(#REF!,"AAAAAHe5/0k=")</f>
        <v>#REF!</v>
      </c>
      <c r="BW138" t="e">
        <f>AND(#REF!,"AAAAAHe5/0o=")</f>
        <v>#REF!</v>
      </c>
      <c r="BX138" t="e">
        <f>AND(#REF!,"AAAAAHe5/0s=")</f>
        <v>#REF!</v>
      </c>
      <c r="BY138" t="e">
        <f>AND(#REF!,"AAAAAHe5/0w=")</f>
        <v>#REF!</v>
      </c>
      <c r="BZ138" t="e">
        <f>AND(#REF!,"AAAAAHe5/00=")</f>
        <v>#REF!</v>
      </c>
      <c r="CA138" t="e">
        <f>AND(#REF!,"AAAAAHe5/04=")</f>
        <v>#REF!</v>
      </c>
      <c r="CB138" t="e">
        <f>AND(#REF!,"AAAAAHe5/08=")</f>
        <v>#REF!</v>
      </c>
      <c r="CC138" t="e">
        <f>AND(#REF!,"AAAAAHe5/1A=")</f>
        <v>#REF!</v>
      </c>
      <c r="CD138" t="e">
        <f>AND(#REF!,"AAAAAHe5/1E=")</f>
        <v>#REF!</v>
      </c>
      <c r="CE138" t="e">
        <f>AND(#REF!,"AAAAAHe5/1I=")</f>
        <v>#REF!</v>
      </c>
      <c r="CF138" t="e">
        <f>AND(#REF!,"AAAAAHe5/1M=")</f>
        <v>#REF!</v>
      </c>
      <c r="CG138" t="e">
        <f>AND(#REF!,"AAAAAHe5/1Q=")</f>
        <v>#REF!</v>
      </c>
      <c r="CH138" t="e">
        <f>AND(#REF!,"AAAAAHe5/1U=")</f>
        <v>#REF!</v>
      </c>
      <c r="CI138" t="e">
        <f>AND(#REF!,"AAAAAHe5/1Y=")</f>
        <v>#REF!</v>
      </c>
      <c r="CJ138" t="e">
        <f>AND(#REF!,"AAAAAHe5/1c=")</f>
        <v>#REF!</v>
      </c>
      <c r="CK138" t="e">
        <f>AND(#REF!,"AAAAAHe5/1g=")</f>
        <v>#REF!</v>
      </c>
      <c r="CL138" t="e">
        <f>AND(#REF!,"AAAAAHe5/1k=")</f>
        <v>#REF!</v>
      </c>
      <c r="CM138" t="e">
        <f>AND(#REF!,"AAAAAHe5/1o=")</f>
        <v>#REF!</v>
      </c>
      <c r="CN138" t="e">
        <f>IF(#REF!,"AAAAAHe5/1s=",0)</f>
        <v>#REF!</v>
      </c>
      <c r="CO138" t="e">
        <f>AND(#REF!,"AAAAAHe5/1w=")</f>
        <v>#REF!</v>
      </c>
      <c r="CP138" t="e">
        <f>AND(#REF!,"AAAAAHe5/10=")</f>
        <v>#REF!</v>
      </c>
      <c r="CQ138" t="e">
        <f>AND(#REF!,"AAAAAHe5/14=")</f>
        <v>#REF!</v>
      </c>
      <c r="CR138" t="e">
        <f>AND(#REF!,"AAAAAHe5/18=")</f>
        <v>#REF!</v>
      </c>
      <c r="CS138" t="e">
        <f>AND(#REF!,"AAAAAHe5/2A=")</f>
        <v>#REF!</v>
      </c>
      <c r="CT138" t="e">
        <f>AND(#REF!,"AAAAAHe5/2E=")</f>
        <v>#REF!</v>
      </c>
      <c r="CU138" t="e">
        <f>AND(#REF!,"AAAAAHe5/2I=")</f>
        <v>#REF!</v>
      </c>
      <c r="CV138" t="e">
        <f>AND(#REF!,"AAAAAHe5/2M=")</f>
        <v>#REF!</v>
      </c>
      <c r="CW138" t="e">
        <f>AND(#REF!,"AAAAAHe5/2Q=")</f>
        <v>#REF!</v>
      </c>
      <c r="CX138" t="e">
        <f>AND(#REF!,"AAAAAHe5/2U=")</f>
        <v>#REF!</v>
      </c>
      <c r="CY138" t="e">
        <f>AND(#REF!,"AAAAAHe5/2Y=")</f>
        <v>#REF!</v>
      </c>
      <c r="CZ138" t="e">
        <f>AND(#REF!,"AAAAAHe5/2c=")</f>
        <v>#REF!</v>
      </c>
      <c r="DA138" t="e">
        <f>AND(#REF!,"AAAAAHe5/2g=")</f>
        <v>#REF!</v>
      </c>
      <c r="DB138" t="e">
        <f>AND(#REF!,"AAAAAHe5/2k=")</f>
        <v>#REF!</v>
      </c>
      <c r="DC138" t="e">
        <f>AND(#REF!,"AAAAAHe5/2o=")</f>
        <v>#REF!</v>
      </c>
      <c r="DD138" t="e">
        <f>AND(#REF!,"AAAAAHe5/2s=")</f>
        <v>#REF!</v>
      </c>
      <c r="DE138" t="e">
        <f>AND(#REF!,"AAAAAHe5/2w=")</f>
        <v>#REF!</v>
      </c>
      <c r="DF138" t="e">
        <f>AND(#REF!,"AAAAAHe5/20=")</f>
        <v>#REF!</v>
      </c>
      <c r="DG138" t="e">
        <f>AND(#REF!,"AAAAAHe5/24=")</f>
        <v>#REF!</v>
      </c>
      <c r="DH138" t="e">
        <f>AND(#REF!,"AAAAAHe5/28=")</f>
        <v>#REF!</v>
      </c>
      <c r="DI138" t="e">
        <f>AND(#REF!,"AAAAAHe5/3A=")</f>
        <v>#REF!</v>
      </c>
      <c r="DJ138" t="e">
        <f>AND(#REF!,"AAAAAHe5/3E=")</f>
        <v>#REF!</v>
      </c>
      <c r="DK138" t="e">
        <f>IF(#REF!,"AAAAAHe5/3I=",0)</f>
        <v>#REF!</v>
      </c>
      <c r="DL138" t="e">
        <f>AND(#REF!,"AAAAAHe5/3M=")</f>
        <v>#REF!</v>
      </c>
      <c r="DM138" t="e">
        <f>AND(#REF!,"AAAAAHe5/3Q=")</f>
        <v>#REF!</v>
      </c>
      <c r="DN138" t="e">
        <f>AND(#REF!,"AAAAAHe5/3U=")</f>
        <v>#REF!</v>
      </c>
      <c r="DO138" t="e">
        <f>AND(#REF!,"AAAAAHe5/3Y=")</f>
        <v>#REF!</v>
      </c>
      <c r="DP138" t="e">
        <f>AND(#REF!,"AAAAAHe5/3c=")</f>
        <v>#REF!</v>
      </c>
      <c r="DQ138" t="e">
        <f>AND(#REF!,"AAAAAHe5/3g=")</f>
        <v>#REF!</v>
      </c>
      <c r="DR138" t="e">
        <f>AND(#REF!,"AAAAAHe5/3k=")</f>
        <v>#REF!</v>
      </c>
      <c r="DS138" t="e">
        <f>AND(#REF!,"AAAAAHe5/3o=")</f>
        <v>#REF!</v>
      </c>
      <c r="DT138" t="e">
        <f>AND(#REF!,"AAAAAHe5/3s=")</f>
        <v>#REF!</v>
      </c>
      <c r="DU138" t="e">
        <f>AND(#REF!,"AAAAAHe5/3w=")</f>
        <v>#REF!</v>
      </c>
      <c r="DV138" t="e">
        <f>AND(#REF!,"AAAAAHe5/30=")</f>
        <v>#REF!</v>
      </c>
      <c r="DW138" t="e">
        <f>AND(#REF!,"AAAAAHe5/34=")</f>
        <v>#REF!</v>
      </c>
      <c r="DX138" t="e">
        <f>AND(#REF!,"AAAAAHe5/38=")</f>
        <v>#REF!</v>
      </c>
      <c r="DY138" t="e">
        <f>AND(#REF!,"AAAAAHe5/4A=")</f>
        <v>#REF!</v>
      </c>
      <c r="DZ138" t="e">
        <f>AND(#REF!,"AAAAAHe5/4E=")</f>
        <v>#REF!</v>
      </c>
      <c r="EA138" t="e">
        <f>AND(#REF!,"AAAAAHe5/4I=")</f>
        <v>#REF!</v>
      </c>
      <c r="EB138" t="e">
        <f>AND(#REF!,"AAAAAHe5/4M=")</f>
        <v>#REF!</v>
      </c>
      <c r="EC138" t="e">
        <f>AND(#REF!,"AAAAAHe5/4Q=")</f>
        <v>#REF!</v>
      </c>
      <c r="ED138" t="e">
        <f>AND(#REF!,"AAAAAHe5/4U=")</f>
        <v>#REF!</v>
      </c>
      <c r="EE138" t="e">
        <f>AND(#REF!,"AAAAAHe5/4Y=")</f>
        <v>#REF!</v>
      </c>
      <c r="EF138" t="e">
        <f>AND(#REF!,"AAAAAHe5/4c=")</f>
        <v>#REF!</v>
      </c>
      <c r="EG138" t="e">
        <f>AND(#REF!,"AAAAAHe5/4g=")</f>
        <v>#REF!</v>
      </c>
      <c r="EH138" t="e">
        <f>IF(#REF!,"AAAAAHe5/4k=",0)</f>
        <v>#REF!</v>
      </c>
      <c r="EI138" t="e">
        <f>AND(#REF!,"AAAAAHe5/4o=")</f>
        <v>#REF!</v>
      </c>
      <c r="EJ138" t="e">
        <f>AND(#REF!,"AAAAAHe5/4s=")</f>
        <v>#REF!</v>
      </c>
      <c r="EK138" t="e">
        <f>AND(#REF!,"AAAAAHe5/4w=")</f>
        <v>#REF!</v>
      </c>
      <c r="EL138" t="e">
        <f>AND(#REF!,"AAAAAHe5/40=")</f>
        <v>#REF!</v>
      </c>
      <c r="EM138" t="e">
        <f>AND(#REF!,"AAAAAHe5/44=")</f>
        <v>#REF!</v>
      </c>
      <c r="EN138" t="e">
        <f>AND(#REF!,"AAAAAHe5/48=")</f>
        <v>#REF!</v>
      </c>
      <c r="EO138" t="e">
        <f>AND(#REF!,"AAAAAHe5/5A=")</f>
        <v>#REF!</v>
      </c>
      <c r="EP138" t="e">
        <f>AND(#REF!,"AAAAAHe5/5E=")</f>
        <v>#REF!</v>
      </c>
      <c r="EQ138" t="e">
        <f>AND(#REF!,"AAAAAHe5/5I=")</f>
        <v>#REF!</v>
      </c>
      <c r="ER138" t="e">
        <f>AND(#REF!,"AAAAAHe5/5M=")</f>
        <v>#REF!</v>
      </c>
      <c r="ES138" t="e">
        <f>AND(#REF!,"AAAAAHe5/5Q=")</f>
        <v>#REF!</v>
      </c>
      <c r="ET138" t="e">
        <f>AND(#REF!,"AAAAAHe5/5U=")</f>
        <v>#REF!</v>
      </c>
      <c r="EU138" t="e">
        <f>AND(#REF!,"AAAAAHe5/5Y=")</f>
        <v>#REF!</v>
      </c>
      <c r="EV138" t="e">
        <f>AND(#REF!,"AAAAAHe5/5c=")</f>
        <v>#REF!</v>
      </c>
      <c r="EW138" t="e">
        <f>AND(#REF!,"AAAAAHe5/5g=")</f>
        <v>#REF!</v>
      </c>
      <c r="EX138" t="e">
        <f>AND(#REF!,"AAAAAHe5/5k=")</f>
        <v>#REF!</v>
      </c>
      <c r="EY138" t="e">
        <f>AND(#REF!,"AAAAAHe5/5o=")</f>
        <v>#REF!</v>
      </c>
      <c r="EZ138" t="e">
        <f>AND(#REF!,"AAAAAHe5/5s=")</f>
        <v>#REF!</v>
      </c>
      <c r="FA138" t="e">
        <f>AND(#REF!,"AAAAAHe5/5w=")</f>
        <v>#REF!</v>
      </c>
      <c r="FB138" t="e">
        <f>AND(#REF!,"AAAAAHe5/50=")</f>
        <v>#REF!</v>
      </c>
      <c r="FC138" t="e">
        <f>AND(#REF!,"AAAAAHe5/54=")</f>
        <v>#REF!</v>
      </c>
      <c r="FD138" t="e">
        <f>AND(#REF!,"AAAAAHe5/58=")</f>
        <v>#REF!</v>
      </c>
      <c r="FE138" t="e">
        <f>IF(#REF!,"AAAAAHe5/6A=",0)</f>
        <v>#REF!</v>
      </c>
      <c r="FF138" t="e">
        <f>AND(#REF!,"AAAAAHe5/6E=")</f>
        <v>#REF!</v>
      </c>
      <c r="FG138" t="e">
        <f>AND(#REF!,"AAAAAHe5/6I=")</f>
        <v>#REF!</v>
      </c>
      <c r="FH138" t="e">
        <f>AND(#REF!,"AAAAAHe5/6M=")</f>
        <v>#REF!</v>
      </c>
      <c r="FI138" t="e">
        <f>AND(#REF!,"AAAAAHe5/6Q=")</f>
        <v>#REF!</v>
      </c>
      <c r="FJ138" t="e">
        <f>AND(#REF!,"AAAAAHe5/6U=")</f>
        <v>#REF!</v>
      </c>
      <c r="FK138" t="e">
        <f>AND(#REF!,"AAAAAHe5/6Y=")</f>
        <v>#REF!</v>
      </c>
      <c r="FL138" t="e">
        <f>AND(#REF!,"AAAAAHe5/6c=")</f>
        <v>#REF!</v>
      </c>
      <c r="FM138" t="e">
        <f>AND(#REF!,"AAAAAHe5/6g=")</f>
        <v>#REF!</v>
      </c>
      <c r="FN138" t="e">
        <f>AND(#REF!,"AAAAAHe5/6k=")</f>
        <v>#REF!</v>
      </c>
      <c r="FO138" t="e">
        <f>AND(#REF!,"AAAAAHe5/6o=")</f>
        <v>#REF!</v>
      </c>
      <c r="FP138" t="e">
        <f>AND(#REF!,"AAAAAHe5/6s=")</f>
        <v>#REF!</v>
      </c>
      <c r="FQ138" t="e">
        <f>AND(#REF!,"AAAAAHe5/6w=")</f>
        <v>#REF!</v>
      </c>
      <c r="FR138" t="e">
        <f>AND(#REF!,"AAAAAHe5/60=")</f>
        <v>#REF!</v>
      </c>
      <c r="FS138" t="e">
        <f>AND(#REF!,"AAAAAHe5/64=")</f>
        <v>#REF!</v>
      </c>
      <c r="FT138" t="e">
        <f>AND(#REF!,"AAAAAHe5/68=")</f>
        <v>#REF!</v>
      </c>
      <c r="FU138" t="e">
        <f>AND(#REF!,"AAAAAHe5/7A=")</f>
        <v>#REF!</v>
      </c>
      <c r="FV138" t="e">
        <f>AND(#REF!,"AAAAAHe5/7E=")</f>
        <v>#REF!</v>
      </c>
      <c r="FW138" t="e">
        <f>AND(#REF!,"AAAAAHe5/7I=")</f>
        <v>#REF!</v>
      </c>
      <c r="FX138" t="e">
        <f>AND(#REF!,"AAAAAHe5/7M=")</f>
        <v>#REF!</v>
      </c>
      <c r="FY138" t="e">
        <f>AND(#REF!,"AAAAAHe5/7Q=")</f>
        <v>#REF!</v>
      </c>
      <c r="FZ138" t="e">
        <f>AND(#REF!,"AAAAAHe5/7U=")</f>
        <v>#REF!</v>
      </c>
      <c r="GA138" t="e">
        <f>AND(#REF!,"AAAAAHe5/7Y=")</f>
        <v>#REF!</v>
      </c>
      <c r="GB138" t="e">
        <f>IF(#REF!,"AAAAAHe5/7c=",0)</f>
        <v>#REF!</v>
      </c>
      <c r="GC138" t="e">
        <f>AND(#REF!,"AAAAAHe5/7g=")</f>
        <v>#REF!</v>
      </c>
      <c r="GD138" t="e">
        <f>AND(#REF!,"AAAAAHe5/7k=")</f>
        <v>#REF!</v>
      </c>
      <c r="GE138" t="e">
        <f>AND(#REF!,"AAAAAHe5/7o=")</f>
        <v>#REF!</v>
      </c>
      <c r="GF138" t="e">
        <f>AND(#REF!,"AAAAAHe5/7s=")</f>
        <v>#REF!</v>
      </c>
      <c r="GG138" t="e">
        <f>AND(#REF!,"AAAAAHe5/7w=")</f>
        <v>#REF!</v>
      </c>
      <c r="GH138" t="e">
        <f>AND(#REF!,"AAAAAHe5/70=")</f>
        <v>#REF!</v>
      </c>
      <c r="GI138" t="e">
        <f>AND(#REF!,"AAAAAHe5/74=")</f>
        <v>#REF!</v>
      </c>
      <c r="GJ138" t="e">
        <f>AND(#REF!,"AAAAAHe5/78=")</f>
        <v>#REF!</v>
      </c>
      <c r="GK138" t="e">
        <f>AND(#REF!,"AAAAAHe5/8A=")</f>
        <v>#REF!</v>
      </c>
      <c r="GL138" t="e">
        <f>AND(#REF!,"AAAAAHe5/8E=")</f>
        <v>#REF!</v>
      </c>
      <c r="GM138" t="e">
        <f>AND(#REF!,"AAAAAHe5/8I=")</f>
        <v>#REF!</v>
      </c>
      <c r="GN138" t="e">
        <f>AND(#REF!,"AAAAAHe5/8M=")</f>
        <v>#REF!</v>
      </c>
      <c r="GO138" t="e">
        <f>AND(#REF!,"AAAAAHe5/8Q=")</f>
        <v>#REF!</v>
      </c>
      <c r="GP138" t="e">
        <f>AND(#REF!,"AAAAAHe5/8U=")</f>
        <v>#REF!</v>
      </c>
      <c r="GQ138" t="e">
        <f>AND(#REF!,"AAAAAHe5/8Y=")</f>
        <v>#REF!</v>
      </c>
      <c r="GR138" t="e">
        <f>AND(#REF!,"AAAAAHe5/8c=")</f>
        <v>#REF!</v>
      </c>
      <c r="GS138" t="e">
        <f>AND(#REF!,"AAAAAHe5/8g=")</f>
        <v>#REF!</v>
      </c>
      <c r="GT138" t="e">
        <f>AND(#REF!,"AAAAAHe5/8k=")</f>
        <v>#REF!</v>
      </c>
      <c r="GU138" t="e">
        <f>AND(#REF!,"AAAAAHe5/8o=")</f>
        <v>#REF!</v>
      </c>
      <c r="GV138" t="e">
        <f>AND(#REF!,"AAAAAHe5/8s=")</f>
        <v>#REF!</v>
      </c>
      <c r="GW138" t="e">
        <f>AND(#REF!,"AAAAAHe5/8w=")</f>
        <v>#REF!</v>
      </c>
      <c r="GX138" t="e">
        <f>AND(#REF!,"AAAAAHe5/80=")</f>
        <v>#REF!</v>
      </c>
      <c r="GY138" t="e">
        <f>IF(#REF!,"AAAAAHe5/84=",0)</f>
        <v>#REF!</v>
      </c>
      <c r="GZ138" t="e">
        <f>AND(#REF!,"AAAAAHe5/88=")</f>
        <v>#REF!</v>
      </c>
      <c r="HA138" t="e">
        <f>AND(#REF!,"AAAAAHe5/9A=")</f>
        <v>#REF!</v>
      </c>
      <c r="HB138" t="e">
        <f>AND(#REF!,"AAAAAHe5/9E=")</f>
        <v>#REF!</v>
      </c>
      <c r="HC138" t="e">
        <f>AND(#REF!,"AAAAAHe5/9I=")</f>
        <v>#REF!</v>
      </c>
      <c r="HD138" t="e">
        <f>AND(#REF!,"AAAAAHe5/9M=")</f>
        <v>#REF!</v>
      </c>
      <c r="HE138" t="e">
        <f>AND(#REF!,"AAAAAHe5/9Q=")</f>
        <v>#REF!</v>
      </c>
      <c r="HF138" t="e">
        <f>AND(#REF!,"AAAAAHe5/9U=")</f>
        <v>#REF!</v>
      </c>
      <c r="HG138" t="e">
        <f>AND(#REF!,"AAAAAHe5/9Y=")</f>
        <v>#REF!</v>
      </c>
      <c r="HH138" t="e">
        <f>AND(#REF!,"AAAAAHe5/9c=")</f>
        <v>#REF!</v>
      </c>
      <c r="HI138" t="e">
        <f>AND(#REF!,"AAAAAHe5/9g=")</f>
        <v>#REF!</v>
      </c>
      <c r="HJ138" t="e">
        <f>AND(#REF!,"AAAAAHe5/9k=")</f>
        <v>#REF!</v>
      </c>
      <c r="HK138" t="e">
        <f>AND(#REF!,"AAAAAHe5/9o=")</f>
        <v>#REF!</v>
      </c>
      <c r="HL138" t="e">
        <f>AND(#REF!,"AAAAAHe5/9s=")</f>
        <v>#REF!</v>
      </c>
      <c r="HM138" t="e">
        <f>AND(#REF!,"AAAAAHe5/9w=")</f>
        <v>#REF!</v>
      </c>
      <c r="HN138" t="e">
        <f>AND(#REF!,"AAAAAHe5/90=")</f>
        <v>#REF!</v>
      </c>
      <c r="HO138" t="e">
        <f>AND(#REF!,"AAAAAHe5/94=")</f>
        <v>#REF!</v>
      </c>
      <c r="HP138" t="e">
        <f>AND(#REF!,"AAAAAHe5/98=")</f>
        <v>#REF!</v>
      </c>
      <c r="HQ138" t="e">
        <f>AND(#REF!,"AAAAAHe5/+A=")</f>
        <v>#REF!</v>
      </c>
      <c r="HR138" t="e">
        <f>AND(#REF!,"AAAAAHe5/+E=")</f>
        <v>#REF!</v>
      </c>
      <c r="HS138" t="e">
        <f>AND(#REF!,"AAAAAHe5/+I=")</f>
        <v>#REF!</v>
      </c>
      <c r="HT138" t="e">
        <f>AND(#REF!,"AAAAAHe5/+M=")</f>
        <v>#REF!</v>
      </c>
      <c r="HU138" t="e">
        <f>AND(#REF!,"AAAAAHe5/+Q=")</f>
        <v>#REF!</v>
      </c>
      <c r="HV138" t="e">
        <f>IF(#REF!,"AAAAAHe5/+U=",0)</f>
        <v>#REF!</v>
      </c>
      <c r="HW138" t="e">
        <f>AND(#REF!,"AAAAAHe5/+Y=")</f>
        <v>#REF!</v>
      </c>
      <c r="HX138" t="e">
        <f>AND(#REF!,"AAAAAHe5/+c=")</f>
        <v>#REF!</v>
      </c>
      <c r="HY138" t="e">
        <f>AND(#REF!,"AAAAAHe5/+g=")</f>
        <v>#REF!</v>
      </c>
      <c r="HZ138" t="e">
        <f>AND(#REF!,"AAAAAHe5/+k=")</f>
        <v>#REF!</v>
      </c>
      <c r="IA138" t="e">
        <f>AND(#REF!,"AAAAAHe5/+o=")</f>
        <v>#REF!</v>
      </c>
      <c r="IB138" t="e">
        <f>AND(#REF!,"AAAAAHe5/+s=")</f>
        <v>#REF!</v>
      </c>
      <c r="IC138" t="e">
        <f>AND(#REF!,"AAAAAHe5/+w=")</f>
        <v>#REF!</v>
      </c>
      <c r="ID138" t="e">
        <f>AND(#REF!,"AAAAAHe5/+0=")</f>
        <v>#REF!</v>
      </c>
      <c r="IE138" t="e">
        <f>AND(#REF!,"AAAAAHe5/+4=")</f>
        <v>#REF!</v>
      </c>
      <c r="IF138" t="e">
        <f>AND(#REF!,"AAAAAHe5/+8=")</f>
        <v>#REF!</v>
      </c>
      <c r="IG138" t="e">
        <f>AND(#REF!,"AAAAAHe5//A=")</f>
        <v>#REF!</v>
      </c>
      <c r="IH138" t="e">
        <f>AND(#REF!,"AAAAAHe5//E=")</f>
        <v>#REF!</v>
      </c>
      <c r="II138" t="e">
        <f>AND(#REF!,"AAAAAHe5//I=")</f>
        <v>#REF!</v>
      </c>
      <c r="IJ138" t="e">
        <f>AND(#REF!,"AAAAAHe5//M=")</f>
        <v>#REF!</v>
      </c>
      <c r="IK138" t="e">
        <f>AND(#REF!,"AAAAAHe5//Q=")</f>
        <v>#REF!</v>
      </c>
      <c r="IL138" t="e">
        <f>AND(#REF!,"AAAAAHe5//U=")</f>
        <v>#REF!</v>
      </c>
      <c r="IM138" t="e">
        <f>AND(#REF!,"AAAAAHe5//Y=")</f>
        <v>#REF!</v>
      </c>
      <c r="IN138" t="e">
        <f>AND(#REF!,"AAAAAHe5//c=")</f>
        <v>#REF!</v>
      </c>
      <c r="IO138" t="e">
        <f>AND(#REF!,"AAAAAHe5//g=")</f>
        <v>#REF!</v>
      </c>
      <c r="IP138" t="e">
        <f>AND(#REF!,"AAAAAHe5//k=")</f>
        <v>#REF!</v>
      </c>
      <c r="IQ138" t="e">
        <f>AND(#REF!,"AAAAAHe5//o=")</f>
        <v>#REF!</v>
      </c>
      <c r="IR138" t="e">
        <f>AND(#REF!,"AAAAAHe5//s=")</f>
        <v>#REF!</v>
      </c>
      <c r="IS138" t="e">
        <f>IF(#REF!,"AAAAAHe5//w=",0)</f>
        <v>#REF!</v>
      </c>
      <c r="IT138" t="e">
        <f>AND(#REF!,"AAAAAHe5//0=")</f>
        <v>#REF!</v>
      </c>
      <c r="IU138" t="e">
        <f>AND(#REF!,"AAAAAHe5//4=")</f>
        <v>#REF!</v>
      </c>
      <c r="IV138" t="e">
        <f>AND(#REF!,"AAAAAHe5//8=")</f>
        <v>#REF!</v>
      </c>
    </row>
    <row r="139" spans="1:256" x14ac:dyDescent="0.2">
      <c r="A139" t="e">
        <f>AND(#REF!,"AAAAAFdr/QA=")</f>
        <v>#REF!</v>
      </c>
      <c r="B139" t="e">
        <f>AND(#REF!,"AAAAAFdr/QE=")</f>
        <v>#REF!</v>
      </c>
      <c r="C139" t="e">
        <f>AND(#REF!,"AAAAAFdr/QI=")</f>
        <v>#REF!</v>
      </c>
      <c r="D139" t="e">
        <f>AND(#REF!,"AAAAAFdr/QM=")</f>
        <v>#REF!</v>
      </c>
      <c r="E139" t="e">
        <f>AND(#REF!,"AAAAAFdr/QQ=")</f>
        <v>#REF!</v>
      </c>
      <c r="F139" t="e">
        <f>AND(#REF!,"AAAAAFdr/QU=")</f>
        <v>#REF!</v>
      </c>
      <c r="G139" t="e">
        <f>AND(#REF!,"AAAAAFdr/QY=")</f>
        <v>#REF!</v>
      </c>
      <c r="H139" t="e">
        <f>AND(#REF!,"AAAAAFdr/Qc=")</f>
        <v>#REF!</v>
      </c>
      <c r="I139" t="e">
        <f>AND(#REF!,"AAAAAFdr/Qg=")</f>
        <v>#REF!</v>
      </c>
      <c r="J139" t="e">
        <f>AND(#REF!,"AAAAAFdr/Qk=")</f>
        <v>#REF!</v>
      </c>
      <c r="K139" t="e">
        <f>AND(#REF!,"AAAAAFdr/Qo=")</f>
        <v>#REF!</v>
      </c>
      <c r="L139" t="e">
        <f>AND(#REF!,"AAAAAFdr/Qs=")</f>
        <v>#REF!</v>
      </c>
      <c r="M139" t="e">
        <f>AND(#REF!,"AAAAAFdr/Qw=")</f>
        <v>#REF!</v>
      </c>
      <c r="N139" t="e">
        <f>AND(#REF!,"AAAAAFdr/Q0=")</f>
        <v>#REF!</v>
      </c>
      <c r="O139" t="e">
        <f>AND(#REF!,"AAAAAFdr/Q4=")</f>
        <v>#REF!</v>
      </c>
      <c r="P139" t="e">
        <f>AND(#REF!,"AAAAAFdr/Q8=")</f>
        <v>#REF!</v>
      </c>
      <c r="Q139" t="e">
        <f>AND(#REF!,"AAAAAFdr/RA=")</f>
        <v>#REF!</v>
      </c>
      <c r="R139" t="e">
        <f>AND(#REF!,"AAAAAFdr/RE=")</f>
        <v>#REF!</v>
      </c>
      <c r="S139" t="e">
        <f>AND(#REF!,"AAAAAFdr/RI=")</f>
        <v>#REF!</v>
      </c>
      <c r="T139" t="e">
        <f>IF(#REF!,"AAAAAFdr/RM=",0)</f>
        <v>#REF!</v>
      </c>
      <c r="U139" t="e">
        <f>AND(#REF!,"AAAAAFdr/RQ=")</f>
        <v>#REF!</v>
      </c>
      <c r="V139" t="e">
        <f>AND(#REF!,"AAAAAFdr/RU=")</f>
        <v>#REF!</v>
      </c>
      <c r="W139" t="e">
        <f>AND(#REF!,"AAAAAFdr/RY=")</f>
        <v>#REF!</v>
      </c>
      <c r="X139" t="e">
        <f>AND(#REF!,"AAAAAFdr/Rc=")</f>
        <v>#REF!</v>
      </c>
      <c r="Y139" t="e">
        <f>AND(#REF!,"AAAAAFdr/Rg=")</f>
        <v>#REF!</v>
      </c>
      <c r="Z139" t="e">
        <f>AND(#REF!,"AAAAAFdr/Rk=")</f>
        <v>#REF!</v>
      </c>
      <c r="AA139" t="e">
        <f>AND(#REF!,"AAAAAFdr/Ro=")</f>
        <v>#REF!</v>
      </c>
      <c r="AB139" t="e">
        <f>AND(#REF!,"AAAAAFdr/Rs=")</f>
        <v>#REF!</v>
      </c>
      <c r="AC139" t="e">
        <f>AND(#REF!,"AAAAAFdr/Rw=")</f>
        <v>#REF!</v>
      </c>
      <c r="AD139" t="e">
        <f>AND(#REF!,"AAAAAFdr/R0=")</f>
        <v>#REF!</v>
      </c>
      <c r="AE139" t="e">
        <f>AND(#REF!,"AAAAAFdr/R4=")</f>
        <v>#REF!</v>
      </c>
      <c r="AF139" t="e">
        <f>AND(#REF!,"AAAAAFdr/R8=")</f>
        <v>#REF!</v>
      </c>
      <c r="AG139" t="e">
        <f>AND(#REF!,"AAAAAFdr/SA=")</f>
        <v>#REF!</v>
      </c>
      <c r="AH139" t="e">
        <f>AND(#REF!,"AAAAAFdr/SE=")</f>
        <v>#REF!</v>
      </c>
      <c r="AI139" t="e">
        <f>AND(#REF!,"AAAAAFdr/SI=")</f>
        <v>#REF!</v>
      </c>
      <c r="AJ139" t="e">
        <f>AND(#REF!,"AAAAAFdr/SM=")</f>
        <v>#REF!</v>
      </c>
      <c r="AK139" t="e">
        <f>AND(#REF!,"AAAAAFdr/SQ=")</f>
        <v>#REF!</v>
      </c>
      <c r="AL139" t="e">
        <f>AND(#REF!,"AAAAAFdr/SU=")</f>
        <v>#REF!</v>
      </c>
      <c r="AM139" t="e">
        <f>AND(#REF!,"AAAAAFdr/SY=")</f>
        <v>#REF!</v>
      </c>
      <c r="AN139" t="e">
        <f>AND(#REF!,"AAAAAFdr/Sc=")</f>
        <v>#REF!</v>
      </c>
      <c r="AO139" t="e">
        <f>AND(#REF!,"AAAAAFdr/Sg=")</f>
        <v>#REF!</v>
      </c>
      <c r="AP139" t="e">
        <f>AND(#REF!,"AAAAAFdr/Sk=")</f>
        <v>#REF!</v>
      </c>
      <c r="AQ139" t="e">
        <f>IF(#REF!,"AAAAAFdr/So=",0)</f>
        <v>#REF!</v>
      </c>
      <c r="AR139" t="e">
        <f>AND(#REF!,"AAAAAFdr/Ss=")</f>
        <v>#REF!</v>
      </c>
      <c r="AS139" t="e">
        <f>AND(#REF!,"AAAAAFdr/Sw=")</f>
        <v>#REF!</v>
      </c>
      <c r="AT139" t="e">
        <f>AND(#REF!,"AAAAAFdr/S0=")</f>
        <v>#REF!</v>
      </c>
      <c r="AU139" t="e">
        <f>AND(#REF!,"AAAAAFdr/S4=")</f>
        <v>#REF!</v>
      </c>
      <c r="AV139" t="e">
        <f>AND(#REF!,"AAAAAFdr/S8=")</f>
        <v>#REF!</v>
      </c>
      <c r="AW139" t="e">
        <f>AND(#REF!,"AAAAAFdr/TA=")</f>
        <v>#REF!</v>
      </c>
      <c r="AX139" t="e">
        <f>AND(#REF!,"AAAAAFdr/TE=")</f>
        <v>#REF!</v>
      </c>
      <c r="AY139" t="e">
        <f>AND(#REF!,"AAAAAFdr/TI=")</f>
        <v>#REF!</v>
      </c>
      <c r="AZ139" t="e">
        <f>AND(#REF!,"AAAAAFdr/TM=")</f>
        <v>#REF!</v>
      </c>
      <c r="BA139" t="e">
        <f>AND(#REF!,"AAAAAFdr/TQ=")</f>
        <v>#REF!</v>
      </c>
      <c r="BB139" t="e">
        <f>AND(#REF!,"AAAAAFdr/TU=")</f>
        <v>#REF!</v>
      </c>
      <c r="BC139" t="e">
        <f>AND(#REF!,"AAAAAFdr/TY=")</f>
        <v>#REF!</v>
      </c>
      <c r="BD139" t="e">
        <f>AND(#REF!,"AAAAAFdr/Tc=")</f>
        <v>#REF!</v>
      </c>
      <c r="BE139" t="e">
        <f>AND(#REF!,"AAAAAFdr/Tg=")</f>
        <v>#REF!</v>
      </c>
      <c r="BF139" t="e">
        <f>AND(#REF!,"AAAAAFdr/Tk=")</f>
        <v>#REF!</v>
      </c>
      <c r="BG139" t="e">
        <f>AND(#REF!,"AAAAAFdr/To=")</f>
        <v>#REF!</v>
      </c>
      <c r="BH139" t="e">
        <f>AND(#REF!,"AAAAAFdr/Ts=")</f>
        <v>#REF!</v>
      </c>
      <c r="BI139" t="e">
        <f>AND(#REF!,"AAAAAFdr/Tw=")</f>
        <v>#REF!</v>
      </c>
      <c r="BJ139" t="e">
        <f>AND(#REF!,"AAAAAFdr/T0=")</f>
        <v>#REF!</v>
      </c>
      <c r="BK139" t="e">
        <f>AND(#REF!,"AAAAAFdr/T4=")</f>
        <v>#REF!</v>
      </c>
      <c r="BL139" t="e">
        <f>AND(#REF!,"AAAAAFdr/T8=")</f>
        <v>#REF!</v>
      </c>
      <c r="BM139" t="e">
        <f>AND(#REF!,"AAAAAFdr/UA=")</f>
        <v>#REF!</v>
      </c>
      <c r="BN139" t="e">
        <f>IF(#REF!,"AAAAAFdr/UE=",0)</f>
        <v>#REF!</v>
      </c>
      <c r="BO139" t="e">
        <f>AND(#REF!,"AAAAAFdr/UI=")</f>
        <v>#REF!</v>
      </c>
      <c r="BP139" t="e">
        <f>AND(#REF!,"AAAAAFdr/UM=")</f>
        <v>#REF!</v>
      </c>
      <c r="BQ139" t="e">
        <f>AND(#REF!,"AAAAAFdr/UQ=")</f>
        <v>#REF!</v>
      </c>
      <c r="BR139" t="e">
        <f>AND(#REF!,"AAAAAFdr/UU=")</f>
        <v>#REF!</v>
      </c>
      <c r="BS139" t="e">
        <f>AND(#REF!,"AAAAAFdr/UY=")</f>
        <v>#REF!</v>
      </c>
      <c r="BT139" t="e">
        <f>AND(#REF!,"AAAAAFdr/Uc=")</f>
        <v>#REF!</v>
      </c>
      <c r="BU139" t="e">
        <f>AND(#REF!,"AAAAAFdr/Ug=")</f>
        <v>#REF!</v>
      </c>
      <c r="BV139" t="e">
        <f>AND(#REF!,"AAAAAFdr/Uk=")</f>
        <v>#REF!</v>
      </c>
      <c r="BW139" t="e">
        <f>AND(#REF!,"AAAAAFdr/Uo=")</f>
        <v>#REF!</v>
      </c>
      <c r="BX139" t="e">
        <f>AND(#REF!,"AAAAAFdr/Us=")</f>
        <v>#REF!</v>
      </c>
      <c r="BY139" t="e">
        <f>AND(#REF!,"AAAAAFdr/Uw=")</f>
        <v>#REF!</v>
      </c>
      <c r="BZ139" t="e">
        <f>AND(#REF!,"AAAAAFdr/U0=")</f>
        <v>#REF!</v>
      </c>
      <c r="CA139" t="e">
        <f>AND(#REF!,"AAAAAFdr/U4=")</f>
        <v>#REF!</v>
      </c>
      <c r="CB139" t="e">
        <f>AND(#REF!,"AAAAAFdr/U8=")</f>
        <v>#REF!</v>
      </c>
      <c r="CC139" t="e">
        <f>AND(#REF!,"AAAAAFdr/VA=")</f>
        <v>#REF!</v>
      </c>
      <c r="CD139" t="e">
        <f>AND(#REF!,"AAAAAFdr/VE=")</f>
        <v>#REF!</v>
      </c>
      <c r="CE139" t="e">
        <f>AND(#REF!,"AAAAAFdr/VI=")</f>
        <v>#REF!</v>
      </c>
      <c r="CF139" t="e">
        <f>AND(#REF!,"AAAAAFdr/VM=")</f>
        <v>#REF!</v>
      </c>
      <c r="CG139" t="e">
        <f>AND(#REF!,"AAAAAFdr/VQ=")</f>
        <v>#REF!</v>
      </c>
      <c r="CH139" t="e">
        <f>AND(#REF!,"AAAAAFdr/VU=")</f>
        <v>#REF!</v>
      </c>
      <c r="CI139" t="e">
        <f>AND(#REF!,"AAAAAFdr/VY=")</f>
        <v>#REF!</v>
      </c>
      <c r="CJ139" t="e">
        <f>AND(#REF!,"AAAAAFdr/Vc=")</f>
        <v>#REF!</v>
      </c>
      <c r="CK139" t="e">
        <f>IF(#REF!,"AAAAAFdr/Vg=",0)</f>
        <v>#REF!</v>
      </c>
      <c r="CL139" t="e">
        <f>AND(#REF!,"AAAAAFdr/Vk=")</f>
        <v>#REF!</v>
      </c>
      <c r="CM139" t="e">
        <f>AND(#REF!,"AAAAAFdr/Vo=")</f>
        <v>#REF!</v>
      </c>
      <c r="CN139" t="e">
        <f>AND(#REF!,"AAAAAFdr/Vs=")</f>
        <v>#REF!</v>
      </c>
      <c r="CO139" t="e">
        <f>AND(#REF!,"AAAAAFdr/Vw=")</f>
        <v>#REF!</v>
      </c>
      <c r="CP139" t="e">
        <f>AND(#REF!,"AAAAAFdr/V0=")</f>
        <v>#REF!</v>
      </c>
      <c r="CQ139" t="e">
        <f>AND(#REF!,"AAAAAFdr/V4=")</f>
        <v>#REF!</v>
      </c>
      <c r="CR139" t="e">
        <f>AND(#REF!,"AAAAAFdr/V8=")</f>
        <v>#REF!</v>
      </c>
      <c r="CS139" t="e">
        <f>AND(#REF!,"AAAAAFdr/WA=")</f>
        <v>#REF!</v>
      </c>
      <c r="CT139" t="e">
        <f>AND(#REF!,"AAAAAFdr/WE=")</f>
        <v>#REF!</v>
      </c>
      <c r="CU139" t="e">
        <f>AND(#REF!,"AAAAAFdr/WI=")</f>
        <v>#REF!</v>
      </c>
      <c r="CV139" t="e">
        <f>AND(#REF!,"AAAAAFdr/WM=")</f>
        <v>#REF!</v>
      </c>
      <c r="CW139" t="e">
        <f>AND(#REF!,"AAAAAFdr/WQ=")</f>
        <v>#REF!</v>
      </c>
      <c r="CX139" t="e">
        <f>AND(#REF!,"AAAAAFdr/WU=")</f>
        <v>#REF!</v>
      </c>
      <c r="CY139" t="e">
        <f>AND(#REF!,"AAAAAFdr/WY=")</f>
        <v>#REF!</v>
      </c>
      <c r="CZ139" t="e">
        <f>AND(#REF!,"AAAAAFdr/Wc=")</f>
        <v>#REF!</v>
      </c>
      <c r="DA139" t="e">
        <f>AND(#REF!,"AAAAAFdr/Wg=")</f>
        <v>#REF!</v>
      </c>
      <c r="DB139" t="e">
        <f>AND(#REF!,"AAAAAFdr/Wk=")</f>
        <v>#REF!</v>
      </c>
      <c r="DC139" t="e">
        <f>AND(#REF!,"AAAAAFdr/Wo=")</f>
        <v>#REF!</v>
      </c>
      <c r="DD139" t="e">
        <f>AND(#REF!,"AAAAAFdr/Ws=")</f>
        <v>#REF!</v>
      </c>
      <c r="DE139" t="e">
        <f>AND(#REF!,"AAAAAFdr/Ww=")</f>
        <v>#REF!</v>
      </c>
      <c r="DF139" t="e">
        <f>AND(#REF!,"AAAAAFdr/W0=")</f>
        <v>#REF!</v>
      </c>
      <c r="DG139" t="e">
        <f>AND(#REF!,"AAAAAFdr/W4=")</f>
        <v>#REF!</v>
      </c>
      <c r="DH139" t="e">
        <f>IF(#REF!,"AAAAAFdr/W8=",0)</f>
        <v>#REF!</v>
      </c>
      <c r="DI139" t="e">
        <f>AND(#REF!,"AAAAAFdr/XA=")</f>
        <v>#REF!</v>
      </c>
      <c r="DJ139" t="e">
        <f>AND(#REF!,"AAAAAFdr/XE=")</f>
        <v>#REF!</v>
      </c>
      <c r="DK139" t="e">
        <f>AND(#REF!,"AAAAAFdr/XI=")</f>
        <v>#REF!</v>
      </c>
      <c r="DL139" t="e">
        <f>AND(#REF!,"AAAAAFdr/XM=")</f>
        <v>#REF!</v>
      </c>
      <c r="DM139" t="e">
        <f>AND(#REF!,"AAAAAFdr/XQ=")</f>
        <v>#REF!</v>
      </c>
      <c r="DN139" t="e">
        <f>AND(#REF!,"AAAAAFdr/XU=")</f>
        <v>#REF!</v>
      </c>
      <c r="DO139" t="e">
        <f>AND(#REF!,"AAAAAFdr/XY=")</f>
        <v>#REF!</v>
      </c>
      <c r="DP139" t="e">
        <f>AND(#REF!,"AAAAAFdr/Xc=")</f>
        <v>#REF!</v>
      </c>
      <c r="DQ139" t="e">
        <f>AND(#REF!,"AAAAAFdr/Xg=")</f>
        <v>#REF!</v>
      </c>
      <c r="DR139" t="e">
        <f>AND(#REF!,"AAAAAFdr/Xk=")</f>
        <v>#REF!</v>
      </c>
      <c r="DS139" t="e">
        <f>AND(#REF!,"AAAAAFdr/Xo=")</f>
        <v>#REF!</v>
      </c>
      <c r="DT139" t="e">
        <f>AND(#REF!,"AAAAAFdr/Xs=")</f>
        <v>#REF!</v>
      </c>
      <c r="DU139" t="e">
        <f>AND(#REF!,"AAAAAFdr/Xw=")</f>
        <v>#REF!</v>
      </c>
      <c r="DV139" t="e">
        <f>AND(#REF!,"AAAAAFdr/X0=")</f>
        <v>#REF!</v>
      </c>
      <c r="DW139" t="e">
        <f>AND(#REF!,"AAAAAFdr/X4=")</f>
        <v>#REF!</v>
      </c>
      <c r="DX139" t="e">
        <f>AND(#REF!,"AAAAAFdr/X8=")</f>
        <v>#REF!</v>
      </c>
      <c r="DY139" t="e">
        <f>AND(#REF!,"AAAAAFdr/YA=")</f>
        <v>#REF!</v>
      </c>
      <c r="DZ139" t="e">
        <f>AND(#REF!,"AAAAAFdr/YE=")</f>
        <v>#REF!</v>
      </c>
      <c r="EA139" t="e">
        <f>AND(#REF!,"AAAAAFdr/YI=")</f>
        <v>#REF!</v>
      </c>
      <c r="EB139" t="e">
        <f>AND(#REF!,"AAAAAFdr/YM=")</f>
        <v>#REF!</v>
      </c>
      <c r="EC139" t="e">
        <f>AND(#REF!,"AAAAAFdr/YQ=")</f>
        <v>#REF!</v>
      </c>
      <c r="ED139" t="e">
        <f>AND(#REF!,"AAAAAFdr/YU=")</f>
        <v>#REF!</v>
      </c>
      <c r="EE139" t="e">
        <f>IF(#REF!,"AAAAAFdr/YY=",0)</f>
        <v>#REF!</v>
      </c>
      <c r="EF139" t="e">
        <f>AND(#REF!,"AAAAAFdr/Yc=")</f>
        <v>#REF!</v>
      </c>
      <c r="EG139" t="e">
        <f>AND(#REF!,"AAAAAFdr/Yg=")</f>
        <v>#REF!</v>
      </c>
      <c r="EH139" t="e">
        <f>AND(#REF!,"AAAAAFdr/Yk=")</f>
        <v>#REF!</v>
      </c>
      <c r="EI139" t="e">
        <f>AND(#REF!,"AAAAAFdr/Yo=")</f>
        <v>#REF!</v>
      </c>
      <c r="EJ139" t="e">
        <f>AND(#REF!,"AAAAAFdr/Ys=")</f>
        <v>#REF!</v>
      </c>
      <c r="EK139" t="e">
        <f>AND(#REF!,"AAAAAFdr/Yw=")</f>
        <v>#REF!</v>
      </c>
      <c r="EL139" t="e">
        <f>AND(#REF!,"AAAAAFdr/Y0=")</f>
        <v>#REF!</v>
      </c>
      <c r="EM139" t="e">
        <f>AND(#REF!,"AAAAAFdr/Y4=")</f>
        <v>#REF!</v>
      </c>
      <c r="EN139" t="e">
        <f>AND(#REF!,"AAAAAFdr/Y8=")</f>
        <v>#REF!</v>
      </c>
      <c r="EO139" t="e">
        <f>AND(#REF!,"AAAAAFdr/ZA=")</f>
        <v>#REF!</v>
      </c>
      <c r="EP139" t="e">
        <f>AND(#REF!,"AAAAAFdr/ZE=")</f>
        <v>#REF!</v>
      </c>
      <c r="EQ139" t="e">
        <f>AND(#REF!,"AAAAAFdr/ZI=")</f>
        <v>#REF!</v>
      </c>
      <c r="ER139" t="e">
        <f>AND(#REF!,"AAAAAFdr/ZM=")</f>
        <v>#REF!</v>
      </c>
      <c r="ES139" t="e">
        <f>AND(#REF!,"AAAAAFdr/ZQ=")</f>
        <v>#REF!</v>
      </c>
      <c r="ET139" t="e">
        <f>AND(#REF!,"AAAAAFdr/ZU=")</f>
        <v>#REF!</v>
      </c>
      <c r="EU139" t="e">
        <f>AND(#REF!,"AAAAAFdr/ZY=")</f>
        <v>#REF!</v>
      </c>
      <c r="EV139" t="e">
        <f>AND(#REF!,"AAAAAFdr/Zc=")</f>
        <v>#REF!</v>
      </c>
      <c r="EW139" t="e">
        <f>AND(#REF!,"AAAAAFdr/Zg=")</f>
        <v>#REF!</v>
      </c>
      <c r="EX139" t="e">
        <f>AND(#REF!,"AAAAAFdr/Zk=")</f>
        <v>#REF!</v>
      </c>
      <c r="EY139" t="e">
        <f>AND(#REF!,"AAAAAFdr/Zo=")</f>
        <v>#REF!</v>
      </c>
      <c r="EZ139" t="e">
        <f>AND(#REF!,"AAAAAFdr/Zs=")</f>
        <v>#REF!</v>
      </c>
      <c r="FA139" t="e">
        <f>AND(#REF!,"AAAAAFdr/Zw=")</f>
        <v>#REF!</v>
      </c>
      <c r="FB139" t="e">
        <f>IF(#REF!,"AAAAAFdr/Z0=",0)</f>
        <v>#REF!</v>
      </c>
      <c r="FC139" t="e">
        <f>AND(#REF!,"AAAAAFdr/Z4=")</f>
        <v>#REF!</v>
      </c>
      <c r="FD139" t="e">
        <f>AND(#REF!,"AAAAAFdr/Z8=")</f>
        <v>#REF!</v>
      </c>
      <c r="FE139" t="e">
        <f>AND(#REF!,"AAAAAFdr/aA=")</f>
        <v>#REF!</v>
      </c>
      <c r="FF139" t="e">
        <f>AND(#REF!,"AAAAAFdr/aE=")</f>
        <v>#REF!</v>
      </c>
      <c r="FG139" t="e">
        <f>AND(#REF!,"AAAAAFdr/aI=")</f>
        <v>#REF!</v>
      </c>
      <c r="FH139" t="e">
        <f>AND(#REF!,"AAAAAFdr/aM=")</f>
        <v>#REF!</v>
      </c>
      <c r="FI139" t="e">
        <f>AND(#REF!,"AAAAAFdr/aQ=")</f>
        <v>#REF!</v>
      </c>
      <c r="FJ139" t="e">
        <f>AND(#REF!,"AAAAAFdr/aU=")</f>
        <v>#REF!</v>
      </c>
      <c r="FK139" t="e">
        <f>AND(#REF!,"AAAAAFdr/aY=")</f>
        <v>#REF!</v>
      </c>
      <c r="FL139" t="e">
        <f>AND(#REF!,"AAAAAFdr/ac=")</f>
        <v>#REF!</v>
      </c>
      <c r="FM139" t="e">
        <f>AND(#REF!,"AAAAAFdr/ag=")</f>
        <v>#REF!</v>
      </c>
      <c r="FN139" t="e">
        <f>AND(#REF!,"AAAAAFdr/ak=")</f>
        <v>#REF!</v>
      </c>
      <c r="FO139" t="e">
        <f>AND(#REF!,"AAAAAFdr/ao=")</f>
        <v>#REF!</v>
      </c>
      <c r="FP139" t="e">
        <f>AND(#REF!,"AAAAAFdr/as=")</f>
        <v>#REF!</v>
      </c>
      <c r="FQ139" t="e">
        <f>AND(#REF!,"AAAAAFdr/aw=")</f>
        <v>#REF!</v>
      </c>
      <c r="FR139" t="e">
        <f>AND(#REF!,"AAAAAFdr/a0=")</f>
        <v>#REF!</v>
      </c>
      <c r="FS139" t="e">
        <f>AND(#REF!,"AAAAAFdr/a4=")</f>
        <v>#REF!</v>
      </c>
      <c r="FT139" t="e">
        <f>AND(#REF!,"AAAAAFdr/a8=")</f>
        <v>#REF!</v>
      </c>
      <c r="FU139" t="e">
        <f>AND(#REF!,"AAAAAFdr/bA=")</f>
        <v>#REF!</v>
      </c>
      <c r="FV139" t="e">
        <f>AND(#REF!,"AAAAAFdr/bE=")</f>
        <v>#REF!</v>
      </c>
      <c r="FW139" t="e">
        <f>AND(#REF!,"AAAAAFdr/bI=")</f>
        <v>#REF!</v>
      </c>
      <c r="FX139" t="e">
        <f>AND(#REF!,"AAAAAFdr/bM=")</f>
        <v>#REF!</v>
      </c>
      <c r="FY139" t="e">
        <f>IF(#REF!,"AAAAAFdr/bQ=",0)</f>
        <v>#REF!</v>
      </c>
      <c r="FZ139" t="e">
        <f>AND(#REF!,"AAAAAFdr/bU=")</f>
        <v>#REF!</v>
      </c>
      <c r="GA139" t="e">
        <f>AND(#REF!,"AAAAAFdr/bY=")</f>
        <v>#REF!</v>
      </c>
      <c r="GB139" t="e">
        <f>AND(#REF!,"AAAAAFdr/bc=")</f>
        <v>#REF!</v>
      </c>
      <c r="GC139" t="e">
        <f>AND(#REF!,"AAAAAFdr/bg=")</f>
        <v>#REF!</v>
      </c>
      <c r="GD139" t="e">
        <f>AND(#REF!,"AAAAAFdr/bk=")</f>
        <v>#REF!</v>
      </c>
      <c r="GE139" t="e">
        <f>AND(#REF!,"AAAAAFdr/bo=")</f>
        <v>#REF!</v>
      </c>
      <c r="GF139" t="e">
        <f>AND(#REF!,"AAAAAFdr/bs=")</f>
        <v>#REF!</v>
      </c>
      <c r="GG139" t="e">
        <f>AND(#REF!,"AAAAAFdr/bw=")</f>
        <v>#REF!</v>
      </c>
      <c r="GH139" t="e">
        <f>AND(#REF!,"AAAAAFdr/b0=")</f>
        <v>#REF!</v>
      </c>
      <c r="GI139" t="e">
        <f>AND(#REF!,"AAAAAFdr/b4=")</f>
        <v>#REF!</v>
      </c>
      <c r="GJ139" t="e">
        <f>AND(#REF!,"AAAAAFdr/b8=")</f>
        <v>#REF!</v>
      </c>
      <c r="GK139" t="e">
        <f>AND(#REF!,"AAAAAFdr/cA=")</f>
        <v>#REF!</v>
      </c>
      <c r="GL139" t="e">
        <f>AND(#REF!,"AAAAAFdr/cE=")</f>
        <v>#REF!</v>
      </c>
      <c r="GM139" t="e">
        <f>AND(#REF!,"AAAAAFdr/cI=")</f>
        <v>#REF!</v>
      </c>
      <c r="GN139" t="e">
        <f>AND(#REF!,"AAAAAFdr/cM=")</f>
        <v>#REF!</v>
      </c>
      <c r="GO139" t="e">
        <f>AND(#REF!,"AAAAAFdr/cQ=")</f>
        <v>#REF!</v>
      </c>
      <c r="GP139" t="e">
        <f>AND(#REF!,"AAAAAFdr/cU=")</f>
        <v>#REF!</v>
      </c>
      <c r="GQ139" t="e">
        <f>AND(#REF!,"AAAAAFdr/cY=")</f>
        <v>#REF!</v>
      </c>
      <c r="GR139" t="e">
        <f>AND(#REF!,"AAAAAFdr/cc=")</f>
        <v>#REF!</v>
      </c>
      <c r="GS139" t="e">
        <f>AND(#REF!,"AAAAAFdr/cg=")</f>
        <v>#REF!</v>
      </c>
      <c r="GT139" t="e">
        <f>AND(#REF!,"AAAAAFdr/ck=")</f>
        <v>#REF!</v>
      </c>
      <c r="GU139" t="e">
        <f>AND(#REF!,"AAAAAFdr/co=")</f>
        <v>#REF!</v>
      </c>
      <c r="GV139" t="e">
        <f>IF(#REF!,"AAAAAFdr/cs=",0)</f>
        <v>#REF!</v>
      </c>
      <c r="GW139" t="e">
        <f>AND(#REF!,"AAAAAFdr/cw=")</f>
        <v>#REF!</v>
      </c>
      <c r="GX139" t="e">
        <f>AND(#REF!,"AAAAAFdr/c0=")</f>
        <v>#REF!</v>
      </c>
      <c r="GY139" t="e">
        <f>AND(#REF!,"AAAAAFdr/c4=")</f>
        <v>#REF!</v>
      </c>
      <c r="GZ139" t="e">
        <f>AND(#REF!,"AAAAAFdr/c8=")</f>
        <v>#REF!</v>
      </c>
      <c r="HA139" t="e">
        <f>AND(#REF!,"AAAAAFdr/dA=")</f>
        <v>#REF!</v>
      </c>
      <c r="HB139" t="e">
        <f>AND(#REF!,"AAAAAFdr/dE=")</f>
        <v>#REF!</v>
      </c>
      <c r="HC139" t="e">
        <f>AND(#REF!,"AAAAAFdr/dI=")</f>
        <v>#REF!</v>
      </c>
      <c r="HD139" t="e">
        <f>AND(#REF!,"AAAAAFdr/dM=")</f>
        <v>#REF!</v>
      </c>
      <c r="HE139" t="e">
        <f>AND(#REF!,"AAAAAFdr/dQ=")</f>
        <v>#REF!</v>
      </c>
      <c r="HF139" t="e">
        <f>AND(#REF!,"AAAAAFdr/dU=")</f>
        <v>#REF!</v>
      </c>
      <c r="HG139" t="e">
        <f>AND(#REF!,"AAAAAFdr/dY=")</f>
        <v>#REF!</v>
      </c>
      <c r="HH139" t="e">
        <f>AND(#REF!,"AAAAAFdr/dc=")</f>
        <v>#REF!</v>
      </c>
      <c r="HI139" t="e">
        <f>AND(#REF!,"AAAAAFdr/dg=")</f>
        <v>#REF!</v>
      </c>
      <c r="HJ139" t="e">
        <f>AND(#REF!,"AAAAAFdr/dk=")</f>
        <v>#REF!</v>
      </c>
      <c r="HK139" t="e">
        <f>AND(#REF!,"AAAAAFdr/do=")</f>
        <v>#REF!</v>
      </c>
      <c r="HL139" t="e">
        <f>AND(#REF!,"AAAAAFdr/ds=")</f>
        <v>#REF!</v>
      </c>
      <c r="HM139" t="e">
        <f>AND(#REF!,"AAAAAFdr/dw=")</f>
        <v>#REF!</v>
      </c>
      <c r="HN139" t="e">
        <f>AND(#REF!,"AAAAAFdr/d0=")</f>
        <v>#REF!</v>
      </c>
      <c r="HO139" t="e">
        <f>AND(#REF!,"AAAAAFdr/d4=")</f>
        <v>#REF!</v>
      </c>
      <c r="HP139" t="e">
        <f>AND(#REF!,"AAAAAFdr/d8=")</f>
        <v>#REF!</v>
      </c>
      <c r="HQ139" t="e">
        <f>AND(#REF!,"AAAAAFdr/eA=")</f>
        <v>#REF!</v>
      </c>
      <c r="HR139" t="e">
        <f>AND(#REF!,"AAAAAFdr/eE=")</f>
        <v>#REF!</v>
      </c>
      <c r="HS139" t="e">
        <f>IF(#REF!,"AAAAAFdr/eI=",0)</f>
        <v>#REF!</v>
      </c>
      <c r="HT139" t="e">
        <f>AND(#REF!,"AAAAAFdr/eM=")</f>
        <v>#REF!</v>
      </c>
      <c r="HU139" t="e">
        <f>AND(#REF!,"AAAAAFdr/eQ=")</f>
        <v>#REF!</v>
      </c>
      <c r="HV139" t="e">
        <f>AND(#REF!,"AAAAAFdr/eU=")</f>
        <v>#REF!</v>
      </c>
      <c r="HW139" t="e">
        <f>AND(#REF!,"AAAAAFdr/eY=")</f>
        <v>#REF!</v>
      </c>
      <c r="HX139" t="e">
        <f>AND(#REF!,"AAAAAFdr/ec=")</f>
        <v>#REF!</v>
      </c>
      <c r="HY139" t="e">
        <f>AND(#REF!,"AAAAAFdr/eg=")</f>
        <v>#REF!</v>
      </c>
      <c r="HZ139" t="e">
        <f>AND(#REF!,"AAAAAFdr/ek=")</f>
        <v>#REF!</v>
      </c>
      <c r="IA139" t="e">
        <f>AND(#REF!,"AAAAAFdr/eo=")</f>
        <v>#REF!</v>
      </c>
      <c r="IB139" t="e">
        <f>AND(#REF!,"AAAAAFdr/es=")</f>
        <v>#REF!</v>
      </c>
      <c r="IC139" t="e">
        <f>AND(#REF!,"AAAAAFdr/ew=")</f>
        <v>#REF!</v>
      </c>
      <c r="ID139" t="e">
        <f>AND(#REF!,"AAAAAFdr/e0=")</f>
        <v>#REF!</v>
      </c>
      <c r="IE139" t="e">
        <f>AND(#REF!,"AAAAAFdr/e4=")</f>
        <v>#REF!</v>
      </c>
      <c r="IF139" t="e">
        <f>AND(#REF!,"AAAAAFdr/e8=")</f>
        <v>#REF!</v>
      </c>
      <c r="IG139" t="e">
        <f>AND(#REF!,"AAAAAFdr/fA=")</f>
        <v>#REF!</v>
      </c>
      <c r="IH139" t="e">
        <f>AND(#REF!,"AAAAAFdr/fE=")</f>
        <v>#REF!</v>
      </c>
      <c r="II139" t="e">
        <f>AND(#REF!,"AAAAAFdr/fI=")</f>
        <v>#REF!</v>
      </c>
      <c r="IJ139" t="e">
        <f>AND(#REF!,"AAAAAFdr/fM=")</f>
        <v>#REF!</v>
      </c>
      <c r="IK139" t="e">
        <f>AND(#REF!,"AAAAAFdr/fQ=")</f>
        <v>#REF!</v>
      </c>
      <c r="IL139" t="e">
        <f>AND(#REF!,"AAAAAFdr/fU=")</f>
        <v>#REF!</v>
      </c>
      <c r="IM139" t="e">
        <f>AND(#REF!,"AAAAAFdr/fY=")</f>
        <v>#REF!</v>
      </c>
      <c r="IN139" t="e">
        <f>AND(#REF!,"AAAAAFdr/fc=")</f>
        <v>#REF!</v>
      </c>
      <c r="IO139" t="e">
        <f>AND(#REF!,"AAAAAFdr/fg=")</f>
        <v>#REF!</v>
      </c>
      <c r="IP139" t="e">
        <f>IF(#REF!,"AAAAAFdr/fk=",0)</f>
        <v>#REF!</v>
      </c>
      <c r="IQ139" t="e">
        <f>AND(#REF!,"AAAAAFdr/fo=")</f>
        <v>#REF!</v>
      </c>
      <c r="IR139" t="e">
        <f>AND(#REF!,"AAAAAFdr/fs=")</f>
        <v>#REF!</v>
      </c>
      <c r="IS139" t="e">
        <f>AND(#REF!,"AAAAAFdr/fw=")</f>
        <v>#REF!</v>
      </c>
      <c r="IT139" t="e">
        <f>AND(#REF!,"AAAAAFdr/f0=")</f>
        <v>#REF!</v>
      </c>
      <c r="IU139" t="e">
        <f>AND(#REF!,"AAAAAFdr/f4=")</f>
        <v>#REF!</v>
      </c>
      <c r="IV139" t="e">
        <f>AND(#REF!,"AAAAAFdr/f8=")</f>
        <v>#REF!</v>
      </c>
    </row>
    <row r="140" spans="1:256" x14ac:dyDescent="0.2">
      <c r="A140" t="e">
        <f>AND(#REF!,"AAAAAFv/uQA=")</f>
        <v>#REF!</v>
      </c>
      <c r="B140" t="e">
        <f>AND(#REF!,"AAAAAFv/uQE=")</f>
        <v>#REF!</v>
      </c>
      <c r="C140" t="e">
        <f>AND(#REF!,"AAAAAFv/uQI=")</f>
        <v>#REF!</v>
      </c>
      <c r="D140" t="e">
        <f>AND(#REF!,"AAAAAFv/uQM=")</f>
        <v>#REF!</v>
      </c>
      <c r="E140" t="e">
        <f>AND(#REF!,"AAAAAFv/uQQ=")</f>
        <v>#REF!</v>
      </c>
      <c r="F140" t="e">
        <f>AND(#REF!,"AAAAAFv/uQU=")</f>
        <v>#REF!</v>
      </c>
      <c r="G140" t="e">
        <f>AND(#REF!,"AAAAAFv/uQY=")</f>
        <v>#REF!</v>
      </c>
      <c r="H140" t="e">
        <f>AND(#REF!,"AAAAAFv/uQc=")</f>
        <v>#REF!</v>
      </c>
      <c r="I140" t="e">
        <f>AND(#REF!,"AAAAAFv/uQg=")</f>
        <v>#REF!</v>
      </c>
      <c r="J140" t="e">
        <f>AND(#REF!,"AAAAAFv/uQk=")</f>
        <v>#REF!</v>
      </c>
      <c r="K140" t="e">
        <f>AND(#REF!,"AAAAAFv/uQo=")</f>
        <v>#REF!</v>
      </c>
      <c r="L140" t="e">
        <f>AND(#REF!,"AAAAAFv/uQs=")</f>
        <v>#REF!</v>
      </c>
      <c r="M140" t="e">
        <f>AND(#REF!,"AAAAAFv/uQw=")</f>
        <v>#REF!</v>
      </c>
      <c r="N140" t="e">
        <f>AND(#REF!,"AAAAAFv/uQ0=")</f>
        <v>#REF!</v>
      </c>
      <c r="O140" t="e">
        <f>AND(#REF!,"AAAAAFv/uQ4=")</f>
        <v>#REF!</v>
      </c>
      <c r="P140" t="e">
        <f>AND(#REF!,"AAAAAFv/uQ8=")</f>
        <v>#REF!</v>
      </c>
      <c r="Q140" t="e">
        <f>IF(#REF!,"AAAAAFv/uRA=",0)</f>
        <v>#REF!</v>
      </c>
      <c r="R140" t="e">
        <f>AND(#REF!,"AAAAAFv/uRE=")</f>
        <v>#REF!</v>
      </c>
      <c r="S140" t="e">
        <f>AND(#REF!,"AAAAAFv/uRI=")</f>
        <v>#REF!</v>
      </c>
      <c r="T140" t="e">
        <f>AND(#REF!,"AAAAAFv/uRM=")</f>
        <v>#REF!</v>
      </c>
      <c r="U140" t="e">
        <f>AND(#REF!,"AAAAAFv/uRQ=")</f>
        <v>#REF!</v>
      </c>
      <c r="V140" t="e">
        <f>AND(#REF!,"AAAAAFv/uRU=")</f>
        <v>#REF!</v>
      </c>
      <c r="W140" t="e">
        <f>AND(#REF!,"AAAAAFv/uRY=")</f>
        <v>#REF!</v>
      </c>
      <c r="X140" t="e">
        <f>AND(#REF!,"AAAAAFv/uRc=")</f>
        <v>#REF!</v>
      </c>
      <c r="Y140" t="e">
        <f>AND(#REF!,"AAAAAFv/uRg=")</f>
        <v>#REF!</v>
      </c>
      <c r="Z140" t="e">
        <f>AND(#REF!,"AAAAAFv/uRk=")</f>
        <v>#REF!</v>
      </c>
      <c r="AA140" t="e">
        <f>AND(#REF!,"AAAAAFv/uRo=")</f>
        <v>#REF!</v>
      </c>
      <c r="AB140" t="e">
        <f>AND(#REF!,"AAAAAFv/uRs=")</f>
        <v>#REF!</v>
      </c>
      <c r="AC140" t="e">
        <f>AND(#REF!,"AAAAAFv/uRw=")</f>
        <v>#REF!</v>
      </c>
      <c r="AD140" t="e">
        <f>AND(#REF!,"AAAAAFv/uR0=")</f>
        <v>#REF!</v>
      </c>
      <c r="AE140" t="e">
        <f>AND(#REF!,"AAAAAFv/uR4=")</f>
        <v>#REF!</v>
      </c>
      <c r="AF140" t="e">
        <f>AND(#REF!,"AAAAAFv/uR8=")</f>
        <v>#REF!</v>
      </c>
      <c r="AG140" t="e">
        <f>AND(#REF!,"AAAAAFv/uSA=")</f>
        <v>#REF!</v>
      </c>
      <c r="AH140" t="e">
        <f>AND(#REF!,"AAAAAFv/uSE=")</f>
        <v>#REF!</v>
      </c>
      <c r="AI140" t="e">
        <f>AND(#REF!,"AAAAAFv/uSI=")</f>
        <v>#REF!</v>
      </c>
      <c r="AJ140" t="e">
        <f>AND(#REF!,"AAAAAFv/uSM=")</f>
        <v>#REF!</v>
      </c>
      <c r="AK140" t="e">
        <f>AND(#REF!,"AAAAAFv/uSQ=")</f>
        <v>#REF!</v>
      </c>
      <c r="AL140" t="e">
        <f>AND(#REF!,"AAAAAFv/uSU=")</f>
        <v>#REF!</v>
      </c>
      <c r="AM140" t="e">
        <f>AND(#REF!,"AAAAAFv/uSY=")</f>
        <v>#REF!</v>
      </c>
      <c r="AN140" t="e">
        <f>IF(#REF!,"AAAAAFv/uSc=",0)</f>
        <v>#REF!</v>
      </c>
      <c r="AO140" t="e">
        <f>AND(#REF!,"AAAAAFv/uSg=")</f>
        <v>#REF!</v>
      </c>
      <c r="AP140" t="e">
        <f>AND(#REF!,"AAAAAFv/uSk=")</f>
        <v>#REF!</v>
      </c>
      <c r="AQ140" t="e">
        <f>AND(#REF!,"AAAAAFv/uSo=")</f>
        <v>#REF!</v>
      </c>
      <c r="AR140" t="e">
        <f>AND(#REF!,"AAAAAFv/uSs=")</f>
        <v>#REF!</v>
      </c>
      <c r="AS140" t="e">
        <f>AND(#REF!,"AAAAAFv/uSw=")</f>
        <v>#REF!</v>
      </c>
      <c r="AT140" t="e">
        <f>AND(#REF!,"AAAAAFv/uS0=")</f>
        <v>#REF!</v>
      </c>
      <c r="AU140" t="e">
        <f>AND(#REF!,"AAAAAFv/uS4=")</f>
        <v>#REF!</v>
      </c>
      <c r="AV140" t="e">
        <f>AND(#REF!,"AAAAAFv/uS8=")</f>
        <v>#REF!</v>
      </c>
      <c r="AW140" t="e">
        <f>AND(#REF!,"AAAAAFv/uTA=")</f>
        <v>#REF!</v>
      </c>
      <c r="AX140" t="e">
        <f>AND(#REF!,"AAAAAFv/uTE=")</f>
        <v>#REF!</v>
      </c>
      <c r="AY140" t="e">
        <f>AND(#REF!,"AAAAAFv/uTI=")</f>
        <v>#REF!</v>
      </c>
      <c r="AZ140" t="e">
        <f>AND(#REF!,"AAAAAFv/uTM=")</f>
        <v>#REF!</v>
      </c>
      <c r="BA140" t="e">
        <f>AND(#REF!,"AAAAAFv/uTQ=")</f>
        <v>#REF!</v>
      </c>
      <c r="BB140" t="e">
        <f>AND(#REF!,"AAAAAFv/uTU=")</f>
        <v>#REF!</v>
      </c>
      <c r="BC140" t="e">
        <f>AND(#REF!,"AAAAAFv/uTY=")</f>
        <v>#REF!</v>
      </c>
      <c r="BD140" t="e">
        <f>AND(#REF!,"AAAAAFv/uTc=")</f>
        <v>#REF!</v>
      </c>
      <c r="BE140" t="e">
        <f>AND(#REF!,"AAAAAFv/uTg=")</f>
        <v>#REF!</v>
      </c>
      <c r="BF140" t="e">
        <f>AND(#REF!,"AAAAAFv/uTk=")</f>
        <v>#REF!</v>
      </c>
      <c r="BG140" t="e">
        <f>AND(#REF!,"AAAAAFv/uTo=")</f>
        <v>#REF!</v>
      </c>
      <c r="BH140" t="e">
        <f>AND(#REF!,"AAAAAFv/uTs=")</f>
        <v>#REF!</v>
      </c>
      <c r="BI140" t="e">
        <f>AND(#REF!,"AAAAAFv/uTw=")</f>
        <v>#REF!</v>
      </c>
      <c r="BJ140" t="e">
        <f>AND(#REF!,"AAAAAFv/uT0=")</f>
        <v>#REF!</v>
      </c>
      <c r="BK140" t="e">
        <f>IF(#REF!,"AAAAAFv/uT4=",0)</f>
        <v>#REF!</v>
      </c>
      <c r="BL140" t="e">
        <f>AND(#REF!,"AAAAAFv/uT8=")</f>
        <v>#REF!</v>
      </c>
      <c r="BM140" t="e">
        <f>AND(#REF!,"AAAAAFv/uUA=")</f>
        <v>#REF!</v>
      </c>
      <c r="BN140" t="e">
        <f>AND(#REF!,"AAAAAFv/uUE=")</f>
        <v>#REF!</v>
      </c>
      <c r="BO140" t="e">
        <f>AND(#REF!,"AAAAAFv/uUI=")</f>
        <v>#REF!</v>
      </c>
      <c r="BP140" t="e">
        <f>AND(#REF!,"AAAAAFv/uUM=")</f>
        <v>#REF!</v>
      </c>
      <c r="BQ140" t="e">
        <f>AND(#REF!,"AAAAAFv/uUQ=")</f>
        <v>#REF!</v>
      </c>
      <c r="BR140" t="e">
        <f>AND(#REF!,"AAAAAFv/uUU=")</f>
        <v>#REF!</v>
      </c>
      <c r="BS140" t="e">
        <f>AND(#REF!,"AAAAAFv/uUY=")</f>
        <v>#REF!</v>
      </c>
      <c r="BT140" t="e">
        <f>AND(#REF!,"AAAAAFv/uUc=")</f>
        <v>#REF!</v>
      </c>
      <c r="BU140" t="e">
        <f>AND(#REF!,"AAAAAFv/uUg=")</f>
        <v>#REF!</v>
      </c>
      <c r="BV140" t="e">
        <f>AND(#REF!,"AAAAAFv/uUk=")</f>
        <v>#REF!</v>
      </c>
      <c r="BW140" t="e">
        <f>AND(#REF!,"AAAAAFv/uUo=")</f>
        <v>#REF!</v>
      </c>
      <c r="BX140" t="e">
        <f>AND(#REF!,"AAAAAFv/uUs=")</f>
        <v>#REF!</v>
      </c>
      <c r="BY140" t="e">
        <f>AND(#REF!,"AAAAAFv/uUw=")</f>
        <v>#REF!</v>
      </c>
      <c r="BZ140" t="e">
        <f>AND(#REF!,"AAAAAFv/uU0=")</f>
        <v>#REF!</v>
      </c>
      <c r="CA140" t="e">
        <f>AND(#REF!,"AAAAAFv/uU4=")</f>
        <v>#REF!</v>
      </c>
      <c r="CB140" t="e">
        <f>AND(#REF!,"AAAAAFv/uU8=")</f>
        <v>#REF!</v>
      </c>
      <c r="CC140" t="e">
        <f>AND(#REF!,"AAAAAFv/uVA=")</f>
        <v>#REF!</v>
      </c>
      <c r="CD140" t="e">
        <f>AND(#REF!,"AAAAAFv/uVE=")</f>
        <v>#REF!</v>
      </c>
      <c r="CE140" t="e">
        <f>AND(#REF!,"AAAAAFv/uVI=")</f>
        <v>#REF!</v>
      </c>
      <c r="CF140" t="e">
        <f>AND(#REF!,"AAAAAFv/uVM=")</f>
        <v>#REF!</v>
      </c>
      <c r="CG140" t="e">
        <f>AND(#REF!,"AAAAAFv/uVQ=")</f>
        <v>#REF!</v>
      </c>
      <c r="CH140" t="e">
        <f>IF(#REF!,"AAAAAFv/uVU=",0)</f>
        <v>#REF!</v>
      </c>
      <c r="CI140" t="e">
        <f>AND(#REF!,"AAAAAFv/uVY=")</f>
        <v>#REF!</v>
      </c>
      <c r="CJ140" t="e">
        <f>AND(#REF!,"AAAAAFv/uVc=")</f>
        <v>#REF!</v>
      </c>
      <c r="CK140" t="e">
        <f>AND(#REF!,"AAAAAFv/uVg=")</f>
        <v>#REF!</v>
      </c>
      <c r="CL140" t="e">
        <f>AND(#REF!,"AAAAAFv/uVk=")</f>
        <v>#REF!</v>
      </c>
      <c r="CM140" t="e">
        <f>AND(#REF!,"AAAAAFv/uVo=")</f>
        <v>#REF!</v>
      </c>
      <c r="CN140" t="e">
        <f>AND(#REF!,"AAAAAFv/uVs=")</f>
        <v>#REF!</v>
      </c>
      <c r="CO140" t="e">
        <f>AND(#REF!,"AAAAAFv/uVw=")</f>
        <v>#REF!</v>
      </c>
      <c r="CP140" t="e">
        <f>AND(#REF!,"AAAAAFv/uV0=")</f>
        <v>#REF!</v>
      </c>
      <c r="CQ140" t="e">
        <f>AND(#REF!,"AAAAAFv/uV4=")</f>
        <v>#REF!</v>
      </c>
      <c r="CR140" t="e">
        <f>AND(#REF!,"AAAAAFv/uV8=")</f>
        <v>#REF!</v>
      </c>
      <c r="CS140" t="e">
        <f>AND(#REF!,"AAAAAFv/uWA=")</f>
        <v>#REF!</v>
      </c>
      <c r="CT140" t="e">
        <f>AND(#REF!,"AAAAAFv/uWE=")</f>
        <v>#REF!</v>
      </c>
      <c r="CU140" t="e">
        <f>AND(#REF!,"AAAAAFv/uWI=")</f>
        <v>#REF!</v>
      </c>
      <c r="CV140" t="e">
        <f>AND(#REF!,"AAAAAFv/uWM=")</f>
        <v>#REF!</v>
      </c>
      <c r="CW140" t="e">
        <f>AND(#REF!,"AAAAAFv/uWQ=")</f>
        <v>#REF!</v>
      </c>
      <c r="CX140" t="e">
        <f>AND(#REF!,"AAAAAFv/uWU=")</f>
        <v>#REF!</v>
      </c>
      <c r="CY140" t="e">
        <f>AND(#REF!,"AAAAAFv/uWY=")</f>
        <v>#REF!</v>
      </c>
      <c r="CZ140" t="e">
        <f>AND(#REF!,"AAAAAFv/uWc=")</f>
        <v>#REF!</v>
      </c>
      <c r="DA140" t="e">
        <f>AND(#REF!,"AAAAAFv/uWg=")</f>
        <v>#REF!</v>
      </c>
      <c r="DB140" t="e">
        <f>AND(#REF!,"AAAAAFv/uWk=")</f>
        <v>#REF!</v>
      </c>
      <c r="DC140" t="e">
        <f>AND(#REF!,"AAAAAFv/uWo=")</f>
        <v>#REF!</v>
      </c>
      <c r="DD140" t="e">
        <f>AND(#REF!,"AAAAAFv/uWs=")</f>
        <v>#REF!</v>
      </c>
      <c r="DE140" t="e">
        <f>IF(#REF!,"AAAAAFv/uWw=",0)</f>
        <v>#REF!</v>
      </c>
      <c r="DF140" t="e">
        <f>AND(#REF!,"AAAAAFv/uW0=")</f>
        <v>#REF!</v>
      </c>
      <c r="DG140" t="e">
        <f>AND(#REF!,"AAAAAFv/uW4=")</f>
        <v>#REF!</v>
      </c>
      <c r="DH140" t="e">
        <f>AND(#REF!,"AAAAAFv/uW8=")</f>
        <v>#REF!</v>
      </c>
      <c r="DI140" t="e">
        <f>AND(#REF!,"AAAAAFv/uXA=")</f>
        <v>#REF!</v>
      </c>
      <c r="DJ140" t="e">
        <f>AND(#REF!,"AAAAAFv/uXE=")</f>
        <v>#REF!</v>
      </c>
      <c r="DK140" t="e">
        <f>AND(#REF!,"AAAAAFv/uXI=")</f>
        <v>#REF!</v>
      </c>
      <c r="DL140" t="e">
        <f>AND(#REF!,"AAAAAFv/uXM=")</f>
        <v>#REF!</v>
      </c>
      <c r="DM140" t="e">
        <f>AND(#REF!,"AAAAAFv/uXQ=")</f>
        <v>#REF!</v>
      </c>
      <c r="DN140" t="e">
        <f>AND(#REF!,"AAAAAFv/uXU=")</f>
        <v>#REF!</v>
      </c>
      <c r="DO140" t="e">
        <f>AND(#REF!,"AAAAAFv/uXY=")</f>
        <v>#REF!</v>
      </c>
      <c r="DP140" t="e">
        <f>AND(#REF!,"AAAAAFv/uXc=")</f>
        <v>#REF!</v>
      </c>
      <c r="DQ140" t="e">
        <f>AND(#REF!,"AAAAAFv/uXg=")</f>
        <v>#REF!</v>
      </c>
      <c r="DR140" t="e">
        <f>AND(#REF!,"AAAAAFv/uXk=")</f>
        <v>#REF!</v>
      </c>
      <c r="DS140" t="e">
        <f>AND(#REF!,"AAAAAFv/uXo=")</f>
        <v>#REF!</v>
      </c>
      <c r="DT140" t="e">
        <f>AND(#REF!,"AAAAAFv/uXs=")</f>
        <v>#REF!</v>
      </c>
      <c r="DU140" t="e">
        <f>AND(#REF!,"AAAAAFv/uXw=")</f>
        <v>#REF!</v>
      </c>
      <c r="DV140" t="e">
        <f>AND(#REF!,"AAAAAFv/uX0=")</f>
        <v>#REF!</v>
      </c>
      <c r="DW140" t="e">
        <f>AND(#REF!,"AAAAAFv/uX4=")</f>
        <v>#REF!</v>
      </c>
      <c r="DX140" t="e">
        <f>AND(#REF!,"AAAAAFv/uX8=")</f>
        <v>#REF!</v>
      </c>
      <c r="DY140" t="e">
        <f>AND(#REF!,"AAAAAFv/uYA=")</f>
        <v>#REF!</v>
      </c>
      <c r="DZ140" t="e">
        <f>AND(#REF!,"AAAAAFv/uYE=")</f>
        <v>#REF!</v>
      </c>
      <c r="EA140" t="e">
        <f>AND(#REF!,"AAAAAFv/uYI=")</f>
        <v>#REF!</v>
      </c>
      <c r="EB140" t="e">
        <f>IF(#REF!,"AAAAAFv/uYM=",0)</f>
        <v>#REF!</v>
      </c>
      <c r="EC140" t="e">
        <f>AND(#REF!,"AAAAAFv/uYQ=")</f>
        <v>#REF!</v>
      </c>
      <c r="ED140" t="e">
        <f>AND(#REF!,"AAAAAFv/uYU=")</f>
        <v>#REF!</v>
      </c>
      <c r="EE140" t="e">
        <f>AND(#REF!,"AAAAAFv/uYY=")</f>
        <v>#REF!</v>
      </c>
      <c r="EF140" t="e">
        <f>AND(#REF!,"AAAAAFv/uYc=")</f>
        <v>#REF!</v>
      </c>
      <c r="EG140" t="e">
        <f>AND(#REF!,"AAAAAFv/uYg=")</f>
        <v>#REF!</v>
      </c>
      <c r="EH140" t="e">
        <f>AND(#REF!,"AAAAAFv/uYk=")</f>
        <v>#REF!</v>
      </c>
      <c r="EI140" t="e">
        <f>AND(#REF!,"AAAAAFv/uYo=")</f>
        <v>#REF!</v>
      </c>
      <c r="EJ140" t="e">
        <f>AND(#REF!,"AAAAAFv/uYs=")</f>
        <v>#REF!</v>
      </c>
      <c r="EK140" t="e">
        <f>AND(#REF!,"AAAAAFv/uYw=")</f>
        <v>#REF!</v>
      </c>
      <c r="EL140" t="e">
        <f>AND(#REF!,"AAAAAFv/uY0=")</f>
        <v>#REF!</v>
      </c>
      <c r="EM140" t="e">
        <f>AND(#REF!,"AAAAAFv/uY4=")</f>
        <v>#REF!</v>
      </c>
      <c r="EN140" t="e">
        <f>AND(#REF!,"AAAAAFv/uY8=")</f>
        <v>#REF!</v>
      </c>
      <c r="EO140" t="e">
        <f>AND(#REF!,"AAAAAFv/uZA=")</f>
        <v>#REF!</v>
      </c>
      <c r="EP140" t="e">
        <f>AND(#REF!,"AAAAAFv/uZE=")</f>
        <v>#REF!</v>
      </c>
      <c r="EQ140" t="e">
        <f>AND(#REF!,"AAAAAFv/uZI=")</f>
        <v>#REF!</v>
      </c>
      <c r="ER140" t="e">
        <f>AND(#REF!,"AAAAAFv/uZM=")</f>
        <v>#REF!</v>
      </c>
      <c r="ES140" t="e">
        <f>AND(#REF!,"AAAAAFv/uZQ=")</f>
        <v>#REF!</v>
      </c>
      <c r="ET140" t="e">
        <f>AND(#REF!,"AAAAAFv/uZU=")</f>
        <v>#REF!</v>
      </c>
      <c r="EU140" t="e">
        <f>AND(#REF!,"AAAAAFv/uZY=")</f>
        <v>#REF!</v>
      </c>
      <c r="EV140" t="e">
        <f>AND(#REF!,"AAAAAFv/uZc=")</f>
        <v>#REF!</v>
      </c>
      <c r="EW140" t="e">
        <f>AND(#REF!,"AAAAAFv/uZg=")</f>
        <v>#REF!</v>
      </c>
      <c r="EX140" t="e">
        <f>AND(#REF!,"AAAAAFv/uZk=")</f>
        <v>#REF!</v>
      </c>
      <c r="EY140" t="e">
        <f>IF(#REF!,"AAAAAFv/uZo=",0)</f>
        <v>#REF!</v>
      </c>
      <c r="EZ140" t="e">
        <f>AND(#REF!,"AAAAAFv/uZs=")</f>
        <v>#REF!</v>
      </c>
      <c r="FA140" t="e">
        <f>AND(#REF!,"AAAAAFv/uZw=")</f>
        <v>#REF!</v>
      </c>
      <c r="FB140" t="e">
        <f>AND(#REF!,"AAAAAFv/uZ0=")</f>
        <v>#REF!</v>
      </c>
      <c r="FC140" t="e">
        <f>AND(#REF!,"AAAAAFv/uZ4=")</f>
        <v>#REF!</v>
      </c>
      <c r="FD140" t="e">
        <f>AND(#REF!,"AAAAAFv/uZ8=")</f>
        <v>#REF!</v>
      </c>
      <c r="FE140" t="e">
        <f>AND(#REF!,"AAAAAFv/uaA=")</f>
        <v>#REF!</v>
      </c>
      <c r="FF140" t="e">
        <f>AND(#REF!,"AAAAAFv/uaE=")</f>
        <v>#REF!</v>
      </c>
      <c r="FG140" t="e">
        <f>AND(#REF!,"AAAAAFv/uaI=")</f>
        <v>#REF!</v>
      </c>
      <c r="FH140" t="e">
        <f>AND(#REF!,"AAAAAFv/uaM=")</f>
        <v>#REF!</v>
      </c>
      <c r="FI140" t="e">
        <f>AND(#REF!,"AAAAAFv/uaQ=")</f>
        <v>#REF!</v>
      </c>
      <c r="FJ140" t="e">
        <f>AND(#REF!,"AAAAAFv/uaU=")</f>
        <v>#REF!</v>
      </c>
      <c r="FK140" t="e">
        <f>AND(#REF!,"AAAAAFv/uaY=")</f>
        <v>#REF!</v>
      </c>
      <c r="FL140" t="e">
        <f>AND(#REF!,"AAAAAFv/uac=")</f>
        <v>#REF!</v>
      </c>
      <c r="FM140" t="e">
        <f>AND(#REF!,"AAAAAFv/uag=")</f>
        <v>#REF!</v>
      </c>
      <c r="FN140" t="e">
        <f>AND(#REF!,"AAAAAFv/uak=")</f>
        <v>#REF!</v>
      </c>
      <c r="FO140" t="e">
        <f>AND(#REF!,"AAAAAFv/uao=")</f>
        <v>#REF!</v>
      </c>
      <c r="FP140" t="e">
        <f>AND(#REF!,"AAAAAFv/uas=")</f>
        <v>#REF!</v>
      </c>
      <c r="FQ140" t="e">
        <f>AND(#REF!,"AAAAAFv/uaw=")</f>
        <v>#REF!</v>
      </c>
      <c r="FR140" t="e">
        <f>AND(#REF!,"AAAAAFv/ua0=")</f>
        <v>#REF!</v>
      </c>
      <c r="FS140" t="e">
        <f>AND(#REF!,"AAAAAFv/ua4=")</f>
        <v>#REF!</v>
      </c>
      <c r="FT140" t="e">
        <f>AND(#REF!,"AAAAAFv/ua8=")</f>
        <v>#REF!</v>
      </c>
      <c r="FU140" t="e">
        <f>AND(#REF!,"AAAAAFv/ubA=")</f>
        <v>#REF!</v>
      </c>
      <c r="FV140" t="e">
        <f>IF(#REF!,"AAAAAFv/ubE=",0)</f>
        <v>#REF!</v>
      </c>
      <c r="FW140" t="e">
        <f>AND(#REF!,"AAAAAFv/ubI=")</f>
        <v>#REF!</v>
      </c>
      <c r="FX140" t="e">
        <f>AND(#REF!,"AAAAAFv/ubM=")</f>
        <v>#REF!</v>
      </c>
      <c r="FY140" t="e">
        <f>AND(#REF!,"AAAAAFv/ubQ=")</f>
        <v>#REF!</v>
      </c>
      <c r="FZ140" t="e">
        <f>AND(#REF!,"AAAAAFv/ubU=")</f>
        <v>#REF!</v>
      </c>
      <c r="GA140" t="e">
        <f>AND(#REF!,"AAAAAFv/ubY=")</f>
        <v>#REF!</v>
      </c>
      <c r="GB140" t="e">
        <f>AND(#REF!,"AAAAAFv/ubc=")</f>
        <v>#REF!</v>
      </c>
      <c r="GC140" t="e">
        <f>AND(#REF!,"AAAAAFv/ubg=")</f>
        <v>#REF!</v>
      </c>
      <c r="GD140" t="e">
        <f>AND(#REF!,"AAAAAFv/ubk=")</f>
        <v>#REF!</v>
      </c>
      <c r="GE140" t="e">
        <f>AND(#REF!,"AAAAAFv/ubo=")</f>
        <v>#REF!</v>
      </c>
      <c r="GF140" t="e">
        <f>AND(#REF!,"AAAAAFv/ubs=")</f>
        <v>#REF!</v>
      </c>
      <c r="GG140" t="e">
        <f>AND(#REF!,"AAAAAFv/ubw=")</f>
        <v>#REF!</v>
      </c>
      <c r="GH140" t="e">
        <f>AND(#REF!,"AAAAAFv/ub0=")</f>
        <v>#REF!</v>
      </c>
      <c r="GI140" t="e">
        <f>AND(#REF!,"AAAAAFv/ub4=")</f>
        <v>#REF!</v>
      </c>
      <c r="GJ140" t="e">
        <f>AND(#REF!,"AAAAAFv/ub8=")</f>
        <v>#REF!</v>
      </c>
      <c r="GK140" t="e">
        <f>AND(#REF!,"AAAAAFv/ucA=")</f>
        <v>#REF!</v>
      </c>
      <c r="GL140" t="e">
        <f>AND(#REF!,"AAAAAFv/ucE=")</f>
        <v>#REF!</v>
      </c>
      <c r="GM140" t="e">
        <f>AND(#REF!,"AAAAAFv/ucI=")</f>
        <v>#REF!</v>
      </c>
      <c r="GN140" t="e">
        <f>AND(#REF!,"AAAAAFv/ucM=")</f>
        <v>#REF!</v>
      </c>
      <c r="GO140" t="e">
        <f>AND(#REF!,"AAAAAFv/ucQ=")</f>
        <v>#REF!</v>
      </c>
      <c r="GP140" t="e">
        <f>AND(#REF!,"AAAAAFv/ucU=")</f>
        <v>#REF!</v>
      </c>
      <c r="GQ140" t="e">
        <f>AND(#REF!,"AAAAAFv/ucY=")</f>
        <v>#REF!</v>
      </c>
      <c r="GR140" t="e">
        <f>AND(#REF!,"AAAAAFv/ucc=")</f>
        <v>#REF!</v>
      </c>
      <c r="GS140" t="e">
        <f>IF(#REF!,"AAAAAFv/ucg=",0)</f>
        <v>#REF!</v>
      </c>
      <c r="GT140" t="e">
        <f>AND(#REF!,"AAAAAFv/uck=")</f>
        <v>#REF!</v>
      </c>
      <c r="GU140" t="e">
        <f>AND(#REF!,"AAAAAFv/uco=")</f>
        <v>#REF!</v>
      </c>
      <c r="GV140" t="e">
        <f>AND(#REF!,"AAAAAFv/ucs=")</f>
        <v>#REF!</v>
      </c>
      <c r="GW140" t="e">
        <f>AND(#REF!,"AAAAAFv/ucw=")</f>
        <v>#REF!</v>
      </c>
      <c r="GX140" t="e">
        <f>AND(#REF!,"AAAAAFv/uc0=")</f>
        <v>#REF!</v>
      </c>
      <c r="GY140" t="e">
        <f>AND(#REF!,"AAAAAFv/uc4=")</f>
        <v>#REF!</v>
      </c>
      <c r="GZ140" t="e">
        <f>AND(#REF!,"AAAAAFv/uc8=")</f>
        <v>#REF!</v>
      </c>
      <c r="HA140" t="e">
        <f>AND(#REF!,"AAAAAFv/udA=")</f>
        <v>#REF!</v>
      </c>
      <c r="HB140" t="e">
        <f>AND(#REF!,"AAAAAFv/udE=")</f>
        <v>#REF!</v>
      </c>
      <c r="HC140" t="e">
        <f>AND(#REF!,"AAAAAFv/udI=")</f>
        <v>#REF!</v>
      </c>
      <c r="HD140" t="e">
        <f>AND(#REF!,"AAAAAFv/udM=")</f>
        <v>#REF!</v>
      </c>
      <c r="HE140" t="e">
        <f>AND(#REF!,"AAAAAFv/udQ=")</f>
        <v>#REF!</v>
      </c>
      <c r="HF140" t="e">
        <f>AND(#REF!,"AAAAAFv/udU=")</f>
        <v>#REF!</v>
      </c>
      <c r="HG140" t="e">
        <f>AND(#REF!,"AAAAAFv/udY=")</f>
        <v>#REF!</v>
      </c>
      <c r="HH140" t="e">
        <f>AND(#REF!,"AAAAAFv/udc=")</f>
        <v>#REF!</v>
      </c>
      <c r="HI140" t="e">
        <f>AND(#REF!,"AAAAAFv/udg=")</f>
        <v>#REF!</v>
      </c>
      <c r="HJ140" t="e">
        <f>AND(#REF!,"AAAAAFv/udk=")</f>
        <v>#REF!</v>
      </c>
      <c r="HK140" t="e">
        <f>AND(#REF!,"AAAAAFv/udo=")</f>
        <v>#REF!</v>
      </c>
      <c r="HL140" t="e">
        <f>AND(#REF!,"AAAAAFv/uds=")</f>
        <v>#REF!</v>
      </c>
      <c r="HM140" t="e">
        <f>AND(#REF!,"AAAAAFv/udw=")</f>
        <v>#REF!</v>
      </c>
      <c r="HN140" t="e">
        <f>AND(#REF!,"AAAAAFv/ud0=")</f>
        <v>#REF!</v>
      </c>
      <c r="HO140" t="e">
        <f>AND(#REF!,"AAAAAFv/ud4=")</f>
        <v>#REF!</v>
      </c>
      <c r="HP140" t="e">
        <f>IF(#REF!,"AAAAAFv/ud8=",0)</f>
        <v>#REF!</v>
      </c>
      <c r="HQ140" t="e">
        <f>AND(#REF!,"AAAAAFv/ueA=")</f>
        <v>#REF!</v>
      </c>
      <c r="HR140" t="e">
        <f>AND(#REF!,"AAAAAFv/ueE=")</f>
        <v>#REF!</v>
      </c>
      <c r="HS140" t="e">
        <f>AND(#REF!,"AAAAAFv/ueI=")</f>
        <v>#REF!</v>
      </c>
      <c r="HT140" t="e">
        <f>AND(#REF!,"AAAAAFv/ueM=")</f>
        <v>#REF!</v>
      </c>
      <c r="HU140" t="e">
        <f>AND(#REF!,"AAAAAFv/ueQ=")</f>
        <v>#REF!</v>
      </c>
      <c r="HV140" t="e">
        <f>AND(#REF!,"AAAAAFv/ueU=")</f>
        <v>#REF!</v>
      </c>
      <c r="HW140" t="e">
        <f>AND(#REF!,"AAAAAFv/ueY=")</f>
        <v>#REF!</v>
      </c>
      <c r="HX140" t="e">
        <f>AND(#REF!,"AAAAAFv/uec=")</f>
        <v>#REF!</v>
      </c>
      <c r="HY140" t="e">
        <f>AND(#REF!,"AAAAAFv/ueg=")</f>
        <v>#REF!</v>
      </c>
      <c r="HZ140" t="e">
        <f>AND(#REF!,"AAAAAFv/uek=")</f>
        <v>#REF!</v>
      </c>
      <c r="IA140" t="e">
        <f>AND(#REF!,"AAAAAFv/ueo=")</f>
        <v>#REF!</v>
      </c>
      <c r="IB140" t="e">
        <f>AND(#REF!,"AAAAAFv/ues=")</f>
        <v>#REF!</v>
      </c>
      <c r="IC140" t="e">
        <f>AND(#REF!,"AAAAAFv/uew=")</f>
        <v>#REF!</v>
      </c>
      <c r="ID140" t="e">
        <f>AND(#REF!,"AAAAAFv/ue0=")</f>
        <v>#REF!</v>
      </c>
      <c r="IE140" t="e">
        <f>AND(#REF!,"AAAAAFv/ue4=")</f>
        <v>#REF!</v>
      </c>
      <c r="IF140" t="e">
        <f>AND(#REF!,"AAAAAFv/ue8=")</f>
        <v>#REF!</v>
      </c>
      <c r="IG140" t="e">
        <f>AND(#REF!,"AAAAAFv/ufA=")</f>
        <v>#REF!</v>
      </c>
      <c r="IH140" t="e">
        <f>AND(#REF!,"AAAAAFv/ufE=")</f>
        <v>#REF!</v>
      </c>
      <c r="II140" t="e">
        <f>AND(#REF!,"AAAAAFv/ufI=")</f>
        <v>#REF!</v>
      </c>
      <c r="IJ140" t="e">
        <f>AND(#REF!,"AAAAAFv/ufM=")</f>
        <v>#REF!</v>
      </c>
      <c r="IK140" t="e">
        <f>AND(#REF!,"AAAAAFv/ufQ=")</f>
        <v>#REF!</v>
      </c>
      <c r="IL140" t="e">
        <f>AND(#REF!,"AAAAAFv/ufU=")</f>
        <v>#REF!</v>
      </c>
      <c r="IM140" t="e">
        <f>IF(#REF!,"AAAAAFv/ufY=",0)</f>
        <v>#REF!</v>
      </c>
      <c r="IN140" t="e">
        <f>AND(#REF!,"AAAAAFv/ufc=")</f>
        <v>#REF!</v>
      </c>
      <c r="IO140" t="e">
        <f>AND(#REF!,"AAAAAFv/ufg=")</f>
        <v>#REF!</v>
      </c>
      <c r="IP140" t="e">
        <f>AND(#REF!,"AAAAAFv/ufk=")</f>
        <v>#REF!</v>
      </c>
      <c r="IQ140" t="e">
        <f>AND(#REF!,"AAAAAFv/ufo=")</f>
        <v>#REF!</v>
      </c>
      <c r="IR140" t="e">
        <f>AND(#REF!,"AAAAAFv/ufs=")</f>
        <v>#REF!</v>
      </c>
      <c r="IS140" t="e">
        <f>AND(#REF!,"AAAAAFv/ufw=")</f>
        <v>#REF!</v>
      </c>
      <c r="IT140" t="e">
        <f>AND(#REF!,"AAAAAFv/uf0=")</f>
        <v>#REF!</v>
      </c>
      <c r="IU140" t="e">
        <f>AND(#REF!,"AAAAAFv/uf4=")</f>
        <v>#REF!</v>
      </c>
      <c r="IV140" t="e">
        <f>AND(#REF!,"AAAAAFv/uf8=")</f>
        <v>#REF!</v>
      </c>
    </row>
    <row r="141" spans="1:256" x14ac:dyDescent="0.2">
      <c r="A141" t="e">
        <f>AND(#REF!,"AAAAAHjs/QA=")</f>
        <v>#REF!</v>
      </c>
      <c r="B141" t="e">
        <f>AND(#REF!,"AAAAAHjs/QE=")</f>
        <v>#REF!</v>
      </c>
      <c r="C141" t="e">
        <f>AND(#REF!,"AAAAAHjs/QI=")</f>
        <v>#REF!</v>
      </c>
      <c r="D141" t="e">
        <f>AND(#REF!,"AAAAAHjs/QM=")</f>
        <v>#REF!</v>
      </c>
      <c r="E141" t="e">
        <f>AND(#REF!,"AAAAAHjs/QQ=")</f>
        <v>#REF!</v>
      </c>
      <c r="F141" t="e">
        <f>AND(#REF!,"AAAAAHjs/QU=")</f>
        <v>#REF!</v>
      </c>
      <c r="G141" t="e">
        <f>AND(#REF!,"AAAAAHjs/QY=")</f>
        <v>#REF!</v>
      </c>
      <c r="H141" t="e">
        <f>AND(#REF!,"AAAAAHjs/Qc=")</f>
        <v>#REF!</v>
      </c>
      <c r="I141" t="e">
        <f>AND(#REF!,"AAAAAHjs/Qg=")</f>
        <v>#REF!</v>
      </c>
      <c r="J141" t="e">
        <f>AND(#REF!,"AAAAAHjs/Qk=")</f>
        <v>#REF!</v>
      </c>
      <c r="K141" t="e">
        <f>AND(#REF!,"AAAAAHjs/Qo=")</f>
        <v>#REF!</v>
      </c>
      <c r="L141" t="e">
        <f>AND(#REF!,"AAAAAHjs/Qs=")</f>
        <v>#REF!</v>
      </c>
      <c r="M141" t="e">
        <f>AND(#REF!,"AAAAAHjs/Qw=")</f>
        <v>#REF!</v>
      </c>
      <c r="N141" t="e">
        <f>IF(#REF!,"AAAAAHjs/Q0=",0)</f>
        <v>#REF!</v>
      </c>
      <c r="O141" t="e">
        <f>AND(#REF!,"AAAAAHjs/Q4=")</f>
        <v>#REF!</v>
      </c>
      <c r="P141" t="e">
        <f>AND(#REF!,"AAAAAHjs/Q8=")</f>
        <v>#REF!</v>
      </c>
      <c r="Q141" t="e">
        <f>AND(#REF!,"AAAAAHjs/RA=")</f>
        <v>#REF!</v>
      </c>
      <c r="R141" t="e">
        <f>AND(#REF!,"AAAAAHjs/RE=")</f>
        <v>#REF!</v>
      </c>
      <c r="S141" t="e">
        <f>AND(#REF!,"AAAAAHjs/RI=")</f>
        <v>#REF!</v>
      </c>
      <c r="T141" t="e">
        <f>AND(#REF!,"AAAAAHjs/RM=")</f>
        <v>#REF!</v>
      </c>
      <c r="U141" t="e">
        <f>AND(#REF!,"AAAAAHjs/RQ=")</f>
        <v>#REF!</v>
      </c>
      <c r="V141" t="e">
        <f>AND(#REF!,"AAAAAHjs/RU=")</f>
        <v>#REF!</v>
      </c>
      <c r="W141" t="e">
        <f>AND(#REF!,"AAAAAHjs/RY=")</f>
        <v>#REF!</v>
      </c>
      <c r="X141" t="e">
        <f>AND(#REF!,"AAAAAHjs/Rc=")</f>
        <v>#REF!</v>
      </c>
      <c r="Y141" t="e">
        <f>AND(#REF!,"AAAAAHjs/Rg=")</f>
        <v>#REF!</v>
      </c>
      <c r="Z141" t="e">
        <f>AND(#REF!,"AAAAAHjs/Rk=")</f>
        <v>#REF!</v>
      </c>
      <c r="AA141" t="e">
        <f>AND(#REF!,"AAAAAHjs/Ro=")</f>
        <v>#REF!</v>
      </c>
      <c r="AB141" t="e">
        <f>AND(#REF!,"AAAAAHjs/Rs=")</f>
        <v>#REF!</v>
      </c>
      <c r="AC141" t="e">
        <f>AND(#REF!,"AAAAAHjs/Rw=")</f>
        <v>#REF!</v>
      </c>
      <c r="AD141" t="e">
        <f>AND(#REF!,"AAAAAHjs/R0=")</f>
        <v>#REF!</v>
      </c>
      <c r="AE141" t="e">
        <f>AND(#REF!,"AAAAAHjs/R4=")</f>
        <v>#REF!</v>
      </c>
      <c r="AF141" t="e">
        <f>AND(#REF!,"AAAAAHjs/R8=")</f>
        <v>#REF!</v>
      </c>
      <c r="AG141" t="e">
        <f>AND(#REF!,"AAAAAHjs/SA=")</f>
        <v>#REF!</v>
      </c>
      <c r="AH141" t="e">
        <f>AND(#REF!,"AAAAAHjs/SE=")</f>
        <v>#REF!</v>
      </c>
      <c r="AI141" t="e">
        <f>AND(#REF!,"AAAAAHjs/SI=")</f>
        <v>#REF!</v>
      </c>
      <c r="AJ141" t="e">
        <f>AND(#REF!,"AAAAAHjs/SM=")</f>
        <v>#REF!</v>
      </c>
      <c r="AK141" t="e">
        <f>IF(#REF!,"AAAAAHjs/SQ=",0)</f>
        <v>#REF!</v>
      </c>
      <c r="AL141" t="e">
        <f>AND(#REF!,"AAAAAHjs/SU=")</f>
        <v>#REF!</v>
      </c>
      <c r="AM141" t="e">
        <f>AND(#REF!,"AAAAAHjs/SY=")</f>
        <v>#REF!</v>
      </c>
      <c r="AN141" t="e">
        <f>AND(#REF!,"AAAAAHjs/Sc=")</f>
        <v>#REF!</v>
      </c>
      <c r="AO141" t="e">
        <f>AND(#REF!,"AAAAAHjs/Sg=")</f>
        <v>#REF!</v>
      </c>
      <c r="AP141" t="e">
        <f>AND(#REF!,"AAAAAHjs/Sk=")</f>
        <v>#REF!</v>
      </c>
      <c r="AQ141" t="e">
        <f>AND(#REF!,"AAAAAHjs/So=")</f>
        <v>#REF!</v>
      </c>
      <c r="AR141" t="e">
        <f>AND(#REF!,"AAAAAHjs/Ss=")</f>
        <v>#REF!</v>
      </c>
      <c r="AS141" t="e">
        <f>AND(#REF!,"AAAAAHjs/Sw=")</f>
        <v>#REF!</v>
      </c>
      <c r="AT141" t="e">
        <f>AND(#REF!,"AAAAAHjs/S0=")</f>
        <v>#REF!</v>
      </c>
      <c r="AU141" t="e">
        <f>AND(#REF!,"AAAAAHjs/S4=")</f>
        <v>#REF!</v>
      </c>
      <c r="AV141" t="e">
        <f>AND(#REF!,"AAAAAHjs/S8=")</f>
        <v>#REF!</v>
      </c>
      <c r="AW141" t="e">
        <f>AND(#REF!,"AAAAAHjs/TA=")</f>
        <v>#REF!</v>
      </c>
      <c r="AX141" t="e">
        <f>AND(#REF!,"AAAAAHjs/TE=")</f>
        <v>#REF!</v>
      </c>
      <c r="AY141" t="e">
        <f>AND(#REF!,"AAAAAHjs/TI=")</f>
        <v>#REF!</v>
      </c>
      <c r="AZ141" t="e">
        <f>AND(#REF!,"AAAAAHjs/TM=")</f>
        <v>#REF!</v>
      </c>
      <c r="BA141" t="e">
        <f>AND(#REF!,"AAAAAHjs/TQ=")</f>
        <v>#REF!</v>
      </c>
      <c r="BB141" t="e">
        <f>AND(#REF!,"AAAAAHjs/TU=")</f>
        <v>#REF!</v>
      </c>
      <c r="BC141" t="e">
        <f>AND(#REF!,"AAAAAHjs/TY=")</f>
        <v>#REF!</v>
      </c>
      <c r="BD141" t="e">
        <f>AND(#REF!,"AAAAAHjs/Tc=")</f>
        <v>#REF!</v>
      </c>
      <c r="BE141" t="e">
        <f>AND(#REF!,"AAAAAHjs/Tg=")</f>
        <v>#REF!</v>
      </c>
      <c r="BF141" t="e">
        <f>AND(#REF!,"AAAAAHjs/Tk=")</f>
        <v>#REF!</v>
      </c>
      <c r="BG141" t="e">
        <f>AND(#REF!,"AAAAAHjs/To=")</f>
        <v>#REF!</v>
      </c>
      <c r="BH141" t="e">
        <f>IF(#REF!,"AAAAAHjs/Ts=",0)</f>
        <v>#REF!</v>
      </c>
      <c r="BI141" t="e">
        <f>AND(#REF!,"AAAAAHjs/Tw=")</f>
        <v>#REF!</v>
      </c>
      <c r="BJ141" t="e">
        <f>AND(#REF!,"AAAAAHjs/T0=")</f>
        <v>#REF!</v>
      </c>
      <c r="BK141" t="e">
        <f>AND(#REF!,"AAAAAHjs/T4=")</f>
        <v>#REF!</v>
      </c>
      <c r="BL141" t="e">
        <f>AND(#REF!,"AAAAAHjs/T8=")</f>
        <v>#REF!</v>
      </c>
      <c r="BM141" t="e">
        <f>AND(#REF!,"AAAAAHjs/UA=")</f>
        <v>#REF!</v>
      </c>
      <c r="BN141" t="e">
        <f>AND(#REF!,"AAAAAHjs/UE=")</f>
        <v>#REF!</v>
      </c>
      <c r="BO141" t="e">
        <f>AND(#REF!,"AAAAAHjs/UI=")</f>
        <v>#REF!</v>
      </c>
      <c r="BP141" t="e">
        <f>AND(#REF!,"AAAAAHjs/UM=")</f>
        <v>#REF!</v>
      </c>
      <c r="BQ141" t="e">
        <f>AND(#REF!,"AAAAAHjs/UQ=")</f>
        <v>#REF!</v>
      </c>
      <c r="BR141" t="e">
        <f>AND(#REF!,"AAAAAHjs/UU=")</f>
        <v>#REF!</v>
      </c>
      <c r="BS141" t="e">
        <f>AND(#REF!,"AAAAAHjs/UY=")</f>
        <v>#REF!</v>
      </c>
      <c r="BT141" t="e">
        <f>AND(#REF!,"AAAAAHjs/Uc=")</f>
        <v>#REF!</v>
      </c>
      <c r="BU141" t="e">
        <f>AND(#REF!,"AAAAAHjs/Ug=")</f>
        <v>#REF!</v>
      </c>
      <c r="BV141" t="e">
        <f>AND(#REF!,"AAAAAHjs/Uk=")</f>
        <v>#REF!</v>
      </c>
      <c r="BW141" t="e">
        <f>AND(#REF!,"AAAAAHjs/Uo=")</f>
        <v>#REF!</v>
      </c>
      <c r="BX141" t="e">
        <f>AND(#REF!,"AAAAAHjs/Us=")</f>
        <v>#REF!</v>
      </c>
      <c r="BY141" t="e">
        <f>AND(#REF!,"AAAAAHjs/Uw=")</f>
        <v>#REF!</v>
      </c>
      <c r="BZ141" t="e">
        <f>AND(#REF!,"AAAAAHjs/U0=")</f>
        <v>#REF!</v>
      </c>
      <c r="CA141" t="e">
        <f>AND(#REF!,"AAAAAHjs/U4=")</f>
        <v>#REF!</v>
      </c>
      <c r="CB141" t="e">
        <f>AND(#REF!,"AAAAAHjs/U8=")</f>
        <v>#REF!</v>
      </c>
      <c r="CC141" t="e">
        <f>AND(#REF!,"AAAAAHjs/VA=")</f>
        <v>#REF!</v>
      </c>
      <c r="CD141" t="e">
        <f>AND(#REF!,"AAAAAHjs/VE=")</f>
        <v>#REF!</v>
      </c>
      <c r="CE141" t="e">
        <f>IF(#REF!,"AAAAAHjs/VI=",0)</f>
        <v>#REF!</v>
      </c>
      <c r="CF141" t="e">
        <f>AND(#REF!,"AAAAAHjs/VM=")</f>
        <v>#REF!</v>
      </c>
      <c r="CG141" t="e">
        <f>AND(#REF!,"AAAAAHjs/VQ=")</f>
        <v>#REF!</v>
      </c>
      <c r="CH141" t="e">
        <f>AND(#REF!,"AAAAAHjs/VU=")</f>
        <v>#REF!</v>
      </c>
      <c r="CI141" t="e">
        <f>AND(#REF!,"AAAAAHjs/VY=")</f>
        <v>#REF!</v>
      </c>
      <c r="CJ141" t="e">
        <f>AND(#REF!,"AAAAAHjs/Vc=")</f>
        <v>#REF!</v>
      </c>
      <c r="CK141" t="e">
        <f>AND(#REF!,"AAAAAHjs/Vg=")</f>
        <v>#REF!</v>
      </c>
      <c r="CL141" t="e">
        <f>AND(#REF!,"AAAAAHjs/Vk=")</f>
        <v>#REF!</v>
      </c>
      <c r="CM141" t="e">
        <f>AND(#REF!,"AAAAAHjs/Vo=")</f>
        <v>#REF!</v>
      </c>
      <c r="CN141" t="e">
        <f>AND(#REF!,"AAAAAHjs/Vs=")</f>
        <v>#REF!</v>
      </c>
      <c r="CO141" t="e">
        <f>AND(#REF!,"AAAAAHjs/Vw=")</f>
        <v>#REF!</v>
      </c>
      <c r="CP141" t="e">
        <f>AND(#REF!,"AAAAAHjs/V0=")</f>
        <v>#REF!</v>
      </c>
      <c r="CQ141" t="e">
        <f>AND(#REF!,"AAAAAHjs/V4=")</f>
        <v>#REF!</v>
      </c>
      <c r="CR141" t="e">
        <f>AND(#REF!,"AAAAAHjs/V8=")</f>
        <v>#REF!</v>
      </c>
      <c r="CS141" t="e">
        <f>AND(#REF!,"AAAAAHjs/WA=")</f>
        <v>#REF!</v>
      </c>
      <c r="CT141" t="e">
        <f>AND(#REF!,"AAAAAHjs/WE=")</f>
        <v>#REF!</v>
      </c>
      <c r="CU141" t="e">
        <f>AND(#REF!,"AAAAAHjs/WI=")</f>
        <v>#REF!</v>
      </c>
      <c r="CV141" t="e">
        <f>AND(#REF!,"AAAAAHjs/WM=")</f>
        <v>#REF!</v>
      </c>
      <c r="CW141" t="e">
        <f>AND(#REF!,"AAAAAHjs/WQ=")</f>
        <v>#REF!</v>
      </c>
      <c r="CX141" t="e">
        <f>AND(#REF!,"AAAAAHjs/WU=")</f>
        <v>#REF!</v>
      </c>
      <c r="CY141" t="e">
        <f>AND(#REF!,"AAAAAHjs/WY=")</f>
        <v>#REF!</v>
      </c>
      <c r="CZ141" t="e">
        <f>AND(#REF!,"AAAAAHjs/Wc=")</f>
        <v>#REF!</v>
      </c>
      <c r="DA141" t="e">
        <f>AND(#REF!,"AAAAAHjs/Wg=")</f>
        <v>#REF!</v>
      </c>
      <c r="DB141" t="e">
        <f>IF(#REF!,"AAAAAHjs/Wk=",0)</f>
        <v>#REF!</v>
      </c>
      <c r="DC141" t="e">
        <f>AND(#REF!,"AAAAAHjs/Wo=")</f>
        <v>#REF!</v>
      </c>
      <c r="DD141" t="e">
        <f>AND(#REF!,"AAAAAHjs/Ws=")</f>
        <v>#REF!</v>
      </c>
      <c r="DE141" t="e">
        <f>AND(#REF!,"AAAAAHjs/Ww=")</f>
        <v>#REF!</v>
      </c>
      <c r="DF141" t="e">
        <f>AND(#REF!,"AAAAAHjs/W0=")</f>
        <v>#REF!</v>
      </c>
      <c r="DG141" t="e">
        <f>AND(#REF!,"AAAAAHjs/W4=")</f>
        <v>#REF!</v>
      </c>
      <c r="DH141" t="e">
        <f>AND(#REF!,"AAAAAHjs/W8=")</f>
        <v>#REF!</v>
      </c>
      <c r="DI141" t="e">
        <f>AND(#REF!,"AAAAAHjs/XA=")</f>
        <v>#REF!</v>
      </c>
      <c r="DJ141" t="e">
        <f>AND(#REF!,"AAAAAHjs/XE=")</f>
        <v>#REF!</v>
      </c>
      <c r="DK141" t="e">
        <f>AND(#REF!,"AAAAAHjs/XI=")</f>
        <v>#REF!</v>
      </c>
      <c r="DL141" t="e">
        <f>AND(#REF!,"AAAAAHjs/XM=")</f>
        <v>#REF!</v>
      </c>
      <c r="DM141" t="e">
        <f>AND(#REF!,"AAAAAHjs/XQ=")</f>
        <v>#REF!</v>
      </c>
      <c r="DN141" t="e">
        <f>AND(#REF!,"AAAAAHjs/XU=")</f>
        <v>#REF!</v>
      </c>
      <c r="DO141" t="e">
        <f>AND(#REF!,"AAAAAHjs/XY=")</f>
        <v>#REF!</v>
      </c>
      <c r="DP141" t="e">
        <f>AND(#REF!,"AAAAAHjs/Xc=")</f>
        <v>#REF!</v>
      </c>
      <c r="DQ141" t="e">
        <f>AND(#REF!,"AAAAAHjs/Xg=")</f>
        <v>#REF!</v>
      </c>
      <c r="DR141" t="e">
        <f>AND(#REF!,"AAAAAHjs/Xk=")</f>
        <v>#REF!</v>
      </c>
      <c r="DS141" t="e">
        <f>AND(#REF!,"AAAAAHjs/Xo=")</f>
        <v>#REF!</v>
      </c>
      <c r="DT141" t="e">
        <f>AND(#REF!,"AAAAAHjs/Xs=")</f>
        <v>#REF!</v>
      </c>
      <c r="DU141" t="e">
        <f>AND(#REF!,"AAAAAHjs/Xw=")</f>
        <v>#REF!</v>
      </c>
      <c r="DV141" t="e">
        <f>AND(#REF!,"AAAAAHjs/X0=")</f>
        <v>#REF!</v>
      </c>
      <c r="DW141" t="e">
        <f>AND(#REF!,"AAAAAHjs/X4=")</f>
        <v>#REF!</v>
      </c>
      <c r="DX141" t="e">
        <f>AND(#REF!,"AAAAAHjs/X8=")</f>
        <v>#REF!</v>
      </c>
      <c r="DY141" t="e">
        <f>IF(#REF!,"AAAAAHjs/YA=",0)</f>
        <v>#REF!</v>
      </c>
      <c r="DZ141" t="e">
        <f>AND(#REF!,"AAAAAHjs/YE=")</f>
        <v>#REF!</v>
      </c>
      <c r="EA141" t="e">
        <f>AND(#REF!,"AAAAAHjs/YI=")</f>
        <v>#REF!</v>
      </c>
      <c r="EB141" t="e">
        <f>AND(#REF!,"AAAAAHjs/YM=")</f>
        <v>#REF!</v>
      </c>
      <c r="EC141" t="e">
        <f>AND(#REF!,"AAAAAHjs/YQ=")</f>
        <v>#REF!</v>
      </c>
      <c r="ED141" t="e">
        <f>AND(#REF!,"AAAAAHjs/YU=")</f>
        <v>#REF!</v>
      </c>
      <c r="EE141" t="e">
        <f>AND(#REF!,"AAAAAHjs/YY=")</f>
        <v>#REF!</v>
      </c>
      <c r="EF141" t="e">
        <f>AND(#REF!,"AAAAAHjs/Yc=")</f>
        <v>#REF!</v>
      </c>
      <c r="EG141" t="e">
        <f>AND(#REF!,"AAAAAHjs/Yg=")</f>
        <v>#REF!</v>
      </c>
      <c r="EH141" t="e">
        <f>AND(#REF!,"AAAAAHjs/Yk=")</f>
        <v>#REF!</v>
      </c>
      <c r="EI141" t="e">
        <f>AND(#REF!,"AAAAAHjs/Yo=")</f>
        <v>#REF!</v>
      </c>
      <c r="EJ141" t="e">
        <f>AND(#REF!,"AAAAAHjs/Ys=")</f>
        <v>#REF!</v>
      </c>
      <c r="EK141" t="e">
        <f>AND(#REF!,"AAAAAHjs/Yw=")</f>
        <v>#REF!</v>
      </c>
      <c r="EL141" t="e">
        <f>AND(#REF!,"AAAAAHjs/Y0=")</f>
        <v>#REF!</v>
      </c>
      <c r="EM141" t="e">
        <f>AND(#REF!,"AAAAAHjs/Y4=")</f>
        <v>#REF!</v>
      </c>
      <c r="EN141" t="e">
        <f>AND(#REF!,"AAAAAHjs/Y8=")</f>
        <v>#REF!</v>
      </c>
      <c r="EO141" t="e">
        <f>AND(#REF!,"AAAAAHjs/ZA=")</f>
        <v>#REF!</v>
      </c>
      <c r="EP141" t="e">
        <f>AND(#REF!,"AAAAAHjs/ZE=")</f>
        <v>#REF!</v>
      </c>
      <c r="EQ141" t="e">
        <f>AND(#REF!,"AAAAAHjs/ZI=")</f>
        <v>#REF!</v>
      </c>
      <c r="ER141" t="e">
        <f>AND(#REF!,"AAAAAHjs/ZM=")</f>
        <v>#REF!</v>
      </c>
      <c r="ES141" t="e">
        <f>AND(#REF!,"AAAAAHjs/ZQ=")</f>
        <v>#REF!</v>
      </c>
      <c r="ET141" t="e">
        <f>AND(#REF!,"AAAAAHjs/ZU=")</f>
        <v>#REF!</v>
      </c>
      <c r="EU141" t="e">
        <f>AND(#REF!,"AAAAAHjs/ZY=")</f>
        <v>#REF!</v>
      </c>
      <c r="EV141" t="e">
        <f>IF(#REF!,"AAAAAHjs/Zc=",0)</f>
        <v>#REF!</v>
      </c>
      <c r="EW141" t="e">
        <f>AND(#REF!,"AAAAAHjs/Zg=")</f>
        <v>#REF!</v>
      </c>
      <c r="EX141" t="e">
        <f>AND(#REF!,"AAAAAHjs/Zk=")</f>
        <v>#REF!</v>
      </c>
      <c r="EY141" t="e">
        <f>AND(#REF!,"AAAAAHjs/Zo=")</f>
        <v>#REF!</v>
      </c>
      <c r="EZ141" t="e">
        <f>AND(#REF!,"AAAAAHjs/Zs=")</f>
        <v>#REF!</v>
      </c>
      <c r="FA141" t="e">
        <f>AND(#REF!,"AAAAAHjs/Zw=")</f>
        <v>#REF!</v>
      </c>
      <c r="FB141" t="e">
        <f>AND(#REF!,"AAAAAHjs/Z0=")</f>
        <v>#REF!</v>
      </c>
      <c r="FC141" t="e">
        <f>AND(#REF!,"AAAAAHjs/Z4=")</f>
        <v>#REF!</v>
      </c>
      <c r="FD141" t="e">
        <f>AND(#REF!,"AAAAAHjs/Z8=")</f>
        <v>#REF!</v>
      </c>
      <c r="FE141" t="e">
        <f>AND(#REF!,"AAAAAHjs/aA=")</f>
        <v>#REF!</v>
      </c>
      <c r="FF141" t="e">
        <f>AND(#REF!,"AAAAAHjs/aE=")</f>
        <v>#REF!</v>
      </c>
      <c r="FG141" t="e">
        <f>AND(#REF!,"AAAAAHjs/aI=")</f>
        <v>#REF!</v>
      </c>
      <c r="FH141" t="e">
        <f>AND(#REF!,"AAAAAHjs/aM=")</f>
        <v>#REF!</v>
      </c>
      <c r="FI141" t="e">
        <f>AND(#REF!,"AAAAAHjs/aQ=")</f>
        <v>#REF!</v>
      </c>
      <c r="FJ141" t="e">
        <f>AND(#REF!,"AAAAAHjs/aU=")</f>
        <v>#REF!</v>
      </c>
      <c r="FK141" t="e">
        <f>AND(#REF!,"AAAAAHjs/aY=")</f>
        <v>#REF!</v>
      </c>
      <c r="FL141" t="e">
        <f>AND(#REF!,"AAAAAHjs/ac=")</f>
        <v>#REF!</v>
      </c>
      <c r="FM141" t="e">
        <f>AND(#REF!,"AAAAAHjs/ag=")</f>
        <v>#REF!</v>
      </c>
      <c r="FN141" t="e">
        <f>AND(#REF!,"AAAAAHjs/ak=")</f>
        <v>#REF!</v>
      </c>
      <c r="FO141" t="e">
        <f>AND(#REF!,"AAAAAHjs/ao=")</f>
        <v>#REF!</v>
      </c>
      <c r="FP141" t="e">
        <f>AND(#REF!,"AAAAAHjs/as=")</f>
        <v>#REF!</v>
      </c>
      <c r="FQ141" t="e">
        <f>AND(#REF!,"AAAAAHjs/aw=")</f>
        <v>#REF!</v>
      </c>
      <c r="FR141" t="e">
        <f>AND(#REF!,"AAAAAHjs/a0=")</f>
        <v>#REF!</v>
      </c>
      <c r="FS141" t="e">
        <f>IF(#REF!,"AAAAAHjs/a4=",0)</f>
        <v>#REF!</v>
      </c>
      <c r="FT141" t="e">
        <f>AND(#REF!,"AAAAAHjs/a8=")</f>
        <v>#REF!</v>
      </c>
      <c r="FU141" t="e">
        <f>AND(#REF!,"AAAAAHjs/bA=")</f>
        <v>#REF!</v>
      </c>
      <c r="FV141" t="e">
        <f>AND(#REF!,"AAAAAHjs/bE=")</f>
        <v>#REF!</v>
      </c>
      <c r="FW141" t="e">
        <f>AND(#REF!,"AAAAAHjs/bI=")</f>
        <v>#REF!</v>
      </c>
      <c r="FX141" t="e">
        <f>AND(#REF!,"AAAAAHjs/bM=")</f>
        <v>#REF!</v>
      </c>
      <c r="FY141" t="e">
        <f>AND(#REF!,"AAAAAHjs/bQ=")</f>
        <v>#REF!</v>
      </c>
      <c r="FZ141" t="e">
        <f>AND(#REF!,"AAAAAHjs/bU=")</f>
        <v>#REF!</v>
      </c>
      <c r="GA141" t="e">
        <f>AND(#REF!,"AAAAAHjs/bY=")</f>
        <v>#REF!</v>
      </c>
      <c r="GB141" t="e">
        <f>AND(#REF!,"AAAAAHjs/bc=")</f>
        <v>#REF!</v>
      </c>
      <c r="GC141" t="e">
        <f>AND(#REF!,"AAAAAHjs/bg=")</f>
        <v>#REF!</v>
      </c>
      <c r="GD141" t="e">
        <f>AND(#REF!,"AAAAAHjs/bk=")</f>
        <v>#REF!</v>
      </c>
      <c r="GE141" t="e">
        <f>AND(#REF!,"AAAAAHjs/bo=")</f>
        <v>#REF!</v>
      </c>
      <c r="GF141" t="e">
        <f>AND(#REF!,"AAAAAHjs/bs=")</f>
        <v>#REF!</v>
      </c>
      <c r="GG141" t="e">
        <f>AND(#REF!,"AAAAAHjs/bw=")</f>
        <v>#REF!</v>
      </c>
      <c r="GH141" t="e">
        <f>AND(#REF!,"AAAAAHjs/b0=")</f>
        <v>#REF!</v>
      </c>
      <c r="GI141" t="e">
        <f>AND(#REF!,"AAAAAHjs/b4=")</f>
        <v>#REF!</v>
      </c>
      <c r="GJ141" t="e">
        <f>AND(#REF!,"AAAAAHjs/b8=")</f>
        <v>#REF!</v>
      </c>
      <c r="GK141" t="e">
        <f>AND(#REF!,"AAAAAHjs/cA=")</f>
        <v>#REF!</v>
      </c>
      <c r="GL141" t="e">
        <f>AND(#REF!,"AAAAAHjs/cE=")</f>
        <v>#REF!</v>
      </c>
      <c r="GM141" t="e">
        <f>AND(#REF!,"AAAAAHjs/cI=")</f>
        <v>#REF!</v>
      </c>
      <c r="GN141" t="e">
        <f>AND(#REF!,"AAAAAHjs/cM=")</f>
        <v>#REF!</v>
      </c>
      <c r="GO141" t="e">
        <f>AND(#REF!,"AAAAAHjs/cQ=")</f>
        <v>#REF!</v>
      </c>
      <c r="GP141" t="e">
        <f>IF(#REF!,"AAAAAHjs/cU=",0)</f>
        <v>#REF!</v>
      </c>
      <c r="GQ141" t="e">
        <f>AND(#REF!,"AAAAAHjs/cY=")</f>
        <v>#REF!</v>
      </c>
      <c r="GR141" t="e">
        <f>AND(#REF!,"AAAAAHjs/cc=")</f>
        <v>#REF!</v>
      </c>
      <c r="GS141" t="e">
        <f>AND(#REF!,"AAAAAHjs/cg=")</f>
        <v>#REF!</v>
      </c>
      <c r="GT141" t="e">
        <f>AND(#REF!,"AAAAAHjs/ck=")</f>
        <v>#REF!</v>
      </c>
      <c r="GU141" t="e">
        <f>AND(#REF!,"AAAAAHjs/co=")</f>
        <v>#REF!</v>
      </c>
      <c r="GV141" t="e">
        <f>AND(#REF!,"AAAAAHjs/cs=")</f>
        <v>#REF!</v>
      </c>
      <c r="GW141" t="e">
        <f>AND(#REF!,"AAAAAHjs/cw=")</f>
        <v>#REF!</v>
      </c>
      <c r="GX141" t="e">
        <f>AND(#REF!,"AAAAAHjs/c0=")</f>
        <v>#REF!</v>
      </c>
      <c r="GY141" t="e">
        <f>AND(#REF!,"AAAAAHjs/c4=")</f>
        <v>#REF!</v>
      </c>
      <c r="GZ141" t="e">
        <f>AND(#REF!,"AAAAAHjs/c8=")</f>
        <v>#REF!</v>
      </c>
      <c r="HA141" t="e">
        <f>AND(#REF!,"AAAAAHjs/dA=")</f>
        <v>#REF!</v>
      </c>
      <c r="HB141" t="e">
        <f>AND(#REF!,"AAAAAHjs/dE=")</f>
        <v>#REF!</v>
      </c>
      <c r="HC141" t="e">
        <f>AND(#REF!,"AAAAAHjs/dI=")</f>
        <v>#REF!</v>
      </c>
      <c r="HD141" t="e">
        <f>AND(#REF!,"AAAAAHjs/dM=")</f>
        <v>#REF!</v>
      </c>
      <c r="HE141" t="e">
        <f>AND(#REF!,"AAAAAHjs/dQ=")</f>
        <v>#REF!</v>
      </c>
      <c r="HF141" t="e">
        <f>AND(#REF!,"AAAAAHjs/dU=")</f>
        <v>#REF!</v>
      </c>
      <c r="HG141" t="e">
        <f>AND(#REF!,"AAAAAHjs/dY=")</f>
        <v>#REF!</v>
      </c>
      <c r="HH141" t="e">
        <f>AND(#REF!,"AAAAAHjs/dc=")</f>
        <v>#REF!</v>
      </c>
      <c r="HI141" t="e">
        <f>AND(#REF!,"AAAAAHjs/dg=")</f>
        <v>#REF!</v>
      </c>
      <c r="HJ141" t="e">
        <f>AND(#REF!,"AAAAAHjs/dk=")</f>
        <v>#REF!</v>
      </c>
      <c r="HK141" t="e">
        <f>AND(#REF!,"AAAAAHjs/do=")</f>
        <v>#REF!</v>
      </c>
      <c r="HL141" t="e">
        <f>AND(#REF!,"AAAAAHjs/ds=")</f>
        <v>#REF!</v>
      </c>
      <c r="HM141" t="e">
        <f>IF(#REF!,"AAAAAHjs/dw=",0)</f>
        <v>#REF!</v>
      </c>
      <c r="HN141" t="e">
        <f>AND(#REF!,"AAAAAHjs/d0=")</f>
        <v>#REF!</v>
      </c>
      <c r="HO141" t="e">
        <f>AND(#REF!,"AAAAAHjs/d4=")</f>
        <v>#REF!</v>
      </c>
      <c r="HP141" t="e">
        <f>AND(#REF!,"AAAAAHjs/d8=")</f>
        <v>#REF!</v>
      </c>
      <c r="HQ141" t="e">
        <f>AND(#REF!,"AAAAAHjs/eA=")</f>
        <v>#REF!</v>
      </c>
      <c r="HR141" t="e">
        <f>AND(#REF!,"AAAAAHjs/eE=")</f>
        <v>#REF!</v>
      </c>
      <c r="HS141" t="e">
        <f>AND(#REF!,"AAAAAHjs/eI=")</f>
        <v>#REF!</v>
      </c>
      <c r="HT141" t="e">
        <f>AND(#REF!,"AAAAAHjs/eM=")</f>
        <v>#REF!</v>
      </c>
      <c r="HU141" t="e">
        <f>AND(#REF!,"AAAAAHjs/eQ=")</f>
        <v>#REF!</v>
      </c>
      <c r="HV141" t="e">
        <f>AND(#REF!,"AAAAAHjs/eU=")</f>
        <v>#REF!</v>
      </c>
      <c r="HW141" t="e">
        <f>AND(#REF!,"AAAAAHjs/eY=")</f>
        <v>#REF!</v>
      </c>
      <c r="HX141" t="e">
        <f>AND(#REF!,"AAAAAHjs/ec=")</f>
        <v>#REF!</v>
      </c>
      <c r="HY141" t="e">
        <f>AND(#REF!,"AAAAAHjs/eg=")</f>
        <v>#REF!</v>
      </c>
      <c r="HZ141" t="e">
        <f>AND(#REF!,"AAAAAHjs/ek=")</f>
        <v>#REF!</v>
      </c>
      <c r="IA141" t="e">
        <f>AND(#REF!,"AAAAAHjs/eo=")</f>
        <v>#REF!</v>
      </c>
      <c r="IB141" t="e">
        <f>AND(#REF!,"AAAAAHjs/es=")</f>
        <v>#REF!</v>
      </c>
      <c r="IC141" t="e">
        <f>AND(#REF!,"AAAAAHjs/ew=")</f>
        <v>#REF!</v>
      </c>
      <c r="ID141" t="e">
        <f>AND(#REF!,"AAAAAHjs/e0=")</f>
        <v>#REF!</v>
      </c>
      <c r="IE141" t="e">
        <f>AND(#REF!,"AAAAAHjs/e4=")</f>
        <v>#REF!</v>
      </c>
      <c r="IF141" t="e">
        <f>AND(#REF!,"AAAAAHjs/e8=")</f>
        <v>#REF!</v>
      </c>
      <c r="IG141" t="e">
        <f>AND(#REF!,"AAAAAHjs/fA=")</f>
        <v>#REF!</v>
      </c>
      <c r="IH141" t="e">
        <f>AND(#REF!,"AAAAAHjs/fE=")</f>
        <v>#REF!</v>
      </c>
      <c r="II141" t="e">
        <f>AND(#REF!,"AAAAAHjs/fI=")</f>
        <v>#REF!</v>
      </c>
      <c r="IJ141" t="e">
        <f>IF(#REF!,"AAAAAHjs/fM=",0)</f>
        <v>#REF!</v>
      </c>
      <c r="IK141" t="e">
        <f>AND(#REF!,"AAAAAHjs/fQ=")</f>
        <v>#REF!</v>
      </c>
      <c r="IL141" t="e">
        <f>AND(#REF!,"AAAAAHjs/fU=")</f>
        <v>#REF!</v>
      </c>
      <c r="IM141" t="e">
        <f>AND(#REF!,"AAAAAHjs/fY=")</f>
        <v>#REF!</v>
      </c>
      <c r="IN141" t="e">
        <f>AND(#REF!,"AAAAAHjs/fc=")</f>
        <v>#REF!</v>
      </c>
      <c r="IO141" t="e">
        <f>AND(#REF!,"AAAAAHjs/fg=")</f>
        <v>#REF!</v>
      </c>
      <c r="IP141" t="e">
        <f>AND(#REF!,"AAAAAHjs/fk=")</f>
        <v>#REF!</v>
      </c>
      <c r="IQ141" t="e">
        <f>AND(#REF!,"AAAAAHjs/fo=")</f>
        <v>#REF!</v>
      </c>
      <c r="IR141" t="e">
        <f>AND(#REF!,"AAAAAHjs/fs=")</f>
        <v>#REF!</v>
      </c>
      <c r="IS141" t="e">
        <f>AND(#REF!,"AAAAAHjs/fw=")</f>
        <v>#REF!</v>
      </c>
      <c r="IT141" t="e">
        <f>AND(#REF!,"AAAAAHjs/f0=")</f>
        <v>#REF!</v>
      </c>
      <c r="IU141" t="e">
        <f>AND(#REF!,"AAAAAHjs/f4=")</f>
        <v>#REF!</v>
      </c>
      <c r="IV141" t="e">
        <f>AND(#REF!,"AAAAAHjs/f8=")</f>
        <v>#REF!</v>
      </c>
    </row>
    <row r="142" spans="1:256" x14ac:dyDescent="0.2">
      <c r="A142" t="e">
        <f>AND(#REF!,"AAAAADa//wA=")</f>
        <v>#REF!</v>
      </c>
      <c r="B142" t="e">
        <f>AND(#REF!,"AAAAADa//wE=")</f>
        <v>#REF!</v>
      </c>
      <c r="C142" t="e">
        <f>AND(#REF!,"AAAAADa//wI=")</f>
        <v>#REF!</v>
      </c>
      <c r="D142" t="e">
        <f>AND(#REF!,"AAAAADa//wM=")</f>
        <v>#REF!</v>
      </c>
      <c r="E142" t="e">
        <f>AND(#REF!,"AAAAADa//wQ=")</f>
        <v>#REF!</v>
      </c>
      <c r="F142" t="e">
        <f>AND(#REF!,"AAAAADa//wU=")</f>
        <v>#REF!</v>
      </c>
      <c r="G142" t="e">
        <f>AND(#REF!,"AAAAADa//wY=")</f>
        <v>#REF!</v>
      </c>
      <c r="H142" t="e">
        <f>AND(#REF!,"AAAAADa//wc=")</f>
        <v>#REF!</v>
      </c>
      <c r="I142" t="e">
        <f>AND(#REF!,"AAAAADa//wg=")</f>
        <v>#REF!</v>
      </c>
      <c r="J142" t="e">
        <f>AND(#REF!,"AAAAADa//wk=")</f>
        <v>#REF!</v>
      </c>
      <c r="K142" t="e">
        <f>IF(#REF!,"AAAAADa//wo=",0)</f>
        <v>#REF!</v>
      </c>
      <c r="L142" t="e">
        <f>AND(#REF!,"AAAAADa//ws=")</f>
        <v>#REF!</v>
      </c>
      <c r="M142" t="e">
        <f>AND(#REF!,"AAAAADa//ww=")</f>
        <v>#REF!</v>
      </c>
      <c r="N142" t="e">
        <f>AND(#REF!,"AAAAADa//w0=")</f>
        <v>#REF!</v>
      </c>
      <c r="O142" t="e">
        <f>AND(#REF!,"AAAAADa//w4=")</f>
        <v>#REF!</v>
      </c>
      <c r="P142" t="e">
        <f>AND(#REF!,"AAAAADa//w8=")</f>
        <v>#REF!</v>
      </c>
      <c r="Q142" t="e">
        <f>AND(#REF!,"AAAAADa//xA=")</f>
        <v>#REF!</v>
      </c>
      <c r="R142" t="e">
        <f>AND(#REF!,"AAAAADa//xE=")</f>
        <v>#REF!</v>
      </c>
      <c r="S142" t="e">
        <f>AND(#REF!,"AAAAADa//xI=")</f>
        <v>#REF!</v>
      </c>
      <c r="T142" t="e">
        <f>AND(#REF!,"AAAAADa//xM=")</f>
        <v>#REF!</v>
      </c>
      <c r="U142" t="e">
        <f>AND(#REF!,"AAAAADa//xQ=")</f>
        <v>#REF!</v>
      </c>
      <c r="V142" t="e">
        <f>AND(#REF!,"AAAAADa//xU=")</f>
        <v>#REF!</v>
      </c>
      <c r="W142" t="e">
        <f>AND(#REF!,"AAAAADa//xY=")</f>
        <v>#REF!</v>
      </c>
      <c r="X142" t="e">
        <f>AND(#REF!,"AAAAADa//xc=")</f>
        <v>#REF!</v>
      </c>
      <c r="Y142" t="e">
        <f>AND(#REF!,"AAAAADa//xg=")</f>
        <v>#REF!</v>
      </c>
      <c r="Z142" t="e">
        <f>AND(#REF!,"AAAAADa//xk=")</f>
        <v>#REF!</v>
      </c>
      <c r="AA142" t="e">
        <f>AND(#REF!,"AAAAADa//xo=")</f>
        <v>#REF!</v>
      </c>
      <c r="AB142" t="e">
        <f>AND(#REF!,"AAAAADa//xs=")</f>
        <v>#REF!</v>
      </c>
      <c r="AC142" t="e">
        <f>AND(#REF!,"AAAAADa//xw=")</f>
        <v>#REF!</v>
      </c>
      <c r="AD142" t="e">
        <f>AND(#REF!,"AAAAADa//x0=")</f>
        <v>#REF!</v>
      </c>
      <c r="AE142" t="e">
        <f>AND(#REF!,"AAAAADa//x4=")</f>
        <v>#REF!</v>
      </c>
      <c r="AF142" t="e">
        <f>AND(#REF!,"AAAAADa//x8=")</f>
        <v>#REF!</v>
      </c>
      <c r="AG142" t="e">
        <f>AND(#REF!,"AAAAADa//yA=")</f>
        <v>#REF!</v>
      </c>
      <c r="AH142" t="e">
        <f>IF(#REF!,"AAAAADa//yE=",0)</f>
        <v>#REF!</v>
      </c>
      <c r="AI142" t="e">
        <f>AND(#REF!,"AAAAADa//yI=")</f>
        <v>#REF!</v>
      </c>
      <c r="AJ142" t="e">
        <f>AND(#REF!,"AAAAADa//yM=")</f>
        <v>#REF!</v>
      </c>
      <c r="AK142" t="e">
        <f>AND(#REF!,"AAAAADa//yQ=")</f>
        <v>#REF!</v>
      </c>
      <c r="AL142" t="e">
        <f>AND(#REF!,"AAAAADa//yU=")</f>
        <v>#REF!</v>
      </c>
      <c r="AM142" t="e">
        <f>AND(#REF!,"AAAAADa//yY=")</f>
        <v>#REF!</v>
      </c>
      <c r="AN142" t="e">
        <f>AND(#REF!,"AAAAADa//yc=")</f>
        <v>#REF!</v>
      </c>
      <c r="AO142" t="e">
        <f>AND(#REF!,"AAAAADa//yg=")</f>
        <v>#REF!</v>
      </c>
      <c r="AP142" t="e">
        <f>AND(#REF!,"AAAAADa//yk=")</f>
        <v>#REF!</v>
      </c>
      <c r="AQ142" t="e">
        <f>AND(#REF!,"AAAAADa//yo=")</f>
        <v>#REF!</v>
      </c>
      <c r="AR142" t="e">
        <f>AND(#REF!,"AAAAADa//ys=")</f>
        <v>#REF!</v>
      </c>
      <c r="AS142" t="e">
        <f>AND(#REF!,"AAAAADa//yw=")</f>
        <v>#REF!</v>
      </c>
      <c r="AT142" t="e">
        <f>AND(#REF!,"AAAAADa//y0=")</f>
        <v>#REF!</v>
      </c>
      <c r="AU142" t="e">
        <f>AND(#REF!,"AAAAADa//y4=")</f>
        <v>#REF!</v>
      </c>
      <c r="AV142" t="e">
        <f>AND(#REF!,"AAAAADa//y8=")</f>
        <v>#REF!</v>
      </c>
      <c r="AW142" t="e">
        <f>AND(#REF!,"AAAAADa//zA=")</f>
        <v>#REF!</v>
      </c>
      <c r="AX142" t="e">
        <f>AND(#REF!,"AAAAADa//zE=")</f>
        <v>#REF!</v>
      </c>
      <c r="AY142" t="e">
        <f>AND(#REF!,"AAAAADa//zI=")</f>
        <v>#REF!</v>
      </c>
      <c r="AZ142" t="e">
        <f>AND(#REF!,"AAAAADa//zM=")</f>
        <v>#REF!</v>
      </c>
      <c r="BA142" t="e">
        <f>AND(#REF!,"AAAAADa//zQ=")</f>
        <v>#REF!</v>
      </c>
      <c r="BB142" t="e">
        <f>AND(#REF!,"AAAAADa//zU=")</f>
        <v>#REF!</v>
      </c>
      <c r="BC142" t="e">
        <f>AND(#REF!,"AAAAADa//zY=")</f>
        <v>#REF!</v>
      </c>
      <c r="BD142" t="e">
        <f>AND(#REF!,"AAAAADa//zc=")</f>
        <v>#REF!</v>
      </c>
      <c r="BE142" t="e">
        <f>IF(#REF!,"AAAAADa//zg=",0)</f>
        <v>#REF!</v>
      </c>
      <c r="BF142" t="e">
        <f>AND(#REF!,"AAAAADa//zk=")</f>
        <v>#REF!</v>
      </c>
      <c r="BG142" t="e">
        <f>AND(#REF!,"AAAAADa//zo=")</f>
        <v>#REF!</v>
      </c>
      <c r="BH142" t="e">
        <f>AND(#REF!,"AAAAADa//zs=")</f>
        <v>#REF!</v>
      </c>
      <c r="BI142" t="e">
        <f>AND(#REF!,"AAAAADa//zw=")</f>
        <v>#REF!</v>
      </c>
      <c r="BJ142" t="e">
        <f>AND(#REF!,"AAAAADa//z0=")</f>
        <v>#REF!</v>
      </c>
      <c r="BK142" t="e">
        <f>AND(#REF!,"AAAAADa//z4=")</f>
        <v>#REF!</v>
      </c>
      <c r="BL142" t="e">
        <f>AND(#REF!,"AAAAADa//z8=")</f>
        <v>#REF!</v>
      </c>
      <c r="BM142" t="e">
        <f>AND(#REF!,"AAAAADa//0A=")</f>
        <v>#REF!</v>
      </c>
      <c r="BN142" t="e">
        <f>AND(#REF!,"AAAAADa//0E=")</f>
        <v>#REF!</v>
      </c>
      <c r="BO142" t="e">
        <f>AND(#REF!,"AAAAADa//0I=")</f>
        <v>#REF!</v>
      </c>
      <c r="BP142" t="e">
        <f>AND(#REF!,"AAAAADa//0M=")</f>
        <v>#REF!</v>
      </c>
      <c r="BQ142" t="e">
        <f>AND(#REF!,"AAAAADa//0Q=")</f>
        <v>#REF!</v>
      </c>
      <c r="BR142" t="e">
        <f>AND(#REF!,"AAAAADa//0U=")</f>
        <v>#REF!</v>
      </c>
      <c r="BS142" t="e">
        <f>AND(#REF!,"AAAAADa//0Y=")</f>
        <v>#REF!</v>
      </c>
      <c r="BT142" t="e">
        <f>AND(#REF!,"AAAAADa//0c=")</f>
        <v>#REF!</v>
      </c>
      <c r="BU142" t="e">
        <f>AND(#REF!,"AAAAADa//0g=")</f>
        <v>#REF!</v>
      </c>
      <c r="BV142" t="e">
        <f>AND(#REF!,"AAAAADa//0k=")</f>
        <v>#REF!</v>
      </c>
      <c r="BW142" t="e">
        <f>AND(#REF!,"AAAAADa//0o=")</f>
        <v>#REF!</v>
      </c>
      <c r="BX142" t="e">
        <f>AND(#REF!,"AAAAADa//0s=")</f>
        <v>#REF!</v>
      </c>
      <c r="BY142" t="e">
        <f>AND(#REF!,"AAAAADa//0w=")</f>
        <v>#REF!</v>
      </c>
      <c r="BZ142" t="e">
        <f>AND(#REF!,"AAAAADa//00=")</f>
        <v>#REF!</v>
      </c>
      <c r="CA142" t="e">
        <f>AND(#REF!,"AAAAADa//04=")</f>
        <v>#REF!</v>
      </c>
      <c r="CB142" t="e">
        <f>IF(#REF!,"AAAAADa//08=",0)</f>
        <v>#REF!</v>
      </c>
      <c r="CC142" t="e">
        <f>AND(#REF!,"AAAAADa//1A=")</f>
        <v>#REF!</v>
      </c>
      <c r="CD142" t="e">
        <f>AND(#REF!,"AAAAADa//1E=")</f>
        <v>#REF!</v>
      </c>
      <c r="CE142" t="e">
        <f>AND(#REF!,"AAAAADa//1I=")</f>
        <v>#REF!</v>
      </c>
      <c r="CF142" t="e">
        <f>AND(#REF!,"AAAAADa//1M=")</f>
        <v>#REF!</v>
      </c>
      <c r="CG142" t="e">
        <f>AND(#REF!,"AAAAADa//1Q=")</f>
        <v>#REF!</v>
      </c>
      <c r="CH142" t="e">
        <f>AND(#REF!,"AAAAADa//1U=")</f>
        <v>#REF!</v>
      </c>
      <c r="CI142" t="e">
        <f>AND(#REF!,"AAAAADa//1Y=")</f>
        <v>#REF!</v>
      </c>
      <c r="CJ142" t="e">
        <f>AND(#REF!,"AAAAADa//1c=")</f>
        <v>#REF!</v>
      </c>
      <c r="CK142" t="e">
        <f>AND(#REF!,"AAAAADa//1g=")</f>
        <v>#REF!</v>
      </c>
      <c r="CL142" t="e">
        <f>AND(#REF!,"AAAAADa//1k=")</f>
        <v>#REF!</v>
      </c>
      <c r="CM142" t="e">
        <f>AND(#REF!,"AAAAADa//1o=")</f>
        <v>#REF!</v>
      </c>
      <c r="CN142" t="e">
        <f>AND(#REF!,"AAAAADa//1s=")</f>
        <v>#REF!</v>
      </c>
      <c r="CO142" t="e">
        <f>AND(#REF!,"AAAAADa//1w=")</f>
        <v>#REF!</v>
      </c>
      <c r="CP142" t="e">
        <f>AND(#REF!,"AAAAADa//10=")</f>
        <v>#REF!</v>
      </c>
      <c r="CQ142" t="e">
        <f>AND(#REF!,"AAAAADa//14=")</f>
        <v>#REF!</v>
      </c>
      <c r="CR142" t="e">
        <f>AND(#REF!,"AAAAADa//18=")</f>
        <v>#REF!</v>
      </c>
      <c r="CS142" t="e">
        <f>AND(#REF!,"AAAAADa//2A=")</f>
        <v>#REF!</v>
      </c>
      <c r="CT142" t="e">
        <f>AND(#REF!,"AAAAADa//2E=")</f>
        <v>#REF!</v>
      </c>
      <c r="CU142" t="e">
        <f>AND(#REF!,"AAAAADa//2I=")</f>
        <v>#REF!</v>
      </c>
      <c r="CV142" t="e">
        <f>AND(#REF!,"AAAAADa//2M=")</f>
        <v>#REF!</v>
      </c>
      <c r="CW142" t="e">
        <f>AND(#REF!,"AAAAADa//2Q=")</f>
        <v>#REF!</v>
      </c>
      <c r="CX142" t="e">
        <f>AND(#REF!,"AAAAADa//2U=")</f>
        <v>#REF!</v>
      </c>
      <c r="CY142" t="e">
        <f>IF(#REF!,"AAAAADa//2Y=",0)</f>
        <v>#REF!</v>
      </c>
      <c r="CZ142" t="e">
        <f>AND(#REF!,"AAAAADa//2c=")</f>
        <v>#REF!</v>
      </c>
      <c r="DA142" t="e">
        <f>AND(#REF!,"AAAAADa//2g=")</f>
        <v>#REF!</v>
      </c>
      <c r="DB142" t="e">
        <f>AND(#REF!,"AAAAADa//2k=")</f>
        <v>#REF!</v>
      </c>
      <c r="DC142" t="e">
        <f>AND(#REF!,"AAAAADa//2o=")</f>
        <v>#REF!</v>
      </c>
      <c r="DD142" t="e">
        <f>AND(#REF!,"AAAAADa//2s=")</f>
        <v>#REF!</v>
      </c>
      <c r="DE142" t="e">
        <f>AND(#REF!,"AAAAADa//2w=")</f>
        <v>#REF!</v>
      </c>
      <c r="DF142" t="e">
        <f>AND(#REF!,"AAAAADa//20=")</f>
        <v>#REF!</v>
      </c>
      <c r="DG142" t="e">
        <f>AND(#REF!,"AAAAADa//24=")</f>
        <v>#REF!</v>
      </c>
      <c r="DH142" t="e">
        <f>AND(#REF!,"AAAAADa//28=")</f>
        <v>#REF!</v>
      </c>
      <c r="DI142" t="e">
        <f>AND(#REF!,"AAAAADa//3A=")</f>
        <v>#REF!</v>
      </c>
      <c r="DJ142" t="e">
        <f>AND(#REF!,"AAAAADa//3E=")</f>
        <v>#REF!</v>
      </c>
      <c r="DK142" t="e">
        <f>AND(#REF!,"AAAAADa//3I=")</f>
        <v>#REF!</v>
      </c>
      <c r="DL142" t="e">
        <f>AND(#REF!,"AAAAADa//3M=")</f>
        <v>#REF!</v>
      </c>
      <c r="DM142" t="e">
        <f>AND(#REF!,"AAAAADa//3Q=")</f>
        <v>#REF!</v>
      </c>
      <c r="DN142" t="e">
        <f>AND(#REF!,"AAAAADa//3U=")</f>
        <v>#REF!</v>
      </c>
      <c r="DO142" t="e">
        <f>AND(#REF!,"AAAAADa//3Y=")</f>
        <v>#REF!</v>
      </c>
      <c r="DP142" t="e">
        <f>AND(#REF!,"AAAAADa//3c=")</f>
        <v>#REF!</v>
      </c>
      <c r="DQ142" t="e">
        <f>AND(#REF!,"AAAAADa//3g=")</f>
        <v>#REF!</v>
      </c>
      <c r="DR142" t="e">
        <f>AND(#REF!,"AAAAADa//3k=")</f>
        <v>#REF!</v>
      </c>
      <c r="DS142" t="e">
        <f>AND(#REF!,"AAAAADa//3o=")</f>
        <v>#REF!</v>
      </c>
      <c r="DT142" t="e">
        <f>AND(#REF!,"AAAAADa//3s=")</f>
        <v>#REF!</v>
      </c>
      <c r="DU142" t="e">
        <f>AND(#REF!,"AAAAADa//3w=")</f>
        <v>#REF!</v>
      </c>
      <c r="DV142" t="e">
        <f>IF(#REF!,"AAAAADa//30=",0)</f>
        <v>#REF!</v>
      </c>
      <c r="DW142" t="e">
        <f>AND(#REF!,"AAAAADa//34=")</f>
        <v>#REF!</v>
      </c>
      <c r="DX142" t="e">
        <f>AND(#REF!,"AAAAADa//38=")</f>
        <v>#REF!</v>
      </c>
      <c r="DY142" t="e">
        <f>AND(#REF!,"AAAAADa//4A=")</f>
        <v>#REF!</v>
      </c>
      <c r="DZ142" t="e">
        <f>AND(#REF!,"AAAAADa//4E=")</f>
        <v>#REF!</v>
      </c>
      <c r="EA142" t="e">
        <f>AND(#REF!,"AAAAADa//4I=")</f>
        <v>#REF!</v>
      </c>
      <c r="EB142" t="e">
        <f>AND(#REF!,"AAAAADa//4M=")</f>
        <v>#REF!</v>
      </c>
      <c r="EC142" t="e">
        <f>AND(#REF!,"AAAAADa//4Q=")</f>
        <v>#REF!</v>
      </c>
      <c r="ED142" t="e">
        <f>AND(#REF!,"AAAAADa//4U=")</f>
        <v>#REF!</v>
      </c>
      <c r="EE142" t="e">
        <f>AND(#REF!,"AAAAADa//4Y=")</f>
        <v>#REF!</v>
      </c>
      <c r="EF142" t="e">
        <f>AND(#REF!,"AAAAADa//4c=")</f>
        <v>#REF!</v>
      </c>
      <c r="EG142" t="e">
        <f>AND(#REF!,"AAAAADa//4g=")</f>
        <v>#REF!</v>
      </c>
      <c r="EH142" t="e">
        <f>AND(#REF!,"AAAAADa//4k=")</f>
        <v>#REF!</v>
      </c>
      <c r="EI142" t="e">
        <f>AND(#REF!,"AAAAADa//4o=")</f>
        <v>#REF!</v>
      </c>
      <c r="EJ142" t="e">
        <f>AND(#REF!,"AAAAADa//4s=")</f>
        <v>#REF!</v>
      </c>
      <c r="EK142" t="e">
        <f>AND(#REF!,"AAAAADa//4w=")</f>
        <v>#REF!</v>
      </c>
      <c r="EL142" t="e">
        <f>AND(#REF!,"AAAAADa//40=")</f>
        <v>#REF!</v>
      </c>
      <c r="EM142" t="e">
        <f>AND(#REF!,"AAAAADa//44=")</f>
        <v>#REF!</v>
      </c>
      <c r="EN142" t="e">
        <f>AND(#REF!,"AAAAADa//48=")</f>
        <v>#REF!</v>
      </c>
      <c r="EO142" t="e">
        <f>AND(#REF!,"AAAAADa//5A=")</f>
        <v>#REF!</v>
      </c>
      <c r="EP142" t="e">
        <f>AND(#REF!,"AAAAADa//5E=")</f>
        <v>#REF!</v>
      </c>
      <c r="EQ142" t="e">
        <f>AND(#REF!,"AAAAADa//5I=")</f>
        <v>#REF!</v>
      </c>
      <c r="ER142" t="e">
        <f>AND(#REF!,"AAAAADa//5M=")</f>
        <v>#REF!</v>
      </c>
      <c r="ES142" t="e">
        <f>IF(#REF!,"AAAAADa//5Q=",0)</f>
        <v>#REF!</v>
      </c>
      <c r="ET142" t="e">
        <f>AND(#REF!,"AAAAADa//5U=")</f>
        <v>#REF!</v>
      </c>
      <c r="EU142" t="e">
        <f>AND(#REF!,"AAAAADa//5Y=")</f>
        <v>#REF!</v>
      </c>
      <c r="EV142" t="e">
        <f>AND(#REF!,"AAAAADa//5c=")</f>
        <v>#REF!</v>
      </c>
      <c r="EW142" t="e">
        <f>AND(#REF!,"AAAAADa//5g=")</f>
        <v>#REF!</v>
      </c>
      <c r="EX142" t="e">
        <f>AND(#REF!,"AAAAADa//5k=")</f>
        <v>#REF!</v>
      </c>
      <c r="EY142" t="e">
        <f>AND(#REF!,"AAAAADa//5o=")</f>
        <v>#REF!</v>
      </c>
      <c r="EZ142" t="e">
        <f>AND(#REF!,"AAAAADa//5s=")</f>
        <v>#REF!</v>
      </c>
      <c r="FA142" t="e">
        <f>AND(#REF!,"AAAAADa//5w=")</f>
        <v>#REF!</v>
      </c>
      <c r="FB142" t="e">
        <f>AND(#REF!,"AAAAADa//50=")</f>
        <v>#REF!</v>
      </c>
      <c r="FC142" t="e">
        <f>AND(#REF!,"AAAAADa//54=")</f>
        <v>#REF!</v>
      </c>
      <c r="FD142" t="e">
        <f>AND(#REF!,"AAAAADa//58=")</f>
        <v>#REF!</v>
      </c>
      <c r="FE142" t="e">
        <f>AND(#REF!,"AAAAADa//6A=")</f>
        <v>#REF!</v>
      </c>
      <c r="FF142" t="e">
        <f>AND(#REF!,"AAAAADa//6E=")</f>
        <v>#REF!</v>
      </c>
      <c r="FG142" t="e">
        <f>AND(#REF!,"AAAAADa//6I=")</f>
        <v>#REF!</v>
      </c>
      <c r="FH142" t="e">
        <f>AND(#REF!,"AAAAADa//6M=")</f>
        <v>#REF!</v>
      </c>
      <c r="FI142" t="e">
        <f>AND(#REF!,"AAAAADa//6Q=")</f>
        <v>#REF!</v>
      </c>
      <c r="FJ142" t="e">
        <f>AND(#REF!,"AAAAADa//6U=")</f>
        <v>#REF!</v>
      </c>
      <c r="FK142" t="e">
        <f>AND(#REF!,"AAAAADa//6Y=")</f>
        <v>#REF!</v>
      </c>
      <c r="FL142" t="e">
        <f>AND(#REF!,"AAAAADa//6c=")</f>
        <v>#REF!</v>
      </c>
      <c r="FM142" t="e">
        <f>AND(#REF!,"AAAAADa//6g=")</f>
        <v>#REF!</v>
      </c>
      <c r="FN142" t="e">
        <f>AND(#REF!,"AAAAADa//6k=")</f>
        <v>#REF!</v>
      </c>
      <c r="FO142" t="e">
        <f>AND(#REF!,"AAAAADa//6o=")</f>
        <v>#REF!</v>
      </c>
      <c r="FP142" t="e">
        <f>IF(#REF!,"AAAAADa//6s=",0)</f>
        <v>#REF!</v>
      </c>
      <c r="FQ142" t="e">
        <f>AND(#REF!,"AAAAADa//6w=")</f>
        <v>#REF!</v>
      </c>
      <c r="FR142" t="e">
        <f>AND(#REF!,"AAAAADa//60=")</f>
        <v>#REF!</v>
      </c>
      <c r="FS142" t="e">
        <f>AND(#REF!,"AAAAADa//64=")</f>
        <v>#REF!</v>
      </c>
      <c r="FT142" t="e">
        <f>AND(#REF!,"AAAAADa//68=")</f>
        <v>#REF!</v>
      </c>
      <c r="FU142" t="e">
        <f>AND(#REF!,"AAAAADa//7A=")</f>
        <v>#REF!</v>
      </c>
      <c r="FV142" t="e">
        <f>AND(#REF!,"AAAAADa//7E=")</f>
        <v>#REF!</v>
      </c>
      <c r="FW142" t="e">
        <f>AND(#REF!,"AAAAADa//7I=")</f>
        <v>#REF!</v>
      </c>
      <c r="FX142" t="e">
        <f>AND(#REF!,"AAAAADa//7M=")</f>
        <v>#REF!</v>
      </c>
      <c r="FY142" t="e">
        <f>AND(#REF!,"AAAAADa//7Q=")</f>
        <v>#REF!</v>
      </c>
      <c r="FZ142" t="e">
        <f>AND(#REF!,"AAAAADa//7U=")</f>
        <v>#REF!</v>
      </c>
      <c r="GA142" t="e">
        <f>AND(#REF!,"AAAAADa//7Y=")</f>
        <v>#REF!</v>
      </c>
      <c r="GB142" t="e">
        <f>AND(#REF!,"AAAAADa//7c=")</f>
        <v>#REF!</v>
      </c>
      <c r="GC142" t="e">
        <f>AND(#REF!,"AAAAADa//7g=")</f>
        <v>#REF!</v>
      </c>
      <c r="GD142" t="e">
        <f>AND(#REF!,"AAAAADa//7k=")</f>
        <v>#REF!</v>
      </c>
      <c r="GE142" t="e">
        <f>AND(#REF!,"AAAAADa//7o=")</f>
        <v>#REF!</v>
      </c>
      <c r="GF142" t="e">
        <f>AND(#REF!,"AAAAADa//7s=")</f>
        <v>#REF!</v>
      </c>
      <c r="GG142" t="e">
        <f>AND(#REF!,"AAAAADa//7w=")</f>
        <v>#REF!</v>
      </c>
      <c r="GH142" t="e">
        <f>AND(#REF!,"AAAAADa//70=")</f>
        <v>#REF!</v>
      </c>
      <c r="GI142" t="e">
        <f>AND(#REF!,"AAAAADa//74=")</f>
        <v>#REF!</v>
      </c>
      <c r="GJ142" t="e">
        <f>AND(#REF!,"AAAAADa//78=")</f>
        <v>#REF!</v>
      </c>
      <c r="GK142" t="e">
        <f>AND(#REF!,"AAAAADa//8A=")</f>
        <v>#REF!</v>
      </c>
      <c r="GL142" t="e">
        <f>AND(#REF!,"AAAAADa//8E=")</f>
        <v>#REF!</v>
      </c>
      <c r="GM142" t="e">
        <f>IF(#REF!,"AAAAADa//8I=",0)</f>
        <v>#REF!</v>
      </c>
      <c r="GN142" t="e">
        <f>AND(#REF!,"AAAAADa//8M=")</f>
        <v>#REF!</v>
      </c>
      <c r="GO142" t="e">
        <f>AND(#REF!,"AAAAADa//8Q=")</f>
        <v>#REF!</v>
      </c>
      <c r="GP142" t="e">
        <f>AND(#REF!,"AAAAADa//8U=")</f>
        <v>#REF!</v>
      </c>
      <c r="GQ142" t="e">
        <f>AND(#REF!,"AAAAADa//8Y=")</f>
        <v>#REF!</v>
      </c>
      <c r="GR142" t="e">
        <f>AND(#REF!,"AAAAADa//8c=")</f>
        <v>#REF!</v>
      </c>
      <c r="GS142" t="e">
        <f>AND(#REF!,"AAAAADa//8g=")</f>
        <v>#REF!</v>
      </c>
      <c r="GT142" t="e">
        <f>AND(#REF!,"AAAAADa//8k=")</f>
        <v>#REF!</v>
      </c>
      <c r="GU142" t="e">
        <f>AND(#REF!,"AAAAADa//8o=")</f>
        <v>#REF!</v>
      </c>
      <c r="GV142" t="e">
        <f>AND(#REF!,"AAAAADa//8s=")</f>
        <v>#REF!</v>
      </c>
      <c r="GW142" t="e">
        <f>AND(#REF!,"AAAAADa//8w=")</f>
        <v>#REF!</v>
      </c>
      <c r="GX142" t="e">
        <f>AND(#REF!,"AAAAADa//80=")</f>
        <v>#REF!</v>
      </c>
      <c r="GY142" t="e">
        <f>AND(#REF!,"AAAAADa//84=")</f>
        <v>#REF!</v>
      </c>
      <c r="GZ142" t="e">
        <f>AND(#REF!,"AAAAADa//88=")</f>
        <v>#REF!</v>
      </c>
      <c r="HA142" t="e">
        <f>AND(#REF!,"AAAAADa//9A=")</f>
        <v>#REF!</v>
      </c>
      <c r="HB142" t="e">
        <f>AND(#REF!,"AAAAADa//9E=")</f>
        <v>#REF!</v>
      </c>
      <c r="HC142" t="e">
        <f>AND(#REF!,"AAAAADa//9I=")</f>
        <v>#REF!</v>
      </c>
      <c r="HD142" t="e">
        <f>AND(#REF!,"AAAAADa//9M=")</f>
        <v>#REF!</v>
      </c>
      <c r="HE142" t="e">
        <f>AND(#REF!,"AAAAADa//9Q=")</f>
        <v>#REF!</v>
      </c>
      <c r="HF142" t="e">
        <f>AND(#REF!,"AAAAADa//9U=")</f>
        <v>#REF!</v>
      </c>
      <c r="HG142" t="e">
        <f>AND(#REF!,"AAAAADa//9Y=")</f>
        <v>#REF!</v>
      </c>
      <c r="HH142" t="e">
        <f>AND(#REF!,"AAAAADa//9c=")</f>
        <v>#REF!</v>
      </c>
      <c r="HI142" t="e">
        <f>AND(#REF!,"AAAAADa//9g=")</f>
        <v>#REF!</v>
      </c>
      <c r="HJ142" t="e">
        <f>IF(#REF!,"AAAAADa//9k=",0)</f>
        <v>#REF!</v>
      </c>
      <c r="HK142" t="e">
        <f>AND(#REF!,"AAAAADa//9o=")</f>
        <v>#REF!</v>
      </c>
      <c r="HL142" t="e">
        <f>AND(#REF!,"AAAAADa//9s=")</f>
        <v>#REF!</v>
      </c>
      <c r="HM142" t="e">
        <f>AND(#REF!,"AAAAADa//9w=")</f>
        <v>#REF!</v>
      </c>
      <c r="HN142" t="e">
        <f>AND(#REF!,"AAAAADa//90=")</f>
        <v>#REF!</v>
      </c>
      <c r="HO142" t="e">
        <f>AND(#REF!,"AAAAADa//94=")</f>
        <v>#REF!</v>
      </c>
      <c r="HP142" t="e">
        <f>AND(#REF!,"AAAAADa//98=")</f>
        <v>#REF!</v>
      </c>
      <c r="HQ142" t="e">
        <f>AND(#REF!,"AAAAADa//+A=")</f>
        <v>#REF!</v>
      </c>
      <c r="HR142" t="e">
        <f>AND(#REF!,"AAAAADa//+E=")</f>
        <v>#REF!</v>
      </c>
      <c r="HS142" t="e">
        <f>AND(#REF!,"AAAAADa//+I=")</f>
        <v>#REF!</v>
      </c>
      <c r="HT142" t="e">
        <f>AND(#REF!,"AAAAADa//+M=")</f>
        <v>#REF!</v>
      </c>
      <c r="HU142" t="e">
        <f>AND(#REF!,"AAAAADa//+Q=")</f>
        <v>#REF!</v>
      </c>
      <c r="HV142" t="e">
        <f>AND(#REF!,"AAAAADa//+U=")</f>
        <v>#REF!</v>
      </c>
      <c r="HW142" t="e">
        <f>AND(#REF!,"AAAAADa//+Y=")</f>
        <v>#REF!</v>
      </c>
      <c r="HX142" t="e">
        <f>AND(#REF!,"AAAAADa//+c=")</f>
        <v>#REF!</v>
      </c>
      <c r="HY142" t="e">
        <f>AND(#REF!,"AAAAADa//+g=")</f>
        <v>#REF!</v>
      </c>
      <c r="HZ142" t="e">
        <f>AND(#REF!,"AAAAADa//+k=")</f>
        <v>#REF!</v>
      </c>
      <c r="IA142" t="e">
        <f>AND(#REF!,"AAAAADa//+o=")</f>
        <v>#REF!</v>
      </c>
      <c r="IB142" t="e">
        <f>AND(#REF!,"AAAAADa//+s=")</f>
        <v>#REF!</v>
      </c>
      <c r="IC142" t="e">
        <f>AND(#REF!,"AAAAADa//+w=")</f>
        <v>#REF!</v>
      </c>
      <c r="ID142" t="e">
        <f>AND(#REF!,"AAAAADa//+0=")</f>
        <v>#REF!</v>
      </c>
      <c r="IE142" t="e">
        <f>AND(#REF!,"AAAAADa//+4=")</f>
        <v>#REF!</v>
      </c>
      <c r="IF142" t="e">
        <f>AND(#REF!,"AAAAADa//+8=")</f>
        <v>#REF!</v>
      </c>
      <c r="IG142" t="e">
        <f>IF(#REF!,"AAAAADa///A=",0)</f>
        <v>#REF!</v>
      </c>
      <c r="IH142" t="e">
        <f>AND(#REF!,"AAAAADa///E=")</f>
        <v>#REF!</v>
      </c>
      <c r="II142" t="e">
        <f>AND(#REF!,"AAAAADa///I=")</f>
        <v>#REF!</v>
      </c>
      <c r="IJ142" t="e">
        <f>AND(#REF!,"AAAAADa///M=")</f>
        <v>#REF!</v>
      </c>
      <c r="IK142" t="e">
        <f>AND(#REF!,"AAAAADa///Q=")</f>
        <v>#REF!</v>
      </c>
      <c r="IL142" t="e">
        <f>AND(#REF!,"AAAAADa///U=")</f>
        <v>#REF!</v>
      </c>
      <c r="IM142" t="e">
        <f>AND(#REF!,"AAAAADa///Y=")</f>
        <v>#REF!</v>
      </c>
      <c r="IN142" t="e">
        <f>AND(#REF!,"AAAAADa///c=")</f>
        <v>#REF!</v>
      </c>
      <c r="IO142" t="e">
        <f>AND(#REF!,"AAAAADa///g=")</f>
        <v>#REF!</v>
      </c>
      <c r="IP142" t="e">
        <f>AND(#REF!,"AAAAADa///k=")</f>
        <v>#REF!</v>
      </c>
      <c r="IQ142" t="e">
        <f>AND(#REF!,"AAAAADa///o=")</f>
        <v>#REF!</v>
      </c>
      <c r="IR142" t="e">
        <f>AND(#REF!,"AAAAADa///s=")</f>
        <v>#REF!</v>
      </c>
      <c r="IS142" t="e">
        <f>AND(#REF!,"AAAAADa///w=")</f>
        <v>#REF!</v>
      </c>
      <c r="IT142" t="e">
        <f>AND(#REF!,"AAAAADa///0=")</f>
        <v>#REF!</v>
      </c>
      <c r="IU142" t="e">
        <f>AND(#REF!,"AAAAADa///4=")</f>
        <v>#REF!</v>
      </c>
      <c r="IV142" t="e">
        <f>AND(#REF!,"AAAAADa///8=")</f>
        <v>#REF!</v>
      </c>
    </row>
    <row r="143" spans="1:256" x14ac:dyDescent="0.2">
      <c r="A143" t="e">
        <f>AND(#REF!,"AAAAAHTv/wA=")</f>
        <v>#REF!</v>
      </c>
      <c r="B143" t="e">
        <f>AND(#REF!,"AAAAAHTv/wE=")</f>
        <v>#REF!</v>
      </c>
      <c r="C143" t="e">
        <f>AND(#REF!,"AAAAAHTv/wI=")</f>
        <v>#REF!</v>
      </c>
      <c r="D143" t="e">
        <f>AND(#REF!,"AAAAAHTv/wM=")</f>
        <v>#REF!</v>
      </c>
      <c r="E143" t="e">
        <f>AND(#REF!,"AAAAAHTv/wQ=")</f>
        <v>#REF!</v>
      </c>
      <c r="F143" t="e">
        <f>AND(#REF!,"AAAAAHTv/wU=")</f>
        <v>#REF!</v>
      </c>
      <c r="G143" t="e">
        <f>AND(#REF!,"AAAAAHTv/wY=")</f>
        <v>#REF!</v>
      </c>
      <c r="H143" t="e">
        <f>IF(#REF!,"AAAAAHTv/wc=",0)</f>
        <v>#REF!</v>
      </c>
      <c r="I143" t="e">
        <f>AND(#REF!,"AAAAAHTv/wg=")</f>
        <v>#REF!</v>
      </c>
      <c r="J143" t="e">
        <f>AND(#REF!,"AAAAAHTv/wk=")</f>
        <v>#REF!</v>
      </c>
      <c r="K143" t="e">
        <f>AND(#REF!,"AAAAAHTv/wo=")</f>
        <v>#REF!</v>
      </c>
      <c r="L143" t="e">
        <f>AND(#REF!,"AAAAAHTv/ws=")</f>
        <v>#REF!</v>
      </c>
      <c r="M143" t="e">
        <f>AND(#REF!,"AAAAAHTv/ww=")</f>
        <v>#REF!</v>
      </c>
      <c r="N143" t="e">
        <f>AND(#REF!,"AAAAAHTv/w0=")</f>
        <v>#REF!</v>
      </c>
      <c r="O143" t="e">
        <f>AND(#REF!,"AAAAAHTv/w4=")</f>
        <v>#REF!</v>
      </c>
      <c r="P143" t="e">
        <f>AND(#REF!,"AAAAAHTv/w8=")</f>
        <v>#REF!</v>
      </c>
      <c r="Q143" t="e">
        <f>AND(#REF!,"AAAAAHTv/xA=")</f>
        <v>#REF!</v>
      </c>
      <c r="R143" t="e">
        <f>AND(#REF!,"AAAAAHTv/xE=")</f>
        <v>#REF!</v>
      </c>
      <c r="S143" t="e">
        <f>AND(#REF!,"AAAAAHTv/xI=")</f>
        <v>#REF!</v>
      </c>
      <c r="T143" t="e">
        <f>AND(#REF!,"AAAAAHTv/xM=")</f>
        <v>#REF!</v>
      </c>
      <c r="U143" t="e">
        <f>AND(#REF!,"AAAAAHTv/xQ=")</f>
        <v>#REF!</v>
      </c>
      <c r="V143" t="e">
        <f>AND(#REF!,"AAAAAHTv/xU=")</f>
        <v>#REF!</v>
      </c>
      <c r="W143" t="e">
        <f>AND(#REF!,"AAAAAHTv/xY=")</f>
        <v>#REF!</v>
      </c>
      <c r="X143" t="e">
        <f>AND(#REF!,"AAAAAHTv/xc=")</f>
        <v>#REF!</v>
      </c>
      <c r="Y143" t="e">
        <f>AND(#REF!,"AAAAAHTv/xg=")</f>
        <v>#REF!</v>
      </c>
      <c r="Z143" t="e">
        <f>AND(#REF!,"AAAAAHTv/xk=")</f>
        <v>#REF!</v>
      </c>
      <c r="AA143" t="e">
        <f>AND(#REF!,"AAAAAHTv/xo=")</f>
        <v>#REF!</v>
      </c>
      <c r="AB143" t="e">
        <f>AND(#REF!,"AAAAAHTv/xs=")</f>
        <v>#REF!</v>
      </c>
      <c r="AC143" t="e">
        <f>AND(#REF!,"AAAAAHTv/xw=")</f>
        <v>#REF!</v>
      </c>
      <c r="AD143" t="e">
        <f>AND(#REF!,"AAAAAHTv/x0=")</f>
        <v>#REF!</v>
      </c>
      <c r="AE143" t="e">
        <f>IF(#REF!,"AAAAAHTv/x4=",0)</f>
        <v>#REF!</v>
      </c>
      <c r="AF143" t="e">
        <f>AND(#REF!,"AAAAAHTv/x8=")</f>
        <v>#REF!</v>
      </c>
      <c r="AG143" t="e">
        <f>AND(#REF!,"AAAAAHTv/yA=")</f>
        <v>#REF!</v>
      </c>
      <c r="AH143" t="e">
        <f>AND(#REF!,"AAAAAHTv/yE=")</f>
        <v>#REF!</v>
      </c>
      <c r="AI143" t="e">
        <f>AND(#REF!,"AAAAAHTv/yI=")</f>
        <v>#REF!</v>
      </c>
      <c r="AJ143" t="e">
        <f>AND(#REF!,"AAAAAHTv/yM=")</f>
        <v>#REF!</v>
      </c>
      <c r="AK143" t="e">
        <f>AND(#REF!,"AAAAAHTv/yQ=")</f>
        <v>#REF!</v>
      </c>
      <c r="AL143" t="e">
        <f>AND(#REF!,"AAAAAHTv/yU=")</f>
        <v>#REF!</v>
      </c>
      <c r="AM143" t="e">
        <f>AND(#REF!,"AAAAAHTv/yY=")</f>
        <v>#REF!</v>
      </c>
      <c r="AN143" t="e">
        <f>AND(#REF!,"AAAAAHTv/yc=")</f>
        <v>#REF!</v>
      </c>
      <c r="AO143" t="e">
        <f>AND(#REF!,"AAAAAHTv/yg=")</f>
        <v>#REF!</v>
      </c>
      <c r="AP143" t="e">
        <f>AND(#REF!,"AAAAAHTv/yk=")</f>
        <v>#REF!</v>
      </c>
      <c r="AQ143" t="e">
        <f>AND(#REF!,"AAAAAHTv/yo=")</f>
        <v>#REF!</v>
      </c>
      <c r="AR143" t="e">
        <f>AND(#REF!,"AAAAAHTv/ys=")</f>
        <v>#REF!</v>
      </c>
      <c r="AS143" t="e">
        <f>AND(#REF!,"AAAAAHTv/yw=")</f>
        <v>#REF!</v>
      </c>
      <c r="AT143" t="e">
        <f>AND(#REF!,"AAAAAHTv/y0=")</f>
        <v>#REF!</v>
      </c>
      <c r="AU143" t="e">
        <f>AND(#REF!,"AAAAAHTv/y4=")</f>
        <v>#REF!</v>
      </c>
      <c r="AV143" t="e">
        <f>AND(#REF!,"AAAAAHTv/y8=")</f>
        <v>#REF!</v>
      </c>
      <c r="AW143" t="e">
        <f>AND(#REF!,"AAAAAHTv/zA=")</f>
        <v>#REF!</v>
      </c>
      <c r="AX143" t="e">
        <f>AND(#REF!,"AAAAAHTv/zE=")</f>
        <v>#REF!</v>
      </c>
      <c r="AY143" t="e">
        <f>AND(#REF!,"AAAAAHTv/zI=")</f>
        <v>#REF!</v>
      </c>
      <c r="AZ143" t="e">
        <f>AND(#REF!,"AAAAAHTv/zM=")</f>
        <v>#REF!</v>
      </c>
      <c r="BA143" t="e">
        <f>AND(#REF!,"AAAAAHTv/zQ=")</f>
        <v>#REF!</v>
      </c>
      <c r="BB143" t="e">
        <f>IF(#REF!,"AAAAAHTv/zU=",0)</f>
        <v>#REF!</v>
      </c>
      <c r="BC143" t="e">
        <f>AND(#REF!,"AAAAAHTv/zY=")</f>
        <v>#REF!</v>
      </c>
      <c r="BD143" t="e">
        <f>AND(#REF!,"AAAAAHTv/zc=")</f>
        <v>#REF!</v>
      </c>
      <c r="BE143" t="e">
        <f>AND(#REF!,"AAAAAHTv/zg=")</f>
        <v>#REF!</v>
      </c>
      <c r="BF143" t="e">
        <f>AND(#REF!,"AAAAAHTv/zk=")</f>
        <v>#REF!</v>
      </c>
      <c r="BG143" t="e">
        <f>AND(#REF!,"AAAAAHTv/zo=")</f>
        <v>#REF!</v>
      </c>
      <c r="BH143" t="e">
        <f>AND(#REF!,"AAAAAHTv/zs=")</f>
        <v>#REF!</v>
      </c>
      <c r="BI143" t="e">
        <f>AND(#REF!,"AAAAAHTv/zw=")</f>
        <v>#REF!</v>
      </c>
      <c r="BJ143" t="e">
        <f>AND(#REF!,"AAAAAHTv/z0=")</f>
        <v>#REF!</v>
      </c>
      <c r="BK143" t="e">
        <f>AND(#REF!,"AAAAAHTv/z4=")</f>
        <v>#REF!</v>
      </c>
      <c r="BL143" t="e">
        <f>AND(#REF!,"AAAAAHTv/z8=")</f>
        <v>#REF!</v>
      </c>
      <c r="BM143" t="e">
        <f>AND(#REF!,"AAAAAHTv/0A=")</f>
        <v>#REF!</v>
      </c>
      <c r="BN143" t="e">
        <f>AND(#REF!,"AAAAAHTv/0E=")</f>
        <v>#REF!</v>
      </c>
      <c r="BO143" t="e">
        <f>AND(#REF!,"AAAAAHTv/0I=")</f>
        <v>#REF!</v>
      </c>
      <c r="BP143" t="e">
        <f>AND(#REF!,"AAAAAHTv/0M=")</f>
        <v>#REF!</v>
      </c>
      <c r="BQ143" t="e">
        <f>AND(#REF!,"AAAAAHTv/0Q=")</f>
        <v>#REF!</v>
      </c>
      <c r="BR143" t="e">
        <f>AND(#REF!,"AAAAAHTv/0U=")</f>
        <v>#REF!</v>
      </c>
      <c r="BS143" t="e">
        <f>AND(#REF!,"AAAAAHTv/0Y=")</f>
        <v>#REF!</v>
      </c>
      <c r="BT143" t="e">
        <f>AND(#REF!,"AAAAAHTv/0c=")</f>
        <v>#REF!</v>
      </c>
      <c r="BU143" t="e">
        <f>AND(#REF!,"AAAAAHTv/0g=")</f>
        <v>#REF!</v>
      </c>
      <c r="BV143" t="e">
        <f>AND(#REF!,"AAAAAHTv/0k=")</f>
        <v>#REF!</v>
      </c>
      <c r="BW143" t="e">
        <f>AND(#REF!,"AAAAAHTv/0o=")</f>
        <v>#REF!</v>
      </c>
      <c r="BX143" t="e">
        <f>AND(#REF!,"AAAAAHTv/0s=")</f>
        <v>#REF!</v>
      </c>
      <c r="BY143" t="e">
        <f>IF(#REF!,"AAAAAHTv/0w=",0)</f>
        <v>#REF!</v>
      </c>
      <c r="BZ143" t="e">
        <f>AND(#REF!,"AAAAAHTv/00=")</f>
        <v>#REF!</v>
      </c>
      <c r="CA143" t="e">
        <f>AND(#REF!,"AAAAAHTv/04=")</f>
        <v>#REF!</v>
      </c>
      <c r="CB143" t="e">
        <f>AND(#REF!,"AAAAAHTv/08=")</f>
        <v>#REF!</v>
      </c>
      <c r="CC143" t="e">
        <f>AND(#REF!,"AAAAAHTv/1A=")</f>
        <v>#REF!</v>
      </c>
      <c r="CD143" t="e">
        <f>AND(#REF!,"AAAAAHTv/1E=")</f>
        <v>#REF!</v>
      </c>
      <c r="CE143" t="e">
        <f>AND(#REF!,"AAAAAHTv/1I=")</f>
        <v>#REF!</v>
      </c>
      <c r="CF143" t="e">
        <f>AND(#REF!,"AAAAAHTv/1M=")</f>
        <v>#REF!</v>
      </c>
      <c r="CG143" t="e">
        <f>AND(#REF!,"AAAAAHTv/1Q=")</f>
        <v>#REF!</v>
      </c>
      <c r="CH143" t="e">
        <f>AND(#REF!,"AAAAAHTv/1U=")</f>
        <v>#REF!</v>
      </c>
      <c r="CI143" t="e">
        <f>AND(#REF!,"AAAAAHTv/1Y=")</f>
        <v>#REF!</v>
      </c>
      <c r="CJ143" t="e">
        <f>AND(#REF!,"AAAAAHTv/1c=")</f>
        <v>#REF!</v>
      </c>
      <c r="CK143" t="e">
        <f>AND(#REF!,"AAAAAHTv/1g=")</f>
        <v>#REF!</v>
      </c>
      <c r="CL143" t="e">
        <f>AND(#REF!,"AAAAAHTv/1k=")</f>
        <v>#REF!</v>
      </c>
      <c r="CM143" t="e">
        <f>AND(#REF!,"AAAAAHTv/1o=")</f>
        <v>#REF!</v>
      </c>
      <c r="CN143" t="e">
        <f>AND(#REF!,"AAAAAHTv/1s=")</f>
        <v>#REF!</v>
      </c>
      <c r="CO143" t="e">
        <f>AND(#REF!,"AAAAAHTv/1w=")</f>
        <v>#REF!</v>
      </c>
      <c r="CP143" t="e">
        <f>AND(#REF!,"AAAAAHTv/10=")</f>
        <v>#REF!</v>
      </c>
      <c r="CQ143" t="e">
        <f>AND(#REF!,"AAAAAHTv/14=")</f>
        <v>#REF!</v>
      </c>
      <c r="CR143" t="e">
        <f>AND(#REF!,"AAAAAHTv/18=")</f>
        <v>#REF!</v>
      </c>
      <c r="CS143" t="e">
        <f>AND(#REF!,"AAAAAHTv/2A=")</f>
        <v>#REF!</v>
      </c>
      <c r="CT143" t="e">
        <f>AND(#REF!,"AAAAAHTv/2E=")</f>
        <v>#REF!</v>
      </c>
      <c r="CU143" t="e">
        <f>AND(#REF!,"AAAAAHTv/2I=")</f>
        <v>#REF!</v>
      </c>
      <c r="CV143" t="e">
        <f>IF(#REF!,"AAAAAHTv/2M=",0)</f>
        <v>#REF!</v>
      </c>
      <c r="CW143" t="e">
        <f>AND(#REF!,"AAAAAHTv/2Q=")</f>
        <v>#REF!</v>
      </c>
      <c r="CX143" t="e">
        <f>AND(#REF!,"AAAAAHTv/2U=")</f>
        <v>#REF!</v>
      </c>
      <c r="CY143" t="e">
        <f>AND(#REF!,"AAAAAHTv/2Y=")</f>
        <v>#REF!</v>
      </c>
      <c r="CZ143" t="e">
        <f>AND(#REF!,"AAAAAHTv/2c=")</f>
        <v>#REF!</v>
      </c>
      <c r="DA143" t="e">
        <f>AND(#REF!,"AAAAAHTv/2g=")</f>
        <v>#REF!</v>
      </c>
      <c r="DB143" t="e">
        <f>AND(#REF!,"AAAAAHTv/2k=")</f>
        <v>#REF!</v>
      </c>
      <c r="DC143" t="e">
        <f>AND(#REF!,"AAAAAHTv/2o=")</f>
        <v>#REF!</v>
      </c>
      <c r="DD143" t="e">
        <f>AND(#REF!,"AAAAAHTv/2s=")</f>
        <v>#REF!</v>
      </c>
      <c r="DE143" t="e">
        <f>AND(#REF!,"AAAAAHTv/2w=")</f>
        <v>#REF!</v>
      </c>
      <c r="DF143" t="e">
        <f>AND(#REF!,"AAAAAHTv/20=")</f>
        <v>#REF!</v>
      </c>
      <c r="DG143" t="e">
        <f>AND(#REF!,"AAAAAHTv/24=")</f>
        <v>#REF!</v>
      </c>
      <c r="DH143" t="e">
        <f>AND(#REF!,"AAAAAHTv/28=")</f>
        <v>#REF!</v>
      </c>
      <c r="DI143" t="e">
        <f>AND(#REF!,"AAAAAHTv/3A=")</f>
        <v>#REF!</v>
      </c>
      <c r="DJ143" t="e">
        <f>AND(#REF!,"AAAAAHTv/3E=")</f>
        <v>#REF!</v>
      </c>
      <c r="DK143" t="e">
        <f>AND(#REF!,"AAAAAHTv/3I=")</f>
        <v>#REF!</v>
      </c>
      <c r="DL143" t="e">
        <f>AND(#REF!,"AAAAAHTv/3M=")</f>
        <v>#REF!</v>
      </c>
      <c r="DM143" t="e">
        <f>AND(#REF!,"AAAAAHTv/3Q=")</f>
        <v>#REF!</v>
      </c>
      <c r="DN143" t="e">
        <f>AND(#REF!,"AAAAAHTv/3U=")</f>
        <v>#REF!</v>
      </c>
      <c r="DO143" t="e">
        <f>AND(#REF!,"AAAAAHTv/3Y=")</f>
        <v>#REF!</v>
      </c>
      <c r="DP143" t="e">
        <f>AND(#REF!,"AAAAAHTv/3c=")</f>
        <v>#REF!</v>
      </c>
      <c r="DQ143" t="e">
        <f>AND(#REF!,"AAAAAHTv/3g=")</f>
        <v>#REF!</v>
      </c>
      <c r="DR143" t="e">
        <f>AND(#REF!,"AAAAAHTv/3k=")</f>
        <v>#REF!</v>
      </c>
      <c r="DS143" t="e">
        <f>IF(#REF!,"AAAAAHTv/3o=",0)</f>
        <v>#REF!</v>
      </c>
      <c r="DT143" t="e">
        <f>AND(#REF!,"AAAAAHTv/3s=")</f>
        <v>#REF!</v>
      </c>
      <c r="DU143" t="e">
        <f>AND(#REF!,"AAAAAHTv/3w=")</f>
        <v>#REF!</v>
      </c>
      <c r="DV143" t="e">
        <f>AND(#REF!,"AAAAAHTv/30=")</f>
        <v>#REF!</v>
      </c>
      <c r="DW143" t="e">
        <f>AND(#REF!,"AAAAAHTv/34=")</f>
        <v>#REF!</v>
      </c>
      <c r="DX143" t="e">
        <f>AND(#REF!,"AAAAAHTv/38=")</f>
        <v>#REF!</v>
      </c>
      <c r="DY143" t="e">
        <f>AND(#REF!,"AAAAAHTv/4A=")</f>
        <v>#REF!</v>
      </c>
      <c r="DZ143" t="e">
        <f>AND(#REF!,"AAAAAHTv/4E=")</f>
        <v>#REF!</v>
      </c>
      <c r="EA143" t="e">
        <f>AND(#REF!,"AAAAAHTv/4I=")</f>
        <v>#REF!</v>
      </c>
      <c r="EB143" t="e">
        <f>AND(#REF!,"AAAAAHTv/4M=")</f>
        <v>#REF!</v>
      </c>
      <c r="EC143" t="e">
        <f>AND(#REF!,"AAAAAHTv/4Q=")</f>
        <v>#REF!</v>
      </c>
      <c r="ED143" t="e">
        <f>AND(#REF!,"AAAAAHTv/4U=")</f>
        <v>#REF!</v>
      </c>
      <c r="EE143" t="e">
        <f>AND(#REF!,"AAAAAHTv/4Y=")</f>
        <v>#REF!</v>
      </c>
      <c r="EF143" t="e">
        <f>AND(#REF!,"AAAAAHTv/4c=")</f>
        <v>#REF!</v>
      </c>
      <c r="EG143" t="e">
        <f>AND(#REF!,"AAAAAHTv/4g=")</f>
        <v>#REF!</v>
      </c>
      <c r="EH143" t="e">
        <f>AND(#REF!,"AAAAAHTv/4k=")</f>
        <v>#REF!</v>
      </c>
      <c r="EI143" t="e">
        <f>AND(#REF!,"AAAAAHTv/4o=")</f>
        <v>#REF!</v>
      </c>
      <c r="EJ143" t="e">
        <f>AND(#REF!,"AAAAAHTv/4s=")</f>
        <v>#REF!</v>
      </c>
      <c r="EK143" t="e">
        <f>AND(#REF!,"AAAAAHTv/4w=")</f>
        <v>#REF!</v>
      </c>
      <c r="EL143" t="e">
        <f>AND(#REF!,"AAAAAHTv/40=")</f>
        <v>#REF!</v>
      </c>
      <c r="EM143" t="e">
        <f>AND(#REF!,"AAAAAHTv/44=")</f>
        <v>#REF!</v>
      </c>
      <c r="EN143" t="e">
        <f>AND(#REF!,"AAAAAHTv/48=")</f>
        <v>#REF!</v>
      </c>
      <c r="EO143" t="e">
        <f>AND(#REF!,"AAAAAHTv/5A=")</f>
        <v>#REF!</v>
      </c>
      <c r="EP143" t="e">
        <f>IF(#REF!,"AAAAAHTv/5E=",0)</f>
        <v>#REF!</v>
      </c>
      <c r="EQ143" t="e">
        <f>AND(#REF!,"AAAAAHTv/5I=")</f>
        <v>#REF!</v>
      </c>
      <c r="ER143" t="e">
        <f>AND(#REF!,"AAAAAHTv/5M=")</f>
        <v>#REF!</v>
      </c>
      <c r="ES143" t="e">
        <f>AND(#REF!,"AAAAAHTv/5Q=")</f>
        <v>#REF!</v>
      </c>
      <c r="ET143" t="e">
        <f>AND(#REF!,"AAAAAHTv/5U=")</f>
        <v>#REF!</v>
      </c>
      <c r="EU143" t="e">
        <f>AND(#REF!,"AAAAAHTv/5Y=")</f>
        <v>#REF!</v>
      </c>
      <c r="EV143" t="e">
        <f>AND(#REF!,"AAAAAHTv/5c=")</f>
        <v>#REF!</v>
      </c>
      <c r="EW143" t="e">
        <f>AND(#REF!,"AAAAAHTv/5g=")</f>
        <v>#REF!</v>
      </c>
      <c r="EX143" t="e">
        <f>AND(#REF!,"AAAAAHTv/5k=")</f>
        <v>#REF!</v>
      </c>
      <c r="EY143" t="e">
        <f>AND(#REF!,"AAAAAHTv/5o=")</f>
        <v>#REF!</v>
      </c>
      <c r="EZ143" t="e">
        <f>AND(#REF!,"AAAAAHTv/5s=")</f>
        <v>#REF!</v>
      </c>
      <c r="FA143" t="e">
        <f>AND(#REF!,"AAAAAHTv/5w=")</f>
        <v>#REF!</v>
      </c>
      <c r="FB143" t="e">
        <f>AND(#REF!,"AAAAAHTv/50=")</f>
        <v>#REF!</v>
      </c>
      <c r="FC143" t="e">
        <f>AND(#REF!,"AAAAAHTv/54=")</f>
        <v>#REF!</v>
      </c>
      <c r="FD143" t="e">
        <f>AND(#REF!,"AAAAAHTv/58=")</f>
        <v>#REF!</v>
      </c>
      <c r="FE143" t="e">
        <f>AND(#REF!,"AAAAAHTv/6A=")</f>
        <v>#REF!</v>
      </c>
      <c r="FF143" t="e">
        <f>AND(#REF!,"AAAAAHTv/6E=")</f>
        <v>#REF!</v>
      </c>
      <c r="FG143" t="e">
        <f>AND(#REF!,"AAAAAHTv/6I=")</f>
        <v>#REF!</v>
      </c>
      <c r="FH143" t="e">
        <f>AND(#REF!,"AAAAAHTv/6M=")</f>
        <v>#REF!</v>
      </c>
      <c r="FI143" t="e">
        <f>AND(#REF!,"AAAAAHTv/6Q=")</f>
        <v>#REF!</v>
      </c>
      <c r="FJ143" t="e">
        <f>AND(#REF!,"AAAAAHTv/6U=")</f>
        <v>#REF!</v>
      </c>
      <c r="FK143" t="e">
        <f>AND(#REF!,"AAAAAHTv/6Y=")</f>
        <v>#REF!</v>
      </c>
      <c r="FL143" t="e">
        <f>AND(#REF!,"AAAAAHTv/6c=")</f>
        <v>#REF!</v>
      </c>
      <c r="FM143" t="e">
        <f>IF(#REF!,"AAAAAHTv/6g=",0)</f>
        <v>#REF!</v>
      </c>
      <c r="FN143" t="e">
        <f>AND(#REF!,"AAAAAHTv/6k=")</f>
        <v>#REF!</v>
      </c>
      <c r="FO143" t="e">
        <f>AND(#REF!,"AAAAAHTv/6o=")</f>
        <v>#REF!</v>
      </c>
      <c r="FP143" t="e">
        <f>AND(#REF!,"AAAAAHTv/6s=")</f>
        <v>#REF!</v>
      </c>
      <c r="FQ143" t="e">
        <f>AND(#REF!,"AAAAAHTv/6w=")</f>
        <v>#REF!</v>
      </c>
      <c r="FR143" t="e">
        <f>AND(#REF!,"AAAAAHTv/60=")</f>
        <v>#REF!</v>
      </c>
      <c r="FS143" t="e">
        <f>AND(#REF!,"AAAAAHTv/64=")</f>
        <v>#REF!</v>
      </c>
      <c r="FT143" t="e">
        <f>AND(#REF!,"AAAAAHTv/68=")</f>
        <v>#REF!</v>
      </c>
      <c r="FU143" t="e">
        <f>AND(#REF!,"AAAAAHTv/7A=")</f>
        <v>#REF!</v>
      </c>
      <c r="FV143" t="e">
        <f>AND(#REF!,"AAAAAHTv/7E=")</f>
        <v>#REF!</v>
      </c>
      <c r="FW143" t="e">
        <f>AND(#REF!,"AAAAAHTv/7I=")</f>
        <v>#REF!</v>
      </c>
      <c r="FX143" t="e">
        <f>AND(#REF!,"AAAAAHTv/7M=")</f>
        <v>#REF!</v>
      </c>
      <c r="FY143" t="e">
        <f>AND(#REF!,"AAAAAHTv/7Q=")</f>
        <v>#REF!</v>
      </c>
      <c r="FZ143" t="e">
        <f>AND(#REF!,"AAAAAHTv/7U=")</f>
        <v>#REF!</v>
      </c>
      <c r="GA143" t="e">
        <f>AND(#REF!,"AAAAAHTv/7Y=")</f>
        <v>#REF!</v>
      </c>
      <c r="GB143" t="e">
        <f>AND(#REF!,"AAAAAHTv/7c=")</f>
        <v>#REF!</v>
      </c>
      <c r="GC143" t="e">
        <f>AND(#REF!,"AAAAAHTv/7g=")</f>
        <v>#REF!</v>
      </c>
      <c r="GD143" t="e">
        <f>AND(#REF!,"AAAAAHTv/7k=")</f>
        <v>#REF!</v>
      </c>
      <c r="GE143" t="e">
        <f>AND(#REF!,"AAAAAHTv/7o=")</f>
        <v>#REF!</v>
      </c>
      <c r="GF143" t="e">
        <f>AND(#REF!,"AAAAAHTv/7s=")</f>
        <v>#REF!</v>
      </c>
      <c r="GG143" t="e">
        <f>AND(#REF!,"AAAAAHTv/7w=")</f>
        <v>#REF!</v>
      </c>
      <c r="GH143" t="e">
        <f>AND(#REF!,"AAAAAHTv/70=")</f>
        <v>#REF!</v>
      </c>
      <c r="GI143" t="e">
        <f>AND(#REF!,"AAAAAHTv/74=")</f>
        <v>#REF!</v>
      </c>
      <c r="GJ143" t="e">
        <f>IF(#REF!,"AAAAAHTv/78=",0)</f>
        <v>#REF!</v>
      </c>
      <c r="GK143" t="e">
        <f>AND(#REF!,"AAAAAHTv/8A=")</f>
        <v>#REF!</v>
      </c>
      <c r="GL143" t="e">
        <f>AND(#REF!,"AAAAAHTv/8E=")</f>
        <v>#REF!</v>
      </c>
      <c r="GM143" t="e">
        <f>AND(#REF!,"AAAAAHTv/8I=")</f>
        <v>#REF!</v>
      </c>
      <c r="GN143" t="e">
        <f>AND(#REF!,"AAAAAHTv/8M=")</f>
        <v>#REF!</v>
      </c>
      <c r="GO143" t="e">
        <f>AND(#REF!,"AAAAAHTv/8Q=")</f>
        <v>#REF!</v>
      </c>
      <c r="GP143" t="e">
        <f>AND(#REF!,"AAAAAHTv/8U=")</f>
        <v>#REF!</v>
      </c>
      <c r="GQ143" t="e">
        <f>AND(#REF!,"AAAAAHTv/8Y=")</f>
        <v>#REF!</v>
      </c>
      <c r="GR143" t="e">
        <f>AND(#REF!,"AAAAAHTv/8c=")</f>
        <v>#REF!</v>
      </c>
      <c r="GS143" t="e">
        <f>AND(#REF!,"AAAAAHTv/8g=")</f>
        <v>#REF!</v>
      </c>
      <c r="GT143" t="e">
        <f>AND(#REF!,"AAAAAHTv/8k=")</f>
        <v>#REF!</v>
      </c>
      <c r="GU143" t="e">
        <f>AND(#REF!,"AAAAAHTv/8o=")</f>
        <v>#REF!</v>
      </c>
      <c r="GV143" t="e">
        <f>AND(#REF!,"AAAAAHTv/8s=")</f>
        <v>#REF!</v>
      </c>
      <c r="GW143" t="e">
        <f>AND(#REF!,"AAAAAHTv/8w=")</f>
        <v>#REF!</v>
      </c>
      <c r="GX143" t="e">
        <f>AND(#REF!,"AAAAAHTv/80=")</f>
        <v>#REF!</v>
      </c>
      <c r="GY143" t="e">
        <f>AND(#REF!,"AAAAAHTv/84=")</f>
        <v>#REF!</v>
      </c>
      <c r="GZ143" t="e">
        <f>AND(#REF!,"AAAAAHTv/88=")</f>
        <v>#REF!</v>
      </c>
      <c r="HA143" t="e">
        <f>AND(#REF!,"AAAAAHTv/9A=")</f>
        <v>#REF!</v>
      </c>
      <c r="HB143" t="e">
        <f>AND(#REF!,"AAAAAHTv/9E=")</f>
        <v>#REF!</v>
      </c>
      <c r="HC143" t="e">
        <f>AND(#REF!,"AAAAAHTv/9I=")</f>
        <v>#REF!</v>
      </c>
      <c r="HD143" t="e">
        <f>AND(#REF!,"AAAAAHTv/9M=")</f>
        <v>#REF!</v>
      </c>
      <c r="HE143" t="e">
        <f>AND(#REF!,"AAAAAHTv/9Q=")</f>
        <v>#REF!</v>
      </c>
      <c r="HF143" t="e">
        <f>AND(#REF!,"AAAAAHTv/9U=")</f>
        <v>#REF!</v>
      </c>
      <c r="HG143" t="e">
        <f>IF(#REF!,"AAAAAHTv/9Y=",0)</f>
        <v>#REF!</v>
      </c>
      <c r="HH143" t="e">
        <f>AND(#REF!,"AAAAAHTv/9c=")</f>
        <v>#REF!</v>
      </c>
      <c r="HI143" t="e">
        <f>AND(#REF!,"AAAAAHTv/9g=")</f>
        <v>#REF!</v>
      </c>
      <c r="HJ143" t="e">
        <f>AND(#REF!,"AAAAAHTv/9k=")</f>
        <v>#REF!</v>
      </c>
      <c r="HK143" t="e">
        <f>AND(#REF!,"AAAAAHTv/9o=")</f>
        <v>#REF!</v>
      </c>
      <c r="HL143" t="e">
        <f>AND(#REF!,"AAAAAHTv/9s=")</f>
        <v>#REF!</v>
      </c>
      <c r="HM143" t="e">
        <f>AND(#REF!,"AAAAAHTv/9w=")</f>
        <v>#REF!</v>
      </c>
      <c r="HN143" t="e">
        <f>AND(#REF!,"AAAAAHTv/90=")</f>
        <v>#REF!</v>
      </c>
      <c r="HO143" t="e">
        <f>AND(#REF!,"AAAAAHTv/94=")</f>
        <v>#REF!</v>
      </c>
      <c r="HP143" t="e">
        <f>AND(#REF!,"AAAAAHTv/98=")</f>
        <v>#REF!</v>
      </c>
      <c r="HQ143" t="e">
        <f>AND(#REF!,"AAAAAHTv/+A=")</f>
        <v>#REF!</v>
      </c>
      <c r="HR143" t="e">
        <f>AND(#REF!,"AAAAAHTv/+E=")</f>
        <v>#REF!</v>
      </c>
      <c r="HS143" t="e">
        <f>AND(#REF!,"AAAAAHTv/+I=")</f>
        <v>#REF!</v>
      </c>
      <c r="HT143" t="e">
        <f>AND(#REF!,"AAAAAHTv/+M=")</f>
        <v>#REF!</v>
      </c>
      <c r="HU143" t="e">
        <f>AND(#REF!,"AAAAAHTv/+Q=")</f>
        <v>#REF!</v>
      </c>
      <c r="HV143" t="e">
        <f>AND(#REF!,"AAAAAHTv/+U=")</f>
        <v>#REF!</v>
      </c>
      <c r="HW143" t="e">
        <f>AND(#REF!,"AAAAAHTv/+Y=")</f>
        <v>#REF!</v>
      </c>
      <c r="HX143" t="e">
        <f>AND(#REF!,"AAAAAHTv/+c=")</f>
        <v>#REF!</v>
      </c>
      <c r="HY143" t="e">
        <f>AND(#REF!,"AAAAAHTv/+g=")</f>
        <v>#REF!</v>
      </c>
      <c r="HZ143" t="e">
        <f>AND(#REF!,"AAAAAHTv/+k=")</f>
        <v>#REF!</v>
      </c>
      <c r="IA143" t="e">
        <f>AND(#REF!,"AAAAAHTv/+o=")</f>
        <v>#REF!</v>
      </c>
      <c r="IB143" t="e">
        <f>AND(#REF!,"AAAAAHTv/+s=")</f>
        <v>#REF!</v>
      </c>
      <c r="IC143" t="e">
        <f>AND(#REF!,"AAAAAHTv/+w=")</f>
        <v>#REF!</v>
      </c>
      <c r="ID143" t="e">
        <f>IF(#REF!,"AAAAAHTv/+0=",0)</f>
        <v>#REF!</v>
      </c>
      <c r="IE143" t="e">
        <f>AND(#REF!,"AAAAAHTv/+4=")</f>
        <v>#REF!</v>
      </c>
      <c r="IF143" t="e">
        <f>AND(#REF!,"AAAAAHTv/+8=")</f>
        <v>#REF!</v>
      </c>
      <c r="IG143" t="e">
        <f>AND(#REF!,"AAAAAHTv//A=")</f>
        <v>#REF!</v>
      </c>
      <c r="IH143" t="e">
        <f>AND(#REF!,"AAAAAHTv//E=")</f>
        <v>#REF!</v>
      </c>
      <c r="II143" t="e">
        <f>AND(#REF!,"AAAAAHTv//I=")</f>
        <v>#REF!</v>
      </c>
      <c r="IJ143" t="e">
        <f>AND(#REF!,"AAAAAHTv//M=")</f>
        <v>#REF!</v>
      </c>
      <c r="IK143" t="e">
        <f>AND(#REF!,"AAAAAHTv//Q=")</f>
        <v>#REF!</v>
      </c>
      <c r="IL143" t="e">
        <f>AND(#REF!,"AAAAAHTv//U=")</f>
        <v>#REF!</v>
      </c>
      <c r="IM143" t="e">
        <f>AND(#REF!,"AAAAAHTv//Y=")</f>
        <v>#REF!</v>
      </c>
      <c r="IN143" t="e">
        <f>AND(#REF!,"AAAAAHTv//c=")</f>
        <v>#REF!</v>
      </c>
      <c r="IO143" t="e">
        <f>AND(#REF!,"AAAAAHTv//g=")</f>
        <v>#REF!</v>
      </c>
      <c r="IP143" t="e">
        <f>AND(#REF!,"AAAAAHTv//k=")</f>
        <v>#REF!</v>
      </c>
      <c r="IQ143" t="e">
        <f>AND(#REF!,"AAAAAHTv//o=")</f>
        <v>#REF!</v>
      </c>
      <c r="IR143" t="e">
        <f>AND(#REF!,"AAAAAHTv//s=")</f>
        <v>#REF!</v>
      </c>
      <c r="IS143" t="e">
        <f>AND(#REF!,"AAAAAHTv//w=")</f>
        <v>#REF!</v>
      </c>
      <c r="IT143" t="e">
        <f>AND(#REF!,"AAAAAHTv//0=")</f>
        <v>#REF!</v>
      </c>
      <c r="IU143" t="e">
        <f>AND(#REF!,"AAAAAHTv//4=")</f>
        <v>#REF!</v>
      </c>
      <c r="IV143" t="e">
        <f>AND(#REF!,"AAAAAHTv//8=")</f>
        <v>#REF!</v>
      </c>
    </row>
    <row r="144" spans="1:256" x14ac:dyDescent="0.2">
      <c r="A144" t="e">
        <f>AND(#REF!,"AAAAADZ7kQA=")</f>
        <v>#REF!</v>
      </c>
      <c r="B144" t="e">
        <f>AND(#REF!,"AAAAADZ7kQE=")</f>
        <v>#REF!</v>
      </c>
      <c r="C144" t="e">
        <f>AND(#REF!,"AAAAADZ7kQI=")</f>
        <v>#REF!</v>
      </c>
      <c r="D144" t="e">
        <f>AND(#REF!,"AAAAADZ7kQM=")</f>
        <v>#REF!</v>
      </c>
      <c r="E144" t="e">
        <f>IF(#REF!,"AAAAADZ7kQQ=",0)</f>
        <v>#REF!</v>
      </c>
      <c r="F144" t="e">
        <f>AND(#REF!,"AAAAADZ7kQU=")</f>
        <v>#REF!</v>
      </c>
      <c r="G144" t="e">
        <f>AND(#REF!,"AAAAADZ7kQY=")</f>
        <v>#REF!</v>
      </c>
      <c r="H144" t="e">
        <f>AND(#REF!,"AAAAADZ7kQc=")</f>
        <v>#REF!</v>
      </c>
      <c r="I144" t="e">
        <f>AND(#REF!,"AAAAADZ7kQg=")</f>
        <v>#REF!</v>
      </c>
      <c r="J144" t="e">
        <f>AND(#REF!,"AAAAADZ7kQk=")</f>
        <v>#REF!</v>
      </c>
      <c r="K144" t="e">
        <f>AND(#REF!,"AAAAADZ7kQo=")</f>
        <v>#REF!</v>
      </c>
      <c r="L144" t="e">
        <f>AND(#REF!,"AAAAADZ7kQs=")</f>
        <v>#REF!</v>
      </c>
      <c r="M144" t="e">
        <f>AND(#REF!,"AAAAADZ7kQw=")</f>
        <v>#REF!</v>
      </c>
      <c r="N144" t="e">
        <f>AND(#REF!,"AAAAADZ7kQ0=")</f>
        <v>#REF!</v>
      </c>
      <c r="O144" t="e">
        <f>AND(#REF!,"AAAAADZ7kQ4=")</f>
        <v>#REF!</v>
      </c>
      <c r="P144" t="e">
        <f>AND(#REF!,"AAAAADZ7kQ8=")</f>
        <v>#REF!</v>
      </c>
      <c r="Q144" t="e">
        <f>AND(#REF!,"AAAAADZ7kRA=")</f>
        <v>#REF!</v>
      </c>
      <c r="R144" t="e">
        <f>AND(#REF!,"AAAAADZ7kRE=")</f>
        <v>#REF!</v>
      </c>
      <c r="S144" t="e">
        <f>AND(#REF!,"AAAAADZ7kRI=")</f>
        <v>#REF!</v>
      </c>
      <c r="T144" t="e">
        <f>AND(#REF!,"AAAAADZ7kRM=")</f>
        <v>#REF!</v>
      </c>
      <c r="U144" t="e">
        <f>AND(#REF!,"AAAAADZ7kRQ=")</f>
        <v>#REF!</v>
      </c>
      <c r="V144" t="e">
        <f>AND(#REF!,"AAAAADZ7kRU=")</f>
        <v>#REF!</v>
      </c>
      <c r="W144" t="e">
        <f>AND(#REF!,"AAAAADZ7kRY=")</f>
        <v>#REF!</v>
      </c>
      <c r="X144" t="e">
        <f>AND(#REF!,"AAAAADZ7kRc=")</f>
        <v>#REF!</v>
      </c>
      <c r="Y144" t="e">
        <f>AND(#REF!,"AAAAADZ7kRg=")</f>
        <v>#REF!</v>
      </c>
      <c r="Z144" t="e">
        <f>AND(#REF!,"AAAAADZ7kRk=")</f>
        <v>#REF!</v>
      </c>
      <c r="AA144" t="e">
        <f>AND(#REF!,"AAAAADZ7kRo=")</f>
        <v>#REF!</v>
      </c>
      <c r="AB144" t="e">
        <f>IF(#REF!,"AAAAADZ7kRs=",0)</f>
        <v>#REF!</v>
      </c>
      <c r="AC144" t="e">
        <f>AND(#REF!,"AAAAADZ7kRw=")</f>
        <v>#REF!</v>
      </c>
      <c r="AD144" t="e">
        <f>AND(#REF!,"AAAAADZ7kR0=")</f>
        <v>#REF!</v>
      </c>
      <c r="AE144" t="e">
        <f>AND(#REF!,"AAAAADZ7kR4=")</f>
        <v>#REF!</v>
      </c>
      <c r="AF144" t="e">
        <f>AND(#REF!,"AAAAADZ7kR8=")</f>
        <v>#REF!</v>
      </c>
      <c r="AG144" t="e">
        <f>AND(#REF!,"AAAAADZ7kSA=")</f>
        <v>#REF!</v>
      </c>
      <c r="AH144" t="e">
        <f>AND(#REF!,"AAAAADZ7kSE=")</f>
        <v>#REF!</v>
      </c>
      <c r="AI144" t="e">
        <f>AND(#REF!,"AAAAADZ7kSI=")</f>
        <v>#REF!</v>
      </c>
      <c r="AJ144" t="e">
        <f>AND(#REF!,"AAAAADZ7kSM=")</f>
        <v>#REF!</v>
      </c>
      <c r="AK144" t="e">
        <f>AND(#REF!,"AAAAADZ7kSQ=")</f>
        <v>#REF!</v>
      </c>
      <c r="AL144" t="e">
        <f>AND(#REF!,"AAAAADZ7kSU=")</f>
        <v>#REF!</v>
      </c>
      <c r="AM144" t="e">
        <f>AND(#REF!,"AAAAADZ7kSY=")</f>
        <v>#REF!</v>
      </c>
      <c r="AN144" t="e">
        <f>AND(#REF!,"AAAAADZ7kSc=")</f>
        <v>#REF!</v>
      </c>
      <c r="AO144" t="e">
        <f>AND(#REF!,"AAAAADZ7kSg=")</f>
        <v>#REF!</v>
      </c>
      <c r="AP144" t="e">
        <f>AND(#REF!,"AAAAADZ7kSk=")</f>
        <v>#REF!</v>
      </c>
      <c r="AQ144" t="e">
        <f>AND(#REF!,"AAAAADZ7kSo=")</f>
        <v>#REF!</v>
      </c>
      <c r="AR144" t="e">
        <f>AND(#REF!,"AAAAADZ7kSs=")</f>
        <v>#REF!</v>
      </c>
      <c r="AS144" t="e">
        <f>AND(#REF!,"AAAAADZ7kSw=")</f>
        <v>#REF!</v>
      </c>
      <c r="AT144" t="e">
        <f>AND(#REF!,"AAAAADZ7kS0=")</f>
        <v>#REF!</v>
      </c>
      <c r="AU144" t="e">
        <f>AND(#REF!,"AAAAADZ7kS4=")</f>
        <v>#REF!</v>
      </c>
      <c r="AV144" t="e">
        <f>AND(#REF!,"AAAAADZ7kS8=")</f>
        <v>#REF!</v>
      </c>
      <c r="AW144" t="e">
        <f>AND(#REF!,"AAAAADZ7kTA=")</f>
        <v>#REF!</v>
      </c>
      <c r="AX144" t="e">
        <f>AND(#REF!,"AAAAADZ7kTE=")</f>
        <v>#REF!</v>
      </c>
      <c r="AY144" t="e">
        <f>IF(#REF!,"AAAAADZ7kTI=",0)</f>
        <v>#REF!</v>
      </c>
      <c r="AZ144" t="e">
        <f>AND(#REF!,"AAAAADZ7kTM=")</f>
        <v>#REF!</v>
      </c>
      <c r="BA144" t="e">
        <f>AND(#REF!,"AAAAADZ7kTQ=")</f>
        <v>#REF!</v>
      </c>
      <c r="BB144" t="e">
        <f>AND(#REF!,"AAAAADZ7kTU=")</f>
        <v>#REF!</v>
      </c>
      <c r="BC144" t="e">
        <f>AND(#REF!,"AAAAADZ7kTY=")</f>
        <v>#REF!</v>
      </c>
      <c r="BD144" t="e">
        <f>AND(#REF!,"AAAAADZ7kTc=")</f>
        <v>#REF!</v>
      </c>
      <c r="BE144" t="e">
        <f>AND(#REF!,"AAAAADZ7kTg=")</f>
        <v>#REF!</v>
      </c>
      <c r="BF144" t="e">
        <f>AND(#REF!,"AAAAADZ7kTk=")</f>
        <v>#REF!</v>
      </c>
      <c r="BG144" t="e">
        <f>AND(#REF!,"AAAAADZ7kTo=")</f>
        <v>#REF!</v>
      </c>
      <c r="BH144" t="e">
        <f>AND(#REF!,"AAAAADZ7kTs=")</f>
        <v>#REF!</v>
      </c>
      <c r="BI144" t="e">
        <f>AND(#REF!,"AAAAADZ7kTw=")</f>
        <v>#REF!</v>
      </c>
      <c r="BJ144" t="e">
        <f>AND(#REF!,"AAAAADZ7kT0=")</f>
        <v>#REF!</v>
      </c>
      <c r="BK144" t="e">
        <f>AND(#REF!,"AAAAADZ7kT4=")</f>
        <v>#REF!</v>
      </c>
      <c r="BL144" t="e">
        <f>AND(#REF!,"AAAAADZ7kT8=")</f>
        <v>#REF!</v>
      </c>
      <c r="BM144" t="e">
        <f>AND(#REF!,"AAAAADZ7kUA=")</f>
        <v>#REF!</v>
      </c>
      <c r="BN144" t="e">
        <f>AND(#REF!,"AAAAADZ7kUE=")</f>
        <v>#REF!</v>
      </c>
      <c r="BO144" t="e">
        <f>AND(#REF!,"AAAAADZ7kUI=")</f>
        <v>#REF!</v>
      </c>
      <c r="BP144" t="e">
        <f>AND(#REF!,"AAAAADZ7kUM=")</f>
        <v>#REF!</v>
      </c>
      <c r="BQ144" t="e">
        <f>AND(#REF!,"AAAAADZ7kUQ=")</f>
        <v>#REF!</v>
      </c>
      <c r="BR144" t="e">
        <f>AND(#REF!,"AAAAADZ7kUU=")</f>
        <v>#REF!</v>
      </c>
      <c r="BS144" t="e">
        <f>AND(#REF!,"AAAAADZ7kUY=")</f>
        <v>#REF!</v>
      </c>
      <c r="BT144" t="e">
        <f>AND(#REF!,"AAAAADZ7kUc=")</f>
        <v>#REF!</v>
      </c>
      <c r="BU144" t="e">
        <f>AND(#REF!,"AAAAADZ7kUg=")</f>
        <v>#REF!</v>
      </c>
      <c r="BV144" t="e">
        <f>IF(#REF!,"AAAAADZ7kUk=",0)</f>
        <v>#REF!</v>
      </c>
      <c r="BW144" t="e">
        <f>AND(#REF!,"AAAAADZ7kUo=")</f>
        <v>#REF!</v>
      </c>
      <c r="BX144" t="e">
        <f>AND(#REF!,"AAAAADZ7kUs=")</f>
        <v>#REF!</v>
      </c>
      <c r="BY144" t="e">
        <f>AND(#REF!,"AAAAADZ7kUw=")</f>
        <v>#REF!</v>
      </c>
      <c r="BZ144" t="e">
        <f>AND(#REF!,"AAAAADZ7kU0=")</f>
        <v>#REF!</v>
      </c>
      <c r="CA144" t="e">
        <f>AND(#REF!,"AAAAADZ7kU4=")</f>
        <v>#REF!</v>
      </c>
      <c r="CB144" t="e">
        <f>AND(#REF!,"AAAAADZ7kU8=")</f>
        <v>#REF!</v>
      </c>
      <c r="CC144" t="e">
        <f>AND(#REF!,"AAAAADZ7kVA=")</f>
        <v>#REF!</v>
      </c>
      <c r="CD144" t="e">
        <f>AND(#REF!,"AAAAADZ7kVE=")</f>
        <v>#REF!</v>
      </c>
      <c r="CE144" t="e">
        <f>AND(#REF!,"AAAAADZ7kVI=")</f>
        <v>#REF!</v>
      </c>
      <c r="CF144" t="e">
        <f>AND(#REF!,"AAAAADZ7kVM=")</f>
        <v>#REF!</v>
      </c>
      <c r="CG144" t="e">
        <f>AND(#REF!,"AAAAADZ7kVQ=")</f>
        <v>#REF!</v>
      </c>
      <c r="CH144" t="e">
        <f>AND(#REF!,"AAAAADZ7kVU=")</f>
        <v>#REF!</v>
      </c>
      <c r="CI144" t="e">
        <f>AND(#REF!,"AAAAADZ7kVY=")</f>
        <v>#REF!</v>
      </c>
      <c r="CJ144" t="e">
        <f>AND(#REF!,"AAAAADZ7kVc=")</f>
        <v>#REF!</v>
      </c>
      <c r="CK144" t="e">
        <f>AND(#REF!,"AAAAADZ7kVg=")</f>
        <v>#REF!</v>
      </c>
      <c r="CL144" t="e">
        <f>AND(#REF!,"AAAAADZ7kVk=")</f>
        <v>#REF!</v>
      </c>
      <c r="CM144" t="e">
        <f>AND(#REF!,"AAAAADZ7kVo=")</f>
        <v>#REF!</v>
      </c>
      <c r="CN144" t="e">
        <f>AND(#REF!,"AAAAADZ7kVs=")</f>
        <v>#REF!</v>
      </c>
      <c r="CO144" t="e">
        <f>AND(#REF!,"AAAAADZ7kVw=")</f>
        <v>#REF!</v>
      </c>
      <c r="CP144" t="e">
        <f>AND(#REF!,"AAAAADZ7kV0=")</f>
        <v>#REF!</v>
      </c>
      <c r="CQ144" t="e">
        <f>AND(#REF!,"AAAAADZ7kV4=")</f>
        <v>#REF!</v>
      </c>
      <c r="CR144" t="e">
        <f>AND(#REF!,"AAAAADZ7kV8=")</f>
        <v>#REF!</v>
      </c>
      <c r="CS144" t="e">
        <f>IF(#REF!,"AAAAADZ7kWA=",0)</f>
        <v>#REF!</v>
      </c>
      <c r="CT144" t="e">
        <f>AND(#REF!,"AAAAADZ7kWE=")</f>
        <v>#REF!</v>
      </c>
      <c r="CU144" t="e">
        <f>AND(#REF!,"AAAAADZ7kWI=")</f>
        <v>#REF!</v>
      </c>
      <c r="CV144" t="e">
        <f>AND(#REF!,"AAAAADZ7kWM=")</f>
        <v>#REF!</v>
      </c>
      <c r="CW144" t="e">
        <f>AND(#REF!,"AAAAADZ7kWQ=")</f>
        <v>#REF!</v>
      </c>
      <c r="CX144" t="e">
        <f>AND(#REF!,"AAAAADZ7kWU=")</f>
        <v>#REF!</v>
      </c>
      <c r="CY144" t="e">
        <f>AND(#REF!,"AAAAADZ7kWY=")</f>
        <v>#REF!</v>
      </c>
      <c r="CZ144" t="e">
        <f>AND(#REF!,"AAAAADZ7kWc=")</f>
        <v>#REF!</v>
      </c>
      <c r="DA144" t="e">
        <f>AND(#REF!,"AAAAADZ7kWg=")</f>
        <v>#REF!</v>
      </c>
      <c r="DB144" t="e">
        <f>AND(#REF!,"AAAAADZ7kWk=")</f>
        <v>#REF!</v>
      </c>
      <c r="DC144" t="e">
        <f>AND(#REF!,"AAAAADZ7kWo=")</f>
        <v>#REF!</v>
      </c>
      <c r="DD144" t="e">
        <f>AND(#REF!,"AAAAADZ7kWs=")</f>
        <v>#REF!</v>
      </c>
      <c r="DE144" t="e">
        <f>AND(#REF!,"AAAAADZ7kWw=")</f>
        <v>#REF!</v>
      </c>
      <c r="DF144" t="e">
        <f>AND(#REF!,"AAAAADZ7kW0=")</f>
        <v>#REF!</v>
      </c>
      <c r="DG144" t="e">
        <f>AND(#REF!,"AAAAADZ7kW4=")</f>
        <v>#REF!</v>
      </c>
      <c r="DH144" t="e">
        <f>AND(#REF!,"AAAAADZ7kW8=")</f>
        <v>#REF!</v>
      </c>
      <c r="DI144" t="e">
        <f>AND(#REF!,"AAAAADZ7kXA=")</f>
        <v>#REF!</v>
      </c>
      <c r="DJ144" t="e">
        <f>AND(#REF!,"AAAAADZ7kXE=")</f>
        <v>#REF!</v>
      </c>
      <c r="DK144" t="e">
        <f>AND(#REF!,"AAAAADZ7kXI=")</f>
        <v>#REF!</v>
      </c>
      <c r="DL144" t="e">
        <f>AND(#REF!,"AAAAADZ7kXM=")</f>
        <v>#REF!</v>
      </c>
      <c r="DM144" t="e">
        <f>AND(#REF!,"AAAAADZ7kXQ=")</f>
        <v>#REF!</v>
      </c>
      <c r="DN144" t="e">
        <f>AND(#REF!,"AAAAADZ7kXU=")</f>
        <v>#REF!</v>
      </c>
      <c r="DO144" t="e">
        <f>AND(#REF!,"AAAAADZ7kXY=")</f>
        <v>#REF!</v>
      </c>
      <c r="DP144" t="e">
        <f>IF(#REF!,"AAAAADZ7kXc=",0)</f>
        <v>#REF!</v>
      </c>
      <c r="DQ144" t="e">
        <f>AND(#REF!,"AAAAADZ7kXg=")</f>
        <v>#REF!</v>
      </c>
      <c r="DR144" t="e">
        <f>AND(#REF!,"AAAAADZ7kXk=")</f>
        <v>#REF!</v>
      </c>
      <c r="DS144" t="e">
        <f>AND(#REF!,"AAAAADZ7kXo=")</f>
        <v>#REF!</v>
      </c>
      <c r="DT144" t="e">
        <f>AND(#REF!,"AAAAADZ7kXs=")</f>
        <v>#REF!</v>
      </c>
      <c r="DU144" t="e">
        <f>AND(#REF!,"AAAAADZ7kXw=")</f>
        <v>#REF!</v>
      </c>
      <c r="DV144" t="e">
        <f>AND(#REF!,"AAAAADZ7kX0=")</f>
        <v>#REF!</v>
      </c>
      <c r="DW144" t="e">
        <f>AND(#REF!,"AAAAADZ7kX4=")</f>
        <v>#REF!</v>
      </c>
      <c r="DX144" t="e">
        <f>AND(#REF!,"AAAAADZ7kX8=")</f>
        <v>#REF!</v>
      </c>
      <c r="DY144" t="e">
        <f>AND(#REF!,"AAAAADZ7kYA=")</f>
        <v>#REF!</v>
      </c>
      <c r="DZ144" t="e">
        <f>AND(#REF!,"AAAAADZ7kYE=")</f>
        <v>#REF!</v>
      </c>
      <c r="EA144" t="e">
        <f>AND(#REF!,"AAAAADZ7kYI=")</f>
        <v>#REF!</v>
      </c>
      <c r="EB144" t="e">
        <f>AND(#REF!,"AAAAADZ7kYM=")</f>
        <v>#REF!</v>
      </c>
      <c r="EC144" t="e">
        <f>AND(#REF!,"AAAAADZ7kYQ=")</f>
        <v>#REF!</v>
      </c>
      <c r="ED144" t="e">
        <f>AND(#REF!,"AAAAADZ7kYU=")</f>
        <v>#REF!</v>
      </c>
      <c r="EE144" t="e">
        <f>AND(#REF!,"AAAAADZ7kYY=")</f>
        <v>#REF!</v>
      </c>
      <c r="EF144" t="e">
        <f>AND(#REF!,"AAAAADZ7kYc=")</f>
        <v>#REF!</v>
      </c>
      <c r="EG144" t="e">
        <f>AND(#REF!,"AAAAADZ7kYg=")</f>
        <v>#REF!</v>
      </c>
      <c r="EH144" t="e">
        <f>AND(#REF!,"AAAAADZ7kYk=")</f>
        <v>#REF!</v>
      </c>
      <c r="EI144" t="e">
        <f>AND(#REF!,"AAAAADZ7kYo=")</f>
        <v>#REF!</v>
      </c>
      <c r="EJ144" t="e">
        <f>AND(#REF!,"AAAAADZ7kYs=")</f>
        <v>#REF!</v>
      </c>
      <c r="EK144" t="e">
        <f>AND(#REF!,"AAAAADZ7kYw=")</f>
        <v>#REF!</v>
      </c>
      <c r="EL144" t="e">
        <f>AND(#REF!,"AAAAADZ7kY0=")</f>
        <v>#REF!</v>
      </c>
      <c r="EM144" t="e">
        <f>IF(#REF!,"AAAAADZ7kY4=",0)</f>
        <v>#REF!</v>
      </c>
      <c r="EN144" t="e">
        <f>AND(#REF!,"AAAAADZ7kY8=")</f>
        <v>#REF!</v>
      </c>
      <c r="EO144" t="e">
        <f>AND(#REF!,"AAAAADZ7kZA=")</f>
        <v>#REF!</v>
      </c>
      <c r="EP144" t="e">
        <f>AND(#REF!,"AAAAADZ7kZE=")</f>
        <v>#REF!</v>
      </c>
      <c r="EQ144" t="e">
        <f>AND(#REF!,"AAAAADZ7kZI=")</f>
        <v>#REF!</v>
      </c>
      <c r="ER144" t="e">
        <f>AND(#REF!,"AAAAADZ7kZM=")</f>
        <v>#REF!</v>
      </c>
      <c r="ES144" t="e">
        <f>AND(#REF!,"AAAAADZ7kZQ=")</f>
        <v>#REF!</v>
      </c>
      <c r="ET144" t="e">
        <f>AND(#REF!,"AAAAADZ7kZU=")</f>
        <v>#REF!</v>
      </c>
      <c r="EU144" t="e">
        <f>AND(#REF!,"AAAAADZ7kZY=")</f>
        <v>#REF!</v>
      </c>
      <c r="EV144" t="e">
        <f>AND(#REF!,"AAAAADZ7kZc=")</f>
        <v>#REF!</v>
      </c>
      <c r="EW144" t="e">
        <f>AND(#REF!,"AAAAADZ7kZg=")</f>
        <v>#REF!</v>
      </c>
      <c r="EX144" t="e">
        <f>AND(#REF!,"AAAAADZ7kZk=")</f>
        <v>#REF!</v>
      </c>
      <c r="EY144" t="e">
        <f>AND(#REF!,"AAAAADZ7kZo=")</f>
        <v>#REF!</v>
      </c>
      <c r="EZ144" t="e">
        <f>AND(#REF!,"AAAAADZ7kZs=")</f>
        <v>#REF!</v>
      </c>
      <c r="FA144" t="e">
        <f>AND(#REF!,"AAAAADZ7kZw=")</f>
        <v>#REF!</v>
      </c>
      <c r="FB144" t="e">
        <f>AND(#REF!,"AAAAADZ7kZ0=")</f>
        <v>#REF!</v>
      </c>
      <c r="FC144" t="e">
        <f>AND(#REF!,"AAAAADZ7kZ4=")</f>
        <v>#REF!</v>
      </c>
      <c r="FD144" t="e">
        <f>AND(#REF!,"AAAAADZ7kZ8=")</f>
        <v>#REF!</v>
      </c>
      <c r="FE144" t="e">
        <f>AND(#REF!,"AAAAADZ7kaA=")</f>
        <v>#REF!</v>
      </c>
      <c r="FF144" t="e">
        <f>AND(#REF!,"AAAAADZ7kaE=")</f>
        <v>#REF!</v>
      </c>
      <c r="FG144" t="e">
        <f>AND(#REF!,"AAAAADZ7kaI=")</f>
        <v>#REF!</v>
      </c>
      <c r="FH144" t="e">
        <f>AND(#REF!,"AAAAADZ7kaM=")</f>
        <v>#REF!</v>
      </c>
      <c r="FI144" t="e">
        <f>AND(#REF!,"AAAAADZ7kaQ=")</f>
        <v>#REF!</v>
      </c>
      <c r="FJ144" t="e">
        <f>IF(#REF!,"AAAAADZ7kaU=",0)</f>
        <v>#REF!</v>
      </c>
      <c r="FK144" t="e">
        <f>AND(#REF!,"AAAAADZ7kaY=")</f>
        <v>#REF!</v>
      </c>
      <c r="FL144" t="e">
        <f>AND(#REF!,"AAAAADZ7kac=")</f>
        <v>#REF!</v>
      </c>
      <c r="FM144" t="e">
        <f>AND(#REF!,"AAAAADZ7kag=")</f>
        <v>#REF!</v>
      </c>
      <c r="FN144" t="e">
        <f>AND(#REF!,"AAAAADZ7kak=")</f>
        <v>#REF!</v>
      </c>
      <c r="FO144" t="e">
        <f>AND(#REF!,"AAAAADZ7kao=")</f>
        <v>#REF!</v>
      </c>
      <c r="FP144" t="e">
        <f>AND(#REF!,"AAAAADZ7kas=")</f>
        <v>#REF!</v>
      </c>
      <c r="FQ144" t="e">
        <f>AND(#REF!,"AAAAADZ7kaw=")</f>
        <v>#REF!</v>
      </c>
      <c r="FR144" t="e">
        <f>AND(#REF!,"AAAAADZ7ka0=")</f>
        <v>#REF!</v>
      </c>
      <c r="FS144" t="e">
        <f>AND(#REF!,"AAAAADZ7ka4=")</f>
        <v>#REF!</v>
      </c>
      <c r="FT144" t="e">
        <f>AND(#REF!,"AAAAADZ7ka8=")</f>
        <v>#REF!</v>
      </c>
      <c r="FU144" t="e">
        <f>AND(#REF!,"AAAAADZ7kbA=")</f>
        <v>#REF!</v>
      </c>
      <c r="FV144" t="e">
        <f>AND(#REF!,"AAAAADZ7kbE=")</f>
        <v>#REF!</v>
      </c>
      <c r="FW144" t="e">
        <f>AND(#REF!,"AAAAADZ7kbI=")</f>
        <v>#REF!</v>
      </c>
      <c r="FX144" t="e">
        <f>AND(#REF!,"AAAAADZ7kbM=")</f>
        <v>#REF!</v>
      </c>
      <c r="FY144" t="e">
        <f>AND(#REF!,"AAAAADZ7kbQ=")</f>
        <v>#REF!</v>
      </c>
      <c r="FZ144" t="e">
        <f>AND(#REF!,"AAAAADZ7kbU=")</f>
        <v>#REF!</v>
      </c>
      <c r="GA144" t="e">
        <f>AND(#REF!,"AAAAADZ7kbY=")</f>
        <v>#REF!</v>
      </c>
      <c r="GB144" t="e">
        <f>AND(#REF!,"AAAAADZ7kbc=")</f>
        <v>#REF!</v>
      </c>
      <c r="GC144" t="e">
        <f>AND(#REF!,"AAAAADZ7kbg=")</f>
        <v>#REF!</v>
      </c>
      <c r="GD144" t="e">
        <f>AND(#REF!,"AAAAADZ7kbk=")</f>
        <v>#REF!</v>
      </c>
      <c r="GE144" t="e">
        <f>AND(#REF!,"AAAAADZ7kbo=")</f>
        <v>#REF!</v>
      </c>
      <c r="GF144" t="e">
        <f>AND(#REF!,"AAAAADZ7kbs=")</f>
        <v>#REF!</v>
      </c>
      <c r="GG144" t="e">
        <f>IF(#REF!,"AAAAADZ7kbw=",0)</f>
        <v>#REF!</v>
      </c>
      <c r="GH144" t="e">
        <f>AND(#REF!,"AAAAADZ7kb0=")</f>
        <v>#REF!</v>
      </c>
      <c r="GI144" t="e">
        <f>AND(#REF!,"AAAAADZ7kb4=")</f>
        <v>#REF!</v>
      </c>
      <c r="GJ144" t="e">
        <f>AND(#REF!,"AAAAADZ7kb8=")</f>
        <v>#REF!</v>
      </c>
      <c r="GK144" t="e">
        <f>AND(#REF!,"AAAAADZ7kcA=")</f>
        <v>#REF!</v>
      </c>
      <c r="GL144" t="e">
        <f>AND(#REF!,"AAAAADZ7kcE=")</f>
        <v>#REF!</v>
      </c>
      <c r="GM144" t="e">
        <f>AND(#REF!,"AAAAADZ7kcI=")</f>
        <v>#REF!</v>
      </c>
      <c r="GN144" t="e">
        <f>AND(#REF!,"AAAAADZ7kcM=")</f>
        <v>#REF!</v>
      </c>
      <c r="GO144" t="e">
        <f>AND(#REF!,"AAAAADZ7kcQ=")</f>
        <v>#REF!</v>
      </c>
      <c r="GP144" t="e">
        <f>AND(#REF!,"AAAAADZ7kcU=")</f>
        <v>#REF!</v>
      </c>
      <c r="GQ144" t="e">
        <f>AND(#REF!,"AAAAADZ7kcY=")</f>
        <v>#REF!</v>
      </c>
      <c r="GR144" t="e">
        <f>AND(#REF!,"AAAAADZ7kcc=")</f>
        <v>#REF!</v>
      </c>
      <c r="GS144" t="e">
        <f>AND(#REF!,"AAAAADZ7kcg=")</f>
        <v>#REF!</v>
      </c>
      <c r="GT144" t="e">
        <f>AND(#REF!,"AAAAADZ7kck=")</f>
        <v>#REF!</v>
      </c>
      <c r="GU144" t="e">
        <f>AND(#REF!,"AAAAADZ7kco=")</f>
        <v>#REF!</v>
      </c>
      <c r="GV144" t="e">
        <f>AND(#REF!,"AAAAADZ7kcs=")</f>
        <v>#REF!</v>
      </c>
      <c r="GW144" t="e">
        <f>AND(#REF!,"AAAAADZ7kcw=")</f>
        <v>#REF!</v>
      </c>
      <c r="GX144" t="e">
        <f>AND(#REF!,"AAAAADZ7kc0=")</f>
        <v>#REF!</v>
      </c>
      <c r="GY144" t="e">
        <f>AND(#REF!,"AAAAADZ7kc4=")</f>
        <v>#REF!</v>
      </c>
      <c r="GZ144" t="e">
        <f>AND(#REF!,"AAAAADZ7kc8=")</f>
        <v>#REF!</v>
      </c>
      <c r="HA144" t="e">
        <f>AND(#REF!,"AAAAADZ7kdA=")</f>
        <v>#REF!</v>
      </c>
      <c r="HB144" t="e">
        <f>AND(#REF!,"AAAAADZ7kdE=")</f>
        <v>#REF!</v>
      </c>
      <c r="HC144" t="e">
        <f>AND(#REF!,"AAAAADZ7kdI=")</f>
        <v>#REF!</v>
      </c>
      <c r="HD144" t="e">
        <f>IF(#REF!,"AAAAADZ7kdM=",0)</f>
        <v>#REF!</v>
      </c>
      <c r="HE144" t="e">
        <f>AND(#REF!,"AAAAADZ7kdQ=")</f>
        <v>#REF!</v>
      </c>
      <c r="HF144" t="e">
        <f>AND(#REF!,"AAAAADZ7kdU=")</f>
        <v>#REF!</v>
      </c>
      <c r="HG144" t="e">
        <f>AND(#REF!,"AAAAADZ7kdY=")</f>
        <v>#REF!</v>
      </c>
      <c r="HH144" t="e">
        <f>AND(#REF!,"AAAAADZ7kdc=")</f>
        <v>#REF!</v>
      </c>
      <c r="HI144" t="e">
        <f>AND(#REF!,"AAAAADZ7kdg=")</f>
        <v>#REF!</v>
      </c>
      <c r="HJ144" t="e">
        <f>AND(#REF!,"AAAAADZ7kdk=")</f>
        <v>#REF!</v>
      </c>
      <c r="HK144" t="e">
        <f>AND(#REF!,"AAAAADZ7kdo=")</f>
        <v>#REF!</v>
      </c>
      <c r="HL144" t="e">
        <f>AND(#REF!,"AAAAADZ7kds=")</f>
        <v>#REF!</v>
      </c>
      <c r="HM144" t="e">
        <f>AND(#REF!,"AAAAADZ7kdw=")</f>
        <v>#REF!</v>
      </c>
      <c r="HN144" t="e">
        <f>AND(#REF!,"AAAAADZ7kd0=")</f>
        <v>#REF!</v>
      </c>
      <c r="HO144" t="e">
        <f>AND(#REF!,"AAAAADZ7kd4=")</f>
        <v>#REF!</v>
      </c>
      <c r="HP144" t="e">
        <f>AND(#REF!,"AAAAADZ7kd8=")</f>
        <v>#REF!</v>
      </c>
      <c r="HQ144" t="e">
        <f>AND(#REF!,"AAAAADZ7keA=")</f>
        <v>#REF!</v>
      </c>
      <c r="HR144" t="e">
        <f>AND(#REF!,"AAAAADZ7keE=")</f>
        <v>#REF!</v>
      </c>
      <c r="HS144" t="e">
        <f>AND(#REF!,"AAAAADZ7keI=")</f>
        <v>#REF!</v>
      </c>
      <c r="HT144" t="e">
        <f>AND(#REF!,"AAAAADZ7keM=")</f>
        <v>#REF!</v>
      </c>
      <c r="HU144" t="e">
        <f>AND(#REF!,"AAAAADZ7keQ=")</f>
        <v>#REF!</v>
      </c>
      <c r="HV144" t="e">
        <f>AND(#REF!,"AAAAADZ7keU=")</f>
        <v>#REF!</v>
      </c>
      <c r="HW144" t="e">
        <f>AND(#REF!,"AAAAADZ7keY=")</f>
        <v>#REF!</v>
      </c>
      <c r="HX144" t="e">
        <f>AND(#REF!,"AAAAADZ7kec=")</f>
        <v>#REF!</v>
      </c>
      <c r="HY144" t="e">
        <f>AND(#REF!,"AAAAADZ7keg=")</f>
        <v>#REF!</v>
      </c>
      <c r="HZ144" t="e">
        <f>AND(#REF!,"AAAAADZ7kek=")</f>
        <v>#REF!</v>
      </c>
      <c r="IA144" t="e">
        <f>IF(#REF!,"AAAAADZ7keo=",0)</f>
        <v>#REF!</v>
      </c>
      <c r="IB144" t="e">
        <f>AND(#REF!,"AAAAADZ7kes=")</f>
        <v>#REF!</v>
      </c>
      <c r="IC144" t="e">
        <f>AND(#REF!,"AAAAADZ7kew=")</f>
        <v>#REF!</v>
      </c>
      <c r="ID144" t="e">
        <f>AND(#REF!,"AAAAADZ7ke0=")</f>
        <v>#REF!</v>
      </c>
      <c r="IE144" t="e">
        <f>AND(#REF!,"AAAAADZ7ke4=")</f>
        <v>#REF!</v>
      </c>
      <c r="IF144" t="e">
        <f>AND(#REF!,"AAAAADZ7ke8=")</f>
        <v>#REF!</v>
      </c>
      <c r="IG144" t="e">
        <f>AND(#REF!,"AAAAADZ7kfA=")</f>
        <v>#REF!</v>
      </c>
      <c r="IH144" t="e">
        <f>AND(#REF!,"AAAAADZ7kfE=")</f>
        <v>#REF!</v>
      </c>
      <c r="II144" t="e">
        <f>AND(#REF!,"AAAAADZ7kfI=")</f>
        <v>#REF!</v>
      </c>
      <c r="IJ144" t="e">
        <f>AND(#REF!,"AAAAADZ7kfM=")</f>
        <v>#REF!</v>
      </c>
      <c r="IK144" t="e">
        <f>AND(#REF!,"AAAAADZ7kfQ=")</f>
        <v>#REF!</v>
      </c>
      <c r="IL144" t="e">
        <f>AND(#REF!,"AAAAADZ7kfU=")</f>
        <v>#REF!</v>
      </c>
      <c r="IM144" t="e">
        <f>AND(#REF!,"AAAAADZ7kfY=")</f>
        <v>#REF!</v>
      </c>
      <c r="IN144" t="e">
        <f>AND(#REF!,"AAAAADZ7kfc=")</f>
        <v>#REF!</v>
      </c>
      <c r="IO144" t="e">
        <f>AND(#REF!,"AAAAADZ7kfg=")</f>
        <v>#REF!</v>
      </c>
      <c r="IP144" t="e">
        <f>AND(#REF!,"AAAAADZ7kfk=")</f>
        <v>#REF!</v>
      </c>
      <c r="IQ144" t="e">
        <f>AND(#REF!,"AAAAADZ7kfo=")</f>
        <v>#REF!</v>
      </c>
      <c r="IR144" t="e">
        <f>AND(#REF!,"AAAAADZ7kfs=")</f>
        <v>#REF!</v>
      </c>
      <c r="IS144" t="e">
        <f>AND(#REF!,"AAAAADZ7kfw=")</f>
        <v>#REF!</v>
      </c>
      <c r="IT144" t="e">
        <f>AND(#REF!,"AAAAADZ7kf0=")</f>
        <v>#REF!</v>
      </c>
      <c r="IU144" t="e">
        <f>AND(#REF!,"AAAAADZ7kf4=")</f>
        <v>#REF!</v>
      </c>
      <c r="IV144" t="e">
        <f>AND(#REF!,"AAAAADZ7kf8=")</f>
        <v>#REF!</v>
      </c>
    </row>
    <row r="145" spans="1:256" x14ac:dyDescent="0.2">
      <c r="A145" t="e">
        <f>AND(#REF!,"AAAAAB9fdwA=")</f>
        <v>#REF!</v>
      </c>
      <c r="B145" t="e">
        <f>IF(#REF!,"AAAAAB9fdwE=",0)</f>
        <v>#REF!</v>
      </c>
      <c r="C145" t="e">
        <f>AND(#REF!,"AAAAAB9fdwI=")</f>
        <v>#REF!</v>
      </c>
      <c r="D145" t="e">
        <f>AND(#REF!,"AAAAAB9fdwM=")</f>
        <v>#REF!</v>
      </c>
      <c r="E145" t="e">
        <f>AND(#REF!,"AAAAAB9fdwQ=")</f>
        <v>#REF!</v>
      </c>
      <c r="F145" t="e">
        <f>AND(#REF!,"AAAAAB9fdwU=")</f>
        <v>#REF!</v>
      </c>
      <c r="G145" t="e">
        <f>AND(#REF!,"AAAAAB9fdwY=")</f>
        <v>#REF!</v>
      </c>
      <c r="H145" t="e">
        <f>AND(#REF!,"AAAAAB9fdwc=")</f>
        <v>#REF!</v>
      </c>
      <c r="I145" t="e">
        <f>AND(#REF!,"AAAAAB9fdwg=")</f>
        <v>#REF!</v>
      </c>
      <c r="J145" t="e">
        <f>AND(#REF!,"AAAAAB9fdwk=")</f>
        <v>#REF!</v>
      </c>
      <c r="K145" t="e">
        <f>AND(#REF!,"AAAAAB9fdwo=")</f>
        <v>#REF!</v>
      </c>
      <c r="L145" t="e">
        <f>AND(#REF!,"AAAAAB9fdws=")</f>
        <v>#REF!</v>
      </c>
      <c r="M145" t="e">
        <f>AND(#REF!,"AAAAAB9fdww=")</f>
        <v>#REF!</v>
      </c>
      <c r="N145" t="e">
        <f>AND(#REF!,"AAAAAB9fdw0=")</f>
        <v>#REF!</v>
      </c>
      <c r="O145" t="e">
        <f>AND(#REF!,"AAAAAB9fdw4=")</f>
        <v>#REF!</v>
      </c>
      <c r="P145" t="e">
        <f>AND(#REF!,"AAAAAB9fdw8=")</f>
        <v>#REF!</v>
      </c>
      <c r="Q145" t="e">
        <f>AND(#REF!,"AAAAAB9fdxA=")</f>
        <v>#REF!</v>
      </c>
      <c r="R145" t="e">
        <f>AND(#REF!,"AAAAAB9fdxE=")</f>
        <v>#REF!</v>
      </c>
      <c r="S145" t="e">
        <f>AND(#REF!,"AAAAAB9fdxI=")</f>
        <v>#REF!</v>
      </c>
      <c r="T145" t="e">
        <f>AND(#REF!,"AAAAAB9fdxM=")</f>
        <v>#REF!</v>
      </c>
      <c r="U145" t="e">
        <f>AND(#REF!,"AAAAAB9fdxQ=")</f>
        <v>#REF!</v>
      </c>
      <c r="V145" t="e">
        <f>AND(#REF!,"AAAAAB9fdxU=")</f>
        <v>#REF!</v>
      </c>
      <c r="W145" t="e">
        <f>AND(#REF!,"AAAAAB9fdxY=")</f>
        <v>#REF!</v>
      </c>
      <c r="X145" t="e">
        <f>AND(#REF!,"AAAAAB9fdxc=")</f>
        <v>#REF!</v>
      </c>
      <c r="Y145" t="e">
        <f>IF(#REF!,"AAAAAB9fdxg=",0)</f>
        <v>#REF!</v>
      </c>
      <c r="Z145" t="e">
        <f>AND(#REF!,"AAAAAB9fdxk=")</f>
        <v>#REF!</v>
      </c>
      <c r="AA145" t="e">
        <f>AND(#REF!,"AAAAAB9fdxo=")</f>
        <v>#REF!</v>
      </c>
      <c r="AB145" t="e">
        <f>AND(#REF!,"AAAAAB9fdxs=")</f>
        <v>#REF!</v>
      </c>
      <c r="AC145" t="e">
        <f>AND(#REF!,"AAAAAB9fdxw=")</f>
        <v>#REF!</v>
      </c>
      <c r="AD145" t="e">
        <f>AND(#REF!,"AAAAAB9fdx0=")</f>
        <v>#REF!</v>
      </c>
      <c r="AE145" t="e">
        <f>AND(#REF!,"AAAAAB9fdx4=")</f>
        <v>#REF!</v>
      </c>
      <c r="AF145" t="e">
        <f>AND(#REF!,"AAAAAB9fdx8=")</f>
        <v>#REF!</v>
      </c>
      <c r="AG145" t="e">
        <f>AND(#REF!,"AAAAAB9fdyA=")</f>
        <v>#REF!</v>
      </c>
      <c r="AH145" t="e">
        <f>AND(#REF!,"AAAAAB9fdyE=")</f>
        <v>#REF!</v>
      </c>
      <c r="AI145" t="e">
        <f>AND(#REF!,"AAAAAB9fdyI=")</f>
        <v>#REF!</v>
      </c>
      <c r="AJ145" t="e">
        <f>AND(#REF!,"AAAAAB9fdyM=")</f>
        <v>#REF!</v>
      </c>
      <c r="AK145" t="e">
        <f>AND(#REF!,"AAAAAB9fdyQ=")</f>
        <v>#REF!</v>
      </c>
      <c r="AL145" t="e">
        <f>AND(#REF!,"AAAAAB9fdyU=")</f>
        <v>#REF!</v>
      </c>
      <c r="AM145" t="e">
        <f>AND(#REF!,"AAAAAB9fdyY=")</f>
        <v>#REF!</v>
      </c>
      <c r="AN145" t="e">
        <f>AND(#REF!,"AAAAAB9fdyc=")</f>
        <v>#REF!</v>
      </c>
      <c r="AO145" t="e">
        <f>AND(#REF!,"AAAAAB9fdyg=")</f>
        <v>#REF!</v>
      </c>
      <c r="AP145" t="e">
        <f>AND(#REF!,"AAAAAB9fdyk=")</f>
        <v>#REF!</v>
      </c>
      <c r="AQ145" t="e">
        <f>AND(#REF!,"AAAAAB9fdyo=")</f>
        <v>#REF!</v>
      </c>
      <c r="AR145" t="e">
        <f>AND(#REF!,"AAAAAB9fdys=")</f>
        <v>#REF!</v>
      </c>
      <c r="AS145" t="e">
        <f>AND(#REF!,"AAAAAB9fdyw=")</f>
        <v>#REF!</v>
      </c>
      <c r="AT145" t="e">
        <f>AND(#REF!,"AAAAAB9fdy0=")</f>
        <v>#REF!</v>
      </c>
      <c r="AU145" t="e">
        <f>AND(#REF!,"AAAAAB9fdy4=")</f>
        <v>#REF!</v>
      </c>
      <c r="AV145" t="e">
        <f>IF(#REF!,"AAAAAB9fdy8=",0)</f>
        <v>#REF!</v>
      </c>
      <c r="AW145" t="e">
        <f>AND(#REF!,"AAAAAB9fdzA=")</f>
        <v>#REF!</v>
      </c>
      <c r="AX145" t="e">
        <f>AND(#REF!,"AAAAAB9fdzE=")</f>
        <v>#REF!</v>
      </c>
      <c r="AY145" t="e">
        <f>AND(#REF!,"AAAAAB9fdzI=")</f>
        <v>#REF!</v>
      </c>
      <c r="AZ145" t="e">
        <f>AND(#REF!,"AAAAAB9fdzM=")</f>
        <v>#REF!</v>
      </c>
      <c r="BA145" t="e">
        <f>AND(#REF!,"AAAAAB9fdzQ=")</f>
        <v>#REF!</v>
      </c>
      <c r="BB145" t="e">
        <f>AND(#REF!,"AAAAAB9fdzU=")</f>
        <v>#REF!</v>
      </c>
      <c r="BC145" t="e">
        <f>AND(#REF!,"AAAAAB9fdzY=")</f>
        <v>#REF!</v>
      </c>
      <c r="BD145" t="e">
        <f>AND(#REF!,"AAAAAB9fdzc=")</f>
        <v>#REF!</v>
      </c>
      <c r="BE145" t="e">
        <f>AND(#REF!,"AAAAAB9fdzg=")</f>
        <v>#REF!</v>
      </c>
      <c r="BF145" t="e">
        <f>AND(#REF!,"AAAAAB9fdzk=")</f>
        <v>#REF!</v>
      </c>
      <c r="BG145" t="e">
        <f>AND(#REF!,"AAAAAB9fdzo=")</f>
        <v>#REF!</v>
      </c>
      <c r="BH145" t="e">
        <f>AND(#REF!,"AAAAAB9fdzs=")</f>
        <v>#REF!</v>
      </c>
      <c r="BI145" t="e">
        <f>AND(#REF!,"AAAAAB9fdzw=")</f>
        <v>#REF!</v>
      </c>
      <c r="BJ145" t="e">
        <f>AND(#REF!,"AAAAAB9fdz0=")</f>
        <v>#REF!</v>
      </c>
      <c r="BK145" t="e">
        <f>AND(#REF!,"AAAAAB9fdz4=")</f>
        <v>#REF!</v>
      </c>
      <c r="BL145" t="e">
        <f>AND(#REF!,"AAAAAB9fdz8=")</f>
        <v>#REF!</v>
      </c>
      <c r="BM145" t="e">
        <f>AND(#REF!,"AAAAAB9fd0A=")</f>
        <v>#REF!</v>
      </c>
      <c r="BN145" t="e">
        <f>AND(#REF!,"AAAAAB9fd0E=")</f>
        <v>#REF!</v>
      </c>
      <c r="BO145" t="e">
        <f>AND(#REF!,"AAAAAB9fd0I=")</f>
        <v>#REF!</v>
      </c>
      <c r="BP145" t="e">
        <f>AND(#REF!,"AAAAAB9fd0M=")</f>
        <v>#REF!</v>
      </c>
      <c r="BQ145" t="e">
        <f>AND(#REF!,"AAAAAB9fd0Q=")</f>
        <v>#REF!</v>
      </c>
      <c r="BR145" t="e">
        <f>AND(#REF!,"AAAAAB9fd0U=")</f>
        <v>#REF!</v>
      </c>
      <c r="BS145" t="e">
        <f>IF(#REF!,"AAAAAB9fd0Y=",0)</f>
        <v>#REF!</v>
      </c>
      <c r="BT145" t="e">
        <f>AND(#REF!,"AAAAAB9fd0c=")</f>
        <v>#REF!</v>
      </c>
      <c r="BU145" t="e">
        <f>AND(#REF!,"AAAAAB9fd0g=")</f>
        <v>#REF!</v>
      </c>
      <c r="BV145" t="e">
        <f>AND(#REF!,"AAAAAB9fd0k=")</f>
        <v>#REF!</v>
      </c>
      <c r="BW145" t="e">
        <f>AND(#REF!,"AAAAAB9fd0o=")</f>
        <v>#REF!</v>
      </c>
      <c r="BX145" t="e">
        <f>AND(#REF!,"AAAAAB9fd0s=")</f>
        <v>#REF!</v>
      </c>
      <c r="BY145" t="e">
        <f>AND(#REF!,"AAAAAB9fd0w=")</f>
        <v>#REF!</v>
      </c>
      <c r="BZ145" t="e">
        <f>AND(#REF!,"AAAAAB9fd00=")</f>
        <v>#REF!</v>
      </c>
      <c r="CA145" t="e">
        <f>AND(#REF!,"AAAAAB9fd04=")</f>
        <v>#REF!</v>
      </c>
      <c r="CB145" t="e">
        <f>AND(#REF!,"AAAAAB9fd08=")</f>
        <v>#REF!</v>
      </c>
      <c r="CC145" t="e">
        <f>AND(#REF!,"AAAAAB9fd1A=")</f>
        <v>#REF!</v>
      </c>
      <c r="CD145" t="e">
        <f>AND(#REF!,"AAAAAB9fd1E=")</f>
        <v>#REF!</v>
      </c>
      <c r="CE145" t="e">
        <f>AND(#REF!,"AAAAAB9fd1I=")</f>
        <v>#REF!</v>
      </c>
      <c r="CF145" t="e">
        <f>AND(#REF!,"AAAAAB9fd1M=")</f>
        <v>#REF!</v>
      </c>
      <c r="CG145" t="e">
        <f>AND(#REF!,"AAAAAB9fd1Q=")</f>
        <v>#REF!</v>
      </c>
      <c r="CH145" t="e">
        <f>AND(#REF!,"AAAAAB9fd1U=")</f>
        <v>#REF!</v>
      </c>
      <c r="CI145" t="e">
        <f>AND(#REF!,"AAAAAB9fd1Y=")</f>
        <v>#REF!</v>
      </c>
      <c r="CJ145" t="e">
        <f>AND(#REF!,"AAAAAB9fd1c=")</f>
        <v>#REF!</v>
      </c>
      <c r="CK145" t="e">
        <f>AND(#REF!,"AAAAAB9fd1g=")</f>
        <v>#REF!</v>
      </c>
      <c r="CL145" t="e">
        <f>AND(#REF!,"AAAAAB9fd1k=")</f>
        <v>#REF!</v>
      </c>
      <c r="CM145" t="e">
        <f>AND(#REF!,"AAAAAB9fd1o=")</f>
        <v>#REF!</v>
      </c>
      <c r="CN145" t="e">
        <f>AND(#REF!,"AAAAAB9fd1s=")</f>
        <v>#REF!</v>
      </c>
      <c r="CO145" t="e">
        <f>AND(#REF!,"AAAAAB9fd1w=")</f>
        <v>#REF!</v>
      </c>
      <c r="CP145" t="e">
        <f>IF(#REF!,"AAAAAB9fd10=",0)</f>
        <v>#REF!</v>
      </c>
      <c r="CQ145" t="e">
        <f>AND(#REF!,"AAAAAB9fd14=")</f>
        <v>#REF!</v>
      </c>
      <c r="CR145" t="e">
        <f>AND(#REF!,"AAAAAB9fd18=")</f>
        <v>#REF!</v>
      </c>
      <c r="CS145" t="e">
        <f>AND(#REF!,"AAAAAB9fd2A=")</f>
        <v>#REF!</v>
      </c>
      <c r="CT145" t="e">
        <f>AND(#REF!,"AAAAAB9fd2E=")</f>
        <v>#REF!</v>
      </c>
      <c r="CU145" t="e">
        <f>AND(#REF!,"AAAAAB9fd2I=")</f>
        <v>#REF!</v>
      </c>
      <c r="CV145" t="e">
        <f>AND(#REF!,"AAAAAB9fd2M=")</f>
        <v>#REF!</v>
      </c>
      <c r="CW145" t="e">
        <f>AND(#REF!,"AAAAAB9fd2Q=")</f>
        <v>#REF!</v>
      </c>
      <c r="CX145" t="e">
        <f>AND(#REF!,"AAAAAB9fd2U=")</f>
        <v>#REF!</v>
      </c>
      <c r="CY145" t="e">
        <f>AND(#REF!,"AAAAAB9fd2Y=")</f>
        <v>#REF!</v>
      </c>
      <c r="CZ145" t="e">
        <f>AND(#REF!,"AAAAAB9fd2c=")</f>
        <v>#REF!</v>
      </c>
      <c r="DA145" t="e">
        <f>AND(#REF!,"AAAAAB9fd2g=")</f>
        <v>#REF!</v>
      </c>
      <c r="DB145" t="e">
        <f>AND(#REF!,"AAAAAB9fd2k=")</f>
        <v>#REF!</v>
      </c>
      <c r="DC145" t="e">
        <f>AND(#REF!,"AAAAAB9fd2o=")</f>
        <v>#REF!</v>
      </c>
      <c r="DD145" t="e">
        <f>AND(#REF!,"AAAAAB9fd2s=")</f>
        <v>#REF!</v>
      </c>
      <c r="DE145" t="e">
        <f>AND(#REF!,"AAAAAB9fd2w=")</f>
        <v>#REF!</v>
      </c>
      <c r="DF145" t="e">
        <f>AND(#REF!,"AAAAAB9fd20=")</f>
        <v>#REF!</v>
      </c>
      <c r="DG145" t="e">
        <f>AND(#REF!,"AAAAAB9fd24=")</f>
        <v>#REF!</v>
      </c>
      <c r="DH145" t="e">
        <f>AND(#REF!,"AAAAAB9fd28=")</f>
        <v>#REF!</v>
      </c>
      <c r="DI145" t="e">
        <f>AND(#REF!,"AAAAAB9fd3A=")</f>
        <v>#REF!</v>
      </c>
      <c r="DJ145" t="e">
        <f>AND(#REF!,"AAAAAB9fd3E=")</f>
        <v>#REF!</v>
      </c>
      <c r="DK145" t="e">
        <f>AND(#REF!,"AAAAAB9fd3I=")</f>
        <v>#REF!</v>
      </c>
      <c r="DL145" t="e">
        <f>AND(#REF!,"AAAAAB9fd3M=")</f>
        <v>#REF!</v>
      </c>
      <c r="DM145" t="e">
        <f>IF(#REF!,"AAAAAB9fd3Q=",0)</f>
        <v>#REF!</v>
      </c>
      <c r="DN145" t="e">
        <f>AND(#REF!,"AAAAAB9fd3U=")</f>
        <v>#REF!</v>
      </c>
      <c r="DO145" t="e">
        <f>AND(#REF!,"AAAAAB9fd3Y=")</f>
        <v>#REF!</v>
      </c>
      <c r="DP145" t="e">
        <f>AND(#REF!,"AAAAAB9fd3c=")</f>
        <v>#REF!</v>
      </c>
      <c r="DQ145" t="e">
        <f>AND(#REF!,"AAAAAB9fd3g=")</f>
        <v>#REF!</v>
      </c>
      <c r="DR145" t="e">
        <f>AND(#REF!,"AAAAAB9fd3k=")</f>
        <v>#REF!</v>
      </c>
      <c r="DS145" t="e">
        <f>AND(#REF!,"AAAAAB9fd3o=")</f>
        <v>#REF!</v>
      </c>
      <c r="DT145" t="e">
        <f>AND(#REF!,"AAAAAB9fd3s=")</f>
        <v>#REF!</v>
      </c>
      <c r="DU145" t="e">
        <f>AND(#REF!,"AAAAAB9fd3w=")</f>
        <v>#REF!</v>
      </c>
      <c r="DV145" t="e">
        <f>AND(#REF!,"AAAAAB9fd30=")</f>
        <v>#REF!</v>
      </c>
      <c r="DW145" t="e">
        <f>AND(#REF!,"AAAAAB9fd34=")</f>
        <v>#REF!</v>
      </c>
      <c r="DX145" t="e">
        <f>AND(#REF!,"AAAAAB9fd38=")</f>
        <v>#REF!</v>
      </c>
      <c r="DY145" t="e">
        <f>AND(#REF!,"AAAAAB9fd4A=")</f>
        <v>#REF!</v>
      </c>
      <c r="DZ145" t="e">
        <f>AND(#REF!,"AAAAAB9fd4E=")</f>
        <v>#REF!</v>
      </c>
      <c r="EA145" t="e">
        <f>AND(#REF!,"AAAAAB9fd4I=")</f>
        <v>#REF!</v>
      </c>
      <c r="EB145" t="e">
        <f>AND(#REF!,"AAAAAB9fd4M=")</f>
        <v>#REF!</v>
      </c>
      <c r="EC145" t="e">
        <f>AND(#REF!,"AAAAAB9fd4Q=")</f>
        <v>#REF!</v>
      </c>
      <c r="ED145" t="e">
        <f>AND(#REF!,"AAAAAB9fd4U=")</f>
        <v>#REF!</v>
      </c>
      <c r="EE145" t="e">
        <f>AND(#REF!,"AAAAAB9fd4Y=")</f>
        <v>#REF!</v>
      </c>
      <c r="EF145" t="e">
        <f>AND(#REF!,"AAAAAB9fd4c=")</f>
        <v>#REF!</v>
      </c>
      <c r="EG145" t="e">
        <f>AND(#REF!,"AAAAAB9fd4g=")</f>
        <v>#REF!</v>
      </c>
      <c r="EH145" t="e">
        <f>AND(#REF!,"AAAAAB9fd4k=")</f>
        <v>#REF!</v>
      </c>
      <c r="EI145" t="e">
        <f>AND(#REF!,"AAAAAB9fd4o=")</f>
        <v>#REF!</v>
      </c>
      <c r="EJ145" t="e">
        <f>IF(#REF!,"AAAAAB9fd4s=",0)</f>
        <v>#REF!</v>
      </c>
      <c r="EK145" t="e">
        <f>AND(#REF!,"AAAAAB9fd4w=")</f>
        <v>#REF!</v>
      </c>
      <c r="EL145" t="e">
        <f>AND(#REF!,"AAAAAB9fd40=")</f>
        <v>#REF!</v>
      </c>
      <c r="EM145" t="e">
        <f>AND(#REF!,"AAAAAB9fd44=")</f>
        <v>#REF!</v>
      </c>
      <c r="EN145" t="e">
        <f>AND(#REF!,"AAAAAB9fd48=")</f>
        <v>#REF!</v>
      </c>
      <c r="EO145" t="e">
        <f>AND(#REF!,"AAAAAB9fd5A=")</f>
        <v>#REF!</v>
      </c>
      <c r="EP145" t="e">
        <f>AND(#REF!,"AAAAAB9fd5E=")</f>
        <v>#REF!</v>
      </c>
      <c r="EQ145" t="e">
        <f>AND(#REF!,"AAAAAB9fd5I=")</f>
        <v>#REF!</v>
      </c>
      <c r="ER145" t="e">
        <f>AND(#REF!,"AAAAAB9fd5M=")</f>
        <v>#REF!</v>
      </c>
      <c r="ES145" t="e">
        <f>AND(#REF!,"AAAAAB9fd5Q=")</f>
        <v>#REF!</v>
      </c>
      <c r="ET145" t="e">
        <f>AND(#REF!,"AAAAAB9fd5U=")</f>
        <v>#REF!</v>
      </c>
      <c r="EU145" t="e">
        <f>AND(#REF!,"AAAAAB9fd5Y=")</f>
        <v>#REF!</v>
      </c>
      <c r="EV145" t="e">
        <f>AND(#REF!,"AAAAAB9fd5c=")</f>
        <v>#REF!</v>
      </c>
      <c r="EW145" t="e">
        <f>AND(#REF!,"AAAAAB9fd5g=")</f>
        <v>#REF!</v>
      </c>
      <c r="EX145" t="e">
        <f>AND(#REF!,"AAAAAB9fd5k=")</f>
        <v>#REF!</v>
      </c>
      <c r="EY145" t="e">
        <f>AND(#REF!,"AAAAAB9fd5o=")</f>
        <v>#REF!</v>
      </c>
      <c r="EZ145" t="e">
        <f>AND(#REF!,"AAAAAB9fd5s=")</f>
        <v>#REF!</v>
      </c>
      <c r="FA145" t="e">
        <f>AND(#REF!,"AAAAAB9fd5w=")</f>
        <v>#REF!</v>
      </c>
      <c r="FB145" t="e">
        <f>AND(#REF!,"AAAAAB9fd50=")</f>
        <v>#REF!</v>
      </c>
      <c r="FC145" t="e">
        <f>AND(#REF!,"AAAAAB9fd54=")</f>
        <v>#REF!</v>
      </c>
      <c r="FD145" t="e">
        <f>AND(#REF!,"AAAAAB9fd58=")</f>
        <v>#REF!</v>
      </c>
      <c r="FE145" t="e">
        <f>AND(#REF!,"AAAAAB9fd6A=")</f>
        <v>#REF!</v>
      </c>
      <c r="FF145" t="e">
        <f>AND(#REF!,"AAAAAB9fd6E=")</f>
        <v>#REF!</v>
      </c>
      <c r="FG145" t="e">
        <f>IF(#REF!,"AAAAAB9fd6I=",0)</f>
        <v>#REF!</v>
      </c>
      <c r="FH145" t="e">
        <f>AND(#REF!,"AAAAAB9fd6M=")</f>
        <v>#REF!</v>
      </c>
      <c r="FI145" t="e">
        <f>AND(#REF!,"AAAAAB9fd6Q=")</f>
        <v>#REF!</v>
      </c>
      <c r="FJ145" t="e">
        <f>AND(#REF!,"AAAAAB9fd6U=")</f>
        <v>#REF!</v>
      </c>
      <c r="FK145" t="e">
        <f>AND(#REF!,"AAAAAB9fd6Y=")</f>
        <v>#REF!</v>
      </c>
      <c r="FL145" t="e">
        <f>AND(#REF!,"AAAAAB9fd6c=")</f>
        <v>#REF!</v>
      </c>
      <c r="FM145" t="e">
        <f>AND(#REF!,"AAAAAB9fd6g=")</f>
        <v>#REF!</v>
      </c>
      <c r="FN145" t="e">
        <f>AND(#REF!,"AAAAAB9fd6k=")</f>
        <v>#REF!</v>
      </c>
      <c r="FO145" t="e">
        <f>AND(#REF!,"AAAAAB9fd6o=")</f>
        <v>#REF!</v>
      </c>
      <c r="FP145" t="e">
        <f>AND(#REF!,"AAAAAB9fd6s=")</f>
        <v>#REF!</v>
      </c>
      <c r="FQ145" t="e">
        <f>AND(#REF!,"AAAAAB9fd6w=")</f>
        <v>#REF!</v>
      </c>
      <c r="FR145" t="e">
        <f>AND(#REF!,"AAAAAB9fd60=")</f>
        <v>#REF!</v>
      </c>
      <c r="FS145" t="e">
        <f>AND(#REF!,"AAAAAB9fd64=")</f>
        <v>#REF!</v>
      </c>
      <c r="FT145" t="e">
        <f>AND(#REF!,"AAAAAB9fd68=")</f>
        <v>#REF!</v>
      </c>
      <c r="FU145" t="e">
        <f>AND(#REF!,"AAAAAB9fd7A=")</f>
        <v>#REF!</v>
      </c>
      <c r="FV145" t="e">
        <f>AND(#REF!,"AAAAAB9fd7E=")</f>
        <v>#REF!</v>
      </c>
      <c r="FW145" t="e">
        <f>AND(#REF!,"AAAAAB9fd7I=")</f>
        <v>#REF!</v>
      </c>
      <c r="FX145" t="e">
        <f>AND(#REF!,"AAAAAB9fd7M=")</f>
        <v>#REF!</v>
      </c>
      <c r="FY145" t="e">
        <f>AND(#REF!,"AAAAAB9fd7Q=")</f>
        <v>#REF!</v>
      </c>
      <c r="FZ145" t="e">
        <f>AND(#REF!,"AAAAAB9fd7U=")</f>
        <v>#REF!</v>
      </c>
      <c r="GA145" t="e">
        <f>AND(#REF!,"AAAAAB9fd7Y=")</f>
        <v>#REF!</v>
      </c>
      <c r="GB145" t="e">
        <f>AND(#REF!,"AAAAAB9fd7c=")</f>
        <v>#REF!</v>
      </c>
      <c r="GC145" t="e">
        <f>AND(#REF!,"AAAAAB9fd7g=")</f>
        <v>#REF!</v>
      </c>
      <c r="GD145" t="e">
        <f>IF(#REF!,"AAAAAB9fd7k=",0)</f>
        <v>#REF!</v>
      </c>
      <c r="GE145" t="e">
        <f>AND(#REF!,"AAAAAB9fd7o=")</f>
        <v>#REF!</v>
      </c>
      <c r="GF145" t="e">
        <f>AND(#REF!,"AAAAAB9fd7s=")</f>
        <v>#REF!</v>
      </c>
      <c r="GG145" t="e">
        <f>AND(#REF!,"AAAAAB9fd7w=")</f>
        <v>#REF!</v>
      </c>
      <c r="GH145" t="e">
        <f>AND(#REF!,"AAAAAB9fd70=")</f>
        <v>#REF!</v>
      </c>
      <c r="GI145" t="e">
        <f>AND(#REF!,"AAAAAB9fd74=")</f>
        <v>#REF!</v>
      </c>
      <c r="GJ145" t="e">
        <f>AND(#REF!,"AAAAAB9fd78=")</f>
        <v>#REF!</v>
      </c>
      <c r="GK145" t="e">
        <f>AND(#REF!,"AAAAAB9fd8A=")</f>
        <v>#REF!</v>
      </c>
      <c r="GL145" t="e">
        <f>AND(#REF!,"AAAAAB9fd8E=")</f>
        <v>#REF!</v>
      </c>
      <c r="GM145" t="e">
        <f>AND(#REF!,"AAAAAB9fd8I=")</f>
        <v>#REF!</v>
      </c>
      <c r="GN145" t="e">
        <f>AND(#REF!,"AAAAAB9fd8M=")</f>
        <v>#REF!</v>
      </c>
      <c r="GO145" t="e">
        <f>AND(#REF!,"AAAAAB9fd8Q=")</f>
        <v>#REF!</v>
      </c>
      <c r="GP145" t="e">
        <f>AND(#REF!,"AAAAAB9fd8U=")</f>
        <v>#REF!</v>
      </c>
      <c r="GQ145" t="e">
        <f>AND(#REF!,"AAAAAB9fd8Y=")</f>
        <v>#REF!</v>
      </c>
      <c r="GR145" t="e">
        <f>AND(#REF!,"AAAAAB9fd8c=")</f>
        <v>#REF!</v>
      </c>
      <c r="GS145" t="e">
        <f>AND(#REF!,"AAAAAB9fd8g=")</f>
        <v>#REF!</v>
      </c>
      <c r="GT145" t="e">
        <f>AND(#REF!,"AAAAAB9fd8k=")</f>
        <v>#REF!</v>
      </c>
      <c r="GU145" t="e">
        <f>AND(#REF!,"AAAAAB9fd8o=")</f>
        <v>#REF!</v>
      </c>
      <c r="GV145" t="e">
        <f>AND(#REF!,"AAAAAB9fd8s=")</f>
        <v>#REF!</v>
      </c>
      <c r="GW145" t="e">
        <f>AND(#REF!,"AAAAAB9fd8w=")</f>
        <v>#REF!</v>
      </c>
      <c r="GX145" t="e">
        <f>AND(#REF!,"AAAAAB9fd80=")</f>
        <v>#REF!</v>
      </c>
      <c r="GY145" t="e">
        <f>AND(#REF!,"AAAAAB9fd84=")</f>
        <v>#REF!</v>
      </c>
      <c r="GZ145" t="e">
        <f>AND(#REF!,"AAAAAB9fd88=")</f>
        <v>#REF!</v>
      </c>
      <c r="HA145" t="e">
        <f>IF(#REF!,"AAAAAB9fd9A=",0)</f>
        <v>#REF!</v>
      </c>
      <c r="HB145" t="e">
        <f>AND(#REF!,"AAAAAB9fd9E=")</f>
        <v>#REF!</v>
      </c>
      <c r="HC145" t="e">
        <f>AND(#REF!,"AAAAAB9fd9I=")</f>
        <v>#REF!</v>
      </c>
      <c r="HD145" t="e">
        <f>AND(#REF!,"AAAAAB9fd9M=")</f>
        <v>#REF!</v>
      </c>
      <c r="HE145" t="e">
        <f>AND(#REF!,"AAAAAB9fd9Q=")</f>
        <v>#REF!</v>
      </c>
      <c r="HF145" t="e">
        <f>AND(#REF!,"AAAAAB9fd9U=")</f>
        <v>#REF!</v>
      </c>
      <c r="HG145" t="e">
        <f>AND(#REF!,"AAAAAB9fd9Y=")</f>
        <v>#REF!</v>
      </c>
      <c r="HH145" t="e">
        <f>AND(#REF!,"AAAAAB9fd9c=")</f>
        <v>#REF!</v>
      </c>
      <c r="HI145" t="e">
        <f>AND(#REF!,"AAAAAB9fd9g=")</f>
        <v>#REF!</v>
      </c>
      <c r="HJ145" t="e">
        <f>AND(#REF!,"AAAAAB9fd9k=")</f>
        <v>#REF!</v>
      </c>
      <c r="HK145" t="e">
        <f>AND(#REF!,"AAAAAB9fd9o=")</f>
        <v>#REF!</v>
      </c>
      <c r="HL145" t="e">
        <f>AND(#REF!,"AAAAAB9fd9s=")</f>
        <v>#REF!</v>
      </c>
      <c r="HM145" t="e">
        <f>AND(#REF!,"AAAAAB9fd9w=")</f>
        <v>#REF!</v>
      </c>
      <c r="HN145" t="e">
        <f>AND(#REF!,"AAAAAB9fd90=")</f>
        <v>#REF!</v>
      </c>
      <c r="HO145" t="e">
        <f>AND(#REF!,"AAAAAB9fd94=")</f>
        <v>#REF!</v>
      </c>
      <c r="HP145" t="e">
        <f>AND(#REF!,"AAAAAB9fd98=")</f>
        <v>#REF!</v>
      </c>
      <c r="HQ145" t="e">
        <f>AND(#REF!,"AAAAAB9fd+A=")</f>
        <v>#REF!</v>
      </c>
      <c r="HR145" t="e">
        <f>AND(#REF!,"AAAAAB9fd+E=")</f>
        <v>#REF!</v>
      </c>
      <c r="HS145" t="e">
        <f>AND(#REF!,"AAAAAB9fd+I=")</f>
        <v>#REF!</v>
      </c>
      <c r="HT145" t="e">
        <f>AND(#REF!,"AAAAAB9fd+M=")</f>
        <v>#REF!</v>
      </c>
      <c r="HU145" t="e">
        <f>AND(#REF!,"AAAAAB9fd+Q=")</f>
        <v>#REF!</v>
      </c>
      <c r="HV145" t="e">
        <f>AND(#REF!,"AAAAAB9fd+U=")</f>
        <v>#REF!</v>
      </c>
      <c r="HW145" t="e">
        <f>AND(#REF!,"AAAAAB9fd+Y=")</f>
        <v>#REF!</v>
      </c>
      <c r="HX145" t="e">
        <f>IF(#REF!,"AAAAAB9fd+c=",0)</f>
        <v>#REF!</v>
      </c>
      <c r="HY145" t="e">
        <f>AND(#REF!,"AAAAAB9fd+g=")</f>
        <v>#REF!</v>
      </c>
      <c r="HZ145" t="e">
        <f>AND(#REF!,"AAAAAB9fd+k=")</f>
        <v>#REF!</v>
      </c>
      <c r="IA145" t="e">
        <f>AND(#REF!,"AAAAAB9fd+o=")</f>
        <v>#REF!</v>
      </c>
      <c r="IB145" t="e">
        <f>AND(#REF!,"AAAAAB9fd+s=")</f>
        <v>#REF!</v>
      </c>
      <c r="IC145" t="e">
        <f>AND(#REF!,"AAAAAB9fd+w=")</f>
        <v>#REF!</v>
      </c>
      <c r="ID145" t="e">
        <f>AND(#REF!,"AAAAAB9fd+0=")</f>
        <v>#REF!</v>
      </c>
      <c r="IE145" t="e">
        <f>AND(#REF!,"AAAAAB9fd+4=")</f>
        <v>#REF!</v>
      </c>
      <c r="IF145" t="e">
        <f>AND(#REF!,"AAAAAB9fd+8=")</f>
        <v>#REF!</v>
      </c>
      <c r="IG145" t="e">
        <f>AND(#REF!,"AAAAAB9fd/A=")</f>
        <v>#REF!</v>
      </c>
      <c r="IH145" t="e">
        <f>AND(#REF!,"AAAAAB9fd/E=")</f>
        <v>#REF!</v>
      </c>
      <c r="II145" t="e">
        <f>AND(#REF!,"AAAAAB9fd/I=")</f>
        <v>#REF!</v>
      </c>
      <c r="IJ145" t="e">
        <f>AND(#REF!,"AAAAAB9fd/M=")</f>
        <v>#REF!</v>
      </c>
      <c r="IK145" t="e">
        <f>AND(#REF!,"AAAAAB9fd/Q=")</f>
        <v>#REF!</v>
      </c>
      <c r="IL145" t="e">
        <f>AND(#REF!,"AAAAAB9fd/U=")</f>
        <v>#REF!</v>
      </c>
      <c r="IM145" t="e">
        <f>AND(#REF!,"AAAAAB9fd/Y=")</f>
        <v>#REF!</v>
      </c>
      <c r="IN145" t="e">
        <f>AND(#REF!,"AAAAAB9fd/c=")</f>
        <v>#REF!</v>
      </c>
      <c r="IO145" t="e">
        <f>AND(#REF!,"AAAAAB9fd/g=")</f>
        <v>#REF!</v>
      </c>
      <c r="IP145" t="e">
        <f>AND(#REF!,"AAAAAB9fd/k=")</f>
        <v>#REF!</v>
      </c>
      <c r="IQ145" t="e">
        <f>AND(#REF!,"AAAAAB9fd/o=")</f>
        <v>#REF!</v>
      </c>
      <c r="IR145" t="e">
        <f>AND(#REF!,"AAAAAB9fd/s=")</f>
        <v>#REF!</v>
      </c>
      <c r="IS145" t="e">
        <f>AND(#REF!,"AAAAAB9fd/w=")</f>
        <v>#REF!</v>
      </c>
      <c r="IT145" t="e">
        <f>AND(#REF!,"AAAAAB9fd/0=")</f>
        <v>#REF!</v>
      </c>
      <c r="IU145" t="e">
        <f>IF(#REF!,"AAAAAB9fd/4=",0)</f>
        <v>#REF!</v>
      </c>
      <c r="IV145" t="e">
        <f>AND(#REF!,"AAAAAB9fd/8=")</f>
        <v>#REF!</v>
      </c>
    </row>
    <row r="146" spans="1:256" x14ac:dyDescent="0.2">
      <c r="A146" t="e">
        <f>AND(#REF!,"AAAAAHP1sgA=")</f>
        <v>#REF!</v>
      </c>
      <c r="B146" t="e">
        <f>AND(#REF!,"AAAAAHP1sgE=")</f>
        <v>#REF!</v>
      </c>
      <c r="C146" t="e">
        <f>AND(#REF!,"AAAAAHP1sgI=")</f>
        <v>#REF!</v>
      </c>
      <c r="D146" t="e">
        <f>AND(#REF!,"AAAAAHP1sgM=")</f>
        <v>#REF!</v>
      </c>
      <c r="E146" t="e">
        <f>AND(#REF!,"AAAAAHP1sgQ=")</f>
        <v>#REF!</v>
      </c>
      <c r="F146" t="e">
        <f>AND(#REF!,"AAAAAHP1sgU=")</f>
        <v>#REF!</v>
      </c>
      <c r="G146" t="e">
        <f>AND(#REF!,"AAAAAHP1sgY=")</f>
        <v>#REF!</v>
      </c>
      <c r="H146" t="e">
        <f>AND(#REF!,"AAAAAHP1sgc=")</f>
        <v>#REF!</v>
      </c>
      <c r="I146" t="e">
        <f>AND(#REF!,"AAAAAHP1sgg=")</f>
        <v>#REF!</v>
      </c>
      <c r="J146" t="e">
        <f>AND(#REF!,"AAAAAHP1sgk=")</f>
        <v>#REF!</v>
      </c>
      <c r="K146" t="e">
        <f>AND(#REF!,"AAAAAHP1sgo=")</f>
        <v>#REF!</v>
      </c>
      <c r="L146" t="e">
        <f>AND(#REF!,"AAAAAHP1sgs=")</f>
        <v>#REF!</v>
      </c>
      <c r="M146" t="e">
        <f>AND(#REF!,"AAAAAHP1sgw=")</f>
        <v>#REF!</v>
      </c>
      <c r="N146" t="e">
        <f>AND(#REF!,"AAAAAHP1sg0=")</f>
        <v>#REF!</v>
      </c>
      <c r="O146" t="e">
        <f>AND(#REF!,"AAAAAHP1sg4=")</f>
        <v>#REF!</v>
      </c>
      <c r="P146" t="e">
        <f>AND(#REF!,"AAAAAHP1sg8=")</f>
        <v>#REF!</v>
      </c>
      <c r="Q146" t="e">
        <f>AND(#REF!,"AAAAAHP1shA=")</f>
        <v>#REF!</v>
      </c>
      <c r="R146" t="e">
        <f>AND(#REF!,"AAAAAHP1shE=")</f>
        <v>#REF!</v>
      </c>
      <c r="S146" t="e">
        <f>AND(#REF!,"AAAAAHP1shI=")</f>
        <v>#REF!</v>
      </c>
      <c r="T146" t="e">
        <f>AND(#REF!,"AAAAAHP1shM=")</f>
        <v>#REF!</v>
      </c>
      <c r="U146" t="e">
        <f>AND(#REF!,"AAAAAHP1shQ=")</f>
        <v>#REF!</v>
      </c>
      <c r="V146" t="e">
        <f>IF(#REF!,"AAAAAHP1shU=",0)</f>
        <v>#REF!</v>
      </c>
      <c r="W146" t="e">
        <f>AND(#REF!,"AAAAAHP1shY=")</f>
        <v>#REF!</v>
      </c>
      <c r="X146" t="e">
        <f>AND(#REF!,"AAAAAHP1shc=")</f>
        <v>#REF!</v>
      </c>
      <c r="Y146" t="e">
        <f>AND(#REF!,"AAAAAHP1shg=")</f>
        <v>#REF!</v>
      </c>
      <c r="Z146" t="e">
        <f>AND(#REF!,"AAAAAHP1shk=")</f>
        <v>#REF!</v>
      </c>
      <c r="AA146" t="e">
        <f>AND(#REF!,"AAAAAHP1sho=")</f>
        <v>#REF!</v>
      </c>
      <c r="AB146" t="e">
        <f>AND(#REF!,"AAAAAHP1shs=")</f>
        <v>#REF!</v>
      </c>
      <c r="AC146" t="e">
        <f>AND(#REF!,"AAAAAHP1shw=")</f>
        <v>#REF!</v>
      </c>
      <c r="AD146" t="e">
        <f>AND(#REF!,"AAAAAHP1sh0=")</f>
        <v>#REF!</v>
      </c>
      <c r="AE146" t="e">
        <f>AND(#REF!,"AAAAAHP1sh4=")</f>
        <v>#REF!</v>
      </c>
      <c r="AF146" t="e">
        <f>AND(#REF!,"AAAAAHP1sh8=")</f>
        <v>#REF!</v>
      </c>
      <c r="AG146" t="e">
        <f>AND(#REF!,"AAAAAHP1siA=")</f>
        <v>#REF!</v>
      </c>
      <c r="AH146" t="e">
        <f>AND(#REF!,"AAAAAHP1siE=")</f>
        <v>#REF!</v>
      </c>
      <c r="AI146" t="e">
        <f>AND(#REF!,"AAAAAHP1siI=")</f>
        <v>#REF!</v>
      </c>
      <c r="AJ146" t="e">
        <f>AND(#REF!,"AAAAAHP1siM=")</f>
        <v>#REF!</v>
      </c>
      <c r="AK146" t="e">
        <f>AND(#REF!,"AAAAAHP1siQ=")</f>
        <v>#REF!</v>
      </c>
      <c r="AL146" t="e">
        <f>AND(#REF!,"AAAAAHP1siU=")</f>
        <v>#REF!</v>
      </c>
      <c r="AM146" t="e">
        <f>AND(#REF!,"AAAAAHP1siY=")</f>
        <v>#REF!</v>
      </c>
      <c r="AN146" t="e">
        <f>AND(#REF!,"AAAAAHP1sic=")</f>
        <v>#REF!</v>
      </c>
      <c r="AO146" t="e">
        <f>AND(#REF!,"AAAAAHP1sig=")</f>
        <v>#REF!</v>
      </c>
      <c r="AP146" t="e">
        <f>AND(#REF!,"AAAAAHP1sik=")</f>
        <v>#REF!</v>
      </c>
      <c r="AQ146" t="e">
        <f>AND(#REF!,"AAAAAHP1sio=")</f>
        <v>#REF!</v>
      </c>
      <c r="AR146" t="e">
        <f>AND(#REF!,"AAAAAHP1sis=")</f>
        <v>#REF!</v>
      </c>
      <c r="AS146" t="e">
        <f>IF(#REF!,"AAAAAHP1siw=",0)</f>
        <v>#REF!</v>
      </c>
      <c r="AT146" t="e">
        <f>AND(#REF!,"AAAAAHP1si0=")</f>
        <v>#REF!</v>
      </c>
      <c r="AU146" t="e">
        <f>AND(#REF!,"AAAAAHP1si4=")</f>
        <v>#REF!</v>
      </c>
      <c r="AV146" t="e">
        <f>AND(#REF!,"AAAAAHP1si8=")</f>
        <v>#REF!</v>
      </c>
      <c r="AW146" t="e">
        <f>AND(#REF!,"AAAAAHP1sjA=")</f>
        <v>#REF!</v>
      </c>
      <c r="AX146" t="e">
        <f>AND(#REF!,"AAAAAHP1sjE=")</f>
        <v>#REF!</v>
      </c>
      <c r="AY146" t="e">
        <f>AND(#REF!,"AAAAAHP1sjI=")</f>
        <v>#REF!</v>
      </c>
      <c r="AZ146" t="e">
        <f>AND(#REF!,"AAAAAHP1sjM=")</f>
        <v>#REF!</v>
      </c>
      <c r="BA146" t="e">
        <f>AND(#REF!,"AAAAAHP1sjQ=")</f>
        <v>#REF!</v>
      </c>
      <c r="BB146" t="e">
        <f>AND(#REF!,"AAAAAHP1sjU=")</f>
        <v>#REF!</v>
      </c>
      <c r="BC146" t="e">
        <f>AND(#REF!,"AAAAAHP1sjY=")</f>
        <v>#REF!</v>
      </c>
      <c r="BD146" t="e">
        <f>AND(#REF!,"AAAAAHP1sjc=")</f>
        <v>#REF!</v>
      </c>
      <c r="BE146" t="e">
        <f>AND(#REF!,"AAAAAHP1sjg=")</f>
        <v>#REF!</v>
      </c>
      <c r="BF146" t="e">
        <f>AND(#REF!,"AAAAAHP1sjk=")</f>
        <v>#REF!</v>
      </c>
      <c r="BG146" t="e">
        <f>AND(#REF!,"AAAAAHP1sjo=")</f>
        <v>#REF!</v>
      </c>
      <c r="BH146" t="e">
        <f>AND(#REF!,"AAAAAHP1sjs=")</f>
        <v>#REF!</v>
      </c>
      <c r="BI146" t="e">
        <f>AND(#REF!,"AAAAAHP1sjw=")</f>
        <v>#REF!</v>
      </c>
      <c r="BJ146" t="e">
        <f>AND(#REF!,"AAAAAHP1sj0=")</f>
        <v>#REF!</v>
      </c>
      <c r="BK146" t="e">
        <f>AND(#REF!,"AAAAAHP1sj4=")</f>
        <v>#REF!</v>
      </c>
      <c r="BL146" t="e">
        <f>AND(#REF!,"AAAAAHP1sj8=")</f>
        <v>#REF!</v>
      </c>
      <c r="BM146" t="e">
        <f>AND(#REF!,"AAAAAHP1skA=")</f>
        <v>#REF!</v>
      </c>
      <c r="BN146" t="e">
        <f>AND(#REF!,"AAAAAHP1skE=")</f>
        <v>#REF!</v>
      </c>
      <c r="BO146" t="e">
        <f>AND(#REF!,"AAAAAHP1skI=")</f>
        <v>#REF!</v>
      </c>
      <c r="BP146" t="e">
        <f>IF(#REF!,"AAAAAHP1skM=",0)</f>
        <v>#REF!</v>
      </c>
      <c r="BQ146" t="e">
        <f>AND(#REF!,"AAAAAHP1skQ=")</f>
        <v>#REF!</v>
      </c>
      <c r="BR146" t="e">
        <f>AND(#REF!,"AAAAAHP1skU=")</f>
        <v>#REF!</v>
      </c>
      <c r="BS146" t="e">
        <f>AND(#REF!,"AAAAAHP1skY=")</f>
        <v>#REF!</v>
      </c>
      <c r="BT146" t="e">
        <f>AND(#REF!,"AAAAAHP1skc=")</f>
        <v>#REF!</v>
      </c>
      <c r="BU146" t="e">
        <f>AND(#REF!,"AAAAAHP1skg=")</f>
        <v>#REF!</v>
      </c>
      <c r="BV146" t="e">
        <f>AND(#REF!,"AAAAAHP1skk=")</f>
        <v>#REF!</v>
      </c>
      <c r="BW146" t="e">
        <f>AND(#REF!,"AAAAAHP1sko=")</f>
        <v>#REF!</v>
      </c>
      <c r="BX146" t="e">
        <f>AND(#REF!,"AAAAAHP1sks=")</f>
        <v>#REF!</v>
      </c>
      <c r="BY146" t="e">
        <f>AND(#REF!,"AAAAAHP1skw=")</f>
        <v>#REF!</v>
      </c>
      <c r="BZ146" t="e">
        <f>AND(#REF!,"AAAAAHP1sk0=")</f>
        <v>#REF!</v>
      </c>
      <c r="CA146" t="e">
        <f>AND(#REF!,"AAAAAHP1sk4=")</f>
        <v>#REF!</v>
      </c>
      <c r="CB146" t="e">
        <f>AND(#REF!,"AAAAAHP1sk8=")</f>
        <v>#REF!</v>
      </c>
      <c r="CC146" t="e">
        <f>AND(#REF!,"AAAAAHP1slA=")</f>
        <v>#REF!</v>
      </c>
      <c r="CD146" t="e">
        <f>AND(#REF!,"AAAAAHP1slE=")</f>
        <v>#REF!</v>
      </c>
      <c r="CE146" t="e">
        <f>AND(#REF!,"AAAAAHP1slI=")</f>
        <v>#REF!</v>
      </c>
      <c r="CF146" t="e">
        <f>AND(#REF!,"AAAAAHP1slM=")</f>
        <v>#REF!</v>
      </c>
      <c r="CG146" t="e">
        <f>AND(#REF!,"AAAAAHP1slQ=")</f>
        <v>#REF!</v>
      </c>
      <c r="CH146" t="e">
        <f>AND(#REF!,"AAAAAHP1slU=")</f>
        <v>#REF!</v>
      </c>
      <c r="CI146" t="e">
        <f>AND(#REF!,"AAAAAHP1slY=")</f>
        <v>#REF!</v>
      </c>
      <c r="CJ146" t="e">
        <f>AND(#REF!,"AAAAAHP1slc=")</f>
        <v>#REF!</v>
      </c>
      <c r="CK146" t="e">
        <f>AND(#REF!,"AAAAAHP1slg=")</f>
        <v>#REF!</v>
      </c>
      <c r="CL146" t="e">
        <f>AND(#REF!,"AAAAAHP1slk=")</f>
        <v>#REF!</v>
      </c>
      <c r="CM146" t="e">
        <f>IF(#REF!,"AAAAAHP1slo=",0)</f>
        <v>#REF!</v>
      </c>
      <c r="CN146" t="e">
        <f>AND(#REF!,"AAAAAHP1sls=")</f>
        <v>#REF!</v>
      </c>
      <c r="CO146" t="e">
        <f>AND(#REF!,"AAAAAHP1slw=")</f>
        <v>#REF!</v>
      </c>
      <c r="CP146" t="e">
        <f>AND(#REF!,"AAAAAHP1sl0=")</f>
        <v>#REF!</v>
      </c>
      <c r="CQ146" t="e">
        <f>AND(#REF!,"AAAAAHP1sl4=")</f>
        <v>#REF!</v>
      </c>
      <c r="CR146" t="e">
        <f>AND(#REF!,"AAAAAHP1sl8=")</f>
        <v>#REF!</v>
      </c>
      <c r="CS146" t="e">
        <f>AND(#REF!,"AAAAAHP1smA=")</f>
        <v>#REF!</v>
      </c>
      <c r="CT146" t="e">
        <f>AND(#REF!,"AAAAAHP1smE=")</f>
        <v>#REF!</v>
      </c>
      <c r="CU146" t="e">
        <f>AND(#REF!,"AAAAAHP1smI=")</f>
        <v>#REF!</v>
      </c>
      <c r="CV146" t="e">
        <f>AND(#REF!,"AAAAAHP1smM=")</f>
        <v>#REF!</v>
      </c>
      <c r="CW146" t="e">
        <f>AND(#REF!,"AAAAAHP1smQ=")</f>
        <v>#REF!</v>
      </c>
      <c r="CX146" t="e">
        <f>AND(#REF!,"AAAAAHP1smU=")</f>
        <v>#REF!</v>
      </c>
      <c r="CY146" t="e">
        <f>AND(#REF!,"AAAAAHP1smY=")</f>
        <v>#REF!</v>
      </c>
      <c r="CZ146" t="e">
        <f>AND(#REF!,"AAAAAHP1smc=")</f>
        <v>#REF!</v>
      </c>
      <c r="DA146" t="e">
        <f>AND(#REF!,"AAAAAHP1smg=")</f>
        <v>#REF!</v>
      </c>
      <c r="DB146" t="e">
        <f>AND(#REF!,"AAAAAHP1smk=")</f>
        <v>#REF!</v>
      </c>
      <c r="DC146" t="e">
        <f>AND(#REF!,"AAAAAHP1smo=")</f>
        <v>#REF!</v>
      </c>
      <c r="DD146" t="e">
        <f>AND(#REF!,"AAAAAHP1sms=")</f>
        <v>#REF!</v>
      </c>
      <c r="DE146" t="e">
        <f>AND(#REF!,"AAAAAHP1smw=")</f>
        <v>#REF!</v>
      </c>
      <c r="DF146" t="e">
        <f>AND(#REF!,"AAAAAHP1sm0=")</f>
        <v>#REF!</v>
      </c>
      <c r="DG146" t="e">
        <f>AND(#REF!,"AAAAAHP1sm4=")</f>
        <v>#REF!</v>
      </c>
      <c r="DH146" t="e">
        <f>AND(#REF!,"AAAAAHP1sm8=")</f>
        <v>#REF!</v>
      </c>
      <c r="DI146" t="e">
        <f>AND(#REF!,"AAAAAHP1snA=")</f>
        <v>#REF!</v>
      </c>
      <c r="DJ146" t="e">
        <f>IF(#REF!,"AAAAAHP1snE=",0)</f>
        <v>#REF!</v>
      </c>
      <c r="DK146" t="e">
        <f>AND(#REF!,"AAAAAHP1snI=")</f>
        <v>#REF!</v>
      </c>
      <c r="DL146" t="e">
        <f>AND(#REF!,"AAAAAHP1snM=")</f>
        <v>#REF!</v>
      </c>
      <c r="DM146" t="e">
        <f>AND(#REF!,"AAAAAHP1snQ=")</f>
        <v>#REF!</v>
      </c>
      <c r="DN146" t="e">
        <f>AND(#REF!,"AAAAAHP1snU=")</f>
        <v>#REF!</v>
      </c>
      <c r="DO146" t="e">
        <f>AND(#REF!,"AAAAAHP1snY=")</f>
        <v>#REF!</v>
      </c>
      <c r="DP146" t="e">
        <f>AND(#REF!,"AAAAAHP1snc=")</f>
        <v>#REF!</v>
      </c>
      <c r="DQ146" t="e">
        <f>AND(#REF!,"AAAAAHP1sng=")</f>
        <v>#REF!</v>
      </c>
      <c r="DR146" t="e">
        <f>AND(#REF!,"AAAAAHP1snk=")</f>
        <v>#REF!</v>
      </c>
      <c r="DS146" t="e">
        <f>AND(#REF!,"AAAAAHP1sno=")</f>
        <v>#REF!</v>
      </c>
      <c r="DT146" t="e">
        <f>AND(#REF!,"AAAAAHP1sns=")</f>
        <v>#REF!</v>
      </c>
      <c r="DU146" t="e">
        <f>AND(#REF!,"AAAAAHP1snw=")</f>
        <v>#REF!</v>
      </c>
      <c r="DV146" t="e">
        <f>AND(#REF!,"AAAAAHP1sn0=")</f>
        <v>#REF!</v>
      </c>
      <c r="DW146" t="e">
        <f>AND(#REF!,"AAAAAHP1sn4=")</f>
        <v>#REF!</v>
      </c>
      <c r="DX146" t="e">
        <f>AND(#REF!,"AAAAAHP1sn8=")</f>
        <v>#REF!</v>
      </c>
      <c r="DY146" t="e">
        <f>AND(#REF!,"AAAAAHP1soA=")</f>
        <v>#REF!</v>
      </c>
      <c r="DZ146" t="e">
        <f>AND(#REF!,"AAAAAHP1soE=")</f>
        <v>#REF!</v>
      </c>
      <c r="EA146" t="e">
        <f>AND(#REF!,"AAAAAHP1soI=")</f>
        <v>#REF!</v>
      </c>
      <c r="EB146" t="e">
        <f>AND(#REF!,"AAAAAHP1soM=")</f>
        <v>#REF!</v>
      </c>
      <c r="EC146" t="e">
        <f>AND(#REF!,"AAAAAHP1soQ=")</f>
        <v>#REF!</v>
      </c>
      <c r="ED146" t="e">
        <f>AND(#REF!,"AAAAAHP1soU=")</f>
        <v>#REF!</v>
      </c>
      <c r="EE146" t="e">
        <f>AND(#REF!,"AAAAAHP1soY=")</f>
        <v>#REF!</v>
      </c>
      <c r="EF146" t="e">
        <f>AND(#REF!,"AAAAAHP1soc=")</f>
        <v>#REF!</v>
      </c>
      <c r="EG146" t="e">
        <f>IF(#REF!,"AAAAAHP1sog=",0)</f>
        <v>#REF!</v>
      </c>
      <c r="EH146" t="e">
        <f>AND(#REF!,"AAAAAHP1sok=")</f>
        <v>#REF!</v>
      </c>
      <c r="EI146" t="e">
        <f>AND(#REF!,"AAAAAHP1soo=")</f>
        <v>#REF!</v>
      </c>
      <c r="EJ146" t="e">
        <f>AND(#REF!,"AAAAAHP1sos=")</f>
        <v>#REF!</v>
      </c>
      <c r="EK146" t="e">
        <f>AND(#REF!,"AAAAAHP1sow=")</f>
        <v>#REF!</v>
      </c>
      <c r="EL146" t="e">
        <f>AND(#REF!,"AAAAAHP1so0=")</f>
        <v>#REF!</v>
      </c>
      <c r="EM146" t="e">
        <f>AND(#REF!,"AAAAAHP1so4=")</f>
        <v>#REF!</v>
      </c>
      <c r="EN146" t="e">
        <f>AND(#REF!,"AAAAAHP1so8=")</f>
        <v>#REF!</v>
      </c>
      <c r="EO146" t="e">
        <f>AND(#REF!,"AAAAAHP1spA=")</f>
        <v>#REF!</v>
      </c>
      <c r="EP146" t="e">
        <f>AND(#REF!,"AAAAAHP1spE=")</f>
        <v>#REF!</v>
      </c>
      <c r="EQ146" t="e">
        <f>AND(#REF!,"AAAAAHP1spI=")</f>
        <v>#REF!</v>
      </c>
      <c r="ER146" t="e">
        <f>AND(#REF!,"AAAAAHP1spM=")</f>
        <v>#REF!</v>
      </c>
      <c r="ES146" t="e">
        <f>AND(#REF!,"AAAAAHP1spQ=")</f>
        <v>#REF!</v>
      </c>
      <c r="ET146" t="e">
        <f>AND(#REF!,"AAAAAHP1spU=")</f>
        <v>#REF!</v>
      </c>
      <c r="EU146" t="e">
        <f>AND(#REF!,"AAAAAHP1spY=")</f>
        <v>#REF!</v>
      </c>
      <c r="EV146" t="e">
        <f>AND(#REF!,"AAAAAHP1spc=")</f>
        <v>#REF!</v>
      </c>
      <c r="EW146" t="e">
        <f>AND(#REF!,"AAAAAHP1spg=")</f>
        <v>#REF!</v>
      </c>
      <c r="EX146" t="e">
        <f>AND(#REF!,"AAAAAHP1spk=")</f>
        <v>#REF!</v>
      </c>
      <c r="EY146" t="e">
        <f>AND(#REF!,"AAAAAHP1spo=")</f>
        <v>#REF!</v>
      </c>
      <c r="EZ146" t="e">
        <f>AND(#REF!,"AAAAAHP1sps=")</f>
        <v>#REF!</v>
      </c>
      <c r="FA146" t="e">
        <f>AND(#REF!,"AAAAAHP1spw=")</f>
        <v>#REF!</v>
      </c>
      <c r="FB146" t="e">
        <f>AND(#REF!,"AAAAAHP1sp0=")</f>
        <v>#REF!</v>
      </c>
      <c r="FC146" t="e">
        <f>AND(#REF!,"AAAAAHP1sp4=")</f>
        <v>#REF!</v>
      </c>
      <c r="FD146" t="e">
        <f>IF(#REF!,"AAAAAHP1sp8=",0)</f>
        <v>#REF!</v>
      </c>
      <c r="FE146" t="e">
        <f>AND(#REF!,"AAAAAHP1sqA=")</f>
        <v>#REF!</v>
      </c>
      <c r="FF146" t="e">
        <f>AND(#REF!,"AAAAAHP1sqE=")</f>
        <v>#REF!</v>
      </c>
      <c r="FG146" t="e">
        <f>AND(#REF!,"AAAAAHP1sqI=")</f>
        <v>#REF!</v>
      </c>
      <c r="FH146" t="e">
        <f>AND(#REF!,"AAAAAHP1sqM=")</f>
        <v>#REF!</v>
      </c>
      <c r="FI146" t="e">
        <f>AND(#REF!,"AAAAAHP1sqQ=")</f>
        <v>#REF!</v>
      </c>
      <c r="FJ146" t="e">
        <f>AND(#REF!,"AAAAAHP1sqU=")</f>
        <v>#REF!</v>
      </c>
      <c r="FK146" t="e">
        <f>AND(#REF!,"AAAAAHP1sqY=")</f>
        <v>#REF!</v>
      </c>
      <c r="FL146" t="e">
        <f>AND(#REF!,"AAAAAHP1sqc=")</f>
        <v>#REF!</v>
      </c>
      <c r="FM146" t="e">
        <f>AND(#REF!,"AAAAAHP1sqg=")</f>
        <v>#REF!</v>
      </c>
      <c r="FN146" t="e">
        <f>AND(#REF!,"AAAAAHP1sqk=")</f>
        <v>#REF!</v>
      </c>
      <c r="FO146" t="e">
        <f>AND(#REF!,"AAAAAHP1sqo=")</f>
        <v>#REF!</v>
      </c>
      <c r="FP146" t="e">
        <f>AND(#REF!,"AAAAAHP1sqs=")</f>
        <v>#REF!</v>
      </c>
      <c r="FQ146" t="e">
        <f>AND(#REF!,"AAAAAHP1sqw=")</f>
        <v>#REF!</v>
      </c>
      <c r="FR146" t="e">
        <f>AND(#REF!,"AAAAAHP1sq0=")</f>
        <v>#REF!</v>
      </c>
      <c r="FS146" t="e">
        <f>AND(#REF!,"AAAAAHP1sq4=")</f>
        <v>#REF!</v>
      </c>
      <c r="FT146" t="e">
        <f>AND(#REF!,"AAAAAHP1sq8=")</f>
        <v>#REF!</v>
      </c>
      <c r="FU146" t="e">
        <f>AND(#REF!,"AAAAAHP1srA=")</f>
        <v>#REF!</v>
      </c>
      <c r="FV146" t="e">
        <f>AND(#REF!,"AAAAAHP1srE=")</f>
        <v>#REF!</v>
      </c>
      <c r="FW146" t="e">
        <f>AND(#REF!,"AAAAAHP1srI=")</f>
        <v>#REF!</v>
      </c>
      <c r="FX146" t="e">
        <f>AND(#REF!,"AAAAAHP1srM=")</f>
        <v>#REF!</v>
      </c>
      <c r="FY146" t="e">
        <f>AND(#REF!,"AAAAAHP1srQ=")</f>
        <v>#REF!</v>
      </c>
      <c r="FZ146" t="e">
        <f>AND(#REF!,"AAAAAHP1srU=")</f>
        <v>#REF!</v>
      </c>
      <c r="GA146" t="e">
        <f>IF(#REF!,"AAAAAHP1srY=",0)</f>
        <v>#REF!</v>
      </c>
      <c r="GB146" t="e">
        <f>AND(#REF!,"AAAAAHP1src=")</f>
        <v>#REF!</v>
      </c>
      <c r="GC146" t="e">
        <f>AND(#REF!,"AAAAAHP1srg=")</f>
        <v>#REF!</v>
      </c>
      <c r="GD146" t="e">
        <f>AND(#REF!,"AAAAAHP1srk=")</f>
        <v>#REF!</v>
      </c>
      <c r="GE146" t="e">
        <f>AND(#REF!,"AAAAAHP1sro=")</f>
        <v>#REF!</v>
      </c>
      <c r="GF146" t="e">
        <f>AND(#REF!,"AAAAAHP1srs=")</f>
        <v>#REF!</v>
      </c>
      <c r="GG146" t="e">
        <f>AND(#REF!,"AAAAAHP1srw=")</f>
        <v>#REF!</v>
      </c>
      <c r="GH146" t="e">
        <f>AND(#REF!,"AAAAAHP1sr0=")</f>
        <v>#REF!</v>
      </c>
      <c r="GI146" t="e">
        <f>AND(#REF!,"AAAAAHP1sr4=")</f>
        <v>#REF!</v>
      </c>
      <c r="GJ146" t="e">
        <f>AND(#REF!,"AAAAAHP1sr8=")</f>
        <v>#REF!</v>
      </c>
      <c r="GK146" t="e">
        <f>AND(#REF!,"AAAAAHP1ssA=")</f>
        <v>#REF!</v>
      </c>
      <c r="GL146" t="e">
        <f>AND(#REF!,"AAAAAHP1ssE=")</f>
        <v>#REF!</v>
      </c>
      <c r="GM146" t="e">
        <f>AND(#REF!,"AAAAAHP1ssI=")</f>
        <v>#REF!</v>
      </c>
      <c r="GN146" t="e">
        <f>AND(#REF!,"AAAAAHP1ssM=")</f>
        <v>#REF!</v>
      </c>
      <c r="GO146" t="e">
        <f>AND(#REF!,"AAAAAHP1ssQ=")</f>
        <v>#REF!</v>
      </c>
      <c r="GP146" t="e">
        <f>AND(#REF!,"AAAAAHP1ssU=")</f>
        <v>#REF!</v>
      </c>
      <c r="GQ146" t="e">
        <f>AND(#REF!,"AAAAAHP1ssY=")</f>
        <v>#REF!</v>
      </c>
      <c r="GR146" t="e">
        <f>AND(#REF!,"AAAAAHP1ssc=")</f>
        <v>#REF!</v>
      </c>
      <c r="GS146" t="e">
        <f>AND(#REF!,"AAAAAHP1ssg=")</f>
        <v>#REF!</v>
      </c>
      <c r="GT146" t="e">
        <f>AND(#REF!,"AAAAAHP1ssk=")</f>
        <v>#REF!</v>
      </c>
      <c r="GU146" t="e">
        <f>AND(#REF!,"AAAAAHP1sso=")</f>
        <v>#REF!</v>
      </c>
      <c r="GV146" t="e">
        <f>AND(#REF!,"AAAAAHP1sss=")</f>
        <v>#REF!</v>
      </c>
      <c r="GW146" t="e">
        <f>AND(#REF!,"AAAAAHP1ssw=")</f>
        <v>#REF!</v>
      </c>
      <c r="GX146" t="e">
        <f>IF(#REF!,"AAAAAHP1ss0=",0)</f>
        <v>#REF!</v>
      </c>
      <c r="GY146" t="e">
        <f>AND(#REF!,"AAAAAHP1ss4=")</f>
        <v>#REF!</v>
      </c>
      <c r="GZ146" t="e">
        <f>AND(#REF!,"AAAAAHP1ss8=")</f>
        <v>#REF!</v>
      </c>
      <c r="HA146" t="e">
        <f>AND(#REF!,"AAAAAHP1stA=")</f>
        <v>#REF!</v>
      </c>
      <c r="HB146" t="e">
        <f>AND(#REF!,"AAAAAHP1stE=")</f>
        <v>#REF!</v>
      </c>
      <c r="HC146" t="e">
        <f>AND(#REF!,"AAAAAHP1stI=")</f>
        <v>#REF!</v>
      </c>
      <c r="HD146" t="e">
        <f>AND(#REF!,"AAAAAHP1stM=")</f>
        <v>#REF!</v>
      </c>
      <c r="HE146" t="e">
        <f>AND(#REF!,"AAAAAHP1stQ=")</f>
        <v>#REF!</v>
      </c>
      <c r="HF146" t="e">
        <f>AND(#REF!,"AAAAAHP1stU=")</f>
        <v>#REF!</v>
      </c>
      <c r="HG146" t="e">
        <f>AND(#REF!,"AAAAAHP1stY=")</f>
        <v>#REF!</v>
      </c>
      <c r="HH146" t="e">
        <f>AND(#REF!,"AAAAAHP1stc=")</f>
        <v>#REF!</v>
      </c>
      <c r="HI146" t="e">
        <f>AND(#REF!,"AAAAAHP1stg=")</f>
        <v>#REF!</v>
      </c>
      <c r="HJ146" t="e">
        <f>AND(#REF!,"AAAAAHP1stk=")</f>
        <v>#REF!</v>
      </c>
      <c r="HK146" t="e">
        <f>AND(#REF!,"AAAAAHP1sto=")</f>
        <v>#REF!</v>
      </c>
      <c r="HL146" t="e">
        <f>AND(#REF!,"AAAAAHP1sts=")</f>
        <v>#REF!</v>
      </c>
      <c r="HM146" t="e">
        <f>AND(#REF!,"AAAAAHP1stw=")</f>
        <v>#REF!</v>
      </c>
      <c r="HN146" t="e">
        <f>AND(#REF!,"AAAAAHP1st0=")</f>
        <v>#REF!</v>
      </c>
      <c r="HO146" t="e">
        <f>AND(#REF!,"AAAAAHP1st4=")</f>
        <v>#REF!</v>
      </c>
      <c r="HP146" t="e">
        <f>AND(#REF!,"AAAAAHP1st8=")</f>
        <v>#REF!</v>
      </c>
      <c r="HQ146" t="e">
        <f>AND(#REF!,"AAAAAHP1suA=")</f>
        <v>#REF!</v>
      </c>
      <c r="HR146" t="e">
        <f>AND(#REF!,"AAAAAHP1suE=")</f>
        <v>#REF!</v>
      </c>
      <c r="HS146" t="e">
        <f>AND(#REF!,"AAAAAHP1suI=")</f>
        <v>#REF!</v>
      </c>
      <c r="HT146" t="e">
        <f>AND(#REF!,"AAAAAHP1suM=")</f>
        <v>#REF!</v>
      </c>
      <c r="HU146" t="e">
        <f>IF(#REF!,"AAAAAHP1suQ=",0)</f>
        <v>#REF!</v>
      </c>
      <c r="HV146" t="e">
        <f>AND(#REF!,"AAAAAHP1suU=")</f>
        <v>#REF!</v>
      </c>
      <c r="HW146" t="e">
        <f>AND(#REF!,"AAAAAHP1suY=")</f>
        <v>#REF!</v>
      </c>
      <c r="HX146" t="e">
        <f>AND(#REF!,"AAAAAHP1suc=")</f>
        <v>#REF!</v>
      </c>
      <c r="HY146" t="e">
        <f>AND(#REF!,"AAAAAHP1sug=")</f>
        <v>#REF!</v>
      </c>
      <c r="HZ146" t="e">
        <f>AND(#REF!,"AAAAAHP1suk=")</f>
        <v>#REF!</v>
      </c>
      <c r="IA146" t="e">
        <f>AND(#REF!,"AAAAAHP1suo=")</f>
        <v>#REF!</v>
      </c>
      <c r="IB146" t="e">
        <f>AND(#REF!,"AAAAAHP1sus=")</f>
        <v>#REF!</v>
      </c>
      <c r="IC146" t="e">
        <f>AND(#REF!,"AAAAAHP1suw=")</f>
        <v>#REF!</v>
      </c>
      <c r="ID146" t="e">
        <f>AND(#REF!,"AAAAAHP1su0=")</f>
        <v>#REF!</v>
      </c>
      <c r="IE146" t="e">
        <f>AND(#REF!,"AAAAAHP1su4=")</f>
        <v>#REF!</v>
      </c>
      <c r="IF146" t="e">
        <f>AND(#REF!,"AAAAAHP1su8=")</f>
        <v>#REF!</v>
      </c>
      <c r="IG146" t="e">
        <f>AND(#REF!,"AAAAAHP1svA=")</f>
        <v>#REF!</v>
      </c>
      <c r="IH146" t="e">
        <f>AND(#REF!,"AAAAAHP1svE=")</f>
        <v>#REF!</v>
      </c>
      <c r="II146" t="e">
        <f>AND(#REF!,"AAAAAHP1svI=")</f>
        <v>#REF!</v>
      </c>
      <c r="IJ146" t="e">
        <f>AND(#REF!,"AAAAAHP1svM=")</f>
        <v>#REF!</v>
      </c>
      <c r="IK146" t="e">
        <f>AND(#REF!,"AAAAAHP1svQ=")</f>
        <v>#REF!</v>
      </c>
      <c r="IL146" t="e">
        <f>AND(#REF!,"AAAAAHP1svU=")</f>
        <v>#REF!</v>
      </c>
      <c r="IM146" t="e">
        <f>AND(#REF!,"AAAAAHP1svY=")</f>
        <v>#REF!</v>
      </c>
      <c r="IN146" t="e">
        <f>AND(#REF!,"AAAAAHP1svc=")</f>
        <v>#REF!</v>
      </c>
      <c r="IO146" t="e">
        <f>AND(#REF!,"AAAAAHP1svg=")</f>
        <v>#REF!</v>
      </c>
      <c r="IP146" t="e">
        <f>AND(#REF!,"AAAAAHP1svk=")</f>
        <v>#REF!</v>
      </c>
      <c r="IQ146" t="e">
        <f>AND(#REF!,"AAAAAHP1svo=")</f>
        <v>#REF!</v>
      </c>
      <c r="IR146" t="e">
        <f>IF(#REF!,"AAAAAHP1svs=",0)</f>
        <v>#REF!</v>
      </c>
      <c r="IS146" t="e">
        <f>AND(#REF!,"AAAAAHP1svw=")</f>
        <v>#REF!</v>
      </c>
      <c r="IT146" t="e">
        <f>AND(#REF!,"AAAAAHP1sv0=")</f>
        <v>#REF!</v>
      </c>
      <c r="IU146" t="e">
        <f>AND(#REF!,"AAAAAHP1sv4=")</f>
        <v>#REF!</v>
      </c>
      <c r="IV146" t="e">
        <f>AND(#REF!,"AAAAAHP1sv8=")</f>
        <v>#REF!</v>
      </c>
    </row>
    <row r="147" spans="1:256" x14ac:dyDescent="0.2">
      <c r="A147" t="e">
        <f>AND(#REF!,"AAAAAHv4XgA=")</f>
        <v>#REF!</v>
      </c>
      <c r="B147" t="e">
        <f>AND(#REF!,"AAAAAHv4XgE=")</f>
        <v>#REF!</v>
      </c>
      <c r="C147" t="e">
        <f>AND(#REF!,"AAAAAHv4XgI=")</f>
        <v>#REF!</v>
      </c>
      <c r="D147" t="e">
        <f>AND(#REF!,"AAAAAHv4XgM=")</f>
        <v>#REF!</v>
      </c>
      <c r="E147" t="e">
        <f>AND(#REF!,"AAAAAHv4XgQ=")</f>
        <v>#REF!</v>
      </c>
      <c r="F147" t="e">
        <f>AND(#REF!,"AAAAAHv4XgU=")</f>
        <v>#REF!</v>
      </c>
      <c r="G147" t="e">
        <f>AND(#REF!,"AAAAAHv4XgY=")</f>
        <v>#REF!</v>
      </c>
      <c r="H147" t="e">
        <f>AND(#REF!,"AAAAAHv4Xgc=")</f>
        <v>#REF!</v>
      </c>
      <c r="I147" t="e">
        <f>AND(#REF!,"AAAAAHv4Xgg=")</f>
        <v>#REF!</v>
      </c>
      <c r="J147" t="e">
        <f>AND(#REF!,"AAAAAHv4Xgk=")</f>
        <v>#REF!</v>
      </c>
      <c r="K147" t="e">
        <f>AND(#REF!,"AAAAAHv4Xgo=")</f>
        <v>#REF!</v>
      </c>
      <c r="L147" t="e">
        <f>AND(#REF!,"AAAAAHv4Xgs=")</f>
        <v>#REF!</v>
      </c>
      <c r="M147" t="e">
        <f>AND(#REF!,"AAAAAHv4Xgw=")</f>
        <v>#REF!</v>
      </c>
      <c r="N147" t="e">
        <f>AND(#REF!,"AAAAAHv4Xg0=")</f>
        <v>#REF!</v>
      </c>
      <c r="O147" t="e">
        <f>AND(#REF!,"AAAAAHv4Xg4=")</f>
        <v>#REF!</v>
      </c>
      <c r="P147" t="e">
        <f>AND(#REF!,"AAAAAHv4Xg8=")</f>
        <v>#REF!</v>
      </c>
      <c r="Q147" t="e">
        <f>AND(#REF!,"AAAAAHv4XhA=")</f>
        <v>#REF!</v>
      </c>
      <c r="R147" t="e">
        <f>AND(#REF!,"AAAAAHv4XhE=")</f>
        <v>#REF!</v>
      </c>
      <c r="S147" t="e">
        <f>IF(#REF!,"AAAAAHv4XhI=",0)</f>
        <v>#REF!</v>
      </c>
      <c r="T147" t="e">
        <f>AND(#REF!,"AAAAAHv4XhM=")</f>
        <v>#REF!</v>
      </c>
      <c r="U147" t="e">
        <f>AND(#REF!,"AAAAAHv4XhQ=")</f>
        <v>#REF!</v>
      </c>
      <c r="V147" t="e">
        <f>AND(#REF!,"AAAAAHv4XhU=")</f>
        <v>#REF!</v>
      </c>
      <c r="W147" t="e">
        <f>AND(#REF!,"AAAAAHv4XhY=")</f>
        <v>#REF!</v>
      </c>
      <c r="X147" t="e">
        <f>AND(#REF!,"AAAAAHv4Xhc=")</f>
        <v>#REF!</v>
      </c>
      <c r="Y147" t="e">
        <f>AND(#REF!,"AAAAAHv4Xhg=")</f>
        <v>#REF!</v>
      </c>
      <c r="Z147" t="e">
        <f>AND(#REF!,"AAAAAHv4Xhk=")</f>
        <v>#REF!</v>
      </c>
      <c r="AA147" t="e">
        <f>AND(#REF!,"AAAAAHv4Xho=")</f>
        <v>#REF!</v>
      </c>
      <c r="AB147" t="e">
        <f>AND(#REF!,"AAAAAHv4Xhs=")</f>
        <v>#REF!</v>
      </c>
      <c r="AC147" t="e">
        <f>AND(#REF!,"AAAAAHv4Xhw=")</f>
        <v>#REF!</v>
      </c>
      <c r="AD147" t="e">
        <f>AND(#REF!,"AAAAAHv4Xh0=")</f>
        <v>#REF!</v>
      </c>
      <c r="AE147" t="e">
        <f>AND(#REF!,"AAAAAHv4Xh4=")</f>
        <v>#REF!</v>
      </c>
      <c r="AF147" t="e">
        <f>AND(#REF!,"AAAAAHv4Xh8=")</f>
        <v>#REF!</v>
      </c>
      <c r="AG147" t="e">
        <f>AND(#REF!,"AAAAAHv4XiA=")</f>
        <v>#REF!</v>
      </c>
      <c r="AH147" t="e">
        <f>AND(#REF!,"AAAAAHv4XiE=")</f>
        <v>#REF!</v>
      </c>
      <c r="AI147" t="e">
        <f>AND(#REF!,"AAAAAHv4XiI=")</f>
        <v>#REF!</v>
      </c>
      <c r="AJ147" t="e">
        <f>AND(#REF!,"AAAAAHv4XiM=")</f>
        <v>#REF!</v>
      </c>
      <c r="AK147" t="e">
        <f>AND(#REF!,"AAAAAHv4XiQ=")</f>
        <v>#REF!</v>
      </c>
      <c r="AL147" t="e">
        <f>AND(#REF!,"AAAAAHv4XiU=")</f>
        <v>#REF!</v>
      </c>
      <c r="AM147" t="e">
        <f>AND(#REF!,"AAAAAHv4XiY=")</f>
        <v>#REF!</v>
      </c>
      <c r="AN147" t="e">
        <f>AND(#REF!,"AAAAAHv4Xic=")</f>
        <v>#REF!</v>
      </c>
      <c r="AO147" t="e">
        <f>AND(#REF!,"AAAAAHv4Xig=")</f>
        <v>#REF!</v>
      </c>
      <c r="AP147" t="e">
        <f>IF(#REF!,"AAAAAHv4Xik=",0)</f>
        <v>#REF!</v>
      </c>
      <c r="AQ147" t="e">
        <f>AND(#REF!,"AAAAAHv4Xio=")</f>
        <v>#REF!</v>
      </c>
      <c r="AR147" t="e">
        <f>AND(#REF!,"AAAAAHv4Xis=")</f>
        <v>#REF!</v>
      </c>
      <c r="AS147" t="e">
        <f>AND(#REF!,"AAAAAHv4Xiw=")</f>
        <v>#REF!</v>
      </c>
      <c r="AT147" t="e">
        <f>AND(#REF!,"AAAAAHv4Xi0=")</f>
        <v>#REF!</v>
      </c>
      <c r="AU147" t="e">
        <f>AND(#REF!,"AAAAAHv4Xi4=")</f>
        <v>#REF!</v>
      </c>
      <c r="AV147" t="e">
        <f>AND(#REF!,"AAAAAHv4Xi8=")</f>
        <v>#REF!</v>
      </c>
      <c r="AW147" t="e">
        <f>AND(#REF!,"AAAAAHv4XjA=")</f>
        <v>#REF!</v>
      </c>
      <c r="AX147" t="e">
        <f>AND(#REF!,"AAAAAHv4XjE=")</f>
        <v>#REF!</v>
      </c>
      <c r="AY147" t="e">
        <f>AND(#REF!,"AAAAAHv4XjI=")</f>
        <v>#REF!</v>
      </c>
      <c r="AZ147" t="e">
        <f>AND(#REF!,"AAAAAHv4XjM=")</f>
        <v>#REF!</v>
      </c>
      <c r="BA147" t="e">
        <f>AND(#REF!,"AAAAAHv4XjQ=")</f>
        <v>#REF!</v>
      </c>
      <c r="BB147" t="e">
        <f>AND(#REF!,"AAAAAHv4XjU=")</f>
        <v>#REF!</v>
      </c>
      <c r="BC147" t="e">
        <f>AND(#REF!,"AAAAAHv4XjY=")</f>
        <v>#REF!</v>
      </c>
      <c r="BD147" t="e">
        <f>AND(#REF!,"AAAAAHv4Xjc=")</f>
        <v>#REF!</v>
      </c>
      <c r="BE147" t="e">
        <f>AND(#REF!,"AAAAAHv4Xjg=")</f>
        <v>#REF!</v>
      </c>
      <c r="BF147" t="e">
        <f>AND(#REF!,"AAAAAHv4Xjk=")</f>
        <v>#REF!</v>
      </c>
      <c r="BG147" t="e">
        <f>AND(#REF!,"AAAAAHv4Xjo=")</f>
        <v>#REF!</v>
      </c>
      <c r="BH147" t="e">
        <f>AND(#REF!,"AAAAAHv4Xjs=")</f>
        <v>#REF!</v>
      </c>
      <c r="BI147" t="e">
        <f>AND(#REF!,"AAAAAHv4Xjw=")</f>
        <v>#REF!</v>
      </c>
      <c r="BJ147" t="e">
        <f>AND(#REF!,"AAAAAHv4Xj0=")</f>
        <v>#REF!</v>
      </c>
      <c r="BK147" t="e">
        <f>AND(#REF!,"AAAAAHv4Xj4=")</f>
        <v>#REF!</v>
      </c>
      <c r="BL147" t="e">
        <f>AND(#REF!,"AAAAAHv4Xj8=")</f>
        <v>#REF!</v>
      </c>
      <c r="BM147" t="e">
        <f>IF(#REF!,"AAAAAHv4XkA=",0)</f>
        <v>#REF!</v>
      </c>
      <c r="BN147" t="e">
        <f>AND(#REF!,"AAAAAHv4XkE=")</f>
        <v>#REF!</v>
      </c>
      <c r="BO147" t="e">
        <f>AND(#REF!,"AAAAAHv4XkI=")</f>
        <v>#REF!</v>
      </c>
      <c r="BP147" t="e">
        <f>AND(#REF!,"AAAAAHv4XkM=")</f>
        <v>#REF!</v>
      </c>
      <c r="BQ147" t="e">
        <f>AND(#REF!,"AAAAAHv4XkQ=")</f>
        <v>#REF!</v>
      </c>
      <c r="BR147" t="e">
        <f>AND(#REF!,"AAAAAHv4XkU=")</f>
        <v>#REF!</v>
      </c>
      <c r="BS147" t="e">
        <f>AND(#REF!,"AAAAAHv4XkY=")</f>
        <v>#REF!</v>
      </c>
      <c r="BT147" t="e">
        <f>AND(#REF!,"AAAAAHv4Xkc=")</f>
        <v>#REF!</v>
      </c>
      <c r="BU147" t="e">
        <f>AND(#REF!,"AAAAAHv4Xkg=")</f>
        <v>#REF!</v>
      </c>
      <c r="BV147" t="e">
        <f>AND(#REF!,"AAAAAHv4Xkk=")</f>
        <v>#REF!</v>
      </c>
      <c r="BW147" t="e">
        <f>AND(#REF!,"AAAAAHv4Xko=")</f>
        <v>#REF!</v>
      </c>
      <c r="BX147" t="e">
        <f>AND(#REF!,"AAAAAHv4Xks=")</f>
        <v>#REF!</v>
      </c>
      <c r="BY147" t="e">
        <f>AND(#REF!,"AAAAAHv4Xkw=")</f>
        <v>#REF!</v>
      </c>
      <c r="BZ147" t="e">
        <f>AND(#REF!,"AAAAAHv4Xk0=")</f>
        <v>#REF!</v>
      </c>
      <c r="CA147" t="e">
        <f>AND(#REF!,"AAAAAHv4Xk4=")</f>
        <v>#REF!</v>
      </c>
      <c r="CB147" t="e">
        <f>AND(#REF!,"AAAAAHv4Xk8=")</f>
        <v>#REF!</v>
      </c>
      <c r="CC147" t="e">
        <f>AND(#REF!,"AAAAAHv4XlA=")</f>
        <v>#REF!</v>
      </c>
      <c r="CD147" t="e">
        <f>AND(#REF!,"AAAAAHv4XlE=")</f>
        <v>#REF!</v>
      </c>
      <c r="CE147" t="e">
        <f>AND(#REF!,"AAAAAHv4XlI=")</f>
        <v>#REF!</v>
      </c>
      <c r="CF147" t="e">
        <f>AND(#REF!,"AAAAAHv4XlM=")</f>
        <v>#REF!</v>
      </c>
      <c r="CG147" t="e">
        <f>AND(#REF!,"AAAAAHv4XlQ=")</f>
        <v>#REF!</v>
      </c>
      <c r="CH147" t="e">
        <f>AND(#REF!,"AAAAAHv4XlU=")</f>
        <v>#REF!</v>
      </c>
      <c r="CI147" t="e">
        <f>AND(#REF!,"AAAAAHv4XlY=")</f>
        <v>#REF!</v>
      </c>
      <c r="CJ147" t="e">
        <f>IF(#REF!,"AAAAAHv4Xlc=",0)</f>
        <v>#REF!</v>
      </c>
      <c r="CK147" t="e">
        <f>AND(#REF!,"AAAAAHv4Xlg=")</f>
        <v>#REF!</v>
      </c>
      <c r="CL147" t="e">
        <f>AND(#REF!,"AAAAAHv4Xlk=")</f>
        <v>#REF!</v>
      </c>
      <c r="CM147" t="e">
        <f>AND(#REF!,"AAAAAHv4Xlo=")</f>
        <v>#REF!</v>
      </c>
      <c r="CN147" t="e">
        <f>AND(#REF!,"AAAAAHv4Xls=")</f>
        <v>#REF!</v>
      </c>
      <c r="CO147" t="e">
        <f>AND(#REF!,"AAAAAHv4Xlw=")</f>
        <v>#REF!</v>
      </c>
      <c r="CP147" t="e">
        <f>AND(#REF!,"AAAAAHv4Xl0=")</f>
        <v>#REF!</v>
      </c>
      <c r="CQ147" t="e">
        <f>AND(#REF!,"AAAAAHv4Xl4=")</f>
        <v>#REF!</v>
      </c>
      <c r="CR147" t="e">
        <f>AND(#REF!,"AAAAAHv4Xl8=")</f>
        <v>#REF!</v>
      </c>
      <c r="CS147" t="e">
        <f>AND(#REF!,"AAAAAHv4XmA=")</f>
        <v>#REF!</v>
      </c>
      <c r="CT147" t="e">
        <f>AND(#REF!,"AAAAAHv4XmE=")</f>
        <v>#REF!</v>
      </c>
      <c r="CU147" t="e">
        <f>AND(#REF!,"AAAAAHv4XmI=")</f>
        <v>#REF!</v>
      </c>
      <c r="CV147" t="e">
        <f>AND(#REF!,"AAAAAHv4XmM=")</f>
        <v>#REF!</v>
      </c>
      <c r="CW147" t="e">
        <f>AND(#REF!,"AAAAAHv4XmQ=")</f>
        <v>#REF!</v>
      </c>
      <c r="CX147" t="e">
        <f>AND(#REF!,"AAAAAHv4XmU=")</f>
        <v>#REF!</v>
      </c>
      <c r="CY147" t="e">
        <f>AND(#REF!,"AAAAAHv4XmY=")</f>
        <v>#REF!</v>
      </c>
      <c r="CZ147" t="e">
        <f>AND(#REF!,"AAAAAHv4Xmc=")</f>
        <v>#REF!</v>
      </c>
      <c r="DA147" t="e">
        <f>AND(#REF!,"AAAAAHv4Xmg=")</f>
        <v>#REF!</v>
      </c>
      <c r="DB147" t="e">
        <f>AND(#REF!,"AAAAAHv4Xmk=")</f>
        <v>#REF!</v>
      </c>
      <c r="DC147" t="e">
        <f>AND(#REF!,"AAAAAHv4Xmo=")</f>
        <v>#REF!</v>
      </c>
      <c r="DD147" t="e">
        <f>AND(#REF!,"AAAAAHv4Xms=")</f>
        <v>#REF!</v>
      </c>
      <c r="DE147" t="e">
        <f>AND(#REF!,"AAAAAHv4Xmw=")</f>
        <v>#REF!</v>
      </c>
      <c r="DF147" t="e">
        <f>AND(#REF!,"AAAAAHv4Xm0=")</f>
        <v>#REF!</v>
      </c>
      <c r="DG147" t="e">
        <f>IF(#REF!,"AAAAAHv4Xm4=",0)</f>
        <v>#REF!</v>
      </c>
      <c r="DH147" t="e">
        <f>AND(#REF!,"AAAAAHv4Xm8=")</f>
        <v>#REF!</v>
      </c>
      <c r="DI147" t="e">
        <f>AND(#REF!,"AAAAAHv4XnA=")</f>
        <v>#REF!</v>
      </c>
      <c r="DJ147" t="e">
        <f>AND(#REF!,"AAAAAHv4XnE=")</f>
        <v>#REF!</v>
      </c>
      <c r="DK147" t="e">
        <f>AND(#REF!,"AAAAAHv4XnI=")</f>
        <v>#REF!</v>
      </c>
      <c r="DL147" t="e">
        <f>AND(#REF!,"AAAAAHv4XnM=")</f>
        <v>#REF!</v>
      </c>
      <c r="DM147" t="e">
        <f>AND(#REF!,"AAAAAHv4XnQ=")</f>
        <v>#REF!</v>
      </c>
      <c r="DN147" t="e">
        <f>AND(#REF!,"AAAAAHv4XnU=")</f>
        <v>#REF!</v>
      </c>
      <c r="DO147" t="e">
        <f>AND(#REF!,"AAAAAHv4XnY=")</f>
        <v>#REF!</v>
      </c>
      <c r="DP147" t="e">
        <f>AND(#REF!,"AAAAAHv4Xnc=")</f>
        <v>#REF!</v>
      </c>
      <c r="DQ147" t="e">
        <f>AND(#REF!,"AAAAAHv4Xng=")</f>
        <v>#REF!</v>
      </c>
      <c r="DR147" t="e">
        <f>AND(#REF!,"AAAAAHv4Xnk=")</f>
        <v>#REF!</v>
      </c>
      <c r="DS147" t="e">
        <f>AND(#REF!,"AAAAAHv4Xno=")</f>
        <v>#REF!</v>
      </c>
      <c r="DT147" t="e">
        <f>AND(#REF!,"AAAAAHv4Xns=")</f>
        <v>#REF!</v>
      </c>
      <c r="DU147" t="e">
        <f>AND(#REF!,"AAAAAHv4Xnw=")</f>
        <v>#REF!</v>
      </c>
      <c r="DV147" t="e">
        <f>AND(#REF!,"AAAAAHv4Xn0=")</f>
        <v>#REF!</v>
      </c>
      <c r="DW147" t="e">
        <f>AND(#REF!,"AAAAAHv4Xn4=")</f>
        <v>#REF!</v>
      </c>
      <c r="DX147" t="e">
        <f>AND(#REF!,"AAAAAHv4Xn8=")</f>
        <v>#REF!</v>
      </c>
      <c r="DY147" t="e">
        <f>AND(#REF!,"AAAAAHv4XoA=")</f>
        <v>#REF!</v>
      </c>
      <c r="DZ147" t="e">
        <f>AND(#REF!,"AAAAAHv4XoE=")</f>
        <v>#REF!</v>
      </c>
      <c r="EA147" t="e">
        <f>AND(#REF!,"AAAAAHv4XoI=")</f>
        <v>#REF!</v>
      </c>
      <c r="EB147" t="e">
        <f>AND(#REF!,"AAAAAHv4XoM=")</f>
        <v>#REF!</v>
      </c>
      <c r="EC147" t="e">
        <f>AND(#REF!,"AAAAAHv4XoQ=")</f>
        <v>#REF!</v>
      </c>
      <c r="ED147" t="e">
        <f>IF(#REF!,"AAAAAHv4XoU=",0)</f>
        <v>#REF!</v>
      </c>
      <c r="EE147" t="e">
        <f>AND(#REF!,"AAAAAHv4XoY=")</f>
        <v>#REF!</v>
      </c>
      <c r="EF147" t="e">
        <f>AND(#REF!,"AAAAAHv4Xoc=")</f>
        <v>#REF!</v>
      </c>
      <c r="EG147" t="e">
        <f>AND(#REF!,"AAAAAHv4Xog=")</f>
        <v>#REF!</v>
      </c>
      <c r="EH147" t="e">
        <f>AND(#REF!,"AAAAAHv4Xok=")</f>
        <v>#REF!</v>
      </c>
      <c r="EI147" t="e">
        <f>AND(#REF!,"AAAAAHv4Xoo=")</f>
        <v>#REF!</v>
      </c>
      <c r="EJ147" t="e">
        <f>AND(#REF!,"AAAAAHv4Xos=")</f>
        <v>#REF!</v>
      </c>
      <c r="EK147" t="e">
        <f>AND(#REF!,"AAAAAHv4Xow=")</f>
        <v>#REF!</v>
      </c>
      <c r="EL147" t="e">
        <f>AND(#REF!,"AAAAAHv4Xo0=")</f>
        <v>#REF!</v>
      </c>
      <c r="EM147" t="e">
        <f>AND(#REF!,"AAAAAHv4Xo4=")</f>
        <v>#REF!</v>
      </c>
      <c r="EN147" t="e">
        <f>AND(#REF!,"AAAAAHv4Xo8=")</f>
        <v>#REF!</v>
      </c>
      <c r="EO147" t="e">
        <f>AND(#REF!,"AAAAAHv4XpA=")</f>
        <v>#REF!</v>
      </c>
      <c r="EP147" t="e">
        <f>AND(#REF!,"AAAAAHv4XpE=")</f>
        <v>#REF!</v>
      </c>
      <c r="EQ147" t="e">
        <f>AND(#REF!,"AAAAAHv4XpI=")</f>
        <v>#REF!</v>
      </c>
      <c r="ER147" t="e">
        <f>AND(#REF!,"AAAAAHv4XpM=")</f>
        <v>#REF!</v>
      </c>
      <c r="ES147" t="e">
        <f>AND(#REF!,"AAAAAHv4XpQ=")</f>
        <v>#REF!</v>
      </c>
      <c r="ET147" t="e">
        <f>AND(#REF!,"AAAAAHv4XpU=")</f>
        <v>#REF!</v>
      </c>
      <c r="EU147" t="e">
        <f>AND(#REF!,"AAAAAHv4XpY=")</f>
        <v>#REF!</v>
      </c>
      <c r="EV147" t="e">
        <f>AND(#REF!,"AAAAAHv4Xpc=")</f>
        <v>#REF!</v>
      </c>
      <c r="EW147" t="e">
        <f>AND(#REF!,"AAAAAHv4Xpg=")</f>
        <v>#REF!</v>
      </c>
      <c r="EX147" t="e">
        <f>AND(#REF!,"AAAAAHv4Xpk=")</f>
        <v>#REF!</v>
      </c>
      <c r="EY147" t="e">
        <f>AND(#REF!,"AAAAAHv4Xpo=")</f>
        <v>#REF!</v>
      </c>
      <c r="EZ147" t="e">
        <f>AND(#REF!,"AAAAAHv4Xps=")</f>
        <v>#REF!</v>
      </c>
      <c r="FA147" t="e">
        <f>IF(#REF!,"AAAAAHv4Xpw=",0)</f>
        <v>#REF!</v>
      </c>
      <c r="FB147" t="e">
        <f>AND(#REF!,"AAAAAHv4Xp0=")</f>
        <v>#REF!</v>
      </c>
      <c r="FC147" t="e">
        <f>AND(#REF!,"AAAAAHv4Xp4=")</f>
        <v>#REF!</v>
      </c>
      <c r="FD147" t="e">
        <f>AND(#REF!,"AAAAAHv4Xp8=")</f>
        <v>#REF!</v>
      </c>
      <c r="FE147" t="e">
        <f>AND(#REF!,"AAAAAHv4XqA=")</f>
        <v>#REF!</v>
      </c>
      <c r="FF147" t="e">
        <f>AND(#REF!,"AAAAAHv4XqE=")</f>
        <v>#REF!</v>
      </c>
      <c r="FG147" t="e">
        <f>AND(#REF!,"AAAAAHv4XqI=")</f>
        <v>#REF!</v>
      </c>
      <c r="FH147" t="e">
        <f>AND(#REF!,"AAAAAHv4XqM=")</f>
        <v>#REF!</v>
      </c>
      <c r="FI147" t="e">
        <f>AND(#REF!,"AAAAAHv4XqQ=")</f>
        <v>#REF!</v>
      </c>
      <c r="FJ147" t="e">
        <f>AND(#REF!,"AAAAAHv4XqU=")</f>
        <v>#REF!</v>
      </c>
      <c r="FK147" t="e">
        <f>AND(#REF!,"AAAAAHv4XqY=")</f>
        <v>#REF!</v>
      </c>
      <c r="FL147" t="e">
        <f>AND(#REF!,"AAAAAHv4Xqc=")</f>
        <v>#REF!</v>
      </c>
      <c r="FM147" t="e">
        <f>AND(#REF!,"AAAAAHv4Xqg=")</f>
        <v>#REF!</v>
      </c>
      <c r="FN147" t="e">
        <f>AND(#REF!,"AAAAAHv4Xqk=")</f>
        <v>#REF!</v>
      </c>
      <c r="FO147" t="e">
        <f>AND(#REF!,"AAAAAHv4Xqo=")</f>
        <v>#REF!</v>
      </c>
      <c r="FP147" t="e">
        <f>AND(#REF!,"AAAAAHv4Xqs=")</f>
        <v>#REF!</v>
      </c>
      <c r="FQ147" t="e">
        <f>AND(#REF!,"AAAAAHv4Xqw=")</f>
        <v>#REF!</v>
      </c>
      <c r="FR147" t="e">
        <f>AND(#REF!,"AAAAAHv4Xq0=")</f>
        <v>#REF!</v>
      </c>
      <c r="FS147" t="e">
        <f>AND(#REF!,"AAAAAHv4Xq4=")</f>
        <v>#REF!</v>
      </c>
      <c r="FT147" t="e">
        <f>AND(#REF!,"AAAAAHv4Xq8=")</f>
        <v>#REF!</v>
      </c>
      <c r="FU147" t="e">
        <f>AND(#REF!,"AAAAAHv4XrA=")</f>
        <v>#REF!</v>
      </c>
      <c r="FV147" t="e">
        <f>AND(#REF!,"AAAAAHv4XrE=")</f>
        <v>#REF!</v>
      </c>
      <c r="FW147" t="e">
        <f>AND(#REF!,"AAAAAHv4XrI=")</f>
        <v>#REF!</v>
      </c>
      <c r="FX147" t="e">
        <f>IF(#REF!,"AAAAAHv4XrM=",0)</f>
        <v>#REF!</v>
      </c>
      <c r="FY147" t="e">
        <f>AND(#REF!,"AAAAAHv4XrQ=")</f>
        <v>#REF!</v>
      </c>
      <c r="FZ147" t="e">
        <f>AND(#REF!,"AAAAAHv4XrU=")</f>
        <v>#REF!</v>
      </c>
      <c r="GA147" t="e">
        <f>AND(#REF!,"AAAAAHv4XrY=")</f>
        <v>#REF!</v>
      </c>
      <c r="GB147" t="e">
        <f>AND(#REF!,"AAAAAHv4Xrc=")</f>
        <v>#REF!</v>
      </c>
      <c r="GC147" t="e">
        <f>AND(#REF!,"AAAAAHv4Xrg=")</f>
        <v>#REF!</v>
      </c>
      <c r="GD147" t="e">
        <f>AND(#REF!,"AAAAAHv4Xrk=")</f>
        <v>#REF!</v>
      </c>
      <c r="GE147" t="e">
        <f>AND(#REF!,"AAAAAHv4Xro=")</f>
        <v>#REF!</v>
      </c>
      <c r="GF147" t="e">
        <f>AND(#REF!,"AAAAAHv4Xrs=")</f>
        <v>#REF!</v>
      </c>
      <c r="GG147" t="e">
        <f>AND(#REF!,"AAAAAHv4Xrw=")</f>
        <v>#REF!</v>
      </c>
      <c r="GH147" t="e">
        <f>AND(#REF!,"AAAAAHv4Xr0=")</f>
        <v>#REF!</v>
      </c>
      <c r="GI147" t="e">
        <f>AND(#REF!,"AAAAAHv4Xr4=")</f>
        <v>#REF!</v>
      </c>
      <c r="GJ147" t="e">
        <f>AND(#REF!,"AAAAAHv4Xr8=")</f>
        <v>#REF!</v>
      </c>
      <c r="GK147" t="e">
        <f>AND(#REF!,"AAAAAHv4XsA=")</f>
        <v>#REF!</v>
      </c>
      <c r="GL147" t="e">
        <f>AND(#REF!,"AAAAAHv4XsE=")</f>
        <v>#REF!</v>
      </c>
      <c r="GM147" t="e">
        <f>AND(#REF!,"AAAAAHv4XsI=")</f>
        <v>#REF!</v>
      </c>
      <c r="GN147" t="e">
        <f>AND(#REF!,"AAAAAHv4XsM=")</f>
        <v>#REF!</v>
      </c>
      <c r="GO147" t="e">
        <f>AND(#REF!,"AAAAAHv4XsQ=")</f>
        <v>#REF!</v>
      </c>
      <c r="GP147" t="e">
        <f>AND(#REF!,"AAAAAHv4XsU=")</f>
        <v>#REF!</v>
      </c>
      <c r="GQ147" t="e">
        <f>AND(#REF!,"AAAAAHv4XsY=")</f>
        <v>#REF!</v>
      </c>
      <c r="GR147" t="e">
        <f>AND(#REF!,"AAAAAHv4Xsc=")</f>
        <v>#REF!</v>
      </c>
      <c r="GS147" t="e">
        <f>AND(#REF!,"AAAAAHv4Xsg=")</f>
        <v>#REF!</v>
      </c>
      <c r="GT147" t="e">
        <f>AND(#REF!,"AAAAAHv4Xsk=")</f>
        <v>#REF!</v>
      </c>
      <c r="GU147" t="e">
        <f>IF(#REF!,"AAAAAHv4Xso=",0)</f>
        <v>#REF!</v>
      </c>
      <c r="GV147" t="e">
        <f>AND(#REF!,"AAAAAHv4Xss=")</f>
        <v>#REF!</v>
      </c>
      <c r="GW147" t="e">
        <f>AND(#REF!,"AAAAAHv4Xsw=")</f>
        <v>#REF!</v>
      </c>
      <c r="GX147" t="e">
        <f>AND(#REF!,"AAAAAHv4Xs0=")</f>
        <v>#REF!</v>
      </c>
      <c r="GY147" t="e">
        <f>AND(#REF!,"AAAAAHv4Xs4=")</f>
        <v>#REF!</v>
      </c>
      <c r="GZ147" t="e">
        <f>AND(#REF!,"AAAAAHv4Xs8=")</f>
        <v>#REF!</v>
      </c>
      <c r="HA147" t="e">
        <f>AND(#REF!,"AAAAAHv4XtA=")</f>
        <v>#REF!</v>
      </c>
      <c r="HB147" t="e">
        <f>AND(#REF!,"AAAAAHv4XtE=")</f>
        <v>#REF!</v>
      </c>
      <c r="HC147" t="e">
        <f>AND(#REF!,"AAAAAHv4XtI=")</f>
        <v>#REF!</v>
      </c>
      <c r="HD147" t="e">
        <f>AND(#REF!,"AAAAAHv4XtM=")</f>
        <v>#REF!</v>
      </c>
      <c r="HE147" t="e">
        <f>AND(#REF!,"AAAAAHv4XtQ=")</f>
        <v>#REF!</v>
      </c>
      <c r="HF147" t="e">
        <f>AND(#REF!,"AAAAAHv4XtU=")</f>
        <v>#REF!</v>
      </c>
      <c r="HG147" t="e">
        <f>AND(#REF!,"AAAAAHv4XtY=")</f>
        <v>#REF!</v>
      </c>
      <c r="HH147" t="e">
        <f>AND(#REF!,"AAAAAHv4Xtc=")</f>
        <v>#REF!</v>
      </c>
      <c r="HI147" t="e">
        <f>AND(#REF!,"AAAAAHv4Xtg=")</f>
        <v>#REF!</v>
      </c>
      <c r="HJ147" t="e">
        <f>AND(#REF!,"AAAAAHv4Xtk=")</f>
        <v>#REF!</v>
      </c>
      <c r="HK147" t="e">
        <f>AND(#REF!,"AAAAAHv4Xto=")</f>
        <v>#REF!</v>
      </c>
      <c r="HL147" t="e">
        <f>AND(#REF!,"AAAAAHv4Xts=")</f>
        <v>#REF!</v>
      </c>
      <c r="HM147" t="e">
        <f>AND(#REF!,"AAAAAHv4Xtw=")</f>
        <v>#REF!</v>
      </c>
      <c r="HN147" t="e">
        <f>AND(#REF!,"AAAAAHv4Xt0=")</f>
        <v>#REF!</v>
      </c>
      <c r="HO147" t="e">
        <f>AND(#REF!,"AAAAAHv4Xt4=")</f>
        <v>#REF!</v>
      </c>
      <c r="HP147" t="e">
        <f>AND(#REF!,"AAAAAHv4Xt8=")</f>
        <v>#REF!</v>
      </c>
      <c r="HQ147" t="e">
        <f>AND(#REF!,"AAAAAHv4XuA=")</f>
        <v>#REF!</v>
      </c>
      <c r="HR147" t="e">
        <f>IF(#REF!,"AAAAAHv4XuE=",0)</f>
        <v>#REF!</v>
      </c>
      <c r="HS147" t="e">
        <f>AND(#REF!,"AAAAAHv4XuI=")</f>
        <v>#REF!</v>
      </c>
      <c r="HT147" t="e">
        <f>AND(#REF!,"AAAAAHv4XuM=")</f>
        <v>#REF!</v>
      </c>
      <c r="HU147" t="e">
        <f>AND(#REF!,"AAAAAHv4XuQ=")</f>
        <v>#REF!</v>
      </c>
      <c r="HV147" t="e">
        <f>AND(#REF!,"AAAAAHv4XuU=")</f>
        <v>#REF!</v>
      </c>
      <c r="HW147" t="e">
        <f>AND(#REF!,"AAAAAHv4XuY=")</f>
        <v>#REF!</v>
      </c>
      <c r="HX147" t="e">
        <f>AND(#REF!,"AAAAAHv4Xuc=")</f>
        <v>#REF!</v>
      </c>
      <c r="HY147" t="e">
        <f>AND(#REF!,"AAAAAHv4Xug=")</f>
        <v>#REF!</v>
      </c>
      <c r="HZ147" t="e">
        <f>AND(#REF!,"AAAAAHv4Xuk=")</f>
        <v>#REF!</v>
      </c>
      <c r="IA147" t="e">
        <f>AND(#REF!,"AAAAAHv4Xuo=")</f>
        <v>#REF!</v>
      </c>
      <c r="IB147" t="e">
        <f>AND(#REF!,"AAAAAHv4Xus=")</f>
        <v>#REF!</v>
      </c>
      <c r="IC147" t="e">
        <f>AND(#REF!,"AAAAAHv4Xuw=")</f>
        <v>#REF!</v>
      </c>
      <c r="ID147" t="e">
        <f>AND(#REF!,"AAAAAHv4Xu0=")</f>
        <v>#REF!</v>
      </c>
      <c r="IE147" t="e">
        <f>AND(#REF!,"AAAAAHv4Xu4=")</f>
        <v>#REF!</v>
      </c>
      <c r="IF147" t="e">
        <f>AND(#REF!,"AAAAAHv4Xu8=")</f>
        <v>#REF!</v>
      </c>
      <c r="IG147" t="e">
        <f>AND(#REF!,"AAAAAHv4XvA=")</f>
        <v>#REF!</v>
      </c>
      <c r="IH147" t="e">
        <f>AND(#REF!,"AAAAAHv4XvE=")</f>
        <v>#REF!</v>
      </c>
      <c r="II147" t="e">
        <f>AND(#REF!,"AAAAAHv4XvI=")</f>
        <v>#REF!</v>
      </c>
      <c r="IJ147" t="e">
        <f>AND(#REF!,"AAAAAHv4XvM=")</f>
        <v>#REF!</v>
      </c>
      <c r="IK147" t="e">
        <f>AND(#REF!,"AAAAAHv4XvQ=")</f>
        <v>#REF!</v>
      </c>
      <c r="IL147" t="e">
        <f>AND(#REF!,"AAAAAHv4XvU=")</f>
        <v>#REF!</v>
      </c>
      <c r="IM147" t="e">
        <f>AND(#REF!,"AAAAAHv4XvY=")</f>
        <v>#REF!</v>
      </c>
      <c r="IN147" t="e">
        <f>AND(#REF!,"AAAAAHv4Xvc=")</f>
        <v>#REF!</v>
      </c>
      <c r="IO147" t="e">
        <f>IF(#REF!,"AAAAAHv4Xvg=",0)</f>
        <v>#REF!</v>
      </c>
      <c r="IP147" t="e">
        <f>AND(#REF!,"AAAAAHv4Xvk=")</f>
        <v>#REF!</v>
      </c>
      <c r="IQ147" t="e">
        <f>AND(#REF!,"AAAAAHv4Xvo=")</f>
        <v>#REF!</v>
      </c>
      <c r="IR147" t="e">
        <f>AND(#REF!,"AAAAAHv4Xvs=")</f>
        <v>#REF!</v>
      </c>
      <c r="IS147" t="e">
        <f>AND(#REF!,"AAAAAHv4Xvw=")</f>
        <v>#REF!</v>
      </c>
      <c r="IT147" t="e">
        <f>AND(#REF!,"AAAAAHv4Xv0=")</f>
        <v>#REF!</v>
      </c>
      <c r="IU147" t="e">
        <f>AND(#REF!,"AAAAAHv4Xv4=")</f>
        <v>#REF!</v>
      </c>
      <c r="IV147" t="e">
        <f>AND(#REF!,"AAAAAHv4Xv8=")</f>
        <v>#REF!</v>
      </c>
    </row>
    <row r="148" spans="1:256" x14ac:dyDescent="0.2">
      <c r="A148" t="e">
        <f>AND(#REF!,"AAAAACN20gA=")</f>
        <v>#REF!</v>
      </c>
      <c r="B148" t="e">
        <f>AND(#REF!,"AAAAACN20gE=")</f>
        <v>#REF!</v>
      </c>
      <c r="C148" t="e">
        <f>AND(#REF!,"AAAAACN20gI=")</f>
        <v>#REF!</v>
      </c>
      <c r="D148" t="e">
        <f>AND(#REF!,"AAAAACN20gM=")</f>
        <v>#REF!</v>
      </c>
      <c r="E148" t="e">
        <f>AND(#REF!,"AAAAACN20gQ=")</f>
        <v>#REF!</v>
      </c>
      <c r="F148" t="e">
        <f>AND(#REF!,"AAAAACN20gU=")</f>
        <v>#REF!</v>
      </c>
      <c r="G148" t="e">
        <f>AND(#REF!,"AAAAACN20gY=")</f>
        <v>#REF!</v>
      </c>
      <c r="H148" t="e">
        <f>AND(#REF!,"AAAAACN20gc=")</f>
        <v>#REF!</v>
      </c>
      <c r="I148" t="e">
        <f>AND(#REF!,"AAAAACN20gg=")</f>
        <v>#REF!</v>
      </c>
      <c r="J148" t="e">
        <f>AND(#REF!,"AAAAACN20gk=")</f>
        <v>#REF!</v>
      </c>
      <c r="K148" t="e">
        <f>AND(#REF!,"AAAAACN20go=")</f>
        <v>#REF!</v>
      </c>
      <c r="L148" t="e">
        <f>AND(#REF!,"AAAAACN20gs=")</f>
        <v>#REF!</v>
      </c>
      <c r="M148" t="e">
        <f>AND(#REF!,"AAAAACN20gw=")</f>
        <v>#REF!</v>
      </c>
      <c r="N148" t="e">
        <f>AND(#REF!,"AAAAACN20g0=")</f>
        <v>#REF!</v>
      </c>
      <c r="O148" t="e">
        <f>AND(#REF!,"AAAAACN20g4=")</f>
        <v>#REF!</v>
      </c>
      <c r="P148" t="e">
        <f>IF(#REF!,"AAAAACN20g8=",0)</f>
        <v>#REF!</v>
      </c>
      <c r="Q148" t="e">
        <f>AND(#REF!,"AAAAACN20hA=")</f>
        <v>#REF!</v>
      </c>
      <c r="R148" t="e">
        <f>AND(#REF!,"AAAAACN20hE=")</f>
        <v>#REF!</v>
      </c>
      <c r="S148" t="e">
        <f>AND(#REF!,"AAAAACN20hI=")</f>
        <v>#REF!</v>
      </c>
      <c r="T148" t="e">
        <f>AND(#REF!,"AAAAACN20hM=")</f>
        <v>#REF!</v>
      </c>
      <c r="U148" t="e">
        <f>AND(#REF!,"AAAAACN20hQ=")</f>
        <v>#REF!</v>
      </c>
      <c r="V148" t="e">
        <f>AND(#REF!,"AAAAACN20hU=")</f>
        <v>#REF!</v>
      </c>
      <c r="W148" t="e">
        <f>AND(#REF!,"AAAAACN20hY=")</f>
        <v>#REF!</v>
      </c>
      <c r="X148" t="e">
        <f>AND(#REF!,"AAAAACN20hc=")</f>
        <v>#REF!</v>
      </c>
      <c r="Y148" t="e">
        <f>AND(#REF!,"AAAAACN20hg=")</f>
        <v>#REF!</v>
      </c>
      <c r="Z148" t="e">
        <f>AND(#REF!,"AAAAACN20hk=")</f>
        <v>#REF!</v>
      </c>
      <c r="AA148" t="e">
        <f>AND(#REF!,"AAAAACN20ho=")</f>
        <v>#REF!</v>
      </c>
      <c r="AB148" t="e">
        <f>AND(#REF!,"AAAAACN20hs=")</f>
        <v>#REF!</v>
      </c>
      <c r="AC148" t="e">
        <f>AND(#REF!,"AAAAACN20hw=")</f>
        <v>#REF!</v>
      </c>
      <c r="AD148" t="e">
        <f>AND(#REF!,"AAAAACN20h0=")</f>
        <v>#REF!</v>
      </c>
      <c r="AE148" t="e">
        <f>AND(#REF!,"AAAAACN20h4=")</f>
        <v>#REF!</v>
      </c>
      <c r="AF148" t="e">
        <f>AND(#REF!,"AAAAACN20h8=")</f>
        <v>#REF!</v>
      </c>
      <c r="AG148" t="e">
        <f>AND(#REF!,"AAAAACN20iA=")</f>
        <v>#REF!</v>
      </c>
      <c r="AH148" t="e">
        <f>AND(#REF!,"AAAAACN20iE=")</f>
        <v>#REF!</v>
      </c>
      <c r="AI148" t="e">
        <f>AND(#REF!,"AAAAACN20iI=")</f>
        <v>#REF!</v>
      </c>
      <c r="AJ148" t="e">
        <f>AND(#REF!,"AAAAACN20iM=")</f>
        <v>#REF!</v>
      </c>
      <c r="AK148" t="e">
        <f>AND(#REF!,"AAAAACN20iQ=")</f>
        <v>#REF!</v>
      </c>
      <c r="AL148" t="e">
        <f>AND(#REF!,"AAAAACN20iU=")</f>
        <v>#REF!</v>
      </c>
      <c r="AM148" t="e">
        <f>IF(#REF!,"AAAAACN20iY=",0)</f>
        <v>#REF!</v>
      </c>
      <c r="AN148" t="e">
        <f>AND(#REF!,"AAAAACN20ic=")</f>
        <v>#REF!</v>
      </c>
      <c r="AO148" t="e">
        <f>AND(#REF!,"AAAAACN20ig=")</f>
        <v>#REF!</v>
      </c>
      <c r="AP148" t="e">
        <f>AND(#REF!,"AAAAACN20ik=")</f>
        <v>#REF!</v>
      </c>
      <c r="AQ148" t="e">
        <f>AND(#REF!,"AAAAACN20io=")</f>
        <v>#REF!</v>
      </c>
      <c r="AR148" t="e">
        <f>AND(#REF!,"AAAAACN20is=")</f>
        <v>#REF!</v>
      </c>
      <c r="AS148" t="e">
        <f>AND(#REF!,"AAAAACN20iw=")</f>
        <v>#REF!</v>
      </c>
      <c r="AT148" t="e">
        <f>AND(#REF!,"AAAAACN20i0=")</f>
        <v>#REF!</v>
      </c>
      <c r="AU148" t="e">
        <f>AND(#REF!,"AAAAACN20i4=")</f>
        <v>#REF!</v>
      </c>
      <c r="AV148" t="e">
        <f>AND(#REF!,"AAAAACN20i8=")</f>
        <v>#REF!</v>
      </c>
      <c r="AW148" t="e">
        <f>AND(#REF!,"AAAAACN20jA=")</f>
        <v>#REF!</v>
      </c>
      <c r="AX148" t="e">
        <f>AND(#REF!,"AAAAACN20jE=")</f>
        <v>#REF!</v>
      </c>
      <c r="AY148" t="e">
        <f>AND(#REF!,"AAAAACN20jI=")</f>
        <v>#REF!</v>
      </c>
      <c r="AZ148" t="e">
        <f>AND(#REF!,"AAAAACN20jM=")</f>
        <v>#REF!</v>
      </c>
      <c r="BA148" t="e">
        <f>AND(#REF!,"AAAAACN20jQ=")</f>
        <v>#REF!</v>
      </c>
      <c r="BB148" t="e">
        <f>AND(#REF!,"AAAAACN20jU=")</f>
        <v>#REF!</v>
      </c>
      <c r="BC148" t="e">
        <f>AND(#REF!,"AAAAACN20jY=")</f>
        <v>#REF!</v>
      </c>
      <c r="BD148" t="e">
        <f>AND(#REF!,"AAAAACN20jc=")</f>
        <v>#REF!</v>
      </c>
      <c r="BE148" t="e">
        <f>AND(#REF!,"AAAAACN20jg=")</f>
        <v>#REF!</v>
      </c>
      <c r="BF148" t="e">
        <f>AND(#REF!,"AAAAACN20jk=")</f>
        <v>#REF!</v>
      </c>
      <c r="BG148" t="e">
        <f>AND(#REF!,"AAAAACN20jo=")</f>
        <v>#REF!</v>
      </c>
      <c r="BH148" t="e">
        <f>AND(#REF!,"AAAAACN20js=")</f>
        <v>#REF!</v>
      </c>
      <c r="BI148" t="e">
        <f>AND(#REF!,"AAAAACN20jw=")</f>
        <v>#REF!</v>
      </c>
      <c r="BJ148" t="e">
        <f>IF(#REF!,"AAAAACN20j0=",0)</f>
        <v>#REF!</v>
      </c>
      <c r="BK148" t="e">
        <f>AND(#REF!,"AAAAACN20j4=")</f>
        <v>#REF!</v>
      </c>
      <c r="BL148" t="e">
        <f>AND(#REF!,"AAAAACN20j8=")</f>
        <v>#REF!</v>
      </c>
      <c r="BM148" t="e">
        <f>AND(#REF!,"AAAAACN20kA=")</f>
        <v>#REF!</v>
      </c>
      <c r="BN148" t="e">
        <f>AND(#REF!,"AAAAACN20kE=")</f>
        <v>#REF!</v>
      </c>
      <c r="BO148" t="e">
        <f>AND(#REF!,"AAAAACN20kI=")</f>
        <v>#REF!</v>
      </c>
      <c r="BP148" t="e">
        <f>AND(#REF!,"AAAAACN20kM=")</f>
        <v>#REF!</v>
      </c>
      <c r="BQ148" t="e">
        <f>AND(#REF!,"AAAAACN20kQ=")</f>
        <v>#REF!</v>
      </c>
      <c r="BR148" t="e">
        <f>AND(#REF!,"AAAAACN20kU=")</f>
        <v>#REF!</v>
      </c>
      <c r="BS148" t="e">
        <f>AND(#REF!,"AAAAACN20kY=")</f>
        <v>#REF!</v>
      </c>
      <c r="BT148" t="e">
        <f>AND(#REF!,"AAAAACN20kc=")</f>
        <v>#REF!</v>
      </c>
      <c r="BU148" t="e">
        <f>AND(#REF!,"AAAAACN20kg=")</f>
        <v>#REF!</v>
      </c>
      <c r="BV148" t="e">
        <f>AND(#REF!,"AAAAACN20kk=")</f>
        <v>#REF!</v>
      </c>
      <c r="BW148" t="e">
        <f>AND(#REF!,"AAAAACN20ko=")</f>
        <v>#REF!</v>
      </c>
      <c r="BX148" t="e">
        <f>AND(#REF!,"AAAAACN20ks=")</f>
        <v>#REF!</v>
      </c>
      <c r="BY148" t="e">
        <f>AND(#REF!,"AAAAACN20kw=")</f>
        <v>#REF!</v>
      </c>
      <c r="BZ148" t="e">
        <f>AND(#REF!,"AAAAACN20k0=")</f>
        <v>#REF!</v>
      </c>
      <c r="CA148" t="e">
        <f>AND(#REF!,"AAAAACN20k4=")</f>
        <v>#REF!</v>
      </c>
      <c r="CB148" t="e">
        <f>AND(#REF!,"AAAAACN20k8=")</f>
        <v>#REF!</v>
      </c>
      <c r="CC148" t="e">
        <f>AND(#REF!,"AAAAACN20lA=")</f>
        <v>#REF!</v>
      </c>
      <c r="CD148" t="e">
        <f>AND(#REF!,"AAAAACN20lE=")</f>
        <v>#REF!</v>
      </c>
      <c r="CE148" t="e">
        <f>AND(#REF!,"AAAAACN20lI=")</f>
        <v>#REF!</v>
      </c>
      <c r="CF148" t="e">
        <f>AND(#REF!,"AAAAACN20lM=")</f>
        <v>#REF!</v>
      </c>
      <c r="CG148" t="e">
        <f>IF(#REF!,"AAAAACN20lQ=",0)</f>
        <v>#REF!</v>
      </c>
      <c r="CH148" t="e">
        <f>AND(#REF!,"AAAAACN20lU=")</f>
        <v>#REF!</v>
      </c>
      <c r="CI148" t="e">
        <f>AND(#REF!,"AAAAACN20lY=")</f>
        <v>#REF!</v>
      </c>
      <c r="CJ148" t="e">
        <f>AND(#REF!,"AAAAACN20lc=")</f>
        <v>#REF!</v>
      </c>
      <c r="CK148" t="e">
        <f>AND(#REF!,"AAAAACN20lg=")</f>
        <v>#REF!</v>
      </c>
      <c r="CL148" t="e">
        <f>AND(#REF!,"AAAAACN20lk=")</f>
        <v>#REF!</v>
      </c>
      <c r="CM148" t="e">
        <f>AND(#REF!,"AAAAACN20lo=")</f>
        <v>#REF!</v>
      </c>
      <c r="CN148" t="e">
        <f>AND(#REF!,"AAAAACN20ls=")</f>
        <v>#REF!</v>
      </c>
      <c r="CO148" t="e">
        <f>AND(#REF!,"AAAAACN20lw=")</f>
        <v>#REF!</v>
      </c>
      <c r="CP148" t="e">
        <f>AND(#REF!,"AAAAACN20l0=")</f>
        <v>#REF!</v>
      </c>
      <c r="CQ148" t="e">
        <f>AND(#REF!,"AAAAACN20l4=")</f>
        <v>#REF!</v>
      </c>
      <c r="CR148" t="e">
        <f>AND(#REF!,"AAAAACN20l8=")</f>
        <v>#REF!</v>
      </c>
      <c r="CS148" t="e">
        <f>AND(#REF!,"AAAAACN20mA=")</f>
        <v>#REF!</v>
      </c>
      <c r="CT148" t="e">
        <f>AND(#REF!,"AAAAACN20mE=")</f>
        <v>#REF!</v>
      </c>
      <c r="CU148" t="e">
        <f>AND(#REF!,"AAAAACN20mI=")</f>
        <v>#REF!</v>
      </c>
      <c r="CV148" t="e">
        <f>AND(#REF!,"AAAAACN20mM=")</f>
        <v>#REF!</v>
      </c>
      <c r="CW148" t="e">
        <f>AND(#REF!,"AAAAACN20mQ=")</f>
        <v>#REF!</v>
      </c>
      <c r="CX148" t="e">
        <f>AND(#REF!,"AAAAACN20mU=")</f>
        <v>#REF!</v>
      </c>
      <c r="CY148" t="e">
        <f>AND(#REF!,"AAAAACN20mY=")</f>
        <v>#REF!</v>
      </c>
      <c r="CZ148" t="e">
        <f>AND(#REF!,"AAAAACN20mc=")</f>
        <v>#REF!</v>
      </c>
      <c r="DA148" t="e">
        <f>AND(#REF!,"AAAAACN20mg=")</f>
        <v>#REF!</v>
      </c>
      <c r="DB148" t="e">
        <f>AND(#REF!,"AAAAACN20mk=")</f>
        <v>#REF!</v>
      </c>
      <c r="DC148" t="e">
        <f>AND(#REF!,"AAAAACN20mo=")</f>
        <v>#REF!</v>
      </c>
      <c r="DD148" t="e">
        <f>IF(#REF!,"AAAAACN20ms=",0)</f>
        <v>#REF!</v>
      </c>
      <c r="DE148" t="e">
        <f>AND(#REF!,"AAAAACN20mw=")</f>
        <v>#REF!</v>
      </c>
      <c r="DF148" t="e">
        <f>AND(#REF!,"AAAAACN20m0=")</f>
        <v>#REF!</v>
      </c>
      <c r="DG148" t="e">
        <f>AND(#REF!,"AAAAACN20m4=")</f>
        <v>#REF!</v>
      </c>
      <c r="DH148" t="e">
        <f>AND(#REF!,"AAAAACN20m8=")</f>
        <v>#REF!</v>
      </c>
      <c r="DI148" t="e">
        <f>AND(#REF!,"AAAAACN20nA=")</f>
        <v>#REF!</v>
      </c>
      <c r="DJ148" t="e">
        <f>AND(#REF!,"AAAAACN20nE=")</f>
        <v>#REF!</v>
      </c>
      <c r="DK148" t="e">
        <f>AND(#REF!,"AAAAACN20nI=")</f>
        <v>#REF!</v>
      </c>
      <c r="DL148" t="e">
        <f>AND(#REF!,"AAAAACN20nM=")</f>
        <v>#REF!</v>
      </c>
      <c r="DM148" t="e">
        <f>AND(#REF!,"AAAAACN20nQ=")</f>
        <v>#REF!</v>
      </c>
      <c r="DN148" t="e">
        <f>AND(#REF!,"AAAAACN20nU=")</f>
        <v>#REF!</v>
      </c>
      <c r="DO148" t="e">
        <f>AND(#REF!,"AAAAACN20nY=")</f>
        <v>#REF!</v>
      </c>
      <c r="DP148" t="e">
        <f>AND(#REF!,"AAAAACN20nc=")</f>
        <v>#REF!</v>
      </c>
      <c r="DQ148" t="e">
        <f>AND(#REF!,"AAAAACN20ng=")</f>
        <v>#REF!</v>
      </c>
      <c r="DR148" t="e">
        <f>AND(#REF!,"AAAAACN20nk=")</f>
        <v>#REF!</v>
      </c>
      <c r="DS148" t="e">
        <f>AND(#REF!,"AAAAACN20no=")</f>
        <v>#REF!</v>
      </c>
      <c r="DT148" t="e">
        <f>AND(#REF!,"AAAAACN20ns=")</f>
        <v>#REF!</v>
      </c>
      <c r="DU148" t="e">
        <f>AND(#REF!,"AAAAACN20nw=")</f>
        <v>#REF!</v>
      </c>
      <c r="DV148" t="e">
        <f>AND(#REF!,"AAAAACN20n0=")</f>
        <v>#REF!</v>
      </c>
      <c r="DW148" t="e">
        <f>AND(#REF!,"AAAAACN20n4=")</f>
        <v>#REF!</v>
      </c>
      <c r="DX148" t="e">
        <f>AND(#REF!,"AAAAACN20n8=")</f>
        <v>#REF!</v>
      </c>
      <c r="DY148" t="e">
        <f>AND(#REF!,"AAAAACN20oA=")</f>
        <v>#REF!</v>
      </c>
      <c r="DZ148" t="e">
        <f>AND(#REF!,"AAAAACN20oE=")</f>
        <v>#REF!</v>
      </c>
      <c r="EA148" t="e">
        <f>IF(#REF!,"AAAAACN20oI=",0)</f>
        <v>#REF!</v>
      </c>
      <c r="EB148" t="e">
        <f>AND(#REF!,"AAAAACN20oM=")</f>
        <v>#REF!</v>
      </c>
      <c r="EC148" t="e">
        <f>AND(#REF!,"AAAAACN20oQ=")</f>
        <v>#REF!</v>
      </c>
      <c r="ED148" t="e">
        <f>AND(#REF!,"AAAAACN20oU=")</f>
        <v>#REF!</v>
      </c>
      <c r="EE148" t="e">
        <f>AND(#REF!,"AAAAACN20oY=")</f>
        <v>#REF!</v>
      </c>
      <c r="EF148" t="e">
        <f>AND(#REF!,"AAAAACN20oc=")</f>
        <v>#REF!</v>
      </c>
      <c r="EG148" t="e">
        <f>AND(#REF!,"AAAAACN20og=")</f>
        <v>#REF!</v>
      </c>
      <c r="EH148" t="e">
        <f>AND(#REF!,"AAAAACN20ok=")</f>
        <v>#REF!</v>
      </c>
      <c r="EI148" t="e">
        <f>AND(#REF!,"AAAAACN20oo=")</f>
        <v>#REF!</v>
      </c>
      <c r="EJ148" t="e">
        <f>AND(#REF!,"AAAAACN20os=")</f>
        <v>#REF!</v>
      </c>
      <c r="EK148" t="e">
        <f>AND(#REF!,"AAAAACN20ow=")</f>
        <v>#REF!</v>
      </c>
      <c r="EL148" t="e">
        <f>AND(#REF!,"AAAAACN20o0=")</f>
        <v>#REF!</v>
      </c>
      <c r="EM148" t="e">
        <f>AND(#REF!,"AAAAACN20o4=")</f>
        <v>#REF!</v>
      </c>
      <c r="EN148" t="e">
        <f>AND(#REF!,"AAAAACN20o8=")</f>
        <v>#REF!</v>
      </c>
      <c r="EO148" t="e">
        <f>AND(#REF!,"AAAAACN20pA=")</f>
        <v>#REF!</v>
      </c>
      <c r="EP148" t="e">
        <f>AND(#REF!,"AAAAACN20pE=")</f>
        <v>#REF!</v>
      </c>
      <c r="EQ148" t="e">
        <f>AND(#REF!,"AAAAACN20pI=")</f>
        <v>#REF!</v>
      </c>
      <c r="ER148" t="e">
        <f>AND(#REF!,"AAAAACN20pM=")</f>
        <v>#REF!</v>
      </c>
      <c r="ES148" t="e">
        <f>AND(#REF!,"AAAAACN20pQ=")</f>
        <v>#REF!</v>
      </c>
      <c r="ET148" t="e">
        <f>AND(#REF!,"AAAAACN20pU=")</f>
        <v>#REF!</v>
      </c>
      <c r="EU148" t="e">
        <f>AND(#REF!,"AAAAACN20pY=")</f>
        <v>#REF!</v>
      </c>
      <c r="EV148" t="e">
        <f>AND(#REF!,"AAAAACN20pc=")</f>
        <v>#REF!</v>
      </c>
      <c r="EW148" t="e">
        <f>AND(#REF!,"AAAAACN20pg=")</f>
        <v>#REF!</v>
      </c>
      <c r="EX148" t="e">
        <f>IF(#REF!,"AAAAACN20pk=",0)</f>
        <v>#REF!</v>
      </c>
      <c r="EY148" t="e">
        <f>AND(#REF!,"AAAAACN20po=")</f>
        <v>#REF!</v>
      </c>
      <c r="EZ148" t="e">
        <f>AND(#REF!,"AAAAACN20ps=")</f>
        <v>#REF!</v>
      </c>
      <c r="FA148" t="e">
        <f>AND(#REF!,"AAAAACN20pw=")</f>
        <v>#REF!</v>
      </c>
      <c r="FB148" t="e">
        <f>AND(#REF!,"AAAAACN20p0=")</f>
        <v>#REF!</v>
      </c>
      <c r="FC148" t="e">
        <f>AND(#REF!,"AAAAACN20p4=")</f>
        <v>#REF!</v>
      </c>
      <c r="FD148" t="e">
        <f>AND(#REF!,"AAAAACN20p8=")</f>
        <v>#REF!</v>
      </c>
      <c r="FE148" t="e">
        <f>AND(#REF!,"AAAAACN20qA=")</f>
        <v>#REF!</v>
      </c>
      <c r="FF148" t="e">
        <f>AND(#REF!,"AAAAACN20qE=")</f>
        <v>#REF!</v>
      </c>
      <c r="FG148" t="e">
        <f>AND(#REF!,"AAAAACN20qI=")</f>
        <v>#REF!</v>
      </c>
      <c r="FH148" t="e">
        <f>AND(#REF!,"AAAAACN20qM=")</f>
        <v>#REF!</v>
      </c>
      <c r="FI148" t="e">
        <f>AND(#REF!,"AAAAACN20qQ=")</f>
        <v>#REF!</v>
      </c>
      <c r="FJ148" t="e">
        <f>AND(#REF!,"AAAAACN20qU=")</f>
        <v>#REF!</v>
      </c>
      <c r="FK148" t="e">
        <f>AND(#REF!,"AAAAACN20qY=")</f>
        <v>#REF!</v>
      </c>
      <c r="FL148" t="e">
        <f>AND(#REF!,"AAAAACN20qc=")</f>
        <v>#REF!</v>
      </c>
      <c r="FM148" t="e">
        <f>AND(#REF!,"AAAAACN20qg=")</f>
        <v>#REF!</v>
      </c>
      <c r="FN148" t="e">
        <f>AND(#REF!,"AAAAACN20qk=")</f>
        <v>#REF!</v>
      </c>
      <c r="FO148" t="e">
        <f>AND(#REF!,"AAAAACN20qo=")</f>
        <v>#REF!</v>
      </c>
      <c r="FP148" t="e">
        <f>AND(#REF!,"AAAAACN20qs=")</f>
        <v>#REF!</v>
      </c>
      <c r="FQ148" t="e">
        <f>AND(#REF!,"AAAAACN20qw=")</f>
        <v>#REF!</v>
      </c>
      <c r="FR148" t="e">
        <f>AND(#REF!,"AAAAACN20q0=")</f>
        <v>#REF!</v>
      </c>
      <c r="FS148" t="e">
        <f>AND(#REF!,"AAAAACN20q4=")</f>
        <v>#REF!</v>
      </c>
      <c r="FT148" t="e">
        <f>AND(#REF!,"AAAAACN20q8=")</f>
        <v>#REF!</v>
      </c>
      <c r="FU148" t="e">
        <f>IF(#REF!,"AAAAACN20rA=",0)</f>
        <v>#REF!</v>
      </c>
      <c r="FV148" t="e">
        <f>AND(#REF!,"AAAAACN20rE=")</f>
        <v>#REF!</v>
      </c>
      <c r="FW148" t="e">
        <f>AND(#REF!,"AAAAACN20rI=")</f>
        <v>#REF!</v>
      </c>
      <c r="FX148" t="e">
        <f>AND(#REF!,"AAAAACN20rM=")</f>
        <v>#REF!</v>
      </c>
      <c r="FY148" t="e">
        <f>AND(#REF!,"AAAAACN20rQ=")</f>
        <v>#REF!</v>
      </c>
      <c r="FZ148" t="e">
        <f>AND(#REF!,"AAAAACN20rU=")</f>
        <v>#REF!</v>
      </c>
      <c r="GA148" t="e">
        <f>AND(#REF!,"AAAAACN20rY=")</f>
        <v>#REF!</v>
      </c>
      <c r="GB148" t="e">
        <f>AND(#REF!,"AAAAACN20rc=")</f>
        <v>#REF!</v>
      </c>
      <c r="GC148" t="e">
        <f>AND(#REF!,"AAAAACN20rg=")</f>
        <v>#REF!</v>
      </c>
      <c r="GD148" t="e">
        <f>AND(#REF!,"AAAAACN20rk=")</f>
        <v>#REF!</v>
      </c>
      <c r="GE148" t="e">
        <f>AND(#REF!,"AAAAACN20ro=")</f>
        <v>#REF!</v>
      </c>
      <c r="GF148" t="e">
        <f>AND(#REF!,"AAAAACN20rs=")</f>
        <v>#REF!</v>
      </c>
      <c r="GG148" t="e">
        <f>AND(#REF!,"AAAAACN20rw=")</f>
        <v>#REF!</v>
      </c>
      <c r="GH148" t="e">
        <f>AND(#REF!,"AAAAACN20r0=")</f>
        <v>#REF!</v>
      </c>
      <c r="GI148" t="e">
        <f>AND(#REF!,"AAAAACN20r4=")</f>
        <v>#REF!</v>
      </c>
      <c r="GJ148" t="e">
        <f>AND(#REF!,"AAAAACN20r8=")</f>
        <v>#REF!</v>
      </c>
      <c r="GK148" t="e">
        <f>AND(#REF!,"AAAAACN20sA=")</f>
        <v>#REF!</v>
      </c>
      <c r="GL148" t="e">
        <f>AND(#REF!,"AAAAACN20sE=")</f>
        <v>#REF!</v>
      </c>
      <c r="GM148" t="e">
        <f>AND(#REF!,"AAAAACN20sI=")</f>
        <v>#REF!</v>
      </c>
      <c r="GN148" t="e">
        <f>AND(#REF!,"AAAAACN20sM=")</f>
        <v>#REF!</v>
      </c>
      <c r="GO148" t="e">
        <f>AND(#REF!,"AAAAACN20sQ=")</f>
        <v>#REF!</v>
      </c>
      <c r="GP148" t="e">
        <f>AND(#REF!,"AAAAACN20sU=")</f>
        <v>#REF!</v>
      </c>
      <c r="GQ148" t="e">
        <f>AND(#REF!,"AAAAACN20sY=")</f>
        <v>#REF!</v>
      </c>
      <c r="GR148" t="e">
        <f>IF(#REF!,"AAAAACN20sc=",0)</f>
        <v>#REF!</v>
      </c>
      <c r="GS148" t="e">
        <f>AND(#REF!,"AAAAACN20sg=")</f>
        <v>#REF!</v>
      </c>
      <c r="GT148" t="e">
        <f>AND(#REF!,"AAAAACN20sk=")</f>
        <v>#REF!</v>
      </c>
      <c r="GU148" t="e">
        <f>AND(#REF!,"AAAAACN20so=")</f>
        <v>#REF!</v>
      </c>
      <c r="GV148" t="e">
        <f>AND(#REF!,"AAAAACN20ss=")</f>
        <v>#REF!</v>
      </c>
      <c r="GW148" t="e">
        <f>AND(#REF!,"AAAAACN20sw=")</f>
        <v>#REF!</v>
      </c>
      <c r="GX148" t="e">
        <f>AND(#REF!,"AAAAACN20s0=")</f>
        <v>#REF!</v>
      </c>
      <c r="GY148" t="e">
        <f>AND(#REF!,"AAAAACN20s4=")</f>
        <v>#REF!</v>
      </c>
      <c r="GZ148" t="e">
        <f>AND(#REF!,"AAAAACN20s8=")</f>
        <v>#REF!</v>
      </c>
      <c r="HA148" t="e">
        <f>AND(#REF!,"AAAAACN20tA=")</f>
        <v>#REF!</v>
      </c>
      <c r="HB148" t="e">
        <f>AND(#REF!,"AAAAACN20tE=")</f>
        <v>#REF!</v>
      </c>
      <c r="HC148" t="e">
        <f>AND(#REF!,"AAAAACN20tI=")</f>
        <v>#REF!</v>
      </c>
      <c r="HD148" t="e">
        <f>AND(#REF!,"AAAAACN20tM=")</f>
        <v>#REF!</v>
      </c>
      <c r="HE148" t="e">
        <f>AND(#REF!,"AAAAACN20tQ=")</f>
        <v>#REF!</v>
      </c>
      <c r="HF148" t="e">
        <f>AND(#REF!,"AAAAACN20tU=")</f>
        <v>#REF!</v>
      </c>
      <c r="HG148" t="e">
        <f>AND(#REF!,"AAAAACN20tY=")</f>
        <v>#REF!</v>
      </c>
      <c r="HH148" t="e">
        <f>AND(#REF!,"AAAAACN20tc=")</f>
        <v>#REF!</v>
      </c>
      <c r="HI148" t="e">
        <f>AND(#REF!,"AAAAACN20tg=")</f>
        <v>#REF!</v>
      </c>
      <c r="HJ148" t="e">
        <f>AND(#REF!,"AAAAACN20tk=")</f>
        <v>#REF!</v>
      </c>
      <c r="HK148" t="e">
        <f>AND(#REF!,"AAAAACN20to=")</f>
        <v>#REF!</v>
      </c>
      <c r="HL148" t="e">
        <f>AND(#REF!,"AAAAACN20ts=")</f>
        <v>#REF!</v>
      </c>
      <c r="HM148" t="e">
        <f>AND(#REF!,"AAAAACN20tw=")</f>
        <v>#REF!</v>
      </c>
      <c r="HN148" t="e">
        <f>AND(#REF!,"AAAAACN20t0=")</f>
        <v>#REF!</v>
      </c>
      <c r="HO148" t="e">
        <f>IF(#REF!,"AAAAACN20t4=",0)</f>
        <v>#REF!</v>
      </c>
      <c r="HP148" t="e">
        <f>AND(#REF!,"AAAAACN20t8=")</f>
        <v>#REF!</v>
      </c>
      <c r="HQ148" t="e">
        <f>AND(#REF!,"AAAAACN20uA=")</f>
        <v>#REF!</v>
      </c>
      <c r="HR148" t="e">
        <f>AND(#REF!,"AAAAACN20uE=")</f>
        <v>#REF!</v>
      </c>
      <c r="HS148" t="e">
        <f>AND(#REF!,"AAAAACN20uI=")</f>
        <v>#REF!</v>
      </c>
      <c r="HT148" t="e">
        <f>AND(#REF!,"AAAAACN20uM=")</f>
        <v>#REF!</v>
      </c>
      <c r="HU148" t="e">
        <f>AND(#REF!,"AAAAACN20uQ=")</f>
        <v>#REF!</v>
      </c>
      <c r="HV148" t="e">
        <f>AND(#REF!,"AAAAACN20uU=")</f>
        <v>#REF!</v>
      </c>
      <c r="HW148" t="e">
        <f>AND(#REF!,"AAAAACN20uY=")</f>
        <v>#REF!</v>
      </c>
      <c r="HX148" t="e">
        <f>AND(#REF!,"AAAAACN20uc=")</f>
        <v>#REF!</v>
      </c>
      <c r="HY148" t="e">
        <f>AND(#REF!,"AAAAACN20ug=")</f>
        <v>#REF!</v>
      </c>
      <c r="HZ148" t="e">
        <f>AND(#REF!,"AAAAACN20uk=")</f>
        <v>#REF!</v>
      </c>
      <c r="IA148" t="e">
        <f>AND(#REF!,"AAAAACN20uo=")</f>
        <v>#REF!</v>
      </c>
      <c r="IB148" t="e">
        <f>AND(#REF!,"AAAAACN20us=")</f>
        <v>#REF!</v>
      </c>
      <c r="IC148" t="e">
        <f>AND(#REF!,"AAAAACN20uw=")</f>
        <v>#REF!</v>
      </c>
      <c r="ID148" t="e">
        <f>AND(#REF!,"AAAAACN20u0=")</f>
        <v>#REF!</v>
      </c>
      <c r="IE148" t="e">
        <f>AND(#REF!,"AAAAACN20u4=")</f>
        <v>#REF!</v>
      </c>
      <c r="IF148" t="e">
        <f>AND(#REF!,"AAAAACN20u8=")</f>
        <v>#REF!</v>
      </c>
      <c r="IG148" t="e">
        <f>AND(#REF!,"AAAAACN20vA=")</f>
        <v>#REF!</v>
      </c>
      <c r="IH148" t="e">
        <f>AND(#REF!,"AAAAACN20vE=")</f>
        <v>#REF!</v>
      </c>
      <c r="II148" t="e">
        <f>AND(#REF!,"AAAAACN20vI=")</f>
        <v>#REF!</v>
      </c>
      <c r="IJ148" t="e">
        <f>AND(#REF!,"AAAAACN20vM=")</f>
        <v>#REF!</v>
      </c>
      <c r="IK148" t="e">
        <f>AND(#REF!,"AAAAACN20vQ=")</f>
        <v>#REF!</v>
      </c>
      <c r="IL148" t="e">
        <f>IF(#REF!,"AAAAACN20vU=",0)</f>
        <v>#REF!</v>
      </c>
      <c r="IM148" t="e">
        <f>AND(#REF!,"AAAAACN20vY=")</f>
        <v>#REF!</v>
      </c>
      <c r="IN148" t="e">
        <f>AND(#REF!,"AAAAACN20vc=")</f>
        <v>#REF!</v>
      </c>
      <c r="IO148" t="e">
        <f>AND(#REF!,"AAAAACN20vg=")</f>
        <v>#REF!</v>
      </c>
      <c r="IP148" t="e">
        <f>AND(#REF!,"AAAAACN20vk=")</f>
        <v>#REF!</v>
      </c>
      <c r="IQ148" t="e">
        <f>AND(#REF!,"AAAAACN20vo=")</f>
        <v>#REF!</v>
      </c>
      <c r="IR148" t="e">
        <f>AND(#REF!,"AAAAACN20vs=")</f>
        <v>#REF!</v>
      </c>
      <c r="IS148" t="e">
        <f>AND(#REF!,"AAAAACN20vw=")</f>
        <v>#REF!</v>
      </c>
      <c r="IT148" t="e">
        <f>AND(#REF!,"AAAAACN20v0=")</f>
        <v>#REF!</v>
      </c>
      <c r="IU148" t="e">
        <f>AND(#REF!,"AAAAACN20v4=")</f>
        <v>#REF!</v>
      </c>
      <c r="IV148" t="e">
        <f>AND(#REF!,"AAAAACN20v8=")</f>
        <v>#REF!</v>
      </c>
    </row>
    <row r="149" spans="1:256" x14ac:dyDescent="0.2">
      <c r="A149" t="e">
        <f>AND(#REF!,"AAAAAH2//gA=")</f>
        <v>#REF!</v>
      </c>
      <c r="B149" t="e">
        <f>AND(#REF!,"AAAAAH2//gE=")</f>
        <v>#REF!</v>
      </c>
      <c r="C149" t="e">
        <f>AND(#REF!,"AAAAAH2//gI=")</f>
        <v>#REF!</v>
      </c>
      <c r="D149" t="e">
        <f>AND(#REF!,"AAAAAH2//gM=")</f>
        <v>#REF!</v>
      </c>
      <c r="E149" t="e">
        <f>AND(#REF!,"AAAAAH2//gQ=")</f>
        <v>#REF!</v>
      </c>
      <c r="F149" t="e">
        <f>AND(#REF!,"AAAAAH2//gU=")</f>
        <v>#REF!</v>
      </c>
      <c r="G149" t="e">
        <f>AND(#REF!,"AAAAAH2//gY=")</f>
        <v>#REF!</v>
      </c>
      <c r="H149" t="e">
        <f>AND(#REF!,"AAAAAH2//gc=")</f>
        <v>#REF!</v>
      </c>
      <c r="I149" t="e">
        <f>AND(#REF!,"AAAAAH2//gg=")</f>
        <v>#REF!</v>
      </c>
      <c r="J149" t="e">
        <f>AND(#REF!,"AAAAAH2//gk=")</f>
        <v>#REF!</v>
      </c>
      <c r="K149" t="e">
        <f>AND(#REF!,"AAAAAH2//go=")</f>
        <v>#REF!</v>
      </c>
      <c r="L149" t="e">
        <f>AND(#REF!,"AAAAAH2//gs=")</f>
        <v>#REF!</v>
      </c>
      <c r="M149" t="e">
        <f>IF(#REF!,"AAAAAH2//gw=",0)</f>
        <v>#REF!</v>
      </c>
      <c r="N149" t="e">
        <f>AND(#REF!,"AAAAAH2//g0=")</f>
        <v>#REF!</v>
      </c>
      <c r="O149" t="e">
        <f>AND(#REF!,"AAAAAH2//g4=")</f>
        <v>#REF!</v>
      </c>
      <c r="P149" t="e">
        <f>AND(#REF!,"AAAAAH2//g8=")</f>
        <v>#REF!</v>
      </c>
      <c r="Q149" t="e">
        <f>AND(#REF!,"AAAAAH2//hA=")</f>
        <v>#REF!</v>
      </c>
      <c r="R149" t="e">
        <f>AND(#REF!,"AAAAAH2//hE=")</f>
        <v>#REF!</v>
      </c>
      <c r="S149" t="e">
        <f>AND(#REF!,"AAAAAH2//hI=")</f>
        <v>#REF!</v>
      </c>
      <c r="T149" t="e">
        <f>AND(#REF!,"AAAAAH2//hM=")</f>
        <v>#REF!</v>
      </c>
      <c r="U149" t="e">
        <f>AND(#REF!,"AAAAAH2//hQ=")</f>
        <v>#REF!</v>
      </c>
      <c r="V149" t="e">
        <f>AND(#REF!,"AAAAAH2//hU=")</f>
        <v>#REF!</v>
      </c>
      <c r="W149" t="e">
        <f>AND(#REF!,"AAAAAH2//hY=")</f>
        <v>#REF!</v>
      </c>
      <c r="X149" t="e">
        <f>AND(#REF!,"AAAAAH2//hc=")</f>
        <v>#REF!</v>
      </c>
      <c r="Y149" t="e">
        <f>AND(#REF!,"AAAAAH2//hg=")</f>
        <v>#REF!</v>
      </c>
      <c r="Z149" t="e">
        <f>AND(#REF!,"AAAAAH2//hk=")</f>
        <v>#REF!</v>
      </c>
      <c r="AA149" t="e">
        <f>AND(#REF!,"AAAAAH2//ho=")</f>
        <v>#REF!</v>
      </c>
      <c r="AB149" t="e">
        <f>AND(#REF!,"AAAAAH2//hs=")</f>
        <v>#REF!</v>
      </c>
      <c r="AC149" t="e">
        <f>AND(#REF!,"AAAAAH2//hw=")</f>
        <v>#REF!</v>
      </c>
      <c r="AD149" t="e">
        <f>AND(#REF!,"AAAAAH2//h0=")</f>
        <v>#REF!</v>
      </c>
      <c r="AE149" t="e">
        <f>AND(#REF!,"AAAAAH2//h4=")</f>
        <v>#REF!</v>
      </c>
      <c r="AF149" t="e">
        <f>AND(#REF!,"AAAAAH2//h8=")</f>
        <v>#REF!</v>
      </c>
      <c r="AG149" t="e">
        <f>AND(#REF!,"AAAAAH2//iA=")</f>
        <v>#REF!</v>
      </c>
      <c r="AH149" t="e">
        <f>AND(#REF!,"AAAAAH2//iE=")</f>
        <v>#REF!</v>
      </c>
      <c r="AI149" t="e">
        <f>AND(#REF!,"AAAAAH2//iI=")</f>
        <v>#REF!</v>
      </c>
      <c r="AJ149" t="e">
        <f>IF(#REF!,"AAAAAH2//iM=",0)</f>
        <v>#REF!</v>
      </c>
      <c r="AK149" t="e">
        <f>AND(#REF!,"AAAAAH2//iQ=")</f>
        <v>#REF!</v>
      </c>
      <c r="AL149" t="e">
        <f>AND(#REF!,"AAAAAH2//iU=")</f>
        <v>#REF!</v>
      </c>
      <c r="AM149" t="e">
        <f>AND(#REF!,"AAAAAH2//iY=")</f>
        <v>#REF!</v>
      </c>
      <c r="AN149" t="e">
        <f>AND(#REF!,"AAAAAH2//ic=")</f>
        <v>#REF!</v>
      </c>
      <c r="AO149" t="e">
        <f>AND(#REF!,"AAAAAH2//ig=")</f>
        <v>#REF!</v>
      </c>
      <c r="AP149" t="e">
        <f>AND(#REF!,"AAAAAH2//ik=")</f>
        <v>#REF!</v>
      </c>
      <c r="AQ149" t="e">
        <f>AND(#REF!,"AAAAAH2//io=")</f>
        <v>#REF!</v>
      </c>
      <c r="AR149" t="e">
        <f>AND(#REF!,"AAAAAH2//is=")</f>
        <v>#REF!</v>
      </c>
      <c r="AS149" t="e">
        <f>AND(#REF!,"AAAAAH2//iw=")</f>
        <v>#REF!</v>
      </c>
      <c r="AT149" t="e">
        <f>AND(#REF!,"AAAAAH2//i0=")</f>
        <v>#REF!</v>
      </c>
      <c r="AU149" t="e">
        <f>AND(#REF!,"AAAAAH2//i4=")</f>
        <v>#REF!</v>
      </c>
      <c r="AV149" t="e">
        <f>AND(#REF!,"AAAAAH2//i8=")</f>
        <v>#REF!</v>
      </c>
      <c r="AW149" t="e">
        <f>AND(#REF!,"AAAAAH2//jA=")</f>
        <v>#REF!</v>
      </c>
      <c r="AX149" t="e">
        <f>AND(#REF!,"AAAAAH2//jE=")</f>
        <v>#REF!</v>
      </c>
      <c r="AY149" t="e">
        <f>AND(#REF!,"AAAAAH2//jI=")</f>
        <v>#REF!</v>
      </c>
      <c r="AZ149" t="e">
        <f>AND(#REF!,"AAAAAH2//jM=")</f>
        <v>#REF!</v>
      </c>
      <c r="BA149" t="e">
        <f>AND(#REF!,"AAAAAH2//jQ=")</f>
        <v>#REF!</v>
      </c>
      <c r="BB149" t="e">
        <f>AND(#REF!,"AAAAAH2//jU=")</f>
        <v>#REF!</v>
      </c>
      <c r="BC149" t="e">
        <f>AND(#REF!,"AAAAAH2//jY=")</f>
        <v>#REF!</v>
      </c>
      <c r="BD149" t="e">
        <f>AND(#REF!,"AAAAAH2//jc=")</f>
        <v>#REF!</v>
      </c>
      <c r="BE149" t="e">
        <f>AND(#REF!,"AAAAAH2//jg=")</f>
        <v>#REF!</v>
      </c>
      <c r="BF149" t="e">
        <f>AND(#REF!,"AAAAAH2//jk=")</f>
        <v>#REF!</v>
      </c>
      <c r="BG149" t="e">
        <f>IF(#REF!,"AAAAAH2//jo=",0)</f>
        <v>#REF!</v>
      </c>
      <c r="BH149" t="e">
        <f>AND(#REF!,"AAAAAH2//js=")</f>
        <v>#REF!</v>
      </c>
      <c r="BI149" t="e">
        <f>AND(#REF!,"AAAAAH2//jw=")</f>
        <v>#REF!</v>
      </c>
      <c r="BJ149" t="e">
        <f>AND(#REF!,"AAAAAH2//j0=")</f>
        <v>#REF!</v>
      </c>
      <c r="BK149" t="e">
        <f>AND(#REF!,"AAAAAH2//j4=")</f>
        <v>#REF!</v>
      </c>
      <c r="BL149" t="e">
        <f>AND(#REF!,"AAAAAH2//j8=")</f>
        <v>#REF!</v>
      </c>
      <c r="BM149" t="e">
        <f>AND(#REF!,"AAAAAH2//kA=")</f>
        <v>#REF!</v>
      </c>
      <c r="BN149" t="e">
        <f>AND(#REF!,"AAAAAH2//kE=")</f>
        <v>#REF!</v>
      </c>
      <c r="BO149" t="e">
        <f>AND(#REF!,"AAAAAH2//kI=")</f>
        <v>#REF!</v>
      </c>
      <c r="BP149" t="e">
        <f>AND(#REF!,"AAAAAH2//kM=")</f>
        <v>#REF!</v>
      </c>
      <c r="BQ149" t="e">
        <f>AND(#REF!,"AAAAAH2//kQ=")</f>
        <v>#REF!</v>
      </c>
      <c r="BR149" t="e">
        <f>AND(#REF!,"AAAAAH2//kU=")</f>
        <v>#REF!</v>
      </c>
      <c r="BS149" t="e">
        <f>AND(#REF!,"AAAAAH2//kY=")</f>
        <v>#REF!</v>
      </c>
      <c r="BT149" t="e">
        <f>AND(#REF!,"AAAAAH2//kc=")</f>
        <v>#REF!</v>
      </c>
      <c r="BU149" t="e">
        <f>AND(#REF!,"AAAAAH2//kg=")</f>
        <v>#REF!</v>
      </c>
      <c r="BV149" t="e">
        <f>AND(#REF!,"AAAAAH2//kk=")</f>
        <v>#REF!</v>
      </c>
      <c r="BW149" t="e">
        <f>AND(#REF!,"AAAAAH2//ko=")</f>
        <v>#REF!</v>
      </c>
      <c r="BX149" t="e">
        <f>AND(#REF!,"AAAAAH2//ks=")</f>
        <v>#REF!</v>
      </c>
      <c r="BY149" t="e">
        <f>AND(#REF!,"AAAAAH2//kw=")</f>
        <v>#REF!</v>
      </c>
      <c r="BZ149" t="e">
        <f>AND(#REF!,"AAAAAH2//k0=")</f>
        <v>#REF!</v>
      </c>
      <c r="CA149" t="e">
        <f>AND(#REF!,"AAAAAH2//k4=")</f>
        <v>#REF!</v>
      </c>
      <c r="CB149" t="e">
        <f>AND(#REF!,"AAAAAH2//k8=")</f>
        <v>#REF!</v>
      </c>
      <c r="CC149" t="e">
        <f>AND(#REF!,"AAAAAH2//lA=")</f>
        <v>#REF!</v>
      </c>
      <c r="CD149" t="e">
        <f>IF(#REF!,"AAAAAH2//lE=",0)</f>
        <v>#REF!</v>
      </c>
      <c r="CE149" t="e">
        <f>AND(#REF!,"AAAAAH2//lI=")</f>
        <v>#REF!</v>
      </c>
      <c r="CF149" t="e">
        <f>AND(#REF!,"AAAAAH2//lM=")</f>
        <v>#REF!</v>
      </c>
      <c r="CG149" t="e">
        <f>AND(#REF!,"AAAAAH2//lQ=")</f>
        <v>#REF!</v>
      </c>
      <c r="CH149" t="e">
        <f>AND(#REF!,"AAAAAH2//lU=")</f>
        <v>#REF!</v>
      </c>
      <c r="CI149" t="e">
        <f>AND(#REF!,"AAAAAH2//lY=")</f>
        <v>#REF!</v>
      </c>
      <c r="CJ149" t="e">
        <f>AND(#REF!,"AAAAAH2//lc=")</f>
        <v>#REF!</v>
      </c>
      <c r="CK149" t="e">
        <f>AND(#REF!,"AAAAAH2//lg=")</f>
        <v>#REF!</v>
      </c>
      <c r="CL149" t="e">
        <f>AND(#REF!,"AAAAAH2//lk=")</f>
        <v>#REF!</v>
      </c>
      <c r="CM149" t="e">
        <f>AND(#REF!,"AAAAAH2//lo=")</f>
        <v>#REF!</v>
      </c>
      <c r="CN149" t="e">
        <f>AND(#REF!,"AAAAAH2//ls=")</f>
        <v>#REF!</v>
      </c>
      <c r="CO149" t="e">
        <f>AND(#REF!,"AAAAAH2//lw=")</f>
        <v>#REF!</v>
      </c>
      <c r="CP149" t="e">
        <f>AND(#REF!,"AAAAAH2//l0=")</f>
        <v>#REF!</v>
      </c>
      <c r="CQ149" t="e">
        <f>AND(#REF!,"AAAAAH2//l4=")</f>
        <v>#REF!</v>
      </c>
      <c r="CR149" t="e">
        <f>AND(#REF!,"AAAAAH2//l8=")</f>
        <v>#REF!</v>
      </c>
      <c r="CS149" t="e">
        <f>AND(#REF!,"AAAAAH2//mA=")</f>
        <v>#REF!</v>
      </c>
      <c r="CT149" t="e">
        <f>AND(#REF!,"AAAAAH2//mE=")</f>
        <v>#REF!</v>
      </c>
      <c r="CU149" t="e">
        <f>AND(#REF!,"AAAAAH2//mI=")</f>
        <v>#REF!</v>
      </c>
      <c r="CV149" t="e">
        <f>AND(#REF!,"AAAAAH2//mM=")</f>
        <v>#REF!</v>
      </c>
      <c r="CW149" t="e">
        <f>AND(#REF!,"AAAAAH2//mQ=")</f>
        <v>#REF!</v>
      </c>
      <c r="CX149" t="e">
        <f>AND(#REF!,"AAAAAH2//mU=")</f>
        <v>#REF!</v>
      </c>
      <c r="CY149" t="e">
        <f>AND(#REF!,"AAAAAH2//mY=")</f>
        <v>#REF!</v>
      </c>
      <c r="CZ149" t="e">
        <f>AND(#REF!,"AAAAAH2//mc=")</f>
        <v>#REF!</v>
      </c>
      <c r="DA149" t="e">
        <f>IF(#REF!,"AAAAAH2//mg=",0)</f>
        <v>#REF!</v>
      </c>
      <c r="DB149" t="e">
        <f>AND(#REF!,"AAAAAH2//mk=")</f>
        <v>#REF!</v>
      </c>
      <c r="DC149" t="e">
        <f>AND(#REF!,"AAAAAH2//mo=")</f>
        <v>#REF!</v>
      </c>
      <c r="DD149" t="e">
        <f>AND(#REF!,"AAAAAH2//ms=")</f>
        <v>#REF!</v>
      </c>
      <c r="DE149" t="e">
        <f>AND(#REF!,"AAAAAH2//mw=")</f>
        <v>#REF!</v>
      </c>
      <c r="DF149" t="e">
        <f>AND(#REF!,"AAAAAH2//m0=")</f>
        <v>#REF!</v>
      </c>
      <c r="DG149" t="e">
        <f>AND(#REF!,"AAAAAH2//m4=")</f>
        <v>#REF!</v>
      </c>
      <c r="DH149" t="e">
        <f>AND(#REF!,"AAAAAH2//m8=")</f>
        <v>#REF!</v>
      </c>
      <c r="DI149" t="e">
        <f>AND(#REF!,"AAAAAH2//nA=")</f>
        <v>#REF!</v>
      </c>
      <c r="DJ149" t="e">
        <f>AND(#REF!,"AAAAAH2//nE=")</f>
        <v>#REF!</v>
      </c>
      <c r="DK149" t="e">
        <f>AND(#REF!,"AAAAAH2//nI=")</f>
        <v>#REF!</v>
      </c>
      <c r="DL149" t="e">
        <f>AND(#REF!,"AAAAAH2//nM=")</f>
        <v>#REF!</v>
      </c>
      <c r="DM149" t="e">
        <f>AND(#REF!,"AAAAAH2//nQ=")</f>
        <v>#REF!</v>
      </c>
      <c r="DN149" t="e">
        <f>AND(#REF!,"AAAAAH2//nU=")</f>
        <v>#REF!</v>
      </c>
      <c r="DO149" t="e">
        <f>AND(#REF!,"AAAAAH2//nY=")</f>
        <v>#REF!</v>
      </c>
      <c r="DP149" t="e">
        <f>AND(#REF!,"AAAAAH2//nc=")</f>
        <v>#REF!</v>
      </c>
      <c r="DQ149" t="e">
        <f>AND(#REF!,"AAAAAH2//ng=")</f>
        <v>#REF!</v>
      </c>
      <c r="DR149" t="e">
        <f>AND(#REF!,"AAAAAH2//nk=")</f>
        <v>#REF!</v>
      </c>
      <c r="DS149" t="e">
        <f>AND(#REF!,"AAAAAH2//no=")</f>
        <v>#REF!</v>
      </c>
      <c r="DT149" t="e">
        <f>AND(#REF!,"AAAAAH2//ns=")</f>
        <v>#REF!</v>
      </c>
      <c r="DU149" t="e">
        <f>AND(#REF!,"AAAAAH2//nw=")</f>
        <v>#REF!</v>
      </c>
      <c r="DV149" t="e">
        <f>AND(#REF!,"AAAAAH2//n0=")</f>
        <v>#REF!</v>
      </c>
      <c r="DW149" t="e">
        <f>AND(#REF!,"AAAAAH2//n4=")</f>
        <v>#REF!</v>
      </c>
      <c r="DX149" t="e">
        <f>IF(#REF!,"AAAAAH2//n8=",0)</f>
        <v>#REF!</v>
      </c>
      <c r="DY149" t="e">
        <f>AND(#REF!,"AAAAAH2//oA=")</f>
        <v>#REF!</v>
      </c>
      <c r="DZ149" t="e">
        <f>AND(#REF!,"AAAAAH2//oE=")</f>
        <v>#REF!</v>
      </c>
      <c r="EA149" t="e">
        <f>AND(#REF!,"AAAAAH2//oI=")</f>
        <v>#REF!</v>
      </c>
      <c r="EB149" t="e">
        <f>AND(#REF!,"AAAAAH2//oM=")</f>
        <v>#REF!</v>
      </c>
      <c r="EC149" t="e">
        <f>AND(#REF!,"AAAAAH2//oQ=")</f>
        <v>#REF!</v>
      </c>
      <c r="ED149" t="e">
        <f>AND(#REF!,"AAAAAH2//oU=")</f>
        <v>#REF!</v>
      </c>
      <c r="EE149" t="e">
        <f>AND(#REF!,"AAAAAH2//oY=")</f>
        <v>#REF!</v>
      </c>
      <c r="EF149" t="e">
        <f>AND(#REF!,"AAAAAH2//oc=")</f>
        <v>#REF!</v>
      </c>
      <c r="EG149" t="e">
        <f>AND(#REF!,"AAAAAH2//og=")</f>
        <v>#REF!</v>
      </c>
      <c r="EH149" t="e">
        <f>AND(#REF!,"AAAAAH2//ok=")</f>
        <v>#REF!</v>
      </c>
      <c r="EI149" t="e">
        <f>AND(#REF!,"AAAAAH2//oo=")</f>
        <v>#REF!</v>
      </c>
      <c r="EJ149" t="e">
        <f>AND(#REF!,"AAAAAH2//os=")</f>
        <v>#REF!</v>
      </c>
      <c r="EK149" t="e">
        <f>AND(#REF!,"AAAAAH2//ow=")</f>
        <v>#REF!</v>
      </c>
      <c r="EL149" t="e">
        <f>AND(#REF!,"AAAAAH2//o0=")</f>
        <v>#REF!</v>
      </c>
      <c r="EM149" t="e">
        <f>AND(#REF!,"AAAAAH2//o4=")</f>
        <v>#REF!</v>
      </c>
      <c r="EN149" t="e">
        <f>AND(#REF!,"AAAAAH2//o8=")</f>
        <v>#REF!</v>
      </c>
      <c r="EO149" t="e">
        <f>AND(#REF!,"AAAAAH2//pA=")</f>
        <v>#REF!</v>
      </c>
      <c r="EP149" t="e">
        <f>AND(#REF!,"AAAAAH2//pE=")</f>
        <v>#REF!</v>
      </c>
      <c r="EQ149" t="e">
        <f>AND(#REF!,"AAAAAH2//pI=")</f>
        <v>#REF!</v>
      </c>
      <c r="ER149" t="e">
        <f>AND(#REF!,"AAAAAH2//pM=")</f>
        <v>#REF!</v>
      </c>
      <c r="ES149" t="e">
        <f>AND(#REF!,"AAAAAH2//pQ=")</f>
        <v>#REF!</v>
      </c>
      <c r="ET149" t="e">
        <f>AND(#REF!,"AAAAAH2//pU=")</f>
        <v>#REF!</v>
      </c>
      <c r="EU149" t="e">
        <f>IF(#REF!,"AAAAAH2//pY=",0)</f>
        <v>#REF!</v>
      </c>
      <c r="EV149" t="e">
        <f>AND(#REF!,"AAAAAH2//pc=")</f>
        <v>#REF!</v>
      </c>
      <c r="EW149" t="e">
        <f>AND(#REF!,"AAAAAH2//pg=")</f>
        <v>#REF!</v>
      </c>
      <c r="EX149" t="e">
        <f>AND(#REF!,"AAAAAH2//pk=")</f>
        <v>#REF!</v>
      </c>
      <c r="EY149" t="e">
        <f>AND(#REF!,"AAAAAH2//po=")</f>
        <v>#REF!</v>
      </c>
      <c r="EZ149" t="e">
        <f>AND(#REF!,"AAAAAH2//ps=")</f>
        <v>#REF!</v>
      </c>
      <c r="FA149" t="e">
        <f>AND(#REF!,"AAAAAH2//pw=")</f>
        <v>#REF!</v>
      </c>
      <c r="FB149" t="e">
        <f>AND(#REF!,"AAAAAH2//p0=")</f>
        <v>#REF!</v>
      </c>
      <c r="FC149" t="e">
        <f>AND(#REF!,"AAAAAH2//p4=")</f>
        <v>#REF!</v>
      </c>
      <c r="FD149" t="e">
        <f>AND(#REF!,"AAAAAH2//p8=")</f>
        <v>#REF!</v>
      </c>
      <c r="FE149" t="e">
        <f>AND(#REF!,"AAAAAH2//qA=")</f>
        <v>#REF!</v>
      </c>
      <c r="FF149" t="e">
        <f>AND(#REF!,"AAAAAH2//qE=")</f>
        <v>#REF!</v>
      </c>
      <c r="FG149" t="e">
        <f>AND(#REF!,"AAAAAH2//qI=")</f>
        <v>#REF!</v>
      </c>
      <c r="FH149" t="e">
        <f>AND(#REF!,"AAAAAH2//qM=")</f>
        <v>#REF!</v>
      </c>
      <c r="FI149" t="e">
        <f>AND(#REF!,"AAAAAH2//qQ=")</f>
        <v>#REF!</v>
      </c>
      <c r="FJ149" t="e">
        <f>AND(#REF!,"AAAAAH2//qU=")</f>
        <v>#REF!</v>
      </c>
      <c r="FK149" t="e">
        <f>AND(#REF!,"AAAAAH2//qY=")</f>
        <v>#REF!</v>
      </c>
      <c r="FL149" t="e">
        <f>AND(#REF!,"AAAAAH2//qc=")</f>
        <v>#REF!</v>
      </c>
      <c r="FM149" t="e">
        <f>AND(#REF!,"AAAAAH2//qg=")</f>
        <v>#REF!</v>
      </c>
      <c r="FN149" t="e">
        <f>AND(#REF!,"AAAAAH2//qk=")</f>
        <v>#REF!</v>
      </c>
      <c r="FO149" t="e">
        <f>AND(#REF!,"AAAAAH2//qo=")</f>
        <v>#REF!</v>
      </c>
      <c r="FP149" t="e">
        <f>AND(#REF!,"AAAAAH2//qs=")</f>
        <v>#REF!</v>
      </c>
      <c r="FQ149" t="e">
        <f>AND(#REF!,"AAAAAH2//qw=")</f>
        <v>#REF!</v>
      </c>
      <c r="FR149" t="e">
        <f>IF(#REF!,"AAAAAH2//q0=",0)</f>
        <v>#REF!</v>
      </c>
      <c r="FS149" t="e">
        <f>AND(#REF!,"AAAAAH2//q4=")</f>
        <v>#REF!</v>
      </c>
      <c r="FT149" t="e">
        <f>AND(#REF!,"AAAAAH2//q8=")</f>
        <v>#REF!</v>
      </c>
      <c r="FU149" t="e">
        <f>AND(#REF!,"AAAAAH2//rA=")</f>
        <v>#REF!</v>
      </c>
      <c r="FV149" t="e">
        <f>AND(#REF!,"AAAAAH2//rE=")</f>
        <v>#REF!</v>
      </c>
      <c r="FW149" t="e">
        <f>AND(#REF!,"AAAAAH2//rI=")</f>
        <v>#REF!</v>
      </c>
      <c r="FX149" t="e">
        <f>AND(#REF!,"AAAAAH2//rM=")</f>
        <v>#REF!</v>
      </c>
      <c r="FY149" t="e">
        <f>AND(#REF!,"AAAAAH2//rQ=")</f>
        <v>#REF!</v>
      </c>
      <c r="FZ149" t="e">
        <f>AND(#REF!,"AAAAAH2//rU=")</f>
        <v>#REF!</v>
      </c>
      <c r="GA149" t="e">
        <f>AND(#REF!,"AAAAAH2//rY=")</f>
        <v>#REF!</v>
      </c>
      <c r="GB149" t="e">
        <f>AND(#REF!,"AAAAAH2//rc=")</f>
        <v>#REF!</v>
      </c>
      <c r="GC149" t="e">
        <f>AND(#REF!,"AAAAAH2//rg=")</f>
        <v>#REF!</v>
      </c>
      <c r="GD149" t="e">
        <f>AND(#REF!,"AAAAAH2//rk=")</f>
        <v>#REF!</v>
      </c>
      <c r="GE149" t="e">
        <f>AND(#REF!,"AAAAAH2//ro=")</f>
        <v>#REF!</v>
      </c>
      <c r="GF149" t="e">
        <f>AND(#REF!,"AAAAAH2//rs=")</f>
        <v>#REF!</v>
      </c>
      <c r="GG149" t="e">
        <f>AND(#REF!,"AAAAAH2//rw=")</f>
        <v>#REF!</v>
      </c>
      <c r="GH149" t="e">
        <f>AND(#REF!,"AAAAAH2//r0=")</f>
        <v>#REF!</v>
      </c>
      <c r="GI149" t="e">
        <f>AND(#REF!,"AAAAAH2//r4=")</f>
        <v>#REF!</v>
      </c>
      <c r="GJ149" t="e">
        <f>AND(#REF!,"AAAAAH2//r8=")</f>
        <v>#REF!</v>
      </c>
      <c r="GK149" t="e">
        <f>AND(#REF!,"AAAAAH2//sA=")</f>
        <v>#REF!</v>
      </c>
      <c r="GL149" t="e">
        <f>AND(#REF!,"AAAAAH2//sE=")</f>
        <v>#REF!</v>
      </c>
      <c r="GM149" t="e">
        <f>AND(#REF!,"AAAAAH2//sI=")</f>
        <v>#REF!</v>
      </c>
      <c r="GN149" t="e">
        <f>AND(#REF!,"AAAAAH2//sM=")</f>
        <v>#REF!</v>
      </c>
      <c r="GO149" t="e">
        <f>IF(#REF!,"AAAAAH2//sQ=",0)</f>
        <v>#REF!</v>
      </c>
      <c r="GP149" t="e">
        <f>AND(#REF!,"AAAAAH2//sU=")</f>
        <v>#REF!</v>
      </c>
      <c r="GQ149" t="e">
        <f>AND(#REF!,"AAAAAH2//sY=")</f>
        <v>#REF!</v>
      </c>
      <c r="GR149" t="e">
        <f>AND(#REF!,"AAAAAH2//sc=")</f>
        <v>#REF!</v>
      </c>
      <c r="GS149" t="e">
        <f>AND(#REF!,"AAAAAH2//sg=")</f>
        <v>#REF!</v>
      </c>
      <c r="GT149" t="e">
        <f>AND(#REF!,"AAAAAH2//sk=")</f>
        <v>#REF!</v>
      </c>
      <c r="GU149" t="e">
        <f>AND(#REF!,"AAAAAH2//so=")</f>
        <v>#REF!</v>
      </c>
      <c r="GV149" t="e">
        <f>AND(#REF!,"AAAAAH2//ss=")</f>
        <v>#REF!</v>
      </c>
      <c r="GW149" t="e">
        <f>AND(#REF!,"AAAAAH2//sw=")</f>
        <v>#REF!</v>
      </c>
      <c r="GX149" t="e">
        <f>AND(#REF!,"AAAAAH2//s0=")</f>
        <v>#REF!</v>
      </c>
      <c r="GY149" t="e">
        <f>AND(#REF!,"AAAAAH2//s4=")</f>
        <v>#REF!</v>
      </c>
      <c r="GZ149" t="e">
        <f>AND(#REF!,"AAAAAH2//s8=")</f>
        <v>#REF!</v>
      </c>
      <c r="HA149" t="e">
        <f>AND(#REF!,"AAAAAH2//tA=")</f>
        <v>#REF!</v>
      </c>
      <c r="HB149" t="e">
        <f>AND(#REF!,"AAAAAH2//tE=")</f>
        <v>#REF!</v>
      </c>
      <c r="HC149" t="e">
        <f>AND(#REF!,"AAAAAH2//tI=")</f>
        <v>#REF!</v>
      </c>
      <c r="HD149" t="e">
        <f>AND(#REF!,"AAAAAH2//tM=")</f>
        <v>#REF!</v>
      </c>
      <c r="HE149" t="e">
        <f>AND(#REF!,"AAAAAH2//tQ=")</f>
        <v>#REF!</v>
      </c>
      <c r="HF149" t="e">
        <f>AND(#REF!,"AAAAAH2//tU=")</f>
        <v>#REF!</v>
      </c>
      <c r="HG149" t="e">
        <f>AND(#REF!,"AAAAAH2//tY=")</f>
        <v>#REF!</v>
      </c>
      <c r="HH149" t="e">
        <f>AND(#REF!,"AAAAAH2//tc=")</f>
        <v>#REF!</v>
      </c>
      <c r="HI149" t="e">
        <f>AND(#REF!,"AAAAAH2//tg=")</f>
        <v>#REF!</v>
      </c>
      <c r="HJ149" t="e">
        <f>AND(#REF!,"AAAAAH2//tk=")</f>
        <v>#REF!</v>
      </c>
      <c r="HK149" t="e">
        <f>AND(#REF!,"AAAAAH2//to=")</f>
        <v>#REF!</v>
      </c>
      <c r="HL149" t="e">
        <f>IF(#REF!,"AAAAAH2//ts=",0)</f>
        <v>#REF!</v>
      </c>
      <c r="HM149" t="e">
        <f>AND(#REF!,"AAAAAH2//tw=")</f>
        <v>#REF!</v>
      </c>
      <c r="HN149" t="e">
        <f>AND(#REF!,"AAAAAH2//t0=")</f>
        <v>#REF!</v>
      </c>
      <c r="HO149" t="e">
        <f>AND(#REF!,"AAAAAH2//t4=")</f>
        <v>#REF!</v>
      </c>
      <c r="HP149" t="e">
        <f>AND(#REF!,"AAAAAH2//t8=")</f>
        <v>#REF!</v>
      </c>
      <c r="HQ149" t="e">
        <f>AND(#REF!,"AAAAAH2//uA=")</f>
        <v>#REF!</v>
      </c>
      <c r="HR149" t="e">
        <f>AND(#REF!,"AAAAAH2//uE=")</f>
        <v>#REF!</v>
      </c>
      <c r="HS149" t="e">
        <f>AND(#REF!,"AAAAAH2//uI=")</f>
        <v>#REF!</v>
      </c>
      <c r="HT149" t="e">
        <f>AND(#REF!,"AAAAAH2//uM=")</f>
        <v>#REF!</v>
      </c>
      <c r="HU149" t="e">
        <f>AND(#REF!,"AAAAAH2//uQ=")</f>
        <v>#REF!</v>
      </c>
      <c r="HV149" t="e">
        <f>AND(#REF!,"AAAAAH2//uU=")</f>
        <v>#REF!</v>
      </c>
      <c r="HW149" t="e">
        <f>AND(#REF!,"AAAAAH2//uY=")</f>
        <v>#REF!</v>
      </c>
      <c r="HX149" t="e">
        <f>AND(#REF!,"AAAAAH2//uc=")</f>
        <v>#REF!</v>
      </c>
      <c r="HY149" t="e">
        <f>AND(#REF!,"AAAAAH2//ug=")</f>
        <v>#REF!</v>
      </c>
      <c r="HZ149" t="e">
        <f>AND(#REF!,"AAAAAH2//uk=")</f>
        <v>#REF!</v>
      </c>
      <c r="IA149" t="e">
        <f>AND(#REF!,"AAAAAH2//uo=")</f>
        <v>#REF!</v>
      </c>
      <c r="IB149" t="e">
        <f>AND(#REF!,"AAAAAH2//us=")</f>
        <v>#REF!</v>
      </c>
      <c r="IC149" t="e">
        <f>AND(#REF!,"AAAAAH2//uw=")</f>
        <v>#REF!</v>
      </c>
      <c r="ID149" t="e">
        <f>AND(#REF!,"AAAAAH2//u0=")</f>
        <v>#REF!</v>
      </c>
      <c r="IE149" t="e">
        <f>AND(#REF!,"AAAAAH2//u4=")</f>
        <v>#REF!</v>
      </c>
      <c r="IF149" t="e">
        <f>AND(#REF!,"AAAAAH2//u8=")</f>
        <v>#REF!</v>
      </c>
      <c r="IG149" t="e">
        <f>AND(#REF!,"AAAAAH2//vA=")</f>
        <v>#REF!</v>
      </c>
      <c r="IH149" t="e">
        <f>AND(#REF!,"AAAAAH2//vE=")</f>
        <v>#REF!</v>
      </c>
      <c r="II149" t="e">
        <f>IF(#REF!,"AAAAAH2//vI=",0)</f>
        <v>#REF!</v>
      </c>
      <c r="IJ149" t="e">
        <f>AND(#REF!,"AAAAAH2//vM=")</f>
        <v>#REF!</v>
      </c>
      <c r="IK149" t="e">
        <f>AND(#REF!,"AAAAAH2//vQ=")</f>
        <v>#REF!</v>
      </c>
      <c r="IL149" t="e">
        <f>AND(#REF!,"AAAAAH2//vU=")</f>
        <v>#REF!</v>
      </c>
      <c r="IM149" t="e">
        <f>AND(#REF!,"AAAAAH2//vY=")</f>
        <v>#REF!</v>
      </c>
      <c r="IN149" t="e">
        <f>AND(#REF!,"AAAAAH2//vc=")</f>
        <v>#REF!</v>
      </c>
      <c r="IO149" t="e">
        <f>AND(#REF!,"AAAAAH2//vg=")</f>
        <v>#REF!</v>
      </c>
      <c r="IP149" t="e">
        <f>AND(#REF!,"AAAAAH2//vk=")</f>
        <v>#REF!</v>
      </c>
      <c r="IQ149" t="e">
        <f>AND(#REF!,"AAAAAH2//vo=")</f>
        <v>#REF!</v>
      </c>
      <c r="IR149" t="e">
        <f>AND(#REF!,"AAAAAH2//vs=")</f>
        <v>#REF!</v>
      </c>
      <c r="IS149" t="e">
        <f>AND(#REF!,"AAAAAH2//vw=")</f>
        <v>#REF!</v>
      </c>
      <c r="IT149" t="e">
        <f>AND(#REF!,"AAAAAH2//v0=")</f>
        <v>#REF!</v>
      </c>
      <c r="IU149" t="e">
        <f>AND(#REF!,"AAAAAH2//v4=")</f>
        <v>#REF!</v>
      </c>
      <c r="IV149" t="e">
        <f>AND(#REF!,"AAAAAH2//v8=")</f>
        <v>#REF!</v>
      </c>
    </row>
    <row r="150" spans="1:256" x14ac:dyDescent="0.2">
      <c r="A150" t="e">
        <f>AND(#REF!,"AAAAAG8f/wA=")</f>
        <v>#REF!</v>
      </c>
      <c r="B150" t="e">
        <f>AND(#REF!,"AAAAAG8f/wE=")</f>
        <v>#REF!</v>
      </c>
      <c r="C150" t="e">
        <f>AND(#REF!,"AAAAAG8f/wI=")</f>
        <v>#REF!</v>
      </c>
      <c r="D150" t="e">
        <f>AND(#REF!,"AAAAAG8f/wM=")</f>
        <v>#REF!</v>
      </c>
      <c r="E150" t="e">
        <f>AND(#REF!,"AAAAAG8f/wQ=")</f>
        <v>#REF!</v>
      </c>
      <c r="F150" t="e">
        <f>AND(#REF!,"AAAAAG8f/wU=")</f>
        <v>#REF!</v>
      </c>
      <c r="G150" t="e">
        <f>AND(#REF!,"AAAAAG8f/wY=")</f>
        <v>#REF!</v>
      </c>
      <c r="H150" t="e">
        <f>AND(#REF!,"AAAAAG8f/wc=")</f>
        <v>#REF!</v>
      </c>
      <c r="I150" t="e">
        <f>AND(#REF!,"AAAAAG8f/wg=")</f>
        <v>#REF!</v>
      </c>
      <c r="J150" t="e">
        <f>IF(#REF!,"AAAAAG8f/wk=",0)</f>
        <v>#REF!</v>
      </c>
      <c r="K150" t="e">
        <f>AND(#REF!,"AAAAAG8f/wo=")</f>
        <v>#REF!</v>
      </c>
      <c r="L150" t="e">
        <f>AND(#REF!,"AAAAAG8f/ws=")</f>
        <v>#REF!</v>
      </c>
      <c r="M150" t="e">
        <f>AND(#REF!,"AAAAAG8f/ww=")</f>
        <v>#REF!</v>
      </c>
      <c r="N150" t="e">
        <f>AND(#REF!,"AAAAAG8f/w0=")</f>
        <v>#REF!</v>
      </c>
      <c r="O150" t="e">
        <f>AND(#REF!,"AAAAAG8f/w4=")</f>
        <v>#REF!</v>
      </c>
      <c r="P150" t="e">
        <f>AND(#REF!,"AAAAAG8f/w8=")</f>
        <v>#REF!</v>
      </c>
      <c r="Q150" t="e">
        <f>AND(#REF!,"AAAAAG8f/xA=")</f>
        <v>#REF!</v>
      </c>
      <c r="R150" t="e">
        <f>AND(#REF!,"AAAAAG8f/xE=")</f>
        <v>#REF!</v>
      </c>
      <c r="S150" t="e">
        <f>AND(#REF!,"AAAAAG8f/xI=")</f>
        <v>#REF!</v>
      </c>
      <c r="T150" t="e">
        <f>AND(#REF!,"AAAAAG8f/xM=")</f>
        <v>#REF!</v>
      </c>
      <c r="U150" t="e">
        <f>AND(#REF!,"AAAAAG8f/xQ=")</f>
        <v>#REF!</v>
      </c>
      <c r="V150" t="e">
        <f>AND(#REF!,"AAAAAG8f/xU=")</f>
        <v>#REF!</v>
      </c>
      <c r="W150" t="e">
        <f>AND(#REF!,"AAAAAG8f/xY=")</f>
        <v>#REF!</v>
      </c>
      <c r="X150" t="e">
        <f>AND(#REF!,"AAAAAG8f/xc=")</f>
        <v>#REF!</v>
      </c>
      <c r="Y150" t="e">
        <f>AND(#REF!,"AAAAAG8f/xg=")</f>
        <v>#REF!</v>
      </c>
      <c r="Z150" t="e">
        <f>AND(#REF!,"AAAAAG8f/xk=")</f>
        <v>#REF!</v>
      </c>
      <c r="AA150" t="e">
        <f>AND(#REF!,"AAAAAG8f/xo=")</f>
        <v>#REF!</v>
      </c>
      <c r="AB150" t="e">
        <f>AND(#REF!,"AAAAAG8f/xs=")</f>
        <v>#REF!</v>
      </c>
      <c r="AC150" t="e">
        <f>AND(#REF!,"AAAAAG8f/xw=")</f>
        <v>#REF!</v>
      </c>
      <c r="AD150" t="e">
        <f>AND(#REF!,"AAAAAG8f/x0=")</f>
        <v>#REF!</v>
      </c>
      <c r="AE150" t="e">
        <f>AND(#REF!,"AAAAAG8f/x4=")</f>
        <v>#REF!</v>
      </c>
      <c r="AF150" t="e">
        <f>AND(#REF!,"AAAAAG8f/x8=")</f>
        <v>#REF!</v>
      </c>
      <c r="AG150" t="e">
        <f>IF(#REF!,"AAAAAG8f/yA=",0)</f>
        <v>#REF!</v>
      </c>
      <c r="AH150" t="e">
        <f>AND(#REF!,"AAAAAG8f/yE=")</f>
        <v>#REF!</v>
      </c>
      <c r="AI150" t="e">
        <f>AND(#REF!,"AAAAAG8f/yI=")</f>
        <v>#REF!</v>
      </c>
      <c r="AJ150" t="e">
        <f>AND(#REF!,"AAAAAG8f/yM=")</f>
        <v>#REF!</v>
      </c>
      <c r="AK150" t="e">
        <f>AND(#REF!,"AAAAAG8f/yQ=")</f>
        <v>#REF!</v>
      </c>
      <c r="AL150" t="e">
        <f>AND(#REF!,"AAAAAG8f/yU=")</f>
        <v>#REF!</v>
      </c>
      <c r="AM150" t="e">
        <f>AND(#REF!,"AAAAAG8f/yY=")</f>
        <v>#REF!</v>
      </c>
      <c r="AN150" t="e">
        <f>AND(#REF!,"AAAAAG8f/yc=")</f>
        <v>#REF!</v>
      </c>
      <c r="AO150" t="e">
        <f>AND(#REF!,"AAAAAG8f/yg=")</f>
        <v>#REF!</v>
      </c>
      <c r="AP150" t="e">
        <f>AND(#REF!,"AAAAAG8f/yk=")</f>
        <v>#REF!</v>
      </c>
      <c r="AQ150" t="e">
        <f>AND(#REF!,"AAAAAG8f/yo=")</f>
        <v>#REF!</v>
      </c>
      <c r="AR150" t="e">
        <f>AND(#REF!,"AAAAAG8f/ys=")</f>
        <v>#REF!</v>
      </c>
      <c r="AS150" t="e">
        <f>AND(#REF!,"AAAAAG8f/yw=")</f>
        <v>#REF!</v>
      </c>
      <c r="AT150" t="e">
        <f>AND(#REF!,"AAAAAG8f/y0=")</f>
        <v>#REF!</v>
      </c>
      <c r="AU150" t="e">
        <f>AND(#REF!,"AAAAAG8f/y4=")</f>
        <v>#REF!</v>
      </c>
      <c r="AV150" t="e">
        <f>AND(#REF!,"AAAAAG8f/y8=")</f>
        <v>#REF!</v>
      </c>
      <c r="AW150" t="e">
        <f>AND(#REF!,"AAAAAG8f/zA=")</f>
        <v>#REF!</v>
      </c>
      <c r="AX150" t="e">
        <f>AND(#REF!,"AAAAAG8f/zE=")</f>
        <v>#REF!</v>
      </c>
      <c r="AY150" t="e">
        <f>AND(#REF!,"AAAAAG8f/zI=")</f>
        <v>#REF!</v>
      </c>
      <c r="AZ150" t="e">
        <f>AND(#REF!,"AAAAAG8f/zM=")</f>
        <v>#REF!</v>
      </c>
      <c r="BA150" t="e">
        <f>AND(#REF!,"AAAAAG8f/zQ=")</f>
        <v>#REF!</v>
      </c>
      <c r="BB150" t="e">
        <f>AND(#REF!,"AAAAAG8f/zU=")</f>
        <v>#REF!</v>
      </c>
      <c r="BC150" t="e">
        <f>AND(#REF!,"AAAAAG8f/zY=")</f>
        <v>#REF!</v>
      </c>
      <c r="BD150" t="e">
        <f>IF(#REF!,"AAAAAG8f/zc=",0)</f>
        <v>#REF!</v>
      </c>
      <c r="BE150" t="e">
        <f>AND(#REF!,"AAAAAG8f/zg=")</f>
        <v>#REF!</v>
      </c>
      <c r="BF150" t="e">
        <f>AND(#REF!,"AAAAAG8f/zk=")</f>
        <v>#REF!</v>
      </c>
      <c r="BG150" t="e">
        <f>AND(#REF!,"AAAAAG8f/zo=")</f>
        <v>#REF!</v>
      </c>
      <c r="BH150" t="e">
        <f>AND(#REF!,"AAAAAG8f/zs=")</f>
        <v>#REF!</v>
      </c>
      <c r="BI150" t="e">
        <f>AND(#REF!,"AAAAAG8f/zw=")</f>
        <v>#REF!</v>
      </c>
      <c r="BJ150" t="e">
        <f>AND(#REF!,"AAAAAG8f/z0=")</f>
        <v>#REF!</v>
      </c>
      <c r="BK150" t="e">
        <f>AND(#REF!,"AAAAAG8f/z4=")</f>
        <v>#REF!</v>
      </c>
      <c r="BL150" t="e">
        <f>AND(#REF!,"AAAAAG8f/z8=")</f>
        <v>#REF!</v>
      </c>
      <c r="BM150" t="e">
        <f>AND(#REF!,"AAAAAG8f/0A=")</f>
        <v>#REF!</v>
      </c>
      <c r="BN150" t="e">
        <f>AND(#REF!,"AAAAAG8f/0E=")</f>
        <v>#REF!</v>
      </c>
      <c r="BO150" t="e">
        <f>AND(#REF!,"AAAAAG8f/0I=")</f>
        <v>#REF!</v>
      </c>
      <c r="BP150" t="e">
        <f>AND(#REF!,"AAAAAG8f/0M=")</f>
        <v>#REF!</v>
      </c>
      <c r="BQ150" t="e">
        <f>AND(#REF!,"AAAAAG8f/0Q=")</f>
        <v>#REF!</v>
      </c>
      <c r="BR150" t="e">
        <f>AND(#REF!,"AAAAAG8f/0U=")</f>
        <v>#REF!</v>
      </c>
      <c r="BS150" t="e">
        <f>AND(#REF!,"AAAAAG8f/0Y=")</f>
        <v>#REF!</v>
      </c>
      <c r="BT150" t="e">
        <f>AND(#REF!,"AAAAAG8f/0c=")</f>
        <v>#REF!</v>
      </c>
      <c r="BU150" t="e">
        <f>AND(#REF!,"AAAAAG8f/0g=")</f>
        <v>#REF!</v>
      </c>
      <c r="BV150" t="e">
        <f>AND(#REF!,"AAAAAG8f/0k=")</f>
        <v>#REF!</v>
      </c>
      <c r="BW150" t="e">
        <f>AND(#REF!,"AAAAAG8f/0o=")</f>
        <v>#REF!</v>
      </c>
      <c r="BX150" t="e">
        <f>AND(#REF!,"AAAAAG8f/0s=")</f>
        <v>#REF!</v>
      </c>
      <c r="BY150" t="e">
        <f>AND(#REF!,"AAAAAG8f/0w=")</f>
        <v>#REF!</v>
      </c>
      <c r="BZ150" t="e">
        <f>AND(#REF!,"AAAAAG8f/00=")</f>
        <v>#REF!</v>
      </c>
      <c r="CA150" t="e">
        <f>IF(#REF!,"AAAAAG8f/04=",0)</f>
        <v>#REF!</v>
      </c>
      <c r="CB150" t="e">
        <f>AND(#REF!,"AAAAAG8f/08=")</f>
        <v>#REF!</v>
      </c>
      <c r="CC150" t="e">
        <f>AND(#REF!,"AAAAAG8f/1A=")</f>
        <v>#REF!</v>
      </c>
      <c r="CD150" t="e">
        <f>AND(#REF!,"AAAAAG8f/1E=")</f>
        <v>#REF!</v>
      </c>
      <c r="CE150" t="e">
        <f>AND(#REF!,"AAAAAG8f/1I=")</f>
        <v>#REF!</v>
      </c>
      <c r="CF150" t="e">
        <f>AND(#REF!,"AAAAAG8f/1M=")</f>
        <v>#REF!</v>
      </c>
      <c r="CG150" t="e">
        <f>AND(#REF!,"AAAAAG8f/1Q=")</f>
        <v>#REF!</v>
      </c>
      <c r="CH150" t="e">
        <f>AND(#REF!,"AAAAAG8f/1U=")</f>
        <v>#REF!</v>
      </c>
      <c r="CI150" t="e">
        <f>AND(#REF!,"AAAAAG8f/1Y=")</f>
        <v>#REF!</v>
      </c>
      <c r="CJ150" t="e">
        <f>AND(#REF!,"AAAAAG8f/1c=")</f>
        <v>#REF!</v>
      </c>
      <c r="CK150" t="e">
        <f>AND(#REF!,"AAAAAG8f/1g=")</f>
        <v>#REF!</v>
      </c>
      <c r="CL150" t="e">
        <f>AND(#REF!,"AAAAAG8f/1k=")</f>
        <v>#REF!</v>
      </c>
      <c r="CM150" t="e">
        <f>AND(#REF!,"AAAAAG8f/1o=")</f>
        <v>#REF!</v>
      </c>
      <c r="CN150" t="e">
        <f>AND(#REF!,"AAAAAG8f/1s=")</f>
        <v>#REF!</v>
      </c>
      <c r="CO150" t="e">
        <f>AND(#REF!,"AAAAAG8f/1w=")</f>
        <v>#REF!</v>
      </c>
      <c r="CP150" t="e">
        <f>AND(#REF!,"AAAAAG8f/10=")</f>
        <v>#REF!</v>
      </c>
      <c r="CQ150" t="e">
        <f>AND(#REF!,"AAAAAG8f/14=")</f>
        <v>#REF!</v>
      </c>
      <c r="CR150" t="e">
        <f>AND(#REF!,"AAAAAG8f/18=")</f>
        <v>#REF!</v>
      </c>
      <c r="CS150" t="e">
        <f>AND(#REF!,"AAAAAG8f/2A=")</f>
        <v>#REF!</v>
      </c>
      <c r="CT150" t="e">
        <f>AND(#REF!,"AAAAAG8f/2E=")</f>
        <v>#REF!</v>
      </c>
      <c r="CU150" t="e">
        <f>AND(#REF!,"AAAAAG8f/2I=")</f>
        <v>#REF!</v>
      </c>
      <c r="CV150" t="e">
        <f>AND(#REF!,"AAAAAG8f/2M=")</f>
        <v>#REF!</v>
      </c>
      <c r="CW150" t="e">
        <f>AND(#REF!,"AAAAAG8f/2Q=")</f>
        <v>#REF!</v>
      </c>
      <c r="CX150" t="e">
        <f>IF(#REF!,"AAAAAG8f/2U=",0)</f>
        <v>#REF!</v>
      </c>
      <c r="CY150" t="e">
        <f>AND(#REF!,"AAAAAG8f/2Y=")</f>
        <v>#REF!</v>
      </c>
      <c r="CZ150" t="e">
        <f>AND(#REF!,"AAAAAG8f/2c=")</f>
        <v>#REF!</v>
      </c>
      <c r="DA150" t="e">
        <f>AND(#REF!,"AAAAAG8f/2g=")</f>
        <v>#REF!</v>
      </c>
      <c r="DB150" t="e">
        <f>AND(#REF!,"AAAAAG8f/2k=")</f>
        <v>#REF!</v>
      </c>
      <c r="DC150" t="e">
        <f>AND(#REF!,"AAAAAG8f/2o=")</f>
        <v>#REF!</v>
      </c>
      <c r="DD150" t="e">
        <f>AND(#REF!,"AAAAAG8f/2s=")</f>
        <v>#REF!</v>
      </c>
      <c r="DE150" t="e">
        <f>AND(#REF!,"AAAAAG8f/2w=")</f>
        <v>#REF!</v>
      </c>
      <c r="DF150" t="e">
        <f>AND(#REF!,"AAAAAG8f/20=")</f>
        <v>#REF!</v>
      </c>
      <c r="DG150" t="e">
        <f>AND(#REF!,"AAAAAG8f/24=")</f>
        <v>#REF!</v>
      </c>
      <c r="DH150" t="e">
        <f>AND(#REF!,"AAAAAG8f/28=")</f>
        <v>#REF!</v>
      </c>
      <c r="DI150" t="e">
        <f>AND(#REF!,"AAAAAG8f/3A=")</f>
        <v>#REF!</v>
      </c>
      <c r="DJ150" t="e">
        <f>AND(#REF!,"AAAAAG8f/3E=")</f>
        <v>#REF!</v>
      </c>
      <c r="DK150" t="e">
        <f>AND(#REF!,"AAAAAG8f/3I=")</f>
        <v>#REF!</v>
      </c>
      <c r="DL150" t="e">
        <f>AND(#REF!,"AAAAAG8f/3M=")</f>
        <v>#REF!</v>
      </c>
      <c r="DM150" t="e">
        <f>AND(#REF!,"AAAAAG8f/3Q=")</f>
        <v>#REF!</v>
      </c>
      <c r="DN150" t="e">
        <f>AND(#REF!,"AAAAAG8f/3U=")</f>
        <v>#REF!</v>
      </c>
      <c r="DO150" t="e">
        <f>AND(#REF!,"AAAAAG8f/3Y=")</f>
        <v>#REF!</v>
      </c>
      <c r="DP150" t="e">
        <f>AND(#REF!,"AAAAAG8f/3c=")</f>
        <v>#REF!</v>
      </c>
      <c r="DQ150" t="e">
        <f>AND(#REF!,"AAAAAG8f/3g=")</f>
        <v>#REF!</v>
      </c>
      <c r="DR150" t="e">
        <f>AND(#REF!,"AAAAAG8f/3k=")</f>
        <v>#REF!</v>
      </c>
      <c r="DS150" t="e">
        <f>AND(#REF!,"AAAAAG8f/3o=")</f>
        <v>#REF!</v>
      </c>
      <c r="DT150" t="e">
        <f>AND(#REF!,"AAAAAG8f/3s=")</f>
        <v>#REF!</v>
      </c>
      <c r="DU150" t="e">
        <f>IF(#REF!,"AAAAAG8f/3w=",0)</f>
        <v>#REF!</v>
      </c>
      <c r="DV150" t="e">
        <f>AND(#REF!,"AAAAAG8f/30=")</f>
        <v>#REF!</v>
      </c>
      <c r="DW150" t="e">
        <f>AND(#REF!,"AAAAAG8f/34=")</f>
        <v>#REF!</v>
      </c>
      <c r="DX150" t="e">
        <f>AND(#REF!,"AAAAAG8f/38=")</f>
        <v>#REF!</v>
      </c>
      <c r="DY150" t="e">
        <f>AND(#REF!,"AAAAAG8f/4A=")</f>
        <v>#REF!</v>
      </c>
      <c r="DZ150" t="e">
        <f>AND(#REF!,"AAAAAG8f/4E=")</f>
        <v>#REF!</v>
      </c>
      <c r="EA150" t="e">
        <f>AND(#REF!,"AAAAAG8f/4I=")</f>
        <v>#REF!</v>
      </c>
      <c r="EB150" t="e">
        <f>AND(#REF!,"AAAAAG8f/4M=")</f>
        <v>#REF!</v>
      </c>
      <c r="EC150" t="e">
        <f>AND(#REF!,"AAAAAG8f/4Q=")</f>
        <v>#REF!</v>
      </c>
      <c r="ED150" t="e">
        <f>AND(#REF!,"AAAAAG8f/4U=")</f>
        <v>#REF!</v>
      </c>
      <c r="EE150" t="e">
        <f>AND(#REF!,"AAAAAG8f/4Y=")</f>
        <v>#REF!</v>
      </c>
      <c r="EF150" t="e">
        <f>AND(#REF!,"AAAAAG8f/4c=")</f>
        <v>#REF!</v>
      </c>
      <c r="EG150" t="e">
        <f>AND(#REF!,"AAAAAG8f/4g=")</f>
        <v>#REF!</v>
      </c>
      <c r="EH150" t="e">
        <f>AND(#REF!,"AAAAAG8f/4k=")</f>
        <v>#REF!</v>
      </c>
      <c r="EI150" t="e">
        <f>AND(#REF!,"AAAAAG8f/4o=")</f>
        <v>#REF!</v>
      </c>
      <c r="EJ150" t="e">
        <f>AND(#REF!,"AAAAAG8f/4s=")</f>
        <v>#REF!</v>
      </c>
      <c r="EK150" t="e">
        <f>AND(#REF!,"AAAAAG8f/4w=")</f>
        <v>#REF!</v>
      </c>
      <c r="EL150" t="e">
        <f>AND(#REF!,"AAAAAG8f/40=")</f>
        <v>#REF!</v>
      </c>
      <c r="EM150" t="e">
        <f>AND(#REF!,"AAAAAG8f/44=")</f>
        <v>#REF!</v>
      </c>
      <c r="EN150" t="e">
        <f>AND(#REF!,"AAAAAG8f/48=")</f>
        <v>#REF!</v>
      </c>
      <c r="EO150" t="e">
        <f>AND(#REF!,"AAAAAG8f/5A=")</f>
        <v>#REF!</v>
      </c>
      <c r="EP150" t="e">
        <f>AND(#REF!,"AAAAAG8f/5E=")</f>
        <v>#REF!</v>
      </c>
      <c r="EQ150" t="e">
        <f>AND(#REF!,"AAAAAG8f/5I=")</f>
        <v>#REF!</v>
      </c>
      <c r="ER150" t="e">
        <f>IF(#REF!,"AAAAAG8f/5M=",0)</f>
        <v>#REF!</v>
      </c>
      <c r="ES150" t="e">
        <f>AND(#REF!,"AAAAAG8f/5Q=")</f>
        <v>#REF!</v>
      </c>
      <c r="ET150" t="e">
        <f>AND(#REF!,"AAAAAG8f/5U=")</f>
        <v>#REF!</v>
      </c>
      <c r="EU150" t="e">
        <f>AND(#REF!,"AAAAAG8f/5Y=")</f>
        <v>#REF!</v>
      </c>
      <c r="EV150" t="e">
        <f>AND(#REF!,"AAAAAG8f/5c=")</f>
        <v>#REF!</v>
      </c>
      <c r="EW150" t="e">
        <f>AND(#REF!,"AAAAAG8f/5g=")</f>
        <v>#REF!</v>
      </c>
      <c r="EX150" t="e">
        <f>AND(#REF!,"AAAAAG8f/5k=")</f>
        <v>#REF!</v>
      </c>
      <c r="EY150" t="e">
        <f>AND(#REF!,"AAAAAG8f/5o=")</f>
        <v>#REF!</v>
      </c>
      <c r="EZ150" t="e">
        <f>AND(#REF!,"AAAAAG8f/5s=")</f>
        <v>#REF!</v>
      </c>
      <c r="FA150" t="e">
        <f>AND(#REF!,"AAAAAG8f/5w=")</f>
        <v>#REF!</v>
      </c>
      <c r="FB150" t="e">
        <f>AND(#REF!,"AAAAAG8f/50=")</f>
        <v>#REF!</v>
      </c>
      <c r="FC150" t="e">
        <f>AND(#REF!,"AAAAAG8f/54=")</f>
        <v>#REF!</v>
      </c>
      <c r="FD150" t="e">
        <f>AND(#REF!,"AAAAAG8f/58=")</f>
        <v>#REF!</v>
      </c>
      <c r="FE150" t="e">
        <f>AND(#REF!,"AAAAAG8f/6A=")</f>
        <v>#REF!</v>
      </c>
      <c r="FF150" t="e">
        <f>AND(#REF!,"AAAAAG8f/6E=")</f>
        <v>#REF!</v>
      </c>
      <c r="FG150" t="e">
        <f>AND(#REF!,"AAAAAG8f/6I=")</f>
        <v>#REF!</v>
      </c>
      <c r="FH150" t="e">
        <f>AND(#REF!,"AAAAAG8f/6M=")</f>
        <v>#REF!</v>
      </c>
      <c r="FI150" t="e">
        <f>AND(#REF!,"AAAAAG8f/6Q=")</f>
        <v>#REF!</v>
      </c>
      <c r="FJ150" t="e">
        <f>AND(#REF!,"AAAAAG8f/6U=")</f>
        <v>#REF!</v>
      </c>
      <c r="FK150" t="e">
        <f>AND(#REF!,"AAAAAG8f/6Y=")</f>
        <v>#REF!</v>
      </c>
      <c r="FL150" t="e">
        <f>AND(#REF!,"AAAAAG8f/6c=")</f>
        <v>#REF!</v>
      </c>
      <c r="FM150" t="e">
        <f>AND(#REF!,"AAAAAG8f/6g=")</f>
        <v>#REF!</v>
      </c>
      <c r="FN150" t="e">
        <f>AND(#REF!,"AAAAAG8f/6k=")</f>
        <v>#REF!</v>
      </c>
      <c r="FO150" t="e">
        <f>IF(#REF!,"AAAAAG8f/6o=",0)</f>
        <v>#REF!</v>
      </c>
      <c r="FP150" t="e">
        <f>AND(#REF!,"AAAAAG8f/6s=")</f>
        <v>#REF!</v>
      </c>
      <c r="FQ150" t="e">
        <f>AND(#REF!,"AAAAAG8f/6w=")</f>
        <v>#REF!</v>
      </c>
      <c r="FR150" t="e">
        <f>AND(#REF!,"AAAAAG8f/60=")</f>
        <v>#REF!</v>
      </c>
      <c r="FS150" t="e">
        <f>AND(#REF!,"AAAAAG8f/64=")</f>
        <v>#REF!</v>
      </c>
      <c r="FT150" t="e">
        <f>AND(#REF!,"AAAAAG8f/68=")</f>
        <v>#REF!</v>
      </c>
      <c r="FU150" t="e">
        <f>AND(#REF!,"AAAAAG8f/7A=")</f>
        <v>#REF!</v>
      </c>
      <c r="FV150" t="e">
        <f>AND(#REF!,"AAAAAG8f/7E=")</f>
        <v>#REF!</v>
      </c>
      <c r="FW150" t="e">
        <f>AND(#REF!,"AAAAAG8f/7I=")</f>
        <v>#REF!</v>
      </c>
      <c r="FX150" t="e">
        <f>AND(#REF!,"AAAAAG8f/7M=")</f>
        <v>#REF!</v>
      </c>
      <c r="FY150" t="e">
        <f>AND(#REF!,"AAAAAG8f/7Q=")</f>
        <v>#REF!</v>
      </c>
      <c r="FZ150" t="e">
        <f>AND(#REF!,"AAAAAG8f/7U=")</f>
        <v>#REF!</v>
      </c>
      <c r="GA150" t="e">
        <f>AND(#REF!,"AAAAAG8f/7Y=")</f>
        <v>#REF!</v>
      </c>
      <c r="GB150" t="e">
        <f>AND(#REF!,"AAAAAG8f/7c=")</f>
        <v>#REF!</v>
      </c>
      <c r="GC150" t="e">
        <f>AND(#REF!,"AAAAAG8f/7g=")</f>
        <v>#REF!</v>
      </c>
      <c r="GD150" t="e">
        <f>AND(#REF!,"AAAAAG8f/7k=")</f>
        <v>#REF!</v>
      </c>
      <c r="GE150" t="e">
        <f>AND(#REF!,"AAAAAG8f/7o=")</f>
        <v>#REF!</v>
      </c>
      <c r="GF150" t="e">
        <f>AND(#REF!,"AAAAAG8f/7s=")</f>
        <v>#REF!</v>
      </c>
      <c r="GG150" t="e">
        <f>AND(#REF!,"AAAAAG8f/7w=")</f>
        <v>#REF!</v>
      </c>
      <c r="GH150" t="e">
        <f>AND(#REF!,"AAAAAG8f/70=")</f>
        <v>#REF!</v>
      </c>
      <c r="GI150" t="e">
        <f>AND(#REF!,"AAAAAG8f/74=")</f>
        <v>#REF!</v>
      </c>
      <c r="GJ150" t="e">
        <f>AND(#REF!,"AAAAAG8f/78=")</f>
        <v>#REF!</v>
      </c>
      <c r="GK150" t="e">
        <f>AND(#REF!,"AAAAAG8f/8A=")</f>
        <v>#REF!</v>
      </c>
      <c r="GL150" t="e">
        <f>IF(#REF!,"AAAAAG8f/8E=",0)</f>
        <v>#REF!</v>
      </c>
      <c r="GM150" t="e">
        <f>AND(#REF!,"AAAAAG8f/8I=")</f>
        <v>#REF!</v>
      </c>
      <c r="GN150" t="e">
        <f>AND(#REF!,"AAAAAG8f/8M=")</f>
        <v>#REF!</v>
      </c>
      <c r="GO150" t="e">
        <f>AND(#REF!,"AAAAAG8f/8Q=")</f>
        <v>#REF!</v>
      </c>
      <c r="GP150" t="e">
        <f>AND(#REF!,"AAAAAG8f/8U=")</f>
        <v>#REF!</v>
      </c>
      <c r="GQ150" t="e">
        <f>AND(#REF!,"AAAAAG8f/8Y=")</f>
        <v>#REF!</v>
      </c>
      <c r="GR150" t="e">
        <f>AND(#REF!,"AAAAAG8f/8c=")</f>
        <v>#REF!</v>
      </c>
      <c r="GS150" t="e">
        <f>AND(#REF!,"AAAAAG8f/8g=")</f>
        <v>#REF!</v>
      </c>
      <c r="GT150" t="e">
        <f>AND(#REF!,"AAAAAG8f/8k=")</f>
        <v>#REF!</v>
      </c>
      <c r="GU150" t="e">
        <f>AND(#REF!,"AAAAAG8f/8o=")</f>
        <v>#REF!</v>
      </c>
      <c r="GV150" t="e">
        <f>AND(#REF!,"AAAAAG8f/8s=")</f>
        <v>#REF!</v>
      </c>
      <c r="GW150" t="e">
        <f>AND(#REF!,"AAAAAG8f/8w=")</f>
        <v>#REF!</v>
      </c>
      <c r="GX150" t="e">
        <f>AND(#REF!,"AAAAAG8f/80=")</f>
        <v>#REF!</v>
      </c>
      <c r="GY150" t="e">
        <f>AND(#REF!,"AAAAAG8f/84=")</f>
        <v>#REF!</v>
      </c>
      <c r="GZ150" t="e">
        <f>AND(#REF!,"AAAAAG8f/88=")</f>
        <v>#REF!</v>
      </c>
      <c r="HA150" t="e">
        <f>AND(#REF!,"AAAAAG8f/9A=")</f>
        <v>#REF!</v>
      </c>
      <c r="HB150" t="e">
        <f>AND(#REF!,"AAAAAG8f/9E=")</f>
        <v>#REF!</v>
      </c>
      <c r="HC150" t="e">
        <f>AND(#REF!,"AAAAAG8f/9I=")</f>
        <v>#REF!</v>
      </c>
      <c r="HD150" t="e">
        <f>AND(#REF!,"AAAAAG8f/9M=")</f>
        <v>#REF!</v>
      </c>
      <c r="HE150" t="e">
        <f>AND(#REF!,"AAAAAG8f/9Q=")</f>
        <v>#REF!</v>
      </c>
      <c r="HF150" t="e">
        <f>AND(#REF!,"AAAAAG8f/9U=")</f>
        <v>#REF!</v>
      </c>
      <c r="HG150" t="e">
        <f>AND(#REF!,"AAAAAG8f/9Y=")</f>
        <v>#REF!</v>
      </c>
      <c r="HH150" t="e">
        <f>AND(#REF!,"AAAAAG8f/9c=")</f>
        <v>#REF!</v>
      </c>
      <c r="HI150" t="e">
        <f>IF(#REF!,"AAAAAG8f/9g=",0)</f>
        <v>#REF!</v>
      </c>
      <c r="HJ150" t="e">
        <f>AND(#REF!,"AAAAAG8f/9k=")</f>
        <v>#REF!</v>
      </c>
      <c r="HK150" t="e">
        <f>AND(#REF!,"AAAAAG8f/9o=")</f>
        <v>#REF!</v>
      </c>
      <c r="HL150" t="e">
        <f>AND(#REF!,"AAAAAG8f/9s=")</f>
        <v>#REF!</v>
      </c>
      <c r="HM150" t="e">
        <f>AND(#REF!,"AAAAAG8f/9w=")</f>
        <v>#REF!</v>
      </c>
      <c r="HN150" t="e">
        <f>AND(#REF!,"AAAAAG8f/90=")</f>
        <v>#REF!</v>
      </c>
      <c r="HO150" t="e">
        <f>AND(#REF!,"AAAAAG8f/94=")</f>
        <v>#REF!</v>
      </c>
      <c r="HP150" t="e">
        <f>AND(#REF!,"AAAAAG8f/98=")</f>
        <v>#REF!</v>
      </c>
      <c r="HQ150" t="e">
        <f>AND(#REF!,"AAAAAG8f/+A=")</f>
        <v>#REF!</v>
      </c>
      <c r="HR150" t="e">
        <f>AND(#REF!,"AAAAAG8f/+E=")</f>
        <v>#REF!</v>
      </c>
      <c r="HS150" t="e">
        <f>AND(#REF!,"AAAAAG8f/+I=")</f>
        <v>#REF!</v>
      </c>
      <c r="HT150" t="e">
        <f>AND(#REF!,"AAAAAG8f/+M=")</f>
        <v>#REF!</v>
      </c>
      <c r="HU150" t="e">
        <f>AND(#REF!,"AAAAAG8f/+Q=")</f>
        <v>#REF!</v>
      </c>
      <c r="HV150" t="e">
        <f>AND(#REF!,"AAAAAG8f/+U=")</f>
        <v>#REF!</v>
      </c>
      <c r="HW150" t="e">
        <f>AND(#REF!,"AAAAAG8f/+Y=")</f>
        <v>#REF!</v>
      </c>
      <c r="HX150" t="e">
        <f>AND(#REF!,"AAAAAG8f/+c=")</f>
        <v>#REF!</v>
      </c>
      <c r="HY150" t="e">
        <f>AND(#REF!,"AAAAAG8f/+g=")</f>
        <v>#REF!</v>
      </c>
      <c r="HZ150" t="e">
        <f>AND(#REF!,"AAAAAG8f/+k=")</f>
        <v>#REF!</v>
      </c>
      <c r="IA150" t="e">
        <f>AND(#REF!,"AAAAAG8f/+o=")</f>
        <v>#REF!</v>
      </c>
      <c r="IB150" t="e">
        <f>AND(#REF!,"AAAAAG8f/+s=")</f>
        <v>#REF!</v>
      </c>
      <c r="IC150" t="e">
        <f>AND(#REF!,"AAAAAG8f/+w=")</f>
        <v>#REF!</v>
      </c>
      <c r="ID150" t="e">
        <f>AND(#REF!,"AAAAAG8f/+0=")</f>
        <v>#REF!</v>
      </c>
      <c r="IE150" t="e">
        <f>AND(#REF!,"AAAAAG8f/+4=")</f>
        <v>#REF!</v>
      </c>
      <c r="IF150" t="e">
        <f>IF(#REF!,"AAAAAG8f/+8=",0)</f>
        <v>#REF!</v>
      </c>
      <c r="IG150" t="e">
        <f>AND(#REF!,"AAAAAG8f//A=")</f>
        <v>#REF!</v>
      </c>
      <c r="IH150" t="e">
        <f>AND(#REF!,"AAAAAG8f//E=")</f>
        <v>#REF!</v>
      </c>
      <c r="II150" t="e">
        <f>AND(#REF!,"AAAAAG8f//I=")</f>
        <v>#REF!</v>
      </c>
      <c r="IJ150" t="e">
        <f>AND(#REF!,"AAAAAG8f//M=")</f>
        <v>#REF!</v>
      </c>
      <c r="IK150" t="e">
        <f>AND(#REF!,"AAAAAG8f//Q=")</f>
        <v>#REF!</v>
      </c>
      <c r="IL150" t="e">
        <f>AND(#REF!,"AAAAAG8f//U=")</f>
        <v>#REF!</v>
      </c>
      <c r="IM150" t="e">
        <f>AND(#REF!,"AAAAAG8f//Y=")</f>
        <v>#REF!</v>
      </c>
      <c r="IN150" t="e">
        <f>AND(#REF!,"AAAAAG8f//c=")</f>
        <v>#REF!</v>
      </c>
      <c r="IO150" t="e">
        <f>AND(#REF!,"AAAAAG8f//g=")</f>
        <v>#REF!</v>
      </c>
      <c r="IP150" t="e">
        <f>AND(#REF!,"AAAAAG8f//k=")</f>
        <v>#REF!</v>
      </c>
      <c r="IQ150" t="e">
        <f>AND(#REF!,"AAAAAG8f//o=")</f>
        <v>#REF!</v>
      </c>
      <c r="IR150" t="e">
        <f>AND(#REF!,"AAAAAG8f//s=")</f>
        <v>#REF!</v>
      </c>
      <c r="IS150" t="e">
        <f>AND(#REF!,"AAAAAG8f//w=")</f>
        <v>#REF!</v>
      </c>
      <c r="IT150" t="e">
        <f>AND(#REF!,"AAAAAG8f//0=")</f>
        <v>#REF!</v>
      </c>
      <c r="IU150" t="e">
        <f>AND(#REF!,"AAAAAG8f//4=")</f>
        <v>#REF!</v>
      </c>
      <c r="IV150" t="e">
        <f>AND(#REF!,"AAAAAG8f//8=")</f>
        <v>#REF!</v>
      </c>
    </row>
    <row r="151" spans="1:256" x14ac:dyDescent="0.2">
      <c r="A151" t="e">
        <f>AND(#REF!,"AAAAAHr/fwA=")</f>
        <v>#REF!</v>
      </c>
      <c r="B151" t="e">
        <f>AND(#REF!,"AAAAAHr/fwE=")</f>
        <v>#REF!</v>
      </c>
      <c r="C151" t="e">
        <f>AND(#REF!,"AAAAAHr/fwI=")</f>
        <v>#REF!</v>
      </c>
      <c r="D151" t="e">
        <f>AND(#REF!,"AAAAAHr/fwM=")</f>
        <v>#REF!</v>
      </c>
      <c r="E151" t="e">
        <f>AND(#REF!,"AAAAAHr/fwQ=")</f>
        <v>#REF!</v>
      </c>
      <c r="F151" t="e">
        <f>AND(#REF!,"AAAAAHr/fwU=")</f>
        <v>#REF!</v>
      </c>
      <c r="G151" t="e">
        <f>IF(#REF!,"AAAAAHr/fwY=",0)</f>
        <v>#REF!</v>
      </c>
      <c r="H151" t="e">
        <f>AND(#REF!,"AAAAAHr/fwc=")</f>
        <v>#REF!</v>
      </c>
      <c r="I151" t="e">
        <f>AND(#REF!,"AAAAAHr/fwg=")</f>
        <v>#REF!</v>
      </c>
      <c r="J151" t="e">
        <f>AND(#REF!,"AAAAAHr/fwk=")</f>
        <v>#REF!</v>
      </c>
      <c r="K151" t="e">
        <f>AND(#REF!,"AAAAAHr/fwo=")</f>
        <v>#REF!</v>
      </c>
      <c r="L151" t="e">
        <f>AND(#REF!,"AAAAAHr/fws=")</f>
        <v>#REF!</v>
      </c>
      <c r="M151" t="e">
        <f>AND(#REF!,"AAAAAHr/fww=")</f>
        <v>#REF!</v>
      </c>
      <c r="N151" t="e">
        <f>AND(#REF!,"AAAAAHr/fw0=")</f>
        <v>#REF!</v>
      </c>
      <c r="O151" t="e">
        <f>AND(#REF!,"AAAAAHr/fw4=")</f>
        <v>#REF!</v>
      </c>
      <c r="P151" t="e">
        <f>AND(#REF!,"AAAAAHr/fw8=")</f>
        <v>#REF!</v>
      </c>
      <c r="Q151" t="e">
        <f>AND(#REF!,"AAAAAHr/fxA=")</f>
        <v>#REF!</v>
      </c>
      <c r="R151" t="e">
        <f>AND(#REF!,"AAAAAHr/fxE=")</f>
        <v>#REF!</v>
      </c>
      <c r="S151" t="e">
        <f>AND(#REF!,"AAAAAHr/fxI=")</f>
        <v>#REF!</v>
      </c>
      <c r="T151" t="e">
        <f>AND(#REF!,"AAAAAHr/fxM=")</f>
        <v>#REF!</v>
      </c>
      <c r="U151" t="e">
        <f>AND(#REF!,"AAAAAHr/fxQ=")</f>
        <v>#REF!</v>
      </c>
      <c r="V151" t="e">
        <f>AND(#REF!,"AAAAAHr/fxU=")</f>
        <v>#REF!</v>
      </c>
      <c r="W151" t="e">
        <f>AND(#REF!,"AAAAAHr/fxY=")</f>
        <v>#REF!</v>
      </c>
      <c r="X151" t="e">
        <f>AND(#REF!,"AAAAAHr/fxc=")</f>
        <v>#REF!</v>
      </c>
      <c r="Y151" t="e">
        <f>AND(#REF!,"AAAAAHr/fxg=")</f>
        <v>#REF!</v>
      </c>
      <c r="Z151" t="e">
        <f>AND(#REF!,"AAAAAHr/fxk=")</f>
        <v>#REF!</v>
      </c>
      <c r="AA151" t="e">
        <f>AND(#REF!,"AAAAAHr/fxo=")</f>
        <v>#REF!</v>
      </c>
      <c r="AB151" t="e">
        <f>AND(#REF!,"AAAAAHr/fxs=")</f>
        <v>#REF!</v>
      </c>
      <c r="AC151" t="e">
        <f>AND(#REF!,"AAAAAHr/fxw=")</f>
        <v>#REF!</v>
      </c>
      <c r="AD151" t="e">
        <f>IF(#REF!,"AAAAAHr/fx0=",0)</f>
        <v>#REF!</v>
      </c>
      <c r="AE151" t="e">
        <f>AND(#REF!,"AAAAAHr/fx4=")</f>
        <v>#REF!</v>
      </c>
      <c r="AF151" t="e">
        <f>AND(#REF!,"AAAAAHr/fx8=")</f>
        <v>#REF!</v>
      </c>
      <c r="AG151" t="e">
        <f>AND(#REF!,"AAAAAHr/fyA=")</f>
        <v>#REF!</v>
      </c>
      <c r="AH151" t="e">
        <f>AND(#REF!,"AAAAAHr/fyE=")</f>
        <v>#REF!</v>
      </c>
      <c r="AI151" t="e">
        <f>AND(#REF!,"AAAAAHr/fyI=")</f>
        <v>#REF!</v>
      </c>
      <c r="AJ151" t="e">
        <f>AND(#REF!,"AAAAAHr/fyM=")</f>
        <v>#REF!</v>
      </c>
      <c r="AK151" t="e">
        <f>AND(#REF!,"AAAAAHr/fyQ=")</f>
        <v>#REF!</v>
      </c>
      <c r="AL151" t="e">
        <f>AND(#REF!,"AAAAAHr/fyU=")</f>
        <v>#REF!</v>
      </c>
      <c r="AM151" t="e">
        <f>AND(#REF!,"AAAAAHr/fyY=")</f>
        <v>#REF!</v>
      </c>
      <c r="AN151" t="e">
        <f>AND(#REF!,"AAAAAHr/fyc=")</f>
        <v>#REF!</v>
      </c>
      <c r="AO151" t="e">
        <f>AND(#REF!,"AAAAAHr/fyg=")</f>
        <v>#REF!</v>
      </c>
      <c r="AP151" t="e">
        <f>AND(#REF!,"AAAAAHr/fyk=")</f>
        <v>#REF!</v>
      </c>
      <c r="AQ151" t="e">
        <f>AND(#REF!,"AAAAAHr/fyo=")</f>
        <v>#REF!</v>
      </c>
      <c r="AR151" t="e">
        <f>AND(#REF!,"AAAAAHr/fys=")</f>
        <v>#REF!</v>
      </c>
      <c r="AS151" t="e">
        <f>AND(#REF!,"AAAAAHr/fyw=")</f>
        <v>#REF!</v>
      </c>
      <c r="AT151" t="e">
        <f>AND(#REF!,"AAAAAHr/fy0=")</f>
        <v>#REF!</v>
      </c>
      <c r="AU151" t="e">
        <f>AND(#REF!,"AAAAAHr/fy4=")</f>
        <v>#REF!</v>
      </c>
      <c r="AV151" t="e">
        <f>AND(#REF!,"AAAAAHr/fy8=")</f>
        <v>#REF!</v>
      </c>
      <c r="AW151" t="e">
        <f>AND(#REF!,"AAAAAHr/fzA=")</f>
        <v>#REF!</v>
      </c>
      <c r="AX151" t="e">
        <f>AND(#REF!,"AAAAAHr/fzE=")</f>
        <v>#REF!</v>
      </c>
      <c r="AY151" t="e">
        <f>AND(#REF!,"AAAAAHr/fzI=")</f>
        <v>#REF!</v>
      </c>
      <c r="AZ151" t="e">
        <f>AND(#REF!,"AAAAAHr/fzM=")</f>
        <v>#REF!</v>
      </c>
      <c r="BA151" t="e">
        <f>IF(#REF!,"AAAAAHr/fzQ=",0)</f>
        <v>#REF!</v>
      </c>
      <c r="BB151" t="e">
        <f>AND(#REF!,"AAAAAHr/fzU=")</f>
        <v>#REF!</v>
      </c>
      <c r="BC151" t="e">
        <f>AND(#REF!,"AAAAAHr/fzY=")</f>
        <v>#REF!</v>
      </c>
      <c r="BD151" t="e">
        <f>AND(#REF!,"AAAAAHr/fzc=")</f>
        <v>#REF!</v>
      </c>
      <c r="BE151" t="e">
        <f>AND(#REF!,"AAAAAHr/fzg=")</f>
        <v>#REF!</v>
      </c>
      <c r="BF151" t="e">
        <f>AND(#REF!,"AAAAAHr/fzk=")</f>
        <v>#REF!</v>
      </c>
      <c r="BG151" t="e">
        <f>AND(#REF!,"AAAAAHr/fzo=")</f>
        <v>#REF!</v>
      </c>
      <c r="BH151" t="e">
        <f>AND(#REF!,"AAAAAHr/fzs=")</f>
        <v>#REF!</v>
      </c>
      <c r="BI151" t="e">
        <f>AND(#REF!,"AAAAAHr/fzw=")</f>
        <v>#REF!</v>
      </c>
      <c r="BJ151" t="e">
        <f>AND(#REF!,"AAAAAHr/fz0=")</f>
        <v>#REF!</v>
      </c>
      <c r="BK151" t="e">
        <f>AND(#REF!,"AAAAAHr/fz4=")</f>
        <v>#REF!</v>
      </c>
      <c r="BL151" t="e">
        <f>AND(#REF!,"AAAAAHr/fz8=")</f>
        <v>#REF!</v>
      </c>
      <c r="BM151" t="e">
        <f>AND(#REF!,"AAAAAHr/f0A=")</f>
        <v>#REF!</v>
      </c>
      <c r="BN151" t="e">
        <f>AND(#REF!,"AAAAAHr/f0E=")</f>
        <v>#REF!</v>
      </c>
      <c r="BO151" t="e">
        <f>AND(#REF!,"AAAAAHr/f0I=")</f>
        <v>#REF!</v>
      </c>
      <c r="BP151" t="e">
        <f>AND(#REF!,"AAAAAHr/f0M=")</f>
        <v>#REF!</v>
      </c>
      <c r="BQ151" t="e">
        <f>AND(#REF!,"AAAAAHr/f0Q=")</f>
        <v>#REF!</v>
      </c>
      <c r="BR151" t="e">
        <f>AND(#REF!,"AAAAAHr/f0U=")</f>
        <v>#REF!</v>
      </c>
      <c r="BS151" t="e">
        <f>AND(#REF!,"AAAAAHr/f0Y=")</f>
        <v>#REF!</v>
      </c>
      <c r="BT151" t="e">
        <f>AND(#REF!,"AAAAAHr/f0c=")</f>
        <v>#REF!</v>
      </c>
      <c r="BU151" t="e">
        <f>AND(#REF!,"AAAAAHr/f0g=")</f>
        <v>#REF!</v>
      </c>
      <c r="BV151" t="e">
        <f>AND(#REF!,"AAAAAHr/f0k=")</f>
        <v>#REF!</v>
      </c>
      <c r="BW151" t="e">
        <f>AND(#REF!,"AAAAAHr/f0o=")</f>
        <v>#REF!</v>
      </c>
      <c r="BX151" t="e">
        <f>IF(#REF!,"AAAAAHr/f0s=",0)</f>
        <v>#REF!</v>
      </c>
      <c r="BY151" t="e">
        <f>AND(#REF!,"AAAAAHr/f0w=")</f>
        <v>#REF!</v>
      </c>
      <c r="BZ151" t="e">
        <f>AND(#REF!,"AAAAAHr/f00=")</f>
        <v>#REF!</v>
      </c>
      <c r="CA151" t="e">
        <f>AND(#REF!,"AAAAAHr/f04=")</f>
        <v>#REF!</v>
      </c>
      <c r="CB151" t="e">
        <f>AND(#REF!,"AAAAAHr/f08=")</f>
        <v>#REF!</v>
      </c>
      <c r="CC151" t="e">
        <f>AND(#REF!,"AAAAAHr/f1A=")</f>
        <v>#REF!</v>
      </c>
      <c r="CD151" t="e">
        <f>AND(#REF!,"AAAAAHr/f1E=")</f>
        <v>#REF!</v>
      </c>
      <c r="CE151" t="e">
        <f>AND(#REF!,"AAAAAHr/f1I=")</f>
        <v>#REF!</v>
      </c>
      <c r="CF151" t="e">
        <f>AND(#REF!,"AAAAAHr/f1M=")</f>
        <v>#REF!</v>
      </c>
      <c r="CG151" t="e">
        <f>AND(#REF!,"AAAAAHr/f1Q=")</f>
        <v>#REF!</v>
      </c>
      <c r="CH151" t="e">
        <f>AND(#REF!,"AAAAAHr/f1U=")</f>
        <v>#REF!</v>
      </c>
      <c r="CI151" t="e">
        <f>AND(#REF!,"AAAAAHr/f1Y=")</f>
        <v>#REF!</v>
      </c>
      <c r="CJ151" t="e">
        <f>AND(#REF!,"AAAAAHr/f1c=")</f>
        <v>#REF!</v>
      </c>
      <c r="CK151" t="e">
        <f>AND(#REF!,"AAAAAHr/f1g=")</f>
        <v>#REF!</v>
      </c>
      <c r="CL151" t="e">
        <f>AND(#REF!,"AAAAAHr/f1k=")</f>
        <v>#REF!</v>
      </c>
      <c r="CM151" t="e">
        <f>AND(#REF!,"AAAAAHr/f1o=")</f>
        <v>#REF!</v>
      </c>
      <c r="CN151" t="e">
        <f>AND(#REF!,"AAAAAHr/f1s=")</f>
        <v>#REF!</v>
      </c>
      <c r="CO151" t="e">
        <f>AND(#REF!,"AAAAAHr/f1w=")</f>
        <v>#REF!</v>
      </c>
      <c r="CP151" t="e">
        <f>AND(#REF!,"AAAAAHr/f10=")</f>
        <v>#REF!</v>
      </c>
      <c r="CQ151" t="e">
        <f>AND(#REF!,"AAAAAHr/f14=")</f>
        <v>#REF!</v>
      </c>
      <c r="CR151" t="e">
        <f>AND(#REF!,"AAAAAHr/f18=")</f>
        <v>#REF!</v>
      </c>
      <c r="CS151" t="e">
        <f>AND(#REF!,"AAAAAHr/f2A=")</f>
        <v>#REF!</v>
      </c>
      <c r="CT151" t="e">
        <f>AND(#REF!,"AAAAAHr/f2E=")</f>
        <v>#REF!</v>
      </c>
      <c r="CU151" t="e">
        <f>IF(#REF!,"AAAAAHr/f2I=",0)</f>
        <v>#REF!</v>
      </c>
      <c r="CV151" t="e">
        <f>AND(#REF!,"AAAAAHr/f2M=")</f>
        <v>#REF!</v>
      </c>
      <c r="CW151" t="e">
        <f>AND(#REF!,"AAAAAHr/f2Q=")</f>
        <v>#REF!</v>
      </c>
      <c r="CX151" t="e">
        <f>AND(#REF!,"AAAAAHr/f2U=")</f>
        <v>#REF!</v>
      </c>
      <c r="CY151" t="e">
        <f>AND(#REF!,"AAAAAHr/f2Y=")</f>
        <v>#REF!</v>
      </c>
      <c r="CZ151" t="e">
        <f>AND(#REF!,"AAAAAHr/f2c=")</f>
        <v>#REF!</v>
      </c>
      <c r="DA151" t="e">
        <f>AND(#REF!,"AAAAAHr/f2g=")</f>
        <v>#REF!</v>
      </c>
      <c r="DB151" t="e">
        <f>AND(#REF!,"AAAAAHr/f2k=")</f>
        <v>#REF!</v>
      </c>
      <c r="DC151" t="e">
        <f>AND(#REF!,"AAAAAHr/f2o=")</f>
        <v>#REF!</v>
      </c>
      <c r="DD151" t="e">
        <f>AND(#REF!,"AAAAAHr/f2s=")</f>
        <v>#REF!</v>
      </c>
      <c r="DE151" t="e">
        <f>AND(#REF!,"AAAAAHr/f2w=")</f>
        <v>#REF!</v>
      </c>
      <c r="DF151" t="e">
        <f>AND(#REF!,"AAAAAHr/f20=")</f>
        <v>#REF!</v>
      </c>
      <c r="DG151" t="e">
        <f>AND(#REF!,"AAAAAHr/f24=")</f>
        <v>#REF!</v>
      </c>
      <c r="DH151" t="e">
        <f>AND(#REF!,"AAAAAHr/f28=")</f>
        <v>#REF!</v>
      </c>
      <c r="DI151" t="e">
        <f>AND(#REF!,"AAAAAHr/f3A=")</f>
        <v>#REF!</v>
      </c>
      <c r="DJ151" t="e">
        <f>AND(#REF!,"AAAAAHr/f3E=")</f>
        <v>#REF!</v>
      </c>
      <c r="DK151" t="e">
        <f>AND(#REF!,"AAAAAHr/f3I=")</f>
        <v>#REF!</v>
      </c>
      <c r="DL151" t="e">
        <f>AND(#REF!,"AAAAAHr/f3M=")</f>
        <v>#REF!</v>
      </c>
      <c r="DM151" t="e">
        <f>AND(#REF!,"AAAAAHr/f3Q=")</f>
        <v>#REF!</v>
      </c>
      <c r="DN151" t="e">
        <f>AND(#REF!,"AAAAAHr/f3U=")</f>
        <v>#REF!</v>
      </c>
      <c r="DO151" t="e">
        <f>AND(#REF!,"AAAAAHr/f3Y=")</f>
        <v>#REF!</v>
      </c>
      <c r="DP151" t="e">
        <f>AND(#REF!,"AAAAAHr/f3c=")</f>
        <v>#REF!</v>
      </c>
      <c r="DQ151" t="e">
        <f>AND(#REF!,"AAAAAHr/f3g=")</f>
        <v>#REF!</v>
      </c>
      <c r="DR151" t="e">
        <f>IF(#REF!,"AAAAAHr/f3k=",0)</f>
        <v>#REF!</v>
      </c>
      <c r="DS151" t="e">
        <f>AND(#REF!,"AAAAAHr/f3o=")</f>
        <v>#REF!</v>
      </c>
      <c r="DT151" t="e">
        <f>AND(#REF!,"AAAAAHr/f3s=")</f>
        <v>#REF!</v>
      </c>
      <c r="DU151" t="e">
        <f>AND(#REF!,"AAAAAHr/f3w=")</f>
        <v>#REF!</v>
      </c>
      <c r="DV151" t="e">
        <f>AND(#REF!,"AAAAAHr/f30=")</f>
        <v>#REF!</v>
      </c>
      <c r="DW151" t="e">
        <f>AND(#REF!,"AAAAAHr/f34=")</f>
        <v>#REF!</v>
      </c>
      <c r="DX151" t="e">
        <f>AND(#REF!,"AAAAAHr/f38=")</f>
        <v>#REF!</v>
      </c>
      <c r="DY151" t="e">
        <f>AND(#REF!,"AAAAAHr/f4A=")</f>
        <v>#REF!</v>
      </c>
      <c r="DZ151" t="e">
        <f>AND(#REF!,"AAAAAHr/f4E=")</f>
        <v>#REF!</v>
      </c>
      <c r="EA151" t="e">
        <f>AND(#REF!,"AAAAAHr/f4I=")</f>
        <v>#REF!</v>
      </c>
      <c r="EB151" t="e">
        <f>AND(#REF!,"AAAAAHr/f4M=")</f>
        <v>#REF!</v>
      </c>
      <c r="EC151" t="e">
        <f>AND(#REF!,"AAAAAHr/f4Q=")</f>
        <v>#REF!</v>
      </c>
      <c r="ED151" t="e">
        <f>AND(#REF!,"AAAAAHr/f4U=")</f>
        <v>#REF!</v>
      </c>
      <c r="EE151" t="e">
        <f>AND(#REF!,"AAAAAHr/f4Y=")</f>
        <v>#REF!</v>
      </c>
      <c r="EF151" t="e">
        <f>AND(#REF!,"AAAAAHr/f4c=")</f>
        <v>#REF!</v>
      </c>
      <c r="EG151" t="e">
        <f>AND(#REF!,"AAAAAHr/f4g=")</f>
        <v>#REF!</v>
      </c>
      <c r="EH151" t="e">
        <f>AND(#REF!,"AAAAAHr/f4k=")</f>
        <v>#REF!</v>
      </c>
      <c r="EI151" t="e">
        <f>AND(#REF!,"AAAAAHr/f4o=")</f>
        <v>#REF!</v>
      </c>
      <c r="EJ151" t="e">
        <f>AND(#REF!,"AAAAAHr/f4s=")</f>
        <v>#REF!</v>
      </c>
      <c r="EK151" t="e">
        <f>AND(#REF!,"AAAAAHr/f4w=")</f>
        <v>#REF!</v>
      </c>
      <c r="EL151" t="e">
        <f>AND(#REF!,"AAAAAHr/f40=")</f>
        <v>#REF!</v>
      </c>
      <c r="EM151" t="e">
        <f>AND(#REF!,"AAAAAHr/f44=")</f>
        <v>#REF!</v>
      </c>
      <c r="EN151" t="e">
        <f>AND(#REF!,"AAAAAHr/f48=")</f>
        <v>#REF!</v>
      </c>
      <c r="EO151" t="e">
        <f>IF(#REF!,"AAAAAHr/f5A=",0)</f>
        <v>#REF!</v>
      </c>
      <c r="EP151" t="e">
        <f>AND(#REF!,"AAAAAHr/f5E=")</f>
        <v>#REF!</v>
      </c>
      <c r="EQ151" t="e">
        <f>AND(#REF!,"AAAAAHr/f5I=")</f>
        <v>#REF!</v>
      </c>
      <c r="ER151" t="e">
        <f>AND(#REF!,"AAAAAHr/f5M=")</f>
        <v>#REF!</v>
      </c>
      <c r="ES151" t="e">
        <f>AND(#REF!,"AAAAAHr/f5Q=")</f>
        <v>#REF!</v>
      </c>
      <c r="ET151" t="e">
        <f>AND(#REF!,"AAAAAHr/f5U=")</f>
        <v>#REF!</v>
      </c>
      <c r="EU151" t="e">
        <f>AND(#REF!,"AAAAAHr/f5Y=")</f>
        <v>#REF!</v>
      </c>
      <c r="EV151" t="e">
        <f>AND(#REF!,"AAAAAHr/f5c=")</f>
        <v>#REF!</v>
      </c>
      <c r="EW151" t="e">
        <f>AND(#REF!,"AAAAAHr/f5g=")</f>
        <v>#REF!</v>
      </c>
      <c r="EX151" t="e">
        <f>AND(#REF!,"AAAAAHr/f5k=")</f>
        <v>#REF!</v>
      </c>
      <c r="EY151" t="e">
        <f>AND(#REF!,"AAAAAHr/f5o=")</f>
        <v>#REF!</v>
      </c>
      <c r="EZ151" t="e">
        <f>AND(#REF!,"AAAAAHr/f5s=")</f>
        <v>#REF!</v>
      </c>
      <c r="FA151" t="e">
        <f>AND(#REF!,"AAAAAHr/f5w=")</f>
        <v>#REF!</v>
      </c>
      <c r="FB151" t="e">
        <f>AND(#REF!,"AAAAAHr/f50=")</f>
        <v>#REF!</v>
      </c>
      <c r="FC151" t="e">
        <f>AND(#REF!,"AAAAAHr/f54=")</f>
        <v>#REF!</v>
      </c>
      <c r="FD151" t="e">
        <f>AND(#REF!,"AAAAAHr/f58=")</f>
        <v>#REF!</v>
      </c>
      <c r="FE151" t="e">
        <f>AND(#REF!,"AAAAAHr/f6A=")</f>
        <v>#REF!</v>
      </c>
      <c r="FF151" t="e">
        <f>AND(#REF!,"AAAAAHr/f6E=")</f>
        <v>#REF!</v>
      </c>
      <c r="FG151" t="e">
        <f>AND(#REF!,"AAAAAHr/f6I=")</f>
        <v>#REF!</v>
      </c>
      <c r="FH151" t="e">
        <f>AND(#REF!,"AAAAAHr/f6M=")</f>
        <v>#REF!</v>
      </c>
      <c r="FI151" t="e">
        <f>AND(#REF!,"AAAAAHr/f6Q=")</f>
        <v>#REF!</v>
      </c>
      <c r="FJ151" t="e">
        <f>AND(#REF!,"AAAAAHr/f6U=")</f>
        <v>#REF!</v>
      </c>
      <c r="FK151" t="e">
        <f>AND(#REF!,"AAAAAHr/f6Y=")</f>
        <v>#REF!</v>
      </c>
      <c r="FL151" t="e">
        <f>IF(#REF!,"AAAAAHr/f6c=",0)</f>
        <v>#REF!</v>
      </c>
      <c r="FM151" t="e">
        <f>AND(#REF!,"AAAAAHr/f6g=")</f>
        <v>#REF!</v>
      </c>
      <c r="FN151" t="e">
        <f>AND(#REF!,"AAAAAHr/f6k=")</f>
        <v>#REF!</v>
      </c>
      <c r="FO151" t="e">
        <f>AND(#REF!,"AAAAAHr/f6o=")</f>
        <v>#REF!</v>
      </c>
      <c r="FP151" t="e">
        <f>AND(#REF!,"AAAAAHr/f6s=")</f>
        <v>#REF!</v>
      </c>
      <c r="FQ151" t="e">
        <f>AND(#REF!,"AAAAAHr/f6w=")</f>
        <v>#REF!</v>
      </c>
      <c r="FR151" t="e">
        <f>AND(#REF!,"AAAAAHr/f60=")</f>
        <v>#REF!</v>
      </c>
      <c r="FS151" t="e">
        <f>AND(#REF!,"AAAAAHr/f64=")</f>
        <v>#REF!</v>
      </c>
      <c r="FT151" t="e">
        <f>AND(#REF!,"AAAAAHr/f68=")</f>
        <v>#REF!</v>
      </c>
      <c r="FU151" t="e">
        <f>AND(#REF!,"AAAAAHr/f7A=")</f>
        <v>#REF!</v>
      </c>
      <c r="FV151" t="e">
        <f>AND(#REF!,"AAAAAHr/f7E=")</f>
        <v>#REF!</v>
      </c>
      <c r="FW151" t="e">
        <f>AND(#REF!,"AAAAAHr/f7I=")</f>
        <v>#REF!</v>
      </c>
      <c r="FX151" t="e">
        <f>AND(#REF!,"AAAAAHr/f7M=")</f>
        <v>#REF!</v>
      </c>
      <c r="FY151" t="e">
        <f>AND(#REF!,"AAAAAHr/f7Q=")</f>
        <v>#REF!</v>
      </c>
      <c r="FZ151" t="e">
        <f>AND(#REF!,"AAAAAHr/f7U=")</f>
        <v>#REF!</v>
      </c>
      <c r="GA151" t="e">
        <f>AND(#REF!,"AAAAAHr/f7Y=")</f>
        <v>#REF!</v>
      </c>
      <c r="GB151" t="e">
        <f>AND(#REF!,"AAAAAHr/f7c=")</f>
        <v>#REF!</v>
      </c>
      <c r="GC151" t="e">
        <f>AND(#REF!,"AAAAAHr/f7g=")</f>
        <v>#REF!</v>
      </c>
      <c r="GD151" t="e">
        <f>AND(#REF!,"AAAAAHr/f7k=")</f>
        <v>#REF!</v>
      </c>
      <c r="GE151" t="e">
        <f>AND(#REF!,"AAAAAHr/f7o=")</f>
        <v>#REF!</v>
      </c>
      <c r="GF151" t="e">
        <f>AND(#REF!,"AAAAAHr/f7s=")</f>
        <v>#REF!</v>
      </c>
      <c r="GG151" t="e">
        <f>AND(#REF!,"AAAAAHr/f7w=")</f>
        <v>#REF!</v>
      </c>
      <c r="GH151" t="e">
        <f>AND(#REF!,"AAAAAHr/f70=")</f>
        <v>#REF!</v>
      </c>
      <c r="GI151" t="e">
        <f>IF(#REF!,"AAAAAHr/f74=",0)</f>
        <v>#REF!</v>
      </c>
      <c r="GJ151" t="e">
        <f>AND(#REF!,"AAAAAHr/f78=")</f>
        <v>#REF!</v>
      </c>
      <c r="GK151" t="e">
        <f>AND(#REF!,"AAAAAHr/f8A=")</f>
        <v>#REF!</v>
      </c>
      <c r="GL151" t="e">
        <f>AND(#REF!,"AAAAAHr/f8E=")</f>
        <v>#REF!</v>
      </c>
      <c r="GM151" t="e">
        <f>AND(#REF!,"AAAAAHr/f8I=")</f>
        <v>#REF!</v>
      </c>
      <c r="GN151" t="e">
        <f>AND(#REF!,"AAAAAHr/f8M=")</f>
        <v>#REF!</v>
      </c>
      <c r="GO151" t="e">
        <f>AND(#REF!,"AAAAAHr/f8Q=")</f>
        <v>#REF!</v>
      </c>
      <c r="GP151" t="e">
        <f>AND(#REF!,"AAAAAHr/f8U=")</f>
        <v>#REF!</v>
      </c>
      <c r="GQ151" t="e">
        <f>AND(#REF!,"AAAAAHr/f8Y=")</f>
        <v>#REF!</v>
      </c>
      <c r="GR151" t="e">
        <f>AND(#REF!,"AAAAAHr/f8c=")</f>
        <v>#REF!</v>
      </c>
      <c r="GS151" t="e">
        <f>AND(#REF!,"AAAAAHr/f8g=")</f>
        <v>#REF!</v>
      </c>
      <c r="GT151" t="e">
        <f>AND(#REF!,"AAAAAHr/f8k=")</f>
        <v>#REF!</v>
      </c>
      <c r="GU151" t="e">
        <f>AND(#REF!,"AAAAAHr/f8o=")</f>
        <v>#REF!</v>
      </c>
      <c r="GV151" t="e">
        <f>AND(#REF!,"AAAAAHr/f8s=")</f>
        <v>#REF!</v>
      </c>
      <c r="GW151" t="e">
        <f>AND(#REF!,"AAAAAHr/f8w=")</f>
        <v>#REF!</v>
      </c>
      <c r="GX151" t="e">
        <f>AND(#REF!,"AAAAAHr/f80=")</f>
        <v>#REF!</v>
      </c>
      <c r="GY151" t="e">
        <f>AND(#REF!,"AAAAAHr/f84=")</f>
        <v>#REF!</v>
      </c>
      <c r="GZ151" t="e">
        <f>AND(#REF!,"AAAAAHr/f88=")</f>
        <v>#REF!</v>
      </c>
      <c r="HA151" t="e">
        <f>AND(#REF!,"AAAAAHr/f9A=")</f>
        <v>#REF!</v>
      </c>
      <c r="HB151" t="e">
        <f>AND(#REF!,"AAAAAHr/f9E=")</f>
        <v>#REF!</v>
      </c>
      <c r="HC151" t="e">
        <f>AND(#REF!,"AAAAAHr/f9I=")</f>
        <v>#REF!</v>
      </c>
      <c r="HD151" t="e">
        <f>AND(#REF!,"AAAAAHr/f9M=")</f>
        <v>#REF!</v>
      </c>
      <c r="HE151" t="e">
        <f>AND(#REF!,"AAAAAHr/f9Q=")</f>
        <v>#REF!</v>
      </c>
      <c r="HF151" t="e">
        <f>IF(#REF!,"AAAAAHr/f9U=",0)</f>
        <v>#REF!</v>
      </c>
      <c r="HG151" t="e">
        <f>AND(#REF!,"AAAAAHr/f9Y=")</f>
        <v>#REF!</v>
      </c>
      <c r="HH151" t="e">
        <f>AND(#REF!,"AAAAAHr/f9c=")</f>
        <v>#REF!</v>
      </c>
      <c r="HI151" t="e">
        <f>AND(#REF!,"AAAAAHr/f9g=")</f>
        <v>#REF!</v>
      </c>
      <c r="HJ151" t="e">
        <f>AND(#REF!,"AAAAAHr/f9k=")</f>
        <v>#REF!</v>
      </c>
      <c r="HK151" t="e">
        <f>AND(#REF!,"AAAAAHr/f9o=")</f>
        <v>#REF!</v>
      </c>
      <c r="HL151" t="e">
        <f>AND(#REF!,"AAAAAHr/f9s=")</f>
        <v>#REF!</v>
      </c>
      <c r="HM151" t="e">
        <f>AND(#REF!,"AAAAAHr/f9w=")</f>
        <v>#REF!</v>
      </c>
      <c r="HN151" t="e">
        <f>AND(#REF!,"AAAAAHr/f90=")</f>
        <v>#REF!</v>
      </c>
      <c r="HO151" t="e">
        <f>AND(#REF!,"AAAAAHr/f94=")</f>
        <v>#REF!</v>
      </c>
      <c r="HP151" t="e">
        <f>AND(#REF!,"AAAAAHr/f98=")</f>
        <v>#REF!</v>
      </c>
      <c r="HQ151" t="e">
        <f>AND(#REF!,"AAAAAHr/f+A=")</f>
        <v>#REF!</v>
      </c>
      <c r="HR151" t="e">
        <f>AND(#REF!,"AAAAAHr/f+E=")</f>
        <v>#REF!</v>
      </c>
      <c r="HS151" t="e">
        <f>AND(#REF!,"AAAAAHr/f+I=")</f>
        <v>#REF!</v>
      </c>
      <c r="HT151" t="e">
        <f>AND(#REF!,"AAAAAHr/f+M=")</f>
        <v>#REF!</v>
      </c>
      <c r="HU151" t="e">
        <f>AND(#REF!,"AAAAAHr/f+Q=")</f>
        <v>#REF!</v>
      </c>
      <c r="HV151" t="e">
        <f>AND(#REF!,"AAAAAHr/f+U=")</f>
        <v>#REF!</v>
      </c>
      <c r="HW151" t="e">
        <f>AND(#REF!,"AAAAAHr/f+Y=")</f>
        <v>#REF!</v>
      </c>
      <c r="HX151" t="e">
        <f>AND(#REF!,"AAAAAHr/f+c=")</f>
        <v>#REF!</v>
      </c>
      <c r="HY151" t="e">
        <f>AND(#REF!,"AAAAAHr/f+g=")</f>
        <v>#REF!</v>
      </c>
      <c r="HZ151" t="e">
        <f>AND(#REF!,"AAAAAHr/f+k=")</f>
        <v>#REF!</v>
      </c>
      <c r="IA151" t="e">
        <f>AND(#REF!,"AAAAAHr/f+o=")</f>
        <v>#REF!</v>
      </c>
      <c r="IB151" t="e">
        <f>AND(#REF!,"AAAAAHr/f+s=")</f>
        <v>#REF!</v>
      </c>
      <c r="IC151" t="e">
        <f>IF(#REF!,"AAAAAHr/f+w=",0)</f>
        <v>#REF!</v>
      </c>
      <c r="ID151" t="e">
        <f>AND(#REF!,"AAAAAHr/f+0=")</f>
        <v>#REF!</v>
      </c>
      <c r="IE151" t="e">
        <f>AND(#REF!,"AAAAAHr/f+4=")</f>
        <v>#REF!</v>
      </c>
      <c r="IF151" t="e">
        <f>AND(#REF!,"AAAAAHr/f+8=")</f>
        <v>#REF!</v>
      </c>
      <c r="IG151" t="e">
        <f>AND(#REF!,"AAAAAHr/f/A=")</f>
        <v>#REF!</v>
      </c>
      <c r="IH151" t="e">
        <f>AND(#REF!,"AAAAAHr/f/E=")</f>
        <v>#REF!</v>
      </c>
      <c r="II151" t="e">
        <f>AND(#REF!,"AAAAAHr/f/I=")</f>
        <v>#REF!</v>
      </c>
      <c r="IJ151" t="e">
        <f>AND(#REF!,"AAAAAHr/f/M=")</f>
        <v>#REF!</v>
      </c>
      <c r="IK151" t="e">
        <f>AND(#REF!,"AAAAAHr/f/Q=")</f>
        <v>#REF!</v>
      </c>
      <c r="IL151" t="e">
        <f>AND(#REF!,"AAAAAHr/f/U=")</f>
        <v>#REF!</v>
      </c>
      <c r="IM151" t="e">
        <f>AND(#REF!,"AAAAAHr/f/Y=")</f>
        <v>#REF!</v>
      </c>
      <c r="IN151" t="e">
        <f>AND(#REF!,"AAAAAHr/f/c=")</f>
        <v>#REF!</v>
      </c>
      <c r="IO151" t="e">
        <f>AND(#REF!,"AAAAAHr/f/g=")</f>
        <v>#REF!</v>
      </c>
      <c r="IP151" t="e">
        <f>AND(#REF!,"AAAAAHr/f/k=")</f>
        <v>#REF!</v>
      </c>
      <c r="IQ151" t="e">
        <f>AND(#REF!,"AAAAAHr/f/o=")</f>
        <v>#REF!</v>
      </c>
      <c r="IR151" t="e">
        <f>AND(#REF!,"AAAAAHr/f/s=")</f>
        <v>#REF!</v>
      </c>
      <c r="IS151" t="e">
        <f>AND(#REF!,"AAAAAHr/f/w=")</f>
        <v>#REF!</v>
      </c>
      <c r="IT151" t="e">
        <f>AND(#REF!,"AAAAAHr/f/0=")</f>
        <v>#REF!</v>
      </c>
      <c r="IU151" t="e">
        <f>AND(#REF!,"AAAAAHr/f/4=")</f>
        <v>#REF!</v>
      </c>
      <c r="IV151" t="e">
        <f>AND(#REF!,"AAAAAHr/f/8=")</f>
        <v>#REF!</v>
      </c>
    </row>
    <row r="152" spans="1:256" x14ac:dyDescent="0.2">
      <c r="A152" t="e">
        <f>AND(#REF!,"AAAAAGb+aQA=")</f>
        <v>#REF!</v>
      </c>
      <c r="B152" t="e">
        <f>AND(#REF!,"AAAAAGb+aQE=")</f>
        <v>#REF!</v>
      </c>
      <c r="C152" t="e">
        <f>AND(#REF!,"AAAAAGb+aQI=")</f>
        <v>#REF!</v>
      </c>
      <c r="D152" t="e">
        <f>IF(#REF!,"AAAAAGb+aQM=",0)</f>
        <v>#REF!</v>
      </c>
      <c r="E152" t="e">
        <f>AND(#REF!,"AAAAAGb+aQQ=")</f>
        <v>#REF!</v>
      </c>
      <c r="F152" t="e">
        <f>AND(#REF!,"AAAAAGb+aQU=")</f>
        <v>#REF!</v>
      </c>
      <c r="G152" t="e">
        <f>AND(#REF!,"AAAAAGb+aQY=")</f>
        <v>#REF!</v>
      </c>
      <c r="H152" t="e">
        <f>AND(#REF!,"AAAAAGb+aQc=")</f>
        <v>#REF!</v>
      </c>
      <c r="I152" t="e">
        <f>AND(#REF!,"AAAAAGb+aQg=")</f>
        <v>#REF!</v>
      </c>
      <c r="J152" t="e">
        <f>AND(#REF!,"AAAAAGb+aQk=")</f>
        <v>#REF!</v>
      </c>
      <c r="K152" t="e">
        <f>AND(#REF!,"AAAAAGb+aQo=")</f>
        <v>#REF!</v>
      </c>
      <c r="L152" t="e">
        <f>AND(#REF!,"AAAAAGb+aQs=")</f>
        <v>#REF!</v>
      </c>
      <c r="M152" t="e">
        <f>AND(#REF!,"AAAAAGb+aQw=")</f>
        <v>#REF!</v>
      </c>
      <c r="N152" t="e">
        <f>AND(#REF!,"AAAAAGb+aQ0=")</f>
        <v>#REF!</v>
      </c>
      <c r="O152" t="e">
        <f>AND(#REF!,"AAAAAGb+aQ4=")</f>
        <v>#REF!</v>
      </c>
      <c r="P152" t="e">
        <f>AND(#REF!,"AAAAAGb+aQ8=")</f>
        <v>#REF!</v>
      </c>
      <c r="Q152" t="e">
        <f>AND(#REF!,"AAAAAGb+aRA=")</f>
        <v>#REF!</v>
      </c>
      <c r="R152" t="e">
        <f>AND(#REF!,"AAAAAGb+aRE=")</f>
        <v>#REF!</v>
      </c>
      <c r="S152" t="e">
        <f>AND(#REF!,"AAAAAGb+aRI=")</f>
        <v>#REF!</v>
      </c>
      <c r="T152" t="e">
        <f>AND(#REF!,"AAAAAGb+aRM=")</f>
        <v>#REF!</v>
      </c>
      <c r="U152" t="e">
        <f>AND(#REF!,"AAAAAGb+aRQ=")</f>
        <v>#REF!</v>
      </c>
      <c r="V152" t="e">
        <f>AND(#REF!,"AAAAAGb+aRU=")</f>
        <v>#REF!</v>
      </c>
      <c r="W152" t="e">
        <f>AND(#REF!,"AAAAAGb+aRY=")</f>
        <v>#REF!</v>
      </c>
      <c r="X152" t="e">
        <f>AND(#REF!,"AAAAAGb+aRc=")</f>
        <v>#REF!</v>
      </c>
      <c r="Y152" t="e">
        <f>AND(#REF!,"AAAAAGb+aRg=")</f>
        <v>#REF!</v>
      </c>
      <c r="Z152" t="e">
        <f>AND(#REF!,"AAAAAGb+aRk=")</f>
        <v>#REF!</v>
      </c>
      <c r="AA152" t="e">
        <f>IF(#REF!,"AAAAAGb+aRo=",0)</f>
        <v>#REF!</v>
      </c>
      <c r="AB152" t="e">
        <f>AND(#REF!,"AAAAAGb+aRs=")</f>
        <v>#REF!</v>
      </c>
      <c r="AC152" t="e">
        <f>AND(#REF!,"AAAAAGb+aRw=")</f>
        <v>#REF!</v>
      </c>
      <c r="AD152" t="e">
        <f>AND(#REF!,"AAAAAGb+aR0=")</f>
        <v>#REF!</v>
      </c>
      <c r="AE152" t="e">
        <f>AND(#REF!,"AAAAAGb+aR4=")</f>
        <v>#REF!</v>
      </c>
      <c r="AF152" t="e">
        <f>AND(#REF!,"AAAAAGb+aR8=")</f>
        <v>#REF!</v>
      </c>
      <c r="AG152" t="e">
        <f>AND(#REF!,"AAAAAGb+aSA=")</f>
        <v>#REF!</v>
      </c>
      <c r="AH152" t="e">
        <f>AND(#REF!,"AAAAAGb+aSE=")</f>
        <v>#REF!</v>
      </c>
      <c r="AI152" t="e">
        <f>AND(#REF!,"AAAAAGb+aSI=")</f>
        <v>#REF!</v>
      </c>
      <c r="AJ152" t="e">
        <f>AND(#REF!,"AAAAAGb+aSM=")</f>
        <v>#REF!</v>
      </c>
      <c r="AK152" t="e">
        <f>AND(#REF!,"AAAAAGb+aSQ=")</f>
        <v>#REF!</v>
      </c>
      <c r="AL152" t="e">
        <f>AND(#REF!,"AAAAAGb+aSU=")</f>
        <v>#REF!</v>
      </c>
      <c r="AM152" t="e">
        <f>AND(#REF!,"AAAAAGb+aSY=")</f>
        <v>#REF!</v>
      </c>
      <c r="AN152" t="e">
        <f>AND(#REF!,"AAAAAGb+aSc=")</f>
        <v>#REF!</v>
      </c>
      <c r="AO152" t="e">
        <f>AND(#REF!,"AAAAAGb+aSg=")</f>
        <v>#REF!</v>
      </c>
      <c r="AP152" t="e">
        <f>AND(#REF!,"AAAAAGb+aSk=")</f>
        <v>#REF!</v>
      </c>
      <c r="AQ152" t="e">
        <f>AND(#REF!,"AAAAAGb+aSo=")</f>
        <v>#REF!</v>
      </c>
      <c r="AR152" t="e">
        <f>AND(#REF!,"AAAAAGb+aSs=")</f>
        <v>#REF!</v>
      </c>
      <c r="AS152" t="e">
        <f>AND(#REF!,"AAAAAGb+aSw=")</f>
        <v>#REF!</v>
      </c>
      <c r="AT152" t="e">
        <f>AND(#REF!,"AAAAAGb+aS0=")</f>
        <v>#REF!</v>
      </c>
      <c r="AU152" t="e">
        <f>AND(#REF!,"AAAAAGb+aS4=")</f>
        <v>#REF!</v>
      </c>
      <c r="AV152" t="e">
        <f>AND(#REF!,"AAAAAGb+aS8=")</f>
        <v>#REF!</v>
      </c>
      <c r="AW152" t="e">
        <f>AND(#REF!,"AAAAAGb+aTA=")</f>
        <v>#REF!</v>
      </c>
      <c r="AX152" t="e">
        <f>IF(#REF!,"AAAAAGb+aTE=",0)</f>
        <v>#REF!</v>
      </c>
      <c r="AY152" t="e">
        <f>AND(#REF!,"AAAAAGb+aTI=")</f>
        <v>#REF!</v>
      </c>
      <c r="AZ152" t="e">
        <f>AND(#REF!,"AAAAAGb+aTM=")</f>
        <v>#REF!</v>
      </c>
      <c r="BA152" t="e">
        <f>AND(#REF!,"AAAAAGb+aTQ=")</f>
        <v>#REF!</v>
      </c>
      <c r="BB152" t="e">
        <f>AND(#REF!,"AAAAAGb+aTU=")</f>
        <v>#REF!</v>
      </c>
      <c r="BC152" t="e">
        <f>AND(#REF!,"AAAAAGb+aTY=")</f>
        <v>#REF!</v>
      </c>
      <c r="BD152" t="e">
        <f>AND(#REF!,"AAAAAGb+aTc=")</f>
        <v>#REF!</v>
      </c>
      <c r="BE152" t="e">
        <f>AND(#REF!,"AAAAAGb+aTg=")</f>
        <v>#REF!</v>
      </c>
      <c r="BF152" t="e">
        <f>AND(#REF!,"AAAAAGb+aTk=")</f>
        <v>#REF!</v>
      </c>
      <c r="BG152" t="e">
        <f>AND(#REF!,"AAAAAGb+aTo=")</f>
        <v>#REF!</v>
      </c>
      <c r="BH152" t="e">
        <f>AND(#REF!,"AAAAAGb+aTs=")</f>
        <v>#REF!</v>
      </c>
      <c r="BI152" t="e">
        <f>AND(#REF!,"AAAAAGb+aTw=")</f>
        <v>#REF!</v>
      </c>
      <c r="BJ152" t="e">
        <f>AND(#REF!,"AAAAAGb+aT0=")</f>
        <v>#REF!</v>
      </c>
      <c r="BK152" t="e">
        <f>AND(#REF!,"AAAAAGb+aT4=")</f>
        <v>#REF!</v>
      </c>
      <c r="BL152" t="e">
        <f>AND(#REF!,"AAAAAGb+aT8=")</f>
        <v>#REF!</v>
      </c>
      <c r="BM152" t="e">
        <f>AND(#REF!,"AAAAAGb+aUA=")</f>
        <v>#REF!</v>
      </c>
      <c r="BN152" t="e">
        <f>AND(#REF!,"AAAAAGb+aUE=")</f>
        <v>#REF!</v>
      </c>
      <c r="BO152" t="e">
        <f>AND(#REF!,"AAAAAGb+aUI=")</f>
        <v>#REF!</v>
      </c>
      <c r="BP152" t="e">
        <f>AND(#REF!,"AAAAAGb+aUM=")</f>
        <v>#REF!</v>
      </c>
      <c r="BQ152" t="e">
        <f>AND(#REF!,"AAAAAGb+aUQ=")</f>
        <v>#REF!</v>
      </c>
      <c r="BR152" t="e">
        <f>AND(#REF!,"AAAAAGb+aUU=")</f>
        <v>#REF!</v>
      </c>
      <c r="BS152" t="e">
        <f>AND(#REF!,"AAAAAGb+aUY=")</f>
        <v>#REF!</v>
      </c>
      <c r="BT152" t="e">
        <f>AND(#REF!,"AAAAAGb+aUc=")</f>
        <v>#REF!</v>
      </c>
      <c r="BU152" t="e">
        <f>IF(#REF!,"AAAAAGb+aUg=",0)</f>
        <v>#REF!</v>
      </c>
      <c r="BV152" t="e">
        <f>AND(#REF!,"AAAAAGb+aUk=")</f>
        <v>#REF!</v>
      </c>
      <c r="BW152" t="e">
        <f>AND(#REF!,"AAAAAGb+aUo=")</f>
        <v>#REF!</v>
      </c>
      <c r="BX152" t="e">
        <f>AND(#REF!,"AAAAAGb+aUs=")</f>
        <v>#REF!</v>
      </c>
      <c r="BY152" t="e">
        <f>AND(#REF!,"AAAAAGb+aUw=")</f>
        <v>#REF!</v>
      </c>
      <c r="BZ152" t="e">
        <f>AND(#REF!,"AAAAAGb+aU0=")</f>
        <v>#REF!</v>
      </c>
      <c r="CA152" t="e">
        <f>AND(#REF!,"AAAAAGb+aU4=")</f>
        <v>#REF!</v>
      </c>
      <c r="CB152" t="e">
        <f>AND(#REF!,"AAAAAGb+aU8=")</f>
        <v>#REF!</v>
      </c>
      <c r="CC152" t="e">
        <f>AND(#REF!,"AAAAAGb+aVA=")</f>
        <v>#REF!</v>
      </c>
      <c r="CD152" t="e">
        <f>AND(#REF!,"AAAAAGb+aVE=")</f>
        <v>#REF!</v>
      </c>
      <c r="CE152" t="e">
        <f>AND(#REF!,"AAAAAGb+aVI=")</f>
        <v>#REF!</v>
      </c>
      <c r="CF152" t="e">
        <f>AND(#REF!,"AAAAAGb+aVM=")</f>
        <v>#REF!</v>
      </c>
      <c r="CG152" t="e">
        <f>AND(#REF!,"AAAAAGb+aVQ=")</f>
        <v>#REF!</v>
      </c>
      <c r="CH152" t="e">
        <f>AND(#REF!,"AAAAAGb+aVU=")</f>
        <v>#REF!</v>
      </c>
      <c r="CI152" t="e">
        <f>AND(#REF!,"AAAAAGb+aVY=")</f>
        <v>#REF!</v>
      </c>
      <c r="CJ152" t="e">
        <f>AND(#REF!,"AAAAAGb+aVc=")</f>
        <v>#REF!</v>
      </c>
      <c r="CK152" t="e">
        <f>AND(#REF!,"AAAAAGb+aVg=")</f>
        <v>#REF!</v>
      </c>
      <c r="CL152" t="e">
        <f>AND(#REF!,"AAAAAGb+aVk=")</f>
        <v>#REF!</v>
      </c>
      <c r="CM152" t="e">
        <f>AND(#REF!,"AAAAAGb+aVo=")</f>
        <v>#REF!</v>
      </c>
      <c r="CN152" t="e">
        <f>AND(#REF!,"AAAAAGb+aVs=")</f>
        <v>#REF!</v>
      </c>
      <c r="CO152" t="e">
        <f>AND(#REF!,"AAAAAGb+aVw=")</f>
        <v>#REF!</v>
      </c>
      <c r="CP152" t="e">
        <f>AND(#REF!,"AAAAAGb+aV0=")</f>
        <v>#REF!</v>
      </c>
      <c r="CQ152" t="e">
        <f>AND(#REF!,"AAAAAGb+aV4=")</f>
        <v>#REF!</v>
      </c>
      <c r="CR152" t="e">
        <f>IF(#REF!,"AAAAAGb+aV8=",0)</f>
        <v>#REF!</v>
      </c>
      <c r="CS152" t="e">
        <f>AND(#REF!,"AAAAAGb+aWA=")</f>
        <v>#REF!</v>
      </c>
      <c r="CT152" t="e">
        <f>AND(#REF!,"AAAAAGb+aWE=")</f>
        <v>#REF!</v>
      </c>
      <c r="CU152" t="e">
        <f>AND(#REF!,"AAAAAGb+aWI=")</f>
        <v>#REF!</v>
      </c>
      <c r="CV152" t="e">
        <f>AND(#REF!,"AAAAAGb+aWM=")</f>
        <v>#REF!</v>
      </c>
      <c r="CW152" t="e">
        <f>AND(#REF!,"AAAAAGb+aWQ=")</f>
        <v>#REF!</v>
      </c>
      <c r="CX152" t="e">
        <f>AND(#REF!,"AAAAAGb+aWU=")</f>
        <v>#REF!</v>
      </c>
      <c r="CY152" t="e">
        <f>AND(#REF!,"AAAAAGb+aWY=")</f>
        <v>#REF!</v>
      </c>
      <c r="CZ152" t="e">
        <f>AND(#REF!,"AAAAAGb+aWc=")</f>
        <v>#REF!</v>
      </c>
      <c r="DA152" t="e">
        <f>AND(#REF!,"AAAAAGb+aWg=")</f>
        <v>#REF!</v>
      </c>
      <c r="DB152" t="e">
        <f>AND(#REF!,"AAAAAGb+aWk=")</f>
        <v>#REF!</v>
      </c>
      <c r="DC152" t="e">
        <f>AND(#REF!,"AAAAAGb+aWo=")</f>
        <v>#REF!</v>
      </c>
      <c r="DD152" t="e">
        <f>AND(#REF!,"AAAAAGb+aWs=")</f>
        <v>#REF!</v>
      </c>
      <c r="DE152" t="e">
        <f>AND(#REF!,"AAAAAGb+aWw=")</f>
        <v>#REF!</v>
      </c>
      <c r="DF152" t="e">
        <f>AND(#REF!,"AAAAAGb+aW0=")</f>
        <v>#REF!</v>
      </c>
      <c r="DG152" t="e">
        <f>AND(#REF!,"AAAAAGb+aW4=")</f>
        <v>#REF!</v>
      </c>
      <c r="DH152" t="e">
        <f>AND(#REF!,"AAAAAGb+aW8=")</f>
        <v>#REF!</v>
      </c>
      <c r="DI152" t="e">
        <f>AND(#REF!,"AAAAAGb+aXA=")</f>
        <v>#REF!</v>
      </c>
      <c r="DJ152" t="e">
        <f>AND(#REF!,"AAAAAGb+aXE=")</f>
        <v>#REF!</v>
      </c>
      <c r="DK152" t="e">
        <f>AND(#REF!,"AAAAAGb+aXI=")</f>
        <v>#REF!</v>
      </c>
      <c r="DL152" t="e">
        <f>AND(#REF!,"AAAAAGb+aXM=")</f>
        <v>#REF!</v>
      </c>
      <c r="DM152" t="e">
        <f>AND(#REF!,"AAAAAGb+aXQ=")</f>
        <v>#REF!</v>
      </c>
      <c r="DN152" t="e">
        <f>AND(#REF!,"AAAAAGb+aXU=")</f>
        <v>#REF!</v>
      </c>
      <c r="DO152" t="e">
        <f>IF(#REF!,"AAAAAGb+aXY=",0)</f>
        <v>#REF!</v>
      </c>
      <c r="DP152" t="e">
        <f>AND(#REF!,"AAAAAGb+aXc=")</f>
        <v>#REF!</v>
      </c>
      <c r="DQ152" t="e">
        <f>AND(#REF!,"AAAAAGb+aXg=")</f>
        <v>#REF!</v>
      </c>
      <c r="DR152" t="e">
        <f>AND(#REF!,"AAAAAGb+aXk=")</f>
        <v>#REF!</v>
      </c>
      <c r="DS152" t="e">
        <f>AND(#REF!,"AAAAAGb+aXo=")</f>
        <v>#REF!</v>
      </c>
      <c r="DT152" t="e">
        <f>AND(#REF!,"AAAAAGb+aXs=")</f>
        <v>#REF!</v>
      </c>
      <c r="DU152" t="e">
        <f>AND(#REF!,"AAAAAGb+aXw=")</f>
        <v>#REF!</v>
      </c>
      <c r="DV152" t="e">
        <f>AND(#REF!,"AAAAAGb+aX0=")</f>
        <v>#REF!</v>
      </c>
      <c r="DW152" t="e">
        <f>AND(#REF!,"AAAAAGb+aX4=")</f>
        <v>#REF!</v>
      </c>
      <c r="DX152" t="e">
        <f>AND(#REF!,"AAAAAGb+aX8=")</f>
        <v>#REF!</v>
      </c>
      <c r="DY152" t="e">
        <f>AND(#REF!,"AAAAAGb+aYA=")</f>
        <v>#REF!</v>
      </c>
      <c r="DZ152" t="e">
        <f>AND(#REF!,"AAAAAGb+aYE=")</f>
        <v>#REF!</v>
      </c>
      <c r="EA152" t="e">
        <f>AND(#REF!,"AAAAAGb+aYI=")</f>
        <v>#REF!</v>
      </c>
      <c r="EB152" t="e">
        <f>AND(#REF!,"AAAAAGb+aYM=")</f>
        <v>#REF!</v>
      </c>
      <c r="EC152" t="e">
        <f>AND(#REF!,"AAAAAGb+aYQ=")</f>
        <v>#REF!</v>
      </c>
      <c r="ED152" t="e">
        <f>AND(#REF!,"AAAAAGb+aYU=")</f>
        <v>#REF!</v>
      </c>
      <c r="EE152" t="e">
        <f>AND(#REF!,"AAAAAGb+aYY=")</f>
        <v>#REF!</v>
      </c>
      <c r="EF152" t="e">
        <f>AND(#REF!,"AAAAAGb+aYc=")</f>
        <v>#REF!</v>
      </c>
      <c r="EG152" t="e">
        <f>AND(#REF!,"AAAAAGb+aYg=")</f>
        <v>#REF!</v>
      </c>
      <c r="EH152" t="e">
        <f>AND(#REF!,"AAAAAGb+aYk=")</f>
        <v>#REF!</v>
      </c>
      <c r="EI152" t="e">
        <f>AND(#REF!,"AAAAAGb+aYo=")</f>
        <v>#REF!</v>
      </c>
      <c r="EJ152" t="e">
        <f>AND(#REF!,"AAAAAGb+aYs=")</f>
        <v>#REF!</v>
      </c>
      <c r="EK152" t="e">
        <f>AND(#REF!,"AAAAAGb+aYw=")</f>
        <v>#REF!</v>
      </c>
      <c r="EL152" t="e">
        <f>IF(#REF!,"AAAAAGb+aY0=",0)</f>
        <v>#REF!</v>
      </c>
      <c r="EM152" t="e">
        <f>AND(#REF!,"AAAAAGb+aY4=")</f>
        <v>#REF!</v>
      </c>
      <c r="EN152" t="e">
        <f>AND(#REF!,"AAAAAGb+aY8=")</f>
        <v>#REF!</v>
      </c>
      <c r="EO152" t="e">
        <f>AND(#REF!,"AAAAAGb+aZA=")</f>
        <v>#REF!</v>
      </c>
      <c r="EP152" t="e">
        <f>AND(#REF!,"AAAAAGb+aZE=")</f>
        <v>#REF!</v>
      </c>
      <c r="EQ152" t="e">
        <f>AND(#REF!,"AAAAAGb+aZI=")</f>
        <v>#REF!</v>
      </c>
      <c r="ER152" t="e">
        <f>AND(#REF!,"AAAAAGb+aZM=")</f>
        <v>#REF!</v>
      </c>
      <c r="ES152" t="e">
        <f>AND(#REF!,"AAAAAGb+aZQ=")</f>
        <v>#REF!</v>
      </c>
      <c r="ET152" t="e">
        <f>AND(#REF!,"AAAAAGb+aZU=")</f>
        <v>#REF!</v>
      </c>
      <c r="EU152" t="e">
        <f>AND(#REF!,"AAAAAGb+aZY=")</f>
        <v>#REF!</v>
      </c>
      <c r="EV152" t="e">
        <f>AND(#REF!,"AAAAAGb+aZc=")</f>
        <v>#REF!</v>
      </c>
      <c r="EW152" t="e">
        <f>AND(#REF!,"AAAAAGb+aZg=")</f>
        <v>#REF!</v>
      </c>
      <c r="EX152" t="e">
        <f>AND(#REF!,"AAAAAGb+aZk=")</f>
        <v>#REF!</v>
      </c>
      <c r="EY152" t="e">
        <f>AND(#REF!,"AAAAAGb+aZo=")</f>
        <v>#REF!</v>
      </c>
      <c r="EZ152" t="e">
        <f>AND(#REF!,"AAAAAGb+aZs=")</f>
        <v>#REF!</v>
      </c>
      <c r="FA152" t="e">
        <f>AND(#REF!,"AAAAAGb+aZw=")</f>
        <v>#REF!</v>
      </c>
      <c r="FB152" t="e">
        <f>AND(#REF!,"AAAAAGb+aZ0=")</f>
        <v>#REF!</v>
      </c>
      <c r="FC152" t="e">
        <f>AND(#REF!,"AAAAAGb+aZ4=")</f>
        <v>#REF!</v>
      </c>
      <c r="FD152" t="e">
        <f>AND(#REF!,"AAAAAGb+aZ8=")</f>
        <v>#REF!</v>
      </c>
      <c r="FE152" t="e">
        <f>AND(#REF!,"AAAAAGb+aaA=")</f>
        <v>#REF!</v>
      </c>
      <c r="FF152" t="e">
        <f>AND(#REF!,"AAAAAGb+aaE=")</f>
        <v>#REF!</v>
      </c>
      <c r="FG152" t="e">
        <f>AND(#REF!,"AAAAAGb+aaI=")</f>
        <v>#REF!</v>
      </c>
      <c r="FH152" t="e">
        <f>AND(#REF!,"AAAAAGb+aaM=")</f>
        <v>#REF!</v>
      </c>
      <c r="FI152" t="e">
        <f>IF(#REF!,"AAAAAGb+aaQ=",0)</f>
        <v>#REF!</v>
      </c>
      <c r="FJ152" t="e">
        <f>AND(#REF!,"AAAAAGb+aaU=")</f>
        <v>#REF!</v>
      </c>
      <c r="FK152" t="e">
        <f>AND(#REF!,"AAAAAGb+aaY=")</f>
        <v>#REF!</v>
      </c>
      <c r="FL152" t="e">
        <f>AND(#REF!,"AAAAAGb+aac=")</f>
        <v>#REF!</v>
      </c>
      <c r="FM152" t="e">
        <f>AND(#REF!,"AAAAAGb+aag=")</f>
        <v>#REF!</v>
      </c>
      <c r="FN152" t="e">
        <f>AND(#REF!,"AAAAAGb+aak=")</f>
        <v>#REF!</v>
      </c>
      <c r="FO152" t="e">
        <f>AND(#REF!,"AAAAAGb+aao=")</f>
        <v>#REF!</v>
      </c>
      <c r="FP152" t="e">
        <f>AND(#REF!,"AAAAAGb+aas=")</f>
        <v>#REF!</v>
      </c>
      <c r="FQ152" t="e">
        <f>AND(#REF!,"AAAAAGb+aaw=")</f>
        <v>#REF!</v>
      </c>
      <c r="FR152" t="e">
        <f>AND(#REF!,"AAAAAGb+aa0=")</f>
        <v>#REF!</v>
      </c>
      <c r="FS152" t="e">
        <f>AND(#REF!,"AAAAAGb+aa4=")</f>
        <v>#REF!</v>
      </c>
      <c r="FT152" t="e">
        <f>AND(#REF!,"AAAAAGb+aa8=")</f>
        <v>#REF!</v>
      </c>
      <c r="FU152" t="e">
        <f>AND(#REF!,"AAAAAGb+abA=")</f>
        <v>#REF!</v>
      </c>
      <c r="FV152" t="e">
        <f>AND(#REF!,"AAAAAGb+abE=")</f>
        <v>#REF!</v>
      </c>
      <c r="FW152" t="e">
        <f>AND(#REF!,"AAAAAGb+abI=")</f>
        <v>#REF!</v>
      </c>
      <c r="FX152" t="e">
        <f>AND(#REF!,"AAAAAGb+abM=")</f>
        <v>#REF!</v>
      </c>
      <c r="FY152" t="e">
        <f>AND(#REF!,"AAAAAGb+abQ=")</f>
        <v>#REF!</v>
      </c>
      <c r="FZ152" t="e">
        <f>AND(#REF!,"AAAAAGb+abU=")</f>
        <v>#REF!</v>
      </c>
      <c r="GA152" t="e">
        <f>AND(#REF!,"AAAAAGb+abY=")</f>
        <v>#REF!</v>
      </c>
      <c r="GB152" t="e">
        <f>AND(#REF!,"AAAAAGb+abc=")</f>
        <v>#REF!</v>
      </c>
      <c r="GC152" t="e">
        <f>AND(#REF!,"AAAAAGb+abg=")</f>
        <v>#REF!</v>
      </c>
      <c r="GD152" t="e">
        <f>AND(#REF!,"AAAAAGb+abk=")</f>
        <v>#REF!</v>
      </c>
      <c r="GE152" t="e">
        <f>AND(#REF!,"AAAAAGb+abo=")</f>
        <v>#REF!</v>
      </c>
      <c r="GF152" t="e">
        <f>IF(#REF!,"AAAAAGb+abs=",0)</f>
        <v>#REF!</v>
      </c>
      <c r="GG152" t="e">
        <f>AND(#REF!,"AAAAAGb+abw=")</f>
        <v>#REF!</v>
      </c>
      <c r="GH152" t="e">
        <f>AND(#REF!,"AAAAAGb+ab0=")</f>
        <v>#REF!</v>
      </c>
      <c r="GI152" t="e">
        <f>AND(#REF!,"AAAAAGb+ab4=")</f>
        <v>#REF!</v>
      </c>
      <c r="GJ152" t="e">
        <f>AND(#REF!,"AAAAAGb+ab8=")</f>
        <v>#REF!</v>
      </c>
      <c r="GK152" t="e">
        <f>AND(#REF!,"AAAAAGb+acA=")</f>
        <v>#REF!</v>
      </c>
      <c r="GL152" t="e">
        <f>AND(#REF!,"AAAAAGb+acE=")</f>
        <v>#REF!</v>
      </c>
      <c r="GM152" t="e">
        <f>AND(#REF!,"AAAAAGb+acI=")</f>
        <v>#REF!</v>
      </c>
      <c r="GN152" t="e">
        <f>AND(#REF!,"AAAAAGb+acM=")</f>
        <v>#REF!</v>
      </c>
      <c r="GO152" t="e">
        <f>AND(#REF!,"AAAAAGb+acQ=")</f>
        <v>#REF!</v>
      </c>
      <c r="GP152" t="e">
        <f>AND(#REF!,"AAAAAGb+acU=")</f>
        <v>#REF!</v>
      </c>
      <c r="GQ152" t="e">
        <f>AND(#REF!,"AAAAAGb+acY=")</f>
        <v>#REF!</v>
      </c>
      <c r="GR152" t="e">
        <f>AND(#REF!,"AAAAAGb+acc=")</f>
        <v>#REF!</v>
      </c>
      <c r="GS152" t="e">
        <f>AND(#REF!,"AAAAAGb+acg=")</f>
        <v>#REF!</v>
      </c>
      <c r="GT152" t="e">
        <f>AND(#REF!,"AAAAAGb+ack=")</f>
        <v>#REF!</v>
      </c>
      <c r="GU152" t="e">
        <f>AND(#REF!,"AAAAAGb+aco=")</f>
        <v>#REF!</v>
      </c>
      <c r="GV152" t="e">
        <f>AND(#REF!,"AAAAAGb+acs=")</f>
        <v>#REF!</v>
      </c>
      <c r="GW152" t="e">
        <f>AND(#REF!,"AAAAAGb+acw=")</f>
        <v>#REF!</v>
      </c>
      <c r="GX152" t="e">
        <f>AND(#REF!,"AAAAAGb+ac0=")</f>
        <v>#REF!</v>
      </c>
      <c r="GY152" t="e">
        <f>AND(#REF!,"AAAAAGb+ac4=")</f>
        <v>#REF!</v>
      </c>
      <c r="GZ152" t="e">
        <f>AND(#REF!,"AAAAAGb+ac8=")</f>
        <v>#REF!</v>
      </c>
      <c r="HA152" t="e">
        <f>AND(#REF!,"AAAAAGb+adA=")</f>
        <v>#REF!</v>
      </c>
      <c r="HB152" t="e">
        <f>AND(#REF!,"AAAAAGb+adE=")</f>
        <v>#REF!</v>
      </c>
      <c r="HC152" t="e">
        <f>IF(#REF!,"AAAAAGb+adI=",0)</f>
        <v>#REF!</v>
      </c>
      <c r="HD152" t="e">
        <f>AND(#REF!,"AAAAAGb+adM=")</f>
        <v>#REF!</v>
      </c>
      <c r="HE152" t="e">
        <f>AND(#REF!,"AAAAAGb+adQ=")</f>
        <v>#REF!</v>
      </c>
      <c r="HF152" t="e">
        <f>AND(#REF!,"AAAAAGb+adU=")</f>
        <v>#REF!</v>
      </c>
      <c r="HG152" t="e">
        <f>AND(#REF!,"AAAAAGb+adY=")</f>
        <v>#REF!</v>
      </c>
      <c r="HH152" t="e">
        <f>AND(#REF!,"AAAAAGb+adc=")</f>
        <v>#REF!</v>
      </c>
      <c r="HI152" t="e">
        <f>AND(#REF!,"AAAAAGb+adg=")</f>
        <v>#REF!</v>
      </c>
      <c r="HJ152" t="e">
        <f>AND(#REF!,"AAAAAGb+adk=")</f>
        <v>#REF!</v>
      </c>
      <c r="HK152" t="e">
        <f>AND(#REF!,"AAAAAGb+ado=")</f>
        <v>#REF!</v>
      </c>
      <c r="HL152" t="e">
        <f>AND(#REF!,"AAAAAGb+ads=")</f>
        <v>#REF!</v>
      </c>
      <c r="HM152" t="e">
        <f>AND(#REF!,"AAAAAGb+adw=")</f>
        <v>#REF!</v>
      </c>
      <c r="HN152" t="e">
        <f>AND(#REF!,"AAAAAGb+ad0=")</f>
        <v>#REF!</v>
      </c>
      <c r="HO152" t="e">
        <f>AND(#REF!,"AAAAAGb+ad4=")</f>
        <v>#REF!</v>
      </c>
      <c r="HP152" t="e">
        <f>AND(#REF!,"AAAAAGb+ad8=")</f>
        <v>#REF!</v>
      </c>
      <c r="HQ152" t="e">
        <f>AND(#REF!,"AAAAAGb+aeA=")</f>
        <v>#REF!</v>
      </c>
      <c r="HR152" t="e">
        <f>AND(#REF!,"AAAAAGb+aeE=")</f>
        <v>#REF!</v>
      </c>
      <c r="HS152" t="e">
        <f>AND(#REF!,"AAAAAGb+aeI=")</f>
        <v>#REF!</v>
      </c>
      <c r="HT152" t="e">
        <f>AND(#REF!,"AAAAAGb+aeM=")</f>
        <v>#REF!</v>
      </c>
      <c r="HU152" t="e">
        <f>AND(#REF!,"AAAAAGb+aeQ=")</f>
        <v>#REF!</v>
      </c>
      <c r="HV152" t="e">
        <f>AND(#REF!,"AAAAAGb+aeU=")</f>
        <v>#REF!</v>
      </c>
      <c r="HW152" t="e">
        <f>AND(#REF!,"AAAAAGb+aeY=")</f>
        <v>#REF!</v>
      </c>
      <c r="HX152" t="e">
        <f>AND(#REF!,"AAAAAGb+aec=")</f>
        <v>#REF!</v>
      </c>
      <c r="HY152" t="e">
        <f>AND(#REF!,"AAAAAGb+aeg=")</f>
        <v>#REF!</v>
      </c>
      <c r="HZ152" t="e">
        <f>IF(#REF!,"AAAAAGb+aek=",0)</f>
        <v>#REF!</v>
      </c>
      <c r="IA152" t="e">
        <f>AND(#REF!,"AAAAAGb+aeo=")</f>
        <v>#REF!</v>
      </c>
      <c r="IB152" t="e">
        <f>AND(#REF!,"AAAAAGb+aes=")</f>
        <v>#REF!</v>
      </c>
      <c r="IC152" t="e">
        <f>AND(#REF!,"AAAAAGb+aew=")</f>
        <v>#REF!</v>
      </c>
      <c r="ID152" t="e">
        <f>AND(#REF!,"AAAAAGb+ae0=")</f>
        <v>#REF!</v>
      </c>
      <c r="IE152" t="e">
        <f>AND(#REF!,"AAAAAGb+ae4=")</f>
        <v>#REF!</v>
      </c>
      <c r="IF152" t="e">
        <f>AND(#REF!,"AAAAAGb+ae8=")</f>
        <v>#REF!</v>
      </c>
      <c r="IG152" t="e">
        <f>AND(#REF!,"AAAAAGb+afA=")</f>
        <v>#REF!</v>
      </c>
      <c r="IH152" t="e">
        <f>AND(#REF!,"AAAAAGb+afE=")</f>
        <v>#REF!</v>
      </c>
      <c r="II152" t="e">
        <f>AND(#REF!,"AAAAAGb+afI=")</f>
        <v>#REF!</v>
      </c>
      <c r="IJ152" t="e">
        <f>AND(#REF!,"AAAAAGb+afM=")</f>
        <v>#REF!</v>
      </c>
      <c r="IK152" t="e">
        <f>AND(#REF!,"AAAAAGb+afQ=")</f>
        <v>#REF!</v>
      </c>
      <c r="IL152" t="e">
        <f>AND(#REF!,"AAAAAGb+afU=")</f>
        <v>#REF!</v>
      </c>
      <c r="IM152" t="e">
        <f>AND(#REF!,"AAAAAGb+afY=")</f>
        <v>#REF!</v>
      </c>
      <c r="IN152" t="e">
        <f>AND(#REF!,"AAAAAGb+afc=")</f>
        <v>#REF!</v>
      </c>
      <c r="IO152" t="e">
        <f>AND(#REF!,"AAAAAGb+afg=")</f>
        <v>#REF!</v>
      </c>
      <c r="IP152" t="e">
        <f>AND(#REF!,"AAAAAGb+afk=")</f>
        <v>#REF!</v>
      </c>
      <c r="IQ152" t="e">
        <f>AND(#REF!,"AAAAAGb+afo=")</f>
        <v>#REF!</v>
      </c>
      <c r="IR152" t="e">
        <f>AND(#REF!,"AAAAAGb+afs=")</f>
        <v>#REF!</v>
      </c>
      <c r="IS152" t="e">
        <f>AND(#REF!,"AAAAAGb+afw=")</f>
        <v>#REF!</v>
      </c>
      <c r="IT152" t="e">
        <f>AND(#REF!,"AAAAAGb+af0=")</f>
        <v>#REF!</v>
      </c>
      <c r="IU152" t="e">
        <f>AND(#REF!,"AAAAAGb+af4=")</f>
        <v>#REF!</v>
      </c>
      <c r="IV152" t="e">
        <f>AND(#REF!,"AAAAAGb+af8=")</f>
        <v>#REF!</v>
      </c>
    </row>
    <row r="153" spans="1:256" x14ac:dyDescent="0.2">
      <c r="A153" t="e">
        <f>IF(#REF!,"AAAAAH8c/wA=",0)</f>
        <v>#REF!</v>
      </c>
      <c r="B153" t="e">
        <f>AND(#REF!,"AAAAAH8c/wE=")</f>
        <v>#REF!</v>
      </c>
      <c r="C153" t="e">
        <f>AND(#REF!,"AAAAAH8c/wI=")</f>
        <v>#REF!</v>
      </c>
      <c r="D153" t="e">
        <f>AND(#REF!,"AAAAAH8c/wM=")</f>
        <v>#REF!</v>
      </c>
      <c r="E153" t="e">
        <f>AND(#REF!,"AAAAAH8c/wQ=")</f>
        <v>#REF!</v>
      </c>
      <c r="F153" t="e">
        <f>AND(#REF!,"AAAAAH8c/wU=")</f>
        <v>#REF!</v>
      </c>
      <c r="G153" t="e">
        <f>AND(#REF!,"AAAAAH8c/wY=")</f>
        <v>#REF!</v>
      </c>
      <c r="H153" t="e">
        <f>AND(#REF!,"AAAAAH8c/wc=")</f>
        <v>#REF!</v>
      </c>
      <c r="I153" t="e">
        <f>AND(#REF!,"AAAAAH8c/wg=")</f>
        <v>#REF!</v>
      </c>
      <c r="J153" t="e">
        <f>AND(#REF!,"AAAAAH8c/wk=")</f>
        <v>#REF!</v>
      </c>
      <c r="K153" t="e">
        <f>AND(#REF!,"AAAAAH8c/wo=")</f>
        <v>#REF!</v>
      </c>
      <c r="L153" t="e">
        <f>AND(#REF!,"AAAAAH8c/ws=")</f>
        <v>#REF!</v>
      </c>
      <c r="M153" t="e">
        <f>AND(#REF!,"AAAAAH8c/ww=")</f>
        <v>#REF!</v>
      </c>
      <c r="N153" t="e">
        <f>AND(#REF!,"AAAAAH8c/w0=")</f>
        <v>#REF!</v>
      </c>
      <c r="O153" t="e">
        <f>AND(#REF!,"AAAAAH8c/w4=")</f>
        <v>#REF!</v>
      </c>
      <c r="P153" t="e">
        <f>AND(#REF!,"AAAAAH8c/w8=")</f>
        <v>#REF!</v>
      </c>
      <c r="Q153" t="e">
        <f>AND(#REF!,"AAAAAH8c/xA=")</f>
        <v>#REF!</v>
      </c>
      <c r="R153" t="e">
        <f>AND(#REF!,"AAAAAH8c/xE=")</f>
        <v>#REF!</v>
      </c>
      <c r="S153" t="e">
        <f>AND(#REF!,"AAAAAH8c/xI=")</f>
        <v>#REF!</v>
      </c>
      <c r="T153" t="e">
        <f>AND(#REF!,"AAAAAH8c/xM=")</f>
        <v>#REF!</v>
      </c>
      <c r="U153" t="e">
        <f>AND(#REF!,"AAAAAH8c/xQ=")</f>
        <v>#REF!</v>
      </c>
      <c r="V153" t="e">
        <f>AND(#REF!,"AAAAAH8c/xU=")</f>
        <v>#REF!</v>
      </c>
      <c r="W153" t="e">
        <f>AND(#REF!,"AAAAAH8c/xY=")</f>
        <v>#REF!</v>
      </c>
      <c r="X153" t="e">
        <f>IF(#REF!,"AAAAAH8c/xc=",0)</f>
        <v>#REF!</v>
      </c>
      <c r="Y153" t="e">
        <f>AND(#REF!,"AAAAAH8c/xg=")</f>
        <v>#REF!</v>
      </c>
      <c r="Z153" t="e">
        <f>AND(#REF!,"AAAAAH8c/xk=")</f>
        <v>#REF!</v>
      </c>
      <c r="AA153" t="e">
        <f>AND(#REF!,"AAAAAH8c/xo=")</f>
        <v>#REF!</v>
      </c>
      <c r="AB153" t="e">
        <f>AND(#REF!,"AAAAAH8c/xs=")</f>
        <v>#REF!</v>
      </c>
      <c r="AC153" t="e">
        <f>AND(#REF!,"AAAAAH8c/xw=")</f>
        <v>#REF!</v>
      </c>
      <c r="AD153" t="e">
        <f>AND(#REF!,"AAAAAH8c/x0=")</f>
        <v>#REF!</v>
      </c>
      <c r="AE153" t="e">
        <f>AND(#REF!,"AAAAAH8c/x4=")</f>
        <v>#REF!</v>
      </c>
      <c r="AF153" t="e">
        <f>AND(#REF!,"AAAAAH8c/x8=")</f>
        <v>#REF!</v>
      </c>
      <c r="AG153" t="e">
        <f>AND(#REF!,"AAAAAH8c/yA=")</f>
        <v>#REF!</v>
      </c>
      <c r="AH153" t="e">
        <f>AND(#REF!,"AAAAAH8c/yE=")</f>
        <v>#REF!</v>
      </c>
      <c r="AI153" t="e">
        <f>AND(#REF!,"AAAAAH8c/yI=")</f>
        <v>#REF!</v>
      </c>
      <c r="AJ153" t="e">
        <f>AND(#REF!,"AAAAAH8c/yM=")</f>
        <v>#REF!</v>
      </c>
      <c r="AK153" t="e">
        <f>AND(#REF!,"AAAAAH8c/yQ=")</f>
        <v>#REF!</v>
      </c>
      <c r="AL153" t="e">
        <f>AND(#REF!,"AAAAAH8c/yU=")</f>
        <v>#REF!</v>
      </c>
      <c r="AM153" t="e">
        <f>AND(#REF!,"AAAAAH8c/yY=")</f>
        <v>#REF!</v>
      </c>
      <c r="AN153" t="e">
        <f>AND(#REF!,"AAAAAH8c/yc=")</f>
        <v>#REF!</v>
      </c>
      <c r="AO153" t="e">
        <f>AND(#REF!,"AAAAAH8c/yg=")</f>
        <v>#REF!</v>
      </c>
      <c r="AP153" t="e">
        <f>AND(#REF!,"AAAAAH8c/yk=")</f>
        <v>#REF!</v>
      </c>
      <c r="AQ153" t="e">
        <f>AND(#REF!,"AAAAAH8c/yo=")</f>
        <v>#REF!</v>
      </c>
      <c r="AR153" t="e">
        <f>AND(#REF!,"AAAAAH8c/ys=")</f>
        <v>#REF!</v>
      </c>
      <c r="AS153" t="e">
        <f>AND(#REF!,"AAAAAH8c/yw=")</f>
        <v>#REF!</v>
      </c>
      <c r="AT153" t="e">
        <f>AND(#REF!,"AAAAAH8c/y0=")</f>
        <v>#REF!</v>
      </c>
      <c r="AU153" t="e">
        <f>IF(#REF!,"AAAAAH8c/y4=",0)</f>
        <v>#REF!</v>
      </c>
      <c r="AV153" t="e">
        <f>AND(#REF!,"AAAAAH8c/y8=")</f>
        <v>#REF!</v>
      </c>
      <c r="AW153" t="e">
        <f>AND(#REF!,"AAAAAH8c/zA=")</f>
        <v>#REF!</v>
      </c>
      <c r="AX153" t="e">
        <f>AND(#REF!,"AAAAAH8c/zE=")</f>
        <v>#REF!</v>
      </c>
      <c r="AY153" t="e">
        <f>AND(#REF!,"AAAAAH8c/zI=")</f>
        <v>#REF!</v>
      </c>
      <c r="AZ153" t="e">
        <f>AND(#REF!,"AAAAAH8c/zM=")</f>
        <v>#REF!</v>
      </c>
      <c r="BA153" t="e">
        <f>AND(#REF!,"AAAAAH8c/zQ=")</f>
        <v>#REF!</v>
      </c>
      <c r="BB153" t="e">
        <f>AND(#REF!,"AAAAAH8c/zU=")</f>
        <v>#REF!</v>
      </c>
      <c r="BC153" t="e">
        <f>AND(#REF!,"AAAAAH8c/zY=")</f>
        <v>#REF!</v>
      </c>
      <c r="BD153" t="e">
        <f>AND(#REF!,"AAAAAH8c/zc=")</f>
        <v>#REF!</v>
      </c>
      <c r="BE153" t="e">
        <f>AND(#REF!,"AAAAAH8c/zg=")</f>
        <v>#REF!</v>
      </c>
      <c r="BF153" t="e">
        <f>AND(#REF!,"AAAAAH8c/zk=")</f>
        <v>#REF!</v>
      </c>
      <c r="BG153" t="e">
        <f>AND(#REF!,"AAAAAH8c/zo=")</f>
        <v>#REF!</v>
      </c>
      <c r="BH153" t="e">
        <f>AND(#REF!,"AAAAAH8c/zs=")</f>
        <v>#REF!</v>
      </c>
      <c r="BI153" t="e">
        <f>AND(#REF!,"AAAAAH8c/zw=")</f>
        <v>#REF!</v>
      </c>
      <c r="BJ153" t="e">
        <f>AND(#REF!,"AAAAAH8c/z0=")</f>
        <v>#REF!</v>
      </c>
      <c r="BK153" t="e">
        <f>AND(#REF!,"AAAAAH8c/z4=")</f>
        <v>#REF!</v>
      </c>
      <c r="BL153" t="e">
        <f>AND(#REF!,"AAAAAH8c/z8=")</f>
        <v>#REF!</v>
      </c>
      <c r="BM153" t="e">
        <f>AND(#REF!,"AAAAAH8c/0A=")</f>
        <v>#REF!</v>
      </c>
      <c r="BN153" t="e">
        <f>AND(#REF!,"AAAAAH8c/0E=")</f>
        <v>#REF!</v>
      </c>
      <c r="BO153" t="e">
        <f>AND(#REF!,"AAAAAH8c/0I=")</f>
        <v>#REF!</v>
      </c>
      <c r="BP153" t="e">
        <f>AND(#REF!,"AAAAAH8c/0M=")</f>
        <v>#REF!</v>
      </c>
      <c r="BQ153" t="e">
        <f>AND(#REF!,"AAAAAH8c/0Q=")</f>
        <v>#REF!</v>
      </c>
      <c r="BR153" t="e">
        <f>IF(#REF!,"AAAAAH8c/0U=",0)</f>
        <v>#REF!</v>
      </c>
      <c r="BS153" t="e">
        <f>AND(#REF!,"AAAAAH8c/0Y=")</f>
        <v>#REF!</v>
      </c>
      <c r="BT153" t="e">
        <f>AND(#REF!,"AAAAAH8c/0c=")</f>
        <v>#REF!</v>
      </c>
      <c r="BU153" t="e">
        <f>AND(#REF!,"AAAAAH8c/0g=")</f>
        <v>#REF!</v>
      </c>
      <c r="BV153" t="e">
        <f>AND(#REF!,"AAAAAH8c/0k=")</f>
        <v>#REF!</v>
      </c>
      <c r="BW153" t="e">
        <f>AND(#REF!,"AAAAAH8c/0o=")</f>
        <v>#REF!</v>
      </c>
      <c r="BX153" t="e">
        <f>AND(#REF!,"AAAAAH8c/0s=")</f>
        <v>#REF!</v>
      </c>
      <c r="BY153" t="e">
        <f>AND(#REF!,"AAAAAH8c/0w=")</f>
        <v>#REF!</v>
      </c>
      <c r="BZ153" t="e">
        <f>AND(#REF!,"AAAAAH8c/00=")</f>
        <v>#REF!</v>
      </c>
      <c r="CA153" t="e">
        <f>AND(#REF!,"AAAAAH8c/04=")</f>
        <v>#REF!</v>
      </c>
      <c r="CB153" t="e">
        <f>AND(#REF!,"AAAAAH8c/08=")</f>
        <v>#REF!</v>
      </c>
      <c r="CC153" t="e">
        <f>AND(#REF!,"AAAAAH8c/1A=")</f>
        <v>#REF!</v>
      </c>
      <c r="CD153" t="e">
        <f>AND(#REF!,"AAAAAH8c/1E=")</f>
        <v>#REF!</v>
      </c>
      <c r="CE153" t="e">
        <f>AND(#REF!,"AAAAAH8c/1I=")</f>
        <v>#REF!</v>
      </c>
      <c r="CF153" t="e">
        <f>AND(#REF!,"AAAAAH8c/1M=")</f>
        <v>#REF!</v>
      </c>
      <c r="CG153" t="e">
        <f>AND(#REF!,"AAAAAH8c/1Q=")</f>
        <v>#REF!</v>
      </c>
      <c r="CH153" t="e">
        <f>AND(#REF!,"AAAAAH8c/1U=")</f>
        <v>#REF!</v>
      </c>
      <c r="CI153" t="e">
        <f>AND(#REF!,"AAAAAH8c/1Y=")</f>
        <v>#REF!</v>
      </c>
      <c r="CJ153" t="e">
        <f>AND(#REF!,"AAAAAH8c/1c=")</f>
        <v>#REF!</v>
      </c>
      <c r="CK153" t="e">
        <f>AND(#REF!,"AAAAAH8c/1g=")</f>
        <v>#REF!</v>
      </c>
      <c r="CL153" t="e">
        <f>AND(#REF!,"AAAAAH8c/1k=")</f>
        <v>#REF!</v>
      </c>
      <c r="CM153" t="e">
        <f>AND(#REF!,"AAAAAH8c/1o=")</f>
        <v>#REF!</v>
      </c>
      <c r="CN153" t="e">
        <f>AND(#REF!,"AAAAAH8c/1s=")</f>
        <v>#REF!</v>
      </c>
      <c r="CO153" t="e">
        <f>IF(#REF!,"AAAAAH8c/1w=",0)</f>
        <v>#REF!</v>
      </c>
      <c r="CP153" t="e">
        <f>AND(#REF!,"AAAAAH8c/10=")</f>
        <v>#REF!</v>
      </c>
      <c r="CQ153" t="e">
        <f>AND(#REF!,"AAAAAH8c/14=")</f>
        <v>#REF!</v>
      </c>
      <c r="CR153" t="e">
        <f>AND(#REF!,"AAAAAH8c/18=")</f>
        <v>#REF!</v>
      </c>
      <c r="CS153" t="e">
        <f>AND(#REF!,"AAAAAH8c/2A=")</f>
        <v>#REF!</v>
      </c>
      <c r="CT153" t="e">
        <f>AND(#REF!,"AAAAAH8c/2E=")</f>
        <v>#REF!</v>
      </c>
      <c r="CU153" t="e">
        <f>AND(#REF!,"AAAAAH8c/2I=")</f>
        <v>#REF!</v>
      </c>
      <c r="CV153" t="e">
        <f>AND(#REF!,"AAAAAH8c/2M=")</f>
        <v>#REF!</v>
      </c>
      <c r="CW153" t="e">
        <f>AND(#REF!,"AAAAAH8c/2Q=")</f>
        <v>#REF!</v>
      </c>
      <c r="CX153" t="e">
        <f>AND(#REF!,"AAAAAH8c/2U=")</f>
        <v>#REF!</v>
      </c>
      <c r="CY153" t="e">
        <f>AND(#REF!,"AAAAAH8c/2Y=")</f>
        <v>#REF!</v>
      </c>
      <c r="CZ153" t="e">
        <f>AND(#REF!,"AAAAAH8c/2c=")</f>
        <v>#REF!</v>
      </c>
      <c r="DA153" t="e">
        <f>AND(#REF!,"AAAAAH8c/2g=")</f>
        <v>#REF!</v>
      </c>
      <c r="DB153" t="e">
        <f>AND(#REF!,"AAAAAH8c/2k=")</f>
        <v>#REF!</v>
      </c>
      <c r="DC153" t="e">
        <f>AND(#REF!,"AAAAAH8c/2o=")</f>
        <v>#REF!</v>
      </c>
      <c r="DD153" t="e">
        <f>AND(#REF!,"AAAAAH8c/2s=")</f>
        <v>#REF!</v>
      </c>
      <c r="DE153" t="e">
        <f>AND(#REF!,"AAAAAH8c/2w=")</f>
        <v>#REF!</v>
      </c>
      <c r="DF153" t="e">
        <f>AND(#REF!,"AAAAAH8c/20=")</f>
        <v>#REF!</v>
      </c>
      <c r="DG153" t="e">
        <f>AND(#REF!,"AAAAAH8c/24=")</f>
        <v>#REF!</v>
      </c>
      <c r="DH153" t="e">
        <f>AND(#REF!,"AAAAAH8c/28=")</f>
        <v>#REF!</v>
      </c>
      <c r="DI153" t="e">
        <f>AND(#REF!,"AAAAAH8c/3A=")</f>
        <v>#REF!</v>
      </c>
      <c r="DJ153" t="e">
        <f>AND(#REF!,"AAAAAH8c/3E=")</f>
        <v>#REF!</v>
      </c>
      <c r="DK153" t="e">
        <f>AND(#REF!,"AAAAAH8c/3I=")</f>
        <v>#REF!</v>
      </c>
      <c r="DL153" t="e">
        <f>IF(#REF!,"AAAAAH8c/3M=",0)</f>
        <v>#REF!</v>
      </c>
      <c r="DM153" t="e">
        <f>AND(#REF!,"AAAAAH8c/3Q=")</f>
        <v>#REF!</v>
      </c>
      <c r="DN153" t="e">
        <f>AND(#REF!,"AAAAAH8c/3U=")</f>
        <v>#REF!</v>
      </c>
      <c r="DO153" t="e">
        <f>AND(#REF!,"AAAAAH8c/3Y=")</f>
        <v>#REF!</v>
      </c>
      <c r="DP153" t="e">
        <f>AND(#REF!,"AAAAAH8c/3c=")</f>
        <v>#REF!</v>
      </c>
      <c r="DQ153" t="e">
        <f>AND(#REF!,"AAAAAH8c/3g=")</f>
        <v>#REF!</v>
      </c>
      <c r="DR153" t="e">
        <f>AND(#REF!,"AAAAAH8c/3k=")</f>
        <v>#REF!</v>
      </c>
      <c r="DS153" t="e">
        <f>AND(#REF!,"AAAAAH8c/3o=")</f>
        <v>#REF!</v>
      </c>
      <c r="DT153" t="e">
        <f>AND(#REF!,"AAAAAH8c/3s=")</f>
        <v>#REF!</v>
      </c>
      <c r="DU153" t="e">
        <f>AND(#REF!,"AAAAAH8c/3w=")</f>
        <v>#REF!</v>
      </c>
      <c r="DV153" t="e">
        <f>AND(#REF!,"AAAAAH8c/30=")</f>
        <v>#REF!</v>
      </c>
      <c r="DW153" t="e">
        <f>AND(#REF!,"AAAAAH8c/34=")</f>
        <v>#REF!</v>
      </c>
      <c r="DX153" t="e">
        <f>AND(#REF!,"AAAAAH8c/38=")</f>
        <v>#REF!</v>
      </c>
      <c r="DY153" t="e">
        <f>AND(#REF!,"AAAAAH8c/4A=")</f>
        <v>#REF!</v>
      </c>
      <c r="DZ153" t="e">
        <f>AND(#REF!,"AAAAAH8c/4E=")</f>
        <v>#REF!</v>
      </c>
      <c r="EA153" t="e">
        <f>AND(#REF!,"AAAAAH8c/4I=")</f>
        <v>#REF!</v>
      </c>
      <c r="EB153" t="e">
        <f>AND(#REF!,"AAAAAH8c/4M=")</f>
        <v>#REF!</v>
      </c>
      <c r="EC153" t="e">
        <f>AND(#REF!,"AAAAAH8c/4Q=")</f>
        <v>#REF!</v>
      </c>
      <c r="ED153" t="e">
        <f>AND(#REF!,"AAAAAH8c/4U=")</f>
        <v>#REF!</v>
      </c>
      <c r="EE153" t="e">
        <f>AND(#REF!,"AAAAAH8c/4Y=")</f>
        <v>#REF!</v>
      </c>
      <c r="EF153" t="e">
        <f>AND(#REF!,"AAAAAH8c/4c=")</f>
        <v>#REF!</v>
      </c>
      <c r="EG153" t="e">
        <f>AND(#REF!,"AAAAAH8c/4g=")</f>
        <v>#REF!</v>
      </c>
      <c r="EH153" t="e">
        <f>AND(#REF!,"AAAAAH8c/4k=")</f>
        <v>#REF!</v>
      </c>
      <c r="EI153" t="e">
        <f>IF(#REF!,"AAAAAH8c/4o=",0)</f>
        <v>#REF!</v>
      </c>
      <c r="EJ153" t="e">
        <f>AND(#REF!,"AAAAAH8c/4s=")</f>
        <v>#REF!</v>
      </c>
      <c r="EK153" t="e">
        <f>AND(#REF!,"AAAAAH8c/4w=")</f>
        <v>#REF!</v>
      </c>
      <c r="EL153" t="e">
        <f>AND(#REF!,"AAAAAH8c/40=")</f>
        <v>#REF!</v>
      </c>
      <c r="EM153" t="e">
        <f>AND(#REF!,"AAAAAH8c/44=")</f>
        <v>#REF!</v>
      </c>
      <c r="EN153" t="e">
        <f>AND(#REF!,"AAAAAH8c/48=")</f>
        <v>#REF!</v>
      </c>
      <c r="EO153" t="e">
        <f>AND(#REF!,"AAAAAH8c/5A=")</f>
        <v>#REF!</v>
      </c>
      <c r="EP153" t="e">
        <f>AND(#REF!,"AAAAAH8c/5E=")</f>
        <v>#REF!</v>
      </c>
      <c r="EQ153" t="e">
        <f>AND(#REF!,"AAAAAH8c/5I=")</f>
        <v>#REF!</v>
      </c>
      <c r="ER153" t="e">
        <f>AND(#REF!,"AAAAAH8c/5M=")</f>
        <v>#REF!</v>
      </c>
      <c r="ES153" t="e">
        <f>AND(#REF!,"AAAAAH8c/5Q=")</f>
        <v>#REF!</v>
      </c>
      <c r="ET153" t="e">
        <f>AND(#REF!,"AAAAAH8c/5U=")</f>
        <v>#REF!</v>
      </c>
      <c r="EU153" t="e">
        <f>AND(#REF!,"AAAAAH8c/5Y=")</f>
        <v>#REF!</v>
      </c>
      <c r="EV153" t="e">
        <f>AND(#REF!,"AAAAAH8c/5c=")</f>
        <v>#REF!</v>
      </c>
      <c r="EW153" t="e">
        <f>AND(#REF!,"AAAAAH8c/5g=")</f>
        <v>#REF!</v>
      </c>
      <c r="EX153" t="e">
        <f>AND(#REF!,"AAAAAH8c/5k=")</f>
        <v>#REF!</v>
      </c>
      <c r="EY153" t="e">
        <f>AND(#REF!,"AAAAAH8c/5o=")</f>
        <v>#REF!</v>
      </c>
      <c r="EZ153" t="e">
        <f>AND(#REF!,"AAAAAH8c/5s=")</f>
        <v>#REF!</v>
      </c>
      <c r="FA153" t="e">
        <f>AND(#REF!,"AAAAAH8c/5w=")</f>
        <v>#REF!</v>
      </c>
      <c r="FB153" t="e">
        <f>AND(#REF!,"AAAAAH8c/50=")</f>
        <v>#REF!</v>
      </c>
      <c r="FC153" t="e">
        <f>AND(#REF!,"AAAAAH8c/54=")</f>
        <v>#REF!</v>
      </c>
      <c r="FD153" t="e">
        <f>AND(#REF!,"AAAAAH8c/58=")</f>
        <v>#REF!</v>
      </c>
      <c r="FE153" t="e">
        <f>AND(#REF!,"AAAAAH8c/6A=")</f>
        <v>#REF!</v>
      </c>
      <c r="FF153" t="e">
        <f>IF(#REF!,"AAAAAH8c/6E=",0)</f>
        <v>#REF!</v>
      </c>
      <c r="FG153" t="e">
        <f>AND(#REF!,"AAAAAH8c/6I=")</f>
        <v>#REF!</v>
      </c>
      <c r="FH153" t="e">
        <f>AND(#REF!,"AAAAAH8c/6M=")</f>
        <v>#REF!</v>
      </c>
      <c r="FI153" t="e">
        <f>AND(#REF!,"AAAAAH8c/6Q=")</f>
        <v>#REF!</v>
      </c>
      <c r="FJ153" t="e">
        <f>AND(#REF!,"AAAAAH8c/6U=")</f>
        <v>#REF!</v>
      </c>
      <c r="FK153" t="e">
        <f>AND(#REF!,"AAAAAH8c/6Y=")</f>
        <v>#REF!</v>
      </c>
      <c r="FL153" t="e">
        <f>AND(#REF!,"AAAAAH8c/6c=")</f>
        <v>#REF!</v>
      </c>
      <c r="FM153" t="e">
        <f>AND(#REF!,"AAAAAH8c/6g=")</f>
        <v>#REF!</v>
      </c>
      <c r="FN153" t="e">
        <f>AND(#REF!,"AAAAAH8c/6k=")</f>
        <v>#REF!</v>
      </c>
      <c r="FO153" t="e">
        <f>AND(#REF!,"AAAAAH8c/6o=")</f>
        <v>#REF!</v>
      </c>
      <c r="FP153" t="e">
        <f>AND(#REF!,"AAAAAH8c/6s=")</f>
        <v>#REF!</v>
      </c>
      <c r="FQ153" t="e">
        <f>AND(#REF!,"AAAAAH8c/6w=")</f>
        <v>#REF!</v>
      </c>
      <c r="FR153" t="e">
        <f>AND(#REF!,"AAAAAH8c/60=")</f>
        <v>#REF!</v>
      </c>
      <c r="FS153" t="e">
        <f>AND(#REF!,"AAAAAH8c/64=")</f>
        <v>#REF!</v>
      </c>
      <c r="FT153" t="e">
        <f>AND(#REF!,"AAAAAH8c/68=")</f>
        <v>#REF!</v>
      </c>
      <c r="FU153" t="e">
        <f>AND(#REF!,"AAAAAH8c/7A=")</f>
        <v>#REF!</v>
      </c>
      <c r="FV153" t="e">
        <f>AND(#REF!,"AAAAAH8c/7E=")</f>
        <v>#REF!</v>
      </c>
      <c r="FW153" t="e">
        <f>AND(#REF!,"AAAAAH8c/7I=")</f>
        <v>#REF!</v>
      </c>
      <c r="FX153" t="e">
        <f>AND(#REF!,"AAAAAH8c/7M=")</f>
        <v>#REF!</v>
      </c>
      <c r="FY153" t="e">
        <f>AND(#REF!,"AAAAAH8c/7Q=")</f>
        <v>#REF!</v>
      </c>
      <c r="FZ153" t="e">
        <f>AND(#REF!,"AAAAAH8c/7U=")</f>
        <v>#REF!</v>
      </c>
      <c r="GA153" t="e">
        <f>AND(#REF!,"AAAAAH8c/7Y=")</f>
        <v>#REF!</v>
      </c>
      <c r="GB153" t="e">
        <f>AND(#REF!,"AAAAAH8c/7c=")</f>
        <v>#REF!</v>
      </c>
      <c r="GC153" t="e">
        <f>IF(#REF!,"AAAAAH8c/7g=",0)</f>
        <v>#REF!</v>
      </c>
      <c r="GD153" t="e">
        <f>AND(#REF!,"AAAAAH8c/7k=")</f>
        <v>#REF!</v>
      </c>
      <c r="GE153" t="e">
        <f>AND(#REF!,"AAAAAH8c/7o=")</f>
        <v>#REF!</v>
      </c>
      <c r="GF153" t="e">
        <f>AND(#REF!,"AAAAAH8c/7s=")</f>
        <v>#REF!</v>
      </c>
      <c r="GG153" t="e">
        <f>AND(#REF!,"AAAAAH8c/7w=")</f>
        <v>#REF!</v>
      </c>
      <c r="GH153" t="e">
        <f>AND(#REF!,"AAAAAH8c/70=")</f>
        <v>#REF!</v>
      </c>
      <c r="GI153" t="e">
        <f>AND(#REF!,"AAAAAH8c/74=")</f>
        <v>#REF!</v>
      </c>
      <c r="GJ153" t="e">
        <f>AND(#REF!,"AAAAAH8c/78=")</f>
        <v>#REF!</v>
      </c>
      <c r="GK153" t="e">
        <f>AND(#REF!,"AAAAAH8c/8A=")</f>
        <v>#REF!</v>
      </c>
      <c r="GL153" t="e">
        <f>AND(#REF!,"AAAAAH8c/8E=")</f>
        <v>#REF!</v>
      </c>
      <c r="GM153" t="e">
        <f>AND(#REF!,"AAAAAH8c/8I=")</f>
        <v>#REF!</v>
      </c>
      <c r="GN153" t="e">
        <f>AND(#REF!,"AAAAAH8c/8M=")</f>
        <v>#REF!</v>
      </c>
      <c r="GO153" t="e">
        <f>AND(#REF!,"AAAAAH8c/8Q=")</f>
        <v>#REF!</v>
      </c>
      <c r="GP153" t="e">
        <f>AND(#REF!,"AAAAAH8c/8U=")</f>
        <v>#REF!</v>
      </c>
      <c r="GQ153" t="e">
        <f>AND(#REF!,"AAAAAH8c/8Y=")</f>
        <v>#REF!</v>
      </c>
      <c r="GR153" t="e">
        <f>AND(#REF!,"AAAAAH8c/8c=")</f>
        <v>#REF!</v>
      </c>
      <c r="GS153" t="e">
        <f>AND(#REF!,"AAAAAH8c/8g=")</f>
        <v>#REF!</v>
      </c>
      <c r="GT153" t="e">
        <f>AND(#REF!,"AAAAAH8c/8k=")</f>
        <v>#REF!</v>
      </c>
      <c r="GU153" t="e">
        <f>AND(#REF!,"AAAAAH8c/8o=")</f>
        <v>#REF!</v>
      </c>
      <c r="GV153" t="e">
        <f>AND(#REF!,"AAAAAH8c/8s=")</f>
        <v>#REF!</v>
      </c>
      <c r="GW153" t="e">
        <f>AND(#REF!,"AAAAAH8c/8w=")</f>
        <v>#REF!</v>
      </c>
      <c r="GX153" t="e">
        <f>AND(#REF!,"AAAAAH8c/80=")</f>
        <v>#REF!</v>
      </c>
      <c r="GY153" t="e">
        <f>AND(#REF!,"AAAAAH8c/84=")</f>
        <v>#REF!</v>
      </c>
      <c r="GZ153" t="e">
        <f>IF(#REF!,"AAAAAH8c/88=",0)</f>
        <v>#REF!</v>
      </c>
      <c r="HA153" t="e">
        <f>AND(#REF!,"AAAAAH8c/9A=")</f>
        <v>#REF!</v>
      </c>
      <c r="HB153" t="e">
        <f>AND(#REF!,"AAAAAH8c/9E=")</f>
        <v>#REF!</v>
      </c>
      <c r="HC153" t="e">
        <f>AND(#REF!,"AAAAAH8c/9I=")</f>
        <v>#REF!</v>
      </c>
      <c r="HD153" t="e">
        <f>AND(#REF!,"AAAAAH8c/9M=")</f>
        <v>#REF!</v>
      </c>
      <c r="HE153" t="e">
        <f>AND(#REF!,"AAAAAH8c/9Q=")</f>
        <v>#REF!</v>
      </c>
      <c r="HF153" t="e">
        <f>AND(#REF!,"AAAAAH8c/9U=")</f>
        <v>#REF!</v>
      </c>
      <c r="HG153" t="e">
        <f>AND(#REF!,"AAAAAH8c/9Y=")</f>
        <v>#REF!</v>
      </c>
      <c r="HH153" t="e">
        <f>AND(#REF!,"AAAAAH8c/9c=")</f>
        <v>#REF!</v>
      </c>
      <c r="HI153" t="e">
        <f>AND(#REF!,"AAAAAH8c/9g=")</f>
        <v>#REF!</v>
      </c>
      <c r="HJ153" t="e">
        <f>AND(#REF!,"AAAAAH8c/9k=")</f>
        <v>#REF!</v>
      </c>
      <c r="HK153" t="e">
        <f>AND(#REF!,"AAAAAH8c/9o=")</f>
        <v>#REF!</v>
      </c>
      <c r="HL153" t="e">
        <f>AND(#REF!,"AAAAAH8c/9s=")</f>
        <v>#REF!</v>
      </c>
      <c r="HM153" t="e">
        <f>AND(#REF!,"AAAAAH8c/9w=")</f>
        <v>#REF!</v>
      </c>
      <c r="HN153" t="e">
        <f>AND(#REF!,"AAAAAH8c/90=")</f>
        <v>#REF!</v>
      </c>
      <c r="HO153" t="e">
        <f>AND(#REF!,"AAAAAH8c/94=")</f>
        <v>#REF!</v>
      </c>
      <c r="HP153" t="e">
        <f>AND(#REF!,"AAAAAH8c/98=")</f>
        <v>#REF!</v>
      </c>
      <c r="HQ153" t="e">
        <f>AND(#REF!,"AAAAAH8c/+A=")</f>
        <v>#REF!</v>
      </c>
      <c r="HR153" t="e">
        <f>AND(#REF!,"AAAAAH8c/+E=")</f>
        <v>#REF!</v>
      </c>
      <c r="HS153" t="e">
        <f>AND(#REF!,"AAAAAH8c/+I=")</f>
        <v>#REF!</v>
      </c>
      <c r="HT153" t="e">
        <f>AND(#REF!,"AAAAAH8c/+M=")</f>
        <v>#REF!</v>
      </c>
      <c r="HU153" t="e">
        <f>AND(#REF!,"AAAAAH8c/+Q=")</f>
        <v>#REF!</v>
      </c>
      <c r="HV153" t="e">
        <f>AND(#REF!,"AAAAAH8c/+U=")</f>
        <v>#REF!</v>
      </c>
      <c r="HW153" t="e">
        <f>IF(#REF!,"AAAAAH8c/+Y=",0)</f>
        <v>#REF!</v>
      </c>
      <c r="HX153" t="e">
        <f>AND(#REF!,"AAAAAH8c/+c=")</f>
        <v>#REF!</v>
      </c>
      <c r="HY153" t="e">
        <f>AND(#REF!,"AAAAAH8c/+g=")</f>
        <v>#REF!</v>
      </c>
      <c r="HZ153" t="e">
        <f>AND(#REF!,"AAAAAH8c/+k=")</f>
        <v>#REF!</v>
      </c>
      <c r="IA153" t="e">
        <f>AND(#REF!,"AAAAAH8c/+o=")</f>
        <v>#REF!</v>
      </c>
      <c r="IB153" t="e">
        <f>AND(#REF!,"AAAAAH8c/+s=")</f>
        <v>#REF!</v>
      </c>
      <c r="IC153" t="e">
        <f>AND(#REF!,"AAAAAH8c/+w=")</f>
        <v>#REF!</v>
      </c>
      <c r="ID153" t="e">
        <f>AND(#REF!,"AAAAAH8c/+0=")</f>
        <v>#REF!</v>
      </c>
      <c r="IE153" t="e">
        <f>AND(#REF!,"AAAAAH8c/+4=")</f>
        <v>#REF!</v>
      </c>
      <c r="IF153" t="e">
        <f>AND(#REF!,"AAAAAH8c/+8=")</f>
        <v>#REF!</v>
      </c>
      <c r="IG153" t="e">
        <f>AND(#REF!,"AAAAAH8c//A=")</f>
        <v>#REF!</v>
      </c>
      <c r="IH153" t="e">
        <f>AND(#REF!,"AAAAAH8c//E=")</f>
        <v>#REF!</v>
      </c>
      <c r="II153" t="e">
        <f>AND(#REF!,"AAAAAH8c//I=")</f>
        <v>#REF!</v>
      </c>
      <c r="IJ153" t="e">
        <f>AND(#REF!,"AAAAAH8c//M=")</f>
        <v>#REF!</v>
      </c>
      <c r="IK153" t="e">
        <f>AND(#REF!,"AAAAAH8c//Q=")</f>
        <v>#REF!</v>
      </c>
      <c r="IL153" t="e">
        <f>AND(#REF!,"AAAAAH8c//U=")</f>
        <v>#REF!</v>
      </c>
      <c r="IM153" t="e">
        <f>AND(#REF!,"AAAAAH8c//Y=")</f>
        <v>#REF!</v>
      </c>
      <c r="IN153" t="e">
        <f>AND(#REF!,"AAAAAH8c//c=")</f>
        <v>#REF!</v>
      </c>
      <c r="IO153" t="e">
        <f>AND(#REF!,"AAAAAH8c//g=")</f>
        <v>#REF!</v>
      </c>
      <c r="IP153" t="e">
        <f>AND(#REF!,"AAAAAH8c//k=")</f>
        <v>#REF!</v>
      </c>
      <c r="IQ153" t="e">
        <f>AND(#REF!,"AAAAAH8c//o=")</f>
        <v>#REF!</v>
      </c>
      <c r="IR153" t="e">
        <f>AND(#REF!,"AAAAAH8c//s=")</f>
        <v>#REF!</v>
      </c>
      <c r="IS153" t="e">
        <f>AND(#REF!,"AAAAAH8c//w=")</f>
        <v>#REF!</v>
      </c>
      <c r="IT153" t="e">
        <f>IF(#REF!,"AAAAAH8c//0=",0)</f>
        <v>#REF!</v>
      </c>
      <c r="IU153" t="e">
        <f>AND(#REF!,"AAAAAH8c//4=")</f>
        <v>#REF!</v>
      </c>
      <c r="IV153" t="e">
        <f>AND(#REF!,"AAAAAH8c//8=")</f>
        <v>#REF!</v>
      </c>
    </row>
    <row r="154" spans="1:256" x14ac:dyDescent="0.2">
      <c r="A154" t="e">
        <f>AND(#REF!,"AAAAAB3nrAA=")</f>
        <v>#REF!</v>
      </c>
      <c r="B154" t="e">
        <f>AND(#REF!,"AAAAAB3nrAE=")</f>
        <v>#REF!</v>
      </c>
      <c r="C154" t="e">
        <f>AND(#REF!,"AAAAAB3nrAI=")</f>
        <v>#REF!</v>
      </c>
      <c r="D154" t="e">
        <f>AND(#REF!,"AAAAAB3nrAM=")</f>
        <v>#REF!</v>
      </c>
      <c r="E154" t="e">
        <f>AND(#REF!,"AAAAAB3nrAQ=")</f>
        <v>#REF!</v>
      </c>
      <c r="F154" t="e">
        <f>AND(#REF!,"AAAAAB3nrAU=")</f>
        <v>#REF!</v>
      </c>
      <c r="G154" t="e">
        <f>AND(#REF!,"AAAAAB3nrAY=")</f>
        <v>#REF!</v>
      </c>
      <c r="H154" t="e">
        <f>AND(#REF!,"AAAAAB3nrAc=")</f>
        <v>#REF!</v>
      </c>
      <c r="I154" t="e">
        <f>AND(#REF!,"AAAAAB3nrAg=")</f>
        <v>#REF!</v>
      </c>
      <c r="J154" t="e">
        <f>AND(#REF!,"AAAAAB3nrAk=")</f>
        <v>#REF!</v>
      </c>
      <c r="K154" t="e">
        <f>AND(#REF!,"AAAAAB3nrAo=")</f>
        <v>#REF!</v>
      </c>
      <c r="L154" t="e">
        <f>AND(#REF!,"AAAAAB3nrAs=")</f>
        <v>#REF!</v>
      </c>
      <c r="M154" t="e">
        <f>AND(#REF!,"AAAAAB3nrAw=")</f>
        <v>#REF!</v>
      </c>
      <c r="N154" t="e">
        <f>AND(#REF!,"AAAAAB3nrA0=")</f>
        <v>#REF!</v>
      </c>
      <c r="O154" t="e">
        <f>AND(#REF!,"AAAAAB3nrA4=")</f>
        <v>#REF!</v>
      </c>
      <c r="P154" t="e">
        <f>AND(#REF!,"AAAAAB3nrA8=")</f>
        <v>#REF!</v>
      </c>
      <c r="Q154" t="e">
        <f>AND(#REF!,"AAAAAB3nrBA=")</f>
        <v>#REF!</v>
      </c>
      <c r="R154" t="e">
        <f>AND(#REF!,"AAAAAB3nrBE=")</f>
        <v>#REF!</v>
      </c>
      <c r="S154" t="e">
        <f>AND(#REF!,"AAAAAB3nrBI=")</f>
        <v>#REF!</v>
      </c>
      <c r="T154" t="e">
        <f>AND(#REF!,"AAAAAB3nrBM=")</f>
        <v>#REF!</v>
      </c>
      <c r="U154" t="e">
        <f>IF(#REF!,"AAAAAB3nrBQ=",0)</f>
        <v>#REF!</v>
      </c>
      <c r="V154" t="e">
        <f>AND(#REF!,"AAAAAB3nrBU=")</f>
        <v>#REF!</v>
      </c>
      <c r="W154" t="e">
        <f>AND(#REF!,"AAAAAB3nrBY=")</f>
        <v>#REF!</v>
      </c>
      <c r="X154" t="e">
        <f>AND(#REF!,"AAAAAB3nrBc=")</f>
        <v>#REF!</v>
      </c>
      <c r="Y154" t="e">
        <f>AND(#REF!,"AAAAAB3nrBg=")</f>
        <v>#REF!</v>
      </c>
      <c r="Z154" t="e">
        <f>AND(#REF!,"AAAAAB3nrBk=")</f>
        <v>#REF!</v>
      </c>
      <c r="AA154" t="e">
        <f>AND(#REF!,"AAAAAB3nrBo=")</f>
        <v>#REF!</v>
      </c>
      <c r="AB154" t="e">
        <f>AND(#REF!,"AAAAAB3nrBs=")</f>
        <v>#REF!</v>
      </c>
      <c r="AC154" t="e">
        <f>AND(#REF!,"AAAAAB3nrBw=")</f>
        <v>#REF!</v>
      </c>
      <c r="AD154" t="e">
        <f>AND(#REF!,"AAAAAB3nrB0=")</f>
        <v>#REF!</v>
      </c>
      <c r="AE154" t="e">
        <f>AND(#REF!,"AAAAAB3nrB4=")</f>
        <v>#REF!</v>
      </c>
      <c r="AF154" t="e">
        <f>AND(#REF!,"AAAAAB3nrB8=")</f>
        <v>#REF!</v>
      </c>
      <c r="AG154" t="e">
        <f>AND(#REF!,"AAAAAB3nrCA=")</f>
        <v>#REF!</v>
      </c>
      <c r="AH154" t="e">
        <f>AND(#REF!,"AAAAAB3nrCE=")</f>
        <v>#REF!</v>
      </c>
      <c r="AI154" t="e">
        <f>AND(#REF!,"AAAAAB3nrCI=")</f>
        <v>#REF!</v>
      </c>
      <c r="AJ154" t="e">
        <f>AND(#REF!,"AAAAAB3nrCM=")</f>
        <v>#REF!</v>
      </c>
      <c r="AK154" t="e">
        <f>AND(#REF!,"AAAAAB3nrCQ=")</f>
        <v>#REF!</v>
      </c>
      <c r="AL154" t="e">
        <f>AND(#REF!,"AAAAAB3nrCU=")</f>
        <v>#REF!</v>
      </c>
      <c r="AM154" t="e">
        <f>AND(#REF!,"AAAAAB3nrCY=")</f>
        <v>#REF!</v>
      </c>
      <c r="AN154" t="e">
        <f>AND(#REF!,"AAAAAB3nrCc=")</f>
        <v>#REF!</v>
      </c>
      <c r="AO154" t="e">
        <f>AND(#REF!,"AAAAAB3nrCg=")</f>
        <v>#REF!</v>
      </c>
      <c r="AP154" t="e">
        <f>AND(#REF!,"AAAAAB3nrCk=")</f>
        <v>#REF!</v>
      </c>
      <c r="AQ154" t="e">
        <f>AND(#REF!,"AAAAAB3nrCo=")</f>
        <v>#REF!</v>
      </c>
      <c r="AR154" t="e">
        <f>IF(#REF!,"AAAAAB3nrCs=",0)</f>
        <v>#REF!</v>
      </c>
      <c r="AS154" t="e">
        <f>AND(#REF!,"AAAAAB3nrCw=")</f>
        <v>#REF!</v>
      </c>
      <c r="AT154" t="e">
        <f>AND(#REF!,"AAAAAB3nrC0=")</f>
        <v>#REF!</v>
      </c>
      <c r="AU154" t="e">
        <f>AND(#REF!,"AAAAAB3nrC4=")</f>
        <v>#REF!</v>
      </c>
      <c r="AV154" t="e">
        <f>AND(#REF!,"AAAAAB3nrC8=")</f>
        <v>#REF!</v>
      </c>
      <c r="AW154" t="e">
        <f>AND(#REF!,"AAAAAB3nrDA=")</f>
        <v>#REF!</v>
      </c>
      <c r="AX154" t="e">
        <f>AND(#REF!,"AAAAAB3nrDE=")</f>
        <v>#REF!</v>
      </c>
      <c r="AY154" t="e">
        <f>AND(#REF!,"AAAAAB3nrDI=")</f>
        <v>#REF!</v>
      </c>
      <c r="AZ154" t="e">
        <f>AND(#REF!,"AAAAAB3nrDM=")</f>
        <v>#REF!</v>
      </c>
      <c r="BA154" t="e">
        <f>AND(#REF!,"AAAAAB3nrDQ=")</f>
        <v>#REF!</v>
      </c>
      <c r="BB154" t="e">
        <f>AND(#REF!,"AAAAAB3nrDU=")</f>
        <v>#REF!</v>
      </c>
      <c r="BC154" t="e">
        <f>AND(#REF!,"AAAAAB3nrDY=")</f>
        <v>#REF!</v>
      </c>
      <c r="BD154" t="e">
        <f>AND(#REF!,"AAAAAB3nrDc=")</f>
        <v>#REF!</v>
      </c>
      <c r="BE154" t="e">
        <f>AND(#REF!,"AAAAAB3nrDg=")</f>
        <v>#REF!</v>
      </c>
      <c r="BF154" t="e">
        <f>AND(#REF!,"AAAAAB3nrDk=")</f>
        <v>#REF!</v>
      </c>
      <c r="BG154" t="e">
        <f>AND(#REF!,"AAAAAB3nrDo=")</f>
        <v>#REF!</v>
      </c>
      <c r="BH154" t="e">
        <f>AND(#REF!,"AAAAAB3nrDs=")</f>
        <v>#REF!</v>
      </c>
      <c r="BI154" t="e">
        <f>AND(#REF!,"AAAAAB3nrDw=")</f>
        <v>#REF!</v>
      </c>
      <c r="BJ154" t="e">
        <f>AND(#REF!,"AAAAAB3nrD0=")</f>
        <v>#REF!</v>
      </c>
      <c r="BK154" t="e">
        <f>AND(#REF!,"AAAAAB3nrD4=")</f>
        <v>#REF!</v>
      </c>
      <c r="BL154" t="e">
        <f>AND(#REF!,"AAAAAB3nrD8=")</f>
        <v>#REF!</v>
      </c>
      <c r="BM154" t="e">
        <f>AND(#REF!,"AAAAAB3nrEA=")</f>
        <v>#REF!</v>
      </c>
      <c r="BN154" t="e">
        <f>AND(#REF!,"AAAAAB3nrEE=")</f>
        <v>#REF!</v>
      </c>
      <c r="BO154" t="e">
        <f>IF(#REF!,"AAAAAB3nrEI=",0)</f>
        <v>#REF!</v>
      </c>
      <c r="BP154" t="e">
        <f>AND(#REF!,"AAAAAB3nrEM=")</f>
        <v>#REF!</v>
      </c>
      <c r="BQ154" t="e">
        <f>AND(#REF!,"AAAAAB3nrEQ=")</f>
        <v>#REF!</v>
      </c>
      <c r="BR154" t="e">
        <f>AND(#REF!,"AAAAAB3nrEU=")</f>
        <v>#REF!</v>
      </c>
      <c r="BS154" t="e">
        <f>AND(#REF!,"AAAAAB3nrEY=")</f>
        <v>#REF!</v>
      </c>
      <c r="BT154" t="e">
        <f>AND(#REF!,"AAAAAB3nrEc=")</f>
        <v>#REF!</v>
      </c>
      <c r="BU154" t="e">
        <f>AND(#REF!,"AAAAAB3nrEg=")</f>
        <v>#REF!</v>
      </c>
      <c r="BV154" t="e">
        <f>AND(#REF!,"AAAAAB3nrEk=")</f>
        <v>#REF!</v>
      </c>
      <c r="BW154" t="e">
        <f>AND(#REF!,"AAAAAB3nrEo=")</f>
        <v>#REF!</v>
      </c>
      <c r="BX154" t="e">
        <f>AND(#REF!,"AAAAAB3nrEs=")</f>
        <v>#REF!</v>
      </c>
      <c r="BY154" t="e">
        <f>AND(#REF!,"AAAAAB3nrEw=")</f>
        <v>#REF!</v>
      </c>
      <c r="BZ154" t="e">
        <f>AND(#REF!,"AAAAAB3nrE0=")</f>
        <v>#REF!</v>
      </c>
      <c r="CA154" t="e">
        <f>AND(#REF!,"AAAAAB3nrE4=")</f>
        <v>#REF!</v>
      </c>
      <c r="CB154" t="e">
        <f>AND(#REF!,"AAAAAB3nrE8=")</f>
        <v>#REF!</v>
      </c>
      <c r="CC154" t="e">
        <f>AND(#REF!,"AAAAAB3nrFA=")</f>
        <v>#REF!</v>
      </c>
      <c r="CD154" t="e">
        <f>AND(#REF!,"AAAAAB3nrFE=")</f>
        <v>#REF!</v>
      </c>
      <c r="CE154" t="e">
        <f>AND(#REF!,"AAAAAB3nrFI=")</f>
        <v>#REF!</v>
      </c>
      <c r="CF154" t="e">
        <f>AND(#REF!,"AAAAAB3nrFM=")</f>
        <v>#REF!</v>
      </c>
      <c r="CG154" t="e">
        <f>AND(#REF!,"AAAAAB3nrFQ=")</f>
        <v>#REF!</v>
      </c>
      <c r="CH154" t="e">
        <f>AND(#REF!,"AAAAAB3nrFU=")</f>
        <v>#REF!</v>
      </c>
      <c r="CI154" t="e">
        <f>AND(#REF!,"AAAAAB3nrFY=")</f>
        <v>#REF!</v>
      </c>
      <c r="CJ154" t="e">
        <f>AND(#REF!,"AAAAAB3nrFc=")</f>
        <v>#REF!</v>
      </c>
      <c r="CK154" t="e">
        <f>AND(#REF!,"AAAAAB3nrFg=")</f>
        <v>#REF!</v>
      </c>
      <c r="CL154" t="e">
        <f>IF(#REF!,"AAAAAB3nrFk=",0)</f>
        <v>#REF!</v>
      </c>
      <c r="CM154" t="e">
        <f>AND(#REF!,"AAAAAB3nrFo=")</f>
        <v>#REF!</v>
      </c>
      <c r="CN154" t="e">
        <f>AND(#REF!,"AAAAAB3nrFs=")</f>
        <v>#REF!</v>
      </c>
      <c r="CO154" t="e">
        <f>AND(#REF!,"AAAAAB3nrFw=")</f>
        <v>#REF!</v>
      </c>
      <c r="CP154" t="e">
        <f>AND(#REF!,"AAAAAB3nrF0=")</f>
        <v>#REF!</v>
      </c>
      <c r="CQ154" t="e">
        <f>AND(#REF!,"AAAAAB3nrF4=")</f>
        <v>#REF!</v>
      </c>
      <c r="CR154" t="e">
        <f>AND(#REF!,"AAAAAB3nrF8=")</f>
        <v>#REF!</v>
      </c>
      <c r="CS154" t="e">
        <f>AND(#REF!,"AAAAAB3nrGA=")</f>
        <v>#REF!</v>
      </c>
      <c r="CT154" t="e">
        <f>AND(#REF!,"AAAAAB3nrGE=")</f>
        <v>#REF!</v>
      </c>
      <c r="CU154" t="e">
        <f>AND(#REF!,"AAAAAB3nrGI=")</f>
        <v>#REF!</v>
      </c>
      <c r="CV154" t="e">
        <f>AND(#REF!,"AAAAAB3nrGM=")</f>
        <v>#REF!</v>
      </c>
      <c r="CW154" t="e">
        <f>AND(#REF!,"AAAAAB3nrGQ=")</f>
        <v>#REF!</v>
      </c>
      <c r="CX154" t="e">
        <f>AND(#REF!,"AAAAAB3nrGU=")</f>
        <v>#REF!</v>
      </c>
      <c r="CY154" t="e">
        <f>AND(#REF!,"AAAAAB3nrGY=")</f>
        <v>#REF!</v>
      </c>
      <c r="CZ154" t="e">
        <f>AND(#REF!,"AAAAAB3nrGc=")</f>
        <v>#REF!</v>
      </c>
      <c r="DA154" t="e">
        <f>AND(#REF!,"AAAAAB3nrGg=")</f>
        <v>#REF!</v>
      </c>
      <c r="DB154" t="e">
        <f>AND(#REF!,"AAAAAB3nrGk=")</f>
        <v>#REF!</v>
      </c>
      <c r="DC154" t="e">
        <f>AND(#REF!,"AAAAAB3nrGo=")</f>
        <v>#REF!</v>
      </c>
      <c r="DD154" t="e">
        <f>AND(#REF!,"AAAAAB3nrGs=")</f>
        <v>#REF!</v>
      </c>
      <c r="DE154" t="e">
        <f>AND(#REF!,"AAAAAB3nrGw=")</f>
        <v>#REF!</v>
      </c>
      <c r="DF154" t="e">
        <f>AND(#REF!,"AAAAAB3nrG0=")</f>
        <v>#REF!</v>
      </c>
      <c r="DG154" t="e">
        <f>AND(#REF!,"AAAAAB3nrG4=")</f>
        <v>#REF!</v>
      </c>
      <c r="DH154" t="e">
        <f>AND(#REF!,"AAAAAB3nrG8=")</f>
        <v>#REF!</v>
      </c>
      <c r="DI154" t="e">
        <f>IF(#REF!,"AAAAAB3nrHA=",0)</f>
        <v>#REF!</v>
      </c>
      <c r="DJ154" t="e">
        <f>AND(#REF!,"AAAAAB3nrHE=")</f>
        <v>#REF!</v>
      </c>
      <c r="DK154" t="e">
        <f>AND(#REF!,"AAAAAB3nrHI=")</f>
        <v>#REF!</v>
      </c>
      <c r="DL154" t="e">
        <f>AND(#REF!,"AAAAAB3nrHM=")</f>
        <v>#REF!</v>
      </c>
      <c r="DM154" t="e">
        <f>AND(#REF!,"AAAAAB3nrHQ=")</f>
        <v>#REF!</v>
      </c>
      <c r="DN154" t="e">
        <f>AND(#REF!,"AAAAAB3nrHU=")</f>
        <v>#REF!</v>
      </c>
      <c r="DO154" t="e">
        <f>AND(#REF!,"AAAAAB3nrHY=")</f>
        <v>#REF!</v>
      </c>
      <c r="DP154" t="e">
        <f>AND(#REF!,"AAAAAB3nrHc=")</f>
        <v>#REF!</v>
      </c>
      <c r="DQ154" t="e">
        <f>AND(#REF!,"AAAAAB3nrHg=")</f>
        <v>#REF!</v>
      </c>
      <c r="DR154" t="e">
        <f>AND(#REF!,"AAAAAB3nrHk=")</f>
        <v>#REF!</v>
      </c>
      <c r="DS154" t="e">
        <f>AND(#REF!,"AAAAAB3nrHo=")</f>
        <v>#REF!</v>
      </c>
      <c r="DT154" t="e">
        <f>AND(#REF!,"AAAAAB3nrHs=")</f>
        <v>#REF!</v>
      </c>
      <c r="DU154" t="e">
        <f>AND(#REF!,"AAAAAB3nrHw=")</f>
        <v>#REF!</v>
      </c>
      <c r="DV154" t="e">
        <f>AND(#REF!,"AAAAAB3nrH0=")</f>
        <v>#REF!</v>
      </c>
      <c r="DW154" t="e">
        <f>AND(#REF!,"AAAAAB3nrH4=")</f>
        <v>#REF!</v>
      </c>
      <c r="DX154" t="e">
        <f>AND(#REF!,"AAAAAB3nrH8=")</f>
        <v>#REF!</v>
      </c>
      <c r="DY154" t="e">
        <f>AND(#REF!,"AAAAAB3nrIA=")</f>
        <v>#REF!</v>
      </c>
      <c r="DZ154" t="e">
        <f>AND(#REF!,"AAAAAB3nrIE=")</f>
        <v>#REF!</v>
      </c>
      <c r="EA154" t="e">
        <f>AND(#REF!,"AAAAAB3nrII=")</f>
        <v>#REF!</v>
      </c>
      <c r="EB154" t="e">
        <f>AND(#REF!,"AAAAAB3nrIM=")</f>
        <v>#REF!</v>
      </c>
      <c r="EC154" t="e">
        <f>AND(#REF!,"AAAAAB3nrIQ=")</f>
        <v>#REF!</v>
      </c>
      <c r="ED154" t="e">
        <f>AND(#REF!,"AAAAAB3nrIU=")</f>
        <v>#REF!</v>
      </c>
      <c r="EE154" t="e">
        <f>AND(#REF!,"AAAAAB3nrIY=")</f>
        <v>#REF!</v>
      </c>
      <c r="EF154" t="e">
        <f>IF(#REF!,"AAAAAB3nrIc=",0)</f>
        <v>#REF!</v>
      </c>
      <c r="EG154" t="e">
        <f>AND(#REF!,"AAAAAB3nrIg=")</f>
        <v>#REF!</v>
      </c>
      <c r="EH154" t="e">
        <f>AND(#REF!,"AAAAAB3nrIk=")</f>
        <v>#REF!</v>
      </c>
      <c r="EI154" t="e">
        <f>AND(#REF!,"AAAAAB3nrIo=")</f>
        <v>#REF!</v>
      </c>
      <c r="EJ154" t="e">
        <f>AND(#REF!,"AAAAAB3nrIs=")</f>
        <v>#REF!</v>
      </c>
      <c r="EK154" t="e">
        <f>AND(#REF!,"AAAAAB3nrIw=")</f>
        <v>#REF!</v>
      </c>
      <c r="EL154" t="e">
        <f>AND(#REF!,"AAAAAB3nrI0=")</f>
        <v>#REF!</v>
      </c>
      <c r="EM154" t="e">
        <f>AND(#REF!,"AAAAAB3nrI4=")</f>
        <v>#REF!</v>
      </c>
      <c r="EN154" t="e">
        <f>AND(#REF!,"AAAAAB3nrI8=")</f>
        <v>#REF!</v>
      </c>
      <c r="EO154" t="e">
        <f>AND(#REF!,"AAAAAB3nrJA=")</f>
        <v>#REF!</v>
      </c>
      <c r="EP154" t="e">
        <f>AND(#REF!,"AAAAAB3nrJE=")</f>
        <v>#REF!</v>
      </c>
      <c r="EQ154" t="e">
        <f>AND(#REF!,"AAAAAB3nrJI=")</f>
        <v>#REF!</v>
      </c>
      <c r="ER154" t="e">
        <f>AND(#REF!,"AAAAAB3nrJM=")</f>
        <v>#REF!</v>
      </c>
      <c r="ES154" t="e">
        <f>AND(#REF!,"AAAAAB3nrJQ=")</f>
        <v>#REF!</v>
      </c>
      <c r="ET154" t="e">
        <f>AND(#REF!,"AAAAAB3nrJU=")</f>
        <v>#REF!</v>
      </c>
      <c r="EU154" t="e">
        <f>AND(#REF!,"AAAAAB3nrJY=")</f>
        <v>#REF!</v>
      </c>
      <c r="EV154" t="e">
        <f>AND(#REF!,"AAAAAB3nrJc=")</f>
        <v>#REF!</v>
      </c>
      <c r="EW154" t="e">
        <f>AND(#REF!,"AAAAAB3nrJg=")</f>
        <v>#REF!</v>
      </c>
      <c r="EX154" t="e">
        <f>AND(#REF!,"AAAAAB3nrJk=")</f>
        <v>#REF!</v>
      </c>
      <c r="EY154" t="e">
        <f>AND(#REF!,"AAAAAB3nrJo=")</f>
        <v>#REF!</v>
      </c>
      <c r="EZ154" t="e">
        <f>AND(#REF!,"AAAAAB3nrJs=")</f>
        <v>#REF!</v>
      </c>
      <c r="FA154" t="e">
        <f>AND(#REF!,"AAAAAB3nrJw=")</f>
        <v>#REF!</v>
      </c>
      <c r="FB154" t="e">
        <f>AND(#REF!,"AAAAAB3nrJ0=")</f>
        <v>#REF!</v>
      </c>
      <c r="FC154" t="e">
        <f>IF(#REF!,"AAAAAB3nrJ4=",0)</f>
        <v>#REF!</v>
      </c>
      <c r="FD154" t="e">
        <f>AND(#REF!,"AAAAAB3nrJ8=")</f>
        <v>#REF!</v>
      </c>
      <c r="FE154" t="e">
        <f>AND(#REF!,"AAAAAB3nrKA=")</f>
        <v>#REF!</v>
      </c>
      <c r="FF154" t="e">
        <f>AND(#REF!,"AAAAAB3nrKE=")</f>
        <v>#REF!</v>
      </c>
      <c r="FG154" t="e">
        <f>AND(#REF!,"AAAAAB3nrKI=")</f>
        <v>#REF!</v>
      </c>
      <c r="FH154" t="e">
        <f>AND(#REF!,"AAAAAB3nrKM=")</f>
        <v>#REF!</v>
      </c>
      <c r="FI154" t="e">
        <f>AND(#REF!,"AAAAAB3nrKQ=")</f>
        <v>#REF!</v>
      </c>
      <c r="FJ154" t="e">
        <f>AND(#REF!,"AAAAAB3nrKU=")</f>
        <v>#REF!</v>
      </c>
      <c r="FK154" t="e">
        <f>AND(#REF!,"AAAAAB3nrKY=")</f>
        <v>#REF!</v>
      </c>
      <c r="FL154" t="e">
        <f>AND(#REF!,"AAAAAB3nrKc=")</f>
        <v>#REF!</v>
      </c>
      <c r="FM154" t="e">
        <f>AND(#REF!,"AAAAAB3nrKg=")</f>
        <v>#REF!</v>
      </c>
      <c r="FN154" t="e">
        <f>AND(#REF!,"AAAAAB3nrKk=")</f>
        <v>#REF!</v>
      </c>
      <c r="FO154" t="e">
        <f>AND(#REF!,"AAAAAB3nrKo=")</f>
        <v>#REF!</v>
      </c>
      <c r="FP154" t="e">
        <f>AND(#REF!,"AAAAAB3nrKs=")</f>
        <v>#REF!</v>
      </c>
      <c r="FQ154" t="e">
        <f>AND(#REF!,"AAAAAB3nrKw=")</f>
        <v>#REF!</v>
      </c>
      <c r="FR154" t="e">
        <f>AND(#REF!,"AAAAAB3nrK0=")</f>
        <v>#REF!</v>
      </c>
      <c r="FS154" t="e">
        <f>AND(#REF!,"AAAAAB3nrK4=")</f>
        <v>#REF!</v>
      </c>
      <c r="FT154" t="e">
        <f>AND(#REF!,"AAAAAB3nrK8=")</f>
        <v>#REF!</v>
      </c>
      <c r="FU154" t="e">
        <f>AND(#REF!,"AAAAAB3nrLA=")</f>
        <v>#REF!</v>
      </c>
      <c r="FV154" t="e">
        <f>AND(#REF!,"AAAAAB3nrLE=")</f>
        <v>#REF!</v>
      </c>
      <c r="FW154" t="e">
        <f>AND(#REF!,"AAAAAB3nrLI=")</f>
        <v>#REF!</v>
      </c>
      <c r="FX154" t="e">
        <f>AND(#REF!,"AAAAAB3nrLM=")</f>
        <v>#REF!</v>
      </c>
      <c r="FY154" t="e">
        <f>AND(#REF!,"AAAAAB3nrLQ=")</f>
        <v>#REF!</v>
      </c>
      <c r="FZ154" t="e">
        <f>IF(#REF!,"AAAAAB3nrLU=",0)</f>
        <v>#REF!</v>
      </c>
      <c r="GA154" t="e">
        <f>AND(#REF!,"AAAAAB3nrLY=")</f>
        <v>#REF!</v>
      </c>
      <c r="GB154" t="e">
        <f>AND(#REF!,"AAAAAB3nrLc=")</f>
        <v>#REF!</v>
      </c>
      <c r="GC154" t="e">
        <f>AND(#REF!,"AAAAAB3nrLg=")</f>
        <v>#REF!</v>
      </c>
      <c r="GD154" t="e">
        <f>AND(#REF!,"AAAAAB3nrLk=")</f>
        <v>#REF!</v>
      </c>
      <c r="GE154" t="e">
        <f>AND(#REF!,"AAAAAB3nrLo=")</f>
        <v>#REF!</v>
      </c>
      <c r="GF154" t="e">
        <f>AND(#REF!,"AAAAAB3nrLs=")</f>
        <v>#REF!</v>
      </c>
      <c r="GG154" t="e">
        <f>AND(#REF!,"AAAAAB3nrLw=")</f>
        <v>#REF!</v>
      </c>
      <c r="GH154" t="e">
        <f>AND(#REF!,"AAAAAB3nrL0=")</f>
        <v>#REF!</v>
      </c>
      <c r="GI154" t="e">
        <f>AND(#REF!,"AAAAAB3nrL4=")</f>
        <v>#REF!</v>
      </c>
      <c r="GJ154" t="e">
        <f>AND(#REF!,"AAAAAB3nrL8=")</f>
        <v>#REF!</v>
      </c>
      <c r="GK154" t="e">
        <f>AND(#REF!,"AAAAAB3nrMA=")</f>
        <v>#REF!</v>
      </c>
      <c r="GL154" t="e">
        <f>AND(#REF!,"AAAAAB3nrME=")</f>
        <v>#REF!</v>
      </c>
      <c r="GM154" t="e">
        <f>AND(#REF!,"AAAAAB3nrMI=")</f>
        <v>#REF!</v>
      </c>
      <c r="GN154" t="e">
        <f>AND(#REF!,"AAAAAB3nrMM=")</f>
        <v>#REF!</v>
      </c>
      <c r="GO154" t="e">
        <f>AND(#REF!,"AAAAAB3nrMQ=")</f>
        <v>#REF!</v>
      </c>
      <c r="GP154" t="e">
        <f>AND(#REF!,"AAAAAB3nrMU=")</f>
        <v>#REF!</v>
      </c>
      <c r="GQ154" t="e">
        <f>AND(#REF!,"AAAAAB3nrMY=")</f>
        <v>#REF!</v>
      </c>
      <c r="GR154" t="e">
        <f>AND(#REF!,"AAAAAB3nrMc=")</f>
        <v>#REF!</v>
      </c>
      <c r="GS154" t="e">
        <f>AND(#REF!,"AAAAAB3nrMg=")</f>
        <v>#REF!</v>
      </c>
      <c r="GT154" t="e">
        <f>AND(#REF!,"AAAAAB3nrMk=")</f>
        <v>#REF!</v>
      </c>
      <c r="GU154" t="e">
        <f>AND(#REF!,"AAAAAB3nrMo=")</f>
        <v>#REF!</v>
      </c>
      <c r="GV154" t="e">
        <f>AND(#REF!,"AAAAAB3nrMs=")</f>
        <v>#REF!</v>
      </c>
      <c r="GW154" t="e">
        <f>IF(#REF!,"AAAAAB3nrMw=",0)</f>
        <v>#REF!</v>
      </c>
      <c r="GX154" t="e">
        <f>AND(#REF!,"AAAAAB3nrM0=")</f>
        <v>#REF!</v>
      </c>
      <c r="GY154" t="e">
        <f>AND(#REF!,"AAAAAB3nrM4=")</f>
        <v>#REF!</v>
      </c>
      <c r="GZ154" t="e">
        <f>AND(#REF!,"AAAAAB3nrM8=")</f>
        <v>#REF!</v>
      </c>
      <c r="HA154" t="e">
        <f>AND(#REF!,"AAAAAB3nrNA=")</f>
        <v>#REF!</v>
      </c>
      <c r="HB154" t="e">
        <f>AND(#REF!,"AAAAAB3nrNE=")</f>
        <v>#REF!</v>
      </c>
      <c r="HC154" t="e">
        <f>AND(#REF!,"AAAAAB3nrNI=")</f>
        <v>#REF!</v>
      </c>
      <c r="HD154" t="e">
        <f>AND(#REF!,"AAAAAB3nrNM=")</f>
        <v>#REF!</v>
      </c>
      <c r="HE154" t="e">
        <f>AND(#REF!,"AAAAAB3nrNQ=")</f>
        <v>#REF!</v>
      </c>
      <c r="HF154" t="e">
        <f>AND(#REF!,"AAAAAB3nrNU=")</f>
        <v>#REF!</v>
      </c>
      <c r="HG154" t="e">
        <f>AND(#REF!,"AAAAAB3nrNY=")</f>
        <v>#REF!</v>
      </c>
      <c r="HH154" t="e">
        <f>AND(#REF!,"AAAAAB3nrNc=")</f>
        <v>#REF!</v>
      </c>
      <c r="HI154" t="e">
        <f>AND(#REF!,"AAAAAB3nrNg=")</f>
        <v>#REF!</v>
      </c>
      <c r="HJ154" t="e">
        <f>AND(#REF!,"AAAAAB3nrNk=")</f>
        <v>#REF!</v>
      </c>
      <c r="HK154" t="e">
        <f>AND(#REF!,"AAAAAB3nrNo=")</f>
        <v>#REF!</v>
      </c>
      <c r="HL154" t="e">
        <f>AND(#REF!,"AAAAAB3nrNs=")</f>
        <v>#REF!</v>
      </c>
      <c r="HM154" t="e">
        <f>AND(#REF!,"AAAAAB3nrNw=")</f>
        <v>#REF!</v>
      </c>
      <c r="HN154" t="e">
        <f>AND(#REF!,"AAAAAB3nrN0=")</f>
        <v>#REF!</v>
      </c>
      <c r="HO154" t="e">
        <f>AND(#REF!,"AAAAAB3nrN4=")</f>
        <v>#REF!</v>
      </c>
      <c r="HP154" t="e">
        <f>AND(#REF!,"AAAAAB3nrN8=")</f>
        <v>#REF!</v>
      </c>
      <c r="HQ154" t="e">
        <f>AND(#REF!,"AAAAAB3nrOA=")</f>
        <v>#REF!</v>
      </c>
      <c r="HR154" t="e">
        <f>AND(#REF!,"AAAAAB3nrOE=")</f>
        <v>#REF!</v>
      </c>
      <c r="HS154" t="e">
        <f>AND(#REF!,"AAAAAB3nrOI=")</f>
        <v>#REF!</v>
      </c>
      <c r="HT154" t="e">
        <f>IF(#REF!,"AAAAAB3nrOM=",0)</f>
        <v>#REF!</v>
      </c>
      <c r="HU154" t="e">
        <f>AND(#REF!,"AAAAAB3nrOQ=")</f>
        <v>#REF!</v>
      </c>
      <c r="HV154" t="e">
        <f>AND(#REF!,"AAAAAB3nrOU=")</f>
        <v>#REF!</v>
      </c>
      <c r="HW154" t="e">
        <f>AND(#REF!,"AAAAAB3nrOY=")</f>
        <v>#REF!</v>
      </c>
      <c r="HX154" t="e">
        <f>AND(#REF!,"AAAAAB3nrOc=")</f>
        <v>#REF!</v>
      </c>
      <c r="HY154" t="e">
        <f>AND(#REF!,"AAAAAB3nrOg=")</f>
        <v>#REF!</v>
      </c>
      <c r="HZ154" t="e">
        <f>AND(#REF!,"AAAAAB3nrOk=")</f>
        <v>#REF!</v>
      </c>
      <c r="IA154" t="e">
        <f>AND(#REF!,"AAAAAB3nrOo=")</f>
        <v>#REF!</v>
      </c>
      <c r="IB154" t="e">
        <f>AND(#REF!,"AAAAAB3nrOs=")</f>
        <v>#REF!</v>
      </c>
      <c r="IC154" t="e">
        <f>AND(#REF!,"AAAAAB3nrOw=")</f>
        <v>#REF!</v>
      </c>
      <c r="ID154" t="e">
        <f>AND(#REF!,"AAAAAB3nrO0=")</f>
        <v>#REF!</v>
      </c>
      <c r="IE154" t="e">
        <f>AND(#REF!,"AAAAAB3nrO4=")</f>
        <v>#REF!</v>
      </c>
      <c r="IF154" t="e">
        <f>AND(#REF!,"AAAAAB3nrO8=")</f>
        <v>#REF!</v>
      </c>
      <c r="IG154" t="e">
        <f>AND(#REF!,"AAAAAB3nrPA=")</f>
        <v>#REF!</v>
      </c>
      <c r="IH154" t="e">
        <f>AND(#REF!,"AAAAAB3nrPE=")</f>
        <v>#REF!</v>
      </c>
      <c r="II154" t="e">
        <f>AND(#REF!,"AAAAAB3nrPI=")</f>
        <v>#REF!</v>
      </c>
      <c r="IJ154" t="e">
        <f>AND(#REF!,"AAAAAB3nrPM=")</f>
        <v>#REF!</v>
      </c>
      <c r="IK154" t="e">
        <f>AND(#REF!,"AAAAAB3nrPQ=")</f>
        <v>#REF!</v>
      </c>
      <c r="IL154" t="e">
        <f>AND(#REF!,"AAAAAB3nrPU=")</f>
        <v>#REF!</v>
      </c>
      <c r="IM154" t="e">
        <f>AND(#REF!,"AAAAAB3nrPY=")</f>
        <v>#REF!</v>
      </c>
      <c r="IN154" t="e">
        <f>AND(#REF!,"AAAAAB3nrPc=")</f>
        <v>#REF!</v>
      </c>
      <c r="IO154" t="e">
        <f>AND(#REF!,"AAAAAB3nrPg=")</f>
        <v>#REF!</v>
      </c>
      <c r="IP154" t="e">
        <f>AND(#REF!,"AAAAAB3nrPk=")</f>
        <v>#REF!</v>
      </c>
      <c r="IQ154" t="e">
        <f>IF(#REF!,"AAAAAB3nrPo=",0)</f>
        <v>#REF!</v>
      </c>
      <c r="IR154" t="e">
        <f>AND(#REF!,"AAAAAB3nrPs=")</f>
        <v>#REF!</v>
      </c>
      <c r="IS154" t="e">
        <f>AND(#REF!,"AAAAAB3nrPw=")</f>
        <v>#REF!</v>
      </c>
      <c r="IT154" t="e">
        <f>AND(#REF!,"AAAAAB3nrP0=")</f>
        <v>#REF!</v>
      </c>
      <c r="IU154" t="e">
        <f>AND(#REF!,"AAAAAB3nrP4=")</f>
        <v>#REF!</v>
      </c>
      <c r="IV154" t="e">
        <f>AND(#REF!,"AAAAAB3nrP8=")</f>
        <v>#REF!</v>
      </c>
    </row>
    <row r="155" spans="1:256" x14ac:dyDescent="0.2">
      <c r="A155" t="e">
        <f>AND(#REF!,"AAAAAFmR7wA=")</f>
        <v>#REF!</v>
      </c>
      <c r="B155" t="e">
        <f>AND(#REF!,"AAAAAFmR7wE=")</f>
        <v>#REF!</v>
      </c>
      <c r="C155" t="e">
        <f>AND(#REF!,"AAAAAFmR7wI=")</f>
        <v>#REF!</v>
      </c>
      <c r="D155" t="e">
        <f>AND(#REF!,"AAAAAFmR7wM=")</f>
        <v>#REF!</v>
      </c>
      <c r="E155" t="e">
        <f>AND(#REF!,"AAAAAFmR7wQ=")</f>
        <v>#REF!</v>
      </c>
      <c r="F155" t="e">
        <f>AND(#REF!,"AAAAAFmR7wU=")</f>
        <v>#REF!</v>
      </c>
      <c r="G155" t="e">
        <f>AND(#REF!,"AAAAAFmR7wY=")</f>
        <v>#REF!</v>
      </c>
      <c r="H155" t="e">
        <f>AND(#REF!,"AAAAAFmR7wc=")</f>
        <v>#REF!</v>
      </c>
      <c r="I155" t="e">
        <f>AND(#REF!,"AAAAAFmR7wg=")</f>
        <v>#REF!</v>
      </c>
      <c r="J155" t="e">
        <f>AND(#REF!,"AAAAAFmR7wk=")</f>
        <v>#REF!</v>
      </c>
      <c r="K155" t="e">
        <f>AND(#REF!,"AAAAAFmR7wo=")</f>
        <v>#REF!</v>
      </c>
      <c r="L155" t="e">
        <f>AND(#REF!,"AAAAAFmR7ws=")</f>
        <v>#REF!</v>
      </c>
      <c r="M155" t="e">
        <f>AND(#REF!,"AAAAAFmR7ww=")</f>
        <v>#REF!</v>
      </c>
      <c r="N155" t="e">
        <f>AND(#REF!,"AAAAAFmR7w0=")</f>
        <v>#REF!</v>
      </c>
      <c r="O155" t="e">
        <f>AND(#REF!,"AAAAAFmR7w4=")</f>
        <v>#REF!</v>
      </c>
      <c r="P155" t="e">
        <f>AND(#REF!,"AAAAAFmR7w8=")</f>
        <v>#REF!</v>
      </c>
      <c r="Q155" t="e">
        <f>AND(#REF!,"AAAAAFmR7xA=")</f>
        <v>#REF!</v>
      </c>
      <c r="R155" t="e">
        <f>IF(#REF!,"AAAAAFmR7xE=",0)</f>
        <v>#REF!</v>
      </c>
      <c r="S155" t="e">
        <f>AND(#REF!,"AAAAAFmR7xI=")</f>
        <v>#REF!</v>
      </c>
      <c r="T155" t="e">
        <f>AND(#REF!,"AAAAAFmR7xM=")</f>
        <v>#REF!</v>
      </c>
      <c r="U155" t="e">
        <f>AND(#REF!,"AAAAAFmR7xQ=")</f>
        <v>#REF!</v>
      </c>
      <c r="V155" t="e">
        <f>AND(#REF!,"AAAAAFmR7xU=")</f>
        <v>#REF!</v>
      </c>
      <c r="W155" t="e">
        <f>AND(#REF!,"AAAAAFmR7xY=")</f>
        <v>#REF!</v>
      </c>
      <c r="X155" t="e">
        <f>AND(#REF!,"AAAAAFmR7xc=")</f>
        <v>#REF!</v>
      </c>
      <c r="Y155" t="e">
        <f>AND(#REF!,"AAAAAFmR7xg=")</f>
        <v>#REF!</v>
      </c>
      <c r="Z155" t="e">
        <f>AND(#REF!,"AAAAAFmR7xk=")</f>
        <v>#REF!</v>
      </c>
      <c r="AA155" t="e">
        <f>AND(#REF!,"AAAAAFmR7xo=")</f>
        <v>#REF!</v>
      </c>
      <c r="AB155" t="e">
        <f>AND(#REF!,"AAAAAFmR7xs=")</f>
        <v>#REF!</v>
      </c>
      <c r="AC155" t="e">
        <f>AND(#REF!,"AAAAAFmR7xw=")</f>
        <v>#REF!</v>
      </c>
      <c r="AD155" t="e">
        <f>AND(#REF!,"AAAAAFmR7x0=")</f>
        <v>#REF!</v>
      </c>
      <c r="AE155" t="e">
        <f>AND(#REF!,"AAAAAFmR7x4=")</f>
        <v>#REF!</v>
      </c>
      <c r="AF155" t="e">
        <f>AND(#REF!,"AAAAAFmR7x8=")</f>
        <v>#REF!</v>
      </c>
      <c r="AG155" t="e">
        <f>AND(#REF!,"AAAAAFmR7yA=")</f>
        <v>#REF!</v>
      </c>
      <c r="AH155" t="e">
        <f>AND(#REF!,"AAAAAFmR7yE=")</f>
        <v>#REF!</v>
      </c>
      <c r="AI155" t="e">
        <f>AND(#REF!,"AAAAAFmR7yI=")</f>
        <v>#REF!</v>
      </c>
      <c r="AJ155" t="e">
        <f>AND(#REF!,"AAAAAFmR7yM=")</f>
        <v>#REF!</v>
      </c>
      <c r="AK155" t="e">
        <f>AND(#REF!,"AAAAAFmR7yQ=")</f>
        <v>#REF!</v>
      </c>
      <c r="AL155" t="e">
        <f>AND(#REF!,"AAAAAFmR7yU=")</f>
        <v>#REF!</v>
      </c>
      <c r="AM155" t="e">
        <f>AND(#REF!,"AAAAAFmR7yY=")</f>
        <v>#REF!</v>
      </c>
      <c r="AN155" t="e">
        <f>AND(#REF!,"AAAAAFmR7yc=")</f>
        <v>#REF!</v>
      </c>
      <c r="AO155" t="e">
        <f>IF(#REF!,"AAAAAFmR7yg=",0)</f>
        <v>#REF!</v>
      </c>
      <c r="AP155" t="e">
        <f>AND(#REF!,"AAAAAFmR7yk=")</f>
        <v>#REF!</v>
      </c>
      <c r="AQ155" t="e">
        <f>AND(#REF!,"AAAAAFmR7yo=")</f>
        <v>#REF!</v>
      </c>
      <c r="AR155" t="e">
        <f>AND(#REF!,"AAAAAFmR7ys=")</f>
        <v>#REF!</v>
      </c>
      <c r="AS155" t="e">
        <f>AND(#REF!,"AAAAAFmR7yw=")</f>
        <v>#REF!</v>
      </c>
      <c r="AT155" t="e">
        <f>AND(#REF!,"AAAAAFmR7y0=")</f>
        <v>#REF!</v>
      </c>
      <c r="AU155" t="e">
        <f>AND(#REF!,"AAAAAFmR7y4=")</f>
        <v>#REF!</v>
      </c>
      <c r="AV155" t="e">
        <f>AND(#REF!,"AAAAAFmR7y8=")</f>
        <v>#REF!</v>
      </c>
      <c r="AW155" t="e">
        <f>AND(#REF!,"AAAAAFmR7zA=")</f>
        <v>#REF!</v>
      </c>
      <c r="AX155" t="e">
        <f>AND(#REF!,"AAAAAFmR7zE=")</f>
        <v>#REF!</v>
      </c>
      <c r="AY155" t="e">
        <f>AND(#REF!,"AAAAAFmR7zI=")</f>
        <v>#REF!</v>
      </c>
      <c r="AZ155" t="e">
        <f>AND(#REF!,"AAAAAFmR7zM=")</f>
        <v>#REF!</v>
      </c>
      <c r="BA155" t="e">
        <f>AND(#REF!,"AAAAAFmR7zQ=")</f>
        <v>#REF!</v>
      </c>
      <c r="BB155" t="e">
        <f>AND(#REF!,"AAAAAFmR7zU=")</f>
        <v>#REF!</v>
      </c>
      <c r="BC155" t="e">
        <f>AND(#REF!,"AAAAAFmR7zY=")</f>
        <v>#REF!</v>
      </c>
      <c r="BD155" t="e">
        <f>AND(#REF!,"AAAAAFmR7zc=")</f>
        <v>#REF!</v>
      </c>
      <c r="BE155" t="e">
        <f>AND(#REF!,"AAAAAFmR7zg=")</f>
        <v>#REF!</v>
      </c>
      <c r="BF155" t="e">
        <f>AND(#REF!,"AAAAAFmR7zk=")</f>
        <v>#REF!</v>
      </c>
      <c r="BG155" t="e">
        <f>AND(#REF!,"AAAAAFmR7zo=")</f>
        <v>#REF!</v>
      </c>
      <c r="BH155" t="e">
        <f>AND(#REF!,"AAAAAFmR7zs=")</f>
        <v>#REF!</v>
      </c>
      <c r="BI155" t="e">
        <f>AND(#REF!,"AAAAAFmR7zw=")</f>
        <v>#REF!</v>
      </c>
      <c r="BJ155" t="e">
        <f>AND(#REF!,"AAAAAFmR7z0=")</f>
        <v>#REF!</v>
      </c>
      <c r="BK155" t="e">
        <f>AND(#REF!,"AAAAAFmR7z4=")</f>
        <v>#REF!</v>
      </c>
      <c r="BL155" t="e">
        <f>IF(#REF!,"AAAAAFmR7z8=",0)</f>
        <v>#REF!</v>
      </c>
      <c r="BM155" t="e">
        <f>AND(#REF!,"AAAAAFmR70A=")</f>
        <v>#REF!</v>
      </c>
      <c r="BN155" t="e">
        <f>AND(#REF!,"AAAAAFmR70E=")</f>
        <v>#REF!</v>
      </c>
      <c r="BO155" t="e">
        <f>AND(#REF!,"AAAAAFmR70I=")</f>
        <v>#REF!</v>
      </c>
      <c r="BP155" t="e">
        <f>AND(#REF!,"AAAAAFmR70M=")</f>
        <v>#REF!</v>
      </c>
      <c r="BQ155" t="e">
        <f>AND(#REF!,"AAAAAFmR70Q=")</f>
        <v>#REF!</v>
      </c>
      <c r="BR155" t="e">
        <f>AND(#REF!,"AAAAAFmR70U=")</f>
        <v>#REF!</v>
      </c>
      <c r="BS155" t="e">
        <f>AND(#REF!,"AAAAAFmR70Y=")</f>
        <v>#REF!</v>
      </c>
      <c r="BT155" t="e">
        <f>AND(#REF!,"AAAAAFmR70c=")</f>
        <v>#REF!</v>
      </c>
      <c r="BU155" t="e">
        <f>AND(#REF!,"AAAAAFmR70g=")</f>
        <v>#REF!</v>
      </c>
      <c r="BV155" t="e">
        <f>AND(#REF!,"AAAAAFmR70k=")</f>
        <v>#REF!</v>
      </c>
      <c r="BW155" t="e">
        <f>AND(#REF!,"AAAAAFmR70o=")</f>
        <v>#REF!</v>
      </c>
      <c r="BX155" t="e">
        <f>AND(#REF!,"AAAAAFmR70s=")</f>
        <v>#REF!</v>
      </c>
      <c r="BY155" t="e">
        <f>AND(#REF!,"AAAAAFmR70w=")</f>
        <v>#REF!</v>
      </c>
      <c r="BZ155" t="e">
        <f>AND(#REF!,"AAAAAFmR700=")</f>
        <v>#REF!</v>
      </c>
      <c r="CA155" t="e">
        <f>AND(#REF!,"AAAAAFmR704=")</f>
        <v>#REF!</v>
      </c>
      <c r="CB155" t="e">
        <f>AND(#REF!,"AAAAAFmR708=")</f>
        <v>#REF!</v>
      </c>
      <c r="CC155" t="e">
        <f>AND(#REF!,"AAAAAFmR71A=")</f>
        <v>#REF!</v>
      </c>
      <c r="CD155" t="e">
        <f>AND(#REF!,"AAAAAFmR71E=")</f>
        <v>#REF!</v>
      </c>
      <c r="CE155" t="e">
        <f>AND(#REF!,"AAAAAFmR71I=")</f>
        <v>#REF!</v>
      </c>
      <c r="CF155" t="e">
        <f>AND(#REF!,"AAAAAFmR71M=")</f>
        <v>#REF!</v>
      </c>
      <c r="CG155" t="e">
        <f>AND(#REF!,"AAAAAFmR71Q=")</f>
        <v>#REF!</v>
      </c>
      <c r="CH155" t="e">
        <f>AND(#REF!,"AAAAAFmR71U=")</f>
        <v>#REF!</v>
      </c>
      <c r="CI155" t="e">
        <f>IF(#REF!,"AAAAAFmR71Y=",0)</f>
        <v>#REF!</v>
      </c>
      <c r="CJ155" t="e">
        <f>AND(#REF!,"AAAAAFmR71c=")</f>
        <v>#REF!</v>
      </c>
      <c r="CK155" t="e">
        <f>AND(#REF!,"AAAAAFmR71g=")</f>
        <v>#REF!</v>
      </c>
      <c r="CL155" t="e">
        <f>AND(#REF!,"AAAAAFmR71k=")</f>
        <v>#REF!</v>
      </c>
      <c r="CM155" t="e">
        <f>AND(#REF!,"AAAAAFmR71o=")</f>
        <v>#REF!</v>
      </c>
      <c r="CN155" t="e">
        <f>AND(#REF!,"AAAAAFmR71s=")</f>
        <v>#REF!</v>
      </c>
      <c r="CO155" t="e">
        <f>AND(#REF!,"AAAAAFmR71w=")</f>
        <v>#REF!</v>
      </c>
      <c r="CP155" t="e">
        <f>AND(#REF!,"AAAAAFmR710=")</f>
        <v>#REF!</v>
      </c>
      <c r="CQ155" t="e">
        <f>AND(#REF!,"AAAAAFmR714=")</f>
        <v>#REF!</v>
      </c>
      <c r="CR155" t="e">
        <f>AND(#REF!,"AAAAAFmR718=")</f>
        <v>#REF!</v>
      </c>
      <c r="CS155" t="e">
        <f>AND(#REF!,"AAAAAFmR72A=")</f>
        <v>#REF!</v>
      </c>
      <c r="CT155" t="e">
        <f>AND(#REF!,"AAAAAFmR72E=")</f>
        <v>#REF!</v>
      </c>
      <c r="CU155" t="e">
        <f>AND(#REF!,"AAAAAFmR72I=")</f>
        <v>#REF!</v>
      </c>
      <c r="CV155" t="e">
        <f>AND(#REF!,"AAAAAFmR72M=")</f>
        <v>#REF!</v>
      </c>
      <c r="CW155" t="e">
        <f>AND(#REF!,"AAAAAFmR72Q=")</f>
        <v>#REF!</v>
      </c>
      <c r="CX155" t="e">
        <f>AND(#REF!,"AAAAAFmR72U=")</f>
        <v>#REF!</v>
      </c>
      <c r="CY155" t="e">
        <f>AND(#REF!,"AAAAAFmR72Y=")</f>
        <v>#REF!</v>
      </c>
      <c r="CZ155" t="e">
        <f>AND(#REF!,"AAAAAFmR72c=")</f>
        <v>#REF!</v>
      </c>
      <c r="DA155" t="e">
        <f>AND(#REF!,"AAAAAFmR72g=")</f>
        <v>#REF!</v>
      </c>
      <c r="DB155" t="e">
        <f>AND(#REF!,"AAAAAFmR72k=")</f>
        <v>#REF!</v>
      </c>
      <c r="DC155" t="e">
        <f>AND(#REF!,"AAAAAFmR72o=")</f>
        <v>#REF!</v>
      </c>
      <c r="DD155" t="e">
        <f>AND(#REF!,"AAAAAFmR72s=")</f>
        <v>#REF!</v>
      </c>
      <c r="DE155" t="e">
        <f>AND(#REF!,"AAAAAFmR72w=")</f>
        <v>#REF!</v>
      </c>
      <c r="DF155" t="e">
        <f>IF(#REF!,"AAAAAFmR720=",0)</f>
        <v>#REF!</v>
      </c>
      <c r="DG155" t="e">
        <f>AND(#REF!,"AAAAAFmR724=")</f>
        <v>#REF!</v>
      </c>
      <c r="DH155" t="e">
        <f>AND(#REF!,"AAAAAFmR728=")</f>
        <v>#REF!</v>
      </c>
      <c r="DI155" t="e">
        <f>AND(#REF!,"AAAAAFmR73A=")</f>
        <v>#REF!</v>
      </c>
      <c r="DJ155" t="e">
        <f>AND(#REF!,"AAAAAFmR73E=")</f>
        <v>#REF!</v>
      </c>
      <c r="DK155" t="e">
        <f>AND(#REF!,"AAAAAFmR73I=")</f>
        <v>#REF!</v>
      </c>
      <c r="DL155" t="e">
        <f>AND(#REF!,"AAAAAFmR73M=")</f>
        <v>#REF!</v>
      </c>
      <c r="DM155" t="e">
        <f>AND(#REF!,"AAAAAFmR73Q=")</f>
        <v>#REF!</v>
      </c>
      <c r="DN155" t="e">
        <f>AND(#REF!,"AAAAAFmR73U=")</f>
        <v>#REF!</v>
      </c>
      <c r="DO155" t="e">
        <f>AND(#REF!,"AAAAAFmR73Y=")</f>
        <v>#REF!</v>
      </c>
      <c r="DP155" t="e">
        <f>AND(#REF!,"AAAAAFmR73c=")</f>
        <v>#REF!</v>
      </c>
      <c r="DQ155" t="e">
        <f>AND(#REF!,"AAAAAFmR73g=")</f>
        <v>#REF!</v>
      </c>
      <c r="DR155" t="e">
        <f>AND(#REF!,"AAAAAFmR73k=")</f>
        <v>#REF!</v>
      </c>
      <c r="DS155" t="e">
        <f>AND(#REF!,"AAAAAFmR73o=")</f>
        <v>#REF!</v>
      </c>
      <c r="DT155" t="e">
        <f>AND(#REF!,"AAAAAFmR73s=")</f>
        <v>#REF!</v>
      </c>
      <c r="DU155" t="e">
        <f>AND(#REF!,"AAAAAFmR73w=")</f>
        <v>#REF!</v>
      </c>
      <c r="DV155" t="e">
        <f>AND(#REF!,"AAAAAFmR730=")</f>
        <v>#REF!</v>
      </c>
      <c r="DW155" t="e">
        <f>AND(#REF!,"AAAAAFmR734=")</f>
        <v>#REF!</v>
      </c>
      <c r="DX155" t="e">
        <f>AND(#REF!,"AAAAAFmR738=")</f>
        <v>#REF!</v>
      </c>
      <c r="DY155" t="e">
        <f>AND(#REF!,"AAAAAFmR74A=")</f>
        <v>#REF!</v>
      </c>
      <c r="DZ155" t="e">
        <f>AND(#REF!,"AAAAAFmR74E=")</f>
        <v>#REF!</v>
      </c>
      <c r="EA155" t="e">
        <f>AND(#REF!,"AAAAAFmR74I=")</f>
        <v>#REF!</v>
      </c>
      <c r="EB155" t="e">
        <f>AND(#REF!,"AAAAAFmR74M=")</f>
        <v>#REF!</v>
      </c>
      <c r="EC155" t="e">
        <f>IF(#REF!,"AAAAAFmR74Q=",0)</f>
        <v>#REF!</v>
      </c>
      <c r="ED155" t="e">
        <f>AND(#REF!,"AAAAAFmR74U=")</f>
        <v>#REF!</v>
      </c>
      <c r="EE155" t="e">
        <f>AND(#REF!,"AAAAAFmR74Y=")</f>
        <v>#REF!</v>
      </c>
      <c r="EF155" t="e">
        <f>AND(#REF!,"AAAAAFmR74c=")</f>
        <v>#REF!</v>
      </c>
      <c r="EG155" t="e">
        <f>AND(#REF!,"AAAAAFmR74g=")</f>
        <v>#REF!</v>
      </c>
      <c r="EH155" t="e">
        <f>AND(#REF!,"AAAAAFmR74k=")</f>
        <v>#REF!</v>
      </c>
      <c r="EI155" t="e">
        <f>AND(#REF!,"AAAAAFmR74o=")</f>
        <v>#REF!</v>
      </c>
      <c r="EJ155" t="e">
        <f>AND(#REF!,"AAAAAFmR74s=")</f>
        <v>#REF!</v>
      </c>
      <c r="EK155" t="e">
        <f>AND(#REF!,"AAAAAFmR74w=")</f>
        <v>#REF!</v>
      </c>
      <c r="EL155" t="e">
        <f>AND(#REF!,"AAAAAFmR740=")</f>
        <v>#REF!</v>
      </c>
      <c r="EM155" t="e">
        <f>AND(#REF!,"AAAAAFmR744=")</f>
        <v>#REF!</v>
      </c>
      <c r="EN155" t="e">
        <f>AND(#REF!,"AAAAAFmR748=")</f>
        <v>#REF!</v>
      </c>
      <c r="EO155" t="e">
        <f>AND(#REF!,"AAAAAFmR75A=")</f>
        <v>#REF!</v>
      </c>
      <c r="EP155" t="e">
        <f>AND(#REF!,"AAAAAFmR75E=")</f>
        <v>#REF!</v>
      </c>
      <c r="EQ155" t="e">
        <f>AND(#REF!,"AAAAAFmR75I=")</f>
        <v>#REF!</v>
      </c>
      <c r="ER155" t="e">
        <f>AND(#REF!,"AAAAAFmR75M=")</f>
        <v>#REF!</v>
      </c>
      <c r="ES155" t="e">
        <f>AND(#REF!,"AAAAAFmR75Q=")</f>
        <v>#REF!</v>
      </c>
      <c r="ET155" t="e">
        <f>AND(#REF!,"AAAAAFmR75U=")</f>
        <v>#REF!</v>
      </c>
      <c r="EU155" t="e">
        <f>AND(#REF!,"AAAAAFmR75Y=")</f>
        <v>#REF!</v>
      </c>
      <c r="EV155" t="e">
        <f>AND(#REF!,"AAAAAFmR75c=")</f>
        <v>#REF!</v>
      </c>
      <c r="EW155" t="e">
        <f>AND(#REF!,"AAAAAFmR75g=")</f>
        <v>#REF!</v>
      </c>
      <c r="EX155" t="e">
        <f>AND(#REF!,"AAAAAFmR75k=")</f>
        <v>#REF!</v>
      </c>
      <c r="EY155" t="e">
        <f>AND(#REF!,"AAAAAFmR75o=")</f>
        <v>#REF!</v>
      </c>
      <c r="EZ155" t="e">
        <f>IF(#REF!,"AAAAAFmR75s=",0)</f>
        <v>#REF!</v>
      </c>
      <c r="FA155" t="e">
        <f>AND(#REF!,"AAAAAFmR75w=")</f>
        <v>#REF!</v>
      </c>
      <c r="FB155" t="e">
        <f>AND(#REF!,"AAAAAFmR750=")</f>
        <v>#REF!</v>
      </c>
      <c r="FC155" t="e">
        <f>AND(#REF!,"AAAAAFmR754=")</f>
        <v>#REF!</v>
      </c>
      <c r="FD155" t="e">
        <f>AND(#REF!,"AAAAAFmR758=")</f>
        <v>#REF!</v>
      </c>
      <c r="FE155" t="e">
        <f>AND(#REF!,"AAAAAFmR76A=")</f>
        <v>#REF!</v>
      </c>
      <c r="FF155" t="e">
        <f>AND(#REF!,"AAAAAFmR76E=")</f>
        <v>#REF!</v>
      </c>
      <c r="FG155" t="e">
        <f>AND(#REF!,"AAAAAFmR76I=")</f>
        <v>#REF!</v>
      </c>
      <c r="FH155" t="e">
        <f>AND(#REF!,"AAAAAFmR76M=")</f>
        <v>#REF!</v>
      </c>
      <c r="FI155" t="e">
        <f>AND(#REF!,"AAAAAFmR76Q=")</f>
        <v>#REF!</v>
      </c>
      <c r="FJ155" t="e">
        <f>AND(#REF!,"AAAAAFmR76U=")</f>
        <v>#REF!</v>
      </c>
      <c r="FK155" t="e">
        <f>AND(#REF!,"AAAAAFmR76Y=")</f>
        <v>#REF!</v>
      </c>
      <c r="FL155" t="e">
        <f>AND(#REF!,"AAAAAFmR76c=")</f>
        <v>#REF!</v>
      </c>
      <c r="FM155" t="e">
        <f>AND(#REF!,"AAAAAFmR76g=")</f>
        <v>#REF!</v>
      </c>
      <c r="FN155" t="e">
        <f>AND(#REF!,"AAAAAFmR76k=")</f>
        <v>#REF!</v>
      </c>
      <c r="FO155" t="e">
        <f>AND(#REF!,"AAAAAFmR76o=")</f>
        <v>#REF!</v>
      </c>
      <c r="FP155" t="e">
        <f>AND(#REF!,"AAAAAFmR76s=")</f>
        <v>#REF!</v>
      </c>
      <c r="FQ155" t="e">
        <f>AND(#REF!,"AAAAAFmR76w=")</f>
        <v>#REF!</v>
      </c>
      <c r="FR155" t="e">
        <f>AND(#REF!,"AAAAAFmR760=")</f>
        <v>#REF!</v>
      </c>
      <c r="FS155" t="e">
        <f>AND(#REF!,"AAAAAFmR764=")</f>
        <v>#REF!</v>
      </c>
      <c r="FT155" t="e">
        <f>AND(#REF!,"AAAAAFmR768=")</f>
        <v>#REF!</v>
      </c>
      <c r="FU155" t="e">
        <f>AND(#REF!,"AAAAAFmR77A=")</f>
        <v>#REF!</v>
      </c>
      <c r="FV155" t="e">
        <f>AND(#REF!,"AAAAAFmR77E=")</f>
        <v>#REF!</v>
      </c>
      <c r="FW155" t="e">
        <f>IF(#REF!,"AAAAAFmR77I=",0)</f>
        <v>#REF!</v>
      </c>
      <c r="FX155" t="e">
        <f>AND(#REF!,"AAAAAFmR77M=")</f>
        <v>#REF!</v>
      </c>
      <c r="FY155" t="e">
        <f>AND(#REF!,"AAAAAFmR77Q=")</f>
        <v>#REF!</v>
      </c>
      <c r="FZ155" t="e">
        <f>AND(#REF!,"AAAAAFmR77U=")</f>
        <v>#REF!</v>
      </c>
      <c r="GA155" t="e">
        <f>AND(#REF!,"AAAAAFmR77Y=")</f>
        <v>#REF!</v>
      </c>
      <c r="GB155" t="e">
        <f>AND(#REF!,"AAAAAFmR77c=")</f>
        <v>#REF!</v>
      </c>
      <c r="GC155" t="e">
        <f>AND(#REF!,"AAAAAFmR77g=")</f>
        <v>#REF!</v>
      </c>
      <c r="GD155" t="e">
        <f>AND(#REF!,"AAAAAFmR77k=")</f>
        <v>#REF!</v>
      </c>
      <c r="GE155" t="e">
        <f>AND(#REF!,"AAAAAFmR77o=")</f>
        <v>#REF!</v>
      </c>
      <c r="GF155" t="e">
        <f>AND(#REF!,"AAAAAFmR77s=")</f>
        <v>#REF!</v>
      </c>
      <c r="GG155" t="e">
        <f>AND(#REF!,"AAAAAFmR77w=")</f>
        <v>#REF!</v>
      </c>
      <c r="GH155" t="e">
        <f>AND(#REF!,"AAAAAFmR770=")</f>
        <v>#REF!</v>
      </c>
      <c r="GI155" t="e">
        <f>AND(#REF!,"AAAAAFmR774=")</f>
        <v>#REF!</v>
      </c>
      <c r="GJ155" t="e">
        <f>AND(#REF!,"AAAAAFmR778=")</f>
        <v>#REF!</v>
      </c>
      <c r="GK155" t="e">
        <f>AND(#REF!,"AAAAAFmR78A=")</f>
        <v>#REF!</v>
      </c>
      <c r="GL155" t="e">
        <f>AND(#REF!,"AAAAAFmR78E=")</f>
        <v>#REF!</v>
      </c>
      <c r="GM155" t="e">
        <f>AND(#REF!,"AAAAAFmR78I=")</f>
        <v>#REF!</v>
      </c>
      <c r="GN155" t="e">
        <f>AND(#REF!,"AAAAAFmR78M=")</f>
        <v>#REF!</v>
      </c>
      <c r="GO155" t="e">
        <f>AND(#REF!,"AAAAAFmR78Q=")</f>
        <v>#REF!</v>
      </c>
      <c r="GP155" t="e">
        <f>AND(#REF!,"AAAAAFmR78U=")</f>
        <v>#REF!</v>
      </c>
      <c r="GQ155" t="e">
        <f>AND(#REF!,"AAAAAFmR78Y=")</f>
        <v>#REF!</v>
      </c>
      <c r="GR155" t="e">
        <f>AND(#REF!,"AAAAAFmR78c=")</f>
        <v>#REF!</v>
      </c>
      <c r="GS155" t="e">
        <f>AND(#REF!,"AAAAAFmR78g=")</f>
        <v>#REF!</v>
      </c>
      <c r="GT155" t="e">
        <f>IF(#REF!,"AAAAAFmR78k=",0)</f>
        <v>#REF!</v>
      </c>
      <c r="GU155" t="e">
        <f>AND(#REF!,"AAAAAFmR78o=")</f>
        <v>#REF!</v>
      </c>
      <c r="GV155" t="e">
        <f>AND(#REF!,"AAAAAFmR78s=")</f>
        <v>#REF!</v>
      </c>
      <c r="GW155" t="e">
        <f>AND(#REF!,"AAAAAFmR78w=")</f>
        <v>#REF!</v>
      </c>
      <c r="GX155" t="e">
        <f>AND(#REF!,"AAAAAFmR780=")</f>
        <v>#REF!</v>
      </c>
      <c r="GY155" t="e">
        <f>AND(#REF!,"AAAAAFmR784=")</f>
        <v>#REF!</v>
      </c>
      <c r="GZ155" t="e">
        <f>AND(#REF!,"AAAAAFmR788=")</f>
        <v>#REF!</v>
      </c>
      <c r="HA155" t="e">
        <f>AND(#REF!,"AAAAAFmR79A=")</f>
        <v>#REF!</v>
      </c>
      <c r="HB155" t="e">
        <f>AND(#REF!,"AAAAAFmR79E=")</f>
        <v>#REF!</v>
      </c>
      <c r="HC155" t="e">
        <f>AND(#REF!,"AAAAAFmR79I=")</f>
        <v>#REF!</v>
      </c>
      <c r="HD155" t="e">
        <f>AND(#REF!,"AAAAAFmR79M=")</f>
        <v>#REF!</v>
      </c>
      <c r="HE155" t="e">
        <f>AND(#REF!,"AAAAAFmR79Q=")</f>
        <v>#REF!</v>
      </c>
      <c r="HF155" t="e">
        <f>AND(#REF!,"AAAAAFmR79U=")</f>
        <v>#REF!</v>
      </c>
      <c r="HG155" t="e">
        <f>AND(#REF!,"AAAAAFmR79Y=")</f>
        <v>#REF!</v>
      </c>
      <c r="HH155" t="e">
        <f>AND(#REF!,"AAAAAFmR79c=")</f>
        <v>#REF!</v>
      </c>
      <c r="HI155" t="e">
        <f>AND(#REF!,"AAAAAFmR79g=")</f>
        <v>#REF!</v>
      </c>
      <c r="HJ155" t="e">
        <f>AND(#REF!,"AAAAAFmR79k=")</f>
        <v>#REF!</v>
      </c>
      <c r="HK155" t="e">
        <f>AND(#REF!,"AAAAAFmR79o=")</f>
        <v>#REF!</v>
      </c>
      <c r="HL155" t="e">
        <f>AND(#REF!,"AAAAAFmR79s=")</f>
        <v>#REF!</v>
      </c>
      <c r="HM155" t="e">
        <f>AND(#REF!,"AAAAAFmR79w=")</f>
        <v>#REF!</v>
      </c>
      <c r="HN155" t="e">
        <f>AND(#REF!,"AAAAAFmR790=")</f>
        <v>#REF!</v>
      </c>
      <c r="HO155" t="e">
        <f>AND(#REF!,"AAAAAFmR794=")</f>
        <v>#REF!</v>
      </c>
      <c r="HP155" t="e">
        <f>AND(#REF!,"AAAAAFmR798=")</f>
        <v>#REF!</v>
      </c>
      <c r="HQ155" t="e">
        <f>IF(#REF!,"AAAAAFmR7+A=",0)</f>
        <v>#REF!</v>
      </c>
      <c r="HR155" t="e">
        <f>AND(#REF!,"AAAAAFmR7+E=")</f>
        <v>#REF!</v>
      </c>
      <c r="HS155" t="e">
        <f>AND(#REF!,"AAAAAFmR7+I=")</f>
        <v>#REF!</v>
      </c>
      <c r="HT155" t="e">
        <f>AND(#REF!,"AAAAAFmR7+M=")</f>
        <v>#REF!</v>
      </c>
      <c r="HU155" t="e">
        <f>AND(#REF!,"AAAAAFmR7+Q=")</f>
        <v>#REF!</v>
      </c>
      <c r="HV155" t="e">
        <f>AND(#REF!,"AAAAAFmR7+U=")</f>
        <v>#REF!</v>
      </c>
      <c r="HW155" t="e">
        <f>AND(#REF!,"AAAAAFmR7+Y=")</f>
        <v>#REF!</v>
      </c>
      <c r="HX155" t="e">
        <f>AND(#REF!,"AAAAAFmR7+c=")</f>
        <v>#REF!</v>
      </c>
      <c r="HY155" t="e">
        <f>AND(#REF!,"AAAAAFmR7+g=")</f>
        <v>#REF!</v>
      </c>
      <c r="HZ155" t="e">
        <f>AND(#REF!,"AAAAAFmR7+k=")</f>
        <v>#REF!</v>
      </c>
      <c r="IA155" t="e">
        <f>AND(#REF!,"AAAAAFmR7+o=")</f>
        <v>#REF!</v>
      </c>
      <c r="IB155" t="e">
        <f>AND(#REF!,"AAAAAFmR7+s=")</f>
        <v>#REF!</v>
      </c>
      <c r="IC155" t="e">
        <f>AND(#REF!,"AAAAAFmR7+w=")</f>
        <v>#REF!</v>
      </c>
      <c r="ID155" t="e">
        <f>AND(#REF!,"AAAAAFmR7+0=")</f>
        <v>#REF!</v>
      </c>
      <c r="IE155" t="e">
        <f>AND(#REF!,"AAAAAFmR7+4=")</f>
        <v>#REF!</v>
      </c>
      <c r="IF155" t="e">
        <f>AND(#REF!,"AAAAAFmR7+8=")</f>
        <v>#REF!</v>
      </c>
      <c r="IG155" t="e">
        <f>AND(#REF!,"AAAAAFmR7/A=")</f>
        <v>#REF!</v>
      </c>
      <c r="IH155" t="e">
        <f>AND(#REF!,"AAAAAFmR7/E=")</f>
        <v>#REF!</v>
      </c>
      <c r="II155" t="e">
        <f>AND(#REF!,"AAAAAFmR7/I=")</f>
        <v>#REF!</v>
      </c>
      <c r="IJ155" t="e">
        <f>AND(#REF!,"AAAAAFmR7/M=")</f>
        <v>#REF!</v>
      </c>
      <c r="IK155" t="e">
        <f>AND(#REF!,"AAAAAFmR7/Q=")</f>
        <v>#REF!</v>
      </c>
      <c r="IL155" t="e">
        <f>AND(#REF!,"AAAAAFmR7/U=")</f>
        <v>#REF!</v>
      </c>
      <c r="IM155" t="e">
        <f>AND(#REF!,"AAAAAFmR7/Y=")</f>
        <v>#REF!</v>
      </c>
      <c r="IN155" t="e">
        <f>IF(#REF!,"AAAAAFmR7/c=",0)</f>
        <v>#REF!</v>
      </c>
      <c r="IO155" t="e">
        <f>AND(#REF!,"AAAAAFmR7/g=")</f>
        <v>#REF!</v>
      </c>
      <c r="IP155" t="e">
        <f>AND(#REF!,"AAAAAFmR7/k=")</f>
        <v>#REF!</v>
      </c>
      <c r="IQ155" t="e">
        <f>AND(#REF!,"AAAAAFmR7/o=")</f>
        <v>#REF!</v>
      </c>
      <c r="IR155" t="e">
        <f>AND(#REF!,"AAAAAFmR7/s=")</f>
        <v>#REF!</v>
      </c>
      <c r="IS155" t="e">
        <f>AND(#REF!,"AAAAAFmR7/w=")</f>
        <v>#REF!</v>
      </c>
      <c r="IT155" t="e">
        <f>AND(#REF!,"AAAAAFmR7/0=")</f>
        <v>#REF!</v>
      </c>
      <c r="IU155" t="e">
        <f>AND(#REF!,"AAAAAFmR7/4=")</f>
        <v>#REF!</v>
      </c>
      <c r="IV155" t="e">
        <f>AND(#REF!,"AAAAAFmR7/8=")</f>
        <v>#REF!</v>
      </c>
    </row>
    <row r="156" spans="1:256" x14ac:dyDescent="0.2">
      <c r="A156" t="e">
        <f>AND(#REF!,"AAAAAH/t/wA=")</f>
        <v>#REF!</v>
      </c>
      <c r="B156" t="e">
        <f>AND(#REF!,"AAAAAH/t/wE=")</f>
        <v>#REF!</v>
      </c>
      <c r="C156" t="e">
        <f>AND(#REF!,"AAAAAH/t/wI=")</f>
        <v>#REF!</v>
      </c>
      <c r="D156" t="e">
        <f>AND(#REF!,"AAAAAH/t/wM=")</f>
        <v>#REF!</v>
      </c>
      <c r="E156" t="e">
        <f>AND(#REF!,"AAAAAH/t/wQ=")</f>
        <v>#REF!</v>
      </c>
      <c r="F156" t="e">
        <f>AND(#REF!,"AAAAAH/t/wU=")</f>
        <v>#REF!</v>
      </c>
      <c r="G156" t="e">
        <f>AND(#REF!,"AAAAAH/t/wY=")</f>
        <v>#REF!</v>
      </c>
      <c r="H156" t="e">
        <f>AND(#REF!,"AAAAAH/t/wc=")</f>
        <v>#REF!</v>
      </c>
      <c r="I156" t="e">
        <f>AND(#REF!,"AAAAAH/t/wg=")</f>
        <v>#REF!</v>
      </c>
      <c r="J156" t="e">
        <f>AND(#REF!,"AAAAAH/t/wk=")</f>
        <v>#REF!</v>
      </c>
      <c r="K156" t="e">
        <f>AND(#REF!,"AAAAAH/t/wo=")</f>
        <v>#REF!</v>
      </c>
      <c r="L156" t="e">
        <f>AND(#REF!,"AAAAAH/t/ws=")</f>
        <v>#REF!</v>
      </c>
      <c r="M156" t="e">
        <f>AND(#REF!,"AAAAAH/t/ww=")</f>
        <v>#REF!</v>
      </c>
      <c r="N156" t="e">
        <f>AND(#REF!,"AAAAAH/t/w0=")</f>
        <v>#REF!</v>
      </c>
      <c r="O156" t="e">
        <f>IF(#REF!,"AAAAAH/t/w4=",0)</f>
        <v>#REF!</v>
      </c>
      <c r="P156" t="e">
        <f>AND(#REF!,"AAAAAH/t/w8=")</f>
        <v>#REF!</v>
      </c>
      <c r="Q156" t="e">
        <f>AND(#REF!,"AAAAAH/t/xA=")</f>
        <v>#REF!</v>
      </c>
      <c r="R156" t="e">
        <f>AND(#REF!,"AAAAAH/t/xE=")</f>
        <v>#REF!</v>
      </c>
      <c r="S156" t="e">
        <f>AND(#REF!,"AAAAAH/t/xI=")</f>
        <v>#REF!</v>
      </c>
      <c r="T156" t="e">
        <f>AND(#REF!,"AAAAAH/t/xM=")</f>
        <v>#REF!</v>
      </c>
      <c r="U156" t="e">
        <f>AND(#REF!,"AAAAAH/t/xQ=")</f>
        <v>#REF!</v>
      </c>
      <c r="V156" t="e">
        <f>AND(#REF!,"AAAAAH/t/xU=")</f>
        <v>#REF!</v>
      </c>
      <c r="W156" t="e">
        <f>AND(#REF!,"AAAAAH/t/xY=")</f>
        <v>#REF!</v>
      </c>
      <c r="X156" t="e">
        <f>AND(#REF!,"AAAAAH/t/xc=")</f>
        <v>#REF!</v>
      </c>
      <c r="Y156" t="e">
        <f>AND(#REF!,"AAAAAH/t/xg=")</f>
        <v>#REF!</v>
      </c>
      <c r="Z156" t="e">
        <f>AND(#REF!,"AAAAAH/t/xk=")</f>
        <v>#REF!</v>
      </c>
      <c r="AA156" t="e">
        <f>AND(#REF!,"AAAAAH/t/xo=")</f>
        <v>#REF!</v>
      </c>
      <c r="AB156" t="e">
        <f>AND(#REF!,"AAAAAH/t/xs=")</f>
        <v>#REF!</v>
      </c>
      <c r="AC156" t="e">
        <f>AND(#REF!,"AAAAAH/t/xw=")</f>
        <v>#REF!</v>
      </c>
      <c r="AD156" t="e">
        <f>AND(#REF!,"AAAAAH/t/x0=")</f>
        <v>#REF!</v>
      </c>
      <c r="AE156" t="e">
        <f>AND(#REF!,"AAAAAH/t/x4=")</f>
        <v>#REF!</v>
      </c>
      <c r="AF156" t="e">
        <f>AND(#REF!,"AAAAAH/t/x8=")</f>
        <v>#REF!</v>
      </c>
      <c r="AG156" t="e">
        <f>AND(#REF!,"AAAAAH/t/yA=")</f>
        <v>#REF!</v>
      </c>
      <c r="AH156" t="e">
        <f>AND(#REF!,"AAAAAH/t/yE=")</f>
        <v>#REF!</v>
      </c>
      <c r="AI156" t="e">
        <f>AND(#REF!,"AAAAAH/t/yI=")</f>
        <v>#REF!</v>
      </c>
      <c r="AJ156" t="e">
        <f>AND(#REF!,"AAAAAH/t/yM=")</f>
        <v>#REF!</v>
      </c>
      <c r="AK156" t="e">
        <f>AND(#REF!,"AAAAAH/t/yQ=")</f>
        <v>#REF!</v>
      </c>
      <c r="AL156" t="e">
        <f>IF(#REF!,"AAAAAH/t/yU=",0)</f>
        <v>#REF!</v>
      </c>
      <c r="AM156" t="e">
        <f>AND(#REF!,"AAAAAH/t/yY=")</f>
        <v>#REF!</v>
      </c>
      <c r="AN156" t="e">
        <f>AND(#REF!,"AAAAAH/t/yc=")</f>
        <v>#REF!</v>
      </c>
      <c r="AO156" t="e">
        <f>AND(#REF!,"AAAAAH/t/yg=")</f>
        <v>#REF!</v>
      </c>
      <c r="AP156" t="e">
        <f>AND(#REF!,"AAAAAH/t/yk=")</f>
        <v>#REF!</v>
      </c>
      <c r="AQ156" t="e">
        <f>AND(#REF!,"AAAAAH/t/yo=")</f>
        <v>#REF!</v>
      </c>
      <c r="AR156" t="e">
        <f>AND(#REF!,"AAAAAH/t/ys=")</f>
        <v>#REF!</v>
      </c>
      <c r="AS156" t="e">
        <f>AND(#REF!,"AAAAAH/t/yw=")</f>
        <v>#REF!</v>
      </c>
      <c r="AT156" t="e">
        <f>AND(#REF!,"AAAAAH/t/y0=")</f>
        <v>#REF!</v>
      </c>
      <c r="AU156" t="e">
        <f>AND(#REF!,"AAAAAH/t/y4=")</f>
        <v>#REF!</v>
      </c>
      <c r="AV156" t="e">
        <f>AND(#REF!,"AAAAAH/t/y8=")</f>
        <v>#REF!</v>
      </c>
      <c r="AW156" t="e">
        <f>AND(#REF!,"AAAAAH/t/zA=")</f>
        <v>#REF!</v>
      </c>
      <c r="AX156" t="e">
        <f>AND(#REF!,"AAAAAH/t/zE=")</f>
        <v>#REF!</v>
      </c>
      <c r="AY156" t="e">
        <f>AND(#REF!,"AAAAAH/t/zI=")</f>
        <v>#REF!</v>
      </c>
      <c r="AZ156" t="e">
        <f>AND(#REF!,"AAAAAH/t/zM=")</f>
        <v>#REF!</v>
      </c>
      <c r="BA156" t="e">
        <f>AND(#REF!,"AAAAAH/t/zQ=")</f>
        <v>#REF!</v>
      </c>
      <c r="BB156" t="e">
        <f>AND(#REF!,"AAAAAH/t/zU=")</f>
        <v>#REF!</v>
      </c>
      <c r="BC156" t="e">
        <f>AND(#REF!,"AAAAAH/t/zY=")</f>
        <v>#REF!</v>
      </c>
      <c r="BD156" t="e">
        <f>AND(#REF!,"AAAAAH/t/zc=")</f>
        <v>#REF!</v>
      </c>
      <c r="BE156" t="e">
        <f>AND(#REF!,"AAAAAH/t/zg=")</f>
        <v>#REF!</v>
      </c>
      <c r="BF156" t="e">
        <f>AND(#REF!,"AAAAAH/t/zk=")</f>
        <v>#REF!</v>
      </c>
      <c r="BG156" t="e">
        <f>AND(#REF!,"AAAAAH/t/zo=")</f>
        <v>#REF!</v>
      </c>
      <c r="BH156" t="e">
        <f>AND(#REF!,"AAAAAH/t/zs=")</f>
        <v>#REF!</v>
      </c>
      <c r="BI156" t="e">
        <f>IF(#REF!,"AAAAAH/t/zw=",0)</f>
        <v>#REF!</v>
      </c>
      <c r="BJ156" t="e">
        <f>AND(#REF!,"AAAAAH/t/z0=")</f>
        <v>#REF!</v>
      </c>
      <c r="BK156" t="e">
        <f>AND(#REF!,"AAAAAH/t/z4=")</f>
        <v>#REF!</v>
      </c>
      <c r="BL156" t="e">
        <f>AND(#REF!,"AAAAAH/t/z8=")</f>
        <v>#REF!</v>
      </c>
      <c r="BM156" t="e">
        <f>AND(#REF!,"AAAAAH/t/0A=")</f>
        <v>#REF!</v>
      </c>
      <c r="BN156" t="e">
        <f>AND(#REF!,"AAAAAH/t/0E=")</f>
        <v>#REF!</v>
      </c>
      <c r="BO156" t="e">
        <f>AND(#REF!,"AAAAAH/t/0I=")</f>
        <v>#REF!</v>
      </c>
      <c r="BP156" t="e">
        <f>AND(#REF!,"AAAAAH/t/0M=")</f>
        <v>#REF!</v>
      </c>
      <c r="BQ156" t="e">
        <f>AND(#REF!,"AAAAAH/t/0Q=")</f>
        <v>#REF!</v>
      </c>
      <c r="BR156" t="e">
        <f>AND(#REF!,"AAAAAH/t/0U=")</f>
        <v>#REF!</v>
      </c>
      <c r="BS156" t="e">
        <f>AND(#REF!,"AAAAAH/t/0Y=")</f>
        <v>#REF!</v>
      </c>
      <c r="BT156" t="e">
        <f>AND(#REF!,"AAAAAH/t/0c=")</f>
        <v>#REF!</v>
      </c>
      <c r="BU156" t="e">
        <f>AND(#REF!,"AAAAAH/t/0g=")</f>
        <v>#REF!</v>
      </c>
      <c r="BV156" t="e">
        <f>AND(#REF!,"AAAAAH/t/0k=")</f>
        <v>#REF!</v>
      </c>
      <c r="BW156" t="e">
        <f>AND(#REF!,"AAAAAH/t/0o=")</f>
        <v>#REF!</v>
      </c>
      <c r="BX156" t="e">
        <f>AND(#REF!,"AAAAAH/t/0s=")</f>
        <v>#REF!</v>
      </c>
      <c r="BY156" t="e">
        <f>AND(#REF!,"AAAAAH/t/0w=")</f>
        <v>#REF!</v>
      </c>
      <c r="BZ156" t="e">
        <f>AND(#REF!,"AAAAAH/t/00=")</f>
        <v>#REF!</v>
      </c>
      <c r="CA156" t="e">
        <f>AND(#REF!,"AAAAAH/t/04=")</f>
        <v>#REF!</v>
      </c>
      <c r="CB156" t="e">
        <f>AND(#REF!,"AAAAAH/t/08=")</f>
        <v>#REF!</v>
      </c>
      <c r="CC156" t="e">
        <f>AND(#REF!,"AAAAAH/t/1A=")</f>
        <v>#REF!</v>
      </c>
      <c r="CD156" t="e">
        <f>AND(#REF!,"AAAAAH/t/1E=")</f>
        <v>#REF!</v>
      </c>
      <c r="CE156" t="e">
        <f>AND(#REF!,"AAAAAH/t/1I=")</f>
        <v>#REF!</v>
      </c>
      <c r="CF156" t="e">
        <f>IF(#REF!,"AAAAAH/t/1M=",0)</f>
        <v>#REF!</v>
      </c>
      <c r="CG156" t="e">
        <f>AND(#REF!,"AAAAAH/t/1Q=")</f>
        <v>#REF!</v>
      </c>
      <c r="CH156" t="e">
        <f>AND(#REF!,"AAAAAH/t/1U=")</f>
        <v>#REF!</v>
      </c>
      <c r="CI156" t="e">
        <f>AND(#REF!,"AAAAAH/t/1Y=")</f>
        <v>#REF!</v>
      </c>
      <c r="CJ156" t="e">
        <f>AND(#REF!,"AAAAAH/t/1c=")</f>
        <v>#REF!</v>
      </c>
      <c r="CK156" t="e">
        <f>AND(#REF!,"AAAAAH/t/1g=")</f>
        <v>#REF!</v>
      </c>
      <c r="CL156" t="e">
        <f>AND(#REF!,"AAAAAH/t/1k=")</f>
        <v>#REF!</v>
      </c>
      <c r="CM156" t="e">
        <f>AND(#REF!,"AAAAAH/t/1o=")</f>
        <v>#REF!</v>
      </c>
      <c r="CN156" t="e">
        <f>AND(#REF!,"AAAAAH/t/1s=")</f>
        <v>#REF!</v>
      </c>
      <c r="CO156" t="e">
        <f>AND(#REF!,"AAAAAH/t/1w=")</f>
        <v>#REF!</v>
      </c>
      <c r="CP156" t="e">
        <f>AND(#REF!,"AAAAAH/t/10=")</f>
        <v>#REF!</v>
      </c>
      <c r="CQ156" t="e">
        <f>AND(#REF!,"AAAAAH/t/14=")</f>
        <v>#REF!</v>
      </c>
      <c r="CR156" t="e">
        <f>AND(#REF!,"AAAAAH/t/18=")</f>
        <v>#REF!</v>
      </c>
      <c r="CS156" t="e">
        <f>AND(#REF!,"AAAAAH/t/2A=")</f>
        <v>#REF!</v>
      </c>
      <c r="CT156" t="e">
        <f>AND(#REF!,"AAAAAH/t/2E=")</f>
        <v>#REF!</v>
      </c>
      <c r="CU156" t="e">
        <f>AND(#REF!,"AAAAAH/t/2I=")</f>
        <v>#REF!</v>
      </c>
      <c r="CV156" t="e">
        <f>AND(#REF!,"AAAAAH/t/2M=")</f>
        <v>#REF!</v>
      </c>
      <c r="CW156" t="e">
        <f>AND(#REF!,"AAAAAH/t/2Q=")</f>
        <v>#REF!</v>
      </c>
      <c r="CX156" t="e">
        <f>AND(#REF!,"AAAAAH/t/2U=")</f>
        <v>#REF!</v>
      </c>
      <c r="CY156" t="e">
        <f>AND(#REF!,"AAAAAH/t/2Y=")</f>
        <v>#REF!</v>
      </c>
      <c r="CZ156" t="e">
        <f>AND(#REF!,"AAAAAH/t/2c=")</f>
        <v>#REF!</v>
      </c>
      <c r="DA156" t="e">
        <f>AND(#REF!,"AAAAAH/t/2g=")</f>
        <v>#REF!</v>
      </c>
      <c r="DB156" t="e">
        <f>AND(#REF!,"AAAAAH/t/2k=")</f>
        <v>#REF!</v>
      </c>
      <c r="DC156" t="e">
        <f>IF(#REF!,"AAAAAH/t/2o=",0)</f>
        <v>#REF!</v>
      </c>
      <c r="DD156" t="e">
        <f>AND(#REF!,"AAAAAH/t/2s=")</f>
        <v>#REF!</v>
      </c>
      <c r="DE156" t="e">
        <f>AND(#REF!,"AAAAAH/t/2w=")</f>
        <v>#REF!</v>
      </c>
      <c r="DF156" t="e">
        <f>AND(#REF!,"AAAAAH/t/20=")</f>
        <v>#REF!</v>
      </c>
      <c r="DG156" t="e">
        <f>AND(#REF!,"AAAAAH/t/24=")</f>
        <v>#REF!</v>
      </c>
      <c r="DH156" t="e">
        <f>AND(#REF!,"AAAAAH/t/28=")</f>
        <v>#REF!</v>
      </c>
      <c r="DI156" t="e">
        <f>AND(#REF!,"AAAAAH/t/3A=")</f>
        <v>#REF!</v>
      </c>
      <c r="DJ156" t="e">
        <f>AND(#REF!,"AAAAAH/t/3E=")</f>
        <v>#REF!</v>
      </c>
      <c r="DK156" t="e">
        <f>AND(#REF!,"AAAAAH/t/3I=")</f>
        <v>#REF!</v>
      </c>
      <c r="DL156" t="e">
        <f>AND(#REF!,"AAAAAH/t/3M=")</f>
        <v>#REF!</v>
      </c>
      <c r="DM156" t="e">
        <f>AND(#REF!,"AAAAAH/t/3Q=")</f>
        <v>#REF!</v>
      </c>
      <c r="DN156" t="e">
        <f>AND(#REF!,"AAAAAH/t/3U=")</f>
        <v>#REF!</v>
      </c>
      <c r="DO156" t="e">
        <f>AND(#REF!,"AAAAAH/t/3Y=")</f>
        <v>#REF!</v>
      </c>
      <c r="DP156" t="e">
        <f>AND(#REF!,"AAAAAH/t/3c=")</f>
        <v>#REF!</v>
      </c>
      <c r="DQ156" t="e">
        <f>AND(#REF!,"AAAAAH/t/3g=")</f>
        <v>#REF!</v>
      </c>
      <c r="DR156" t="e">
        <f>AND(#REF!,"AAAAAH/t/3k=")</f>
        <v>#REF!</v>
      </c>
      <c r="DS156" t="e">
        <f>AND(#REF!,"AAAAAH/t/3o=")</f>
        <v>#REF!</v>
      </c>
      <c r="DT156" t="e">
        <f>AND(#REF!,"AAAAAH/t/3s=")</f>
        <v>#REF!</v>
      </c>
      <c r="DU156" t="e">
        <f>AND(#REF!,"AAAAAH/t/3w=")</f>
        <v>#REF!</v>
      </c>
      <c r="DV156" t="e">
        <f>AND(#REF!,"AAAAAH/t/30=")</f>
        <v>#REF!</v>
      </c>
      <c r="DW156" t="e">
        <f>AND(#REF!,"AAAAAH/t/34=")</f>
        <v>#REF!</v>
      </c>
      <c r="DX156" t="e">
        <f>AND(#REF!,"AAAAAH/t/38=")</f>
        <v>#REF!</v>
      </c>
      <c r="DY156" t="e">
        <f>AND(#REF!,"AAAAAH/t/4A=")</f>
        <v>#REF!</v>
      </c>
      <c r="DZ156" t="e">
        <f>IF(#REF!,"AAAAAH/t/4E=",0)</f>
        <v>#REF!</v>
      </c>
      <c r="EA156" t="e">
        <f>AND(#REF!,"AAAAAH/t/4I=")</f>
        <v>#REF!</v>
      </c>
      <c r="EB156" t="e">
        <f>AND(#REF!,"AAAAAH/t/4M=")</f>
        <v>#REF!</v>
      </c>
      <c r="EC156" t="e">
        <f>AND(#REF!,"AAAAAH/t/4Q=")</f>
        <v>#REF!</v>
      </c>
      <c r="ED156" t="e">
        <f>AND(#REF!,"AAAAAH/t/4U=")</f>
        <v>#REF!</v>
      </c>
      <c r="EE156" t="e">
        <f>AND(#REF!,"AAAAAH/t/4Y=")</f>
        <v>#REF!</v>
      </c>
      <c r="EF156" t="e">
        <f>AND(#REF!,"AAAAAH/t/4c=")</f>
        <v>#REF!</v>
      </c>
      <c r="EG156" t="e">
        <f>AND(#REF!,"AAAAAH/t/4g=")</f>
        <v>#REF!</v>
      </c>
      <c r="EH156" t="e">
        <f>AND(#REF!,"AAAAAH/t/4k=")</f>
        <v>#REF!</v>
      </c>
      <c r="EI156" t="e">
        <f>AND(#REF!,"AAAAAH/t/4o=")</f>
        <v>#REF!</v>
      </c>
      <c r="EJ156" t="e">
        <f>AND(#REF!,"AAAAAH/t/4s=")</f>
        <v>#REF!</v>
      </c>
      <c r="EK156" t="e">
        <f>AND(#REF!,"AAAAAH/t/4w=")</f>
        <v>#REF!</v>
      </c>
      <c r="EL156" t="e">
        <f>AND(#REF!,"AAAAAH/t/40=")</f>
        <v>#REF!</v>
      </c>
      <c r="EM156" t="e">
        <f>AND(#REF!,"AAAAAH/t/44=")</f>
        <v>#REF!</v>
      </c>
      <c r="EN156" t="e">
        <f>AND(#REF!,"AAAAAH/t/48=")</f>
        <v>#REF!</v>
      </c>
      <c r="EO156" t="e">
        <f>AND(#REF!,"AAAAAH/t/5A=")</f>
        <v>#REF!</v>
      </c>
      <c r="EP156" t="e">
        <f>AND(#REF!,"AAAAAH/t/5E=")</f>
        <v>#REF!</v>
      </c>
      <c r="EQ156" t="e">
        <f>AND(#REF!,"AAAAAH/t/5I=")</f>
        <v>#REF!</v>
      </c>
      <c r="ER156" t="e">
        <f>AND(#REF!,"AAAAAH/t/5M=")</f>
        <v>#REF!</v>
      </c>
      <c r="ES156" t="e">
        <f>AND(#REF!,"AAAAAH/t/5Q=")</f>
        <v>#REF!</v>
      </c>
      <c r="ET156" t="e">
        <f>AND(#REF!,"AAAAAH/t/5U=")</f>
        <v>#REF!</v>
      </c>
      <c r="EU156" t="e">
        <f>AND(#REF!,"AAAAAH/t/5Y=")</f>
        <v>#REF!</v>
      </c>
      <c r="EV156" t="e">
        <f>AND(#REF!,"AAAAAH/t/5c=")</f>
        <v>#REF!</v>
      </c>
      <c r="EW156" t="e">
        <f>IF(#REF!,"AAAAAH/t/5g=",0)</f>
        <v>#REF!</v>
      </c>
      <c r="EX156" t="e">
        <f>AND(#REF!,"AAAAAH/t/5k=")</f>
        <v>#REF!</v>
      </c>
      <c r="EY156" t="e">
        <f>AND(#REF!,"AAAAAH/t/5o=")</f>
        <v>#REF!</v>
      </c>
      <c r="EZ156" t="e">
        <f>AND(#REF!,"AAAAAH/t/5s=")</f>
        <v>#REF!</v>
      </c>
      <c r="FA156" t="e">
        <f>AND(#REF!,"AAAAAH/t/5w=")</f>
        <v>#REF!</v>
      </c>
      <c r="FB156" t="e">
        <f>AND(#REF!,"AAAAAH/t/50=")</f>
        <v>#REF!</v>
      </c>
      <c r="FC156" t="e">
        <f>AND(#REF!,"AAAAAH/t/54=")</f>
        <v>#REF!</v>
      </c>
      <c r="FD156" t="e">
        <f>AND(#REF!,"AAAAAH/t/58=")</f>
        <v>#REF!</v>
      </c>
      <c r="FE156" t="e">
        <f>AND(#REF!,"AAAAAH/t/6A=")</f>
        <v>#REF!</v>
      </c>
      <c r="FF156" t="e">
        <f>AND(#REF!,"AAAAAH/t/6E=")</f>
        <v>#REF!</v>
      </c>
      <c r="FG156" t="e">
        <f>AND(#REF!,"AAAAAH/t/6I=")</f>
        <v>#REF!</v>
      </c>
      <c r="FH156" t="e">
        <f>AND(#REF!,"AAAAAH/t/6M=")</f>
        <v>#REF!</v>
      </c>
      <c r="FI156" t="e">
        <f>AND(#REF!,"AAAAAH/t/6Q=")</f>
        <v>#REF!</v>
      </c>
      <c r="FJ156" t="e">
        <f>AND(#REF!,"AAAAAH/t/6U=")</f>
        <v>#REF!</v>
      </c>
      <c r="FK156" t="e">
        <f>AND(#REF!,"AAAAAH/t/6Y=")</f>
        <v>#REF!</v>
      </c>
      <c r="FL156" t="e">
        <f>AND(#REF!,"AAAAAH/t/6c=")</f>
        <v>#REF!</v>
      </c>
      <c r="FM156" t="e">
        <f>AND(#REF!,"AAAAAH/t/6g=")</f>
        <v>#REF!</v>
      </c>
      <c r="FN156" t="e">
        <f>AND(#REF!,"AAAAAH/t/6k=")</f>
        <v>#REF!</v>
      </c>
      <c r="FO156" t="e">
        <f>AND(#REF!,"AAAAAH/t/6o=")</f>
        <v>#REF!</v>
      </c>
      <c r="FP156" t="e">
        <f>AND(#REF!,"AAAAAH/t/6s=")</f>
        <v>#REF!</v>
      </c>
      <c r="FQ156" t="e">
        <f>AND(#REF!,"AAAAAH/t/6w=")</f>
        <v>#REF!</v>
      </c>
      <c r="FR156" t="e">
        <f>AND(#REF!,"AAAAAH/t/60=")</f>
        <v>#REF!</v>
      </c>
      <c r="FS156" t="e">
        <f>AND(#REF!,"AAAAAH/t/64=")</f>
        <v>#REF!</v>
      </c>
      <c r="FT156" t="e">
        <f>IF(#REF!,"AAAAAH/t/68=",0)</f>
        <v>#REF!</v>
      </c>
      <c r="FU156" t="e">
        <f>AND(#REF!,"AAAAAH/t/7A=")</f>
        <v>#REF!</v>
      </c>
      <c r="FV156" t="e">
        <f>AND(#REF!,"AAAAAH/t/7E=")</f>
        <v>#REF!</v>
      </c>
      <c r="FW156" t="e">
        <f>AND(#REF!,"AAAAAH/t/7I=")</f>
        <v>#REF!</v>
      </c>
      <c r="FX156" t="e">
        <f>AND(#REF!,"AAAAAH/t/7M=")</f>
        <v>#REF!</v>
      </c>
      <c r="FY156" t="e">
        <f>AND(#REF!,"AAAAAH/t/7Q=")</f>
        <v>#REF!</v>
      </c>
      <c r="FZ156" t="e">
        <f>AND(#REF!,"AAAAAH/t/7U=")</f>
        <v>#REF!</v>
      </c>
      <c r="GA156" t="e">
        <f>AND(#REF!,"AAAAAH/t/7Y=")</f>
        <v>#REF!</v>
      </c>
      <c r="GB156" t="e">
        <f>AND(#REF!,"AAAAAH/t/7c=")</f>
        <v>#REF!</v>
      </c>
      <c r="GC156" t="e">
        <f>AND(#REF!,"AAAAAH/t/7g=")</f>
        <v>#REF!</v>
      </c>
      <c r="GD156" t="e">
        <f>AND(#REF!,"AAAAAH/t/7k=")</f>
        <v>#REF!</v>
      </c>
      <c r="GE156" t="e">
        <f>AND(#REF!,"AAAAAH/t/7o=")</f>
        <v>#REF!</v>
      </c>
      <c r="GF156" t="e">
        <f>AND(#REF!,"AAAAAH/t/7s=")</f>
        <v>#REF!</v>
      </c>
      <c r="GG156" t="e">
        <f>AND(#REF!,"AAAAAH/t/7w=")</f>
        <v>#REF!</v>
      </c>
      <c r="GH156" t="e">
        <f>AND(#REF!,"AAAAAH/t/70=")</f>
        <v>#REF!</v>
      </c>
      <c r="GI156" t="e">
        <f>AND(#REF!,"AAAAAH/t/74=")</f>
        <v>#REF!</v>
      </c>
      <c r="GJ156" t="e">
        <f>AND(#REF!,"AAAAAH/t/78=")</f>
        <v>#REF!</v>
      </c>
      <c r="GK156" t="e">
        <f>AND(#REF!,"AAAAAH/t/8A=")</f>
        <v>#REF!</v>
      </c>
      <c r="GL156" t="e">
        <f>AND(#REF!,"AAAAAH/t/8E=")</f>
        <v>#REF!</v>
      </c>
      <c r="GM156" t="e">
        <f>AND(#REF!,"AAAAAH/t/8I=")</f>
        <v>#REF!</v>
      </c>
      <c r="GN156" t="e">
        <f>AND(#REF!,"AAAAAH/t/8M=")</f>
        <v>#REF!</v>
      </c>
      <c r="GO156" t="e">
        <f>AND(#REF!,"AAAAAH/t/8Q=")</f>
        <v>#REF!</v>
      </c>
      <c r="GP156" t="e">
        <f>AND(#REF!,"AAAAAH/t/8U=")</f>
        <v>#REF!</v>
      </c>
      <c r="GQ156" t="e">
        <f>IF(#REF!,"AAAAAH/t/8Y=",0)</f>
        <v>#REF!</v>
      </c>
      <c r="GR156" t="e">
        <f>AND(#REF!,"AAAAAH/t/8c=")</f>
        <v>#REF!</v>
      </c>
      <c r="GS156" t="e">
        <f>AND(#REF!,"AAAAAH/t/8g=")</f>
        <v>#REF!</v>
      </c>
      <c r="GT156" t="e">
        <f>AND(#REF!,"AAAAAH/t/8k=")</f>
        <v>#REF!</v>
      </c>
      <c r="GU156" t="e">
        <f>AND(#REF!,"AAAAAH/t/8o=")</f>
        <v>#REF!</v>
      </c>
      <c r="GV156" t="e">
        <f>AND(#REF!,"AAAAAH/t/8s=")</f>
        <v>#REF!</v>
      </c>
      <c r="GW156" t="e">
        <f>AND(#REF!,"AAAAAH/t/8w=")</f>
        <v>#REF!</v>
      </c>
      <c r="GX156" t="e">
        <f>AND(#REF!,"AAAAAH/t/80=")</f>
        <v>#REF!</v>
      </c>
      <c r="GY156" t="e">
        <f>AND(#REF!,"AAAAAH/t/84=")</f>
        <v>#REF!</v>
      </c>
      <c r="GZ156" t="e">
        <f>AND(#REF!,"AAAAAH/t/88=")</f>
        <v>#REF!</v>
      </c>
      <c r="HA156" t="e">
        <f>AND(#REF!,"AAAAAH/t/9A=")</f>
        <v>#REF!</v>
      </c>
      <c r="HB156" t="e">
        <f>AND(#REF!,"AAAAAH/t/9E=")</f>
        <v>#REF!</v>
      </c>
      <c r="HC156" t="e">
        <f>AND(#REF!,"AAAAAH/t/9I=")</f>
        <v>#REF!</v>
      </c>
      <c r="HD156" t="e">
        <f>AND(#REF!,"AAAAAH/t/9M=")</f>
        <v>#REF!</v>
      </c>
      <c r="HE156" t="e">
        <f>AND(#REF!,"AAAAAH/t/9Q=")</f>
        <v>#REF!</v>
      </c>
      <c r="HF156" t="e">
        <f>AND(#REF!,"AAAAAH/t/9U=")</f>
        <v>#REF!</v>
      </c>
      <c r="HG156" t="e">
        <f>AND(#REF!,"AAAAAH/t/9Y=")</f>
        <v>#REF!</v>
      </c>
      <c r="HH156" t="e">
        <f>AND(#REF!,"AAAAAH/t/9c=")</f>
        <v>#REF!</v>
      </c>
      <c r="HI156" t="e">
        <f>AND(#REF!,"AAAAAH/t/9g=")</f>
        <v>#REF!</v>
      </c>
      <c r="HJ156" t="e">
        <f>AND(#REF!,"AAAAAH/t/9k=")</f>
        <v>#REF!</v>
      </c>
      <c r="HK156" t="e">
        <f>AND(#REF!,"AAAAAH/t/9o=")</f>
        <v>#REF!</v>
      </c>
      <c r="HL156" t="e">
        <f>AND(#REF!,"AAAAAH/t/9s=")</f>
        <v>#REF!</v>
      </c>
      <c r="HM156" t="e">
        <f>AND(#REF!,"AAAAAH/t/9w=")</f>
        <v>#REF!</v>
      </c>
      <c r="HN156" t="e">
        <f>IF(#REF!,"AAAAAH/t/90=",0)</f>
        <v>#REF!</v>
      </c>
      <c r="HO156" t="e">
        <f>AND(#REF!,"AAAAAH/t/94=")</f>
        <v>#REF!</v>
      </c>
      <c r="HP156" t="e">
        <f>AND(#REF!,"AAAAAH/t/98=")</f>
        <v>#REF!</v>
      </c>
      <c r="HQ156" t="e">
        <f>AND(#REF!,"AAAAAH/t/+A=")</f>
        <v>#REF!</v>
      </c>
      <c r="HR156" t="e">
        <f>AND(#REF!,"AAAAAH/t/+E=")</f>
        <v>#REF!</v>
      </c>
      <c r="HS156" t="e">
        <f>AND(#REF!,"AAAAAH/t/+I=")</f>
        <v>#REF!</v>
      </c>
      <c r="HT156" t="e">
        <f>AND(#REF!,"AAAAAH/t/+M=")</f>
        <v>#REF!</v>
      </c>
      <c r="HU156" t="e">
        <f>AND(#REF!,"AAAAAH/t/+Q=")</f>
        <v>#REF!</v>
      </c>
      <c r="HV156" t="e">
        <f>AND(#REF!,"AAAAAH/t/+U=")</f>
        <v>#REF!</v>
      </c>
      <c r="HW156" t="e">
        <f>AND(#REF!,"AAAAAH/t/+Y=")</f>
        <v>#REF!</v>
      </c>
      <c r="HX156" t="e">
        <f>AND(#REF!,"AAAAAH/t/+c=")</f>
        <v>#REF!</v>
      </c>
      <c r="HY156" t="e">
        <f>AND(#REF!,"AAAAAH/t/+g=")</f>
        <v>#REF!</v>
      </c>
      <c r="HZ156" t="e">
        <f>AND(#REF!,"AAAAAH/t/+k=")</f>
        <v>#REF!</v>
      </c>
      <c r="IA156" t="e">
        <f>AND(#REF!,"AAAAAH/t/+o=")</f>
        <v>#REF!</v>
      </c>
      <c r="IB156" t="e">
        <f>AND(#REF!,"AAAAAH/t/+s=")</f>
        <v>#REF!</v>
      </c>
      <c r="IC156" t="e">
        <f>AND(#REF!,"AAAAAH/t/+w=")</f>
        <v>#REF!</v>
      </c>
      <c r="ID156" t="e">
        <f>AND(#REF!,"AAAAAH/t/+0=")</f>
        <v>#REF!</v>
      </c>
      <c r="IE156" t="e">
        <f>AND(#REF!,"AAAAAH/t/+4=")</f>
        <v>#REF!</v>
      </c>
      <c r="IF156" t="e">
        <f>AND(#REF!,"AAAAAH/t/+8=")</f>
        <v>#REF!</v>
      </c>
      <c r="IG156" t="e">
        <f>AND(#REF!,"AAAAAH/t//A=")</f>
        <v>#REF!</v>
      </c>
      <c r="IH156" t="e">
        <f>AND(#REF!,"AAAAAH/t//E=")</f>
        <v>#REF!</v>
      </c>
      <c r="II156" t="e">
        <f>AND(#REF!,"AAAAAH/t//I=")</f>
        <v>#REF!</v>
      </c>
      <c r="IJ156" t="e">
        <f>AND(#REF!,"AAAAAH/t//M=")</f>
        <v>#REF!</v>
      </c>
      <c r="IK156" t="e">
        <f>IF(#REF!,"AAAAAH/t//Q=",0)</f>
        <v>#REF!</v>
      </c>
      <c r="IL156" t="e">
        <f>AND(#REF!,"AAAAAH/t//U=")</f>
        <v>#REF!</v>
      </c>
      <c r="IM156" t="e">
        <f>AND(#REF!,"AAAAAH/t//Y=")</f>
        <v>#REF!</v>
      </c>
      <c r="IN156" t="e">
        <f>AND(#REF!,"AAAAAH/t//c=")</f>
        <v>#REF!</v>
      </c>
      <c r="IO156" t="e">
        <f>AND(#REF!,"AAAAAH/t//g=")</f>
        <v>#REF!</v>
      </c>
      <c r="IP156" t="e">
        <f>AND(#REF!,"AAAAAH/t//k=")</f>
        <v>#REF!</v>
      </c>
      <c r="IQ156" t="e">
        <f>AND(#REF!,"AAAAAH/t//o=")</f>
        <v>#REF!</v>
      </c>
      <c r="IR156" t="e">
        <f>AND(#REF!,"AAAAAH/t//s=")</f>
        <v>#REF!</v>
      </c>
      <c r="IS156" t="e">
        <f>AND(#REF!,"AAAAAH/t//w=")</f>
        <v>#REF!</v>
      </c>
      <c r="IT156" t="e">
        <f>AND(#REF!,"AAAAAH/t//0=")</f>
        <v>#REF!</v>
      </c>
      <c r="IU156" t="e">
        <f>AND(#REF!,"AAAAAH/t//4=")</f>
        <v>#REF!</v>
      </c>
      <c r="IV156" t="e">
        <f>AND(#REF!,"AAAAAH/t//8=")</f>
        <v>#REF!</v>
      </c>
    </row>
    <row r="157" spans="1:256" x14ac:dyDescent="0.2">
      <c r="A157" t="e">
        <f>AND(#REF!,"AAAAAG/3/wA=")</f>
        <v>#REF!</v>
      </c>
      <c r="B157" t="e">
        <f>AND(#REF!,"AAAAAG/3/wE=")</f>
        <v>#REF!</v>
      </c>
      <c r="C157" t="e">
        <f>AND(#REF!,"AAAAAG/3/wI=")</f>
        <v>#REF!</v>
      </c>
      <c r="D157" t="e">
        <f>AND(#REF!,"AAAAAG/3/wM=")</f>
        <v>#REF!</v>
      </c>
      <c r="E157" t="e">
        <f>AND(#REF!,"AAAAAG/3/wQ=")</f>
        <v>#REF!</v>
      </c>
      <c r="F157" t="e">
        <f>AND(#REF!,"AAAAAG/3/wU=")</f>
        <v>#REF!</v>
      </c>
      <c r="G157" t="e">
        <f>AND(#REF!,"AAAAAG/3/wY=")</f>
        <v>#REF!</v>
      </c>
      <c r="H157" t="e">
        <f>AND(#REF!,"AAAAAG/3/wc=")</f>
        <v>#REF!</v>
      </c>
      <c r="I157" t="e">
        <f>AND(#REF!,"AAAAAG/3/wg=")</f>
        <v>#REF!</v>
      </c>
      <c r="J157" t="e">
        <f>AND(#REF!,"AAAAAG/3/wk=")</f>
        <v>#REF!</v>
      </c>
      <c r="K157" t="e">
        <f>AND(#REF!,"AAAAAG/3/wo=")</f>
        <v>#REF!</v>
      </c>
      <c r="L157" t="e">
        <f>IF(#REF!,"AAAAAG/3/ws=",0)</f>
        <v>#REF!</v>
      </c>
      <c r="M157" t="e">
        <f>AND(#REF!,"AAAAAG/3/ww=")</f>
        <v>#REF!</v>
      </c>
      <c r="N157" t="e">
        <f>AND(#REF!,"AAAAAG/3/w0=")</f>
        <v>#REF!</v>
      </c>
      <c r="O157" t="e">
        <f>AND(#REF!,"AAAAAG/3/w4=")</f>
        <v>#REF!</v>
      </c>
      <c r="P157" t="e">
        <f>AND(#REF!,"AAAAAG/3/w8=")</f>
        <v>#REF!</v>
      </c>
      <c r="Q157" t="e">
        <f>AND(#REF!,"AAAAAG/3/xA=")</f>
        <v>#REF!</v>
      </c>
      <c r="R157" t="e">
        <f>AND(#REF!,"AAAAAG/3/xE=")</f>
        <v>#REF!</v>
      </c>
      <c r="S157" t="e">
        <f>AND(#REF!,"AAAAAG/3/xI=")</f>
        <v>#REF!</v>
      </c>
      <c r="T157" t="e">
        <f>AND(#REF!,"AAAAAG/3/xM=")</f>
        <v>#REF!</v>
      </c>
      <c r="U157" t="e">
        <f>AND(#REF!,"AAAAAG/3/xQ=")</f>
        <v>#REF!</v>
      </c>
      <c r="V157" t="e">
        <f>AND(#REF!,"AAAAAG/3/xU=")</f>
        <v>#REF!</v>
      </c>
      <c r="W157" t="e">
        <f>AND(#REF!,"AAAAAG/3/xY=")</f>
        <v>#REF!</v>
      </c>
      <c r="X157" t="e">
        <f>AND(#REF!,"AAAAAG/3/xc=")</f>
        <v>#REF!</v>
      </c>
      <c r="Y157" t="e">
        <f>AND(#REF!,"AAAAAG/3/xg=")</f>
        <v>#REF!</v>
      </c>
      <c r="Z157" t="e">
        <f>AND(#REF!,"AAAAAG/3/xk=")</f>
        <v>#REF!</v>
      </c>
      <c r="AA157" t="e">
        <f>AND(#REF!,"AAAAAG/3/xo=")</f>
        <v>#REF!</v>
      </c>
      <c r="AB157" t="e">
        <f>AND(#REF!,"AAAAAG/3/xs=")</f>
        <v>#REF!</v>
      </c>
      <c r="AC157" t="e">
        <f>AND(#REF!,"AAAAAG/3/xw=")</f>
        <v>#REF!</v>
      </c>
      <c r="AD157" t="e">
        <f>AND(#REF!,"AAAAAG/3/x0=")</f>
        <v>#REF!</v>
      </c>
      <c r="AE157" t="e">
        <f>AND(#REF!,"AAAAAG/3/x4=")</f>
        <v>#REF!</v>
      </c>
      <c r="AF157" t="e">
        <f>AND(#REF!,"AAAAAG/3/x8=")</f>
        <v>#REF!</v>
      </c>
      <c r="AG157" t="e">
        <f>AND(#REF!,"AAAAAG/3/yA=")</f>
        <v>#REF!</v>
      </c>
      <c r="AH157" t="e">
        <f>AND(#REF!,"AAAAAG/3/yE=")</f>
        <v>#REF!</v>
      </c>
      <c r="AI157" t="e">
        <f>IF(#REF!,"AAAAAG/3/yI=",0)</f>
        <v>#REF!</v>
      </c>
      <c r="AJ157" t="e">
        <f>AND(#REF!,"AAAAAG/3/yM=")</f>
        <v>#REF!</v>
      </c>
      <c r="AK157" t="e">
        <f>AND(#REF!,"AAAAAG/3/yQ=")</f>
        <v>#REF!</v>
      </c>
      <c r="AL157" t="e">
        <f>AND(#REF!,"AAAAAG/3/yU=")</f>
        <v>#REF!</v>
      </c>
      <c r="AM157" t="e">
        <f>AND(#REF!,"AAAAAG/3/yY=")</f>
        <v>#REF!</v>
      </c>
      <c r="AN157" t="e">
        <f>AND(#REF!,"AAAAAG/3/yc=")</f>
        <v>#REF!</v>
      </c>
      <c r="AO157" t="e">
        <f>AND(#REF!,"AAAAAG/3/yg=")</f>
        <v>#REF!</v>
      </c>
      <c r="AP157" t="e">
        <f>AND(#REF!,"AAAAAG/3/yk=")</f>
        <v>#REF!</v>
      </c>
      <c r="AQ157" t="e">
        <f>AND(#REF!,"AAAAAG/3/yo=")</f>
        <v>#REF!</v>
      </c>
      <c r="AR157" t="e">
        <f>AND(#REF!,"AAAAAG/3/ys=")</f>
        <v>#REF!</v>
      </c>
      <c r="AS157" t="e">
        <f>AND(#REF!,"AAAAAG/3/yw=")</f>
        <v>#REF!</v>
      </c>
      <c r="AT157" t="e">
        <f>AND(#REF!,"AAAAAG/3/y0=")</f>
        <v>#REF!</v>
      </c>
      <c r="AU157" t="e">
        <f>AND(#REF!,"AAAAAG/3/y4=")</f>
        <v>#REF!</v>
      </c>
      <c r="AV157" t="e">
        <f>AND(#REF!,"AAAAAG/3/y8=")</f>
        <v>#REF!</v>
      </c>
      <c r="AW157" t="e">
        <f>AND(#REF!,"AAAAAG/3/zA=")</f>
        <v>#REF!</v>
      </c>
      <c r="AX157" t="e">
        <f>AND(#REF!,"AAAAAG/3/zE=")</f>
        <v>#REF!</v>
      </c>
      <c r="AY157" t="e">
        <f>AND(#REF!,"AAAAAG/3/zI=")</f>
        <v>#REF!</v>
      </c>
      <c r="AZ157" t="e">
        <f>AND(#REF!,"AAAAAG/3/zM=")</f>
        <v>#REF!</v>
      </c>
      <c r="BA157" t="e">
        <f>AND(#REF!,"AAAAAG/3/zQ=")</f>
        <v>#REF!</v>
      </c>
      <c r="BB157" t="e">
        <f>AND(#REF!,"AAAAAG/3/zU=")</f>
        <v>#REF!</v>
      </c>
      <c r="BC157" t="e">
        <f>AND(#REF!,"AAAAAG/3/zY=")</f>
        <v>#REF!</v>
      </c>
      <c r="BD157" t="e">
        <f>AND(#REF!,"AAAAAG/3/zc=")</f>
        <v>#REF!</v>
      </c>
      <c r="BE157" t="e">
        <f>AND(#REF!,"AAAAAG/3/zg=")</f>
        <v>#REF!</v>
      </c>
      <c r="BF157" t="e">
        <f>IF(#REF!,"AAAAAG/3/zk=",0)</f>
        <v>#REF!</v>
      </c>
      <c r="BG157" t="e">
        <f>AND(#REF!,"AAAAAG/3/zo=")</f>
        <v>#REF!</v>
      </c>
      <c r="BH157" t="e">
        <f>AND(#REF!,"AAAAAG/3/zs=")</f>
        <v>#REF!</v>
      </c>
      <c r="BI157" t="e">
        <f>AND(#REF!,"AAAAAG/3/zw=")</f>
        <v>#REF!</v>
      </c>
      <c r="BJ157" t="e">
        <f>AND(#REF!,"AAAAAG/3/z0=")</f>
        <v>#REF!</v>
      </c>
      <c r="BK157" t="e">
        <f>AND(#REF!,"AAAAAG/3/z4=")</f>
        <v>#REF!</v>
      </c>
      <c r="BL157" t="e">
        <f>AND(#REF!,"AAAAAG/3/z8=")</f>
        <v>#REF!</v>
      </c>
      <c r="BM157" t="e">
        <f>AND(#REF!,"AAAAAG/3/0A=")</f>
        <v>#REF!</v>
      </c>
      <c r="BN157" t="e">
        <f>AND(#REF!,"AAAAAG/3/0E=")</f>
        <v>#REF!</v>
      </c>
      <c r="BO157" t="e">
        <f>AND(#REF!,"AAAAAG/3/0I=")</f>
        <v>#REF!</v>
      </c>
      <c r="BP157" t="e">
        <f>AND(#REF!,"AAAAAG/3/0M=")</f>
        <v>#REF!</v>
      </c>
      <c r="BQ157" t="e">
        <f>AND(#REF!,"AAAAAG/3/0Q=")</f>
        <v>#REF!</v>
      </c>
      <c r="BR157" t="e">
        <f>AND(#REF!,"AAAAAG/3/0U=")</f>
        <v>#REF!</v>
      </c>
      <c r="BS157" t="e">
        <f>AND(#REF!,"AAAAAG/3/0Y=")</f>
        <v>#REF!</v>
      </c>
      <c r="BT157" t="e">
        <f>AND(#REF!,"AAAAAG/3/0c=")</f>
        <v>#REF!</v>
      </c>
      <c r="BU157" t="e">
        <f>AND(#REF!,"AAAAAG/3/0g=")</f>
        <v>#REF!</v>
      </c>
      <c r="BV157" t="e">
        <f>AND(#REF!,"AAAAAG/3/0k=")</f>
        <v>#REF!</v>
      </c>
      <c r="BW157" t="e">
        <f>AND(#REF!,"AAAAAG/3/0o=")</f>
        <v>#REF!</v>
      </c>
      <c r="BX157" t="e">
        <f>AND(#REF!,"AAAAAG/3/0s=")</f>
        <v>#REF!</v>
      </c>
      <c r="BY157" t="e">
        <f>AND(#REF!,"AAAAAG/3/0w=")</f>
        <v>#REF!</v>
      </c>
      <c r="BZ157" t="e">
        <f>AND(#REF!,"AAAAAG/3/00=")</f>
        <v>#REF!</v>
      </c>
      <c r="CA157" t="e">
        <f>AND(#REF!,"AAAAAG/3/04=")</f>
        <v>#REF!</v>
      </c>
      <c r="CB157" t="e">
        <f>AND(#REF!,"AAAAAG/3/08=")</f>
        <v>#REF!</v>
      </c>
      <c r="CC157" t="e">
        <f>IF(#REF!,"AAAAAG/3/1A=",0)</f>
        <v>#REF!</v>
      </c>
      <c r="CD157" t="e">
        <f>AND(#REF!,"AAAAAG/3/1E=")</f>
        <v>#REF!</v>
      </c>
      <c r="CE157" t="e">
        <f>AND(#REF!,"AAAAAG/3/1I=")</f>
        <v>#REF!</v>
      </c>
      <c r="CF157" t="e">
        <f>AND(#REF!,"AAAAAG/3/1M=")</f>
        <v>#REF!</v>
      </c>
      <c r="CG157" t="e">
        <f>AND(#REF!,"AAAAAG/3/1Q=")</f>
        <v>#REF!</v>
      </c>
      <c r="CH157" t="e">
        <f>AND(#REF!,"AAAAAG/3/1U=")</f>
        <v>#REF!</v>
      </c>
      <c r="CI157" t="e">
        <f>AND(#REF!,"AAAAAG/3/1Y=")</f>
        <v>#REF!</v>
      </c>
      <c r="CJ157" t="e">
        <f>AND(#REF!,"AAAAAG/3/1c=")</f>
        <v>#REF!</v>
      </c>
      <c r="CK157" t="e">
        <f>AND(#REF!,"AAAAAG/3/1g=")</f>
        <v>#REF!</v>
      </c>
      <c r="CL157" t="e">
        <f>AND(#REF!,"AAAAAG/3/1k=")</f>
        <v>#REF!</v>
      </c>
      <c r="CM157" t="e">
        <f>AND(#REF!,"AAAAAG/3/1o=")</f>
        <v>#REF!</v>
      </c>
      <c r="CN157" t="e">
        <f>AND(#REF!,"AAAAAG/3/1s=")</f>
        <v>#REF!</v>
      </c>
      <c r="CO157" t="e">
        <f>AND(#REF!,"AAAAAG/3/1w=")</f>
        <v>#REF!</v>
      </c>
      <c r="CP157" t="e">
        <f>AND(#REF!,"AAAAAG/3/10=")</f>
        <v>#REF!</v>
      </c>
      <c r="CQ157" t="e">
        <f>AND(#REF!,"AAAAAG/3/14=")</f>
        <v>#REF!</v>
      </c>
      <c r="CR157" t="e">
        <f>AND(#REF!,"AAAAAG/3/18=")</f>
        <v>#REF!</v>
      </c>
      <c r="CS157" t="e">
        <f>AND(#REF!,"AAAAAG/3/2A=")</f>
        <v>#REF!</v>
      </c>
      <c r="CT157" t="e">
        <f>AND(#REF!,"AAAAAG/3/2E=")</f>
        <v>#REF!</v>
      </c>
      <c r="CU157" t="e">
        <f>AND(#REF!,"AAAAAG/3/2I=")</f>
        <v>#REF!</v>
      </c>
      <c r="CV157" t="e">
        <f>AND(#REF!,"AAAAAG/3/2M=")</f>
        <v>#REF!</v>
      </c>
      <c r="CW157" t="e">
        <f>AND(#REF!,"AAAAAG/3/2Q=")</f>
        <v>#REF!</v>
      </c>
      <c r="CX157" t="e">
        <f>AND(#REF!,"AAAAAG/3/2U=")</f>
        <v>#REF!</v>
      </c>
      <c r="CY157" t="e">
        <f>AND(#REF!,"AAAAAG/3/2Y=")</f>
        <v>#REF!</v>
      </c>
      <c r="CZ157" t="e">
        <f>IF(#REF!,"AAAAAG/3/2c=",0)</f>
        <v>#REF!</v>
      </c>
      <c r="DA157" t="e">
        <f>AND(#REF!,"AAAAAG/3/2g=")</f>
        <v>#REF!</v>
      </c>
      <c r="DB157" t="e">
        <f>AND(#REF!,"AAAAAG/3/2k=")</f>
        <v>#REF!</v>
      </c>
      <c r="DC157" t="e">
        <f>AND(#REF!,"AAAAAG/3/2o=")</f>
        <v>#REF!</v>
      </c>
      <c r="DD157" t="e">
        <f>AND(#REF!,"AAAAAG/3/2s=")</f>
        <v>#REF!</v>
      </c>
      <c r="DE157" t="e">
        <f>AND(#REF!,"AAAAAG/3/2w=")</f>
        <v>#REF!</v>
      </c>
      <c r="DF157" t="e">
        <f>AND(#REF!,"AAAAAG/3/20=")</f>
        <v>#REF!</v>
      </c>
      <c r="DG157" t="e">
        <f>AND(#REF!,"AAAAAG/3/24=")</f>
        <v>#REF!</v>
      </c>
      <c r="DH157" t="e">
        <f>AND(#REF!,"AAAAAG/3/28=")</f>
        <v>#REF!</v>
      </c>
      <c r="DI157" t="e">
        <f>AND(#REF!,"AAAAAG/3/3A=")</f>
        <v>#REF!</v>
      </c>
      <c r="DJ157" t="e">
        <f>AND(#REF!,"AAAAAG/3/3E=")</f>
        <v>#REF!</v>
      </c>
      <c r="DK157" t="e">
        <f>AND(#REF!,"AAAAAG/3/3I=")</f>
        <v>#REF!</v>
      </c>
      <c r="DL157" t="e">
        <f>AND(#REF!,"AAAAAG/3/3M=")</f>
        <v>#REF!</v>
      </c>
      <c r="DM157" t="e">
        <f>AND(#REF!,"AAAAAG/3/3Q=")</f>
        <v>#REF!</v>
      </c>
      <c r="DN157" t="e">
        <f>AND(#REF!,"AAAAAG/3/3U=")</f>
        <v>#REF!</v>
      </c>
      <c r="DO157" t="e">
        <f>AND(#REF!,"AAAAAG/3/3Y=")</f>
        <v>#REF!</v>
      </c>
      <c r="DP157" t="e">
        <f>AND(#REF!,"AAAAAG/3/3c=")</f>
        <v>#REF!</v>
      </c>
      <c r="DQ157" t="e">
        <f>AND(#REF!,"AAAAAG/3/3g=")</f>
        <v>#REF!</v>
      </c>
      <c r="DR157" t="e">
        <f>AND(#REF!,"AAAAAG/3/3k=")</f>
        <v>#REF!</v>
      </c>
      <c r="DS157" t="e">
        <f>AND(#REF!,"AAAAAG/3/3o=")</f>
        <v>#REF!</v>
      </c>
      <c r="DT157" t="e">
        <f>AND(#REF!,"AAAAAG/3/3s=")</f>
        <v>#REF!</v>
      </c>
      <c r="DU157" t="e">
        <f>AND(#REF!,"AAAAAG/3/3w=")</f>
        <v>#REF!</v>
      </c>
      <c r="DV157" t="e">
        <f>AND(#REF!,"AAAAAG/3/30=")</f>
        <v>#REF!</v>
      </c>
      <c r="DW157" t="e">
        <f>IF(#REF!,"AAAAAG/3/34=",0)</f>
        <v>#REF!</v>
      </c>
      <c r="DX157" t="e">
        <f>AND(#REF!,"AAAAAG/3/38=")</f>
        <v>#REF!</v>
      </c>
      <c r="DY157" t="e">
        <f>AND(#REF!,"AAAAAG/3/4A=")</f>
        <v>#REF!</v>
      </c>
      <c r="DZ157" t="e">
        <f>AND(#REF!,"AAAAAG/3/4E=")</f>
        <v>#REF!</v>
      </c>
      <c r="EA157" t="e">
        <f>AND(#REF!,"AAAAAG/3/4I=")</f>
        <v>#REF!</v>
      </c>
      <c r="EB157" t="e">
        <f>AND(#REF!,"AAAAAG/3/4M=")</f>
        <v>#REF!</v>
      </c>
      <c r="EC157" t="e">
        <f>AND(#REF!,"AAAAAG/3/4Q=")</f>
        <v>#REF!</v>
      </c>
      <c r="ED157" t="e">
        <f>AND(#REF!,"AAAAAG/3/4U=")</f>
        <v>#REF!</v>
      </c>
      <c r="EE157" t="e">
        <f>AND(#REF!,"AAAAAG/3/4Y=")</f>
        <v>#REF!</v>
      </c>
      <c r="EF157" t="e">
        <f>AND(#REF!,"AAAAAG/3/4c=")</f>
        <v>#REF!</v>
      </c>
      <c r="EG157" t="e">
        <f>AND(#REF!,"AAAAAG/3/4g=")</f>
        <v>#REF!</v>
      </c>
      <c r="EH157" t="e">
        <f>AND(#REF!,"AAAAAG/3/4k=")</f>
        <v>#REF!</v>
      </c>
      <c r="EI157" t="e">
        <f>AND(#REF!,"AAAAAG/3/4o=")</f>
        <v>#REF!</v>
      </c>
      <c r="EJ157" t="e">
        <f>AND(#REF!,"AAAAAG/3/4s=")</f>
        <v>#REF!</v>
      </c>
      <c r="EK157" t="e">
        <f>AND(#REF!,"AAAAAG/3/4w=")</f>
        <v>#REF!</v>
      </c>
      <c r="EL157" t="e">
        <f>AND(#REF!,"AAAAAG/3/40=")</f>
        <v>#REF!</v>
      </c>
      <c r="EM157" t="e">
        <f>AND(#REF!,"AAAAAG/3/44=")</f>
        <v>#REF!</v>
      </c>
      <c r="EN157" t="e">
        <f>AND(#REF!,"AAAAAG/3/48=")</f>
        <v>#REF!</v>
      </c>
      <c r="EO157" t="e">
        <f>AND(#REF!,"AAAAAG/3/5A=")</f>
        <v>#REF!</v>
      </c>
      <c r="EP157" t="e">
        <f>AND(#REF!,"AAAAAG/3/5E=")</f>
        <v>#REF!</v>
      </c>
      <c r="EQ157" t="e">
        <f>AND(#REF!,"AAAAAG/3/5I=")</f>
        <v>#REF!</v>
      </c>
      <c r="ER157" t="e">
        <f>AND(#REF!,"AAAAAG/3/5M=")</f>
        <v>#REF!</v>
      </c>
      <c r="ES157" t="e">
        <f>AND(#REF!,"AAAAAG/3/5Q=")</f>
        <v>#REF!</v>
      </c>
      <c r="ET157" t="e">
        <f>IF(#REF!,"AAAAAG/3/5U=",0)</f>
        <v>#REF!</v>
      </c>
      <c r="EU157" t="e">
        <f>AND(#REF!,"AAAAAG/3/5Y=")</f>
        <v>#REF!</v>
      </c>
      <c r="EV157" t="e">
        <f>AND(#REF!,"AAAAAG/3/5c=")</f>
        <v>#REF!</v>
      </c>
      <c r="EW157" t="e">
        <f>AND(#REF!,"AAAAAG/3/5g=")</f>
        <v>#REF!</v>
      </c>
      <c r="EX157" t="e">
        <f>AND(#REF!,"AAAAAG/3/5k=")</f>
        <v>#REF!</v>
      </c>
      <c r="EY157" t="e">
        <f>AND(#REF!,"AAAAAG/3/5o=")</f>
        <v>#REF!</v>
      </c>
      <c r="EZ157" t="e">
        <f>AND(#REF!,"AAAAAG/3/5s=")</f>
        <v>#REF!</v>
      </c>
      <c r="FA157" t="e">
        <f>AND(#REF!,"AAAAAG/3/5w=")</f>
        <v>#REF!</v>
      </c>
      <c r="FB157" t="e">
        <f>AND(#REF!,"AAAAAG/3/50=")</f>
        <v>#REF!</v>
      </c>
      <c r="FC157" t="e">
        <f>AND(#REF!,"AAAAAG/3/54=")</f>
        <v>#REF!</v>
      </c>
      <c r="FD157" t="e">
        <f>AND(#REF!,"AAAAAG/3/58=")</f>
        <v>#REF!</v>
      </c>
      <c r="FE157" t="e">
        <f>AND(#REF!,"AAAAAG/3/6A=")</f>
        <v>#REF!</v>
      </c>
      <c r="FF157" t="e">
        <f>AND(#REF!,"AAAAAG/3/6E=")</f>
        <v>#REF!</v>
      </c>
      <c r="FG157" t="e">
        <f>AND(#REF!,"AAAAAG/3/6I=")</f>
        <v>#REF!</v>
      </c>
      <c r="FH157" t="e">
        <f>AND(#REF!,"AAAAAG/3/6M=")</f>
        <v>#REF!</v>
      </c>
      <c r="FI157" t="e">
        <f>AND(#REF!,"AAAAAG/3/6Q=")</f>
        <v>#REF!</v>
      </c>
      <c r="FJ157" t="e">
        <f>AND(#REF!,"AAAAAG/3/6U=")</f>
        <v>#REF!</v>
      </c>
      <c r="FK157" t="e">
        <f>AND(#REF!,"AAAAAG/3/6Y=")</f>
        <v>#REF!</v>
      </c>
      <c r="FL157" t="e">
        <f>AND(#REF!,"AAAAAG/3/6c=")</f>
        <v>#REF!</v>
      </c>
      <c r="FM157" t="e">
        <f>AND(#REF!,"AAAAAG/3/6g=")</f>
        <v>#REF!</v>
      </c>
      <c r="FN157" t="e">
        <f>AND(#REF!,"AAAAAG/3/6k=")</f>
        <v>#REF!</v>
      </c>
      <c r="FO157" t="e">
        <f>AND(#REF!,"AAAAAG/3/6o=")</f>
        <v>#REF!</v>
      </c>
      <c r="FP157" t="e">
        <f>AND(#REF!,"AAAAAG/3/6s=")</f>
        <v>#REF!</v>
      </c>
      <c r="FQ157" t="e">
        <f>IF(#REF!,"AAAAAG/3/6w=",0)</f>
        <v>#REF!</v>
      </c>
      <c r="FR157" t="e">
        <f>AND(#REF!,"AAAAAG/3/60=")</f>
        <v>#REF!</v>
      </c>
      <c r="FS157" t="e">
        <f>AND(#REF!,"AAAAAG/3/64=")</f>
        <v>#REF!</v>
      </c>
      <c r="FT157" t="e">
        <f>AND(#REF!,"AAAAAG/3/68=")</f>
        <v>#REF!</v>
      </c>
      <c r="FU157" t="e">
        <f>AND(#REF!,"AAAAAG/3/7A=")</f>
        <v>#REF!</v>
      </c>
      <c r="FV157" t="e">
        <f>AND(#REF!,"AAAAAG/3/7E=")</f>
        <v>#REF!</v>
      </c>
      <c r="FW157" t="e">
        <f>AND(#REF!,"AAAAAG/3/7I=")</f>
        <v>#REF!</v>
      </c>
      <c r="FX157" t="e">
        <f>AND(#REF!,"AAAAAG/3/7M=")</f>
        <v>#REF!</v>
      </c>
      <c r="FY157" t="e">
        <f>AND(#REF!,"AAAAAG/3/7Q=")</f>
        <v>#REF!</v>
      </c>
      <c r="FZ157" t="e">
        <f>AND(#REF!,"AAAAAG/3/7U=")</f>
        <v>#REF!</v>
      </c>
      <c r="GA157" t="e">
        <f>AND(#REF!,"AAAAAG/3/7Y=")</f>
        <v>#REF!</v>
      </c>
      <c r="GB157" t="e">
        <f>AND(#REF!,"AAAAAG/3/7c=")</f>
        <v>#REF!</v>
      </c>
      <c r="GC157" t="e">
        <f>AND(#REF!,"AAAAAG/3/7g=")</f>
        <v>#REF!</v>
      </c>
      <c r="GD157" t="e">
        <f>AND(#REF!,"AAAAAG/3/7k=")</f>
        <v>#REF!</v>
      </c>
      <c r="GE157" t="e">
        <f>AND(#REF!,"AAAAAG/3/7o=")</f>
        <v>#REF!</v>
      </c>
      <c r="GF157" t="e">
        <f>AND(#REF!,"AAAAAG/3/7s=")</f>
        <v>#REF!</v>
      </c>
      <c r="GG157" t="e">
        <f>AND(#REF!,"AAAAAG/3/7w=")</f>
        <v>#REF!</v>
      </c>
      <c r="GH157" t="e">
        <f>AND(#REF!,"AAAAAG/3/70=")</f>
        <v>#REF!</v>
      </c>
      <c r="GI157" t="e">
        <f>AND(#REF!,"AAAAAG/3/74=")</f>
        <v>#REF!</v>
      </c>
      <c r="GJ157" t="e">
        <f>AND(#REF!,"AAAAAG/3/78=")</f>
        <v>#REF!</v>
      </c>
      <c r="GK157" t="e">
        <f>AND(#REF!,"AAAAAG/3/8A=")</f>
        <v>#REF!</v>
      </c>
      <c r="GL157" t="e">
        <f>AND(#REF!,"AAAAAG/3/8E=")</f>
        <v>#REF!</v>
      </c>
      <c r="GM157" t="e">
        <f>AND(#REF!,"AAAAAG/3/8I=")</f>
        <v>#REF!</v>
      </c>
      <c r="GN157" t="e">
        <f>IF(#REF!,"AAAAAG/3/8M=",0)</f>
        <v>#REF!</v>
      </c>
      <c r="GO157" t="e">
        <f>AND(#REF!,"AAAAAG/3/8Q=")</f>
        <v>#REF!</v>
      </c>
      <c r="GP157" t="e">
        <f>AND(#REF!,"AAAAAG/3/8U=")</f>
        <v>#REF!</v>
      </c>
      <c r="GQ157" t="e">
        <f>AND(#REF!,"AAAAAG/3/8Y=")</f>
        <v>#REF!</v>
      </c>
      <c r="GR157" t="e">
        <f>AND(#REF!,"AAAAAG/3/8c=")</f>
        <v>#REF!</v>
      </c>
      <c r="GS157" t="e">
        <f>AND(#REF!,"AAAAAG/3/8g=")</f>
        <v>#REF!</v>
      </c>
      <c r="GT157" t="e">
        <f>AND(#REF!,"AAAAAG/3/8k=")</f>
        <v>#REF!</v>
      </c>
      <c r="GU157" t="e">
        <f>AND(#REF!,"AAAAAG/3/8o=")</f>
        <v>#REF!</v>
      </c>
      <c r="GV157" t="e">
        <f>AND(#REF!,"AAAAAG/3/8s=")</f>
        <v>#REF!</v>
      </c>
      <c r="GW157" t="e">
        <f>AND(#REF!,"AAAAAG/3/8w=")</f>
        <v>#REF!</v>
      </c>
      <c r="GX157" t="e">
        <f>AND(#REF!,"AAAAAG/3/80=")</f>
        <v>#REF!</v>
      </c>
      <c r="GY157" t="e">
        <f>AND(#REF!,"AAAAAG/3/84=")</f>
        <v>#REF!</v>
      </c>
      <c r="GZ157" t="e">
        <f>AND(#REF!,"AAAAAG/3/88=")</f>
        <v>#REF!</v>
      </c>
      <c r="HA157" t="e">
        <f>AND(#REF!,"AAAAAG/3/9A=")</f>
        <v>#REF!</v>
      </c>
      <c r="HB157" t="e">
        <f>AND(#REF!,"AAAAAG/3/9E=")</f>
        <v>#REF!</v>
      </c>
      <c r="HC157" t="e">
        <f>AND(#REF!,"AAAAAG/3/9I=")</f>
        <v>#REF!</v>
      </c>
      <c r="HD157" t="e">
        <f>AND(#REF!,"AAAAAG/3/9M=")</f>
        <v>#REF!</v>
      </c>
      <c r="HE157" t="e">
        <f>AND(#REF!,"AAAAAG/3/9Q=")</f>
        <v>#REF!</v>
      </c>
      <c r="HF157" t="e">
        <f>AND(#REF!,"AAAAAG/3/9U=")</f>
        <v>#REF!</v>
      </c>
      <c r="HG157" t="e">
        <f>AND(#REF!,"AAAAAG/3/9Y=")</f>
        <v>#REF!</v>
      </c>
      <c r="HH157" t="e">
        <f>AND(#REF!,"AAAAAG/3/9c=")</f>
        <v>#REF!</v>
      </c>
      <c r="HI157" t="e">
        <f>AND(#REF!,"AAAAAG/3/9g=")</f>
        <v>#REF!</v>
      </c>
      <c r="HJ157" t="e">
        <f>AND(#REF!,"AAAAAG/3/9k=")</f>
        <v>#REF!</v>
      </c>
      <c r="HK157" t="e">
        <f>IF(#REF!,"AAAAAG/3/9o=",0)</f>
        <v>#REF!</v>
      </c>
      <c r="HL157" t="e">
        <f>AND(#REF!,"AAAAAG/3/9s=")</f>
        <v>#REF!</v>
      </c>
      <c r="HM157" t="e">
        <f>AND(#REF!,"AAAAAG/3/9w=")</f>
        <v>#REF!</v>
      </c>
      <c r="HN157" t="e">
        <f>AND(#REF!,"AAAAAG/3/90=")</f>
        <v>#REF!</v>
      </c>
      <c r="HO157" t="e">
        <f>AND(#REF!,"AAAAAG/3/94=")</f>
        <v>#REF!</v>
      </c>
      <c r="HP157" t="e">
        <f>AND(#REF!,"AAAAAG/3/98=")</f>
        <v>#REF!</v>
      </c>
      <c r="HQ157" t="e">
        <f>AND(#REF!,"AAAAAG/3/+A=")</f>
        <v>#REF!</v>
      </c>
      <c r="HR157" t="e">
        <f>AND(#REF!,"AAAAAG/3/+E=")</f>
        <v>#REF!</v>
      </c>
      <c r="HS157" t="e">
        <f>AND(#REF!,"AAAAAG/3/+I=")</f>
        <v>#REF!</v>
      </c>
      <c r="HT157" t="e">
        <f>AND(#REF!,"AAAAAG/3/+M=")</f>
        <v>#REF!</v>
      </c>
      <c r="HU157" t="e">
        <f>AND(#REF!,"AAAAAG/3/+Q=")</f>
        <v>#REF!</v>
      </c>
      <c r="HV157" t="e">
        <f>AND(#REF!,"AAAAAG/3/+U=")</f>
        <v>#REF!</v>
      </c>
      <c r="HW157" t="e">
        <f>AND(#REF!,"AAAAAG/3/+Y=")</f>
        <v>#REF!</v>
      </c>
      <c r="HX157" t="e">
        <f>AND(#REF!,"AAAAAG/3/+c=")</f>
        <v>#REF!</v>
      </c>
      <c r="HY157" t="e">
        <f>AND(#REF!,"AAAAAG/3/+g=")</f>
        <v>#REF!</v>
      </c>
      <c r="HZ157" t="e">
        <f>AND(#REF!,"AAAAAG/3/+k=")</f>
        <v>#REF!</v>
      </c>
      <c r="IA157" t="e">
        <f>AND(#REF!,"AAAAAG/3/+o=")</f>
        <v>#REF!</v>
      </c>
      <c r="IB157" t="e">
        <f>AND(#REF!,"AAAAAG/3/+s=")</f>
        <v>#REF!</v>
      </c>
      <c r="IC157" t="e">
        <f>AND(#REF!,"AAAAAG/3/+w=")</f>
        <v>#REF!</v>
      </c>
      <c r="ID157" t="e">
        <f>AND(#REF!,"AAAAAG/3/+0=")</f>
        <v>#REF!</v>
      </c>
      <c r="IE157" t="e">
        <f>AND(#REF!,"AAAAAG/3/+4=")</f>
        <v>#REF!</v>
      </c>
      <c r="IF157" t="e">
        <f>AND(#REF!,"AAAAAG/3/+8=")</f>
        <v>#REF!</v>
      </c>
      <c r="IG157" t="e">
        <f>AND(#REF!,"AAAAAG/3//A=")</f>
        <v>#REF!</v>
      </c>
      <c r="IH157" t="e">
        <f>IF(#REF!,"AAAAAG/3//E=",0)</f>
        <v>#REF!</v>
      </c>
      <c r="II157" t="e">
        <f>AND(#REF!,"AAAAAG/3//I=")</f>
        <v>#REF!</v>
      </c>
      <c r="IJ157" t="e">
        <f>AND(#REF!,"AAAAAG/3//M=")</f>
        <v>#REF!</v>
      </c>
      <c r="IK157" t="e">
        <f>AND(#REF!,"AAAAAG/3//Q=")</f>
        <v>#REF!</v>
      </c>
      <c r="IL157" t="e">
        <f>AND(#REF!,"AAAAAG/3//U=")</f>
        <v>#REF!</v>
      </c>
      <c r="IM157" t="e">
        <f>AND(#REF!,"AAAAAG/3//Y=")</f>
        <v>#REF!</v>
      </c>
      <c r="IN157" t="e">
        <f>AND(#REF!,"AAAAAG/3//c=")</f>
        <v>#REF!</v>
      </c>
      <c r="IO157" t="e">
        <f>AND(#REF!,"AAAAAG/3//g=")</f>
        <v>#REF!</v>
      </c>
      <c r="IP157" t="e">
        <f>AND(#REF!,"AAAAAG/3//k=")</f>
        <v>#REF!</v>
      </c>
      <c r="IQ157" t="e">
        <f>AND(#REF!,"AAAAAG/3//o=")</f>
        <v>#REF!</v>
      </c>
      <c r="IR157" t="e">
        <f>AND(#REF!,"AAAAAG/3//s=")</f>
        <v>#REF!</v>
      </c>
      <c r="IS157" t="e">
        <f>AND(#REF!,"AAAAAG/3//w=")</f>
        <v>#REF!</v>
      </c>
      <c r="IT157" t="e">
        <f>AND(#REF!,"AAAAAG/3//0=")</f>
        <v>#REF!</v>
      </c>
      <c r="IU157" t="e">
        <f>AND(#REF!,"AAAAAG/3//4=")</f>
        <v>#REF!</v>
      </c>
      <c r="IV157" t="e">
        <f>AND(#REF!,"AAAAAG/3//8=")</f>
        <v>#REF!</v>
      </c>
    </row>
    <row r="158" spans="1:256" x14ac:dyDescent="0.2">
      <c r="A158" t="e">
        <f>AND(#REF!,"AAAAAD/98wA=")</f>
        <v>#REF!</v>
      </c>
      <c r="B158" t="e">
        <f>AND(#REF!,"AAAAAD/98wE=")</f>
        <v>#REF!</v>
      </c>
      <c r="C158" t="e">
        <f>AND(#REF!,"AAAAAD/98wI=")</f>
        <v>#REF!</v>
      </c>
      <c r="D158" t="e">
        <f>AND(#REF!,"AAAAAD/98wM=")</f>
        <v>#REF!</v>
      </c>
      <c r="E158" t="e">
        <f>AND(#REF!,"AAAAAD/98wQ=")</f>
        <v>#REF!</v>
      </c>
      <c r="F158" t="e">
        <f>AND(#REF!,"AAAAAD/98wU=")</f>
        <v>#REF!</v>
      </c>
      <c r="G158" t="e">
        <f>AND(#REF!,"AAAAAD/98wY=")</f>
        <v>#REF!</v>
      </c>
      <c r="H158" t="e">
        <f>AND(#REF!,"AAAAAD/98wc=")</f>
        <v>#REF!</v>
      </c>
      <c r="I158" t="e">
        <f>IF(#REF!,"AAAAAD/98wg=",0)</f>
        <v>#REF!</v>
      </c>
      <c r="J158" t="e">
        <f>AND(#REF!,"AAAAAD/98wk=")</f>
        <v>#REF!</v>
      </c>
      <c r="K158" t="e">
        <f>AND(#REF!,"AAAAAD/98wo=")</f>
        <v>#REF!</v>
      </c>
      <c r="L158" t="e">
        <f>AND(#REF!,"AAAAAD/98ws=")</f>
        <v>#REF!</v>
      </c>
      <c r="M158" t="e">
        <f>AND(#REF!,"AAAAAD/98ww=")</f>
        <v>#REF!</v>
      </c>
      <c r="N158" t="e">
        <f>AND(#REF!,"AAAAAD/98w0=")</f>
        <v>#REF!</v>
      </c>
      <c r="O158" t="e">
        <f>AND(#REF!,"AAAAAD/98w4=")</f>
        <v>#REF!</v>
      </c>
      <c r="P158" t="e">
        <f>AND(#REF!,"AAAAAD/98w8=")</f>
        <v>#REF!</v>
      </c>
      <c r="Q158" t="e">
        <f>AND(#REF!,"AAAAAD/98xA=")</f>
        <v>#REF!</v>
      </c>
      <c r="R158" t="e">
        <f>AND(#REF!,"AAAAAD/98xE=")</f>
        <v>#REF!</v>
      </c>
      <c r="S158" t="e">
        <f>AND(#REF!,"AAAAAD/98xI=")</f>
        <v>#REF!</v>
      </c>
      <c r="T158" t="e">
        <f>AND(#REF!,"AAAAAD/98xM=")</f>
        <v>#REF!</v>
      </c>
      <c r="U158" t="e">
        <f>AND(#REF!,"AAAAAD/98xQ=")</f>
        <v>#REF!</v>
      </c>
      <c r="V158" t="e">
        <f>AND(#REF!,"AAAAAD/98xU=")</f>
        <v>#REF!</v>
      </c>
      <c r="W158" t="e">
        <f>AND(#REF!,"AAAAAD/98xY=")</f>
        <v>#REF!</v>
      </c>
      <c r="X158" t="e">
        <f>AND(#REF!,"AAAAAD/98xc=")</f>
        <v>#REF!</v>
      </c>
      <c r="Y158" t="e">
        <f>AND(#REF!,"AAAAAD/98xg=")</f>
        <v>#REF!</v>
      </c>
      <c r="Z158" t="e">
        <f>AND(#REF!,"AAAAAD/98xk=")</f>
        <v>#REF!</v>
      </c>
      <c r="AA158" t="e">
        <f>AND(#REF!,"AAAAAD/98xo=")</f>
        <v>#REF!</v>
      </c>
      <c r="AB158" t="e">
        <f>AND(#REF!,"AAAAAD/98xs=")</f>
        <v>#REF!</v>
      </c>
      <c r="AC158" t="e">
        <f>AND(#REF!,"AAAAAD/98xw=")</f>
        <v>#REF!</v>
      </c>
      <c r="AD158" t="e">
        <f>AND(#REF!,"AAAAAD/98x0=")</f>
        <v>#REF!</v>
      </c>
      <c r="AE158" t="e">
        <f>AND(#REF!,"AAAAAD/98x4=")</f>
        <v>#REF!</v>
      </c>
      <c r="AF158" t="e">
        <f>IF(#REF!,"AAAAAD/98x8=",0)</f>
        <v>#REF!</v>
      </c>
      <c r="AG158" t="e">
        <f>AND(#REF!,"AAAAAD/98yA=")</f>
        <v>#REF!</v>
      </c>
      <c r="AH158" t="e">
        <f>AND(#REF!,"AAAAAD/98yE=")</f>
        <v>#REF!</v>
      </c>
      <c r="AI158" t="e">
        <f>AND(#REF!,"AAAAAD/98yI=")</f>
        <v>#REF!</v>
      </c>
      <c r="AJ158" t="e">
        <f>AND(#REF!,"AAAAAD/98yM=")</f>
        <v>#REF!</v>
      </c>
      <c r="AK158" t="e">
        <f>AND(#REF!,"AAAAAD/98yQ=")</f>
        <v>#REF!</v>
      </c>
      <c r="AL158" t="e">
        <f>AND(#REF!,"AAAAAD/98yU=")</f>
        <v>#REF!</v>
      </c>
      <c r="AM158" t="e">
        <f>AND(#REF!,"AAAAAD/98yY=")</f>
        <v>#REF!</v>
      </c>
      <c r="AN158" t="e">
        <f>AND(#REF!,"AAAAAD/98yc=")</f>
        <v>#REF!</v>
      </c>
      <c r="AO158" t="e">
        <f>AND(#REF!,"AAAAAD/98yg=")</f>
        <v>#REF!</v>
      </c>
      <c r="AP158" t="e">
        <f>AND(#REF!,"AAAAAD/98yk=")</f>
        <v>#REF!</v>
      </c>
      <c r="AQ158" t="e">
        <f>AND(#REF!,"AAAAAD/98yo=")</f>
        <v>#REF!</v>
      </c>
      <c r="AR158" t="e">
        <f>AND(#REF!,"AAAAAD/98ys=")</f>
        <v>#REF!</v>
      </c>
      <c r="AS158" t="e">
        <f>AND(#REF!,"AAAAAD/98yw=")</f>
        <v>#REF!</v>
      </c>
      <c r="AT158" t="e">
        <f>AND(#REF!,"AAAAAD/98y0=")</f>
        <v>#REF!</v>
      </c>
      <c r="AU158" t="e">
        <f>AND(#REF!,"AAAAAD/98y4=")</f>
        <v>#REF!</v>
      </c>
      <c r="AV158" t="e">
        <f>AND(#REF!,"AAAAAD/98y8=")</f>
        <v>#REF!</v>
      </c>
      <c r="AW158" t="e">
        <f>AND(#REF!,"AAAAAD/98zA=")</f>
        <v>#REF!</v>
      </c>
      <c r="AX158" t="e">
        <f>AND(#REF!,"AAAAAD/98zE=")</f>
        <v>#REF!</v>
      </c>
      <c r="AY158" t="e">
        <f>AND(#REF!,"AAAAAD/98zI=")</f>
        <v>#REF!</v>
      </c>
      <c r="AZ158" t="e">
        <f>AND(#REF!,"AAAAAD/98zM=")</f>
        <v>#REF!</v>
      </c>
      <c r="BA158" t="e">
        <f>AND(#REF!,"AAAAAD/98zQ=")</f>
        <v>#REF!</v>
      </c>
      <c r="BB158" t="e">
        <f>AND(#REF!,"AAAAAD/98zU=")</f>
        <v>#REF!</v>
      </c>
      <c r="BC158" t="e">
        <f>IF(#REF!,"AAAAAD/98zY=",0)</f>
        <v>#REF!</v>
      </c>
      <c r="BD158" t="e">
        <f>AND(#REF!,"AAAAAD/98zc=")</f>
        <v>#REF!</v>
      </c>
      <c r="BE158" t="e">
        <f>AND(#REF!,"AAAAAD/98zg=")</f>
        <v>#REF!</v>
      </c>
      <c r="BF158" t="e">
        <f>AND(#REF!,"AAAAAD/98zk=")</f>
        <v>#REF!</v>
      </c>
      <c r="BG158" t="e">
        <f>AND(#REF!,"AAAAAD/98zo=")</f>
        <v>#REF!</v>
      </c>
      <c r="BH158" t="e">
        <f>AND(#REF!,"AAAAAD/98zs=")</f>
        <v>#REF!</v>
      </c>
      <c r="BI158" t="e">
        <f>AND(#REF!,"AAAAAD/98zw=")</f>
        <v>#REF!</v>
      </c>
      <c r="BJ158" t="e">
        <f>AND(#REF!,"AAAAAD/98z0=")</f>
        <v>#REF!</v>
      </c>
      <c r="BK158" t="e">
        <f>AND(#REF!,"AAAAAD/98z4=")</f>
        <v>#REF!</v>
      </c>
      <c r="BL158" t="e">
        <f>AND(#REF!,"AAAAAD/98z8=")</f>
        <v>#REF!</v>
      </c>
      <c r="BM158" t="e">
        <f>AND(#REF!,"AAAAAD/980A=")</f>
        <v>#REF!</v>
      </c>
      <c r="BN158" t="e">
        <f>AND(#REF!,"AAAAAD/980E=")</f>
        <v>#REF!</v>
      </c>
      <c r="BO158" t="e">
        <f>AND(#REF!,"AAAAAD/980I=")</f>
        <v>#REF!</v>
      </c>
      <c r="BP158" t="e">
        <f>AND(#REF!,"AAAAAD/980M=")</f>
        <v>#REF!</v>
      </c>
      <c r="BQ158" t="e">
        <f>AND(#REF!,"AAAAAD/980Q=")</f>
        <v>#REF!</v>
      </c>
      <c r="BR158" t="e">
        <f>AND(#REF!,"AAAAAD/980U=")</f>
        <v>#REF!</v>
      </c>
      <c r="BS158" t="e">
        <f>AND(#REF!,"AAAAAD/980Y=")</f>
        <v>#REF!</v>
      </c>
      <c r="BT158" t="e">
        <f>AND(#REF!,"AAAAAD/980c=")</f>
        <v>#REF!</v>
      </c>
      <c r="BU158" t="e">
        <f>AND(#REF!,"AAAAAD/980g=")</f>
        <v>#REF!</v>
      </c>
      <c r="BV158" t="e">
        <f>AND(#REF!,"AAAAAD/980k=")</f>
        <v>#REF!</v>
      </c>
      <c r="BW158" t="e">
        <f>AND(#REF!,"AAAAAD/980o=")</f>
        <v>#REF!</v>
      </c>
      <c r="BX158" t="e">
        <f>AND(#REF!,"AAAAAD/980s=")</f>
        <v>#REF!</v>
      </c>
      <c r="BY158" t="e">
        <f>AND(#REF!,"AAAAAD/980w=")</f>
        <v>#REF!</v>
      </c>
      <c r="BZ158" t="e">
        <f>IF(#REF!,"AAAAAD/9800=",0)</f>
        <v>#REF!</v>
      </c>
      <c r="CA158" t="e">
        <f>AND(#REF!,"AAAAAD/9804=")</f>
        <v>#REF!</v>
      </c>
      <c r="CB158" t="e">
        <f>AND(#REF!,"AAAAAD/9808=")</f>
        <v>#REF!</v>
      </c>
      <c r="CC158" t="e">
        <f>AND(#REF!,"AAAAAD/981A=")</f>
        <v>#REF!</v>
      </c>
      <c r="CD158" t="e">
        <f>AND(#REF!,"AAAAAD/981E=")</f>
        <v>#REF!</v>
      </c>
      <c r="CE158" t="e">
        <f>AND(#REF!,"AAAAAD/981I=")</f>
        <v>#REF!</v>
      </c>
      <c r="CF158" t="e">
        <f>AND(#REF!,"AAAAAD/981M=")</f>
        <v>#REF!</v>
      </c>
      <c r="CG158" t="e">
        <f>AND(#REF!,"AAAAAD/981Q=")</f>
        <v>#REF!</v>
      </c>
      <c r="CH158" t="e">
        <f>AND(#REF!,"AAAAAD/981U=")</f>
        <v>#REF!</v>
      </c>
      <c r="CI158" t="e">
        <f>AND(#REF!,"AAAAAD/981Y=")</f>
        <v>#REF!</v>
      </c>
      <c r="CJ158" t="e">
        <f>AND(#REF!,"AAAAAD/981c=")</f>
        <v>#REF!</v>
      </c>
      <c r="CK158" t="e">
        <f>AND(#REF!,"AAAAAD/981g=")</f>
        <v>#REF!</v>
      </c>
      <c r="CL158" t="e">
        <f>AND(#REF!,"AAAAAD/981k=")</f>
        <v>#REF!</v>
      </c>
      <c r="CM158" t="e">
        <f>AND(#REF!,"AAAAAD/981o=")</f>
        <v>#REF!</v>
      </c>
      <c r="CN158" t="e">
        <f>AND(#REF!,"AAAAAD/981s=")</f>
        <v>#REF!</v>
      </c>
      <c r="CO158" t="e">
        <f>AND(#REF!,"AAAAAD/981w=")</f>
        <v>#REF!</v>
      </c>
      <c r="CP158" t="e">
        <f>AND(#REF!,"AAAAAD/9810=")</f>
        <v>#REF!</v>
      </c>
      <c r="CQ158" t="e">
        <f>AND(#REF!,"AAAAAD/9814=")</f>
        <v>#REF!</v>
      </c>
      <c r="CR158" t="e">
        <f>AND(#REF!,"AAAAAD/9818=")</f>
        <v>#REF!</v>
      </c>
      <c r="CS158" t="e">
        <f>AND(#REF!,"AAAAAD/982A=")</f>
        <v>#REF!</v>
      </c>
      <c r="CT158" t="e">
        <f>AND(#REF!,"AAAAAD/982E=")</f>
        <v>#REF!</v>
      </c>
      <c r="CU158" t="e">
        <f>AND(#REF!,"AAAAAD/982I=")</f>
        <v>#REF!</v>
      </c>
      <c r="CV158" t="e">
        <f>AND(#REF!,"AAAAAD/982M=")</f>
        <v>#REF!</v>
      </c>
      <c r="CW158" t="e">
        <f>IF(#REF!,"AAAAAD/982Q=",0)</f>
        <v>#REF!</v>
      </c>
      <c r="CX158" t="e">
        <f>AND(#REF!,"AAAAAD/982U=")</f>
        <v>#REF!</v>
      </c>
      <c r="CY158" t="e">
        <f>AND(#REF!,"AAAAAD/982Y=")</f>
        <v>#REF!</v>
      </c>
      <c r="CZ158" t="e">
        <f>AND(#REF!,"AAAAAD/982c=")</f>
        <v>#REF!</v>
      </c>
      <c r="DA158" t="e">
        <f>AND(#REF!,"AAAAAD/982g=")</f>
        <v>#REF!</v>
      </c>
      <c r="DB158" t="e">
        <f>AND(#REF!,"AAAAAD/982k=")</f>
        <v>#REF!</v>
      </c>
      <c r="DC158" t="e">
        <f>AND(#REF!,"AAAAAD/982o=")</f>
        <v>#REF!</v>
      </c>
      <c r="DD158" t="e">
        <f>AND(#REF!,"AAAAAD/982s=")</f>
        <v>#REF!</v>
      </c>
      <c r="DE158" t="e">
        <f>AND(#REF!,"AAAAAD/982w=")</f>
        <v>#REF!</v>
      </c>
      <c r="DF158" t="e">
        <f>AND(#REF!,"AAAAAD/9820=")</f>
        <v>#REF!</v>
      </c>
      <c r="DG158" t="e">
        <f>AND(#REF!,"AAAAAD/9824=")</f>
        <v>#REF!</v>
      </c>
      <c r="DH158" t="e">
        <f>AND(#REF!,"AAAAAD/9828=")</f>
        <v>#REF!</v>
      </c>
      <c r="DI158" t="e">
        <f>AND(#REF!,"AAAAAD/983A=")</f>
        <v>#REF!</v>
      </c>
      <c r="DJ158" t="e">
        <f>AND(#REF!,"AAAAAD/983E=")</f>
        <v>#REF!</v>
      </c>
      <c r="DK158" t="e">
        <f>AND(#REF!,"AAAAAD/983I=")</f>
        <v>#REF!</v>
      </c>
      <c r="DL158" t="e">
        <f>AND(#REF!,"AAAAAD/983M=")</f>
        <v>#REF!</v>
      </c>
      <c r="DM158" t="e">
        <f>AND(#REF!,"AAAAAD/983Q=")</f>
        <v>#REF!</v>
      </c>
      <c r="DN158" t="e">
        <f>AND(#REF!,"AAAAAD/983U=")</f>
        <v>#REF!</v>
      </c>
      <c r="DO158" t="e">
        <f>AND(#REF!,"AAAAAD/983Y=")</f>
        <v>#REF!</v>
      </c>
      <c r="DP158" t="e">
        <f>AND(#REF!,"AAAAAD/983c=")</f>
        <v>#REF!</v>
      </c>
      <c r="DQ158" t="e">
        <f>AND(#REF!,"AAAAAD/983g=")</f>
        <v>#REF!</v>
      </c>
      <c r="DR158" t="e">
        <f>AND(#REF!,"AAAAAD/983k=")</f>
        <v>#REF!</v>
      </c>
      <c r="DS158" t="e">
        <f>AND(#REF!,"AAAAAD/983o=")</f>
        <v>#REF!</v>
      </c>
      <c r="DT158" t="e">
        <f>IF(#REF!,"AAAAAD/983s=",0)</f>
        <v>#REF!</v>
      </c>
      <c r="DU158" t="e">
        <f>AND(#REF!,"AAAAAD/983w=")</f>
        <v>#REF!</v>
      </c>
      <c r="DV158" t="e">
        <f>AND(#REF!,"AAAAAD/9830=")</f>
        <v>#REF!</v>
      </c>
      <c r="DW158" t="e">
        <f>AND(#REF!,"AAAAAD/9834=")</f>
        <v>#REF!</v>
      </c>
      <c r="DX158" t="e">
        <f>AND(#REF!,"AAAAAD/9838=")</f>
        <v>#REF!</v>
      </c>
      <c r="DY158" t="e">
        <f>AND(#REF!,"AAAAAD/984A=")</f>
        <v>#REF!</v>
      </c>
      <c r="DZ158" t="e">
        <f>AND(#REF!,"AAAAAD/984E=")</f>
        <v>#REF!</v>
      </c>
      <c r="EA158" t="e">
        <f>AND(#REF!,"AAAAAD/984I=")</f>
        <v>#REF!</v>
      </c>
      <c r="EB158" t="e">
        <f>AND(#REF!,"AAAAAD/984M=")</f>
        <v>#REF!</v>
      </c>
      <c r="EC158" t="e">
        <f>AND(#REF!,"AAAAAD/984Q=")</f>
        <v>#REF!</v>
      </c>
      <c r="ED158" t="e">
        <f>AND(#REF!,"AAAAAD/984U=")</f>
        <v>#REF!</v>
      </c>
      <c r="EE158" t="e">
        <f>AND(#REF!,"AAAAAD/984Y=")</f>
        <v>#REF!</v>
      </c>
      <c r="EF158" t="e">
        <f>AND(#REF!,"AAAAAD/984c=")</f>
        <v>#REF!</v>
      </c>
      <c r="EG158" t="e">
        <f>AND(#REF!,"AAAAAD/984g=")</f>
        <v>#REF!</v>
      </c>
      <c r="EH158" t="e">
        <f>AND(#REF!,"AAAAAD/984k=")</f>
        <v>#REF!</v>
      </c>
      <c r="EI158" t="e">
        <f>AND(#REF!,"AAAAAD/984o=")</f>
        <v>#REF!</v>
      </c>
      <c r="EJ158" t="e">
        <f>AND(#REF!,"AAAAAD/984s=")</f>
        <v>#REF!</v>
      </c>
      <c r="EK158" t="e">
        <f>AND(#REF!,"AAAAAD/984w=")</f>
        <v>#REF!</v>
      </c>
      <c r="EL158" t="e">
        <f>AND(#REF!,"AAAAAD/9840=")</f>
        <v>#REF!</v>
      </c>
      <c r="EM158" t="e">
        <f>AND(#REF!,"AAAAAD/9844=")</f>
        <v>#REF!</v>
      </c>
      <c r="EN158" t="e">
        <f>AND(#REF!,"AAAAAD/9848=")</f>
        <v>#REF!</v>
      </c>
      <c r="EO158" t="e">
        <f>AND(#REF!,"AAAAAD/985A=")</f>
        <v>#REF!</v>
      </c>
      <c r="EP158" t="e">
        <f>AND(#REF!,"AAAAAD/985E=")</f>
        <v>#REF!</v>
      </c>
      <c r="EQ158" t="e">
        <f>IF(#REF!,"AAAAAD/985I=",0)</f>
        <v>#REF!</v>
      </c>
      <c r="ER158" t="e">
        <f>AND(#REF!,"AAAAAD/985M=")</f>
        <v>#REF!</v>
      </c>
      <c r="ES158" t="e">
        <f>AND(#REF!,"AAAAAD/985Q=")</f>
        <v>#REF!</v>
      </c>
      <c r="ET158" t="e">
        <f>AND(#REF!,"AAAAAD/985U=")</f>
        <v>#REF!</v>
      </c>
      <c r="EU158" t="e">
        <f>AND(#REF!,"AAAAAD/985Y=")</f>
        <v>#REF!</v>
      </c>
      <c r="EV158" t="e">
        <f>AND(#REF!,"AAAAAD/985c=")</f>
        <v>#REF!</v>
      </c>
      <c r="EW158" t="e">
        <f>AND(#REF!,"AAAAAD/985g=")</f>
        <v>#REF!</v>
      </c>
      <c r="EX158" t="e">
        <f>AND(#REF!,"AAAAAD/985k=")</f>
        <v>#REF!</v>
      </c>
      <c r="EY158" t="e">
        <f>AND(#REF!,"AAAAAD/985o=")</f>
        <v>#REF!</v>
      </c>
      <c r="EZ158" t="e">
        <f>AND(#REF!,"AAAAAD/985s=")</f>
        <v>#REF!</v>
      </c>
      <c r="FA158" t="e">
        <f>AND(#REF!,"AAAAAD/985w=")</f>
        <v>#REF!</v>
      </c>
      <c r="FB158" t="e">
        <f>AND(#REF!,"AAAAAD/9850=")</f>
        <v>#REF!</v>
      </c>
      <c r="FC158" t="e">
        <f>AND(#REF!,"AAAAAD/9854=")</f>
        <v>#REF!</v>
      </c>
      <c r="FD158" t="e">
        <f>AND(#REF!,"AAAAAD/9858=")</f>
        <v>#REF!</v>
      </c>
      <c r="FE158" t="e">
        <f>AND(#REF!,"AAAAAD/986A=")</f>
        <v>#REF!</v>
      </c>
      <c r="FF158" t="e">
        <f>AND(#REF!,"AAAAAD/986E=")</f>
        <v>#REF!</v>
      </c>
      <c r="FG158" t="e">
        <f>AND(#REF!,"AAAAAD/986I=")</f>
        <v>#REF!</v>
      </c>
      <c r="FH158" t="e">
        <f>AND(#REF!,"AAAAAD/986M=")</f>
        <v>#REF!</v>
      </c>
      <c r="FI158" t="e">
        <f>AND(#REF!,"AAAAAD/986Q=")</f>
        <v>#REF!</v>
      </c>
      <c r="FJ158" t="e">
        <f>AND(#REF!,"AAAAAD/986U=")</f>
        <v>#REF!</v>
      </c>
      <c r="FK158" t="e">
        <f>AND(#REF!,"AAAAAD/986Y=")</f>
        <v>#REF!</v>
      </c>
      <c r="FL158" t="e">
        <f>AND(#REF!,"AAAAAD/986c=")</f>
        <v>#REF!</v>
      </c>
      <c r="FM158" t="e">
        <f>AND(#REF!,"AAAAAD/986g=")</f>
        <v>#REF!</v>
      </c>
      <c r="FN158" t="e">
        <f>IF(#REF!,"AAAAAD/986k=",0)</f>
        <v>#REF!</v>
      </c>
      <c r="FO158" t="e">
        <f>AND(#REF!,"AAAAAD/986o=")</f>
        <v>#REF!</v>
      </c>
      <c r="FP158" t="e">
        <f>AND(#REF!,"AAAAAD/986s=")</f>
        <v>#REF!</v>
      </c>
      <c r="FQ158" t="e">
        <f>AND(#REF!,"AAAAAD/986w=")</f>
        <v>#REF!</v>
      </c>
      <c r="FR158" t="e">
        <f>AND(#REF!,"AAAAAD/9860=")</f>
        <v>#REF!</v>
      </c>
      <c r="FS158" t="e">
        <f>AND(#REF!,"AAAAAD/9864=")</f>
        <v>#REF!</v>
      </c>
      <c r="FT158" t="e">
        <f>AND(#REF!,"AAAAAD/9868=")</f>
        <v>#REF!</v>
      </c>
      <c r="FU158" t="e">
        <f>AND(#REF!,"AAAAAD/987A=")</f>
        <v>#REF!</v>
      </c>
      <c r="FV158" t="e">
        <f>AND(#REF!,"AAAAAD/987E=")</f>
        <v>#REF!</v>
      </c>
      <c r="FW158" t="e">
        <f>AND(#REF!,"AAAAAD/987I=")</f>
        <v>#REF!</v>
      </c>
      <c r="FX158" t="e">
        <f>AND(#REF!,"AAAAAD/987M=")</f>
        <v>#REF!</v>
      </c>
      <c r="FY158" t="e">
        <f>AND(#REF!,"AAAAAD/987Q=")</f>
        <v>#REF!</v>
      </c>
      <c r="FZ158" t="e">
        <f>AND(#REF!,"AAAAAD/987U=")</f>
        <v>#REF!</v>
      </c>
      <c r="GA158" t="e">
        <f>AND(#REF!,"AAAAAD/987Y=")</f>
        <v>#REF!</v>
      </c>
      <c r="GB158" t="e">
        <f>AND(#REF!,"AAAAAD/987c=")</f>
        <v>#REF!</v>
      </c>
      <c r="GC158" t="e">
        <f>AND(#REF!,"AAAAAD/987g=")</f>
        <v>#REF!</v>
      </c>
      <c r="GD158" t="e">
        <f>AND(#REF!,"AAAAAD/987k=")</f>
        <v>#REF!</v>
      </c>
      <c r="GE158" t="e">
        <f>AND(#REF!,"AAAAAD/987o=")</f>
        <v>#REF!</v>
      </c>
      <c r="GF158" t="e">
        <f>AND(#REF!,"AAAAAD/987s=")</f>
        <v>#REF!</v>
      </c>
      <c r="GG158" t="e">
        <f>AND(#REF!,"AAAAAD/987w=")</f>
        <v>#REF!</v>
      </c>
      <c r="GH158" t="e">
        <f>AND(#REF!,"AAAAAD/9870=")</f>
        <v>#REF!</v>
      </c>
      <c r="GI158" t="e">
        <f>AND(#REF!,"AAAAAD/9874=")</f>
        <v>#REF!</v>
      </c>
      <c r="GJ158" t="e">
        <f>AND(#REF!,"AAAAAD/9878=")</f>
        <v>#REF!</v>
      </c>
      <c r="GK158" t="e">
        <f>IF(#REF!,"AAAAAD/988A=",0)</f>
        <v>#REF!</v>
      </c>
      <c r="GL158" t="e">
        <f>AND(#REF!,"AAAAAD/988E=")</f>
        <v>#REF!</v>
      </c>
      <c r="GM158" t="e">
        <f>AND(#REF!,"AAAAAD/988I=")</f>
        <v>#REF!</v>
      </c>
      <c r="GN158" t="e">
        <f>AND(#REF!,"AAAAAD/988M=")</f>
        <v>#REF!</v>
      </c>
      <c r="GO158" t="e">
        <f>AND(#REF!,"AAAAAD/988Q=")</f>
        <v>#REF!</v>
      </c>
      <c r="GP158" t="e">
        <f>AND(#REF!,"AAAAAD/988U=")</f>
        <v>#REF!</v>
      </c>
      <c r="GQ158" t="e">
        <f>AND(#REF!,"AAAAAD/988Y=")</f>
        <v>#REF!</v>
      </c>
      <c r="GR158" t="e">
        <f>AND(#REF!,"AAAAAD/988c=")</f>
        <v>#REF!</v>
      </c>
      <c r="GS158" t="e">
        <f>AND(#REF!,"AAAAAD/988g=")</f>
        <v>#REF!</v>
      </c>
      <c r="GT158" t="e">
        <f>AND(#REF!,"AAAAAD/988k=")</f>
        <v>#REF!</v>
      </c>
      <c r="GU158" t="e">
        <f>AND(#REF!,"AAAAAD/988o=")</f>
        <v>#REF!</v>
      </c>
      <c r="GV158" t="e">
        <f>AND(#REF!,"AAAAAD/988s=")</f>
        <v>#REF!</v>
      </c>
      <c r="GW158" t="e">
        <f>AND(#REF!,"AAAAAD/988w=")</f>
        <v>#REF!</v>
      </c>
      <c r="GX158" t="e">
        <f>AND(#REF!,"AAAAAD/9880=")</f>
        <v>#REF!</v>
      </c>
      <c r="GY158" t="e">
        <f>AND(#REF!,"AAAAAD/9884=")</f>
        <v>#REF!</v>
      </c>
      <c r="GZ158" t="e">
        <f>AND(#REF!,"AAAAAD/9888=")</f>
        <v>#REF!</v>
      </c>
      <c r="HA158" t="e">
        <f>AND(#REF!,"AAAAAD/989A=")</f>
        <v>#REF!</v>
      </c>
      <c r="HB158" t="e">
        <f>AND(#REF!,"AAAAAD/989E=")</f>
        <v>#REF!</v>
      </c>
      <c r="HC158" t="e">
        <f>AND(#REF!,"AAAAAD/989I=")</f>
        <v>#REF!</v>
      </c>
      <c r="HD158" t="e">
        <f>AND(#REF!,"AAAAAD/989M=")</f>
        <v>#REF!</v>
      </c>
      <c r="HE158" t="e">
        <f>AND(#REF!,"AAAAAD/989Q=")</f>
        <v>#REF!</v>
      </c>
      <c r="HF158" t="e">
        <f>AND(#REF!,"AAAAAD/989U=")</f>
        <v>#REF!</v>
      </c>
      <c r="HG158" t="e">
        <f>AND(#REF!,"AAAAAD/989Y=")</f>
        <v>#REF!</v>
      </c>
      <c r="HH158" t="e">
        <f>IF(#REF!,"AAAAAD/989c=",0)</f>
        <v>#REF!</v>
      </c>
      <c r="HI158" t="e">
        <f>AND(#REF!,"AAAAAD/989g=")</f>
        <v>#REF!</v>
      </c>
      <c r="HJ158" t="e">
        <f>AND(#REF!,"AAAAAD/989k=")</f>
        <v>#REF!</v>
      </c>
      <c r="HK158" t="e">
        <f>AND(#REF!,"AAAAAD/989o=")</f>
        <v>#REF!</v>
      </c>
      <c r="HL158" t="e">
        <f>AND(#REF!,"AAAAAD/989s=")</f>
        <v>#REF!</v>
      </c>
      <c r="HM158" t="e">
        <f>AND(#REF!,"AAAAAD/989w=")</f>
        <v>#REF!</v>
      </c>
      <c r="HN158" t="e">
        <f>AND(#REF!,"AAAAAD/9890=")</f>
        <v>#REF!</v>
      </c>
      <c r="HO158" t="e">
        <f>AND(#REF!,"AAAAAD/9894=")</f>
        <v>#REF!</v>
      </c>
      <c r="HP158" t="e">
        <f>AND(#REF!,"AAAAAD/9898=")</f>
        <v>#REF!</v>
      </c>
      <c r="HQ158" t="e">
        <f>AND(#REF!,"AAAAAD/98+A=")</f>
        <v>#REF!</v>
      </c>
      <c r="HR158" t="e">
        <f>AND(#REF!,"AAAAAD/98+E=")</f>
        <v>#REF!</v>
      </c>
      <c r="HS158" t="e">
        <f>AND(#REF!,"AAAAAD/98+I=")</f>
        <v>#REF!</v>
      </c>
      <c r="HT158" t="e">
        <f>AND(#REF!,"AAAAAD/98+M=")</f>
        <v>#REF!</v>
      </c>
      <c r="HU158" t="e">
        <f>AND(#REF!,"AAAAAD/98+Q=")</f>
        <v>#REF!</v>
      </c>
      <c r="HV158" t="e">
        <f>AND(#REF!,"AAAAAD/98+U=")</f>
        <v>#REF!</v>
      </c>
      <c r="HW158" t="e">
        <f>AND(#REF!,"AAAAAD/98+Y=")</f>
        <v>#REF!</v>
      </c>
      <c r="HX158" t="e">
        <f>AND(#REF!,"AAAAAD/98+c=")</f>
        <v>#REF!</v>
      </c>
      <c r="HY158" t="e">
        <f>AND(#REF!,"AAAAAD/98+g=")</f>
        <v>#REF!</v>
      </c>
      <c r="HZ158" t="e">
        <f>AND(#REF!,"AAAAAD/98+k=")</f>
        <v>#REF!</v>
      </c>
      <c r="IA158" t="e">
        <f>AND(#REF!,"AAAAAD/98+o=")</f>
        <v>#REF!</v>
      </c>
      <c r="IB158" t="e">
        <f>AND(#REF!,"AAAAAD/98+s=")</f>
        <v>#REF!</v>
      </c>
      <c r="IC158" t="e">
        <f>AND(#REF!,"AAAAAD/98+w=")</f>
        <v>#REF!</v>
      </c>
      <c r="ID158" t="e">
        <f>AND(#REF!,"AAAAAD/98+0=")</f>
        <v>#REF!</v>
      </c>
      <c r="IE158" t="e">
        <f>IF(#REF!,"AAAAAD/98+4=",0)</f>
        <v>#REF!</v>
      </c>
      <c r="IF158" t="e">
        <f>AND(#REF!,"AAAAAD/98+8=")</f>
        <v>#REF!</v>
      </c>
      <c r="IG158" t="e">
        <f>AND(#REF!,"AAAAAD/98/A=")</f>
        <v>#REF!</v>
      </c>
      <c r="IH158" t="e">
        <f>AND(#REF!,"AAAAAD/98/E=")</f>
        <v>#REF!</v>
      </c>
      <c r="II158" t="e">
        <f>AND(#REF!,"AAAAAD/98/I=")</f>
        <v>#REF!</v>
      </c>
      <c r="IJ158" t="e">
        <f>AND(#REF!,"AAAAAD/98/M=")</f>
        <v>#REF!</v>
      </c>
      <c r="IK158" t="e">
        <f>AND(#REF!,"AAAAAD/98/Q=")</f>
        <v>#REF!</v>
      </c>
      <c r="IL158" t="e">
        <f>AND(#REF!,"AAAAAD/98/U=")</f>
        <v>#REF!</v>
      </c>
      <c r="IM158" t="e">
        <f>AND(#REF!,"AAAAAD/98/Y=")</f>
        <v>#REF!</v>
      </c>
      <c r="IN158" t="e">
        <f>AND(#REF!,"AAAAAD/98/c=")</f>
        <v>#REF!</v>
      </c>
      <c r="IO158" t="e">
        <f>AND(#REF!,"AAAAAD/98/g=")</f>
        <v>#REF!</v>
      </c>
      <c r="IP158" t="e">
        <f>AND(#REF!,"AAAAAD/98/k=")</f>
        <v>#REF!</v>
      </c>
      <c r="IQ158" t="e">
        <f>AND(#REF!,"AAAAAD/98/o=")</f>
        <v>#REF!</v>
      </c>
      <c r="IR158" t="e">
        <f>AND(#REF!,"AAAAAD/98/s=")</f>
        <v>#REF!</v>
      </c>
      <c r="IS158" t="e">
        <f>AND(#REF!,"AAAAAD/98/w=")</f>
        <v>#REF!</v>
      </c>
      <c r="IT158" t="e">
        <f>AND(#REF!,"AAAAAD/98/0=")</f>
        <v>#REF!</v>
      </c>
      <c r="IU158" t="e">
        <f>AND(#REF!,"AAAAAD/98/4=")</f>
        <v>#REF!</v>
      </c>
      <c r="IV158" t="e">
        <f>AND(#REF!,"AAAAAD/98/8=")</f>
        <v>#REF!</v>
      </c>
    </row>
    <row r="159" spans="1:256" x14ac:dyDescent="0.2">
      <c r="A159" t="e">
        <f>AND(#REF!,"AAAAAD7/3QA=")</f>
        <v>#REF!</v>
      </c>
      <c r="B159" t="e">
        <f>AND(#REF!,"AAAAAD7/3QE=")</f>
        <v>#REF!</v>
      </c>
      <c r="C159" t="e">
        <f>AND(#REF!,"AAAAAD7/3QI=")</f>
        <v>#REF!</v>
      </c>
      <c r="D159" t="e">
        <f>AND(#REF!,"AAAAAD7/3QM=")</f>
        <v>#REF!</v>
      </c>
      <c r="E159" t="e">
        <f>AND(#REF!,"AAAAAD7/3QQ=")</f>
        <v>#REF!</v>
      </c>
      <c r="F159" t="e">
        <f>IF(#REF!,"AAAAAD7/3QU=",0)</f>
        <v>#REF!</v>
      </c>
      <c r="G159" t="e">
        <f>AND(#REF!,"AAAAAD7/3QY=")</f>
        <v>#REF!</v>
      </c>
      <c r="H159" t="e">
        <f>AND(#REF!,"AAAAAD7/3Qc=")</f>
        <v>#REF!</v>
      </c>
      <c r="I159" t="e">
        <f>AND(#REF!,"AAAAAD7/3Qg=")</f>
        <v>#REF!</v>
      </c>
      <c r="J159" t="e">
        <f>AND(#REF!,"AAAAAD7/3Qk=")</f>
        <v>#REF!</v>
      </c>
      <c r="K159" t="e">
        <f>AND(#REF!,"AAAAAD7/3Qo=")</f>
        <v>#REF!</v>
      </c>
      <c r="L159" t="e">
        <f>AND(#REF!,"AAAAAD7/3Qs=")</f>
        <v>#REF!</v>
      </c>
      <c r="M159" t="e">
        <f>AND(#REF!,"AAAAAD7/3Qw=")</f>
        <v>#REF!</v>
      </c>
      <c r="N159" t="e">
        <f>AND(#REF!,"AAAAAD7/3Q0=")</f>
        <v>#REF!</v>
      </c>
      <c r="O159" t="e">
        <f>AND(#REF!,"AAAAAD7/3Q4=")</f>
        <v>#REF!</v>
      </c>
      <c r="P159" t="e">
        <f>AND(#REF!,"AAAAAD7/3Q8=")</f>
        <v>#REF!</v>
      </c>
      <c r="Q159" t="e">
        <f>AND(#REF!,"AAAAAD7/3RA=")</f>
        <v>#REF!</v>
      </c>
      <c r="R159" t="e">
        <f>AND(#REF!,"AAAAAD7/3RE=")</f>
        <v>#REF!</v>
      </c>
      <c r="S159" t="e">
        <f>AND(#REF!,"AAAAAD7/3RI=")</f>
        <v>#REF!</v>
      </c>
      <c r="T159" t="e">
        <f>AND(#REF!,"AAAAAD7/3RM=")</f>
        <v>#REF!</v>
      </c>
      <c r="U159" t="e">
        <f>AND(#REF!,"AAAAAD7/3RQ=")</f>
        <v>#REF!</v>
      </c>
      <c r="V159" t="e">
        <f>AND(#REF!,"AAAAAD7/3RU=")</f>
        <v>#REF!</v>
      </c>
      <c r="W159" t="e">
        <f>AND(#REF!,"AAAAAD7/3RY=")</f>
        <v>#REF!</v>
      </c>
      <c r="X159" t="e">
        <f>AND(#REF!,"AAAAAD7/3Rc=")</f>
        <v>#REF!</v>
      </c>
      <c r="Y159" t="e">
        <f>AND(#REF!,"AAAAAD7/3Rg=")</f>
        <v>#REF!</v>
      </c>
      <c r="Z159" t="e">
        <f>AND(#REF!,"AAAAAD7/3Rk=")</f>
        <v>#REF!</v>
      </c>
      <c r="AA159" t="e">
        <f>AND(#REF!,"AAAAAD7/3Ro=")</f>
        <v>#REF!</v>
      </c>
      <c r="AB159" t="e">
        <f>AND(#REF!,"AAAAAD7/3Rs=")</f>
        <v>#REF!</v>
      </c>
      <c r="AC159" t="e">
        <f>IF(#REF!,"AAAAAD7/3Rw=",0)</f>
        <v>#REF!</v>
      </c>
      <c r="AD159" t="e">
        <f>AND(#REF!,"AAAAAD7/3R0=")</f>
        <v>#REF!</v>
      </c>
      <c r="AE159" t="e">
        <f>AND(#REF!,"AAAAAD7/3R4=")</f>
        <v>#REF!</v>
      </c>
      <c r="AF159" t="e">
        <f>AND(#REF!,"AAAAAD7/3R8=")</f>
        <v>#REF!</v>
      </c>
      <c r="AG159" t="e">
        <f>AND(#REF!,"AAAAAD7/3SA=")</f>
        <v>#REF!</v>
      </c>
      <c r="AH159" t="e">
        <f>AND(#REF!,"AAAAAD7/3SE=")</f>
        <v>#REF!</v>
      </c>
      <c r="AI159" t="e">
        <f>AND(#REF!,"AAAAAD7/3SI=")</f>
        <v>#REF!</v>
      </c>
      <c r="AJ159" t="e">
        <f>AND(#REF!,"AAAAAD7/3SM=")</f>
        <v>#REF!</v>
      </c>
      <c r="AK159" t="e">
        <f>AND(#REF!,"AAAAAD7/3SQ=")</f>
        <v>#REF!</v>
      </c>
      <c r="AL159" t="e">
        <f>AND(#REF!,"AAAAAD7/3SU=")</f>
        <v>#REF!</v>
      </c>
      <c r="AM159" t="e">
        <f>AND(#REF!,"AAAAAD7/3SY=")</f>
        <v>#REF!</v>
      </c>
      <c r="AN159" t="e">
        <f>AND(#REF!,"AAAAAD7/3Sc=")</f>
        <v>#REF!</v>
      </c>
      <c r="AO159" t="e">
        <f>AND(#REF!,"AAAAAD7/3Sg=")</f>
        <v>#REF!</v>
      </c>
      <c r="AP159" t="e">
        <f>AND(#REF!,"AAAAAD7/3Sk=")</f>
        <v>#REF!</v>
      </c>
      <c r="AQ159" t="e">
        <f>AND(#REF!,"AAAAAD7/3So=")</f>
        <v>#REF!</v>
      </c>
      <c r="AR159" t="e">
        <f>AND(#REF!,"AAAAAD7/3Ss=")</f>
        <v>#REF!</v>
      </c>
      <c r="AS159" t="e">
        <f>AND(#REF!,"AAAAAD7/3Sw=")</f>
        <v>#REF!</v>
      </c>
      <c r="AT159" t="e">
        <f>AND(#REF!,"AAAAAD7/3S0=")</f>
        <v>#REF!</v>
      </c>
      <c r="AU159" t="e">
        <f>AND(#REF!,"AAAAAD7/3S4=")</f>
        <v>#REF!</v>
      </c>
      <c r="AV159" t="e">
        <f>AND(#REF!,"AAAAAD7/3S8=")</f>
        <v>#REF!</v>
      </c>
      <c r="AW159" t="e">
        <f>AND(#REF!,"AAAAAD7/3TA=")</f>
        <v>#REF!</v>
      </c>
      <c r="AX159" t="e">
        <f>AND(#REF!,"AAAAAD7/3TE=")</f>
        <v>#REF!</v>
      </c>
      <c r="AY159" t="e">
        <f>AND(#REF!,"AAAAAD7/3TI=")</f>
        <v>#REF!</v>
      </c>
      <c r="AZ159" t="e">
        <f>IF(#REF!,"AAAAAD7/3TM=",0)</f>
        <v>#REF!</v>
      </c>
      <c r="BA159" t="e">
        <f>AND(#REF!,"AAAAAD7/3TQ=")</f>
        <v>#REF!</v>
      </c>
      <c r="BB159" t="e">
        <f>AND(#REF!,"AAAAAD7/3TU=")</f>
        <v>#REF!</v>
      </c>
      <c r="BC159" t="e">
        <f>AND(#REF!,"AAAAAD7/3TY=")</f>
        <v>#REF!</v>
      </c>
      <c r="BD159" t="e">
        <f>AND(#REF!,"AAAAAD7/3Tc=")</f>
        <v>#REF!</v>
      </c>
      <c r="BE159" t="e">
        <f>AND(#REF!,"AAAAAD7/3Tg=")</f>
        <v>#REF!</v>
      </c>
      <c r="BF159" t="e">
        <f>AND(#REF!,"AAAAAD7/3Tk=")</f>
        <v>#REF!</v>
      </c>
      <c r="BG159" t="e">
        <f>AND(#REF!,"AAAAAD7/3To=")</f>
        <v>#REF!</v>
      </c>
      <c r="BH159" t="e">
        <f>AND(#REF!,"AAAAAD7/3Ts=")</f>
        <v>#REF!</v>
      </c>
      <c r="BI159" t="e">
        <f>AND(#REF!,"AAAAAD7/3Tw=")</f>
        <v>#REF!</v>
      </c>
      <c r="BJ159" t="e">
        <f>AND(#REF!,"AAAAAD7/3T0=")</f>
        <v>#REF!</v>
      </c>
      <c r="BK159" t="e">
        <f>AND(#REF!,"AAAAAD7/3T4=")</f>
        <v>#REF!</v>
      </c>
      <c r="BL159" t="e">
        <f>AND(#REF!,"AAAAAD7/3T8=")</f>
        <v>#REF!</v>
      </c>
      <c r="BM159" t="e">
        <f>AND(#REF!,"AAAAAD7/3UA=")</f>
        <v>#REF!</v>
      </c>
      <c r="BN159" t="e">
        <f>AND(#REF!,"AAAAAD7/3UE=")</f>
        <v>#REF!</v>
      </c>
      <c r="BO159" t="e">
        <f>AND(#REF!,"AAAAAD7/3UI=")</f>
        <v>#REF!</v>
      </c>
      <c r="BP159" t="e">
        <f>AND(#REF!,"AAAAAD7/3UM=")</f>
        <v>#REF!</v>
      </c>
      <c r="BQ159" t="e">
        <f>AND(#REF!,"AAAAAD7/3UQ=")</f>
        <v>#REF!</v>
      </c>
      <c r="BR159" t="e">
        <f>AND(#REF!,"AAAAAD7/3UU=")</f>
        <v>#REF!</v>
      </c>
      <c r="BS159" t="e">
        <f>AND(#REF!,"AAAAAD7/3UY=")</f>
        <v>#REF!</v>
      </c>
      <c r="BT159" t="e">
        <f>AND(#REF!,"AAAAAD7/3Uc=")</f>
        <v>#REF!</v>
      </c>
      <c r="BU159" t="e">
        <f>AND(#REF!,"AAAAAD7/3Ug=")</f>
        <v>#REF!</v>
      </c>
      <c r="BV159" t="e">
        <f>AND(#REF!,"AAAAAD7/3Uk=")</f>
        <v>#REF!</v>
      </c>
      <c r="BW159" t="e">
        <f>IF(#REF!,"AAAAAD7/3Uo=",0)</f>
        <v>#REF!</v>
      </c>
      <c r="BX159" t="e">
        <f>AND(#REF!,"AAAAAD7/3Us=")</f>
        <v>#REF!</v>
      </c>
      <c r="BY159" t="e">
        <f>AND(#REF!,"AAAAAD7/3Uw=")</f>
        <v>#REF!</v>
      </c>
      <c r="BZ159" t="e">
        <f>AND(#REF!,"AAAAAD7/3U0=")</f>
        <v>#REF!</v>
      </c>
      <c r="CA159" t="e">
        <f>AND(#REF!,"AAAAAD7/3U4=")</f>
        <v>#REF!</v>
      </c>
      <c r="CB159" t="e">
        <f>AND(#REF!,"AAAAAD7/3U8=")</f>
        <v>#REF!</v>
      </c>
      <c r="CC159" t="e">
        <f>AND(#REF!,"AAAAAD7/3VA=")</f>
        <v>#REF!</v>
      </c>
      <c r="CD159" t="e">
        <f>AND(#REF!,"AAAAAD7/3VE=")</f>
        <v>#REF!</v>
      </c>
      <c r="CE159" t="e">
        <f>AND(#REF!,"AAAAAD7/3VI=")</f>
        <v>#REF!</v>
      </c>
      <c r="CF159" t="e">
        <f>AND(#REF!,"AAAAAD7/3VM=")</f>
        <v>#REF!</v>
      </c>
      <c r="CG159" t="e">
        <f>AND(#REF!,"AAAAAD7/3VQ=")</f>
        <v>#REF!</v>
      </c>
      <c r="CH159" t="e">
        <f>AND(#REF!,"AAAAAD7/3VU=")</f>
        <v>#REF!</v>
      </c>
      <c r="CI159" t="e">
        <f>AND(#REF!,"AAAAAD7/3VY=")</f>
        <v>#REF!</v>
      </c>
      <c r="CJ159" t="e">
        <f>AND(#REF!,"AAAAAD7/3Vc=")</f>
        <v>#REF!</v>
      </c>
      <c r="CK159" t="e">
        <f>AND(#REF!,"AAAAAD7/3Vg=")</f>
        <v>#REF!</v>
      </c>
      <c r="CL159" t="e">
        <f>AND(#REF!,"AAAAAD7/3Vk=")</f>
        <v>#REF!</v>
      </c>
      <c r="CM159" t="e">
        <f>AND(#REF!,"AAAAAD7/3Vo=")</f>
        <v>#REF!</v>
      </c>
      <c r="CN159" t="e">
        <f>AND(#REF!,"AAAAAD7/3Vs=")</f>
        <v>#REF!</v>
      </c>
      <c r="CO159" t="e">
        <f>AND(#REF!,"AAAAAD7/3Vw=")</f>
        <v>#REF!</v>
      </c>
      <c r="CP159" t="e">
        <f>AND(#REF!,"AAAAAD7/3V0=")</f>
        <v>#REF!</v>
      </c>
      <c r="CQ159" t="e">
        <f>AND(#REF!,"AAAAAD7/3V4=")</f>
        <v>#REF!</v>
      </c>
      <c r="CR159" t="e">
        <f>AND(#REF!,"AAAAAD7/3V8=")</f>
        <v>#REF!</v>
      </c>
      <c r="CS159" t="e">
        <f>AND(#REF!,"AAAAAD7/3WA=")</f>
        <v>#REF!</v>
      </c>
      <c r="CT159" t="e">
        <f>IF(#REF!,"AAAAAD7/3WE=",0)</f>
        <v>#REF!</v>
      </c>
      <c r="CU159" t="e">
        <f>AND(#REF!,"AAAAAD7/3WI=")</f>
        <v>#REF!</v>
      </c>
      <c r="CV159" t="e">
        <f>AND(#REF!,"AAAAAD7/3WM=")</f>
        <v>#REF!</v>
      </c>
      <c r="CW159" t="e">
        <f>AND(#REF!,"AAAAAD7/3WQ=")</f>
        <v>#REF!</v>
      </c>
      <c r="CX159" t="e">
        <f>AND(#REF!,"AAAAAD7/3WU=")</f>
        <v>#REF!</v>
      </c>
      <c r="CY159" t="e">
        <f>AND(#REF!,"AAAAAD7/3WY=")</f>
        <v>#REF!</v>
      </c>
      <c r="CZ159" t="e">
        <f>AND(#REF!,"AAAAAD7/3Wc=")</f>
        <v>#REF!</v>
      </c>
      <c r="DA159" t="e">
        <f>AND(#REF!,"AAAAAD7/3Wg=")</f>
        <v>#REF!</v>
      </c>
      <c r="DB159" t="e">
        <f>AND(#REF!,"AAAAAD7/3Wk=")</f>
        <v>#REF!</v>
      </c>
      <c r="DC159" t="e">
        <f>AND(#REF!,"AAAAAD7/3Wo=")</f>
        <v>#REF!</v>
      </c>
      <c r="DD159" t="e">
        <f>AND(#REF!,"AAAAAD7/3Ws=")</f>
        <v>#REF!</v>
      </c>
      <c r="DE159" t="e">
        <f>AND(#REF!,"AAAAAD7/3Ww=")</f>
        <v>#REF!</v>
      </c>
      <c r="DF159" t="e">
        <f>AND(#REF!,"AAAAAD7/3W0=")</f>
        <v>#REF!</v>
      </c>
      <c r="DG159" t="e">
        <f>AND(#REF!,"AAAAAD7/3W4=")</f>
        <v>#REF!</v>
      </c>
      <c r="DH159" t="e">
        <f>AND(#REF!,"AAAAAD7/3W8=")</f>
        <v>#REF!</v>
      </c>
      <c r="DI159" t="e">
        <f>AND(#REF!,"AAAAAD7/3XA=")</f>
        <v>#REF!</v>
      </c>
      <c r="DJ159" t="e">
        <f>AND(#REF!,"AAAAAD7/3XE=")</f>
        <v>#REF!</v>
      </c>
      <c r="DK159" t="e">
        <f>AND(#REF!,"AAAAAD7/3XI=")</f>
        <v>#REF!</v>
      </c>
      <c r="DL159" t="e">
        <f>AND(#REF!,"AAAAAD7/3XM=")</f>
        <v>#REF!</v>
      </c>
      <c r="DM159" t="e">
        <f>AND(#REF!,"AAAAAD7/3XQ=")</f>
        <v>#REF!</v>
      </c>
      <c r="DN159" t="e">
        <f>AND(#REF!,"AAAAAD7/3XU=")</f>
        <v>#REF!</v>
      </c>
      <c r="DO159" t="e">
        <f>AND(#REF!,"AAAAAD7/3XY=")</f>
        <v>#REF!</v>
      </c>
      <c r="DP159" t="e">
        <f>AND(#REF!,"AAAAAD7/3Xc=")</f>
        <v>#REF!</v>
      </c>
      <c r="DQ159" t="e">
        <f>IF(#REF!,"AAAAAD7/3Xg=",0)</f>
        <v>#REF!</v>
      </c>
      <c r="DR159" t="e">
        <f>AND(#REF!,"AAAAAD7/3Xk=")</f>
        <v>#REF!</v>
      </c>
      <c r="DS159" t="e">
        <f>AND(#REF!,"AAAAAD7/3Xo=")</f>
        <v>#REF!</v>
      </c>
      <c r="DT159" t="e">
        <f>AND(#REF!,"AAAAAD7/3Xs=")</f>
        <v>#REF!</v>
      </c>
      <c r="DU159" t="e">
        <f>AND(#REF!,"AAAAAD7/3Xw=")</f>
        <v>#REF!</v>
      </c>
      <c r="DV159" t="e">
        <f>AND(#REF!,"AAAAAD7/3X0=")</f>
        <v>#REF!</v>
      </c>
      <c r="DW159" t="e">
        <f>AND(#REF!,"AAAAAD7/3X4=")</f>
        <v>#REF!</v>
      </c>
      <c r="DX159" t="e">
        <f>AND(#REF!,"AAAAAD7/3X8=")</f>
        <v>#REF!</v>
      </c>
      <c r="DY159" t="e">
        <f>AND(#REF!,"AAAAAD7/3YA=")</f>
        <v>#REF!</v>
      </c>
      <c r="DZ159" t="e">
        <f>AND(#REF!,"AAAAAD7/3YE=")</f>
        <v>#REF!</v>
      </c>
      <c r="EA159" t="e">
        <f>AND(#REF!,"AAAAAD7/3YI=")</f>
        <v>#REF!</v>
      </c>
      <c r="EB159" t="e">
        <f>AND(#REF!,"AAAAAD7/3YM=")</f>
        <v>#REF!</v>
      </c>
      <c r="EC159" t="e">
        <f>AND(#REF!,"AAAAAD7/3YQ=")</f>
        <v>#REF!</v>
      </c>
      <c r="ED159" t="e">
        <f>AND(#REF!,"AAAAAD7/3YU=")</f>
        <v>#REF!</v>
      </c>
      <c r="EE159" t="e">
        <f>AND(#REF!,"AAAAAD7/3YY=")</f>
        <v>#REF!</v>
      </c>
      <c r="EF159" t="e">
        <f>AND(#REF!,"AAAAAD7/3Yc=")</f>
        <v>#REF!</v>
      </c>
      <c r="EG159" t="e">
        <f>AND(#REF!,"AAAAAD7/3Yg=")</f>
        <v>#REF!</v>
      </c>
      <c r="EH159" t="e">
        <f>AND(#REF!,"AAAAAD7/3Yk=")</f>
        <v>#REF!</v>
      </c>
      <c r="EI159" t="e">
        <f>AND(#REF!,"AAAAAD7/3Yo=")</f>
        <v>#REF!</v>
      </c>
      <c r="EJ159" t="e">
        <f>AND(#REF!,"AAAAAD7/3Ys=")</f>
        <v>#REF!</v>
      </c>
      <c r="EK159" t="e">
        <f>AND(#REF!,"AAAAAD7/3Yw=")</f>
        <v>#REF!</v>
      </c>
      <c r="EL159" t="e">
        <f>AND(#REF!,"AAAAAD7/3Y0=")</f>
        <v>#REF!</v>
      </c>
      <c r="EM159" t="e">
        <f>AND(#REF!,"AAAAAD7/3Y4=")</f>
        <v>#REF!</v>
      </c>
      <c r="EN159" t="e">
        <f>IF(#REF!,"AAAAAD7/3Y8=",0)</f>
        <v>#REF!</v>
      </c>
      <c r="EO159" t="e">
        <f>AND(#REF!,"AAAAAD7/3ZA=")</f>
        <v>#REF!</v>
      </c>
      <c r="EP159" t="e">
        <f>AND(#REF!,"AAAAAD7/3ZE=")</f>
        <v>#REF!</v>
      </c>
      <c r="EQ159" t="e">
        <f>AND(#REF!,"AAAAAD7/3ZI=")</f>
        <v>#REF!</v>
      </c>
      <c r="ER159" t="e">
        <f>AND(#REF!,"AAAAAD7/3ZM=")</f>
        <v>#REF!</v>
      </c>
      <c r="ES159" t="e">
        <f>AND(#REF!,"AAAAAD7/3ZQ=")</f>
        <v>#REF!</v>
      </c>
      <c r="ET159" t="e">
        <f>AND(#REF!,"AAAAAD7/3ZU=")</f>
        <v>#REF!</v>
      </c>
      <c r="EU159" t="e">
        <f>AND(#REF!,"AAAAAD7/3ZY=")</f>
        <v>#REF!</v>
      </c>
      <c r="EV159" t="e">
        <f>AND(#REF!,"AAAAAD7/3Zc=")</f>
        <v>#REF!</v>
      </c>
      <c r="EW159" t="e">
        <f>AND(#REF!,"AAAAAD7/3Zg=")</f>
        <v>#REF!</v>
      </c>
      <c r="EX159" t="e">
        <f>AND(#REF!,"AAAAAD7/3Zk=")</f>
        <v>#REF!</v>
      </c>
      <c r="EY159" t="e">
        <f>AND(#REF!,"AAAAAD7/3Zo=")</f>
        <v>#REF!</v>
      </c>
      <c r="EZ159" t="e">
        <f>AND(#REF!,"AAAAAD7/3Zs=")</f>
        <v>#REF!</v>
      </c>
      <c r="FA159" t="e">
        <f>AND(#REF!,"AAAAAD7/3Zw=")</f>
        <v>#REF!</v>
      </c>
      <c r="FB159" t="e">
        <f>AND(#REF!,"AAAAAD7/3Z0=")</f>
        <v>#REF!</v>
      </c>
      <c r="FC159" t="e">
        <f>AND(#REF!,"AAAAAD7/3Z4=")</f>
        <v>#REF!</v>
      </c>
      <c r="FD159" t="e">
        <f>AND(#REF!,"AAAAAD7/3Z8=")</f>
        <v>#REF!</v>
      </c>
      <c r="FE159" t="e">
        <f>AND(#REF!,"AAAAAD7/3aA=")</f>
        <v>#REF!</v>
      </c>
      <c r="FF159" t="e">
        <f>AND(#REF!,"AAAAAD7/3aE=")</f>
        <v>#REF!</v>
      </c>
      <c r="FG159" t="e">
        <f>AND(#REF!,"AAAAAD7/3aI=")</f>
        <v>#REF!</v>
      </c>
      <c r="FH159" t="e">
        <f>AND(#REF!,"AAAAAD7/3aM=")</f>
        <v>#REF!</v>
      </c>
      <c r="FI159" t="e">
        <f>AND(#REF!,"AAAAAD7/3aQ=")</f>
        <v>#REF!</v>
      </c>
      <c r="FJ159" t="e">
        <f>AND(#REF!,"AAAAAD7/3aU=")</f>
        <v>#REF!</v>
      </c>
      <c r="FK159" t="e">
        <f>IF(#REF!,"AAAAAD7/3aY=",0)</f>
        <v>#REF!</v>
      </c>
      <c r="FL159" t="e">
        <f>AND(#REF!,"AAAAAD7/3ac=")</f>
        <v>#REF!</v>
      </c>
      <c r="FM159" t="e">
        <f>AND(#REF!,"AAAAAD7/3ag=")</f>
        <v>#REF!</v>
      </c>
      <c r="FN159" t="e">
        <f>AND(#REF!,"AAAAAD7/3ak=")</f>
        <v>#REF!</v>
      </c>
      <c r="FO159" t="e">
        <f>AND(#REF!,"AAAAAD7/3ao=")</f>
        <v>#REF!</v>
      </c>
      <c r="FP159" t="e">
        <f>AND(#REF!,"AAAAAD7/3as=")</f>
        <v>#REF!</v>
      </c>
      <c r="FQ159" t="e">
        <f>AND(#REF!,"AAAAAD7/3aw=")</f>
        <v>#REF!</v>
      </c>
      <c r="FR159" t="e">
        <f>AND(#REF!,"AAAAAD7/3a0=")</f>
        <v>#REF!</v>
      </c>
      <c r="FS159" t="e">
        <f>AND(#REF!,"AAAAAD7/3a4=")</f>
        <v>#REF!</v>
      </c>
      <c r="FT159" t="e">
        <f>AND(#REF!,"AAAAAD7/3a8=")</f>
        <v>#REF!</v>
      </c>
      <c r="FU159" t="e">
        <f>AND(#REF!,"AAAAAD7/3bA=")</f>
        <v>#REF!</v>
      </c>
      <c r="FV159" t="e">
        <f>AND(#REF!,"AAAAAD7/3bE=")</f>
        <v>#REF!</v>
      </c>
      <c r="FW159" t="e">
        <f>AND(#REF!,"AAAAAD7/3bI=")</f>
        <v>#REF!</v>
      </c>
      <c r="FX159" t="e">
        <f>AND(#REF!,"AAAAAD7/3bM=")</f>
        <v>#REF!</v>
      </c>
      <c r="FY159" t="e">
        <f>AND(#REF!,"AAAAAD7/3bQ=")</f>
        <v>#REF!</v>
      </c>
      <c r="FZ159" t="e">
        <f>AND(#REF!,"AAAAAD7/3bU=")</f>
        <v>#REF!</v>
      </c>
      <c r="GA159" t="e">
        <f>AND(#REF!,"AAAAAD7/3bY=")</f>
        <v>#REF!</v>
      </c>
      <c r="GB159" t="e">
        <f>AND(#REF!,"AAAAAD7/3bc=")</f>
        <v>#REF!</v>
      </c>
      <c r="GC159" t="e">
        <f>AND(#REF!,"AAAAAD7/3bg=")</f>
        <v>#REF!</v>
      </c>
      <c r="GD159" t="e">
        <f>AND(#REF!,"AAAAAD7/3bk=")</f>
        <v>#REF!</v>
      </c>
      <c r="GE159" t="e">
        <f>AND(#REF!,"AAAAAD7/3bo=")</f>
        <v>#REF!</v>
      </c>
      <c r="GF159" t="e">
        <f>AND(#REF!,"AAAAAD7/3bs=")</f>
        <v>#REF!</v>
      </c>
      <c r="GG159" t="e">
        <f>AND(#REF!,"AAAAAD7/3bw=")</f>
        <v>#REF!</v>
      </c>
      <c r="GH159" t="e">
        <f>IF(#REF!,"AAAAAD7/3b0=",0)</f>
        <v>#REF!</v>
      </c>
      <c r="GI159" t="e">
        <f>AND(#REF!,"AAAAAD7/3b4=")</f>
        <v>#REF!</v>
      </c>
      <c r="GJ159" t="e">
        <f>AND(#REF!,"AAAAAD7/3b8=")</f>
        <v>#REF!</v>
      </c>
      <c r="GK159" t="e">
        <f>AND(#REF!,"AAAAAD7/3cA=")</f>
        <v>#REF!</v>
      </c>
      <c r="GL159" t="e">
        <f>AND(#REF!,"AAAAAD7/3cE=")</f>
        <v>#REF!</v>
      </c>
      <c r="GM159" t="e">
        <f>AND(#REF!,"AAAAAD7/3cI=")</f>
        <v>#REF!</v>
      </c>
      <c r="GN159" t="e">
        <f>AND(#REF!,"AAAAAD7/3cM=")</f>
        <v>#REF!</v>
      </c>
      <c r="GO159" t="e">
        <f>AND(#REF!,"AAAAAD7/3cQ=")</f>
        <v>#REF!</v>
      </c>
      <c r="GP159" t="e">
        <f>AND(#REF!,"AAAAAD7/3cU=")</f>
        <v>#REF!</v>
      </c>
      <c r="GQ159" t="e">
        <f>AND(#REF!,"AAAAAD7/3cY=")</f>
        <v>#REF!</v>
      </c>
      <c r="GR159" t="e">
        <f>AND(#REF!,"AAAAAD7/3cc=")</f>
        <v>#REF!</v>
      </c>
      <c r="GS159" t="e">
        <f>AND(#REF!,"AAAAAD7/3cg=")</f>
        <v>#REF!</v>
      </c>
      <c r="GT159" t="e">
        <f>AND(#REF!,"AAAAAD7/3ck=")</f>
        <v>#REF!</v>
      </c>
      <c r="GU159" t="e">
        <f>AND(#REF!,"AAAAAD7/3co=")</f>
        <v>#REF!</v>
      </c>
      <c r="GV159" t="e">
        <f>AND(#REF!,"AAAAAD7/3cs=")</f>
        <v>#REF!</v>
      </c>
      <c r="GW159" t="e">
        <f>AND(#REF!,"AAAAAD7/3cw=")</f>
        <v>#REF!</v>
      </c>
      <c r="GX159" t="e">
        <f>AND(#REF!,"AAAAAD7/3c0=")</f>
        <v>#REF!</v>
      </c>
      <c r="GY159" t="e">
        <f>AND(#REF!,"AAAAAD7/3c4=")</f>
        <v>#REF!</v>
      </c>
      <c r="GZ159" t="e">
        <f>AND(#REF!,"AAAAAD7/3c8=")</f>
        <v>#REF!</v>
      </c>
      <c r="HA159" t="e">
        <f>AND(#REF!,"AAAAAD7/3dA=")</f>
        <v>#REF!</v>
      </c>
      <c r="HB159" t="e">
        <f>AND(#REF!,"AAAAAD7/3dE=")</f>
        <v>#REF!</v>
      </c>
      <c r="HC159" t="e">
        <f>AND(#REF!,"AAAAAD7/3dI=")</f>
        <v>#REF!</v>
      </c>
      <c r="HD159" t="e">
        <f>AND(#REF!,"AAAAAD7/3dM=")</f>
        <v>#REF!</v>
      </c>
      <c r="HE159" t="e">
        <f>IF(#REF!,"AAAAAD7/3dQ=",0)</f>
        <v>#REF!</v>
      </c>
      <c r="HF159" t="e">
        <f>AND(#REF!,"AAAAAD7/3dU=")</f>
        <v>#REF!</v>
      </c>
      <c r="HG159" t="e">
        <f>AND(#REF!,"AAAAAD7/3dY=")</f>
        <v>#REF!</v>
      </c>
      <c r="HH159" t="e">
        <f>AND(#REF!,"AAAAAD7/3dc=")</f>
        <v>#REF!</v>
      </c>
      <c r="HI159" t="e">
        <f>AND(#REF!,"AAAAAD7/3dg=")</f>
        <v>#REF!</v>
      </c>
      <c r="HJ159" t="e">
        <f>AND(#REF!,"AAAAAD7/3dk=")</f>
        <v>#REF!</v>
      </c>
      <c r="HK159" t="e">
        <f>AND(#REF!,"AAAAAD7/3do=")</f>
        <v>#REF!</v>
      </c>
      <c r="HL159" t="e">
        <f>AND(#REF!,"AAAAAD7/3ds=")</f>
        <v>#REF!</v>
      </c>
      <c r="HM159" t="e">
        <f>AND(#REF!,"AAAAAD7/3dw=")</f>
        <v>#REF!</v>
      </c>
      <c r="HN159" t="e">
        <f>AND(#REF!,"AAAAAD7/3d0=")</f>
        <v>#REF!</v>
      </c>
      <c r="HO159" t="e">
        <f>AND(#REF!,"AAAAAD7/3d4=")</f>
        <v>#REF!</v>
      </c>
      <c r="HP159" t="e">
        <f>AND(#REF!,"AAAAAD7/3d8=")</f>
        <v>#REF!</v>
      </c>
      <c r="HQ159" t="e">
        <f>AND(#REF!,"AAAAAD7/3eA=")</f>
        <v>#REF!</v>
      </c>
      <c r="HR159" t="e">
        <f>AND(#REF!,"AAAAAD7/3eE=")</f>
        <v>#REF!</v>
      </c>
      <c r="HS159" t="e">
        <f>AND(#REF!,"AAAAAD7/3eI=")</f>
        <v>#REF!</v>
      </c>
      <c r="HT159" t="e">
        <f>AND(#REF!,"AAAAAD7/3eM=")</f>
        <v>#REF!</v>
      </c>
      <c r="HU159" t="e">
        <f>AND(#REF!,"AAAAAD7/3eQ=")</f>
        <v>#REF!</v>
      </c>
      <c r="HV159" t="e">
        <f>AND(#REF!,"AAAAAD7/3eU=")</f>
        <v>#REF!</v>
      </c>
      <c r="HW159" t="e">
        <f>AND(#REF!,"AAAAAD7/3eY=")</f>
        <v>#REF!</v>
      </c>
      <c r="HX159" t="e">
        <f>AND(#REF!,"AAAAAD7/3ec=")</f>
        <v>#REF!</v>
      </c>
      <c r="HY159" t="e">
        <f>AND(#REF!,"AAAAAD7/3eg=")</f>
        <v>#REF!</v>
      </c>
      <c r="HZ159" t="e">
        <f>AND(#REF!,"AAAAAD7/3ek=")</f>
        <v>#REF!</v>
      </c>
      <c r="IA159" t="e">
        <f>AND(#REF!,"AAAAAD7/3eo=")</f>
        <v>#REF!</v>
      </c>
      <c r="IB159" t="e">
        <f>IF(#REF!,"AAAAAD7/3es=",0)</f>
        <v>#REF!</v>
      </c>
      <c r="IC159" t="e">
        <f>AND(#REF!,"AAAAAD7/3ew=")</f>
        <v>#REF!</v>
      </c>
      <c r="ID159" t="e">
        <f>AND(#REF!,"AAAAAD7/3e0=")</f>
        <v>#REF!</v>
      </c>
      <c r="IE159" t="e">
        <f>AND(#REF!,"AAAAAD7/3e4=")</f>
        <v>#REF!</v>
      </c>
      <c r="IF159" t="e">
        <f>AND(#REF!,"AAAAAD7/3e8=")</f>
        <v>#REF!</v>
      </c>
      <c r="IG159" t="e">
        <f>AND(#REF!,"AAAAAD7/3fA=")</f>
        <v>#REF!</v>
      </c>
      <c r="IH159" t="e">
        <f>AND(#REF!,"AAAAAD7/3fE=")</f>
        <v>#REF!</v>
      </c>
      <c r="II159" t="e">
        <f>AND(#REF!,"AAAAAD7/3fI=")</f>
        <v>#REF!</v>
      </c>
      <c r="IJ159" t="e">
        <f>AND(#REF!,"AAAAAD7/3fM=")</f>
        <v>#REF!</v>
      </c>
      <c r="IK159" t="e">
        <f>AND(#REF!,"AAAAAD7/3fQ=")</f>
        <v>#REF!</v>
      </c>
      <c r="IL159" t="e">
        <f>AND(#REF!,"AAAAAD7/3fU=")</f>
        <v>#REF!</v>
      </c>
      <c r="IM159" t="e">
        <f>AND(#REF!,"AAAAAD7/3fY=")</f>
        <v>#REF!</v>
      </c>
      <c r="IN159" t="e">
        <f>AND(#REF!,"AAAAAD7/3fc=")</f>
        <v>#REF!</v>
      </c>
      <c r="IO159" t="e">
        <f>AND(#REF!,"AAAAAD7/3fg=")</f>
        <v>#REF!</v>
      </c>
      <c r="IP159" t="e">
        <f>AND(#REF!,"AAAAAD7/3fk=")</f>
        <v>#REF!</v>
      </c>
      <c r="IQ159" t="e">
        <f>AND(#REF!,"AAAAAD7/3fo=")</f>
        <v>#REF!</v>
      </c>
      <c r="IR159" t="e">
        <f>AND(#REF!,"AAAAAD7/3fs=")</f>
        <v>#REF!</v>
      </c>
      <c r="IS159" t="e">
        <f>AND(#REF!,"AAAAAD7/3fw=")</f>
        <v>#REF!</v>
      </c>
      <c r="IT159" t="e">
        <f>AND(#REF!,"AAAAAD7/3f0=")</f>
        <v>#REF!</v>
      </c>
      <c r="IU159" t="e">
        <f>AND(#REF!,"AAAAAD7/3f4=")</f>
        <v>#REF!</v>
      </c>
      <c r="IV159" t="e">
        <f>AND(#REF!,"AAAAAD7/3f8=")</f>
        <v>#REF!</v>
      </c>
    </row>
    <row r="160" spans="1:256" x14ac:dyDescent="0.2">
      <c r="A160" t="e">
        <f>AND(#REF!,"AAAAAF/tnQA=")</f>
        <v>#REF!</v>
      </c>
      <c r="B160" t="e">
        <f>AND(#REF!,"AAAAAF/tnQE=")</f>
        <v>#REF!</v>
      </c>
      <c r="C160" t="e">
        <f>IF(#REF!,"AAAAAF/tnQI=",0)</f>
        <v>#REF!</v>
      </c>
      <c r="D160" t="e">
        <f>AND(#REF!,"AAAAAF/tnQM=")</f>
        <v>#REF!</v>
      </c>
      <c r="E160" t="e">
        <f>AND(#REF!,"AAAAAF/tnQQ=")</f>
        <v>#REF!</v>
      </c>
      <c r="F160" t="e">
        <f>AND(#REF!,"AAAAAF/tnQU=")</f>
        <v>#REF!</v>
      </c>
      <c r="G160" t="e">
        <f>AND(#REF!,"AAAAAF/tnQY=")</f>
        <v>#REF!</v>
      </c>
      <c r="H160" t="e">
        <f>AND(#REF!,"AAAAAF/tnQc=")</f>
        <v>#REF!</v>
      </c>
      <c r="I160" t="e">
        <f>AND(#REF!,"AAAAAF/tnQg=")</f>
        <v>#REF!</v>
      </c>
      <c r="J160" t="e">
        <f>AND(#REF!,"AAAAAF/tnQk=")</f>
        <v>#REF!</v>
      </c>
      <c r="K160" t="e">
        <f>AND(#REF!,"AAAAAF/tnQo=")</f>
        <v>#REF!</v>
      </c>
      <c r="L160" t="e">
        <f>AND(#REF!,"AAAAAF/tnQs=")</f>
        <v>#REF!</v>
      </c>
      <c r="M160" t="e">
        <f>AND(#REF!,"AAAAAF/tnQw=")</f>
        <v>#REF!</v>
      </c>
      <c r="N160" t="e">
        <f>AND(#REF!,"AAAAAF/tnQ0=")</f>
        <v>#REF!</v>
      </c>
      <c r="O160" t="e">
        <f>AND(#REF!,"AAAAAF/tnQ4=")</f>
        <v>#REF!</v>
      </c>
      <c r="P160" t="e">
        <f>AND(#REF!,"AAAAAF/tnQ8=")</f>
        <v>#REF!</v>
      </c>
      <c r="Q160" t="e">
        <f>AND(#REF!,"AAAAAF/tnRA=")</f>
        <v>#REF!</v>
      </c>
      <c r="R160" t="e">
        <f>AND(#REF!,"AAAAAF/tnRE=")</f>
        <v>#REF!</v>
      </c>
      <c r="S160" t="e">
        <f>AND(#REF!,"AAAAAF/tnRI=")</f>
        <v>#REF!</v>
      </c>
      <c r="T160" t="e">
        <f>AND(#REF!,"AAAAAF/tnRM=")</f>
        <v>#REF!</v>
      </c>
      <c r="U160" t="e">
        <f>AND(#REF!,"AAAAAF/tnRQ=")</f>
        <v>#REF!</v>
      </c>
      <c r="V160" t="e">
        <f>AND(#REF!,"AAAAAF/tnRU=")</f>
        <v>#REF!</v>
      </c>
      <c r="W160" t="e">
        <f>AND(#REF!,"AAAAAF/tnRY=")</f>
        <v>#REF!</v>
      </c>
      <c r="X160" t="e">
        <f>AND(#REF!,"AAAAAF/tnRc=")</f>
        <v>#REF!</v>
      </c>
      <c r="Y160" t="e">
        <f>AND(#REF!,"AAAAAF/tnRg=")</f>
        <v>#REF!</v>
      </c>
      <c r="Z160" t="e">
        <f>IF(#REF!,"AAAAAF/tnRk=",0)</f>
        <v>#REF!</v>
      </c>
      <c r="AA160" t="e">
        <f>AND(#REF!,"AAAAAF/tnRo=")</f>
        <v>#REF!</v>
      </c>
      <c r="AB160" t="e">
        <f>AND(#REF!,"AAAAAF/tnRs=")</f>
        <v>#REF!</v>
      </c>
      <c r="AC160" t="e">
        <f>AND(#REF!,"AAAAAF/tnRw=")</f>
        <v>#REF!</v>
      </c>
      <c r="AD160" t="e">
        <f>AND(#REF!,"AAAAAF/tnR0=")</f>
        <v>#REF!</v>
      </c>
      <c r="AE160" t="e">
        <f>AND(#REF!,"AAAAAF/tnR4=")</f>
        <v>#REF!</v>
      </c>
      <c r="AF160" t="e">
        <f>AND(#REF!,"AAAAAF/tnR8=")</f>
        <v>#REF!</v>
      </c>
      <c r="AG160" t="e">
        <f>AND(#REF!,"AAAAAF/tnSA=")</f>
        <v>#REF!</v>
      </c>
      <c r="AH160" t="e">
        <f>AND(#REF!,"AAAAAF/tnSE=")</f>
        <v>#REF!</v>
      </c>
      <c r="AI160" t="e">
        <f>AND(#REF!,"AAAAAF/tnSI=")</f>
        <v>#REF!</v>
      </c>
      <c r="AJ160" t="e">
        <f>AND(#REF!,"AAAAAF/tnSM=")</f>
        <v>#REF!</v>
      </c>
      <c r="AK160" t="e">
        <f>AND(#REF!,"AAAAAF/tnSQ=")</f>
        <v>#REF!</v>
      </c>
      <c r="AL160" t="e">
        <f>AND(#REF!,"AAAAAF/tnSU=")</f>
        <v>#REF!</v>
      </c>
      <c r="AM160" t="e">
        <f>AND(#REF!,"AAAAAF/tnSY=")</f>
        <v>#REF!</v>
      </c>
      <c r="AN160" t="e">
        <f>AND(#REF!,"AAAAAF/tnSc=")</f>
        <v>#REF!</v>
      </c>
      <c r="AO160" t="e">
        <f>AND(#REF!,"AAAAAF/tnSg=")</f>
        <v>#REF!</v>
      </c>
      <c r="AP160" t="e">
        <f>AND(#REF!,"AAAAAF/tnSk=")</f>
        <v>#REF!</v>
      </c>
      <c r="AQ160" t="e">
        <f>AND(#REF!,"AAAAAF/tnSo=")</f>
        <v>#REF!</v>
      </c>
      <c r="AR160" t="e">
        <f>AND(#REF!,"AAAAAF/tnSs=")</f>
        <v>#REF!</v>
      </c>
      <c r="AS160" t="e">
        <f>AND(#REF!,"AAAAAF/tnSw=")</f>
        <v>#REF!</v>
      </c>
      <c r="AT160" t="e">
        <f>AND(#REF!,"AAAAAF/tnS0=")</f>
        <v>#REF!</v>
      </c>
      <c r="AU160" t="e">
        <f>AND(#REF!,"AAAAAF/tnS4=")</f>
        <v>#REF!</v>
      </c>
      <c r="AV160" t="e">
        <f>AND(#REF!,"AAAAAF/tnS8=")</f>
        <v>#REF!</v>
      </c>
      <c r="AW160" t="e">
        <f>IF(#REF!,"AAAAAF/tnTA=",0)</f>
        <v>#REF!</v>
      </c>
      <c r="AX160" t="e">
        <f>AND(#REF!,"AAAAAF/tnTE=")</f>
        <v>#REF!</v>
      </c>
      <c r="AY160" t="e">
        <f>AND(#REF!,"AAAAAF/tnTI=")</f>
        <v>#REF!</v>
      </c>
      <c r="AZ160" t="e">
        <f>AND(#REF!,"AAAAAF/tnTM=")</f>
        <v>#REF!</v>
      </c>
      <c r="BA160" t="e">
        <f>AND(#REF!,"AAAAAF/tnTQ=")</f>
        <v>#REF!</v>
      </c>
      <c r="BB160" t="e">
        <f>AND(#REF!,"AAAAAF/tnTU=")</f>
        <v>#REF!</v>
      </c>
      <c r="BC160" t="e">
        <f>AND(#REF!,"AAAAAF/tnTY=")</f>
        <v>#REF!</v>
      </c>
      <c r="BD160" t="e">
        <f>AND(#REF!,"AAAAAF/tnTc=")</f>
        <v>#REF!</v>
      </c>
      <c r="BE160" t="e">
        <f>AND(#REF!,"AAAAAF/tnTg=")</f>
        <v>#REF!</v>
      </c>
      <c r="BF160" t="e">
        <f>AND(#REF!,"AAAAAF/tnTk=")</f>
        <v>#REF!</v>
      </c>
      <c r="BG160" t="e">
        <f>AND(#REF!,"AAAAAF/tnTo=")</f>
        <v>#REF!</v>
      </c>
      <c r="BH160" t="e">
        <f>AND(#REF!,"AAAAAF/tnTs=")</f>
        <v>#REF!</v>
      </c>
      <c r="BI160" t="e">
        <f>AND(#REF!,"AAAAAF/tnTw=")</f>
        <v>#REF!</v>
      </c>
      <c r="BJ160" t="e">
        <f>AND(#REF!,"AAAAAF/tnT0=")</f>
        <v>#REF!</v>
      </c>
      <c r="BK160" t="e">
        <f>AND(#REF!,"AAAAAF/tnT4=")</f>
        <v>#REF!</v>
      </c>
      <c r="BL160" t="e">
        <f>AND(#REF!,"AAAAAF/tnT8=")</f>
        <v>#REF!</v>
      </c>
      <c r="BM160" t="e">
        <f>AND(#REF!,"AAAAAF/tnUA=")</f>
        <v>#REF!</v>
      </c>
      <c r="BN160" t="e">
        <f>AND(#REF!,"AAAAAF/tnUE=")</f>
        <v>#REF!</v>
      </c>
      <c r="BO160" t="e">
        <f>AND(#REF!,"AAAAAF/tnUI=")</f>
        <v>#REF!</v>
      </c>
      <c r="BP160" t="e">
        <f>AND(#REF!,"AAAAAF/tnUM=")</f>
        <v>#REF!</v>
      </c>
      <c r="BQ160" t="e">
        <f>AND(#REF!,"AAAAAF/tnUQ=")</f>
        <v>#REF!</v>
      </c>
      <c r="BR160" t="e">
        <f>AND(#REF!,"AAAAAF/tnUU=")</f>
        <v>#REF!</v>
      </c>
      <c r="BS160" t="e">
        <f>AND(#REF!,"AAAAAF/tnUY=")</f>
        <v>#REF!</v>
      </c>
      <c r="BT160" t="e">
        <f>IF(#REF!,"AAAAAF/tnUc=",0)</f>
        <v>#REF!</v>
      </c>
      <c r="BU160" t="e">
        <f>AND(#REF!,"AAAAAF/tnUg=")</f>
        <v>#REF!</v>
      </c>
      <c r="BV160" t="e">
        <f>AND(#REF!,"AAAAAF/tnUk=")</f>
        <v>#REF!</v>
      </c>
      <c r="BW160" t="e">
        <f>AND(#REF!,"AAAAAF/tnUo=")</f>
        <v>#REF!</v>
      </c>
      <c r="BX160" t="e">
        <f>AND(#REF!,"AAAAAF/tnUs=")</f>
        <v>#REF!</v>
      </c>
      <c r="BY160" t="e">
        <f>AND(#REF!,"AAAAAF/tnUw=")</f>
        <v>#REF!</v>
      </c>
      <c r="BZ160" t="e">
        <f>AND(#REF!,"AAAAAF/tnU0=")</f>
        <v>#REF!</v>
      </c>
      <c r="CA160" t="e">
        <f>AND(#REF!,"AAAAAF/tnU4=")</f>
        <v>#REF!</v>
      </c>
      <c r="CB160" t="e">
        <f>AND(#REF!,"AAAAAF/tnU8=")</f>
        <v>#REF!</v>
      </c>
      <c r="CC160" t="e">
        <f>AND(#REF!,"AAAAAF/tnVA=")</f>
        <v>#REF!</v>
      </c>
      <c r="CD160" t="e">
        <f>AND(#REF!,"AAAAAF/tnVE=")</f>
        <v>#REF!</v>
      </c>
      <c r="CE160" t="e">
        <f>AND(#REF!,"AAAAAF/tnVI=")</f>
        <v>#REF!</v>
      </c>
      <c r="CF160" t="e">
        <f>AND(#REF!,"AAAAAF/tnVM=")</f>
        <v>#REF!</v>
      </c>
      <c r="CG160" t="e">
        <f>AND(#REF!,"AAAAAF/tnVQ=")</f>
        <v>#REF!</v>
      </c>
      <c r="CH160" t="e">
        <f>AND(#REF!,"AAAAAF/tnVU=")</f>
        <v>#REF!</v>
      </c>
      <c r="CI160" t="e">
        <f>AND(#REF!,"AAAAAF/tnVY=")</f>
        <v>#REF!</v>
      </c>
      <c r="CJ160" t="e">
        <f>AND(#REF!,"AAAAAF/tnVc=")</f>
        <v>#REF!</v>
      </c>
      <c r="CK160" t="e">
        <f>AND(#REF!,"AAAAAF/tnVg=")</f>
        <v>#REF!</v>
      </c>
      <c r="CL160" t="e">
        <f>AND(#REF!,"AAAAAF/tnVk=")</f>
        <v>#REF!</v>
      </c>
      <c r="CM160" t="e">
        <f>AND(#REF!,"AAAAAF/tnVo=")</f>
        <v>#REF!</v>
      </c>
      <c r="CN160" t="e">
        <f>AND(#REF!,"AAAAAF/tnVs=")</f>
        <v>#REF!</v>
      </c>
      <c r="CO160" t="e">
        <f>AND(#REF!,"AAAAAF/tnVw=")</f>
        <v>#REF!</v>
      </c>
      <c r="CP160" t="e">
        <f>AND(#REF!,"AAAAAF/tnV0=")</f>
        <v>#REF!</v>
      </c>
      <c r="CQ160" t="e">
        <f>IF(#REF!,"AAAAAF/tnV4=",0)</f>
        <v>#REF!</v>
      </c>
      <c r="CR160" t="e">
        <f>AND(#REF!,"AAAAAF/tnV8=")</f>
        <v>#REF!</v>
      </c>
      <c r="CS160" t="e">
        <f>AND(#REF!,"AAAAAF/tnWA=")</f>
        <v>#REF!</v>
      </c>
      <c r="CT160" t="e">
        <f>AND(#REF!,"AAAAAF/tnWE=")</f>
        <v>#REF!</v>
      </c>
      <c r="CU160" t="e">
        <f>AND(#REF!,"AAAAAF/tnWI=")</f>
        <v>#REF!</v>
      </c>
      <c r="CV160" t="e">
        <f>AND(#REF!,"AAAAAF/tnWM=")</f>
        <v>#REF!</v>
      </c>
      <c r="CW160" t="e">
        <f>AND(#REF!,"AAAAAF/tnWQ=")</f>
        <v>#REF!</v>
      </c>
      <c r="CX160" t="e">
        <f>AND(#REF!,"AAAAAF/tnWU=")</f>
        <v>#REF!</v>
      </c>
      <c r="CY160" t="e">
        <f>AND(#REF!,"AAAAAF/tnWY=")</f>
        <v>#REF!</v>
      </c>
      <c r="CZ160" t="e">
        <f>AND(#REF!,"AAAAAF/tnWc=")</f>
        <v>#REF!</v>
      </c>
      <c r="DA160" t="e">
        <f>AND(#REF!,"AAAAAF/tnWg=")</f>
        <v>#REF!</v>
      </c>
      <c r="DB160" t="e">
        <f>AND(#REF!,"AAAAAF/tnWk=")</f>
        <v>#REF!</v>
      </c>
      <c r="DC160" t="e">
        <f>AND(#REF!,"AAAAAF/tnWo=")</f>
        <v>#REF!</v>
      </c>
      <c r="DD160" t="e">
        <f>AND(#REF!,"AAAAAF/tnWs=")</f>
        <v>#REF!</v>
      </c>
      <c r="DE160" t="e">
        <f>AND(#REF!,"AAAAAF/tnWw=")</f>
        <v>#REF!</v>
      </c>
      <c r="DF160" t="e">
        <f>AND(#REF!,"AAAAAF/tnW0=")</f>
        <v>#REF!</v>
      </c>
      <c r="DG160" t="e">
        <f>AND(#REF!,"AAAAAF/tnW4=")</f>
        <v>#REF!</v>
      </c>
      <c r="DH160" t="e">
        <f>AND(#REF!,"AAAAAF/tnW8=")</f>
        <v>#REF!</v>
      </c>
      <c r="DI160" t="e">
        <f>AND(#REF!,"AAAAAF/tnXA=")</f>
        <v>#REF!</v>
      </c>
      <c r="DJ160" t="e">
        <f>AND(#REF!,"AAAAAF/tnXE=")</f>
        <v>#REF!</v>
      </c>
      <c r="DK160" t="e">
        <f>AND(#REF!,"AAAAAF/tnXI=")</f>
        <v>#REF!</v>
      </c>
      <c r="DL160" t="e">
        <f>AND(#REF!,"AAAAAF/tnXM=")</f>
        <v>#REF!</v>
      </c>
      <c r="DM160" t="e">
        <f>AND(#REF!,"AAAAAF/tnXQ=")</f>
        <v>#REF!</v>
      </c>
      <c r="DN160" t="e">
        <f>IF(#REF!,"AAAAAF/tnXU=",0)</f>
        <v>#REF!</v>
      </c>
      <c r="DO160" t="e">
        <f>AND(#REF!,"AAAAAF/tnXY=")</f>
        <v>#REF!</v>
      </c>
      <c r="DP160" t="e">
        <f>AND(#REF!,"AAAAAF/tnXc=")</f>
        <v>#REF!</v>
      </c>
      <c r="DQ160" t="e">
        <f>AND(#REF!,"AAAAAF/tnXg=")</f>
        <v>#REF!</v>
      </c>
      <c r="DR160" t="e">
        <f>AND(#REF!,"AAAAAF/tnXk=")</f>
        <v>#REF!</v>
      </c>
      <c r="DS160" t="e">
        <f>AND(#REF!,"AAAAAF/tnXo=")</f>
        <v>#REF!</v>
      </c>
      <c r="DT160" t="e">
        <f>AND(#REF!,"AAAAAF/tnXs=")</f>
        <v>#REF!</v>
      </c>
      <c r="DU160" t="e">
        <f>AND(#REF!,"AAAAAF/tnXw=")</f>
        <v>#REF!</v>
      </c>
      <c r="DV160" t="e">
        <f>AND(#REF!,"AAAAAF/tnX0=")</f>
        <v>#REF!</v>
      </c>
      <c r="DW160" t="e">
        <f>AND(#REF!,"AAAAAF/tnX4=")</f>
        <v>#REF!</v>
      </c>
      <c r="DX160" t="e">
        <f>AND(#REF!,"AAAAAF/tnX8=")</f>
        <v>#REF!</v>
      </c>
      <c r="DY160" t="e">
        <f>AND(#REF!,"AAAAAF/tnYA=")</f>
        <v>#REF!</v>
      </c>
      <c r="DZ160" t="e">
        <f>AND(#REF!,"AAAAAF/tnYE=")</f>
        <v>#REF!</v>
      </c>
      <c r="EA160" t="e">
        <f>AND(#REF!,"AAAAAF/tnYI=")</f>
        <v>#REF!</v>
      </c>
      <c r="EB160" t="e">
        <f>AND(#REF!,"AAAAAF/tnYM=")</f>
        <v>#REF!</v>
      </c>
      <c r="EC160" t="e">
        <f>AND(#REF!,"AAAAAF/tnYQ=")</f>
        <v>#REF!</v>
      </c>
      <c r="ED160" t="e">
        <f>AND(#REF!,"AAAAAF/tnYU=")</f>
        <v>#REF!</v>
      </c>
      <c r="EE160" t="e">
        <f>AND(#REF!,"AAAAAF/tnYY=")</f>
        <v>#REF!</v>
      </c>
      <c r="EF160" t="e">
        <f>AND(#REF!,"AAAAAF/tnYc=")</f>
        <v>#REF!</v>
      </c>
      <c r="EG160" t="e">
        <f>AND(#REF!,"AAAAAF/tnYg=")</f>
        <v>#REF!</v>
      </c>
      <c r="EH160" t="e">
        <f>AND(#REF!,"AAAAAF/tnYk=")</f>
        <v>#REF!</v>
      </c>
      <c r="EI160" t="e">
        <f>AND(#REF!,"AAAAAF/tnYo=")</f>
        <v>#REF!</v>
      </c>
      <c r="EJ160" t="e">
        <f>AND(#REF!,"AAAAAF/tnYs=")</f>
        <v>#REF!</v>
      </c>
      <c r="EK160" t="e">
        <f>IF(#REF!,"AAAAAF/tnYw=",0)</f>
        <v>#REF!</v>
      </c>
      <c r="EL160" t="e">
        <f>AND(#REF!,"AAAAAF/tnY0=")</f>
        <v>#REF!</v>
      </c>
      <c r="EM160" t="e">
        <f>AND(#REF!,"AAAAAF/tnY4=")</f>
        <v>#REF!</v>
      </c>
      <c r="EN160" t="e">
        <f>AND(#REF!,"AAAAAF/tnY8=")</f>
        <v>#REF!</v>
      </c>
      <c r="EO160" t="e">
        <f>AND(#REF!,"AAAAAF/tnZA=")</f>
        <v>#REF!</v>
      </c>
      <c r="EP160" t="e">
        <f>AND(#REF!,"AAAAAF/tnZE=")</f>
        <v>#REF!</v>
      </c>
      <c r="EQ160" t="e">
        <f>AND(#REF!,"AAAAAF/tnZI=")</f>
        <v>#REF!</v>
      </c>
      <c r="ER160" t="e">
        <f>AND(#REF!,"AAAAAF/tnZM=")</f>
        <v>#REF!</v>
      </c>
      <c r="ES160" t="e">
        <f>AND(#REF!,"AAAAAF/tnZQ=")</f>
        <v>#REF!</v>
      </c>
      <c r="ET160" t="e">
        <f>AND(#REF!,"AAAAAF/tnZU=")</f>
        <v>#REF!</v>
      </c>
      <c r="EU160" t="e">
        <f>AND(#REF!,"AAAAAF/tnZY=")</f>
        <v>#REF!</v>
      </c>
      <c r="EV160" t="e">
        <f>AND(#REF!,"AAAAAF/tnZc=")</f>
        <v>#REF!</v>
      </c>
      <c r="EW160" t="e">
        <f>AND(#REF!,"AAAAAF/tnZg=")</f>
        <v>#REF!</v>
      </c>
      <c r="EX160" t="e">
        <f>AND(#REF!,"AAAAAF/tnZk=")</f>
        <v>#REF!</v>
      </c>
      <c r="EY160" t="e">
        <f>AND(#REF!,"AAAAAF/tnZo=")</f>
        <v>#REF!</v>
      </c>
      <c r="EZ160" t="e">
        <f>AND(#REF!,"AAAAAF/tnZs=")</f>
        <v>#REF!</v>
      </c>
      <c r="FA160" t="e">
        <f>AND(#REF!,"AAAAAF/tnZw=")</f>
        <v>#REF!</v>
      </c>
      <c r="FB160" t="e">
        <f>AND(#REF!,"AAAAAF/tnZ0=")</f>
        <v>#REF!</v>
      </c>
      <c r="FC160" t="e">
        <f>AND(#REF!,"AAAAAF/tnZ4=")</f>
        <v>#REF!</v>
      </c>
      <c r="FD160" t="e">
        <f>AND(#REF!,"AAAAAF/tnZ8=")</f>
        <v>#REF!</v>
      </c>
      <c r="FE160" t="e">
        <f>AND(#REF!,"AAAAAF/tnaA=")</f>
        <v>#REF!</v>
      </c>
      <c r="FF160" t="e">
        <f>AND(#REF!,"AAAAAF/tnaE=")</f>
        <v>#REF!</v>
      </c>
      <c r="FG160" t="e">
        <f>AND(#REF!,"AAAAAF/tnaI=")</f>
        <v>#REF!</v>
      </c>
      <c r="FH160" t="e">
        <f>IF(#REF!,"AAAAAF/tnaM=",0)</f>
        <v>#REF!</v>
      </c>
      <c r="FI160" t="e">
        <f>AND(#REF!,"AAAAAF/tnaQ=")</f>
        <v>#REF!</v>
      </c>
      <c r="FJ160" t="e">
        <f>AND(#REF!,"AAAAAF/tnaU=")</f>
        <v>#REF!</v>
      </c>
      <c r="FK160" t="e">
        <f>AND(#REF!,"AAAAAF/tnaY=")</f>
        <v>#REF!</v>
      </c>
      <c r="FL160" t="e">
        <f>AND(#REF!,"AAAAAF/tnac=")</f>
        <v>#REF!</v>
      </c>
      <c r="FM160" t="e">
        <f>AND(#REF!,"AAAAAF/tnag=")</f>
        <v>#REF!</v>
      </c>
      <c r="FN160" t="e">
        <f>AND(#REF!,"AAAAAF/tnak=")</f>
        <v>#REF!</v>
      </c>
      <c r="FO160" t="e">
        <f>AND(#REF!,"AAAAAF/tnao=")</f>
        <v>#REF!</v>
      </c>
      <c r="FP160" t="e">
        <f>AND(#REF!,"AAAAAF/tnas=")</f>
        <v>#REF!</v>
      </c>
      <c r="FQ160" t="e">
        <f>AND(#REF!,"AAAAAF/tnaw=")</f>
        <v>#REF!</v>
      </c>
      <c r="FR160" t="e">
        <f>AND(#REF!,"AAAAAF/tna0=")</f>
        <v>#REF!</v>
      </c>
      <c r="FS160" t="e">
        <f>AND(#REF!,"AAAAAF/tna4=")</f>
        <v>#REF!</v>
      </c>
      <c r="FT160" t="e">
        <f>AND(#REF!,"AAAAAF/tna8=")</f>
        <v>#REF!</v>
      </c>
      <c r="FU160" t="e">
        <f>AND(#REF!,"AAAAAF/tnbA=")</f>
        <v>#REF!</v>
      </c>
      <c r="FV160" t="e">
        <f>AND(#REF!,"AAAAAF/tnbE=")</f>
        <v>#REF!</v>
      </c>
      <c r="FW160" t="e">
        <f>AND(#REF!,"AAAAAF/tnbI=")</f>
        <v>#REF!</v>
      </c>
      <c r="FX160" t="e">
        <f>AND(#REF!,"AAAAAF/tnbM=")</f>
        <v>#REF!</v>
      </c>
      <c r="FY160" t="e">
        <f>AND(#REF!,"AAAAAF/tnbQ=")</f>
        <v>#REF!</v>
      </c>
      <c r="FZ160" t="e">
        <f>AND(#REF!,"AAAAAF/tnbU=")</f>
        <v>#REF!</v>
      </c>
      <c r="GA160" t="e">
        <f>AND(#REF!,"AAAAAF/tnbY=")</f>
        <v>#REF!</v>
      </c>
      <c r="GB160" t="e">
        <f>AND(#REF!,"AAAAAF/tnbc=")</f>
        <v>#REF!</v>
      </c>
      <c r="GC160" t="e">
        <f>AND(#REF!,"AAAAAF/tnbg=")</f>
        <v>#REF!</v>
      </c>
      <c r="GD160" t="e">
        <f>AND(#REF!,"AAAAAF/tnbk=")</f>
        <v>#REF!</v>
      </c>
      <c r="GE160" t="e">
        <f>IF(#REF!,"AAAAAF/tnbo=",0)</f>
        <v>#REF!</v>
      </c>
      <c r="GF160" t="e">
        <f>AND(#REF!,"AAAAAF/tnbs=")</f>
        <v>#REF!</v>
      </c>
      <c r="GG160" t="e">
        <f>AND(#REF!,"AAAAAF/tnbw=")</f>
        <v>#REF!</v>
      </c>
      <c r="GH160" t="e">
        <f>AND(#REF!,"AAAAAF/tnb0=")</f>
        <v>#REF!</v>
      </c>
      <c r="GI160" t="e">
        <f>AND(#REF!,"AAAAAF/tnb4=")</f>
        <v>#REF!</v>
      </c>
      <c r="GJ160" t="e">
        <f>AND(#REF!,"AAAAAF/tnb8=")</f>
        <v>#REF!</v>
      </c>
      <c r="GK160" t="e">
        <f>AND(#REF!,"AAAAAF/tncA=")</f>
        <v>#REF!</v>
      </c>
      <c r="GL160" t="e">
        <f>AND(#REF!,"AAAAAF/tncE=")</f>
        <v>#REF!</v>
      </c>
      <c r="GM160" t="e">
        <f>AND(#REF!,"AAAAAF/tncI=")</f>
        <v>#REF!</v>
      </c>
      <c r="GN160" t="e">
        <f>AND(#REF!,"AAAAAF/tncM=")</f>
        <v>#REF!</v>
      </c>
      <c r="GO160" t="e">
        <f>AND(#REF!,"AAAAAF/tncQ=")</f>
        <v>#REF!</v>
      </c>
      <c r="GP160" t="e">
        <f>AND(#REF!,"AAAAAF/tncU=")</f>
        <v>#REF!</v>
      </c>
      <c r="GQ160" t="e">
        <f>AND(#REF!,"AAAAAF/tncY=")</f>
        <v>#REF!</v>
      </c>
      <c r="GR160" t="e">
        <f>AND(#REF!,"AAAAAF/tncc=")</f>
        <v>#REF!</v>
      </c>
      <c r="GS160" t="e">
        <f>AND(#REF!,"AAAAAF/tncg=")</f>
        <v>#REF!</v>
      </c>
      <c r="GT160" t="e">
        <f>AND(#REF!,"AAAAAF/tnck=")</f>
        <v>#REF!</v>
      </c>
      <c r="GU160" t="e">
        <f>AND(#REF!,"AAAAAF/tnco=")</f>
        <v>#REF!</v>
      </c>
      <c r="GV160" t="e">
        <f>AND(#REF!,"AAAAAF/tncs=")</f>
        <v>#REF!</v>
      </c>
      <c r="GW160" t="e">
        <f>AND(#REF!,"AAAAAF/tncw=")</f>
        <v>#REF!</v>
      </c>
      <c r="GX160" t="e">
        <f>AND(#REF!,"AAAAAF/tnc0=")</f>
        <v>#REF!</v>
      </c>
      <c r="GY160" t="e">
        <f>AND(#REF!,"AAAAAF/tnc4=")</f>
        <v>#REF!</v>
      </c>
      <c r="GZ160" t="e">
        <f>AND(#REF!,"AAAAAF/tnc8=")</f>
        <v>#REF!</v>
      </c>
      <c r="HA160" t="e">
        <f>AND(#REF!,"AAAAAF/tndA=")</f>
        <v>#REF!</v>
      </c>
      <c r="HB160" t="e">
        <f>IF(#REF!,"AAAAAF/tndE=",0)</f>
        <v>#REF!</v>
      </c>
      <c r="HC160" t="e">
        <f>AND(#REF!,"AAAAAF/tndI=")</f>
        <v>#REF!</v>
      </c>
      <c r="HD160" t="e">
        <f>AND(#REF!,"AAAAAF/tndM=")</f>
        <v>#REF!</v>
      </c>
      <c r="HE160" t="e">
        <f>AND(#REF!,"AAAAAF/tndQ=")</f>
        <v>#REF!</v>
      </c>
      <c r="HF160" t="e">
        <f>AND(#REF!,"AAAAAF/tndU=")</f>
        <v>#REF!</v>
      </c>
      <c r="HG160" t="e">
        <f>AND(#REF!,"AAAAAF/tndY=")</f>
        <v>#REF!</v>
      </c>
      <c r="HH160" t="e">
        <f>AND(#REF!,"AAAAAF/tndc=")</f>
        <v>#REF!</v>
      </c>
      <c r="HI160" t="e">
        <f>AND(#REF!,"AAAAAF/tndg=")</f>
        <v>#REF!</v>
      </c>
      <c r="HJ160" t="e">
        <f>AND(#REF!,"AAAAAF/tndk=")</f>
        <v>#REF!</v>
      </c>
      <c r="HK160" t="e">
        <f>AND(#REF!,"AAAAAF/tndo=")</f>
        <v>#REF!</v>
      </c>
      <c r="HL160" t="e">
        <f>AND(#REF!,"AAAAAF/tnds=")</f>
        <v>#REF!</v>
      </c>
      <c r="HM160" t="e">
        <f>AND(#REF!,"AAAAAF/tndw=")</f>
        <v>#REF!</v>
      </c>
      <c r="HN160" t="e">
        <f>AND(#REF!,"AAAAAF/tnd0=")</f>
        <v>#REF!</v>
      </c>
      <c r="HO160" t="e">
        <f>AND(#REF!,"AAAAAF/tnd4=")</f>
        <v>#REF!</v>
      </c>
      <c r="HP160" t="e">
        <f>AND(#REF!,"AAAAAF/tnd8=")</f>
        <v>#REF!</v>
      </c>
      <c r="HQ160" t="e">
        <f>AND(#REF!,"AAAAAF/tneA=")</f>
        <v>#REF!</v>
      </c>
      <c r="HR160" t="e">
        <f>AND(#REF!,"AAAAAF/tneE=")</f>
        <v>#REF!</v>
      </c>
      <c r="HS160" t="e">
        <f>AND(#REF!,"AAAAAF/tneI=")</f>
        <v>#REF!</v>
      </c>
      <c r="HT160" t="e">
        <f>AND(#REF!,"AAAAAF/tneM=")</f>
        <v>#REF!</v>
      </c>
      <c r="HU160" t="e">
        <f>AND(#REF!,"AAAAAF/tneQ=")</f>
        <v>#REF!</v>
      </c>
      <c r="HV160" t="e">
        <f>AND(#REF!,"AAAAAF/tneU=")</f>
        <v>#REF!</v>
      </c>
      <c r="HW160" t="e">
        <f>AND(#REF!,"AAAAAF/tneY=")</f>
        <v>#REF!</v>
      </c>
      <c r="HX160" t="e">
        <f>AND(#REF!,"AAAAAF/tnec=")</f>
        <v>#REF!</v>
      </c>
      <c r="HY160" t="e">
        <f>IF(#REF!,"AAAAAF/tneg=",0)</f>
        <v>#REF!</v>
      </c>
      <c r="HZ160" t="e">
        <f>AND(#REF!,"AAAAAF/tnek=")</f>
        <v>#REF!</v>
      </c>
      <c r="IA160" t="e">
        <f>AND(#REF!,"AAAAAF/tneo=")</f>
        <v>#REF!</v>
      </c>
      <c r="IB160" t="e">
        <f>AND(#REF!,"AAAAAF/tnes=")</f>
        <v>#REF!</v>
      </c>
      <c r="IC160" t="e">
        <f>AND(#REF!,"AAAAAF/tnew=")</f>
        <v>#REF!</v>
      </c>
      <c r="ID160" t="e">
        <f>AND(#REF!,"AAAAAF/tne0=")</f>
        <v>#REF!</v>
      </c>
      <c r="IE160" t="e">
        <f>AND(#REF!,"AAAAAF/tne4=")</f>
        <v>#REF!</v>
      </c>
      <c r="IF160" t="e">
        <f>AND(#REF!,"AAAAAF/tne8=")</f>
        <v>#REF!</v>
      </c>
      <c r="IG160" t="e">
        <f>AND(#REF!,"AAAAAF/tnfA=")</f>
        <v>#REF!</v>
      </c>
      <c r="IH160" t="e">
        <f>AND(#REF!,"AAAAAF/tnfE=")</f>
        <v>#REF!</v>
      </c>
      <c r="II160" t="e">
        <f>AND(#REF!,"AAAAAF/tnfI=")</f>
        <v>#REF!</v>
      </c>
      <c r="IJ160" t="e">
        <f>AND(#REF!,"AAAAAF/tnfM=")</f>
        <v>#REF!</v>
      </c>
      <c r="IK160" t="e">
        <f>AND(#REF!,"AAAAAF/tnfQ=")</f>
        <v>#REF!</v>
      </c>
      <c r="IL160" t="e">
        <f>AND(#REF!,"AAAAAF/tnfU=")</f>
        <v>#REF!</v>
      </c>
      <c r="IM160" t="e">
        <f>AND(#REF!,"AAAAAF/tnfY=")</f>
        <v>#REF!</v>
      </c>
      <c r="IN160" t="e">
        <f>AND(#REF!,"AAAAAF/tnfc=")</f>
        <v>#REF!</v>
      </c>
      <c r="IO160" t="e">
        <f>AND(#REF!,"AAAAAF/tnfg=")</f>
        <v>#REF!</v>
      </c>
      <c r="IP160" t="e">
        <f>AND(#REF!,"AAAAAF/tnfk=")</f>
        <v>#REF!</v>
      </c>
      <c r="IQ160" t="e">
        <f>AND(#REF!,"AAAAAF/tnfo=")</f>
        <v>#REF!</v>
      </c>
      <c r="IR160" t="e">
        <f>AND(#REF!,"AAAAAF/tnfs=")</f>
        <v>#REF!</v>
      </c>
      <c r="IS160" t="e">
        <f>AND(#REF!,"AAAAAF/tnfw=")</f>
        <v>#REF!</v>
      </c>
      <c r="IT160" t="e">
        <f>AND(#REF!,"AAAAAF/tnf0=")</f>
        <v>#REF!</v>
      </c>
      <c r="IU160" t="e">
        <f>AND(#REF!,"AAAAAF/tnf4=")</f>
        <v>#REF!</v>
      </c>
      <c r="IV160" t="e">
        <f>IF(#REF!,"AAAAAF/tnf8=",0)</f>
        <v>#REF!</v>
      </c>
    </row>
    <row r="161" spans="1:256" x14ac:dyDescent="0.2">
      <c r="A161" t="e">
        <f>AND(#REF!,"AAAAAC/18AA=")</f>
        <v>#REF!</v>
      </c>
      <c r="B161" t="e">
        <f>AND(#REF!,"AAAAAC/18AE=")</f>
        <v>#REF!</v>
      </c>
      <c r="C161" t="e">
        <f>AND(#REF!,"AAAAAC/18AI=")</f>
        <v>#REF!</v>
      </c>
      <c r="D161" t="e">
        <f>AND(#REF!,"AAAAAC/18AM=")</f>
        <v>#REF!</v>
      </c>
      <c r="E161" t="e">
        <f>AND(#REF!,"AAAAAC/18AQ=")</f>
        <v>#REF!</v>
      </c>
      <c r="F161" t="e">
        <f>AND(#REF!,"AAAAAC/18AU=")</f>
        <v>#REF!</v>
      </c>
      <c r="G161" t="e">
        <f>AND(#REF!,"AAAAAC/18AY=")</f>
        <v>#REF!</v>
      </c>
      <c r="H161" t="e">
        <f>AND(#REF!,"AAAAAC/18Ac=")</f>
        <v>#REF!</v>
      </c>
      <c r="I161" t="e">
        <f>AND(#REF!,"AAAAAC/18Ag=")</f>
        <v>#REF!</v>
      </c>
      <c r="J161" t="e">
        <f>AND(#REF!,"AAAAAC/18Ak=")</f>
        <v>#REF!</v>
      </c>
      <c r="K161" t="e">
        <f>AND(#REF!,"AAAAAC/18Ao=")</f>
        <v>#REF!</v>
      </c>
      <c r="L161" t="e">
        <f>AND(#REF!,"AAAAAC/18As=")</f>
        <v>#REF!</v>
      </c>
      <c r="M161" t="e">
        <f>AND(#REF!,"AAAAAC/18Aw=")</f>
        <v>#REF!</v>
      </c>
      <c r="N161" t="e">
        <f>AND(#REF!,"AAAAAC/18A0=")</f>
        <v>#REF!</v>
      </c>
      <c r="O161" t="e">
        <f>AND(#REF!,"AAAAAC/18A4=")</f>
        <v>#REF!</v>
      </c>
      <c r="P161" t="e">
        <f>AND(#REF!,"AAAAAC/18A8=")</f>
        <v>#REF!</v>
      </c>
      <c r="Q161" t="e">
        <f>AND(#REF!,"AAAAAC/18BA=")</f>
        <v>#REF!</v>
      </c>
      <c r="R161" t="e">
        <f>AND(#REF!,"AAAAAC/18BE=")</f>
        <v>#REF!</v>
      </c>
      <c r="S161" t="e">
        <f>AND(#REF!,"AAAAAC/18BI=")</f>
        <v>#REF!</v>
      </c>
      <c r="T161" t="e">
        <f>AND(#REF!,"AAAAAC/18BM=")</f>
        <v>#REF!</v>
      </c>
      <c r="U161" t="e">
        <f>AND(#REF!,"AAAAAC/18BQ=")</f>
        <v>#REF!</v>
      </c>
      <c r="V161" t="e">
        <f>AND(#REF!,"AAAAAC/18BU=")</f>
        <v>#REF!</v>
      </c>
      <c r="W161" t="e">
        <f>IF(#REF!,"AAAAAC/18BY=",0)</f>
        <v>#REF!</v>
      </c>
      <c r="X161" t="e">
        <f>AND(#REF!,"AAAAAC/18Bc=")</f>
        <v>#REF!</v>
      </c>
      <c r="Y161" t="e">
        <f>AND(#REF!,"AAAAAC/18Bg=")</f>
        <v>#REF!</v>
      </c>
      <c r="Z161" t="e">
        <f>AND(#REF!,"AAAAAC/18Bk=")</f>
        <v>#REF!</v>
      </c>
      <c r="AA161" t="e">
        <f>AND(#REF!,"AAAAAC/18Bo=")</f>
        <v>#REF!</v>
      </c>
      <c r="AB161" t="e">
        <f>AND(#REF!,"AAAAAC/18Bs=")</f>
        <v>#REF!</v>
      </c>
      <c r="AC161" t="e">
        <f>AND(#REF!,"AAAAAC/18Bw=")</f>
        <v>#REF!</v>
      </c>
      <c r="AD161" t="e">
        <f>AND(#REF!,"AAAAAC/18B0=")</f>
        <v>#REF!</v>
      </c>
      <c r="AE161" t="e">
        <f>AND(#REF!,"AAAAAC/18B4=")</f>
        <v>#REF!</v>
      </c>
      <c r="AF161" t="e">
        <f>AND(#REF!,"AAAAAC/18B8=")</f>
        <v>#REF!</v>
      </c>
      <c r="AG161" t="e">
        <f>AND(#REF!,"AAAAAC/18CA=")</f>
        <v>#REF!</v>
      </c>
      <c r="AH161" t="e">
        <f>AND(#REF!,"AAAAAC/18CE=")</f>
        <v>#REF!</v>
      </c>
      <c r="AI161" t="e">
        <f>AND(#REF!,"AAAAAC/18CI=")</f>
        <v>#REF!</v>
      </c>
      <c r="AJ161" t="e">
        <f>AND(#REF!,"AAAAAC/18CM=")</f>
        <v>#REF!</v>
      </c>
      <c r="AK161" t="e">
        <f>AND(#REF!,"AAAAAC/18CQ=")</f>
        <v>#REF!</v>
      </c>
      <c r="AL161" t="e">
        <f>AND(#REF!,"AAAAAC/18CU=")</f>
        <v>#REF!</v>
      </c>
      <c r="AM161" t="e">
        <f>AND(#REF!,"AAAAAC/18CY=")</f>
        <v>#REF!</v>
      </c>
      <c r="AN161" t="e">
        <f>AND(#REF!,"AAAAAC/18Cc=")</f>
        <v>#REF!</v>
      </c>
      <c r="AO161" t="e">
        <f>AND(#REF!,"AAAAAC/18Cg=")</f>
        <v>#REF!</v>
      </c>
      <c r="AP161" t="e">
        <f>AND(#REF!,"AAAAAC/18Ck=")</f>
        <v>#REF!</v>
      </c>
      <c r="AQ161" t="e">
        <f>AND(#REF!,"AAAAAC/18Co=")</f>
        <v>#REF!</v>
      </c>
      <c r="AR161" t="e">
        <f>AND(#REF!,"AAAAAC/18Cs=")</f>
        <v>#REF!</v>
      </c>
      <c r="AS161" t="e">
        <f>AND(#REF!,"AAAAAC/18Cw=")</f>
        <v>#REF!</v>
      </c>
      <c r="AT161" t="e">
        <f>IF(#REF!,"AAAAAC/18C0=",0)</f>
        <v>#REF!</v>
      </c>
      <c r="AU161" t="e">
        <f>AND(#REF!,"AAAAAC/18C4=")</f>
        <v>#REF!</v>
      </c>
      <c r="AV161" t="e">
        <f>AND(#REF!,"AAAAAC/18C8=")</f>
        <v>#REF!</v>
      </c>
      <c r="AW161" t="e">
        <f>AND(#REF!,"AAAAAC/18DA=")</f>
        <v>#REF!</v>
      </c>
      <c r="AX161" t="e">
        <f>AND(#REF!,"AAAAAC/18DE=")</f>
        <v>#REF!</v>
      </c>
      <c r="AY161" t="e">
        <f>AND(#REF!,"AAAAAC/18DI=")</f>
        <v>#REF!</v>
      </c>
      <c r="AZ161" t="e">
        <f>AND(#REF!,"AAAAAC/18DM=")</f>
        <v>#REF!</v>
      </c>
      <c r="BA161" t="e">
        <f>AND(#REF!,"AAAAAC/18DQ=")</f>
        <v>#REF!</v>
      </c>
      <c r="BB161" t="e">
        <f>AND(#REF!,"AAAAAC/18DU=")</f>
        <v>#REF!</v>
      </c>
      <c r="BC161" t="e">
        <f>AND(#REF!,"AAAAAC/18DY=")</f>
        <v>#REF!</v>
      </c>
      <c r="BD161" t="e">
        <f>AND(#REF!,"AAAAAC/18Dc=")</f>
        <v>#REF!</v>
      </c>
      <c r="BE161" t="e">
        <f>AND(#REF!,"AAAAAC/18Dg=")</f>
        <v>#REF!</v>
      </c>
      <c r="BF161" t="e">
        <f>AND(#REF!,"AAAAAC/18Dk=")</f>
        <v>#REF!</v>
      </c>
      <c r="BG161" t="e">
        <f>AND(#REF!,"AAAAAC/18Do=")</f>
        <v>#REF!</v>
      </c>
      <c r="BH161" t="e">
        <f>AND(#REF!,"AAAAAC/18Ds=")</f>
        <v>#REF!</v>
      </c>
      <c r="BI161" t="e">
        <f>AND(#REF!,"AAAAAC/18Dw=")</f>
        <v>#REF!</v>
      </c>
      <c r="BJ161" t="e">
        <f>AND(#REF!,"AAAAAC/18D0=")</f>
        <v>#REF!</v>
      </c>
      <c r="BK161" t="e">
        <f>AND(#REF!,"AAAAAC/18D4=")</f>
        <v>#REF!</v>
      </c>
      <c r="BL161" t="e">
        <f>AND(#REF!,"AAAAAC/18D8=")</f>
        <v>#REF!</v>
      </c>
      <c r="BM161" t="e">
        <f>AND(#REF!,"AAAAAC/18EA=")</f>
        <v>#REF!</v>
      </c>
      <c r="BN161" t="e">
        <f>AND(#REF!,"AAAAAC/18EE=")</f>
        <v>#REF!</v>
      </c>
      <c r="BO161" t="e">
        <f>AND(#REF!,"AAAAAC/18EI=")</f>
        <v>#REF!</v>
      </c>
      <c r="BP161" t="e">
        <f>AND(#REF!,"AAAAAC/18EM=")</f>
        <v>#REF!</v>
      </c>
      <c r="BQ161" t="e">
        <f>IF(#REF!,"AAAAAC/18EQ=",0)</f>
        <v>#REF!</v>
      </c>
      <c r="BR161" t="e">
        <f>AND(#REF!,"AAAAAC/18EU=")</f>
        <v>#REF!</v>
      </c>
      <c r="BS161" t="e">
        <f>AND(#REF!,"AAAAAC/18EY=")</f>
        <v>#REF!</v>
      </c>
      <c r="BT161" t="e">
        <f>AND(#REF!,"AAAAAC/18Ec=")</f>
        <v>#REF!</v>
      </c>
      <c r="BU161" t="e">
        <f>AND(#REF!,"AAAAAC/18Eg=")</f>
        <v>#REF!</v>
      </c>
      <c r="BV161" t="e">
        <f>AND(#REF!,"AAAAAC/18Ek=")</f>
        <v>#REF!</v>
      </c>
      <c r="BW161" t="e">
        <f>AND(#REF!,"AAAAAC/18Eo=")</f>
        <v>#REF!</v>
      </c>
      <c r="BX161" t="e">
        <f>AND(#REF!,"AAAAAC/18Es=")</f>
        <v>#REF!</v>
      </c>
      <c r="BY161" t="e">
        <f>AND(#REF!,"AAAAAC/18Ew=")</f>
        <v>#REF!</v>
      </c>
      <c r="BZ161" t="e">
        <f>AND(#REF!,"AAAAAC/18E0=")</f>
        <v>#REF!</v>
      </c>
      <c r="CA161" t="e">
        <f>AND(#REF!,"AAAAAC/18E4=")</f>
        <v>#REF!</v>
      </c>
      <c r="CB161" t="e">
        <f>AND(#REF!,"AAAAAC/18E8=")</f>
        <v>#REF!</v>
      </c>
      <c r="CC161" t="e">
        <f>AND(#REF!,"AAAAAC/18FA=")</f>
        <v>#REF!</v>
      </c>
      <c r="CD161" t="e">
        <f>AND(#REF!,"AAAAAC/18FE=")</f>
        <v>#REF!</v>
      </c>
      <c r="CE161" t="e">
        <f>AND(#REF!,"AAAAAC/18FI=")</f>
        <v>#REF!</v>
      </c>
      <c r="CF161" t="e">
        <f>AND(#REF!,"AAAAAC/18FM=")</f>
        <v>#REF!</v>
      </c>
      <c r="CG161" t="e">
        <f>AND(#REF!,"AAAAAC/18FQ=")</f>
        <v>#REF!</v>
      </c>
      <c r="CH161" t="e">
        <f>AND(#REF!,"AAAAAC/18FU=")</f>
        <v>#REF!</v>
      </c>
      <c r="CI161" t="e">
        <f>AND(#REF!,"AAAAAC/18FY=")</f>
        <v>#REF!</v>
      </c>
      <c r="CJ161" t="e">
        <f>AND(#REF!,"AAAAAC/18Fc=")</f>
        <v>#REF!</v>
      </c>
      <c r="CK161" t="e">
        <f>AND(#REF!,"AAAAAC/18Fg=")</f>
        <v>#REF!</v>
      </c>
      <c r="CL161" t="e">
        <f>AND(#REF!,"AAAAAC/18Fk=")</f>
        <v>#REF!</v>
      </c>
      <c r="CM161" t="e">
        <f>AND(#REF!,"AAAAAC/18Fo=")</f>
        <v>#REF!</v>
      </c>
      <c r="CN161" t="e">
        <f>IF(#REF!,"AAAAAC/18Fs=",0)</f>
        <v>#REF!</v>
      </c>
      <c r="CO161" t="e">
        <f>AND(#REF!,"AAAAAC/18Fw=")</f>
        <v>#REF!</v>
      </c>
      <c r="CP161" t="e">
        <f>AND(#REF!,"AAAAAC/18F0=")</f>
        <v>#REF!</v>
      </c>
      <c r="CQ161" t="e">
        <f>AND(#REF!,"AAAAAC/18F4=")</f>
        <v>#REF!</v>
      </c>
      <c r="CR161" t="e">
        <f>AND(#REF!,"AAAAAC/18F8=")</f>
        <v>#REF!</v>
      </c>
      <c r="CS161" t="e">
        <f>AND(#REF!,"AAAAAC/18GA=")</f>
        <v>#REF!</v>
      </c>
      <c r="CT161" t="e">
        <f>AND(#REF!,"AAAAAC/18GE=")</f>
        <v>#REF!</v>
      </c>
      <c r="CU161" t="e">
        <f>AND(#REF!,"AAAAAC/18GI=")</f>
        <v>#REF!</v>
      </c>
      <c r="CV161" t="e">
        <f>AND(#REF!,"AAAAAC/18GM=")</f>
        <v>#REF!</v>
      </c>
      <c r="CW161" t="e">
        <f>AND(#REF!,"AAAAAC/18GQ=")</f>
        <v>#REF!</v>
      </c>
      <c r="CX161" t="e">
        <f>AND(#REF!,"AAAAAC/18GU=")</f>
        <v>#REF!</v>
      </c>
      <c r="CY161" t="e">
        <f>AND(#REF!,"AAAAAC/18GY=")</f>
        <v>#REF!</v>
      </c>
      <c r="CZ161" t="e">
        <f>AND(#REF!,"AAAAAC/18Gc=")</f>
        <v>#REF!</v>
      </c>
      <c r="DA161" t="e">
        <f>AND(#REF!,"AAAAAC/18Gg=")</f>
        <v>#REF!</v>
      </c>
      <c r="DB161" t="e">
        <f>AND(#REF!,"AAAAAC/18Gk=")</f>
        <v>#REF!</v>
      </c>
      <c r="DC161" t="e">
        <f>AND(#REF!,"AAAAAC/18Go=")</f>
        <v>#REF!</v>
      </c>
      <c r="DD161" t="e">
        <f>AND(#REF!,"AAAAAC/18Gs=")</f>
        <v>#REF!</v>
      </c>
      <c r="DE161" t="e">
        <f>AND(#REF!,"AAAAAC/18Gw=")</f>
        <v>#REF!</v>
      </c>
      <c r="DF161" t="e">
        <f>AND(#REF!,"AAAAAC/18G0=")</f>
        <v>#REF!</v>
      </c>
      <c r="DG161" t="e">
        <f>AND(#REF!,"AAAAAC/18G4=")</f>
        <v>#REF!</v>
      </c>
      <c r="DH161" t="e">
        <f>AND(#REF!,"AAAAAC/18G8=")</f>
        <v>#REF!</v>
      </c>
      <c r="DI161" t="e">
        <f>AND(#REF!,"AAAAAC/18HA=")</f>
        <v>#REF!</v>
      </c>
      <c r="DJ161" t="e">
        <f>AND(#REF!,"AAAAAC/18HE=")</f>
        <v>#REF!</v>
      </c>
      <c r="DK161" t="e">
        <f>IF(#REF!,"AAAAAC/18HI=",0)</f>
        <v>#REF!</v>
      </c>
      <c r="DL161" t="e">
        <f>AND(#REF!,"AAAAAC/18HM=")</f>
        <v>#REF!</v>
      </c>
      <c r="DM161" t="e">
        <f>AND(#REF!,"AAAAAC/18HQ=")</f>
        <v>#REF!</v>
      </c>
      <c r="DN161" t="e">
        <f>AND(#REF!,"AAAAAC/18HU=")</f>
        <v>#REF!</v>
      </c>
      <c r="DO161" t="e">
        <f>AND(#REF!,"AAAAAC/18HY=")</f>
        <v>#REF!</v>
      </c>
      <c r="DP161" t="e">
        <f>AND(#REF!,"AAAAAC/18Hc=")</f>
        <v>#REF!</v>
      </c>
      <c r="DQ161" t="e">
        <f>AND(#REF!,"AAAAAC/18Hg=")</f>
        <v>#REF!</v>
      </c>
      <c r="DR161" t="e">
        <f>AND(#REF!,"AAAAAC/18Hk=")</f>
        <v>#REF!</v>
      </c>
      <c r="DS161" t="e">
        <f>AND(#REF!,"AAAAAC/18Ho=")</f>
        <v>#REF!</v>
      </c>
      <c r="DT161" t="e">
        <f>AND(#REF!,"AAAAAC/18Hs=")</f>
        <v>#REF!</v>
      </c>
      <c r="DU161" t="e">
        <f>AND(#REF!,"AAAAAC/18Hw=")</f>
        <v>#REF!</v>
      </c>
      <c r="DV161" t="e">
        <f>AND(#REF!,"AAAAAC/18H0=")</f>
        <v>#REF!</v>
      </c>
      <c r="DW161" t="e">
        <f>AND(#REF!,"AAAAAC/18H4=")</f>
        <v>#REF!</v>
      </c>
      <c r="DX161" t="e">
        <f>AND(#REF!,"AAAAAC/18H8=")</f>
        <v>#REF!</v>
      </c>
      <c r="DY161" t="e">
        <f>AND(#REF!,"AAAAAC/18IA=")</f>
        <v>#REF!</v>
      </c>
      <c r="DZ161" t="e">
        <f>AND(#REF!,"AAAAAC/18IE=")</f>
        <v>#REF!</v>
      </c>
      <c r="EA161" t="e">
        <f>AND(#REF!,"AAAAAC/18II=")</f>
        <v>#REF!</v>
      </c>
      <c r="EB161" t="e">
        <f>AND(#REF!,"AAAAAC/18IM=")</f>
        <v>#REF!</v>
      </c>
      <c r="EC161" t="e">
        <f>AND(#REF!,"AAAAAC/18IQ=")</f>
        <v>#REF!</v>
      </c>
      <c r="ED161" t="e">
        <f>AND(#REF!,"AAAAAC/18IU=")</f>
        <v>#REF!</v>
      </c>
      <c r="EE161" t="e">
        <f>AND(#REF!,"AAAAAC/18IY=")</f>
        <v>#REF!</v>
      </c>
      <c r="EF161" t="e">
        <f>AND(#REF!,"AAAAAC/18Ic=")</f>
        <v>#REF!</v>
      </c>
      <c r="EG161" t="e">
        <f>AND(#REF!,"AAAAAC/18Ig=")</f>
        <v>#REF!</v>
      </c>
      <c r="EH161" t="e">
        <f>IF(#REF!,"AAAAAC/18Ik=",0)</f>
        <v>#REF!</v>
      </c>
      <c r="EI161" t="e">
        <f>AND(#REF!,"AAAAAC/18Io=")</f>
        <v>#REF!</v>
      </c>
      <c r="EJ161" t="e">
        <f>AND(#REF!,"AAAAAC/18Is=")</f>
        <v>#REF!</v>
      </c>
      <c r="EK161" t="e">
        <f>AND(#REF!,"AAAAAC/18Iw=")</f>
        <v>#REF!</v>
      </c>
      <c r="EL161" t="e">
        <f>AND(#REF!,"AAAAAC/18I0=")</f>
        <v>#REF!</v>
      </c>
      <c r="EM161" t="e">
        <f>AND(#REF!,"AAAAAC/18I4=")</f>
        <v>#REF!</v>
      </c>
      <c r="EN161" t="e">
        <f>AND(#REF!,"AAAAAC/18I8=")</f>
        <v>#REF!</v>
      </c>
      <c r="EO161" t="e">
        <f>AND(#REF!,"AAAAAC/18JA=")</f>
        <v>#REF!</v>
      </c>
      <c r="EP161" t="e">
        <f>AND(#REF!,"AAAAAC/18JE=")</f>
        <v>#REF!</v>
      </c>
      <c r="EQ161" t="e">
        <f>AND(#REF!,"AAAAAC/18JI=")</f>
        <v>#REF!</v>
      </c>
      <c r="ER161" t="e">
        <f>AND(#REF!,"AAAAAC/18JM=")</f>
        <v>#REF!</v>
      </c>
      <c r="ES161" t="e">
        <f>AND(#REF!,"AAAAAC/18JQ=")</f>
        <v>#REF!</v>
      </c>
      <c r="ET161" t="e">
        <f>AND(#REF!,"AAAAAC/18JU=")</f>
        <v>#REF!</v>
      </c>
      <c r="EU161" t="e">
        <f>AND(#REF!,"AAAAAC/18JY=")</f>
        <v>#REF!</v>
      </c>
      <c r="EV161" t="e">
        <f>AND(#REF!,"AAAAAC/18Jc=")</f>
        <v>#REF!</v>
      </c>
      <c r="EW161" t="e">
        <f>AND(#REF!,"AAAAAC/18Jg=")</f>
        <v>#REF!</v>
      </c>
      <c r="EX161" t="e">
        <f>AND(#REF!,"AAAAAC/18Jk=")</f>
        <v>#REF!</v>
      </c>
      <c r="EY161" t="e">
        <f>AND(#REF!,"AAAAAC/18Jo=")</f>
        <v>#REF!</v>
      </c>
      <c r="EZ161" t="e">
        <f>AND(#REF!,"AAAAAC/18Js=")</f>
        <v>#REF!</v>
      </c>
      <c r="FA161" t="e">
        <f>AND(#REF!,"AAAAAC/18Jw=")</f>
        <v>#REF!</v>
      </c>
      <c r="FB161" t="e">
        <f>AND(#REF!,"AAAAAC/18J0=")</f>
        <v>#REF!</v>
      </c>
      <c r="FC161" t="e">
        <f>AND(#REF!,"AAAAAC/18J4=")</f>
        <v>#REF!</v>
      </c>
      <c r="FD161" t="e">
        <f>AND(#REF!,"AAAAAC/18J8=")</f>
        <v>#REF!</v>
      </c>
      <c r="FE161" t="e">
        <f>IF(#REF!,"AAAAAC/18KA=",0)</f>
        <v>#REF!</v>
      </c>
      <c r="FF161" t="e">
        <f>AND(#REF!,"AAAAAC/18KE=")</f>
        <v>#REF!</v>
      </c>
      <c r="FG161" t="e">
        <f>AND(#REF!,"AAAAAC/18KI=")</f>
        <v>#REF!</v>
      </c>
      <c r="FH161" t="e">
        <f>AND(#REF!,"AAAAAC/18KM=")</f>
        <v>#REF!</v>
      </c>
      <c r="FI161" t="e">
        <f>AND(#REF!,"AAAAAC/18KQ=")</f>
        <v>#REF!</v>
      </c>
      <c r="FJ161" t="e">
        <f>AND(#REF!,"AAAAAC/18KU=")</f>
        <v>#REF!</v>
      </c>
      <c r="FK161" t="e">
        <f>AND(#REF!,"AAAAAC/18KY=")</f>
        <v>#REF!</v>
      </c>
      <c r="FL161" t="e">
        <f>AND(#REF!,"AAAAAC/18Kc=")</f>
        <v>#REF!</v>
      </c>
      <c r="FM161" t="e">
        <f>AND(#REF!,"AAAAAC/18Kg=")</f>
        <v>#REF!</v>
      </c>
      <c r="FN161" t="e">
        <f>AND(#REF!,"AAAAAC/18Kk=")</f>
        <v>#REF!</v>
      </c>
      <c r="FO161" t="e">
        <f>AND(#REF!,"AAAAAC/18Ko=")</f>
        <v>#REF!</v>
      </c>
      <c r="FP161" t="e">
        <f>AND(#REF!,"AAAAAC/18Ks=")</f>
        <v>#REF!</v>
      </c>
      <c r="FQ161" t="e">
        <f>AND(#REF!,"AAAAAC/18Kw=")</f>
        <v>#REF!</v>
      </c>
      <c r="FR161" t="e">
        <f>AND(#REF!,"AAAAAC/18K0=")</f>
        <v>#REF!</v>
      </c>
      <c r="FS161" t="e">
        <f>AND(#REF!,"AAAAAC/18K4=")</f>
        <v>#REF!</v>
      </c>
      <c r="FT161" t="e">
        <f>AND(#REF!,"AAAAAC/18K8=")</f>
        <v>#REF!</v>
      </c>
      <c r="FU161" t="e">
        <f>AND(#REF!,"AAAAAC/18LA=")</f>
        <v>#REF!</v>
      </c>
      <c r="FV161" t="e">
        <f>AND(#REF!,"AAAAAC/18LE=")</f>
        <v>#REF!</v>
      </c>
      <c r="FW161" t="e">
        <f>AND(#REF!,"AAAAAC/18LI=")</f>
        <v>#REF!</v>
      </c>
      <c r="FX161" t="e">
        <f>AND(#REF!,"AAAAAC/18LM=")</f>
        <v>#REF!</v>
      </c>
      <c r="FY161" t="e">
        <f>AND(#REF!,"AAAAAC/18LQ=")</f>
        <v>#REF!</v>
      </c>
      <c r="FZ161" t="e">
        <f>AND(#REF!,"AAAAAC/18LU=")</f>
        <v>#REF!</v>
      </c>
      <c r="GA161" t="e">
        <f>AND(#REF!,"AAAAAC/18LY=")</f>
        <v>#REF!</v>
      </c>
      <c r="GB161" t="e">
        <f>IF(#REF!,"AAAAAC/18Lc=",0)</f>
        <v>#REF!</v>
      </c>
      <c r="GC161" t="e">
        <f>AND(#REF!,"AAAAAC/18Lg=")</f>
        <v>#REF!</v>
      </c>
      <c r="GD161" t="e">
        <f>AND(#REF!,"AAAAAC/18Lk=")</f>
        <v>#REF!</v>
      </c>
      <c r="GE161" t="e">
        <f>AND(#REF!,"AAAAAC/18Lo=")</f>
        <v>#REF!</v>
      </c>
      <c r="GF161" t="e">
        <f>AND(#REF!,"AAAAAC/18Ls=")</f>
        <v>#REF!</v>
      </c>
      <c r="GG161" t="e">
        <f>AND(#REF!,"AAAAAC/18Lw=")</f>
        <v>#REF!</v>
      </c>
      <c r="GH161" t="e">
        <f>AND(#REF!,"AAAAAC/18L0=")</f>
        <v>#REF!</v>
      </c>
      <c r="GI161" t="e">
        <f>AND(#REF!,"AAAAAC/18L4=")</f>
        <v>#REF!</v>
      </c>
      <c r="GJ161" t="e">
        <f>AND(#REF!,"AAAAAC/18L8=")</f>
        <v>#REF!</v>
      </c>
      <c r="GK161" t="e">
        <f>AND(#REF!,"AAAAAC/18MA=")</f>
        <v>#REF!</v>
      </c>
      <c r="GL161" t="e">
        <f>AND(#REF!,"AAAAAC/18ME=")</f>
        <v>#REF!</v>
      </c>
      <c r="GM161" t="e">
        <f>AND(#REF!,"AAAAAC/18MI=")</f>
        <v>#REF!</v>
      </c>
      <c r="GN161" t="e">
        <f>AND(#REF!,"AAAAAC/18MM=")</f>
        <v>#REF!</v>
      </c>
      <c r="GO161" t="e">
        <f>AND(#REF!,"AAAAAC/18MQ=")</f>
        <v>#REF!</v>
      </c>
      <c r="GP161" t="e">
        <f>AND(#REF!,"AAAAAC/18MU=")</f>
        <v>#REF!</v>
      </c>
      <c r="GQ161" t="e">
        <f>AND(#REF!,"AAAAAC/18MY=")</f>
        <v>#REF!</v>
      </c>
      <c r="GR161" t="e">
        <f>AND(#REF!,"AAAAAC/18Mc=")</f>
        <v>#REF!</v>
      </c>
      <c r="GS161" t="e">
        <f>AND(#REF!,"AAAAAC/18Mg=")</f>
        <v>#REF!</v>
      </c>
      <c r="GT161" t="e">
        <f>AND(#REF!,"AAAAAC/18Mk=")</f>
        <v>#REF!</v>
      </c>
      <c r="GU161" t="e">
        <f>AND(#REF!,"AAAAAC/18Mo=")</f>
        <v>#REF!</v>
      </c>
      <c r="GV161" t="e">
        <f>AND(#REF!,"AAAAAC/18Ms=")</f>
        <v>#REF!</v>
      </c>
      <c r="GW161" t="e">
        <f>AND(#REF!,"AAAAAC/18Mw=")</f>
        <v>#REF!</v>
      </c>
      <c r="GX161" t="e">
        <f>AND(#REF!,"AAAAAC/18M0=")</f>
        <v>#REF!</v>
      </c>
      <c r="GY161" t="e">
        <f>IF(#REF!,"AAAAAC/18M4=",0)</f>
        <v>#REF!</v>
      </c>
      <c r="GZ161" t="e">
        <f>AND(#REF!,"AAAAAC/18M8=")</f>
        <v>#REF!</v>
      </c>
      <c r="HA161" t="e">
        <f>AND(#REF!,"AAAAAC/18NA=")</f>
        <v>#REF!</v>
      </c>
      <c r="HB161" t="e">
        <f>AND(#REF!,"AAAAAC/18NE=")</f>
        <v>#REF!</v>
      </c>
      <c r="HC161" t="e">
        <f>AND(#REF!,"AAAAAC/18NI=")</f>
        <v>#REF!</v>
      </c>
      <c r="HD161" t="e">
        <f>AND(#REF!,"AAAAAC/18NM=")</f>
        <v>#REF!</v>
      </c>
      <c r="HE161" t="e">
        <f>AND(#REF!,"AAAAAC/18NQ=")</f>
        <v>#REF!</v>
      </c>
      <c r="HF161" t="e">
        <f>AND(#REF!,"AAAAAC/18NU=")</f>
        <v>#REF!</v>
      </c>
      <c r="HG161" t="e">
        <f>AND(#REF!,"AAAAAC/18NY=")</f>
        <v>#REF!</v>
      </c>
      <c r="HH161" t="e">
        <f>AND(#REF!,"AAAAAC/18Nc=")</f>
        <v>#REF!</v>
      </c>
      <c r="HI161" t="e">
        <f>AND(#REF!,"AAAAAC/18Ng=")</f>
        <v>#REF!</v>
      </c>
      <c r="HJ161" t="e">
        <f>AND(#REF!,"AAAAAC/18Nk=")</f>
        <v>#REF!</v>
      </c>
      <c r="HK161" t="e">
        <f>AND(#REF!,"AAAAAC/18No=")</f>
        <v>#REF!</v>
      </c>
      <c r="HL161" t="e">
        <f>AND(#REF!,"AAAAAC/18Ns=")</f>
        <v>#REF!</v>
      </c>
      <c r="HM161" t="e">
        <f>AND(#REF!,"AAAAAC/18Nw=")</f>
        <v>#REF!</v>
      </c>
      <c r="HN161" t="e">
        <f>AND(#REF!,"AAAAAC/18N0=")</f>
        <v>#REF!</v>
      </c>
      <c r="HO161" t="e">
        <f>AND(#REF!,"AAAAAC/18N4=")</f>
        <v>#REF!</v>
      </c>
      <c r="HP161" t="e">
        <f>AND(#REF!,"AAAAAC/18N8=")</f>
        <v>#REF!</v>
      </c>
      <c r="HQ161" t="e">
        <f>AND(#REF!,"AAAAAC/18OA=")</f>
        <v>#REF!</v>
      </c>
      <c r="HR161" t="e">
        <f>AND(#REF!,"AAAAAC/18OE=")</f>
        <v>#REF!</v>
      </c>
      <c r="HS161" t="e">
        <f>AND(#REF!,"AAAAAC/18OI=")</f>
        <v>#REF!</v>
      </c>
      <c r="HT161" t="e">
        <f>AND(#REF!,"AAAAAC/18OM=")</f>
        <v>#REF!</v>
      </c>
      <c r="HU161" t="e">
        <f>AND(#REF!,"AAAAAC/18OQ=")</f>
        <v>#REF!</v>
      </c>
      <c r="HV161" t="e">
        <f>IF(#REF!,"AAAAAC/18OU=",0)</f>
        <v>#REF!</v>
      </c>
      <c r="HW161" t="e">
        <f>AND(#REF!,"AAAAAC/18OY=")</f>
        <v>#REF!</v>
      </c>
      <c r="HX161" t="e">
        <f>AND(#REF!,"AAAAAC/18Oc=")</f>
        <v>#REF!</v>
      </c>
      <c r="HY161" t="e">
        <f>AND(#REF!,"AAAAAC/18Og=")</f>
        <v>#REF!</v>
      </c>
      <c r="HZ161" t="e">
        <f>AND(#REF!,"AAAAAC/18Ok=")</f>
        <v>#REF!</v>
      </c>
      <c r="IA161" t="e">
        <f>AND(#REF!,"AAAAAC/18Oo=")</f>
        <v>#REF!</v>
      </c>
      <c r="IB161" t="e">
        <f>AND(#REF!,"AAAAAC/18Os=")</f>
        <v>#REF!</v>
      </c>
      <c r="IC161" t="e">
        <f>AND(#REF!,"AAAAAC/18Ow=")</f>
        <v>#REF!</v>
      </c>
      <c r="ID161" t="e">
        <f>AND(#REF!,"AAAAAC/18O0=")</f>
        <v>#REF!</v>
      </c>
      <c r="IE161" t="e">
        <f>AND(#REF!,"AAAAAC/18O4=")</f>
        <v>#REF!</v>
      </c>
      <c r="IF161" t="e">
        <f>AND(#REF!,"AAAAAC/18O8=")</f>
        <v>#REF!</v>
      </c>
      <c r="IG161" t="e">
        <f>AND(#REF!,"AAAAAC/18PA=")</f>
        <v>#REF!</v>
      </c>
      <c r="IH161" t="e">
        <f>AND(#REF!,"AAAAAC/18PE=")</f>
        <v>#REF!</v>
      </c>
      <c r="II161" t="e">
        <f>AND(#REF!,"AAAAAC/18PI=")</f>
        <v>#REF!</v>
      </c>
      <c r="IJ161" t="e">
        <f>AND(#REF!,"AAAAAC/18PM=")</f>
        <v>#REF!</v>
      </c>
      <c r="IK161" t="e">
        <f>AND(#REF!,"AAAAAC/18PQ=")</f>
        <v>#REF!</v>
      </c>
      <c r="IL161" t="e">
        <f>AND(#REF!,"AAAAAC/18PU=")</f>
        <v>#REF!</v>
      </c>
      <c r="IM161" t="e">
        <f>AND(#REF!,"AAAAAC/18PY=")</f>
        <v>#REF!</v>
      </c>
      <c r="IN161" t="e">
        <f>AND(#REF!,"AAAAAC/18Pc=")</f>
        <v>#REF!</v>
      </c>
      <c r="IO161" t="e">
        <f>AND(#REF!,"AAAAAC/18Pg=")</f>
        <v>#REF!</v>
      </c>
      <c r="IP161" t="e">
        <f>AND(#REF!,"AAAAAC/18Pk=")</f>
        <v>#REF!</v>
      </c>
      <c r="IQ161" t="e">
        <f>AND(#REF!,"AAAAAC/18Po=")</f>
        <v>#REF!</v>
      </c>
      <c r="IR161" t="e">
        <f>AND(#REF!,"AAAAAC/18Ps=")</f>
        <v>#REF!</v>
      </c>
      <c r="IS161" t="e">
        <f>IF(#REF!,"AAAAAC/18Pw=",0)</f>
        <v>#REF!</v>
      </c>
      <c r="IT161" t="e">
        <f>AND(#REF!,"AAAAAC/18P0=")</f>
        <v>#REF!</v>
      </c>
      <c r="IU161" t="e">
        <f>AND(#REF!,"AAAAAC/18P4=")</f>
        <v>#REF!</v>
      </c>
      <c r="IV161" t="e">
        <f>AND(#REF!,"AAAAAC/18P8=")</f>
        <v>#REF!</v>
      </c>
    </row>
    <row r="162" spans="1:256" x14ac:dyDescent="0.2">
      <c r="A162" t="e">
        <f>AND(#REF!,"AAAAAH/u9wA=")</f>
        <v>#REF!</v>
      </c>
      <c r="B162" t="e">
        <f>AND(#REF!,"AAAAAH/u9wE=")</f>
        <v>#REF!</v>
      </c>
      <c r="C162" t="e">
        <f>AND(#REF!,"AAAAAH/u9wI=")</f>
        <v>#REF!</v>
      </c>
      <c r="D162" t="e">
        <f>AND(#REF!,"AAAAAH/u9wM=")</f>
        <v>#REF!</v>
      </c>
      <c r="E162" t="e">
        <f>AND(#REF!,"AAAAAH/u9wQ=")</f>
        <v>#REF!</v>
      </c>
      <c r="F162" t="e">
        <f>AND(#REF!,"AAAAAH/u9wU=")</f>
        <v>#REF!</v>
      </c>
      <c r="G162" t="e">
        <f>AND(#REF!,"AAAAAH/u9wY=")</f>
        <v>#REF!</v>
      </c>
      <c r="H162" t="e">
        <f>AND(#REF!,"AAAAAH/u9wc=")</f>
        <v>#REF!</v>
      </c>
      <c r="I162" t="e">
        <f>AND(#REF!,"AAAAAH/u9wg=")</f>
        <v>#REF!</v>
      </c>
      <c r="J162" t="e">
        <f>AND(#REF!,"AAAAAH/u9wk=")</f>
        <v>#REF!</v>
      </c>
      <c r="K162" t="e">
        <f>AND(#REF!,"AAAAAH/u9wo=")</f>
        <v>#REF!</v>
      </c>
      <c r="L162" t="e">
        <f>AND(#REF!,"AAAAAH/u9ws=")</f>
        <v>#REF!</v>
      </c>
      <c r="M162" t="e">
        <f>AND(#REF!,"AAAAAH/u9ww=")</f>
        <v>#REF!</v>
      </c>
      <c r="N162" t="e">
        <f>AND(#REF!,"AAAAAH/u9w0=")</f>
        <v>#REF!</v>
      </c>
      <c r="O162" t="e">
        <f>AND(#REF!,"AAAAAH/u9w4=")</f>
        <v>#REF!</v>
      </c>
      <c r="P162" t="e">
        <f>AND(#REF!,"AAAAAH/u9w8=")</f>
        <v>#REF!</v>
      </c>
      <c r="Q162" t="e">
        <f>AND(#REF!,"AAAAAH/u9xA=")</f>
        <v>#REF!</v>
      </c>
      <c r="R162" t="e">
        <f>AND(#REF!,"AAAAAH/u9xE=")</f>
        <v>#REF!</v>
      </c>
      <c r="S162" t="e">
        <f>AND(#REF!,"AAAAAH/u9xI=")</f>
        <v>#REF!</v>
      </c>
      <c r="T162" t="e">
        <f>IF(#REF!,"AAAAAH/u9xM=",0)</f>
        <v>#REF!</v>
      </c>
      <c r="U162" t="e">
        <f>AND(#REF!,"AAAAAH/u9xQ=")</f>
        <v>#REF!</v>
      </c>
      <c r="V162" t="e">
        <f>AND(#REF!,"AAAAAH/u9xU=")</f>
        <v>#REF!</v>
      </c>
      <c r="W162" t="e">
        <f>AND(#REF!,"AAAAAH/u9xY=")</f>
        <v>#REF!</v>
      </c>
      <c r="X162" t="e">
        <f>AND(#REF!,"AAAAAH/u9xc=")</f>
        <v>#REF!</v>
      </c>
      <c r="Y162" t="e">
        <f>AND(#REF!,"AAAAAH/u9xg=")</f>
        <v>#REF!</v>
      </c>
      <c r="Z162" t="e">
        <f>AND(#REF!,"AAAAAH/u9xk=")</f>
        <v>#REF!</v>
      </c>
      <c r="AA162" t="e">
        <f>AND(#REF!,"AAAAAH/u9xo=")</f>
        <v>#REF!</v>
      </c>
      <c r="AB162" t="e">
        <f>AND(#REF!,"AAAAAH/u9xs=")</f>
        <v>#REF!</v>
      </c>
      <c r="AC162" t="e">
        <f>AND(#REF!,"AAAAAH/u9xw=")</f>
        <v>#REF!</v>
      </c>
      <c r="AD162" t="e">
        <f>AND(#REF!,"AAAAAH/u9x0=")</f>
        <v>#REF!</v>
      </c>
      <c r="AE162" t="e">
        <f>AND(#REF!,"AAAAAH/u9x4=")</f>
        <v>#REF!</v>
      </c>
      <c r="AF162" t="e">
        <f>AND(#REF!,"AAAAAH/u9x8=")</f>
        <v>#REF!</v>
      </c>
      <c r="AG162" t="e">
        <f>AND(#REF!,"AAAAAH/u9yA=")</f>
        <v>#REF!</v>
      </c>
      <c r="AH162" t="e">
        <f>AND(#REF!,"AAAAAH/u9yE=")</f>
        <v>#REF!</v>
      </c>
      <c r="AI162" t="e">
        <f>AND(#REF!,"AAAAAH/u9yI=")</f>
        <v>#REF!</v>
      </c>
      <c r="AJ162" t="e">
        <f>AND(#REF!,"AAAAAH/u9yM=")</f>
        <v>#REF!</v>
      </c>
      <c r="AK162" t="e">
        <f>AND(#REF!,"AAAAAH/u9yQ=")</f>
        <v>#REF!</v>
      </c>
      <c r="AL162" t="e">
        <f>AND(#REF!,"AAAAAH/u9yU=")</f>
        <v>#REF!</v>
      </c>
      <c r="AM162" t="e">
        <f>AND(#REF!,"AAAAAH/u9yY=")</f>
        <v>#REF!</v>
      </c>
      <c r="AN162" t="e">
        <f>AND(#REF!,"AAAAAH/u9yc=")</f>
        <v>#REF!</v>
      </c>
      <c r="AO162" t="e">
        <f>AND(#REF!,"AAAAAH/u9yg=")</f>
        <v>#REF!</v>
      </c>
      <c r="AP162" t="e">
        <f>AND(#REF!,"AAAAAH/u9yk=")</f>
        <v>#REF!</v>
      </c>
      <c r="AQ162" t="e">
        <f>IF(#REF!,"AAAAAH/u9yo=",0)</f>
        <v>#REF!</v>
      </c>
      <c r="AR162" t="e">
        <f>AND(#REF!,"AAAAAH/u9ys=")</f>
        <v>#REF!</v>
      </c>
      <c r="AS162" t="e">
        <f>AND(#REF!,"AAAAAH/u9yw=")</f>
        <v>#REF!</v>
      </c>
      <c r="AT162" t="e">
        <f>AND(#REF!,"AAAAAH/u9y0=")</f>
        <v>#REF!</v>
      </c>
      <c r="AU162" t="e">
        <f>AND(#REF!,"AAAAAH/u9y4=")</f>
        <v>#REF!</v>
      </c>
      <c r="AV162" t="e">
        <f>AND(#REF!,"AAAAAH/u9y8=")</f>
        <v>#REF!</v>
      </c>
      <c r="AW162" t="e">
        <f>AND(#REF!,"AAAAAH/u9zA=")</f>
        <v>#REF!</v>
      </c>
      <c r="AX162" t="e">
        <f>AND(#REF!,"AAAAAH/u9zE=")</f>
        <v>#REF!</v>
      </c>
      <c r="AY162" t="e">
        <f>AND(#REF!,"AAAAAH/u9zI=")</f>
        <v>#REF!</v>
      </c>
      <c r="AZ162" t="e">
        <f>AND(#REF!,"AAAAAH/u9zM=")</f>
        <v>#REF!</v>
      </c>
      <c r="BA162" t="e">
        <f>AND(#REF!,"AAAAAH/u9zQ=")</f>
        <v>#REF!</v>
      </c>
      <c r="BB162" t="e">
        <f>AND(#REF!,"AAAAAH/u9zU=")</f>
        <v>#REF!</v>
      </c>
      <c r="BC162" t="e">
        <f>AND(#REF!,"AAAAAH/u9zY=")</f>
        <v>#REF!</v>
      </c>
      <c r="BD162" t="e">
        <f>AND(#REF!,"AAAAAH/u9zc=")</f>
        <v>#REF!</v>
      </c>
      <c r="BE162" t="e">
        <f>AND(#REF!,"AAAAAH/u9zg=")</f>
        <v>#REF!</v>
      </c>
      <c r="BF162" t="e">
        <f>AND(#REF!,"AAAAAH/u9zk=")</f>
        <v>#REF!</v>
      </c>
      <c r="BG162" t="e">
        <f>AND(#REF!,"AAAAAH/u9zo=")</f>
        <v>#REF!</v>
      </c>
      <c r="BH162" t="e">
        <f>AND(#REF!,"AAAAAH/u9zs=")</f>
        <v>#REF!</v>
      </c>
      <c r="BI162" t="e">
        <f>AND(#REF!,"AAAAAH/u9zw=")</f>
        <v>#REF!</v>
      </c>
      <c r="BJ162" t="e">
        <f>AND(#REF!,"AAAAAH/u9z0=")</f>
        <v>#REF!</v>
      </c>
      <c r="BK162" t="e">
        <f>AND(#REF!,"AAAAAH/u9z4=")</f>
        <v>#REF!</v>
      </c>
      <c r="BL162" t="e">
        <f>AND(#REF!,"AAAAAH/u9z8=")</f>
        <v>#REF!</v>
      </c>
      <c r="BM162" t="e">
        <f>AND(#REF!,"AAAAAH/u90A=")</f>
        <v>#REF!</v>
      </c>
      <c r="BN162" t="e">
        <f>IF(#REF!,"AAAAAH/u90E=",0)</f>
        <v>#REF!</v>
      </c>
      <c r="BO162" t="e">
        <f>AND(#REF!,"AAAAAH/u90I=")</f>
        <v>#REF!</v>
      </c>
      <c r="BP162" t="e">
        <f>AND(#REF!,"AAAAAH/u90M=")</f>
        <v>#REF!</v>
      </c>
      <c r="BQ162" t="e">
        <f>AND(#REF!,"AAAAAH/u90Q=")</f>
        <v>#REF!</v>
      </c>
      <c r="BR162" t="e">
        <f>AND(#REF!,"AAAAAH/u90U=")</f>
        <v>#REF!</v>
      </c>
      <c r="BS162" t="e">
        <f>AND(#REF!,"AAAAAH/u90Y=")</f>
        <v>#REF!</v>
      </c>
      <c r="BT162" t="e">
        <f>AND(#REF!,"AAAAAH/u90c=")</f>
        <v>#REF!</v>
      </c>
      <c r="BU162" t="e">
        <f>AND(#REF!,"AAAAAH/u90g=")</f>
        <v>#REF!</v>
      </c>
      <c r="BV162" t="e">
        <f>AND(#REF!,"AAAAAH/u90k=")</f>
        <v>#REF!</v>
      </c>
      <c r="BW162" t="e">
        <f>AND(#REF!,"AAAAAH/u90o=")</f>
        <v>#REF!</v>
      </c>
      <c r="BX162" t="e">
        <f>AND(#REF!,"AAAAAH/u90s=")</f>
        <v>#REF!</v>
      </c>
      <c r="BY162" t="e">
        <f>AND(#REF!,"AAAAAH/u90w=")</f>
        <v>#REF!</v>
      </c>
      <c r="BZ162" t="e">
        <f>AND(#REF!,"AAAAAH/u900=")</f>
        <v>#REF!</v>
      </c>
      <c r="CA162" t="e">
        <f>AND(#REF!,"AAAAAH/u904=")</f>
        <v>#REF!</v>
      </c>
      <c r="CB162" t="e">
        <f>AND(#REF!,"AAAAAH/u908=")</f>
        <v>#REF!</v>
      </c>
      <c r="CC162" t="e">
        <f>AND(#REF!,"AAAAAH/u91A=")</f>
        <v>#REF!</v>
      </c>
      <c r="CD162" t="e">
        <f>AND(#REF!,"AAAAAH/u91E=")</f>
        <v>#REF!</v>
      </c>
      <c r="CE162" t="e">
        <f>AND(#REF!,"AAAAAH/u91I=")</f>
        <v>#REF!</v>
      </c>
      <c r="CF162" t="e">
        <f>AND(#REF!,"AAAAAH/u91M=")</f>
        <v>#REF!</v>
      </c>
      <c r="CG162" t="e">
        <f>AND(#REF!,"AAAAAH/u91Q=")</f>
        <v>#REF!</v>
      </c>
      <c r="CH162" t="e">
        <f>AND(#REF!,"AAAAAH/u91U=")</f>
        <v>#REF!</v>
      </c>
      <c r="CI162" t="e">
        <f>AND(#REF!,"AAAAAH/u91Y=")</f>
        <v>#REF!</v>
      </c>
      <c r="CJ162" t="e">
        <f>AND(#REF!,"AAAAAH/u91c=")</f>
        <v>#REF!</v>
      </c>
      <c r="CK162" t="e">
        <f>IF(#REF!,"AAAAAH/u91g=",0)</f>
        <v>#REF!</v>
      </c>
      <c r="CL162" t="e">
        <f>AND(#REF!,"AAAAAH/u91k=")</f>
        <v>#REF!</v>
      </c>
      <c r="CM162" t="e">
        <f>AND(#REF!,"AAAAAH/u91o=")</f>
        <v>#REF!</v>
      </c>
      <c r="CN162" t="e">
        <f>AND(#REF!,"AAAAAH/u91s=")</f>
        <v>#REF!</v>
      </c>
      <c r="CO162" t="e">
        <f>AND(#REF!,"AAAAAH/u91w=")</f>
        <v>#REF!</v>
      </c>
      <c r="CP162" t="e">
        <f>AND(#REF!,"AAAAAH/u910=")</f>
        <v>#REF!</v>
      </c>
      <c r="CQ162" t="e">
        <f>AND(#REF!,"AAAAAH/u914=")</f>
        <v>#REF!</v>
      </c>
      <c r="CR162" t="e">
        <f>AND(#REF!,"AAAAAH/u918=")</f>
        <v>#REF!</v>
      </c>
      <c r="CS162" t="e">
        <f>AND(#REF!,"AAAAAH/u92A=")</f>
        <v>#REF!</v>
      </c>
      <c r="CT162" t="e">
        <f>AND(#REF!,"AAAAAH/u92E=")</f>
        <v>#REF!</v>
      </c>
      <c r="CU162" t="e">
        <f>AND(#REF!,"AAAAAH/u92I=")</f>
        <v>#REF!</v>
      </c>
      <c r="CV162" t="e">
        <f>AND(#REF!,"AAAAAH/u92M=")</f>
        <v>#REF!</v>
      </c>
      <c r="CW162" t="e">
        <f>AND(#REF!,"AAAAAH/u92Q=")</f>
        <v>#REF!</v>
      </c>
      <c r="CX162" t="e">
        <f>AND(#REF!,"AAAAAH/u92U=")</f>
        <v>#REF!</v>
      </c>
      <c r="CY162" t="e">
        <f>AND(#REF!,"AAAAAH/u92Y=")</f>
        <v>#REF!</v>
      </c>
      <c r="CZ162" t="e">
        <f>AND(#REF!,"AAAAAH/u92c=")</f>
        <v>#REF!</v>
      </c>
      <c r="DA162" t="e">
        <f>AND(#REF!,"AAAAAH/u92g=")</f>
        <v>#REF!</v>
      </c>
      <c r="DB162" t="e">
        <f>AND(#REF!,"AAAAAH/u92k=")</f>
        <v>#REF!</v>
      </c>
      <c r="DC162" t="e">
        <f>AND(#REF!,"AAAAAH/u92o=")</f>
        <v>#REF!</v>
      </c>
      <c r="DD162" t="e">
        <f>AND(#REF!,"AAAAAH/u92s=")</f>
        <v>#REF!</v>
      </c>
      <c r="DE162" t="e">
        <f>AND(#REF!,"AAAAAH/u92w=")</f>
        <v>#REF!</v>
      </c>
      <c r="DF162" t="e">
        <f>AND(#REF!,"AAAAAH/u920=")</f>
        <v>#REF!</v>
      </c>
      <c r="DG162" t="e">
        <f>AND(#REF!,"AAAAAH/u924=")</f>
        <v>#REF!</v>
      </c>
      <c r="DH162" t="e">
        <f>IF(#REF!,"AAAAAH/u928=",0)</f>
        <v>#REF!</v>
      </c>
      <c r="DI162" t="e">
        <f>AND(#REF!,"AAAAAH/u93A=")</f>
        <v>#REF!</v>
      </c>
      <c r="DJ162" t="e">
        <f>AND(#REF!,"AAAAAH/u93E=")</f>
        <v>#REF!</v>
      </c>
      <c r="DK162" t="e">
        <f>AND(#REF!,"AAAAAH/u93I=")</f>
        <v>#REF!</v>
      </c>
      <c r="DL162" t="e">
        <f>AND(#REF!,"AAAAAH/u93M=")</f>
        <v>#REF!</v>
      </c>
      <c r="DM162" t="e">
        <f>AND(#REF!,"AAAAAH/u93Q=")</f>
        <v>#REF!</v>
      </c>
      <c r="DN162" t="e">
        <f>AND(#REF!,"AAAAAH/u93U=")</f>
        <v>#REF!</v>
      </c>
      <c r="DO162" t="e">
        <f>AND(#REF!,"AAAAAH/u93Y=")</f>
        <v>#REF!</v>
      </c>
      <c r="DP162" t="e">
        <f>AND(#REF!,"AAAAAH/u93c=")</f>
        <v>#REF!</v>
      </c>
      <c r="DQ162" t="e">
        <f>AND(#REF!,"AAAAAH/u93g=")</f>
        <v>#REF!</v>
      </c>
      <c r="DR162" t="e">
        <f>AND(#REF!,"AAAAAH/u93k=")</f>
        <v>#REF!</v>
      </c>
      <c r="DS162" t="e">
        <f>AND(#REF!,"AAAAAH/u93o=")</f>
        <v>#REF!</v>
      </c>
      <c r="DT162" t="e">
        <f>AND(#REF!,"AAAAAH/u93s=")</f>
        <v>#REF!</v>
      </c>
      <c r="DU162" t="e">
        <f>AND(#REF!,"AAAAAH/u93w=")</f>
        <v>#REF!</v>
      </c>
      <c r="DV162" t="e">
        <f>AND(#REF!,"AAAAAH/u930=")</f>
        <v>#REF!</v>
      </c>
      <c r="DW162" t="e">
        <f>AND(#REF!,"AAAAAH/u934=")</f>
        <v>#REF!</v>
      </c>
      <c r="DX162" t="e">
        <f>AND(#REF!,"AAAAAH/u938=")</f>
        <v>#REF!</v>
      </c>
      <c r="DY162" t="e">
        <f>AND(#REF!,"AAAAAH/u94A=")</f>
        <v>#REF!</v>
      </c>
      <c r="DZ162" t="e">
        <f>AND(#REF!,"AAAAAH/u94E=")</f>
        <v>#REF!</v>
      </c>
      <c r="EA162" t="e">
        <f>AND(#REF!,"AAAAAH/u94I=")</f>
        <v>#REF!</v>
      </c>
      <c r="EB162" t="e">
        <f>AND(#REF!,"AAAAAH/u94M=")</f>
        <v>#REF!</v>
      </c>
      <c r="EC162" t="e">
        <f>AND(#REF!,"AAAAAH/u94Q=")</f>
        <v>#REF!</v>
      </c>
      <c r="ED162" t="e">
        <f>AND(#REF!,"AAAAAH/u94U=")</f>
        <v>#REF!</v>
      </c>
      <c r="EE162" t="e">
        <f>IF(#REF!,"AAAAAH/u94Y=",0)</f>
        <v>#REF!</v>
      </c>
      <c r="EF162" t="e">
        <f>AND(#REF!,"AAAAAH/u94c=")</f>
        <v>#REF!</v>
      </c>
      <c r="EG162" t="e">
        <f>AND(#REF!,"AAAAAH/u94g=")</f>
        <v>#REF!</v>
      </c>
      <c r="EH162" t="e">
        <f>AND(#REF!,"AAAAAH/u94k=")</f>
        <v>#REF!</v>
      </c>
      <c r="EI162" t="e">
        <f>AND(#REF!,"AAAAAH/u94o=")</f>
        <v>#REF!</v>
      </c>
      <c r="EJ162" t="e">
        <f>AND(#REF!,"AAAAAH/u94s=")</f>
        <v>#REF!</v>
      </c>
      <c r="EK162" t="e">
        <f>AND(#REF!,"AAAAAH/u94w=")</f>
        <v>#REF!</v>
      </c>
      <c r="EL162" t="e">
        <f>AND(#REF!,"AAAAAH/u940=")</f>
        <v>#REF!</v>
      </c>
      <c r="EM162" t="e">
        <f>AND(#REF!,"AAAAAH/u944=")</f>
        <v>#REF!</v>
      </c>
      <c r="EN162" t="e">
        <f>AND(#REF!,"AAAAAH/u948=")</f>
        <v>#REF!</v>
      </c>
      <c r="EO162" t="e">
        <f>AND(#REF!,"AAAAAH/u95A=")</f>
        <v>#REF!</v>
      </c>
      <c r="EP162" t="e">
        <f>AND(#REF!,"AAAAAH/u95E=")</f>
        <v>#REF!</v>
      </c>
      <c r="EQ162" t="e">
        <f>AND(#REF!,"AAAAAH/u95I=")</f>
        <v>#REF!</v>
      </c>
      <c r="ER162" t="e">
        <f>AND(#REF!,"AAAAAH/u95M=")</f>
        <v>#REF!</v>
      </c>
      <c r="ES162" t="e">
        <f>AND(#REF!,"AAAAAH/u95Q=")</f>
        <v>#REF!</v>
      </c>
      <c r="ET162" t="e">
        <f>AND(#REF!,"AAAAAH/u95U=")</f>
        <v>#REF!</v>
      </c>
      <c r="EU162" t="e">
        <f>AND(#REF!,"AAAAAH/u95Y=")</f>
        <v>#REF!</v>
      </c>
      <c r="EV162" t="e">
        <f>AND(#REF!,"AAAAAH/u95c=")</f>
        <v>#REF!</v>
      </c>
      <c r="EW162" t="e">
        <f>AND(#REF!,"AAAAAH/u95g=")</f>
        <v>#REF!</v>
      </c>
      <c r="EX162" t="e">
        <f>AND(#REF!,"AAAAAH/u95k=")</f>
        <v>#REF!</v>
      </c>
      <c r="EY162" t="e">
        <f>AND(#REF!,"AAAAAH/u95o=")</f>
        <v>#REF!</v>
      </c>
      <c r="EZ162" t="e">
        <f>AND(#REF!,"AAAAAH/u95s=")</f>
        <v>#REF!</v>
      </c>
      <c r="FA162" t="e">
        <f>AND(#REF!,"AAAAAH/u95w=")</f>
        <v>#REF!</v>
      </c>
      <c r="FB162" t="e">
        <f>IF(#REF!,"AAAAAH/u950=",0)</f>
        <v>#REF!</v>
      </c>
      <c r="FC162" t="e">
        <f>AND(#REF!,"AAAAAH/u954=")</f>
        <v>#REF!</v>
      </c>
      <c r="FD162" t="e">
        <f>AND(#REF!,"AAAAAH/u958=")</f>
        <v>#REF!</v>
      </c>
      <c r="FE162" t="e">
        <f>AND(#REF!,"AAAAAH/u96A=")</f>
        <v>#REF!</v>
      </c>
      <c r="FF162" t="e">
        <f>AND(#REF!,"AAAAAH/u96E=")</f>
        <v>#REF!</v>
      </c>
      <c r="FG162" t="e">
        <f>AND(#REF!,"AAAAAH/u96I=")</f>
        <v>#REF!</v>
      </c>
      <c r="FH162" t="e">
        <f>AND(#REF!,"AAAAAH/u96M=")</f>
        <v>#REF!</v>
      </c>
      <c r="FI162" t="e">
        <f>AND(#REF!,"AAAAAH/u96Q=")</f>
        <v>#REF!</v>
      </c>
      <c r="FJ162" t="e">
        <f>AND(#REF!,"AAAAAH/u96U=")</f>
        <v>#REF!</v>
      </c>
      <c r="FK162" t="e">
        <f>AND(#REF!,"AAAAAH/u96Y=")</f>
        <v>#REF!</v>
      </c>
      <c r="FL162" t="e">
        <f>AND(#REF!,"AAAAAH/u96c=")</f>
        <v>#REF!</v>
      </c>
      <c r="FM162" t="e">
        <f>AND(#REF!,"AAAAAH/u96g=")</f>
        <v>#REF!</v>
      </c>
      <c r="FN162" t="e">
        <f>AND(#REF!,"AAAAAH/u96k=")</f>
        <v>#REF!</v>
      </c>
      <c r="FO162" t="e">
        <f>AND(#REF!,"AAAAAH/u96o=")</f>
        <v>#REF!</v>
      </c>
      <c r="FP162" t="e">
        <f>AND(#REF!,"AAAAAH/u96s=")</f>
        <v>#REF!</v>
      </c>
      <c r="FQ162" t="e">
        <f>AND(#REF!,"AAAAAH/u96w=")</f>
        <v>#REF!</v>
      </c>
      <c r="FR162" t="e">
        <f>AND(#REF!,"AAAAAH/u960=")</f>
        <v>#REF!</v>
      </c>
      <c r="FS162" t="e">
        <f>AND(#REF!,"AAAAAH/u964=")</f>
        <v>#REF!</v>
      </c>
      <c r="FT162" t="e">
        <f>AND(#REF!,"AAAAAH/u968=")</f>
        <v>#REF!</v>
      </c>
      <c r="FU162" t="e">
        <f>AND(#REF!,"AAAAAH/u97A=")</f>
        <v>#REF!</v>
      </c>
      <c r="FV162" t="e">
        <f>AND(#REF!,"AAAAAH/u97E=")</f>
        <v>#REF!</v>
      </c>
      <c r="FW162" t="e">
        <f>AND(#REF!,"AAAAAH/u97I=")</f>
        <v>#REF!</v>
      </c>
      <c r="FX162" t="e">
        <f>AND(#REF!,"AAAAAH/u97M=")</f>
        <v>#REF!</v>
      </c>
      <c r="FY162" t="e">
        <f>IF(#REF!,"AAAAAH/u97Q=",0)</f>
        <v>#REF!</v>
      </c>
      <c r="FZ162" t="e">
        <f>AND(#REF!,"AAAAAH/u97U=")</f>
        <v>#REF!</v>
      </c>
      <c r="GA162" t="e">
        <f>AND(#REF!,"AAAAAH/u97Y=")</f>
        <v>#REF!</v>
      </c>
      <c r="GB162" t="e">
        <f>AND(#REF!,"AAAAAH/u97c=")</f>
        <v>#REF!</v>
      </c>
      <c r="GC162" t="e">
        <f>AND(#REF!,"AAAAAH/u97g=")</f>
        <v>#REF!</v>
      </c>
      <c r="GD162" t="e">
        <f>AND(#REF!,"AAAAAH/u97k=")</f>
        <v>#REF!</v>
      </c>
      <c r="GE162" t="e">
        <f>AND(#REF!,"AAAAAH/u97o=")</f>
        <v>#REF!</v>
      </c>
      <c r="GF162" t="e">
        <f>AND(#REF!,"AAAAAH/u97s=")</f>
        <v>#REF!</v>
      </c>
      <c r="GG162" t="e">
        <f>AND(#REF!,"AAAAAH/u97w=")</f>
        <v>#REF!</v>
      </c>
      <c r="GH162" t="e">
        <f>AND(#REF!,"AAAAAH/u970=")</f>
        <v>#REF!</v>
      </c>
      <c r="GI162" t="e">
        <f>AND(#REF!,"AAAAAH/u974=")</f>
        <v>#REF!</v>
      </c>
      <c r="GJ162" t="e">
        <f>AND(#REF!,"AAAAAH/u978=")</f>
        <v>#REF!</v>
      </c>
      <c r="GK162" t="e">
        <f>AND(#REF!,"AAAAAH/u98A=")</f>
        <v>#REF!</v>
      </c>
      <c r="GL162" t="e">
        <f>AND(#REF!,"AAAAAH/u98E=")</f>
        <v>#REF!</v>
      </c>
      <c r="GM162" t="e">
        <f>AND(#REF!,"AAAAAH/u98I=")</f>
        <v>#REF!</v>
      </c>
      <c r="GN162" t="e">
        <f>AND(#REF!,"AAAAAH/u98M=")</f>
        <v>#REF!</v>
      </c>
      <c r="GO162" t="e">
        <f>AND(#REF!,"AAAAAH/u98Q=")</f>
        <v>#REF!</v>
      </c>
      <c r="GP162" t="e">
        <f>AND(#REF!,"AAAAAH/u98U=")</f>
        <v>#REF!</v>
      </c>
      <c r="GQ162" t="e">
        <f>AND(#REF!,"AAAAAH/u98Y=")</f>
        <v>#REF!</v>
      </c>
      <c r="GR162" t="e">
        <f>AND(#REF!,"AAAAAH/u98c=")</f>
        <v>#REF!</v>
      </c>
      <c r="GS162" t="e">
        <f>AND(#REF!,"AAAAAH/u98g=")</f>
        <v>#REF!</v>
      </c>
      <c r="GT162" t="e">
        <f>AND(#REF!,"AAAAAH/u98k=")</f>
        <v>#REF!</v>
      </c>
      <c r="GU162" t="e">
        <f>AND(#REF!,"AAAAAH/u98o=")</f>
        <v>#REF!</v>
      </c>
      <c r="GV162" t="e">
        <f>IF(#REF!,"AAAAAH/u98s=",0)</f>
        <v>#REF!</v>
      </c>
      <c r="GW162" t="e">
        <f>AND(#REF!,"AAAAAH/u98w=")</f>
        <v>#REF!</v>
      </c>
      <c r="GX162" t="e">
        <f>AND(#REF!,"AAAAAH/u980=")</f>
        <v>#REF!</v>
      </c>
      <c r="GY162" t="e">
        <f>AND(#REF!,"AAAAAH/u984=")</f>
        <v>#REF!</v>
      </c>
      <c r="GZ162" t="e">
        <f>AND(#REF!,"AAAAAH/u988=")</f>
        <v>#REF!</v>
      </c>
      <c r="HA162" t="e">
        <f>AND(#REF!,"AAAAAH/u99A=")</f>
        <v>#REF!</v>
      </c>
      <c r="HB162" t="e">
        <f>AND(#REF!,"AAAAAH/u99E=")</f>
        <v>#REF!</v>
      </c>
      <c r="HC162" t="e">
        <f>AND(#REF!,"AAAAAH/u99I=")</f>
        <v>#REF!</v>
      </c>
      <c r="HD162" t="e">
        <f>AND(#REF!,"AAAAAH/u99M=")</f>
        <v>#REF!</v>
      </c>
      <c r="HE162" t="e">
        <f>AND(#REF!,"AAAAAH/u99Q=")</f>
        <v>#REF!</v>
      </c>
      <c r="HF162" t="e">
        <f>AND(#REF!,"AAAAAH/u99U=")</f>
        <v>#REF!</v>
      </c>
      <c r="HG162" t="e">
        <f>AND(#REF!,"AAAAAH/u99Y=")</f>
        <v>#REF!</v>
      </c>
      <c r="HH162" t="e">
        <f>AND(#REF!,"AAAAAH/u99c=")</f>
        <v>#REF!</v>
      </c>
      <c r="HI162" t="e">
        <f>AND(#REF!,"AAAAAH/u99g=")</f>
        <v>#REF!</v>
      </c>
      <c r="HJ162" t="e">
        <f>AND(#REF!,"AAAAAH/u99k=")</f>
        <v>#REF!</v>
      </c>
      <c r="HK162" t="e">
        <f>AND(#REF!,"AAAAAH/u99o=")</f>
        <v>#REF!</v>
      </c>
      <c r="HL162" t="e">
        <f>AND(#REF!,"AAAAAH/u99s=")</f>
        <v>#REF!</v>
      </c>
      <c r="HM162" t="e">
        <f>AND(#REF!,"AAAAAH/u99w=")</f>
        <v>#REF!</v>
      </c>
      <c r="HN162" t="e">
        <f>AND(#REF!,"AAAAAH/u990=")</f>
        <v>#REF!</v>
      </c>
      <c r="HO162" t="e">
        <f>AND(#REF!,"AAAAAH/u994=")</f>
        <v>#REF!</v>
      </c>
      <c r="HP162" t="e">
        <f>AND(#REF!,"AAAAAH/u998=")</f>
        <v>#REF!</v>
      </c>
      <c r="HQ162" t="e">
        <f>AND(#REF!,"AAAAAH/u9+A=")</f>
        <v>#REF!</v>
      </c>
      <c r="HR162" t="e">
        <f>AND(#REF!,"AAAAAH/u9+E=")</f>
        <v>#REF!</v>
      </c>
      <c r="HS162" t="e">
        <f>IF(#REF!,"AAAAAH/u9+I=",0)</f>
        <v>#REF!</v>
      </c>
      <c r="HT162" t="e">
        <f>AND(#REF!,"AAAAAH/u9+M=")</f>
        <v>#REF!</v>
      </c>
      <c r="HU162" t="e">
        <f>AND(#REF!,"AAAAAH/u9+Q=")</f>
        <v>#REF!</v>
      </c>
      <c r="HV162" t="e">
        <f>AND(#REF!,"AAAAAH/u9+U=")</f>
        <v>#REF!</v>
      </c>
      <c r="HW162" t="e">
        <f>AND(#REF!,"AAAAAH/u9+Y=")</f>
        <v>#REF!</v>
      </c>
      <c r="HX162" t="e">
        <f>AND(#REF!,"AAAAAH/u9+c=")</f>
        <v>#REF!</v>
      </c>
      <c r="HY162" t="e">
        <f>AND(#REF!,"AAAAAH/u9+g=")</f>
        <v>#REF!</v>
      </c>
      <c r="HZ162" t="e">
        <f>AND(#REF!,"AAAAAH/u9+k=")</f>
        <v>#REF!</v>
      </c>
      <c r="IA162" t="e">
        <f>AND(#REF!,"AAAAAH/u9+o=")</f>
        <v>#REF!</v>
      </c>
      <c r="IB162" t="e">
        <f>AND(#REF!,"AAAAAH/u9+s=")</f>
        <v>#REF!</v>
      </c>
      <c r="IC162" t="e">
        <f>AND(#REF!,"AAAAAH/u9+w=")</f>
        <v>#REF!</v>
      </c>
      <c r="ID162" t="e">
        <f>AND(#REF!,"AAAAAH/u9+0=")</f>
        <v>#REF!</v>
      </c>
      <c r="IE162" t="e">
        <f>AND(#REF!,"AAAAAH/u9+4=")</f>
        <v>#REF!</v>
      </c>
      <c r="IF162" t="e">
        <f>AND(#REF!,"AAAAAH/u9+8=")</f>
        <v>#REF!</v>
      </c>
      <c r="IG162" t="e">
        <f>AND(#REF!,"AAAAAH/u9/A=")</f>
        <v>#REF!</v>
      </c>
      <c r="IH162" t="e">
        <f>AND(#REF!,"AAAAAH/u9/E=")</f>
        <v>#REF!</v>
      </c>
      <c r="II162" t="e">
        <f>AND(#REF!,"AAAAAH/u9/I=")</f>
        <v>#REF!</v>
      </c>
      <c r="IJ162" t="e">
        <f>AND(#REF!,"AAAAAH/u9/M=")</f>
        <v>#REF!</v>
      </c>
      <c r="IK162" t="e">
        <f>AND(#REF!,"AAAAAH/u9/Q=")</f>
        <v>#REF!</v>
      </c>
      <c r="IL162" t="e">
        <f>AND(#REF!,"AAAAAH/u9/U=")</f>
        <v>#REF!</v>
      </c>
      <c r="IM162" t="e">
        <f>AND(#REF!,"AAAAAH/u9/Y=")</f>
        <v>#REF!</v>
      </c>
      <c r="IN162" t="e">
        <f>AND(#REF!,"AAAAAH/u9/c=")</f>
        <v>#REF!</v>
      </c>
      <c r="IO162" t="e">
        <f>AND(#REF!,"AAAAAH/u9/g=")</f>
        <v>#REF!</v>
      </c>
      <c r="IP162" t="e">
        <f>IF(#REF!,"AAAAAH/u9/k=",0)</f>
        <v>#REF!</v>
      </c>
      <c r="IQ162" t="e">
        <f>AND(#REF!,"AAAAAH/u9/o=")</f>
        <v>#REF!</v>
      </c>
      <c r="IR162" t="e">
        <f>AND(#REF!,"AAAAAH/u9/s=")</f>
        <v>#REF!</v>
      </c>
      <c r="IS162" t="e">
        <f>AND(#REF!,"AAAAAH/u9/w=")</f>
        <v>#REF!</v>
      </c>
      <c r="IT162" t="e">
        <f>AND(#REF!,"AAAAAH/u9/0=")</f>
        <v>#REF!</v>
      </c>
      <c r="IU162" t="e">
        <f>AND(#REF!,"AAAAAH/u9/4=")</f>
        <v>#REF!</v>
      </c>
      <c r="IV162" t="e">
        <f>AND(#REF!,"AAAAAH/u9/8=")</f>
        <v>#REF!</v>
      </c>
    </row>
    <row r="163" spans="1:256" x14ac:dyDescent="0.2">
      <c r="A163" t="e">
        <f>AND(#REF!,"AAAAAHn//wA=")</f>
        <v>#REF!</v>
      </c>
      <c r="B163" t="e">
        <f>AND(#REF!,"AAAAAHn//wE=")</f>
        <v>#REF!</v>
      </c>
      <c r="C163" t="e">
        <f>AND(#REF!,"AAAAAHn//wI=")</f>
        <v>#REF!</v>
      </c>
      <c r="D163" t="e">
        <f>AND(#REF!,"AAAAAHn//wM=")</f>
        <v>#REF!</v>
      </c>
      <c r="E163" t="e">
        <f>AND(#REF!,"AAAAAHn//wQ=")</f>
        <v>#REF!</v>
      </c>
      <c r="F163" t="e">
        <f>AND(#REF!,"AAAAAHn//wU=")</f>
        <v>#REF!</v>
      </c>
      <c r="G163" t="e">
        <f>AND(#REF!,"AAAAAHn//wY=")</f>
        <v>#REF!</v>
      </c>
      <c r="H163" t="e">
        <f>AND(#REF!,"AAAAAHn//wc=")</f>
        <v>#REF!</v>
      </c>
      <c r="I163" t="e">
        <f>AND(#REF!,"AAAAAHn//wg=")</f>
        <v>#REF!</v>
      </c>
      <c r="J163" t="e">
        <f>AND(#REF!,"AAAAAHn//wk=")</f>
        <v>#REF!</v>
      </c>
      <c r="K163" t="e">
        <f>AND(#REF!,"AAAAAHn//wo=")</f>
        <v>#REF!</v>
      </c>
      <c r="L163" t="e">
        <f>AND(#REF!,"AAAAAHn//ws=")</f>
        <v>#REF!</v>
      </c>
      <c r="M163" t="e">
        <f>AND(#REF!,"AAAAAHn//ww=")</f>
        <v>#REF!</v>
      </c>
      <c r="N163" t="e">
        <f>AND(#REF!,"AAAAAHn//w0=")</f>
        <v>#REF!</v>
      </c>
      <c r="O163" t="e">
        <f>AND(#REF!,"AAAAAHn//w4=")</f>
        <v>#REF!</v>
      </c>
      <c r="P163" t="e">
        <f>AND(#REF!,"AAAAAHn//w8=")</f>
        <v>#REF!</v>
      </c>
      <c r="Q163" t="e">
        <f>IF(#REF!,"AAAAAHn//xA=",0)</f>
        <v>#REF!</v>
      </c>
      <c r="R163" t="e">
        <f>AND(#REF!,"AAAAAHn//xE=")</f>
        <v>#REF!</v>
      </c>
      <c r="S163" t="e">
        <f>AND(#REF!,"AAAAAHn//xI=")</f>
        <v>#REF!</v>
      </c>
      <c r="T163" t="e">
        <f>AND(#REF!,"AAAAAHn//xM=")</f>
        <v>#REF!</v>
      </c>
      <c r="U163" t="e">
        <f>AND(#REF!,"AAAAAHn//xQ=")</f>
        <v>#REF!</v>
      </c>
      <c r="V163" t="e">
        <f>AND(#REF!,"AAAAAHn//xU=")</f>
        <v>#REF!</v>
      </c>
      <c r="W163" t="e">
        <f>AND(#REF!,"AAAAAHn//xY=")</f>
        <v>#REF!</v>
      </c>
      <c r="X163" t="e">
        <f>AND(#REF!,"AAAAAHn//xc=")</f>
        <v>#REF!</v>
      </c>
      <c r="Y163" t="e">
        <f>AND(#REF!,"AAAAAHn//xg=")</f>
        <v>#REF!</v>
      </c>
      <c r="Z163" t="e">
        <f>AND(#REF!,"AAAAAHn//xk=")</f>
        <v>#REF!</v>
      </c>
      <c r="AA163" t="e">
        <f>AND(#REF!,"AAAAAHn//xo=")</f>
        <v>#REF!</v>
      </c>
      <c r="AB163" t="e">
        <f>AND(#REF!,"AAAAAHn//xs=")</f>
        <v>#REF!</v>
      </c>
      <c r="AC163" t="e">
        <f>AND(#REF!,"AAAAAHn//xw=")</f>
        <v>#REF!</v>
      </c>
      <c r="AD163" t="e">
        <f>AND(#REF!,"AAAAAHn//x0=")</f>
        <v>#REF!</v>
      </c>
      <c r="AE163" t="e">
        <f>AND(#REF!,"AAAAAHn//x4=")</f>
        <v>#REF!</v>
      </c>
      <c r="AF163" t="e">
        <f>AND(#REF!,"AAAAAHn//x8=")</f>
        <v>#REF!</v>
      </c>
      <c r="AG163" t="e">
        <f>AND(#REF!,"AAAAAHn//yA=")</f>
        <v>#REF!</v>
      </c>
      <c r="AH163" t="e">
        <f>AND(#REF!,"AAAAAHn//yE=")</f>
        <v>#REF!</v>
      </c>
      <c r="AI163" t="e">
        <f>AND(#REF!,"AAAAAHn//yI=")</f>
        <v>#REF!</v>
      </c>
      <c r="AJ163" t="e">
        <f>AND(#REF!,"AAAAAHn//yM=")</f>
        <v>#REF!</v>
      </c>
      <c r="AK163" t="e">
        <f>AND(#REF!,"AAAAAHn//yQ=")</f>
        <v>#REF!</v>
      </c>
      <c r="AL163" t="e">
        <f>AND(#REF!,"AAAAAHn//yU=")</f>
        <v>#REF!</v>
      </c>
      <c r="AM163" t="e">
        <f>AND(#REF!,"AAAAAHn//yY=")</f>
        <v>#REF!</v>
      </c>
      <c r="AN163" t="e">
        <f>IF(#REF!,"AAAAAHn//yc=",0)</f>
        <v>#REF!</v>
      </c>
      <c r="AO163" t="e">
        <f>AND(#REF!,"AAAAAHn//yg=")</f>
        <v>#REF!</v>
      </c>
      <c r="AP163" t="e">
        <f>AND(#REF!,"AAAAAHn//yk=")</f>
        <v>#REF!</v>
      </c>
      <c r="AQ163" t="e">
        <f>AND(#REF!,"AAAAAHn//yo=")</f>
        <v>#REF!</v>
      </c>
      <c r="AR163" t="e">
        <f>AND(#REF!,"AAAAAHn//ys=")</f>
        <v>#REF!</v>
      </c>
      <c r="AS163" t="e">
        <f>AND(#REF!,"AAAAAHn//yw=")</f>
        <v>#REF!</v>
      </c>
      <c r="AT163" t="e">
        <f>AND(#REF!,"AAAAAHn//y0=")</f>
        <v>#REF!</v>
      </c>
      <c r="AU163" t="e">
        <f>AND(#REF!,"AAAAAHn//y4=")</f>
        <v>#REF!</v>
      </c>
      <c r="AV163" t="e">
        <f>AND(#REF!,"AAAAAHn//y8=")</f>
        <v>#REF!</v>
      </c>
      <c r="AW163" t="e">
        <f>AND(#REF!,"AAAAAHn//zA=")</f>
        <v>#REF!</v>
      </c>
      <c r="AX163" t="e">
        <f>AND(#REF!,"AAAAAHn//zE=")</f>
        <v>#REF!</v>
      </c>
      <c r="AY163" t="e">
        <f>AND(#REF!,"AAAAAHn//zI=")</f>
        <v>#REF!</v>
      </c>
      <c r="AZ163" t="e">
        <f>AND(#REF!,"AAAAAHn//zM=")</f>
        <v>#REF!</v>
      </c>
      <c r="BA163" t="e">
        <f>AND(#REF!,"AAAAAHn//zQ=")</f>
        <v>#REF!</v>
      </c>
      <c r="BB163" t="e">
        <f>AND(#REF!,"AAAAAHn//zU=")</f>
        <v>#REF!</v>
      </c>
      <c r="BC163" t="e">
        <f>AND(#REF!,"AAAAAHn//zY=")</f>
        <v>#REF!</v>
      </c>
      <c r="BD163" t="e">
        <f>AND(#REF!,"AAAAAHn//zc=")</f>
        <v>#REF!</v>
      </c>
      <c r="BE163" t="e">
        <f>AND(#REF!,"AAAAAHn//zg=")</f>
        <v>#REF!</v>
      </c>
      <c r="BF163" t="e">
        <f>AND(#REF!,"AAAAAHn//zk=")</f>
        <v>#REF!</v>
      </c>
      <c r="BG163" t="e">
        <f>AND(#REF!,"AAAAAHn//zo=")</f>
        <v>#REF!</v>
      </c>
      <c r="BH163" t="e">
        <f>AND(#REF!,"AAAAAHn//zs=")</f>
        <v>#REF!</v>
      </c>
      <c r="BI163" t="e">
        <f>AND(#REF!,"AAAAAHn//zw=")</f>
        <v>#REF!</v>
      </c>
      <c r="BJ163" t="e">
        <f>AND(#REF!,"AAAAAHn//z0=")</f>
        <v>#REF!</v>
      </c>
      <c r="BK163" t="e">
        <f>IF(#REF!,"AAAAAHn//z4=",0)</f>
        <v>#REF!</v>
      </c>
      <c r="BL163" t="e">
        <f>AND(#REF!,"AAAAAHn//z8=")</f>
        <v>#REF!</v>
      </c>
      <c r="BM163" t="e">
        <f>AND(#REF!,"AAAAAHn//0A=")</f>
        <v>#REF!</v>
      </c>
      <c r="BN163" t="e">
        <f>AND(#REF!,"AAAAAHn//0E=")</f>
        <v>#REF!</v>
      </c>
      <c r="BO163" t="e">
        <f>AND(#REF!,"AAAAAHn//0I=")</f>
        <v>#REF!</v>
      </c>
      <c r="BP163" t="e">
        <f>AND(#REF!,"AAAAAHn//0M=")</f>
        <v>#REF!</v>
      </c>
      <c r="BQ163" t="e">
        <f>AND(#REF!,"AAAAAHn//0Q=")</f>
        <v>#REF!</v>
      </c>
      <c r="BR163" t="e">
        <f>AND(#REF!,"AAAAAHn//0U=")</f>
        <v>#REF!</v>
      </c>
      <c r="BS163" t="e">
        <f>AND(#REF!,"AAAAAHn//0Y=")</f>
        <v>#REF!</v>
      </c>
      <c r="BT163" t="e">
        <f>AND(#REF!,"AAAAAHn//0c=")</f>
        <v>#REF!</v>
      </c>
      <c r="BU163" t="e">
        <f>AND(#REF!,"AAAAAHn//0g=")</f>
        <v>#REF!</v>
      </c>
      <c r="BV163" t="e">
        <f>AND(#REF!,"AAAAAHn//0k=")</f>
        <v>#REF!</v>
      </c>
      <c r="BW163" t="e">
        <f>AND(#REF!,"AAAAAHn//0o=")</f>
        <v>#REF!</v>
      </c>
      <c r="BX163" t="e">
        <f>AND(#REF!,"AAAAAHn//0s=")</f>
        <v>#REF!</v>
      </c>
      <c r="BY163" t="e">
        <f>AND(#REF!,"AAAAAHn//0w=")</f>
        <v>#REF!</v>
      </c>
      <c r="BZ163" t="e">
        <f>AND(#REF!,"AAAAAHn//00=")</f>
        <v>#REF!</v>
      </c>
      <c r="CA163" t="e">
        <f>AND(#REF!,"AAAAAHn//04=")</f>
        <v>#REF!</v>
      </c>
      <c r="CB163" t="e">
        <f>AND(#REF!,"AAAAAHn//08=")</f>
        <v>#REF!</v>
      </c>
      <c r="CC163" t="e">
        <f>AND(#REF!,"AAAAAHn//1A=")</f>
        <v>#REF!</v>
      </c>
      <c r="CD163" t="e">
        <f>AND(#REF!,"AAAAAHn//1E=")</f>
        <v>#REF!</v>
      </c>
      <c r="CE163" t="e">
        <f>AND(#REF!,"AAAAAHn//1I=")</f>
        <v>#REF!</v>
      </c>
      <c r="CF163" t="e">
        <f>AND(#REF!,"AAAAAHn//1M=")</f>
        <v>#REF!</v>
      </c>
      <c r="CG163" t="e">
        <f>AND(#REF!,"AAAAAHn//1Q=")</f>
        <v>#REF!</v>
      </c>
      <c r="CH163" t="e">
        <f>IF(#REF!,"AAAAAHn//1U=",0)</f>
        <v>#REF!</v>
      </c>
      <c r="CI163" t="e">
        <f>AND(#REF!,"AAAAAHn//1Y=")</f>
        <v>#REF!</v>
      </c>
      <c r="CJ163" t="e">
        <f>AND(#REF!,"AAAAAHn//1c=")</f>
        <v>#REF!</v>
      </c>
      <c r="CK163" t="e">
        <f>AND(#REF!,"AAAAAHn//1g=")</f>
        <v>#REF!</v>
      </c>
      <c r="CL163" t="e">
        <f>AND(#REF!,"AAAAAHn//1k=")</f>
        <v>#REF!</v>
      </c>
      <c r="CM163" t="e">
        <f>AND(#REF!,"AAAAAHn//1o=")</f>
        <v>#REF!</v>
      </c>
      <c r="CN163" t="e">
        <f>AND(#REF!,"AAAAAHn//1s=")</f>
        <v>#REF!</v>
      </c>
      <c r="CO163" t="e">
        <f>AND(#REF!,"AAAAAHn//1w=")</f>
        <v>#REF!</v>
      </c>
      <c r="CP163" t="e">
        <f>AND(#REF!,"AAAAAHn//10=")</f>
        <v>#REF!</v>
      </c>
      <c r="CQ163" t="e">
        <f>AND(#REF!,"AAAAAHn//14=")</f>
        <v>#REF!</v>
      </c>
      <c r="CR163" t="e">
        <f>AND(#REF!,"AAAAAHn//18=")</f>
        <v>#REF!</v>
      </c>
      <c r="CS163" t="e">
        <f>AND(#REF!,"AAAAAHn//2A=")</f>
        <v>#REF!</v>
      </c>
      <c r="CT163" t="e">
        <f>AND(#REF!,"AAAAAHn//2E=")</f>
        <v>#REF!</v>
      </c>
      <c r="CU163" t="e">
        <f>AND(#REF!,"AAAAAHn//2I=")</f>
        <v>#REF!</v>
      </c>
      <c r="CV163" t="e">
        <f>AND(#REF!,"AAAAAHn//2M=")</f>
        <v>#REF!</v>
      </c>
      <c r="CW163" t="e">
        <f>AND(#REF!,"AAAAAHn//2Q=")</f>
        <v>#REF!</v>
      </c>
      <c r="CX163" t="e">
        <f>AND(#REF!,"AAAAAHn//2U=")</f>
        <v>#REF!</v>
      </c>
      <c r="CY163" t="e">
        <f>AND(#REF!,"AAAAAHn//2Y=")</f>
        <v>#REF!</v>
      </c>
      <c r="CZ163" t="e">
        <f>AND(#REF!,"AAAAAHn//2c=")</f>
        <v>#REF!</v>
      </c>
      <c r="DA163" t="e">
        <f>AND(#REF!,"AAAAAHn//2g=")</f>
        <v>#REF!</v>
      </c>
      <c r="DB163" t="e">
        <f>AND(#REF!,"AAAAAHn//2k=")</f>
        <v>#REF!</v>
      </c>
      <c r="DC163" t="e">
        <f>AND(#REF!,"AAAAAHn//2o=")</f>
        <v>#REF!</v>
      </c>
      <c r="DD163" t="e">
        <f>AND(#REF!,"AAAAAHn//2s=")</f>
        <v>#REF!</v>
      </c>
      <c r="DE163" t="e">
        <f>IF(#REF!,"AAAAAHn//2w=",0)</f>
        <v>#REF!</v>
      </c>
      <c r="DF163" t="e">
        <f>AND(#REF!,"AAAAAHn//20=")</f>
        <v>#REF!</v>
      </c>
      <c r="DG163" t="e">
        <f>AND(#REF!,"AAAAAHn//24=")</f>
        <v>#REF!</v>
      </c>
      <c r="DH163" t="e">
        <f>AND(#REF!,"AAAAAHn//28=")</f>
        <v>#REF!</v>
      </c>
      <c r="DI163" t="e">
        <f>AND(#REF!,"AAAAAHn//3A=")</f>
        <v>#REF!</v>
      </c>
      <c r="DJ163" t="e">
        <f>AND(#REF!,"AAAAAHn//3E=")</f>
        <v>#REF!</v>
      </c>
      <c r="DK163" t="e">
        <f>AND(#REF!,"AAAAAHn//3I=")</f>
        <v>#REF!</v>
      </c>
      <c r="DL163" t="e">
        <f>AND(#REF!,"AAAAAHn//3M=")</f>
        <v>#REF!</v>
      </c>
      <c r="DM163" t="e">
        <f>AND(#REF!,"AAAAAHn//3Q=")</f>
        <v>#REF!</v>
      </c>
      <c r="DN163" t="e">
        <f>AND(#REF!,"AAAAAHn//3U=")</f>
        <v>#REF!</v>
      </c>
      <c r="DO163" t="e">
        <f>AND(#REF!,"AAAAAHn//3Y=")</f>
        <v>#REF!</v>
      </c>
      <c r="DP163" t="e">
        <f>AND(#REF!,"AAAAAHn//3c=")</f>
        <v>#REF!</v>
      </c>
      <c r="DQ163" t="e">
        <f>AND(#REF!,"AAAAAHn//3g=")</f>
        <v>#REF!</v>
      </c>
      <c r="DR163" t="e">
        <f>AND(#REF!,"AAAAAHn//3k=")</f>
        <v>#REF!</v>
      </c>
      <c r="DS163" t="e">
        <f>AND(#REF!,"AAAAAHn//3o=")</f>
        <v>#REF!</v>
      </c>
      <c r="DT163" t="e">
        <f>AND(#REF!,"AAAAAHn//3s=")</f>
        <v>#REF!</v>
      </c>
      <c r="DU163" t="e">
        <f>AND(#REF!,"AAAAAHn//3w=")</f>
        <v>#REF!</v>
      </c>
      <c r="DV163" t="e">
        <f>AND(#REF!,"AAAAAHn//30=")</f>
        <v>#REF!</v>
      </c>
      <c r="DW163" t="e">
        <f>AND(#REF!,"AAAAAHn//34=")</f>
        <v>#REF!</v>
      </c>
      <c r="DX163" t="e">
        <f>AND(#REF!,"AAAAAHn//38=")</f>
        <v>#REF!</v>
      </c>
      <c r="DY163" t="e">
        <f>AND(#REF!,"AAAAAHn//4A=")</f>
        <v>#REF!</v>
      </c>
      <c r="DZ163" t="e">
        <f>AND(#REF!,"AAAAAHn//4E=")</f>
        <v>#REF!</v>
      </c>
      <c r="EA163" t="e">
        <f>AND(#REF!,"AAAAAHn//4I=")</f>
        <v>#REF!</v>
      </c>
      <c r="EB163" t="e">
        <f>IF(#REF!,"AAAAAHn//4M=",0)</f>
        <v>#REF!</v>
      </c>
      <c r="EC163" t="e">
        <f>AND(#REF!,"AAAAAHn//4Q=")</f>
        <v>#REF!</v>
      </c>
      <c r="ED163" t="e">
        <f>AND(#REF!,"AAAAAHn//4U=")</f>
        <v>#REF!</v>
      </c>
      <c r="EE163" t="e">
        <f>AND(#REF!,"AAAAAHn//4Y=")</f>
        <v>#REF!</v>
      </c>
      <c r="EF163" t="e">
        <f>AND(#REF!,"AAAAAHn//4c=")</f>
        <v>#REF!</v>
      </c>
      <c r="EG163" t="e">
        <f>AND(#REF!,"AAAAAHn//4g=")</f>
        <v>#REF!</v>
      </c>
      <c r="EH163" t="e">
        <f>AND(#REF!,"AAAAAHn//4k=")</f>
        <v>#REF!</v>
      </c>
      <c r="EI163" t="e">
        <f>AND(#REF!,"AAAAAHn//4o=")</f>
        <v>#REF!</v>
      </c>
      <c r="EJ163" t="e">
        <f>AND(#REF!,"AAAAAHn//4s=")</f>
        <v>#REF!</v>
      </c>
      <c r="EK163" t="e">
        <f>AND(#REF!,"AAAAAHn//4w=")</f>
        <v>#REF!</v>
      </c>
      <c r="EL163" t="e">
        <f>AND(#REF!,"AAAAAHn//40=")</f>
        <v>#REF!</v>
      </c>
      <c r="EM163" t="e">
        <f>AND(#REF!,"AAAAAHn//44=")</f>
        <v>#REF!</v>
      </c>
      <c r="EN163" t="e">
        <f>AND(#REF!,"AAAAAHn//48=")</f>
        <v>#REF!</v>
      </c>
      <c r="EO163" t="e">
        <f>AND(#REF!,"AAAAAHn//5A=")</f>
        <v>#REF!</v>
      </c>
      <c r="EP163" t="e">
        <f>AND(#REF!,"AAAAAHn//5E=")</f>
        <v>#REF!</v>
      </c>
      <c r="EQ163" t="e">
        <f>AND(#REF!,"AAAAAHn//5I=")</f>
        <v>#REF!</v>
      </c>
      <c r="ER163" t="e">
        <f>AND(#REF!,"AAAAAHn//5M=")</f>
        <v>#REF!</v>
      </c>
      <c r="ES163" t="e">
        <f>AND(#REF!,"AAAAAHn//5Q=")</f>
        <v>#REF!</v>
      </c>
      <c r="ET163" t="e">
        <f>AND(#REF!,"AAAAAHn//5U=")</f>
        <v>#REF!</v>
      </c>
      <c r="EU163" t="e">
        <f>AND(#REF!,"AAAAAHn//5Y=")</f>
        <v>#REF!</v>
      </c>
      <c r="EV163" t="e">
        <f>AND(#REF!,"AAAAAHn//5c=")</f>
        <v>#REF!</v>
      </c>
      <c r="EW163" t="e">
        <f>AND(#REF!,"AAAAAHn//5g=")</f>
        <v>#REF!</v>
      </c>
      <c r="EX163" t="e">
        <f>AND(#REF!,"AAAAAHn//5k=")</f>
        <v>#REF!</v>
      </c>
      <c r="EY163" t="e">
        <f>IF(#REF!,"AAAAAHn//5o=",0)</f>
        <v>#REF!</v>
      </c>
      <c r="EZ163" t="e">
        <f>AND(#REF!,"AAAAAHn//5s=")</f>
        <v>#REF!</v>
      </c>
      <c r="FA163" t="e">
        <f>AND(#REF!,"AAAAAHn//5w=")</f>
        <v>#REF!</v>
      </c>
      <c r="FB163" t="e">
        <f>AND(#REF!,"AAAAAHn//50=")</f>
        <v>#REF!</v>
      </c>
      <c r="FC163" t="e">
        <f>AND(#REF!,"AAAAAHn//54=")</f>
        <v>#REF!</v>
      </c>
      <c r="FD163" t="e">
        <f>AND(#REF!,"AAAAAHn//58=")</f>
        <v>#REF!</v>
      </c>
      <c r="FE163" t="e">
        <f>AND(#REF!,"AAAAAHn//6A=")</f>
        <v>#REF!</v>
      </c>
      <c r="FF163" t="e">
        <f>AND(#REF!,"AAAAAHn//6E=")</f>
        <v>#REF!</v>
      </c>
      <c r="FG163" t="e">
        <f>AND(#REF!,"AAAAAHn//6I=")</f>
        <v>#REF!</v>
      </c>
      <c r="FH163" t="e">
        <f>AND(#REF!,"AAAAAHn//6M=")</f>
        <v>#REF!</v>
      </c>
      <c r="FI163" t="e">
        <f>AND(#REF!,"AAAAAHn//6Q=")</f>
        <v>#REF!</v>
      </c>
      <c r="FJ163" t="e">
        <f>AND(#REF!,"AAAAAHn//6U=")</f>
        <v>#REF!</v>
      </c>
      <c r="FK163" t="e">
        <f>AND(#REF!,"AAAAAHn//6Y=")</f>
        <v>#REF!</v>
      </c>
      <c r="FL163" t="e">
        <f>AND(#REF!,"AAAAAHn//6c=")</f>
        <v>#REF!</v>
      </c>
      <c r="FM163" t="e">
        <f>AND(#REF!,"AAAAAHn//6g=")</f>
        <v>#REF!</v>
      </c>
      <c r="FN163" t="e">
        <f>AND(#REF!,"AAAAAHn//6k=")</f>
        <v>#REF!</v>
      </c>
      <c r="FO163" t="e">
        <f>AND(#REF!,"AAAAAHn//6o=")</f>
        <v>#REF!</v>
      </c>
      <c r="FP163" t="e">
        <f>AND(#REF!,"AAAAAHn//6s=")</f>
        <v>#REF!</v>
      </c>
      <c r="FQ163" t="e">
        <f>AND(#REF!,"AAAAAHn//6w=")</f>
        <v>#REF!</v>
      </c>
      <c r="FR163" t="e">
        <f>AND(#REF!,"AAAAAHn//60=")</f>
        <v>#REF!</v>
      </c>
      <c r="FS163" t="e">
        <f>AND(#REF!,"AAAAAHn//64=")</f>
        <v>#REF!</v>
      </c>
      <c r="FT163" t="e">
        <f>AND(#REF!,"AAAAAHn//68=")</f>
        <v>#REF!</v>
      </c>
      <c r="FU163" t="e">
        <f>AND(#REF!,"AAAAAHn//7A=")</f>
        <v>#REF!</v>
      </c>
      <c r="FV163" t="e">
        <f>IF(#REF!,"AAAAAHn//7E=",0)</f>
        <v>#REF!</v>
      </c>
      <c r="FW163" t="e">
        <f>AND(#REF!,"AAAAAHn//7I=")</f>
        <v>#REF!</v>
      </c>
      <c r="FX163" t="e">
        <f>AND(#REF!,"AAAAAHn//7M=")</f>
        <v>#REF!</v>
      </c>
      <c r="FY163" t="e">
        <f>AND(#REF!,"AAAAAHn//7Q=")</f>
        <v>#REF!</v>
      </c>
      <c r="FZ163" t="e">
        <f>AND(#REF!,"AAAAAHn//7U=")</f>
        <v>#REF!</v>
      </c>
      <c r="GA163" t="e">
        <f>AND(#REF!,"AAAAAHn//7Y=")</f>
        <v>#REF!</v>
      </c>
      <c r="GB163" t="e">
        <f>AND(#REF!,"AAAAAHn//7c=")</f>
        <v>#REF!</v>
      </c>
      <c r="GC163" t="e">
        <f>AND(#REF!,"AAAAAHn//7g=")</f>
        <v>#REF!</v>
      </c>
      <c r="GD163" t="e">
        <f>AND(#REF!,"AAAAAHn//7k=")</f>
        <v>#REF!</v>
      </c>
      <c r="GE163" t="e">
        <f>AND(#REF!,"AAAAAHn//7o=")</f>
        <v>#REF!</v>
      </c>
      <c r="GF163" t="e">
        <f>AND(#REF!,"AAAAAHn//7s=")</f>
        <v>#REF!</v>
      </c>
      <c r="GG163" t="e">
        <f>AND(#REF!,"AAAAAHn//7w=")</f>
        <v>#REF!</v>
      </c>
      <c r="GH163" t="e">
        <f>AND(#REF!,"AAAAAHn//70=")</f>
        <v>#REF!</v>
      </c>
      <c r="GI163" t="e">
        <f>AND(#REF!,"AAAAAHn//74=")</f>
        <v>#REF!</v>
      </c>
      <c r="GJ163" t="e">
        <f>AND(#REF!,"AAAAAHn//78=")</f>
        <v>#REF!</v>
      </c>
      <c r="GK163" t="e">
        <f>AND(#REF!,"AAAAAHn//8A=")</f>
        <v>#REF!</v>
      </c>
      <c r="GL163" t="e">
        <f>AND(#REF!,"AAAAAHn//8E=")</f>
        <v>#REF!</v>
      </c>
      <c r="GM163" t="e">
        <f>AND(#REF!,"AAAAAHn//8I=")</f>
        <v>#REF!</v>
      </c>
      <c r="GN163" t="e">
        <f>AND(#REF!,"AAAAAHn//8M=")</f>
        <v>#REF!</v>
      </c>
      <c r="GO163" t="e">
        <f>AND(#REF!,"AAAAAHn//8Q=")</f>
        <v>#REF!</v>
      </c>
      <c r="GP163" t="e">
        <f>AND(#REF!,"AAAAAHn//8U=")</f>
        <v>#REF!</v>
      </c>
      <c r="GQ163" t="e">
        <f>AND(#REF!,"AAAAAHn//8Y=")</f>
        <v>#REF!</v>
      </c>
      <c r="GR163" t="e">
        <f>AND(#REF!,"AAAAAHn//8c=")</f>
        <v>#REF!</v>
      </c>
      <c r="GS163" t="e">
        <f>IF(#REF!,"AAAAAHn//8g=",0)</f>
        <v>#REF!</v>
      </c>
      <c r="GT163" t="e">
        <f>AND(#REF!,"AAAAAHn//8k=")</f>
        <v>#REF!</v>
      </c>
      <c r="GU163" t="e">
        <f>AND(#REF!,"AAAAAHn//8o=")</f>
        <v>#REF!</v>
      </c>
      <c r="GV163" t="e">
        <f>AND(#REF!,"AAAAAHn//8s=")</f>
        <v>#REF!</v>
      </c>
      <c r="GW163" t="e">
        <f>AND(#REF!,"AAAAAHn//8w=")</f>
        <v>#REF!</v>
      </c>
      <c r="GX163" t="e">
        <f>AND(#REF!,"AAAAAHn//80=")</f>
        <v>#REF!</v>
      </c>
      <c r="GY163" t="e">
        <f>AND(#REF!,"AAAAAHn//84=")</f>
        <v>#REF!</v>
      </c>
      <c r="GZ163" t="e">
        <f>AND(#REF!,"AAAAAHn//88=")</f>
        <v>#REF!</v>
      </c>
      <c r="HA163" t="e">
        <f>AND(#REF!,"AAAAAHn//9A=")</f>
        <v>#REF!</v>
      </c>
      <c r="HB163" t="e">
        <f>AND(#REF!,"AAAAAHn//9E=")</f>
        <v>#REF!</v>
      </c>
      <c r="HC163" t="e">
        <f>AND(#REF!,"AAAAAHn//9I=")</f>
        <v>#REF!</v>
      </c>
      <c r="HD163" t="e">
        <f>AND(#REF!,"AAAAAHn//9M=")</f>
        <v>#REF!</v>
      </c>
      <c r="HE163" t="e">
        <f>AND(#REF!,"AAAAAHn//9Q=")</f>
        <v>#REF!</v>
      </c>
      <c r="HF163" t="e">
        <f>AND(#REF!,"AAAAAHn//9U=")</f>
        <v>#REF!</v>
      </c>
      <c r="HG163" t="e">
        <f>AND(#REF!,"AAAAAHn//9Y=")</f>
        <v>#REF!</v>
      </c>
      <c r="HH163" t="e">
        <f>AND(#REF!,"AAAAAHn//9c=")</f>
        <v>#REF!</v>
      </c>
      <c r="HI163" t="e">
        <f>AND(#REF!,"AAAAAHn//9g=")</f>
        <v>#REF!</v>
      </c>
      <c r="HJ163" t="e">
        <f>AND(#REF!,"AAAAAHn//9k=")</f>
        <v>#REF!</v>
      </c>
      <c r="HK163" t="e">
        <f>AND(#REF!,"AAAAAHn//9o=")</f>
        <v>#REF!</v>
      </c>
      <c r="HL163" t="e">
        <f>AND(#REF!,"AAAAAHn//9s=")</f>
        <v>#REF!</v>
      </c>
      <c r="HM163" t="e">
        <f>AND(#REF!,"AAAAAHn//9w=")</f>
        <v>#REF!</v>
      </c>
      <c r="HN163" t="e">
        <f>AND(#REF!,"AAAAAHn//90=")</f>
        <v>#REF!</v>
      </c>
      <c r="HO163" t="e">
        <f>AND(#REF!,"AAAAAHn//94=")</f>
        <v>#REF!</v>
      </c>
      <c r="HP163" t="e">
        <f>IF(#REF!,"AAAAAHn//98=",0)</f>
        <v>#REF!</v>
      </c>
      <c r="HQ163" t="e">
        <f>AND(#REF!,"AAAAAHn//+A=")</f>
        <v>#REF!</v>
      </c>
      <c r="HR163" t="e">
        <f>AND(#REF!,"AAAAAHn//+E=")</f>
        <v>#REF!</v>
      </c>
      <c r="HS163" t="e">
        <f>AND(#REF!,"AAAAAHn//+I=")</f>
        <v>#REF!</v>
      </c>
      <c r="HT163" t="e">
        <f>AND(#REF!,"AAAAAHn//+M=")</f>
        <v>#REF!</v>
      </c>
      <c r="HU163" t="e">
        <f>AND(#REF!,"AAAAAHn//+Q=")</f>
        <v>#REF!</v>
      </c>
      <c r="HV163" t="e">
        <f>AND(#REF!,"AAAAAHn//+U=")</f>
        <v>#REF!</v>
      </c>
      <c r="HW163" t="e">
        <f>AND(#REF!,"AAAAAHn//+Y=")</f>
        <v>#REF!</v>
      </c>
      <c r="HX163" t="e">
        <f>AND(#REF!,"AAAAAHn//+c=")</f>
        <v>#REF!</v>
      </c>
      <c r="HY163" t="e">
        <f>AND(#REF!,"AAAAAHn//+g=")</f>
        <v>#REF!</v>
      </c>
      <c r="HZ163" t="e">
        <f>AND(#REF!,"AAAAAHn//+k=")</f>
        <v>#REF!</v>
      </c>
      <c r="IA163" t="e">
        <f>AND(#REF!,"AAAAAHn//+o=")</f>
        <v>#REF!</v>
      </c>
      <c r="IB163" t="e">
        <f>AND(#REF!,"AAAAAHn//+s=")</f>
        <v>#REF!</v>
      </c>
      <c r="IC163" t="e">
        <f>AND(#REF!,"AAAAAHn//+w=")</f>
        <v>#REF!</v>
      </c>
      <c r="ID163" t="e">
        <f>AND(#REF!,"AAAAAHn//+0=")</f>
        <v>#REF!</v>
      </c>
      <c r="IE163" t="e">
        <f>AND(#REF!,"AAAAAHn//+4=")</f>
        <v>#REF!</v>
      </c>
      <c r="IF163" t="e">
        <f>AND(#REF!,"AAAAAHn//+8=")</f>
        <v>#REF!</v>
      </c>
      <c r="IG163" t="e">
        <f>AND(#REF!,"AAAAAHn///A=")</f>
        <v>#REF!</v>
      </c>
      <c r="IH163" t="e">
        <f>AND(#REF!,"AAAAAHn///E=")</f>
        <v>#REF!</v>
      </c>
      <c r="II163" t="e">
        <f>AND(#REF!,"AAAAAHn///I=")</f>
        <v>#REF!</v>
      </c>
      <c r="IJ163" t="e">
        <f>AND(#REF!,"AAAAAHn///M=")</f>
        <v>#REF!</v>
      </c>
      <c r="IK163" t="e">
        <f>AND(#REF!,"AAAAAHn///Q=")</f>
        <v>#REF!</v>
      </c>
      <c r="IL163" t="e">
        <f>AND(#REF!,"AAAAAHn///U=")</f>
        <v>#REF!</v>
      </c>
      <c r="IM163" t="e">
        <f>IF(#REF!,"AAAAAHn///Y=",0)</f>
        <v>#REF!</v>
      </c>
      <c r="IN163" t="e">
        <f>AND(#REF!,"AAAAAHn///c=")</f>
        <v>#REF!</v>
      </c>
      <c r="IO163" t="e">
        <f>AND(#REF!,"AAAAAHn///g=")</f>
        <v>#REF!</v>
      </c>
      <c r="IP163" t="e">
        <f>AND(#REF!,"AAAAAHn///k=")</f>
        <v>#REF!</v>
      </c>
      <c r="IQ163" t="e">
        <f>AND(#REF!,"AAAAAHn///o=")</f>
        <v>#REF!</v>
      </c>
      <c r="IR163" t="e">
        <f>AND(#REF!,"AAAAAHn///s=")</f>
        <v>#REF!</v>
      </c>
      <c r="IS163" t="e">
        <f>AND(#REF!,"AAAAAHn///w=")</f>
        <v>#REF!</v>
      </c>
      <c r="IT163" t="e">
        <f>AND(#REF!,"AAAAAHn///0=")</f>
        <v>#REF!</v>
      </c>
      <c r="IU163" t="e">
        <f>AND(#REF!,"AAAAAHn///4=")</f>
        <v>#REF!</v>
      </c>
      <c r="IV163" t="e">
        <f>AND(#REF!,"AAAAAHn///8=")</f>
        <v>#REF!</v>
      </c>
    </row>
    <row r="164" spans="1:256" x14ac:dyDescent="0.2">
      <c r="A164" t="e">
        <f>AND(#REF!,"AAAAAH/f/QA=")</f>
        <v>#REF!</v>
      </c>
      <c r="B164" t="e">
        <f>AND(#REF!,"AAAAAH/f/QE=")</f>
        <v>#REF!</v>
      </c>
      <c r="C164" t="e">
        <f>AND(#REF!,"AAAAAH/f/QI=")</f>
        <v>#REF!</v>
      </c>
      <c r="D164" t="e">
        <f>AND(#REF!,"AAAAAH/f/QM=")</f>
        <v>#REF!</v>
      </c>
      <c r="E164" t="e">
        <f>AND(#REF!,"AAAAAH/f/QQ=")</f>
        <v>#REF!</v>
      </c>
      <c r="F164" t="e">
        <f>AND(#REF!,"AAAAAH/f/QU=")</f>
        <v>#REF!</v>
      </c>
      <c r="G164" t="e">
        <f>AND(#REF!,"AAAAAH/f/QY=")</f>
        <v>#REF!</v>
      </c>
      <c r="H164" t="e">
        <f>AND(#REF!,"AAAAAH/f/Qc=")</f>
        <v>#REF!</v>
      </c>
      <c r="I164" t="e">
        <f>AND(#REF!,"AAAAAH/f/Qg=")</f>
        <v>#REF!</v>
      </c>
      <c r="J164" t="e">
        <f>AND(#REF!,"AAAAAH/f/Qk=")</f>
        <v>#REF!</v>
      </c>
      <c r="K164" t="e">
        <f>AND(#REF!,"AAAAAH/f/Qo=")</f>
        <v>#REF!</v>
      </c>
      <c r="L164" t="e">
        <f>AND(#REF!,"AAAAAH/f/Qs=")</f>
        <v>#REF!</v>
      </c>
      <c r="M164" t="e">
        <f>AND(#REF!,"AAAAAH/f/Qw=")</f>
        <v>#REF!</v>
      </c>
      <c r="N164" t="e">
        <f>IF(#REF!,"AAAAAH/f/Q0=",0)</f>
        <v>#REF!</v>
      </c>
      <c r="O164" t="e">
        <f>AND(#REF!,"AAAAAH/f/Q4=")</f>
        <v>#REF!</v>
      </c>
      <c r="P164" t="e">
        <f>AND(#REF!,"AAAAAH/f/Q8=")</f>
        <v>#REF!</v>
      </c>
      <c r="Q164" t="e">
        <f>AND(#REF!,"AAAAAH/f/RA=")</f>
        <v>#REF!</v>
      </c>
      <c r="R164" t="e">
        <f>AND(#REF!,"AAAAAH/f/RE=")</f>
        <v>#REF!</v>
      </c>
      <c r="S164" t="e">
        <f>AND(#REF!,"AAAAAH/f/RI=")</f>
        <v>#REF!</v>
      </c>
      <c r="T164" t="e">
        <f>AND(#REF!,"AAAAAH/f/RM=")</f>
        <v>#REF!</v>
      </c>
      <c r="U164" t="e">
        <f>AND(#REF!,"AAAAAH/f/RQ=")</f>
        <v>#REF!</v>
      </c>
      <c r="V164" t="e">
        <f>AND(#REF!,"AAAAAH/f/RU=")</f>
        <v>#REF!</v>
      </c>
      <c r="W164" t="e">
        <f>AND(#REF!,"AAAAAH/f/RY=")</f>
        <v>#REF!</v>
      </c>
      <c r="X164" t="e">
        <f>AND(#REF!,"AAAAAH/f/Rc=")</f>
        <v>#REF!</v>
      </c>
      <c r="Y164" t="e">
        <f>AND(#REF!,"AAAAAH/f/Rg=")</f>
        <v>#REF!</v>
      </c>
      <c r="Z164" t="e">
        <f>AND(#REF!,"AAAAAH/f/Rk=")</f>
        <v>#REF!</v>
      </c>
      <c r="AA164" t="e">
        <f>AND(#REF!,"AAAAAH/f/Ro=")</f>
        <v>#REF!</v>
      </c>
      <c r="AB164" t="e">
        <f>AND(#REF!,"AAAAAH/f/Rs=")</f>
        <v>#REF!</v>
      </c>
      <c r="AC164" t="e">
        <f>AND(#REF!,"AAAAAH/f/Rw=")</f>
        <v>#REF!</v>
      </c>
      <c r="AD164" t="e">
        <f>AND(#REF!,"AAAAAH/f/R0=")</f>
        <v>#REF!</v>
      </c>
      <c r="AE164" t="e">
        <f>AND(#REF!,"AAAAAH/f/R4=")</f>
        <v>#REF!</v>
      </c>
      <c r="AF164" t="e">
        <f>AND(#REF!,"AAAAAH/f/R8=")</f>
        <v>#REF!</v>
      </c>
      <c r="AG164" t="e">
        <f>AND(#REF!,"AAAAAH/f/SA=")</f>
        <v>#REF!</v>
      </c>
      <c r="AH164" t="e">
        <f>AND(#REF!,"AAAAAH/f/SE=")</f>
        <v>#REF!</v>
      </c>
      <c r="AI164" t="e">
        <f>AND(#REF!,"AAAAAH/f/SI=")</f>
        <v>#REF!</v>
      </c>
      <c r="AJ164" t="e">
        <f>AND(#REF!,"AAAAAH/f/SM=")</f>
        <v>#REF!</v>
      </c>
      <c r="AK164" t="e">
        <f>IF(#REF!,"AAAAAH/f/SQ=",0)</f>
        <v>#REF!</v>
      </c>
      <c r="AL164" t="e">
        <f>AND(#REF!,"AAAAAH/f/SU=")</f>
        <v>#REF!</v>
      </c>
      <c r="AM164" t="e">
        <f>AND(#REF!,"AAAAAH/f/SY=")</f>
        <v>#REF!</v>
      </c>
      <c r="AN164" t="e">
        <f>AND(#REF!,"AAAAAH/f/Sc=")</f>
        <v>#REF!</v>
      </c>
      <c r="AO164" t="e">
        <f>AND(#REF!,"AAAAAH/f/Sg=")</f>
        <v>#REF!</v>
      </c>
      <c r="AP164" t="e">
        <f>AND(#REF!,"AAAAAH/f/Sk=")</f>
        <v>#REF!</v>
      </c>
      <c r="AQ164" t="e">
        <f>AND(#REF!,"AAAAAH/f/So=")</f>
        <v>#REF!</v>
      </c>
      <c r="AR164" t="e">
        <f>AND(#REF!,"AAAAAH/f/Ss=")</f>
        <v>#REF!</v>
      </c>
      <c r="AS164" t="e">
        <f>AND(#REF!,"AAAAAH/f/Sw=")</f>
        <v>#REF!</v>
      </c>
      <c r="AT164" t="e">
        <f>AND(#REF!,"AAAAAH/f/S0=")</f>
        <v>#REF!</v>
      </c>
      <c r="AU164" t="e">
        <f>AND(#REF!,"AAAAAH/f/S4=")</f>
        <v>#REF!</v>
      </c>
      <c r="AV164" t="e">
        <f>AND(#REF!,"AAAAAH/f/S8=")</f>
        <v>#REF!</v>
      </c>
      <c r="AW164" t="e">
        <f>AND(#REF!,"AAAAAH/f/TA=")</f>
        <v>#REF!</v>
      </c>
      <c r="AX164" t="e">
        <f>AND(#REF!,"AAAAAH/f/TE=")</f>
        <v>#REF!</v>
      </c>
      <c r="AY164" t="e">
        <f>AND(#REF!,"AAAAAH/f/TI=")</f>
        <v>#REF!</v>
      </c>
      <c r="AZ164" t="e">
        <f>AND(#REF!,"AAAAAH/f/TM=")</f>
        <v>#REF!</v>
      </c>
      <c r="BA164" t="e">
        <f>AND(#REF!,"AAAAAH/f/TQ=")</f>
        <v>#REF!</v>
      </c>
      <c r="BB164" t="e">
        <f>AND(#REF!,"AAAAAH/f/TU=")</f>
        <v>#REF!</v>
      </c>
      <c r="BC164" t="e">
        <f>AND(#REF!,"AAAAAH/f/TY=")</f>
        <v>#REF!</v>
      </c>
      <c r="BD164" t="e">
        <f>AND(#REF!,"AAAAAH/f/Tc=")</f>
        <v>#REF!</v>
      </c>
      <c r="BE164" t="e">
        <f>AND(#REF!,"AAAAAH/f/Tg=")</f>
        <v>#REF!</v>
      </c>
      <c r="BF164" t="e">
        <f>AND(#REF!,"AAAAAH/f/Tk=")</f>
        <v>#REF!</v>
      </c>
      <c r="BG164" t="e">
        <f>AND(#REF!,"AAAAAH/f/To=")</f>
        <v>#REF!</v>
      </c>
      <c r="BH164" t="e">
        <f>IF(#REF!,"AAAAAH/f/Ts=",0)</f>
        <v>#REF!</v>
      </c>
      <c r="BI164" t="e">
        <f>AND(#REF!,"AAAAAH/f/Tw=")</f>
        <v>#REF!</v>
      </c>
      <c r="BJ164" t="e">
        <f>AND(#REF!,"AAAAAH/f/T0=")</f>
        <v>#REF!</v>
      </c>
      <c r="BK164" t="e">
        <f>AND(#REF!,"AAAAAH/f/T4=")</f>
        <v>#REF!</v>
      </c>
      <c r="BL164" t="e">
        <f>AND(#REF!,"AAAAAH/f/T8=")</f>
        <v>#REF!</v>
      </c>
      <c r="BM164" t="e">
        <f>AND(#REF!,"AAAAAH/f/UA=")</f>
        <v>#REF!</v>
      </c>
      <c r="BN164" t="e">
        <f>AND(#REF!,"AAAAAH/f/UE=")</f>
        <v>#REF!</v>
      </c>
      <c r="BO164" t="e">
        <f>AND(#REF!,"AAAAAH/f/UI=")</f>
        <v>#REF!</v>
      </c>
      <c r="BP164" t="e">
        <f>AND(#REF!,"AAAAAH/f/UM=")</f>
        <v>#REF!</v>
      </c>
      <c r="BQ164" t="e">
        <f>AND(#REF!,"AAAAAH/f/UQ=")</f>
        <v>#REF!</v>
      </c>
      <c r="BR164" t="e">
        <f>AND(#REF!,"AAAAAH/f/UU=")</f>
        <v>#REF!</v>
      </c>
      <c r="BS164" t="e">
        <f>AND(#REF!,"AAAAAH/f/UY=")</f>
        <v>#REF!</v>
      </c>
      <c r="BT164" t="e">
        <f>AND(#REF!,"AAAAAH/f/Uc=")</f>
        <v>#REF!</v>
      </c>
      <c r="BU164" t="e">
        <f>AND(#REF!,"AAAAAH/f/Ug=")</f>
        <v>#REF!</v>
      </c>
      <c r="BV164" t="e">
        <f>AND(#REF!,"AAAAAH/f/Uk=")</f>
        <v>#REF!</v>
      </c>
      <c r="BW164" t="e">
        <f>AND(#REF!,"AAAAAH/f/Uo=")</f>
        <v>#REF!</v>
      </c>
      <c r="BX164" t="e">
        <f>AND(#REF!,"AAAAAH/f/Us=")</f>
        <v>#REF!</v>
      </c>
      <c r="BY164" t="e">
        <f>AND(#REF!,"AAAAAH/f/Uw=")</f>
        <v>#REF!</v>
      </c>
      <c r="BZ164" t="e">
        <f>AND(#REF!,"AAAAAH/f/U0=")</f>
        <v>#REF!</v>
      </c>
      <c r="CA164" t="e">
        <f>AND(#REF!,"AAAAAH/f/U4=")</f>
        <v>#REF!</v>
      </c>
      <c r="CB164" t="e">
        <f>AND(#REF!,"AAAAAH/f/U8=")</f>
        <v>#REF!</v>
      </c>
      <c r="CC164" t="e">
        <f>AND(#REF!,"AAAAAH/f/VA=")</f>
        <v>#REF!</v>
      </c>
      <c r="CD164" t="e">
        <f>AND(#REF!,"AAAAAH/f/VE=")</f>
        <v>#REF!</v>
      </c>
      <c r="CE164" t="e">
        <f>IF(#REF!,"AAAAAH/f/VI=",0)</f>
        <v>#REF!</v>
      </c>
      <c r="CF164" t="e">
        <f>AND(#REF!,"AAAAAH/f/VM=")</f>
        <v>#REF!</v>
      </c>
      <c r="CG164" t="e">
        <f>AND(#REF!,"AAAAAH/f/VQ=")</f>
        <v>#REF!</v>
      </c>
      <c r="CH164" t="e">
        <f>AND(#REF!,"AAAAAH/f/VU=")</f>
        <v>#REF!</v>
      </c>
      <c r="CI164" t="e">
        <f>AND(#REF!,"AAAAAH/f/VY=")</f>
        <v>#REF!</v>
      </c>
      <c r="CJ164" t="e">
        <f>AND(#REF!,"AAAAAH/f/Vc=")</f>
        <v>#REF!</v>
      </c>
      <c r="CK164" t="e">
        <f>AND(#REF!,"AAAAAH/f/Vg=")</f>
        <v>#REF!</v>
      </c>
      <c r="CL164" t="e">
        <f>AND(#REF!,"AAAAAH/f/Vk=")</f>
        <v>#REF!</v>
      </c>
      <c r="CM164" t="e">
        <f>AND(#REF!,"AAAAAH/f/Vo=")</f>
        <v>#REF!</v>
      </c>
      <c r="CN164" t="e">
        <f>AND(#REF!,"AAAAAH/f/Vs=")</f>
        <v>#REF!</v>
      </c>
      <c r="CO164" t="e">
        <f>AND(#REF!,"AAAAAH/f/Vw=")</f>
        <v>#REF!</v>
      </c>
      <c r="CP164" t="e">
        <f>AND(#REF!,"AAAAAH/f/V0=")</f>
        <v>#REF!</v>
      </c>
      <c r="CQ164" t="e">
        <f>AND(#REF!,"AAAAAH/f/V4=")</f>
        <v>#REF!</v>
      </c>
      <c r="CR164" t="e">
        <f>AND(#REF!,"AAAAAH/f/V8=")</f>
        <v>#REF!</v>
      </c>
      <c r="CS164" t="e">
        <f>AND(#REF!,"AAAAAH/f/WA=")</f>
        <v>#REF!</v>
      </c>
      <c r="CT164" t="e">
        <f>AND(#REF!,"AAAAAH/f/WE=")</f>
        <v>#REF!</v>
      </c>
      <c r="CU164" t="e">
        <f>AND(#REF!,"AAAAAH/f/WI=")</f>
        <v>#REF!</v>
      </c>
      <c r="CV164" t="e">
        <f>AND(#REF!,"AAAAAH/f/WM=")</f>
        <v>#REF!</v>
      </c>
      <c r="CW164" t="e">
        <f>AND(#REF!,"AAAAAH/f/WQ=")</f>
        <v>#REF!</v>
      </c>
      <c r="CX164" t="e">
        <f>AND(#REF!,"AAAAAH/f/WU=")</f>
        <v>#REF!</v>
      </c>
      <c r="CY164" t="e">
        <f>AND(#REF!,"AAAAAH/f/WY=")</f>
        <v>#REF!</v>
      </c>
      <c r="CZ164" t="e">
        <f>AND(#REF!,"AAAAAH/f/Wc=")</f>
        <v>#REF!</v>
      </c>
      <c r="DA164" t="e">
        <f>AND(#REF!,"AAAAAH/f/Wg=")</f>
        <v>#REF!</v>
      </c>
      <c r="DB164" t="e">
        <f>IF(#REF!,"AAAAAH/f/Wk=",0)</f>
        <v>#REF!</v>
      </c>
      <c r="DC164" t="e">
        <f>AND(#REF!,"AAAAAH/f/Wo=")</f>
        <v>#REF!</v>
      </c>
      <c r="DD164" t="e">
        <f>AND(#REF!,"AAAAAH/f/Ws=")</f>
        <v>#REF!</v>
      </c>
      <c r="DE164" t="e">
        <f>AND(#REF!,"AAAAAH/f/Ww=")</f>
        <v>#REF!</v>
      </c>
      <c r="DF164" t="e">
        <f>AND(#REF!,"AAAAAH/f/W0=")</f>
        <v>#REF!</v>
      </c>
      <c r="DG164" t="e">
        <f>AND(#REF!,"AAAAAH/f/W4=")</f>
        <v>#REF!</v>
      </c>
      <c r="DH164" t="e">
        <f>AND(#REF!,"AAAAAH/f/W8=")</f>
        <v>#REF!</v>
      </c>
      <c r="DI164" t="e">
        <f>AND(#REF!,"AAAAAH/f/XA=")</f>
        <v>#REF!</v>
      </c>
      <c r="DJ164" t="e">
        <f>AND(#REF!,"AAAAAH/f/XE=")</f>
        <v>#REF!</v>
      </c>
      <c r="DK164" t="e">
        <f>AND(#REF!,"AAAAAH/f/XI=")</f>
        <v>#REF!</v>
      </c>
      <c r="DL164" t="e">
        <f>AND(#REF!,"AAAAAH/f/XM=")</f>
        <v>#REF!</v>
      </c>
      <c r="DM164" t="e">
        <f>AND(#REF!,"AAAAAH/f/XQ=")</f>
        <v>#REF!</v>
      </c>
      <c r="DN164" t="e">
        <f>AND(#REF!,"AAAAAH/f/XU=")</f>
        <v>#REF!</v>
      </c>
      <c r="DO164" t="e">
        <f>AND(#REF!,"AAAAAH/f/XY=")</f>
        <v>#REF!</v>
      </c>
      <c r="DP164" t="e">
        <f>AND(#REF!,"AAAAAH/f/Xc=")</f>
        <v>#REF!</v>
      </c>
      <c r="DQ164" t="e">
        <f>AND(#REF!,"AAAAAH/f/Xg=")</f>
        <v>#REF!</v>
      </c>
      <c r="DR164" t="e">
        <f>AND(#REF!,"AAAAAH/f/Xk=")</f>
        <v>#REF!</v>
      </c>
      <c r="DS164" t="e">
        <f>AND(#REF!,"AAAAAH/f/Xo=")</f>
        <v>#REF!</v>
      </c>
      <c r="DT164" t="e">
        <f>AND(#REF!,"AAAAAH/f/Xs=")</f>
        <v>#REF!</v>
      </c>
      <c r="DU164" t="e">
        <f>AND(#REF!,"AAAAAH/f/Xw=")</f>
        <v>#REF!</v>
      </c>
      <c r="DV164" t="e">
        <f>AND(#REF!,"AAAAAH/f/X0=")</f>
        <v>#REF!</v>
      </c>
      <c r="DW164" t="e">
        <f>AND(#REF!,"AAAAAH/f/X4=")</f>
        <v>#REF!</v>
      </c>
      <c r="DX164" t="e">
        <f>AND(#REF!,"AAAAAH/f/X8=")</f>
        <v>#REF!</v>
      </c>
      <c r="DY164" t="e">
        <f>IF(#REF!,"AAAAAH/f/YA=",0)</f>
        <v>#REF!</v>
      </c>
      <c r="DZ164" t="e">
        <f>AND(#REF!,"AAAAAH/f/YE=")</f>
        <v>#REF!</v>
      </c>
      <c r="EA164" t="e">
        <f>AND(#REF!,"AAAAAH/f/YI=")</f>
        <v>#REF!</v>
      </c>
      <c r="EB164" t="e">
        <f>AND(#REF!,"AAAAAH/f/YM=")</f>
        <v>#REF!</v>
      </c>
      <c r="EC164" t="e">
        <f>AND(#REF!,"AAAAAH/f/YQ=")</f>
        <v>#REF!</v>
      </c>
      <c r="ED164" t="e">
        <f>AND(#REF!,"AAAAAH/f/YU=")</f>
        <v>#REF!</v>
      </c>
      <c r="EE164" t="e">
        <f>AND(#REF!,"AAAAAH/f/YY=")</f>
        <v>#REF!</v>
      </c>
      <c r="EF164" t="e">
        <f>AND(#REF!,"AAAAAH/f/Yc=")</f>
        <v>#REF!</v>
      </c>
      <c r="EG164" t="e">
        <f>AND(#REF!,"AAAAAH/f/Yg=")</f>
        <v>#REF!</v>
      </c>
      <c r="EH164" t="e">
        <f>AND(#REF!,"AAAAAH/f/Yk=")</f>
        <v>#REF!</v>
      </c>
      <c r="EI164" t="e">
        <f>AND(#REF!,"AAAAAH/f/Yo=")</f>
        <v>#REF!</v>
      </c>
      <c r="EJ164" t="e">
        <f>AND(#REF!,"AAAAAH/f/Ys=")</f>
        <v>#REF!</v>
      </c>
      <c r="EK164" t="e">
        <f>AND(#REF!,"AAAAAH/f/Yw=")</f>
        <v>#REF!</v>
      </c>
      <c r="EL164" t="e">
        <f>AND(#REF!,"AAAAAH/f/Y0=")</f>
        <v>#REF!</v>
      </c>
      <c r="EM164" t="e">
        <f>AND(#REF!,"AAAAAH/f/Y4=")</f>
        <v>#REF!</v>
      </c>
      <c r="EN164" t="e">
        <f>AND(#REF!,"AAAAAH/f/Y8=")</f>
        <v>#REF!</v>
      </c>
      <c r="EO164" t="e">
        <f>AND(#REF!,"AAAAAH/f/ZA=")</f>
        <v>#REF!</v>
      </c>
      <c r="EP164" t="e">
        <f>AND(#REF!,"AAAAAH/f/ZE=")</f>
        <v>#REF!</v>
      </c>
      <c r="EQ164" t="e">
        <f>AND(#REF!,"AAAAAH/f/ZI=")</f>
        <v>#REF!</v>
      </c>
      <c r="ER164" t="e">
        <f>AND(#REF!,"AAAAAH/f/ZM=")</f>
        <v>#REF!</v>
      </c>
      <c r="ES164" t="e">
        <f>AND(#REF!,"AAAAAH/f/ZQ=")</f>
        <v>#REF!</v>
      </c>
      <c r="ET164" t="e">
        <f>AND(#REF!,"AAAAAH/f/ZU=")</f>
        <v>#REF!</v>
      </c>
      <c r="EU164" t="e">
        <f>AND(#REF!,"AAAAAH/f/ZY=")</f>
        <v>#REF!</v>
      </c>
      <c r="EV164" t="e">
        <f>IF(#REF!,"AAAAAH/f/Zc=",0)</f>
        <v>#REF!</v>
      </c>
      <c r="EW164" t="e">
        <f>AND(#REF!,"AAAAAH/f/Zg=")</f>
        <v>#REF!</v>
      </c>
      <c r="EX164" t="e">
        <f>AND(#REF!,"AAAAAH/f/Zk=")</f>
        <v>#REF!</v>
      </c>
      <c r="EY164" t="e">
        <f>AND(#REF!,"AAAAAH/f/Zo=")</f>
        <v>#REF!</v>
      </c>
      <c r="EZ164" t="e">
        <f>AND(#REF!,"AAAAAH/f/Zs=")</f>
        <v>#REF!</v>
      </c>
      <c r="FA164" t="e">
        <f>AND(#REF!,"AAAAAH/f/Zw=")</f>
        <v>#REF!</v>
      </c>
      <c r="FB164" t="e">
        <f>AND(#REF!,"AAAAAH/f/Z0=")</f>
        <v>#REF!</v>
      </c>
      <c r="FC164" t="e">
        <f>AND(#REF!,"AAAAAH/f/Z4=")</f>
        <v>#REF!</v>
      </c>
      <c r="FD164" t="e">
        <f>AND(#REF!,"AAAAAH/f/Z8=")</f>
        <v>#REF!</v>
      </c>
      <c r="FE164" t="e">
        <f>AND(#REF!,"AAAAAH/f/aA=")</f>
        <v>#REF!</v>
      </c>
      <c r="FF164" t="e">
        <f>AND(#REF!,"AAAAAH/f/aE=")</f>
        <v>#REF!</v>
      </c>
      <c r="FG164" t="e">
        <f>AND(#REF!,"AAAAAH/f/aI=")</f>
        <v>#REF!</v>
      </c>
      <c r="FH164" t="e">
        <f>AND(#REF!,"AAAAAH/f/aM=")</f>
        <v>#REF!</v>
      </c>
      <c r="FI164" t="e">
        <f>AND(#REF!,"AAAAAH/f/aQ=")</f>
        <v>#REF!</v>
      </c>
      <c r="FJ164" t="e">
        <f>AND(#REF!,"AAAAAH/f/aU=")</f>
        <v>#REF!</v>
      </c>
      <c r="FK164" t="e">
        <f>AND(#REF!,"AAAAAH/f/aY=")</f>
        <v>#REF!</v>
      </c>
      <c r="FL164" t="e">
        <f>AND(#REF!,"AAAAAH/f/ac=")</f>
        <v>#REF!</v>
      </c>
      <c r="FM164" t="e">
        <f>AND(#REF!,"AAAAAH/f/ag=")</f>
        <v>#REF!</v>
      </c>
      <c r="FN164" t="e">
        <f>AND(#REF!,"AAAAAH/f/ak=")</f>
        <v>#REF!</v>
      </c>
      <c r="FO164" t="e">
        <f>AND(#REF!,"AAAAAH/f/ao=")</f>
        <v>#REF!</v>
      </c>
      <c r="FP164" t="e">
        <f>AND(#REF!,"AAAAAH/f/as=")</f>
        <v>#REF!</v>
      </c>
      <c r="FQ164" t="e">
        <f>AND(#REF!,"AAAAAH/f/aw=")</f>
        <v>#REF!</v>
      </c>
      <c r="FR164" t="e">
        <f>AND(#REF!,"AAAAAH/f/a0=")</f>
        <v>#REF!</v>
      </c>
      <c r="FS164" t="e">
        <f>IF(#REF!,"AAAAAH/f/a4=",0)</f>
        <v>#REF!</v>
      </c>
      <c r="FT164" t="e">
        <f>AND(#REF!,"AAAAAH/f/a8=")</f>
        <v>#REF!</v>
      </c>
      <c r="FU164" t="e">
        <f>AND(#REF!,"AAAAAH/f/bA=")</f>
        <v>#REF!</v>
      </c>
      <c r="FV164" t="e">
        <f>AND(#REF!,"AAAAAH/f/bE=")</f>
        <v>#REF!</v>
      </c>
      <c r="FW164" t="e">
        <f>AND(#REF!,"AAAAAH/f/bI=")</f>
        <v>#REF!</v>
      </c>
      <c r="FX164" t="e">
        <f>AND(#REF!,"AAAAAH/f/bM=")</f>
        <v>#REF!</v>
      </c>
      <c r="FY164" t="e">
        <f>AND(#REF!,"AAAAAH/f/bQ=")</f>
        <v>#REF!</v>
      </c>
      <c r="FZ164" t="e">
        <f>AND(#REF!,"AAAAAH/f/bU=")</f>
        <v>#REF!</v>
      </c>
      <c r="GA164" t="e">
        <f>AND(#REF!,"AAAAAH/f/bY=")</f>
        <v>#REF!</v>
      </c>
      <c r="GB164" t="e">
        <f>AND(#REF!,"AAAAAH/f/bc=")</f>
        <v>#REF!</v>
      </c>
      <c r="GC164" t="e">
        <f>AND(#REF!,"AAAAAH/f/bg=")</f>
        <v>#REF!</v>
      </c>
      <c r="GD164" t="e">
        <f>AND(#REF!,"AAAAAH/f/bk=")</f>
        <v>#REF!</v>
      </c>
      <c r="GE164" t="e">
        <f>AND(#REF!,"AAAAAH/f/bo=")</f>
        <v>#REF!</v>
      </c>
      <c r="GF164" t="e">
        <f>AND(#REF!,"AAAAAH/f/bs=")</f>
        <v>#REF!</v>
      </c>
      <c r="GG164" t="e">
        <f>AND(#REF!,"AAAAAH/f/bw=")</f>
        <v>#REF!</v>
      </c>
      <c r="GH164" t="e">
        <f>AND(#REF!,"AAAAAH/f/b0=")</f>
        <v>#REF!</v>
      </c>
      <c r="GI164" t="e">
        <f>AND(#REF!,"AAAAAH/f/b4=")</f>
        <v>#REF!</v>
      </c>
      <c r="GJ164" t="e">
        <f>AND(#REF!,"AAAAAH/f/b8=")</f>
        <v>#REF!</v>
      </c>
      <c r="GK164" t="e">
        <f>AND(#REF!,"AAAAAH/f/cA=")</f>
        <v>#REF!</v>
      </c>
      <c r="GL164" t="e">
        <f>AND(#REF!,"AAAAAH/f/cE=")</f>
        <v>#REF!</v>
      </c>
      <c r="GM164" t="e">
        <f>AND(#REF!,"AAAAAH/f/cI=")</f>
        <v>#REF!</v>
      </c>
      <c r="GN164" t="e">
        <f>AND(#REF!,"AAAAAH/f/cM=")</f>
        <v>#REF!</v>
      </c>
      <c r="GO164" t="e">
        <f>AND(#REF!,"AAAAAH/f/cQ=")</f>
        <v>#REF!</v>
      </c>
      <c r="GP164" t="e">
        <f>IF(#REF!,"AAAAAH/f/cU=",0)</f>
        <v>#REF!</v>
      </c>
      <c r="GQ164" t="e">
        <f>AND(#REF!,"AAAAAH/f/cY=")</f>
        <v>#REF!</v>
      </c>
      <c r="GR164" t="e">
        <f>AND(#REF!,"AAAAAH/f/cc=")</f>
        <v>#REF!</v>
      </c>
      <c r="GS164" t="e">
        <f>AND(#REF!,"AAAAAH/f/cg=")</f>
        <v>#REF!</v>
      </c>
      <c r="GT164" t="e">
        <f>AND(#REF!,"AAAAAH/f/ck=")</f>
        <v>#REF!</v>
      </c>
      <c r="GU164" t="e">
        <f>AND(#REF!,"AAAAAH/f/co=")</f>
        <v>#REF!</v>
      </c>
      <c r="GV164" t="e">
        <f>AND(#REF!,"AAAAAH/f/cs=")</f>
        <v>#REF!</v>
      </c>
      <c r="GW164" t="e">
        <f>AND(#REF!,"AAAAAH/f/cw=")</f>
        <v>#REF!</v>
      </c>
      <c r="GX164" t="e">
        <f>AND(#REF!,"AAAAAH/f/c0=")</f>
        <v>#REF!</v>
      </c>
      <c r="GY164" t="e">
        <f>AND(#REF!,"AAAAAH/f/c4=")</f>
        <v>#REF!</v>
      </c>
      <c r="GZ164" t="e">
        <f>AND(#REF!,"AAAAAH/f/c8=")</f>
        <v>#REF!</v>
      </c>
      <c r="HA164" t="e">
        <f>AND(#REF!,"AAAAAH/f/dA=")</f>
        <v>#REF!</v>
      </c>
      <c r="HB164" t="e">
        <f>AND(#REF!,"AAAAAH/f/dE=")</f>
        <v>#REF!</v>
      </c>
      <c r="HC164" t="e">
        <f>AND(#REF!,"AAAAAH/f/dI=")</f>
        <v>#REF!</v>
      </c>
      <c r="HD164" t="e">
        <f>AND(#REF!,"AAAAAH/f/dM=")</f>
        <v>#REF!</v>
      </c>
      <c r="HE164" t="e">
        <f>AND(#REF!,"AAAAAH/f/dQ=")</f>
        <v>#REF!</v>
      </c>
      <c r="HF164" t="e">
        <f>AND(#REF!,"AAAAAH/f/dU=")</f>
        <v>#REF!</v>
      </c>
      <c r="HG164" t="e">
        <f>AND(#REF!,"AAAAAH/f/dY=")</f>
        <v>#REF!</v>
      </c>
      <c r="HH164" t="e">
        <f>AND(#REF!,"AAAAAH/f/dc=")</f>
        <v>#REF!</v>
      </c>
      <c r="HI164" t="e">
        <f>AND(#REF!,"AAAAAH/f/dg=")</f>
        <v>#REF!</v>
      </c>
      <c r="HJ164" t="e">
        <f>AND(#REF!,"AAAAAH/f/dk=")</f>
        <v>#REF!</v>
      </c>
      <c r="HK164" t="e">
        <f>AND(#REF!,"AAAAAH/f/do=")</f>
        <v>#REF!</v>
      </c>
      <c r="HL164" t="e">
        <f>AND(#REF!,"AAAAAH/f/ds=")</f>
        <v>#REF!</v>
      </c>
      <c r="HM164" t="e">
        <f>IF(#REF!,"AAAAAH/f/dw=",0)</f>
        <v>#REF!</v>
      </c>
      <c r="HN164" t="e">
        <f>AND(#REF!,"AAAAAH/f/d0=")</f>
        <v>#REF!</v>
      </c>
      <c r="HO164" t="e">
        <f>AND(#REF!,"AAAAAH/f/d4=")</f>
        <v>#REF!</v>
      </c>
      <c r="HP164" t="e">
        <f>AND(#REF!,"AAAAAH/f/d8=")</f>
        <v>#REF!</v>
      </c>
      <c r="HQ164" t="e">
        <f>AND(#REF!,"AAAAAH/f/eA=")</f>
        <v>#REF!</v>
      </c>
      <c r="HR164" t="e">
        <f>AND(#REF!,"AAAAAH/f/eE=")</f>
        <v>#REF!</v>
      </c>
      <c r="HS164" t="e">
        <f>AND(#REF!,"AAAAAH/f/eI=")</f>
        <v>#REF!</v>
      </c>
      <c r="HT164" t="e">
        <f>AND(#REF!,"AAAAAH/f/eM=")</f>
        <v>#REF!</v>
      </c>
      <c r="HU164" t="e">
        <f>AND(#REF!,"AAAAAH/f/eQ=")</f>
        <v>#REF!</v>
      </c>
      <c r="HV164" t="e">
        <f>AND(#REF!,"AAAAAH/f/eU=")</f>
        <v>#REF!</v>
      </c>
      <c r="HW164" t="e">
        <f>AND(#REF!,"AAAAAH/f/eY=")</f>
        <v>#REF!</v>
      </c>
      <c r="HX164" t="e">
        <f>AND(#REF!,"AAAAAH/f/ec=")</f>
        <v>#REF!</v>
      </c>
      <c r="HY164" t="e">
        <f>AND(#REF!,"AAAAAH/f/eg=")</f>
        <v>#REF!</v>
      </c>
      <c r="HZ164" t="e">
        <f>AND(#REF!,"AAAAAH/f/ek=")</f>
        <v>#REF!</v>
      </c>
      <c r="IA164" t="e">
        <f>AND(#REF!,"AAAAAH/f/eo=")</f>
        <v>#REF!</v>
      </c>
      <c r="IB164" t="e">
        <f>AND(#REF!,"AAAAAH/f/es=")</f>
        <v>#REF!</v>
      </c>
      <c r="IC164" t="e">
        <f>AND(#REF!,"AAAAAH/f/ew=")</f>
        <v>#REF!</v>
      </c>
      <c r="ID164" t="e">
        <f>AND(#REF!,"AAAAAH/f/e0=")</f>
        <v>#REF!</v>
      </c>
      <c r="IE164" t="e">
        <f>AND(#REF!,"AAAAAH/f/e4=")</f>
        <v>#REF!</v>
      </c>
      <c r="IF164" t="e">
        <f>AND(#REF!,"AAAAAH/f/e8=")</f>
        <v>#REF!</v>
      </c>
      <c r="IG164" t="e">
        <f>AND(#REF!,"AAAAAH/f/fA=")</f>
        <v>#REF!</v>
      </c>
      <c r="IH164" t="e">
        <f>AND(#REF!,"AAAAAH/f/fE=")</f>
        <v>#REF!</v>
      </c>
      <c r="II164" t="e">
        <f>AND(#REF!,"AAAAAH/f/fI=")</f>
        <v>#REF!</v>
      </c>
      <c r="IJ164" t="e">
        <f>IF(#REF!,"AAAAAH/f/fM=",0)</f>
        <v>#REF!</v>
      </c>
      <c r="IK164" t="e">
        <f>AND(#REF!,"AAAAAH/f/fQ=")</f>
        <v>#REF!</v>
      </c>
      <c r="IL164" t="e">
        <f>AND(#REF!,"AAAAAH/f/fU=")</f>
        <v>#REF!</v>
      </c>
      <c r="IM164" t="e">
        <f>AND(#REF!,"AAAAAH/f/fY=")</f>
        <v>#REF!</v>
      </c>
      <c r="IN164" t="e">
        <f>AND(#REF!,"AAAAAH/f/fc=")</f>
        <v>#REF!</v>
      </c>
      <c r="IO164" t="e">
        <f>AND(#REF!,"AAAAAH/f/fg=")</f>
        <v>#REF!</v>
      </c>
      <c r="IP164" t="e">
        <f>AND(#REF!,"AAAAAH/f/fk=")</f>
        <v>#REF!</v>
      </c>
      <c r="IQ164" t="e">
        <f>AND(#REF!,"AAAAAH/f/fo=")</f>
        <v>#REF!</v>
      </c>
      <c r="IR164" t="e">
        <f>AND(#REF!,"AAAAAH/f/fs=")</f>
        <v>#REF!</v>
      </c>
      <c r="IS164" t="e">
        <f>AND(#REF!,"AAAAAH/f/fw=")</f>
        <v>#REF!</v>
      </c>
      <c r="IT164" t="e">
        <f>AND(#REF!,"AAAAAH/f/f0=")</f>
        <v>#REF!</v>
      </c>
      <c r="IU164" t="e">
        <f>AND(#REF!,"AAAAAH/f/f4=")</f>
        <v>#REF!</v>
      </c>
      <c r="IV164" t="e">
        <f>AND(#REF!,"AAAAAH/f/f8=")</f>
        <v>#REF!</v>
      </c>
    </row>
    <row r="165" spans="1:256" x14ac:dyDescent="0.2">
      <c r="A165" t="e">
        <f>AND(#REF!,"AAAAAG4/ngA=")</f>
        <v>#REF!</v>
      </c>
      <c r="B165" t="e">
        <f>AND(#REF!,"AAAAAG4/ngE=")</f>
        <v>#REF!</v>
      </c>
      <c r="C165" t="e">
        <f>AND(#REF!,"AAAAAG4/ngI=")</f>
        <v>#REF!</v>
      </c>
      <c r="D165" t="e">
        <f>AND(#REF!,"AAAAAG4/ngM=")</f>
        <v>#REF!</v>
      </c>
      <c r="E165" t="e">
        <f>AND(#REF!,"AAAAAG4/ngQ=")</f>
        <v>#REF!</v>
      </c>
      <c r="F165" t="e">
        <f>AND(#REF!,"AAAAAG4/ngU=")</f>
        <v>#REF!</v>
      </c>
      <c r="G165" t="e">
        <f>AND(#REF!,"AAAAAG4/ngY=")</f>
        <v>#REF!</v>
      </c>
      <c r="H165" t="e">
        <f>AND(#REF!,"AAAAAG4/ngc=")</f>
        <v>#REF!</v>
      </c>
      <c r="I165" t="e">
        <f>AND(#REF!,"AAAAAG4/ngg=")</f>
        <v>#REF!</v>
      </c>
      <c r="J165" t="e">
        <f>AND(#REF!,"AAAAAG4/ngk=")</f>
        <v>#REF!</v>
      </c>
      <c r="K165" t="e">
        <f>IF(#REF!,"AAAAAG4/ngo=",0)</f>
        <v>#REF!</v>
      </c>
      <c r="L165" t="e">
        <f>AND(#REF!,"AAAAAG4/ngs=")</f>
        <v>#REF!</v>
      </c>
      <c r="M165" t="e">
        <f>AND(#REF!,"AAAAAG4/ngw=")</f>
        <v>#REF!</v>
      </c>
      <c r="N165" t="e">
        <f>AND(#REF!,"AAAAAG4/ng0=")</f>
        <v>#REF!</v>
      </c>
      <c r="O165" t="e">
        <f>AND(#REF!,"AAAAAG4/ng4=")</f>
        <v>#REF!</v>
      </c>
      <c r="P165" t="e">
        <f>AND(#REF!,"AAAAAG4/ng8=")</f>
        <v>#REF!</v>
      </c>
      <c r="Q165" t="e">
        <f>AND(#REF!,"AAAAAG4/nhA=")</f>
        <v>#REF!</v>
      </c>
      <c r="R165" t="e">
        <f>AND(#REF!,"AAAAAG4/nhE=")</f>
        <v>#REF!</v>
      </c>
      <c r="S165" t="e">
        <f>AND(#REF!,"AAAAAG4/nhI=")</f>
        <v>#REF!</v>
      </c>
      <c r="T165" t="e">
        <f>AND(#REF!,"AAAAAG4/nhM=")</f>
        <v>#REF!</v>
      </c>
      <c r="U165" t="e">
        <f>AND(#REF!,"AAAAAG4/nhQ=")</f>
        <v>#REF!</v>
      </c>
      <c r="V165" t="e">
        <f>AND(#REF!,"AAAAAG4/nhU=")</f>
        <v>#REF!</v>
      </c>
      <c r="W165" t="e">
        <f>AND(#REF!,"AAAAAG4/nhY=")</f>
        <v>#REF!</v>
      </c>
      <c r="X165" t="e">
        <f>AND(#REF!,"AAAAAG4/nhc=")</f>
        <v>#REF!</v>
      </c>
      <c r="Y165" t="e">
        <f>AND(#REF!,"AAAAAG4/nhg=")</f>
        <v>#REF!</v>
      </c>
      <c r="Z165" t="e">
        <f>AND(#REF!,"AAAAAG4/nhk=")</f>
        <v>#REF!</v>
      </c>
      <c r="AA165" t="e">
        <f>AND(#REF!,"AAAAAG4/nho=")</f>
        <v>#REF!</v>
      </c>
      <c r="AB165" t="e">
        <f>AND(#REF!,"AAAAAG4/nhs=")</f>
        <v>#REF!</v>
      </c>
      <c r="AC165" t="e">
        <f>AND(#REF!,"AAAAAG4/nhw=")</f>
        <v>#REF!</v>
      </c>
      <c r="AD165" t="e">
        <f>AND(#REF!,"AAAAAG4/nh0=")</f>
        <v>#REF!</v>
      </c>
      <c r="AE165" t="e">
        <f>AND(#REF!,"AAAAAG4/nh4=")</f>
        <v>#REF!</v>
      </c>
      <c r="AF165" t="e">
        <f>AND(#REF!,"AAAAAG4/nh8=")</f>
        <v>#REF!</v>
      </c>
      <c r="AG165" t="e">
        <f>AND(#REF!,"AAAAAG4/niA=")</f>
        <v>#REF!</v>
      </c>
      <c r="AH165" t="e">
        <f>IF(#REF!,"AAAAAG4/niE=",0)</f>
        <v>#REF!</v>
      </c>
      <c r="AI165" t="e">
        <f>AND(#REF!,"AAAAAG4/niI=")</f>
        <v>#REF!</v>
      </c>
      <c r="AJ165" t="e">
        <f>AND(#REF!,"AAAAAG4/niM=")</f>
        <v>#REF!</v>
      </c>
      <c r="AK165" t="e">
        <f>AND(#REF!,"AAAAAG4/niQ=")</f>
        <v>#REF!</v>
      </c>
      <c r="AL165" t="e">
        <f>AND(#REF!,"AAAAAG4/niU=")</f>
        <v>#REF!</v>
      </c>
      <c r="AM165" t="e">
        <f>AND(#REF!,"AAAAAG4/niY=")</f>
        <v>#REF!</v>
      </c>
      <c r="AN165" t="e">
        <f>AND(#REF!,"AAAAAG4/nic=")</f>
        <v>#REF!</v>
      </c>
      <c r="AO165" t="e">
        <f>AND(#REF!,"AAAAAG4/nig=")</f>
        <v>#REF!</v>
      </c>
      <c r="AP165" t="e">
        <f>AND(#REF!,"AAAAAG4/nik=")</f>
        <v>#REF!</v>
      </c>
      <c r="AQ165" t="e">
        <f>AND(#REF!,"AAAAAG4/nio=")</f>
        <v>#REF!</v>
      </c>
      <c r="AR165" t="e">
        <f>AND(#REF!,"AAAAAG4/nis=")</f>
        <v>#REF!</v>
      </c>
      <c r="AS165" t="e">
        <f>AND(#REF!,"AAAAAG4/niw=")</f>
        <v>#REF!</v>
      </c>
      <c r="AT165" t="e">
        <f>AND(#REF!,"AAAAAG4/ni0=")</f>
        <v>#REF!</v>
      </c>
      <c r="AU165" t="e">
        <f>AND(#REF!,"AAAAAG4/ni4=")</f>
        <v>#REF!</v>
      </c>
      <c r="AV165" t="e">
        <f>AND(#REF!,"AAAAAG4/ni8=")</f>
        <v>#REF!</v>
      </c>
      <c r="AW165" t="e">
        <f>AND(#REF!,"AAAAAG4/njA=")</f>
        <v>#REF!</v>
      </c>
      <c r="AX165" t="e">
        <f>AND(#REF!,"AAAAAG4/njE=")</f>
        <v>#REF!</v>
      </c>
      <c r="AY165" t="e">
        <f>AND(#REF!,"AAAAAG4/njI=")</f>
        <v>#REF!</v>
      </c>
      <c r="AZ165" t="e">
        <f>AND(#REF!,"AAAAAG4/njM=")</f>
        <v>#REF!</v>
      </c>
      <c r="BA165" t="e">
        <f>AND(#REF!,"AAAAAG4/njQ=")</f>
        <v>#REF!</v>
      </c>
      <c r="BB165" t="e">
        <f>AND(#REF!,"AAAAAG4/njU=")</f>
        <v>#REF!</v>
      </c>
      <c r="BC165" t="e">
        <f>AND(#REF!,"AAAAAG4/njY=")</f>
        <v>#REF!</v>
      </c>
      <c r="BD165" t="e">
        <f>AND(#REF!,"AAAAAG4/njc=")</f>
        <v>#REF!</v>
      </c>
      <c r="BE165" t="e">
        <f>IF(#REF!,"AAAAAG4/njg=",0)</f>
        <v>#REF!</v>
      </c>
      <c r="BF165" t="e">
        <f>AND(#REF!,"AAAAAG4/njk=")</f>
        <v>#REF!</v>
      </c>
      <c r="BG165" t="e">
        <f>AND(#REF!,"AAAAAG4/njo=")</f>
        <v>#REF!</v>
      </c>
      <c r="BH165" t="e">
        <f>AND(#REF!,"AAAAAG4/njs=")</f>
        <v>#REF!</v>
      </c>
      <c r="BI165" t="e">
        <f>AND(#REF!,"AAAAAG4/njw=")</f>
        <v>#REF!</v>
      </c>
      <c r="BJ165" t="e">
        <f>AND(#REF!,"AAAAAG4/nj0=")</f>
        <v>#REF!</v>
      </c>
      <c r="BK165" t="e">
        <f>AND(#REF!,"AAAAAG4/nj4=")</f>
        <v>#REF!</v>
      </c>
      <c r="BL165" t="e">
        <f>AND(#REF!,"AAAAAG4/nj8=")</f>
        <v>#REF!</v>
      </c>
      <c r="BM165" t="e">
        <f>AND(#REF!,"AAAAAG4/nkA=")</f>
        <v>#REF!</v>
      </c>
      <c r="BN165" t="e">
        <f>AND(#REF!,"AAAAAG4/nkE=")</f>
        <v>#REF!</v>
      </c>
      <c r="BO165" t="e">
        <f>AND(#REF!,"AAAAAG4/nkI=")</f>
        <v>#REF!</v>
      </c>
      <c r="BP165" t="e">
        <f>AND(#REF!,"AAAAAG4/nkM=")</f>
        <v>#REF!</v>
      </c>
      <c r="BQ165" t="e">
        <f>AND(#REF!,"AAAAAG4/nkQ=")</f>
        <v>#REF!</v>
      </c>
      <c r="BR165" t="e">
        <f>AND(#REF!,"AAAAAG4/nkU=")</f>
        <v>#REF!</v>
      </c>
      <c r="BS165" t="e">
        <f>AND(#REF!,"AAAAAG4/nkY=")</f>
        <v>#REF!</v>
      </c>
      <c r="BT165" t="e">
        <f>AND(#REF!,"AAAAAG4/nkc=")</f>
        <v>#REF!</v>
      </c>
      <c r="BU165" t="e">
        <f>AND(#REF!,"AAAAAG4/nkg=")</f>
        <v>#REF!</v>
      </c>
      <c r="BV165" t="e">
        <f>AND(#REF!,"AAAAAG4/nkk=")</f>
        <v>#REF!</v>
      </c>
      <c r="BW165" t="e">
        <f>AND(#REF!,"AAAAAG4/nko=")</f>
        <v>#REF!</v>
      </c>
      <c r="BX165" t="e">
        <f>AND(#REF!,"AAAAAG4/nks=")</f>
        <v>#REF!</v>
      </c>
      <c r="BY165" t="e">
        <f>AND(#REF!,"AAAAAG4/nkw=")</f>
        <v>#REF!</v>
      </c>
      <c r="BZ165" t="e">
        <f>AND(#REF!,"AAAAAG4/nk0=")</f>
        <v>#REF!</v>
      </c>
      <c r="CA165" t="e">
        <f>AND(#REF!,"AAAAAG4/nk4=")</f>
        <v>#REF!</v>
      </c>
      <c r="CB165" t="e">
        <f>IF(#REF!,"AAAAAG4/nk8=",0)</f>
        <v>#REF!</v>
      </c>
      <c r="CC165" t="e">
        <f>AND(#REF!,"AAAAAG4/nlA=")</f>
        <v>#REF!</v>
      </c>
      <c r="CD165" t="e">
        <f>AND(#REF!,"AAAAAG4/nlE=")</f>
        <v>#REF!</v>
      </c>
      <c r="CE165" t="e">
        <f>AND(#REF!,"AAAAAG4/nlI=")</f>
        <v>#REF!</v>
      </c>
      <c r="CF165" t="e">
        <f>AND(#REF!,"AAAAAG4/nlM=")</f>
        <v>#REF!</v>
      </c>
      <c r="CG165" t="e">
        <f>AND(#REF!,"AAAAAG4/nlQ=")</f>
        <v>#REF!</v>
      </c>
      <c r="CH165" t="e">
        <f>AND(#REF!,"AAAAAG4/nlU=")</f>
        <v>#REF!</v>
      </c>
      <c r="CI165" t="e">
        <f>AND(#REF!,"AAAAAG4/nlY=")</f>
        <v>#REF!</v>
      </c>
      <c r="CJ165" t="e">
        <f>AND(#REF!,"AAAAAG4/nlc=")</f>
        <v>#REF!</v>
      </c>
      <c r="CK165" t="e">
        <f>AND(#REF!,"AAAAAG4/nlg=")</f>
        <v>#REF!</v>
      </c>
      <c r="CL165" t="e">
        <f>AND(#REF!,"AAAAAG4/nlk=")</f>
        <v>#REF!</v>
      </c>
      <c r="CM165" t="e">
        <f>AND(#REF!,"AAAAAG4/nlo=")</f>
        <v>#REF!</v>
      </c>
      <c r="CN165" t="e">
        <f>AND(#REF!,"AAAAAG4/nls=")</f>
        <v>#REF!</v>
      </c>
      <c r="CO165" t="e">
        <f>AND(#REF!,"AAAAAG4/nlw=")</f>
        <v>#REF!</v>
      </c>
      <c r="CP165" t="e">
        <f>AND(#REF!,"AAAAAG4/nl0=")</f>
        <v>#REF!</v>
      </c>
      <c r="CQ165" t="e">
        <f>AND(#REF!,"AAAAAG4/nl4=")</f>
        <v>#REF!</v>
      </c>
      <c r="CR165" t="e">
        <f>AND(#REF!,"AAAAAG4/nl8=")</f>
        <v>#REF!</v>
      </c>
      <c r="CS165" t="e">
        <f>AND(#REF!,"AAAAAG4/nmA=")</f>
        <v>#REF!</v>
      </c>
      <c r="CT165" t="e">
        <f>AND(#REF!,"AAAAAG4/nmE=")</f>
        <v>#REF!</v>
      </c>
      <c r="CU165" t="e">
        <f>AND(#REF!,"AAAAAG4/nmI=")</f>
        <v>#REF!</v>
      </c>
      <c r="CV165" t="e">
        <f>AND(#REF!,"AAAAAG4/nmM=")</f>
        <v>#REF!</v>
      </c>
      <c r="CW165" t="e">
        <f>AND(#REF!,"AAAAAG4/nmQ=")</f>
        <v>#REF!</v>
      </c>
      <c r="CX165" t="e">
        <f>AND(#REF!,"AAAAAG4/nmU=")</f>
        <v>#REF!</v>
      </c>
      <c r="CY165" t="e">
        <f>IF(#REF!,"AAAAAG4/nmY=",0)</f>
        <v>#REF!</v>
      </c>
      <c r="CZ165" t="e">
        <f>AND(#REF!,"AAAAAG4/nmc=")</f>
        <v>#REF!</v>
      </c>
      <c r="DA165" t="e">
        <f>AND(#REF!,"AAAAAG4/nmg=")</f>
        <v>#REF!</v>
      </c>
      <c r="DB165" t="e">
        <f>AND(#REF!,"AAAAAG4/nmk=")</f>
        <v>#REF!</v>
      </c>
      <c r="DC165" t="e">
        <f>AND(#REF!,"AAAAAG4/nmo=")</f>
        <v>#REF!</v>
      </c>
      <c r="DD165" t="e">
        <f>AND(#REF!,"AAAAAG4/nms=")</f>
        <v>#REF!</v>
      </c>
      <c r="DE165" t="e">
        <f>AND(#REF!,"AAAAAG4/nmw=")</f>
        <v>#REF!</v>
      </c>
      <c r="DF165" t="e">
        <f>AND(#REF!,"AAAAAG4/nm0=")</f>
        <v>#REF!</v>
      </c>
      <c r="DG165" t="e">
        <f>AND(#REF!,"AAAAAG4/nm4=")</f>
        <v>#REF!</v>
      </c>
      <c r="DH165" t="e">
        <f>AND(#REF!,"AAAAAG4/nm8=")</f>
        <v>#REF!</v>
      </c>
      <c r="DI165" t="e">
        <f>AND(#REF!,"AAAAAG4/nnA=")</f>
        <v>#REF!</v>
      </c>
      <c r="DJ165" t="e">
        <f>AND(#REF!,"AAAAAG4/nnE=")</f>
        <v>#REF!</v>
      </c>
      <c r="DK165" t="e">
        <f>AND(#REF!,"AAAAAG4/nnI=")</f>
        <v>#REF!</v>
      </c>
      <c r="DL165" t="e">
        <f>AND(#REF!,"AAAAAG4/nnM=")</f>
        <v>#REF!</v>
      </c>
      <c r="DM165" t="e">
        <f>AND(#REF!,"AAAAAG4/nnQ=")</f>
        <v>#REF!</v>
      </c>
      <c r="DN165" t="e">
        <f>AND(#REF!,"AAAAAG4/nnU=")</f>
        <v>#REF!</v>
      </c>
      <c r="DO165" t="e">
        <f>AND(#REF!,"AAAAAG4/nnY=")</f>
        <v>#REF!</v>
      </c>
      <c r="DP165" t="e">
        <f>AND(#REF!,"AAAAAG4/nnc=")</f>
        <v>#REF!</v>
      </c>
      <c r="DQ165" t="e">
        <f>AND(#REF!,"AAAAAG4/nng=")</f>
        <v>#REF!</v>
      </c>
      <c r="DR165" t="e">
        <f>AND(#REF!,"AAAAAG4/nnk=")</f>
        <v>#REF!</v>
      </c>
      <c r="DS165" t="e">
        <f>AND(#REF!,"AAAAAG4/nno=")</f>
        <v>#REF!</v>
      </c>
      <c r="DT165" t="e">
        <f>AND(#REF!,"AAAAAG4/nns=")</f>
        <v>#REF!</v>
      </c>
      <c r="DU165" t="e">
        <f>AND(#REF!,"AAAAAG4/nnw=")</f>
        <v>#REF!</v>
      </c>
      <c r="DV165" t="e">
        <f>IF(#REF!,"AAAAAG4/nn0=",0)</f>
        <v>#REF!</v>
      </c>
      <c r="DW165" t="e">
        <f>AND(#REF!,"AAAAAG4/nn4=")</f>
        <v>#REF!</v>
      </c>
      <c r="DX165" t="e">
        <f>AND(#REF!,"AAAAAG4/nn8=")</f>
        <v>#REF!</v>
      </c>
      <c r="DY165" t="e">
        <f>AND(#REF!,"AAAAAG4/noA=")</f>
        <v>#REF!</v>
      </c>
      <c r="DZ165" t="e">
        <f>AND(#REF!,"AAAAAG4/noE=")</f>
        <v>#REF!</v>
      </c>
      <c r="EA165" t="e">
        <f>AND(#REF!,"AAAAAG4/noI=")</f>
        <v>#REF!</v>
      </c>
      <c r="EB165" t="e">
        <f>AND(#REF!,"AAAAAG4/noM=")</f>
        <v>#REF!</v>
      </c>
      <c r="EC165" t="e">
        <f>AND(#REF!,"AAAAAG4/noQ=")</f>
        <v>#REF!</v>
      </c>
      <c r="ED165" t="e">
        <f>AND(#REF!,"AAAAAG4/noU=")</f>
        <v>#REF!</v>
      </c>
      <c r="EE165" t="e">
        <f>AND(#REF!,"AAAAAG4/noY=")</f>
        <v>#REF!</v>
      </c>
      <c r="EF165" t="e">
        <f>AND(#REF!,"AAAAAG4/noc=")</f>
        <v>#REF!</v>
      </c>
      <c r="EG165" t="e">
        <f>AND(#REF!,"AAAAAG4/nog=")</f>
        <v>#REF!</v>
      </c>
      <c r="EH165" t="e">
        <f>AND(#REF!,"AAAAAG4/nok=")</f>
        <v>#REF!</v>
      </c>
      <c r="EI165" t="e">
        <f>AND(#REF!,"AAAAAG4/noo=")</f>
        <v>#REF!</v>
      </c>
      <c r="EJ165" t="e">
        <f>AND(#REF!,"AAAAAG4/nos=")</f>
        <v>#REF!</v>
      </c>
      <c r="EK165" t="e">
        <f>AND(#REF!,"AAAAAG4/now=")</f>
        <v>#REF!</v>
      </c>
      <c r="EL165" t="e">
        <f>AND(#REF!,"AAAAAG4/no0=")</f>
        <v>#REF!</v>
      </c>
      <c r="EM165" t="e">
        <f>AND(#REF!,"AAAAAG4/no4=")</f>
        <v>#REF!</v>
      </c>
      <c r="EN165" t="e">
        <f>AND(#REF!,"AAAAAG4/no8=")</f>
        <v>#REF!</v>
      </c>
      <c r="EO165" t="e">
        <f>AND(#REF!,"AAAAAG4/npA=")</f>
        <v>#REF!</v>
      </c>
      <c r="EP165" t="e">
        <f>AND(#REF!,"AAAAAG4/npE=")</f>
        <v>#REF!</v>
      </c>
      <c r="EQ165" t="e">
        <f>AND(#REF!,"AAAAAG4/npI=")</f>
        <v>#REF!</v>
      </c>
      <c r="ER165" t="e">
        <f>AND(#REF!,"AAAAAG4/npM=")</f>
        <v>#REF!</v>
      </c>
      <c r="ES165" t="e">
        <f>IF(#REF!,"AAAAAG4/npQ=",0)</f>
        <v>#REF!</v>
      </c>
      <c r="ET165" t="e">
        <f>AND(#REF!,"AAAAAG4/npU=")</f>
        <v>#REF!</v>
      </c>
      <c r="EU165" t="e">
        <f>AND(#REF!,"AAAAAG4/npY=")</f>
        <v>#REF!</v>
      </c>
      <c r="EV165" t="e">
        <f>AND(#REF!,"AAAAAG4/npc=")</f>
        <v>#REF!</v>
      </c>
      <c r="EW165" t="e">
        <f>AND(#REF!,"AAAAAG4/npg=")</f>
        <v>#REF!</v>
      </c>
      <c r="EX165" t="e">
        <f>AND(#REF!,"AAAAAG4/npk=")</f>
        <v>#REF!</v>
      </c>
      <c r="EY165" t="e">
        <f>AND(#REF!,"AAAAAG4/npo=")</f>
        <v>#REF!</v>
      </c>
      <c r="EZ165" t="e">
        <f>AND(#REF!,"AAAAAG4/nps=")</f>
        <v>#REF!</v>
      </c>
      <c r="FA165" t="e">
        <f>AND(#REF!,"AAAAAG4/npw=")</f>
        <v>#REF!</v>
      </c>
      <c r="FB165" t="e">
        <f>AND(#REF!,"AAAAAG4/np0=")</f>
        <v>#REF!</v>
      </c>
      <c r="FC165" t="e">
        <f>AND(#REF!,"AAAAAG4/np4=")</f>
        <v>#REF!</v>
      </c>
      <c r="FD165" t="e">
        <f>AND(#REF!,"AAAAAG4/np8=")</f>
        <v>#REF!</v>
      </c>
      <c r="FE165" t="e">
        <f>AND(#REF!,"AAAAAG4/nqA=")</f>
        <v>#REF!</v>
      </c>
      <c r="FF165" t="e">
        <f>AND(#REF!,"AAAAAG4/nqE=")</f>
        <v>#REF!</v>
      </c>
      <c r="FG165" t="e">
        <f>AND(#REF!,"AAAAAG4/nqI=")</f>
        <v>#REF!</v>
      </c>
      <c r="FH165" t="e">
        <f>AND(#REF!,"AAAAAG4/nqM=")</f>
        <v>#REF!</v>
      </c>
      <c r="FI165" t="e">
        <f>AND(#REF!,"AAAAAG4/nqQ=")</f>
        <v>#REF!</v>
      </c>
      <c r="FJ165" t="e">
        <f>AND(#REF!,"AAAAAG4/nqU=")</f>
        <v>#REF!</v>
      </c>
      <c r="FK165" t="e">
        <f>AND(#REF!,"AAAAAG4/nqY=")</f>
        <v>#REF!</v>
      </c>
      <c r="FL165" t="e">
        <f>AND(#REF!,"AAAAAG4/nqc=")</f>
        <v>#REF!</v>
      </c>
      <c r="FM165" t="e">
        <f>AND(#REF!,"AAAAAG4/nqg=")</f>
        <v>#REF!</v>
      </c>
      <c r="FN165" t="e">
        <f>AND(#REF!,"AAAAAG4/nqk=")</f>
        <v>#REF!</v>
      </c>
      <c r="FO165" t="e">
        <f>AND(#REF!,"AAAAAG4/nqo=")</f>
        <v>#REF!</v>
      </c>
      <c r="FP165" t="e">
        <f>IF(#REF!,"AAAAAG4/nqs=",0)</f>
        <v>#REF!</v>
      </c>
      <c r="FQ165" t="e">
        <f>AND(#REF!,"AAAAAG4/nqw=")</f>
        <v>#REF!</v>
      </c>
      <c r="FR165" t="e">
        <f>AND(#REF!,"AAAAAG4/nq0=")</f>
        <v>#REF!</v>
      </c>
      <c r="FS165" t="e">
        <f>AND(#REF!,"AAAAAG4/nq4=")</f>
        <v>#REF!</v>
      </c>
      <c r="FT165" t="e">
        <f>AND(#REF!,"AAAAAG4/nq8=")</f>
        <v>#REF!</v>
      </c>
      <c r="FU165" t="e">
        <f>AND(#REF!,"AAAAAG4/nrA=")</f>
        <v>#REF!</v>
      </c>
      <c r="FV165" t="e">
        <f>AND(#REF!,"AAAAAG4/nrE=")</f>
        <v>#REF!</v>
      </c>
      <c r="FW165" t="e">
        <f>AND(#REF!,"AAAAAG4/nrI=")</f>
        <v>#REF!</v>
      </c>
      <c r="FX165" t="e">
        <f>AND(#REF!,"AAAAAG4/nrM=")</f>
        <v>#REF!</v>
      </c>
      <c r="FY165" t="e">
        <f>AND(#REF!,"AAAAAG4/nrQ=")</f>
        <v>#REF!</v>
      </c>
      <c r="FZ165" t="e">
        <f>AND(#REF!,"AAAAAG4/nrU=")</f>
        <v>#REF!</v>
      </c>
      <c r="GA165" t="e">
        <f>AND(#REF!,"AAAAAG4/nrY=")</f>
        <v>#REF!</v>
      </c>
      <c r="GB165" t="e">
        <f>AND(#REF!,"AAAAAG4/nrc=")</f>
        <v>#REF!</v>
      </c>
      <c r="GC165" t="e">
        <f>AND(#REF!,"AAAAAG4/nrg=")</f>
        <v>#REF!</v>
      </c>
      <c r="GD165" t="e">
        <f>AND(#REF!,"AAAAAG4/nrk=")</f>
        <v>#REF!</v>
      </c>
      <c r="GE165" t="e">
        <f>AND(#REF!,"AAAAAG4/nro=")</f>
        <v>#REF!</v>
      </c>
      <c r="GF165" t="e">
        <f>AND(#REF!,"AAAAAG4/nrs=")</f>
        <v>#REF!</v>
      </c>
      <c r="GG165" t="e">
        <f>AND(#REF!,"AAAAAG4/nrw=")</f>
        <v>#REF!</v>
      </c>
      <c r="GH165" t="e">
        <f>AND(#REF!,"AAAAAG4/nr0=")</f>
        <v>#REF!</v>
      </c>
      <c r="GI165" t="e">
        <f>AND(#REF!,"AAAAAG4/nr4=")</f>
        <v>#REF!</v>
      </c>
      <c r="GJ165" t="e">
        <f>AND(#REF!,"AAAAAG4/nr8=")</f>
        <v>#REF!</v>
      </c>
      <c r="GK165" t="e">
        <f>AND(#REF!,"AAAAAG4/nsA=")</f>
        <v>#REF!</v>
      </c>
      <c r="GL165" t="e">
        <f>AND(#REF!,"AAAAAG4/nsE=")</f>
        <v>#REF!</v>
      </c>
      <c r="GM165" t="e">
        <f>IF(#REF!,"AAAAAG4/nsI=",0)</f>
        <v>#REF!</v>
      </c>
      <c r="GN165" t="e">
        <f>AND(#REF!,"AAAAAG4/nsM=")</f>
        <v>#REF!</v>
      </c>
      <c r="GO165" t="e">
        <f>AND(#REF!,"AAAAAG4/nsQ=")</f>
        <v>#REF!</v>
      </c>
      <c r="GP165" t="e">
        <f>AND(#REF!,"AAAAAG4/nsU=")</f>
        <v>#REF!</v>
      </c>
      <c r="GQ165" t="e">
        <f>AND(#REF!,"AAAAAG4/nsY=")</f>
        <v>#REF!</v>
      </c>
      <c r="GR165" t="e">
        <f>AND(#REF!,"AAAAAG4/nsc=")</f>
        <v>#REF!</v>
      </c>
      <c r="GS165" t="e">
        <f>AND(#REF!,"AAAAAG4/nsg=")</f>
        <v>#REF!</v>
      </c>
      <c r="GT165" t="e">
        <f>AND(#REF!,"AAAAAG4/nsk=")</f>
        <v>#REF!</v>
      </c>
      <c r="GU165" t="e">
        <f>AND(#REF!,"AAAAAG4/nso=")</f>
        <v>#REF!</v>
      </c>
      <c r="GV165" t="e">
        <f>AND(#REF!,"AAAAAG4/nss=")</f>
        <v>#REF!</v>
      </c>
      <c r="GW165" t="e">
        <f>AND(#REF!,"AAAAAG4/nsw=")</f>
        <v>#REF!</v>
      </c>
      <c r="GX165" t="e">
        <f>AND(#REF!,"AAAAAG4/ns0=")</f>
        <v>#REF!</v>
      </c>
      <c r="GY165" t="e">
        <f>AND(#REF!,"AAAAAG4/ns4=")</f>
        <v>#REF!</v>
      </c>
      <c r="GZ165" t="e">
        <f>AND(#REF!,"AAAAAG4/ns8=")</f>
        <v>#REF!</v>
      </c>
      <c r="HA165" t="e">
        <f>AND(#REF!,"AAAAAG4/ntA=")</f>
        <v>#REF!</v>
      </c>
      <c r="HB165" t="e">
        <f>AND(#REF!,"AAAAAG4/ntE=")</f>
        <v>#REF!</v>
      </c>
      <c r="HC165" t="e">
        <f>AND(#REF!,"AAAAAG4/ntI=")</f>
        <v>#REF!</v>
      </c>
      <c r="HD165" t="e">
        <f>AND(#REF!,"AAAAAG4/ntM=")</f>
        <v>#REF!</v>
      </c>
      <c r="HE165" t="e">
        <f>AND(#REF!,"AAAAAG4/ntQ=")</f>
        <v>#REF!</v>
      </c>
      <c r="HF165" t="e">
        <f>AND(#REF!,"AAAAAG4/ntU=")</f>
        <v>#REF!</v>
      </c>
      <c r="HG165" t="e">
        <f>AND(#REF!,"AAAAAG4/ntY=")</f>
        <v>#REF!</v>
      </c>
      <c r="HH165" t="e">
        <f>AND(#REF!,"AAAAAG4/ntc=")</f>
        <v>#REF!</v>
      </c>
      <c r="HI165" t="e">
        <f>AND(#REF!,"AAAAAG4/ntg=")</f>
        <v>#REF!</v>
      </c>
      <c r="HJ165" t="e">
        <f>IF(#REF!,"AAAAAG4/ntk=",0)</f>
        <v>#REF!</v>
      </c>
      <c r="HK165" t="e">
        <f>AND(#REF!,"AAAAAG4/nto=")</f>
        <v>#REF!</v>
      </c>
      <c r="HL165" t="e">
        <f>AND(#REF!,"AAAAAG4/nts=")</f>
        <v>#REF!</v>
      </c>
      <c r="HM165" t="e">
        <f>AND(#REF!,"AAAAAG4/ntw=")</f>
        <v>#REF!</v>
      </c>
      <c r="HN165" t="e">
        <f>AND(#REF!,"AAAAAG4/nt0=")</f>
        <v>#REF!</v>
      </c>
      <c r="HO165" t="e">
        <f>AND(#REF!,"AAAAAG4/nt4=")</f>
        <v>#REF!</v>
      </c>
      <c r="HP165" t="e">
        <f>AND(#REF!,"AAAAAG4/nt8=")</f>
        <v>#REF!</v>
      </c>
      <c r="HQ165" t="e">
        <f>AND(#REF!,"AAAAAG4/nuA=")</f>
        <v>#REF!</v>
      </c>
      <c r="HR165" t="e">
        <f>AND(#REF!,"AAAAAG4/nuE=")</f>
        <v>#REF!</v>
      </c>
      <c r="HS165" t="e">
        <f>AND(#REF!,"AAAAAG4/nuI=")</f>
        <v>#REF!</v>
      </c>
      <c r="HT165" t="e">
        <f>AND(#REF!,"AAAAAG4/nuM=")</f>
        <v>#REF!</v>
      </c>
      <c r="HU165" t="e">
        <f>AND(#REF!,"AAAAAG4/nuQ=")</f>
        <v>#REF!</v>
      </c>
      <c r="HV165" t="e">
        <f>AND(#REF!,"AAAAAG4/nuU=")</f>
        <v>#REF!</v>
      </c>
      <c r="HW165" t="e">
        <f>AND(#REF!,"AAAAAG4/nuY=")</f>
        <v>#REF!</v>
      </c>
      <c r="HX165" t="e">
        <f>AND(#REF!,"AAAAAG4/nuc=")</f>
        <v>#REF!</v>
      </c>
      <c r="HY165" t="e">
        <f>AND(#REF!,"AAAAAG4/nug=")</f>
        <v>#REF!</v>
      </c>
      <c r="HZ165" t="e">
        <f>AND(#REF!,"AAAAAG4/nuk=")</f>
        <v>#REF!</v>
      </c>
      <c r="IA165" t="e">
        <f>AND(#REF!,"AAAAAG4/nuo=")</f>
        <v>#REF!</v>
      </c>
      <c r="IB165" t="e">
        <f>AND(#REF!,"AAAAAG4/nus=")</f>
        <v>#REF!</v>
      </c>
      <c r="IC165" t="e">
        <f>AND(#REF!,"AAAAAG4/nuw=")</f>
        <v>#REF!</v>
      </c>
      <c r="ID165" t="e">
        <f>AND(#REF!,"AAAAAG4/nu0=")</f>
        <v>#REF!</v>
      </c>
      <c r="IE165" t="e">
        <f>AND(#REF!,"AAAAAG4/nu4=")</f>
        <v>#REF!</v>
      </c>
      <c r="IF165" t="e">
        <f>AND(#REF!,"AAAAAG4/nu8=")</f>
        <v>#REF!</v>
      </c>
      <c r="IG165" t="e">
        <f>IF(#REF!,"AAAAAG4/nvA=",0)</f>
        <v>#REF!</v>
      </c>
      <c r="IH165" t="e">
        <f>AND(#REF!,"AAAAAG4/nvE=")</f>
        <v>#REF!</v>
      </c>
      <c r="II165" t="e">
        <f>AND(#REF!,"AAAAAG4/nvI=")</f>
        <v>#REF!</v>
      </c>
      <c r="IJ165" t="e">
        <f>AND(#REF!,"AAAAAG4/nvM=")</f>
        <v>#REF!</v>
      </c>
      <c r="IK165" t="e">
        <f>AND(#REF!,"AAAAAG4/nvQ=")</f>
        <v>#REF!</v>
      </c>
      <c r="IL165" t="e">
        <f>AND(#REF!,"AAAAAG4/nvU=")</f>
        <v>#REF!</v>
      </c>
      <c r="IM165" t="e">
        <f>AND(#REF!,"AAAAAG4/nvY=")</f>
        <v>#REF!</v>
      </c>
      <c r="IN165" t="e">
        <f>AND(#REF!,"AAAAAG4/nvc=")</f>
        <v>#REF!</v>
      </c>
      <c r="IO165" t="e">
        <f>AND(#REF!,"AAAAAG4/nvg=")</f>
        <v>#REF!</v>
      </c>
      <c r="IP165" t="e">
        <f>AND(#REF!,"AAAAAG4/nvk=")</f>
        <v>#REF!</v>
      </c>
      <c r="IQ165" t="e">
        <f>AND(#REF!,"AAAAAG4/nvo=")</f>
        <v>#REF!</v>
      </c>
      <c r="IR165" t="e">
        <f>AND(#REF!,"AAAAAG4/nvs=")</f>
        <v>#REF!</v>
      </c>
      <c r="IS165" t="e">
        <f>AND(#REF!,"AAAAAG4/nvw=")</f>
        <v>#REF!</v>
      </c>
      <c r="IT165" t="e">
        <f>AND(#REF!,"AAAAAG4/nv0=")</f>
        <v>#REF!</v>
      </c>
      <c r="IU165" t="e">
        <f>AND(#REF!,"AAAAAG4/nv4=")</f>
        <v>#REF!</v>
      </c>
      <c r="IV165" t="e">
        <f>AND(#REF!,"AAAAAG4/nv8=")</f>
        <v>#REF!</v>
      </c>
    </row>
    <row r="166" spans="1:256" x14ac:dyDescent="0.2">
      <c r="A166" t="e">
        <f>AND(#REF!,"AAAAAHHtvwA=")</f>
        <v>#REF!</v>
      </c>
      <c r="B166" t="e">
        <f>AND(#REF!,"AAAAAHHtvwE=")</f>
        <v>#REF!</v>
      </c>
      <c r="C166" t="e">
        <f>AND(#REF!,"AAAAAHHtvwI=")</f>
        <v>#REF!</v>
      </c>
      <c r="D166" t="e">
        <f>AND(#REF!,"AAAAAHHtvwM=")</f>
        <v>#REF!</v>
      </c>
      <c r="E166" t="e">
        <f>AND(#REF!,"AAAAAHHtvwQ=")</f>
        <v>#REF!</v>
      </c>
      <c r="F166" t="e">
        <f>AND(#REF!,"AAAAAHHtvwU=")</f>
        <v>#REF!</v>
      </c>
      <c r="G166" t="e">
        <f>AND(#REF!,"AAAAAHHtvwY=")</f>
        <v>#REF!</v>
      </c>
      <c r="H166" t="e">
        <f>IF(#REF!,"AAAAAHHtvwc=",0)</f>
        <v>#REF!</v>
      </c>
      <c r="I166" t="e">
        <f>AND(#REF!,"AAAAAHHtvwg=")</f>
        <v>#REF!</v>
      </c>
      <c r="J166" t="e">
        <f>AND(#REF!,"AAAAAHHtvwk=")</f>
        <v>#REF!</v>
      </c>
      <c r="K166" t="e">
        <f>AND(#REF!,"AAAAAHHtvwo=")</f>
        <v>#REF!</v>
      </c>
      <c r="L166" t="e">
        <f>AND(#REF!,"AAAAAHHtvws=")</f>
        <v>#REF!</v>
      </c>
      <c r="M166" t="e">
        <f>AND(#REF!,"AAAAAHHtvww=")</f>
        <v>#REF!</v>
      </c>
      <c r="N166" t="e">
        <f>AND(#REF!,"AAAAAHHtvw0=")</f>
        <v>#REF!</v>
      </c>
      <c r="O166" t="e">
        <f>AND(#REF!,"AAAAAHHtvw4=")</f>
        <v>#REF!</v>
      </c>
      <c r="P166" t="e">
        <f>AND(#REF!,"AAAAAHHtvw8=")</f>
        <v>#REF!</v>
      </c>
      <c r="Q166" t="e">
        <f>AND(#REF!,"AAAAAHHtvxA=")</f>
        <v>#REF!</v>
      </c>
      <c r="R166" t="e">
        <f>AND(#REF!,"AAAAAHHtvxE=")</f>
        <v>#REF!</v>
      </c>
      <c r="S166" t="e">
        <f>AND(#REF!,"AAAAAHHtvxI=")</f>
        <v>#REF!</v>
      </c>
      <c r="T166" t="e">
        <f>AND(#REF!,"AAAAAHHtvxM=")</f>
        <v>#REF!</v>
      </c>
      <c r="U166" t="e">
        <f>AND(#REF!,"AAAAAHHtvxQ=")</f>
        <v>#REF!</v>
      </c>
      <c r="V166" t="e">
        <f>AND(#REF!,"AAAAAHHtvxU=")</f>
        <v>#REF!</v>
      </c>
      <c r="W166" t="e">
        <f>AND(#REF!,"AAAAAHHtvxY=")</f>
        <v>#REF!</v>
      </c>
      <c r="X166" t="e">
        <f>AND(#REF!,"AAAAAHHtvxc=")</f>
        <v>#REF!</v>
      </c>
      <c r="Y166" t="e">
        <f>AND(#REF!,"AAAAAHHtvxg=")</f>
        <v>#REF!</v>
      </c>
      <c r="Z166" t="e">
        <f>AND(#REF!,"AAAAAHHtvxk=")</f>
        <v>#REF!</v>
      </c>
      <c r="AA166" t="e">
        <f>AND(#REF!,"AAAAAHHtvxo=")</f>
        <v>#REF!</v>
      </c>
      <c r="AB166" t="e">
        <f>AND(#REF!,"AAAAAHHtvxs=")</f>
        <v>#REF!</v>
      </c>
      <c r="AC166" t="e">
        <f>AND(#REF!,"AAAAAHHtvxw=")</f>
        <v>#REF!</v>
      </c>
      <c r="AD166" t="e">
        <f>AND(#REF!,"AAAAAHHtvx0=")</f>
        <v>#REF!</v>
      </c>
      <c r="AE166" t="e">
        <f>IF(#REF!,"AAAAAHHtvx4=",0)</f>
        <v>#REF!</v>
      </c>
      <c r="AF166" t="e">
        <f>AND(#REF!,"AAAAAHHtvx8=")</f>
        <v>#REF!</v>
      </c>
      <c r="AG166" t="e">
        <f>AND(#REF!,"AAAAAHHtvyA=")</f>
        <v>#REF!</v>
      </c>
      <c r="AH166" t="e">
        <f>AND(#REF!,"AAAAAHHtvyE=")</f>
        <v>#REF!</v>
      </c>
      <c r="AI166" t="e">
        <f>AND(#REF!,"AAAAAHHtvyI=")</f>
        <v>#REF!</v>
      </c>
      <c r="AJ166" t="e">
        <f>AND(#REF!,"AAAAAHHtvyM=")</f>
        <v>#REF!</v>
      </c>
      <c r="AK166" t="e">
        <f>AND(#REF!,"AAAAAHHtvyQ=")</f>
        <v>#REF!</v>
      </c>
      <c r="AL166" t="e">
        <f>AND(#REF!,"AAAAAHHtvyU=")</f>
        <v>#REF!</v>
      </c>
      <c r="AM166" t="e">
        <f>AND(#REF!,"AAAAAHHtvyY=")</f>
        <v>#REF!</v>
      </c>
      <c r="AN166" t="e">
        <f>AND(#REF!,"AAAAAHHtvyc=")</f>
        <v>#REF!</v>
      </c>
      <c r="AO166" t="e">
        <f>AND(#REF!,"AAAAAHHtvyg=")</f>
        <v>#REF!</v>
      </c>
      <c r="AP166" t="e">
        <f>AND(#REF!,"AAAAAHHtvyk=")</f>
        <v>#REF!</v>
      </c>
      <c r="AQ166" t="e">
        <f>AND(#REF!,"AAAAAHHtvyo=")</f>
        <v>#REF!</v>
      </c>
      <c r="AR166" t="e">
        <f>AND(#REF!,"AAAAAHHtvys=")</f>
        <v>#REF!</v>
      </c>
      <c r="AS166" t="e">
        <f>AND(#REF!,"AAAAAHHtvyw=")</f>
        <v>#REF!</v>
      </c>
      <c r="AT166" t="e">
        <f>AND(#REF!,"AAAAAHHtvy0=")</f>
        <v>#REF!</v>
      </c>
      <c r="AU166" t="e">
        <f>AND(#REF!,"AAAAAHHtvy4=")</f>
        <v>#REF!</v>
      </c>
      <c r="AV166" t="e">
        <f>AND(#REF!,"AAAAAHHtvy8=")</f>
        <v>#REF!</v>
      </c>
      <c r="AW166" t="e">
        <f>AND(#REF!,"AAAAAHHtvzA=")</f>
        <v>#REF!</v>
      </c>
      <c r="AX166" t="e">
        <f>AND(#REF!,"AAAAAHHtvzE=")</f>
        <v>#REF!</v>
      </c>
      <c r="AY166" t="e">
        <f>AND(#REF!,"AAAAAHHtvzI=")</f>
        <v>#REF!</v>
      </c>
      <c r="AZ166" t="e">
        <f>AND(#REF!,"AAAAAHHtvzM=")</f>
        <v>#REF!</v>
      </c>
      <c r="BA166" t="e">
        <f>AND(#REF!,"AAAAAHHtvzQ=")</f>
        <v>#REF!</v>
      </c>
      <c r="BB166" t="e">
        <f>IF(#REF!,"AAAAAHHtvzU=",0)</f>
        <v>#REF!</v>
      </c>
      <c r="BC166" t="e">
        <f>AND(#REF!,"AAAAAHHtvzY=")</f>
        <v>#REF!</v>
      </c>
      <c r="BD166" t="e">
        <f>AND(#REF!,"AAAAAHHtvzc=")</f>
        <v>#REF!</v>
      </c>
      <c r="BE166" t="e">
        <f>AND(#REF!,"AAAAAHHtvzg=")</f>
        <v>#REF!</v>
      </c>
      <c r="BF166" t="e">
        <f>AND(#REF!,"AAAAAHHtvzk=")</f>
        <v>#REF!</v>
      </c>
      <c r="BG166" t="e">
        <f>AND(#REF!,"AAAAAHHtvzo=")</f>
        <v>#REF!</v>
      </c>
      <c r="BH166" t="e">
        <f>AND(#REF!,"AAAAAHHtvzs=")</f>
        <v>#REF!</v>
      </c>
      <c r="BI166" t="e">
        <f>AND(#REF!,"AAAAAHHtvzw=")</f>
        <v>#REF!</v>
      </c>
      <c r="BJ166" t="e">
        <f>AND(#REF!,"AAAAAHHtvz0=")</f>
        <v>#REF!</v>
      </c>
      <c r="BK166" t="e">
        <f>AND(#REF!,"AAAAAHHtvz4=")</f>
        <v>#REF!</v>
      </c>
      <c r="BL166" t="e">
        <f>AND(#REF!,"AAAAAHHtvz8=")</f>
        <v>#REF!</v>
      </c>
      <c r="BM166" t="e">
        <f>AND(#REF!,"AAAAAHHtv0A=")</f>
        <v>#REF!</v>
      </c>
      <c r="BN166" t="e">
        <f>AND(#REF!,"AAAAAHHtv0E=")</f>
        <v>#REF!</v>
      </c>
      <c r="BO166" t="e">
        <f>AND(#REF!,"AAAAAHHtv0I=")</f>
        <v>#REF!</v>
      </c>
      <c r="BP166" t="e">
        <f>AND(#REF!,"AAAAAHHtv0M=")</f>
        <v>#REF!</v>
      </c>
      <c r="BQ166" t="e">
        <f>AND(#REF!,"AAAAAHHtv0Q=")</f>
        <v>#REF!</v>
      </c>
      <c r="BR166" t="e">
        <f>AND(#REF!,"AAAAAHHtv0U=")</f>
        <v>#REF!</v>
      </c>
      <c r="BS166" t="e">
        <f>AND(#REF!,"AAAAAHHtv0Y=")</f>
        <v>#REF!</v>
      </c>
      <c r="BT166" t="e">
        <f>AND(#REF!,"AAAAAHHtv0c=")</f>
        <v>#REF!</v>
      </c>
      <c r="BU166" t="e">
        <f>AND(#REF!,"AAAAAHHtv0g=")</f>
        <v>#REF!</v>
      </c>
      <c r="BV166" t="e">
        <f>AND(#REF!,"AAAAAHHtv0k=")</f>
        <v>#REF!</v>
      </c>
      <c r="BW166" t="e">
        <f>AND(#REF!,"AAAAAHHtv0o=")</f>
        <v>#REF!</v>
      </c>
      <c r="BX166" t="e">
        <f>AND(#REF!,"AAAAAHHtv0s=")</f>
        <v>#REF!</v>
      </c>
      <c r="BY166" t="e">
        <f>IF(#REF!,"AAAAAHHtv0w=",0)</f>
        <v>#REF!</v>
      </c>
      <c r="BZ166" t="e">
        <f>AND(#REF!,"AAAAAHHtv00=")</f>
        <v>#REF!</v>
      </c>
      <c r="CA166" t="e">
        <f>AND(#REF!,"AAAAAHHtv04=")</f>
        <v>#REF!</v>
      </c>
      <c r="CB166" t="e">
        <f>AND(#REF!,"AAAAAHHtv08=")</f>
        <v>#REF!</v>
      </c>
      <c r="CC166" t="e">
        <f>AND(#REF!,"AAAAAHHtv1A=")</f>
        <v>#REF!</v>
      </c>
      <c r="CD166" t="e">
        <f>AND(#REF!,"AAAAAHHtv1E=")</f>
        <v>#REF!</v>
      </c>
      <c r="CE166" t="e">
        <f>AND(#REF!,"AAAAAHHtv1I=")</f>
        <v>#REF!</v>
      </c>
      <c r="CF166" t="e">
        <f>AND(#REF!,"AAAAAHHtv1M=")</f>
        <v>#REF!</v>
      </c>
      <c r="CG166" t="e">
        <f>AND(#REF!,"AAAAAHHtv1Q=")</f>
        <v>#REF!</v>
      </c>
      <c r="CH166" t="e">
        <f>AND(#REF!,"AAAAAHHtv1U=")</f>
        <v>#REF!</v>
      </c>
      <c r="CI166" t="e">
        <f>AND(#REF!,"AAAAAHHtv1Y=")</f>
        <v>#REF!</v>
      </c>
      <c r="CJ166" t="e">
        <f>AND(#REF!,"AAAAAHHtv1c=")</f>
        <v>#REF!</v>
      </c>
      <c r="CK166" t="e">
        <f>AND(#REF!,"AAAAAHHtv1g=")</f>
        <v>#REF!</v>
      </c>
      <c r="CL166" t="e">
        <f>AND(#REF!,"AAAAAHHtv1k=")</f>
        <v>#REF!</v>
      </c>
      <c r="CM166" t="e">
        <f>AND(#REF!,"AAAAAHHtv1o=")</f>
        <v>#REF!</v>
      </c>
      <c r="CN166" t="e">
        <f>AND(#REF!,"AAAAAHHtv1s=")</f>
        <v>#REF!</v>
      </c>
      <c r="CO166" t="e">
        <f>AND(#REF!,"AAAAAHHtv1w=")</f>
        <v>#REF!</v>
      </c>
      <c r="CP166" t="e">
        <f>AND(#REF!,"AAAAAHHtv10=")</f>
        <v>#REF!</v>
      </c>
      <c r="CQ166" t="e">
        <f>AND(#REF!,"AAAAAHHtv14=")</f>
        <v>#REF!</v>
      </c>
      <c r="CR166" t="e">
        <f>AND(#REF!,"AAAAAHHtv18=")</f>
        <v>#REF!</v>
      </c>
      <c r="CS166" t="e">
        <f>AND(#REF!,"AAAAAHHtv2A=")</f>
        <v>#REF!</v>
      </c>
      <c r="CT166" t="e">
        <f>AND(#REF!,"AAAAAHHtv2E=")</f>
        <v>#REF!</v>
      </c>
      <c r="CU166" t="e">
        <f>AND(#REF!,"AAAAAHHtv2I=")</f>
        <v>#REF!</v>
      </c>
      <c r="CV166" t="e">
        <f>IF(#REF!,"AAAAAHHtv2M=",0)</f>
        <v>#REF!</v>
      </c>
      <c r="CW166" t="e">
        <f>AND(#REF!,"AAAAAHHtv2Q=")</f>
        <v>#REF!</v>
      </c>
      <c r="CX166" t="e">
        <f>AND(#REF!,"AAAAAHHtv2U=")</f>
        <v>#REF!</v>
      </c>
      <c r="CY166" t="e">
        <f>AND(#REF!,"AAAAAHHtv2Y=")</f>
        <v>#REF!</v>
      </c>
      <c r="CZ166" t="e">
        <f>AND(#REF!,"AAAAAHHtv2c=")</f>
        <v>#REF!</v>
      </c>
      <c r="DA166" t="e">
        <f>AND(#REF!,"AAAAAHHtv2g=")</f>
        <v>#REF!</v>
      </c>
      <c r="DB166" t="e">
        <f>AND(#REF!,"AAAAAHHtv2k=")</f>
        <v>#REF!</v>
      </c>
      <c r="DC166" t="e">
        <f>AND(#REF!,"AAAAAHHtv2o=")</f>
        <v>#REF!</v>
      </c>
      <c r="DD166" t="e">
        <f>AND(#REF!,"AAAAAHHtv2s=")</f>
        <v>#REF!</v>
      </c>
      <c r="DE166" t="e">
        <f>AND(#REF!,"AAAAAHHtv2w=")</f>
        <v>#REF!</v>
      </c>
      <c r="DF166" t="e">
        <f>AND(#REF!,"AAAAAHHtv20=")</f>
        <v>#REF!</v>
      </c>
      <c r="DG166" t="e">
        <f>AND(#REF!,"AAAAAHHtv24=")</f>
        <v>#REF!</v>
      </c>
      <c r="DH166" t="e">
        <f>AND(#REF!,"AAAAAHHtv28=")</f>
        <v>#REF!</v>
      </c>
      <c r="DI166" t="e">
        <f>AND(#REF!,"AAAAAHHtv3A=")</f>
        <v>#REF!</v>
      </c>
      <c r="DJ166" t="e">
        <f>AND(#REF!,"AAAAAHHtv3E=")</f>
        <v>#REF!</v>
      </c>
      <c r="DK166" t="e">
        <f>AND(#REF!,"AAAAAHHtv3I=")</f>
        <v>#REF!</v>
      </c>
      <c r="DL166" t="e">
        <f>AND(#REF!,"AAAAAHHtv3M=")</f>
        <v>#REF!</v>
      </c>
      <c r="DM166" t="e">
        <f>AND(#REF!,"AAAAAHHtv3Q=")</f>
        <v>#REF!</v>
      </c>
      <c r="DN166" t="e">
        <f>AND(#REF!,"AAAAAHHtv3U=")</f>
        <v>#REF!</v>
      </c>
      <c r="DO166" t="e">
        <f>AND(#REF!,"AAAAAHHtv3Y=")</f>
        <v>#REF!</v>
      </c>
      <c r="DP166" t="e">
        <f>AND(#REF!,"AAAAAHHtv3c=")</f>
        <v>#REF!</v>
      </c>
      <c r="DQ166" t="e">
        <f>AND(#REF!,"AAAAAHHtv3g=")</f>
        <v>#REF!</v>
      </c>
      <c r="DR166" t="e">
        <f>AND(#REF!,"AAAAAHHtv3k=")</f>
        <v>#REF!</v>
      </c>
      <c r="DS166" t="e">
        <f>IF(#REF!,"AAAAAHHtv3o=",0)</f>
        <v>#REF!</v>
      </c>
      <c r="DT166" t="e">
        <f>AND(#REF!,"AAAAAHHtv3s=")</f>
        <v>#REF!</v>
      </c>
      <c r="DU166" t="e">
        <f>AND(#REF!,"AAAAAHHtv3w=")</f>
        <v>#REF!</v>
      </c>
      <c r="DV166" t="e">
        <f>AND(#REF!,"AAAAAHHtv30=")</f>
        <v>#REF!</v>
      </c>
      <c r="DW166" t="e">
        <f>AND(#REF!,"AAAAAHHtv34=")</f>
        <v>#REF!</v>
      </c>
      <c r="DX166" t="e">
        <f>AND(#REF!,"AAAAAHHtv38=")</f>
        <v>#REF!</v>
      </c>
      <c r="DY166" t="e">
        <f>AND(#REF!,"AAAAAHHtv4A=")</f>
        <v>#REF!</v>
      </c>
      <c r="DZ166" t="e">
        <f>AND(#REF!,"AAAAAHHtv4E=")</f>
        <v>#REF!</v>
      </c>
      <c r="EA166" t="e">
        <f>AND(#REF!,"AAAAAHHtv4I=")</f>
        <v>#REF!</v>
      </c>
      <c r="EB166" t="e">
        <f>AND(#REF!,"AAAAAHHtv4M=")</f>
        <v>#REF!</v>
      </c>
      <c r="EC166" t="e">
        <f>AND(#REF!,"AAAAAHHtv4Q=")</f>
        <v>#REF!</v>
      </c>
      <c r="ED166" t="e">
        <f>AND(#REF!,"AAAAAHHtv4U=")</f>
        <v>#REF!</v>
      </c>
      <c r="EE166" t="e">
        <f>AND(#REF!,"AAAAAHHtv4Y=")</f>
        <v>#REF!</v>
      </c>
      <c r="EF166" t="e">
        <f>AND(#REF!,"AAAAAHHtv4c=")</f>
        <v>#REF!</v>
      </c>
      <c r="EG166" t="e">
        <f>AND(#REF!,"AAAAAHHtv4g=")</f>
        <v>#REF!</v>
      </c>
      <c r="EH166" t="e">
        <f>AND(#REF!,"AAAAAHHtv4k=")</f>
        <v>#REF!</v>
      </c>
      <c r="EI166" t="e">
        <f>AND(#REF!,"AAAAAHHtv4o=")</f>
        <v>#REF!</v>
      </c>
      <c r="EJ166" t="e">
        <f>AND(#REF!,"AAAAAHHtv4s=")</f>
        <v>#REF!</v>
      </c>
      <c r="EK166" t="e">
        <f>AND(#REF!,"AAAAAHHtv4w=")</f>
        <v>#REF!</v>
      </c>
      <c r="EL166" t="e">
        <f>AND(#REF!,"AAAAAHHtv40=")</f>
        <v>#REF!</v>
      </c>
      <c r="EM166" t="e">
        <f>AND(#REF!,"AAAAAHHtv44=")</f>
        <v>#REF!</v>
      </c>
      <c r="EN166" t="e">
        <f>AND(#REF!,"AAAAAHHtv48=")</f>
        <v>#REF!</v>
      </c>
      <c r="EO166" t="e">
        <f>AND(#REF!,"AAAAAHHtv5A=")</f>
        <v>#REF!</v>
      </c>
      <c r="EP166" t="e">
        <f>IF(#REF!,"AAAAAHHtv5E=",0)</f>
        <v>#REF!</v>
      </c>
      <c r="EQ166" t="e">
        <f>AND(#REF!,"AAAAAHHtv5I=")</f>
        <v>#REF!</v>
      </c>
      <c r="ER166" t="e">
        <f>AND(#REF!,"AAAAAHHtv5M=")</f>
        <v>#REF!</v>
      </c>
      <c r="ES166" t="e">
        <f>AND(#REF!,"AAAAAHHtv5Q=")</f>
        <v>#REF!</v>
      </c>
      <c r="ET166" t="e">
        <f>AND(#REF!,"AAAAAHHtv5U=")</f>
        <v>#REF!</v>
      </c>
      <c r="EU166" t="e">
        <f>AND(#REF!,"AAAAAHHtv5Y=")</f>
        <v>#REF!</v>
      </c>
      <c r="EV166" t="e">
        <f>AND(#REF!,"AAAAAHHtv5c=")</f>
        <v>#REF!</v>
      </c>
      <c r="EW166" t="e">
        <f>AND(#REF!,"AAAAAHHtv5g=")</f>
        <v>#REF!</v>
      </c>
      <c r="EX166" t="e">
        <f>AND(#REF!,"AAAAAHHtv5k=")</f>
        <v>#REF!</v>
      </c>
      <c r="EY166" t="e">
        <f>AND(#REF!,"AAAAAHHtv5o=")</f>
        <v>#REF!</v>
      </c>
      <c r="EZ166" t="e">
        <f>AND(#REF!,"AAAAAHHtv5s=")</f>
        <v>#REF!</v>
      </c>
      <c r="FA166" t="e">
        <f>AND(#REF!,"AAAAAHHtv5w=")</f>
        <v>#REF!</v>
      </c>
      <c r="FB166" t="e">
        <f>AND(#REF!,"AAAAAHHtv50=")</f>
        <v>#REF!</v>
      </c>
      <c r="FC166" t="e">
        <f>AND(#REF!,"AAAAAHHtv54=")</f>
        <v>#REF!</v>
      </c>
      <c r="FD166" t="e">
        <f>AND(#REF!,"AAAAAHHtv58=")</f>
        <v>#REF!</v>
      </c>
      <c r="FE166" t="e">
        <f>AND(#REF!,"AAAAAHHtv6A=")</f>
        <v>#REF!</v>
      </c>
      <c r="FF166" t="e">
        <f>AND(#REF!,"AAAAAHHtv6E=")</f>
        <v>#REF!</v>
      </c>
      <c r="FG166" t="e">
        <f>AND(#REF!,"AAAAAHHtv6I=")</f>
        <v>#REF!</v>
      </c>
      <c r="FH166" t="e">
        <f>AND(#REF!,"AAAAAHHtv6M=")</f>
        <v>#REF!</v>
      </c>
      <c r="FI166" t="e">
        <f>AND(#REF!,"AAAAAHHtv6Q=")</f>
        <v>#REF!</v>
      </c>
      <c r="FJ166" t="e">
        <f>AND(#REF!,"AAAAAHHtv6U=")</f>
        <v>#REF!</v>
      </c>
      <c r="FK166" t="e">
        <f>AND(#REF!,"AAAAAHHtv6Y=")</f>
        <v>#REF!</v>
      </c>
      <c r="FL166" t="e">
        <f>AND(#REF!,"AAAAAHHtv6c=")</f>
        <v>#REF!</v>
      </c>
      <c r="FM166" t="e">
        <f>IF(#REF!,"AAAAAHHtv6g=",0)</f>
        <v>#REF!</v>
      </c>
      <c r="FN166" t="e">
        <f>AND(#REF!,"AAAAAHHtv6k=")</f>
        <v>#REF!</v>
      </c>
      <c r="FO166" t="e">
        <f>AND(#REF!,"AAAAAHHtv6o=")</f>
        <v>#REF!</v>
      </c>
      <c r="FP166" t="e">
        <f>AND(#REF!,"AAAAAHHtv6s=")</f>
        <v>#REF!</v>
      </c>
      <c r="FQ166" t="e">
        <f>AND(#REF!,"AAAAAHHtv6w=")</f>
        <v>#REF!</v>
      </c>
      <c r="FR166" t="e">
        <f>AND(#REF!,"AAAAAHHtv60=")</f>
        <v>#REF!</v>
      </c>
      <c r="FS166" t="e">
        <f>AND(#REF!,"AAAAAHHtv64=")</f>
        <v>#REF!</v>
      </c>
      <c r="FT166" t="e">
        <f>AND(#REF!,"AAAAAHHtv68=")</f>
        <v>#REF!</v>
      </c>
      <c r="FU166" t="e">
        <f>AND(#REF!,"AAAAAHHtv7A=")</f>
        <v>#REF!</v>
      </c>
      <c r="FV166" t="e">
        <f>AND(#REF!,"AAAAAHHtv7E=")</f>
        <v>#REF!</v>
      </c>
      <c r="FW166" t="e">
        <f>AND(#REF!,"AAAAAHHtv7I=")</f>
        <v>#REF!</v>
      </c>
      <c r="FX166" t="e">
        <f>AND(#REF!,"AAAAAHHtv7M=")</f>
        <v>#REF!</v>
      </c>
      <c r="FY166" t="e">
        <f>AND(#REF!,"AAAAAHHtv7Q=")</f>
        <v>#REF!</v>
      </c>
      <c r="FZ166" t="e">
        <f>AND(#REF!,"AAAAAHHtv7U=")</f>
        <v>#REF!</v>
      </c>
      <c r="GA166" t="e">
        <f>AND(#REF!,"AAAAAHHtv7Y=")</f>
        <v>#REF!</v>
      </c>
      <c r="GB166" t="e">
        <f>AND(#REF!,"AAAAAHHtv7c=")</f>
        <v>#REF!</v>
      </c>
      <c r="GC166" t="e">
        <f>AND(#REF!,"AAAAAHHtv7g=")</f>
        <v>#REF!</v>
      </c>
      <c r="GD166" t="e">
        <f>AND(#REF!,"AAAAAHHtv7k=")</f>
        <v>#REF!</v>
      </c>
      <c r="GE166" t="e">
        <f>AND(#REF!,"AAAAAHHtv7o=")</f>
        <v>#REF!</v>
      </c>
      <c r="GF166" t="e">
        <f>AND(#REF!,"AAAAAHHtv7s=")</f>
        <v>#REF!</v>
      </c>
      <c r="GG166" t="e">
        <f>AND(#REF!,"AAAAAHHtv7w=")</f>
        <v>#REF!</v>
      </c>
      <c r="GH166" t="e">
        <f>AND(#REF!,"AAAAAHHtv70=")</f>
        <v>#REF!</v>
      </c>
      <c r="GI166" t="e">
        <f>AND(#REF!,"AAAAAHHtv74=")</f>
        <v>#REF!</v>
      </c>
      <c r="GJ166" t="e">
        <f>IF(#REF!,"AAAAAHHtv78=",0)</f>
        <v>#REF!</v>
      </c>
      <c r="GK166" t="e">
        <f>AND(#REF!,"AAAAAHHtv8A=")</f>
        <v>#REF!</v>
      </c>
      <c r="GL166" t="e">
        <f>AND(#REF!,"AAAAAHHtv8E=")</f>
        <v>#REF!</v>
      </c>
      <c r="GM166" t="e">
        <f>AND(#REF!,"AAAAAHHtv8I=")</f>
        <v>#REF!</v>
      </c>
      <c r="GN166" t="e">
        <f>AND(#REF!,"AAAAAHHtv8M=")</f>
        <v>#REF!</v>
      </c>
      <c r="GO166" t="e">
        <f>AND(#REF!,"AAAAAHHtv8Q=")</f>
        <v>#REF!</v>
      </c>
      <c r="GP166" t="e">
        <f>AND(#REF!,"AAAAAHHtv8U=")</f>
        <v>#REF!</v>
      </c>
      <c r="GQ166" t="e">
        <f>AND(#REF!,"AAAAAHHtv8Y=")</f>
        <v>#REF!</v>
      </c>
      <c r="GR166" t="e">
        <f>AND(#REF!,"AAAAAHHtv8c=")</f>
        <v>#REF!</v>
      </c>
      <c r="GS166" t="e">
        <f>AND(#REF!,"AAAAAHHtv8g=")</f>
        <v>#REF!</v>
      </c>
      <c r="GT166" t="e">
        <f>AND(#REF!,"AAAAAHHtv8k=")</f>
        <v>#REF!</v>
      </c>
      <c r="GU166" t="e">
        <f>AND(#REF!,"AAAAAHHtv8o=")</f>
        <v>#REF!</v>
      </c>
      <c r="GV166" t="e">
        <f>AND(#REF!,"AAAAAHHtv8s=")</f>
        <v>#REF!</v>
      </c>
      <c r="GW166" t="e">
        <f>AND(#REF!,"AAAAAHHtv8w=")</f>
        <v>#REF!</v>
      </c>
      <c r="GX166" t="e">
        <f>AND(#REF!,"AAAAAHHtv80=")</f>
        <v>#REF!</v>
      </c>
      <c r="GY166" t="e">
        <f>AND(#REF!,"AAAAAHHtv84=")</f>
        <v>#REF!</v>
      </c>
      <c r="GZ166" t="e">
        <f>AND(#REF!,"AAAAAHHtv88=")</f>
        <v>#REF!</v>
      </c>
      <c r="HA166" t="e">
        <f>AND(#REF!,"AAAAAHHtv9A=")</f>
        <v>#REF!</v>
      </c>
      <c r="HB166" t="e">
        <f>AND(#REF!,"AAAAAHHtv9E=")</f>
        <v>#REF!</v>
      </c>
      <c r="HC166" t="e">
        <f>AND(#REF!,"AAAAAHHtv9I=")</f>
        <v>#REF!</v>
      </c>
      <c r="HD166" t="e">
        <f>AND(#REF!,"AAAAAHHtv9M=")</f>
        <v>#REF!</v>
      </c>
      <c r="HE166" t="e">
        <f>AND(#REF!,"AAAAAHHtv9Q=")</f>
        <v>#REF!</v>
      </c>
      <c r="HF166" t="e">
        <f>AND(#REF!,"AAAAAHHtv9U=")</f>
        <v>#REF!</v>
      </c>
      <c r="HG166" t="e">
        <f>IF(#REF!,"AAAAAHHtv9Y=",0)</f>
        <v>#REF!</v>
      </c>
      <c r="HH166" t="e">
        <f>AND(#REF!,"AAAAAHHtv9c=")</f>
        <v>#REF!</v>
      </c>
      <c r="HI166" t="e">
        <f>AND(#REF!,"AAAAAHHtv9g=")</f>
        <v>#REF!</v>
      </c>
      <c r="HJ166" t="e">
        <f>AND(#REF!,"AAAAAHHtv9k=")</f>
        <v>#REF!</v>
      </c>
      <c r="HK166" t="e">
        <f>AND(#REF!,"AAAAAHHtv9o=")</f>
        <v>#REF!</v>
      </c>
      <c r="HL166" t="e">
        <f>AND(#REF!,"AAAAAHHtv9s=")</f>
        <v>#REF!</v>
      </c>
      <c r="HM166" t="e">
        <f>AND(#REF!,"AAAAAHHtv9w=")</f>
        <v>#REF!</v>
      </c>
      <c r="HN166" t="e">
        <f>AND(#REF!,"AAAAAHHtv90=")</f>
        <v>#REF!</v>
      </c>
      <c r="HO166" t="e">
        <f>AND(#REF!,"AAAAAHHtv94=")</f>
        <v>#REF!</v>
      </c>
      <c r="HP166" t="e">
        <f>AND(#REF!,"AAAAAHHtv98=")</f>
        <v>#REF!</v>
      </c>
      <c r="HQ166" t="e">
        <f>AND(#REF!,"AAAAAHHtv+A=")</f>
        <v>#REF!</v>
      </c>
      <c r="HR166" t="e">
        <f>AND(#REF!,"AAAAAHHtv+E=")</f>
        <v>#REF!</v>
      </c>
      <c r="HS166" t="e">
        <f>AND(#REF!,"AAAAAHHtv+I=")</f>
        <v>#REF!</v>
      </c>
      <c r="HT166" t="e">
        <f>AND(#REF!,"AAAAAHHtv+M=")</f>
        <v>#REF!</v>
      </c>
      <c r="HU166" t="e">
        <f>AND(#REF!,"AAAAAHHtv+Q=")</f>
        <v>#REF!</v>
      </c>
      <c r="HV166" t="e">
        <f>AND(#REF!,"AAAAAHHtv+U=")</f>
        <v>#REF!</v>
      </c>
      <c r="HW166" t="e">
        <f>AND(#REF!,"AAAAAHHtv+Y=")</f>
        <v>#REF!</v>
      </c>
      <c r="HX166" t="e">
        <f>AND(#REF!,"AAAAAHHtv+c=")</f>
        <v>#REF!</v>
      </c>
      <c r="HY166" t="e">
        <f>AND(#REF!,"AAAAAHHtv+g=")</f>
        <v>#REF!</v>
      </c>
      <c r="HZ166" t="e">
        <f>AND(#REF!,"AAAAAHHtv+k=")</f>
        <v>#REF!</v>
      </c>
      <c r="IA166" t="e">
        <f>AND(#REF!,"AAAAAHHtv+o=")</f>
        <v>#REF!</v>
      </c>
      <c r="IB166" t="e">
        <f>AND(#REF!,"AAAAAHHtv+s=")</f>
        <v>#REF!</v>
      </c>
      <c r="IC166" t="e">
        <f>AND(#REF!,"AAAAAHHtv+w=")</f>
        <v>#REF!</v>
      </c>
      <c r="ID166" t="e">
        <f>IF(#REF!,"AAAAAHHtv+0=",0)</f>
        <v>#REF!</v>
      </c>
      <c r="IE166" t="e">
        <f>AND(#REF!,"AAAAAHHtv+4=")</f>
        <v>#REF!</v>
      </c>
      <c r="IF166" t="e">
        <f>AND(#REF!,"AAAAAHHtv+8=")</f>
        <v>#REF!</v>
      </c>
      <c r="IG166" t="e">
        <f>AND(#REF!,"AAAAAHHtv/A=")</f>
        <v>#REF!</v>
      </c>
      <c r="IH166" t="e">
        <f>AND(#REF!,"AAAAAHHtv/E=")</f>
        <v>#REF!</v>
      </c>
      <c r="II166" t="e">
        <f>AND(#REF!,"AAAAAHHtv/I=")</f>
        <v>#REF!</v>
      </c>
      <c r="IJ166" t="e">
        <f>AND(#REF!,"AAAAAHHtv/M=")</f>
        <v>#REF!</v>
      </c>
      <c r="IK166" t="e">
        <f>AND(#REF!,"AAAAAHHtv/Q=")</f>
        <v>#REF!</v>
      </c>
      <c r="IL166" t="e">
        <f>AND(#REF!,"AAAAAHHtv/U=")</f>
        <v>#REF!</v>
      </c>
      <c r="IM166" t="e">
        <f>AND(#REF!,"AAAAAHHtv/Y=")</f>
        <v>#REF!</v>
      </c>
      <c r="IN166" t="e">
        <f>AND(#REF!,"AAAAAHHtv/c=")</f>
        <v>#REF!</v>
      </c>
      <c r="IO166" t="e">
        <f>AND(#REF!,"AAAAAHHtv/g=")</f>
        <v>#REF!</v>
      </c>
      <c r="IP166" t="e">
        <f>AND(#REF!,"AAAAAHHtv/k=")</f>
        <v>#REF!</v>
      </c>
      <c r="IQ166" t="e">
        <f>AND(#REF!,"AAAAAHHtv/o=")</f>
        <v>#REF!</v>
      </c>
      <c r="IR166" t="e">
        <f>AND(#REF!,"AAAAAHHtv/s=")</f>
        <v>#REF!</v>
      </c>
      <c r="IS166" t="e">
        <f>AND(#REF!,"AAAAAHHtv/w=")</f>
        <v>#REF!</v>
      </c>
      <c r="IT166" t="e">
        <f>AND(#REF!,"AAAAAHHtv/0=")</f>
        <v>#REF!</v>
      </c>
      <c r="IU166" t="e">
        <f>AND(#REF!,"AAAAAHHtv/4=")</f>
        <v>#REF!</v>
      </c>
      <c r="IV166" t="e">
        <f>AND(#REF!,"AAAAAHHtv/8=")</f>
        <v>#REF!</v>
      </c>
    </row>
    <row r="167" spans="1:256" x14ac:dyDescent="0.2">
      <c r="A167" t="e">
        <f>AND(#REF!,"AAAAAH//6QA=")</f>
        <v>#REF!</v>
      </c>
      <c r="B167" t="e">
        <f>AND(#REF!,"AAAAAH//6QE=")</f>
        <v>#REF!</v>
      </c>
      <c r="C167" t="e">
        <f>AND(#REF!,"AAAAAH//6QI=")</f>
        <v>#REF!</v>
      </c>
      <c r="D167" t="e">
        <f>AND(#REF!,"AAAAAH//6QM=")</f>
        <v>#REF!</v>
      </c>
      <c r="E167" t="e">
        <f>IF(#REF!,"AAAAAH//6QQ=",0)</f>
        <v>#REF!</v>
      </c>
      <c r="F167" t="e">
        <f>AND(#REF!,"AAAAAH//6QU=")</f>
        <v>#REF!</v>
      </c>
      <c r="G167" t="e">
        <f>AND(#REF!,"AAAAAH//6QY=")</f>
        <v>#REF!</v>
      </c>
      <c r="H167" t="e">
        <f>AND(#REF!,"AAAAAH//6Qc=")</f>
        <v>#REF!</v>
      </c>
      <c r="I167" t="e">
        <f>AND(#REF!,"AAAAAH//6Qg=")</f>
        <v>#REF!</v>
      </c>
      <c r="J167" t="e">
        <f>AND(#REF!,"AAAAAH//6Qk=")</f>
        <v>#REF!</v>
      </c>
      <c r="K167" t="e">
        <f>AND(#REF!,"AAAAAH//6Qo=")</f>
        <v>#REF!</v>
      </c>
      <c r="L167" t="e">
        <f>AND(#REF!,"AAAAAH//6Qs=")</f>
        <v>#REF!</v>
      </c>
      <c r="M167" t="e">
        <f>AND(#REF!,"AAAAAH//6Qw=")</f>
        <v>#REF!</v>
      </c>
      <c r="N167" t="e">
        <f>AND(#REF!,"AAAAAH//6Q0=")</f>
        <v>#REF!</v>
      </c>
      <c r="O167" t="e">
        <f>AND(#REF!,"AAAAAH//6Q4=")</f>
        <v>#REF!</v>
      </c>
      <c r="P167" t="e">
        <f>AND(#REF!,"AAAAAH//6Q8=")</f>
        <v>#REF!</v>
      </c>
      <c r="Q167" t="e">
        <f>AND(#REF!,"AAAAAH//6RA=")</f>
        <v>#REF!</v>
      </c>
      <c r="R167" t="e">
        <f>AND(#REF!,"AAAAAH//6RE=")</f>
        <v>#REF!</v>
      </c>
      <c r="S167" t="e">
        <f>AND(#REF!,"AAAAAH//6RI=")</f>
        <v>#REF!</v>
      </c>
      <c r="T167" t="e">
        <f>AND(#REF!,"AAAAAH//6RM=")</f>
        <v>#REF!</v>
      </c>
      <c r="U167" t="e">
        <f>AND(#REF!,"AAAAAH//6RQ=")</f>
        <v>#REF!</v>
      </c>
      <c r="V167" t="e">
        <f>AND(#REF!,"AAAAAH//6RU=")</f>
        <v>#REF!</v>
      </c>
      <c r="W167" t="e">
        <f>AND(#REF!,"AAAAAH//6RY=")</f>
        <v>#REF!</v>
      </c>
      <c r="X167" t="e">
        <f>AND(#REF!,"AAAAAH//6Rc=")</f>
        <v>#REF!</v>
      </c>
      <c r="Y167" t="e">
        <f>AND(#REF!,"AAAAAH//6Rg=")</f>
        <v>#REF!</v>
      </c>
      <c r="Z167" t="e">
        <f>AND(#REF!,"AAAAAH//6Rk=")</f>
        <v>#REF!</v>
      </c>
      <c r="AA167" t="e">
        <f>AND(#REF!,"AAAAAH//6Ro=")</f>
        <v>#REF!</v>
      </c>
      <c r="AB167" t="e">
        <f>IF(#REF!,"AAAAAH//6Rs=",0)</f>
        <v>#REF!</v>
      </c>
      <c r="AC167" t="e">
        <f>AND(#REF!,"AAAAAH//6Rw=")</f>
        <v>#REF!</v>
      </c>
      <c r="AD167" t="e">
        <f>AND(#REF!,"AAAAAH//6R0=")</f>
        <v>#REF!</v>
      </c>
      <c r="AE167" t="e">
        <f>AND(#REF!,"AAAAAH//6R4=")</f>
        <v>#REF!</v>
      </c>
      <c r="AF167" t="e">
        <f>AND(#REF!,"AAAAAH//6R8=")</f>
        <v>#REF!</v>
      </c>
      <c r="AG167" t="e">
        <f>AND(#REF!,"AAAAAH//6SA=")</f>
        <v>#REF!</v>
      </c>
      <c r="AH167" t="e">
        <f>AND(#REF!,"AAAAAH//6SE=")</f>
        <v>#REF!</v>
      </c>
      <c r="AI167" t="e">
        <f>AND(#REF!,"AAAAAH//6SI=")</f>
        <v>#REF!</v>
      </c>
      <c r="AJ167" t="e">
        <f>AND(#REF!,"AAAAAH//6SM=")</f>
        <v>#REF!</v>
      </c>
      <c r="AK167" t="e">
        <f>AND(#REF!,"AAAAAH//6SQ=")</f>
        <v>#REF!</v>
      </c>
      <c r="AL167" t="e">
        <f>AND(#REF!,"AAAAAH//6SU=")</f>
        <v>#REF!</v>
      </c>
      <c r="AM167" t="e">
        <f>AND(#REF!,"AAAAAH//6SY=")</f>
        <v>#REF!</v>
      </c>
      <c r="AN167" t="e">
        <f>AND(#REF!,"AAAAAH//6Sc=")</f>
        <v>#REF!</v>
      </c>
      <c r="AO167" t="e">
        <f>AND(#REF!,"AAAAAH//6Sg=")</f>
        <v>#REF!</v>
      </c>
      <c r="AP167" t="e">
        <f>AND(#REF!,"AAAAAH//6Sk=")</f>
        <v>#REF!</v>
      </c>
      <c r="AQ167" t="e">
        <f>AND(#REF!,"AAAAAH//6So=")</f>
        <v>#REF!</v>
      </c>
      <c r="AR167" t="e">
        <f>AND(#REF!,"AAAAAH//6Ss=")</f>
        <v>#REF!</v>
      </c>
      <c r="AS167" t="e">
        <f>AND(#REF!,"AAAAAH//6Sw=")</f>
        <v>#REF!</v>
      </c>
      <c r="AT167" t="e">
        <f>AND(#REF!,"AAAAAH//6S0=")</f>
        <v>#REF!</v>
      </c>
      <c r="AU167" t="e">
        <f>AND(#REF!,"AAAAAH//6S4=")</f>
        <v>#REF!</v>
      </c>
      <c r="AV167" t="e">
        <f>AND(#REF!,"AAAAAH//6S8=")</f>
        <v>#REF!</v>
      </c>
      <c r="AW167" t="e">
        <f>AND(#REF!,"AAAAAH//6TA=")</f>
        <v>#REF!</v>
      </c>
      <c r="AX167" t="e">
        <f>AND(#REF!,"AAAAAH//6TE=")</f>
        <v>#REF!</v>
      </c>
      <c r="AY167" t="e">
        <f>IF(#REF!,"AAAAAH//6TI=",0)</f>
        <v>#REF!</v>
      </c>
      <c r="AZ167" t="e">
        <f>AND(#REF!,"AAAAAH//6TM=")</f>
        <v>#REF!</v>
      </c>
      <c r="BA167" t="e">
        <f>AND(#REF!,"AAAAAH//6TQ=")</f>
        <v>#REF!</v>
      </c>
      <c r="BB167" t="e">
        <f>AND(#REF!,"AAAAAH//6TU=")</f>
        <v>#REF!</v>
      </c>
      <c r="BC167" t="e">
        <f>AND(#REF!,"AAAAAH//6TY=")</f>
        <v>#REF!</v>
      </c>
      <c r="BD167" t="e">
        <f>AND(#REF!,"AAAAAH//6Tc=")</f>
        <v>#REF!</v>
      </c>
      <c r="BE167" t="e">
        <f>AND(#REF!,"AAAAAH//6Tg=")</f>
        <v>#REF!</v>
      </c>
      <c r="BF167" t="e">
        <f>AND(#REF!,"AAAAAH//6Tk=")</f>
        <v>#REF!</v>
      </c>
      <c r="BG167" t="e">
        <f>AND(#REF!,"AAAAAH//6To=")</f>
        <v>#REF!</v>
      </c>
      <c r="BH167" t="e">
        <f>AND(#REF!,"AAAAAH//6Ts=")</f>
        <v>#REF!</v>
      </c>
      <c r="BI167" t="e">
        <f>AND(#REF!,"AAAAAH//6Tw=")</f>
        <v>#REF!</v>
      </c>
      <c r="BJ167" t="e">
        <f>AND(#REF!,"AAAAAH//6T0=")</f>
        <v>#REF!</v>
      </c>
      <c r="BK167" t="e">
        <f>AND(#REF!,"AAAAAH//6T4=")</f>
        <v>#REF!</v>
      </c>
      <c r="BL167" t="e">
        <f>AND(#REF!,"AAAAAH//6T8=")</f>
        <v>#REF!</v>
      </c>
      <c r="BM167" t="e">
        <f>AND(#REF!,"AAAAAH//6UA=")</f>
        <v>#REF!</v>
      </c>
      <c r="BN167" t="e">
        <f>AND(#REF!,"AAAAAH//6UE=")</f>
        <v>#REF!</v>
      </c>
      <c r="BO167" t="e">
        <f>AND(#REF!,"AAAAAH//6UI=")</f>
        <v>#REF!</v>
      </c>
      <c r="BP167" t="e">
        <f>AND(#REF!,"AAAAAH//6UM=")</f>
        <v>#REF!</v>
      </c>
      <c r="BQ167" t="e">
        <f>AND(#REF!,"AAAAAH//6UQ=")</f>
        <v>#REF!</v>
      </c>
      <c r="BR167" t="e">
        <f>AND(#REF!,"AAAAAH//6UU=")</f>
        <v>#REF!</v>
      </c>
      <c r="BS167" t="e">
        <f>AND(#REF!,"AAAAAH//6UY=")</f>
        <v>#REF!</v>
      </c>
      <c r="BT167" t="e">
        <f>AND(#REF!,"AAAAAH//6Uc=")</f>
        <v>#REF!</v>
      </c>
      <c r="BU167" t="e">
        <f>AND(#REF!,"AAAAAH//6Ug=")</f>
        <v>#REF!</v>
      </c>
      <c r="BV167" t="e">
        <f>IF(#REF!,"AAAAAH//6Uk=",0)</f>
        <v>#REF!</v>
      </c>
      <c r="BW167" t="e">
        <f>AND(#REF!,"AAAAAH//6Uo=")</f>
        <v>#REF!</v>
      </c>
      <c r="BX167" t="e">
        <f>AND(#REF!,"AAAAAH//6Us=")</f>
        <v>#REF!</v>
      </c>
      <c r="BY167" t="e">
        <f>AND(#REF!,"AAAAAH//6Uw=")</f>
        <v>#REF!</v>
      </c>
      <c r="BZ167" t="e">
        <f>AND(#REF!,"AAAAAH//6U0=")</f>
        <v>#REF!</v>
      </c>
      <c r="CA167" t="e">
        <f>AND(#REF!,"AAAAAH//6U4=")</f>
        <v>#REF!</v>
      </c>
      <c r="CB167" t="e">
        <f>AND(#REF!,"AAAAAH//6U8=")</f>
        <v>#REF!</v>
      </c>
      <c r="CC167" t="e">
        <f>AND(#REF!,"AAAAAH//6VA=")</f>
        <v>#REF!</v>
      </c>
      <c r="CD167" t="e">
        <f>AND(#REF!,"AAAAAH//6VE=")</f>
        <v>#REF!</v>
      </c>
      <c r="CE167" t="e">
        <f>AND(#REF!,"AAAAAH//6VI=")</f>
        <v>#REF!</v>
      </c>
      <c r="CF167" t="e">
        <f>AND(#REF!,"AAAAAH//6VM=")</f>
        <v>#REF!</v>
      </c>
      <c r="CG167" t="e">
        <f>AND(#REF!,"AAAAAH//6VQ=")</f>
        <v>#REF!</v>
      </c>
      <c r="CH167" t="e">
        <f>AND(#REF!,"AAAAAH//6VU=")</f>
        <v>#REF!</v>
      </c>
      <c r="CI167" t="e">
        <f>AND(#REF!,"AAAAAH//6VY=")</f>
        <v>#REF!</v>
      </c>
      <c r="CJ167" t="e">
        <f>AND(#REF!,"AAAAAH//6Vc=")</f>
        <v>#REF!</v>
      </c>
      <c r="CK167" t="e">
        <f>AND(#REF!,"AAAAAH//6Vg=")</f>
        <v>#REF!</v>
      </c>
      <c r="CL167" t="e">
        <f>AND(#REF!,"AAAAAH//6Vk=")</f>
        <v>#REF!</v>
      </c>
      <c r="CM167" t="e">
        <f>AND(#REF!,"AAAAAH//6Vo=")</f>
        <v>#REF!</v>
      </c>
      <c r="CN167" t="e">
        <f>AND(#REF!,"AAAAAH//6Vs=")</f>
        <v>#REF!</v>
      </c>
      <c r="CO167" t="e">
        <f>AND(#REF!,"AAAAAH//6Vw=")</f>
        <v>#REF!</v>
      </c>
      <c r="CP167" t="e">
        <f>AND(#REF!,"AAAAAH//6V0=")</f>
        <v>#REF!</v>
      </c>
      <c r="CQ167" t="e">
        <f>AND(#REF!,"AAAAAH//6V4=")</f>
        <v>#REF!</v>
      </c>
      <c r="CR167" t="e">
        <f>AND(#REF!,"AAAAAH//6V8=")</f>
        <v>#REF!</v>
      </c>
      <c r="CS167" t="e">
        <f>IF(#REF!,"AAAAAH//6WA=",0)</f>
        <v>#REF!</v>
      </c>
      <c r="CT167" t="e">
        <f>AND(#REF!,"AAAAAH//6WE=")</f>
        <v>#REF!</v>
      </c>
      <c r="CU167" t="e">
        <f>AND(#REF!,"AAAAAH//6WI=")</f>
        <v>#REF!</v>
      </c>
      <c r="CV167" t="e">
        <f>AND(#REF!,"AAAAAH//6WM=")</f>
        <v>#REF!</v>
      </c>
      <c r="CW167" t="e">
        <f>AND(#REF!,"AAAAAH//6WQ=")</f>
        <v>#REF!</v>
      </c>
      <c r="CX167" t="e">
        <f>AND(#REF!,"AAAAAH//6WU=")</f>
        <v>#REF!</v>
      </c>
      <c r="CY167" t="e">
        <f>AND(#REF!,"AAAAAH//6WY=")</f>
        <v>#REF!</v>
      </c>
      <c r="CZ167" t="e">
        <f>AND(#REF!,"AAAAAH//6Wc=")</f>
        <v>#REF!</v>
      </c>
      <c r="DA167" t="e">
        <f>AND(#REF!,"AAAAAH//6Wg=")</f>
        <v>#REF!</v>
      </c>
      <c r="DB167" t="e">
        <f>AND(#REF!,"AAAAAH//6Wk=")</f>
        <v>#REF!</v>
      </c>
      <c r="DC167" t="e">
        <f>AND(#REF!,"AAAAAH//6Wo=")</f>
        <v>#REF!</v>
      </c>
      <c r="DD167" t="e">
        <f>AND(#REF!,"AAAAAH//6Ws=")</f>
        <v>#REF!</v>
      </c>
      <c r="DE167" t="e">
        <f>AND(#REF!,"AAAAAH//6Ww=")</f>
        <v>#REF!</v>
      </c>
      <c r="DF167" t="e">
        <f>AND(#REF!,"AAAAAH//6W0=")</f>
        <v>#REF!</v>
      </c>
      <c r="DG167" t="e">
        <f>AND(#REF!,"AAAAAH//6W4=")</f>
        <v>#REF!</v>
      </c>
      <c r="DH167" t="e">
        <f>AND(#REF!,"AAAAAH//6W8=")</f>
        <v>#REF!</v>
      </c>
      <c r="DI167" t="e">
        <f>AND(#REF!,"AAAAAH//6XA=")</f>
        <v>#REF!</v>
      </c>
      <c r="DJ167" t="e">
        <f>AND(#REF!,"AAAAAH//6XE=")</f>
        <v>#REF!</v>
      </c>
      <c r="DK167" t="e">
        <f>AND(#REF!,"AAAAAH//6XI=")</f>
        <v>#REF!</v>
      </c>
      <c r="DL167" t="e">
        <f>AND(#REF!,"AAAAAH//6XM=")</f>
        <v>#REF!</v>
      </c>
      <c r="DM167" t="e">
        <f>AND(#REF!,"AAAAAH//6XQ=")</f>
        <v>#REF!</v>
      </c>
      <c r="DN167" t="e">
        <f>AND(#REF!,"AAAAAH//6XU=")</f>
        <v>#REF!</v>
      </c>
      <c r="DO167" t="e">
        <f>AND(#REF!,"AAAAAH//6XY=")</f>
        <v>#REF!</v>
      </c>
      <c r="DP167" t="e">
        <f>IF(#REF!,"AAAAAH//6Xc=",0)</f>
        <v>#REF!</v>
      </c>
      <c r="DQ167" t="e">
        <f>AND(#REF!,"AAAAAH//6Xg=")</f>
        <v>#REF!</v>
      </c>
      <c r="DR167" t="e">
        <f>AND(#REF!,"AAAAAH//6Xk=")</f>
        <v>#REF!</v>
      </c>
      <c r="DS167" t="e">
        <f>AND(#REF!,"AAAAAH//6Xo=")</f>
        <v>#REF!</v>
      </c>
      <c r="DT167" t="e">
        <f>AND(#REF!,"AAAAAH//6Xs=")</f>
        <v>#REF!</v>
      </c>
      <c r="DU167" t="e">
        <f>AND(#REF!,"AAAAAH//6Xw=")</f>
        <v>#REF!</v>
      </c>
      <c r="DV167" t="e">
        <f>AND(#REF!,"AAAAAH//6X0=")</f>
        <v>#REF!</v>
      </c>
      <c r="DW167" t="e">
        <f>AND(#REF!,"AAAAAH//6X4=")</f>
        <v>#REF!</v>
      </c>
      <c r="DX167" t="e">
        <f>AND(#REF!,"AAAAAH//6X8=")</f>
        <v>#REF!</v>
      </c>
      <c r="DY167" t="e">
        <f>AND(#REF!,"AAAAAH//6YA=")</f>
        <v>#REF!</v>
      </c>
      <c r="DZ167" t="e">
        <f>AND(#REF!,"AAAAAH//6YE=")</f>
        <v>#REF!</v>
      </c>
      <c r="EA167" t="e">
        <f>AND(#REF!,"AAAAAH//6YI=")</f>
        <v>#REF!</v>
      </c>
      <c r="EB167" t="e">
        <f>AND(#REF!,"AAAAAH//6YM=")</f>
        <v>#REF!</v>
      </c>
      <c r="EC167" t="e">
        <f>AND(#REF!,"AAAAAH//6YQ=")</f>
        <v>#REF!</v>
      </c>
      <c r="ED167" t="e">
        <f>AND(#REF!,"AAAAAH//6YU=")</f>
        <v>#REF!</v>
      </c>
      <c r="EE167" t="e">
        <f>AND(#REF!,"AAAAAH//6YY=")</f>
        <v>#REF!</v>
      </c>
      <c r="EF167" t="e">
        <f>AND(#REF!,"AAAAAH//6Yc=")</f>
        <v>#REF!</v>
      </c>
      <c r="EG167" t="e">
        <f>AND(#REF!,"AAAAAH//6Yg=")</f>
        <v>#REF!</v>
      </c>
      <c r="EH167" t="e">
        <f>AND(#REF!,"AAAAAH//6Yk=")</f>
        <v>#REF!</v>
      </c>
      <c r="EI167" t="e">
        <f>AND(#REF!,"AAAAAH//6Yo=")</f>
        <v>#REF!</v>
      </c>
      <c r="EJ167" t="e">
        <f>AND(#REF!,"AAAAAH//6Ys=")</f>
        <v>#REF!</v>
      </c>
      <c r="EK167" t="e">
        <f>AND(#REF!,"AAAAAH//6Yw=")</f>
        <v>#REF!</v>
      </c>
      <c r="EL167" t="e">
        <f>AND(#REF!,"AAAAAH//6Y0=")</f>
        <v>#REF!</v>
      </c>
      <c r="EM167" t="e">
        <f>IF(#REF!,"AAAAAH//6Y4=",0)</f>
        <v>#REF!</v>
      </c>
      <c r="EN167" t="e">
        <f>AND(#REF!,"AAAAAH//6Y8=")</f>
        <v>#REF!</v>
      </c>
      <c r="EO167" t="e">
        <f>AND(#REF!,"AAAAAH//6ZA=")</f>
        <v>#REF!</v>
      </c>
      <c r="EP167" t="e">
        <f>AND(#REF!,"AAAAAH//6ZE=")</f>
        <v>#REF!</v>
      </c>
      <c r="EQ167" t="e">
        <f>AND(#REF!,"AAAAAH//6ZI=")</f>
        <v>#REF!</v>
      </c>
      <c r="ER167" t="e">
        <f>AND(#REF!,"AAAAAH//6ZM=")</f>
        <v>#REF!</v>
      </c>
      <c r="ES167" t="e">
        <f>AND(#REF!,"AAAAAH//6ZQ=")</f>
        <v>#REF!</v>
      </c>
      <c r="ET167" t="e">
        <f>AND(#REF!,"AAAAAH//6ZU=")</f>
        <v>#REF!</v>
      </c>
      <c r="EU167" t="e">
        <f>AND(#REF!,"AAAAAH//6ZY=")</f>
        <v>#REF!</v>
      </c>
      <c r="EV167" t="e">
        <f>AND(#REF!,"AAAAAH//6Zc=")</f>
        <v>#REF!</v>
      </c>
      <c r="EW167" t="e">
        <f>AND(#REF!,"AAAAAH//6Zg=")</f>
        <v>#REF!</v>
      </c>
      <c r="EX167" t="e">
        <f>AND(#REF!,"AAAAAH//6Zk=")</f>
        <v>#REF!</v>
      </c>
      <c r="EY167" t="e">
        <f>AND(#REF!,"AAAAAH//6Zo=")</f>
        <v>#REF!</v>
      </c>
      <c r="EZ167" t="e">
        <f>AND(#REF!,"AAAAAH//6Zs=")</f>
        <v>#REF!</v>
      </c>
      <c r="FA167" t="e">
        <f>AND(#REF!,"AAAAAH//6Zw=")</f>
        <v>#REF!</v>
      </c>
      <c r="FB167" t="e">
        <f>AND(#REF!,"AAAAAH//6Z0=")</f>
        <v>#REF!</v>
      </c>
      <c r="FC167" t="e">
        <f>AND(#REF!,"AAAAAH//6Z4=")</f>
        <v>#REF!</v>
      </c>
      <c r="FD167" t="e">
        <f>AND(#REF!,"AAAAAH//6Z8=")</f>
        <v>#REF!</v>
      </c>
      <c r="FE167" t="e">
        <f>AND(#REF!,"AAAAAH//6aA=")</f>
        <v>#REF!</v>
      </c>
      <c r="FF167" t="e">
        <f>AND(#REF!,"AAAAAH//6aE=")</f>
        <v>#REF!</v>
      </c>
      <c r="FG167" t="e">
        <f>AND(#REF!,"AAAAAH//6aI=")</f>
        <v>#REF!</v>
      </c>
      <c r="FH167" t="e">
        <f>AND(#REF!,"AAAAAH//6aM=")</f>
        <v>#REF!</v>
      </c>
      <c r="FI167" t="e">
        <f>AND(#REF!,"AAAAAH//6aQ=")</f>
        <v>#REF!</v>
      </c>
      <c r="FJ167" t="e">
        <f>IF(#REF!,"AAAAAH//6aU=",0)</f>
        <v>#REF!</v>
      </c>
      <c r="FK167" t="e">
        <f>AND(#REF!,"AAAAAH//6aY=")</f>
        <v>#REF!</v>
      </c>
      <c r="FL167" t="e">
        <f>AND(#REF!,"AAAAAH//6ac=")</f>
        <v>#REF!</v>
      </c>
      <c r="FM167" t="e">
        <f>AND(#REF!,"AAAAAH//6ag=")</f>
        <v>#REF!</v>
      </c>
      <c r="FN167" t="e">
        <f>AND(#REF!,"AAAAAH//6ak=")</f>
        <v>#REF!</v>
      </c>
      <c r="FO167" t="e">
        <f>AND(#REF!,"AAAAAH//6ao=")</f>
        <v>#REF!</v>
      </c>
      <c r="FP167" t="e">
        <f>AND(#REF!,"AAAAAH//6as=")</f>
        <v>#REF!</v>
      </c>
      <c r="FQ167" t="e">
        <f>AND(#REF!,"AAAAAH//6aw=")</f>
        <v>#REF!</v>
      </c>
      <c r="FR167" t="e">
        <f>AND(#REF!,"AAAAAH//6a0=")</f>
        <v>#REF!</v>
      </c>
      <c r="FS167" t="e">
        <f>AND(#REF!,"AAAAAH//6a4=")</f>
        <v>#REF!</v>
      </c>
      <c r="FT167" t="e">
        <f>AND(#REF!,"AAAAAH//6a8=")</f>
        <v>#REF!</v>
      </c>
      <c r="FU167" t="e">
        <f>AND(#REF!,"AAAAAH//6bA=")</f>
        <v>#REF!</v>
      </c>
      <c r="FV167" t="e">
        <f>AND(#REF!,"AAAAAH//6bE=")</f>
        <v>#REF!</v>
      </c>
      <c r="FW167" t="e">
        <f>AND(#REF!,"AAAAAH//6bI=")</f>
        <v>#REF!</v>
      </c>
      <c r="FX167" t="e">
        <f>AND(#REF!,"AAAAAH//6bM=")</f>
        <v>#REF!</v>
      </c>
      <c r="FY167" t="e">
        <f>AND(#REF!,"AAAAAH//6bQ=")</f>
        <v>#REF!</v>
      </c>
      <c r="FZ167" t="e">
        <f>AND(#REF!,"AAAAAH//6bU=")</f>
        <v>#REF!</v>
      </c>
      <c r="GA167" t="e">
        <f>AND(#REF!,"AAAAAH//6bY=")</f>
        <v>#REF!</v>
      </c>
      <c r="GB167" t="e">
        <f>AND(#REF!,"AAAAAH//6bc=")</f>
        <v>#REF!</v>
      </c>
      <c r="GC167" t="e">
        <f>AND(#REF!,"AAAAAH//6bg=")</f>
        <v>#REF!</v>
      </c>
      <c r="GD167" t="e">
        <f>AND(#REF!,"AAAAAH//6bk=")</f>
        <v>#REF!</v>
      </c>
      <c r="GE167" t="e">
        <f>AND(#REF!,"AAAAAH//6bo=")</f>
        <v>#REF!</v>
      </c>
      <c r="GF167" t="e">
        <f>AND(#REF!,"AAAAAH//6bs=")</f>
        <v>#REF!</v>
      </c>
      <c r="GG167" t="e">
        <f>IF(#REF!,"AAAAAH//6bw=",0)</f>
        <v>#REF!</v>
      </c>
      <c r="GH167" t="e">
        <f>AND(#REF!,"AAAAAH//6b0=")</f>
        <v>#REF!</v>
      </c>
      <c r="GI167" t="e">
        <f>AND(#REF!,"AAAAAH//6b4=")</f>
        <v>#REF!</v>
      </c>
      <c r="GJ167" t="e">
        <f>AND(#REF!,"AAAAAH//6b8=")</f>
        <v>#REF!</v>
      </c>
      <c r="GK167" t="e">
        <f>AND(#REF!,"AAAAAH//6cA=")</f>
        <v>#REF!</v>
      </c>
      <c r="GL167" t="e">
        <f>AND(#REF!,"AAAAAH//6cE=")</f>
        <v>#REF!</v>
      </c>
      <c r="GM167" t="e">
        <f>AND(#REF!,"AAAAAH//6cI=")</f>
        <v>#REF!</v>
      </c>
      <c r="GN167" t="e">
        <f>AND(#REF!,"AAAAAH//6cM=")</f>
        <v>#REF!</v>
      </c>
      <c r="GO167" t="e">
        <f>AND(#REF!,"AAAAAH//6cQ=")</f>
        <v>#REF!</v>
      </c>
      <c r="GP167" t="e">
        <f>AND(#REF!,"AAAAAH//6cU=")</f>
        <v>#REF!</v>
      </c>
      <c r="GQ167" t="e">
        <f>AND(#REF!,"AAAAAH//6cY=")</f>
        <v>#REF!</v>
      </c>
      <c r="GR167" t="e">
        <f>AND(#REF!,"AAAAAH//6cc=")</f>
        <v>#REF!</v>
      </c>
      <c r="GS167" t="e">
        <f>AND(#REF!,"AAAAAH//6cg=")</f>
        <v>#REF!</v>
      </c>
      <c r="GT167" t="e">
        <f>AND(#REF!,"AAAAAH//6ck=")</f>
        <v>#REF!</v>
      </c>
      <c r="GU167" t="e">
        <f>AND(#REF!,"AAAAAH//6co=")</f>
        <v>#REF!</v>
      </c>
      <c r="GV167" t="e">
        <f>AND(#REF!,"AAAAAH//6cs=")</f>
        <v>#REF!</v>
      </c>
      <c r="GW167" t="e">
        <f>AND(#REF!,"AAAAAH//6cw=")</f>
        <v>#REF!</v>
      </c>
      <c r="GX167" t="e">
        <f>AND(#REF!,"AAAAAH//6c0=")</f>
        <v>#REF!</v>
      </c>
      <c r="GY167" t="e">
        <f>AND(#REF!,"AAAAAH//6c4=")</f>
        <v>#REF!</v>
      </c>
      <c r="GZ167" t="e">
        <f>AND(#REF!,"AAAAAH//6c8=")</f>
        <v>#REF!</v>
      </c>
      <c r="HA167" t="e">
        <f>AND(#REF!,"AAAAAH//6dA=")</f>
        <v>#REF!</v>
      </c>
      <c r="HB167" t="e">
        <f>AND(#REF!,"AAAAAH//6dE=")</f>
        <v>#REF!</v>
      </c>
      <c r="HC167" t="e">
        <f>AND(#REF!,"AAAAAH//6dI=")</f>
        <v>#REF!</v>
      </c>
      <c r="HD167" t="e">
        <f>IF(#REF!,"AAAAAH//6dM=",0)</f>
        <v>#REF!</v>
      </c>
      <c r="HE167" t="e">
        <f>AND(#REF!,"AAAAAH//6dQ=")</f>
        <v>#REF!</v>
      </c>
      <c r="HF167" t="e">
        <f>AND(#REF!,"AAAAAH//6dU=")</f>
        <v>#REF!</v>
      </c>
      <c r="HG167" t="e">
        <f>AND(#REF!,"AAAAAH//6dY=")</f>
        <v>#REF!</v>
      </c>
      <c r="HH167" t="e">
        <f>AND(#REF!,"AAAAAH//6dc=")</f>
        <v>#REF!</v>
      </c>
      <c r="HI167" t="e">
        <f>AND(#REF!,"AAAAAH//6dg=")</f>
        <v>#REF!</v>
      </c>
      <c r="HJ167" t="e">
        <f>AND(#REF!,"AAAAAH//6dk=")</f>
        <v>#REF!</v>
      </c>
      <c r="HK167" t="e">
        <f>AND(#REF!,"AAAAAH//6do=")</f>
        <v>#REF!</v>
      </c>
      <c r="HL167" t="e">
        <f>AND(#REF!,"AAAAAH//6ds=")</f>
        <v>#REF!</v>
      </c>
      <c r="HM167" t="e">
        <f>AND(#REF!,"AAAAAH//6dw=")</f>
        <v>#REF!</v>
      </c>
      <c r="HN167" t="e">
        <f>AND(#REF!,"AAAAAH//6d0=")</f>
        <v>#REF!</v>
      </c>
      <c r="HO167" t="e">
        <f>AND(#REF!,"AAAAAH//6d4=")</f>
        <v>#REF!</v>
      </c>
      <c r="HP167" t="e">
        <f>AND(#REF!,"AAAAAH//6d8=")</f>
        <v>#REF!</v>
      </c>
      <c r="HQ167" t="e">
        <f>AND(#REF!,"AAAAAH//6eA=")</f>
        <v>#REF!</v>
      </c>
      <c r="HR167" t="e">
        <f>AND(#REF!,"AAAAAH//6eE=")</f>
        <v>#REF!</v>
      </c>
      <c r="HS167" t="e">
        <f>AND(#REF!,"AAAAAH//6eI=")</f>
        <v>#REF!</v>
      </c>
      <c r="HT167" t="e">
        <f>AND(#REF!,"AAAAAH//6eM=")</f>
        <v>#REF!</v>
      </c>
      <c r="HU167" t="e">
        <f>AND(#REF!,"AAAAAH//6eQ=")</f>
        <v>#REF!</v>
      </c>
      <c r="HV167" t="e">
        <f>AND(#REF!,"AAAAAH//6eU=")</f>
        <v>#REF!</v>
      </c>
      <c r="HW167" t="e">
        <f>AND(#REF!,"AAAAAH//6eY=")</f>
        <v>#REF!</v>
      </c>
      <c r="HX167" t="e">
        <f>AND(#REF!,"AAAAAH//6ec=")</f>
        <v>#REF!</v>
      </c>
      <c r="HY167" t="e">
        <f>AND(#REF!,"AAAAAH//6eg=")</f>
        <v>#REF!</v>
      </c>
      <c r="HZ167" t="e">
        <f>AND(#REF!,"AAAAAH//6ek=")</f>
        <v>#REF!</v>
      </c>
      <c r="IA167" t="e">
        <f>IF(#REF!,"AAAAAH//6eo=",0)</f>
        <v>#REF!</v>
      </c>
      <c r="IB167" t="e">
        <f>AND(#REF!,"AAAAAH//6es=")</f>
        <v>#REF!</v>
      </c>
      <c r="IC167" t="e">
        <f>AND(#REF!,"AAAAAH//6ew=")</f>
        <v>#REF!</v>
      </c>
      <c r="ID167" t="e">
        <f>AND(#REF!,"AAAAAH//6e0=")</f>
        <v>#REF!</v>
      </c>
      <c r="IE167" t="e">
        <f>AND(#REF!,"AAAAAH//6e4=")</f>
        <v>#REF!</v>
      </c>
      <c r="IF167" t="e">
        <f>AND(#REF!,"AAAAAH//6e8=")</f>
        <v>#REF!</v>
      </c>
      <c r="IG167" t="e">
        <f>AND(#REF!,"AAAAAH//6fA=")</f>
        <v>#REF!</v>
      </c>
      <c r="IH167" t="e">
        <f>AND(#REF!,"AAAAAH//6fE=")</f>
        <v>#REF!</v>
      </c>
      <c r="II167" t="e">
        <f>AND(#REF!,"AAAAAH//6fI=")</f>
        <v>#REF!</v>
      </c>
      <c r="IJ167" t="e">
        <f>AND(#REF!,"AAAAAH//6fM=")</f>
        <v>#REF!</v>
      </c>
      <c r="IK167" t="e">
        <f>AND(#REF!,"AAAAAH//6fQ=")</f>
        <v>#REF!</v>
      </c>
      <c r="IL167" t="e">
        <f>AND(#REF!,"AAAAAH//6fU=")</f>
        <v>#REF!</v>
      </c>
      <c r="IM167" t="e">
        <f>AND(#REF!,"AAAAAH//6fY=")</f>
        <v>#REF!</v>
      </c>
      <c r="IN167" t="e">
        <f>AND(#REF!,"AAAAAH//6fc=")</f>
        <v>#REF!</v>
      </c>
      <c r="IO167" t="e">
        <f>AND(#REF!,"AAAAAH//6fg=")</f>
        <v>#REF!</v>
      </c>
      <c r="IP167" t="e">
        <f>AND(#REF!,"AAAAAH//6fk=")</f>
        <v>#REF!</v>
      </c>
      <c r="IQ167" t="e">
        <f>AND(#REF!,"AAAAAH//6fo=")</f>
        <v>#REF!</v>
      </c>
      <c r="IR167" t="e">
        <f>AND(#REF!,"AAAAAH//6fs=")</f>
        <v>#REF!</v>
      </c>
      <c r="IS167" t="e">
        <f>AND(#REF!,"AAAAAH//6fw=")</f>
        <v>#REF!</v>
      </c>
      <c r="IT167" t="e">
        <f>AND(#REF!,"AAAAAH//6f0=")</f>
        <v>#REF!</v>
      </c>
      <c r="IU167" t="e">
        <f>AND(#REF!,"AAAAAH//6f4=")</f>
        <v>#REF!</v>
      </c>
      <c r="IV167" t="e">
        <f>AND(#REF!,"AAAAAH//6f8=")</f>
        <v>#REF!</v>
      </c>
    </row>
    <row r="168" spans="1:256" x14ac:dyDescent="0.2">
      <c r="A168" t="e">
        <f>AND(#REF!,"AAAAAGP7dQA=")</f>
        <v>#REF!</v>
      </c>
      <c r="B168" t="e">
        <f>IF(#REF!,"AAAAAGP7dQE=",0)</f>
        <v>#REF!</v>
      </c>
      <c r="C168" t="e">
        <f>AND(#REF!,"AAAAAGP7dQI=")</f>
        <v>#REF!</v>
      </c>
      <c r="D168" t="e">
        <f>AND(#REF!,"AAAAAGP7dQM=")</f>
        <v>#REF!</v>
      </c>
      <c r="E168" t="e">
        <f>AND(#REF!,"AAAAAGP7dQQ=")</f>
        <v>#REF!</v>
      </c>
      <c r="F168" t="e">
        <f>AND(#REF!,"AAAAAGP7dQU=")</f>
        <v>#REF!</v>
      </c>
      <c r="G168" t="e">
        <f>AND(#REF!,"AAAAAGP7dQY=")</f>
        <v>#REF!</v>
      </c>
      <c r="H168" t="e">
        <f>AND(#REF!,"AAAAAGP7dQc=")</f>
        <v>#REF!</v>
      </c>
      <c r="I168" t="e">
        <f>AND(#REF!,"AAAAAGP7dQg=")</f>
        <v>#REF!</v>
      </c>
      <c r="J168" t="e">
        <f>AND(#REF!,"AAAAAGP7dQk=")</f>
        <v>#REF!</v>
      </c>
      <c r="K168" t="e">
        <f>AND(#REF!,"AAAAAGP7dQo=")</f>
        <v>#REF!</v>
      </c>
      <c r="L168" t="e">
        <f>AND(#REF!,"AAAAAGP7dQs=")</f>
        <v>#REF!</v>
      </c>
      <c r="M168" t="e">
        <f>AND(#REF!,"AAAAAGP7dQw=")</f>
        <v>#REF!</v>
      </c>
      <c r="N168" t="e">
        <f>AND(#REF!,"AAAAAGP7dQ0=")</f>
        <v>#REF!</v>
      </c>
      <c r="O168" t="e">
        <f>AND(#REF!,"AAAAAGP7dQ4=")</f>
        <v>#REF!</v>
      </c>
      <c r="P168" t="e">
        <f>AND(#REF!,"AAAAAGP7dQ8=")</f>
        <v>#REF!</v>
      </c>
      <c r="Q168" t="e">
        <f>AND(#REF!,"AAAAAGP7dRA=")</f>
        <v>#REF!</v>
      </c>
      <c r="R168" t="e">
        <f>AND(#REF!,"AAAAAGP7dRE=")</f>
        <v>#REF!</v>
      </c>
      <c r="S168" t="e">
        <f>AND(#REF!,"AAAAAGP7dRI=")</f>
        <v>#REF!</v>
      </c>
      <c r="T168" t="e">
        <f>AND(#REF!,"AAAAAGP7dRM=")</f>
        <v>#REF!</v>
      </c>
      <c r="U168" t="e">
        <f>AND(#REF!,"AAAAAGP7dRQ=")</f>
        <v>#REF!</v>
      </c>
      <c r="V168" t="e">
        <f>AND(#REF!,"AAAAAGP7dRU=")</f>
        <v>#REF!</v>
      </c>
      <c r="W168" t="e">
        <f>AND(#REF!,"AAAAAGP7dRY=")</f>
        <v>#REF!</v>
      </c>
      <c r="X168" t="e">
        <f>AND(#REF!,"AAAAAGP7dRc=")</f>
        <v>#REF!</v>
      </c>
      <c r="Y168" t="e">
        <f>IF(#REF!,"AAAAAGP7dRg=",0)</f>
        <v>#REF!</v>
      </c>
      <c r="Z168" t="e">
        <f>AND(#REF!,"AAAAAGP7dRk=")</f>
        <v>#REF!</v>
      </c>
      <c r="AA168" t="e">
        <f>AND(#REF!,"AAAAAGP7dRo=")</f>
        <v>#REF!</v>
      </c>
      <c r="AB168" t="e">
        <f>AND(#REF!,"AAAAAGP7dRs=")</f>
        <v>#REF!</v>
      </c>
      <c r="AC168" t="e">
        <f>AND(#REF!,"AAAAAGP7dRw=")</f>
        <v>#REF!</v>
      </c>
      <c r="AD168" t="e">
        <f>AND(#REF!,"AAAAAGP7dR0=")</f>
        <v>#REF!</v>
      </c>
      <c r="AE168" t="e">
        <f>AND(#REF!,"AAAAAGP7dR4=")</f>
        <v>#REF!</v>
      </c>
      <c r="AF168" t="e">
        <f>AND(#REF!,"AAAAAGP7dR8=")</f>
        <v>#REF!</v>
      </c>
      <c r="AG168" t="e">
        <f>AND(#REF!,"AAAAAGP7dSA=")</f>
        <v>#REF!</v>
      </c>
      <c r="AH168" t="e">
        <f>AND(#REF!,"AAAAAGP7dSE=")</f>
        <v>#REF!</v>
      </c>
      <c r="AI168" t="e">
        <f>AND(#REF!,"AAAAAGP7dSI=")</f>
        <v>#REF!</v>
      </c>
      <c r="AJ168" t="e">
        <f>AND(#REF!,"AAAAAGP7dSM=")</f>
        <v>#REF!</v>
      </c>
      <c r="AK168" t="e">
        <f>AND(#REF!,"AAAAAGP7dSQ=")</f>
        <v>#REF!</v>
      </c>
      <c r="AL168" t="e">
        <f>AND(#REF!,"AAAAAGP7dSU=")</f>
        <v>#REF!</v>
      </c>
      <c r="AM168" t="e">
        <f>AND(#REF!,"AAAAAGP7dSY=")</f>
        <v>#REF!</v>
      </c>
      <c r="AN168" t="e">
        <f>AND(#REF!,"AAAAAGP7dSc=")</f>
        <v>#REF!</v>
      </c>
      <c r="AO168" t="e">
        <f>AND(#REF!,"AAAAAGP7dSg=")</f>
        <v>#REF!</v>
      </c>
      <c r="AP168" t="e">
        <f>AND(#REF!,"AAAAAGP7dSk=")</f>
        <v>#REF!</v>
      </c>
      <c r="AQ168" t="e">
        <f>AND(#REF!,"AAAAAGP7dSo=")</f>
        <v>#REF!</v>
      </c>
      <c r="AR168" t="e">
        <f>AND(#REF!,"AAAAAGP7dSs=")</f>
        <v>#REF!</v>
      </c>
      <c r="AS168" t="e">
        <f>AND(#REF!,"AAAAAGP7dSw=")</f>
        <v>#REF!</v>
      </c>
      <c r="AT168" t="e">
        <f>AND(#REF!,"AAAAAGP7dS0=")</f>
        <v>#REF!</v>
      </c>
      <c r="AU168" t="e">
        <f>AND(#REF!,"AAAAAGP7dS4=")</f>
        <v>#REF!</v>
      </c>
      <c r="AV168" t="e">
        <f>IF(#REF!,"AAAAAGP7dS8=",0)</f>
        <v>#REF!</v>
      </c>
      <c r="AW168" t="e">
        <f>AND(#REF!,"AAAAAGP7dTA=")</f>
        <v>#REF!</v>
      </c>
      <c r="AX168" t="e">
        <f>AND(#REF!,"AAAAAGP7dTE=")</f>
        <v>#REF!</v>
      </c>
      <c r="AY168" t="e">
        <f>AND(#REF!,"AAAAAGP7dTI=")</f>
        <v>#REF!</v>
      </c>
      <c r="AZ168" t="e">
        <f>AND(#REF!,"AAAAAGP7dTM=")</f>
        <v>#REF!</v>
      </c>
      <c r="BA168" t="e">
        <f>AND(#REF!,"AAAAAGP7dTQ=")</f>
        <v>#REF!</v>
      </c>
      <c r="BB168" t="e">
        <f>AND(#REF!,"AAAAAGP7dTU=")</f>
        <v>#REF!</v>
      </c>
      <c r="BC168" t="e">
        <f>AND(#REF!,"AAAAAGP7dTY=")</f>
        <v>#REF!</v>
      </c>
      <c r="BD168" t="e">
        <f>AND(#REF!,"AAAAAGP7dTc=")</f>
        <v>#REF!</v>
      </c>
      <c r="BE168" t="e">
        <f>AND(#REF!,"AAAAAGP7dTg=")</f>
        <v>#REF!</v>
      </c>
      <c r="BF168" t="e">
        <f>AND(#REF!,"AAAAAGP7dTk=")</f>
        <v>#REF!</v>
      </c>
      <c r="BG168" t="e">
        <f>AND(#REF!,"AAAAAGP7dTo=")</f>
        <v>#REF!</v>
      </c>
      <c r="BH168" t="e">
        <f>AND(#REF!,"AAAAAGP7dTs=")</f>
        <v>#REF!</v>
      </c>
      <c r="BI168" t="e">
        <f>AND(#REF!,"AAAAAGP7dTw=")</f>
        <v>#REF!</v>
      </c>
      <c r="BJ168" t="e">
        <f>AND(#REF!,"AAAAAGP7dT0=")</f>
        <v>#REF!</v>
      </c>
      <c r="BK168" t="e">
        <f>AND(#REF!,"AAAAAGP7dT4=")</f>
        <v>#REF!</v>
      </c>
      <c r="BL168" t="e">
        <f>AND(#REF!,"AAAAAGP7dT8=")</f>
        <v>#REF!</v>
      </c>
      <c r="BM168" t="e">
        <f>AND(#REF!,"AAAAAGP7dUA=")</f>
        <v>#REF!</v>
      </c>
      <c r="BN168" t="e">
        <f>AND(#REF!,"AAAAAGP7dUE=")</f>
        <v>#REF!</v>
      </c>
      <c r="BO168" t="e">
        <f>AND(#REF!,"AAAAAGP7dUI=")</f>
        <v>#REF!</v>
      </c>
      <c r="BP168" t="e">
        <f>AND(#REF!,"AAAAAGP7dUM=")</f>
        <v>#REF!</v>
      </c>
      <c r="BQ168" t="e">
        <f>AND(#REF!,"AAAAAGP7dUQ=")</f>
        <v>#REF!</v>
      </c>
      <c r="BR168" t="e">
        <f>AND(#REF!,"AAAAAGP7dUU=")</f>
        <v>#REF!</v>
      </c>
      <c r="BS168" t="e">
        <f>IF(#REF!,"AAAAAGP7dUY=",0)</f>
        <v>#REF!</v>
      </c>
      <c r="BT168" t="e">
        <f>AND(#REF!,"AAAAAGP7dUc=")</f>
        <v>#REF!</v>
      </c>
      <c r="BU168" t="e">
        <f>AND(#REF!,"AAAAAGP7dUg=")</f>
        <v>#REF!</v>
      </c>
      <c r="BV168" t="e">
        <f>AND(#REF!,"AAAAAGP7dUk=")</f>
        <v>#REF!</v>
      </c>
      <c r="BW168" t="e">
        <f>AND(#REF!,"AAAAAGP7dUo=")</f>
        <v>#REF!</v>
      </c>
      <c r="BX168" t="e">
        <f>AND(#REF!,"AAAAAGP7dUs=")</f>
        <v>#REF!</v>
      </c>
      <c r="BY168" t="e">
        <f>AND(#REF!,"AAAAAGP7dUw=")</f>
        <v>#REF!</v>
      </c>
      <c r="BZ168" t="e">
        <f>AND(#REF!,"AAAAAGP7dU0=")</f>
        <v>#REF!</v>
      </c>
      <c r="CA168" t="e">
        <f>AND(#REF!,"AAAAAGP7dU4=")</f>
        <v>#REF!</v>
      </c>
      <c r="CB168" t="e">
        <f>AND(#REF!,"AAAAAGP7dU8=")</f>
        <v>#REF!</v>
      </c>
      <c r="CC168" t="e">
        <f>AND(#REF!,"AAAAAGP7dVA=")</f>
        <v>#REF!</v>
      </c>
      <c r="CD168" t="e">
        <f>AND(#REF!,"AAAAAGP7dVE=")</f>
        <v>#REF!</v>
      </c>
      <c r="CE168" t="e">
        <f>AND(#REF!,"AAAAAGP7dVI=")</f>
        <v>#REF!</v>
      </c>
      <c r="CF168" t="e">
        <f>AND(#REF!,"AAAAAGP7dVM=")</f>
        <v>#REF!</v>
      </c>
      <c r="CG168" t="e">
        <f>AND(#REF!,"AAAAAGP7dVQ=")</f>
        <v>#REF!</v>
      </c>
      <c r="CH168" t="e">
        <f>AND(#REF!,"AAAAAGP7dVU=")</f>
        <v>#REF!</v>
      </c>
      <c r="CI168" t="e">
        <f>AND(#REF!,"AAAAAGP7dVY=")</f>
        <v>#REF!</v>
      </c>
      <c r="CJ168" t="e">
        <f>AND(#REF!,"AAAAAGP7dVc=")</f>
        <v>#REF!</v>
      </c>
      <c r="CK168" t="e">
        <f>AND(#REF!,"AAAAAGP7dVg=")</f>
        <v>#REF!</v>
      </c>
      <c r="CL168" t="e">
        <f>AND(#REF!,"AAAAAGP7dVk=")</f>
        <v>#REF!</v>
      </c>
      <c r="CM168" t="e">
        <f>AND(#REF!,"AAAAAGP7dVo=")</f>
        <v>#REF!</v>
      </c>
      <c r="CN168" t="e">
        <f>AND(#REF!,"AAAAAGP7dVs=")</f>
        <v>#REF!</v>
      </c>
      <c r="CO168" t="e">
        <f>AND(#REF!,"AAAAAGP7dVw=")</f>
        <v>#REF!</v>
      </c>
      <c r="CP168" t="e">
        <f>IF(#REF!,"AAAAAGP7dV0=",0)</f>
        <v>#REF!</v>
      </c>
      <c r="CQ168" t="e">
        <f>AND(#REF!,"AAAAAGP7dV4=")</f>
        <v>#REF!</v>
      </c>
      <c r="CR168" t="e">
        <f>AND(#REF!,"AAAAAGP7dV8=")</f>
        <v>#REF!</v>
      </c>
      <c r="CS168" t="e">
        <f>AND(#REF!,"AAAAAGP7dWA=")</f>
        <v>#REF!</v>
      </c>
      <c r="CT168" t="e">
        <f>AND(#REF!,"AAAAAGP7dWE=")</f>
        <v>#REF!</v>
      </c>
      <c r="CU168" t="e">
        <f>AND(#REF!,"AAAAAGP7dWI=")</f>
        <v>#REF!</v>
      </c>
      <c r="CV168" t="e">
        <f>AND(#REF!,"AAAAAGP7dWM=")</f>
        <v>#REF!</v>
      </c>
      <c r="CW168" t="e">
        <f>AND(#REF!,"AAAAAGP7dWQ=")</f>
        <v>#REF!</v>
      </c>
      <c r="CX168" t="e">
        <f>AND(#REF!,"AAAAAGP7dWU=")</f>
        <v>#REF!</v>
      </c>
      <c r="CY168" t="e">
        <f>AND(#REF!,"AAAAAGP7dWY=")</f>
        <v>#REF!</v>
      </c>
      <c r="CZ168" t="e">
        <f>AND(#REF!,"AAAAAGP7dWc=")</f>
        <v>#REF!</v>
      </c>
      <c r="DA168" t="e">
        <f>AND(#REF!,"AAAAAGP7dWg=")</f>
        <v>#REF!</v>
      </c>
      <c r="DB168" t="e">
        <f>AND(#REF!,"AAAAAGP7dWk=")</f>
        <v>#REF!</v>
      </c>
      <c r="DC168" t="e">
        <f>AND(#REF!,"AAAAAGP7dWo=")</f>
        <v>#REF!</v>
      </c>
      <c r="DD168" t="e">
        <f>AND(#REF!,"AAAAAGP7dWs=")</f>
        <v>#REF!</v>
      </c>
      <c r="DE168" t="e">
        <f>AND(#REF!,"AAAAAGP7dWw=")</f>
        <v>#REF!</v>
      </c>
      <c r="DF168" t="e">
        <f>AND(#REF!,"AAAAAGP7dW0=")</f>
        <v>#REF!</v>
      </c>
      <c r="DG168" t="e">
        <f>AND(#REF!,"AAAAAGP7dW4=")</f>
        <v>#REF!</v>
      </c>
      <c r="DH168" t="e">
        <f>AND(#REF!,"AAAAAGP7dW8=")</f>
        <v>#REF!</v>
      </c>
      <c r="DI168" t="e">
        <f>AND(#REF!,"AAAAAGP7dXA=")</f>
        <v>#REF!</v>
      </c>
      <c r="DJ168" t="e">
        <f>AND(#REF!,"AAAAAGP7dXE=")</f>
        <v>#REF!</v>
      </c>
      <c r="DK168" t="e">
        <f>AND(#REF!,"AAAAAGP7dXI=")</f>
        <v>#REF!</v>
      </c>
      <c r="DL168" t="e">
        <f>AND(#REF!,"AAAAAGP7dXM=")</f>
        <v>#REF!</v>
      </c>
      <c r="DM168" t="e">
        <f>IF(#REF!,"AAAAAGP7dXQ=",0)</f>
        <v>#REF!</v>
      </c>
      <c r="DN168" t="e">
        <f>AND(#REF!,"AAAAAGP7dXU=")</f>
        <v>#REF!</v>
      </c>
      <c r="DO168" t="e">
        <f>AND(#REF!,"AAAAAGP7dXY=")</f>
        <v>#REF!</v>
      </c>
      <c r="DP168" t="e">
        <f>AND(#REF!,"AAAAAGP7dXc=")</f>
        <v>#REF!</v>
      </c>
      <c r="DQ168" t="e">
        <f>AND(#REF!,"AAAAAGP7dXg=")</f>
        <v>#REF!</v>
      </c>
      <c r="DR168" t="e">
        <f>AND(#REF!,"AAAAAGP7dXk=")</f>
        <v>#REF!</v>
      </c>
      <c r="DS168" t="e">
        <f>AND(#REF!,"AAAAAGP7dXo=")</f>
        <v>#REF!</v>
      </c>
      <c r="DT168" t="e">
        <f>AND(#REF!,"AAAAAGP7dXs=")</f>
        <v>#REF!</v>
      </c>
      <c r="DU168" t="e">
        <f>AND(#REF!,"AAAAAGP7dXw=")</f>
        <v>#REF!</v>
      </c>
      <c r="DV168" t="e">
        <f>AND(#REF!,"AAAAAGP7dX0=")</f>
        <v>#REF!</v>
      </c>
      <c r="DW168" t="e">
        <f>AND(#REF!,"AAAAAGP7dX4=")</f>
        <v>#REF!</v>
      </c>
      <c r="DX168" t="e">
        <f>AND(#REF!,"AAAAAGP7dX8=")</f>
        <v>#REF!</v>
      </c>
      <c r="DY168" t="e">
        <f>AND(#REF!,"AAAAAGP7dYA=")</f>
        <v>#REF!</v>
      </c>
      <c r="DZ168" t="e">
        <f>AND(#REF!,"AAAAAGP7dYE=")</f>
        <v>#REF!</v>
      </c>
      <c r="EA168" t="e">
        <f>AND(#REF!,"AAAAAGP7dYI=")</f>
        <v>#REF!</v>
      </c>
      <c r="EB168" t="e">
        <f>AND(#REF!,"AAAAAGP7dYM=")</f>
        <v>#REF!</v>
      </c>
      <c r="EC168" t="e">
        <f>AND(#REF!,"AAAAAGP7dYQ=")</f>
        <v>#REF!</v>
      </c>
      <c r="ED168" t="e">
        <f>AND(#REF!,"AAAAAGP7dYU=")</f>
        <v>#REF!</v>
      </c>
      <c r="EE168" t="e">
        <f>AND(#REF!,"AAAAAGP7dYY=")</f>
        <v>#REF!</v>
      </c>
      <c r="EF168" t="e">
        <f>AND(#REF!,"AAAAAGP7dYc=")</f>
        <v>#REF!</v>
      </c>
      <c r="EG168" t="e">
        <f>AND(#REF!,"AAAAAGP7dYg=")</f>
        <v>#REF!</v>
      </c>
      <c r="EH168" t="e">
        <f>AND(#REF!,"AAAAAGP7dYk=")</f>
        <v>#REF!</v>
      </c>
      <c r="EI168" t="e">
        <f>AND(#REF!,"AAAAAGP7dYo=")</f>
        <v>#REF!</v>
      </c>
      <c r="EJ168" t="e">
        <f>IF(#REF!,"AAAAAGP7dYs=",0)</f>
        <v>#REF!</v>
      </c>
      <c r="EK168" t="e">
        <f>AND(#REF!,"AAAAAGP7dYw=")</f>
        <v>#REF!</v>
      </c>
      <c r="EL168" t="e">
        <f>AND(#REF!,"AAAAAGP7dY0=")</f>
        <v>#REF!</v>
      </c>
      <c r="EM168" t="e">
        <f>AND(#REF!,"AAAAAGP7dY4=")</f>
        <v>#REF!</v>
      </c>
      <c r="EN168" t="e">
        <f>AND(#REF!,"AAAAAGP7dY8=")</f>
        <v>#REF!</v>
      </c>
      <c r="EO168" t="e">
        <f>AND(#REF!,"AAAAAGP7dZA=")</f>
        <v>#REF!</v>
      </c>
      <c r="EP168" t="e">
        <f>AND(#REF!,"AAAAAGP7dZE=")</f>
        <v>#REF!</v>
      </c>
      <c r="EQ168" t="e">
        <f>AND(#REF!,"AAAAAGP7dZI=")</f>
        <v>#REF!</v>
      </c>
      <c r="ER168" t="e">
        <f>AND(#REF!,"AAAAAGP7dZM=")</f>
        <v>#REF!</v>
      </c>
      <c r="ES168" t="e">
        <f>AND(#REF!,"AAAAAGP7dZQ=")</f>
        <v>#REF!</v>
      </c>
      <c r="ET168" t="e">
        <f>AND(#REF!,"AAAAAGP7dZU=")</f>
        <v>#REF!</v>
      </c>
      <c r="EU168" t="e">
        <f>AND(#REF!,"AAAAAGP7dZY=")</f>
        <v>#REF!</v>
      </c>
      <c r="EV168" t="e">
        <f>AND(#REF!,"AAAAAGP7dZc=")</f>
        <v>#REF!</v>
      </c>
      <c r="EW168" t="e">
        <f>AND(#REF!,"AAAAAGP7dZg=")</f>
        <v>#REF!</v>
      </c>
      <c r="EX168" t="e">
        <f>AND(#REF!,"AAAAAGP7dZk=")</f>
        <v>#REF!</v>
      </c>
      <c r="EY168" t="e">
        <f>AND(#REF!,"AAAAAGP7dZo=")</f>
        <v>#REF!</v>
      </c>
      <c r="EZ168" t="e">
        <f>AND(#REF!,"AAAAAGP7dZs=")</f>
        <v>#REF!</v>
      </c>
      <c r="FA168" t="e">
        <f>AND(#REF!,"AAAAAGP7dZw=")</f>
        <v>#REF!</v>
      </c>
      <c r="FB168" t="e">
        <f>AND(#REF!,"AAAAAGP7dZ0=")</f>
        <v>#REF!</v>
      </c>
      <c r="FC168" t="e">
        <f>AND(#REF!,"AAAAAGP7dZ4=")</f>
        <v>#REF!</v>
      </c>
      <c r="FD168" t="e">
        <f>AND(#REF!,"AAAAAGP7dZ8=")</f>
        <v>#REF!</v>
      </c>
      <c r="FE168" t="e">
        <f>AND(#REF!,"AAAAAGP7daA=")</f>
        <v>#REF!</v>
      </c>
      <c r="FF168" t="e">
        <f>AND(#REF!,"AAAAAGP7daE=")</f>
        <v>#REF!</v>
      </c>
      <c r="FG168" t="e">
        <f>IF(#REF!,"AAAAAGP7daI=",0)</f>
        <v>#REF!</v>
      </c>
      <c r="FH168" t="e">
        <f>AND(#REF!,"AAAAAGP7daM=")</f>
        <v>#REF!</v>
      </c>
      <c r="FI168" t="e">
        <f>AND(#REF!,"AAAAAGP7daQ=")</f>
        <v>#REF!</v>
      </c>
      <c r="FJ168" t="e">
        <f>AND(#REF!,"AAAAAGP7daU=")</f>
        <v>#REF!</v>
      </c>
      <c r="FK168" t="e">
        <f>AND(#REF!,"AAAAAGP7daY=")</f>
        <v>#REF!</v>
      </c>
      <c r="FL168" t="e">
        <f>AND(#REF!,"AAAAAGP7dac=")</f>
        <v>#REF!</v>
      </c>
      <c r="FM168" t="e">
        <f>AND(#REF!,"AAAAAGP7dag=")</f>
        <v>#REF!</v>
      </c>
      <c r="FN168" t="e">
        <f>AND(#REF!,"AAAAAGP7dak=")</f>
        <v>#REF!</v>
      </c>
      <c r="FO168" t="e">
        <f>AND(#REF!,"AAAAAGP7dao=")</f>
        <v>#REF!</v>
      </c>
      <c r="FP168" t="e">
        <f>AND(#REF!,"AAAAAGP7das=")</f>
        <v>#REF!</v>
      </c>
      <c r="FQ168" t="e">
        <f>AND(#REF!,"AAAAAGP7daw=")</f>
        <v>#REF!</v>
      </c>
      <c r="FR168" t="e">
        <f>AND(#REF!,"AAAAAGP7da0=")</f>
        <v>#REF!</v>
      </c>
      <c r="FS168" t="e">
        <f>AND(#REF!,"AAAAAGP7da4=")</f>
        <v>#REF!</v>
      </c>
      <c r="FT168" t="e">
        <f>AND(#REF!,"AAAAAGP7da8=")</f>
        <v>#REF!</v>
      </c>
      <c r="FU168" t="e">
        <f>AND(#REF!,"AAAAAGP7dbA=")</f>
        <v>#REF!</v>
      </c>
      <c r="FV168" t="e">
        <f>AND(#REF!,"AAAAAGP7dbE=")</f>
        <v>#REF!</v>
      </c>
      <c r="FW168" t="e">
        <f>AND(#REF!,"AAAAAGP7dbI=")</f>
        <v>#REF!</v>
      </c>
      <c r="FX168" t="e">
        <f>AND(#REF!,"AAAAAGP7dbM=")</f>
        <v>#REF!</v>
      </c>
      <c r="FY168" t="e">
        <f>AND(#REF!,"AAAAAGP7dbQ=")</f>
        <v>#REF!</v>
      </c>
      <c r="FZ168" t="e">
        <f>AND(#REF!,"AAAAAGP7dbU=")</f>
        <v>#REF!</v>
      </c>
      <c r="GA168" t="e">
        <f>AND(#REF!,"AAAAAGP7dbY=")</f>
        <v>#REF!</v>
      </c>
      <c r="GB168" t="e">
        <f>AND(#REF!,"AAAAAGP7dbc=")</f>
        <v>#REF!</v>
      </c>
      <c r="GC168" t="e">
        <f>AND(#REF!,"AAAAAGP7dbg=")</f>
        <v>#REF!</v>
      </c>
      <c r="GD168" t="e">
        <f>IF(#REF!,"AAAAAGP7dbk=",0)</f>
        <v>#REF!</v>
      </c>
      <c r="GE168" t="e">
        <f>AND(#REF!,"AAAAAGP7dbo=")</f>
        <v>#REF!</v>
      </c>
      <c r="GF168" t="e">
        <f>AND(#REF!,"AAAAAGP7dbs=")</f>
        <v>#REF!</v>
      </c>
      <c r="GG168" t="e">
        <f>AND(#REF!,"AAAAAGP7dbw=")</f>
        <v>#REF!</v>
      </c>
      <c r="GH168" t="e">
        <f>AND(#REF!,"AAAAAGP7db0=")</f>
        <v>#REF!</v>
      </c>
      <c r="GI168" t="e">
        <f>AND(#REF!,"AAAAAGP7db4=")</f>
        <v>#REF!</v>
      </c>
      <c r="GJ168" t="e">
        <f>AND(#REF!,"AAAAAGP7db8=")</f>
        <v>#REF!</v>
      </c>
      <c r="GK168" t="e">
        <f>AND(#REF!,"AAAAAGP7dcA=")</f>
        <v>#REF!</v>
      </c>
      <c r="GL168" t="e">
        <f>AND(#REF!,"AAAAAGP7dcE=")</f>
        <v>#REF!</v>
      </c>
      <c r="GM168" t="e">
        <f>AND(#REF!,"AAAAAGP7dcI=")</f>
        <v>#REF!</v>
      </c>
      <c r="GN168" t="e">
        <f>AND(#REF!,"AAAAAGP7dcM=")</f>
        <v>#REF!</v>
      </c>
      <c r="GO168" t="e">
        <f>AND(#REF!,"AAAAAGP7dcQ=")</f>
        <v>#REF!</v>
      </c>
      <c r="GP168" t="e">
        <f>AND(#REF!,"AAAAAGP7dcU=")</f>
        <v>#REF!</v>
      </c>
      <c r="GQ168" t="e">
        <f>AND(#REF!,"AAAAAGP7dcY=")</f>
        <v>#REF!</v>
      </c>
      <c r="GR168" t="e">
        <f>AND(#REF!,"AAAAAGP7dcc=")</f>
        <v>#REF!</v>
      </c>
      <c r="GS168" t="e">
        <f>AND(#REF!,"AAAAAGP7dcg=")</f>
        <v>#REF!</v>
      </c>
      <c r="GT168" t="e">
        <f>AND(#REF!,"AAAAAGP7dck=")</f>
        <v>#REF!</v>
      </c>
      <c r="GU168" t="e">
        <f>AND(#REF!,"AAAAAGP7dco=")</f>
        <v>#REF!</v>
      </c>
      <c r="GV168" t="e">
        <f>AND(#REF!,"AAAAAGP7dcs=")</f>
        <v>#REF!</v>
      </c>
      <c r="GW168" t="e">
        <f>AND(#REF!,"AAAAAGP7dcw=")</f>
        <v>#REF!</v>
      </c>
      <c r="GX168" t="e">
        <f>AND(#REF!,"AAAAAGP7dc0=")</f>
        <v>#REF!</v>
      </c>
      <c r="GY168" t="e">
        <f>AND(#REF!,"AAAAAGP7dc4=")</f>
        <v>#REF!</v>
      </c>
      <c r="GZ168" t="e">
        <f>AND(#REF!,"AAAAAGP7dc8=")</f>
        <v>#REF!</v>
      </c>
      <c r="HA168" t="e">
        <f>IF(#REF!,"AAAAAGP7ddA=",0)</f>
        <v>#REF!</v>
      </c>
      <c r="HB168" t="e">
        <f>AND(#REF!,"AAAAAGP7ddE=")</f>
        <v>#REF!</v>
      </c>
      <c r="HC168" t="e">
        <f>AND(#REF!,"AAAAAGP7ddI=")</f>
        <v>#REF!</v>
      </c>
      <c r="HD168" t="e">
        <f>AND(#REF!,"AAAAAGP7ddM=")</f>
        <v>#REF!</v>
      </c>
      <c r="HE168" t="e">
        <f>AND(#REF!,"AAAAAGP7ddQ=")</f>
        <v>#REF!</v>
      </c>
      <c r="HF168" t="e">
        <f>AND(#REF!,"AAAAAGP7ddU=")</f>
        <v>#REF!</v>
      </c>
      <c r="HG168" t="e">
        <f>AND(#REF!,"AAAAAGP7ddY=")</f>
        <v>#REF!</v>
      </c>
      <c r="HH168" t="e">
        <f>AND(#REF!,"AAAAAGP7ddc=")</f>
        <v>#REF!</v>
      </c>
      <c r="HI168" t="e">
        <f>AND(#REF!,"AAAAAGP7ddg=")</f>
        <v>#REF!</v>
      </c>
      <c r="HJ168" t="e">
        <f>AND(#REF!,"AAAAAGP7ddk=")</f>
        <v>#REF!</v>
      </c>
      <c r="HK168" t="e">
        <f>AND(#REF!,"AAAAAGP7ddo=")</f>
        <v>#REF!</v>
      </c>
      <c r="HL168" t="e">
        <f>AND(#REF!,"AAAAAGP7dds=")</f>
        <v>#REF!</v>
      </c>
      <c r="HM168" t="e">
        <f>AND(#REF!,"AAAAAGP7ddw=")</f>
        <v>#REF!</v>
      </c>
      <c r="HN168" t="e">
        <f>AND(#REF!,"AAAAAGP7dd0=")</f>
        <v>#REF!</v>
      </c>
      <c r="HO168" t="e">
        <f>AND(#REF!,"AAAAAGP7dd4=")</f>
        <v>#REF!</v>
      </c>
      <c r="HP168" t="e">
        <f>AND(#REF!,"AAAAAGP7dd8=")</f>
        <v>#REF!</v>
      </c>
      <c r="HQ168" t="e">
        <f>AND(#REF!,"AAAAAGP7deA=")</f>
        <v>#REF!</v>
      </c>
      <c r="HR168" t="e">
        <f>AND(#REF!,"AAAAAGP7deE=")</f>
        <v>#REF!</v>
      </c>
      <c r="HS168" t="e">
        <f>AND(#REF!,"AAAAAGP7deI=")</f>
        <v>#REF!</v>
      </c>
      <c r="HT168" t="e">
        <f>AND(#REF!,"AAAAAGP7deM=")</f>
        <v>#REF!</v>
      </c>
      <c r="HU168" t="e">
        <f>AND(#REF!,"AAAAAGP7deQ=")</f>
        <v>#REF!</v>
      </c>
      <c r="HV168" t="e">
        <f>AND(#REF!,"AAAAAGP7deU=")</f>
        <v>#REF!</v>
      </c>
      <c r="HW168" t="e">
        <f>AND(#REF!,"AAAAAGP7deY=")</f>
        <v>#REF!</v>
      </c>
      <c r="HX168" t="e">
        <f>IF(#REF!,"AAAAAGP7dec=",0)</f>
        <v>#REF!</v>
      </c>
      <c r="HY168" t="e">
        <f>AND(#REF!,"AAAAAGP7deg=")</f>
        <v>#REF!</v>
      </c>
      <c r="HZ168" t="e">
        <f>AND(#REF!,"AAAAAGP7dek=")</f>
        <v>#REF!</v>
      </c>
      <c r="IA168" t="e">
        <f>AND(#REF!,"AAAAAGP7deo=")</f>
        <v>#REF!</v>
      </c>
      <c r="IB168" t="e">
        <f>AND(#REF!,"AAAAAGP7des=")</f>
        <v>#REF!</v>
      </c>
      <c r="IC168" t="e">
        <f>AND(#REF!,"AAAAAGP7dew=")</f>
        <v>#REF!</v>
      </c>
      <c r="ID168" t="e">
        <f>AND(#REF!,"AAAAAGP7de0=")</f>
        <v>#REF!</v>
      </c>
      <c r="IE168" t="e">
        <f>AND(#REF!,"AAAAAGP7de4=")</f>
        <v>#REF!</v>
      </c>
      <c r="IF168" t="e">
        <f>AND(#REF!,"AAAAAGP7de8=")</f>
        <v>#REF!</v>
      </c>
      <c r="IG168" t="e">
        <f>AND(#REF!,"AAAAAGP7dfA=")</f>
        <v>#REF!</v>
      </c>
      <c r="IH168" t="e">
        <f>AND(#REF!,"AAAAAGP7dfE=")</f>
        <v>#REF!</v>
      </c>
      <c r="II168" t="e">
        <f>AND(#REF!,"AAAAAGP7dfI=")</f>
        <v>#REF!</v>
      </c>
      <c r="IJ168" t="e">
        <f>AND(#REF!,"AAAAAGP7dfM=")</f>
        <v>#REF!</v>
      </c>
      <c r="IK168" t="e">
        <f>AND(#REF!,"AAAAAGP7dfQ=")</f>
        <v>#REF!</v>
      </c>
      <c r="IL168" t="e">
        <f>AND(#REF!,"AAAAAGP7dfU=")</f>
        <v>#REF!</v>
      </c>
      <c r="IM168" t="e">
        <f>AND(#REF!,"AAAAAGP7dfY=")</f>
        <v>#REF!</v>
      </c>
      <c r="IN168" t="e">
        <f>AND(#REF!,"AAAAAGP7dfc=")</f>
        <v>#REF!</v>
      </c>
      <c r="IO168" t="e">
        <f>AND(#REF!,"AAAAAGP7dfg=")</f>
        <v>#REF!</v>
      </c>
      <c r="IP168" t="e">
        <f>AND(#REF!,"AAAAAGP7dfk=")</f>
        <v>#REF!</v>
      </c>
      <c r="IQ168" t="e">
        <f>AND(#REF!,"AAAAAGP7dfo=")</f>
        <v>#REF!</v>
      </c>
      <c r="IR168" t="e">
        <f>AND(#REF!,"AAAAAGP7dfs=")</f>
        <v>#REF!</v>
      </c>
      <c r="IS168" t="e">
        <f>AND(#REF!,"AAAAAGP7dfw=")</f>
        <v>#REF!</v>
      </c>
      <c r="IT168" t="e">
        <f>AND(#REF!,"AAAAAGP7df0=")</f>
        <v>#REF!</v>
      </c>
      <c r="IU168" t="e">
        <f>IF(#REF!,"AAAAAGP7df4=",0)</f>
        <v>#REF!</v>
      </c>
      <c r="IV168" t="e">
        <f>AND(#REF!,"AAAAAGP7df8=")</f>
        <v>#REF!</v>
      </c>
    </row>
    <row r="169" spans="1:256" x14ac:dyDescent="0.2">
      <c r="A169" t="e">
        <f>AND(#REF!,"AAAAAH2X9wA=")</f>
        <v>#REF!</v>
      </c>
      <c r="B169" t="e">
        <f>AND(#REF!,"AAAAAH2X9wE=")</f>
        <v>#REF!</v>
      </c>
      <c r="C169" t="e">
        <f>AND(#REF!,"AAAAAH2X9wI=")</f>
        <v>#REF!</v>
      </c>
      <c r="D169" t="e">
        <f>AND(#REF!,"AAAAAH2X9wM=")</f>
        <v>#REF!</v>
      </c>
      <c r="E169" t="e">
        <f>AND(#REF!,"AAAAAH2X9wQ=")</f>
        <v>#REF!</v>
      </c>
      <c r="F169" t="e">
        <f>AND(#REF!,"AAAAAH2X9wU=")</f>
        <v>#REF!</v>
      </c>
      <c r="G169" t="e">
        <f>AND(#REF!,"AAAAAH2X9wY=")</f>
        <v>#REF!</v>
      </c>
      <c r="H169" t="e">
        <f>AND(#REF!,"AAAAAH2X9wc=")</f>
        <v>#REF!</v>
      </c>
      <c r="I169" t="e">
        <f>AND(#REF!,"AAAAAH2X9wg=")</f>
        <v>#REF!</v>
      </c>
      <c r="J169" t="e">
        <f>AND(#REF!,"AAAAAH2X9wk=")</f>
        <v>#REF!</v>
      </c>
      <c r="K169" t="e">
        <f>AND(#REF!,"AAAAAH2X9wo=")</f>
        <v>#REF!</v>
      </c>
      <c r="L169" t="e">
        <f>AND(#REF!,"AAAAAH2X9ws=")</f>
        <v>#REF!</v>
      </c>
      <c r="M169" t="e">
        <f>AND(#REF!,"AAAAAH2X9ww=")</f>
        <v>#REF!</v>
      </c>
      <c r="N169" t="e">
        <f>AND(#REF!,"AAAAAH2X9w0=")</f>
        <v>#REF!</v>
      </c>
      <c r="O169" t="e">
        <f>AND(#REF!,"AAAAAH2X9w4=")</f>
        <v>#REF!</v>
      </c>
      <c r="P169" t="e">
        <f>AND(#REF!,"AAAAAH2X9w8=")</f>
        <v>#REF!</v>
      </c>
      <c r="Q169" t="e">
        <f>AND(#REF!,"AAAAAH2X9xA=")</f>
        <v>#REF!</v>
      </c>
      <c r="R169" t="e">
        <f>AND(#REF!,"AAAAAH2X9xE=")</f>
        <v>#REF!</v>
      </c>
      <c r="S169" t="e">
        <f>AND(#REF!,"AAAAAH2X9xI=")</f>
        <v>#REF!</v>
      </c>
      <c r="T169" t="e">
        <f>AND(#REF!,"AAAAAH2X9xM=")</f>
        <v>#REF!</v>
      </c>
      <c r="U169" t="e">
        <f>AND(#REF!,"AAAAAH2X9xQ=")</f>
        <v>#REF!</v>
      </c>
      <c r="V169" t="e">
        <f>IF(#REF!,"AAAAAH2X9xU=",0)</f>
        <v>#REF!</v>
      </c>
      <c r="W169" t="e">
        <f>AND(#REF!,"AAAAAH2X9xY=")</f>
        <v>#REF!</v>
      </c>
      <c r="X169" t="e">
        <f>AND(#REF!,"AAAAAH2X9xc=")</f>
        <v>#REF!</v>
      </c>
      <c r="Y169" t="e">
        <f>AND(#REF!,"AAAAAH2X9xg=")</f>
        <v>#REF!</v>
      </c>
      <c r="Z169" t="e">
        <f>AND(#REF!,"AAAAAH2X9xk=")</f>
        <v>#REF!</v>
      </c>
      <c r="AA169" t="e">
        <f>AND(#REF!,"AAAAAH2X9xo=")</f>
        <v>#REF!</v>
      </c>
      <c r="AB169" t="e">
        <f>AND(#REF!,"AAAAAH2X9xs=")</f>
        <v>#REF!</v>
      </c>
      <c r="AC169" t="e">
        <f>AND(#REF!,"AAAAAH2X9xw=")</f>
        <v>#REF!</v>
      </c>
      <c r="AD169" t="e">
        <f>AND(#REF!,"AAAAAH2X9x0=")</f>
        <v>#REF!</v>
      </c>
      <c r="AE169" t="e">
        <f>AND(#REF!,"AAAAAH2X9x4=")</f>
        <v>#REF!</v>
      </c>
      <c r="AF169" t="e">
        <f>AND(#REF!,"AAAAAH2X9x8=")</f>
        <v>#REF!</v>
      </c>
      <c r="AG169" t="e">
        <f>AND(#REF!,"AAAAAH2X9yA=")</f>
        <v>#REF!</v>
      </c>
      <c r="AH169" t="e">
        <f>AND(#REF!,"AAAAAH2X9yE=")</f>
        <v>#REF!</v>
      </c>
      <c r="AI169" t="e">
        <f>AND(#REF!,"AAAAAH2X9yI=")</f>
        <v>#REF!</v>
      </c>
      <c r="AJ169" t="e">
        <f>AND(#REF!,"AAAAAH2X9yM=")</f>
        <v>#REF!</v>
      </c>
      <c r="AK169" t="e">
        <f>AND(#REF!,"AAAAAH2X9yQ=")</f>
        <v>#REF!</v>
      </c>
      <c r="AL169" t="e">
        <f>AND(#REF!,"AAAAAH2X9yU=")</f>
        <v>#REF!</v>
      </c>
      <c r="AM169" t="e">
        <f>AND(#REF!,"AAAAAH2X9yY=")</f>
        <v>#REF!</v>
      </c>
      <c r="AN169" t="e">
        <f>AND(#REF!,"AAAAAH2X9yc=")</f>
        <v>#REF!</v>
      </c>
      <c r="AO169" t="e">
        <f>AND(#REF!,"AAAAAH2X9yg=")</f>
        <v>#REF!</v>
      </c>
      <c r="AP169" t="e">
        <f>AND(#REF!,"AAAAAH2X9yk=")</f>
        <v>#REF!</v>
      </c>
      <c r="AQ169" t="e">
        <f>AND(#REF!,"AAAAAH2X9yo=")</f>
        <v>#REF!</v>
      </c>
      <c r="AR169" t="e">
        <f>AND(#REF!,"AAAAAH2X9ys=")</f>
        <v>#REF!</v>
      </c>
      <c r="AS169" t="e">
        <f>IF(#REF!,"AAAAAH2X9yw=",0)</f>
        <v>#REF!</v>
      </c>
      <c r="AT169" t="e">
        <f>AND(#REF!,"AAAAAH2X9y0=")</f>
        <v>#REF!</v>
      </c>
      <c r="AU169" t="e">
        <f>AND(#REF!,"AAAAAH2X9y4=")</f>
        <v>#REF!</v>
      </c>
      <c r="AV169" t="e">
        <f>AND(#REF!,"AAAAAH2X9y8=")</f>
        <v>#REF!</v>
      </c>
      <c r="AW169" t="e">
        <f>AND(#REF!,"AAAAAH2X9zA=")</f>
        <v>#REF!</v>
      </c>
      <c r="AX169" t="e">
        <f>AND(#REF!,"AAAAAH2X9zE=")</f>
        <v>#REF!</v>
      </c>
      <c r="AY169" t="e">
        <f>AND(#REF!,"AAAAAH2X9zI=")</f>
        <v>#REF!</v>
      </c>
      <c r="AZ169" t="e">
        <f>AND(#REF!,"AAAAAH2X9zM=")</f>
        <v>#REF!</v>
      </c>
      <c r="BA169" t="e">
        <f>AND(#REF!,"AAAAAH2X9zQ=")</f>
        <v>#REF!</v>
      </c>
      <c r="BB169" t="e">
        <f>AND(#REF!,"AAAAAH2X9zU=")</f>
        <v>#REF!</v>
      </c>
      <c r="BC169" t="e">
        <f>AND(#REF!,"AAAAAH2X9zY=")</f>
        <v>#REF!</v>
      </c>
      <c r="BD169" t="e">
        <f>AND(#REF!,"AAAAAH2X9zc=")</f>
        <v>#REF!</v>
      </c>
      <c r="BE169" t="e">
        <f>AND(#REF!,"AAAAAH2X9zg=")</f>
        <v>#REF!</v>
      </c>
      <c r="BF169" t="e">
        <f>AND(#REF!,"AAAAAH2X9zk=")</f>
        <v>#REF!</v>
      </c>
      <c r="BG169" t="e">
        <f>AND(#REF!,"AAAAAH2X9zo=")</f>
        <v>#REF!</v>
      </c>
      <c r="BH169" t="e">
        <f>AND(#REF!,"AAAAAH2X9zs=")</f>
        <v>#REF!</v>
      </c>
      <c r="BI169" t="e">
        <f>AND(#REF!,"AAAAAH2X9zw=")</f>
        <v>#REF!</v>
      </c>
      <c r="BJ169" t="e">
        <f>AND(#REF!,"AAAAAH2X9z0=")</f>
        <v>#REF!</v>
      </c>
      <c r="BK169" t="e">
        <f>AND(#REF!,"AAAAAH2X9z4=")</f>
        <v>#REF!</v>
      </c>
      <c r="BL169" t="e">
        <f>AND(#REF!,"AAAAAH2X9z8=")</f>
        <v>#REF!</v>
      </c>
      <c r="BM169" t="e">
        <f>AND(#REF!,"AAAAAH2X90A=")</f>
        <v>#REF!</v>
      </c>
      <c r="BN169" t="e">
        <f>AND(#REF!,"AAAAAH2X90E=")</f>
        <v>#REF!</v>
      </c>
      <c r="BO169" t="e">
        <f>AND(#REF!,"AAAAAH2X90I=")</f>
        <v>#REF!</v>
      </c>
      <c r="BP169" t="e">
        <f>IF(#REF!,"AAAAAH2X90M=",0)</f>
        <v>#REF!</v>
      </c>
      <c r="BQ169" t="e">
        <f>AND(#REF!,"AAAAAH2X90Q=")</f>
        <v>#REF!</v>
      </c>
      <c r="BR169" t="e">
        <f>AND(#REF!,"AAAAAH2X90U=")</f>
        <v>#REF!</v>
      </c>
      <c r="BS169" t="e">
        <f>AND(#REF!,"AAAAAH2X90Y=")</f>
        <v>#REF!</v>
      </c>
      <c r="BT169" t="e">
        <f>AND(#REF!,"AAAAAH2X90c=")</f>
        <v>#REF!</v>
      </c>
      <c r="BU169" t="e">
        <f>AND(#REF!,"AAAAAH2X90g=")</f>
        <v>#REF!</v>
      </c>
      <c r="BV169" t="e">
        <f>AND(#REF!,"AAAAAH2X90k=")</f>
        <v>#REF!</v>
      </c>
      <c r="BW169" t="e">
        <f>AND(#REF!,"AAAAAH2X90o=")</f>
        <v>#REF!</v>
      </c>
      <c r="BX169" t="e">
        <f>AND(#REF!,"AAAAAH2X90s=")</f>
        <v>#REF!</v>
      </c>
      <c r="BY169" t="e">
        <f>AND(#REF!,"AAAAAH2X90w=")</f>
        <v>#REF!</v>
      </c>
      <c r="BZ169" t="e">
        <f>AND(#REF!,"AAAAAH2X900=")</f>
        <v>#REF!</v>
      </c>
      <c r="CA169" t="e">
        <f>AND(#REF!,"AAAAAH2X904=")</f>
        <v>#REF!</v>
      </c>
      <c r="CB169" t="e">
        <f>AND(#REF!,"AAAAAH2X908=")</f>
        <v>#REF!</v>
      </c>
      <c r="CC169" t="e">
        <f>AND(#REF!,"AAAAAH2X91A=")</f>
        <v>#REF!</v>
      </c>
      <c r="CD169" t="e">
        <f>AND(#REF!,"AAAAAH2X91E=")</f>
        <v>#REF!</v>
      </c>
      <c r="CE169" t="e">
        <f>AND(#REF!,"AAAAAH2X91I=")</f>
        <v>#REF!</v>
      </c>
      <c r="CF169" t="e">
        <f>AND(#REF!,"AAAAAH2X91M=")</f>
        <v>#REF!</v>
      </c>
      <c r="CG169" t="e">
        <f>AND(#REF!,"AAAAAH2X91Q=")</f>
        <v>#REF!</v>
      </c>
      <c r="CH169" t="e">
        <f>AND(#REF!,"AAAAAH2X91U=")</f>
        <v>#REF!</v>
      </c>
      <c r="CI169" t="e">
        <f>AND(#REF!,"AAAAAH2X91Y=")</f>
        <v>#REF!</v>
      </c>
      <c r="CJ169" t="e">
        <f>AND(#REF!,"AAAAAH2X91c=")</f>
        <v>#REF!</v>
      </c>
      <c r="CK169" t="e">
        <f>AND(#REF!,"AAAAAH2X91g=")</f>
        <v>#REF!</v>
      </c>
      <c r="CL169" t="e">
        <f>AND(#REF!,"AAAAAH2X91k=")</f>
        <v>#REF!</v>
      </c>
      <c r="CM169" t="e">
        <f>IF(#REF!,"AAAAAH2X91o=",0)</f>
        <v>#REF!</v>
      </c>
      <c r="CN169" t="e">
        <f>AND(#REF!,"AAAAAH2X91s=")</f>
        <v>#REF!</v>
      </c>
      <c r="CO169" t="e">
        <f>AND(#REF!,"AAAAAH2X91w=")</f>
        <v>#REF!</v>
      </c>
      <c r="CP169" t="e">
        <f>AND(#REF!,"AAAAAH2X910=")</f>
        <v>#REF!</v>
      </c>
      <c r="CQ169" t="e">
        <f>AND(#REF!,"AAAAAH2X914=")</f>
        <v>#REF!</v>
      </c>
      <c r="CR169" t="e">
        <f>AND(#REF!,"AAAAAH2X918=")</f>
        <v>#REF!</v>
      </c>
      <c r="CS169" t="e">
        <f>AND(#REF!,"AAAAAH2X92A=")</f>
        <v>#REF!</v>
      </c>
      <c r="CT169" t="e">
        <f>AND(#REF!,"AAAAAH2X92E=")</f>
        <v>#REF!</v>
      </c>
      <c r="CU169" t="e">
        <f>AND(#REF!,"AAAAAH2X92I=")</f>
        <v>#REF!</v>
      </c>
      <c r="CV169" t="e">
        <f>AND(#REF!,"AAAAAH2X92M=")</f>
        <v>#REF!</v>
      </c>
      <c r="CW169" t="e">
        <f>AND(#REF!,"AAAAAH2X92Q=")</f>
        <v>#REF!</v>
      </c>
      <c r="CX169" t="e">
        <f>AND(#REF!,"AAAAAH2X92U=")</f>
        <v>#REF!</v>
      </c>
      <c r="CY169" t="e">
        <f>AND(#REF!,"AAAAAH2X92Y=")</f>
        <v>#REF!</v>
      </c>
      <c r="CZ169" t="e">
        <f>AND(#REF!,"AAAAAH2X92c=")</f>
        <v>#REF!</v>
      </c>
      <c r="DA169" t="e">
        <f>AND(#REF!,"AAAAAH2X92g=")</f>
        <v>#REF!</v>
      </c>
      <c r="DB169" t="e">
        <f>AND(#REF!,"AAAAAH2X92k=")</f>
        <v>#REF!</v>
      </c>
      <c r="DC169" t="e">
        <f>AND(#REF!,"AAAAAH2X92o=")</f>
        <v>#REF!</v>
      </c>
      <c r="DD169" t="e">
        <f>AND(#REF!,"AAAAAH2X92s=")</f>
        <v>#REF!</v>
      </c>
      <c r="DE169" t="e">
        <f>AND(#REF!,"AAAAAH2X92w=")</f>
        <v>#REF!</v>
      </c>
      <c r="DF169" t="e">
        <f>AND(#REF!,"AAAAAH2X920=")</f>
        <v>#REF!</v>
      </c>
      <c r="DG169" t="e">
        <f>AND(#REF!,"AAAAAH2X924=")</f>
        <v>#REF!</v>
      </c>
      <c r="DH169" t="e">
        <f>AND(#REF!,"AAAAAH2X928=")</f>
        <v>#REF!</v>
      </c>
      <c r="DI169" t="e">
        <f>AND(#REF!,"AAAAAH2X93A=")</f>
        <v>#REF!</v>
      </c>
      <c r="DJ169" t="e">
        <f>IF(#REF!,"AAAAAH2X93E=",0)</f>
        <v>#REF!</v>
      </c>
      <c r="DK169" t="e">
        <f>AND(#REF!,"AAAAAH2X93I=")</f>
        <v>#REF!</v>
      </c>
      <c r="DL169" t="e">
        <f>AND(#REF!,"AAAAAH2X93M=")</f>
        <v>#REF!</v>
      </c>
      <c r="DM169" t="e">
        <f>AND(#REF!,"AAAAAH2X93Q=")</f>
        <v>#REF!</v>
      </c>
      <c r="DN169" t="e">
        <f>AND(#REF!,"AAAAAH2X93U=")</f>
        <v>#REF!</v>
      </c>
      <c r="DO169" t="e">
        <f>AND(#REF!,"AAAAAH2X93Y=")</f>
        <v>#REF!</v>
      </c>
      <c r="DP169" t="e">
        <f>AND(#REF!,"AAAAAH2X93c=")</f>
        <v>#REF!</v>
      </c>
      <c r="DQ169" t="e">
        <f>AND(#REF!,"AAAAAH2X93g=")</f>
        <v>#REF!</v>
      </c>
      <c r="DR169" t="e">
        <f>AND(#REF!,"AAAAAH2X93k=")</f>
        <v>#REF!</v>
      </c>
      <c r="DS169" t="e">
        <f>AND(#REF!,"AAAAAH2X93o=")</f>
        <v>#REF!</v>
      </c>
      <c r="DT169" t="e">
        <f>AND(#REF!,"AAAAAH2X93s=")</f>
        <v>#REF!</v>
      </c>
      <c r="DU169" t="e">
        <f>AND(#REF!,"AAAAAH2X93w=")</f>
        <v>#REF!</v>
      </c>
      <c r="DV169" t="e">
        <f>AND(#REF!,"AAAAAH2X930=")</f>
        <v>#REF!</v>
      </c>
      <c r="DW169" t="e">
        <f>AND(#REF!,"AAAAAH2X934=")</f>
        <v>#REF!</v>
      </c>
      <c r="DX169" t="e">
        <f>AND(#REF!,"AAAAAH2X938=")</f>
        <v>#REF!</v>
      </c>
      <c r="DY169" t="e">
        <f>AND(#REF!,"AAAAAH2X94A=")</f>
        <v>#REF!</v>
      </c>
      <c r="DZ169" t="e">
        <f>AND(#REF!,"AAAAAH2X94E=")</f>
        <v>#REF!</v>
      </c>
      <c r="EA169" t="e">
        <f>AND(#REF!,"AAAAAH2X94I=")</f>
        <v>#REF!</v>
      </c>
      <c r="EB169" t="e">
        <f>AND(#REF!,"AAAAAH2X94M=")</f>
        <v>#REF!</v>
      </c>
      <c r="EC169" t="e">
        <f>AND(#REF!,"AAAAAH2X94Q=")</f>
        <v>#REF!</v>
      </c>
      <c r="ED169" t="e">
        <f>AND(#REF!,"AAAAAH2X94U=")</f>
        <v>#REF!</v>
      </c>
      <c r="EE169" t="e">
        <f>AND(#REF!,"AAAAAH2X94Y=")</f>
        <v>#REF!</v>
      </c>
      <c r="EF169" t="e">
        <f>AND(#REF!,"AAAAAH2X94c=")</f>
        <v>#REF!</v>
      </c>
      <c r="EG169" t="e">
        <f>IF(#REF!,"AAAAAH2X94g=",0)</f>
        <v>#REF!</v>
      </c>
      <c r="EH169" t="e">
        <f>AND(#REF!,"AAAAAH2X94k=")</f>
        <v>#REF!</v>
      </c>
      <c r="EI169" t="e">
        <f>AND(#REF!,"AAAAAH2X94o=")</f>
        <v>#REF!</v>
      </c>
      <c r="EJ169" t="e">
        <f>AND(#REF!,"AAAAAH2X94s=")</f>
        <v>#REF!</v>
      </c>
      <c r="EK169" t="e">
        <f>AND(#REF!,"AAAAAH2X94w=")</f>
        <v>#REF!</v>
      </c>
      <c r="EL169" t="e">
        <f>AND(#REF!,"AAAAAH2X940=")</f>
        <v>#REF!</v>
      </c>
      <c r="EM169" t="e">
        <f>AND(#REF!,"AAAAAH2X944=")</f>
        <v>#REF!</v>
      </c>
      <c r="EN169" t="e">
        <f>AND(#REF!,"AAAAAH2X948=")</f>
        <v>#REF!</v>
      </c>
      <c r="EO169" t="e">
        <f>AND(#REF!,"AAAAAH2X95A=")</f>
        <v>#REF!</v>
      </c>
      <c r="EP169" t="e">
        <f>AND(#REF!,"AAAAAH2X95E=")</f>
        <v>#REF!</v>
      </c>
      <c r="EQ169" t="e">
        <f>AND(#REF!,"AAAAAH2X95I=")</f>
        <v>#REF!</v>
      </c>
      <c r="ER169" t="e">
        <f>AND(#REF!,"AAAAAH2X95M=")</f>
        <v>#REF!</v>
      </c>
      <c r="ES169" t="e">
        <f>AND(#REF!,"AAAAAH2X95Q=")</f>
        <v>#REF!</v>
      </c>
      <c r="ET169" t="e">
        <f>AND(#REF!,"AAAAAH2X95U=")</f>
        <v>#REF!</v>
      </c>
      <c r="EU169" t="e">
        <f>AND(#REF!,"AAAAAH2X95Y=")</f>
        <v>#REF!</v>
      </c>
      <c r="EV169" t="e">
        <f>AND(#REF!,"AAAAAH2X95c=")</f>
        <v>#REF!</v>
      </c>
      <c r="EW169" t="e">
        <f>AND(#REF!,"AAAAAH2X95g=")</f>
        <v>#REF!</v>
      </c>
      <c r="EX169" t="e">
        <f>AND(#REF!,"AAAAAH2X95k=")</f>
        <v>#REF!</v>
      </c>
      <c r="EY169" t="e">
        <f>AND(#REF!,"AAAAAH2X95o=")</f>
        <v>#REF!</v>
      </c>
      <c r="EZ169" t="e">
        <f>AND(#REF!,"AAAAAH2X95s=")</f>
        <v>#REF!</v>
      </c>
      <c r="FA169" t="e">
        <f>AND(#REF!,"AAAAAH2X95w=")</f>
        <v>#REF!</v>
      </c>
      <c r="FB169" t="e">
        <f>AND(#REF!,"AAAAAH2X950=")</f>
        <v>#REF!</v>
      </c>
      <c r="FC169" t="e">
        <f>AND(#REF!,"AAAAAH2X954=")</f>
        <v>#REF!</v>
      </c>
      <c r="FD169" t="e">
        <f>IF(#REF!,"AAAAAH2X958=",0)</f>
        <v>#REF!</v>
      </c>
      <c r="FE169" t="e">
        <f>AND(#REF!,"AAAAAH2X96A=")</f>
        <v>#REF!</v>
      </c>
      <c r="FF169" t="e">
        <f>AND(#REF!,"AAAAAH2X96E=")</f>
        <v>#REF!</v>
      </c>
      <c r="FG169" t="e">
        <f>AND(#REF!,"AAAAAH2X96I=")</f>
        <v>#REF!</v>
      </c>
      <c r="FH169" t="e">
        <f>AND(#REF!,"AAAAAH2X96M=")</f>
        <v>#REF!</v>
      </c>
      <c r="FI169" t="e">
        <f>AND(#REF!,"AAAAAH2X96Q=")</f>
        <v>#REF!</v>
      </c>
      <c r="FJ169" t="e">
        <f>AND(#REF!,"AAAAAH2X96U=")</f>
        <v>#REF!</v>
      </c>
      <c r="FK169" t="e">
        <f>AND(#REF!,"AAAAAH2X96Y=")</f>
        <v>#REF!</v>
      </c>
      <c r="FL169" t="e">
        <f>AND(#REF!,"AAAAAH2X96c=")</f>
        <v>#REF!</v>
      </c>
      <c r="FM169" t="e">
        <f>AND(#REF!,"AAAAAH2X96g=")</f>
        <v>#REF!</v>
      </c>
      <c r="FN169" t="e">
        <f>AND(#REF!,"AAAAAH2X96k=")</f>
        <v>#REF!</v>
      </c>
      <c r="FO169" t="e">
        <f>AND(#REF!,"AAAAAH2X96o=")</f>
        <v>#REF!</v>
      </c>
      <c r="FP169" t="e">
        <f>AND(#REF!,"AAAAAH2X96s=")</f>
        <v>#REF!</v>
      </c>
      <c r="FQ169" t="e">
        <f>AND(#REF!,"AAAAAH2X96w=")</f>
        <v>#REF!</v>
      </c>
      <c r="FR169" t="e">
        <f>AND(#REF!,"AAAAAH2X960=")</f>
        <v>#REF!</v>
      </c>
      <c r="FS169" t="e">
        <f>AND(#REF!,"AAAAAH2X964=")</f>
        <v>#REF!</v>
      </c>
      <c r="FT169" t="e">
        <f>AND(#REF!,"AAAAAH2X968=")</f>
        <v>#REF!</v>
      </c>
      <c r="FU169" t="e">
        <f>AND(#REF!,"AAAAAH2X97A=")</f>
        <v>#REF!</v>
      </c>
      <c r="FV169" t="e">
        <f>AND(#REF!,"AAAAAH2X97E=")</f>
        <v>#REF!</v>
      </c>
      <c r="FW169" t="e">
        <f>AND(#REF!,"AAAAAH2X97I=")</f>
        <v>#REF!</v>
      </c>
      <c r="FX169" t="e">
        <f>AND(#REF!,"AAAAAH2X97M=")</f>
        <v>#REF!</v>
      </c>
      <c r="FY169" t="e">
        <f>AND(#REF!,"AAAAAH2X97Q=")</f>
        <v>#REF!</v>
      </c>
      <c r="FZ169" t="e">
        <f>AND(#REF!,"AAAAAH2X97U=")</f>
        <v>#REF!</v>
      </c>
      <c r="GA169" t="e">
        <f>IF(#REF!,"AAAAAH2X97Y=",0)</f>
        <v>#REF!</v>
      </c>
      <c r="GB169" t="e">
        <f>AND(#REF!,"AAAAAH2X97c=")</f>
        <v>#REF!</v>
      </c>
      <c r="GC169" t="e">
        <f>AND(#REF!,"AAAAAH2X97g=")</f>
        <v>#REF!</v>
      </c>
      <c r="GD169" t="e">
        <f>AND(#REF!,"AAAAAH2X97k=")</f>
        <v>#REF!</v>
      </c>
      <c r="GE169" t="e">
        <f>AND(#REF!,"AAAAAH2X97o=")</f>
        <v>#REF!</v>
      </c>
      <c r="GF169" t="e">
        <f>AND(#REF!,"AAAAAH2X97s=")</f>
        <v>#REF!</v>
      </c>
      <c r="GG169" t="e">
        <f>AND(#REF!,"AAAAAH2X97w=")</f>
        <v>#REF!</v>
      </c>
      <c r="GH169" t="e">
        <f>AND(#REF!,"AAAAAH2X970=")</f>
        <v>#REF!</v>
      </c>
      <c r="GI169" t="e">
        <f>AND(#REF!,"AAAAAH2X974=")</f>
        <v>#REF!</v>
      </c>
      <c r="GJ169" t="e">
        <f>AND(#REF!,"AAAAAH2X978=")</f>
        <v>#REF!</v>
      </c>
      <c r="GK169" t="e">
        <f>AND(#REF!,"AAAAAH2X98A=")</f>
        <v>#REF!</v>
      </c>
      <c r="GL169" t="e">
        <f>AND(#REF!,"AAAAAH2X98E=")</f>
        <v>#REF!</v>
      </c>
      <c r="GM169" t="e">
        <f>AND(#REF!,"AAAAAH2X98I=")</f>
        <v>#REF!</v>
      </c>
      <c r="GN169" t="e">
        <f>AND(#REF!,"AAAAAH2X98M=")</f>
        <v>#REF!</v>
      </c>
      <c r="GO169" t="e">
        <f>AND(#REF!,"AAAAAH2X98Q=")</f>
        <v>#REF!</v>
      </c>
      <c r="GP169" t="e">
        <f>AND(#REF!,"AAAAAH2X98U=")</f>
        <v>#REF!</v>
      </c>
      <c r="GQ169" t="e">
        <f>AND(#REF!,"AAAAAH2X98Y=")</f>
        <v>#REF!</v>
      </c>
      <c r="GR169" t="e">
        <f>AND(#REF!,"AAAAAH2X98c=")</f>
        <v>#REF!</v>
      </c>
      <c r="GS169" t="e">
        <f>AND(#REF!,"AAAAAH2X98g=")</f>
        <v>#REF!</v>
      </c>
      <c r="GT169" t="e">
        <f>AND(#REF!,"AAAAAH2X98k=")</f>
        <v>#REF!</v>
      </c>
      <c r="GU169" t="e">
        <f>AND(#REF!,"AAAAAH2X98o=")</f>
        <v>#REF!</v>
      </c>
      <c r="GV169" t="e">
        <f>AND(#REF!,"AAAAAH2X98s=")</f>
        <v>#REF!</v>
      </c>
      <c r="GW169" t="e">
        <f>AND(#REF!,"AAAAAH2X98w=")</f>
        <v>#REF!</v>
      </c>
      <c r="GX169" t="e">
        <f>IF(#REF!,"AAAAAH2X980=",0)</f>
        <v>#REF!</v>
      </c>
      <c r="GY169" t="e">
        <f>AND(#REF!,"AAAAAH2X984=")</f>
        <v>#REF!</v>
      </c>
      <c r="GZ169" t="e">
        <f>AND(#REF!,"AAAAAH2X988=")</f>
        <v>#REF!</v>
      </c>
      <c r="HA169" t="e">
        <f>AND(#REF!,"AAAAAH2X99A=")</f>
        <v>#REF!</v>
      </c>
      <c r="HB169" t="e">
        <f>AND(#REF!,"AAAAAH2X99E=")</f>
        <v>#REF!</v>
      </c>
      <c r="HC169" t="e">
        <f>AND(#REF!,"AAAAAH2X99I=")</f>
        <v>#REF!</v>
      </c>
      <c r="HD169" t="e">
        <f>AND(#REF!,"AAAAAH2X99M=")</f>
        <v>#REF!</v>
      </c>
      <c r="HE169" t="e">
        <f>AND(#REF!,"AAAAAH2X99Q=")</f>
        <v>#REF!</v>
      </c>
      <c r="HF169" t="e">
        <f>AND(#REF!,"AAAAAH2X99U=")</f>
        <v>#REF!</v>
      </c>
      <c r="HG169" t="e">
        <f>AND(#REF!,"AAAAAH2X99Y=")</f>
        <v>#REF!</v>
      </c>
      <c r="HH169" t="e">
        <f>AND(#REF!,"AAAAAH2X99c=")</f>
        <v>#REF!</v>
      </c>
      <c r="HI169" t="e">
        <f>AND(#REF!,"AAAAAH2X99g=")</f>
        <v>#REF!</v>
      </c>
      <c r="HJ169" t="e">
        <f>AND(#REF!,"AAAAAH2X99k=")</f>
        <v>#REF!</v>
      </c>
      <c r="HK169" t="e">
        <f>AND(#REF!,"AAAAAH2X99o=")</f>
        <v>#REF!</v>
      </c>
      <c r="HL169" t="e">
        <f>AND(#REF!,"AAAAAH2X99s=")</f>
        <v>#REF!</v>
      </c>
      <c r="HM169" t="e">
        <f>AND(#REF!,"AAAAAH2X99w=")</f>
        <v>#REF!</v>
      </c>
      <c r="HN169" t="e">
        <f>AND(#REF!,"AAAAAH2X990=")</f>
        <v>#REF!</v>
      </c>
      <c r="HO169" t="e">
        <f>AND(#REF!,"AAAAAH2X994=")</f>
        <v>#REF!</v>
      </c>
      <c r="HP169" t="e">
        <f>AND(#REF!,"AAAAAH2X998=")</f>
        <v>#REF!</v>
      </c>
      <c r="HQ169" t="e">
        <f>AND(#REF!,"AAAAAH2X9+A=")</f>
        <v>#REF!</v>
      </c>
      <c r="HR169" t="e">
        <f>AND(#REF!,"AAAAAH2X9+E=")</f>
        <v>#REF!</v>
      </c>
      <c r="HS169" t="e">
        <f>AND(#REF!,"AAAAAH2X9+I=")</f>
        <v>#REF!</v>
      </c>
      <c r="HT169" t="e">
        <f>AND(#REF!,"AAAAAH2X9+M=")</f>
        <v>#REF!</v>
      </c>
      <c r="HU169" t="e">
        <f>IF(#REF!,"AAAAAH2X9+Q=",0)</f>
        <v>#REF!</v>
      </c>
      <c r="HV169" t="e">
        <f>AND(#REF!,"AAAAAH2X9+U=")</f>
        <v>#REF!</v>
      </c>
      <c r="HW169" t="e">
        <f>AND(#REF!,"AAAAAH2X9+Y=")</f>
        <v>#REF!</v>
      </c>
      <c r="HX169" t="e">
        <f>AND(#REF!,"AAAAAH2X9+c=")</f>
        <v>#REF!</v>
      </c>
      <c r="HY169" t="e">
        <f>AND(#REF!,"AAAAAH2X9+g=")</f>
        <v>#REF!</v>
      </c>
      <c r="HZ169" t="e">
        <f>AND(#REF!,"AAAAAH2X9+k=")</f>
        <v>#REF!</v>
      </c>
      <c r="IA169" t="e">
        <f>AND(#REF!,"AAAAAH2X9+o=")</f>
        <v>#REF!</v>
      </c>
      <c r="IB169" t="e">
        <f>AND(#REF!,"AAAAAH2X9+s=")</f>
        <v>#REF!</v>
      </c>
      <c r="IC169" t="e">
        <f>AND(#REF!,"AAAAAH2X9+w=")</f>
        <v>#REF!</v>
      </c>
      <c r="ID169" t="e">
        <f>AND(#REF!,"AAAAAH2X9+0=")</f>
        <v>#REF!</v>
      </c>
      <c r="IE169" t="e">
        <f>AND(#REF!,"AAAAAH2X9+4=")</f>
        <v>#REF!</v>
      </c>
      <c r="IF169" t="e">
        <f>AND(#REF!,"AAAAAH2X9+8=")</f>
        <v>#REF!</v>
      </c>
      <c r="IG169" t="e">
        <f>AND(#REF!,"AAAAAH2X9/A=")</f>
        <v>#REF!</v>
      </c>
      <c r="IH169" t="e">
        <f>AND(#REF!,"AAAAAH2X9/E=")</f>
        <v>#REF!</v>
      </c>
      <c r="II169" t="e">
        <f>AND(#REF!,"AAAAAH2X9/I=")</f>
        <v>#REF!</v>
      </c>
      <c r="IJ169" t="e">
        <f>AND(#REF!,"AAAAAH2X9/M=")</f>
        <v>#REF!</v>
      </c>
      <c r="IK169" t="e">
        <f>AND(#REF!,"AAAAAH2X9/Q=")</f>
        <v>#REF!</v>
      </c>
      <c r="IL169" t="e">
        <f>AND(#REF!,"AAAAAH2X9/U=")</f>
        <v>#REF!</v>
      </c>
      <c r="IM169" t="e">
        <f>AND(#REF!,"AAAAAH2X9/Y=")</f>
        <v>#REF!</v>
      </c>
      <c r="IN169" t="e">
        <f>AND(#REF!,"AAAAAH2X9/c=")</f>
        <v>#REF!</v>
      </c>
      <c r="IO169" t="e">
        <f>AND(#REF!,"AAAAAH2X9/g=")</f>
        <v>#REF!</v>
      </c>
      <c r="IP169" t="e">
        <f>AND(#REF!,"AAAAAH2X9/k=")</f>
        <v>#REF!</v>
      </c>
      <c r="IQ169" t="e">
        <f>AND(#REF!,"AAAAAH2X9/o=")</f>
        <v>#REF!</v>
      </c>
      <c r="IR169" t="e">
        <f>IF(#REF!,"AAAAAH2X9/s=",0)</f>
        <v>#REF!</v>
      </c>
      <c r="IS169" t="e">
        <f>AND(#REF!,"AAAAAH2X9/w=")</f>
        <v>#REF!</v>
      </c>
      <c r="IT169" t="e">
        <f>AND(#REF!,"AAAAAH2X9/0=")</f>
        <v>#REF!</v>
      </c>
      <c r="IU169" t="e">
        <f>AND(#REF!,"AAAAAH2X9/4=")</f>
        <v>#REF!</v>
      </c>
      <c r="IV169" t="e">
        <f>AND(#REF!,"AAAAAH2X9/8=")</f>
        <v>#REF!</v>
      </c>
    </row>
    <row r="170" spans="1:256" x14ac:dyDescent="0.2">
      <c r="A170" t="e">
        <f>AND(#REF!,"AAAAADse/QA=")</f>
        <v>#REF!</v>
      </c>
      <c r="B170" t="e">
        <f>AND(#REF!,"AAAAADse/QE=")</f>
        <v>#REF!</v>
      </c>
      <c r="C170" t="e">
        <f>AND(#REF!,"AAAAADse/QI=")</f>
        <v>#REF!</v>
      </c>
      <c r="D170" t="e">
        <f>AND(#REF!,"AAAAADse/QM=")</f>
        <v>#REF!</v>
      </c>
      <c r="E170" t="e">
        <f>AND(#REF!,"AAAAADse/QQ=")</f>
        <v>#REF!</v>
      </c>
      <c r="F170" t="e">
        <f>AND(#REF!,"AAAAADse/QU=")</f>
        <v>#REF!</v>
      </c>
      <c r="G170" t="e">
        <f>AND(#REF!,"AAAAADse/QY=")</f>
        <v>#REF!</v>
      </c>
      <c r="H170" t="e">
        <f>AND(#REF!,"AAAAADse/Qc=")</f>
        <v>#REF!</v>
      </c>
      <c r="I170" t="e">
        <f>AND(#REF!,"AAAAADse/Qg=")</f>
        <v>#REF!</v>
      </c>
      <c r="J170" t="e">
        <f>AND(#REF!,"AAAAADse/Qk=")</f>
        <v>#REF!</v>
      </c>
      <c r="K170" t="e">
        <f>AND(#REF!,"AAAAADse/Qo=")</f>
        <v>#REF!</v>
      </c>
      <c r="L170" t="e">
        <f>AND(#REF!,"AAAAADse/Qs=")</f>
        <v>#REF!</v>
      </c>
      <c r="M170" t="e">
        <f>AND(#REF!,"AAAAADse/Qw=")</f>
        <v>#REF!</v>
      </c>
      <c r="N170" t="e">
        <f>AND(#REF!,"AAAAADse/Q0=")</f>
        <v>#REF!</v>
      </c>
      <c r="O170" t="e">
        <f>AND(#REF!,"AAAAADse/Q4=")</f>
        <v>#REF!</v>
      </c>
      <c r="P170" t="e">
        <f>AND(#REF!,"AAAAADse/Q8=")</f>
        <v>#REF!</v>
      </c>
      <c r="Q170" t="e">
        <f>AND(#REF!,"AAAAADse/RA=")</f>
        <v>#REF!</v>
      </c>
      <c r="R170" t="e">
        <f>AND(#REF!,"AAAAADse/RE=")</f>
        <v>#REF!</v>
      </c>
      <c r="S170" t="e">
        <f>IF(#REF!,"AAAAADse/RI=",0)</f>
        <v>#REF!</v>
      </c>
      <c r="T170" t="e">
        <f>AND(#REF!,"AAAAADse/RM=")</f>
        <v>#REF!</v>
      </c>
      <c r="U170" t="e">
        <f>AND(#REF!,"AAAAADse/RQ=")</f>
        <v>#REF!</v>
      </c>
      <c r="V170" t="e">
        <f>AND(#REF!,"AAAAADse/RU=")</f>
        <v>#REF!</v>
      </c>
      <c r="W170" t="e">
        <f>AND(#REF!,"AAAAADse/RY=")</f>
        <v>#REF!</v>
      </c>
      <c r="X170" t="e">
        <f>AND(#REF!,"AAAAADse/Rc=")</f>
        <v>#REF!</v>
      </c>
      <c r="Y170" t="e">
        <f>AND(#REF!,"AAAAADse/Rg=")</f>
        <v>#REF!</v>
      </c>
      <c r="Z170" t="e">
        <f>AND(#REF!,"AAAAADse/Rk=")</f>
        <v>#REF!</v>
      </c>
      <c r="AA170" t="e">
        <f>AND(#REF!,"AAAAADse/Ro=")</f>
        <v>#REF!</v>
      </c>
      <c r="AB170" t="e">
        <f>AND(#REF!,"AAAAADse/Rs=")</f>
        <v>#REF!</v>
      </c>
      <c r="AC170" t="e">
        <f>AND(#REF!,"AAAAADse/Rw=")</f>
        <v>#REF!</v>
      </c>
      <c r="AD170" t="e">
        <f>AND(#REF!,"AAAAADse/R0=")</f>
        <v>#REF!</v>
      </c>
      <c r="AE170" t="e">
        <f>AND(#REF!,"AAAAADse/R4=")</f>
        <v>#REF!</v>
      </c>
      <c r="AF170" t="e">
        <f>AND(#REF!,"AAAAADse/R8=")</f>
        <v>#REF!</v>
      </c>
      <c r="AG170" t="e">
        <f>AND(#REF!,"AAAAADse/SA=")</f>
        <v>#REF!</v>
      </c>
      <c r="AH170" t="e">
        <f>AND(#REF!,"AAAAADse/SE=")</f>
        <v>#REF!</v>
      </c>
      <c r="AI170" t="e">
        <f>AND(#REF!,"AAAAADse/SI=")</f>
        <v>#REF!</v>
      </c>
      <c r="AJ170" t="e">
        <f>AND(#REF!,"AAAAADse/SM=")</f>
        <v>#REF!</v>
      </c>
      <c r="AK170" t="e">
        <f>AND(#REF!,"AAAAADse/SQ=")</f>
        <v>#REF!</v>
      </c>
      <c r="AL170" t="e">
        <f>AND(#REF!,"AAAAADse/SU=")</f>
        <v>#REF!</v>
      </c>
      <c r="AM170" t="e">
        <f>AND(#REF!,"AAAAADse/SY=")</f>
        <v>#REF!</v>
      </c>
      <c r="AN170" t="e">
        <f>AND(#REF!,"AAAAADse/Sc=")</f>
        <v>#REF!</v>
      </c>
      <c r="AO170" t="e">
        <f>AND(#REF!,"AAAAADse/Sg=")</f>
        <v>#REF!</v>
      </c>
      <c r="AP170" t="e">
        <f>IF(#REF!,"AAAAADse/Sk=",0)</f>
        <v>#REF!</v>
      </c>
      <c r="AQ170" t="e">
        <f>AND(#REF!,"AAAAADse/So=")</f>
        <v>#REF!</v>
      </c>
      <c r="AR170" t="e">
        <f>AND(#REF!,"AAAAADse/Ss=")</f>
        <v>#REF!</v>
      </c>
      <c r="AS170" t="e">
        <f>AND(#REF!,"AAAAADse/Sw=")</f>
        <v>#REF!</v>
      </c>
      <c r="AT170" t="e">
        <f>AND(#REF!,"AAAAADse/S0=")</f>
        <v>#REF!</v>
      </c>
      <c r="AU170" t="e">
        <f>AND(#REF!,"AAAAADse/S4=")</f>
        <v>#REF!</v>
      </c>
      <c r="AV170" t="e">
        <f>AND(#REF!,"AAAAADse/S8=")</f>
        <v>#REF!</v>
      </c>
      <c r="AW170" t="e">
        <f>AND(#REF!,"AAAAADse/TA=")</f>
        <v>#REF!</v>
      </c>
      <c r="AX170" t="e">
        <f>AND(#REF!,"AAAAADse/TE=")</f>
        <v>#REF!</v>
      </c>
      <c r="AY170" t="e">
        <f>AND(#REF!,"AAAAADse/TI=")</f>
        <v>#REF!</v>
      </c>
      <c r="AZ170" t="e">
        <f>AND(#REF!,"AAAAADse/TM=")</f>
        <v>#REF!</v>
      </c>
      <c r="BA170" t="e">
        <f>AND(#REF!,"AAAAADse/TQ=")</f>
        <v>#REF!</v>
      </c>
      <c r="BB170" t="e">
        <f>AND(#REF!,"AAAAADse/TU=")</f>
        <v>#REF!</v>
      </c>
      <c r="BC170" t="e">
        <f>AND(#REF!,"AAAAADse/TY=")</f>
        <v>#REF!</v>
      </c>
      <c r="BD170" t="e">
        <f>AND(#REF!,"AAAAADse/Tc=")</f>
        <v>#REF!</v>
      </c>
      <c r="BE170" t="e">
        <f>AND(#REF!,"AAAAADse/Tg=")</f>
        <v>#REF!</v>
      </c>
      <c r="BF170" t="e">
        <f>AND(#REF!,"AAAAADse/Tk=")</f>
        <v>#REF!</v>
      </c>
      <c r="BG170" t="e">
        <f>AND(#REF!,"AAAAADse/To=")</f>
        <v>#REF!</v>
      </c>
      <c r="BH170" t="e">
        <f>AND(#REF!,"AAAAADse/Ts=")</f>
        <v>#REF!</v>
      </c>
      <c r="BI170" t="e">
        <f>AND(#REF!,"AAAAADse/Tw=")</f>
        <v>#REF!</v>
      </c>
      <c r="BJ170" t="e">
        <f>AND(#REF!,"AAAAADse/T0=")</f>
        <v>#REF!</v>
      </c>
      <c r="BK170" t="e">
        <f>AND(#REF!,"AAAAADse/T4=")</f>
        <v>#REF!</v>
      </c>
      <c r="BL170" t="e">
        <f>AND(#REF!,"AAAAADse/T8=")</f>
        <v>#REF!</v>
      </c>
      <c r="BM170" t="e">
        <f>IF(#REF!,"AAAAADse/UA=",0)</f>
        <v>#REF!</v>
      </c>
      <c r="BN170" t="e">
        <f>AND(#REF!,"AAAAADse/UE=")</f>
        <v>#REF!</v>
      </c>
      <c r="BO170" t="e">
        <f>AND(#REF!,"AAAAADse/UI=")</f>
        <v>#REF!</v>
      </c>
      <c r="BP170" t="e">
        <f>AND(#REF!,"AAAAADse/UM=")</f>
        <v>#REF!</v>
      </c>
      <c r="BQ170" t="e">
        <f>AND(#REF!,"AAAAADse/UQ=")</f>
        <v>#REF!</v>
      </c>
      <c r="BR170" t="e">
        <f>AND(#REF!,"AAAAADse/UU=")</f>
        <v>#REF!</v>
      </c>
      <c r="BS170" t="e">
        <f>AND(#REF!,"AAAAADse/UY=")</f>
        <v>#REF!</v>
      </c>
      <c r="BT170" t="e">
        <f>AND(#REF!,"AAAAADse/Uc=")</f>
        <v>#REF!</v>
      </c>
      <c r="BU170" t="e">
        <f>AND(#REF!,"AAAAADse/Ug=")</f>
        <v>#REF!</v>
      </c>
      <c r="BV170" t="e">
        <f>AND(#REF!,"AAAAADse/Uk=")</f>
        <v>#REF!</v>
      </c>
      <c r="BW170" t="e">
        <f>AND(#REF!,"AAAAADse/Uo=")</f>
        <v>#REF!</v>
      </c>
      <c r="BX170" t="e">
        <f>AND(#REF!,"AAAAADse/Us=")</f>
        <v>#REF!</v>
      </c>
      <c r="BY170" t="e">
        <f>AND(#REF!,"AAAAADse/Uw=")</f>
        <v>#REF!</v>
      </c>
      <c r="BZ170" t="e">
        <f>AND(#REF!,"AAAAADse/U0=")</f>
        <v>#REF!</v>
      </c>
      <c r="CA170" t="e">
        <f>AND(#REF!,"AAAAADse/U4=")</f>
        <v>#REF!</v>
      </c>
      <c r="CB170" t="e">
        <f>AND(#REF!,"AAAAADse/U8=")</f>
        <v>#REF!</v>
      </c>
      <c r="CC170" t="e">
        <f>AND(#REF!,"AAAAADse/VA=")</f>
        <v>#REF!</v>
      </c>
      <c r="CD170" t="e">
        <f>AND(#REF!,"AAAAADse/VE=")</f>
        <v>#REF!</v>
      </c>
      <c r="CE170" t="e">
        <f>AND(#REF!,"AAAAADse/VI=")</f>
        <v>#REF!</v>
      </c>
      <c r="CF170" t="e">
        <f>AND(#REF!,"AAAAADse/VM=")</f>
        <v>#REF!</v>
      </c>
      <c r="CG170" t="e">
        <f>AND(#REF!,"AAAAADse/VQ=")</f>
        <v>#REF!</v>
      </c>
      <c r="CH170" t="e">
        <f>AND(#REF!,"AAAAADse/VU=")</f>
        <v>#REF!</v>
      </c>
      <c r="CI170" t="e">
        <f>AND(#REF!,"AAAAADse/VY=")</f>
        <v>#REF!</v>
      </c>
      <c r="CJ170" t="e">
        <f>IF(#REF!,"AAAAADse/Vc=",0)</f>
        <v>#REF!</v>
      </c>
      <c r="CK170" t="e">
        <f>AND(#REF!,"AAAAADse/Vg=")</f>
        <v>#REF!</v>
      </c>
      <c r="CL170" t="e">
        <f>AND(#REF!,"AAAAADse/Vk=")</f>
        <v>#REF!</v>
      </c>
      <c r="CM170" t="e">
        <f>AND(#REF!,"AAAAADse/Vo=")</f>
        <v>#REF!</v>
      </c>
      <c r="CN170" t="e">
        <f>AND(#REF!,"AAAAADse/Vs=")</f>
        <v>#REF!</v>
      </c>
      <c r="CO170" t="e">
        <f>AND(#REF!,"AAAAADse/Vw=")</f>
        <v>#REF!</v>
      </c>
      <c r="CP170" t="e">
        <f>AND(#REF!,"AAAAADse/V0=")</f>
        <v>#REF!</v>
      </c>
      <c r="CQ170" t="e">
        <f>AND(#REF!,"AAAAADse/V4=")</f>
        <v>#REF!</v>
      </c>
      <c r="CR170" t="e">
        <f>AND(#REF!,"AAAAADse/V8=")</f>
        <v>#REF!</v>
      </c>
      <c r="CS170" t="e">
        <f>AND(#REF!,"AAAAADse/WA=")</f>
        <v>#REF!</v>
      </c>
      <c r="CT170" t="e">
        <f>AND(#REF!,"AAAAADse/WE=")</f>
        <v>#REF!</v>
      </c>
      <c r="CU170" t="e">
        <f>AND(#REF!,"AAAAADse/WI=")</f>
        <v>#REF!</v>
      </c>
      <c r="CV170" t="e">
        <f>AND(#REF!,"AAAAADse/WM=")</f>
        <v>#REF!</v>
      </c>
      <c r="CW170" t="e">
        <f>AND(#REF!,"AAAAADse/WQ=")</f>
        <v>#REF!</v>
      </c>
      <c r="CX170" t="e">
        <f>AND(#REF!,"AAAAADse/WU=")</f>
        <v>#REF!</v>
      </c>
      <c r="CY170" t="e">
        <f>AND(#REF!,"AAAAADse/WY=")</f>
        <v>#REF!</v>
      </c>
      <c r="CZ170" t="e">
        <f>AND(#REF!,"AAAAADse/Wc=")</f>
        <v>#REF!</v>
      </c>
      <c r="DA170" t="e">
        <f>AND(#REF!,"AAAAADse/Wg=")</f>
        <v>#REF!</v>
      </c>
      <c r="DB170" t="e">
        <f>AND(#REF!,"AAAAADse/Wk=")</f>
        <v>#REF!</v>
      </c>
      <c r="DC170" t="e">
        <f>AND(#REF!,"AAAAADse/Wo=")</f>
        <v>#REF!</v>
      </c>
      <c r="DD170" t="e">
        <f>AND(#REF!,"AAAAADse/Ws=")</f>
        <v>#REF!</v>
      </c>
      <c r="DE170" t="e">
        <f>AND(#REF!,"AAAAADse/Ww=")</f>
        <v>#REF!</v>
      </c>
      <c r="DF170" t="e">
        <f>AND(#REF!,"AAAAADse/W0=")</f>
        <v>#REF!</v>
      </c>
      <c r="DG170" t="e">
        <f>IF(#REF!,"AAAAADse/W4=",0)</f>
        <v>#REF!</v>
      </c>
      <c r="DH170" t="e">
        <f>AND(#REF!,"AAAAADse/W8=")</f>
        <v>#REF!</v>
      </c>
      <c r="DI170" t="e">
        <f>AND(#REF!,"AAAAADse/XA=")</f>
        <v>#REF!</v>
      </c>
      <c r="DJ170" t="e">
        <f>AND(#REF!,"AAAAADse/XE=")</f>
        <v>#REF!</v>
      </c>
      <c r="DK170" t="e">
        <f>AND(#REF!,"AAAAADse/XI=")</f>
        <v>#REF!</v>
      </c>
      <c r="DL170" t="e">
        <f>AND(#REF!,"AAAAADse/XM=")</f>
        <v>#REF!</v>
      </c>
      <c r="DM170" t="e">
        <f>AND(#REF!,"AAAAADse/XQ=")</f>
        <v>#REF!</v>
      </c>
      <c r="DN170" t="e">
        <f>AND(#REF!,"AAAAADse/XU=")</f>
        <v>#REF!</v>
      </c>
      <c r="DO170" t="e">
        <f>AND(#REF!,"AAAAADse/XY=")</f>
        <v>#REF!</v>
      </c>
      <c r="DP170" t="e">
        <f>AND(#REF!,"AAAAADse/Xc=")</f>
        <v>#REF!</v>
      </c>
      <c r="DQ170" t="e">
        <f>AND(#REF!,"AAAAADse/Xg=")</f>
        <v>#REF!</v>
      </c>
      <c r="DR170" t="e">
        <f>AND(#REF!,"AAAAADse/Xk=")</f>
        <v>#REF!</v>
      </c>
      <c r="DS170" t="e">
        <f>AND(#REF!,"AAAAADse/Xo=")</f>
        <v>#REF!</v>
      </c>
      <c r="DT170" t="e">
        <f>AND(#REF!,"AAAAADse/Xs=")</f>
        <v>#REF!</v>
      </c>
      <c r="DU170" t="e">
        <f>AND(#REF!,"AAAAADse/Xw=")</f>
        <v>#REF!</v>
      </c>
      <c r="DV170" t="e">
        <f>AND(#REF!,"AAAAADse/X0=")</f>
        <v>#REF!</v>
      </c>
      <c r="DW170" t="e">
        <f>AND(#REF!,"AAAAADse/X4=")</f>
        <v>#REF!</v>
      </c>
      <c r="DX170" t="e">
        <f>AND(#REF!,"AAAAADse/X8=")</f>
        <v>#REF!</v>
      </c>
      <c r="DY170" t="e">
        <f>AND(#REF!,"AAAAADse/YA=")</f>
        <v>#REF!</v>
      </c>
      <c r="DZ170" t="e">
        <f>AND(#REF!,"AAAAADse/YE=")</f>
        <v>#REF!</v>
      </c>
      <c r="EA170" t="e">
        <f>AND(#REF!,"AAAAADse/YI=")</f>
        <v>#REF!</v>
      </c>
      <c r="EB170" t="e">
        <f>AND(#REF!,"AAAAADse/YM=")</f>
        <v>#REF!</v>
      </c>
      <c r="EC170" t="e">
        <f>AND(#REF!,"AAAAADse/YQ=")</f>
        <v>#REF!</v>
      </c>
      <c r="ED170" t="e">
        <f>IF(#REF!,"AAAAADse/YU=",0)</f>
        <v>#REF!</v>
      </c>
      <c r="EE170" t="e">
        <f>AND(#REF!,"AAAAADse/YY=")</f>
        <v>#REF!</v>
      </c>
      <c r="EF170" t="e">
        <f>AND(#REF!,"AAAAADse/Yc=")</f>
        <v>#REF!</v>
      </c>
      <c r="EG170" t="e">
        <f>AND(#REF!,"AAAAADse/Yg=")</f>
        <v>#REF!</v>
      </c>
      <c r="EH170" t="e">
        <f>AND(#REF!,"AAAAADse/Yk=")</f>
        <v>#REF!</v>
      </c>
      <c r="EI170" t="e">
        <f>AND(#REF!,"AAAAADse/Yo=")</f>
        <v>#REF!</v>
      </c>
      <c r="EJ170" t="e">
        <f>AND(#REF!,"AAAAADse/Ys=")</f>
        <v>#REF!</v>
      </c>
      <c r="EK170" t="e">
        <f>AND(#REF!,"AAAAADse/Yw=")</f>
        <v>#REF!</v>
      </c>
      <c r="EL170" t="e">
        <f>AND(#REF!,"AAAAADse/Y0=")</f>
        <v>#REF!</v>
      </c>
      <c r="EM170" t="e">
        <f>AND(#REF!,"AAAAADse/Y4=")</f>
        <v>#REF!</v>
      </c>
      <c r="EN170" t="e">
        <f>AND(#REF!,"AAAAADse/Y8=")</f>
        <v>#REF!</v>
      </c>
      <c r="EO170" t="e">
        <f>AND(#REF!,"AAAAADse/ZA=")</f>
        <v>#REF!</v>
      </c>
      <c r="EP170" t="e">
        <f>AND(#REF!,"AAAAADse/ZE=")</f>
        <v>#REF!</v>
      </c>
      <c r="EQ170" t="e">
        <f>AND(#REF!,"AAAAADse/ZI=")</f>
        <v>#REF!</v>
      </c>
      <c r="ER170" t="e">
        <f>AND(#REF!,"AAAAADse/ZM=")</f>
        <v>#REF!</v>
      </c>
      <c r="ES170" t="e">
        <f>AND(#REF!,"AAAAADse/ZQ=")</f>
        <v>#REF!</v>
      </c>
      <c r="ET170" t="e">
        <f>AND(#REF!,"AAAAADse/ZU=")</f>
        <v>#REF!</v>
      </c>
      <c r="EU170" t="e">
        <f>AND(#REF!,"AAAAADse/ZY=")</f>
        <v>#REF!</v>
      </c>
      <c r="EV170" t="e">
        <f>AND(#REF!,"AAAAADse/Zc=")</f>
        <v>#REF!</v>
      </c>
      <c r="EW170" t="e">
        <f>AND(#REF!,"AAAAADse/Zg=")</f>
        <v>#REF!</v>
      </c>
      <c r="EX170" t="e">
        <f>AND(#REF!,"AAAAADse/Zk=")</f>
        <v>#REF!</v>
      </c>
      <c r="EY170" t="e">
        <f>AND(#REF!,"AAAAADse/Zo=")</f>
        <v>#REF!</v>
      </c>
      <c r="EZ170" t="e">
        <f>AND(#REF!,"AAAAADse/Zs=")</f>
        <v>#REF!</v>
      </c>
      <c r="FA170" t="e">
        <f>IF(#REF!,"AAAAADse/Zw=",0)</f>
        <v>#REF!</v>
      </c>
      <c r="FB170" t="e">
        <f>AND(#REF!,"AAAAADse/Z0=")</f>
        <v>#REF!</v>
      </c>
      <c r="FC170" t="e">
        <f>AND(#REF!,"AAAAADse/Z4=")</f>
        <v>#REF!</v>
      </c>
      <c r="FD170" t="e">
        <f>AND(#REF!,"AAAAADse/Z8=")</f>
        <v>#REF!</v>
      </c>
      <c r="FE170" t="e">
        <f>AND(#REF!,"AAAAADse/aA=")</f>
        <v>#REF!</v>
      </c>
      <c r="FF170" t="e">
        <f>AND(#REF!,"AAAAADse/aE=")</f>
        <v>#REF!</v>
      </c>
      <c r="FG170" t="e">
        <f>AND(#REF!,"AAAAADse/aI=")</f>
        <v>#REF!</v>
      </c>
      <c r="FH170" t="e">
        <f>AND(#REF!,"AAAAADse/aM=")</f>
        <v>#REF!</v>
      </c>
      <c r="FI170" t="e">
        <f>AND(#REF!,"AAAAADse/aQ=")</f>
        <v>#REF!</v>
      </c>
      <c r="FJ170" t="e">
        <f>AND(#REF!,"AAAAADse/aU=")</f>
        <v>#REF!</v>
      </c>
      <c r="FK170" t="e">
        <f>AND(#REF!,"AAAAADse/aY=")</f>
        <v>#REF!</v>
      </c>
      <c r="FL170" t="e">
        <f>AND(#REF!,"AAAAADse/ac=")</f>
        <v>#REF!</v>
      </c>
      <c r="FM170" t="e">
        <f>AND(#REF!,"AAAAADse/ag=")</f>
        <v>#REF!</v>
      </c>
      <c r="FN170" t="e">
        <f>AND(#REF!,"AAAAADse/ak=")</f>
        <v>#REF!</v>
      </c>
      <c r="FO170" t="e">
        <f>AND(#REF!,"AAAAADse/ao=")</f>
        <v>#REF!</v>
      </c>
      <c r="FP170" t="e">
        <f>AND(#REF!,"AAAAADse/as=")</f>
        <v>#REF!</v>
      </c>
      <c r="FQ170" t="e">
        <f>AND(#REF!,"AAAAADse/aw=")</f>
        <v>#REF!</v>
      </c>
      <c r="FR170" t="e">
        <f>AND(#REF!,"AAAAADse/a0=")</f>
        <v>#REF!</v>
      </c>
      <c r="FS170" t="e">
        <f>AND(#REF!,"AAAAADse/a4=")</f>
        <v>#REF!</v>
      </c>
      <c r="FT170" t="e">
        <f>AND(#REF!,"AAAAADse/a8=")</f>
        <v>#REF!</v>
      </c>
      <c r="FU170" t="e">
        <f>AND(#REF!,"AAAAADse/bA=")</f>
        <v>#REF!</v>
      </c>
      <c r="FV170" t="e">
        <f>AND(#REF!,"AAAAADse/bE=")</f>
        <v>#REF!</v>
      </c>
      <c r="FW170" t="e">
        <f>AND(#REF!,"AAAAADse/bI=")</f>
        <v>#REF!</v>
      </c>
      <c r="FX170" t="e">
        <f>IF(#REF!,"AAAAADse/bM=",0)</f>
        <v>#REF!</v>
      </c>
      <c r="FY170" t="e">
        <f>AND(#REF!,"AAAAADse/bQ=")</f>
        <v>#REF!</v>
      </c>
      <c r="FZ170" t="e">
        <f>AND(#REF!,"AAAAADse/bU=")</f>
        <v>#REF!</v>
      </c>
      <c r="GA170" t="e">
        <f>AND(#REF!,"AAAAADse/bY=")</f>
        <v>#REF!</v>
      </c>
      <c r="GB170" t="e">
        <f>AND(#REF!,"AAAAADse/bc=")</f>
        <v>#REF!</v>
      </c>
      <c r="GC170" t="e">
        <f>AND(#REF!,"AAAAADse/bg=")</f>
        <v>#REF!</v>
      </c>
      <c r="GD170" t="e">
        <f>AND(#REF!,"AAAAADse/bk=")</f>
        <v>#REF!</v>
      </c>
      <c r="GE170" t="e">
        <f>AND(#REF!,"AAAAADse/bo=")</f>
        <v>#REF!</v>
      </c>
      <c r="GF170" t="e">
        <f>AND(#REF!,"AAAAADse/bs=")</f>
        <v>#REF!</v>
      </c>
      <c r="GG170" t="e">
        <f>AND(#REF!,"AAAAADse/bw=")</f>
        <v>#REF!</v>
      </c>
      <c r="GH170" t="e">
        <f>AND(#REF!,"AAAAADse/b0=")</f>
        <v>#REF!</v>
      </c>
      <c r="GI170" t="e">
        <f>AND(#REF!,"AAAAADse/b4=")</f>
        <v>#REF!</v>
      </c>
      <c r="GJ170" t="e">
        <f>AND(#REF!,"AAAAADse/b8=")</f>
        <v>#REF!</v>
      </c>
      <c r="GK170" t="e">
        <f>AND(#REF!,"AAAAADse/cA=")</f>
        <v>#REF!</v>
      </c>
      <c r="GL170" t="e">
        <f>AND(#REF!,"AAAAADse/cE=")</f>
        <v>#REF!</v>
      </c>
      <c r="GM170" t="e">
        <f>AND(#REF!,"AAAAADse/cI=")</f>
        <v>#REF!</v>
      </c>
      <c r="GN170" t="e">
        <f>AND(#REF!,"AAAAADse/cM=")</f>
        <v>#REF!</v>
      </c>
      <c r="GO170" t="e">
        <f>AND(#REF!,"AAAAADse/cQ=")</f>
        <v>#REF!</v>
      </c>
      <c r="GP170" t="e">
        <f>AND(#REF!,"AAAAADse/cU=")</f>
        <v>#REF!</v>
      </c>
      <c r="GQ170" t="e">
        <f>AND(#REF!,"AAAAADse/cY=")</f>
        <v>#REF!</v>
      </c>
      <c r="GR170" t="e">
        <f>AND(#REF!,"AAAAADse/cc=")</f>
        <v>#REF!</v>
      </c>
      <c r="GS170" t="e">
        <f>AND(#REF!,"AAAAADse/cg=")</f>
        <v>#REF!</v>
      </c>
      <c r="GT170" t="e">
        <f>AND(#REF!,"AAAAADse/ck=")</f>
        <v>#REF!</v>
      </c>
      <c r="GU170" t="e">
        <f>IF(#REF!,"AAAAADse/co=",0)</f>
        <v>#REF!</v>
      </c>
      <c r="GV170" t="e">
        <f>AND(#REF!,"AAAAADse/cs=")</f>
        <v>#REF!</v>
      </c>
      <c r="GW170" t="e">
        <f>AND(#REF!,"AAAAADse/cw=")</f>
        <v>#REF!</v>
      </c>
      <c r="GX170" t="e">
        <f>AND(#REF!,"AAAAADse/c0=")</f>
        <v>#REF!</v>
      </c>
      <c r="GY170" t="e">
        <f>AND(#REF!,"AAAAADse/c4=")</f>
        <v>#REF!</v>
      </c>
      <c r="GZ170" t="e">
        <f>AND(#REF!,"AAAAADse/c8=")</f>
        <v>#REF!</v>
      </c>
      <c r="HA170" t="e">
        <f>AND(#REF!,"AAAAADse/dA=")</f>
        <v>#REF!</v>
      </c>
      <c r="HB170" t="e">
        <f>AND(#REF!,"AAAAADse/dE=")</f>
        <v>#REF!</v>
      </c>
      <c r="HC170" t="e">
        <f>AND(#REF!,"AAAAADse/dI=")</f>
        <v>#REF!</v>
      </c>
      <c r="HD170" t="e">
        <f>AND(#REF!,"AAAAADse/dM=")</f>
        <v>#REF!</v>
      </c>
      <c r="HE170" t="e">
        <f>AND(#REF!,"AAAAADse/dQ=")</f>
        <v>#REF!</v>
      </c>
      <c r="HF170" t="e">
        <f>AND(#REF!,"AAAAADse/dU=")</f>
        <v>#REF!</v>
      </c>
      <c r="HG170" t="e">
        <f>AND(#REF!,"AAAAADse/dY=")</f>
        <v>#REF!</v>
      </c>
      <c r="HH170" t="e">
        <f>AND(#REF!,"AAAAADse/dc=")</f>
        <v>#REF!</v>
      </c>
      <c r="HI170" t="e">
        <f>AND(#REF!,"AAAAADse/dg=")</f>
        <v>#REF!</v>
      </c>
      <c r="HJ170" t="e">
        <f>AND(#REF!,"AAAAADse/dk=")</f>
        <v>#REF!</v>
      </c>
      <c r="HK170" t="e">
        <f>AND(#REF!,"AAAAADse/do=")</f>
        <v>#REF!</v>
      </c>
      <c r="HL170" t="e">
        <f>AND(#REF!,"AAAAADse/ds=")</f>
        <v>#REF!</v>
      </c>
      <c r="HM170" t="e">
        <f>AND(#REF!,"AAAAADse/dw=")</f>
        <v>#REF!</v>
      </c>
      <c r="HN170" t="e">
        <f>AND(#REF!,"AAAAADse/d0=")</f>
        <v>#REF!</v>
      </c>
      <c r="HO170" t="e">
        <f>AND(#REF!,"AAAAADse/d4=")</f>
        <v>#REF!</v>
      </c>
      <c r="HP170" t="e">
        <f>AND(#REF!,"AAAAADse/d8=")</f>
        <v>#REF!</v>
      </c>
      <c r="HQ170" t="e">
        <f>AND(#REF!,"AAAAADse/eA=")</f>
        <v>#REF!</v>
      </c>
      <c r="HR170" t="e">
        <f>IF(#REF!,"AAAAADse/eE=",0)</f>
        <v>#REF!</v>
      </c>
      <c r="HS170" t="e">
        <f>AND(#REF!,"AAAAADse/eI=")</f>
        <v>#REF!</v>
      </c>
      <c r="HT170" t="e">
        <f>AND(#REF!,"AAAAADse/eM=")</f>
        <v>#REF!</v>
      </c>
      <c r="HU170" t="e">
        <f>AND(#REF!,"AAAAADse/eQ=")</f>
        <v>#REF!</v>
      </c>
      <c r="HV170" t="e">
        <f>AND(#REF!,"AAAAADse/eU=")</f>
        <v>#REF!</v>
      </c>
      <c r="HW170" t="e">
        <f>AND(#REF!,"AAAAADse/eY=")</f>
        <v>#REF!</v>
      </c>
      <c r="HX170" t="e">
        <f>AND(#REF!,"AAAAADse/ec=")</f>
        <v>#REF!</v>
      </c>
      <c r="HY170" t="e">
        <f>AND(#REF!,"AAAAADse/eg=")</f>
        <v>#REF!</v>
      </c>
      <c r="HZ170" t="e">
        <f>AND(#REF!,"AAAAADse/ek=")</f>
        <v>#REF!</v>
      </c>
      <c r="IA170" t="e">
        <f>AND(#REF!,"AAAAADse/eo=")</f>
        <v>#REF!</v>
      </c>
      <c r="IB170" t="e">
        <f>AND(#REF!,"AAAAADse/es=")</f>
        <v>#REF!</v>
      </c>
      <c r="IC170" t="e">
        <f>AND(#REF!,"AAAAADse/ew=")</f>
        <v>#REF!</v>
      </c>
      <c r="ID170" t="e">
        <f>AND(#REF!,"AAAAADse/e0=")</f>
        <v>#REF!</v>
      </c>
      <c r="IE170" t="e">
        <f>AND(#REF!,"AAAAADse/e4=")</f>
        <v>#REF!</v>
      </c>
      <c r="IF170" t="e">
        <f>AND(#REF!,"AAAAADse/e8=")</f>
        <v>#REF!</v>
      </c>
      <c r="IG170" t="e">
        <f>AND(#REF!,"AAAAADse/fA=")</f>
        <v>#REF!</v>
      </c>
      <c r="IH170" t="e">
        <f>AND(#REF!,"AAAAADse/fE=")</f>
        <v>#REF!</v>
      </c>
      <c r="II170" t="e">
        <f>AND(#REF!,"AAAAADse/fI=")</f>
        <v>#REF!</v>
      </c>
      <c r="IJ170" t="e">
        <f>AND(#REF!,"AAAAADse/fM=")</f>
        <v>#REF!</v>
      </c>
      <c r="IK170" t="e">
        <f>AND(#REF!,"AAAAADse/fQ=")</f>
        <v>#REF!</v>
      </c>
      <c r="IL170" t="e">
        <f>AND(#REF!,"AAAAADse/fU=")</f>
        <v>#REF!</v>
      </c>
      <c r="IM170" t="e">
        <f>AND(#REF!,"AAAAADse/fY=")</f>
        <v>#REF!</v>
      </c>
      <c r="IN170" t="e">
        <f>AND(#REF!,"AAAAADse/fc=")</f>
        <v>#REF!</v>
      </c>
      <c r="IO170" t="e">
        <f>IF(#REF!,"AAAAADse/fg=",0)</f>
        <v>#REF!</v>
      </c>
      <c r="IP170" t="e">
        <f>AND(#REF!,"AAAAADse/fk=")</f>
        <v>#REF!</v>
      </c>
      <c r="IQ170" t="e">
        <f>AND(#REF!,"AAAAADse/fo=")</f>
        <v>#REF!</v>
      </c>
      <c r="IR170" t="e">
        <f>AND(#REF!,"AAAAADse/fs=")</f>
        <v>#REF!</v>
      </c>
      <c r="IS170" t="e">
        <f>AND(#REF!,"AAAAADse/fw=")</f>
        <v>#REF!</v>
      </c>
      <c r="IT170" t="e">
        <f>AND(#REF!,"AAAAADse/f0=")</f>
        <v>#REF!</v>
      </c>
      <c r="IU170" t="e">
        <f>AND(#REF!,"AAAAADse/f4=")</f>
        <v>#REF!</v>
      </c>
      <c r="IV170" t="e">
        <f>AND(#REF!,"AAAAADse/f8=")</f>
        <v>#REF!</v>
      </c>
    </row>
    <row r="171" spans="1:256" x14ac:dyDescent="0.2">
      <c r="A171" t="e">
        <f>AND(#REF!,"AAAAAGf1ewA=")</f>
        <v>#REF!</v>
      </c>
      <c r="B171" t="e">
        <f>AND(#REF!,"AAAAAGf1ewE=")</f>
        <v>#REF!</v>
      </c>
      <c r="C171" t="e">
        <f>AND(#REF!,"AAAAAGf1ewI=")</f>
        <v>#REF!</v>
      </c>
      <c r="D171" t="e">
        <f>AND(#REF!,"AAAAAGf1ewM=")</f>
        <v>#REF!</v>
      </c>
      <c r="E171" t="e">
        <f>AND(#REF!,"AAAAAGf1ewQ=")</f>
        <v>#REF!</v>
      </c>
      <c r="F171" t="e">
        <f>AND(#REF!,"AAAAAGf1ewU=")</f>
        <v>#REF!</v>
      </c>
      <c r="G171" t="e">
        <f>AND(#REF!,"AAAAAGf1ewY=")</f>
        <v>#REF!</v>
      </c>
      <c r="H171" t="e">
        <f>AND(#REF!,"AAAAAGf1ewc=")</f>
        <v>#REF!</v>
      </c>
      <c r="I171" t="e">
        <f>AND(#REF!,"AAAAAGf1ewg=")</f>
        <v>#REF!</v>
      </c>
      <c r="J171" t="e">
        <f>AND(#REF!,"AAAAAGf1ewk=")</f>
        <v>#REF!</v>
      </c>
      <c r="K171" t="e">
        <f>AND(#REF!,"AAAAAGf1ewo=")</f>
        <v>#REF!</v>
      </c>
      <c r="L171" t="e">
        <f>AND(#REF!,"AAAAAGf1ews=")</f>
        <v>#REF!</v>
      </c>
      <c r="M171" t="e">
        <f>AND(#REF!,"AAAAAGf1eww=")</f>
        <v>#REF!</v>
      </c>
      <c r="N171" t="e">
        <f>AND(#REF!,"AAAAAGf1ew0=")</f>
        <v>#REF!</v>
      </c>
      <c r="O171" t="e">
        <f>AND(#REF!,"AAAAAGf1ew4=")</f>
        <v>#REF!</v>
      </c>
      <c r="P171" t="e">
        <f>IF(#REF!,"AAAAAGf1ew8=",0)</f>
        <v>#REF!</v>
      </c>
      <c r="Q171" t="e">
        <f>AND(#REF!,"AAAAAGf1exA=")</f>
        <v>#REF!</v>
      </c>
      <c r="R171" t="e">
        <f>AND(#REF!,"AAAAAGf1exE=")</f>
        <v>#REF!</v>
      </c>
      <c r="S171" t="e">
        <f>AND(#REF!,"AAAAAGf1exI=")</f>
        <v>#REF!</v>
      </c>
      <c r="T171" t="e">
        <f>AND(#REF!,"AAAAAGf1exM=")</f>
        <v>#REF!</v>
      </c>
      <c r="U171" t="e">
        <f>AND(#REF!,"AAAAAGf1exQ=")</f>
        <v>#REF!</v>
      </c>
      <c r="V171" t="e">
        <f>AND(#REF!,"AAAAAGf1exU=")</f>
        <v>#REF!</v>
      </c>
      <c r="W171" t="e">
        <f>AND(#REF!,"AAAAAGf1exY=")</f>
        <v>#REF!</v>
      </c>
      <c r="X171" t="e">
        <f>AND(#REF!,"AAAAAGf1exc=")</f>
        <v>#REF!</v>
      </c>
      <c r="Y171" t="e">
        <f>AND(#REF!,"AAAAAGf1exg=")</f>
        <v>#REF!</v>
      </c>
      <c r="Z171" t="e">
        <f>AND(#REF!,"AAAAAGf1exk=")</f>
        <v>#REF!</v>
      </c>
      <c r="AA171" t="e">
        <f>AND(#REF!,"AAAAAGf1exo=")</f>
        <v>#REF!</v>
      </c>
      <c r="AB171" t="e">
        <f>AND(#REF!,"AAAAAGf1exs=")</f>
        <v>#REF!</v>
      </c>
      <c r="AC171" t="e">
        <f>AND(#REF!,"AAAAAGf1exw=")</f>
        <v>#REF!</v>
      </c>
      <c r="AD171" t="e">
        <f>AND(#REF!,"AAAAAGf1ex0=")</f>
        <v>#REF!</v>
      </c>
      <c r="AE171" t="e">
        <f>AND(#REF!,"AAAAAGf1ex4=")</f>
        <v>#REF!</v>
      </c>
      <c r="AF171" t="e">
        <f>AND(#REF!,"AAAAAGf1ex8=")</f>
        <v>#REF!</v>
      </c>
      <c r="AG171" t="e">
        <f>AND(#REF!,"AAAAAGf1eyA=")</f>
        <v>#REF!</v>
      </c>
      <c r="AH171" t="e">
        <f>AND(#REF!,"AAAAAGf1eyE=")</f>
        <v>#REF!</v>
      </c>
      <c r="AI171" t="e">
        <f>AND(#REF!,"AAAAAGf1eyI=")</f>
        <v>#REF!</v>
      </c>
      <c r="AJ171" t="e">
        <f>AND(#REF!,"AAAAAGf1eyM=")</f>
        <v>#REF!</v>
      </c>
      <c r="AK171" t="e">
        <f>AND(#REF!,"AAAAAGf1eyQ=")</f>
        <v>#REF!</v>
      </c>
      <c r="AL171" t="e">
        <f>AND(#REF!,"AAAAAGf1eyU=")</f>
        <v>#REF!</v>
      </c>
      <c r="AM171" t="e">
        <f>IF(#REF!,"AAAAAGf1eyY=",0)</f>
        <v>#REF!</v>
      </c>
      <c r="AN171" t="e">
        <f>AND(#REF!,"AAAAAGf1eyc=")</f>
        <v>#REF!</v>
      </c>
      <c r="AO171" t="e">
        <f>AND(#REF!,"AAAAAGf1eyg=")</f>
        <v>#REF!</v>
      </c>
      <c r="AP171" t="e">
        <f>AND(#REF!,"AAAAAGf1eyk=")</f>
        <v>#REF!</v>
      </c>
      <c r="AQ171" t="e">
        <f>AND(#REF!,"AAAAAGf1eyo=")</f>
        <v>#REF!</v>
      </c>
      <c r="AR171" t="e">
        <f>AND(#REF!,"AAAAAGf1eys=")</f>
        <v>#REF!</v>
      </c>
      <c r="AS171" t="e">
        <f>AND(#REF!,"AAAAAGf1eyw=")</f>
        <v>#REF!</v>
      </c>
      <c r="AT171" t="e">
        <f>AND(#REF!,"AAAAAGf1ey0=")</f>
        <v>#REF!</v>
      </c>
      <c r="AU171" t="e">
        <f>AND(#REF!,"AAAAAGf1ey4=")</f>
        <v>#REF!</v>
      </c>
      <c r="AV171" t="e">
        <f>AND(#REF!,"AAAAAGf1ey8=")</f>
        <v>#REF!</v>
      </c>
      <c r="AW171" t="e">
        <f>AND(#REF!,"AAAAAGf1ezA=")</f>
        <v>#REF!</v>
      </c>
      <c r="AX171" t="e">
        <f>AND(#REF!,"AAAAAGf1ezE=")</f>
        <v>#REF!</v>
      </c>
      <c r="AY171" t="e">
        <f>AND(#REF!,"AAAAAGf1ezI=")</f>
        <v>#REF!</v>
      </c>
      <c r="AZ171" t="e">
        <f>AND(#REF!,"AAAAAGf1ezM=")</f>
        <v>#REF!</v>
      </c>
      <c r="BA171" t="e">
        <f>AND(#REF!,"AAAAAGf1ezQ=")</f>
        <v>#REF!</v>
      </c>
      <c r="BB171" t="e">
        <f>AND(#REF!,"AAAAAGf1ezU=")</f>
        <v>#REF!</v>
      </c>
      <c r="BC171" t="e">
        <f>AND(#REF!,"AAAAAGf1ezY=")</f>
        <v>#REF!</v>
      </c>
      <c r="BD171" t="e">
        <f>AND(#REF!,"AAAAAGf1ezc=")</f>
        <v>#REF!</v>
      </c>
      <c r="BE171" t="e">
        <f>AND(#REF!,"AAAAAGf1ezg=")</f>
        <v>#REF!</v>
      </c>
      <c r="BF171" t="e">
        <f>AND(#REF!,"AAAAAGf1ezk=")</f>
        <v>#REF!</v>
      </c>
      <c r="BG171" t="e">
        <f>AND(#REF!,"AAAAAGf1ezo=")</f>
        <v>#REF!</v>
      </c>
      <c r="BH171" t="e">
        <f>AND(#REF!,"AAAAAGf1ezs=")</f>
        <v>#REF!</v>
      </c>
      <c r="BI171" t="e">
        <f>AND(#REF!,"AAAAAGf1ezw=")</f>
        <v>#REF!</v>
      </c>
      <c r="BJ171" t="e">
        <f>IF(#REF!,"AAAAAGf1ez0=",0)</f>
        <v>#REF!</v>
      </c>
      <c r="BK171" t="e">
        <f>AND(#REF!,"AAAAAGf1ez4=")</f>
        <v>#REF!</v>
      </c>
      <c r="BL171" t="e">
        <f>AND(#REF!,"AAAAAGf1ez8=")</f>
        <v>#REF!</v>
      </c>
      <c r="BM171" t="e">
        <f>AND(#REF!,"AAAAAGf1e0A=")</f>
        <v>#REF!</v>
      </c>
      <c r="BN171" t="e">
        <f>AND(#REF!,"AAAAAGf1e0E=")</f>
        <v>#REF!</v>
      </c>
      <c r="BO171" t="e">
        <f>AND(#REF!,"AAAAAGf1e0I=")</f>
        <v>#REF!</v>
      </c>
      <c r="BP171" t="e">
        <f>AND(#REF!,"AAAAAGf1e0M=")</f>
        <v>#REF!</v>
      </c>
      <c r="BQ171" t="e">
        <f>AND(#REF!,"AAAAAGf1e0Q=")</f>
        <v>#REF!</v>
      </c>
      <c r="BR171" t="e">
        <f>AND(#REF!,"AAAAAGf1e0U=")</f>
        <v>#REF!</v>
      </c>
      <c r="BS171" t="e">
        <f>AND(#REF!,"AAAAAGf1e0Y=")</f>
        <v>#REF!</v>
      </c>
      <c r="BT171" t="e">
        <f>AND(#REF!,"AAAAAGf1e0c=")</f>
        <v>#REF!</v>
      </c>
      <c r="BU171" t="e">
        <f>AND(#REF!,"AAAAAGf1e0g=")</f>
        <v>#REF!</v>
      </c>
      <c r="BV171" t="e">
        <f>AND(#REF!,"AAAAAGf1e0k=")</f>
        <v>#REF!</v>
      </c>
      <c r="BW171" t="e">
        <f>AND(#REF!,"AAAAAGf1e0o=")</f>
        <v>#REF!</v>
      </c>
      <c r="BX171" t="e">
        <f>AND(#REF!,"AAAAAGf1e0s=")</f>
        <v>#REF!</v>
      </c>
      <c r="BY171" t="e">
        <f>AND(#REF!,"AAAAAGf1e0w=")</f>
        <v>#REF!</v>
      </c>
      <c r="BZ171" t="e">
        <f>AND(#REF!,"AAAAAGf1e00=")</f>
        <v>#REF!</v>
      </c>
      <c r="CA171" t="e">
        <f>AND(#REF!,"AAAAAGf1e04=")</f>
        <v>#REF!</v>
      </c>
      <c r="CB171" t="e">
        <f>AND(#REF!,"AAAAAGf1e08=")</f>
        <v>#REF!</v>
      </c>
      <c r="CC171" t="e">
        <f>AND(#REF!,"AAAAAGf1e1A=")</f>
        <v>#REF!</v>
      </c>
      <c r="CD171" t="e">
        <f>AND(#REF!,"AAAAAGf1e1E=")</f>
        <v>#REF!</v>
      </c>
      <c r="CE171" t="e">
        <f>AND(#REF!,"AAAAAGf1e1I=")</f>
        <v>#REF!</v>
      </c>
      <c r="CF171" t="e">
        <f>AND(#REF!,"AAAAAGf1e1M=")</f>
        <v>#REF!</v>
      </c>
      <c r="CG171" t="e">
        <f>IF(#REF!,"AAAAAGf1e1Q=",0)</f>
        <v>#REF!</v>
      </c>
      <c r="CH171" t="e">
        <f>AND(#REF!,"AAAAAGf1e1U=")</f>
        <v>#REF!</v>
      </c>
      <c r="CI171" t="e">
        <f>AND(#REF!,"AAAAAGf1e1Y=")</f>
        <v>#REF!</v>
      </c>
      <c r="CJ171" t="e">
        <f>AND(#REF!,"AAAAAGf1e1c=")</f>
        <v>#REF!</v>
      </c>
      <c r="CK171" t="e">
        <f>AND(#REF!,"AAAAAGf1e1g=")</f>
        <v>#REF!</v>
      </c>
      <c r="CL171" t="e">
        <f>AND(#REF!,"AAAAAGf1e1k=")</f>
        <v>#REF!</v>
      </c>
      <c r="CM171" t="e">
        <f>AND(#REF!,"AAAAAGf1e1o=")</f>
        <v>#REF!</v>
      </c>
      <c r="CN171" t="e">
        <f>AND(#REF!,"AAAAAGf1e1s=")</f>
        <v>#REF!</v>
      </c>
      <c r="CO171" t="e">
        <f>AND(#REF!,"AAAAAGf1e1w=")</f>
        <v>#REF!</v>
      </c>
      <c r="CP171" t="e">
        <f>AND(#REF!,"AAAAAGf1e10=")</f>
        <v>#REF!</v>
      </c>
      <c r="CQ171" t="e">
        <f>AND(#REF!,"AAAAAGf1e14=")</f>
        <v>#REF!</v>
      </c>
      <c r="CR171" t="e">
        <f>AND(#REF!,"AAAAAGf1e18=")</f>
        <v>#REF!</v>
      </c>
      <c r="CS171" t="e">
        <f>AND(#REF!,"AAAAAGf1e2A=")</f>
        <v>#REF!</v>
      </c>
      <c r="CT171" t="e">
        <f>AND(#REF!,"AAAAAGf1e2E=")</f>
        <v>#REF!</v>
      </c>
      <c r="CU171" t="e">
        <f>AND(#REF!,"AAAAAGf1e2I=")</f>
        <v>#REF!</v>
      </c>
      <c r="CV171" t="e">
        <f>AND(#REF!,"AAAAAGf1e2M=")</f>
        <v>#REF!</v>
      </c>
      <c r="CW171" t="e">
        <f>AND(#REF!,"AAAAAGf1e2Q=")</f>
        <v>#REF!</v>
      </c>
      <c r="CX171" t="e">
        <f>AND(#REF!,"AAAAAGf1e2U=")</f>
        <v>#REF!</v>
      </c>
      <c r="CY171" t="e">
        <f>AND(#REF!,"AAAAAGf1e2Y=")</f>
        <v>#REF!</v>
      </c>
      <c r="CZ171" t="e">
        <f>AND(#REF!,"AAAAAGf1e2c=")</f>
        <v>#REF!</v>
      </c>
      <c r="DA171" t="e">
        <f>AND(#REF!,"AAAAAGf1e2g=")</f>
        <v>#REF!</v>
      </c>
      <c r="DB171" t="e">
        <f>AND(#REF!,"AAAAAGf1e2k=")</f>
        <v>#REF!</v>
      </c>
      <c r="DC171" t="e">
        <f>AND(#REF!,"AAAAAGf1e2o=")</f>
        <v>#REF!</v>
      </c>
      <c r="DD171" t="e">
        <f>IF(#REF!,"AAAAAGf1e2s=",0)</f>
        <v>#REF!</v>
      </c>
      <c r="DE171" t="e">
        <f>AND(#REF!,"AAAAAGf1e2w=")</f>
        <v>#REF!</v>
      </c>
      <c r="DF171" t="e">
        <f>AND(#REF!,"AAAAAGf1e20=")</f>
        <v>#REF!</v>
      </c>
      <c r="DG171" t="e">
        <f>AND(#REF!,"AAAAAGf1e24=")</f>
        <v>#REF!</v>
      </c>
      <c r="DH171" t="e">
        <f>AND(#REF!,"AAAAAGf1e28=")</f>
        <v>#REF!</v>
      </c>
      <c r="DI171" t="e">
        <f>AND(#REF!,"AAAAAGf1e3A=")</f>
        <v>#REF!</v>
      </c>
      <c r="DJ171" t="e">
        <f>AND(#REF!,"AAAAAGf1e3E=")</f>
        <v>#REF!</v>
      </c>
      <c r="DK171" t="e">
        <f>AND(#REF!,"AAAAAGf1e3I=")</f>
        <v>#REF!</v>
      </c>
      <c r="DL171" t="e">
        <f>AND(#REF!,"AAAAAGf1e3M=")</f>
        <v>#REF!</v>
      </c>
      <c r="DM171" t="e">
        <f>AND(#REF!,"AAAAAGf1e3Q=")</f>
        <v>#REF!</v>
      </c>
      <c r="DN171" t="e">
        <f>AND(#REF!,"AAAAAGf1e3U=")</f>
        <v>#REF!</v>
      </c>
      <c r="DO171" t="e">
        <f>AND(#REF!,"AAAAAGf1e3Y=")</f>
        <v>#REF!</v>
      </c>
      <c r="DP171" t="e">
        <f>AND(#REF!,"AAAAAGf1e3c=")</f>
        <v>#REF!</v>
      </c>
      <c r="DQ171" t="e">
        <f>AND(#REF!,"AAAAAGf1e3g=")</f>
        <v>#REF!</v>
      </c>
      <c r="DR171" t="e">
        <f>AND(#REF!,"AAAAAGf1e3k=")</f>
        <v>#REF!</v>
      </c>
      <c r="DS171" t="e">
        <f>AND(#REF!,"AAAAAGf1e3o=")</f>
        <v>#REF!</v>
      </c>
      <c r="DT171" t="e">
        <f>AND(#REF!,"AAAAAGf1e3s=")</f>
        <v>#REF!</v>
      </c>
      <c r="DU171" t="e">
        <f>AND(#REF!,"AAAAAGf1e3w=")</f>
        <v>#REF!</v>
      </c>
      <c r="DV171" t="e">
        <f>AND(#REF!,"AAAAAGf1e30=")</f>
        <v>#REF!</v>
      </c>
      <c r="DW171" t="e">
        <f>AND(#REF!,"AAAAAGf1e34=")</f>
        <v>#REF!</v>
      </c>
      <c r="DX171" t="e">
        <f>AND(#REF!,"AAAAAGf1e38=")</f>
        <v>#REF!</v>
      </c>
      <c r="DY171" t="e">
        <f>AND(#REF!,"AAAAAGf1e4A=")</f>
        <v>#REF!</v>
      </c>
      <c r="DZ171" t="e">
        <f>AND(#REF!,"AAAAAGf1e4E=")</f>
        <v>#REF!</v>
      </c>
      <c r="EA171" t="e">
        <f>IF(#REF!,"AAAAAGf1e4I=",0)</f>
        <v>#REF!</v>
      </c>
      <c r="EB171" t="e">
        <f>AND(#REF!,"AAAAAGf1e4M=")</f>
        <v>#REF!</v>
      </c>
      <c r="EC171" t="e">
        <f>AND(#REF!,"AAAAAGf1e4Q=")</f>
        <v>#REF!</v>
      </c>
      <c r="ED171" t="e">
        <f>AND(#REF!,"AAAAAGf1e4U=")</f>
        <v>#REF!</v>
      </c>
      <c r="EE171" t="e">
        <f>AND(#REF!,"AAAAAGf1e4Y=")</f>
        <v>#REF!</v>
      </c>
      <c r="EF171" t="e">
        <f>AND(#REF!,"AAAAAGf1e4c=")</f>
        <v>#REF!</v>
      </c>
      <c r="EG171" t="e">
        <f>AND(#REF!,"AAAAAGf1e4g=")</f>
        <v>#REF!</v>
      </c>
      <c r="EH171" t="e">
        <f>AND(#REF!,"AAAAAGf1e4k=")</f>
        <v>#REF!</v>
      </c>
      <c r="EI171" t="e">
        <f>AND(#REF!,"AAAAAGf1e4o=")</f>
        <v>#REF!</v>
      </c>
      <c r="EJ171" t="e">
        <f>AND(#REF!,"AAAAAGf1e4s=")</f>
        <v>#REF!</v>
      </c>
      <c r="EK171" t="e">
        <f>AND(#REF!,"AAAAAGf1e4w=")</f>
        <v>#REF!</v>
      </c>
      <c r="EL171" t="e">
        <f>AND(#REF!,"AAAAAGf1e40=")</f>
        <v>#REF!</v>
      </c>
      <c r="EM171" t="e">
        <f>AND(#REF!,"AAAAAGf1e44=")</f>
        <v>#REF!</v>
      </c>
      <c r="EN171" t="e">
        <f>AND(#REF!,"AAAAAGf1e48=")</f>
        <v>#REF!</v>
      </c>
      <c r="EO171" t="e">
        <f>AND(#REF!,"AAAAAGf1e5A=")</f>
        <v>#REF!</v>
      </c>
      <c r="EP171" t="e">
        <f>AND(#REF!,"AAAAAGf1e5E=")</f>
        <v>#REF!</v>
      </c>
      <c r="EQ171" t="e">
        <f>AND(#REF!,"AAAAAGf1e5I=")</f>
        <v>#REF!</v>
      </c>
      <c r="ER171" t="e">
        <f>AND(#REF!,"AAAAAGf1e5M=")</f>
        <v>#REF!</v>
      </c>
      <c r="ES171" t="e">
        <f>AND(#REF!,"AAAAAGf1e5Q=")</f>
        <v>#REF!</v>
      </c>
      <c r="ET171" t="e">
        <f>AND(#REF!,"AAAAAGf1e5U=")</f>
        <v>#REF!</v>
      </c>
      <c r="EU171" t="e">
        <f>AND(#REF!,"AAAAAGf1e5Y=")</f>
        <v>#REF!</v>
      </c>
      <c r="EV171" t="e">
        <f>AND(#REF!,"AAAAAGf1e5c=")</f>
        <v>#REF!</v>
      </c>
      <c r="EW171" t="e">
        <f>AND(#REF!,"AAAAAGf1e5g=")</f>
        <v>#REF!</v>
      </c>
      <c r="EX171" t="e">
        <f>IF(#REF!,"AAAAAGf1e5k=",0)</f>
        <v>#REF!</v>
      </c>
      <c r="EY171" t="e">
        <f>AND(#REF!,"AAAAAGf1e5o=")</f>
        <v>#REF!</v>
      </c>
      <c r="EZ171" t="e">
        <f>AND(#REF!,"AAAAAGf1e5s=")</f>
        <v>#REF!</v>
      </c>
      <c r="FA171" t="e">
        <f>AND(#REF!,"AAAAAGf1e5w=")</f>
        <v>#REF!</v>
      </c>
      <c r="FB171" t="e">
        <f>AND(#REF!,"AAAAAGf1e50=")</f>
        <v>#REF!</v>
      </c>
      <c r="FC171" t="e">
        <f>AND(#REF!,"AAAAAGf1e54=")</f>
        <v>#REF!</v>
      </c>
      <c r="FD171" t="e">
        <f>AND(#REF!,"AAAAAGf1e58=")</f>
        <v>#REF!</v>
      </c>
      <c r="FE171" t="e">
        <f>AND(#REF!,"AAAAAGf1e6A=")</f>
        <v>#REF!</v>
      </c>
      <c r="FF171" t="e">
        <f>AND(#REF!,"AAAAAGf1e6E=")</f>
        <v>#REF!</v>
      </c>
      <c r="FG171" t="e">
        <f>AND(#REF!,"AAAAAGf1e6I=")</f>
        <v>#REF!</v>
      </c>
      <c r="FH171" t="e">
        <f>AND(#REF!,"AAAAAGf1e6M=")</f>
        <v>#REF!</v>
      </c>
      <c r="FI171" t="e">
        <f>AND(#REF!,"AAAAAGf1e6Q=")</f>
        <v>#REF!</v>
      </c>
      <c r="FJ171" t="e">
        <f>AND(#REF!,"AAAAAGf1e6U=")</f>
        <v>#REF!</v>
      </c>
      <c r="FK171" t="e">
        <f>AND(#REF!,"AAAAAGf1e6Y=")</f>
        <v>#REF!</v>
      </c>
      <c r="FL171" t="e">
        <f>AND(#REF!,"AAAAAGf1e6c=")</f>
        <v>#REF!</v>
      </c>
      <c r="FM171" t="e">
        <f>AND(#REF!,"AAAAAGf1e6g=")</f>
        <v>#REF!</v>
      </c>
      <c r="FN171" t="e">
        <f>AND(#REF!,"AAAAAGf1e6k=")</f>
        <v>#REF!</v>
      </c>
      <c r="FO171" t="e">
        <f>AND(#REF!,"AAAAAGf1e6o=")</f>
        <v>#REF!</v>
      </c>
      <c r="FP171" t="e">
        <f>AND(#REF!,"AAAAAGf1e6s=")</f>
        <v>#REF!</v>
      </c>
      <c r="FQ171" t="e">
        <f>AND(#REF!,"AAAAAGf1e6w=")</f>
        <v>#REF!</v>
      </c>
      <c r="FR171" t="e">
        <f>AND(#REF!,"AAAAAGf1e60=")</f>
        <v>#REF!</v>
      </c>
      <c r="FS171" t="e">
        <f>AND(#REF!,"AAAAAGf1e64=")</f>
        <v>#REF!</v>
      </c>
      <c r="FT171" t="e">
        <f>AND(#REF!,"AAAAAGf1e68=")</f>
        <v>#REF!</v>
      </c>
      <c r="FU171" t="e">
        <f>IF(#REF!,"AAAAAGf1e7A=",0)</f>
        <v>#REF!</v>
      </c>
      <c r="FV171" t="e">
        <f>AND(#REF!,"AAAAAGf1e7E=")</f>
        <v>#REF!</v>
      </c>
      <c r="FW171" t="e">
        <f>AND(#REF!,"AAAAAGf1e7I=")</f>
        <v>#REF!</v>
      </c>
      <c r="FX171" t="e">
        <f>AND(#REF!,"AAAAAGf1e7M=")</f>
        <v>#REF!</v>
      </c>
      <c r="FY171" t="e">
        <f>AND(#REF!,"AAAAAGf1e7Q=")</f>
        <v>#REF!</v>
      </c>
      <c r="FZ171" t="e">
        <f>AND(#REF!,"AAAAAGf1e7U=")</f>
        <v>#REF!</v>
      </c>
      <c r="GA171" t="e">
        <f>AND(#REF!,"AAAAAGf1e7Y=")</f>
        <v>#REF!</v>
      </c>
      <c r="GB171" t="e">
        <f>AND(#REF!,"AAAAAGf1e7c=")</f>
        <v>#REF!</v>
      </c>
      <c r="GC171" t="e">
        <f>AND(#REF!,"AAAAAGf1e7g=")</f>
        <v>#REF!</v>
      </c>
      <c r="GD171" t="e">
        <f>AND(#REF!,"AAAAAGf1e7k=")</f>
        <v>#REF!</v>
      </c>
      <c r="GE171" t="e">
        <f>AND(#REF!,"AAAAAGf1e7o=")</f>
        <v>#REF!</v>
      </c>
      <c r="GF171" t="e">
        <f>AND(#REF!,"AAAAAGf1e7s=")</f>
        <v>#REF!</v>
      </c>
      <c r="GG171" t="e">
        <f>AND(#REF!,"AAAAAGf1e7w=")</f>
        <v>#REF!</v>
      </c>
      <c r="GH171" t="e">
        <f>AND(#REF!,"AAAAAGf1e70=")</f>
        <v>#REF!</v>
      </c>
      <c r="GI171" t="e">
        <f>AND(#REF!,"AAAAAGf1e74=")</f>
        <v>#REF!</v>
      </c>
      <c r="GJ171" t="e">
        <f>AND(#REF!,"AAAAAGf1e78=")</f>
        <v>#REF!</v>
      </c>
      <c r="GK171" t="e">
        <f>AND(#REF!,"AAAAAGf1e8A=")</f>
        <v>#REF!</v>
      </c>
      <c r="GL171" t="e">
        <f>AND(#REF!,"AAAAAGf1e8E=")</f>
        <v>#REF!</v>
      </c>
      <c r="GM171" t="e">
        <f>AND(#REF!,"AAAAAGf1e8I=")</f>
        <v>#REF!</v>
      </c>
      <c r="GN171" t="e">
        <f>AND(#REF!,"AAAAAGf1e8M=")</f>
        <v>#REF!</v>
      </c>
      <c r="GO171" t="e">
        <f>AND(#REF!,"AAAAAGf1e8Q=")</f>
        <v>#REF!</v>
      </c>
      <c r="GP171" t="e">
        <f>AND(#REF!,"AAAAAGf1e8U=")</f>
        <v>#REF!</v>
      </c>
      <c r="GQ171" t="e">
        <f>AND(#REF!,"AAAAAGf1e8Y=")</f>
        <v>#REF!</v>
      </c>
      <c r="GR171" t="e">
        <f>IF(#REF!,"AAAAAGf1e8c=",0)</f>
        <v>#REF!</v>
      </c>
      <c r="GS171" t="e">
        <f>AND(#REF!,"AAAAAGf1e8g=")</f>
        <v>#REF!</v>
      </c>
      <c r="GT171" t="e">
        <f>AND(#REF!,"AAAAAGf1e8k=")</f>
        <v>#REF!</v>
      </c>
      <c r="GU171" t="e">
        <f>AND(#REF!,"AAAAAGf1e8o=")</f>
        <v>#REF!</v>
      </c>
      <c r="GV171" t="e">
        <f>AND(#REF!,"AAAAAGf1e8s=")</f>
        <v>#REF!</v>
      </c>
      <c r="GW171" t="e">
        <f>AND(#REF!,"AAAAAGf1e8w=")</f>
        <v>#REF!</v>
      </c>
      <c r="GX171" t="e">
        <f>AND(#REF!,"AAAAAGf1e80=")</f>
        <v>#REF!</v>
      </c>
      <c r="GY171" t="e">
        <f>AND(#REF!,"AAAAAGf1e84=")</f>
        <v>#REF!</v>
      </c>
      <c r="GZ171" t="e">
        <f>AND(#REF!,"AAAAAGf1e88=")</f>
        <v>#REF!</v>
      </c>
      <c r="HA171" t="e">
        <f>AND(#REF!,"AAAAAGf1e9A=")</f>
        <v>#REF!</v>
      </c>
      <c r="HB171" t="e">
        <f>AND(#REF!,"AAAAAGf1e9E=")</f>
        <v>#REF!</v>
      </c>
      <c r="HC171" t="e">
        <f>AND(#REF!,"AAAAAGf1e9I=")</f>
        <v>#REF!</v>
      </c>
      <c r="HD171" t="e">
        <f>AND(#REF!,"AAAAAGf1e9M=")</f>
        <v>#REF!</v>
      </c>
      <c r="HE171" t="e">
        <f>AND(#REF!,"AAAAAGf1e9Q=")</f>
        <v>#REF!</v>
      </c>
      <c r="HF171" t="e">
        <f>AND(#REF!,"AAAAAGf1e9U=")</f>
        <v>#REF!</v>
      </c>
      <c r="HG171" t="e">
        <f>AND(#REF!,"AAAAAGf1e9Y=")</f>
        <v>#REF!</v>
      </c>
      <c r="HH171" t="e">
        <f>AND(#REF!,"AAAAAGf1e9c=")</f>
        <v>#REF!</v>
      </c>
      <c r="HI171" t="e">
        <f>AND(#REF!,"AAAAAGf1e9g=")</f>
        <v>#REF!</v>
      </c>
      <c r="HJ171" t="e">
        <f>AND(#REF!,"AAAAAGf1e9k=")</f>
        <v>#REF!</v>
      </c>
      <c r="HK171" t="e">
        <f>AND(#REF!,"AAAAAGf1e9o=")</f>
        <v>#REF!</v>
      </c>
      <c r="HL171" t="e">
        <f>AND(#REF!,"AAAAAGf1e9s=")</f>
        <v>#REF!</v>
      </c>
      <c r="HM171" t="e">
        <f>AND(#REF!,"AAAAAGf1e9w=")</f>
        <v>#REF!</v>
      </c>
      <c r="HN171" t="e">
        <f>AND(#REF!,"AAAAAGf1e90=")</f>
        <v>#REF!</v>
      </c>
      <c r="HO171" t="e">
        <f>IF(#REF!,"AAAAAGf1e94=",0)</f>
        <v>#REF!</v>
      </c>
      <c r="HP171" t="e">
        <f>AND(#REF!,"AAAAAGf1e98=")</f>
        <v>#REF!</v>
      </c>
      <c r="HQ171" t="e">
        <f>AND(#REF!,"AAAAAGf1e+A=")</f>
        <v>#REF!</v>
      </c>
      <c r="HR171" t="e">
        <f>AND(#REF!,"AAAAAGf1e+E=")</f>
        <v>#REF!</v>
      </c>
      <c r="HS171" t="e">
        <f>AND(#REF!,"AAAAAGf1e+I=")</f>
        <v>#REF!</v>
      </c>
      <c r="HT171" t="e">
        <f>AND(#REF!,"AAAAAGf1e+M=")</f>
        <v>#REF!</v>
      </c>
      <c r="HU171" t="e">
        <f>AND(#REF!,"AAAAAGf1e+Q=")</f>
        <v>#REF!</v>
      </c>
      <c r="HV171" t="e">
        <f>AND(#REF!,"AAAAAGf1e+U=")</f>
        <v>#REF!</v>
      </c>
      <c r="HW171" t="e">
        <f>AND(#REF!,"AAAAAGf1e+Y=")</f>
        <v>#REF!</v>
      </c>
      <c r="HX171" t="e">
        <f>AND(#REF!,"AAAAAGf1e+c=")</f>
        <v>#REF!</v>
      </c>
      <c r="HY171" t="e">
        <f>AND(#REF!,"AAAAAGf1e+g=")</f>
        <v>#REF!</v>
      </c>
      <c r="HZ171" t="e">
        <f>AND(#REF!,"AAAAAGf1e+k=")</f>
        <v>#REF!</v>
      </c>
      <c r="IA171" t="e">
        <f>AND(#REF!,"AAAAAGf1e+o=")</f>
        <v>#REF!</v>
      </c>
      <c r="IB171" t="e">
        <f>AND(#REF!,"AAAAAGf1e+s=")</f>
        <v>#REF!</v>
      </c>
      <c r="IC171" t="e">
        <f>AND(#REF!,"AAAAAGf1e+w=")</f>
        <v>#REF!</v>
      </c>
      <c r="ID171" t="e">
        <f>AND(#REF!,"AAAAAGf1e+0=")</f>
        <v>#REF!</v>
      </c>
      <c r="IE171" t="e">
        <f>AND(#REF!,"AAAAAGf1e+4=")</f>
        <v>#REF!</v>
      </c>
      <c r="IF171" t="e">
        <f>AND(#REF!,"AAAAAGf1e+8=")</f>
        <v>#REF!</v>
      </c>
      <c r="IG171" t="e">
        <f>AND(#REF!,"AAAAAGf1e/A=")</f>
        <v>#REF!</v>
      </c>
      <c r="IH171" t="e">
        <f>AND(#REF!,"AAAAAGf1e/E=")</f>
        <v>#REF!</v>
      </c>
      <c r="II171" t="e">
        <f>AND(#REF!,"AAAAAGf1e/I=")</f>
        <v>#REF!</v>
      </c>
      <c r="IJ171" t="e">
        <f>AND(#REF!,"AAAAAGf1e/M=")</f>
        <v>#REF!</v>
      </c>
      <c r="IK171" t="e">
        <f>AND(#REF!,"AAAAAGf1e/Q=")</f>
        <v>#REF!</v>
      </c>
      <c r="IL171" t="e">
        <f>IF(#REF!,"AAAAAGf1e/U=",0)</f>
        <v>#REF!</v>
      </c>
      <c r="IM171" t="e">
        <f>AND(#REF!,"AAAAAGf1e/Y=")</f>
        <v>#REF!</v>
      </c>
      <c r="IN171" t="e">
        <f>AND(#REF!,"AAAAAGf1e/c=")</f>
        <v>#REF!</v>
      </c>
      <c r="IO171" t="e">
        <f>AND(#REF!,"AAAAAGf1e/g=")</f>
        <v>#REF!</v>
      </c>
      <c r="IP171" t="e">
        <f>AND(#REF!,"AAAAAGf1e/k=")</f>
        <v>#REF!</v>
      </c>
      <c r="IQ171" t="e">
        <f>AND(#REF!,"AAAAAGf1e/o=")</f>
        <v>#REF!</v>
      </c>
      <c r="IR171" t="e">
        <f>AND(#REF!,"AAAAAGf1e/s=")</f>
        <v>#REF!</v>
      </c>
      <c r="IS171" t="e">
        <f>AND(#REF!,"AAAAAGf1e/w=")</f>
        <v>#REF!</v>
      </c>
      <c r="IT171" t="e">
        <f>AND(#REF!,"AAAAAGf1e/0=")</f>
        <v>#REF!</v>
      </c>
      <c r="IU171" t="e">
        <f>AND(#REF!,"AAAAAGf1e/4=")</f>
        <v>#REF!</v>
      </c>
      <c r="IV171" t="e">
        <f>AND(#REF!,"AAAAAGf1e/8=")</f>
        <v>#REF!</v>
      </c>
    </row>
    <row r="172" spans="1:256" x14ac:dyDescent="0.2">
      <c r="A172" t="e">
        <f>AND(#REF!,"AAAAAH//7QA=")</f>
        <v>#REF!</v>
      </c>
      <c r="B172" t="e">
        <f>AND(#REF!,"AAAAAH//7QE=")</f>
        <v>#REF!</v>
      </c>
      <c r="C172" t="e">
        <f>AND(#REF!,"AAAAAH//7QI=")</f>
        <v>#REF!</v>
      </c>
      <c r="D172" t="e">
        <f>AND(#REF!,"AAAAAH//7QM=")</f>
        <v>#REF!</v>
      </c>
      <c r="E172" t="e">
        <f>AND(#REF!,"AAAAAH//7QQ=")</f>
        <v>#REF!</v>
      </c>
      <c r="F172" t="e">
        <f>AND(#REF!,"AAAAAH//7QU=")</f>
        <v>#REF!</v>
      </c>
      <c r="G172" t="e">
        <f>AND(#REF!,"AAAAAH//7QY=")</f>
        <v>#REF!</v>
      </c>
      <c r="H172" t="e">
        <f>AND(#REF!,"AAAAAH//7Qc=")</f>
        <v>#REF!</v>
      </c>
      <c r="I172" t="e">
        <f>AND(#REF!,"AAAAAH//7Qg=")</f>
        <v>#REF!</v>
      </c>
      <c r="J172" t="e">
        <f>AND(#REF!,"AAAAAH//7Qk=")</f>
        <v>#REF!</v>
      </c>
      <c r="K172" t="e">
        <f>AND(#REF!,"AAAAAH//7Qo=")</f>
        <v>#REF!</v>
      </c>
      <c r="L172" t="e">
        <f>AND(#REF!,"AAAAAH//7Qs=")</f>
        <v>#REF!</v>
      </c>
      <c r="M172" t="e">
        <f>IF(#REF!,"AAAAAH//7Qw=",0)</f>
        <v>#REF!</v>
      </c>
      <c r="N172" t="e">
        <f>AND(#REF!,"AAAAAH//7Q0=")</f>
        <v>#REF!</v>
      </c>
      <c r="O172" t="e">
        <f>AND(#REF!,"AAAAAH//7Q4=")</f>
        <v>#REF!</v>
      </c>
      <c r="P172" t="e">
        <f>AND(#REF!,"AAAAAH//7Q8=")</f>
        <v>#REF!</v>
      </c>
      <c r="Q172" t="e">
        <f>AND(#REF!,"AAAAAH//7RA=")</f>
        <v>#REF!</v>
      </c>
      <c r="R172" t="e">
        <f>AND(#REF!,"AAAAAH//7RE=")</f>
        <v>#REF!</v>
      </c>
      <c r="S172" t="e">
        <f>AND(#REF!,"AAAAAH//7RI=")</f>
        <v>#REF!</v>
      </c>
      <c r="T172" t="e">
        <f>AND(#REF!,"AAAAAH//7RM=")</f>
        <v>#REF!</v>
      </c>
      <c r="U172" t="e">
        <f>AND(#REF!,"AAAAAH//7RQ=")</f>
        <v>#REF!</v>
      </c>
      <c r="V172" t="e">
        <f>AND(#REF!,"AAAAAH//7RU=")</f>
        <v>#REF!</v>
      </c>
      <c r="W172" t="e">
        <f>AND(#REF!,"AAAAAH//7RY=")</f>
        <v>#REF!</v>
      </c>
      <c r="X172" t="e">
        <f>AND(#REF!,"AAAAAH//7Rc=")</f>
        <v>#REF!</v>
      </c>
      <c r="Y172" t="e">
        <f>AND(#REF!,"AAAAAH//7Rg=")</f>
        <v>#REF!</v>
      </c>
      <c r="Z172" t="e">
        <f>AND(#REF!,"AAAAAH//7Rk=")</f>
        <v>#REF!</v>
      </c>
      <c r="AA172" t="e">
        <f>AND(#REF!,"AAAAAH//7Ro=")</f>
        <v>#REF!</v>
      </c>
      <c r="AB172" t="e">
        <f>AND(#REF!,"AAAAAH//7Rs=")</f>
        <v>#REF!</v>
      </c>
      <c r="AC172" t="e">
        <f>AND(#REF!,"AAAAAH//7Rw=")</f>
        <v>#REF!</v>
      </c>
      <c r="AD172" t="e">
        <f>AND(#REF!,"AAAAAH//7R0=")</f>
        <v>#REF!</v>
      </c>
      <c r="AE172" t="e">
        <f>AND(#REF!,"AAAAAH//7R4=")</f>
        <v>#REF!</v>
      </c>
      <c r="AF172" t="e">
        <f>AND(#REF!,"AAAAAH//7R8=")</f>
        <v>#REF!</v>
      </c>
      <c r="AG172" t="e">
        <f>AND(#REF!,"AAAAAH//7SA=")</f>
        <v>#REF!</v>
      </c>
      <c r="AH172" t="e">
        <f>AND(#REF!,"AAAAAH//7SE=")</f>
        <v>#REF!</v>
      </c>
      <c r="AI172" t="e">
        <f>AND(#REF!,"AAAAAH//7SI=")</f>
        <v>#REF!</v>
      </c>
      <c r="AJ172" t="e">
        <f>IF(#REF!,"AAAAAH//7SM=",0)</f>
        <v>#REF!</v>
      </c>
      <c r="AK172" t="e">
        <f>AND(#REF!,"AAAAAH//7SQ=")</f>
        <v>#REF!</v>
      </c>
      <c r="AL172" t="e">
        <f>AND(#REF!,"AAAAAH//7SU=")</f>
        <v>#REF!</v>
      </c>
      <c r="AM172" t="e">
        <f>AND(#REF!,"AAAAAH//7SY=")</f>
        <v>#REF!</v>
      </c>
      <c r="AN172" t="e">
        <f>AND(#REF!,"AAAAAH//7Sc=")</f>
        <v>#REF!</v>
      </c>
      <c r="AO172" t="e">
        <f>AND(#REF!,"AAAAAH//7Sg=")</f>
        <v>#REF!</v>
      </c>
      <c r="AP172" t="e">
        <f>AND(#REF!,"AAAAAH//7Sk=")</f>
        <v>#REF!</v>
      </c>
      <c r="AQ172" t="e">
        <f>AND(#REF!,"AAAAAH//7So=")</f>
        <v>#REF!</v>
      </c>
      <c r="AR172" t="e">
        <f>AND(#REF!,"AAAAAH//7Ss=")</f>
        <v>#REF!</v>
      </c>
      <c r="AS172" t="e">
        <f>AND(#REF!,"AAAAAH//7Sw=")</f>
        <v>#REF!</v>
      </c>
      <c r="AT172" t="e">
        <f>AND(#REF!,"AAAAAH//7S0=")</f>
        <v>#REF!</v>
      </c>
      <c r="AU172" t="e">
        <f>AND(#REF!,"AAAAAH//7S4=")</f>
        <v>#REF!</v>
      </c>
      <c r="AV172" t="e">
        <f>AND(#REF!,"AAAAAH//7S8=")</f>
        <v>#REF!</v>
      </c>
      <c r="AW172" t="e">
        <f>AND(#REF!,"AAAAAH//7TA=")</f>
        <v>#REF!</v>
      </c>
      <c r="AX172" t="e">
        <f>AND(#REF!,"AAAAAH//7TE=")</f>
        <v>#REF!</v>
      </c>
      <c r="AY172" t="e">
        <f>AND(#REF!,"AAAAAH//7TI=")</f>
        <v>#REF!</v>
      </c>
      <c r="AZ172" t="e">
        <f>AND(#REF!,"AAAAAH//7TM=")</f>
        <v>#REF!</v>
      </c>
      <c r="BA172" t="e">
        <f>AND(#REF!,"AAAAAH//7TQ=")</f>
        <v>#REF!</v>
      </c>
      <c r="BB172" t="e">
        <f>AND(#REF!,"AAAAAH//7TU=")</f>
        <v>#REF!</v>
      </c>
      <c r="BC172" t="e">
        <f>AND(#REF!,"AAAAAH//7TY=")</f>
        <v>#REF!</v>
      </c>
      <c r="BD172" t="e">
        <f>AND(#REF!,"AAAAAH//7Tc=")</f>
        <v>#REF!</v>
      </c>
      <c r="BE172" t="e">
        <f>AND(#REF!,"AAAAAH//7Tg=")</f>
        <v>#REF!</v>
      </c>
      <c r="BF172" t="e">
        <f>AND(#REF!,"AAAAAH//7Tk=")</f>
        <v>#REF!</v>
      </c>
      <c r="BG172" t="e">
        <f>IF(#REF!,"AAAAAH//7To=",0)</f>
        <v>#REF!</v>
      </c>
      <c r="BH172" t="e">
        <f>AND(#REF!,"AAAAAH//7Ts=")</f>
        <v>#REF!</v>
      </c>
      <c r="BI172" t="e">
        <f>AND(#REF!,"AAAAAH//7Tw=")</f>
        <v>#REF!</v>
      </c>
      <c r="BJ172" t="e">
        <f>AND(#REF!,"AAAAAH//7T0=")</f>
        <v>#REF!</v>
      </c>
      <c r="BK172" t="e">
        <f>AND(#REF!,"AAAAAH//7T4=")</f>
        <v>#REF!</v>
      </c>
      <c r="BL172" t="e">
        <f>AND(#REF!,"AAAAAH//7T8=")</f>
        <v>#REF!</v>
      </c>
      <c r="BM172" t="e">
        <f>AND(#REF!,"AAAAAH//7UA=")</f>
        <v>#REF!</v>
      </c>
      <c r="BN172" t="e">
        <f>AND(#REF!,"AAAAAH//7UE=")</f>
        <v>#REF!</v>
      </c>
      <c r="BO172" t="e">
        <f>AND(#REF!,"AAAAAH//7UI=")</f>
        <v>#REF!</v>
      </c>
      <c r="BP172" t="e">
        <f>AND(#REF!,"AAAAAH//7UM=")</f>
        <v>#REF!</v>
      </c>
      <c r="BQ172" t="e">
        <f>AND(#REF!,"AAAAAH//7UQ=")</f>
        <v>#REF!</v>
      </c>
      <c r="BR172" t="e">
        <f>AND(#REF!,"AAAAAH//7UU=")</f>
        <v>#REF!</v>
      </c>
      <c r="BS172" t="e">
        <f>AND(#REF!,"AAAAAH//7UY=")</f>
        <v>#REF!</v>
      </c>
      <c r="BT172" t="e">
        <f>AND(#REF!,"AAAAAH//7Uc=")</f>
        <v>#REF!</v>
      </c>
      <c r="BU172" t="e">
        <f>AND(#REF!,"AAAAAH//7Ug=")</f>
        <v>#REF!</v>
      </c>
      <c r="BV172" t="e">
        <f>AND(#REF!,"AAAAAH//7Uk=")</f>
        <v>#REF!</v>
      </c>
      <c r="BW172" t="e">
        <f>AND(#REF!,"AAAAAH//7Uo=")</f>
        <v>#REF!</v>
      </c>
      <c r="BX172" t="e">
        <f>AND(#REF!,"AAAAAH//7Us=")</f>
        <v>#REF!</v>
      </c>
      <c r="BY172" t="e">
        <f>AND(#REF!,"AAAAAH//7Uw=")</f>
        <v>#REF!</v>
      </c>
      <c r="BZ172" t="e">
        <f>AND(#REF!,"AAAAAH//7U0=")</f>
        <v>#REF!</v>
      </c>
      <c r="CA172" t="e">
        <f>AND(#REF!,"AAAAAH//7U4=")</f>
        <v>#REF!</v>
      </c>
      <c r="CB172" t="e">
        <f>AND(#REF!,"AAAAAH//7U8=")</f>
        <v>#REF!</v>
      </c>
      <c r="CC172" t="e">
        <f>AND(#REF!,"AAAAAH//7VA=")</f>
        <v>#REF!</v>
      </c>
      <c r="CD172" t="e">
        <f>IF(#REF!,"AAAAAH//7VE=",0)</f>
        <v>#REF!</v>
      </c>
      <c r="CE172" t="e">
        <f>AND(#REF!,"AAAAAH//7VI=")</f>
        <v>#REF!</v>
      </c>
      <c r="CF172" t="e">
        <f>AND(#REF!,"AAAAAH//7VM=")</f>
        <v>#REF!</v>
      </c>
      <c r="CG172" t="e">
        <f>AND(#REF!,"AAAAAH//7VQ=")</f>
        <v>#REF!</v>
      </c>
      <c r="CH172" t="e">
        <f>AND(#REF!,"AAAAAH//7VU=")</f>
        <v>#REF!</v>
      </c>
      <c r="CI172" t="e">
        <f>AND(#REF!,"AAAAAH//7VY=")</f>
        <v>#REF!</v>
      </c>
      <c r="CJ172" t="e">
        <f>AND(#REF!,"AAAAAH//7Vc=")</f>
        <v>#REF!</v>
      </c>
      <c r="CK172" t="e">
        <f>AND(#REF!,"AAAAAH//7Vg=")</f>
        <v>#REF!</v>
      </c>
      <c r="CL172" t="e">
        <f>AND(#REF!,"AAAAAH//7Vk=")</f>
        <v>#REF!</v>
      </c>
      <c r="CM172" t="e">
        <f>AND(#REF!,"AAAAAH//7Vo=")</f>
        <v>#REF!</v>
      </c>
      <c r="CN172" t="e">
        <f>AND(#REF!,"AAAAAH//7Vs=")</f>
        <v>#REF!</v>
      </c>
      <c r="CO172" t="e">
        <f>AND(#REF!,"AAAAAH//7Vw=")</f>
        <v>#REF!</v>
      </c>
      <c r="CP172" t="e">
        <f>AND(#REF!,"AAAAAH//7V0=")</f>
        <v>#REF!</v>
      </c>
      <c r="CQ172" t="e">
        <f>AND(#REF!,"AAAAAH//7V4=")</f>
        <v>#REF!</v>
      </c>
      <c r="CR172" t="e">
        <f>AND(#REF!,"AAAAAH//7V8=")</f>
        <v>#REF!</v>
      </c>
      <c r="CS172" t="e">
        <f>AND(#REF!,"AAAAAH//7WA=")</f>
        <v>#REF!</v>
      </c>
      <c r="CT172" t="e">
        <f>AND(#REF!,"AAAAAH//7WE=")</f>
        <v>#REF!</v>
      </c>
      <c r="CU172" t="e">
        <f>AND(#REF!,"AAAAAH//7WI=")</f>
        <v>#REF!</v>
      </c>
      <c r="CV172" t="e">
        <f>AND(#REF!,"AAAAAH//7WM=")</f>
        <v>#REF!</v>
      </c>
      <c r="CW172" t="e">
        <f>AND(#REF!,"AAAAAH//7WQ=")</f>
        <v>#REF!</v>
      </c>
      <c r="CX172" t="e">
        <f>AND(#REF!,"AAAAAH//7WU=")</f>
        <v>#REF!</v>
      </c>
      <c r="CY172" t="e">
        <f>AND(#REF!,"AAAAAH//7WY=")</f>
        <v>#REF!</v>
      </c>
      <c r="CZ172" t="e">
        <f>AND(#REF!,"AAAAAH//7Wc=")</f>
        <v>#REF!</v>
      </c>
      <c r="DA172" t="e">
        <f>IF(#REF!,"AAAAAH//7Wg=",0)</f>
        <v>#REF!</v>
      </c>
      <c r="DB172" t="e">
        <f>AND(#REF!,"AAAAAH//7Wk=")</f>
        <v>#REF!</v>
      </c>
      <c r="DC172" t="e">
        <f>AND(#REF!,"AAAAAH//7Wo=")</f>
        <v>#REF!</v>
      </c>
      <c r="DD172" t="e">
        <f>AND(#REF!,"AAAAAH//7Ws=")</f>
        <v>#REF!</v>
      </c>
      <c r="DE172" t="e">
        <f>AND(#REF!,"AAAAAH//7Ww=")</f>
        <v>#REF!</v>
      </c>
      <c r="DF172" t="e">
        <f>AND(#REF!,"AAAAAH//7W0=")</f>
        <v>#REF!</v>
      </c>
      <c r="DG172" t="e">
        <f>AND(#REF!,"AAAAAH//7W4=")</f>
        <v>#REF!</v>
      </c>
      <c r="DH172" t="e">
        <f>AND(#REF!,"AAAAAH//7W8=")</f>
        <v>#REF!</v>
      </c>
      <c r="DI172" t="e">
        <f>AND(#REF!,"AAAAAH//7XA=")</f>
        <v>#REF!</v>
      </c>
      <c r="DJ172" t="e">
        <f>AND(#REF!,"AAAAAH//7XE=")</f>
        <v>#REF!</v>
      </c>
      <c r="DK172" t="e">
        <f>AND(#REF!,"AAAAAH//7XI=")</f>
        <v>#REF!</v>
      </c>
      <c r="DL172" t="e">
        <f>AND(#REF!,"AAAAAH//7XM=")</f>
        <v>#REF!</v>
      </c>
      <c r="DM172" t="e">
        <f>AND(#REF!,"AAAAAH//7XQ=")</f>
        <v>#REF!</v>
      </c>
      <c r="DN172" t="e">
        <f>AND(#REF!,"AAAAAH//7XU=")</f>
        <v>#REF!</v>
      </c>
      <c r="DO172" t="e">
        <f>AND(#REF!,"AAAAAH//7XY=")</f>
        <v>#REF!</v>
      </c>
      <c r="DP172" t="e">
        <f>AND(#REF!,"AAAAAH//7Xc=")</f>
        <v>#REF!</v>
      </c>
      <c r="DQ172" t="e">
        <f>AND(#REF!,"AAAAAH//7Xg=")</f>
        <v>#REF!</v>
      </c>
      <c r="DR172" t="e">
        <f>AND(#REF!,"AAAAAH//7Xk=")</f>
        <v>#REF!</v>
      </c>
      <c r="DS172" t="e">
        <f>AND(#REF!,"AAAAAH//7Xo=")</f>
        <v>#REF!</v>
      </c>
      <c r="DT172" t="e">
        <f>AND(#REF!,"AAAAAH//7Xs=")</f>
        <v>#REF!</v>
      </c>
      <c r="DU172" t="e">
        <f>AND(#REF!,"AAAAAH//7Xw=")</f>
        <v>#REF!</v>
      </c>
      <c r="DV172" t="e">
        <f>AND(#REF!,"AAAAAH//7X0=")</f>
        <v>#REF!</v>
      </c>
      <c r="DW172" t="e">
        <f>AND(#REF!,"AAAAAH//7X4=")</f>
        <v>#REF!</v>
      </c>
      <c r="DX172" t="e">
        <f>IF(#REF!,"AAAAAH//7X8=",0)</f>
        <v>#REF!</v>
      </c>
      <c r="DY172" t="e">
        <f>AND(#REF!,"AAAAAH//7YA=")</f>
        <v>#REF!</v>
      </c>
      <c r="DZ172" t="e">
        <f>AND(#REF!,"AAAAAH//7YE=")</f>
        <v>#REF!</v>
      </c>
      <c r="EA172" t="e">
        <f>AND(#REF!,"AAAAAH//7YI=")</f>
        <v>#REF!</v>
      </c>
      <c r="EB172" t="e">
        <f>AND(#REF!,"AAAAAH//7YM=")</f>
        <v>#REF!</v>
      </c>
      <c r="EC172" t="e">
        <f>AND(#REF!,"AAAAAH//7YQ=")</f>
        <v>#REF!</v>
      </c>
      <c r="ED172" t="e">
        <f>AND(#REF!,"AAAAAH//7YU=")</f>
        <v>#REF!</v>
      </c>
      <c r="EE172" t="e">
        <f>AND(#REF!,"AAAAAH//7YY=")</f>
        <v>#REF!</v>
      </c>
      <c r="EF172" t="e">
        <f>AND(#REF!,"AAAAAH//7Yc=")</f>
        <v>#REF!</v>
      </c>
      <c r="EG172" t="e">
        <f>AND(#REF!,"AAAAAH//7Yg=")</f>
        <v>#REF!</v>
      </c>
      <c r="EH172" t="e">
        <f>AND(#REF!,"AAAAAH//7Yk=")</f>
        <v>#REF!</v>
      </c>
      <c r="EI172" t="e">
        <f>AND(#REF!,"AAAAAH//7Yo=")</f>
        <v>#REF!</v>
      </c>
      <c r="EJ172" t="e">
        <f>AND(#REF!,"AAAAAH//7Ys=")</f>
        <v>#REF!</v>
      </c>
      <c r="EK172" t="e">
        <f>AND(#REF!,"AAAAAH//7Yw=")</f>
        <v>#REF!</v>
      </c>
      <c r="EL172" t="e">
        <f>AND(#REF!,"AAAAAH//7Y0=")</f>
        <v>#REF!</v>
      </c>
      <c r="EM172" t="e">
        <f>AND(#REF!,"AAAAAH//7Y4=")</f>
        <v>#REF!</v>
      </c>
      <c r="EN172" t="e">
        <f>AND(#REF!,"AAAAAH//7Y8=")</f>
        <v>#REF!</v>
      </c>
      <c r="EO172" t="e">
        <f>AND(#REF!,"AAAAAH//7ZA=")</f>
        <v>#REF!</v>
      </c>
      <c r="EP172" t="e">
        <f>AND(#REF!,"AAAAAH//7ZE=")</f>
        <v>#REF!</v>
      </c>
      <c r="EQ172" t="e">
        <f>AND(#REF!,"AAAAAH//7ZI=")</f>
        <v>#REF!</v>
      </c>
      <c r="ER172" t="e">
        <f>AND(#REF!,"AAAAAH//7ZM=")</f>
        <v>#REF!</v>
      </c>
      <c r="ES172" t="e">
        <f>AND(#REF!,"AAAAAH//7ZQ=")</f>
        <v>#REF!</v>
      </c>
      <c r="ET172" t="e">
        <f>AND(#REF!,"AAAAAH//7ZU=")</f>
        <v>#REF!</v>
      </c>
      <c r="EU172" t="e">
        <f>IF(#REF!,"AAAAAH//7ZY=",0)</f>
        <v>#REF!</v>
      </c>
      <c r="EV172" t="e">
        <f>AND(#REF!,"AAAAAH//7Zc=")</f>
        <v>#REF!</v>
      </c>
      <c r="EW172" t="e">
        <f>AND(#REF!,"AAAAAH//7Zg=")</f>
        <v>#REF!</v>
      </c>
      <c r="EX172" t="e">
        <f>AND(#REF!,"AAAAAH//7Zk=")</f>
        <v>#REF!</v>
      </c>
      <c r="EY172" t="e">
        <f>AND(#REF!,"AAAAAH//7Zo=")</f>
        <v>#REF!</v>
      </c>
      <c r="EZ172" t="e">
        <f>AND(#REF!,"AAAAAH//7Zs=")</f>
        <v>#REF!</v>
      </c>
      <c r="FA172" t="e">
        <f>AND(#REF!,"AAAAAH//7Zw=")</f>
        <v>#REF!</v>
      </c>
      <c r="FB172" t="e">
        <f>AND(#REF!,"AAAAAH//7Z0=")</f>
        <v>#REF!</v>
      </c>
      <c r="FC172" t="e">
        <f>AND(#REF!,"AAAAAH//7Z4=")</f>
        <v>#REF!</v>
      </c>
      <c r="FD172" t="e">
        <f>AND(#REF!,"AAAAAH//7Z8=")</f>
        <v>#REF!</v>
      </c>
      <c r="FE172" t="e">
        <f>AND(#REF!,"AAAAAH//7aA=")</f>
        <v>#REF!</v>
      </c>
      <c r="FF172" t="e">
        <f>AND(#REF!,"AAAAAH//7aE=")</f>
        <v>#REF!</v>
      </c>
      <c r="FG172" t="e">
        <f>AND(#REF!,"AAAAAH//7aI=")</f>
        <v>#REF!</v>
      </c>
      <c r="FH172" t="e">
        <f>AND(#REF!,"AAAAAH//7aM=")</f>
        <v>#REF!</v>
      </c>
      <c r="FI172" t="e">
        <f>AND(#REF!,"AAAAAH//7aQ=")</f>
        <v>#REF!</v>
      </c>
      <c r="FJ172" t="e">
        <f>AND(#REF!,"AAAAAH//7aU=")</f>
        <v>#REF!</v>
      </c>
      <c r="FK172" t="e">
        <f>AND(#REF!,"AAAAAH//7aY=")</f>
        <v>#REF!</v>
      </c>
      <c r="FL172" t="e">
        <f>AND(#REF!,"AAAAAH//7ac=")</f>
        <v>#REF!</v>
      </c>
      <c r="FM172" t="e">
        <f>AND(#REF!,"AAAAAH//7ag=")</f>
        <v>#REF!</v>
      </c>
      <c r="FN172" t="e">
        <f>AND(#REF!,"AAAAAH//7ak=")</f>
        <v>#REF!</v>
      </c>
      <c r="FO172" t="e">
        <f>AND(#REF!,"AAAAAH//7ao=")</f>
        <v>#REF!</v>
      </c>
      <c r="FP172" t="e">
        <f>AND(#REF!,"AAAAAH//7as=")</f>
        <v>#REF!</v>
      </c>
      <c r="FQ172" t="e">
        <f>AND(#REF!,"AAAAAH//7aw=")</f>
        <v>#REF!</v>
      </c>
      <c r="FR172" t="e">
        <f>IF(#REF!,"AAAAAH//7a0=",0)</f>
        <v>#REF!</v>
      </c>
      <c r="FS172" t="e">
        <f>AND(#REF!,"AAAAAH//7a4=")</f>
        <v>#REF!</v>
      </c>
      <c r="FT172" t="e">
        <f>AND(#REF!,"AAAAAH//7a8=")</f>
        <v>#REF!</v>
      </c>
      <c r="FU172" t="e">
        <f>AND(#REF!,"AAAAAH//7bA=")</f>
        <v>#REF!</v>
      </c>
      <c r="FV172" t="e">
        <f>AND(#REF!,"AAAAAH//7bE=")</f>
        <v>#REF!</v>
      </c>
      <c r="FW172" t="e">
        <f>AND(#REF!,"AAAAAH//7bI=")</f>
        <v>#REF!</v>
      </c>
      <c r="FX172" t="e">
        <f>AND(#REF!,"AAAAAH//7bM=")</f>
        <v>#REF!</v>
      </c>
      <c r="FY172" t="e">
        <f>AND(#REF!,"AAAAAH//7bQ=")</f>
        <v>#REF!</v>
      </c>
      <c r="FZ172" t="e">
        <f>AND(#REF!,"AAAAAH//7bU=")</f>
        <v>#REF!</v>
      </c>
      <c r="GA172" t="e">
        <f>AND(#REF!,"AAAAAH//7bY=")</f>
        <v>#REF!</v>
      </c>
      <c r="GB172" t="e">
        <f>AND(#REF!,"AAAAAH//7bc=")</f>
        <v>#REF!</v>
      </c>
      <c r="GC172" t="e">
        <f>AND(#REF!,"AAAAAH//7bg=")</f>
        <v>#REF!</v>
      </c>
      <c r="GD172" t="e">
        <f>AND(#REF!,"AAAAAH//7bk=")</f>
        <v>#REF!</v>
      </c>
      <c r="GE172" t="e">
        <f>AND(#REF!,"AAAAAH//7bo=")</f>
        <v>#REF!</v>
      </c>
      <c r="GF172" t="e">
        <f>AND(#REF!,"AAAAAH//7bs=")</f>
        <v>#REF!</v>
      </c>
      <c r="GG172" t="e">
        <f>AND(#REF!,"AAAAAH//7bw=")</f>
        <v>#REF!</v>
      </c>
      <c r="GH172" t="e">
        <f>AND(#REF!,"AAAAAH//7b0=")</f>
        <v>#REF!</v>
      </c>
      <c r="GI172" t="e">
        <f>AND(#REF!,"AAAAAH//7b4=")</f>
        <v>#REF!</v>
      </c>
      <c r="GJ172" t="e">
        <f>AND(#REF!,"AAAAAH//7b8=")</f>
        <v>#REF!</v>
      </c>
      <c r="GK172" t="e">
        <f>AND(#REF!,"AAAAAH//7cA=")</f>
        <v>#REF!</v>
      </c>
      <c r="GL172" t="e">
        <f>AND(#REF!,"AAAAAH//7cE=")</f>
        <v>#REF!</v>
      </c>
      <c r="GM172" t="e">
        <f>AND(#REF!,"AAAAAH//7cI=")</f>
        <v>#REF!</v>
      </c>
      <c r="GN172" t="e">
        <f>AND(#REF!,"AAAAAH//7cM=")</f>
        <v>#REF!</v>
      </c>
      <c r="GO172" t="e">
        <f>IF(#REF!,"AAAAAH//7cQ=",0)</f>
        <v>#REF!</v>
      </c>
      <c r="GP172" t="e">
        <f>AND(#REF!,"AAAAAH//7cU=")</f>
        <v>#REF!</v>
      </c>
      <c r="GQ172" t="e">
        <f>AND(#REF!,"AAAAAH//7cY=")</f>
        <v>#REF!</v>
      </c>
      <c r="GR172" t="e">
        <f>AND(#REF!,"AAAAAH//7cc=")</f>
        <v>#REF!</v>
      </c>
      <c r="GS172" t="e">
        <f>AND(#REF!,"AAAAAH//7cg=")</f>
        <v>#REF!</v>
      </c>
      <c r="GT172" t="e">
        <f>AND(#REF!,"AAAAAH//7ck=")</f>
        <v>#REF!</v>
      </c>
      <c r="GU172" t="e">
        <f>AND(#REF!,"AAAAAH//7co=")</f>
        <v>#REF!</v>
      </c>
      <c r="GV172" t="e">
        <f>AND(#REF!,"AAAAAH//7cs=")</f>
        <v>#REF!</v>
      </c>
      <c r="GW172" t="e">
        <f>AND(#REF!,"AAAAAH//7cw=")</f>
        <v>#REF!</v>
      </c>
      <c r="GX172" t="e">
        <f>AND(#REF!,"AAAAAH//7c0=")</f>
        <v>#REF!</v>
      </c>
      <c r="GY172" t="e">
        <f>AND(#REF!,"AAAAAH//7c4=")</f>
        <v>#REF!</v>
      </c>
      <c r="GZ172" t="e">
        <f>AND(#REF!,"AAAAAH//7c8=")</f>
        <v>#REF!</v>
      </c>
      <c r="HA172" t="e">
        <f>AND(#REF!,"AAAAAH//7dA=")</f>
        <v>#REF!</v>
      </c>
      <c r="HB172" t="e">
        <f>AND(#REF!,"AAAAAH//7dE=")</f>
        <v>#REF!</v>
      </c>
      <c r="HC172" t="e">
        <f>AND(#REF!,"AAAAAH//7dI=")</f>
        <v>#REF!</v>
      </c>
      <c r="HD172" t="e">
        <f>AND(#REF!,"AAAAAH//7dM=")</f>
        <v>#REF!</v>
      </c>
      <c r="HE172" t="e">
        <f>AND(#REF!,"AAAAAH//7dQ=")</f>
        <v>#REF!</v>
      </c>
      <c r="HF172" t="e">
        <f>AND(#REF!,"AAAAAH//7dU=")</f>
        <v>#REF!</v>
      </c>
      <c r="HG172" t="e">
        <f>AND(#REF!,"AAAAAH//7dY=")</f>
        <v>#REF!</v>
      </c>
      <c r="HH172" t="e">
        <f>AND(#REF!,"AAAAAH//7dc=")</f>
        <v>#REF!</v>
      </c>
      <c r="HI172" t="e">
        <f>AND(#REF!,"AAAAAH//7dg=")</f>
        <v>#REF!</v>
      </c>
      <c r="HJ172" t="e">
        <f>AND(#REF!,"AAAAAH//7dk=")</f>
        <v>#REF!</v>
      </c>
      <c r="HK172" t="e">
        <f>AND(#REF!,"AAAAAH//7do=")</f>
        <v>#REF!</v>
      </c>
      <c r="HL172" t="e">
        <f>IF(#REF!,"AAAAAH//7ds=",0)</f>
        <v>#REF!</v>
      </c>
      <c r="HM172" t="e">
        <f>AND(#REF!,"AAAAAH//7dw=")</f>
        <v>#REF!</v>
      </c>
      <c r="HN172" t="e">
        <f>AND(#REF!,"AAAAAH//7d0=")</f>
        <v>#REF!</v>
      </c>
      <c r="HO172" t="e">
        <f>AND(#REF!,"AAAAAH//7d4=")</f>
        <v>#REF!</v>
      </c>
      <c r="HP172" t="e">
        <f>AND(#REF!,"AAAAAH//7d8=")</f>
        <v>#REF!</v>
      </c>
      <c r="HQ172" t="e">
        <f>AND(#REF!,"AAAAAH//7eA=")</f>
        <v>#REF!</v>
      </c>
      <c r="HR172" t="e">
        <f>AND(#REF!,"AAAAAH//7eE=")</f>
        <v>#REF!</v>
      </c>
      <c r="HS172" t="e">
        <f>AND(#REF!,"AAAAAH//7eI=")</f>
        <v>#REF!</v>
      </c>
      <c r="HT172" t="e">
        <f>AND(#REF!,"AAAAAH//7eM=")</f>
        <v>#REF!</v>
      </c>
      <c r="HU172" t="e">
        <f>AND(#REF!,"AAAAAH//7eQ=")</f>
        <v>#REF!</v>
      </c>
      <c r="HV172" t="e">
        <f>AND(#REF!,"AAAAAH//7eU=")</f>
        <v>#REF!</v>
      </c>
      <c r="HW172" t="e">
        <f>AND(#REF!,"AAAAAH//7eY=")</f>
        <v>#REF!</v>
      </c>
      <c r="HX172" t="e">
        <f>AND(#REF!,"AAAAAH//7ec=")</f>
        <v>#REF!</v>
      </c>
      <c r="HY172" t="e">
        <f>AND(#REF!,"AAAAAH//7eg=")</f>
        <v>#REF!</v>
      </c>
      <c r="HZ172" t="e">
        <f>AND(#REF!,"AAAAAH//7ek=")</f>
        <v>#REF!</v>
      </c>
      <c r="IA172" t="e">
        <f>AND(#REF!,"AAAAAH//7eo=")</f>
        <v>#REF!</v>
      </c>
      <c r="IB172" t="e">
        <f>AND(#REF!,"AAAAAH//7es=")</f>
        <v>#REF!</v>
      </c>
      <c r="IC172" t="e">
        <f>AND(#REF!,"AAAAAH//7ew=")</f>
        <v>#REF!</v>
      </c>
      <c r="ID172" t="e">
        <f>AND(#REF!,"AAAAAH//7e0=")</f>
        <v>#REF!</v>
      </c>
      <c r="IE172" t="e">
        <f>AND(#REF!,"AAAAAH//7e4=")</f>
        <v>#REF!</v>
      </c>
      <c r="IF172" t="e">
        <f>AND(#REF!,"AAAAAH//7e8=")</f>
        <v>#REF!</v>
      </c>
      <c r="IG172" t="e">
        <f>AND(#REF!,"AAAAAH//7fA=")</f>
        <v>#REF!</v>
      </c>
      <c r="IH172" t="e">
        <f>AND(#REF!,"AAAAAH//7fE=")</f>
        <v>#REF!</v>
      </c>
      <c r="II172" t="e">
        <f>IF(#REF!,"AAAAAH//7fI=",0)</f>
        <v>#REF!</v>
      </c>
      <c r="IJ172" t="e">
        <f>AND(#REF!,"AAAAAH//7fM=")</f>
        <v>#REF!</v>
      </c>
      <c r="IK172" t="e">
        <f>AND(#REF!,"AAAAAH//7fQ=")</f>
        <v>#REF!</v>
      </c>
      <c r="IL172" t="e">
        <f>AND(#REF!,"AAAAAH//7fU=")</f>
        <v>#REF!</v>
      </c>
      <c r="IM172" t="e">
        <f>AND(#REF!,"AAAAAH//7fY=")</f>
        <v>#REF!</v>
      </c>
      <c r="IN172" t="e">
        <f>AND(#REF!,"AAAAAH//7fc=")</f>
        <v>#REF!</v>
      </c>
      <c r="IO172" t="e">
        <f>AND(#REF!,"AAAAAH//7fg=")</f>
        <v>#REF!</v>
      </c>
      <c r="IP172" t="e">
        <f>AND(#REF!,"AAAAAH//7fk=")</f>
        <v>#REF!</v>
      </c>
      <c r="IQ172" t="e">
        <f>AND(#REF!,"AAAAAH//7fo=")</f>
        <v>#REF!</v>
      </c>
      <c r="IR172" t="e">
        <f>AND(#REF!,"AAAAAH//7fs=")</f>
        <v>#REF!</v>
      </c>
      <c r="IS172" t="e">
        <f>AND(#REF!,"AAAAAH//7fw=")</f>
        <v>#REF!</v>
      </c>
      <c r="IT172" t="e">
        <f>AND(#REF!,"AAAAAH//7f0=")</f>
        <v>#REF!</v>
      </c>
      <c r="IU172" t="e">
        <f>AND(#REF!,"AAAAAH//7f4=")</f>
        <v>#REF!</v>
      </c>
      <c r="IV172" t="e">
        <f>AND(#REF!,"AAAAAH//7f8=")</f>
        <v>#REF!</v>
      </c>
    </row>
    <row r="173" spans="1:256" x14ac:dyDescent="0.2">
      <c r="A173" t="e">
        <f>AND(#REF!,"AAAAAG3m4wA=")</f>
        <v>#REF!</v>
      </c>
      <c r="B173" t="e">
        <f>AND(#REF!,"AAAAAG3m4wE=")</f>
        <v>#REF!</v>
      </c>
      <c r="C173" t="e">
        <f>AND(#REF!,"AAAAAG3m4wI=")</f>
        <v>#REF!</v>
      </c>
      <c r="D173" t="e">
        <f>AND(#REF!,"AAAAAG3m4wM=")</f>
        <v>#REF!</v>
      </c>
      <c r="E173" t="e">
        <f>AND(#REF!,"AAAAAG3m4wQ=")</f>
        <v>#REF!</v>
      </c>
      <c r="F173" t="e">
        <f>AND(#REF!,"AAAAAG3m4wU=")</f>
        <v>#REF!</v>
      </c>
      <c r="G173" t="e">
        <f>AND(#REF!,"AAAAAG3m4wY=")</f>
        <v>#REF!</v>
      </c>
      <c r="H173" t="e">
        <f>AND(#REF!,"AAAAAG3m4wc=")</f>
        <v>#REF!</v>
      </c>
      <c r="I173" t="e">
        <f>AND(#REF!,"AAAAAG3m4wg=")</f>
        <v>#REF!</v>
      </c>
      <c r="J173" t="e">
        <f>IF(#REF!,"AAAAAG3m4wk=",0)</f>
        <v>#REF!</v>
      </c>
      <c r="K173" t="e">
        <f>AND(#REF!,"AAAAAG3m4wo=")</f>
        <v>#REF!</v>
      </c>
      <c r="L173" t="e">
        <f>AND(#REF!,"AAAAAG3m4ws=")</f>
        <v>#REF!</v>
      </c>
      <c r="M173" t="e">
        <f>AND(#REF!,"AAAAAG3m4ww=")</f>
        <v>#REF!</v>
      </c>
      <c r="N173" t="e">
        <f>AND(#REF!,"AAAAAG3m4w0=")</f>
        <v>#REF!</v>
      </c>
      <c r="O173" t="e">
        <f>AND(#REF!,"AAAAAG3m4w4=")</f>
        <v>#REF!</v>
      </c>
      <c r="P173" t="e">
        <f>AND(#REF!,"AAAAAG3m4w8=")</f>
        <v>#REF!</v>
      </c>
      <c r="Q173" t="e">
        <f>AND(#REF!,"AAAAAG3m4xA=")</f>
        <v>#REF!</v>
      </c>
      <c r="R173" t="e">
        <f>AND(#REF!,"AAAAAG3m4xE=")</f>
        <v>#REF!</v>
      </c>
      <c r="S173" t="e">
        <f>AND(#REF!,"AAAAAG3m4xI=")</f>
        <v>#REF!</v>
      </c>
      <c r="T173" t="e">
        <f>AND(#REF!,"AAAAAG3m4xM=")</f>
        <v>#REF!</v>
      </c>
      <c r="U173" t="e">
        <f>AND(#REF!,"AAAAAG3m4xQ=")</f>
        <v>#REF!</v>
      </c>
      <c r="V173" t="e">
        <f>AND(#REF!,"AAAAAG3m4xU=")</f>
        <v>#REF!</v>
      </c>
      <c r="W173" t="e">
        <f>AND(#REF!,"AAAAAG3m4xY=")</f>
        <v>#REF!</v>
      </c>
      <c r="X173" t="e">
        <f>AND(#REF!,"AAAAAG3m4xc=")</f>
        <v>#REF!</v>
      </c>
      <c r="Y173" t="e">
        <f>AND(#REF!,"AAAAAG3m4xg=")</f>
        <v>#REF!</v>
      </c>
      <c r="Z173" t="e">
        <f>AND(#REF!,"AAAAAG3m4xk=")</f>
        <v>#REF!</v>
      </c>
      <c r="AA173" t="e">
        <f>AND(#REF!,"AAAAAG3m4xo=")</f>
        <v>#REF!</v>
      </c>
      <c r="AB173" t="e">
        <f>AND(#REF!,"AAAAAG3m4xs=")</f>
        <v>#REF!</v>
      </c>
      <c r="AC173" t="e">
        <f>AND(#REF!,"AAAAAG3m4xw=")</f>
        <v>#REF!</v>
      </c>
      <c r="AD173" t="e">
        <f>AND(#REF!,"AAAAAG3m4x0=")</f>
        <v>#REF!</v>
      </c>
      <c r="AE173" t="e">
        <f>AND(#REF!,"AAAAAG3m4x4=")</f>
        <v>#REF!</v>
      </c>
      <c r="AF173" t="e">
        <f>AND(#REF!,"AAAAAG3m4x8=")</f>
        <v>#REF!</v>
      </c>
      <c r="AG173" t="e">
        <f>IF(#REF!,"AAAAAG3m4yA=",0)</f>
        <v>#REF!</v>
      </c>
      <c r="AH173" t="e">
        <f>AND(#REF!,"AAAAAG3m4yE=")</f>
        <v>#REF!</v>
      </c>
      <c r="AI173" t="e">
        <f>AND(#REF!,"AAAAAG3m4yI=")</f>
        <v>#REF!</v>
      </c>
      <c r="AJ173" t="e">
        <f>AND(#REF!,"AAAAAG3m4yM=")</f>
        <v>#REF!</v>
      </c>
      <c r="AK173" t="e">
        <f>AND(#REF!,"AAAAAG3m4yQ=")</f>
        <v>#REF!</v>
      </c>
      <c r="AL173" t="e">
        <f>AND(#REF!,"AAAAAG3m4yU=")</f>
        <v>#REF!</v>
      </c>
      <c r="AM173" t="e">
        <f>AND(#REF!,"AAAAAG3m4yY=")</f>
        <v>#REF!</v>
      </c>
      <c r="AN173" t="e">
        <f>AND(#REF!,"AAAAAG3m4yc=")</f>
        <v>#REF!</v>
      </c>
      <c r="AO173" t="e">
        <f>AND(#REF!,"AAAAAG3m4yg=")</f>
        <v>#REF!</v>
      </c>
      <c r="AP173" t="e">
        <f>AND(#REF!,"AAAAAG3m4yk=")</f>
        <v>#REF!</v>
      </c>
      <c r="AQ173" t="e">
        <f>AND(#REF!,"AAAAAG3m4yo=")</f>
        <v>#REF!</v>
      </c>
      <c r="AR173" t="e">
        <f>AND(#REF!,"AAAAAG3m4ys=")</f>
        <v>#REF!</v>
      </c>
      <c r="AS173" t="e">
        <f>AND(#REF!,"AAAAAG3m4yw=")</f>
        <v>#REF!</v>
      </c>
      <c r="AT173" t="e">
        <f>AND(#REF!,"AAAAAG3m4y0=")</f>
        <v>#REF!</v>
      </c>
      <c r="AU173" t="e">
        <f>AND(#REF!,"AAAAAG3m4y4=")</f>
        <v>#REF!</v>
      </c>
      <c r="AV173" t="e">
        <f>AND(#REF!,"AAAAAG3m4y8=")</f>
        <v>#REF!</v>
      </c>
      <c r="AW173" t="e">
        <f>AND(#REF!,"AAAAAG3m4zA=")</f>
        <v>#REF!</v>
      </c>
      <c r="AX173" t="e">
        <f>AND(#REF!,"AAAAAG3m4zE=")</f>
        <v>#REF!</v>
      </c>
      <c r="AY173" t="e">
        <f>AND(#REF!,"AAAAAG3m4zI=")</f>
        <v>#REF!</v>
      </c>
      <c r="AZ173" t="e">
        <f>AND(#REF!,"AAAAAG3m4zM=")</f>
        <v>#REF!</v>
      </c>
      <c r="BA173" t="e">
        <f>AND(#REF!,"AAAAAG3m4zQ=")</f>
        <v>#REF!</v>
      </c>
      <c r="BB173" t="e">
        <f>AND(#REF!,"AAAAAG3m4zU=")</f>
        <v>#REF!</v>
      </c>
      <c r="BC173" t="e">
        <f>AND(#REF!,"AAAAAG3m4zY=")</f>
        <v>#REF!</v>
      </c>
      <c r="BD173" t="e">
        <f>IF(#REF!,"AAAAAG3m4zc=",0)</f>
        <v>#REF!</v>
      </c>
      <c r="BE173" t="e">
        <f>AND(#REF!,"AAAAAG3m4zg=")</f>
        <v>#REF!</v>
      </c>
      <c r="BF173" t="e">
        <f>AND(#REF!,"AAAAAG3m4zk=")</f>
        <v>#REF!</v>
      </c>
      <c r="BG173" t="e">
        <f>AND(#REF!,"AAAAAG3m4zo=")</f>
        <v>#REF!</v>
      </c>
      <c r="BH173" t="e">
        <f>AND(#REF!,"AAAAAG3m4zs=")</f>
        <v>#REF!</v>
      </c>
      <c r="BI173" t="e">
        <f>AND(#REF!,"AAAAAG3m4zw=")</f>
        <v>#REF!</v>
      </c>
      <c r="BJ173" t="e">
        <f>AND(#REF!,"AAAAAG3m4z0=")</f>
        <v>#REF!</v>
      </c>
      <c r="BK173" t="e">
        <f>AND(#REF!,"AAAAAG3m4z4=")</f>
        <v>#REF!</v>
      </c>
      <c r="BL173" t="e">
        <f>AND(#REF!,"AAAAAG3m4z8=")</f>
        <v>#REF!</v>
      </c>
      <c r="BM173" t="e">
        <f>AND(#REF!,"AAAAAG3m40A=")</f>
        <v>#REF!</v>
      </c>
      <c r="BN173" t="e">
        <f>AND(#REF!,"AAAAAG3m40E=")</f>
        <v>#REF!</v>
      </c>
      <c r="BO173" t="e">
        <f>AND(#REF!,"AAAAAG3m40I=")</f>
        <v>#REF!</v>
      </c>
      <c r="BP173" t="e">
        <f>AND(#REF!,"AAAAAG3m40M=")</f>
        <v>#REF!</v>
      </c>
      <c r="BQ173" t="e">
        <f>AND(#REF!,"AAAAAG3m40Q=")</f>
        <v>#REF!</v>
      </c>
      <c r="BR173" t="e">
        <f>AND(#REF!,"AAAAAG3m40U=")</f>
        <v>#REF!</v>
      </c>
      <c r="BS173" t="e">
        <f>AND(#REF!,"AAAAAG3m40Y=")</f>
        <v>#REF!</v>
      </c>
      <c r="BT173" t="e">
        <f>AND(#REF!,"AAAAAG3m40c=")</f>
        <v>#REF!</v>
      </c>
      <c r="BU173" t="e">
        <f>AND(#REF!,"AAAAAG3m40g=")</f>
        <v>#REF!</v>
      </c>
      <c r="BV173" t="e">
        <f>AND(#REF!,"AAAAAG3m40k=")</f>
        <v>#REF!</v>
      </c>
      <c r="BW173" t="e">
        <f>AND(#REF!,"AAAAAG3m40o=")</f>
        <v>#REF!</v>
      </c>
      <c r="BX173" t="e">
        <f>AND(#REF!,"AAAAAG3m40s=")</f>
        <v>#REF!</v>
      </c>
      <c r="BY173" t="e">
        <f>AND(#REF!,"AAAAAG3m40w=")</f>
        <v>#REF!</v>
      </c>
      <c r="BZ173" t="e">
        <f>AND(#REF!,"AAAAAG3m400=")</f>
        <v>#REF!</v>
      </c>
      <c r="CA173" t="e">
        <f>IF(#REF!,"AAAAAG3m404=",0)</f>
        <v>#REF!</v>
      </c>
      <c r="CB173" t="e">
        <f>AND(#REF!,"AAAAAG3m408=")</f>
        <v>#REF!</v>
      </c>
      <c r="CC173" t="e">
        <f>AND(#REF!,"AAAAAG3m41A=")</f>
        <v>#REF!</v>
      </c>
      <c r="CD173" t="e">
        <f>AND(#REF!,"AAAAAG3m41E=")</f>
        <v>#REF!</v>
      </c>
      <c r="CE173" t="e">
        <f>AND(#REF!,"AAAAAG3m41I=")</f>
        <v>#REF!</v>
      </c>
      <c r="CF173" t="e">
        <f>AND(#REF!,"AAAAAG3m41M=")</f>
        <v>#REF!</v>
      </c>
      <c r="CG173" t="e">
        <f>AND(#REF!,"AAAAAG3m41Q=")</f>
        <v>#REF!</v>
      </c>
      <c r="CH173" t="e">
        <f>AND(#REF!,"AAAAAG3m41U=")</f>
        <v>#REF!</v>
      </c>
      <c r="CI173" t="e">
        <f>AND(#REF!,"AAAAAG3m41Y=")</f>
        <v>#REF!</v>
      </c>
      <c r="CJ173" t="e">
        <f>AND(#REF!,"AAAAAG3m41c=")</f>
        <v>#REF!</v>
      </c>
      <c r="CK173" t="e">
        <f>AND(#REF!,"AAAAAG3m41g=")</f>
        <v>#REF!</v>
      </c>
      <c r="CL173" t="e">
        <f>AND(#REF!,"AAAAAG3m41k=")</f>
        <v>#REF!</v>
      </c>
      <c r="CM173" t="e">
        <f>AND(#REF!,"AAAAAG3m41o=")</f>
        <v>#REF!</v>
      </c>
      <c r="CN173" t="e">
        <f>AND(#REF!,"AAAAAG3m41s=")</f>
        <v>#REF!</v>
      </c>
      <c r="CO173" t="e">
        <f>AND(#REF!,"AAAAAG3m41w=")</f>
        <v>#REF!</v>
      </c>
      <c r="CP173" t="e">
        <f>AND(#REF!,"AAAAAG3m410=")</f>
        <v>#REF!</v>
      </c>
      <c r="CQ173" t="e">
        <f>AND(#REF!,"AAAAAG3m414=")</f>
        <v>#REF!</v>
      </c>
      <c r="CR173" t="e">
        <f>AND(#REF!,"AAAAAG3m418=")</f>
        <v>#REF!</v>
      </c>
      <c r="CS173" t="e">
        <f>AND(#REF!,"AAAAAG3m42A=")</f>
        <v>#REF!</v>
      </c>
      <c r="CT173" t="e">
        <f>AND(#REF!,"AAAAAG3m42E=")</f>
        <v>#REF!</v>
      </c>
      <c r="CU173" t="e">
        <f>AND(#REF!,"AAAAAG3m42I=")</f>
        <v>#REF!</v>
      </c>
      <c r="CV173" t="e">
        <f>AND(#REF!,"AAAAAG3m42M=")</f>
        <v>#REF!</v>
      </c>
      <c r="CW173" t="e">
        <f>AND(#REF!,"AAAAAG3m42Q=")</f>
        <v>#REF!</v>
      </c>
      <c r="CX173" t="e">
        <f>IF(#REF!,"AAAAAG3m42U=",0)</f>
        <v>#REF!</v>
      </c>
      <c r="CY173" t="e">
        <f>AND(#REF!,"AAAAAG3m42Y=")</f>
        <v>#REF!</v>
      </c>
      <c r="CZ173" t="e">
        <f>AND(#REF!,"AAAAAG3m42c=")</f>
        <v>#REF!</v>
      </c>
      <c r="DA173" t="e">
        <f>AND(#REF!,"AAAAAG3m42g=")</f>
        <v>#REF!</v>
      </c>
      <c r="DB173" t="e">
        <f>AND(#REF!,"AAAAAG3m42k=")</f>
        <v>#REF!</v>
      </c>
      <c r="DC173" t="e">
        <f>AND(#REF!,"AAAAAG3m42o=")</f>
        <v>#REF!</v>
      </c>
      <c r="DD173" t="e">
        <f>AND(#REF!,"AAAAAG3m42s=")</f>
        <v>#REF!</v>
      </c>
      <c r="DE173" t="e">
        <f>AND(#REF!,"AAAAAG3m42w=")</f>
        <v>#REF!</v>
      </c>
      <c r="DF173" t="e">
        <f>AND(#REF!,"AAAAAG3m420=")</f>
        <v>#REF!</v>
      </c>
      <c r="DG173" t="e">
        <f>AND(#REF!,"AAAAAG3m424=")</f>
        <v>#REF!</v>
      </c>
      <c r="DH173" t="e">
        <f>AND(#REF!,"AAAAAG3m428=")</f>
        <v>#REF!</v>
      </c>
      <c r="DI173" t="e">
        <f>AND(#REF!,"AAAAAG3m43A=")</f>
        <v>#REF!</v>
      </c>
      <c r="DJ173" t="e">
        <f>AND(#REF!,"AAAAAG3m43E=")</f>
        <v>#REF!</v>
      </c>
      <c r="DK173" t="e">
        <f>AND(#REF!,"AAAAAG3m43I=")</f>
        <v>#REF!</v>
      </c>
      <c r="DL173" t="e">
        <f>AND(#REF!,"AAAAAG3m43M=")</f>
        <v>#REF!</v>
      </c>
      <c r="DM173" t="e">
        <f>AND(#REF!,"AAAAAG3m43Q=")</f>
        <v>#REF!</v>
      </c>
      <c r="DN173" t="e">
        <f>AND(#REF!,"AAAAAG3m43U=")</f>
        <v>#REF!</v>
      </c>
      <c r="DO173" t="e">
        <f>AND(#REF!,"AAAAAG3m43Y=")</f>
        <v>#REF!</v>
      </c>
      <c r="DP173" t="e">
        <f>AND(#REF!,"AAAAAG3m43c=")</f>
        <v>#REF!</v>
      </c>
      <c r="DQ173" t="e">
        <f>AND(#REF!,"AAAAAG3m43g=")</f>
        <v>#REF!</v>
      </c>
      <c r="DR173" t="e">
        <f>AND(#REF!,"AAAAAG3m43k=")</f>
        <v>#REF!</v>
      </c>
      <c r="DS173" t="e">
        <f>AND(#REF!,"AAAAAG3m43o=")</f>
        <v>#REF!</v>
      </c>
      <c r="DT173" t="e">
        <f>AND(#REF!,"AAAAAG3m43s=")</f>
        <v>#REF!</v>
      </c>
      <c r="DU173" t="e">
        <f>IF(#REF!,"AAAAAG3m43w=",0)</f>
        <v>#REF!</v>
      </c>
      <c r="DV173" t="e">
        <f>AND(#REF!,"AAAAAG3m430=")</f>
        <v>#REF!</v>
      </c>
      <c r="DW173" t="e">
        <f>AND(#REF!,"AAAAAG3m434=")</f>
        <v>#REF!</v>
      </c>
      <c r="DX173" t="e">
        <f>AND(#REF!,"AAAAAG3m438=")</f>
        <v>#REF!</v>
      </c>
      <c r="DY173" t="e">
        <f>AND(#REF!,"AAAAAG3m44A=")</f>
        <v>#REF!</v>
      </c>
      <c r="DZ173" t="e">
        <f>AND(#REF!,"AAAAAG3m44E=")</f>
        <v>#REF!</v>
      </c>
      <c r="EA173" t="e">
        <f>AND(#REF!,"AAAAAG3m44I=")</f>
        <v>#REF!</v>
      </c>
      <c r="EB173" t="e">
        <f>AND(#REF!,"AAAAAG3m44M=")</f>
        <v>#REF!</v>
      </c>
      <c r="EC173" t="e">
        <f>AND(#REF!,"AAAAAG3m44Q=")</f>
        <v>#REF!</v>
      </c>
      <c r="ED173" t="e">
        <f>AND(#REF!,"AAAAAG3m44U=")</f>
        <v>#REF!</v>
      </c>
      <c r="EE173" t="e">
        <f>AND(#REF!,"AAAAAG3m44Y=")</f>
        <v>#REF!</v>
      </c>
      <c r="EF173" t="e">
        <f>AND(#REF!,"AAAAAG3m44c=")</f>
        <v>#REF!</v>
      </c>
      <c r="EG173" t="e">
        <f>AND(#REF!,"AAAAAG3m44g=")</f>
        <v>#REF!</v>
      </c>
      <c r="EH173" t="e">
        <f>AND(#REF!,"AAAAAG3m44k=")</f>
        <v>#REF!</v>
      </c>
      <c r="EI173" t="e">
        <f>AND(#REF!,"AAAAAG3m44o=")</f>
        <v>#REF!</v>
      </c>
      <c r="EJ173" t="e">
        <f>AND(#REF!,"AAAAAG3m44s=")</f>
        <v>#REF!</v>
      </c>
      <c r="EK173" t="e">
        <f>AND(#REF!,"AAAAAG3m44w=")</f>
        <v>#REF!</v>
      </c>
      <c r="EL173" t="e">
        <f>AND(#REF!,"AAAAAG3m440=")</f>
        <v>#REF!</v>
      </c>
      <c r="EM173" t="e">
        <f>AND(#REF!,"AAAAAG3m444=")</f>
        <v>#REF!</v>
      </c>
      <c r="EN173" t="e">
        <f>AND(#REF!,"AAAAAG3m448=")</f>
        <v>#REF!</v>
      </c>
      <c r="EO173" t="e">
        <f>AND(#REF!,"AAAAAG3m45A=")</f>
        <v>#REF!</v>
      </c>
      <c r="EP173" t="e">
        <f>AND(#REF!,"AAAAAG3m45E=")</f>
        <v>#REF!</v>
      </c>
      <c r="EQ173" t="e">
        <f>AND(#REF!,"AAAAAG3m45I=")</f>
        <v>#REF!</v>
      </c>
      <c r="ER173" t="e">
        <f>IF(#REF!,"AAAAAG3m45M=",0)</f>
        <v>#REF!</v>
      </c>
      <c r="ES173" t="e">
        <f>AND(#REF!,"AAAAAG3m45Q=")</f>
        <v>#REF!</v>
      </c>
      <c r="ET173" t="e">
        <f>AND(#REF!,"AAAAAG3m45U=")</f>
        <v>#REF!</v>
      </c>
      <c r="EU173" t="e">
        <f>AND(#REF!,"AAAAAG3m45Y=")</f>
        <v>#REF!</v>
      </c>
      <c r="EV173" t="e">
        <f>AND(#REF!,"AAAAAG3m45c=")</f>
        <v>#REF!</v>
      </c>
      <c r="EW173" t="e">
        <f>AND(#REF!,"AAAAAG3m45g=")</f>
        <v>#REF!</v>
      </c>
      <c r="EX173" t="e">
        <f>AND(#REF!,"AAAAAG3m45k=")</f>
        <v>#REF!</v>
      </c>
      <c r="EY173" t="e">
        <f>AND(#REF!,"AAAAAG3m45o=")</f>
        <v>#REF!</v>
      </c>
      <c r="EZ173" t="e">
        <f>AND(#REF!,"AAAAAG3m45s=")</f>
        <v>#REF!</v>
      </c>
      <c r="FA173" t="e">
        <f>AND(#REF!,"AAAAAG3m45w=")</f>
        <v>#REF!</v>
      </c>
      <c r="FB173" t="e">
        <f>AND(#REF!,"AAAAAG3m450=")</f>
        <v>#REF!</v>
      </c>
      <c r="FC173" t="e">
        <f>AND(#REF!,"AAAAAG3m454=")</f>
        <v>#REF!</v>
      </c>
      <c r="FD173" t="e">
        <f>AND(#REF!,"AAAAAG3m458=")</f>
        <v>#REF!</v>
      </c>
      <c r="FE173" t="e">
        <f>AND(#REF!,"AAAAAG3m46A=")</f>
        <v>#REF!</v>
      </c>
      <c r="FF173" t="e">
        <f>AND(#REF!,"AAAAAG3m46E=")</f>
        <v>#REF!</v>
      </c>
      <c r="FG173" t="e">
        <f>AND(#REF!,"AAAAAG3m46I=")</f>
        <v>#REF!</v>
      </c>
      <c r="FH173" t="e">
        <f>AND(#REF!,"AAAAAG3m46M=")</f>
        <v>#REF!</v>
      </c>
      <c r="FI173" t="e">
        <f>AND(#REF!,"AAAAAG3m46Q=")</f>
        <v>#REF!</v>
      </c>
      <c r="FJ173" t="e">
        <f>AND(#REF!,"AAAAAG3m46U=")</f>
        <v>#REF!</v>
      </c>
      <c r="FK173" t="e">
        <f>AND(#REF!,"AAAAAG3m46Y=")</f>
        <v>#REF!</v>
      </c>
      <c r="FL173" t="e">
        <f>AND(#REF!,"AAAAAG3m46c=")</f>
        <v>#REF!</v>
      </c>
      <c r="FM173" t="e">
        <f>AND(#REF!,"AAAAAG3m46g=")</f>
        <v>#REF!</v>
      </c>
      <c r="FN173" t="e">
        <f>AND(#REF!,"AAAAAG3m46k=")</f>
        <v>#REF!</v>
      </c>
      <c r="FO173" t="e">
        <f>IF(#REF!,"AAAAAG3m46o=",0)</f>
        <v>#REF!</v>
      </c>
      <c r="FP173" t="e">
        <f>AND(#REF!,"AAAAAG3m46s=")</f>
        <v>#REF!</v>
      </c>
      <c r="FQ173" t="e">
        <f>AND(#REF!,"AAAAAG3m46w=")</f>
        <v>#REF!</v>
      </c>
      <c r="FR173" t="e">
        <f>AND(#REF!,"AAAAAG3m460=")</f>
        <v>#REF!</v>
      </c>
      <c r="FS173" t="e">
        <f>AND(#REF!,"AAAAAG3m464=")</f>
        <v>#REF!</v>
      </c>
      <c r="FT173" t="e">
        <f>AND(#REF!,"AAAAAG3m468=")</f>
        <v>#REF!</v>
      </c>
      <c r="FU173" t="e">
        <f>AND(#REF!,"AAAAAG3m47A=")</f>
        <v>#REF!</v>
      </c>
      <c r="FV173" t="e">
        <f>AND(#REF!,"AAAAAG3m47E=")</f>
        <v>#REF!</v>
      </c>
      <c r="FW173" t="e">
        <f>AND(#REF!,"AAAAAG3m47I=")</f>
        <v>#REF!</v>
      </c>
      <c r="FX173" t="e">
        <f>AND(#REF!,"AAAAAG3m47M=")</f>
        <v>#REF!</v>
      </c>
      <c r="FY173" t="e">
        <f>AND(#REF!,"AAAAAG3m47Q=")</f>
        <v>#REF!</v>
      </c>
      <c r="FZ173" t="e">
        <f>AND(#REF!,"AAAAAG3m47U=")</f>
        <v>#REF!</v>
      </c>
      <c r="GA173" t="e">
        <f>AND(#REF!,"AAAAAG3m47Y=")</f>
        <v>#REF!</v>
      </c>
      <c r="GB173" t="e">
        <f>AND(#REF!,"AAAAAG3m47c=")</f>
        <v>#REF!</v>
      </c>
      <c r="GC173" t="e">
        <f>AND(#REF!,"AAAAAG3m47g=")</f>
        <v>#REF!</v>
      </c>
      <c r="GD173" t="e">
        <f>AND(#REF!,"AAAAAG3m47k=")</f>
        <v>#REF!</v>
      </c>
      <c r="GE173" t="e">
        <f>AND(#REF!,"AAAAAG3m47o=")</f>
        <v>#REF!</v>
      </c>
      <c r="GF173" t="e">
        <f>AND(#REF!,"AAAAAG3m47s=")</f>
        <v>#REF!</v>
      </c>
      <c r="GG173" t="e">
        <f>AND(#REF!,"AAAAAG3m47w=")</f>
        <v>#REF!</v>
      </c>
      <c r="GH173" t="e">
        <f>AND(#REF!,"AAAAAG3m470=")</f>
        <v>#REF!</v>
      </c>
      <c r="GI173" t="e">
        <f>AND(#REF!,"AAAAAG3m474=")</f>
        <v>#REF!</v>
      </c>
      <c r="GJ173" t="e">
        <f>AND(#REF!,"AAAAAG3m478=")</f>
        <v>#REF!</v>
      </c>
      <c r="GK173" t="e">
        <f>AND(#REF!,"AAAAAG3m48A=")</f>
        <v>#REF!</v>
      </c>
      <c r="GL173" t="e">
        <f>IF(#REF!,"AAAAAG3m48E=",0)</f>
        <v>#REF!</v>
      </c>
      <c r="GM173" t="e">
        <f>AND(#REF!,"AAAAAG3m48I=")</f>
        <v>#REF!</v>
      </c>
      <c r="GN173" t="e">
        <f>AND(#REF!,"AAAAAG3m48M=")</f>
        <v>#REF!</v>
      </c>
      <c r="GO173" t="e">
        <f>AND(#REF!,"AAAAAG3m48Q=")</f>
        <v>#REF!</v>
      </c>
      <c r="GP173" t="e">
        <f>AND(#REF!,"AAAAAG3m48U=")</f>
        <v>#REF!</v>
      </c>
      <c r="GQ173" t="e">
        <f>AND(#REF!,"AAAAAG3m48Y=")</f>
        <v>#REF!</v>
      </c>
      <c r="GR173" t="e">
        <f>AND(#REF!,"AAAAAG3m48c=")</f>
        <v>#REF!</v>
      </c>
      <c r="GS173" t="e">
        <f>AND(#REF!,"AAAAAG3m48g=")</f>
        <v>#REF!</v>
      </c>
      <c r="GT173" t="e">
        <f>AND(#REF!,"AAAAAG3m48k=")</f>
        <v>#REF!</v>
      </c>
      <c r="GU173" t="e">
        <f>AND(#REF!,"AAAAAG3m48o=")</f>
        <v>#REF!</v>
      </c>
      <c r="GV173" t="e">
        <f>AND(#REF!,"AAAAAG3m48s=")</f>
        <v>#REF!</v>
      </c>
      <c r="GW173" t="e">
        <f>AND(#REF!,"AAAAAG3m48w=")</f>
        <v>#REF!</v>
      </c>
      <c r="GX173" t="e">
        <f>AND(#REF!,"AAAAAG3m480=")</f>
        <v>#REF!</v>
      </c>
      <c r="GY173" t="e">
        <f>AND(#REF!,"AAAAAG3m484=")</f>
        <v>#REF!</v>
      </c>
      <c r="GZ173" t="e">
        <f>AND(#REF!,"AAAAAG3m488=")</f>
        <v>#REF!</v>
      </c>
      <c r="HA173" t="e">
        <f>AND(#REF!,"AAAAAG3m49A=")</f>
        <v>#REF!</v>
      </c>
      <c r="HB173" t="e">
        <f>AND(#REF!,"AAAAAG3m49E=")</f>
        <v>#REF!</v>
      </c>
      <c r="HC173" t="e">
        <f>AND(#REF!,"AAAAAG3m49I=")</f>
        <v>#REF!</v>
      </c>
      <c r="HD173" t="e">
        <f>AND(#REF!,"AAAAAG3m49M=")</f>
        <v>#REF!</v>
      </c>
      <c r="HE173" t="e">
        <f>AND(#REF!,"AAAAAG3m49Q=")</f>
        <v>#REF!</v>
      </c>
      <c r="HF173" t="e">
        <f>AND(#REF!,"AAAAAG3m49U=")</f>
        <v>#REF!</v>
      </c>
      <c r="HG173" t="e">
        <f>AND(#REF!,"AAAAAG3m49Y=")</f>
        <v>#REF!</v>
      </c>
      <c r="HH173" t="e">
        <f>AND(#REF!,"AAAAAG3m49c=")</f>
        <v>#REF!</v>
      </c>
      <c r="HI173" t="e">
        <f>IF(#REF!,"AAAAAG3m49g=",0)</f>
        <v>#REF!</v>
      </c>
      <c r="HJ173" t="e">
        <f>AND(#REF!,"AAAAAG3m49k=")</f>
        <v>#REF!</v>
      </c>
      <c r="HK173" t="e">
        <f>AND(#REF!,"AAAAAG3m49o=")</f>
        <v>#REF!</v>
      </c>
      <c r="HL173" t="e">
        <f>AND(#REF!,"AAAAAG3m49s=")</f>
        <v>#REF!</v>
      </c>
      <c r="HM173" t="e">
        <f>AND(#REF!,"AAAAAG3m49w=")</f>
        <v>#REF!</v>
      </c>
      <c r="HN173" t="e">
        <f>AND(#REF!,"AAAAAG3m490=")</f>
        <v>#REF!</v>
      </c>
      <c r="HO173" t="e">
        <f>AND(#REF!,"AAAAAG3m494=")</f>
        <v>#REF!</v>
      </c>
      <c r="HP173" t="e">
        <f>AND(#REF!,"AAAAAG3m498=")</f>
        <v>#REF!</v>
      </c>
      <c r="HQ173" t="e">
        <f>AND(#REF!,"AAAAAG3m4+A=")</f>
        <v>#REF!</v>
      </c>
      <c r="HR173" t="e">
        <f>AND(#REF!,"AAAAAG3m4+E=")</f>
        <v>#REF!</v>
      </c>
      <c r="HS173" t="e">
        <f>AND(#REF!,"AAAAAG3m4+I=")</f>
        <v>#REF!</v>
      </c>
      <c r="HT173" t="e">
        <f>AND(#REF!,"AAAAAG3m4+M=")</f>
        <v>#REF!</v>
      </c>
      <c r="HU173" t="e">
        <f>AND(#REF!,"AAAAAG3m4+Q=")</f>
        <v>#REF!</v>
      </c>
      <c r="HV173" t="e">
        <f>AND(#REF!,"AAAAAG3m4+U=")</f>
        <v>#REF!</v>
      </c>
      <c r="HW173" t="e">
        <f>AND(#REF!,"AAAAAG3m4+Y=")</f>
        <v>#REF!</v>
      </c>
      <c r="HX173" t="e">
        <f>AND(#REF!,"AAAAAG3m4+c=")</f>
        <v>#REF!</v>
      </c>
      <c r="HY173" t="e">
        <f>AND(#REF!,"AAAAAG3m4+g=")</f>
        <v>#REF!</v>
      </c>
      <c r="HZ173" t="e">
        <f>AND(#REF!,"AAAAAG3m4+k=")</f>
        <v>#REF!</v>
      </c>
      <c r="IA173" t="e">
        <f>AND(#REF!,"AAAAAG3m4+o=")</f>
        <v>#REF!</v>
      </c>
      <c r="IB173" t="e">
        <f>AND(#REF!,"AAAAAG3m4+s=")</f>
        <v>#REF!</v>
      </c>
      <c r="IC173" t="e">
        <f>AND(#REF!,"AAAAAG3m4+w=")</f>
        <v>#REF!</v>
      </c>
      <c r="ID173" t="e">
        <f>AND(#REF!,"AAAAAG3m4+0=")</f>
        <v>#REF!</v>
      </c>
      <c r="IE173" t="e">
        <f>AND(#REF!,"AAAAAG3m4+4=")</f>
        <v>#REF!</v>
      </c>
      <c r="IF173" t="e">
        <f>IF(#REF!,"AAAAAG3m4+8=",0)</f>
        <v>#REF!</v>
      </c>
      <c r="IG173" t="e">
        <f>AND(#REF!,"AAAAAG3m4/A=")</f>
        <v>#REF!</v>
      </c>
      <c r="IH173" t="e">
        <f>AND(#REF!,"AAAAAG3m4/E=")</f>
        <v>#REF!</v>
      </c>
      <c r="II173" t="e">
        <f>AND(#REF!,"AAAAAG3m4/I=")</f>
        <v>#REF!</v>
      </c>
      <c r="IJ173" t="e">
        <f>AND(#REF!,"AAAAAG3m4/M=")</f>
        <v>#REF!</v>
      </c>
      <c r="IK173" t="e">
        <f>AND(#REF!,"AAAAAG3m4/Q=")</f>
        <v>#REF!</v>
      </c>
      <c r="IL173" t="e">
        <f>AND(#REF!,"AAAAAG3m4/U=")</f>
        <v>#REF!</v>
      </c>
      <c r="IM173" t="e">
        <f>AND(#REF!,"AAAAAG3m4/Y=")</f>
        <v>#REF!</v>
      </c>
      <c r="IN173" t="e">
        <f>AND(#REF!,"AAAAAG3m4/c=")</f>
        <v>#REF!</v>
      </c>
      <c r="IO173" t="e">
        <f>AND(#REF!,"AAAAAG3m4/g=")</f>
        <v>#REF!</v>
      </c>
      <c r="IP173" t="e">
        <f>AND(#REF!,"AAAAAG3m4/k=")</f>
        <v>#REF!</v>
      </c>
      <c r="IQ173" t="e">
        <f>AND(#REF!,"AAAAAG3m4/o=")</f>
        <v>#REF!</v>
      </c>
      <c r="IR173" t="e">
        <f>AND(#REF!,"AAAAAG3m4/s=")</f>
        <v>#REF!</v>
      </c>
      <c r="IS173" t="e">
        <f>AND(#REF!,"AAAAAG3m4/w=")</f>
        <v>#REF!</v>
      </c>
      <c r="IT173" t="e">
        <f>AND(#REF!,"AAAAAG3m4/0=")</f>
        <v>#REF!</v>
      </c>
      <c r="IU173" t="e">
        <f>AND(#REF!,"AAAAAG3m4/4=")</f>
        <v>#REF!</v>
      </c>
      <c r="IV173" t="e">
        <f>AND(#REF!,"AAAAAG3m4/8=")</f>
        <v>#REF!</v>
      </c>
    </row>
    <row r="174" spans="1:256" x14ac:dyDescent="0.2">
      <c r="A174" t="e">
        <f>AND(#REF!,"AAAAAGXz5QA=")</f>
        <v>#REF!</v>
      </c>
      <c r="B174" t="e">
        <f>AND(#REF!,"AAAAAGXz5QE=")</f>
        <v>#REF!</v>
      </c>
      <c r="C174" t="e">
        <f>AND(#REF!,"AAAAAGXz5QI=")</f>
        <v>#REF!</v>
      </c>
      <c r="D174" t="e">
        <f>AND(#REF!,"AAAAAGXz5QM=")</f>
        <v>#REF!</v>
      </c>
      <c r="E174" t="e">
        <f>AND(#REF!,"AAAAAGXz5QQ=")</f>
        <v>#REF!</v>
      </c>
      <c r="F174" t="e">
        <f>AND(#REF!,"AAAAAGXz5QU=")</f>
        <v>#REF!</v>
      </c>
      <c r="G174" t="e">
        <f>IF(#REF!,"AAAAAGXz5QY=",0)</f>
        <v>#REF!</v>
      </c>
      <c r="H174" t="e">
        <f>AND(#REF!,"AAAAAGXz5Qc=")</f>
        <v>#REF!</v>
      </c>
      <c r="I174" t="e">
        <f>AND(#REF!,"AAAAAGXz5Qg=")</f>
        <v>#REF!</v>
      </c>
      <c r="J174" t="e">
        <f>AND(#REF!,"AAAAAGXz5Qk=")</f>
        <v>#REF!</v>
      </c>
      <c r="K174" t="e">
        <f>AND(#REF!,"AAAAAGXz5Qo=")</f>
        <v>#REF!</v>
      </c>
      <c r="L174" t="e">
        <f>AND(#REF!,"AAAAAGXz5Qs=")</f>
        <v>#REF!</v>
      </c>
      <c r="M174" t="e">
        <f>AND(#REF!,"AAAAAGXz5Qw=")</f>
        <v>#REF!</v>
      </c>
      <c r="N174" t="e">
        <f>AND(#REF!,"AAAAAGXz5Q0=")</f>
        <v>#REF!</v>
      </c>
      <c r="O174" t="e">
        <f>AND(#REF!,"AAAAAGXz5Q4=")</f>
        <v>#REF!</v>
      </c>
      <c r="P174" t="e">
        <f>AND(#REF!,"AAAAAGXz5Q8=")</f>
        <v>#REF!</v>
      </c>
      <c r="Q174" t="e">
        <f>AND(#REF!,"AAAAAGXz5RA=")</f>
        <v>#REF!</v>
      </c>
      <c r="R174" t="e">
        <f>AND(#REF!,"AAAAAGXz5RE=")</f>
        <v>#REF!</v>
      </c>
      <c r="S174" t="e">
        <f>AND(#REF!,"AAAAAGXz5RI=")</f>
        <v>#REF!</v>
      </c>
      <c r="T174" t="e">
        <f>AND(#REF!,"AAAAAGXz5RM=")</f>
        <v>#REF!</v>
      </c>
      <c r="U174" t="e">
        <f>AND(#REF!,"AAAAAGXz5RQ=")</f>
        <v>#REF!</v>
      </c>
      <c r="V174" t="e">
        <f>AND(#REF!,"AAAAAGXz5RU=")</f>
        <v>#REF!</v>
      </c>
      <c r="W174" t="e">
        <f>AND(#REF!,"AAAAAGXz5RY=")</f>
        <v>#REF!</v>
      </c>
      <c r="X174" t="e">
        <f>AND(#REF!,"AAAAAGXz5Rc=")</f>
        <v>#REF!</v>
      </c>
      <c r="Y174" t="e">
        <f>AND(#REF!,"AAAAAGXz5Rg=")</f>
        <v>#REF!</v>
      </c>
      <c r="Z174" t="e">
        <f>AND(#REF!,"AAAAAGXz5Rk=")</f>
        <v>#REF!</v>
      </c>
      <c r="AA174" t="e">
        <f>AND(#REF!,"AAAAAGXz5Ro=")</f>
        <v>#REF!</v>
      </c>
      <c r="AB174" t="e">
        <f>AND(#REF!,"AAAAAGXz5Rs=")</f>
        <v>#REF!</v>
      </c>
      <c r="AC174" t="e">
        <f>AND(#REF!,"AAAAAGXz5Rw=")</f>
        <v>#REF!</v>
      </c>
      <c r="AD174" t="e">
        <f>IF(#REF!,"AAAAAGXz5R0=",0)</f>
        <v>#REF!</v>
      </c>
      <c r="AE174" t="e">
        <f>AND(#REF!,"AAAAAGXz5R4=")</f>
        <v>#REF!</v>
      </c>
      <c r="AF174" t="e">
        <f>AND(#REF!,"AAAAAGXz5R8=")</f>
        <v>#REF!</v>
      </c>
      <c r="AG174" t="e">
        <f>AND(#REF!,"AAAAAGXz5SA=")</f>
        <v>#REF!</v>
      </c>
      <c r="AH174" t="e">
        <f>AND(#REF!,"AAAAAGXz5SE=")</f>
        <v>#REF!</v>
      </c>
      <c r="AI174" t="e">
        <f>AND(#REF!,"AAAAAGXz5SI=")</f>
        <v>#REF!</v>
      </c>
      <c r="AJ174" t="e">
        <f>AND(#REF!,"AAAAAGXz5SM=")</f>
        <v>#REF!</v>
      </c>
      <c r="AK174" t="e">
        <f>AND(#REF!,"AAAAAGXz5SQ=")</f>
        <v>#REF!</v>
      </c>
      <c r="AL174" t="e">
        <f>AND(#REF!,"AAAAAGXz5SU=")</f>
        <v>#REF!</v>
      </c>
      <c r="AM174" t="e">
        <f>AND(#REF!,"AAAAAGXz5SY=")</f>
        <v>#REF!</v>
      </c>
      <c r="AN174" t="e">
        <f>AND(#REF!,"AAAAAGXz5Sc=")</f>
        <v>#REF!</v>
      </c>
      <c r="AO174" t="e">
        <f>AND(#REF!,"AAAAAGXz5Sg=")</f>
        <v>#REF!</v>
      </c>
      <c r="AP174" t="e">
        <f>AND(#REF!,"AAAAAGXz5Sk=")</f>
        <v>#REF!</v>
      </c>
      <c r="AQ174" t="e">
        <f>AND(#REF!,"AAAAAGXz5So=")</f>
        <v>#REF!</v>
      </c>
      <c r="AR174" t="e">
        <f>AND(#REF!,"AAAAAGXz5Ss=")</f>
        <v>#REF!</v>
      </c>
      <c r="AS174" t="e">
        <f>AND(#REF!,"AAAAAGXz5Sw=")</f>
        <v>#REF!</v>
      </c>
      <c r="AT174" t="e">
        <f>AND(#REF!,"AAAAAGXz5S0=")</f>
        <v>#REF!</v>
      </c>
      <c r="AU174" t="e">
        <f>AND(#REF!,"AAAAAGXz5S4=")</f>
        <v>#REF!</v>
      </c>
      <c r="AV174" t="e">
        <f>AND(#REF!,"AAAAAGXz5S8=")</f>
        <v>#REF!</v>
      </c>
      <c r="AW174" t="e">
        <f>AND(#REF!,"AAAAAGXz5TA=")</f>
        <v>#REF!</v>
      </c>
      <c r="AX174" t="e">
        <f>AND(#REF!,"AAAAAGXz5TE=")</f>
        <v>#REF!</v>
      </c>
      <c r="AY174" t="e">
        <f>AND(#REF!,"AAAAAGXz5TI=")</f>
        <v>#REF!</v>
      </c>
      <c r="AZ174" t="e">
        <f>AND(#REF!,"AAAAAGXz5TM=")</f>
        <v>#REF!</v>
      </c>
      <c r="BA174" t="e">
        <f>IF(#REF!,"AAAAAGXz5TQ=",0)</f>
        <v>#REF!</v>
      </c>
      <c r="BB174" t="e">
        <f>AND(#REF!,"AAAAAGXz5TU=")</f>
        <v>#REF!</v>
      </c>
      <c r="BC174" t="e">
        <f>AND(#REF!,"AAAAAGXz5TY=")</f>
        <v>#REF!</v>
      </c>
      <c r="BD174" t="e">
        <f>AND(#REF!,"AAAAAGXz5Tc=")</f>
        <v>#REF!</v>
      </c>
      <c r="BE174" t="e">
        <f>AND(#REF!,"AAAAAGXz5Tg=")</f>
        <v>#REF!</v>
      </c>
      <c r="BF174" t="e">
        <f>AND(#REF!,"AAAAAGXz5Tk=")</f>
        <v>#REF!</v>
      </c>
      <c r="BG174" t="e">
        <f>AND(#REF!,"AAAAAGXz5To=")</f>
        <v>#REF!</v>
      </c>
      <c r="BH174" t="e">
        <f>AND(#REF!,"AAAAAGXz5Ts=")</f>
        <v>#REF!</v>
      </c>
      <c r="BI174" t="e">
        <f>AND(#REF!,"AAAAAGXz5Tw=")</f>
        <v>#REF!</v>
      </c>
      <c r="BJ174" t="e">
        <f>AND(#REF!,"AAAAAGXz5T0=")</f>
        <v>#REF!</v>
      </c>
      <c r="BK174" t="e">
        <f>AND(#REF!,"AAAAAGXz5T4=")</f>
        <v>#REF!</v>
      </c>
      <c r="BL174" t="e">
        <f>AND(#REF!,"AAAAAGXz5T8=")</f>
        <v>#REF!</v>
      </c>
      <c r="BM174" t="e">
        <f>AND(#REF!,"AAAAAGXz5UA=")</f>
        <v>#REF!</v>
      </c>
      <c r="BN174" t="e">
        <f>AND(#REF!,"AAAAAGXz5UE=")</f>
        <v>#REF!</v>
      </c>
      <c r="BO174" t="e">
        <f>AND(#REF!,"AAAAAGXz5UI=")</f>
        <v>#REF!</v>
      </c>
      <c r="BP174" t="e">
        <f>AND(#REF!,"AAAAAGXz5UM=")</f>
        <v>#REF!</v>
      </c>
      <c r="BQ174" t="e">
        <f>AND(#REF!,"AAAAAGXz5UQ=")</f>
        <v>#REF!</v>
      </c>
      <c r="BR174" t="e">
        <f>AND(#REF!,"AAAAAGXz5UU=")</f>
        <v>#REF!</v>
      </c>
      <c r="BS174" t="e">
        <f>AND(#REF!,"AAAAAGXz5UY=")</f>
        <v>#REF!</v>
      </c>
      <c r="BT174" t="e">
        <f>AND(#REF!,"AAAAAGXz5Uc=")</f>
        <v>#REF!</v>
      </c>
      <c r="BU174" t="e">
        <f>AND(#REF!,"AAAAAGXz5Ug=")</f>
        <v>#REF!</v>
      </c>
      <c r="BV174" t="e">
        <f>AND(#REF!,"AAAAAGXz5Uk=")</f>
        <v>#REF!</v>
      </c>
      <c r="BW174" t="e">
        <f>AND(#REF!,"AAAAAGXz5Uo=")</f>
        <v>#REF!</v>
      </c>
      <c r="BX174" t="e">
        <f>IF(#REF!,"AAAAAGXz5Us=",0)</f>
        <v>#REF!</v>
      </c>
      <c r="BY174" t="e">
        <f>AND(#REF!,"AAAAAGXz5Uw=")</f>
        <v>#REF!</v>
      </c>
      <c r="BZ174" t="e">
        <f>AND(#REF!,"AAAAAGXz5U0=")</f>
        <v>#REF!</v>
      </c>
      <c r="CA174" t="e">
        <f>AND(#REF!,"AAAAAGXz5U4=")</f>
        <v>#REF!</v>
      </c>
      <c r="CB174" t="e">
        <f>AND(#REF!,"AAAAAGXz5U8=")</f>
        <v>#REF!</v>
      </c>
      <c r="CC174" t="e">
        <f>AND(#REF!,"AAAAAGXz5VA=")</f>
        <v>#REF!</v>
      </c>
      <c r="CD174" t="e">
        <f>AND(#REF!,"AAAAAGXz5VE=")</f>
        <v>#REF!</v>
      </c>
      <c r="CE174" t="e">
        <f>AND(#REF!,"AAAAAGXz5VI=")</f>
        <v>#REF!</v>
      </c>
      <c r="CF174" t="e">
        <f>AND(#REF!,"AAAAAGXz5VM=")</f>
        <v>#REF!</v>
      </c>
      <c r="CG174" t="e">
        <f>AND(#REF!,"AAAAAGXz5VQ=")</f>
        <v>#REF!</v>
      </c>
      <c r="CH174" t="e">
        <f>AND(#REF!,"AAAAAGXz5VU=")</f>
        <v>#REF!</v>
      </c>
      <c r="CI174" t="e">
        <f>AND(#REF!,"AAAAAGXz5VY=")</f>
        <v>#REF!</v>
      </c>
      <c r="CJ174" t="e">
        <f>AND(#REF!,"AAAAAGXz5Vc=")</f>
        <v>#REF!</v>
      </c>
      <c r="CK174" t="e">
        <f>AND(#REF!,"AAAAAGXz5Vg=")</f>
        <v>#REF!</v>
      </c>
      <c r="CL174" t="e">
        <f>AND(#REF!,"AAAAAGXz5Vk=")</f>
        <v>#REF!</v>
      </c>
      <c r="CM174" t="e">
        <f>AND(#REF!,"AAAAAGXz5Vo=")</f>
        <v>#REF!</v>
      </c>
      <c r="CN174" t="e">
        <f>AND(#REF!,"AAAAAGXz5Vs=")</f>
        <v>#REF!</v>
      </c>
      <c r="CO174" t="e">
        <f>AND(#REF!,"AAAAAGXz5Vw=")</f>
        <v>#REF!</v>
      </c>
      <c r="CP174" t="e">
        <f>AND(#REF!,"AAAAAGXz5V0=")</f>
        <v>#REF!</v>
      </c>
      <c r="CQ174" t="e">
        <f>AND(#REF!,"AAAAAGXz5V4=")</f>
        <v>#REF!</v>
      </c>
      <c r="CR174" t="e">
        <f>AND(#REF!,"AAAAAGXz5V8=")</f>
        <v>#REF!</v>
      </c>
      <c r="CS174" t="e">
        <f>AND(#REF!,"AAAAAGXz5WA=")</f>
        <v>#REF!</v>
      </c>
      <c r="CT174" t="e">
        <f>AND(#REF!,"AAAAAGXz5WE=")</f>
        <v>#REF!</v>
      </c>
      <c r="CU174" t="e">
        <f>IF(#REF!,"AAAAAGXz5WI=",0)</f>
        <v>#REF!</v>
      </c>
      <c r="CV174" t="e">
        <f>AND(#REF!,"AAAAAGXz5WM=")</f>
        <v>#REF!</v>
      </c>
      <c r="CW174" t="e">
        <f>IF(#REF!,"AAAAAGXz5WQ=",0)</f>
        <v>#REF!</v>
      </c>
      <c r="CX174" t="e">
        <f>AND(#REF!,"AAAAAGXz5WU=")</f>
        <v>#REF!</v>
      </c>
      <c r="CY174" t="e">
        <f>IF(#REF!,"AAAAAGXz5WY=",0)</f>
        <v>#REF!</v>
      </c>
      <c r="CZ174" t="e">
        <f>AND(#REF!,"AAAAAGXz5Wc=")</f>
        <v>#REF!</v>
      </c>
      <c r="DA174" t="e">
        <f>IF(#REF!,"AAAAAGXz5Wg=",0)</f>
        <v>#REF!</v>
      </c>
      <c r="DB174" t="e">
        <f>AND(#REF!,"AAAAAGXz5Wk=")</f>
        <v>#REF!</v>
      </c>
      <c r="DC174" t="e">
        <f>IF(#REF!,"AAAAAGXz5Wo=",0)</f>
        <v>#REF!</v>
      </c>
      <c r="DD174" t="e">
        <f>AND(#REF!,"AAAAAGXz5Ws=")</f>
        <v>#REF!</v>
      </c>
      <c r="DE174" t="e">
        <f>IF(#REF!,"AAAAAGXz5Ww=",0)</f>
        <v>#REF!</v>
      </c>
      <c r="DF174" t="e">
        <f>AND(#REF!,"AAAAAGXz5W0=")</f>
        <v>#REF!</v>
      </c>
      <c r="DG174" t="e">
        <f>IF(#REF!,"AAAAAGXz5W4=",0)</f>
        <v>#REF!</v>
      </c>
      <c r="DH174" t="e">
        <f>AND(#REF!,"AAAAAGXz5W8=")</f>
        <v>#REF!</v>
      </c>
      <c r="DI174" t="e">
        <f>IF(#REF!,"AAAAAGXz5XA=",0)</f>
        <v>#REF!</v>
      </c>
      <c r="DJ174" t="e">
        <f>AND(#REF!,"AAAAAGXz5XE=")</f>
        <v>#REF!</v>
      </c>
      <c r="DK174" t="e">
        <f>IF(#REF!,"AAAAAGXz5XI=",0)</f>
        <v>#REF!</v>
      </c>
      <c r="DL174" t="e">
        <f>AND(#REF!,"AAAAAGXz5XM=")</f>
        <v>#REF!</v>
      </c>
      <c r="DM174" t="e">
        <f>IF(#REF!,"AAAAAGXz5XQ=",0)</f>
        <v>#REF!</v>
      </c>
      <c r="DN174" t="e">
        <f>AND(#REF!,"AAAAAGXz5XU=")</f>
        <v>#REF!</v>
      </c>
      <c r="DO174" t="e">
        <f>IF(#REF!,"AAAAAGXz5XY=",0)</f>
        <v>#REF!</v>
      </c>
      <c r="DP174" t="e">
        <f>AND(#REF!,"AAAAAGXz5Xc=")</f>
        <v>#REF!</v>
      </c>
      <c r="DQ174" t="e">
        <f>IF(#REF!,"AAAAAGXz5Xg=",0)</f>
        <v>#REF!</v>
      </c>
      <c r="DR174" t="e">
        <f>AND(#REF!,"AAAAAGXz5Xk=")</f>
        <v>#REF!</v>
      </c>
      <c r="DS174" t="e">
        <f>IF(#REF!,"AAAAAGXz5Xo=",0)</f>
        <v>#REF!</v>
      </c>
      <c r="DT174" t="e">
        <f>AND(#REF!,"AAAAAGXz5Xs=")</f>
        <v>#REF!</v>
      </c>
      <c r="DU174" t="e">
        <f>IF(#REF!,"AAAAAGXz5Xw=",0)</f>
        <v>#REF!</v>
      </c>
      <c r="DV174" t="e">
        <f>AND(#REF!,"AAAAAGXz5X0=")</f>
        <v>#REF!</v>
      </c>
      <c r="DW174" t="e">
        <f>IF(#REF!,"AAAAAGXz5X4=",0)</f>
        <v>#REF!</v>
      </c>
      <c r="DX174" t="e">
        <f>AND(#REF!,"AAAAAGXz5X8=")</f>
        <v>#REF!</v>
      </c>
      <c r="DY174" t="e">
        <f>IF(#REF!,"AAAAAGXz5YA=",0)</f>
        <v>#REF!</v>
      </c>
      <c r="DZ174" t="e">
        <f>AND(#REF!,"AAAAAGXz5YE=")</f>
        <v>#REF!</v>
      </c>
      <c r="EA174" t="e">
        <f>IF(#REF!,"AAAAAGXz5YI=",0)</f>
        <v>#REF!</v>
      </c>
      <c r="EB174" t="e">
        <f>AND(#REF!,"AAAAAGXz5YM=")</f>
        <v>#REF!</v>
      </c>
      <c r="EC174" t="e">
        <f>IF(#REF!,"AAAAAGXz5YQ=",0)</f>
        <v>#REF!</v>
      </c>
      <c r="ED174" t="e">
        <f>AND(#REF!,"AAAAAGXz5YU=")</f>
        <v>#REF!</v>
      </c>
      <c r="EE174" t="e">
        <f>IF(#REF!,"AAAAAGXz5YY=",0)</f>
        <v>#REF!</v>
      </c>
      <c r="EF174" t="e">
        <f>AND(#REF!,"AAAAAGXz5Yc=")</f>
        <v>#REF!</v>
      </c>
      <c r="EG174" t="e">
        <f>IF(#REF!,"AAAAAGXz5Yg=",0)</f>
        <v>#REF!</v>
      </c>
      <c r="EH174" t="e">
        <f>AND(#REF!,"AAAAAGXz5Yk=")</f>
        <v>#REF!</v>
      </c>
      <c r="EI174" t="e">
        <f>IF(#REF!,"AAAAAGXz5Yo=",0)</f>
        <v>#REF!</v>
      </c>
      <c r="EJ174" t="e">
        <f>AND(#REF!,"AAAAAGXz5Ys=")</f>
        <v>#REF!</v>
      </c>
      <c r="EK174" t="e">
        <f>IF(#REF!,"AAAAAGXz5Yw=",0)</f>
        <v>#REF!</v>
      </c>
      <c r="EL174" t="e">
        <f>AND(#REF!,"AAAAAGXz5Y0=")</f>
        <v>#REF!</v>
      </c>
      <c r="EM174" t="e">
        <f>IF(#REF!,"AAAAAGXz5Y4=",0)</f>
        <v>#REF!</v>
      </c>
      <c r="EN174" t="e">
        <f>AND(#REF!,"AAAAAGXz5Y8=")</f>
        <v>#REF!</v>
      </c>
      <c r="EO174" t="e">
        <f>IF(#REF!,"AAAAAGXz5ZA=",0)</f>
        <v>#REF!</v>
      </c>
      <c r="EP174" t="e">
        <f>AND(#REF!,"AAAAAGXz5ZE=")</f>
        <v>#REF!</v>
      </c>
      <c r="EQ174" t="e">
        <f>IF(#REF!,"AAAAAGXz5ZI=",0)</f>
        <v>#REF!</v>
      </c>
      <c r="ER174" t="e">
        <f>AND(#REF!,"AAAAAGXz5ZM=")</f>
        <v>#REF!</v>
      </c>
      <c r="ES174" t="e">
        <f>IF(#REF!,"AAAAAGXz5ZQ=",0)</f>
        <v>#REF!</v>
      </c>
      <c r="ET174" t="e">
        <f>AND(#REF!,"AAAAAGXz5ZU=")</f>
        <v>#REF!</v>
      </c>
      <c r="EU174" t="e">
        <f>IF(#REF!,"AAAAAGXz5ZY=",0)</f>
        <v>#REF!</v>
      </c>
      <c r="EV174" t="e">
        <f>AND(#REF!,"AAAAAGXz5Zc=")</f>
        <v>#REF!</v>
      </c>
      <c r="EW174" t="e">
        <f>IF(#REF!,"AAAAAGXz5Zg=",0)</f>
        <v>#REF!</v>
      </c>
      <c r="EX174" t="e">
        <f>AND(#REF!,"AAAAAGXz5Zk=")</f>
        <v>#REF!</v>
      </c>
      <c r="EY174" t="e">
        <f>IF(#REF!,"AAAAAGXz5Zo=",0)</f>
        <v>#REF!</v>
      </c>
      <c r="EZ174" t="e">
        <f>AND(#REF!,"AAAAAGXz5Zs=")</f>
        <v>#REF!</v>
      </c>
      <c r="FA174" t="e">
        <f>IF(#REF!,"AAAAAGXz5Zw=",0)</f>
        <v>#REF!</v>
      </c>
      <c r="FB174" t="e">
        <f>AND(#REF!,"AAAAAGXz5Z0=")</f>
        <v>#REF!</v>
      </c>
      <c r="FC174" t="e">
        <f>IF(#REF!,"AAAAAGXz5Z4=",0)</f>
        <v>#REF!</v>
      </c>
      <c r="FD174" t="e">
        <f>AND(#REF!,"AAAAAGXz5Z8=")</f>
        <v>#REF!</v>
      </c>
      <c r="FE174" t="e">
        <f>IF(#REF!,"AAAAAGXz5aA=",0)</f>
        <v>#REF!</v>
      </c>
      <c r="FF174" t="e">
        <f>AND(#REF!,"AAAAAGXz5aE=")</f>
        <v>#REF!</v>
      </c>
      <c r="FG174" t="e">
        <f>IF(#REF!,"AAAAAGXz5aI=",0)</f>
        <v>#REF!</v>
      </c>
      <c r="FH174" t="e">
        <f>AND(#REF!,"AAAAAGXz5aM=")</f>
        <v>#REF!</v>
      </c>
      <c r="FI174" t="e">
        <f>IF(#REF!,"AAAAAGXz5aQ=",0)</f>
        <v>#REF!</v>
      </c>
      <c r="FJ174" t="e">
        <f>AND(#REF!,"AAAAAGXz5aU=")</f>
        <v>#REF!</v>
      </c>
      <c r="FK174" t="e">
        <f>IF(#REF!,"AAAAAGXz5aY=",0)</f>
        <v>#REF!</v>
      </c>
      <c r="FL174" t="e">
        <f>AND(#REF!,"AAAAAGXz5ac=")</f>
        <v>#REF!</v>
      </c>
      <c r="FM174" t="e">
        <f>IF(#REF!,"AAAAAGXz5ag=",0)</f>
        <v>#REF!</v>
      </c>
      <c r="FN174" t="e">
        <f>AND(#REF!,"AAAAAGXz5ak=")</f>
        <v>#REF!</v>
      </c>
      <c r="FO174" t="e">
        <f>IF(#REF!,"AAAAAGXz5ao=",0)</f>
        <v>#REF!</v>
      </c>
      <c r="FP174" t="e">
        <f>AND(#REF!,"AAAAAGXz5as=")</f>
        <v>#REF!</v>
      </c>
      <c r="FQ174" t="e">
        <f>IF(#REF!,"AAAAAGXz5aw=",0)</f>
        <v>#REF!</v>
      </c>
      <c r="FR174" t="e">
        <f>AND(#REF!,"AAAAAGXz5a0=")</f>
        <v>#REF!</v>
      </c>
      <c r="FS174" t="e">
        <f>IF(#REF!,"AAAAAGXz5a4=",0)</f>
        <v>#REF!</v>
      </c>
      <c r="FT174" t="e">
        <f>AND(#REF!,"AAAAAGXz5a8=")</f>
        <v>#REF!</v>
      </c>
      <c r="FU174" t="e">
        <f>IF(#REF!,"AAAAAGXz5bA=",0)</f>
        <v>#REF!</v>
      </c>
      <c r="FV174" t="e">
        <f>AND(#REF!,"AAAAAGXz5bE=")</f>
        <v>#REF!</v>
      </c>
      <c r="FW174" t="e">
        <f>IF(#REF!,"AAAAAGXz5bI=",0)</f>
        <v>#REF!</v>
      </c>
      <c r="FX174" t="e">
        <f>AND(#REF!,"AAAAAGXz5bM=")</f>
        <v>#REF!</v>
      </c>
      <c r="FY174" t="e">
        <f>IF(#REF!,"AAAAAGXz5bQ=",0)</f>
        <v>#REF!</v>
      </c>
      <c r="FZ174" t="e">
        <f>AND(#REF!,"AAAAAGXz5bU=")</f>
        <v>#REF!</v>
      </c>
      <c r="GA174" t="e">
        <f>IF(#REF!,"AAAAAGXz5bY=",0)</f>
        <v>#REF!</v>
      </c>
      <c r="GB174" t="e">
        <f>AND(#REF!,"AAAAAGXz5bc=")</f>
        <v>#REF!</v>
      </c>
      <c r="GC174" t="e">
        <f>IF(#REF!,"AAAAAGXz5bg=",0)</f>
        <v>#REF!</v>
      </c>
      <c r="GD174" t="e">
        <f>AND(#REF!,"AAAAAGXz5bk=")</f>
        <v>#REF!</v>
      </c>
      <c r="GE174" t="e">
        <f>IF(#REF!,"AAAAAGXz5bo=",0)</f>
        <v>#REF!</v>
      </c>
      <c r="GF174" t="e">
        <f>AND(#REF!,"AAAAAGXz5bs=")</f>
        <v>#REF!</v>
      </c>
      <c r="GG174" t="e">
        <f>IF(#REF!,"AAAAAGXz5bw=",0)</f>
        <v>#REF!</v>
      </c>
      <c r="GH174" t="e">
        <f>AND(#REF!,"AAAAAGXz5b0=")</f>
        <v>#REF!</v>
      </c>
      <c r="GI174" t="e">
        <f>IF(#REF!,"AAAAAGXz5b4=",0)</f>
        <v>#REF!</v>
      </c>
      <c r="GJ174" t="e">
        <f>AND(#REF!,"AAAAAGXz5b8=")</f>
        <v>#REF!</v>
      </c>
      <c r="GK174" t="e">
        <f>IF(#REF!,"AAAAAGXz5cA=",0)</f>
        <v>#REF!</v>
      </c>
      <c r="GL174" t="e">
        <f>AND(#REF!,"AAAAAGXz5cE=")</f>
        <v>#REF!</v>
      </c>
      <c r="GM174" t="e">
        <f>IF(#REF!,"AAAAAGXz5cI=",0)</f>
        <v>#REF!</v>
      </c>
      <c r="GN174" t="e">
        <f>AND(#REF!,"AAAAAGXz5cM=")</f>
        <v>#REF!</v>
      </c>
      <c r="GO174" t="e">
        <f>IF(#REF!,"AAAAAGXz5cQ=",0)</f>
        <v>#REF!</v>
      </c>
      <c r="GP174" t="e">
        <f>AND(#REF!,"AAAAAGXz5cU=")</f>
        <v>#REF!</v>
      </c>
      <c r="GQ174" t="e">
        <f>IF(#REF!,"AAAAAGXz5cY=",0)</f>
        <v>#REF!</v>
      </c>
      <c r="GR174" t="e">
        <f>AND(#REF!,"AAAAAGXz5cc=")</f>
        <v>#REF!</v>
      </c>
      <c r="GS174" t="e">
        <f>IF(#REF!,"AAAAAGXz5cg=",0)</f>
        <v>#REF!</v>
      </c>
      <c r="GT174" t="e">
        <f>AND(#REF!,"AAAAAGXz5ck=")</f>
        <v>#REF!</v>
      </c>
      <c r="GU174" t="e">
        <f>IF(#REF!,"AAAAAGXz5co=",0)</f>
        <v>#REF!</v>
      </c>
      <c r="GV174" t="e">
        <f>AND(#REF!,"AAAAAGXz5cs=")</f>
        <v>#REF!</v>
      </c>
      <c r="GW174" t="e">
        <f>IF(#REF!,"AAAAAGXz5cw=",0)</f>
        <v>#REF!</v>
      </c>
      <c r="GX174" t="e">
        <f>AND(#REF!,"AAAAAGXz5c0=")</f>
        <v>#REF!</v>
      </c>
      <c r="GY174" t="e">
        <f>IF(#REF!,"AAAAAGXz5c4=",0)</f>
        <v>#REF!</v>
      </c>
      <c r="GZ174" t="e">
        <f>AND(#REF!,"AAAAAGXz5c8=")</f>
        <v>#REF!</v>
      </c>
      <c r="HA174" t="e">
        <f>IF(#REF!,"AAAAAGXz5dA=",0)</f>
        <v>#REF!</v>
      </c>
      <c r="HB174" t="e">
        <f>AND(#REF!,"AAAAAGXz5dE=")</f>
        <v>#REF!</v>
      </c>
      <c r="HC174" t="e">
        <f>IF(#REF!,"AAAAAGXz5dI=",0)</f>
        <v>#REF!</v>
      </c>
      <c r="HD174" t="e">
        <f>AND(#REF!,"AAAAAGXz5dM=")</f>
        <v>#REF!</v>
      </c>
      <c r="HE174" t="e">
        <f>IF(#REF!,"AAAAAGXz5dQ=",0)</f>
        <v>#REF!</v>
      </c>
      <c r="HF174" t="e">
        <f>AND(#REF!,"AAAAAGXz5dU=")</f>
        <v>#REF!</v>
      </c>
      <c r="HG174" t="e">
        <f>IF(#REF!,"AAAAAGXz5dY=",0)</f>
        <v>#REF!</v>
      </c>
      <c r="HH174" t="e">
        <f>AND(#REF!,"AAAAAGXz5dc=")</f>
        <v>#REF!</v>
      </c>
      <c r="HI174" t="e">
        <f>IF(#REF!,"AAAAAGXz5dg=",0)</f>
        <v>#REF!</v>
      </c>
      <c r="HJ174" t="e">
        <f>AND(#REF!,"AAAAAGXz5dk=")</f>
        <v>#REF!</v>
      </c>
      <c r="HK174" t="e">
        <f>IF(#REF!,"AAAAAGXz5do=",0)</f>
        <v>#REF!</v>
      </c>
      <c r="HL174" t="e">
        <f>AND(#REF!,"AAAAAGXz5ds=")</f>
        <v>#REF!</v>
      </c>
      <c r="HM174" t="e">
        <f>IF(#REF!,"AAAAAGXz5dw=",0)</f>
        <v>#REF!</v>
      </c>
      <c r="HN174" t="e">
        <f>AND(#REF!,"AAAAAGXz5d0=")</f>
        <v>#REF!</v>
      </c>
      <c r="HO174" t="e">
        <f>IF(#REF!,"AAAAAGXz5d4=",0)</f>
        <v>#REF!</v>
      </c>
      <c r="HP174" t="e">
        <f>AND(#REF!,"AAAAAGXz5d8=")</f>
        <v>#REF!</v>
      </c>
      <c r="HQ174" t="e">
        <f>IF(#REF!,"AAAAAGXz5eA=",0)</f>
        <v>#REF!</v>
      </c>
      <c r="HR174" t="e">
        <f>AND(#REF!,"AAAAAGXz5eE=")</f>
        <v>#REF!</v>
      </c>
      <c r="HS174" t="e">
        <f>IF(#REF!,"AAAAAGXz5eI=",0)</f>
        <v>#REF!</v>
      </c>
      <c r="HT174" t="e">
        <f>AND(#REF!,"AAAAAGXz5eM=")</f>
        <v>#REF!</v>
      </c>
      <c r="HU174" t="e">
        <f>IF(#REF!,"AAAAAGXz5eQ=",0)</f>
        <v>#REF!</v>
      </c>
      <c r="HV174" t="e">
        <f>AND(#REF!,"AAAAAGXz5eU=")</f>
        <v>#REF!</v>
      </c>
      <c r="HW174" t="e">
        <f>IF(#REF!,"AAAAAGXz5eY=",0)</f>
        <v>#REF!</v>
      </c>
      <c r="HX174" t="e">
        <f>AND(#REF!,"AAAAAGXz5ec=")</f>
        <v>#REF!</v>
      </c>
      <c r="HY174" t="e">
        <f>IF(#REF!,"AAAAAGXz5eg=",0)</f>
        <v>#REF!</v>
      </c>
      <c r="HZ174" t="e">
        <f>AND(#REF!,"AAAAAGXz5ek=")</f>
        <v>#REF!</v>
      </c>
      <c r="IA174" t="e">
        <f>IF(#REF!,"AAAAAGXz5eo=",0)</f>
        <v>#REF!</v>
      </c>
      <c r="IB174" t="e">
        <f>AND(#REF!,"AAAAAGXz5es=")</f>
        <v>#REF!</v>
      </c>
      <c r="IC174" t="e">
        <f>IF(#REF!,"AAAAAGXz5ew=",0)</f>
        <v>#REF!</v>
      </c>
      <c r="ID174" t="e">
        <f>AND(#REF!,"AAAAAGXz5e0=")</f>
        <v>#REF!</v>
      </c>
      <c r="IE174" t="e">
        <f>IF(#REF!,"AAAAAGXz5e4=",0)</f>
        <v>#REF!</v>
      </c>
      <c r="IF174" t="e">
        <f>AND(#REF!,"AAAAAGXz5e8=")</f>
        <v>#REF!</v>
      </c>
      <c r="IG174" t="e">
        <f>IF(#REF!,"AAAAAGXz5fA=",0)</f>
        <v>#REF!</v>
      </c>
      <c r="IH174" t="e">
        <f>AND(#REF!,"AAAAAGXz5fE=")</f>
        <v>#REF!</v>
      </c>
      <c r="II174" t="e">
        <f>IF(#REF!,"AAAAAGXz5fI=",0)</f>
        <v>#REF!</v>
      </c>
      <c r="IJ174" t="e">
        <f>AND(#REF!,"AAAAAGXz5fM=")</f>
        <v>#REF!</v>
      </c>
      <c r="IK174" t="e">
        <f>IF(#REF!,"AAAAAGXz5fQ=",0)</f>
        <v>#REF!</v>
      </c>
      <c r="IL174" t="e">
        <f>AND(#REF!,"AAAAAGXz5fU=")</f>
        <v>#REF!</v>
      </c>
      <c r="IM174" t="e">
        <f>IF(#REF!,"AAAAAGXz5fY=",0)</f>
        <v>#REF!</v>
      </c>
      <c r="IN174" t="e">
        <f>AND(#REF!,"AAAAAGXz5fc=")</f>
        <v>#REF!</v>
      </c>
      <c r="IO174" t="e">
        <f>IF(#REF!,"AAAAAGXz5fg=",0)</f>
        <v>#REF!</v>
      </c>
      <c r="IP174" t="e">
        <f>AND(#REF!,"AAAAAGXz5fk=")</f>
        <v>#REF!</v>
      </c>
      <c r="IQ174" t="e">
        <f>IF(#REF!,"AAAAAGXz5fo=",0)</f>
        <v>#REF!</v>
      </c>
      <c r="IR174" t="e">
        <f>AND(#REF!,"AAAAAGXz5fs=")</f>
        <v>#REF!</v>
      </c>
      <c r="IS174" t="e">
        <f>IF(#REF!,"AAAAAGXz5fw=",0)</f>
        <v>#REF!</v>
      </c>
      <c r="IT174" t="e">
        <f>AND(#REF!,"AAAAAGXz5f0=")</f>
        <v>#REF!</v>
      </c>
      <c r="IU174" t="e">
        <f>IF(#REF!,"AAAAAGXz5f4=",0)</f>
        <v>#REF!</v>
      </c>
      <c r="IV174" t="e">
        <f>AND(#REF!,"AAAAAGXz5f8=")</f>
        <v>#REF!</v>
      </c>
    </row>
    <row r="175" spans="1:256" x14ac:dyDescent="0.2">
      <c r="A175" t="e">
        <f>IF(#REF!,"AAAAAHd9eAA=",0)</f>
        <v>#REF!</v>
      </c>
      <c r="B175" t="e">
        <f>AND(#REF!,"AAAAAHd9eAE=")</f>
        <v>#REF!</v>
      </c>
      <c r="C175" t="e">
        <f>IF(#REF!,"AAAAAHd9eAI=",0)</f>
        <v>#REF!</v>
      </c>
      <c r="D175" t="e">
        <f>AND(#REF!,"AAAAAHd9eAM=")</f>
        <v>#REF!</v>
      </c>
      <c r="E175" t="e">
        <f>IF(#REF!,"AAAAAHd9eAQ=",0)</f>
        <v>#REF!</v>
      </c>
      <c r="F175" t="e">
        <f>AND(#REF!,"AAAAAHd9eAU=")</f>
        <v>#REF!</v>
      </c>
      <c r="G175" t="e">
        <f>IF(#REF!,"AAAAAHd9eAY=",0)</f>
        <v>#REF!</v>
      </c>
      <c r="H175" t="e">
        <f>AND(#REF!,"AAAAAHd9eAc=")</f>
        <v>#REF!</v>
      </c>
      <c r="I175" t="e">
        <f>IF(#REF!,"AAAAAHd9eAg=",0)</f>
        <v>#REF!</v>
      </c>
      <c r="J175" t="e">
        <f>AND(#REF!,"AAAAAHd9eAk=")</f>
        <v>#REF!</v>
      </c>
      <c r="K175" t="e">
        <f>IF(#REF!,"AAAAAHd9eAo=",0)</f>
        <v>#REF!</v>
      </c>
      <c r="L175" t="e">
        <f>AND(#REF!,"AAAAAHd9eAs=")</f>
        <v>#REF!</v>
      </c>
      <c r="M175" t="e">
        <f>IF(#REF!,"AAAAAHd9eAw=",0)</f>
        <v>#REF!</v>
      </c>
      <c r="N175" t="e">
        <f>AND(#REF!,"AAAAAHd9eA0=")</f>
        <v>#REF!</v>
      </c>
      <c r="O175" t="e">
        <f>IF(#REF!,"AAAAAHd9eA4=",0)</f>
        <v>#REF!</v>
      </c>
      <c r="P175" t="e">
        <f>AND(#REF!,"AAAAAHd9eA8=")</f>
        <v>#REF!</v>
      </c>
      <c r="Q175" t="e">
        <f>IF(#REF!,"AAAAAHd9eBA=",0)</f>
        <v>#REF!</v>
      </c>
      <c r="R175" t="e">
        <f>AND(#REF!,"AAAAAHd9eBE=")</f>
        <v>#REF!</v>
      </c>
      <c r="S175" t="e">
        <f>IF(#REF!,"AAAAAHd9eBI=",0)</f>
        <v>#REF!</v>
      </c>
      <c r="T175" t="e">
        <f>AND(#REF!,"AAAAAHd9eBM=")</f>
        <v>#REF!</v>
      </c>
      <c r="U175" t="e">
        <f>IF(#REF!,"AAAAAHd9eBQ=",0)</f>
        <v>#REF!</v>
      </c>
      <c r="V175" t="e">
        <f>AND(#REF!,"AAAAAHd9eBU=")</f>
        <v>#REF!</v>
      </c>
      <c r="W175" t="e">
        <f>IF(#REF!,"AAAAAHd9eBY=",0)</f>
        <v>#REF!</v>
      </c>
      <c r="X175" t="e">
        <f>AND(#REF!,"AAAAAHd9eBc=")</f>
        <v>#REF!</v>
      </c>
      <c r="Y175" t="e">
        <f>IF(#REF!,"AAAAAHd9eBg=",0)</f>
        <v>#REF!</v>
      </c>
      <c r="Z175" t="e">
        <f>AND(#REF!,"AAAAAHd9eBk=")</f>
        <v>#REF!</v>
      </c>
      <c r="AA175" t="e">
        <f>IF(#REF!,"AAAAAHd9eBo=",0)</f>
        <v>#REF!</v>
      </c>
      <c r="AB175" t="e">
        <f>AND(#REF!,"AAAAAHd9eBs=")</f>
        <v>#REF!</v>
      </c>
      <c r="AC175" t="e">
        <f>IF(#REF!,"AAAAAHd9eBw=",0)</f>
        <v>#REF!</v>
      </c>
      <c r="AD175" t="e">
        <f>AND(#REF!,"AAAAAHd9eB0=")</f>
        <v>#REF!</v>
      </c>
      <c r="AE175" t="e">
        <f>IF(#REF!,"AAAAAHd9eB4=",0)</f>
        <v>#REF!</v>
      </c>
      <c r="AF175" t="e">
        <f>AND(#REF!,"AAAAAHd9eB8=")</f>
        <v>#REF!</v>
      </c>
      <c r="AG175" t="e">
        <f>IF(#REF!,"AAAAAHd9eCA=",0)</f>
        <v>#REF!</v>
      </c>
      <c r="AH175" t="e">
        <f>AND(#REF!,"AAAAAHd9eCE=")</f>
        <v>#REF!</v>
      </c>
      <c r="AI175" t="e">
        <f>IF(#REF!,"AAAAAHd9eCI=",0)</f>
        <v>#REF!</v>
      </c>
      <c r="AJ175" t="e">
        <f>AND(#REF!,"AAAAAHd9eCM=")</f>
        <v>#REF!</v>
      </c>
      <c r="AK175" t="e">
        <f>IF(#REF!,"AAAAAHd9eCQ=",0)</f>
        <v>#REF!</v>
      </c>
      <c r="AL175" t="e">
        <f>AND(#REF!,"AAAAAHd9eCU=")</f>
        <v>#REF!</v>
      </c>
      <c r="AM175" t="e">
        <f>IF(#REF!,"AAAAAHd9eCY=",0)</f>
        <v>#REF!</v>
      </c>
      <c r="AN175" t="e">
        <f>AND(#REF!,"AAAAAHd9eCc=")</f>
        <v>#REF!</v>
      </c>
      <c r="AO175" t="e">
        <f>IF(#REF!,"AAAAAHd9eCg=",0)</f>
        <v>#REF!</v>
      </c>
      <c r="AP175" t="e">
        <f>AND(#REF!,"AAAAAHd9eCk=")</f>
        <v>#REF!</v>
      </c>
      <c r="AQ175" t="e">
        <f>IF(#REF!,"AAAAAHd9eCo=",0)</f>
        <v>#REF!</v>
      </c>
      <c r="AR175" t="e">
        <f>AND(#REF!,"AAAAAHd9eCs=")</f>
        <v>#REF!</v>
      </c>
      <c r="AS175" t="e">
        <f>IF(#REF!,"AAAAAHd9eCw=",0)</f>
        <v>#REF!</v>
      </c>
      <c r="AT175" t="e">
        <f>AND(#REF!,"AAAAAHd9eC0=")</f>
        <v>#REF!</v>
      </c>
      <c r="AU175" t="e">
        <f>IF(#REF!,"AAAAAHd9eC4=",0)</f>
        <v>#REF!</v>
      </c>
      <c r="AV175" t="e">
        <f>AND(#REF!,"AAAAAHd9eC8=")</f>
        <v>#REF!</v>
      </c>
      <c r="AW175" t="e">
        <f>IF(#REF!,"AAAAAHd9eDA=",0)</f>
        <v>#REF!</v>
      </c>
      <c r="AX175" t="e">
        <f>AND(#REF!,"AAAAAHd9eDE=")</f>
        <v>#REF!</v>
      </c>
      <c r="AY175" t="e">
        <f>IF(#REF!,"AAAAAHd9eDI=",0)</f>
        <v>#REF!</v>
      </c>
      <c r="AZ175" t="e">
        <f>AND(#REF!,"AAAAAHd9eDM=")</f>
        <v>#REF!</v>
      </c>
      <c r="BA175" t="e">
        <f>IF(#REF!,"AAAAAHd9eDQ=",0)</f>
        <v>#REF!</v>
      </c>
      <c r="BB175" t="e">
        <f>AND(#REF!,"AAAAAHd9eDU=")</f>
        <v>#REF!</v>
      </c>
      <c r="BC175" t="e">
        <f>IF(#REF!,"AAAAAHd9eDY=",0)</f>
        <v>#REF!</v>
      </c>
      <c r="BD175" t="e">
        <f>AND(#REF!,"AAAAAHd9eDc=")</f>
        <v>#REF!</v>
      </c>
      <c r="BE175" t="e">
        <f>IF(#REF!,"AAAAAHd9eDg=",0)</f>
        <v>#REF!</v>
      </c>
      <c r="BF175" t="e">
        <f>AND(#REF!,"AAAAAHd9eDk=")</f>
        <v>#REF!</v>
      </c>
      <c r="BG175" t="e">
        <f>IF(#REF!,"AAAAAHd9eDo=",0)</f>
        <v>#REF!</v>
      </c>
      <c r="BH175" t="e">
        <f>AND(#REF!,"AAAAAHd9eDs=")</f>
        <v>#REF!</v>
      </c>
      <c r="BI175" t="e">
        <f>IF(#REF!,"AAAAAHd9eDw=",0)</f>
        <v>#REF!</v>
      </c>
      <c r="BJ175" t="e">
        <f>AND(#REF!,"AAAAAHd9eD0=")</f>
        <v>#REF!</v>
      </c>
      <c r="BK175" t="e">
        <f>IF(#REF!,"AAAAAHd9eD4=",0)</f>
        <v>#REF!</v>
      </c>
      <c r="BL175" t="e">
        <f>AND(#REF!,"AAAAAHd9eD8=")</f>
        <v>#REF!</v>
      </c>
      <c r="BM175" t="e">
        <f>IF(#REF!,"AAAAAHd9eEA=",0)</f>
        <v>#REF!</v>
      </c>
      <c r="BN175" t="e">
        <f>AND(#REF!,"AAAAAHd9eEE=")</f>
        <v>#REF!</v>
      </c>
      <c r="BO175" t="e">
        <f>IF(#REF!,"AAAAAHd9eEI=",0)</f>
        <v>#REF!</v>
      </c>
      <c r="BP175" t="e">
        <f>AND(#REF!,"AAAAAHd9eEM=")</f>
        <v>#REF!</v>
      </c>
      <c r="BQ175" t="e">
        <f>IF(#REF!,"AAAAAHd9eEQ=",0)</f>
        <v>#REF!</v>
      </c>
      <c r="BR175" t="e">
        <f>AND(#REF!,"AAAAAHd9eEU=")</f>
        <v>#REF!</v>
      </c>
      <c r="BS175" t="e">
        <f>IF(#REF!,"AAAAAHd9eEY=",0)</f>
        <v>#REF!</v>
      </c>
      <c r="BT175" t="e">
        <f>AND(#REF!,"AAAAAHd9eEc=")</f>
        <v>#REF!</v>
      </c>
      <c r="BU175" t="e">
        <f>IF(#REF!,"AAAAAHd9eEg=",0)</f>
        <v>#REF!</v>
      </c>
      <c r="BV175" t="e">
        <f>AND(#REF!,"AAAAAHd9eEk=")</f>
        <v>#REF!</v>
      </c>
      <c r="BW175" t="e">
        <f>IF(#REF!,"AAAAAHd9eEo=",0)</f>
        <v>#REF!</v>
      </c>
      <c r="BX175" t="e">
        <f>AND(#REF!,"AAAAAHd9eEs=")</f>
        <v>#REF!</v>
      </c>
      <c r="BY175" t="e">
        <f>IF(#REF!,"AAAAAHd9eEw=",0)</f>
        <v>#REF!</v>
      </c>
      <c r="BZ175" t="e">
        <f>AND(#REF!,"AAAAAHd9eE0=")</f>
        <v>#REF!</v>
      </c>
      <c r="CA175" t="e">
        <f>IF(#REF!,"AAAAAHd9eE4=",0)</f>
        <v>#REF!</v>
      </c>
      <c r="CB175" t="e">
        <f>AND(#REF!,"AAAAAHd9eE8=")</f>
        <v>#REF!</v>
      </c>
      <c r="CC175" t="e">
        <f>IF(#REF!,"AAAAAHd9eFA=",0)</f>
        <v>#REF!</v>
      </c>
      <c r="CD175" t="e">
        <f>AND(#REF!,"AAAAAHd9eFE=")</f>
        <v>#REF!</v>
      </c>
      <c r="CE175" t="e">
        <f>IF(#REF!,"AAAAAHd9eFI=",0)</f>
        <v>#REF!</v>
      </c>
      <c r="CF175" t="e">
        <f>AND(#REF!,"AAAAAHd9eFM=")</f>
        <v>#REF!</v>
      </c>
      <c r="CG175" t="e">
        <f>IF(#REF!,"AAAAAHd9eFQ=",0)</f>
        <v>#REF!</v>
      </c>
      <c r="CH175" t="e">
        <f>AND(#REF!,"AAAAAHd9eFU=")</f>
        <v>#REF!</v>
      </c>
      <c r="CI175" t="e">
        <f>IF(#REF!,"AAAAAHd9eFY=",0)</f>
        <v>#REF!</v>
      </c>
      <c r="CJ175" t="e">
        <f>AND(#REF!,"AAAAAHd9eFc=")</f>
        <v>#REF!</v>
      </c>
      <c r="CK175" t="e">
        <f>IF(#REF!,"AAAAAHd9eFg=",0)</f>
        <v>#REF!</v>
      </c>
      <c r="CL175" t="e">
        <f>AND(#REF!,"AAAAAHd9eFk=")</f>
        <v>#REF!</v>
      </c>
      <c r="CM175" t="e">
        <f>IF(#REF!,"AAAAAHd9eFo=",0)</f>
        <v>#REF!</v>
      </c>
      <c r="CN175" t="e">
        <f>AND(#REF!,"AAAAAHd9eFs=")</f>
        <v>#REF!</v>
      </c>
      <c r="CO175" t="e">
        <f>IF(#REF!,"AAAAAHd9eFw=",0)</f>
        <v>#REF!</v>
      </c>
      <c r="CP175" t="e">
        <f>AND(#REF!,"AAAAAHd9eF0=")</f>
        <v>#REF!</v>
      </c>
      <c r="CQ175" t="e">
        <f>IF(#REF!,"AAAAAHd9eF4=",0)</f>
        <v>#REF!</v>
      </c>
      <c r="CR175" t="e">
        <f>AND(#REF!,"AAAAAHd9eF8=")</f>
        <v>#REF!</v>
      </c>
      <c r="CS175" t="e">
        <f>IF(#REF!,"AAAAAHd9eGA=",0)</f>
        <v>#REF!</v>
      </c>
      <c r="CT175" t="e">
        <f>AND(#REF!,"AAAAAHd9eGE=")</f>
        <v>#REF!</v>
      </c>
      <c r="CU175" t="e">
        <f>IF(#REF!,"AAAAAHd9eGI=",0)</f>
        <v>#REF!</v>
      </c>
      <c r="CV175" t="e">
        <f>AND(#REF!,"AAAAAHd9eGM=")</f>
        <v>#REF!</v>
      </c>
      <c r="CW175" t="e">
        <f>IF(#REF!,"AAAAAHd9eGQ=",0)</f>
        <v>#REF!</v>
      </c>
      <c r="CX175" t="e">
        <f>AND(#REF!,"AAAAAHd9eGU=")</f>
        <v>#REF!</v>
      </c>
      <c r="CY175" t="e">
        <f>IF(#REF!,"AAAAAHd9eGY=",0)</f>
        <v>#REF!</v>
      </c>
      <c r="CZ175" t="e">
        <f>AND(#REF!,"AAAAAHd9eGc=")</f>
        <v>#REF!</v>
      </c>
      <c r="DA175" t="e">
        <f>IF(#REF!,"AAAAAHd9eGg=",0)</f>
        <v>#REF!</v>
      </c>
      <c r="DB175" t="e">
        <f>AND(#REF!,"AAAAAHd9eGk=")</f>
        <v>#REF!</v>
      </c>
      <c r="DC175" t="e">
        <f>IF(#REF!,"AAAAAHd9eGo=",0)</f>
        <v>#REF!</v>
      </c>
      <c r="DD175" t="e">
        <f>AND(#REF!,"AAAAAHd9eGs=")</f>
        <v>#REF!</v>
      </c>
      <c r="DE175" t="e">
        <f>IF(#REF!,"AAAAAHd9eGw=",0)</f>
        <v>#REF!</v>
      </c>
      <c r="DF175" t="e">
        <f>AND(#REF!,"AAAAAHd9eG0=")</f>
        <v>#REF!</v>
      </c>
      <c r="DG175" t="e">
        <f>IF(#REF!,"AAAAAHd9eG4=",0)</f>
        <v>#REF!</v>
      </c>
      <c r="DH175" t="e">
        <f>AND(#REF!,"AAAAAHd9eG8=")</f>
        <v>#REF!</v>
      </c>
      <c r="DI175" t="e">
        <f>IF(#REF!,"AAAAAHd9eHA=",0)</f>
        <v>#REF!</v>
      </c>
      <c r="DJ175" t="e">
        <f>AND(#REF!,"AAAAAHd9eHE=")</f>
        <v>#REF!</v>
      </c>
      <c r="DK175" t="e">
        <f>IF(#REF!,"AAAAAHd9eHI=",0)</f>
        <v>#REF!</v>
      </c>
      <c r="DL175" t="e">
        <f>AND(#REF!,"AAAAAHd9eHM=")</f>
        <v>#REF!</v>
      </c>
      <c r="DM175" t="e">
        <f>IF(#REF!,"AAAAAHd9eHQ=",0)</f>
        <v>#REF!</v>
      </c>
      <c r="DN175" t="e">
        <f>AND(#REF!,"AAAAAHd9eHU=")</f>
        <v>#REF!</v>
      </c>
      <c r="DO175" t="e">
        <f>IF(#REF!,"AAAAAHd9eHY=",0)</f>
        <v>#REF!</v>
      </c>
      <c r="DP175" t="e">
        <f>AND(#REF!,"AAAAAHd9eHc=")</f>
        <v>#REF!</v>
      </c>
      <c r="DQ175" t="e">
        <f>IF(#REF!,"AAAAAHd9eHg=",0)</f>
        <v>#REF!</v>
      </c>
      <c r="DR175" t="e">
        <f>AND(#REF!,"AAAAAHd9eHk=")</f>
        <v>#REF!</v>
      </c>
      <c r="DS175" t="e">
        <f>IF(#REF!,"AAAAAHd9eHo=",0)</f>
        <v>#REF!</v>
      </c>
      <c r="DT175" t="e">
        <f>AND(#REF!,"AAAAAHd9eHs=")</f>
        <v>#REF!</v>
      </c>
      <c r="DU175" t="e">
        <f>IF(#REF!,"AAAAAHd9eHw=",0)</f>
        <v>#REF!</v>
      </c>
      <c r="DV175" t="e">
        <f>AND(#REF!,"AAAAAHd9eH0=")</f>
        <v>#REF!</v>
      </c>
      <c r="DW175" t="e">
        <f>IF(#REF!,"AAAAAHd9eH4=",0)</f>
        <v>#REF!</v>
      </c>
      <c r="DX175" t="e">
        <f>AND(#REF!,"AAAAAHd9eH8=")</f>
        <v>#REF!</v>
      </c>
      <c r="DY175" t="e">
        <f>IF(#REF!,"AAAAAHd9eIA=",0)</f>
        <v>#REF!</v>
      </c>
      <c r="DZ175" t="e">
        <f>AND(#REF!,"AAAAAHd9eIE=")</f>
        <v>#REF!</v>
      </c>
      <c r="EA175" t="e">
        <f>IF(#REF!,"AAAAAHd9eII=",0)</f>
        <v>#REF!</v>
      </c>
      <c r="EB175" t="e">
        <f>AND(#REF!,"AAAAAHd9eIM=")</f>
        <v>#REF!</v>
      </c>
      <c r="EC175" t="e">
        <f>IF(#REF!,"AAAAAHd9eIQ=",0)</f>
        <v>#REF!</v>
      </c>
      <c r="ED175" t="e">
        <f>AND(#REF!,"AAAAAHd9eIU=")</f>
        <v>#REF!</v>
      </c>
      <c r="EE175" t="e">
        <f>IF(#REF!,"AAAAAHd9eIY=",0)</f>
        <v>#REF!</v>
      </c>
      <c r="EF175" t="e">
        <f>AND(#REF!,"AAAAAHd9eIc=")</f>
        <v>#REF!</v>
      </c>
      <c r="EG175" t="e">
        <f>IF(#REF!,"AAAAAHd9eIg=",0)</f>
        <v>#REF!</v>
      </c>
      <c r="EH175" t="e">
        <f>AND(#REF!,"AAAAAHd9eIk=")</f>
        <v>#REF!</v>
      </c>
      <c r="EI175" t="e">
        <f>IF(#REF!,"AAAAAHd9eIo=",0)</f>
        <v>#REF!</v>
      </c>
      <c r="EJ175" t="e">
        <f>AND(#REF!,"AAAAAHd9eIs=")</f>
        <v>#REF!</v>
      </c>
      <c r="EK175" t="e">
        <f>IF(#REF!,"AAAAAHd9eIw=",0)</f>
        <v>#REF!</v>
      </c>
      <c r="EL175" t="e">
        <f>AND(#REF!,"AAAAAHd9eI0=")</f>
        <v>#REF!</v>
      </c>
      <c r="EM175" t="e">
        <f>IF(#REF!,"AAAAAHd9eI4=",0)</f>
        <v>#REF!</v>
      </c>
      <c r="EN175" t="e">
        <f>AND(#REF!,"AAAAAHd9eI8=")</f>
        <v>#REF!</v>
      </c>
      <c r="EO175" t="e">
        <f>IF(#REF!,"AAAAAHd9eJA=",0)</f>
        <v>#REF!</v>
      </c>
      <c r="EP175" t="e">
        <f>AND(#REF!,"AAAAAHd9eJE=")</f>
        <v>#REF!</v>
      </c>
      <c r="EQ175" t="e">
        <f>IF(#REF!,"AAAAAHd9eJI=",0)</f>
        <v>#REF!</v>
      </c>
      <c r="ER175" t="e">
        <f>AND(#REF!,"AAAAAHd9eJM=")</f>
        <v>#REF!</v>
      </c>
      <c r="ES175" t="e">
        <f>IF(#REF!,"AAAAAHd9eJQ=",0)</f>
        <v>#REF!</v>
      </c>
      <c r="ET175" t="e">
        <f>AND(#REF!,"AAAAAHd9eJU=")</f>
        <v>#REF!</v>
      </c>
      <c r="EU175" t="e">
        <f>IF(#REF!,"AAAAAHd9eJY=",0)</f>
        <v>#REF!</v>
      </c>
      <c r="EV175" t="e">
        <f>AND(#REF!,"AAAAAHd9eJc=")</f>
        <v>#REF!</v>
      </c>
      <c r="EW175" t="e">
        <f>IF(#REF!,"AAAAAHd9eJg=",0)</f>
        <v>#REF!</v>
      </c>
      <c r="EX175" t="e">
        <f>AND(#REF!,"AAAAAHd9eJk=")</f>
        <v>#REF!</v>
      </c>
      <c r="EY175" t="e">
        <f>IF(#REF!,"AAAAAHd9eJo=",0)</f>
        <v>#REF!</v>
      </c>
      <c r="EZ175" t="e">
        <f>AND(#REF!,"AAAAAHd9eJs=")</f>
        <v>#REF!</v>
      </c>
      <c r="FA175" t="e">
        <f>IF(#REF!,"AAAAAHd9eJw=",0)</f>
        <v>#REF!</v>
      </c>
      <c r="FB175" t="e">
        <f>AND(#REF!,"AAAAAHd9eJ0=")</f>
        <v>#REF!</v>
      </c>
      <c r="FC175" t="e">
        <f>IF(#REF!,"AAAAAHd9eJ4=",0)</f>
        <v>#REF!</v>
      </c>
      <c r="FD175" t="e">
        <f>AND(#REF!,"AAAAAHd9eJ8=")</f>
        <v>#REF!</v>
      </c>
      <c r="FE175" t="e">
        <f>IF(#REF!,"AAAAAHd9eKA=",0)</f>
        <v>#REF!</v>
      </c>
      <c r="FF175" t="e">
        <f>AND(#REF!,"AAAAAHd9eKE=")</f>
        <v>#REF!</v>
      </c>
      <c r="FG175" t="e">
        <f>IF(#REF!,"AAAAAHd9eKI=",0)</f>
        <v>#REF!</v>
      </c>
      <c r="FH175" t="e">
        <f>AND(#REF!,"AAAAAHd9eKM=")</f>
        <v>#REF!</v>
      </c>
      <c r="FI175" t="e">
        <f>IF(#REF!,"AAAAAHd9eKQ=",0)</f>
        <v>#REF!</v>
      </c>
      <c r="FJ175" t="e">
        <f>AND(#REF!,"AAAAAHd9eKU=")</f>
        <v>#REF!</v>
      </c>
      <c r="FK175" t="e">
        <f>IF(#REF!,"AAAAAHd9eKY=",0)</f>
        <v>#REF!</v>
      </c>
      <c r="FL175" t="e">
        <f>AND(#REF!,"AAAAAHd9eKc=")</f>
        <v>#REF!</v>
      </c>
      <c r="FM175" t="e">
        <f>IF(#REF!,"AAAAAHd9eKg=",0)</f>
        <v>#REF!</v>
      </c>
      <c r="FN175" t="e">
        <f>AND(#REF!,"AAAAAHd9eKk=")</f>
        <v>#REF!</v>
      </c>
      <c r="FO175" t="e">
        <f>IF(#REF!,"AAAAAHd9eKo=",0)</f>
        <v>#REF!</v>
      </c>
      <c r="FP175" t="e">
        <f>AND(#REF!,"AAAAAHd9eKs=")</f>
        <v>#REF!</v>
      </c>
      <c r="FQ175" t="e">
        <f>IF(#REF!,"AAAAAHd9eKw=",0)</f>
        <v>#REF!</v>
      </c>
      <c r="FR175" t="e">
        <f>AND(#REF!,"AAAAAHd9eK0=")</f>
        <v>#REF!</v>
      </c>
      <c r="FS175" t="e">
        <f>IF(#REF!,"AAAAAHd9eK4=",0)</f>
        <v>#REF!</v>
      </c>
      <c r="FT175" t="e">
        <f>AND(#REF!,"AAAAAHd9eK8=")</f>
        <v>#REF!</v>
      </c>
      <c r="FU175" t="e">
        <f>IF(#REF!,"AAAAAHd9eLA=",0)</f>
        <v>#REF!</v>
      </c>
      <c r="FV175" t="e">
        <f>AND(#REF!,"AAAAAHd9eLE=")</f>
        <v>#REF!</v>
      </c>
      <c r="FW175" t="e">
        <f>IF(#REF!,"AAAAAHd9eLI=",0)</f>
        <v>#REF!</v>
      </c>
      <c r="FX175" t="e">
        <f>AND(#REF!,"AAAAAHd9eLM=")</f>
        <v>#REF!</v>
      </c>
      <c r="FY175" t="e">
        <f>IF(#REF!,"AAAAAHd9eLQ=",0)</f>
        <v>#REF!</v>
      </c>
      <c r="FZ175" t="e">
        <f>AND(#REF!,"AAAAAHd9eLU=")</f>
        <v>#REF!</v>
      </c>
      <c r="GA175" t="e">
        <f>IF(#REF!,"AAAAAHd9eLY=",0)</f>
        <v>#REF!</v>
      </c>
      <c r="GB175" t="e">
        <f>AND(#REF!,"AAAAAHd9eLc=")</f>
        <v>#REF!</v>
      </c>
      <c r="GC175" t="e">
        <f>IF(#REF!,"AAAAAHd9eLg=",0)</f>
        <v>#REF!</v>
      </c>
      <c r="GD175" t="e">
        <f>AND(#REF!,"AAAAAHd9eLk=")</f>
        <v>#REF!</v>
      </c>
      <c r="GE175" t="e">
        <f>IF(#REF!,"AAAAAHd9eLo=",0)</f>
        <v>#REF!</v>
      </c>
      <c r="GF175" t="e">
        <f>AND(#REF!,"AAAAAHd9eLs=")</f>
        <v>#REF!</v>
      </c>
      <c r="GG175" t="e">
        <f>IF(#REF!,"AAAAAHd9eLw=",0)</f>
        <v>#REF!</v>
      </c>
      <c r="GH175" t="e">
        <f>AND(#REF!,"AAAAAHd9eL0=")</f>
        <v>#REF!</v>
      </c>
      <c r="GI175" t="e">
        <f>IF(#REF!,"AAAAAHd9eL4=",0)</f>
        <v>#REF!</v>
      </c>
      <c r="GJ175" t="e">
        <f>AND(#REF!,"AAAAAHd9eL8=")</f>
        <v>#REF!</v>
      </c>
      <c r="GK175" t="e">
        <f>IF(#REF!,"AAAAAHd9eMA=",0)</f>
        <v>#REF!</v>
      </c>
      <c r="GL175" t="e">
        <f>AND(#REF!,"AAAAAHd9eME=")</f>
        <v>#REF!</v>
      </c>
      <c r="GM175" t="e">
        <f>IF(#REF!,"AAAAAHd9eMI=",0)</f>
        <v>#REF!</v>
      </c>
      <c r="GN175" t="e">
        <f>AND(#REF!,"AAAAAHd9eMM=")</f>
        <v>#REF!</v>
      </c>
      <c r="GO175" t="e">
        <f>IF(#REF!,"AAAAAHd9eMQ=",0)</f>
        <v>#REF!</v>
      </c>
      <c r="GP175" t="e">
        <f>AND(#REF!,"AAAAAHd9eMU=")</f>
        <v>#REF!</v>
      </c>
      <c r="GQ175" t="e">
        <f>IF(#REF!,"AAAAAHd9eMY=",0)</f>
        <v>#REF!</v>
      </c>
      <c r="GR175" t="e">
        <f>AND(#REF!,"AAAAAHd9eMc=")</f>
        <v>#REF!</v>
      </c>
      <c r="GS175" t="e">
        <f>IF(#REF!,"AAAAAHd9eMg=",0)</f>
        <v>#REF!</v>
      </c>
      <c r="GT175" t="e">
        <f>AND(#REF!,"AAAAAHd9eMk=")</f>
        <v>#REF!</v>
      </c>
      <c r="GU175" t="e">
        <f>IF(#REF!,"AAAAAHd9eMo=",0)</f>
        <v>#REF!</v>
      </c>
      <c r="GV175" t="e">
        <f>AND(#REF!,"AAAAAHd9eMs=")</f>
        <v>#REF!</v>
      </c>
      <c r="GW175" t="e">
        <f>IF(#REF!,"AAAAAHd9eMw=",0)</f>
        <v>#REF!</v>
      </c>
      <c r="GX175" t="e">
        <f>AND(#REF!,"AAAAAHd9eM0=")</f>
        <v>#REF!</v>
      </c>
      <c r="GY175" t="e">
        <f>IF(#REF!,"AAAAAHd9eM4=",0)</f>
        <v>#REF!</v>
      </c>
      <c r="GZ175" t="e">
        <f>AND(#REF!,"AAAAAHd9eM8=")</f>
        <v>#REF!</v>
      </c>
      <c r="HA175" t="e">
        <f>IF(#REF!,"AAAAAHd9eNA=",0)</f>
        <v>#REF!</v>
      </c>
      <c r="HB175" t="e">
        <f>AND(#REF!,"AAAAAHd9eNE=")</f>
        <v>#REF!</v>
      </c>
      <c r="HC175" t="e">
        <f>IF(#REF!,"AAAAAHd9eNI=",0)</f>
        <v>#REF!</v>
      </c>
      <c r="HD175" t="e">
        <f>AND(#REF!,"AAAAAHd9eNM=")</f>
        <v>#REF!</v>
      </c>
      <c r="HE175" t="e">
        <f>IF(#REF!,"AAAAAHd9eNQ=",0)</f>
        <v>#REF!</v>
      </c>
      <c r="HF175" t="e">
        <f>AND(#REF!,"AAAAAHd9eNU=")</f>
        <v>#REF!</v>
      </c>
      <c r="HG175" t="e">
        <f>IF(#REF!,"AAAAAHd9eNY=",0)</f>
        <v>#REF!</v>
      </c>
      <c r="HH175" t="e">
        <f>AND(#REF!,"AAAAAHd9eNc=")</f>
        <v>#REF!</v>
      </c>
      <c r="HI175" t="e">
        <f>IF(#REF!,"AAAAAHd9eNg=",0)</f>
        <v>#REF!</v>
      </c>
      <c r="HJ175" t="e">
        <f>AND(#REF!,"AAAAAHd9eNk=")</f>
        <v>#REF!</v>
      </c>
      <c r="HK175" t="e">
        <f>IF(#REF!,"AAAAAHd9eNo=",0)</f>
        <v>#REF!</v>
      </c>
      <c r="HL175" t="e">
        <f>AND(#REF!,"AAAAAHd9eNs=")</f>
        <v>#REF!</v>
      </c>
      <c r="HM175" t="e">
        <f>IF(#REF!,"AAAAAHd9eNw=",0)</f>
        <v>#REF!</v>
      </c>
      <c r="HN175" t="e">
        <f>AND(#REF!,"AAAAAHd9eN0=")</f>
        <v>#REF!</v>
      </c>
      <c r="HO175" t="e">
        <f>IF(#REF!,"AAAAAHd9eN4=",0)</f>
        <v>#REF!</v>
      </c>
      <c r="HP175" t="e">
        <f>AND(#REF!,"AAAAAHd9eN8=")</f>
        <v>#REF!</v>
      </c>
      <c r="HQ175" t="e">
        <f>IF(#REF!,"AAAAAHd9eOA=",0)</f>
        <v>#REF!</v>
      </c>
      <c r="HR175" t="e">
        <f>AND(#REF!,"AAAAAHd9eOE=")</f>
        <v>#REF!</v>
      </c>
      <c r="HS175" t="e">
        <f>IF(#REF!,"AAAAAHd9eOI=",0)</f>
        <v>#REF!</v>
      </c>
      <c r="HT175" t="e">
        <f>AND(#REF!,"AAAAAHd9eOM=")</f>
        <v>#REF!</v>
      </c>
      <c r="HU175" t="e">
        <f>IF(#REF!,"AAAAAHd9eOQ=",0)</f>
        <v>#REF!</v>
      </c>
      <c r="HV175" t="e">
        <f>AND(#REF!,"AAAAAHd9eOU=")</f>
        <v>#REF!</v>
      </c>
      <c r="HW175" t="e">
        <f>IF(#REF!,"AAAAAHd9eOY=",0)</f>
        <v>#REF!</v>
      </c>
      <c r="HX175" t="e">
        <f>AND(#REF!,"AAAAAHd9eOc=")</f>
        <v>#REF!</v>
      </c>
      <c r="HY175" t="e">
        <f>IF(#REF!,"AAAAAHd9eOg=",0)</f>
        <v>#REF!</v>
      </c>
      <c r="HZ175" t="e">
        <f>AND(#REF!,"AAAAAHd9eOk=")</f>
        <v>#REF!</v>
      </c>
      <c r="IA175" t="e">
        <f>IF(#REF!,"AAAAAHd9eOo=",0)</f>
        <v>#REF!</v>
      </c>
      <c r="IB175" t="e">
        <f>AND(#REF!,"AAAAAHd9eOs=")</f>
        <v>#REF!</v>
      </c>
      <c r="IC175" t="e">
        <f>IF(#REF!,"AAAAAHd9eOw=",0)</f>
        <v>#REF!</v>
      </c>
      <c r="ID175" t="e">
        <f>AND(#REF!,"AAAAAHd9eO0=")</f>
        <v>#REF!</v>
      </c>
      <c r="IE175" t="e">
        <f>IF(#REF!,"AAAAAHd9eO4=",0)</f>
        <v>#REF!</v>
      </c>
      <c r="IF175" t="e">
        <f>AND(#REF!,"AAAAAHd9eO8=")</f>
        <v>#REF!</v>
      </c>
      <c r="IG175" t="e">
        <f>IF(#REF!,"AAAAAHd9ePA=",0)</f>
        <v>#REF!</v>
      </c>
      <c r="IH175" t="e">
        <f>AND(#REF!,"AAAAAHd9ePE=")</f>
        <v>#REF!</v>
      </c>
      <c r="II175" t="e">
        <f>IF(#REF!,"AAAAAHd9ePI=",0)</f>
        <v>#REF!</v>
      </c>
      <c r="IJ175" t="e">
        <f>AND(#REF!,"AAAAAHd9ePM=")</f>
        <v>#REF!</v>
      </c>
      <c r="IK175" t="e">
        <f>IF(#REF!,"AAAAAHd9ePQ=",0)</f>
        <v>#REF!</v>
      </c>
      <c r="IL175" t="e">
        <f>AND(#REF!,"AAAAAHd9ePU=")</f>
        <v>#REF!</v>
      </c>
      <c r="IM175" t="e">
        <f>IF(#REF!,"AAAAAHd9ePY=",0)</f>
        <v>#REF!</v>
      </c>
      <c r="IN175" t="e">
        <f>AND(#REF!,"AAAAAHd9ePc=")</f>
        <v>#REF!</v>
      </c>
      <c r="IO175" t="e">
        <f>IF(#REF!,"AAAAAHd9ePg=",0)</f>
        <v>#REF!</v>
      </c>
      <c r="IP175" t="e">
        <f>AND(#REF!,"AAAAAHd9ePk=")</f>
        <v>#REF!</v>
      </c>
      <c r="IQ175" t="e">
        <f>IF(#REF!,"AAAAAHd9ePo=",0)</f>
        <v>#REF!</v>
      </c>
      <c r="IR175" t="e">
        <f>AND(#REF!,"AAAAAHd9ePs=")</f>
        <v>#REF!</v>
      </c>
      <c r="IS175" t="e">
        <f>IF(#REF!,"AAAAAHd9ePw=",0)</f>
        <v>#REF!</v>
      </c>
      <c r="IT175" t="e">
        <f>AND(#REF!,"AAAAAHd9eP0=")</f>
        <v>#REF!</v>
      </c>
      <c r="IU175" t="e">
        <f>IF(#REF!,"AAAAAHd9eP4=",0)</f>
        <v>#REF!</v>
      </c>
      <c r="IV175" t="e">
        <f>AND(#REF!,"AAAAAHd9eP8=")</f>
        <v>#REF!</v>
      </c>
    </row>
    <row r="176" spans="1:256" x14ac:dyDescent="0.2">
      <c r="A176" t="e">
        <f>IF(#REF!,"AAAAADHn/wA=",0)</f>
        <v>#REF!</v>
      </c>
      <c r="B176" t="e">
        <f>AND(#REF!,"AAAAADHn/wE=")</f>
        <v>#REF!</v>
      </c>
      <c r="C176" t="e">
        <f>IF(#REF!,"AAAAADHn/wI=",0)</f>
        <v>#REF!</v>
      </c>
      <c r="D176" t="e">
        <f>AND(#REF!,"AAAAADHn/wM=")</f>
        <v>#REF!</v>
      </c>
      <c r="E176" t="e">
        <f>IF(#REF!,"AAAAADHn/wQ=",0)</f>
        <v>#REF!</v>
      </c>
      <c r="F176" t="e">
        <f>AND(#REF!,"AAAAADHn/wU=")</f>
        <v>#REF!</v>
      </c>
      <c r="G176" t="e">
        <f>IF(#REF!,"AAAAADHn/wY=",0)</f>
        <v>#REF!</v>
      </c>
      <c r="H176" t="e">
        <f>AND(#REF!,"AAAAADHn/wc=")</f>
        <v>#REF!</v>
      </c>
      <c r="I176" t="e">
        <f>IF(#REF!,"AAAAADHn/wg=",0)</f>
        <v>#REF!</v>
      </c>
      <c r="J176" t="e">
        <f>AND(#REF!,"AAAAADHn/wk=")</f>
        <v>#REF!</v>
      </c>
      <c r="K176" t="e">
        <f>IF(#REF!,"AAAAADHn/wo=",0)</f>
        <v>#REF!</v>
      </c>
      <c r="L176" t="e">
        <f>AND(#REF!,"AAAAADHn/ws=")</f>
        <v>#REF!</v>
      </c>
      <c r="M176" t="e">
        <f>IF(#REF!,"AAAAADHn/ww=",0)</f>
        <v>#REF!</v>
      </c>
      <c r="N176" t="e">
        <f>AND(#REF!,"AAAAADHn/w0=")</f>
        <v>#REF!</v>
      </c>
      <c r="O176" t="e">
        <f>IF(#REF!,"AAAAADHn/w4=",0)</f>
        <v>#REF!</v>
      </c>
      <c r="P176" t="e">
        <f>AND(#REF!,"AAAAADHn/w8=")</f>
        <v>#REF!</v>
      </c>
      <c r="Q176" t="e">
        <f>IF(#REF!,"AAAAADHn/xA=",0)</f>
        <v>#REF!</v>
      </c>
      <c r="R176" t="e">
        <f>AND(#REF!,"AAAAADHn/xE=")</f>
        <v>#REF!</v>
      </c>
      <c r="S176" t="e">
        <f>IF(#REF!,"AAAAADHn/xI=",0)</f>
        <v>#REF!</v>
      </c>
      <c r="T176" t="e">
        <f>AND(#REF!,"AAAAADHn/xM=")</f>
        <v>#REF!</v>
      </c>
      <c r="U176" t="e">
        <f>IF(#REF!,"AAAAADHn/xQ=",0)</f>
        <v>#REF!</v>
      </c>
      <c r="V176" t="e">
        <f>AND(#REF!,"AAAAADHn/xU=")</f>
        <v>#REF!</v>
      </c>
      <c r="W176" t="e">
        <f>IF(#REF!,"AAAAADHn/xY=",0)</f>
        <v>#REF!</v>
      </c>
      <c r="X176" t="e">
        <f>AND(#REF!,"AAAAADHn/xc=")</f>
        <v>#REF!</v>
      </c>
      <c r="Y176" t="e">
        <f>IF(#REF!,"AAAAADHn/xg=",0)</f>
        <v>#REF!</v>
      </c>
      <c r="Z176" t="e">
        <f>AND(#REF!,"AAAAADHn/xk=")</f>
        <v>#REF!</v>
      </c>
      <c r="AA176" t="e">
        <f>IF(#REF!,"AAAAADHn/xo=",0)</f>
        <v>#REF!</v>
      </c>
      <c r="AB176" t="e">
        <f>AND(#REF!,"AAAAADHn/xs=")</f>
        <v>#REF!</v>
      </c>
      <c r="AC176" t="e">
        <f>IF(#REF!,"AAAAADHn/xw=",0)</f>
        <v>#REF!</v>
      </c>
      <c r="AD176" t="e">
        <f>AND(#REF!,"AAAAADHn/x0=")</f>
        <v>#REF!</v>
      </c>
      <c r="AE176" t="e">
        <f>IF(#REF!,"AAAAADHn/x4=",0)</f>
        <v>#REF!</v>
      </c>
      <c r="AF176" t="e">
        <f>AND(#REF!,"AAAAADHn/x8=")</f>
        <v>#REF!</v>
      </c>
      <c r="AG176" t="e">
        <f>IF(#REF!,"AAAAADHn/yA=",0)</f>
        <v>#REF!</v>
      </c>
      <c r="AH176" t="e">
        <f>AND(#REF!,"AAAAADHn/yE=")</f>
        <v>#REF!</v>
      </c>
      <c r="AI176" t="e">
        <f>IF(#REF!,"AAAAADHn/yI=",0)</f>
        <v>#REF!</v>
      </c>
      <c r="AJ176" t="e">
        <f>AND(#REF!,"AAAAADHn/yM=")</f>
        <v>#REF!</v>
      </c>
      <c r="AK176" t="e">
        <f>IF(#REF!,"AAAAADHn/yQ=",0)</f>
        <v>#REF!</v>
      </c>
      <c r="AL176" t="e">
        <f>AND(#REF!,"AAAAADHn/yU=")</f>
        <v>#REF!</v>
      </c>
      <c r="AM176" t="e">
        <f>IF(#REF!,"AAAAADHn/yY=",0)</f>
        <v>#REF!</v>
      </c>
      <c r="AN176" t="e">
        <f>AND(#REF!,"AAAAADHn/yc=")</f>
        <v>#REF!</v>
      </c>
      <c r="AO176" t="e">
        <f>IF(#REF!,"AAAAADHn/yg=",0)</f>
        <v>#REF!</v>
      </c>
      <c r="AP176" t="e">
        <f>AND(#REF!,"AAAAADHn/yk=")</f>
        <v>#REF!</v>
      </c>
      <c r="AQ176" t="e">
        <f>IF(#REF!,"AAAAADHn/yo=",0)</f>
        <v>#REF!</v>
      </c>
      <c r="AR176" t="e">
        <f>AND(#REF!,"AAAAADHn/ys=")</f>
        <v>#REF!</v>
      </c>
      <c r="AS176" t="e">
        <f>IF(#REF!,"AAAAADHn/yw=",0)</f>
        <v>#REF!</v>
      </c>
      <c r="AT176" t="e">
        <f>AND(#REF!,"AAAAADHn/y0=")</f>
        <v>#REF!</v>
      </c>
      <c r="AU176" t="e">
        <f>IF(#REF!,"AAAAADHn/y4=",0)</f>
        <v>#REF!</v>
      </c>
      <c r="AV176" t="e">
        <f>AND(#REF!,"AAAAADHn/y8=")</f>
        <v>#REF!</v>
      </c>
      <c r="AW176" t="e">
        <f>IF(#REF!,"AAAAADHn/zA=",0)</f>
        <v>#REF!</v>
      </c>
      <c r="AX176" t="e">
        <f>AND(#REF!,"AAAAADHn/zE=")</f>
        <v>#REF!</v>
      </c>
      <c r="AY176" t="e">
        <f>IF(#REF!,"AAAAADHn/zI=",0)</f>
        <v>#REF!</v>
      </c>
      <c r="AZ176" t="e">
        <f>AND(#REF!,"AAAAADHn/zM=")</f>
        <v>#REF!</v>
      </c>
      <c r="BA176" t="e">
        <f>IF(#REF!,"AAAAADHn/zQ=",0)</f>
        <v>#REF!</v>
      </c>
      <c r="BB176" t="e">
        <f>AND(#REF!,"AAAAADHn/zU=")</f>
        <v>#REF!</v>
      </c>
      <c r="BC176" t="e">
        <f>IF(#REF!,"AAAAADHn/zY=",0)</f>
        <v>#REF!</v>
      </c>
      <c r="BD176" t="e">
        <f>AND(#REF!,"AAAAADHn/zc=")</f>
        <v>#REF!</v>
      </c>
      <c r="BE176" t="e">
        <f>IF(#REF!,"AAAAADHn/zg=",0)</f>
        <v>#REF!</v>
      </c>
      <c r="BF176" t="e">
        <f>AND(#REF!,"AAAAADHn/zk=")</f>
        <v>#REF!</v>
      </c>
      <c r="BG176" t="e">
        <f>IF(#REF!,"AAAAADHn/zo=",0)</f>
        <v>#REF!</v>
      </c>
      <c r="BH176" t="e">
        <f>AND(#REF!,"AAAAADHn/zs=")</f>
        <v>#REF!</v>
      </c>
      <c r="BI176" t="e">
        <f>IF(#REF!,"AAAAADHn/zw=",0)</f>
        <v>#REF!</v>
      </c>
      <c r="BJ176" t="e">
        <f>AND(#REF!,"AAAAADHn/z0=")</f>
        <v>#REF!</v>
      </c>
      <c r="BK176" t="e">
        <f>IF(#REF!,"AAAAADHn/z4=",0)</f>
        <v>#REF!</v>
      </c>
      <c r="BL176" t="e">
        <f>AND(#REF!,"AAAAADHn/z8=")</f>
        <v>#REF!</v>
      </c>
      <c r="BM176" t="e">
        <f>IF(#REF!,"AAAAADHn/0A=",0)</f>
        <v>#REF!</v>
      </c>
      <c r="BN176" t="e">
        <f>AND(#REF!,"AAAAADHn/0E=")</f>
        <v>#REF!</v>
      </c>
      <c r="BO176" t="e">
        <f>IF(#REF!,"AAAAADHn/0I=",0)</f>
        <v>#REF!</v>
      </c>
      <c r="BP176" t="e">
        <f>AND(#REF!,"AAAAADHn/0M=")</f>
        <v>#REF!</v>
      </c>
      <c r="BQ176" t="e">
        <f>IF(#REF!,"AAAAADHn/0Q=",0)</f>
        <v>#REF!</v>
      </c>
      <c r="BR176" t="e">
        <f>AND(#REF!,"AAAAADHn/0U=")</f>
        <v>#REF!</v>
      </c>
      <c r="BS176" t="e">
        <f>IF(#REF!,"AAAAADHn/0Y=",0)</f>
        <v>#REF!</v>
      </c>
      <c r="BT176" t="e">
        <f>AND(#REF!,"AAAAADHn/0c=")</f>
        <v>#REF!</v>
      </c>
      <c r="BU176" t="e">
        <f>IF(#REF!,"AAAAADHn/0g=",0)</f>
        <v>#REF!</v>
      </c>
      <c r="BV176" t="e">
        <f>AND(#REF!,"AAAAADHn/0k=")</f>
        <v>#REF!</v>
      </c>
      <c r="BW176" t="e">
        <f>IF(#REF!,"AAAAADHn/0o=",0)</f>
        <v>#REF!</v>
      </c>
      <c r="BX176" t="e">
        <f>AND(#REF!,"AAAAADHn/0s=")</f>
        <v>#REF!</v>
      </c>
      <c r="BY176" t="e">
        <f>IF(#REF!,"AAAAADHn/0w=",0)</f>
        <v>#REF!</v>
      </c>
      <c r="BZ176" t="e">
        <f>AND(#REF!,"AAAAADHn/00=")</f>
        <v>#REF!</v>
      </c>
      <c r="CA176" t="e">
        <f>IF(#REF!,"AAAAADHn/04=",0)</f>
        <v>#REF!</v>
      </c>
      <c r="CB176" t="e">
        <f>AND(#REF!,"AAAAADHn/08=")</f>
        <v>#REF!</v>
      </c>
      <c r="CC176" t="e">
        <f>IF(#REF!,"AAAAADHn/1A=",0)</f>
        <v>#REF!</v>
      </c>
      <c r="CD176" t="e">
        <f>AND(#REF!,"AAAAADHn/1E=")</f>
        <v>#REF!</v>
      </c>
      <c r="CE176" t="e">
        <f>IF(#REF!,"AAAAADHn/1I=",0)</f>
        <v>#REF!</v>
      </c>
      <c r="CF176" t="e">
        <f>AND(#REF!,"AAAAADHn/1M=")</f>
        <v>#REF!</v>
      </c>
      <c r="CG176" t="e">
        <f>IF(#REF!,"AAAAADHn/1Q=",0)</f>
        <v>#REF!</v>
      </c>
      <c r="CH176" t="e">
        <f>AND(#REF!,"AAAAADHn/1U=")</f>
        <v>#REF!</v>
      </c>
      <c r="CI176" t="e">
        <f>IF(#REF!,"AAAAADHn/1Y=",0)</f>
        <v>#REF!</v>
      </c>
      <c r="CJ176" t="e">
        <f>AND(#REF!,"AAAAADHn/1c=")</f>
        <v>#REF!</v>
      </c>
      <c r="CK176" t="e">
        <f>IF(#REF!,"AAAAADHn/1g=",0)</f>
        <v>#REF!</v>
      </c>
      <c r="CL176" t="e">
        <f>AND(#REF!,"AAAAADHn/1k=")</f>
        <v>#REF!</v>
      </c>
      <c r="CM176" t="e">
        <f>IF(#REF!,"AAAAADHn/1o=",0)</f>
        <v>#REF!</v>
      </c>
      <c r="CN176" t="e">
        <f>AND(#REF!,"AAAAADHn/1s=")</f>
        <v>#REF!</v>
      </c>
      <c r="CO176" t="e">
        <f>IF(#REF!,"AAAAADHn/1w=",0)</f>
        <v>#REF!</v>
      </c>
      <c r="CP176" t="e">
        <f>AND(#REF!,"AAAAADHn/10=")</f>
        <v>#REF!</v>
      </c>
      <c r="CQ176" t="e">
        <f>IF(#REF!,"AAAAADHn/14=",0)</f>
        <v>#REF!</v>
      </c>
      <c r="CR176" t="e">
        <f>AND(#REF!,"AAAAADHn/18=")</f>
        <v>#REF!</v>
      </c>
      <c r="CS176" t="e">
        <f>IF(#REF!,"AAAAADHn/2A=",0)</f>
        <v>#REF!</v>
      </c>
      <c r="CT176" t="e">
        <f>AND(#REF!,"AAAAADHn/2E=")</f>
        <v>#REF!</v>
      </c>
      <c r="CU176" t="e">
        <f>IF(#REF!,"AAAAADHn/2I=",0)</f>
        <v>#REF!</v>
      </c>
      <c r="CV176" t="e">
        <f>AND(#REF!,"AAAAADHn/2M=")</f>
        <v>#REF!</v>
      </c>
      <c r="CW176" t="e">
        <f>IF(#REF!,"AAAAADHn/2Q=",0)</f>
        <v>#REF!</v>
      </c>
      <c r="CX176" t="e">
        <f>AND(#REF!,"AAAAADHn/2U=")</f>
        <v>#REF!</v>
      </c>
      <c r="CY176" t="e">
        <f>IF(#REF!,"AAAAADHn/2Y=",0)</f>
        <v>#REF!</v>
      </c>
      <c r="CZ176" t="e">
        <f>AND(#REF!,"AAAAADHn/2c=")</f>
        <v>#REF!</v>
      </c>
      <c r="DA176" t="e">
        <f>IF(#REF!,"AAAAADHn/2g=",0)</f>
        <v>#REF!</v>
      </c>
      <c r="DB176" t="e">
        <f>AND(#REF!,"AAAAADHn/2k=")</f>
        <v>#REF!</v>
      </c>
      <c r="DC176" t="e">
        <f>IF(#REF!,"AAAAADHn/2o=",0)</f>
        <v>#REF!</v>
      </c>
      <c r="DD176" t="e">
        <f>AND(#REF!,"AAAAADHn/2s=")</f>
        <v>#REF!</v>
      </c>
      <c r="DE176" t="e">
        <f>IF(#REF!,"AAAAADHn/2w=",0)</f>
        <v>#REF!</v>
      </c>
      <c r="DF176" t="e">
        <f>AND(#REF!,"AAAAADHn/20=")</f>
        <v>#REF!</v>
      </c>
      <c r="DG176" t="e">
        <f>IF(#REF!,"AAAAADHn/24=",0)</f>
        <v>#REF!</v>
      </c>
      <c r="DH176" t="e">
        <f>AND(#REF!,"AAAAADHn/28=")</f>
        <v>#REF!</v>
      </c>
      <c r="DI176" t="e">
        <f>IF(#REF!,"AAAAADHn/3A=",0)</f>
        <v>#REF!</v>
      </c>
      <c r="DJ176" t="e">
        <f>AND(#REF!,"AAAAADHn/3E=")</f>
        <v>#REF!</v>
      </c>
      <c r="DK176" t="e">
        <f>IF(#REF!,"AAAAADHn/3I=",0)</f>
        <v>#REF!</v>
      </c>
      <c r="DL176" t="e">
        <f>AND(#REF!,"AAAAADHn/3M=")</f>
        <v>#REF!</v>
      </c>
      <c r="DM176" t="e">
        <f>IF(#REF!,"AAAAADHn/3Q=",0)</f>
        <v>#REF!</v>
      </c>
      <c r="DN176" t="e">
        <f>AND(#REF!,"AAAAADHn/3U=")</f>
        <v>#REF!</v>
      </c>
      <c r="DO176" t="e">
        <f>IF(#REF!,"AAAAADHn/3Y=",0)</f>
        <v>#REF!</v>
      </c>
      <c r="DP176" t="e">
        <f>AND(#REF!,"AAAAADHn/3c=")</f>
        <v>#REF!</v>
      </c>
      <c r="DQ176" t="e">
        <f>IF(#REF!,"AAAAADHn/3g=",0)</f>
        <v>#REF!</v>
      </c>
      <c r="DR176" t="e">
        <f>AND(#REF!,"AAAAADHn/3k=")</f>
        <v>#REF!</v>
      </c>
      <c r="DS176" t="e">
        <f>IF(#REF!,"AAAAADHn/3o=",0)</f>
        <v>#REF!</v>
      </c>
      <c r="DT176" t="e">
        <f>AND(#REF!,"AAAAADHn/3s=")</f>
        <v>#REF!</v>
      </c>
      <c r="DU176" t="e">
        <f>IF(#REF!,"AAAAADHn/3w=",0)</f>
        <v>#REF!</v>
      </c>
      <c r="DV176" t="e">
        <f>AND(#REF!,"AAAAADHn/30=")</f>
        <v>#REF!</v>
      </c>
      <c r="DW176" t="e">
        <f>IF(#REF!,"AAAAADHn/34=",0)</f>
        <v>#REF!</v>
      </c>
      <c r="DX176" t="e">
        <f>AND(#REF!,"AAAAADHn/38=")</f>
        <v>#REF!</v>
      </c>
      <c r="DY176" t="e">
        <f>IF(#REF!,"AAAAADHn/4A=",0)</f>
        <v>#REF!</v>
      </c>
      <c r="DZ176" t="e">
        <f>AND(#REF!,"AAAAADHn/4E=")</f>
        <v>#REF!</v>
      </c>
      <c r="EA176" t="e">
        <f>IF(#REF!,"AAAAADHn/4I=",0)</f>
        <v>#REF!</v>
      </c>
      <c r="EB176" t="e">
        <f>AND(#REF!,"AAAAADHn/4M=")</f>
        <v>#REF!</v>
      </c>
      <c r="EC176" t="e">
        <f>IF(#REF!,"AAAAADHn/4Q=",0)</f>
        <v>#REF!</v>
      </c>
      <c r="ED176" t="e">
        <f>AND(#REF!,"AAAAADHn/4U=")</f>
        <v>#REF!</v>
      </c>
      <c r="EE176" t="e">
        <f>IF(#REF!,"AAAAADHn/4Y=",0)</f>
        <v>#REF!</v>
      </c>
      <c r="EF176" t="e">
        <f>AND(#REF!,"AAAAADHn/4c=")</f>
        <v>#REF!</v>
      </c>
      <c r="EG176" t="e">
        <f>IF(#REF!,"AAAAADHn/4g=",0)</f>
        <v>#REF!</v>
      </c>
      <c r="EH176" t="e">
        <f>AND(#REF!,"AAAAADHn/4k=")</f>
        <v>#REF!</v>
      </c>
      <c r="EI176" t="e">
        <f>IF(#REF!,"AAAAADHn/4o=",0)</f>
        <v>#REF!</v>
      </c>
      <c r="EJ176" t="e">
        <f>AND(#REF!,"AAAAADHn/4s=")</f>
        <v>#REF!</v>
      </c>
      <c r="EK176" t="e">
        <f>IF(#REF!,"AAAAADHn/4w=",0)</f>
        <v>#REF!</v>
      </c>
      <c r="EL176" t="e">
        <f>AND(#REF!,"AAAAADHn/40=")</f>
        <v>#REF!</v>
      </c>
      <c r="EM176" t="e">
        <f>IF(#REF!,"AAAAADHn/44=",0)</f>
        <v>#REF!</v>
      </c>
      <c r="EN176" t="e">
        <f>AND(#REF!,"AAAAADHn/48=")</f>
        <v>#REF!</v>
      </c>
      <c r="EO176" t="e">
        <f>IF(#REF!,"AAAAADHn/5A=",0)</f>
        <v>#REF!</v>
      </c>
      <c r="EP176" t="e">
        <f>AND(#REF!,"AAAAADHn/5E=")</f>
        <v>#REF!</v>
      </c>
      <c r="EQ176" t="e">
        <f>IF(#REF!,"AAAAADHn/5I=",0)</f>
        <v>#REF!</v>
      </c>
      <c r="ER176" t="e">
        <f>AND(#REF!,"AAAAADHn/5M=")</f>
        <v>#REF!</v>
      </c>
      <c r="ES176" t="e">
        <f>IF(#REF!,"AAAAADHn/5Q=",0)</f>
        <v>#REF!</v>
      </c>
      <c r="ET176" t="e">
        <f>AND(#REF!,"AAAAADHn/5U=")</f>
        <v>#REF!</v>
      </c>
      <c r="EU176" t="e">
        <f>IF(#REF!,"AAAAADHn/5Y=",0)</f>
        <v>#REF!</v>
      </c>
      <c r="EV176" t="e">
        <f>AND(#REF!,"AAAAADHn/5c=")</f>
        <v>#REF!</v>
      </c>
      <c r="EW176" t="e">
        <f>IF(#REF!,"AAAAADHn/5g=",0)</f>
        <v>#REF!</v>
      </c>
      <c r="EX176" t="e">
        <f>AND(#REF!,"AAAAADHn/5k=")</f>
        <v>#REF!</v>
      </c>
      <c r="EY176" t="e">
        <f>IF(#REF!,"AAAAADHn/5o=",0)</f>
        <v>#REF!</v>
      </c>
      <c r="EZ176" t="e">
        <f>AND(#REF!,"AAAAADHn/5s=")</f>
        <v>#REF!</v>
      </c>
      <c r="FA176" t="e">
        <f>IF(#REF!,"AAAAADHn/5w=",0)</f>
        <v>#REF!</v>
      </c>
      <c r="FB176" t="e">
        <f>AND(#REF!,"AAAAADHn/50=")</f>
        <v>#REF!</v>
      </c>
      <c r="FC176" t="e">
        <f>IF(#REF!,"AAAAADHn/54=",0)</f>
        <v>#REF!</v>
      </c>
      <c r="FD176" t="e">
        <f>AND(#REF!,"AAAAADHn/58=")</f>
        <v>#REF!</v>
      </c>
      <c r="FE176" t="e">
        <f>IF(#REF!,"AAAAADHn/6A=",0)</f>
        <v>#REF!</v>
      </c>
      <c r="FF176" t="e">
        <f>AND(#REF!,"AAAAADHn/6E=")</f>
        <v>#REF!</v>
      </c>
      <c r="FG176" t="e">
        <f>IF(#REF!,"AAAAADHn/6I=",0)</f>
        <v>#REF!</v>
      </c>
      <c r="FH176" t="e">
        <f>AND(#REF!,"AAAAADHn/6M=")</f>
        <v>#REF!</v>
      </c>
      <c r="FI176" t="e">
        <f>IF(#REF!,"AAAAADHn/6Q=",0)</f>
        <v>#REF!</v>
      </c>
      <c r="FJ176" t="e">
        <f>AND(#REF!,"AAAAADHn/6U=")</f>
        <v>#REF!</v>
      </c>
      <c r="FK176" t="e">
        <f>IF(#REF!,"AAAAADHn/6Y=",0)</f>
        <v>#REF!</v>
      </c>
      <c r="FL176" t="e">
        <f>AND(#REF!,"AAAAADHn/6c=")</f>
        <v>#REF!</v>
      </c>
      <c r="FM176" t="e">
        <f>IF(#REF!,"AAAAADHn/6g=",0)</f>
        <v>#REF!</v>
      </c>
      <c r="FN176" t="e">
        <f>AND(#REF!,"AAAAADHn/6k=")</f>
        <v>#REF!</v>
      </c>
      <c r="FO176" t="e">
        <f>IF(#REF!,"AAAAADHn/6o=",0)</f>
        <v>#REF!</v>
      </c>
      <c r="FP176" t="e">
        <f>AND(#REF!,"AAAAADHn/6s=")</f>
        <v>#REF!</v>
      </c>
      <c r="FQ176" t="e">
        <f>IF(#REF!,"AAAAADHn/6w=",0)</f>
        <v>#REF!</v>
      </c>
      <c r="FR176" t="e">
        <f>AND(#REF!,"AAAAADHn/60=")</f>
        <v>#REF!</v>
      </c>
      <c r="FS176" t="e">
        <f>IF(#REF!,"AAAAADHn/64=",0)</f>
        <v>#REF!</v>
      </c>
      <c r="FT176" t="e">
        <f>AND(#REF!,"AAAAADHn/68=")</f>
        <v>#REF!</v>
      </c>
      <c r="FU176" t="e">
        <f>IF(#REF!,"AAAAADHn/7A=",0)</f>
        <v>#REF!</v>
      </c>
      <c r="FV176" t="e">
        <f>AND(#REF!,"AAAAADHn/7E=")</f>
        <v>#REF!</v>
      </c>
      <c r="FW176" t="e">
        <f>IF(#REF!,"AAAAADHn/7I=",0)</f>
        <v>#REF!</v>
      </c>
      <c r="FX176" t="e">
        <f>AND(#REF!,"AAAAADHn/7M=")</f>
        <v>#REF!</v>
      </c>
      <c r="FY176" t="e">
        <f>IF(#REF!,"AAAAADHn/7Q=",0)</f>
        <v>#REF!</v>
      </c>
      <c r="FZ176" t="e">
        <f>AND(#REF!,"AAAAADHn/7U=")</f>
        <v>#REF!</v>
      </c>
      <c r="GA176" t="e">
        <f>IF(#REF!,"AAAAADHn/7Y=",0)</f>
        <v>#REF!</v>
      </c>
      <c r="GB176" t="e">
        <f>AND(#REF!,"AAAAADHn/7c=")</f>
        <v>#REF!</v>
      </c>
      <c r="GC176" t="e">
        <f>IF(#REF!,"AAAAADHn/7g=",0)</f>
        <v>#REF!</v>
      </c>
      <c r="GD176" t="e">
        <f>AND(#REF!,"AAAAADHn/7k=")</f>
        <v>#REF!</v>
      </c>
      <c r="GE176" t="e">
        <f>IF(#REF!,"AAAAADHn/7o=",0)</f>
        <v>#REF!</v>
      </c>
      <c r="GF176" t="e">
        <f>AND(#REF!,"AAAAADHn/7s=")</f>
        <v>#REF!</v>
      </c>
      <c r="GG176" t="e">
        <f>IF(#REF!,"AAAAADHn/7w=",0)</f>
        <v>#REF!</v>
      </c>
      <c r="GH176" t="e">
        <f>IF(#REF!,"AAAAADHn/70=",0)</f>
        <v>#REF!</v>
      </c>
      <c r="GI176" t="e">
        <f>IF(#REF!,"AAAAADHn/74=",0)</f>
        <v>#REF!</v>
      </c>
      <c r="GJ176" t="e">
        <f>IF(#REF!,"AAAAADHn/78=",0)</f>
        <v>#REF!</v>
      </c>
      <c r="GK176" t="e">
        <f>IF(#REF!,"AAAAADHn/8A=",0)</f>
        <v>#REF!</v>
      </c>
      <c r="GL176" t="e">
        <f>IF(#REF!,"AAAAADHn/8E=",0)</f>
        <v>#REF!</v>
      </c>
      <c r="GM176" t="e">
        <f>IF(#REF!,"AAAAADHn/8I=",0)</f>
        <v>#REF!</v>
      </c>
      <c r="GN176" t="e">
        <f>IF(#REF!,"AAAAADHn/8M=",0)</f>
        <v>#REF!</v>
      </c>
      <c r="GO176" t="e">
        <f>IF(#REF!,"AAAAADHn/8Q=",0)</f>
        <v>#REF!</v>
      </c>
      <c r="GP176" t="e">
        <f>IF(#REF!,"AAAAADHn/8U=",0)</f>
        <v>#REF!</v>
      </c>
      <c r="GQ176" t="e">
        <f>IF(#REF!,"AAAAADHn/8Y=",0)</f>
        <v>#REF!</v>
      </c>
      <c r="GR176" t="e">
        <f>IF(#REF!,"AAAAADHn/8c=",0)</f>
        <v>#REF!</v>
      </c>
      <c r="GS176" t="e">
        <f>IF(#REF!,"AAAAADHn/8g=",0)</f>
        <v>#REF!</v>
      </c>
      <c r="GT176" t="e">
        <f>IF(#REF!,"AAAAADHn/8k=",0)</f>
        <v>#REF!</v>
      </c>
      <c r="GU176" t="e">
        <f>IF(#REF!,"AAAAADHn/8o=",0)</f>
        <v>#REF!</v>
      </c>
      <c r="GV176" t="e">
        <f>IF(#REF!,"AAAAADHn/8s=",0)</f>
        <v>#REF!</v>
      </c>
      <c r="GW176" t="e">
        <f>IF(#REF!,"AAAAADHn/8w=",0)</f>
        <v>#REF!</v>
      </c>
      <c r="GX176" t="e">
        <f>IF(#REF!,"AAAAADHn/80=",0)</f>
        <v>#REF!</v>
      </c>
      <c r="GY176" t="e">
        <f>IF(#REF!,"AAAAADHn/84=",0)</f>
        <v>#REF!</v>
      </c>
      <c r="GZ176" t="e">
        <f>IF(#REF!,"AAAAADHn/88=",0)</f>
        <v>#REF!</v>
      </c>
      <c r="HA176" t="e">
        <f>IF(#REF!,"AAAAADHn/9A=",0)</f>
        <v>#REF!</v>
      </c>
      <c r="HB176" t="e">
        <f>IF(#REF!,"AAAAADHn/9E=",0)</f>
        <v>#REF!</v>
      </c>
      <c r="HC176" t="e">
        <f>IF(#REF!,"AAAAADHn/9I=",0)</f>
        <v>#REF!</v>
      </c>
      <c r="HD176">
        <f>IF('OTRAS ACCIONES'!1:1,"AAAAADHn/9M=",0)</f>
        <v>0</v>
      </c>
      <c r="HE176" t="e">
        <f>AND('OTRAS ACCIONES'!B1,"AAAAADHn/9Q=")</f>
        <v>#VALUE!</v>
      </c>
      <c r="HF176" t="e">
        <f>AND('OTRAS ACCIONES'!C1,"AAAAADHn/9U=")</f>
        <v>#VALUE!</v>
      </c>
      <c r="HG176" t="e">
        <f>AND('OTRAS ACCIONES'!D1,"AAAAADHn/9Y=")</f>
        <v>#VALUE!</v>
      </c>
      <c r="HH176" t="e">
        <f>AND('OTRAS ACCIONES'!E1,"AAAAADHn/9c=")</f>
        <v>#VALUE!</v>
      </c>
      <c r="HI176" t="e">
        <f>AND('OTRAS ACCIONES'!F1,"AAAAADHn/9g=")</f>
        <v>#VALUE!</v>
      </c>
      <c r="HJ176" t="e">
        <f>AND('OTRAS ACCIONES'!G1,"AAAAADHn/9k=")</f>
        <v>#VALUE!</v>
      </c>
      <c r="HK176" t="e">
        <f>AND('OTRAS ACCIONES'!H1,"AAAAADHn/9o=")</f>
        <v>#VALUE!</v>
      </c>
      <c r="HL176" t="e">
        <f>AND('OTRAS ACCIONES'!I1,"AAAAADHn/9s=")</f>
        <v>#VALUE!</v>
      </c>
      <c r="HM176" t="e">
        <f>AND('OTRAS ACCIONES'!J1,"AAAAADHn/9w=")</f>
        <v>#VALUE!</v>
      </c>
      <c r="HN176" t="e">
        <f>AND('OTRAS ACCIONES'!K1,"AAAAADHn/90=")</f>
        <v>#VALUE!</v>
      </c>
      <c r="HO176" t="e">
        <f>AND('OTRAS ACCIONES'!L1,"AAAAADHn/94=")</f>
        <v>#VALUE!</v>
      </c>
      <c r="HP176" t="e">
        <f>AND('OTRAS ACCIONES'!M1,"AAAAADHn/98=")</f>
        <v>#VALUE!</v>
      </c>
      <c r="HQ176" t="e">
        <f>AND('OTRAS ACCIONES'!N1,"AAAAADHn/+A=")</f>
        <v>#VALUE!</v>
      </c>
      <c r="HR176" t="e">
        <f>AND('OTRAS ACCIONES'!O1,"AAAAADHn/+E=")</f>
        <v>#VALUE!</v>
      </c>
      <c r="HS176" t="e">
        <f>AND('OTRAS ACCIONES'!P1,"AAAAADHn/+I=")</f>
        <v>#VALUE!</v>
      </c>
      <c r="HT176" t="e">
        <f>AND('OTRAS ACCIONES'!Q1,"AAAAADHn/+M=")</f>
        <v>#VALUE!</v>
      </c>
      <c r="HU176" t="e">
        <f>AND('OTRAS ACCIONES'!R1,"AAAAADHn/+Q=")</f>
        <v>#VALUE!</v>
      </c>
      <c r="HV176">
        <f>IF('OTRAS ACCIONES'!2:2,"AAAAADHn/+U=",0)</f>
        <v>0</v>
      </c>
      <c r="HW176" t="e">
        <f>AND('OTRAS ACCIONES'!B2,"AAAAADHn/+Y=")</f>
        <v>#VALUE!</v>
      </c>
      <c r="HX176" t="e">
        <f>AND('OTRAS ACCIONES'!C2,"AAAAADHn/+c=")</f>
        <v>#VALUE!</v>
      </c>
      <c r="HY176" t="e">
        <f>AND('OTRAS ACCIONES'!D2,"AAAAADHn/+g=")</f>
        <v>#VALUE!</v>
      </c>
      <c r="HZ176" t="e">
        <f>AND('OTRAS ACCIONES'!E2,"AAAAADHn/+k=")</f>
        <v>#VALUE!</v>
      </c>
      <c r="IA176" t="e">
        <f>AND('OTRAS ACCIONES'!F2,"AAAAADHn/+o=")</f>
        <v>#VALUE!</v>
      </c>
      <c r="IB176" t="e">
        <f>AND('OTRAS ACCIONES'!G2,"AAAAADHn/+s=")</f>
        <v>#VALUE!</v>
      </c>
      <c r="IC176" t="e">
        <f>AND('OTRAS ACCIONES'!H2,"AAAAADHn/+w=")</f>
        <v>#VALUE!</v>
      </c>
      <c r="ID176" t="e">
        <f>AND('OTRAS ACCIONES'!I2,"AAAAADHn/+0=")</f>
        <v>#VALUE!</v>
      </c>
      <c r="IE176" t="e">
        <f>AND('OTRAS ACCIONES'!J2,"AAAAADHn/+4=")</f>
        <v>#VALUE!</v>
      </c>
      <c r="IF176" t="e">
        <f>AND('OTRAS ACCIONES'!K2,"AAAAADHn/+8=")</f>
        <v>#VALUE!</v>
      </c>
      <c r="IG176" t="e">
        <f>AND('OTRAS ACCIONES'!L2,"AAAAADHn//A=")</f>
        <v>#VALUE!</v>
      </c>
      <c r="IH176" t="e">
        <f>AND('OTRAS ACCIONES'!M2,"AAAAADHn//E=")</f>
        <v>#VALUE!</v>
      </c>
      <c r="II176" t="e">
        <f>AND('OTRAS ACCIONES'!N2,"AAAAADHn//I=")</f>
        <v>#VALUE!</v>
      </c>
      <c r="IJ176" t="e">
        <f>AND('OTRAS ACCIONES'!O2,"AAAAADHn//M=")</f>
        <v>#VALUE!</v>
      </c>
      <c r="IK176" t="e">
        <f>AND('OTRAS ACCIONES'!P2,"AAAAADHn//Q=")</f>
        <v>#VALUE!</v>
      </c>
      <c r="IL176" t="e">
        <f>AND('OTRAS ACCIONES'!Q2,"AAAAADHn//U=")</f>
        <v>#VALUE!</v>
      </c>
      <c r="IM176" t="e">
        <f>AND('OTRAS ACCIONES'!R2,"AAAAADHn//Y=")</f>
        <v>#VALUE!</v>
      </c>
      <c r="IN176">
        <f>IF('OTRAS ACCIONES'!3:3,"AAAAADHn//c=",0)</f>
        <v>0</v>
      </c>
      <c r="IO176" t="e">
        <f>AND('OTRAS ACCIONES'!B3,"AAAAADHn//g=")</f>
        <v>#VALUE!</v>
      </c>
      <c r="IP176" t="e">
        <f>AND('OTRAS ACCIONES'!C3,"AAAAADHn//k=")</f>
        <v>#VALUE!</v>
      </c>
      <c r="IQ176" t="e">
        <f>AND('OTRAS ACCIONES'!D3,"AAAAADHn//o=")</f>
        <v>#VALUE!</v>
      </c>
      <c r="IR176" t="e">
        <f>AND('OTRAS ACCIONES'!E3,"AAAAADHn//s=")</f>
        <v>#VALUE!</v>
      </c>
      <c r="IS176" t="e">
        <f>AND('OTRAS ACCIONES'!F3,"AAAAADHn//w=")</f>
        <v>#VALUE!</v>
      </c>
      <c r="IT176" t="e">
        <f>AND('OTRAS ACCIONES'!G3,"AAAAADHn//0=")</f>
        <v>#VALUE!</v>
      </c>
      <c r="IU176" t="e">
        <f>AND('OTRAS ACCIONES'!H3,"AAAAADHn//4=")</f>
        <v>#VALUE!</v>
      </c>
      <c r="IV176" t="e">
        <f>AND('OTRAS ACCIONES'!I3,"AAAAADHn//8=")</f>
        <v>#VALUE!</v>
      </c>
    </row>
    <row r="177" spans="1:256" x14ac:dyDescent="0.2">
      <c r="A177" t="e">
        <f>AND('OTRAS ACCIONES'!J3,"AAAAAH/+7gA=")</f>
        <v>#VALUE!</v>
      </c>
      <c r="B177" t="e">
        <f>AND('OTRAS ACCIONES'!K3,"AAAAAH/+7gE=")</f>
        <v>#VALUE!</v>
      </c>
      <c r="C177" t="e">
        <f>AND('OTRAS ACCIONES'!L3,"AAAAAH/+7gI=")</f>
        <v>#VALUE!</v>
      </c>
      <c r="D177" t="e">
        <f>AND('OTRAS ACCIONES'!M3,"AAAAAH/+7gM=")</f>
        <v>#VALUE!</v>
      </c>
      <c r="E177" t="e">
        <f>AND('OTRAS ACCIONES'!N3,"AAAAAH/+7gQ=")</f>
        <v>#VALUE!</v>
      </c>
      <c r="F177" t="e">
        <f>AND('OTRAS ACCIONES'!O3,"AAAAAH/+7gU=")</f>
        <v>#VALUE!</v>
      </c>
      <c r="G177" t="e">
        <f>AND('OTRAS ACCIONES'!P3,"AAAAAH/+7gY=")</f>
        <v>#VALUE!</v>
      </c>
      <c r="H177" t="e">
        <f>AND('OTRAS ACCIONES'!Q3,"AAAAAH/+7gc=")</f>
        <v>#VALUE!</v>
      </c>
      <c r="I177" t="e">
        <f>AND('OTRAS ACCIONES'!R3,"AAAAAH/+7gg=")</f>
        <v>#VALUE!</v>
      </c>
      <c r="J177">
        <f>IF('OTRAS ACCIONES'!4:4,"AAAAAH/+7gk=",0)</f>
        <v>0</v>
      </c>
      <c r="K177" t="e">
        <f>AND('OTRAS ACCIONES'!B4,"AAAAAH/+7go=")</f>
        <v>#VALUE!</v>
      </c>
      <c r="L177" t="e">
        <f>AND('OTRAS ACCIONES'!C4,"AAAAAH/+7gs=")</f>
        <v>#VALUE!</v>
      </c>
      <c r="M177" t="e">
        <f>AND('OTRAS ACCIONES'!D4,"AAAAAH/+7gw=")</f>
        <v>#VALUE!</v>
      </c>
      <c r="N177" t="e">
        <f>AND('OTRAS ACCIONES'!E4,"AAAAAH/+7g0=")</f>
        <v>#VALUE!</v>
      </c>
      <c r="O177" t="e">
        <f>AND('OTRAS ACCIONES'!F4,"AAAAAH/+7g4=")</f>
        <v>#VALUE!</v>
      </c>
      <c r="P177" t="e">
        <f>AND('OTRAS ACCIONES'!G4,"AAAAAH/+7g8=")</f>
        <v>#VALUE!</v>
      </c>
      <c r="Q177" t="e">
        <f>AND('OTRAS ACCIONES'!H4,"AAAAAH/+7hA=")</f>
        <v>#VALUE!</v>
      </c>
      <c r="R177" t="e">
        <f>AND('OTRAS ACCIONES'!I4,"AAAAAH/+7hE=")</f>
        <v>#VALUE!</v>
      </c>
      <c r="S177" t="e">
        <f>AND('OTRAS ACCIONES'!J4,"AAAAAH/+7hI=")</f>
        <v>#VALUE!</v>
      </c>
      <c r="T177" t="e">
        <f>AND('OTRAS ACCIONES'!K4,"AAAAAH/+7hM=")</f>
        <v>#VALUE!</v>
      </c>
      <c r="U177" t="e">
        <f>AND('OTRAS ACCIONES'!L4,"AAAAAH/+7hQ=")</f>
        <v>#VALUE!</v>
      </c>
      <c r="V177" t="e">
        <f>AND('OTRAS ACCIONES'!M4,"AAAAAH/+7hU=")</f>
        <v>#VALUE!</v>
      </c>
      <c r="W177" t="e">
        <f>AND('OTRAS ACCIONES'!N4,"AAAAAH/+7hY=")</f>
        <v>#VALUE!</v>
      </c>
      <c r="X177" t="e">
        <f>AND('OTRAS ACCIONES'!O4,"AAAAAH/+7hc=")</f>
        <v>#VALUE!</v>
      </c>
      <c r="Y177" t="e">
        <f>AND('OTRAS ACCIONES'!P4,"AAAAAH/+7hg=")</f>
        <v>#VALUE!</v>
      </c>
      <c r="Z177" t="e">
        <f>AND('OTRAS ACCIONES'!Q4,"AAAAAH/+7hk=")</f>
        <v>#VALUE!</v>
      </c>
      <c r="AA177" t="e">
        <f>AND('OTRAS ACCIONES'!R4,"AAAAAH/+7ho=")</f>
        <v>#VALUE!</v>
      </c>
      <c r="AB177">
        <f>IF('OTRAS ACCIONES'!5:5,"AAAAAH/+7hs=",0)</f>
        <v>0</v>
      </c>
      <c r="AC177" t="e">
        <f>AND('OTRAS ACCIONES'!B5,"AAAAAH/+7hw=")</f>
        <v>#VALUE!</v>
      </c>
      <c r="AD177" t="e">
        <f>AND('OTRAS ACCIONES'!C5,"AAAAAH/+7h0=")</f>
        <v>#VALUE!</v>
      </c>
      <c r="AE177" t="e">
        <f>AND('OTRAS ACCIONES'!D5,"AAAAAH/+7h4=")</f>
        <v>#VALUE!</v>
      </c>
      <c r="AF177" t="e">
        <f>AND('OTRAS ACCIONES'!E5,"AAAAAH/+7h8=")</f>
        <v>#VALUE!</v>
      </c>
      <c r="AG177" t="e">
        <f>AND('OTRAS ACCIONES'!F5,"AAAAAH/+7iA=")</f>
        <v>#VALUE!</v>
      </c>
      <c r="AH177" t="e">
        <f>AND('OTRAS ACCIONES'!G5,"AAAAAH/+7iE=")</f>
        <v>#VALUE!</v>
      </c>
      <c r="AI177" t="e">
        <f>AND('OTRAS ACCIONES'!H5,"AAAAAH/+7iI=")</f>
        <v>#VALUE!</v>
      </c>
      <c r="AJ177" t="e">
        <f>AND('OTRAS ACCIONES'!I5,"AAAAAH/+7iM=")</f>
        <v>#VALUE!</v>
      </c>
      <c r="AK177" t="e">
        <f>AND('OTRAS ACCIONES'!J5,"AAAAAH/+7iQ=")</f>
        <v>#VALUE!</v>
      </c>
      <c r="AL177" t="e">
        <f>AND('OTRAS ACCIONES'!K5,"AAAAAH/+7iU=")</f>
        <v>#VALUE!</v>
      </c>
      <c r="AM177" t="e">
        <f>AND('OTRAS ACCIONES'!L5,"AAAAAH/+7iY=")</f>
        <v>#VALUE!</v>
      </c>
      <c r="AN177" t="e">
        <f>AND('OTRAS ACCIONES'!M5,"AAAAAH/+7ic=")</f>
        <v>#VALUE!</v>
      </c>
      <c r="AO177" t="e">
        <f>AND('OTRAS ACCIONES'!N5,"AAAAAH/+7ig=")</f>
        <v>#VALUE!</v>
      </c>
      <c r="AP177" t="e">
        <f>AND('OTRAS ACCIONES'!O5,"AAAAAH/+7ik=")</f>
        <v>#VALUE!</v>
      </c>
      <c r="AQ177" t="e">
        <f>AND('OTRAS ACCIONES'!P5,"AAAAAH/+7io=")</f>
        <v>#VALUE!</v>
      </c>
      <c r="AR177" t="e">
        <f>AND('OTRAS ACCIONES'!Q5,"AAAAAH/+7is=")</f>
        <v>#VALUE!</v>
      </c>
      <c r="AS177" t="e">
        <f>AND('OTRAS ACCIONES'!R5,"AAAAAH/+7iw=")</f>
        <v>#VALUE!</v>
      </c>
      <c r="AT177">
        <f>IF('OTRAS ACCIONES'!6:6,"AAAAAH/+7i0=",0)</f>
        <v>0</v>
      </c>
      <c r="AU177" t="e">
        <f>AND('OTRAS ACCIONES'!B6,"AAAAAH/+7i4=")</f>
        <v>#VALUE!</v>
      </c>
      <c r="AV177" t="e">
        <f>AND('OTRAS ACCIONES'!C6,"AAAAAH/+7i8=")</f>
        <v>#VALUE!</v>
      </c>
      <c r="AW177" t="e">
        <f>AND('OTRAS ACCIONES'!D6,"AAAAAH/+7jA=")</f>
        <v>#VALUE!</v>
      </c>
      <c r="AX177" t="e">
        <f>AND('OTRAS ACCIONES'!E6,"AAAAAH/+7jE=")</f>
        <v>#VALUE!</v>
      </c>
      <c r="AY177" t="e">
        <f>AND('OTRAS ACCIONES'!F6,"AAAAAH/+7jI=")</f>
        <v>#VALUE!</v>
      </c>
      <c r="AZ177" t="e">
        <f>AND('OTRAS ACCIONES'!G6,"AAAAAH/+7jM=")</f>
        <v>#VALUE!</v>
      </c>
      <c r="BA177" t="e">
        <f>AND('OTRAS ACCIONES'!H6,"AAAAAH/+7jQ=")</f>
        <v>#VALUE!</v>
      </c>
      <c r="BB177" t="e">
        <f>AND('OTRAS ACCIONES'!I6,"AAAAAH/+7jU=")</f>
        <v>#VALUE!</v>
      </c>
      <c r="BC177" t="e">
        <f>AND('OTRAS ACCIONES'!J6,"AAAAAH/+7jY=")</f>
        <v>#VALUE!</v>
      </c>
      <c r="BD177" t="e">
        <f>AND('OTRAS ACCIONES'!K6,"AAAAAH/+7jc=")</f>
        <v>#VALUE!</v>
      </c>
      <c r="BE177" t="e">
        <f>AND('OTRAS ACCIONES'!L6,"AAAAAH/+7jg=")</f>
        <v>#VALUE!</v>
      </c>
      <c r="BF177" t="e">
        <f>AND('OTRAS ACCIONES'!M6,"AAAAAH/+7jk=")</f>
        <v>#VALUE!</v>
      </c>
      <c r="BG177" t="e">
        <f>AND('OTRAS ACCIONES'!N6,"AAAAAH/+7jo=")</f>
        <v>#VALUE!</v>
      </c>
      <c r="BH177" t="e">
        <f>AND('OTRAS ACCIONES'!O6,"AAAAAH/+7js=")</f>
        <v>#VALUE!</v>
      </c>
      <c r="BI177" t="e">
        <f>AND('OTRAS ACCIONES'!P6,"AAAAAH/+7jw=")</f>
        <v>#VALUE!</v>
      </c>
      <c r="BJ177" t="e">
        <f>AND('OTRAS ACCIONES'!Q6,"AAAAAH/+7j0=")</f>
        <v>#VALUE!</v>
      </c>
      <c r="BK177" t="e">
        <f>AND('OTRAS ACCIONES'!R6,"AAAAAH/+7j4=")</f>
        <v>#VALUE!</v>
      </c>
      <c r="BL177">
        <f>IF('OTRAS ACCIONES'!7:7,"AAAAAH/+7j8=",0)</f>
        <v>0</v>
      </c>
      <c r="BM177" t="e">
        <f>AND('OTRAS ACCIONES'!B7,"AAAAAH/+7kA=")</f>
        <v>#VALUE!</v>
      </c>
      <c r="BN177" t="e">
        <f>AND('OTRAS ACCIONES'!C7,"AAAAAH/+7kE=")</f>
        <v>#VALUE!</v>
      </c>
      <c r="BO177" t="e">
        <f>AND('OTRAS ACCIONES'!D7,"AAAAAH/+7kI=")</f>
        <v>#VALUE!</v>
      </c>
      <c r="BP177" t="e">
        <f>AND('OTRAS ACCIONES'!E7,"AAAAAH/+7kM=")</f>
        <v>#VALUE!</v>
      </c>
      <c r="BQ177" t="e">
        <f>AND('OTRAS ACCIONES'!F7,"AAAAAH/+7kQ=")</f>
        <v>#VALUE!</v>
      </c>
      <c r="BR177" t="e">
        <f>AND('OTRAS ACCIONES'!G7,"AAAAAH/+7kU=")</f>
        <v>#VALUE!</v>
      </c>
      <c r="BS177" t="e">
        <f>AND('OTRAS ACCIONES'!H7,"AAAAAH/+7kY=")</f>
        <v>#VALUE!</v>
      </c>
      <c r="BT177" t="e">
        <f>AND('OTRAS ACCIONES'!I7,"AAAAAH/+7kc=")</f>
        <v>#VALUE!</v>
      </c>
      <c r="BU177" t="e">
        <f>AND('OTRAS ACCIONES'!J7,"AAAAAH/+7kg=")</f>
        <v>#VALUE!</v>
      </c>
      <c r="BV177" t="e">
        <f>AND('OTRAS ACCIONES'!K7,"AAAAAH/+7kk=")</f>
        <v>#VALUE!</v>
      </c>
      <c r="BW177" t="e">
        <f>AND('OTRAS ACCIONES'!L7,"AAAAAH/+7ko=")</f>
        <v>#VALUE!</v>
      </c>
      <c r="BX177" t="e">
        <f>AND('OTRAS ACCIONES'!M7,"AAAAAH/+7ks=")</f>
        <v>#VALUE!</v>
      </c>
      <c r="BY177" t="e">
        <f>AND('OTRAS ACCIONES'!N7,"AAAAAH/+7kw=")</f>
        <v>#VALUE!</v>
      </c>
      <c r="BZ177" t="e">
        <f>AND('OTRAS ACCIONES'!O7,"AAAAAH/+7k0=")</f>
        <v>#VALUE!</v>
      </c>
      <c r="CA177" t="e">
        <f>AND('OTRAS ACCIONES'!P7,"AAAAAH/+7k4=")</f>
        <v>#VALUE!</v>
      </c>
      <c r="CB177" t="e">
        <f>AND('OTRAS ACCIONES'!Q7,"AAAAAH/+7k8=")</f>
        <v>#VALUE!</v>
      </c>
      <c r="CC177" t="e">
        <f>AND('OTRAS ACCIONES'!R7,"AAAAAH/+7lA=")</f>
        <v>#VALUE!</v>
      </c>
      <c r="CD177">
        <f>IF('OTRAS ACCIONES'!8:8,"AAAAAH/+7lE=",0)</f>
        <v>0</v>
      </c>
      <c r="CE177" t="e">
        <f>AND('OTRAS ACCIONES'!B8,"AAAAAH/+7lI=")</f>
        <v>#VALUE!</v>
      </c>
      <c r="CF177" t="e">
        <f>AND('OTRAS ACCIONES'!C8,"AAAAAH/+7lM=")</f>
        <v>#VALUE!</v>
      </c>
      <c r="CG177" t="e">
        <f>AND('OTRAS ACCIONES'!D8,"AAAAAH/+7lQ=")</f>
        <v>#VALUE!</v>
      </c>
      <c r="CH177" t="e">
        <f>AND('OTRAS ACCIONES'!E8,"AAAAAH/+7lU=")</f>
        <v>#VALUE!</v>
      </c>
      <c r="CI177" t="e">
        <f>AND('OTRAS ACCIONES'!F8,"AAAAAH/+7lY=")</f>
        <v>#VALUE!</v>
      </c>
      <c r="CJ177" t="e">
        <f>AND('OTRAS ACCIONES'!G8,"AAAAAH/+7lc=")</f>
        <v>#VALUE!</v>
      </c>
      <c r="CK177" t="e">
        <f>AND('OTRAS ACCIONES'!H8,"AAAAAH/+7lg=")</f>
        <v>#VALUE!</v>
      </c>
      <c r="CL177" t="e">
        <f>AND('OTRAS ACCIONES'!I8,"AAAAAH/+7lk=")</f>
        <v>#VALUE!</v>
      </c>
      <c r="CM177" t="e">
        <f>AND('OTRAS ACCIONES'!J8,"AAAAAH/+7lo=")</f>
        <v>#VALUE!</v>
      </c>
      <c r="CN177" t="e">
        <f>AND('OTRAS ACCIONES'!K8,"AAAAAH/+7ls=")</f>
        <v>#VALUE!</v>
      </c>
      <c r="CO177" t="e">
        <f>AND('OTRAS ACCIONES'!L8,"AAAAAH/+7lw=")</f>
        <v>#VALUE!</v>
      </c>
      <c r="CP177" t="e">
        <f>AND('OTRAS ACCIONES'!M8,"AAAAAH/+7l0=")</f>
        <v>#VALUE!</v>
      </c>
      <c r="CQ177" t="e">
        <f>AND('OTRAS ACCIONES'!N8,"AAAAAH/+7l4=")</f>
        <v>#VALUE!</v>
      </c>
      <c r="CR177" t="e">
        <f>AND('OTRAS ACCIONES'!O8,"AAAAAH/+7l8=")</f>
        <v>#VALUE!</v>
      </c>
      <c r="CS177" t="e">
        <f>AND('OTRAS ACCIONES'!P8,"AAAAAH/+7mA=")</f>
        <v>#VALUE!</v>
      </c>
      <c r="CT177" t="e">
        <f>AND('OTRAS ACCIONES'!Q8,"AAAAAH/+7mE=")</f>
        <v>#VALUE!</v>
      </c>
      <c r="CU177" t="e">
        <f>AND('OTRAS ACCIONES'!R8,"AAAAAH/+7mI=")</f>
        <v>#VALUE!</v>
      </c>
      <c r="CV177">
        <f>IF('OTRAS ACCIONES'!9:9,"AAAAAH/+7mM=",0)</f>
        <v>0</v>
      </c>
      <c r="CW177" t="e">
        <f>AND('OTRAS ACCIONES'!B9,"AAAAAH/+7mQ=")</f>
        <v>#VALUE!</v>
      </c>
      <c r="CX177" t="e">
        <f>AND('OTRAS ACCIONES'!C9,"AAAAAH/+7mU=")</f>
        <v>#VALUE!</v>
      </c>
      <c r="CY177" t="e">
        <f>AND('OTRAS ACCIONES'!D9,"AAAAAH/+7mY=")</f>
        <v>#VALUE!</v>
      </c>
      <c r="CZ177" t="e">
        <f>AND('OTRAS ACCIONES'!E9,"AAAAAH/+7mc=")</f>
        <v>#VALUE!</v>
      </c>
      <c r="DA177" t="e">
        <f>AND('OTRAS ACCIONES'!F9,"AAAAAH/+7mg=")</f>
        <v>#VALUE!</v>
      </c>
      <c r="DB177" t="e">
        <f>AND('OTRAS ACCIONES'!G9,"AAAAAH/+7mk=")</f>
        <v>#VALUE!</v>
      </c>
      <c r="DC177" t="e">
        <f>AND('OTRAS ACCIONES'!H9,"AAAAAH/+7mo=")</f>
        <v>#VALUE!</v>
      </c>
      <c r="DD177" t="e">
        <f>AND('OTRAS ACCIONES'!I9,"AAAAAH/+7ms=")</f>
        <v>#VALUE!</v>
      </c>
      <c r="DE177" t="e">
        <f>AND('OTRAS ACCIONES'!J9,"AAAAAH/+7mw=")</f>
        <v>#VALUE!</v>
      </c>
      <c r="DF177" t="e">
        <f>AND('OTRAS ACCIONES'!K9,"AAAAAH/+7m0=")</f>
        <v>#VALUE!</v>
      </c>
      <c r="DG177" t="e">
        <f>AND('OTRAS ACCIONES'!L9,"AAAAAH/+7m4=")</f>
        <v>#VALUE!</v>
      </c>
      <c r="DH177" t="e">
        <f>AND('OTRAS ACCIONES'!M9,"AAAAAH/+7m8=")</f>
        <v>#VALUE!</v>
      </c>
      <c r="DI177" t="e">
        <f>AND('OTRAS ACCIONES'!N9,"AAAAAH/+7nA=")</f>
        <v>#VALUE!</v>
      </c>
      <c r="DJ177" t="e">
        <f>AND('OTRAS ACCIONES'!O9,"AAAAAH/+7nE=")</f>
        <v>#VALUE!</v>
      </c>
      <c r="DK177" t="e">
        <f>AND('OTRAS ACCIONES'!P9,"AAAAAH/+7nI=")</f>
        <v>#VALUE!</v>
      </c>
      <c r="DL177" t="e">
        <f>AND('OTRAS ACCIONES'!Q9,"AAAAAH/+7nM=")</f>
        <v>#VALUE!</v>
      </c>
      <c r="DM177" t="e">
        <f>AND('OTRAS ACCIONES'!R9,"AAAAAH/+7nQ=")</f>
        <v>#VALUE!</v>
      </c>
      <c r="DN177">
        <f>IF('OTRAS ACCIONES'!10:10,"AAAAAH/+7nU=",0)</f>
        <v>0</v>
      </c>
      <c r="DO177" t="e">
        <f>AND('OTRAS ACCIONES'!B10,"AAAAAH/+7nY=")</f>
        <v>#VALUE!</v>
      </c>
      <c r="DP177" t="e">
        <f>AND('OTRAS ACCIONES'!C10,"AAAAAH/+7nc=")</f>
        <v>#VALUE!</v>
      </c>
      <c r="DQ177" t="e">
        <f>AND('OTRAS ACCIONES'!D10,"AAAAAH/+7ng=")</f>
        <v>#VALUE!</v>
      </c>
      <c r="DR177" t="e">
        <f>AND('OTRAS ACCIONES'!E10,"AAAAAH/+7nk=")</f>
        <v>#VALUE!</v>
      </c>
      <c r="DS177" t="e">
        <f>AND('OTRAS ACCIONES'!F10,"AAAAAH/+7no=")</f>
        <v>#VALUE!</v>
      </c>
      <c r="DT177" t="e">
        <f>AND('OTRAS ACCIONES'!G10,"AAAAAH/+7ns=")</f>
        <v>#VALUE!</v>
      </c>
      <c r="DU177" t="e">
        <f>AND('OTRAS ACCIONES'!H10,"AAAAAH/+7nw=")</f>
        <v>#VALUE!</v>
      </c>
      <c r="DV177" t="e">
        <f>AND('OTRAS ACCIONES'!I10,"AAAAAH/+7n0=")</f>
        <v>#VALUE!</v>
      </c>
      <c r="DW177" t="e">
        <f>AND('OTRAS ACCIONES'!J10,"AAAAAH/+7n4=")</f>
        <v>#VALUE!</v>
      </c>
      <c r="DX177" t="e">
        <f>AND('OTRAS ACCIONES'!K10,"AAAAAH/+7n8=")</f>
        <v>#VALUE!</v>
      </c>
      <c r="DY177" t="e">
        <f>AND('OTRAS ACCIONES'!L10,"AAAAAH/+7oA=")</f>
        <v>#VALUE!</v>
      </c>
      <c r="DZ177" t="e">
        <f>AND('OTRAS ACCIONES'!M10,"AAAAAH/+7oE=")</f>
        <v>#VALUE!</v>
      </c>
      <c r="EA177" t="e">
        <f>AND('OTRAS ACCIONES'!N10,"AAAAAH/+7oI=")</f>
        <v>#VALUE!</v>
      </c>
      <c r="EB177" t="e">
        <f>AND('OTRAS ACCIONES'!O10,"AAAAAH/+7oM=")</f>
        <v>#VALUE!</v>
      </c>
      <c r="EC177" t="e">
        <f>AND('OTRAS ACCIONES'!P10,"AAAAAH/+7oQ=")</f>
        <v>#VALUE!</v>
      </c>
      <c r="ED177" t="e">
        <f>AND('OTRAS ACCIONES'!Q10,"AAAAAH/+7oU=")</f>
        <v>#VALUE!</v>
      </c>
      <c r="EE177" t="e">
        <f>AND('OTRAS ACCIONES'!R10,"AAAAAH/+7oY=")</f>
        <v>#VALUE!</v>
      </c>
      <c r="EF177">
        <f>IF('OTRAS ACCIONES'!11:11,"AAAAAH/+7oc=",0)</f>
        <v>0</v>
      </c>
      <c r="EG177" t="e">
        <f>AND('OTRAS ACCIONES'!B11,"AAAAAH/+7og=")</f>
        <v>#VALUE!</v>
      </c>
      <c r="EH177" t="e">
        <f>AND('OTRAS ACCIONES'!C11,"AAAAAH/+7ok=")</f>
        <v>#VALUE!</v>
      </c>
      <c r="EI177" t="e">
        <f>AND('OTRAS ACCIONES'!D11,"AAAAAH/+7oo=")</f>
        <v>#VALUE!</v>
      </c>
      <c r="EJ177" t="e">
        <f>AND('OTRAS ACCIONES'!E11,"AAAAAH/+7os=")</f>
        <v>#VALUE!</v>
      </c>
      <c r="EK177" t="e">
        <f>AND('OTRAS ACCIONES'!F11,"AAAAAH/+7ow=")</f>
        <v>#VALUE!</v>
      </c>
      <c r="EL177" t="e">
        <f>AND('OTRAS ACCIONES'!G11,"AAAAAH/+7o0=")</f>
        <v>#VALUE!</v>
      </c>
      <c r="EM177" t="e">
        <f>AND('OTRAS ACCIONES'!H11,"AAAAAH/+7o4=")</f>
        <v>#VALUE!</v>
      </c>
      <c r="EN177" t="e">
        <f>AND('OTRAS ACCIONES'!I11,"AAAAAH/+7o8=")</f>
        <v>#VALUE!</v>
      </c>
      <c r="EO177" t="e">
        <f>AND('OTRAS ACCIONES'!J11,"AAAAAH/+7pA=")</f>
        <v>#VALUE!</v>
      </c>
      <c r="EP177" t="e">
        <f>AND('OTRAS ACCIONES'!K11,"AAAAAH/+7pE=")</f>
        <v>#VALUE!</v>
      </c>
      <c r="EQ177" t="e">
        <f>AND('OTRAS ACCIONES'!L11,"AAAAAH/+7pI=")</f>
        <v>#VALUE!</v>
      </c>
      <c r="ER177" t="e">
        <f>AND('OTRAS ACCIONES'!M11,"AAAAAH/+7pM=")</f>
        <v>#VALUE!</v>
      </c>
      <c r="ES177" t="e">
        <f>AND('OTRAS ACCIONES'!N11,"AAAAAH/+7pQ=")</f>
        <v>#VALUE!</v>
      </c>
      <c r="ET177" t="e">
        <f>AND('OTRAS ACCIONES'!O11,"AAAAAH/+7pU=")</f>
        <v>#VALUE!</v>
      </c>
      <c r="EU177" t="e">
        <f>AND('OTRAS ACCIONES'!P11,"AAAAAH/+7pY=")</f>
        <v>#VALUE!</v>
      </c>
      <c r="EV177" t="e">
        <f>AND('OTRAS ACCIONES'!Q11,"AAAAAH/+7pc=")</f>
        <v>#VALUE!</v>
      </c>
      <c r="EW177" t="e">
        <f>AND('OTRAS ACCIONES'!R11,"AAAAAH/+7pg=")</f>
        <v>#VALUE!</v>
      </c>
      <c r="EX177" t="e">
        <f>IF('OTRAS ACCIONES'!#REF!,"AAAAAH/+7pk=",0)</f>
        <v>#REF!</v>
      </c>
      <c r="EY177" t="e">
        <f>AND('OTRAS ACCIONES'!#REF!,"AAAAAH/+7po=")</f>
        <v>#REF!</v>
      </c>
      <c r="EZ177" t="e">
        <f>AND('OTRAS ACCIONES'!#REF!,"AAAAAH/+7ps=")</f>
        <v>#REF!</v>
      </c>
      <c r="FA177" t="e">
        <f>AND('OTRAS ACCIONES'!#REF!,"AAAAAH/+7pw=")</f>
        <v>#REF!</v>
      </c>
      <c r="FB177" t="e">
        <f>AND('OTRAS ACCIONES'!#REF!,"AAAAAH/+7p0=")</f>
        <v>#REF!</v>
      </c>
      <c r="FC177" t="e">
        <f>AND('OTRAS ACCIONES'!#REF!,"AAAAAH/+7p4=")</f>
        <v>#REF!</v>
      </c>
      <c r="FD177" t="e">
        <f>AND('OTRAS ACCIONES'!#REF!,"AAAAAH/+7p8=")</f>
        <v>#REF!</v>
      </c>
      <c r="FE177" t="e">
        <f>AND('OTRAS ACCIONES'!#REF!,"AAAAAH/+7qA=")</f>
        <v>#REF!</v>
      </c>
      <c r="FF177" t="e">
        <f>AND('OTRAS ACCIONES'!#REF!,"AAAAAH/+7qE=")</f>
        <v>#REF!</v>
      </c>
      <c r="FG177" t="e">
        <f>AND('OTRAS ACCIONES'!#REF!,"AAAAAH/+7qI=")</f>
        <v>#REF!</v>
      </c>
      <c r="FH177" t="e">
        <f>AND('OTRAS ACCIONES'!#REF!,"AAAAAH/+7qM=")</f>
        <v>#REF!</v>
      </c>
      <c r="FI177" t="e">
        <f>AND('OTRAS ACCIONES'!#REF!,"AAAAAH/+7qQ=")</f>
        <v>#REF!</v>
      </c>
      <c r="FJ177" t="e">
        <f>AND('OTRAS ACCIONES'!#REF!,"AAAAAH/+7qU=")</f>
        <v>#REF!</v>
      </c>
      <c r="FK177" t="e">
        <f>AND('OTRAS ACCIONES'!#REF!,"AAAAAH/+7qY=")</f>
        <v>#REF!</v>
      </c>
      <c r="FL177" t="e">
        <f>AND('OTRAS ACCIONES'!#REF!,"AAAAAH/+7qc=")</f>
        <v>#REF!</v>
      </c>
      <c r="FM177" t="e">
        <f>AND('OTRAS ACCIONES'!#REF!,"AAAAAH/+7qg=")</f>
        <v>#REF!</v>
      </c>
      <c r="FN177" t="e">
        <f>AND('OTRAS ACCIONES'!#REF!,"AAAAAH/+7qk=")</f>
        <v>#REF!</v>
      </c>
      <c r="FO177" t="e">
        <f>AND('OTRAS ACCIONES'!#REF!,"AAAAAH/+7qo=")</f>
        <v>#REF!</v>
      </c>
      <c r="FP177" t="e">
        <f>IF('OTRAS ACCIONES'!#REF!,"AAAAAH/+7qs=",0)</f>
        <v>#REF!</v>
      </c>
      <c r="FQ177" t="e">
        <f>AND('OTRAS ACCIONES'!#REF!,"AAAAAH/+7qw=")</f>
        <v>#REF!</v>
      </c>
      <c r="FR177" t="e">
        <f>AND('OTRAS ACCIONES'!#REF!,"AAAAAH/+7q0=")</f>
        <v>#REF!</v>
      </c>
      <c r="FS177" t="e">
        <f>AND('OTRAS ACCIONES'!#REF!,"AAAAAH/+7q4=")</f>
        <v>#REF!</v>
      </c>
      <c r="FT177" t="e">
        <f>AND('OTRAS ACCIONES'!#REF!,"AAAAAH/+7q8=")</f>
        <v>#REF!</v>
      </c>
      <c r="FU177" t="e">
        <f>AND('OTRAS ACCIONES'!#REF!,"AAAAAH/+7rA=")</f>
        <v>#REF!</v>
      </c>
      <c r="FV177" t="e">
        <f>AND('OTRAS ACCIONES'!#REF!,"AAAAAH/+7rE=")</f>
        <v>#REF!</v>
      </c>
      <c r="FW177" t="e">
        <f>AND('OTRAS ACCIONES'!#REF!,"AAAAAH/+7rI=")</f>
        <v>#REF!</v>
      </c>
      <c r="FX177" t="e">
        <f>AND('OTRAS ACCIONES'!#REF!,"AAAAAH/+7rM=")</f>
        <v>#REF!</v>
      </c>
      <c r="FY177" t="e">
        <f>AND('OTRAS ACCIONES'!#REF!,"AAAAAH/+7rQ=")</f>
        <v>#REF!</v>
      </c>
      <c r="FZ177" t="e">
        <f>AND('OTRAS ACCIONES'!#REF!,"AAAAAH/+7rU=")</f>
        <v>#REF!</v>
      </c>
      <c r="GA177" t="e">
        <f>AND('OTRAS ACCIONES'!#REF!,"AAAAAH/+7rY=")</f>
        <v>#REF!</v>
      </c>
      <c r="GB177" t="e">
        <f>AND('OTRAS ACCIONES'!#REF!,"AAAAAH/+7rc=")</f>
        <v>#REF!</v>
      </c>
      <c r="GC177" t="e">
        <f>AND('OTRAS ACCIONES'!#REF!,"AAAAAH/+7rg=")</f>
        <v>#REF!</v>
      </c>
      <c r="GD177" t="e">
        <f>AND('OTRAS ACCIONES'!#REF!,"AAAAAH/+7rk=")</f>
        <v>#REF!</v>
      </c>
      <c r="GE177" t="e">
        <f>AND('OTRAS ACCIONES'!#REF!,"AAAAAH/+7ro=")</f>
        <v>#REF!</v>
      </c>
      <c r="GF177" t="e">
        <f>AND('OTRAS ACCIONES'!#REF!,"AAAAAH/+7rs=")</f>
        <v>#REF!</v>
      </c>
      <c r="GG177" t="e">
        <f>AND('OTRAS ACCIONES'!#REF!,"AAAAAH/+7rw=")</f>
        <v>#REF!</v>
      </c>
      <c r="GH177">
        <f>IF('OTRAS ACCIONES'!12:12,"AAAAAH/+7r0=",0)</f>
        <v>0</v>
      </c>
      <c r="GI177" t="e">
        <f>AND('OTRAS ACCIONES'!B12,"AAAAAH/+7r4=")</f>
        <v>#VALUE!</v>
      </c>
      <c r="GJ177" t="e">
        <f>AND('OTRAS ACCIONES'!C12,"AAAAAH/+7r8=")</f>
        <v>#VALUE!</v>
      </c>
      <c r="GK177" t="e">
        <f>AND('OTRAS ACCIONES'!D12,"AAAAAH/+7sA=")</f>
        <v>#VALUE!</v>
      </c>
      <c r="GL177" t="e">
        <f>AND('OTRAS ACCIONES'!E12,"AAAAAH/+7sE=")</f>
        <v>#VALUE!</v>
      </c>
      <c r="GM177" t="e">
        <f>AND('OTRAS ACCIONES'!F12,"AAAAAH/+7sI=")</f>
        <v>#VALUE!</v>
      </c>
      <c r="GN177" t="e">
        <f>AND('OTRAS ACCIONES'!G12,"AAAAAH/+7sM=")</f>
        <v>#VALUE!</v>
      </c>
      <c r="GO177" t="e">
        <f>AND('OTRAS ACCIONES'!H12,"AAAAAH/+7sQ=")</f>
        <v>#VALUE!</v>
      </c>
      <c r="GP177" t="e">
        <f>AND('OTRAS ACCIONES'!I12,"AAAAAH/+7sU=")</f>
        <v>#VALUE!</v>
      </c>
      <c r="GQ177" t="e">
        <f>AND('OTRAS ACCIONES'!J12,"AAAAAH/+7sY=")</f>
        <v>#VALUE!</v>
      </c>
      <c r="GR177" t="e">
        <f>AND('OTRAS ACCIONES'!K12,"AAAAAH/+7sc=")</f>
        <v>#VALUE!</v>
      </c>
      <c r="GS177" t="e">
        <f>AND('OTRAS ACCIONES'!L12,"AAAAAH/+7sg=")</f>
        <v>#VALUE!</v>
      </c>
      <c r="GT177" t="e">
        <f>AND('OTRAS ACCIONES'!M12,"AAAAAH/+7sk=")</f>
        <v>#VALUE!</v>
      </c>
      <c r="GU177" t="e">
        <f>AND('OTRAS ACCIONES'!N12,"AAAAAH/+7so=")</f>
        <v>#VALUE!</v>
      </c>
      <c r="GV177" t="e">
        <f>AND('OTRAS ACCIONES'!O12,"AAAAAH/+7ss=")</f>
        <v>#VALUE!</v>
      </c>
      <c r="GW177" t="e">
        <f>AND('OTRAS ACCIONES'!P12,"AAAAAH/+7sw=")</f>
        <v>#VALUE!</v>
      </c>
      <c r="GX177" t="e">
        <f>AND('OTRAS ACCIONES'!Q12,"AAAAAH/+7s0=")</f>
        <v>#VALUE!</v>
      </c>
      <c r="GY177" t="e">
        <f>AND('OTRAS ACCIONES'!R12,"AAAAAH/+7s4=")</f>
        <v>#VALUE!</v>
      </c>
      <c r="GZ177">
        <f>IF('OTRAS ACCIONES'!15:15,"AAAAAH/+7s8=",0)</f>
        <v>0</v>
      </c>
      <c r="HA177" t="e">
        <f>AND('OTRAS ACCIONES'!B15,"AAAAAH/+7tA=")</f>
        <v>#VALUE!</v>
      </c>
      <c r="HB177" t="e">
        <f>AND('OTRAS ACCIONES'!C15,"AAAAAH/+7tE=")</f>
        <v>#VALUE!</v>
      </c>
      <c r="HC177" t="e">
        <f>AND('OTRAS ACCIONES'!D15,"AAAAAH/+7tI=")</f>
        <v>#VALUE!</v>
      </c>
      <c r="HD177" t="e">
        <f>AND('OTRAS ACCIONES'!E15,"AAAAAH/+7tM=")</f>
        <v>#VALUE!</v>
      </c>
      <c r="HE177" t="e">
        <f>AND('OTRAS ACCIONES'!F15,"AAAAAH/+7tQ=")</f>
        <v>#VALUE!</v>
      </c>
      <c r="HF177" t="e">
        <f>AND('OTRAS ACCIONES'!G15,"AAAAAH/+7tU=")</f>
        <v>#VALUE!</v>
      </c>
      <c r="HG177" t="e">
        <f>AND('OTRAS ACCIONES'!H15,"AAAAAH/+7tY=")</f>
        <v>#VALUE!</v>
      </c>
      <c r="HH177" t="e">
        <f>AND('OTRAS ACCIONES'!I15,"AAAAAH/+7tc=")</f>
        <v>#VALUE!</v>
      </c>
      <c r="HI177" t="e">
        <f>AND('OTRAS ACCIONES'!J15,"AAAAAH/+7tg=")</f>
        <v>#VALUE!</v>
      </c>
      <c r="HJ177" t="e">
        <f>AND('OTRAS ACCIONES'!K15,"AAAAAH/+7tk=")</f>
        <v>#VALUE!</v>
      </c>
      <c r="HK177" t="e">
        <f>AND('OTRAS ACCIONES'!L15,"AAAAAH/+7to=")</f>
        <v>#VALUE!</v>
      </c>
      <c r="HL177" t="e">
        <f>AND('OTRAS ACCIONES'!M15,"AAAAAH/+7ts=")</f>
        <v>#VALUE!</v>
      </c>
      <c r="HM177" t="e">
        <f>AND('OTRAS ACCIONES'!N15,"AAAAAH/+7tw=")</f>
        <v>#VALUE!</v>
      </c>
      <c r="HN177" t="e">
        <f>AND('OTRAS ACCIONES'!O15,"AAAAAH/+7t0=")</f>
        <v>#VALUE!</v>
      </c>
      <c r="HO177" t="e">
        <f>AND('OTRAS ACCIONES'!P15,"AAAAAH/+7t4=")</f>
        <v>#VALUE!</v>
      </c>
      <c r="HP177" t="e">
        <f>AND('OTRAS ACCIONES'!Q15,"AAAAAH/+7t8=")</f>
        <v>#VALUE!</v>
      </c>
      <c r="HQ177" t="e">
        <f>AND('OTRAS ACCIONES'!R15,"AAAAAH/+7uA=")</f>
        <v>#VALUE!</v>
      </c>
      <c r="HR177" t="e">
        <f>IF('OTRAS ACCIONES'!#REF!,"AAAAAH/+7uE=",0)</f>
        <v>#REF!</v>
      </c>
      <c r="HS177" t="e">
        <f>AND('OTRAS ACCIONES'!#REF!,"AAAAAH/+7uI=")</f>
        <v>#REF!</v>
      </c>
      <c r="HT177" t="e">
        <f>AND('OTRAS ACCIONES'!#REF!,"AAAAAH/+7uM=")</f>
        <v>#REF!</v>
      </c>
      <c r="HU177" t="e">
        <f>AND('OTRAS ACCIONES'!#REF!,"AAAAAH/+7uQ=")</f>
        <v>#REF!</v>
      </c>
      <c r="HV177" t="e">
        <f>AND('OTRAS ACCIONES'!#REF!,"AAAAAH/+7uU=")</f>
        <v>#REF!</v>
      </c>
      <c r="HW177" t="e">
        <f>AND('OTRAS ACCIONES'!#REF!,"AAAAAH/+7uY=")</f>
        <v>#REF!</v>
      </c>
      <c r="HX177" t="e">
        <f>AND('OTRAS ACCIONES'!#REF!,"AAAAAH/+7uc=")</f>
        <v>#REF!</v>
      </c>
      <c r="HY177" t="e">
        <f>AND('OTRAS ACCIONES'!#REF!,"AAAAAH/+7ug=")</f>
        <v>#REF!</v>
      </c>
      <c r="HZ177" t="e">
        <f>AND('OTRAS ACCIONES'!#REF!,"AAAAAH/+7uk=")</f>
        <v>#REF!</v>
      </c>
      <c r="IA177" t="e">
        <f>AND('OTRAS ACCIONES'!#REF!,"AAAAAH/+7uo=")</f>
        <v>#REF!</v>
      </c>
      <c r="IB177" t="e">
        <f>AND('OTRAS ACCIONES'!#REF!,"AAAAAH/+7us=")</f>
        <v>#REF!</v>
      </c>
      <c r="IC177" t="e">
        <f>AND('OTRAS ACCIONES'!#REF!,"AAAAAH/+7uw=")</f>
        <v>#REF!</v>
      </c>
      <c r="ID177" t="e">
        <f>AND('OTRAS ACCIONES'!#REF!,"AAAAAH/+7u0=")</f>
        <v>#REF!</v>
      </c>
      <c r="IE177" t="e">
        <f>AND('OTRAS ACCIONES'!#REF!,"AAAAAH/+7u4=")</f>
        <v>#REF!</v>
      </c>
      <c r="IF177" t="e">
        <f>AND('OTRAS ACCIONES'!#REF!,"AAAAAH/+7u8=")</f>
        <v>#REF!</v>
      </c>
      <c r="IG177" t="e">
        <f>AND('OTRAS ACCIONES'!#REF!,"AAAAAH/+7vA=")</f>
        <v>#REF!</v>
      </c>
      <c r="IH177" t="e">
        <f>AND('OTRAS ACCIONES'!#REF!,"AAAAAH/+7vE=")</f>
        <v>#REF!</v>
      </c>
      <c r="II177" t="e">
        <f>AND('OTRAS ACCIONES'!#REF!,"AAAAAH/+7vI=")</f>
        <v>#REF!</v>
      </c>
      <c r="IJ177" t="e">
        <f>IF('OTRAS ACCIONES'!#REF!,"AAAAAH/+7vM=",0)</f>
        <v>#REF!</v>
      </c>
      <c r="IK177" t="e">
        <f>AND('OTRAS ACCIONES'!#REF!,"AAAAAH/+7vQ=")</f>
        <v>#REF!</v>
      </c>
      <c r="IL177" t="e">
        <f>AND('OTRAS ACCIONES'!#REF!,"AAAAAH/+7vU=")</f>
        <v>#REF!</v>
      </c>
      <c r="IM177" t="e">
        <f>AND('OTRAS ACCIONES'!#REF!,"AAAAAH/+7vY=")</f>
        <v>#REF!</v>
      </c>
      <c r="IN177" t="e">
        <f>AND('OTRAS ACCIONES'!#REF!,"AAAAAH/+7vc=")</f>
        <v>#REF!</v>
      </c>
      <c r="IO177" t="e">
        <f>AND('OTRAS ACCIONES'!#REF!,"AAAAAH/+7vg=")</f>
        <v>#REF!</v>
      </c>
      <c r="IP177" t="e">
        <f>AND('OTRAS ACCIONES'!#REF!,"AAAAAH/+7vk=")</f>
        <v>#REF!</v>
      </c>
      <c r="IQ177" t="e">
        <f>AND('OTRAS ACCIONES'!#REF!,"AAAAAH/+7vo=")</f>
        <v>#REF!</v>
      </c>
      <c r="IR177" t="e">
        <f>AND('OTRAS ACCIONES'!#REF!,"AAAAAH/+7vs=")</f>
        <v>#REF!</v>
      </c>
      <c r="IS177" t="e">
        <f>AND('OTRAS ACCIONES'!#REF!,"AAAAAH/+7vw=")</f>
        <v>#REF!</v>
      </c>
      <c r="IT177" t="e">
        <f>AND('OTRAS ACCIONES'!#REF!,"AAAAAH/+7v0=")</f>
        <v>#REF!</v>
      </c>
      <c r="IU177" t="e">
        <f>AND('OTRAS ACCIONES'!#REF!,"AAAAAH/+7v4=")</f>
        <v>#REF!</v>
      </c>
      <c r="IV177" t="e">
        <f>AND('OTRAS ACCIONES'!#REF!,"AAAAAH/+7v8=")</f>
        <v>#REF!</v>
      </c>
    </row>
    <row r="178" spans="1:256" x14ac:dyDescent="0.2">
      <c r="A178" t="e">
        <f>AND('OTRAS ACCIONES'!#REF!,"AAAAADt6+wA=")</f>
        <v>#REF!</v>
      </c>
      <c r="B178" t="e">
        <f>AND('OTRAS ACCIONES'!#REF!,"AAAAADt6+wE=")</f>
        <v>#REF!</v>
      </c>
      <c r="C178" t="e">
        <f>AND('OTRAS ACCIONES'!#REF!,"AAAAADt6+wI=")</f>
        <v>#REF!</v>
      </c>
      <c r="D178" t="e">
        <f>AND('OTRAS ACCIONES'!#REF!,"AAAAADt6+wM=")</f>
        <v>#REF!</v>
      </c>
      <c r="E178" t="e">
        <f>AND('OTRAS ACCIONES'!#REF!,"AAAAADt6+wQ=")</f>
        <v>#REF!</v>
      </c>
      <c r="F178" t="e">
        <f>IF('OTRAS ACCIONES'!#REF!,"AAAAADt6+wU=",0)</f>
        <v>#REF!</v>
      </c>
      <c r="G178" t="e">
        <f>AND('OTRAS ACCIONES'!#REF!,"AAAAADt6+wY=")</f>
        <v>#REF!</v>
      </c>
      <c r="H178" t="e">
        <f>AND('OTRAS ACCIONES'!#REF!,"AAAAADt6+wc=")</f>
        <v>#REF!</v>
      </c>
      <c r="I178" t="e">
        <f>AND('OTRAS ACCIONES'!#REF!,"AAAAADt6+wg=")</f>
        <v>#REF!</v>
      </c>
      <c r="J178" t="e">
        <f>AND('OTRAS ACCIONES'!#REF!,"AAAAADt6+wk=")</f>
        <v>#REF!</v>
      </c>
      <c r="K178" t="e">
        <f>AND('OTRAS ACCIONES'!#REF!,"AAAAADt6+wo=")</f>
        <v>#REF!</v>
      </c>
      <c r="L178" t="e">
        <f>AND('OTRAS ACCIONES'!#REF!,"AAAAADt6+ws=")</f>
        <v>#REF!</v>
      </c>
      <c r="M178" t="e">
        <f>AND('OTRAS ACCIONES'!#REF!,"AAAAADt6+ww=")</f>
        <v>#REF!</v>
      </c>
      <c r="N178" t="e">
        <f>AND('OTRAS ACCIONES'!#REF!,"AAAAADt6+w0=")</f>
        <v>#REF!</v>
      </c>
      <c r="O178" t="e">
        <f>AND('OTRAS ACCIONES'!#REF!,"AAAAADt6+w4=")</f>
        <v>#REF!</v>
      </c>
      <c r="P178" t="e">
        <f>AND('OTRAS ACCIONES'!#REF!,"AAAAADt6+w8=")</f>
        <v>#REF!</v>
      </c>
      <c r="Q178" t="e">
        <f>AND('OTRAS ACCIONES'!#REF!,"AAAAADt6+xA=")</f>
        <v>#REF!</v>
      </c>
      <c r="R178" t="e">
        <f>AND('OTRAS ACCIONES'!#REF!,"AAAAADt6+xE=")</f>
        <v>#REF!</v>
      </c>
      <c r="S178" t="e">
        <f>AND('OTRAS ACCIONES'!#REF!,"AAAAADt6+xI=")</f>
        <v>#REF!</v>
      </c>
      <c r="T178" t="e">
        <f>AND('OTRAS ACCIONES'!#REF!,"AAAAADt6+xM=")</f>
        <v>#REF!</v>
      </c>
      <c r="U178" t="e">
        <f>AND('OTRAS ACCIONES'!#REF!,"AAAAADt6+xQ=")</f>
        <v>#REF!</v>
      </c>
      <c r="V178" t="e">
        <f>AND('OTRAS ACCIONES'!#REF!,"AAAAADt6+xU=")</f>
        <v>#REF!</v>
      </c>
      <c r="W178" t="e">
        <f>AND('OTRAS ACCIONES'!#REF!,"AAAAADt6+xY=")</f>
        <v>#REF!</v>
      </c>
      <c r="X178" t="e">
        <f>IF('OTRAS ACCIONES'!#REF!,"AAAAADt6+xc=",0)</f>
        <v>#REF!</v>
      </c>
      <c r="Y178" t="e">
        <f>AND('OTRAS ACCIONES'!#REF!,"AAAAADt6+xg=")</f>
        <v>#REF!</v>
      </c>
      <c r="Z178" t="e">
        <f>AND('OTRAS ACCIONES'!#REF!,"AAAAADt6+xk=")</f>
        <v>#REF!</v>
      </c>
      <c r="AA178" t="e">
        <f>AND('OTRAS ACCIONES'!#REF!,"AAAAADt6+xo=")</f>
        <v>#REF!</v>
      </c>
      <c r="AB178" t="e">
        <f>AND('OTRAS ACCIONES'!#REF!,"AAAAADt6+xs=")</f>
        <v>#REF!</v>
      </c>
      <c r="AC178" t="e">
        <f>AND('OTRAS ACCIONES'!#REF!,"AAAAADt6+xw=")</f>
        <v>#REF!</v>
      </c>
      <c r="AD178" t="e">
        <f>AND('OTRAS ACCIONES'!#REF!,"AAAAADt6+x0=")</f>
        <v>#REF!</v>
      </c>
      <c r="AE178" t="e">
        <f>AND('OTRAS ACCIONES'!#REF!,"AAAAADt6+x4=")</f>
        <v>#REF!</v>
      </c>
      <c r="AF178" t="e">
        <f>AND('OTRAS ACCIONES'!#REF!,"AAAAADt6+x8=")</f>
        <v>#REF!</v>
      </c>
      <c r="AG178" t="e">
        <f>AND('OTRAS ACCIONES'!#REF!,"AAAAADt6+yA=")</f>
        <v>#REF!</v>
      </c>
      <c r="AH178" t="e">
        <f>AND('OTRAS ACCIONES'!#REF!,"AAAAADt6+yE=")</f>
        <v>#REF!</v>
      </c>
      <c r="AI178" t="e">
        <f>AND('OTRAS ACCIONES'!#REF!,"AAAAADt6+yI=")</f>
        <v>#REF!</v>
      </c>
      <c r="AJ178" t="e">
        <f>AND('OTRAS ACCIONES'!#REF!,"AAAAADt6+yM=")</f>
        <v>#REF!</v>
      </c>
      <c r="AK178" t="e">
        <f>AND('OTRAS ACCIONES'!#REF!,"AAAAADt6+yQ=")</f>
        <v>#REF!</v>
      </c>
      <c r="AL178" t="e">
        <f>AND('OTRAS ACCIONES'!#REF!,"AAAAADt6+yU=")</f>
        <v>#REF!</v>
      </c>
      <c r="AM178" t="e">
        <f>AND('OTRAS ACCIONES'!#REF!,"AAAAADt6+yY=")</f>
        <v>#REF!</v>
      </c>
      <c r="AN178" t="e">
        <f>AND('OTRAS ACCIONES'!#REF!,"AAAAADt6+yc=")</f>
        <v>#REF!</v>
      </c>
      <c r="AO178" t="e">
        <f>AND('OTRAS ACCIONES'!#REF!,"AAAAADt6+yg=")</f>
        <v>#REF!</v>
      </c>
      <c r="AP178" t="e">
        <f>IF('OTRAS ACCIONES'!#REF!,"AAAAADt6+yk=",0)</f>
        <v>#REF!</v>
      </c>
      <c r="AQ178" t="e">
        <f>AND('OTRAS ACCIONES'!#REF!,"AAAAADt6+yo=")</f>
        <v>#REF!</v>
      </c>
      <c r="AR178" t="e">
        <f>AND('OTRAS ACCIONES'!#REF!,"AAAAADt6+ys=")</f>
        <v>#REF!</v>
      </c>
      <c r="AS178" t="e">
        <f>AND('OTRAS ACCIONES'!#REF!,"AAAAADt6+yw=")</f>
        <v>#REF!</v>
      </c>
      <c r="AT178" t="e">
        <f>AND('OTRAS ACCIONES'!#REF!,"AAAAADt6+y0=")</f>
        <v>#REF!</v>
      </c>
      <c r="AU178" t="e">
        <f>AND('OTRAS ACCIONES'!#REF!,"AAAAADt6+y4=")</f>
        <v>#REF!</v>
      </c>
      <c r="AV178" t="e">
        <f>AND('OTRAS ACCIONES'!#REF!,"AAAAADt6+y8=")</f>
        <v>#REF!</v>
      </c>
      <c r="AW178" t="e">
        <f>AND('OTRAS ACCIONES'!#REF!,"AAAAADt6+zA=")</f>
        <v>#REF!</v>
      </c>
      <c r="AX178" t="e">
        <f>AND('OTRAS ACCIONES'!#REF!,"AAAAADt6+zE=")</f>
        <v>#REF!</v>
      </c>
      <c r="AY178" t="e">
        <f>AND('OTRAS ACCIONES'!#REF!,"AAAAADt6+zI=")</f>
        <v>#REF!</v>
      </c>
      <c r="AZ178" t="e">
        <f>AND('OTRAS ACCIONES'!#REF!,"AAAAADt6+zM=")</f>
        <v>#REF!</v>
      </c>
      <c r="BA178" t="e">
        <f>AND('OTRAS ACCIONES'!#REF!,"AAAAADt6+zQ=")</f>
        <v>#REF!</v>
      </c>
      <c r="BB178" t="e">
        <f>AND('OTRAS ACCIONES'!#REF!,"AAAAADt6+zU=")</f>
        <v>#REF!</v>
      </c>
      <c r="BC178" t="e">
        <f>AND('OTRAS ACCIONES'!#REF!,"AAAAADt6+zY=")</f>
        <v>#REF!</v>
      </c>
      <c r="BD178" t="e">
        <f>AND('OTRAS ACCIONES'!#REF!,"AAAAADt6+zc=")</f>
        <v>#REF!</v>
      </c>
      <c r="BE178" t="e">
        <f>AND('OTRAS ACCIONES'!#REF!,"AAAAADt6+zg=")</f>
        <v>#REF!</v>
      </c>
      <c r="BF178" t="e">
        <f>AND('OTRAS ACCIONES'!#REF!,"AAAAADt6+zk=")</f>
        <v>#REF!</v>
      </c>
      <c r="BG178" t="e">
        <f>AND('OTRAS ACCIONES'!#REF!,"AAAAADt6+zo=")</f>
        <v>#REF!</v>
      </c>
      <c r="BH178" t="e">
        <f>IF('OTRAS ACCIONES'!#REF!,"AAAAADt6+zs=",0)</f>
        <v>#REF!</v>
      </c>
      <c r="BI178" t="e">
        <f>AND('OTRAS ACCIONES'!#REF!,"AAAAADt6+zw=")</f>
        <v>#REF!</v>
      </c>
      <c r="BJ178" t="e">
        <f>AND('OTRAS ACCIONES'!#REF!,"AAAAADt6+z0=")</f>
        <v>#REF!</v>
      </c>
      <c r="BK178" t="e">
        <f>AND('OTRAS ACCIONES'!#REF!,"AAAAADt6+z4=")</f>
        <v>#REF!</v>
      </c>
      <c r="BL178" t="e">
        <f>AND('OTRAS ACCIONES'!#REF!,"AAAAADt6+z8=")</f>
        <v>#REF!</v>
      </c>
      <c r="BM178" t="e">
        <f>AND('OTRAS ACCIONES'!#REF!,"AAAAADt6+0A=")</f>
        <v>#REF!</v>
      </c>
      <c r="BN178" t="e">
        <f>AND('OTRAS ACCIONES'!#REF!,"AAAAADt6+0E=")</f>
        <v>#REF!</v>
      </c>
      <c r="BO178" t="e">
        <f>AND('OTRAS ACCIONES'!#REF!,"AAAAADt6+0I=")</f>
        <v>#REF!</v>
      </c>
      <c r="BP178" t="e">
        <f>AND('OTRAS ACCIONES'!#REF!,"AAAAADt6+0M=")</f>
        <v>#REF!</v>
      </c>
      <c r="BQ178" t="e">
        <f>AND('OTRAS ACCIONES'!#REF!,"AAAAADt6+0Q=")</f>
        <v>#REF!</v>
      </c>
      <c r="BR178" t="e">
        <f>AND('OTRAS ACCIONES'!#REF!,"AAAAADt6+0U=")</f>
        <v>#REF!</v>
      </c>
      <c r="BS178" t="e">
        <f>AND('OTRAS ACCIONES'!#REF!,"AAAAADt6+0Y=")</f>
        <v>#REF!</v>
      </c>
      <c r="BT178" t="e">
        <f>AND('OTRAS ACCIONES'!#REF!,"AAAAADt6+0c=")</f>
        <v>#REF!</v>
      </c>
      <c r="BU178" t="e">
        <f>AND('OTRAS ACCIONES'!#REF!,"AAAAADt6+0g=")</f>
        <v>#REF!</v>
      </c>
      <c r="BV178" t="e">
        <f>AND('OTRAS ACCIONES'!#REF!,"AAAAADt6+0k=")</f>
        <v>#REF!</v>
      </c>
      <c r="BW178" t="e">
        <f>AND('OTRAS ACCIONES'!#REF!,"AAAAADt6+0o=")</f>
        <v>#REF!</v>
      </c>
      <c r="BX178" t="e">
        <f>AND('OTRAS ACCIONES'!#REF!,"AAAAADt6+0s=")</f>
        <v>#REF!</v>
      </c>
      <c r="BY178" t="e">
        <f>AND('OTRAS ACCIONES'!#REF!,"AAAAADt6+0w=")</f>
        <v>#REF!</v>
      </c>
      <c r="BZ178" t="e">
        <f>IF('OTRAS ACCIONES'!#REF!,"AAAAADt6+00=",0)</f>
        <v>#REF!</v>
      </c>
      <c r="CA178" t="e">
        <f>AND('OTRAS ACCIONES'!#REF!,"AAAAADt6+04=")</f>
        <v>#REF!</v>
      </c>
      <c r="CB178" t="e">
        <f>AND('OTRAS ACCIONES'!#REF!,"AAAAADt6+08=")</f>
        <v>#REF!</v>
      </c>
      <c r="CC178" t="e">
        <f>AND('OTRAS ACCIONES'!#REF!,"AAAAADt6+1A=")</f>
        <v>#REF!</v>
      </c>
      <c r="CD178" t="e">
        <f>AND('OTRAS ACCIONES'!#REF!,"AAAAADt6+1E=")</f>
        <v>#REF!</v>
      </c>
      <c r="CE178" t="e">
        <f>AND('OTRAS ACCIONES'!#REF!,"AAAAADt6+1I=")</f>
        <v>#REF!</v>
      </c>
      <c r="CF178" t="e">
        <f>AND('OTRAS ACCIONES'!#REF!,"AAAAADt6+1M=")</f>
        <v>#REF!</v>
      </c>
      <c r="CG178" t="e">
        <f>AND('OTRAS ACCIONES'!#REF!,"AAAAADt6+1Q=")</f>
        <v>#REF!</v>
      </c>
      <c r="CH178" t="e">
        <f>AND('OTRAS ACCIONES'!#REF!,"AAAAADt6+1U=")</f>
        <v>#REF!</v>
      </c>
      <c r="CI178" t="e">
        <f>AND('OTRAS ACCIONES'!#REF!,"AAAAADt6+1Y=")</f>
        <v>#REF!</v>
      </c>
      <c r="CJ178" t="e">
        <f>AND('OTRAS ACCIONES'!#REF!,"AAAAADt6+1c=")</f>
        <v>#REF!</v>
      </c>
      <c r="CK178" t="e">
        <f>AND('OTRAS ACCIONES'!#REF!,"AAAAADt6+1g=")</f>
        <v>#REF!</v>
      </c>
      <c r="CL178" t="e">
        <f>AND('OTRAS ACCIONES'!#REF!,"AAAAADt6+1k=")</f>
        <v>#REF!</v>
      </c>
      <c r="CM178" t="e">
        <f>AND('OTRAS ACCIONES'!#REF!,"AAAAADt6+1o=")</f>
        <v>#REF!</v>
      </c>
      <c r="CN178" t="e">
        <f>AND('OTRAS ACCIONES'!#REF!,"AAAAADt6+1s=")</f>
        <v>#REF!</v>
      </c>
      <c r="CO178" t="e">
        <f>AND('OTRAS ACCIONES'!#REF!,"AAAAADt6+1w=")</f>
        <v>#REF!</v>
      </c>
      <c r="CP178" t="e">
        <f>AND('OTRAS ACCIONES'!#REF!,"AAAAADt6+10=")</f>
        <v>#REF!</v>
      </c>
      <c r="CQ178" t="e">
        <f>AND('OTRAS ACCIONES'!#REF!,"AAAAADt6+14=")</f>
        <v>#REF!</v>
      </c>
      <c r="CR178" t="e">
        <f>IF('OTRAS ACCIONES'!#REF!,"AAAAADt6+18=",0)</f>
        <v>#REF!</v>
      </c>
      <c r="CS178" t="e">
        <f>AND('OTRAS ACCIONES'!#REF!,"AAAAADt6+2A=")</f>
        <v>#REF!</v>
      </c>
      <c r="CT178" t="e">
        <f>AND('OTRAS ACCIONES'!#REF!,"AAAAADt6+2E=")</f>
        <v>#REF!</v>
      </c>
      <c r="CU178" t="e">
        <f>AND('OTRAS ACCIONES'!#REF!,"AAAAADt6+2I=")</f>
        <v>#REF!</v>
      </c>
      <c r="CV178" t="e">
        <f>AND('OTRAS ACCIONES'!#REF!,"AAAAADt6+2M=")</f>
        <v>#REF!</v>
      </c>
      <c r="CW178" t="e">
        <f>AND('OTRAS ACCIONES'!#REF!,"AAAAADt6+2Q=")</f>
        <v>#REF!</v>
      </c>
      <c r="CX178" t="e">
        <f>AND('OTRAS ACCIONES'!#REF!,"AAAAADt6+2U=")</f>
        <v>#REF!</v>
      </c>
      <c r="CY178" t="e">
        <f>AND('OTRAS ACCIONES'!#REF!,"AAAAADt6+2Y=")</f>
        <v>#REF!</v>
      </c>
      <c r="CZ178" t="e">
        <f>AND('OTRAS ACCIONES'!#REF!,"AAAAADt6+2c=")</f>
        <v>#REF!</v>
      </c>
      <c r="DA178" t="e">
        <f>AND('OTRAS ACCIONES'!#REF!,"AAAAADt6+2g=")</f>
        <v>#REF!</v>
      </c>
      <c r="DB178" t="e">
        <f>AND('OTRAS ACCIONES'!#REF!,"AAAAADt6+2k=")</f>
        <v>#REF!</v>
      </c>
      <c r="DC178" t="e">
        <f>AND('OTRAS ACCIONES'!#REF!,"AAAAADt6+2o=")</f>
        <v>#REF!</v>
      </c>
      <c r="DD178" t="e">
        <f>AND('OTRAS ACCIONES'!#REF!,"AAAAADt6+2s=")</f>
        <v>#REF!</v>
      </c>
      <c r="DE178" t="e">
        <f>AND('OTRAS ACCIONES'!#REF!,"AAAAADt6+2w=")</f>
        <v>#REF!</v>
      </c>
      <c r="DF178" t="e">
        <f>AND('OTRAS ACCIONES'!#REF!,"AAAAADt6+20=")</f>
        <v>#REF!</v>
      </c>
      <c r="DG178" t="e">
        <f>AND('OTRAS ACCIONES'!#REF!,"AAAAADt6+24=")</f>
        <v>#REF!</v>
      </c>
      <c r="DH178" t="e">
        <f>AND('OTRAS ACCIONES'!#REF!,"AAAAADt6+28=")</f>
        <v>#REF!</v>
      </c>
      <c r="DI178" t="e">
        <f>AND('OTRAS ACCIONES'!#REF!,"AAAAADt6+3A=")</f>
        <v>#REF!</v>
      </c>
      <c r="DJ178" t="e">
        <f>IF('OTRAS ACCIONES'!#REF!,"AAAAADt6+3E=",0)</f>
        <v>#REF!</v>
      </c>
      <c r="DK178" t="e">
        <f>AND('OTRAS ACCIONES'!#REF!,"AAAAADt6+3I=")</f>
        <v>#REF!</v>
      </c>
      <c r="DL178" t="e">
        <f>AND('OTRAS ACCIONES'!#REF!,"AAAAADt6+3M=")</f>
        <v>#REF!</v>
      </c>
      <c r="DM178" t="e">
        <f>AND('OTRAS ACCIONES'!#REF!,"AAAAADt6+3Q=")</f>
        <v>#REF!</v>
      </c>
      <c r="DN178" t="e">
        <f>AND('OTRAS ACCIONES'!#REF!,"AAAAADt6+3U=")</f>
        <v>#REF!</v>
      </c>
      <c r="DO178" t="e">
        <f>AND('OTRAS ACCIONES'!#REF!,"AAAAADt6+3Y=")</f>
        <v>#REF!</v>
      </c>
      <c r="DP178" t="e">
        <f>AND('OTRAS ACCIONES'!#REF!,"AAAAADt6+3c=")</f>
        <v>#REF!</v>
      </c>
      <c r="DQ178" t="e">
        <f>AND('OTRAS ACCIONES'!#REF!,"AAAAADt6+3g=")</f>
        <v>#REF!</v>
      </c>
      <c r="DR178" t="e">
        <f>AND('OTRAS ACCIONES'!#REF!,"AAAAADt6+3k=")</f>
        <v>#REF!</v>
      </c>
      <c r="DS178" t="e">
        <f>AND('OTRAS ACCIONES'!#REF!,"AAAAADt6+3o=")</f>
        <v>#REF!</v>
      </c>
      <c r="DT178" t="e">
        <f>AND('OTRAS ACCIONES'!#REF!,"AAAAADt6+3s=")</f>
        <v>#REF!</v>
      </c>
      <c r="DU178" t="e">
        <f>AND('OTRAS ACCIONES'!#REF!,"AAAAADt6+3w=")</f>
        <v>#REF!</v>
      </c>
      <c r="DV178" t="e">
        <f>AND('OTRAS ACCIONES'!#REF!,"AAAAADt6+30=")</f>
        <v>#REF!</v>
      </c>
      <c r="DW178" t="e">
        <f>AND('OTRAS ACCIONES'!#REF!,"AAAAADt6+34=")</f>
        <v>#REF!</v>
      </c>
      <c r="DX178" t="e">
        <f>AND('OTRAS ACCIONES'!#REF!,"AAAAADt6+38=")</f>
        <v>#REF!</v>
      </c>
      <c r="DY178" t="e">
        <f>AND('OTRAS ACCIONES'!#REF!,"AAAAADt6+4A=")</f>
        <v>#REF!</v>
      </c>
      <c r="DZ178" t="e">
        <f>AND('OTRAS ACCIONES'!#REF!,"AAAAADt6+4E=")</f>
        <v>#REF!</v>
      </c>
      <c r="EA178" t="e">
        <f>AND('OTRAS ACCIONES'!#REF!,"AAAAADt6+4I=")</f>
        <v>#REF!</v>
      </c>
      <c r="EB178" t="e">
        <f>IF('OTRAS ACCIONES'!#REF!,"AAAAADt6+4M=",0)</f>
        <v>#REF!</v>
      </c>
      <c r="EC178" t="e">
        <f>AND('OTRAS ACCIONES'!#REF!,"AAAAADt6+4Q=")</f>
        <v>#REF!</v>
      </c>
      <c r="ED178" t="e">
        <f>AND('OTRAS ACCIONES'!#REF!,"AAAAADt6+4U=")</f>
        <v>#REF!</v>
      </c>
      <c r="EE178" t="e">
        <f>AND('OTRAS ACCIONES'!#REF!,"AAAAADt6+4Y=")</f>
        <v>#REF!</v>
      </c>
      <c r="EF178" t="e">
        <f>AND('OTRAS ACCIONES'!#REF!,"AAAAADt6+4c=")</f>
        <v>#REF!</v>
      </c>
      <c r="EG178" t="e">
        <f>AND('OTRAS ACCIONES'!#REF!,"AAAAADt6+4g=")</f>
        <v>#REF!</v>
      </c>
      <c r="EH178" t="e">
        <f>AND('OTRAS ACCIONES'!#REF!,"AAAAADt6+4k=")</f>
        <v>#REF!</v>
      </c>
      <c r="EI178" t="e">
        <f>AND('OTRAS ACCIONES'!#REF!,"AAAAADt6+4o=")</f>
        <v>#REF!</v>
      </c>
      <c r="EJ178" t="e">
        <f>AND('OTRAS ACCIONES'!#REF!,"AAAAADt6+4s=")</f>
        <v>#REF!</v>
      </c>
      <c r="EK178" t="e">
        <f>AND('OTRAS ACCIONES'!#REF!,"AAAAADt6+4w=")</f>
        <v>#REF!</v>
      </c>
      <c r="EL178" t="e">
        <f>AND('OTRAS ACCIONES'!#REF!,"AAAAADt6+40=")</f>
        <v>#REF!</v>
      </c>
      <c r="EM178" t="e">
        <f>AND('OTRAS ACCIONES'!#REF!,"AAAAADt6+44=")</f>
        <v>#REF!</v>
      </c>
      <c r="EN178" t="e">
        <f>AND('OTRAS ACCIONES'!#REF!,"AAAAADt6+48=")</f>
        <v>#REF!</v>
      </c>
      <c r="EO178" t="e">
        <f>AND('OTRAS ACCIONES'!#REF!,"AAAAADt6+5A=")</f>
        <v>#REF!</v>
      </c>
      <c r="EP178" t="e">
        <f>AND('OTRAS ACCIONES'!#REF!,"AAAAADt6+5E=")</f>
        <v>#REF!</v>
      </c>
      <c r="EQ178" t="e">
        <f>AND('OTRAS ACCIONES'!#REF!,"AAAAADt6+5I=")</f>
        <v>#REF!</v>
      </c>
      <c r="ER178" t="e">
        <f>AND('OTRAS ACCIONES'!#REF!,"AAAAADt6+5M=")</f>
        <v>#REF!</v>
      </c>
      <c r="ES178" t="e">
        <f>AND('OTRAS ACCIONES'!#REF!,"AAAAADt6+5Q=")</f>
        <v>#REF!</v>
      </c>
      <c r="ET178" t="e">
        <f>IF('OTRAS ACCIONES'!#REF!,"AAAAADt6+5U=",0)</f>
        <v>#REF!</v>
      </c>
      <c r="EU178" t="e">
        <f>AND('OTRAS ACCIONES'!#REF!,"AAAAADt6+5Y=")</f>
        <v>#REF!</v>
      </c>
      <c r="EV178" t="e">
        <f>AND('OTRAS ACCIONES'!#REF!,"AAAAADt6+5c=")</f>
        <v>#REF!</v>
      </c>
      <c r="EW178" t="e">
        <f>AND('OTRAS ACCIONES'!#REF!,"AAAAADt6+5g=")</f>
        <v>#REF!</v>
      </c>
      <c r="EX178" t="e">
        <f>AND('OTRAS ACCIONES'!#REF!,"AAAAADt6+5k=")</f>
        <v>#REF!</v>
      </c>
      <c r="EY178" t="e">
        <f>AND('OTRAS ACCIONES'!#REF!,"AAAAADt6+5o=")</f>
        <v>#REF!</v>
      </c>
      <c r="EZ178" t="e">
        <f>AND('OTRAS ACCIONES'!#REF!,"AAAAADt6+5s=")</f>
        <v>#REF!</v>
      </c>
      <c r="FA178" t="e">
        <f>AND('OTRAS ACCIONES'!#REF!,"AAAAADt6+5w=")</f>
        <v>#REF!</v>
      </c>
      <c r="FB178" t="e">
        <f>AND('OTRAS ACCIONES'!#REF!,"AAAAADt6+50=")</f>
        <v>#REF!</v>
      </c>
      <c r="FC178" t="e">
        <f>AND('OTRAS ACCIONES'!#REF!,"AAAAADt6+54=")</f>
        <v>#REF!</v>
      </c>
      <c r="FD178" t="e">
        <f>AND('OTRAS ACCIONES'!#REF!,"AAAAADt6+58=")</f>
        <v>#REF!</v>
      </c>
      <c r="FE178" t="e">
        <f>AND('OTRAS ACCIONES'!#REF!,"AAAAADt6+6A=")</f>
        <v>#REF!</v>
      </c>
      <c r="FF178" t="e">
        <f>AND('OTRAS ACCIONES'!#REF!,"AAAAADt6+6E=")</f>
        <v>#REF!</v>
      </c>
      <c r="FG178" t="e">
        <f>AND('OTRAS ACCIONES'!#REF!,"AAAAADt6+6I=")</f>
        <v>#REF!</v>
      </c>
      <c r="FH178" t="e">
        <f>AND('OTRAS ACCIONES'!#REF!,"AAAAADt6+6M=")</f>
        <v>#REF!</v>
      </c>
      <c r="FI178" t="e">
        <f>AND('OTRAS ACCIONES'!#REF!,"AAAAADt6+6Q=")</f>
        <v>#REF!</v>
      </c>
      <c r="FJ178" t="e">
        <f>AND('OTRAS ACCIONES'!#REF!,"AAAAADt6+6U=")</f>
        <v>#REF!</v>
      </c>
      <c r="FK178" t="e">
        <f>AND('OTRAS ACCIONES'!#REF!,"AAAAADt6+6Y=")</f>
        <v>#REF!</v>
      </c>
      <c r="FL178">
        <f>IF('OTRAS ACCIONES'!16:16,"AAAAADt6+6c=",0)</f>
        <v>0</v>
      </c>
      <c r="FM178" t="e">
        <f>AND('OTRAS ACCIONES'!B16,"AAAAADt6+6g=")</f>
        <v>#VALUE!</v>
      </c>
      <c r="FN178" t="e">
        <f>AND('OTRAS ACCIONES'!C16,"AAAAADt6+6k=")</f>
        <v>#VALUE!</v>
      </c>
      <c r="FO178" t="e">
        <f>AND('OTRAS ACCIONES'!D16,"AAAAADt6+6o=")</f>
        <v>#VALUE!</v>
      </c>
      <c r="FP178" t="e">
        <f>AND('OTRAS ACCIONES'!E16,"AAAAADt6+6s=")</f>
        <v>#VALUE!</v>
      </c>
      <c r="FQ178" t="e">
        <f>AND('OTRAS ACCIONES'!F16,"AAAAADt6+6w=")</f>
        <v>#VALUE!</v>
      </c>
      <c r="FR178" t="e">
        <f>AND('OTRAS ACCIONES'!G16,"AAAAADt6+60=")</f>
        <v>#VALUE!</v>
      </c>
      <c r="FS178" t="e">
        <f>AND('OTRAS ACCIONES'!H16,"AAAAADt6+64=")</f>
        <v>#VALUE!</v>
      </c>
      <c r="FT178" t="e">
        <f>AND('OTRAS ACCIONES'!I16,"AAAAADt6+68=")</f>
        <v>#VALUE!</v>
      </c>
      <c r="FU178" t="e">
        <f>AND('OTRAS ACCIONES'!J16,"AAAAADt6+7A=")</f>
        <v>#VALUE!</v>
      </c>
      <c r="FV178" t="e">
        <f>AND('OTRAS ACCIONES'!K16,"AAAAADt6+7E=")</f>
        <v>#VALUE!</v>
      </c>
      <c r="FW178" t="e">
        <f>AND('OTRAS ACCIONES'!L16,"AAAAADt6+7I=")</f>
        <v>#VALUE!</v>
      </c>
      <c r="FX178" t="e">
        <f>AND('OTRAS ACCIONES'!M16,"AAAAADt6+7M=")</f>
        <v>#VALUE!</v>
      </c>
      <c r="FY178" t="e">
        <f>AND('OTRAS ACCIONES'!N16,"AAAAADt6+7Q=")</f>
        <v>#VALUE!</v>
      </c>
      <c r="FZ178" t="e">
        <f>AND('OTRAS ACCIONES'!O16,"AAAAADt6+7U=")</f>
        <v>#VALUE!</v>
      </c>
      <c r="GA178" t="e">
        <f>AND('OTRAS ACCIONES'!P16,"AAAAADt6+7Y=")</f>
        <v>#VALUE!</v>
      </c>
      <c r="GB178" t="e">
        <f>AND('OTRAS ACCIONES'!Q16,"AAAAADt6+7c=")</f>
        <v>#VALUE!</v>
      </c>
      <c r="GC178" t="e">
        <f>AND('OTRAS ACCIONES'!R16,"AAAAADt6+7g=")</f>
        <v>#VALUE!</v>
      </c>
      <c r="GD178" t="e">
        <f>IF('OTRAS ACCIONES'!#REF!,"AAAAADt6+7k=",0)</f>
        <v>#REF!</v>
      </c>
      <c r="GE178" t="e">
        <f>AND('OTRAS ACCIONES'!#REF!,"AAAAADt6+7o=")</f>
        <v>#REF!</v>
      </c>
      <c r="GF178" t="e">
        <f>AND('OTRAS ACCIONES'!#REF!,"AAAAADt6+7s=")</f>
        <v>#REF!</v>
      </c>
      <c r="GG178" t="e">
        <f>AND('OTRAS ACCIONES'!#REF!,"AAAAADt6+7w=")</f>
        <v>#REF!</v>
      </c>
      <c r="GH178" t="e">
        <f>AND('OTRAS ACCIONES'!#REF!,"AAAAADt6+70=")</f>
        <v>#REF!</v>
      </c>
      <c r="GI178" t="e">
        <f>AND('OTRAS ACCIONES'!#REF!,"AAAAADt6+74=")</f>
        <v>#REF!</v>
      </c>
      <c r="GJ178" t="e">
        <f>AND('OTRAS ACCIONES'!#REF!,"AAAAADt6+78=")</f>
        <v>#REF!</v>
      </c>
      <c r="GK178" t="e">
        <f>AND('OTRAS ACCIONES'!#REF!,"AAAAADt6+8A=")</f>
        <v>#REF!</v>
      </c>
      <c r="GL178" t="e">
        <f>AND('OTRAS ACCIONES'!#REF!,"AAAAADt6+8E=")</f>
        <v>#REF!</v>
      </c>
      <c r="GM178" t="e">
        <f>AND('OTRAS ACCIONES'!#REF!,"AAAAADt6+8I=")</f>
        <v>#REF!</v>
      </c>
      <c r="GN178" t="e">
        <f>AND('OTRAS ACCIONES'!#REF!,"AAAAADt6+8M=")</f>
        <v>#REF!</v>
      </c>
      <c r="GO178" t="e">
        <f>AND('OTRAS ACCIONES'!#REF!,"AAAAADt6+8Q=")</f>
        <v>#REF!</v>
      </c>
      <c r="GP178" t="e">
        <f>AND('OTRAS ACCIONES'!#REF!,"AAAAADt6+8U=")</f>
        <v>#REF!</v>
      </c>
      <c r="GQ178" t="e">
        <f>AND('OTRAS ACCIONES'!#REF!,"AAAAADt6+8Y=")</f>
        <v>#REF!</v>
      </c>
      <c r="GR178" t="e">
        <f>AND('OTRAS ACCIONES'!#REF!,"AAAAADt6+8c=")</f>
        <v>#REF!</v>
      </c>
      <c r="GS178" t="e">
        <f>AND('OTRAS ACCIONES'!#REF!,"AAAAADt6+8g=")</f>
        <v>#REF!</v>
      </c>
      <c r="GT178" t="e">
        <f>AND('OTRAS ACCIONES'!#REF!,"AAAAADt6+8k=")</f>
        <v>#REF!</v>
      </c>
      <c r="GU178" t="e">
        <f>AND('OTRAS ACCIONES'!#REF!,"AAAAADt6+8o=")</f>
        <v>#REF!</v>
      </c>
      <c r="GV178" t="e">
        <f>IF('OTRAS ACCIONES'!#REF!,"AAAAADt6+8s=",0)</f>
        <v>#REF!</v>
      </c>
      <c r="GW178" t="e">
        <f>AND('OTRAS ACCIONES'!#REF!,"AAAAADt6+8w=")</f>
        <v>#REF!</v>
      </c>
      <c r="GX178" t="e">
        <f>AND('OTRAS ACCIONES'!#REF!,"AAAAADt6+80=")</f>
        <v>#REF!</v>
      </c>
      <c r="GY178" t="e">
        <f>AND('OTRAS ACCIONES'!#REF!,"AAAAADt6+84=")</f>
        <v>#REF!</v>
      </c>
      <c r="GZ178" t="e">
        <f>AND('OTRAS ACCIONES'!#REF!,"AAAAADt6+88=")</f>
        <v>#REF!</v>
      </c>
      <c r="HA178" t="e">
        <f>AND('OTRAS ACCIONES'!#REF!,"AAAAADt6+9A=")</f>
        <v>#REF!</v>
      </c>
      <c r="HB178" t="e">
        <f>AND('OTRAS ACCIONES'!#REF!,"AAAAADt6+9E=")</f>
        <v>#REF!</v>
      </c>
      <c r="HC178" t="e">
        <f>AND('OTRAS ACCIONES'!#REF!,"AAAAADt6+9I=")</f>
        <v>#REF!</v>
      </c>
      <c r="HD178" t="e">
        <f>AND('OTRAS ACCIONES'!#REF!,"AAAAADt6+9M=")</f>
        <v>#REF!</v>
      </c>
      <c r="HE178" t="e">
        <f>AND('OTRAS ACCIONES'!#REF!,"AAAAADt6+9Q=")</f>
        <v>#REF!</v>
      </c>
      <c r="HF178" t="e">
        <f>AND('OTRAS ACCIONES'!#REF!,"AAAAADt6+9U=")</f>
        <v>#REF!</v>
      </c>
      <c r="HG178" t="e">
        <f>AND('OTRAS ACCIONES'!#REF!,"AAAAADt6+9Y=")</f>
        <v>#REF!</v>
      </c>
      <c r="HH178" t="e">
        <f>AND('OTRAS ACCIONES'!#REF!,"AAAAADt6+9c=")</f>
        <v>#REF!</v>
      </c>
      <c r="HI178" t="e">
        <f>AND('OTRAS ACCIONES'!#REF!,"AAAAADt6+9g=")</f>
        <v>#REF!</v>
      </c>
      <c r="HJ178" t="e">
        <f>AND('OTRAS ACCIONES'!#REF!,"AAAAADt6+9k=")</f>
        <v>#REF!</v>
      </c>
      <c r="HK178" t="e">
        <f>AND('OTRAS ACCIONES'!#REF!,"AAAAADt6+9o=")</f>
        <v>#REF!</v>
      </c>
      <c r="HL178" t="e">
        <f>AND('OTRAS ACCIONES'!#REF!,"AAAAADt6+9s=")</f>
        <v>#REF!</v>
      </c>
      <c r="HM178" t="e">
        <f>AND('OTRAS ACCIONES'!#REF!,"AAAAADt6+9w=")</f>
        <v>#REF!</v>
      </c>
      <c r="HN178" t="e">
        <f>IF('OTRAS ACCIONES'!#REF!,"AAAAADt6+90=",0)</f>
        <v>#REF!</v>
      </c>
      <c r="HO178" t="e">
        <f>AND('OTRAS ACCIONES'!#REF!,"AAAAADt6+94=")</f>
        <v>#REF!</v>
      </c>
      <c r="HP178" t="e">
        <f>AND('OTRAS ACCIONES'!#REF!,"AAAAADt6+98=")</f>
        <v>#REF!</v>
      </c>
      <c r="HQ178" t="e">
        <f>AND('OTRAS ACCIONES'!#REF!,"AAAAADt6++A=")</f>
        <v>#REF!</v>
      </c>
      <c r="HR178" t="e">
        <f>AND('OTRAS ACCIONES'!#REF!,"AAAAADt6++E=")</f>
        <v>#REF!</v>
      </c>
      <c r="HS178" t="e">
        <f>AND('OTRAS ACCIONES'!#REF!,"AAAAADt6++I=")</f>
        <v>#REF!</v>
      </c>
      <c r="HT178" t="e">
        <f>AND('OTRAS ACCIONES'!#REF!,"AAAAADt6++M=")</f>
        <v>#REF!</v>
      </c>
      <c r="HU178" t="e">
        <f>AND('OTRAS ACCIONES'!#REF!,"AAAAADt6++Q=")</f>
        <v>#REF!</v>
      </c>
      <c r="HV178" t="e">
        <f>AND('OTRAS ACCIONES'!#REF!,"AAAAADt6++U=")</f>
        <v>#REF!</v>
      </c>
      <c r="HW178" t="e">
        <f>AND('OTRAS ACCIONES'!#REF!,"AAAAADt6++Y=")</f>
        <v>#REF!</v>
      </c>
      <c r="HX178" t="e">
        <f>AND('OTRAS ACCIONES'!#REF!,"AAAAADt6++c=")</f>
        <v>#REF!</v>
      </c>
      <c r="HY178" t="e">
        <f>AND('OTRAS ACCIONES'!#REF!,"AAAAADt6++g=")</f>
        <v>#REF!</v>
      </c>
      <c r="HZ178" t="e">
        <f>AND('OTRAS ACCIONES'!#REF!,"AAAAADt6++k=")</f>
        <v>#REF!</v>
      </c>
      <c r="IA178" t="e">
        <f>AND('OTRAS ACCIONES'!#REF!,"AAAAADt6++o=")</f>
        <v>#REF!</v>
      </c>
      <c r="IB178" t="e">
        <f>AND('OTRAS ACCIONES'!#REF!,"AAAAADt6++s=")</f>
        <v>#REF!</v>
      </c>
      <c r="IC178" t="e">
        <f>AND('OTRAS ACCIONES'!#REF!,"AAAAADt6++w=")</f>
        <v>#REF!</v>
      </c>
      <c r="ID178" t="e">
        <f>AND('OTRAS ACCIONES'!#REF!,"AAAAADt6++0=")</f>
        <v>#REF!</v>
      </c>
      <c r="IE178" t="e">
        <f>AND('OTRAS ACCIONES'!#REF!,"AAAAADt6++4=")</f>
        <v>#REF!</v>
      </c>
      <c r="IF178" t="e">
        <f>IF('OTRAS ACCIONES'!#REF!,"AAAAADt6++8=",0)</f>
        <v>#REF!</v>
      </c>
      <c r="IG178" t="e">
        <f>AND('OTRAS ACCIONES'!#REF!,"AAAAADt6+/A=")</f>
        <v>#REF!</v>
      </c>
      <c r="IH178" t="e">
        <f>AND('OTRAS ACCIONES'!#REF!,"AAAAADt6+/E=")</f>
        <v>#REF!</v>
      </c>
      <c r="II178" t="e">
        <f>AND('OTRAS ACCIONES'!#REF!,"AAAAADt6+/I=")</f>
        <v>#REF!</v>
      </c>
      <c r="IJ178" t="e">
        <f>AND('OTRAS ACCIONES'!#REF!,"AAAAADt6+/M=")</f>
        <v>#REF!</v>
      </c>
      <c r="IK178" t="e">
        <f>AND('OTRAS ACCIONES'!#REF!,"AAAAADt6+/Q=")</f>
        <v>#REF!</v>
      </c>
      <c r="IL178" t="e">
        <f>AND('OTRAS ACCIONES'!#REF!,"AAAAADt6+/U=")</f>
        <v>#REF!</v>
      </c>
      <c r="IM178" t="e">
        <f>AND('OTRAS ACCIONES'!#REF!,"AAAAADt6+/Y=")</f>
        <v>#REF!</v>
      </c>
      <c r="IN178" t="e">
        <f>AND('OTRAS ACCIONES'!#REF!,"AAAAADt6+/c=")</f>
        <v>#REF!</v>
      </c>
      <c r="IO178" t="e">
        <f>AND('OTRAS ACCIONES'!#REF!,"AAAAADt6+/g=")</f>
        <v>#REF!</v>
      </c>
      <c r="IP178" t="e">
        <f>AND('OTRAS ACCIONES'!#REF!,"AAAAADt6+/k=")</f>
        <v>#REF!</v>
      </c>
      <c r="IQ178" t="e">
        <f>AND('OTRAS ACCIONES'!#REF!,"AAAAADt6+/o=")</f>
        <v>#REF!</v>
      </c>
      <c r="IR178" t="e">
        <f>AND('OTRAS ACCIONES'!#REF!,"AAAAADt6+/s=")</f>
        <v>#REF!</v>
      </c>
      <c r="IS178" t="e">
        <f>AND('OTRAS ACCIONES'!#REF!,"AAAAADt6+/w=")</f>
        <v>#REF!</v>
      </c>
      <c r="IT178" t="e">
        <f>AND('OTRAS ACCIONES'!#REF!,"AAAAADt6+/0=")</f>
        <v>#REF!</v>
      </c>
      <c r="IU178" t="e">
        <f>AND('OTRAS ACCIONES'!#REF!,"AAAAADt6+/4=")</f>
        <v>#REF!</v>
      </c>
      <c r="IV178" t="e">
        <f>AND('OTRAS ACCIONES'!#REF!,"AAAAADt6+/8=")</f>
        <v>#REF!</v>
      </c>
    </row>
    <row r="179" spans="1:256" x14ac:dyDescent="0.2">
      <c r="A179" t="e">
        <f>AND('OTRAS ACCIONES'!#REF!,"AAAAAFI/2QA=")</f>
        <v>#REF!</v>
      </c>
      <c r="B179" t="e">
        <f>IF('OTRAS ACCIONES'!#REF!,"AAAAAFI/2QE=",0)</f>
        <v>#REF!</v>
      </c>
      <c r="C179" t="e">
        <f>AND('OTRAS ACCIONES'!#REF!,"AAAAAFI/2QI=")</f>
        <v>#REF!</v>
      </c>
      <c r="D179" t="e">
        <f>AND('OTRAS ACCIONES'!#REF!,"AAAAAFI/2QM=")</f>
        <v>#REF!</v>
      </c>
      <c r="E179" t="e">
        <f>AND('OTRAS ACCIONES'!#REF!,"AAAAAFI/2QQ=")</f>
        <v>#REF!</v>
      </c>
      <c r="F179" t="e">
        <f>AND('OTRAS ACCIONES'!#REF!,"AAAAAFI/2QU=")</f>
        <v>#REF!</v>
      </c>
      <c r="G179" t="e">
        <f>AND('OTRAS ACCIONES'!#REF!,"AAAAAFI/2QY=")</f>
        <v>#REF!</v>
      </c>
      <c r="H179" t="e">
        <f>AND('OTRAS ACCIONES'!#REF!,"AAAAAFI/2Qc=")</f>
        <v>#REF!</v>
      </c>
      <c r="I179" t="e">
        <f>AND('OTRAS ACCIONES'!#REF!,"AAAAAFI/2Qg=")</f>
        <v>#REF!</v>
      </c>
      <c r="J179" t="e">
        <f>AND('OTRAS ACCIONES'!#REF!,"AAAAAFI/2Qk=")</f>
        <v>#REF!</v>
      </c>
      <c r="K179" t="e">
        <f>AND('OTRAS ACCIONES'!#REF!,"AAAAAFI/2Qo=")</f>
        <v>#REF!</v>
      </c>
      <c r="L179" t="e">
        <f>AND('OTRAS ACCIONES'!#REF!,"AAAAAFI/2Qs=")</f>
        <v>#REF!</v>
      </c>
      <c r="M179" t="e">
        <f>AND('OTRAS ACCIONES'!#REF!,"AAAAAFI/2Qw=")</f>
        <v>#REF!</v>
      </c>
      <c r="N179" t="e">
        <f>AND('OTRAS ACCIONES'!#REF!,"AAAAAFI/2Q0=")</f>
        <v>#REF!</v>
      </c>
      <c r="O179" t="e">
        <f>AND('OTRAS ACCIONES'!#REF!,"AAAAAFI/2Q4=")</f>
        <v>#REF!</v>
      </c>
      <c r="P179" t="e">
        <f>AND('OTRAS ACCIONES'!#REF!,"AAAAAFI/2Q8=")</f>
        <v>#REF!</v>
      </c>
      <c r="Q179" t="e">
        <f>AND('OTRAS ACCIONES'!#REF!,"AAAAAFI/2RA=")</f>
        <v>#REF!</v>
      </c>
      <c r="R179" t="e">
        <f>AND('OTRAS ACCIONES'!#REF!,"AAAAAFI/2RE=")</f>
        <v>#REF!</v>
      </c>
      <c r="S179" t="e">
        <f>AND('OTRAS ACCIONES'!#REF!,"AAAAAFI/2RI=")</f>
        <v>#REF!</v>
      </c>
      <c r="T179">
        <f>IF('OTRAS ACCIONES'!18:18,"AAAAAFI/2RM=",0)</f>
        <v>0</v>
      </c>
      <c r="U179" t="e">
        <f>AND('OTRAS ACCIONES'!B18,"AAAAAFI/2RQ=")</f>
        <v>#VALUE!</v>
      </c>
      <c r="V179" t="e">
        <f>AND('OTRAS ACCIONES'!C18,"AAAAAFI/2RU=")</f>
        <v>#VALUE!</v>
      </c>
      <c r="W179" t="e">
        <f>AND('OTRAS ACCIONES'!D18,"AAAAAFI/2RY=")</f>
        <v>#VALUE!</v>
      </c>
      <c r="X179" t="e">
        <f>AND('OTRAS ACCIONES'!E18,"AAAAAFI/2Rc=")</f>
        <v>#VALUE!</v>
      </c>
      <c r="Y179" t="e">
        <f>AND('OTRAS ACCIONES'!F18,"AAAAAFI/2Rg=")</f>
        <v>#VALUE!</v>
      </c>
      <c r="Z179" t="e">
        <f>AND('OTRAS ACCIONES'!G18,"AAAAAFI/2Rk=")</f>
        <v>#VALUE!</v>
      </c>
      <c r="AA179" t="e">
        <f>AND('OTRAS ACCIONES'!H18,"AAAAAFI/2Ro=")</f>
        <v>#VALUE!</v>
      </c>
      <c r="AB179" t="e">
        <f>AND('OTRAS ACCIONES'!I18,"AAAAAFI/2Rs=")</f>
        <v>#VALUE!</v>
      </c>
      <c r="AC179" t="e">
        <f>AND('OTRAS ACCIONES'!J18,"AAAAAFI/2Rw=")</f>
        <v>#VALUE!</v>
      </c>
      <c r="AD179" t="e">
        <f>AND('OTRAS ACCIONES'!K18,"AAAAAFI/2R0=")</f>
        <v>#VALUE!</v>
      </c>
      <c r="AE179" t="e">
        <f>AND('OTRAS ACCIONES'!L18,"AAAAAFI/2R4=")</f>
        <v>#VALUE!</v>
      </c>
      <c r="AF179" t="e">
        <f>AND('OTRAS ACCIONES'!M18,"AAAAAFI/2R8=")</f>
        <v>#VALUE!</v>
      </c>
      <c r="AG179" t="e">
        <f>AND('OTRAS ACCIONES'!N18,"AAAAAFI/2SA=")</f>
        <v>#VALUE!</v>
      </c>
      <c r="AH179" t="e">
        <f>AND('OTRAS ACCIONES'!O18,"AAAAAFI/2SE=")</f>
        <v>#VALUE!</v>
      </c>
      <c r="AI179" t="e">
        <f>AND('OTRAS ACCIONES'!P18,"AAAAAFI/2SI=")</f>
        <v>#VALUE!</v>
      </c>
      <c r="AJ179" t="e">
        <f>AND('OTRAS ACCIONES'!Q18,"AAAAAFI/2SM=")</f>
        <v>#VALUE!</v>
      </c>
      <c r="AK179" t="e">
        <f>AND('OTRAS ACCIONES'!R18,"AAAAAFI/2SQ=")</f>
        <v>#VALUE!</v>
      </c>
      <c r="AL179">
        <f>IF('OTRAS ACCIONES'!23:23,"AAAAAFI/2SU=",0)</f>
        <v>0</v>
      </c>
      <c r="AM179" t="e">
        <f>AND('OTRAS ACCIONES'!B23,"AAAAAFI/2SY=")</f>
        <v>#VALUE!</v>
      </c>
      <c r="AN179" t="e">
        <f>AND('OTRAS ACCIONES'!C23,"AAAAAFI/2Sc=")</f>
        <v>#VALUE!</v>
      </c>
      <c r="AO179" t="e">
        <f>AND('OTRAS ACCIONES'!D23,"AAAAAFI/2Sg=")</f>
        <v>#VALUE!</v>
      </c>
      <c r="AP179" t="e">
        <f>AND('OTRAS ACCIONES'!E23,"AAAAAFI/2Sk=")</f>
        <v>#VALUE!</v>
      </c>
      <c r="AQ179" t="e">
        <f>AND('OTRAS ACCIONES'!F23,"AAAAAFI/2So=")</f>
        <v>#VALUE!</v>
      </c>
      <c r="AR179" t="e">
        <f>AND('OTRAS ACCIONES'!G23,"AAAAAFI/2Ss=")</f>
        <v>#VALUE!</v>
      </c>
      <c r="AS179" t="e">
        <f>AND('OTRAS ACCIONES'!H23,"AAAAAFI/2Sw=")</f>
        <v>#VALUE!</v>
      </c>
      <c r="AT179" t="e">
        <f>AND('OTRAS ACCIONES'!I23,"AAAAAFI/2S0=")</f>
        <v>#VALUE!</v>
      </c>
      <c r="AU179" t="e">
        <f>AND('OTRAS ACCIONES'!J23,"AAAAAFI/2S4=")</f>
        <v>#VALUE!</v>
      </c>
      <c r="AV179" t="e">
        <f>AND('OTRAS ACCIONES'!K23,"AAAAAFI/2S8=")</f>
        <v>#VALUE!</v>
      </c>
      <c r="AW179" t="e">
        <f>AND('OTRAS ACCIONES'!L23,"AAAAAFI/2TA=")</f>
        <v>#VALUE!</v>
      </c>
      <c r="AX179" t="e">
        <f>AND('OTRAS ACCIONES'!M23,"AAAAAFI/2TE=")</f>
        <v>#VALUE!</v>
      </c>
      <c r="AY179" t="e">
        <f>AND('OTRAS ACCIONES'!N23,"AAAAAFI/2TI=")</f>
        <v>#VALUE!</v>
      </c>
      <c r="AZ179" t="e">
        <f>AND('OTRAS ACCIONES'!O23,"AAAAAFI/2TM=")</f>
        <v>#VALUE!</v>
      </c>
      <c r="BA179" t="e">
        <f>AND('OTRAS ACCIONES'!P23,"AAAAAFI/2TQ=")</f>
        <v>#VALUE!</v>
      </c>
      <c r="BB179" t="e">
        <f>AND('OTRAS ACCIONES'!Q23,"AAAAAFI/2TU=")</f>
        <v>#VALUE!</v>
      </c>
      <c r="BC179" t="e">
        <f>AND('OTRAS ACCIONES'!R23,"AAAAAFI/2TY=")</f>
        <v>#VALUE!</v>
      </c>
      <c r="BD179" t="e">
        <f>IF('OTRAS ACCIONES'!#REF!,"AAAAAFI/2Tc=",0)</f>
        <v>#REF!</v>
      </c>
      <c r="BE179" t="e">
        <f>AND('OTRAS ACCIONES'!#REF!,"AAAAAFI/2Tg=")</f>
        <v>#REF!</v>
      </c>
      <c r="BF179" t="e">
        <f>AND('OTRAS ACCIONES'!#REF!,"AAAAAFI/2Tk=")</f>
        <v>#REF!</v>
      </c>
      <c r="BG179" t="e">
        <f>AND('OTRAS ACCIONES'!#REF!,"AAAAAFI/2To=")</f>
        <v>#REF!</v>
      </c>
      <c r="BH179" t="e">
        <f>AND('OTRAS ACCIONES'!#REF!,"AAAAAFI/2Ts=")</f>
        <v>#REF!</v>
      </c>
      <c r="BI179" t="e">
        <f>AND('OTRAS ACCIONES'!#REF!,"AAAAAFI/2Tw=")</f>
        <v>#REF!</v>
      </c>
      <c r="BJ179" t="e">
        <f>AND('OTRAS ACCIONES'!#REF!,"AAAAAFI/2T0=")</f>
        <v>#REF!</v>
      </c>
      <c r="BK179" t="e">
        <f>AND('OTRAS ACCIONES'!#REF!,"AAAAAFI/2T4=")</f>
        <v>#REF!</v>
      </c>
      <c r="BL179" t="e">
        <f>AND('OTRAS ACCIONES'!#REF!,"AAAAAFI/2T8=")</f>
        <v>#REF!</v>
      </c>
      <c r="BM179" t="e">
        <f>AND('OTRAS ACCIONES'!#REF!,"AAAAAFI/2UA=")</f>
        <v>#REF!</v>
      </c>
      <c r="BN179" t="e">
        <f>AND('OTRAS ACCIONES'!#REF!,"AAAAAFI/2UE=")</f>
        <v>#REF!</v>
      </c>
      <c r="BO179" t="e">
        <f>AND('OTRAS ACCIONES'!#REF!,"AAAAAFI/2UI=")</f>
        <v>#REF!</v>
      </c>
      <c r="BP179" t="e">
        <f>AND('OTRAS ACCIONES'!#REF!,"AAAAAFI/2UM=")</f>
        <v>#REF!</v>
      </c>
      <c r="BQ179" t="e">
        <f>AND('OTRAS ACCIONES'!#REF!,"AAAAAFI/2UQ=")</f>
        <v>#REF!</v>
      </c>
      <c r="BR179" t="e">
        <f>AND('OTRAS ACCIONES'!#REF!,"AAAAAFI/2UU=")</f>
        <v>#REF!</v>
      </c>
      <c r="BS179" t="e">
        <f>AND('OTRAS ACCIONES'!#REF!,"AAAAAFI/2UY=")</f>
        <v>#REF!</v>
      </c>
      <c r="BT179" t="e">
        <f>AND('OTRAS ACCIONES'!#REF!,"AAAAAFI/2Uc=")</f>
        <v>#REF!</v>
      </c>
      <c r="BU179" t="e">
        <f>AND('OTRAS ACCIONES'!#REF!,"AAAAAFI/2Ug=")</f>
        <v>#REF!</v>
      </c>
      <c r="BV179">
        <f>IF('OTRAS ACCIONES'!24:24,"AAAAAFI/2Uk=",0)</f>
        <v>0</v>
      </c>
      <c r="BW179" t="e">
        <f>AND('OTRAS ACCIONES'!B24,"AAAAAFI/2Uo=")</f>
        <v>#VALUE!</v>
      </c>
      <c r="BX179" t="e">
        <f>AND('OTRAS ACCIONES'!C24,"AAAAAFI/2Us=")</f>
        <v>#VALUE!</v>
      </c>
      <c r="BY179" t="e">
        <f>AND('OTRAS ACCIONES'!D24,"AAAAAFI/2Uw=")</f>
        <v>#VALUE!</v>
      </c>
      <c r="BZ179" t="e">
        <f>AND('OTRAS ACCIONES'!E24,"AAAAAFI/2U0=")</f>
        <v>#VALUE!</v>
      </c>
      <c r="CA179" t="e">
        <f>AND('OTRAS ACCIONES'!F24,"AAAAAFI/2U4=")</f>
        <v>#VALUE!</v>
      </c>
      <c r="CB179" t="e">
        <f>AND('OTRAS ACCIONES'!G24,"AAAAAFI/2U8=")</f>
        <v>#VALUE!</v>
      </c>
      <c r="CC179" t="e">
        <f>AND('OTRAS ACCIONES'!H24,"AAAAAFI/2VA=")</f>
        <v>#VALUE!</v>
      </c>
      <c r="CD179" t="e">
        <f>AND('OTRAS ACCIONES'!I24,"AAAAAFI/2VE=")</f>
        <v>#VALUE!</v>
      </c>
      <c r="CE179" t="e">
        <f>AND('OTRAS ACCIONES'!J24,"AAAAAFI/2VI=")</f>
        <v>#VALUE!</v>
      </c>
      <c r="CF179" t="e">
        <f>AND('OTRAS ACCIONES'!K24,"AAAAAFI/2VM=")</f>
        <v>#VALUE!</v>
      </c>
      <c r="CG179" t="e">
        <f>AND('OTRAS ACCIONES'!L24,"AAAAAFI/2VQ=")</f>
        <v>#VALUE!</v>
      </c>
      <c r="CH179" t="e">
        <f>AND('OTRAS ACCIONES'!M24,"AAAAAFI/2VU=")</f>
        <v>#VALUE!</v>
      </c>
      <c r="CI179" t="e">
        <f>AND('OTRAS ACCIONES'!N24,"AAAAAFI/2VY=")</f>
        <v>#VALUE!</v>
      </c>
      <c r="CJ179" t="e">
        <f>AND('OTRAS ACCIONES'!O24,"AAAAAFI/2Vc=")</f>
        <v>#VALUE!</v>
      </c>
      <c r="CK179" t="e">
        <f>AND('OTRAS ACCIONES'!P24,"AAAAAFI/2Vg=")</f>
        <v>#VALUE!</v>
      </c>
      <c r="CL179" t="e">
        <f>AND('OTRAS ACCIONES'!Q24,"AAAAAFI/2Vk=")</f>
        <v>#VALUE!</v>
      </c>
      <c r="CM179" t="e">
        <f>AND('OTRAS ACCIONES'!R24,"AAAAAFI/2Vo=")</f>
        <v>#VALUE!</v>
      </c>
      <c r="CN179" t="e">
        <f>IF('OTRAS ACCIONES'!#REF!,"AAAAAFI/2Vs=",0)</f>
        <v>#REF!</v>
      </c>
      <c r="CO179" t="e">
        <f>AND('OTRAS ACCIONES'!#REF!,"AAAAAFI/2Vw=")</f>
        <v>#REF!</v>
      </c>
      <c r="CP179" t="e">
        <f>AND('OTRAS ACCIONES'!#REF!,"AAAAAFI/2V0=")</f>
        <v>#REF!</v>
      </c>
      <c r="CQ179" t="e">
        <f>AND('OTRAS ACCIONES'!#REF!,"AAAAAFI/2V4=")</f>
        <v>#REF!</v>
      </c>
      <c r="CR179" t="e">
        <f>AND('OTRAS ACCIONES'!#REF!,"AAAAAFI/2V8=")</f>
        <v>#REF!</v>
      </c>
      <c r="CS179" t="e">
        <f>AND('OTRAS ACCIONES'!#REF!,"AAAAAFI/2WA=")</f>
        <v>#REF!</v>
      </c>
      <c r="CT179" t="e">
        <f>AND('OTRAS ACCIONES'!#REF!,"AAAAAFI/2WE=")</f>
        <v>#REF!</v>
      </c>
      <c r="CU179" t="e">
        <f>AND('OTRAS ACCIONES'!#REF!,"AAAAAFI/2WI=")</f>
        <v>#REF!</v>
      </c>
      <c r="CV179" t="e">
        <f>AND('OTRAS ACCIONES'!#REF!,"AAAAAFI/2WM=")</f>
        <v>#REF!</v>
      </c>
      <c r="CW179" t="e">
        <f>AND('OTRAS ACCIONES'!#REF!,"AAAAAFI/2WQ=")</f>
        <v>#REF!</v>
      </c>
      <c r="CX179" t="e">
        <f>AND('OTRAS ACCIONES'!#REF!,"AAAAAFI/2WU=")</f>
        <v>#REF!</v>
      </c>
      <c r="CY179" t="e">
        <f>AND('OTRAS ACCIONES'!#REF!,"AAAAAFI/2WY=")</f>
        <v>#REF!</v>
      </c>
      <c r="CZ179" t="e">
        <f>AND('OTRAS ACCIONES'!#REF!,"AAAAAFI/2Wc=")</f>
        <v>#REF!</v>
      </c>
      <c r="DA179" t="e">
        <f>AND('OTRAS ACCIONES'!#REF!,"AAAAAFI/2Wg=")</f>
        <v>#REF!</v>
      </c>
      <c r="DB179" t="e">
        <f>AND('OTRAS ACCIONES'!#REF!,"AAAAAFI/2Wk=")</f>
        <v>#REF!</v>
      </c>
      <c r="DC179" t="e">
        <f>AND('OTRAS ACCIONES'!#REF!,"AAAAAFI/2Wo=")</f>
        <v>#REF!</v>
      </c>
      <c r="DD179" t="e">
        <f>AND('OTRAS ACCIONES'!#REF!,"AAAAAFI/2Ws=")</f>
        <v>#REF!</v>
      </c>
      <c r="DE179" t="e">
        <f>AND('OTRAS ACCIONES'!#REF!,"AAAAAFI/2Ww=")</f>
        <v>#REF!</v>
      </c>
      <c r="DF179" t="e">
        <f>IF('OTRAS ACCIONES'!#REF!,"AAAAAFI/2W0=",0)</f>
        <v>#REF!</v>
      </c>
      <c r="DG179" t="e">
        <f>AND('OTRAS ACCIONES'!#REF!,"AAAAAFI/2W4=")</f>
        <v>#REF!</v>
      </c>
      <c r="DH179" t="e">
        <f>AND('OTRAS ACCIONES'!#REF!,"AAAAAFI/2W8=")</f>
        <v>#REF!</v>
      </c>
      <c r="DI179" t="e">
        <f>AND('OTRAS ACCIONES'!#REF!,"AAAAAFI/2XA=")</f>
        <v>#REF!</v>
      </c>
      <c r="DJ179" t="e">
        <f>AND('OTRAS ACCIONES'!#REF!,"AAAAAFI/2XE=")</f>
        <v>#REF!</v>
      </c>
      <c r="DK179" t="e">
        <f>AND('OTRAS ACCIONES'!#REF!,"AAAAAFI/2XI=")</f>
        <v>#REF!</v>
      </c>
      <c r="DL179" t="e">
        <f>AND('OTRAS ACCIONES'!#REF!,"AAAAAFI/2XM=")</f>
        <v>#REF!</v>
      </c>
      <c r="DM179" t="e">
        <f>AND('OTRAS ACCIONES'!#REF!,"AAAAAFI/2XQ=")</f>
        <v>#REF!</v>
      </c>
      <c r="DN179" t="e">
        <f>AND('OTRAS ACCIONES'!#REF!,"AAAAAFI/2XU=")</f>
        <v>#REF!</v>
      </c>
      <c r="DO179" t="e">
        <f>AND('OTRAS ACCIONES'!#REF!,"AAAAAFI/2XY=")</f>
        <v>#REF!</v>
      </c>
      <c r="DP179" t="e">
        <f>AND('OTRAS ACCIONES'!#REF!,"AAAAAFI/2Xc=")</f>
        <v>#REF!</v>
      </c>
      <c r="DQ179" t="e">
        <f>AND('OTRAS ACCIONES'!#REF!,"AAAAAFI/2Xg=")</f>
        <v>#REF!</v>
      </c>
      <c r="DR179" t="e">
        <f>AND('OTRAS ACCIONES'!#REF!,"AAAAAFI/2Xk=")</f>
        <v>#REF!</v>
      </c>
      <c r="DS179" t="e">
        <f>AND('OTRAS ACCIONES'!#REF!,"AAAAAFI/2Xo=")</f>
        <v>#REF!</v>
      </c>
      <c r="DT179" t="e">
        <f>AND('OTRAS ACCIONES'!#REF!,"AAAAAFI/2Xs=")</f>
        <v>#REF!</v>
      </c>
      <c r="DU179" t="e">
        <f>AND('OTRAS ACCIONES'!#REF!,"AAAAAFI/2Xw=")</f>
        <v>#REF!</v>
      </c>
      <c r="DV179" t="e">
        <f>AND('OTRAS ACCIONES'!#REF!,"AAAAAFI/2X0=")</f>
        <v>#REF!</v>
      </c>
      <c r="DW179" t="e">
        <f>AND('OTRAS ACCIONES'!#REF!,"AAAAAFI/2X4=")</f>
        <v>#REF!</v>
      </c>
      <c r="DX179" t="e">
        <f>IF('OTRAS ACCIONES'!#REF!,"AAAAAFI/2X8=",0)</f>
        <v>#REF!</v>
      </c>
      <c r="DY179" t="e">
        <f>AND('OTRAS ACCIONES'!#REF!,"AAAAAFI/2YA=")</f>
        <v>#REF!</v>
      </c>
      <c r="DZ179" t="e">
        <f>AND('OTRAS ACCIONES'!#REF!,"AAAAAFI/2YE=")</f>
        <v>#REF!</v>
      </c>
      <c r="EA179" t="e">
        <f>AND('OTRAS ACCIONES'!#REF!,"AAAAAFI/2YI=")</f>
        <v>#REF!</v>
      </c>
      <c r="EB179" t="e">
        <f>AND('OTRAS ACCIONES'!#REF!,"AAAAAFI/2YM=")</f>
        <v>#REF!</v>
      </c>
      <c r="EC179" t="e">
        <f>AND('OTRAS ACCIONES'!#REF!,"AAAAAFI/2YQ=")</f>
        <v>#REF!</v>
      </c>
      <c r="ED179" t="e">
        <f>AND('OTRAS ACCIONES'!#REF!,"AAAAAFI/2YU=")</f>
        <v>#REF!</v>
      </c>
      <c r="EE179" t="e">
        <f>AND('OTRAS ACCIONES'!#REF!,"AAAAAFI/2YY=")</f>
        <v>#REF!</v>
      </c>
      <c r="EF179" t="e">
        <f>AND('OTRAS ACCIONES'!#REF!,"AAAAAFI/2Yc=")</f>
        <v>#REF!</v>
      </c>
      <c r="EG179" t="e">
        <f>AND('OTRAS ACCIONES'!#REF!,"AAAAAFI/2Yg=")</f>
        <v>#REF!</v>
      </c>
      <c r="EH179" t="e">
        <f>AND('OTRAS ACCIONES'!#REF!,"AAAAAFI/2Yk=")</f>
        <v>#REF!</v>
      </c>
      <c r="EI179" t="e">
        <f>AND('OTRAS ACCIONES'!#REF!,"AAAAAFI/2Yo=")</f>
        <v>#REF!</v>
      </c>
      <c r="EJ179" t="e">
        <f>AND('OTRAS ACCIONES'!#REF!,"AAAAAFI/2Ys=")</f>
        <v>#REF!</v>
      </c>
      <c r="EK179" t="e">
        <f>AND('OTRAS ACCIONES'!#REF!,"AAAAAFI/2Yw=")</f>
        <v>#REF!</v>
      </c>
      <c r="EL179" t="e">
        <f>AND('OTRAS ACCIONES'!#REF!,"AAAAAFI/2Y0=")</f>
        <v>#REF!</v>
      </c>
      <c r="EM179" t="e">
        <f>AND('OTRAS ACCIONES'!#REF!,"AAAAAFI/2Y4=")</f>
        <v>#REF!</v>
      </c>
      <c r="EN179" t="e">
        <f>AND('OTRAS ACCIONES'!#REF!,"AAAAAFI/2Y8=")</f>
        <v>#REF!</v>
      </c>
      <c r="EO179" t="e">
        <f>AND('OTRAS ACCIONES'!#REF!,"AAAAAFI/2ZA=")</f>
        <v>#REF!</v>
      </c>
      <c r="EP179" t="e">
        <f>IF('OTRAS ACCIONES'!#REF!,"AAAAAFI/2ZE=",0)</f>
        <v>#REF!</v>
      </c>
      <c r="EQ179" t="e">
        <f>AND('OTRAS ACCIONES'!#REF!,"AAAAAFI/2ZI=")</f>
        <v>#REF!</v>
      </c>
      <c r="ER179" t="e">
        <f>AND('OTRAS ACCIONES'!#REF!,"AAAAAFI/2ZM=")</f>
        <v>#REF!</v>
      </c>
      <c r="ES179" t="e">
        <f>AND('OTRAS ACCIONES'!#REF!,"AAAAAFI/2ZQ=")</f>
        <v>#REF!</v>
      </c>
      <c r="ET179" t="e">
        <f>AND('OTRAS ACCIONES'!#REF!,"AAAAAFI/2ZU=")</f>
        <v>#REF!</v>
      </c>
      <c r="EU179" t="e">
        <f>AND('OTRAS ACCIONES'!#REF!,"AAAAAFI/2ZY=")</f>
        <v>#REF!</v>
      </c>
      <c r="EV179" t="e">
        <f>AND('OTRAS ACCIONES'!#REF!,"AAAAAFI/2Zc=")</f>
        <v>#REF!</v>
      </c>
      <c r="EW179" t="e">
        <f>AND('OTRAS ACCIONES'!#REF!,"AAAAAFI/2Zg=")</f>
        <v>#REF!</v>
      </c>
      <c r="EX179" t="e">
        <f>AND('OTRAS ACCIONES'!#REF!,"AAAAAFI/2Zk=")</f>
        <v>#REF!</v>
      </c>
      <c r="EY179" t="e">
        <f>AND('OTRAS ACCIONES'!#REF!,"AAAAAFI/2Zo=")</f>
        <v>#REF!</v>
      </c>
      <c r="EZ179" t="e">
        <f>AND('OTRAS ACCIONES'!#REF!,"AAAAAFI/2Zs=")</f>
        <v>#REF!</v>
      </c>
      <c r="FA179" t="e">
        <f>AND('OTRAS ACCIONES'!#REF!,"AAAAAFI/2Zw=")</f>
        <v>#REF!</v>
      </c>
      <c r="FB179" t="e">
        <f>AND('OTRAS ACCIONES'!#REF!,"AAAAAFI/2Z0=")</f>
        <v>#REF!</v>
      </c>
      <c r="FC179" t="e">
        <f>AND('OTRAS ACCIONES'!#REF!,"AAAAAFI/2Z4=")</f>
        <v>#REF!</v>
      </c>
      <c r="FD179" t="e">
        <f>AND('OTRAS ACCIONES'!#REF!,"AAAAAFI/2Z8=")</f>
        <v>#REF!</v>
      </c>
      <c r="FE179" t="e">
        <f>AND('OTRAS ACCIONES'!#REF!,"AAAAAFI/2aA=")</f>
        <v>#REF!</v>
      </c>
      <c r="FF179" t="e">
        <f>AND('OTRAS ACCIONES'!#REF!,"AAAAAFI/2aE=")</f>
        <v>#REF!</v>
      </c>
      <c r="FG179" t="e">
        <f>AND('OTRAS ACCIONES'!#REF!,"AAAAAFI/2aI=")</f>
        <v>#REF!</v>
      </c>
      <c r="FH179">
        <f>IF('OTRAS ACCIONES'!26:26,"AAAAAFI/2aM=",0)</f>
        <v>0</v>
      </c>
      <c r="FI179" t="e">
        <f>AND('OTRAS ACCIONES'!B26,"AAAAAFI/2aQ=")</f>
        <v>#VALUE!</v>
      </c>
      <c r="FJ179" t="e">
        <f>AND('OTRAS ACCIONES'!C26,"AAAAAFI/2aU=")</f>
        <v>#VALUE!</v>
      </c>
      <c r="FK179" t="e">
        <f>AND('OTRAS ACCIONES'!D26,"AAAAAFI/2aY=")</f>
        <v>#VALUE!</v>
      </c>
      <c r="FL179" t="e">
        <f>AND('OTRAS ACCIONES'!E26,"AAAAAFI/2ac=")</f>
        <v>#VALUE!</v>
      </c>
      <c r="FM179" t="e">
        <f>AND('OTRAS ACCIONES'!F26,"AAAAAFI/2ag=")</f>
        <v>#VALUE!</v>
      </c>
      <c r="FN179" t="e">
        <f>AND('OTRAS ACCIONES'!G26,"AAAAAFI/2ak=")</f>
        <v>#VALUE!</v>
      </c>
      <c r="FO179" t="e">
        <f>AND('OTRAS ACCIONES'!H26,"AAAAAFI/2ao=")</f>
        <v>#VALUE!</v>
      </c>
      <c r="FP179" t="e">
        <f>AND('OTRAS ACCIONES'!I26,"AAAAAFI/2as=")</f>
        <v>#VALUE!</v>
      </c>
      <c r="FQ179" t="e">
        <f>AND('OTRAS ACCIONES'!J26,"AAAAAFI/2aw=")</f>
        <v>#VALUE!</v>
      </c>
      <c r="FR179" t="e">
        <f>AND('OTRAS ACCIONES'!K26,"AAAAAFI/2a0=")</f>
        <v>#VALUE!</v>
      </c>
      <c r="FS179" t="e">
        <f>AND('OTRAS ACCIONES'!L26,"AAAAAFI/2a4=")</f>
        <v>#VALUE!</v>
      </c>
      <c r="FT179" t="e">
        <f>AND('OTRAS ACCIONES'!M26,"AAAAAFI/2a8=")</f>
        <v>#VALUE!</v>
      </c>
      <c r="FU179" t="e">
        <f>AND('OTRAS ACCIONES'!N26,"AAAAAFI/2bA=")</f>
        <v>#VALUE!</v>
      </c>
      <c r="FV179" t="e">
        <f>AND('OTRAS ACCIONES'!O26,"AAAAAFI/2bE=")</f>
        <v>#VALUE!</v>
      </c>
      <c r="FW179" t="e">
        <f>AND('OTRAS ACCIONES'!P26,"AAAAAFI/2bI=")</f>
        <v>#VALUE!</v>
      </c>
      <c r="FX179" t="e">
        <f>AND('OTRAS ACCIONES'!Q26,"AAAAAFI/2bM=")</f>
        <v>#VALUE!</v>
      </c>
      <c r="FY179" t="e">
        <f>AND('OTRAS ACCIONES'!R26,"AAAAAFI/2bQ=")</f>
        <v>#VALUE!</v>
      </c>
      <c r="FZ179">
        <f>IF('OTRAS ACCIONES'!27:27,"AAAAAFI/2bU=",0)</f>
        <v>0</v>
      </c>
      <c r="GA179" t="e">
        <f>AND('OTRAS ACCIONES'!B27,"AAAAAFI/2bY=")</f>
        <v>#VALUE!</v>
      </c>
      <c r="GB179" t="e">
        <f>AND('OTRAS ACCIONES'!C27,"AAAAAFI/2bc=")</f>
        <v>#VALUE!</v>
      </c>
      <c r="GC179" t="e">
        <f>AND('OTRAS ACCIONES'!D27,"AAAAAFI/2bg=")</f>
        <v>#VALUE!</v>
      </c>
      <c r="GD179" t="e">
        <f>AND('OTRAS ACCIONES'!E27,"AAAAAFI/2bk=")</f>
        <v>#VALUE!</v>
      </c>
      <c r="GE179" t="e">
        <f>AND('OTRAS ACCIONES'!F27,"AAAAAFI/2bo=")</f>
        <v>#VALUE!</v>
      </c>
      <c r="GF179" t="e">
        <f>AND('OTRAS ACCIONES'!G27,"AAAAAFI/2bs=")</f>
        <v>#VALUE!</v>
      </c>
      <c r="GG179" t="e">
        <f>AND('OTRAS ACCIONES'!H27,"AAAAAFI/2bw=")</f>
        <v>#VALUE!</v>
      </c>
      <c r="GH179" t="e">
        <f>AND('OTRAS ACCIONES'!I27,"AAAAAFI/2b0=")</f>
        <v>#VALUE!</v>
      </c>
      <c r="GI179" t="e">
        <f>AND('OTRAS ACCIONES'!J27,"AAAAAFI/2b4=")</f>
        <v>#VALUE!</v>
      </c>
      <c r="GJ179" t="e">
        <f>AND('OTRAS ACCIONES'!K27,"AAAAAFI/2b8=")</f>
        <v>#VALUE!</v>
      </c>
      <c r="GK179" t="e">
        <f>AND('OTRAS ACCIONES'!L27,"AAAAAFI/2cA=")</f>
        <v>#VALUE!</v>
      </c>
      <c r="GL179" t="e">
        <f>AND('OTRAS ACCIONES'!M27,"AAAAAFI/2cE=")</f>
        <v>#VALUE!</v>
      </c>
      <c r="GM179" t="e">
        <f>AND('OTRAS ACCIONES'!N27,"AAAAAFI/2cI=")</f>
        <v>#VALUE!</v>
      </c>
      <c r="GN179" t="e">
        <f>AND('OTRAS ACCIONES'!O27,"AAAAAFI/2cM=")</f>
        <v>#VALUE!</v>
      </c>
      <c r="GO179" t="e">
        <f>AND('OTRAS ACCIONES'!P27,"AAAAAFI/2cQ=")</f>
        <v>#VALUE!</v>
      </c>
      <c r="GP179" t="e">
        <f>AND('OTRAS ACCIONES'!Q27,"AAAAAFI/2cU=")</f>
        <v>#VALUE!</v>
      </c>
      <c r="GQ179" t="e">
        <f>AND('OTRAS ACCIONES'!R27,"AAAAAFI/2cY=")</f>
        <v>#VALUE!</v>
      </c>
      <c r="GR179">
        <f>IF('OTRAS ACCIONES'!28:28,"AAAAAFI/2cc=",0)</f>
        <v>0</v>
      </c>
      <c r="GS179" t="e">
        <f>AND('OTRAS ACCIONES'!B28,"AAAAAFI/2cg=")</f>
        <v>#VALUE!</v>
      </c>
      <c r="GT179" t="e">
        <f>AND('OTRAS ACCIONES'!C28,"AAAAAFI/2ck=")</f>
        <v>#VALUE!</v>
      </c>
      <c r="GU179" t="e">
        <f>AND('OTRAS ACCIONES'!D28,"AAAAAFI/2co=")</f>
        <v>#VALUE!</v>
      </c>
      <c r="GV179" t="e">
        <f>AND('OTRAS ACCIONES'!E28,"AAAAAFI/2cs=")</f>
        <v>#VALUE!</v>
      </c>
      <c r="GW179" t="e">
        <f>AND('OTRAS ACCIONES'!F28,"AAAAAFI/2cw=")</f>
        <v>#VALUE!</v>
      </c>
      <c r="GX179" t="e">
        <f>AND('OTRAS ACCIONES'!G28,"AAAAAFI/2c0=")</f>
        <v>#VALUE!</v>
      </c>
      <c r="GY179" t="e">
        <f>AND('OTRAS ACCIONES'!H28,"AAAAAFI/2c4=")</f>
        <v>#VALUE!</v>
      </c>
      <c r="GZ179" t="e">
        <f>AND('OTRAS ACCIONES'!I28,"AAAAAFI/2c8=")</f>
        <v>#VALUE!</v>
      </c>
      <c r="HA179" t="e">
        <f>AND('OTRAS ACCIONES'!J28,"AAAAAFI/2dA=")</f>
        <v>#VALUE!</v>
      </c>
      <c r="HB179" t="e">
        <f>AND('OTRAS ACCIONES'!K28,"AAAAAFI/2dE=")</f>
        <v>#VALUE!</v>
      </c>
      <c r="HC179" t="e">
        <f>AND('OTRAS ACCIONES'!L28,"AAAAAFI/2dI=")</f>
        <v>#VALUE!</v>
      </c>
      <c r="HD179" t="e">
        <f>AND('OTRAS ACCIONES'!M28,"AAAAAFI/2dM=")</f>
        <v>#VALUE!</v>
      </c>
      <c r="HE179" t="e">
        <f>AND('OTRAS ACCIONES'!N28,"AAAAAFI/2dQ=")</f>
        <v>#VALUE!</v>
      </c>
      <c r="HF179" t="e">
        <f>AND('OTRAS ACCIONES'!O28,"AAAAAFI/2dU=")</f>
        <v>#VALUE!</v>
      </c>
      <c r="HG179" t="e">
        <f>AND('OTRAS ACCIONES'!P28,"AAAAAFI/2dY=")</f>
        <v>#VALUE!</v>
      </c>
      <c r="HH179" t="e">
        <f>AND('OTRAS ACCIONES'!Q28,"AAAAAFI/2dc=")</f>
        <v>#VALUE!</v>
      </c>
      <c r="HI179" t="e">
        <f>AND('OTRAS ACCIONES'!R28,"AAAAAFI/2dg=")</f>
        <v>#VALUE!</v>
      </c>
      <c r="HJ179">
        <f>IF('OTRAS ACCIONES'!29:29,"AAAAAFI/2dk=",0)</f>
        <v>0</v>
      </c>
      <c r="HK179" t="e">
        <f>AND('OTRAS ACCIONES'!B29,"AAAAAFI/2do=")</f>
        <v>#VALUE!</v>
      </c>
      <c r="HL179" t="e">
        <f>AND('OTRAS ACCIONES'!C29,"AAAAAFI/2ds=")</f>
        <v>#VALUE!</v>
      </c>
      <c r="HM179" t="e">
        <f>AND('OTRAS ACCIONES'!D29,"AAAAAFI/2dw=")</f>
        <v>#VALUE!</v>
      </c>
      <c r="HN179" t="e">
        <f>AND('OTRAS ACCIONES'!E29,"AAAAAFI/2d0=")</f>
        <v>#VALUE!</v>
      </c>
      <c r="HO179" t="e">
        <f>AND('OTRAS ACCIONES'!F29,"AAAAAFI/2d4=")</f>
        <v>#VALUE!</v>
      </c>
      <c r="HP179" t="e">
        <f>AND('OTRAS ACCIONES'!G29,"AAAAAFI/2d8=")</f>
        <v>#VALUE!</v>
      </c>
      <c r="HQ179" t="e">
        <f>AND('OTRAS ACCIONES'!H29,"AAAAAFI/2eA=")</f>
        <v>#VALUE!</v>
      </c>
      <c r="HR179" t="e">
        <f>AND('OTRAS ACCIONES'!I29,"AAAAAFI/2eE=")</f>
        <v>#VALUE!</v>
      </c>
      <c r="HS179" t="e">
        <f>AND('OTRAS ACCIONES'!J29,"AAAAAFI/2eI=")</f>
        <v>#VALUE!</v>
      </c>
      <c r="HT179" t="e">
        <f>AND('OTRAS ACCIONES'!K29,"AAAAAFI/2eM=")</f>
        <v>#VALUE!</v>
      </c>
      <c r="HU179" t="e">
        <f>AND('OTRAS ACCIONES'!L29,"AAAAAFI/2eQ=")</f>
        <v>#VALUE!</v>
      </c>
      <c r="HV179" t="e">
        <f>AND('OTRAS ACCIONES'!M29,"AAAAAFI/2eU=")</f>
        <v>#VALUE!</v>
      </c>
      <c r="HW179" t="e">
        <f>AND('OTRAS ACCIONES'!N29,"AAAAAFI/2eY=")</f>
        <v>#VALUE!</v>
      </c>
      <c r="HX179" t="e">
        <f>AND('OTRAS ACCIONES'!O29,"AAAAAFI/2ec=")</f>
        <v>#VALUE!</v>
      </c>
      <c r="HY179" t="e">
        <f>AND('OTRAS ACCIONES'!P29,"AAAAAFI/2eg=")</f>
        <v>#VALUE!</v>
      </c>
      <c r="HZ179" t="e">
        <f>AND('OTRAS ACCIONES'!Q29,"AAAAAFI/2ek=")</f>
        <v>#VALUE!</v>
      </c>
      <c r="IA179" t="e">
        <f>AND('OTRAS ACCIONES'!R29,"AAAAAFI/2eo=")</f>
        <v>#VALUE!</v>
      </c>
      <c r="IB179" t="e">
        <f>IF('OTRAS ACCIONES'!#REF!,"AAAAAFI/2es=",0)</f>
        <v>#REF!</v>
      </c>
      <c r="IC179" t="e">
        <f>AND('OTRAS ACCIONES'!#REF!,"AAAAAFI/2ew=")</f>
        <v>#REF!</v>
      </c>
      <c r="ID179" t="e">
        <f>AND('OTRAS ACCIONES'!#REF!,"AAAAAFI/2e0=")</f>
        <v>#REF!</v>
      </c>
      <c r="IE179" t="e">
        <f>AND('OTRAS ACCIONES'!#REF!,"AAAAAFI/2e4=")</f>
        <v>#REF!</v>
      </c>
      <c r="IF179" t="e">
        <f>AND('OTRAS ACCIONES'!#REF!,"AAAAAFI/2e8=")</f>
        <v>#REF!</v>
      </c>
      <c r="IG179" t="e">
        <f>AND('OTRAS ACCIONES'!#REF!,"AAAAAFI/2fA=")</f>
        <v>#REF!</v>
      </c>
      <c r="IH179" t="e">
        <f>AND('OTRAS ACCIONES'!#REF!,"AAAAAFI/2fE=")</f>
        <v>#REF!</v>
      </c>
      <c r="II179" t="e">
        <f>AND('OTRAS ACCIONES'!#REF!,"AAAAAFI/2fI=")</f>
        <v>#REF!</v>
      </c>
      <c r="IJ179" t="e">
        <f>AND('OTRAS ACCIONES'!#REF!,"AAAAAFI/2fM=")</f>
        <v>#REF!</v>
      </c>
      <c r="IK179" t="e">
        <f>AND('OTRAS ACCIONES'!#REF!,"AAAAAFI/2fQ=")</f>
        <v>#REF!</v>
      </c>
      <c r="IL179" t="e">
        <f>AND('OTRAS ACCIONES'!#REF!,"AAAAAFI/2fU=")</f>
        <v>#REF!</v>
      </c>
      <c r="IM179" t="e">
        <f>AND('OTRAS ACCIONES'!#REF!,"AAAAAFI/2fY=")</f>
        <v>#REF!</v>
      </c>
      <c r="IN179" t="e">
        <f>AND('OTRAS ACCIONES'!#REF!,"AAAAAFI/2fc=")</f>
        <v>#REF!</v>
      </c>
      <c r="IO179" t="e">
        <f>AND('OTRAS ACCIONES'!#REF!,"AAAAAFI/2fg=")</f>
        <v>#REF!</v>
      </c>
      <c r="IP179" t="e">
        <f>AND('OTRAS ACCIONES'!#REF!,"AAAAAFI/2fk=")</f>
        <v>#REF!</v>
      </c>
      <c r="IQ179" t="e">
        <f>AND('OTRAS ACCIONES'!#REF!,"AAAAAFI/2fo=")</f>
        <v>#REF!</v>
      </c>
      <c r="IR179" t="e">
        <f>AND('OTRAS ACCIONES'!#REF!,"AAAAAFI/2fs=")</f>
        <v>#REF!</v>
      </c>
      <c r="IS179" t="e">
        <f>AND('OTRAS ACCIONES'!#REF!,"AAAAAFI/2fw=")</f>
        <v>#REF!</v>
      </c>
      <c r="IT179" t="e">
        <f>IF('OTRAS ACCIONES'!#REF!,"AAAAAFI/2f0=",0)</f>
        <v>#REF!</v>
      </c>
      <c r="IU179" t="e">
        <f>AND('OTRAS ACCIONES'!#REF!,"AAAAAFI/2f4=")</f>
        <v>#REF!</v>
      </c>
      <c r="IV179" t="e">
        <f>AND('OTRAS ACCIONES'!#REF!,"AAAAAFI/2f8=")</f>
        <v>#REF!</v>
      </c>
    </row>
    <row r="180" spans="1:256" x14ac:dyDescent="0.2">
      <c r="A180" t="e">
        <f>AND('OTRAS ACCIONES'!#REF!,"AAAAAGHt9gA=")</f>
        <v>#REF!</v>
      </c>
      <c r="B180" t="e">
        <f>AND('OTRAS ACCIONES'!#REF!,"AAAAAGHt9gE=")</f>
        <v>#REF!</v>
      </c>
      <c r="C180" t="e">
        <f>AND('OTRAS ACCIONES'!#REF!,"AAAAAGHt9gI=")</f>
        <v>#REF!</v>
      </c>
      <c r="D180" t="e">
        <f>AND('OTRAS ACCIONES'!#REF!,"AAAAAGHt9gM=")</f>
        <v>#REF!</v>
      </c>
      <c r="E180" t="e">
        <f>AND('OTRAS ACCIONES'!#REF!,"AAAAAGHt9gQ=")</f>
        <v>#REF!</v>
      </c>
      <c r="F180" t="e">
        <f>AND('OTRAS ACCIONES'!#REF!,"AAAAAGHt9gU=")</f>
        <v>#REF!</v>
      </c>
      <c r="G180" t="e">
        <f>AND('OTRAS ACCIONES'!#REF!,"AAAAAGHt9gY=")</f>
        <v>#REF!</v>
      </c>
      <c r="H180" t="e">
        <f>AND('OTRAS ACCIONES'!#REF!,"AAAAAGHt9gc=")</f>
        <v>#REF!</v>
      </c>
      <c r="I180" t="e">
        <f>AND('OTRAS ACCIONES'!#REF!,"AAAAAGHt9gg=")</f>
        <v>#REF!</v>
      </c>
      <c r="J180" t="e">
        <f>AND('OTRAS ACCIONES'!#REF!,"AAAAAGHt9gk=")</f>
        <v>#REF!</v>
      </c>
      <c r="K180" t="e">
        <f>AND('OTRAS ACCIONES'!#REF!,"AAAAAGHt9go=")</f>
        <v>#REF!</v>
      </c>
      <c r="L180" t="e">
        <f>AND('OTRAS ACCIONES'!#REF!,"AAAAAGHt9gs=")</f>
        <v>#REF!</v>
      </c>
      <c r="M180" t="e">
        <f>AND('OTRAS ACCIONES'!#REF!,"AAAAAGHt9gw=")</f>
        <v>#REF!</v>
      </c>
      <c r="N180" t="e">
        <f>AND('OTRAS ACCIONES'!#REF!,"AAAAAGHt9g0=")</f>
        <v>#REF!</v>
      </c>
      <c r="O180" t="e">
        <f>AND('OTRAS ACCIONES'!#REF!,"AAAAAGHt9g4=")</f>
        <v>#REF!</v>
      </c>
      <c r="P180" t="e">
        <f>IF('OTRAS ACCIONES'!#REF!,"AAAAAGHt9g8=",0)</f>
        <v>#REF!</v>
      </c>
      <c r="Q180" t="e">
        <f>AND('OTRAS ACCIONES'!#REF!,"AAAAAGHt9hA=")</f>
        <v>#REF!</v>
      </c>
      <c r="R180" t="e">
        <f>AND('OTRAS ACCIONES'!#REF!,"AAAAAGHt9hE=")</f>
        <v>#REF!</v>
      </c>
      <c r="S180" t="e">
        <f>AND('OTRAS ACCIONES'!#REF!,"AAAAAGHt9hI=")</f>
        <v>#REF!</v>
      </c>
      <c r="T180" t="e">
        <f>AND('OTRAS ACCIONES'!#REF!,"AAAAAGHt9hM=")</f>
        <v>#REF!</v>
      </c>
      <c r="U180" t="e">
        <f>AND('OTRAS ACCIONES'!#REF!,"AAAAAGHt9hQ=")</f>
        <v>#REF!</v>
      </c>
      <c r="V180" t="e">
        <f>AND('OTRAS ACCIONES'!#REF!,"AAAAAGHt9hU=")</f>
        <v>#REF!</v>
      </c>
      <c r="W180" t="e">
        <f>AND('OTRAS ACCIONES'!#REF!,"AAAAAGHt9hY=")</f>
        <v>#REF!</v>
      </c>
      <c r="X180" t="e">
        <f>AND('OTRAS ACCIONES'!#REF!,"AAAAAGHt9hc=")</f>
        <v>#REF!</v>
      </c>
      <c r="Y180" t="e">
        <f>AND('OTRAS ACCIONES'!#REF!,"AAAAAGHt9hg=")</f>
        <v>#REF!</v>
      </c>
      <c r="Z180" t="e">
        <f>AND('OTRAS ACCIONES'!#REF!,"AAAAAGHt9hk=")</f>
        <v>#REF!</v>
      </c>
      <c r="AA180" t="e">
        <f>AND('OTRAS ACCIONES'!#REF!,"AAAAAGHt9ho=")</f>
        <v>#REF!</v>
      </c>
      <c r="AB180" t="e">
        <f>AND('OTRAS ACCIONES'!#REF!,"AAAAAGHt9hs=")</f>
        <v>#REF!</v>
      </c>
      <c r="AC180" t="e">
        <f>AND('OTRAS ACCIONES'!#REF!,"AAAAAGHt9hw=")</f>
        <v>#REF!</v>
      </c>
      <c r="AD180" t="e">
        <f>AND('OTRAS ACCIONES'!#REF!,"AAAAAGHt9h0=")</f>
        <v>#REF!</v>
      </c>
      <c r="AE180" t="e">
        <f>AND('OTRAS ACCIONES'!#REF!,"AAAAAGHt9h4=")</f>
        <v>#REF!</v>
      </c>
      <c r="AF180" t="e">
        <f>AND('OTRAS ACCIONES'!#REF!,"AAAAAGHt9h8=")</f>
        <v>#REF!</v>
      </c>
      <c r="AG180" t="e">
        <f>AND('OTRAS ACCIONES'!#REF!,"AAAAAGHt9iA=")</f>
        <v>#REF!</v>
      </c>
      <c r="AH180">
        <f>IF('OTRAS ACCIONES'!31:31,"AAAAAGHt9iE=",0)</f>
        <v>0</v>
      </c>
      <c r="AI180" t="e">
        <f>AND('OTRAS ACCIONES'!B31,"AAAAAGHt9iI=")</f>
        <v>#VALUE!</v>
      </c>
      <c r="AJ180" t="e">
        <f>AND('OTRAS ACCIONES'!C31,"AAAAAGHt9iM=")</f>
        <v>#VALUE!</v>
      </c>
      <c r="AK180" t="e">
        <f>AND('OTRAS ACCIONES'!D31,"AAAAAGHt9iQ=")</f>
        <v>#VALUE!</v>
      </c>
      <c r="AL180" t="e">
        <f>AND('OTRAS ACCIONES'!E31,"AAAAAGHt9iU=")</f>
        <v>#VALUE!</v>
      </c>
      <c r="AM180" t="e">
        <f>AND('OTRAS ACCIONES'!F31,"AAAAAGHt9iY=")</f>
        <v>#VALUE!</v>
      </c>
      <c r="AN180" t="e">
        <f>AND('OTRAS ACCIONES'!G31,"AAAAAGHt9ic=")</f>
        <v>#VALUE!</v>
      </c>
      <c r="AO180" t="e">
        <f>AND('OTRAS ACCIONES'!H31,"AAAAAGHt9ig=")</f>
        <v>#VALUE!</v>
      </c>
      <c r="AP180" t="e">
        <f>AND('OTRAS ACCIONES'!I31,"AAAAAGHt9ik=")</f>
        <v>#VALUE!</v>
      </c>
      <c r="AQ180" t="e">
        <f>AND('OTRAS ACCIONES'!J31,"AAAAAGHt9io=")</f>
        <v>#VALUE!</v>
      </c>
      <c r="AR180" t="e">
        <f>AND('OTRAS ACCIONES'!K31,"AAAAAGHt9is=")</f>
        <v>#VALUE!</v>
      </c>
      <c r="AS180" t="e">
        <f>AND('OTRAS ACCIONES'!L31,"AAAAAGHt9iw=")</f>
        <v>#VALUE!</v>
      </c>
      <c r="AT180" t="e">
        <f>AND('OTRAS ACCIONES'!M31,"AAAAAGHt9i0=")</f>
        <v>#VALUE!</v>
      </c>
      <c r="AU180" t="e">
        <f>AND('OTRAS ACCIONES'!N31,"AAAAAGHt9i4=")</f>
        <v>#VALUE!</v>
      </c>
      <c r="AV180" t="e">
        <f>AND('OTRAS ACCIONES'!O31,"AAAAAGHt9i8=")</f>
        <v>#VALUE!</v>
      </c>
      <c r="AW180" t="e">
        <f>AND('OTRAS ACCIONES'!P31,"AAAAAGHt9jA=")</f>
        <v>#VALUE!</v>
      </c>
      <c r="AX180" t="e">
        <f>AND('OTRAS ACCIONES'!Q31,"AAAAAGHt9jE=")</f>
        <v>#VALUE!</v>
      </c>
      <c r="AY180" t="e">
        <f>AND('OTRAS ACCIONES'!R31,"AAAAAGHt9jI=")</f>
        <v>#VALUE!</v>
      </c>
      <c r="AZ180">
        <f>IF('OTRAS ACCIONES'!33:33,"AAAAAGHt9jM=",0)</f>
        <v>0</v>
      </c>
      <c r="BA180" t="e">
        <f>AND('OTRAS ACCIONES'!B33,"AAAAAGHt9jQ=")</f>
        <v>#VALUE!</v>
      </c>
      <c r="BB180" t="e">
        <f>AND('OTRAS ACCIONES'!C33,"AAAAAGHt9jU=")</f>
        <v>#VALUE!</v>
      </c>
      <c r="BC180" t="e">
        <f>AND('OTRAS ACCIONES'!D33,"AAAAAGHt9jY=")</f>
        <v>#VALUE!</v>
      </c>
      <c r="BD180" t="e">
        <f>AND('OTRAS ACCIONES'!E33,"AAAAAGHt9jc=")</f>
        <v>#VALUE!</v>
      </c>
      <c r="BE180" t="e">
        <f>AND('OTRAS ACCIONES'!F33,"AAAAAGHt9jg=")</f>
        <v>#VALUE!</v>
      </c>
      <c r="BF180" t="e">
        <f>AND('OTRAS ACCIONES'!G33,"AAAAAGHt9jk=")</f>
        <v>#VALUE!</v>
      </c>
      <c r="BG180" t="e">
        <f>AND('OTRAS ACCIONES'!H33,"AAAAAGHt9jo=")</f>
        <v>#VALUE!</v>
      </c>
      <c r="BH180" t="e">
        <f>AND('OTRAS ACCIONES'!I33,"AAAAAGHt9js=")</f>
        <v>#VALUE!</v>
      </c>
      <c r="BI180" t="e">
        <f>AND('OTRAS ACCIONES'!J33,"AAAAAGHt9jw=")</f>
        <v>#VALUE!</v>
      </c>
      <c r="BJ180" t="e">
        <f>AND('OTRAS ACCIONES'!K33,"AAAAAGHt9j0=")</f>
        <v>#VALUE!</v>
      </c>
      <c r="BK180" t="e">
        <f>AND('OTRAS ACCIONES'!L33,"AAAAAGHt9j4=")</f>
        <v>#VALUE!</v>
      </c>
      <c r="BL180" t="e">
        <f>AND('OTRAS ACCIONES'!M33,"AAAAAGHt9j8=")</f>
        <v>#VALUE!</v>
      </c>
      <c r="BM180" t="e">
        <f>AND('OTRAS ACCIONES'!N33,"AAAAAGHt9kA=")</f>
        <v>#VALUE!</v>
      </c>
      <c r="BN180" t="e">
        <f>AND('OTRAS ACCIONES'!O33,"AAAAAGHt9kE=")</f>
        <v>#VALUE!</v>
      </c>
      <c r="BO180" t="e">
        <f>AND('OTRAS ACCIONES'!P33,"AAAAAGHt9kI=")</f>
        <v>#VALUE!</v>
      </c>
      <c r="BP180" t="e">
        <f>AND('OTRAS ACCIONES'!Q33,"AAAAAGHt9kM=")</f>
        <v>#VALUE!</v>
      </c>
      <c r="BQ180" t="e">
        <f>AND('OTRAS ACCIONES'!R33,"AAAAAGHt9kQ=")</f>
        <v>#VALUE!</v>
      </c>
      <c r="BR180">
        <f>IF('OTRAS ACCIONES'!34:34,"AAAAAGHt9kU=",0)</f>
        <v>0</v>
      </c>
      <c r="BS180" t="e">
        <f>AND('OTRAS ACCIONES'!B34,"AAAAAGHt9kY=")</f>
        <v>#VALUE!</v>
      </c>
      <c r="BT180" t="e">
        <f>AND('OTRAS ACCIONES'!C34,"AAAAAGHt9kc=")</f>
        <v>#VALUE!</v>
      </c>
      <c r="BU180" t="e">
        <f>AND('OTRAS ACCIONES'!D34,"AAAAAGHt9kg=")</f>
        <v>#VALUE!</v>
      </c>
      <c r="BV180" t="e">
        <f>AND('OTRAS ACCIONES'!E34,"AAAAAGHt9kk=")</f>
        <v>#VALUE!</v>
      </c>
      <c r="BW180" t="e">
        <f>AND('OTRAS ACCIONES'!F34,"AAAAAGHt9ko=")</f>
        <v>#VALUE!</v>
      </c>
      <c r="BX180" t="e">
        <f>AND('OTRAS ACCIONES'!G34,"AAAAAGHt9ks=")</f>
        <v>#VALUE!</v>
      </c>
      <c r="BY180" t="e">
        <f>AND('OTRAS ACCIONES'!H34,"AAAAAGHt9kw=")</f>
        <v>#VALUE!</v>
      </c>
      <c r="BZ180" t="e">
        <f>AND('OTRAS ACCIONES'!I34,"AAAAAGHt9k0=")</f>
        <v>#VALUE!</v>
      </c>
      <c r="CA180" t="e">
        <f>AND('OTRAS ACCIONES'!J34,"AAAAAGHt9k4=")</f>
        <v>#VALUE!</v>
      </c>
      <c r="CB180" t="e">
        <f>AND('OTRAS ACCIONES'!K34,"AAAAAGHt9k8=")</f>
        <v>#VALUE!</v>
      </c>
      <c r="CC180" t="e">
        <f>AND('OTRAS ACCIONES'!L34,"AAAAAGHt9lA=")</f>
        <v>#VALUE!</v>
      </c>
      <c r="CD180" t="e">
        <f>AND('OTRAS ACCIONES'!M34,"AAAAAGHt9lE=")</f>
        <v>#VALUE!</v>
      </c>
      <c r="CE180" t="e">
        <f>AND('OTRAS ACCIONES'!N34,"AAAAAGHt9lI=")</f>
        <v>#VALUE!</v>
      </c>
      <c r="CF180" t="e">
        <f>AND('OTRAS ACCIONES'!O34,"AAAAAGHt9lM=")</f>
        <v>#VALUE!</v>
      </c>
      <c r="CG180" t="e">
        <f>AND('OTRAS ACCIONES'!P34,"AAAAAGHt9lQ=")</f>
        <v>#VALUE!</v>
      </c>
      <c r="CH180" t="e">
        <f>AND('OTRAS ACCIONES'!Q34,"AAAAAGHt9lU=")</f>
        <v>#VALUE!</v>
      </c>
      <c r="CI180" t="e">
        <f>AND('OTRAS ACCIONES'!R34,"AAAAAGHt9lY=")</f>
        <v>#VALUE!</v>
      </c>
      <c r="CJ180">
        <f>IF('OTRAS ACCIONES'!35:35,"AAAAAGHt9lc=",0)</f>
        <v>0</v>
      </c>
      <c r="CK180" t="e">
        <f>AND('OTRAS ACCIONES'!B35,"AAAAAGHt9lg=")</f>
        <v>#VALUE!</v>
      </c>
      <c r="CL180" t="e">
        <f>AND('OTRAS ACCIONES'!C35,"AAAAAGHt9lk=")</f>
        <v>#VALUE!</v>
      </c>
      <c r="CM180" t="e">
        <f>AND('OTRAS ACCIONES'!D35,"AAAAAGHt9lo=")</f>
        <v>#VALUE!</v>
      </c>
      <c r="CN180" t="e">
        <f>AND('OTRAS ACCIONES'!E35,"AAAAAGHt9ls=")</f>
        <v>#VALUE!</v>
      </c>
      <c r="CO180" t="e">
        <f>AND('OTRAS ACCIONES'!F35,"AAAAAGHt9lw=")</f>
        <v>#VALUE!</v>
      </c>
      <c r="CP180" t="e">
        <f>AND('OTRAS ACCIONES'!G35,"AAAAAGHt9l0=")</f>
        <v>#VALUE!</v>
      </c>
      <c r="CQ180" t="e">
        <f>AND('OTRAS ACCIONES'!H35,"AAAAAGHt9l4=")</f>
        <v>#VALUE!</v>
      </c>
      <c r="CR180" t="e">
        <f>AND('OTRAS ACCIONES'!I35,"AAAAAGHt9l8=")</f>
        <v>#VALUE!</v>
      </c>
      <c r="CS180" t="e">
        <f>AND('OTRAS ACCIONES'!J35,"AAAAAGHt9mA=")</f>
        <v>#VALUE!</v>
      </c>
      <c r="CT180" t="e">
        <f>AND('OTRAS ACCIONES'!K35,"AAAAAGHt9mE=")</f>
        <v>#VALUE!</v>
      </c>
      <c r="CU180" t="e">
        <f>AND('OTRAS ACCIONES'!L35,"AAAAAGHt9mI=")</f>
        <v>#VALUE!</v>
      </c>
      <c r="CV180" t="e">
        <f>AND('OTRAS ACCIONES'!M35,"AAAAAGHt9mM=")</f>
        <v>#VALUE!</v>
      </c>
      <c r="CW180" t="e">
        <f>AND('OTRAS ACCIONES'!N35,"AAAAAGHt9mQ=")</f>
        <v>#VALUE!</v>
      </c>
      <c r="CX180" t="e">
        <f>AND('OTRAS ACCIONES'!O35,"AAAAAGHt9mU=")</f>
        <v>#VALUE!</v>
      </c>
      <c r="CY180" t="e">
        <f>AND('OTRAS ACCIONES'!P35,"AAAAAGHt9mY=")</f>
        <v>#VALUE!</v>
      </c>
      <c r="CZ180" t="e">
        <f>AND('OTRAS ACCIONES'!Q35,"AAAAAGHt9mc=")</f>
        <v>#VALUE!</v>
      </c>
      <c r="DA180" t="e">
        <f>AND('OTRAS ACCIONES'!R35,"AAAAAGHt9mg=")</f>
        <v>#VALUE!</v>
      </c>
      <c r="DB180">
        <f>IF('OTRAS ACCIONES'!36:36,"AAAAAGHt9mk=",0)</f>
        <v>0</v>
      </c>
      <c r="DC180" t="e">
        <f>AND('OTRAS ACCIONES'!B36,"AAAAAGHt9mo=")</f>
        <v>#VALUE!</v>
      </c>
      <c r="DD180" t="e">
        <f>AND('OTRAS ACCIONES'!C36,"AAAAAGHt9ms=")</f>
        <v>#VALUE!</v>
      </c>
      <c r="DE180" t="e">
        <f>AND('OTRAS ACCIONES'!D36,"AAAAAGHt9mw=")</f>
        <v>#VALUE!</v>
      </c>
      <c r="DF180" t="e">
        <f>AND('OTRAS ACCIONES'!E36,"AAAAAGHt9m0=")</f>
        <v>#VALUE!</v>
      </c>
      <c r="DG180" t="e">
        <f>AND('OTRAS ACCIONES'!F36,"AAAAAGHt9m4=")</f>
        <v>#VALUE!</v>
      </c>
      <c r="DH180" t="e">
        <f>AND('OTRAS ACCIONES'!G36,"AAAAAGHt9m8=")</f>
        <v>#VALUE!</v>
      </c>
      <c r="DI180" t="e">
        <f>AND('OTRAS ACCIONES'!H36,"AAAAAGHt9nA=")</f>
        <v>#VALUE!</v>
      </c>
      <c r="DJ180" t="e">
        <f>AND('OTRAS ACCIONES'!I36,"AAAAAGHt9nE=")</f>
        <v>#VALUE!</v>
      </c>
      <c r="DK180" t="e">
        <f>AND('OTRAS ACCIONES'!J36,"AAAAAGHt9nI=")</f>
        <v>#VALUE!</v>
      </c>
      <c r="DL180" t="e">
        <f>AND('OTRAS ACCIONES'!K36,"AAAAAGHt9nM=")</f>
        <v>#VALUE!</v>
      </c>
      <c r="DM180" t="e">
        <f>AND('OTRAS ACCIONES'!L36,"AAAAAGHt9nQ=")</f>
        <v>#VALUE!</v>
      </c>
      <c r="DN180" t="e">
        <f>AND('OTRAS ACCIONES'!M36,"AAAAAGHt9nU=")</f>
        <v>#VALUE!</v>
      </c>
      <c r="DO180" t="e">
        <f>AND('OTRAS ACCIONES'!N36,"AAAAAGHt9nY=")</f>
        <v>#VALUE!</v>
      </c>
      <c r="DP180" t="e">
        <f>AND('OTRAS ACCIONES'!O36,"AAAAAGHt9nc=")</f>
        <v>#VALUE!</v>
      </c>
      <c r="DQ180" t="e">
        <f>AND('OTRAS ACCIONES'!P36,"AAAAAGHt9ng=")</f>
        <v>#VALUE!</v>
      </c>
      <c r="DR180" t="e">
        <f>AND('OTRAS ACCIONES'!Q36,"AAAAAGHt9nk=")</f>
        <v>#VALUE!</v>
      </c>
      <c r="DS180" t="e">
        <f>AND('OTRAS ACCIONES'!R36,"AAAAAGHt9no=")</f>
        <v>#VALUE!</v>
      </c>
      <c r="DT180">
        <f>IF('OTRAS ACCIONES'!37:37,"AAAAAGHt9ns=",0)</f>
        <v>0</v>
      </c>
      <c r="DU180" t="e">
        <f>AND('OTRAS ACCIONES'!B37,"AAAAAGHt9nw=")</f>
        <v>#VALUE!</v>
      </c>
      <c r="DV180" t="e">
        <f>AND('OTRAS ACCIONES'!C37,"AAAAAGHt9n0=")</f>
        <v>#VALUE!</v>
      </c>
      <c r="DW180" t="e">
        <f>AND('OTRAS ACCIONES'!D37,"AAAAAGHt9n4=")</f>
        <v>#VALUE!</v>
      </c>
      <c r="DX180" t="e">
        <f>AND('OTRAS ACCIONES'!E37,"AAAAAGHt9n8=")</f>
        <v>#VALUE!</v>
      </c>
      <c r="DY180" t="e">
        <f>AND('OTRAS ACCIONES'!F37,"AAAAAGHt9oA=")</f>
        <v>#VALUE!</v>
      </c>
      <c r="DZ180" t="e">
        <f>AND('OTRAS ACCIONES'!G37,"AAAAAGHt9oE=")</f>
        <v>#VALUE!</v>
      </c>
      <c r="EA180" t="e">
        <f>AND('OTRAS ACCIONES'!H37,"AAAAAGHt9oI=")</f>
        <v>#VALUE!</v>
      </c>
      <c r="EB180" t="e">
        <f>AND('OTRAS ACCIONES'!I37,"AAAAAGHt9oM=")</f>
        <v>#VALUE!</v>
      </c>
      <c r="EC180" t="e">
        <f>AND('OTRAS ACCIONES'!J37,"AAAAAGHt9oQ=")</f>
        <v>#VALUE!</v>
      </c>
      <c r="ED180" t="e">
        <f>AND('OTRAS ACCIONES'!K37,"AAAAAGHt9oU=")</f>
        <v>#VALUE!</v>
      </c>
      <c r="EE180" t="e">
        <f>AND('OTRAS ACCIONES'!L37,"AAAAAGHt9oY=")</f>
        <v>#VALUE!</v>
      </c>
      <c r="EF180" t="e">
        <f>AND('OTRAS ACCIONES'!M37,"AAAAAGHt9oc=")</f>
        <v>#VALUE!</v>
      </c>
      <c r="EG180" t="e">
        <f>AND('OTRAS ACCIONES'!N37,"AAAAAGHt9og=")</f>
        <v>#VALUE!</v>
      </c>
      <c r="EH180" t="e">
        <f>AND('OTRAS ACCIONES'!O37,"AAAAAGHt9ok=")</f>
        <v>#VALUE!</v>
      </c>
      <c r="EI180" t="e">
        <f>AND('OTRAS ACCIONES'!P37,"AAAAAGHt9oo=")</f>
        <v>#VALUE!</v>
      </c>
      <c r="EJ180" t="e">
        <f>AND('OTRAS ACCIONES'!Q37,"AAAAAGHt9os=")</f>
        <v>#VALUE!</v>
      </c>
      <c r="EK180" t="e">
        <f>AND('OTRAS ACCIONES'!R37,"AAAAAGHt9ow=")</f>
        <v>#VALUE!</v>
      </c>
      <c r="EL180">
        <f>IF('OTRAS ACCIONES'!38:38,"AAAAAGHt9o0=",0)</f>
        <v>0</v>
      </c>
      <c r="EM180" t="e">
        <f>AND('OTRAS ACCIONES'!B38,"AAAAAGHt9o4=")</f>
        <v>#VALUE!</v>
      </c>
      <c r="EN180" t="e">
        <f>AND('OTRAS ACCIONES'!C38,"AAAAAGHt9o8=")</f>
        <v>#VALUE!</v>
      </c>
      <c r="EO180" t="e">
        <f>AND('OTRAS ACCIONES'!D38,"AAAAAGHt9pA=")</f>
        <v>#VALUE!</v>
      </c>
      <c r="EP180" t="e">
        <f>AND('OTRAS ACCIONES'!E38,"AAAAAGHt9pE=")</f>
        <v>#VALUE!</v>
      </c>
      <c r="EQ180" t="e">
        <f>AND('OTRAS ACCIONES'!F38,"AAAAAGHt9pI=")</f>
        <v>#VALUE!</v>
      </c>
      <c r="ER180" t="e">
        <f>AND('OTRAS ACCIONES'!G38,"AAAAAGHt9pM=")</f>
        <v>#VALUE!</v>
      </c>
      <c r="ES180" t="e">
        <f>AND('OTRAS ACCIONES'!H38,"AAAAAGHt9pQ=")</f>
        <v>#VALUE!</v>
      </c>
      <c r="ET180" t="e">
        <f>AND('OTRAS ACCIONES'!I38,"AAAAAGHt9pU=")</f>
        <v>#VALUE!</v>
      </c>
      <c r="EU180" t="e">
        <f>AND('OTRAS ACCIONES'!J38,"AAAAAGHt9pY=")</f>
        <v>#VALUE!</v>
      </c>
      <c r="EV180" t="e">
        <f>AND('OTRAS ACCIONES'!K38,"AAAAAGHt9pc=")</f>
        <v>#VALUE!</v>
      </c>
      <c r="EW180" t="e">
        <f>AND('OTRAS ACCIONES'!L38,"AAAAAGHt9pg=")</f>
        <v>#VALUE!</v>
      </c>
      <c r="EX180" t="e">
        <f>AND('OTRAS ACCIONES'!M38,"AAAAAGHt9pk=")</f>
        <v>#VALUE!</v>
      </c>
      <c r="EY180" t="e">
        <f>AND('OTRAS ACCIONES'!N38,"AAAAAGHt9po=")</f>
        <v>#VALUE!</v>
      </c>
      <c r="EZ180" t="e">
        <f>AND('OTRAS ACCIONES'!O38,"AAAAAGHt9ps=")</f>
        <v>#VALUE!</v>
      </c>
      <c r="FA180" t="e">
        <f>AND('OTRAS ACCIONES'!P38,"AAAAAGHt9pw=")</f>
        <v>#VALUE!</v>
      </c>
      <c r="FB180" t="e">
        <f>AND('OTRAS ACCIONES'!Q38,"AAAAAGHt9p0=")</f>
        <v>#VALUE!</v>
      </c>
      <c r="FC180" t="e">
        <f>AND('OTRAS ACCIONES'!R38,"AAAAAGHt9p4=")</f>
        <v>#VALUE!</v>
      </c>
      <c r="FD180">
        <f>IF('OTRAS ACCIONES'!39:39,"AAAAAGHt9p8=",0)</f>
        <v>0</v>
      </c>
      <c r="FE180" t="e">
        <f>AND('OTRAS ACCIONES'!B39,"AAAAAGHt9qA=")</f>
        <v>#VALUE!</v>
      </c>
      <c r="FF180" t="e">
        <f>AND('OTRAS ACCIONES'!C39,"AAAAAGHt9qE=")</f>
        <v>#VALUE!</v>
      </c>
      <c r="FG180" t="e">
        <f>AND('OTRAS ACCIONES'!D39,"AAAAAGHt9qI=")</f>
        <v>#VALUE!</v>
      </c>
      <c r="FH180" t="e">
        <f>AND('OTRAS ACCIONES'!E39,"AAAAAGHt9qM=")</f>
        <v>#VALUE!</v>
      </c>
      <c r="FI180" t="e">
        <f>AND('OTRAS ACCIONES'!F39,"AAAAAGHt9qQ=")</f>
        <v>#VALUE!</v>
      </c>
      <c r="FJ180" t="e">
        <f>AND('OTRAS ACCIONES'!G39,"AAAAAGHt9qU=")</f>
        <v>#VALUE!</v>
      </c>
      <c r="FK180" t="e">
        <f>AND('OTRAS ACCIONES'!H39,"AAAAAGHt9qY=")</f>
        <v>#VALUE!</v>
      </c>
      <c r="FL180" t="e">
        <f>AND('OTRAS ACCIONES'!I39,"AAAAAGHt9qc=")</f>
        <v>#VALUE!</v>
      </c>
      <c r="FM180" t="e">
        <f>AND('OTRAS ACCIONES'!J39,"AAAAAGHt9qg=")</f>
        <v>#VALUE!</v>
      </c>
      <c r="FN180" t="e">
        <f>AND('OTRAS ACCIONES'!K39,"AAAAAGHt9qk=")</f>
        <v>#VALUE!</v>
      </c>
      <c r="FO180" t="e">
        <f>AND('OTRAS ACCIONES'!L39,"AAAAAGHt9qo=")</f>
        <v>#VALUE!</v>
      </c>
      <c r="FP180" t="e">
        <f>AND('OTRAS ACCIONES'!M39,"AAAAAGHt9qs=")</f>
        <v>#VALUE!</v>
      </c>
      <c r="FQ180" t="e">
        <f>AND('OTRAS ACCIONES'!N39,"AAAAAGHt9qw=")</f>
        <v>#VALUE!</v>
      </c>
      <c r="FR180" t="e">
        <f>AND('OTRAS ACCIONES'!O39,"AAAAAGHt9q0=")</f>
        <v>#VALUE!</v>
      </c>
      <c r="FS180" t="e">
        <f>AND('OTRAS ACCIONES'!P39,"AAAAAGHt9q4=")</f>
        <v>#VALUE!</v>
      </c>
      <c r="FT180" t="e">
        <f>AND('OTRAS ACCIONES'!Q39,"AAAAAGHt9q8=")</f>
        <v>#VALUE!</v>
      </c>
      <c r="FU180" t="e">
        <f>AND('OTRAS ACCIONES'!R39,"AAAAAGHt9rA=")</f>
        <v>#VALUE!</v>
      </c>
      <c r="FV180" t="e">
        <f>IF('OTRAS ACCIONES'!#REF!,"AAAAAGHt9rE=",0)</f>
        <v>#REF!</v>
      </c>
      <c r="FW180" t="e">
        <f>AND('OTRAS ACCIONES'!#REF!,"AAAAAGHt9rI=")</f>
        <v>#REF!</v>
      </c>
      <c r="FX180" t="e">
        <f>AND('OTRAS ACCIONES'!#REF!,"AAAAAGHt9rM=")</f>
        <v>#REF!</v>
      </c>
      <c r="FY180" t="e">
        <f>AND('OTRAS ACCIONES'!#REF!,"AAAAAGHt9rQ=")</f>
        <v>#REF!</v>
      </c>
      <c r="FZ180" t="e">
        <f>AND('OTRAS ACCIONES'!#REF!,"AAAAAGHt9rU=")</f>
        <v>#REF!</v>
      </c>
      <c r="GA180" t="e">
        <f>AND('OTRAS ACCIONES'!#REF!,"AAAAAGHt9rY=")</f>
        <v>#REF!</v>
      </c>
      <c r="GB180" t="e">
        <f>AND('OTRAS ACCIONES'!#REF!,"AAAAAGHt9rc=")</f>
        <v>#REF!</v>
      </c>
      <c r="GC180" t="e">
        <f>AND('OTRAS ACCIONES'!#REF!,"AAAAAGHt9rg=")</f>
        <v>#REF!</v>
      </c>
      <c r="GD180" t="e">
        <f>AND('OTRAS ACCIONES'!#REF!,"AAAAAGHt9rk=")</f>
        <v>#REF!</v>
      </c>
      <c r="GE180" t="e">
        <f>AND('OTRAS ACCIONES'!#REF!,"AAAAAGHt9ro=")</f>
        <v>#REF!</v>
      </c>
      <c r="GF180" t="e">
        <f>AND('OTRAS ACCIONES'!#REF!,"AAAAAGHt9rs=")</f>
        <v>#REF!</v>
      </c>
      <c r="GG180" t="e">
        <f>AND('OTRAS ACCIONES'!#REF!,"AAAAAGHt9rw=")</f>
        <v>#REF!</v>
      </c>
      <c r="GH180" t="e">
        <f>AND('OTRAS ACCIONES'!#REF!,"AAAAAGHt9r0=")</f>
        <v>#REF!</v>
      </c>
      <c r="GI180" t="e">
        <f>AND('OTRAS ACCIONES'!#REF!,"AAAAAGHt9r4=")</f>
        <v>#REF!</v>
      </c>
      <c r="GJ180" t="e">
        <f>AND('OTRAS ACCIONES'!#REF!,"AAAAAGHt9r8=")</f>
        <v>#REF!</v>
      </c>
      <c r="GK180" t="e">
        <f>AND('OTRAS ACCIONES'!#REF!,"AAAAAGHt9sA=")</f>
        <v>#REF!</v>
      </c>
      <c r="GL180" t="e">
        <f>AND('OTRAS ACCIONES'!#REF!,"AAAAAGHt9sE=")</f>
        <v>#REF!</v>
      </c>
      <c r="GM180" t="e">
        <f>AND('OTRAS ACCIONES'!#REF!,"AAAAAGHt9sI=")</f>
        <v>#REF!</v>
      </c>
      <c r="GN180">
        <f>IF('OTRAS ACCIONES'!44:44,"AAAAAGHt9sM=",0)</f>
        <v>0</v>
      </c>
      <c r="GO180" t="e">
        <f>AND('OTRAS ACCIONES'!B44,"AAAAAGHt9sQ=")</f>
        <v>#VALUE!</v>
      </c>
      <c r="GP180" t="e">
        <f>AND('OTRAS ACCIONES'!C44,"AAAAAGHt9sU=")</f>
        <v>#VALUE!</v>
      </c>
      <c r="GQ180" t="e">
        <f>AND('OTRAS ACCIONES'!D44,"AAAAAGHt9sY=")</f>
        <v>#VALUE!</v>
      </c>
      <c r="GR180" t="e">
        <f>AND('OTRAS ACCIONES'!E44,"AAAAAGHt9sc=")</f>
        <v>#VALUE!</v>
      </c>
      <c r="GS180" t="e">
        <f>AND('OTRAS ACCIONES'!F44,"AAAAAGHt9sg=")</f>
        <v>#VALUE!</v>
      </c>
      <c r="GT180" t="e">
        <f>AND('OTRAS ACCIONES'!G44,"AAAAAGHt9sk=")</f>
        <v>#VALUE!</v>
      </c>
      <c r="GU180" t="e">
        <f>AND('OTRAS ACCIONES'!H44,"AAAAAGHt9so=")</f>
        <v>#VALUE!</v>
      </c>
      <c r="GV180" t="e">
        <f>AND('OTRAS ACCIONES'!I44,"AAAAAGHt9ss=")</f>
        <v>#VALUE!</v>
      </c>
      <c r="GW180" t="e">
        <f>AND('OTRAS ACCIONES'!J44,"AAAAAGHt9sw=")</f>
        <v>#VALUE!</v>
      </c>
      <c r="GX180" t="e">
        <f>AND('OTRAS ACCIONES'!K44,"AAAAAGHt9s0=")</f>
        <v>#VALUE!</v>
      </c>
      <c r="GY180" t="e">
        <f>AND('OTRAS ACCIONES'!L44,"AAAAAGHt9s4=")</f>
        <v>#VALUE!</v>
      </c>
      <c r="GZ180" t="e">
        <f>AND('OTRAS ACCIONES'!M44,"AAAAAGHt9s8=")</f>
        <v>#VALUE!</v>
      </c>
      <c r="HA180" t="e">
        <f>AND('OTRAS ACCIONES'!N44,"AAAAAGHt9tA=")</f>
        <v>#VALUE!</v>
      </c>
      <c r="HB180" t="e">
        <f>AND('OTRAS ACCIONES'!O44,"AAAAAGHt9tE=")</f>
        <v>#VALUE!</v>
      </c>
      <c r="HC180" t="e">
        <f>AND('OTRAS ACCIONES'!P44,"AAAAAGHt9tI=")</f>
        <v>#VALUE!</v>
      </c>
      <c r="HD180" t="e">
        <f>AND('OTRAS ACCIONES'!Q44,"AAAAAGHt9tM=")</f>
        <v>#VALUE!</v>
      </c>
      <c r="HE180" t="e">
        <f>AND('OTRAS ACCIONES'!R44,"AAAAAGHt9tQ=")</f>
        <v>#VALUE!</v>
      </c>
      <c r="HF180" t="e">
        <f>IF('OTRAS ACCIONES'!#REF!,"AAAAAGHt9tU=",0)</f>
        <v>#REF!</v>
      </c>
      <c r="HG180" t="e">
        <f>AND('OTRAS ACCIONES'!#REF!,"AAAAAGHt9tY=")</f>
        <v>#REF!</v>
      </c>
      <c r="HH180" t="e">
        <f>AND('OTRAS ACCIONES'!#REF!,"AAAAAGHt9tc=")</f>
        <v>#REF!</v>
      </c>
      <c r="HI180" t="e">
        <f>AND('OTRAS ACCIONES'!#REF!,"AAAAAGHt9tg=")</f>
        <v>#REF!</v>
      </c>
      <c r="HJ180" t="e">
        <f>AND('OTRAS ACCIONES'!#REF!,"AAAAAGHt9tk=")</f>
        <v>#REF!</v>
      </c>
      <c r="HK180" t="e">
        <f>AND('OTRAS ACCIONES'!#REF!,"AAAAAGHt9to=")</f>
        <v>#REF!</v>
      </c>
      <c r="HL180" t="e">
        <f>AND('OTRAS ACCIONES'!#REF!,"AAAAAGHt9ts=")</f>
        <v>#REF!</v>
      </c>
      <c r="HM180" t="e">
        <f>AND('OTRAS ACCIONES'!#REF!,"AAAAAGHt9tw=")</f>
        <v>#REF!</v>
      </c>
      <c r="HN180" t="e">
        <f>AND('OTRAS ACCIONES'!#REF!,"AAAAAGHt9t0=")</f>
        <v>#REF!</v>
      </c>
      <c r="HO180" t="e">
        <f>AND('OTRAS ACCIONES'!#REF!,"AAAAAGHt9t4=")</f>
        <v>#REF!</v>
      </c>
      <c r="HP180" t="e">
        <f>AND('OTRAS ACCIONES'!#REF!,"AAAAAGHt9t8=")</f>
        <v>#REF!</v>
      </c>
      <c r="HQ180" t="e">
        <f>AND('OTRAS ACCIONES'!#REF!,"AAAAAGHt9uA=")</f>
        <v>#REF!</v>
      </c>
      <c r="HR180" t="e">
        <f>AND('OTRAS ACCIONES'!#REF!,"AAAAAGHt9uE=")</f>
        <v>#REF!</v>
      </c>
      <c r="HS180" t="e">
        <f>AND('OTRAS ACCIONES'!#REF!,"AAAAAGHt9uI=")</f>
        <v>#REF!</v>
      </c>
      <c r="HT180" t="e">
        <f>AND('OTRAS ACCIONES'!#REF!,"AAAAAGHt9uM=")</f>
        <v>#REF!</v>
      </c>
      <c r="HU180" t="e">
        <f>AND('OTRAS ACCIONES'!#REF!,"AAAAAGHt9uQ=")</f>
        <v>#REF!</v>
      </c>
      <c r="HV180" t="e">
        <f>AND('OTRAS ACCIONES'!#REF!,"AAAAAGHt9uU=")</f>
        <v>#REF!</v>
      </c>
      <c r="HW180" t="e">
        <f>AND('OTRAS ACCIONES'!#REF!,"AAAAAGHt9uY=")</f>
        <v>#REF!</v>
      </c>
      <c r="HX180">
        <f>IF('OTRAS ACCIONES'!45:45,"AAAAAGHt9uc=",0)</f>
        <v>0</v>
      </c>
      <c r="HY180" t="e">
        <f>AND('OTRAS ACCIONES'!B45,"AAAAAGHt9ug=")</f>
        <v>#VALUE!</v>
      </c>
      <c r="HZ180" t="e">
        <f>AND('OTRAS ACCIONES'!C45,"AAAAAGHt9uk=")</f>
        <v>#VALUE!</v>
      </c>
      <c r="IA180" t="e">
        <f>AND('OTRAS ACCIONES'!D45,"AAAAAGHt9uo=")</f>
        <v>#VALUE!</v>
      </c>
      <c r="IB180" t="e">
        <f>AND('OTRAS ACCIONES'!E45,"AAAAAGHt9us=")</f>
        <v>#VALUE!</v>
      </c>
      <c r="IC180" t="e">
        <f>AND('OTRAS ACCIONES'!F45,"AAAAAGHt9uw=")</f>
        <v>#VALUE!</v>
      </c>
      <c r="ID180" t="e">
        <f>AND('OTRAS ACCIONES'!G45,"AAAAAGHt9u0=")</f>
        <v>#VALUE!</v>
      </c>
      <c r="IE180" t="e">
        <f>AND('OTRAS ACCIONES'!H45,"AAAAAGHt9u4=")</f>
        <v>#VALUE!</v>
      </c>
      <c r="IF180" t="e">
        <f>AND('OTRAS ACCIONES'!I45,"AAAAAGHt9u8=")</f>
        <v>#VALUE!</v>
      </c>
      <c r="IG180" t="e">
        <f>AND('OTRAS ACCIONES'!J45,"AAAAAGHt9vA=")</f>
        <v>#VALUE!</v>
      </c>
      <c r="IH180" t="e">
        <f>AND('OTRAS ACCIONES'!K45,"AAAAAGHt9vE=")</f>
        <v>#VALUE!</v>
      </c>
      <c r="II180" t="e">
        <f>AND('OTRAS ACCIONES'!L45,"AAAAAGHt9vI=")</f>
        <v>#VALUE!</v>
      </c>
      <c r="IJ180" t="e">
        <f>AND('OTRAS ACCIONES'!M45,"AAAAAGHt9vM=")</f>
        <v>#VALUE!</v>
      </c>
      <c r="IK180" t="e">
        <f>AND('OTRAS ACCIONES'!N45,"AAAAAGHt9vQ=")</f>
        <v>#VALUE!</v>
      </c>
      <c r="IL180" t="e">
        <f>AND('OTRAS ACCIONES'!O45,"AAAAAGHt9vU=")</f>
        <v>#VALUE!</v>
      </c>
      <c r="IM180" t="e">
        <f>AND('OTRAS ACCIONES'!P45,"AAAAAGHt9vY=")</f>
        <v>#VALUE!</v>
      </c>
      <c r="IN180" t="e">
        <f>AND('OTRAS ACCIONES'!Q45,"AAAAAGHt9vc=")</f>
        <v>#VALUE!</v>
      </c>
      <c r="IO180" t="e">
        <f>AND('OTRAS ACCIONES'!R45,"AAAAAGHt9vg=")</f>
        <v>#VALUE!</v>
      </c>
      <c r="IP180" t="e">
        <f>IF('OTRAS ACCIONES'!#REF!,"AAAAAGHt9vk=",0)</f>
        <v>#REF!</v>
      </c>
      <c r="IQ180" t="e">
        <f>AND('OTRAS ACCIONES'!#REF!,"AAAAAGHt9vo=")</f>
        <v>#REF!</v>
      </c>
      <c r="IR180" t="e">
        <f>AND('OTRAS ACCIONES'!#REF!,"AAAAAGHt9vs=")</f>
        <v>#REF!</v>
      </c>
      <c r="IS180" t="e">
        <f>AND('OTRAS ACCIONES'!#REF!,"AAAAAGHt9vw=")</f>
        <v>#REF!</v>
      </c>
      <c r="IT180" t="e">
        <f>AND('OTRAS ACCIONES'!#REF!,"AAAAAGHt9v0=")</f>
        <v>#REF!</v>
      </c>
      <c r="IU180" t="e">
        <f>AND('OTRAS ACCIONES'!#REF!,"AAAAAGHt9v4=")</f>
        <v>#REF!</v>
      </c>
      <c r="IV180" t="e">
        <f>AND('OTRAS ACCIONES'!#REF!,"AAAAAGHt9v8=")</f>
        <v>#REF!</v>
      </c>
    </row>
    <row r="181" spans="1:256" x14ac:dyDescent="0.2">
      <c r="A181" t="e">
        <f>AND('OTRAS ACCIONES'!#REF!,"AAAAAC67/gA=")</f>
        <v>#REF!</v>
      </c>
      <c r="B181" t="e">
        <f>AND('OTRAS ACCIONES'!#REF!,"AAAAAC67/gE=")</f>
        <v>#REF!</v>
      </c>
      <c r="C181" t="e">
        <f>AND('OTRAS ACCIONES'!#REF!,"AAAAAC67/gI=")</f>
        <v>#REF!</v>
      </c>
      <c r="D181" t="e">
        <f>AND('OTRAS ACCIONES'!#REF!,"AAAAAC67/gM=")</f>
        <v>#REF!</v>
      </c>
      <c r="E181" t="e">
        <f>AND('OTRAS ACCIONES'!#REF!,"AAAAAC67/gQ=")</f>
        <v>#REF!</v>
      </c>
      <c r="F181" t="e">
        <f>AND('OTRAS ACCIONES'!#REF!,"AAAAAC67/gU=")</f>
        <v>#REF!</v>
      </c>
      <c r="G181" t="e">
        <f>AND('OTRAS ACCIONES'!#REF!,"AAAAAC67/gY=")</f>
        <v>#REF!</v>
      </c>
      <c r="H181" t="e">
        <f>AND('OTRAS ACCIONES'!#REF!,"AAAAAC67/gc=")</f>
        <v>#REF!</v>
      </c>
      <c r="I181" t="e">
        <f>AND('OTRAS ACCIONES'!#REF!,"AAAAAC67/gg=")</f>
        <v>#REF!</v>
      </c>
      <c r="J181" t="e">
        <f>AND('OTRAS ACCIONES'!#REF!,"AAAAAC67/gk=")</f>
        <v>#REF!</v>
      </c>
      <c r="K181" t="e">
        <f>AND('OTRAS ACCIONES'!#REF!,"AAAAAC67/go=")</f>
        <v>#REF!</v>
      </c>
      <c r="L181" t="e">
        <f>IF('OTRAS ACCIONES'!#REF!,"AAAAAC67/gs=",0)</f>
        <v>#REF!</v>
      </c>
      <c r="M181" t="e">
        <f>AND('OTRAS ACCIONES'!#REF!,"AAAAAC67/gw=")</f>
        <v>#REF!</v>
      </c>
      <c r="N181" t="e">
        <f>AND('OTRAS ACCIONES'!#REF!,"AAAAAC67/g0=")</f>
        <v>#REF!</v>
      </c>
      <c r="O181" t="e">
        <f>AND('OTRAS ACCIONES'!#REF!,"AAAAAC67/g4=")</f>
        <v>#REF!</v>
      </c>
      <c r="P181" t="e">
        <f>AND('OTRAS ACCIONES'!#REF!,"AAAAAC67/g8=")</f>
        <v>#REF!</v>
      </c>
      <c r="Q181" t="e">
        <f>AND('OTRAS ACCIONES'!#REF!,"AAAAAC67/hA=")</f>
        <v>#REF!</v>
      </c>
      <c r="R181" t="e">
        <f>AND('OTRAS ACCIONES'!#REF!,"AAAAAC67/hE=")</f>
        <v>#REF!</v>
      </c>
      <c r="S181" t="e">
        <f>AND('OTRAS ACCIONES'!#REF!,"AAAAAC67/hI=")</f>
        <v>#REF!</v>
      </c>
      <c r="T181" t="e">
        <f>AND('OTRAS ACCIONES'!#REF!,"AAAAAC67/hM=")</f>
        <v>#REF!</v>
      </c>
      <c r="U181" t="e">
        <f>AND('OTRAS ACCIONES'!#REF!,"AAAAAC67/hQ=")</f>
        <v>#REF!</v>
      </c>
      <c r="V181" t="e">
        <f>AND('OTRAS ACCIONES'!#REF!,"AAAAAC67/hU=")</f>
        <v>#REF!</v>
      </c>
      <c r="W181" t="e">
        <f>AND('OTRAS ACCIONES'!#REF!,"AAAAAC67/hY=")</f>
        <v>#REF!</v>
      </c>
      <c r="X181" t="e">
        <f>AND('OTRAS ACCIONES'!#REF!,"AAAAAC67/hc=")</f>
        <v>#REF!</v>
      </c>
      <c r="Y181" t="e">
        <f>AND('OTRAS ACCIONES'!#REF!,"AAAAAC67/hg=")</f>
        <v>#REF!</v>
      </c>
      <c r="Z181" t="e">
        <f>AND('OTRAS ACCIONES'!#REF!,"AAAAAC67/hk=")</f>
        <v>#REF!</v>
      </c>
      <c r="AA181" t="e">
        <f>AND('OTRAS ACCIONES'!#REF!,"AAAAAC67/ho=")</f>
        <v>#REF!</v>
      </c>
      <c r="AB181" t="e">
        <f>AND('OTRAS ACCIONES'!#REF!,"AAAAAC67/hs=")</f>
        <v>#REF!</v>
      </c>
      <c r="AC181" t="e">
        <f>AND('OTRAS ACCIONES'!#REF!,"AAAAAC67/hw=")</f>
        <v>#REF!</v>
      </c>
      <c r="AD181">
        <f>IF('OTRAS ACCIONES'!67:67,"AAAAAC67/h0=",0)</f>
        <v>0</v>
      </c>
      <c r="AE181" t="e">
        <f>AND('OTRAS ACCIONES'!B67,"AAAAAC67/h4=")</f>
        <v>#VALUE!</v>
      </c>
      <c r="AF181" t="e">
        <f>AND('OTRAS ACCIONES'!C67,"AAAAAC67/h8=")</f>
        <v>#VALUE!</v>
      </c>
      <c r="AG181" t="e">
        <f>AND('OTRAS ACCIONES'!D67,"AAAAAC67/iA=")</f>
        <v>#VALUE!</v>
      </c>
      <c r="AH181" t="e">
        <f>AND('OTRAS ACCIONES'!E67,"AAAAAC67/iE=")</f>
        <v>#VALUE!</v>
      </c>
      <c r="AI181" t="e">
        <f>AND('OTRAS ACCIONES'!F67,"AAAAAC67/iI=")</f>
        <v>#VALUE!</v>
      </c>
      <c r="AJ181" t="e">
        <f>AND('OTRAS ACCIONES'!G67,"AAAAAC67/iM=")</f>
        <v>#VALUE!</v>
      </c>
      <c r="AK181" t="e">
        <f>AND('OTRAS ACCIONES'!H67,"AAAAAC67/iQ=")</f>
        <v>#VALUE!</v>
      </c>
      <c r="AL181" t="e">
        <f>AND('OTRAS ACCIONES'!I67,"AAAAAC67/iU=")</f>
        <v>#VALUE!</v>
      </c>
      <c r="AM181" t="e">
        <f>AND('OTRAS ACCIONES'!J67,"AAAAAC67/iY=")</f>
        <v>#VALUE!</v>
      </c>
      <c r="AN181" t="e">
        <f>AND('OTRAS ACCIONES'!K67,"AAAAAC67/ic=")</f>
        <v>#VALUE!</v>
      </c>
      <c r="AO181" t="e">
        <f>AND('OTRAS ACCIONES'!L67,"AAAAAC67/ig=")</f>
        <v>#VALUE!</v>
      </c>
      <c r="AP181" t="e">
        <f>AND('OTRAS ACCIONES'!M67,"AAAAAC67/ik=")</f>
        <v>#VALUE!</v>
      </c>
      <c r="AQ181" t="e">
        <f>AND('OTRAS ACCIONES'!N67,"AAAAAC67/io=")</f>
        <v>#VALUE!</v>
      </c>
      <c r="AR181" t="e">
        <f>AND('OTRAS ACCIONES'!O67,"AAAAAC67/is=")</f>
        <v>#VALUE!</v>
      </c>
      <c r="AS181" t="e">
        <f>AND('OTRAS ACCIONES'!P67,"AAAAAC67/iw=")</f>
        <v>#VALUE!</v>
      </c>
      <c r="AT181" t="e">
        <f>AND('OTRAS ACCIONES'!Q67,"AAAAAC67/i0=")</f>
        <v>#VALUE!</v>
      </c>
      <c r="AU181" t="e">
        <f>AND('OTRAS ACCIONES'!R67,"AAAAAC67/i4=")</f>
        <v>#VALUE!</v>
      </c>
      <c r="AV181">
        <f>IF('OTRAS ACCIONES'!68:68,"AAAAAC67/i8=",0)</f>
        <v>0</v>
      </c>
      <c r="AW181" t="e">
        <f>AND('OTRAS ACCIONES'!B68,"AAAAAC67/jA=")</f>
        <v>#VALUE!</v>
      </c>
      <c r="AX181" t="e">
        <f>AND('OTRAS ACCIONES'!C68,"AAAAAC67/jE=")</f>
        <v>#VALUE!</v>
      </c>
      <c r="AY181" t="e">
        <f>AND('OTRAS ACCIONES'!D68,"AAAAAC67/jI=")</f>
        <v>#VALUE!</v>
      </c>
      <c r="AZ181" t="e">
        <f>AND('OTRAS ACCIONES'!E68,"AAAAAC67/jM=")</f>
        <v>#VALUE!</v>
      </c>
      <c r="BA181" t="e">
        <f>AND('OTRAS ACCIONES'!F68,"AAAAAC67/jQ=")</f>
        <v>#VALUE!</v>
      </c>
      <c r="BB181" t="e">
        <f>AND('OTRAS ACCIONES'!G68,"AAAAAC67/jU=")</f>
        <v>#VALUE!</v>
      </c>
      <c r="BC181" t="e">
        <f>AND('OTRAS ACCIONES'!H68,"AAAAAC67/jY=")</f>
        <v>#VALUE!</v>
      </c>
      <c r="BD181" t="e">
        <f>AND('OTRAS ACCIONES'!I68,"AAAAAC67/jc=")</f>
        <v>#VALUE!</v>
      </c>
      <c r="BE181" t="e">
        <f>AND('OTRAS ACCIONES'!J68,"AAAAAC67/jg=")</f>
        <v>#VALUE!</v>
      </c>
      <c r="BF181" t="e">
        <f>AND('OTRAS ACCIONES'!K68,"AAAAAC67/jk=")</f>
        <v>#VALUE!</v>
      </c>
      <c r="BG181" t="e">
        <f>AND('OTRAS ACCIONES'!L68,"AAAAAC67/jo=")</f>
        <v>#VALUE!</v>
      </c>
      <c r="BH181" t="e">
        <f>AND('OTRAS ACCIONES'!M68,"AAAAAC67/js=")</f>
        <v>#VALUE!</v>
      </c>
      <c r="BI181" t="e">
        <f>AND('OTRAS ACCIONES'!N68,"AAAAAC67/jw=")</f>
        <v>#VALUE!</v>
      </c>
      <c r="BJ181" t="e">
        <f>AND('OTRAS ACCIONES'!O68,"AAAAAC67/j0=")</f>
        <v>#VALUE!</v>
      </c>
      <c r="BK181" t="e">
        <f>AND('OTRAS ACCIONES'!P68,"AAAAAC67/j4=")</f>
        <v>#VALUE!</v>
      </c>
      <c r="BL181" t="e">
        <f>AND('OTRAS ACCIONES'!Q68,"AAAAAC67/j8=")</f>
        <v>#VALUE!</v>
      </c>
      <c r="BM181" t="e">
        <f>AND('OTRAS ACCIONES'!R68,"AAAAAC67/kA=")</f>
        <v>#VALUE!</v>
      </c>
      <c r="BN181" t="e">
        <f>IF('OTRAS ACCIONES'!#REF!,"AAAAAC67/kE=",0)</f>
        <v>#REF!</v>
      </c>
      <c r="BO181" t="e">
        <f>AND('OTRAS ACCIONES'!#REF!,"AAAAAC67/kI=")</f>
        <v>#REF!</v>
      </c>
      <c r="BP181" t="e">
        <f>AND('OTRAS ACCIONES'!#REF!,"AAAAAC67/kM=")</f>
        <v>#REF!</v>
      </c>
      <c r="BQ181" t="e">
        <f>AND('OTRAS ACCIONES'!#REF!,"AAAAAC67/kQ=")</f>
        <v>#REF!</v>
      </c>
      <c r="BR181" t="e">
        <f>AND('OTRAS ACCIONES'!#REF!,"AAAAAC67/kU=")</f>
        <v>#REF!</v>
      </c>
      <c r="BS181" t="e">
        <f>AND('OTRAS ACCIONES'!#REF!,"AAAAAC67/kY=")</f>
        <v>#REF!</v>
      </c>
      <c r="BT181" t="e">
        <f>AND('OTRAS ACCIONES'!#REF!,"AAAAAC67/kc=")</f>
        <v>#REF!</v>
      </c>
      <c r="BU181" t="e">
        <f>AND('OTRAS ACCIONES'!#REF!,"AAAAAC67/kg=")</f>
        <v>#REF!</v>
      </c>
      <c r="BV181" t="e">
        <f>AND('OTRAS ACCIONES'!#REF!,"AAAAAC67/kk=")</f>
        <v>#REF!</v>
      </c>
      <c r="BW181" t="e">
        <f>AND('OTRAS ACCIONES'!#REF!,"AAAAAC67/ko=")</f>
        <v>#REF!</v>
      </c>
      <c r="BX181" t="e">
        <f>AND('OTRAS ACCIONES'!#REF!,"AAAAAC67/ks=")</f>
        <v>#REF!</v>
      </c>
      <c r="BY181" t="e">
        <f>AND('OTRAS ACCIONES'!#REF!,"AAAAAC67/kw=")</f>
        <v>#REF!</v>
      </c>
      <c r="BZ181" t="e">
        <f>AND('OTRAS ACCIONES'!#REF!,"AAAAAC67/k0=")</f>
        <v>#REF!</v>
      </c>
      <c r="CA181" t="e">
        <f>AND('OTRAS ACCIONES'!#REF!,"AAAAAC67/k4=")</f>
        <v>#REF!</v>
      </c>
      <c r="CB181" t="e">
        <f>AND('OTRAS ACCIONES'!#REF!,"AAAAAC67/k8=")</f>
        <v>#REF!</v>
      </c>
      <c r="CC181" t="e">
        <f>AND('OTRAS ACCIONES'!#REF!,"AAAAAC67/lA=")</f>
        <v>#REF!</v>
      </c>
      <c r="CD181" t="e">
        <f>AND('OTRAS ACCIONES'!#REF!,"AAAAAC67/lE=")</f>
        <v>#REF!</v>
      </c>
      <c r="CE181" t="e">
        <f>AND('OTRAS ACCIONES'!#REF!,"AAAAAC67/lI=")</f>
        <v>#REF!</v>
      </c>
      <c r="CF181" t="e">
        <f>IF('OTRAS ACCIONES'!#REF!,"AAAAAC67/lM=",0)</f>
        <v>#REF!</v>
      </c>
      <c r="CG181" t="e">
        <f>AND('OTRAS ACCIONES'!#REF!,"AAAAAC67/lQ=")</f>
        <v>#REF!</v>
      </c>
      <c r="CH181" t="e">
        <f>AND('OTRAS ACCIONES'!#REF!,"AAAAAC67/lU=")</f>
        <v>#REF!</v>
      </c>
      <c r="CI181" t="e">
        <f>AND('OTRAS ACCIONES'!#REF!,"AAAAAC67/lY=")</f>
        <v>#REF!</v>
      </c>
      <c r="CJ181" t="e">
        <f>AND('OTRAS ACCIONES'!#REF!,"AAAAAC67/lc=")</f>
        <v>#REF!</v>
      </c>
      <c r="CK181" t="e">
        <f>AND('OTRAS ACCIONES'!#REF!,"AAAAAC67/lg=")</f>
        <v>#REF!</v>
      </c>
      <c r="CL181" t="e">
        <f>AND('OTRAS ACCIONES'!#REF!,"AAAAAC67/lk=")</f>
        <v>#REF!</v>
      </c>
      <c r="CM181" t="e">
        <f>AND('OTRAS ACCIONES'!#REF!,"AAAAAC67/lo=")</f>
        <v>#REF!</v>
      </c>
      <c r="CN181" t="e">
        <f>AND('OTRAS ACCIONES'!#REF!,"AAAAAC67/ls=")</f>
        <v>#REF!</v>
      </c>
      <c r="CO181" t="e">
        <f>AND('OTRAS ACCIONES'!#REF!,"AAAAAC67/lw=")</f>
        <v>#REF!</v>
      </c>
      <c r="CP181" t="e">
        <f>AND('OTRAS ACCIONES'!#REF!,"AAAAAC67/l0=")</f>
        <v>#REF!</v>
      </c>
      <c r="CQ181" t="e">
        <f>AND('OTRAS ACCIONES'!#REF!,"AAAAAC67/l4=")</f>
        <v>#REF!</v>
      </c>
      <c r="CR181" t="e">
        <f>AND('OTRAS ACCIONES'!#REF!,"AAAAAC67/l8=")</f>
        <v>#REF!</v>
      </c>
      <c r="CS181" t="e">
        <f>AND('OTRAS ACCIONES'!#REF!,"AAAAAC67/mA=")</f>
        <v>#REF!</v>
      </c>
      <c r="CT181" t="e">
        <f>AND('OTRAS ACCIONES'!#REF!,"AAAAAC67/mE=")</f>
        <v>#REF!</v>
      </c>
      <c r="CU181" t="e">
        <f>AND('OTRAS ACCIONES'!#REF!,"AAAAAC67/mI=")</f>
        <v>#REF!</v>
      </c>
      <c r="CV181" t="e">
        <f>AND('OTRAS ACCIONES'!#REF!,"AAAAAC67/mM=")</f>
        <v>#REF!</v>
      </c>
      <c r="CW181" t="e">
        <f>AND('OTRAS ACCIONES'!#REF!,"AAAAAC67/mQ=")</f>
        <v>#REF!</v>
      </c>
      <c r="CX181" t="e">
        <f>IF('OTRAS ACCIONES'!#REF!,"AAAAAC67/mU=",0)</f>
        <v>#REF!</v>
      </c>
      <c r="CY181" t="e">
        <f>AND('OTRAS ACCIONES'!#REF!,"AAAAAC67/mY=")</f>
        <v>#REF!</v>
      </c>
      <c r="CZ181" t="e">
        <f>AND('OTRAS ACCIONES'!#REF!,"AAAAAC67/mc=")</f>
        <v>#REF!</v>
      </c>
      <c r="DA181" t="e">
        <f>AND('OTRAS ACCIONES'!#REF!,"AAAAAC67/mg=")</f>
        <v>#REF!</v>
      </c>
      <c r="DB181" t="e">
        <f>AND('OTRAS ACCIONES'!#REF!,"AAAAAC67/mk=")</f>
        <v>#REF!</v>
      </c>
      <c r="DC181" t="e">
        <f>AND('OTRAS ACCIONES'!#REF!,"AAAAAC67/mo=")</f>
        <v>#REF!</v>
      </c>
      <c r="DD181" t="e">
        <f>AND('OTRAS ACCIONES'!#REF!,"AAAAAC67/ms=")</f>
        <v>#REF!</v>
      </c>
      <c r="DE181" t="e">
        <f>AND('OTRAS ACCIONES'!#REF!,"AAAAAC67/mw=")</f>
        <v>#REF!</v>
      </c>
      <c r="DF181" t="e">
        <f>AND('OTRAS ACCIONES'!#REF!,"AAAAAC67/m0=")</f>
        <v>#REF!</v>
      </c>
      <c r="DG181" t="e">
        <f>AND('OTRAS ACCIONES'!#REF!,"AAAAAC67/m4=")</f>
        <v>#REF!</v>
      </c>
      <c r="DH181" t="e">
        <f>AND('OTRAS ACCIONES'!#REF!,"AAAAAC67/m8=")</f>
        <v>#REF!</v>
      </c>
      <c r="DI181" t="e">
        <f>AND('OTRAS ACCIONES'!#REF!,"AAAAAC67/nA=")</f>
        <v>#REF!</v>
      </c>
      <c r="DJ181" t="e">
        <f>AND('OTRAS ACCIONES'!#REF!,"AAAAAC67/nE=")</f>
        <v>#REF!</v>
      </c>
      <c r="DK181" t="e">
        <f>AND('OTRAS ACCIONES'!#REF!,"AAAAAC67/nI=")</f>
        <v>#REF!</v>
      </c>
      <c r="DL181" t="e">
        <f>AND('OTRAS ACCIONES'!#REF!,"AAAAAC67/nM=")</f>
        <v>#REF!</v>
      </c>
      <c r="DM181" t="e">
        <f>AND('OTRAS ACCIONES'!#REF!,"AAAAAC67/nQ=")</f>
        <v>#REF!</v>
      </c>
      <c r="DN181" t="e">
        <f>AND('OTRAS ACCIONES'!#REF!,"AAAAAC67/nU=")</f>
        <v>#REF!</v>
      </c>
      <c r="DO181" t="e">
        <f>AND('OTRAS ACCIONES'!#REF!,"AAAAAC67/nY=")</f>
        <v>#REF!</v>
      </c>
      <c r="DP181" t="e">
        <f>IF('OTRAS ACCIONES'!#REF!,"AAAAAC67/nc=",0)</f>
        <v>#REF!</v>
      </c>
      <c r="DQ181" t="e">
        <f>AND('OTRAS ACCIONES'!#REF!,"AAAAAC67/ng=")</f>
        <v>#REF!</v>
      </c>
      <c r="DR181" t="e">
        <f>AND('OTRAS ACCIONES'!#REF!,"AAAAAC67/nk=")</f>
        <v>#REF!</v>
      </c>
      <c r="DS181" t="e">
        <f>AND('OTRAS ACCIONES'!#REF!,"AAAAAC67/no=")</f>
        <v>#REF!</v>
      </c>
      <c r="DT181" t="e">
        <f>AND('OTRAS ACCIONES'!#REF!,"AAAAAC67/ns=")</f>
        <v>#REF!</v>
      </c>
      <c r="DU181" t="e">
        <f>AND('OTRAS ACCIONES'!#REF!,"AAAAAC67/nw=")</f>
        <v>#REF!</v>
      </c>
      <c r="DV181" t="e">
        <f>AND('OTRAS ACCIONES'!#REF!,"AAAAAC67/n0=")</f>
        <v>#REF!</v>
      </c>
      <c r="DW181" t="e">
        <f>AND('OTRAS ACCIONES'!#REF!,"AAAAAC67/n4=")</f>
        <v>#REF!</v>
      </c>
      <c r="DX181" t="e">
        <f>AND('OTRAS ACCIONES'!#REF!,"AAAAAC67/n8=")</f>
        <v>#REF!</v>
      </c>
      <c r="DY181" t="e">
        <f>AND('OTRAS ACCIONES'!#REF!,"AAAAAC67/oA=")</f>
        <v>#REF!</v>
      </c>
      <c r="DZ181" t="e">
        <f>AND('OTRAS ACCIONES'!#REF!,"AAAAAC67/oE=")</f>
        <v>#REF!</v>
      </c>
      <c r="EA181" t="e">
        <f>AND('OTRAS ACCIONES'!#REF!,"AAAAAC67/oI=")</f>
        <v>#REF!</v>
      </c>
      <c r="EB181" t="e">
        <f>AND('OTRAS ACCIONES'!#REF!,"AAAAAC67/oM=")</f>
        <v>#REF!</v>
      </c>
      <c r="EC181" t="e">
        <f>AND('OTRAS ACCIONES'!#REF!,"AAAAAC67/oQ=")</f>
        <v>#REF!</v>
      </c>
      <c r="ED181" t="e">
        <f>AND('OTRAS ACCIONES'!#REF!,"AAAAAC67/oU=")</f>
        <v>#REF!</v>
      </c>
      <c r="EE181" t="e">
        <f>AND('OTRAS ACCIONES'!#REF!,"AAAAAC67/oY=")</f>
        <v>#REF!</v>
      </c>
      <c r="EF181" t="e">
        <f>AND('OTRAS ACCIONES'!#REF!,"AAAAAC67/oc=")</f>
        <v>#REF!</v>
      </c>
      <c r="EG181" t="e">
        <f>AND('OTRAS ACCIONES'!#REF!,"AAAAAC67/og=")</f>
        <v>#REF!</v>
      </c>
      <c r="EH181" t="e">
        <f>IF('OTRAS ACCIONES'!#REF!,"AAAAAC67/ok=",0)</f>
        <v>#REF!</v>
      </c>
      <c r="EI181" t="e">
        <f>AND('OTRAS ACCIONES'!#REF!,"AAAAAC67/oo=")</f>
        <v>#REF!</v>
      </c>
      <c r="EJ181" t="e">
        <f>AND('OTRAS ACCIONES'!#REF!,"AAAAAC67/os=")</f>
        <v>#REF!</v>
      </c>
      <c r="EK181" t="e">
        <f>AND('OTRAS ACCIONES'!#REF!,"AAAAAC67/ow=")</f>
        <v>#REF!</v>
      </c>
      <c r="EL181" t="e">
        <f>AND('OTRAS ACCIONES'!#REF!,"AAAAAC67/o0=")</f>
        <v>#REF!</v>
      </c>
      <c r="EM181" t="e">
        <f>AND('OTRAS ACCIONES'!#REF!,"AAAAAC67/o4=")</f>
        <v>#REF!</v>
      </c>
      <c r="EN181" t="e">
        <f>AND('OTRAS ACCIONES'!#REF!,"AAAAAC67/o8=")</f>
        <v>#REF!</v>
      </c>
      <c r="EO181" t="e">
        <f>AND('OTRAS ACCIONES'!#REF!,"AAAAAC67/pA=")</f>
        <v>#REF!</v>
      </c>
      <c r="EP181" t="e">
        <f>AND('OTRAS ACCIONES'!#REF!,"AAAAAC67/pE=")</f>
        <v>#REF!</v>
      </c>
      <c r="EQ181" t="e">
        <f>AND('OTRAS ACCIONES'!#REF!,"AAAAAC67/pI=")</f>
        <v>#REF!</v>
      </c>
      <c r="ER181" t="e">
        <f>AND('OTRAS ACCIONES'!#REF!,"AAAAAC67/pM=")</f>
        <v>#REF!</v>
      </c>
      <c r="ES181" t="e">
        <f>AND('OTRAS ACCIONES'!#REF!,"AAAAAC67/pQ=")</f>
        <v>#REF!</v>
      </c>
      <c r="ET181" t="e">
        <f>AND('OTRAS ACCIONES'!#REF!,"AAAAAC67/pU=")</f>
        <v>#REF!</v>
      </c>
      <c r="EU181" t="e">
        <f>AND('OTRAS ACCIONES'!#REF!,"AAAAAC67/pY=")</f>
        <v>#REF!</v>
      </c>
      <c r="EV181" t="e">
        <f>AND('OTRAS ACCIONES'!#REF!,"AAAAAC67/pc=")</f>
        <v>#REF!</v>
      </c>
      <c r="EW181" t="e">
        <f>AND('OTRAS ACCIONES'!#REF!,"AAAAAC67/pg=")</f>
        <v>#REF!</v>
      </c>
      <c r="EX181" t="e">
        <f>AND('OTRAS ACCIONES'!#REF!,"AAAAAC67/pk=")</f>
        <v>#REF!</v>
      </c>
      <c r="EY181" t="e">
        <f>AND('OTRAS ACCIONES'!#REF!,"AAAAAC67/po=")</f>
        <v>#REF!</v>
      </c>
      <c r="EZ181" t="e">
        <f>IF('OTRAS ACCIONES'!#REF!,"AAAAAC67/ps=",0)</f>
        <v>#REF!</v>
      </c>
      <c r="FA181" t="e">
        <f>AND('OTRAS ACCIONES'!#REF!,"AAAAAC67/pw=")</f>
        <v>#REF!</v>
      </c>
      <c r="FB181" t="e">
        <f>AND('OTRAS ACCIONES'!#REF!,"AAAAAC67/p0=")</f>
        <v>#REF!</v>
      </c>
      <c r="FC181" t="e">
        <f>AND('OTRAS ACCIONES'!#REF!,"AAAAAC67/p4=")</f>
        <v>#REF!</v>
      </c>
      <c r="FD181" t="e">
        <f>AND('OTRAS ACCIONES'!#REF!,"AAAAAC67/p8=")</f>
        <v>#REF!</v>
      </c>
      <c r="FE181" t="e">
        <f>AND('OTRAS ACCIONES'!#REF!,"AAAAAC67/qA=")</f>
        <v>#REF!</v>
      </c>
      <c r="FF181" t="e">
        <f>AND('OTRAS ACCIONES'!#REF!,"AAAAAC67/qE=")</f>
        <v>#REF!</v>
      </c>
      <c r="FG181" t="e">
        <f>AND('OTRAS ACCIONES'!#REF!,"AAAAAC67/qI=")</f>
        <v>#REF!</v>
      </c>
      <c r="FH181" t="e">
        <f>AND('OTRAS ACCIONES'!#REF!,"AAAAAC67/qM=")</f>
        <v>#REF!</v>
      </c>
      <c r="FI181" t="e">
        <f>AND('OTRAS ACCIONES'!#REF!,"AAAAAC67/qQ=")</f>
        <v>#REF!</v>
      </c>
      <c r="FJ181" t="e">
        <f>AND('OTRAS ACCIONES'!#REF!,"AAAAAC67/qU=")</f>
        <v>#REF!</v>
      </c>
      <c r="FK181" t="e">
        <f>AND('OTRAS ACCIONES'!#REF!,"AAAAAC67/qY=")</f>
        <v>#REF!</v>
      </c>
      <c r="FL181" t="e">
        <f>AND('OTRAS ACCIONES'!#REF!,"AAAAAC67/qc=")</f>
        <v>#REF!</v>
      </c>
      <c r="FM181" t="e">
        <f>AND('OTRAS ACCIONES'!#REF!,"AAAAAC67/qg=")</f>
        <v>#REF!</v>
      </c>
      <c r="FN181" t="e">
        <f>AND('OTRAS ACCIONES'!#REF!,"AAAAAC67/qk=")</f>
        <v>#REF!</v>
      </c>
      <c r="FO181" t="e">
        <f>AND('OTRAS ACCIONES'!#REF!,"AAAAAC67/qo=")</f>
        <v>#REF!</v>
      </c>
      <c r="FP181" t="e">
        <f>AND('OTRAS ACCIONES'!#REF!,"AAAAAC67/qs=")</f>
        <v>#REF!</v>
      </c>
      <c r="FQ181" t="e">
        <f>AND('OTRAS ACCIONES'!#REF!,"AAAAAC67/qw=")</f>
        <v>#REF!</v>
      </c>
      <c r="FR181" t="e">
        <f>IF('OTRAS ACCIONES'!#REF!,"AAAAAC67/q0=",0)</f>
        <v>#REF!</v>
      </c>
      <c r="FS181" t="e">
        <f>AND('OTRAS ACCIONES'!#REF!,"AAAAAC67/q4=")</f>
        <v>#REF!</v>
      </c>
      <c r="FT181" t="e">
        <f>AND('OTRAS ACCIONES'!#REF!,"AAAAAC67/q8=")</f>
        <v>#REF!</v>
      </c>
      <c r="FU181" t="e">
        <f>AND('OTRAS ACCIONES'!#REF!,"AAAAAC67/rA=")</f>
        <v>#REF!</v>
      </c>
      <c r="FV181" t="e">
        <f>AND('OTRAS ACCIONES'!#REF!,"AAAAAC67/rE=")</f>
        <v>#REF!</v>
      </c>
      <c r="FW181" t="e">
        <f>AND('OTRAS ACCIONES'!#REF!,"AAAAAC67/rI=")</f>
        <v>#REF!</v>
      </c>
      <c r="FX181" t="e">
        <f>AND('OTRAS ACCIONES'!#REF!,"AAAAAC67/rM=")</f>
        <v>#REF!</v>
      </c>
      <c r="FY181" t="e">
        <f>AND('OTRAS ACCIONES'!#REF!,"AAAAAC67/rQ=")</f>
        <v>#REF!</v>
      </c>
      <c r="FZ181" t="e">
        <f>AND('OTRAS ACCIONES'!#REF!,"AAAAAC67/rU=")</f>
        <v>#REF!</v>
      </c>
      <c r="GA181" t="e">
        <f>AND('OTRAS ACCIONES'!#REF!,"AAAAAC67/rY=")</f>
        <v>#REF!</v>
      </c>
      <c r="GB181" t="e">
        <f>AND('OTRAS ACCIONES'!#REF!,"AAAAAC67/rc=")</f>
        <v>#REF!</v>
      </c>
      <c r="GC181" t="e">
        <f>AND('OTRAS ACCIONES'!#REF!,"AAAAAC67/rg=")</f>
        <v>#REF!</v>
      </c>
      <c r="GD181" t="e">
        <f>AND('OTRAS ACCIONES'!#REF!,"AAAAAC67/rk=")</f>
        <v>#REF!</v>
      </c>
      <c r="GE181" t="e">
        <f>AND('OTRAS ACCIONES'!#REF!,"AAAAAC67/ro=")</f>
        <v>#REF!</v>
      </c>
      <c r="GF181" t="e">
        <f>AND('OTRAS ACCIONES'!#REF!,"AAAAAC67/rs=")</f>
        <v>#REF!</v>
      </c>
      <c r="GG181" t="e">
        <f>AND('OTRAS ACCIONES'!#REF!,"AAAAAC67/rw=")</f>
        <v>#REF!</v>
      </c>
      <c r="GH181" t="e">
        <f>AND('OTRAS ACCIONES'!#REF!,"AAAAAC67/r0=")</f>
        <v>#REF!</v>
      </c>
      <c r="GI181" t="e">
        <f>AND('OTRAS ACCIONES'!#REF!,"AAAAAC67/r4=")</f>
        <v>#REF!</v>
      </c>
      <c r="GJ181" t="e">
        <f>IF('OTRAS ACCIONES'!#REF!,"AAAAAC67/r8=",0)</f>
        <v>#REF!</v>
      </c>
      <c r="GK181" t="e">
        <f>AND('OTRAS ACCIONES'!#REF!,"AAAAAC67/sA=")</f>
        <v>#REF!</v>
      </c>
      <c r="GL181" t="e">
        <f>AND('OTRAS ACCIONES'!#REF!,"AAAAAC67/sE=")</f>
        <v>#REF!</v>
      </c>
      <c r="GM181" t="e">
        <f>AND('OTRAS ACCIONES'!#REF!,"AAAAAC67/sI=")</f>
        <v>#REF!</v>
      </c>
      <c r="GN181" t="e">
        <f>AND('OTRAS ACCIONES'!#REF!,"AAAAAC67/sM=")</f>
        <v>#REF!</v>
      </c>
      <c r="GO181" t="e">
        <f>AND('OTRAS ACCIONES'!#REF!,"AAAAAC67/sQ=")</f>
        <v>#REF!</v>
      </c>
      <c r="GP181" t="e">
        <f>AND('OTRAS ACCIONES'!#REF!,"AAAAAC67/sU=")</f>
        <v>#REF!</v>
      </c>
      <c r="GQ181" t="e">
        <f>AND('OTRAS ACCIONES'!#REF!,"AAAAAC67/sY=")</f>
        <v>#REF!</v>
      </c>
      <c r="GR181" t="e">
        <f>AND('OTRAS ACCIONES'!#REF!,"AAAAAC67/sc=")</f>
        <v>#REF!</v>
      </c>
      <c r="GS181" t="e">
        <f>AND('OTRAS ACCIONES'!#REF!,"AAAAAC67/sg=")</f>
        <v>#REF!</v>
      </c>
      <c r="GT181" t="e">
        <f>AND('OTRAS ACCIONES'!#REF!,"AAAAAC67/sk=")</f>
        <v>#REF!</v>
      </c>
      <c r="GU181" t="e">
        <f>AND('OTRAS ACCIONES'!#REF!,"AAAAAC67/so=")</f>
        <v>#REF!</v>
      </c>
      <c r="GV181" t="e">
        <f>AND('OTRAS ACCIONES'!#REF!,"AAAAAC67/ss=")</f>
        <v>#REF!</v>
      </c>
      <c r="GW181" t="e">
        <f>AND('OTRAS ACCIONES'!#REF!,"AAAAAC67/sw=")</f>
        <v>#REF!</v>
      </c>
      <c r="GX181" t="e">
        <f>AND('OTRAS ACCIONES'!#REF!,"AAAAAC67/s0=")</f>
        <v>#REF!</v>
      </c>
      <c r="GY181" t="e">
        <f>AND('OTRAS ACCIONES'!#REF!,"AAAAAC67/s4=")</f>
        <v>#REF!</v>
      </c>
      <c r="GZ181" t="e">
        <f>AND('OTRAS ACCIONES'!#REF!,"AAAAAC67/s8=")</f>
        <v>#REF!</v>
      </c>
      <c r="HA181" t="e">
        <f>AND('OTRAS ACCIONES'!#REF!,"AAAAAC67/tA=")</f>
        <v>#REF!</v>
      </c>
      <c r="HB181" t="e">
        <f>IF('OTRAS ACCIONES'!#REF!,"AAAAAC67/tE=",0)</f>
        <v>#REF!</v>
      </c>
      <c r="HC181" t="e">
        <f>AND('OTRAS ACCIONES'!#REF!,"AAAAAC67/tI=")</f>
        <v>#REF!</v>
      </c>
      <c r="HD181" t="e">
        <f>AND('OTRAS ACCIONES'!#REF!,"AAAAAC67/tM=")</f>
        <v>#REF!</v>
      </c>
      <c r="HE181" t="e">
        <f>AND('OTRAS ACCIONES'!#REF!,"AAAAAC67/tQ=")</f>
        <v>#REF!</v>
      </c>
      <c r="HF181" t="e">
        <f>AND('OTRAS ACCIONES'!#REF!,"AAAAAC67/tU=")</f>
        <v>#REF!</v>
      </c>
      <c r="HG181" t="e">
        <f>AND('OTRAS ACCIONES'!#REF!,"AAAAAC67/tY=")</f>
        <v>#REF!</v>
      </c>
      <c r="HH181" t="e">
        <f>AND('OTRAS ACCIONES'!#REF!,"AAAAAC67/tc=")</f>
        <v>#REF!</v>
      </c>
      <c r="HI181" t="e">
        <f>AND('OTRAS ACCIONES'!#REF!,"AAAAAC67/tg=")</f>
        <v>#REF!</v>
      </c>
      <c r="HJ181" t="e">
        <f>AND('OTRAS ACCIONES'!#REF!,"AAAAAC67/tk=")</f>
        <v>#REF!</v>
      </c>
      <c r="HK181" t="e">
        <f>AND('OTRAS ACCIONES'!#REF!,"AAAAAC67/to=")</f>
        <v>#REF!</v>
      </c>
      <c r="HL181" t="e">
        <f>AND('OTRAS ACCIONES'!#REF!,"AAAAAC67/ts=")</f>
        <v>#REF!</v>
      </c>
      <c r="HM181" t="e">
        <f>AND('OTRAS ACCIONES'!#REF!,"AAAAAC67/tw=")</f>
        <v>#REF!</v>
      </c>
      <c r="HN181" t="e">
        <f>AND('OTRAS ACCIONES'!#REF!,"AAAAAC67/t0=")</f>
        <v>#REF!</v>
      </c>
      <c r="HO181" t="e">
        <f>AND('OTRAS ACCIONES'!#REF!,"AAAAAC67/t4=")</f>
        <v>#REF!</v>
      </c>
      <c r="HP181" t="e">
        <f>AND('OTRAS ACCIONES'!#REF!,"AAAAAC67/t8=")</f>
        <v>#REF!</v>
      </c>
      <c r="HQ181" t="e">
        <f>AND('OTRAS ACCIONES'!#REF!,"AAAAAC67/uA=")</f>
        <v>#REF!</v>
      </c>
      <c r="HR181" t="e">
        <f>AND('OTRAS ACCIONES'!#REF!,"AAAAAC67/uE=")</f>
        <v>#REF!</v>
      </c>
      <c r="HS181" t="e">
        <f>AND('OTRAS ACCIONES'!#REF!,"AAAAAC67/uI=")</f>
        <v>#REF!</v>
      </c>
      <c r="HT181" t="e">
        <f>IF('OTRAS ACCIONES'!#REF!,"AAAAAC67/uM=",0)</f>
        <v>#REF!</v>
      </c>
      <c r="HU181" t="e">
        <f>AND('OTRAS ACCIONES'!#REF!,"AAAAAC67/uQ=")</f>
        <v>#REF!</v>
      </c>
      <c r="HV181" t="e">
        <f>AND('OTRAS ACCIONES'!#REF!,"AAAAAC67/uU=")</f>
        <v>#REF!</v>
      </c>
      <c r="HW181" t="e">
        <f>AND('OTRAS ACCIONES'!#REF!,"AAAAAC67/uY=")</f>
        <v>#REF!</v>
      </c>
      <c r="HX181" t="e">
        <f>AND('OTRAS ACCIONES'!#REF!,"AAAAAC67/uc=")</f>
        <v>#REF!</v>
      </c>
      <c r="HY181" t="e">
        <f>AND('OTRAS ACCIONES'!#REF!,"AAAAAC67/ug=")</f>
        <v>#REF!</v>
      </c>
      <c r="HZ181" t="e">
        <f>AND('OTRAS ACCIONES'!#REF!,"AAAAAC67/uk=")</f>
        <v>#REF!</v>
      </c>
      <c r="IA181" t="e">
        <f>AND('OTRAS ACCIONES'!#REF!,"AAAAAC67/uo=")</f>
        <v>#REF!</v>
      </c>
      <c r="IB181" t="e">
        <f>AND('OTRAS ACCIONES'!#REF!,"AAAAAC67/us=")</f>
        <v>#REF!</v>
      </c>
      <c r="IC181" t="e">
        <f>AND('OTRAS ACCIONES'!#REF!,"AAAAAC67/uw=")</f>
        <v>#REF!</v>
      </c>
      <c r="ID181" t="e">
        <f>AND('OTRAS ACCIONES'!#REF!,"AAAAAC67/u0=")</f>
        <v>#REF!</v>
      </c>
      <c r="IE181" t="e">
        <f>AND('OTRAS ACCIONES'!#REF!,"AAAAAC67/u4=")</f>
        <v>#REF!</v>
      </c>
      <c r="IF181" t="e">
        <f>AND('OTRAS ACCIONES'!#REF!,"AAAAAC67/u8=")</f>
        <v>#REF!</v>
      </c>
      <c r="IG181" t="e">
        <f>AND('OTRAS ACCIONES'!#REF!,"AAAAAC67/vA=")</f>
        <v>#REF!</v>
      </c>
      <c r="IH181" t="e">
        <f>AND('OTRAS ACCIONES'!#REF!,"AAAAAC67/vE=")</f>
        <v>#REF!</v>
      </c>
      <c r="II181" t="e">
        <f>AND('OTRAS ACCIONES'!#REF!,"AAAAAC67/vI=")</f>
        <v>#REF!</v>
      </c>
      <c r="IJ181" t="e">
        <f>AND('OTRAS ACCIONES'!#REF!,"AAAAAC67/vM=")</f>
        <v>#REF!</v>
      </c>
      <c r="IK181" t="e">
        <f>AND('OTRAS ACCIONES'!#REF!,"AAAAAC67/vQ=")</f>
        <v>#REF!</v>
      </c>
      <c r="IL181" t="e">
        <f>IF('OTRAS ACCIONES'!#REF!,"AAAAAC67/vU=",0)</f>
        <v>#REF!</v>
      </c>
      <c r="IM181" t="e">
        <f>AND('OTRAS ACCIONES'!#REF!,"AAAAAC67/vY=")</f>
        <v>#REF!</v>
      </c>
      <c r="IN181" t="e">
        <f>AND('OTRAS ACCIONES'!#REF!,"AAAAAC67/vc=")</f>
        <v>#REF!</v>
      </c>
      <c r="IO181" t="e">
        <f>AND('OTRAS ACCIONES'!#REF!,"AAAAAC67/vg=")</f>
        <v>#REF!</v>
      </c>
      <c r="IP181" t="e">
        <f>AND('OTRAS ACCIONES'!#REF!,"AAAAAC67/vk=")</f>
        <v>#REF!</v>
      </c>
      <c r="IQ181" t="e">
        <f>AND('OTRAS ACCIONES'!#REF!,"AAAAAC67/vo=")</f>
        <v>#REF!</v>
      </c>
      <c r="IR181" t="e">
        <f>AND('OTRAS ACCIONES'!#REF!,"AAAAAC67/vs=")</f>
        <v>#REF!</v>
      </c>
      <c r="IS181" t="e">
        <f>AND('OTRAS ACCIONES'!#REF!,"AAAAAC67/vw=")</f>
        <v>#REF!</v>
      </c>
      <c r="IT181" t="e">
        <f>AND('OTRAS ACCIONES'!#REF!,"AAAAAC67/v0=")</f>
        <v>#REF!</v>
      </c>
      <c r="IU181" t="e">
        <f>AND('OTRAS ACCIONES'!#REF!,"AAAAAC67/v4=")</f>
        <v>#REF!</v>
      </c>
      <c r="IV181" t="e">
        <f>AND('OTRAS ACCIONES'!#REF!,"AAAAAC67/v8=")</f>
        <v>#REF!</v>
      </c>
    </row>
    <row r="182" spans="1:256" x14ac:dyDescent="0.2">
      <c r="A182" t="e">
        <f>AND('OTRAS ACCIONES'!#REF!,"AAAAABf36wA=")</f>
        <v>#REF!</v>
      </c>
      <c r="B182" t="e">
        <f>AND('OTRAS ACCIONES'!#REF!,"AAAAABf36wE=")</f>
        <v>#REF!</v>
      </c>
      <c r="C182" t="e">
        <f>AND('OTRAS ACCIONES'!#REF!,"AAAAABf36wI=")</f>
        <v>#REF!</v>
      </c>
      <c r="D182" t="e">
        <f>AND('OTRAS ACCIONES'!#REF!,"AAAAABf36wM=")</f>
        <v>#REF!</v>
      </c>
      <c r="E182" t="e">
        <f>AND('OTRAS ACCIONES'!#REF!,"AAAAABf36wQ=")</f>
        <v>#REF!</v>
      </c>
      <c r="F182" t="e">
        <f>AND('OTRAS ACCIONES'!#REF!,"AAAAABf36wU=")</f>
        <v>#REF!</v>
      </c>
      <c r="G182" t="e">
        <f>AND('OTRAS ACCIONES'!#REF!,"AAAAABf36wY=")</f>
        <v>#REF!</v>
      </c>
      <c r="H182" t="e">
        <f>IF('OTRAS ACCIONES'!#REF!,"AAAAABf36wc=",0)</f>
        <v>#REF!</v>
      </c>
      <c r="I182" t="e">
        <f>AND('OTRAS ACCIONES'!#REF!,"AAAAABf36wg=")</f>
        <v>#REF!</v>
      </c>
      <c r="J182" t="e">
        <f>AND('OTRAS ACCIONES'!#REF!,"AAAAABf36wk=")</f>
        <v>#REF!</v>
      </c>
      <c r="K182" t="e">
        <f>AND('OTRAS ACCIONES'!#REF!,"AAAAABf36wo=")</f>
        <v>#REF!</v>
      </c>
      <c r="L182" t="e">
        <f>AND('OTRAS ACCIONES'!#REF!,"AAAAABf36ws=")</f>
        <v>#REF!</v>
      </c>
      <c r="M182" t="e">
        <f>AND('OTRAS ACCIONES'!#REF!,"AAAAABf36ww=")</f>
        <v>#REF!</v>
      </c>
      <c r="N182" t="e">
        <f>AND('OTRAS ACCIONES'!#REF!,"AAAAABf36w0=")</f>
        <v>#REF!</v>
      </c>
      <c r="O182" t="e">
        <f>AND('OTRAS ACCIONES'!#REF!,"AAAAABf36w4=")</f>
        <v>#REF!</v>
      </c>
      <c r="P182" t="e">
        <f>AND('OTRAS ACCIONES'!#REF!,"AAAAABf36w8=")</f>
        <v>#REF!</v>
      </c>
      <c r="Q182" t="e">
        <f>AND('OTRAS ACCIONES'!#REF!,"AAAAABf36xA=")</f>
        <v>#REF!</v>
      </c>
      <c r="R182" t="e">
        <f>AND('OTRAS ACCIONES'!#REF!,"AAAAABf36xE=")</f>
        <v>#REF!</v>
      </c>
      <c r="S182" t="e">
        <f>AND('OTRAS ACCIONES'!#REF!,"AAAAABf36xI=")</f>
        <v>#REF!</v>
      </c>
      <c r="T182" t="e">
        <f>AND('OTRAS ACCIONES'!#REF!,"AAAAABf36xM=")</f>
        <v>#REF!</v>
      </c>
      <c r="U182" t="e">
        <f>AND('OTRAS ACCIONES'!#REF!,"AAAAABf36xQ=")</f>
        <v>#REF!</v>
      </c>
      <c r="V182" t="e">
        <f>AND('OTRAS ACCIONES'!#REF!,"AAAAABf36xU=")</f>
        <v>#REF!</v>
      </c>
      <c r="W182" t="e">
        <f>AND('OTRAS ACCIONES'!#REF!,"AAAAABf36xY=")</f>
        <v>#REF!</v>
      </c>
      <c r="X182" t="e">
        <f>AND('OTRAS ACCIONES'!#REF!,"AAAAABf36xc=")</f>
        <v>#REF!</v>
      </c>
      <c r="Y182" t="e">
        <f>AND('OTRAS ACCIONES'!#REF!,"AAAAABf36xg=")</f>
        <v>#REF!</v>
      </c>
      <c r="Z182" t="e">
        <f>IF('OTRAS ACCIONES'!#REF!,"AAAAABf36xk=",0)</f>
        <v>#REF!</v>
      </c>
      <c r="AA182" t="e">
        <f>AND('OTRAS ACCIONES'!#REF!,"AAAAABf36xo=")</f>
        <v>#REF!</v>
      </c>
      <c r="AB182" t="e">
        <f>AND('OTRAS ACCIONES'!#REF!,"AAAAABf36xs=")</f>
        <v>#REF!</v>
      </c>
      <c r="AC182" t="e">
        <f>AND('OTRAS ACCIONES'!#REF!,"AAAAABf36xw=")</f>
        <v>#REF!</v>
      </c>
      <c r="AD182" t="e">
        <f>AND('OTRAS ACCIONES'!#REF!,"AAAAABf36x0=")</f>
        <v>#REF!</v>
      </c>
      <c r="AE182" t="e">
        <f>AND('OTRAS ACCIONES'!#REF!,"AAAAABf36x4=")</f>
        <v>#REF!</v>
      </c>
      <c r="AF182" t="e">
        <f>AND('OTRAS ACCIONES'!#REF!,"AAAAABf36x8=")</f>
        <v>#REF!</v>
      </c>
      <c r="AG182" t="e">
        <f>AND('OTRAS ACCIONES'!#REF!,"AAAAABf36yA=")</f>
        <v>#REF!</v>
      </c>
      <c r="AH182" t="e">
        <f>AND('OTRAS ACCIONES'!#REF!,"AAAAABf36yE=")</f>
        <v>#REF!</v>
      </c>
      <c r="AI182" t="e">
        <f>AND('OTRAS ACCIONES'!#REF!,"AAAAABf36yI=")</f>
        <v>#REF!</v>
      </c>
      <c r="AJ182" t="e">
        <f>AND('OTRAS ACCIONES'!#REF!,"AAAAABf36yM=")</f>
        <v>#REF!</v>
      </c>
      <c r="AK182" t="e">
        <f>AND('OTRAS ACCIONES'!#REF!,"AAAAABf36yQ=")</f>
        <v>#REF!</v>
      </c>
      <c r="AL182" t="e">
        <f>AND('OTRAS ACCIONES'!#REF!,"AAAAABf36yU=")</f>
        <v>#REF!</v>
      </c>
      <c r="AM182" t="e">
        <f>AND('OTRAS ACCIONES'!#REF!,"AAAAABf36yY=")</f>
        <v>#REF!</v>
      </c>
      <c r="AN182" t="e">
        <f>AND('OTRAS ACCIONES'!#REF!,"AAAAABf36yc=")</f>
        <v>#REF!</v>
      </c>
      <c r="AO182" t="e">
        <f>AND('OTRAS ACCIONES'!#REF!,"AAAAABf36yg=")</f>
        <v>#REF!</v>
      </c>
      <c r="AP182" t="e">
        <f>AND('OTRAS ACCIONES'!#REF!,"AAAAABf36yk=")</f>
        <v>#REF!</v>
      </c>
      <c r="AQ182" t="e">
        <f>AND('OTRAS ACCIONES'!#REF!,"AAAAABf36yo=")</f>
        <v>#REF!</v>
      </c>
      <c r="AR182" t="e">
        <f>IF('OTRAS ACCIONES'!#REF!,"AAAAABf36ys=",0)</f>
        <v>#REF!</v>
      </c>
      <c r="AS182" t="e">
        <f>AND('OTRAS ACCIONES'!#REF!,"AAAAABf36yw=")</f>
        <v>#REF!</v>
      </c>
      <c r="AT182" t="e">
        <f>AND('OTRAS ACCIONES'!#REF!,"AAAAABf36y0=")</f>
        <v>#REF!</v>
      </c>
      <c r="AU182" t="e">
        <f>AND('OTRAS ACCIONES'!#REF!,"AAAAABf36y4=")</f>
        <v>#REF!</v>
      </c>
      <c r="AV182" t="e">
        <f>AND('OTRAS ACCIONES'!#REF!,"AAAAABf36y8=")</f>
        <v>#REF!</v>
      </c>
      <c r="AW182" t="e">
        <f>AND('OTRAS ACCIONES'!#REF!,"AAAAABf36zA=")</f>
        <v>#REF!</v>
      </c>
      <c r="AX182" t="e">
        <f>AND('OTRAS ACCIONES'!#REF!,"AAAAABf36zE=")</f>
        <v>#REF!</v>
      </c>
      <c r="AY182" t="e">
        <f>AND('OTRAS ACCIONES'!#REF!,"AAAAABf36zI=")</f>
        <v>#REF!</v>
      </c>
      <c r="AZ182" t="e">
        <f>AND('OTRAS ACCIONES'!#REF!,"AAAAABf36zM=")</f>
        <v>#REF!</v>
      </c>
      <c r="BA182" t="e">
        <f>AND('OTRAS ACCIONES'!#REF!,"AAAAABf36zQ=")</f>
        <v>#REF!</v>
      </c>
      <c r="BB182" t="e">
        <f>AND('OTRAS ACCIONES'!#REF!,"AAAAABf36zU=")</f>
        <v>#REF!</v>
      </c>
      <c r="BC182" t="e">
        <f>AND('OTRAS ACCIONES'!#REF!,"AAAAABf36zY=")</f>
        <v>#REF!</v>
      </c>
      <c r="BD182" t="e">
        <f>AND('OTRAS ACCIONES'!#REF!,"AAAAABf36zc=")</f>
        <v>#REF!</v>
      </c>
      <c r="BE182" t="e">
        <f>AND('OTRAS ACCIONES'!#REF!,"AAAAABf36zg=")</f>
        <v>#REF!</v>
      </c>
      <c r="BF182" t="e">
        <f>AND('OTRAS ACCIONES'!#REF!,"AAAAABf36zk=")</f>
        <v>#REF!</v>
      </c>
      <c r="BG182" t="e">
        <f>AND('OTRAS ACCIONES'!#REF!,"AAAAABf36zo=")</f>
        <v>#REF!</v>
      </c>
      <c r="BH182" t="e">
        <f>AND('OTRAS ACCIONES'!#REF!,"AAAAABf36zs=")</f>
        <v>#REF!</v>
      </c>
      <c r="BI182" t="e">
        <f>AND('OTRAS ACCIONES'!#REF!,"AAAAABf36zw=")</f>
        <v>#REF!</v>
      </c>
      <c r="BJ182" t="e">
        <f>IF('OTRAS ACCIONES'!#REF!,"AAAAABf36z0=",0)</f>
        <v>#REF!</v>
      </c>
      <c r="BK182" t="e">
        <f>AND('OTRAS ACCIONES'!#REF!,"AAAAABf36z4=")</f>
        <v>#REF!</v>
      </c>
      <c r="BL182" t="e">
        <f>AND('OTRAS ACCIONES'!#REF!,"AAAAABf36z8=")</f>
        <v>#REF!</v>
      </c>
      <c r="BM182" t="e">
        <f>AND('OTRAS ACCIONES'!#REF!,"AAAAABf360A=")</f>
        <v>#REF!</v>
      </c>
      <c r="BN182" t="e">
        <f>AND('OTRAS ACCIONES'!#REF!,"AAAAABf360E=")</f>
        <v>#REF!</v>
      </c>
      <c r="BO182" t="e">
        <f>AND('OTRAS ACCIONES'!#REF!,"AAAAABf360I=")</f>
        <v>#REF!</v>
      </c>
      <c r="BP182" t="e">
        <f>AND('OTRAS ACCIONES'!#REF!,"AAAAABf360M=")</f>
        <v>#REF!</v>
      </c>
      <c r="BQ182" t="e">
        <f>AND('OTRAS ACCIONES'!#REF!,"AAAAABf360Q=")</f>
        <v>#REF!</v>
      </c>
      <c r="BR182" t="e">
        <f>AND('OTRAS ACCIONES'!#REF!,"AAAAABf360U=")</f>
        <v>#REF!</v>
      </c>
      <c r="BS182" t="e">
        <f>AND('OTRAS ACCIONES'!#REF!,"AAAAABf360Y=")</f>
        <v>#REF!</v>
      </c>
      <c r="BT182" t="e">
        <f>AND('OTRAS ACCIONES'!#REF!,"AAAAABf360c=")</f>
        <v>#REF!</v>
      </c>
      <c r="BU182" t="e">
        <f>AND('OTRAS ACCIONES'!#REF!,"AAAAABf360g=")</f>
        <v>#REF!</v>
      </c>
      <c r="BV182" t="e">
        <f>AND('OTRAS ACCIONES'!#REF!,"AAAAABf360k=")</f>
        <v>#REF!</v>
      </c>
      <c r="BW182" t="e">
        <f>AND('OTRAS ACCIONES'!#REF!,"AAAAABf360o=")</f>
        <v>#REF!</v>
      </c>
      <c r="BX182" t="e">
        <f>AND('OTRAS ACCIONES'!#REF!,"AAAAABf360s=")</f>
        <v>#REF!</v>
      </c>
      <c r="BY182" t="e">
        <f>AND('OTRAS ACCIONES'!#REF!,"AAAAABf360w=")</f>
        <v>#REF!</v>
      </c>
      <c r="BZ182" t="e">
        <f>AND('OTRAS ACCIONES'!#REF!,"AAAAABf3600=")</f>
        <v>#REF!</v>
      </c>
      <c r="CA182" t="e">
        <f>AND('OTRAS ACCIONES'!#REF!,"AAAAABf3604=")</f>
        <v>#REF!</v>
      </c>
      <c r="CB182" t="e">
        <f>IF('OTRAS ACCIONES'!#REF!,"AAAAABf3608=",0)</f>
        <v>#REF!</v>
      </c>
      <c r="CC182" t="e">
        <f>AND('OTRAS ACCIONES'!#REF!,"AAAAABf361A=")</f>
        <v>#REF!</v>
      </c>
      <c r="CD182" t="e">
        <f>AND('OTRAS ACCIONES'!#REF!,"AAAAABf361E=")</f>
        <v>#REF!</v>
      </c>
      <c r="CE182" t="e">
        <f>AND('OTRAS ACCIONES'!#REF!,"AAAAABf361I=")</f>
        <v>#REF!</v>
      </c>
      <c r="CF182" t="e">
        <f>AND('OTRAS ACCIONES'!#REF!,"AAAAABf361M=")</f>
        <v>#REF!</v>
      </c>
      <c r="CG182" t="e">
        <f>AND('OTRAS ACCIONES'!#REF!,"AAAAABf361Q=")</f>
        <v>#REF!</v>
      </c>
      <c r="CH182" t="e">
        <f>AND('OTRAS ACCIONES'!#REF!,"AAAAABf361U=")</f>
        <v>#REF!</v>
      </c>
      <c r="CI182" t="e">
        <f>AND('OTRAS ACCIONES'!#REF!,"AAAAABf361Y=")</f>
        <v>#REF!</v>
      </c>
      <c r="CJ182" t="e">
        <f>AND('OTRAS ACCIONES'!#REF!,"AAAAABf361c=")</f>
        <v>#REF!</v>
      </c>
      <c r="CK182" t="e">
        <f>AND('OTRAS ACCIONES'!#REF!,"AAAAABf361g=")</f>
        <v>#REF!</v>
      </c>
      <c r="CL182" t="e">
        <f>AND('OTRAS ACCIONES'!#REF!,"AAAAABf361k=")</f>
        <v>#REF!</v>
      </c>
      <c r="CM182" t="e">
        <f>AND('OTRAS ACCIONES'!#REF!,"AAAAABf361o=")</f>
        <v>#REF!</v>
      </c>
      <c r="CN182" t="e">
        <f>AND('OTRAS ACCIONES'!#REF!,"AAAAABf361s=")</f>
        <v>#REF!</v>
      </c>
      <c r="CO182" t="e">
        <f>AND('OTRAS ACCIONES'!#REF!,"AAAAABf361w=")</f>
        <v>#REF!</v>
      </c>
      <c r="CP182" t="e">
        <f>AND('OTRAS ACCIONES'!#REF!,"AAAAABf3610=")</f>
        <v>#REF!</v>
      </c>
      <c r="CQ182" t="e">
        <f>AND('OTRAS ACCIONES'!#REF!,"AAAAABf3614=")</f>
        <v>#REF!</v>
      </c>
      <c r="CR182" t="e">
        <f>AND('OTRAS ACCIONES'!#REF!,"AAAAABf3618=")</f>
        <v>#REF!</v>
      </c>
      <c r="CS182" t="e">
        <f>AND('OTRAS ACCIONES'!#REF!,"AAAAABf362A=")</f>
        <v>#REF!</v>
      </c>
      <c r="CT182" t="e">
        <f>IF('OTRAS ACCIONES'!#REF!,"AAAAABf362E=",0)</f>
        <v>#REF!</v>
      </c>
      <c r="CU182" t="e">
        <f>AND('OTRAS ACCIONES'!#REF!,"AAAAABf362I=")</f>
        <v>#REF!</v>
      </c>
      <c r="CV182" t="e">
        <f>AND('OTRAS ACCIONES'!#REF!,"AAAAABf362M=")</f>
        <v>#REF!</v>
      </c>
      <c r="CW182" t="e">
        <f>AND('OTRAS ACCIONES'!#REF!,"AAAAABf362Q=")</f>
        <v>#REF!</v>
      </c>
      <c r="CX182" t="e">
        <f>AND('OTRAS ACCIONES'!#REF!,"AAAAABf362U=")</f>
        <v>#REF!</v>
      </c>
      <c r="CY182" t="e">
        <f>AND('OTRAS ACCIONES'!#REF!,"AAAAABf362Y=")</f>
        <v>#REF!</v>
      </c>
      <c r="CZ182" t="e">
        <f>AND('OTRAS ACCIONES'!#REF!,"AAAAABf362c=")</f>
        <v>#REF!</v>
      </c>
      <c r="DA182" t="e">
        <f>AND('OTRAS ACCIONES'!#REF!,"AAAAABf362g=")</f>
        <v>#REF!</v>
      </c>
      <c r="DB182" t="e">
        <f>AND('OTRAS ACCIONES'!#REF!,"AAAAABf362k=")</f>
        <v>#REF!</v>
      </c>
      <c r="DC182" t="e">
        <f>AND('OTRAS ACCIONES'!#REF!,"AAAAABf362o=")</f>
        <v>#REF!</v>
      </c>
      <c r="DD182" t="e">
        <f>AND('OTRAS ACCIONES'!#REF!,"AAAAABf362s=")</f>
        <v>#REF!</v>
      </c>
      <c r="DE182" t="e">
        <f>AND('OTRAS ACCIONES'!#REF!,"AAAAABf362w=")</f>
        <v>#REF!</v>
      </c>
      <c r="DF182" t="e">
        <f>AND('OTRAS ACCIONES'!#REF!,"AAAAABf3620=")</f>
        <v>#REF!</v>
      </c>
      <c r="DG182" t="e">
        <f>AND('OTRAS ACCIONES'!#REF!,"AAAAABf3624=")</f>
        <v>#REF!</v>
      </c>
      <c r="DH182" t="e">
        <f>AND('OTRAS ACCIONES'!#REF!,"AAAAABf3628=")</f>
        <v>#REF!</v>
      </c>
      <c r="DI182" t="e">
        <f>AND('OTRAS ACCIONES'!#REF!,"AAAAABf363A=")</f>
        <v>#REF!</v>
      </c>
      <c r="DJ182" t="e">
        <f>AND('OTRAS ACCIONES'!#REF!,"AAAAABf363E=")</f>
        <v>#REF!</v>
      </c>
      <c r="DK182" t="e">
        <f>AND('OTRAS ACCIONES'!#REF!,"AAAAABf363I=")</f>
        <v>#REF!</v>
      </c>
      <c r="DL182" t="e">
        <f>IF('OTRAS ACCIONES'!#REF!,"AAAAABf363M=",0)</f>
        <v>#REF!</v>
      </c>
      <c r="DM182" t="e">
        <f>AND('OTRAS ACCIONES'!#REF!,"AAAAABf363Q=")</f>
        <v>#REF!</v>
      </c>
      <c r="DN182" t="e">
        <f>AND('OTRAS ACCIONES'!#REF!,"AAAAABf363U=")</f>
        <v>#REF!</v>
      </c>
      <c r="DO182" t="e">
        <f>AND('OTRAS ACCIONES'!#REF!,"AAAAABf363Y=")</f>
        <v>#REF!</v>
      </c>
      <c r="DP182" t="e">
        <f>AND('OTRAS ACCIONES'!#REF!,"AAAAABf363c=")</f>
        <v>#REF!</v>
      </c>
      <c r="DQ182" t="e">
        <f>AND('OTRAS ACCIONES'!#REF!,"AAAAABf363g=")</f>
        <v>#REF!</v>
      </c>
      <c r="DR182" t="e">
        <f>AND('OTRAS ACCIONES'!#REF!,"AAAAABf363k=")</f>
        <v>#REF!</v>
      </c>
      <c r="DS182" t="e">
        <f>AND('OTRAS ACCIONES'!#REF!,"AAAAABf363o=")</f>
        <v>#REF!</v>
      </c>
      <c r="DT182" t="e">
        <f>AND('OTRAS ACCIONES'!#REF!,"AAAAABf363s=")</f>
        <v>#REF!</v>
      </c>
      <c r="DU182" t="e">
        <f>AND('OTRAS ACCIONES'!#REF!,"AAAAABf363w=")</f>
        <v>#REF!</v>
      </c>
      <c r="DV182" t="e">
        <f>AND('OTRAS ACCIONES'!#REF!,"AAAAABf3630=")</f>
        <v>#REF!</v>
      </c>
      <c r="DW182" t="e">
        <f>AND('OTRAS ACCIONES'!#REF!,"AAAAABf3634=")</f>
        <v>#REF!</v>
      </c>
      <c r="DX182" t="e">
        <f>AND('OTRAS ACCIONES'!#REF!,"AAAAABf3638=")</f>
        <v>#REF!</v>
      </c>
      <c r="DY182" t="e">
        <f>AND('OTRAS ACCIONES'!#REF!,"AAAAABf364A=")</f>
        <v>#REF!</v>
      </c>
      <c r="DZ182" t="e">
        <f>AND('OTRAS ACCIONES'!#REF!,"AAAAABf364E=")</f>
        <v>#REF!</v>
      </c>
      <c r="EA182" t="e">
        <f>AND('OTRAS ACCIONES'!#REF!,"AAAAABf364I=")</f>
        <v>#REF!</v>
      </c>
      <c r="EB182" t="e">
        <f>AND('OTRAS ACCIONES'!#REF!,"AAAAABf364M=")</f>
        <v>#REF!</v>
      </c>
      <c r="EC182" t="e">
        <f>AND('OTRAS ACCIONES'!#REF!,"AAAAABf364Q=")</f>
        <v>#REF!</v>
      </c>
      <c r="ED182" t="e">
        <f>IF('OTRAS ACCIONES'!#REF!,"AAAAABf364U=",0)</f>
        <v>#REF!</v>
      </c>
      <c r="EE182" t="e">
        <f>AND('OTRAS ACCIONES'!#REF!,"AAAAABf364Y=")</f>
        <v>#REF!</v>
      </c>
      <c r="EF182" t="e">
        <f>AND('OTRAS ACCIONES'!#REF!,"AAAAABf364c=")</f>
        <v>#REF!</v>
      </c>
      <c r="EG182" t="e">
        <f>AND('OTRAS ACCIONES'!#REF!,"AAAAABf364g=")</f>
        <v>#REF!</v>
      </c>
      <c r="EH182" t="e">
        <f>AND('OTRAS ACCIONES'!#REF!,"AAAAABf364k=")</f>
        <v>#REF!</v>
      </c>
      <c r="EI182" t="e">
        <f>AND('OTRAS ACCIONES'!#REF!,"AAAAABf364o=")</f>
        <v>#REF!</v>
      </c>
      <c r="EJ182" t="e">
        <f>AND('OTRAS ACCIONES'!#REF!,"AAAAABf364s=")</f>
        <v>#REF!</v>
      </c>
      <c r="EK182" t="e">
        <f>AND('OTRAS ACCIONES'!#REF!,"AAAAABf364w=")</f>
        <v>#REF!</v>
      </c>
      <c r="EL182" t="e">
        <f>AND('OTRAS ACCIONES'!#REF!,"AAAAABf3640=")</f>
        <v>#REF!</v>
      </c>
      <c r="EM182" t="e">
        <f>AND('OTRAS ACCIONES'!#REF!,"AAAAABf3644=")</f>
        <v>#REF!</v>
      </c>
      <c r="EN182" t="e">
        <f>AND('OTRAS ACCIONES'!#REF!,"AAAAABf3648=")</f>
        <v>#REF!</v>
      </c>
      <c r="EO182" t="e">
        <f>AND('OTRAS ACCIONES'!#REF!,"AAAAABf365A=")</f>
        <v>#REF!</v>
      </c>
      <c r="EP182" t="e">
        <f>AND('OTRAS ACCIONES'!#REF!,"AAAAABf365E=")</f>
        <v>#REF!</v>
      </c>
      <c r="EQ182" t="e">
        <f>AND('OTRAS ACCIONES'!#REF!,"AAAAABf365I=")</f>
        <v>#REF!</v>
      </c>
      <c r="ER182" t="e">
        <f>AND('OTRAS ACCIONES'!#REF!,"AAAAABf365M=")</f>
        <v>#REF!</v>
      </c>
      <c r="ES182" t="e">
        <f>AND('OTRAS ACCIONES'!#REF!,"AAAAABf365Q=")</f>
        <v>#REF!</v>
      </c>
      <c r="ET182" t="e">
        <f>AND('OTRAS ACCIONES'!#REF!,"AAAAABf365U=")</f>
        <v>#REF!</v>
      </c>
      <c r="EU182" t="e">
        <f>AND('OTRAS ACCIONES'!#REF!,"AAAAABf365Y=")</f>
        <v>#REF!</v>
      </c>
      <c r="EV182" t="e">
        <f>IF('OTRAS ACCIONES'!#REF!,"AAAAABf365c=",0)</f>
        <v>#REF!</v>
      </c>
      <c r="EW182" t="e">
        <f>AND('OTRAS ACCIONES'!#REF!,"AAAAABf365g=")</f>
        <v>#REF!</v>
      </c>
      <c r="EX182" t="e">
        <f>AND('OTRAS ACCIONES'!#REF!,"AAAAABf365k=")</f>
        <v>#REF!</v>
      </c>
      <c r="EY182" t="e">
        <f>AND('OTRAS ACCIONES'!#REF!,"AAAAABf365o=")</f>
        <v>#REF!</v>
      </c>
      <c r="EZ182" t="e">
        <f>AND('OTRAS ACCIONES'!#REF!,"AAAAABf365s=")</f>
        <v>#REF!</v>
      </c>
      <c r="FA182" t="e">
        <f>AND('OTRAS ACCIONES'!#REF!,"AAAAABf365w=")</f>
        <v>#REF!</v>
      </c>
      <c r="FB182" t="e">
        <f>AND('OTRAS ACCIONES'!#REF!,"AAAAABf3650=")</f>
        <v>#REF!</v>
      </c>
      <c r="FC182" t="e">
        <f>AND('OTRAS ACCIONES'!#REF!,"AAAAABf3654=")</f>
        <v>#REF!</v>
      </c>
      <c r="FD182" t="e">
        <f>AND('OTRAS ACCIONES'!#REF!,"AAAAABf3658=")</f>
        <v>#REF!</v>
      </c>
      <c r="FE182" t="e">
        <f>AND('OTRAS ACCIONES'!#REF!,"AAAAABf366A=")</f>
        <v>#REF!</v>
      </c>
      <c r="FF182" t="e">
        <f>AND('OTRAS ACCIONES'!#REF!,"AAAAABf366E=")</f>
        <v>#REF!</v>
      </c>
      <c r="FG182" t="e">
        <f>AND('OTRAS ACCIONES'!#REF!,"AAAAABf366I=")</f>
        <v>#REF!</v>
      </c>
      <c r="FH182" t="e">
        <f>AND('OTRAS ACCIONES'!#REF!,"AAAAABf366M=")</f>
        <v>#REF!</v>
      </c>
      <c r="FI182" t="e">
        <f>AND('OTRAS ACCIONES'!#REF!,"AAAAABf366Q=")</f>
        <v>#REF!</v>
      </c>
      <c r="FJ182" t="e">
        <f>AND('OTRAS ACCIONES'!#REF!,"AAAAABf366U=")</f>
        <v>#REF!</v>
      </c>
      <c r="FK182" t="e">
        <f>AND('OTRAS ACCIONES'!#REF!,"AAAAABf366Y=")</f>
        <v>#REF!</v>
      </c>
      <c r="FL182" t="e">
        <f>AND('OTRAS ACCIONES'!#REF!,"AAAAABf366c=")</f>
        <v>#REF!</v>
      </c>
      <c r="FM182" t="e">
        <f>AND('OTRAS ACCIONES'!#REF!,"AAAAABf366g=")</f>
        <v>#REF!</v>
      </c>
      <c r="FN182">
        <f>IF('OTRAS ACCIONES'!69:69,"AAAAABf366k=",0)</f>
        <v>0</v>
      </c>
      <c r="FO182" t="e">
        <f>AND('OTRAS ACCIONES'!B69,"AAAAABf366o=")</f>
        <v>#VALUE!</v>
      </c>
      <c r="FP182" t="e">
        <f>AND('OTRAS ACCIONES'!C69,"AAAAABf366s=")</f>
        <v>#VALUE!</v>
      </c>
      <c r="FQ182" t="e">
        <f>AND('OTRAS ACCIONES'!D69,"AAAAABf366w=")</f>
        <v>#VALUE!</v>
      </c>
      <c r="FR182" t="e">
        <f>AND('OTRAS ACCIONES'!E69,"AAAAABf3660=")</f>
        <v>#VALUE!</v>
      </c>
      <c r="FS182" t="e">
        <f>AND('OTRAS ACCIONES'!F69,"AAAAABf3664=")</f>
        <v>#VALUE!</v>
      </c>
      <c r="FT182" t="e">
        <f>AND('OTRAS ACCIONES'!G69,"AAAAABf3668=")</f>
        <v>#VALUE!</v>
      </c>
      <c r="FU182" t="e">
        <f>AND('OTRAS ACCIONES'!H69,"AAAAABf367A=")</f>
        <v>#VALUE!</v>
      </c>
      <c r="FV182" t="e">
        <f>AND('OTRAS ACCIONES'!I69,"AAAAABf367E=")</f>
        <v>#VALUE!</v>
      </c>
      <c r="FW182" t="e">
        <f>AND('OTRAS ACCIONES'!J69,"AAAAABf367I=")</f>
        <v>#VALUE!</v>
      </c>
      <c r="FX182" t="e">
        <f>AND('OTRAS ACCIONES'!K69,"AAAAABf367M=")</f>
        <v>#VALUE!</v>
      </c>
      <c r="FY182" t="e">
        <f>AND('OTRAS ACCIONES'!L69,"AAAAABf367Q=")</f>
        <v>#VALUE!</v>
      </c>
      <c r="FZ182" t="e">
        <f>AND('OTRAS ACCIONES'!M69,"AAAAABf367U=")</f>
        <v>#VALUE!</v>
      </c>
      <c r="GA182" t="e">
        <f>AND('OTRAS ACCIONES'!N69,"AAAAABf367Y=")</f>
        <v>#VALUE!</v>
      </c>
      <c r="GB182" t="e">
        <f>AND('OTRAS ACCIONES'!O69,"AAAAABf367c=")</f>
        <v>#VALUE!</v>
      </c>
      <c r="GC182" t="e">
        <f>AND('OTRAS ACCIONES'!P69,"AAAAABf367g=")</f>
        <v>#VALUE!</v>
      </c>
      <c r="GD182" t="e">
        <f>AND('OTRAS ACCIONES'!Q69,"AAAAABf367k=")</f>
        <v>#VALUE!</v>
      </c>
      <c r="GE182" t="e">
        <f>AND('OTRAS ACCIONES'!R69,"AAAAABf367o=")</f>
        <v>#VALUE!</v>
      </c>
      <c r="GF182">
        <f>IF('OTRAS ACCIONES'!70:70,"AAAAABf367s=",0)</f>
        <v>0</v>
      </c>
      <c r="GG182" t="e">
        <f>AND('OTRAS ACCIONES'!B70,"AAAAABf367w=")</f>
        <v>#VALUE!</v>
      </c>
      <c r="GH182" t="e">
        <f>AND('OTRAS ACCIONES'!C70,"AAAAABf3670=")</f>
        <v>#VALUE!</v>
      </c>
      <c r="GI182" t="e">
        <f>AND('OTRAS ACCIONES'!D70,"AAAAABf3674=")</f>
        <v>#VALUE!</v>
      </c>
      <c r="GJ182" t="e">
        <f>AND('OTRAS ACCIONES'!E70,"AAAAABf3678=")</f>
        <v>#VALUE!</v>
      </c>
      <c r="GK182" t="e">
        <f>AND('OTRAS ACCIONES'!F70,"AAAAABf368A=")</f>
        <v>#VALUE!</v>
      </c>
      <c r="GL182" t="e">
        <f>AND('OTRAS ACCIONES'!G70,"AAAAABf368E=")</f>
        <v>#VALUE!</v>
      </c>
      <c r="GM182" t="e">
        <f>AND('OTRAS ACCIONES'!H70,"AAAAABf368I=")</f>
        <v>#VALUE!</v>
      </c>
      <c r="GN182" t="e">
        <f>AND('OTRAS ACCIONES'!I70,"AAAAABf368M=")</f>
        <v>#VALUE!</v>
      </c>
      <c r="GO182" t="e">
        <f>AND('OTRAS ACCIONES'!J70,"AAAAABf368Q=")</f>
        <v>#VALUE!</v>
      </c>
      <c r="GP182" t="e">
        <f>AND('OTRAS ACCIONES'!K70,"AAAAABf368U=")</f>
        <v>#VALUE!</v>
      </c>
      <c r="GQ182" t="e">
        <f>AND('OTRAS ACCIONES'!L70,"AAAAABf368Y=")</f>
        <v>#VALUE!</v>
      </c>
      <c r="GR182" t="e">
        <f>AND('OTRAS ACCIONES'!M70,"AAAAABf368c=")</f>
        <v>#VALUE!</v>
      </c>
      <c r="GS182" t="e">
        <f>AND('OTRAS ACCIONES'!N70,"AAAAABf368g=")</f>
        <v>#VALUE!</v>
      </c>
      <c r="GT182" t="e">
        <f>AND('OTRAS ACCIONES'!O70,"AAAAABf368k=")</f>
        <v>#VALUE!</v>
      </c>
      <c r="GU182" t="e">
        <f>AND('OTRAS ACCIONES'!P70,"AAAAABf368o=")</f>
        <v>#VALUE!</v>
      </c>
      <c r="GV182" t="e">
        <f>AND('OTRAS ACCIONES'!Q70,"AAAAABf368s=")</f>
        <v>#VALUE!</v>
      </c>
      <c r="GW182" t="e">
        <f>AND('OTRAS ACCIONES'!R70,"AAAAABf368w=")</f>
        <v>#VALUE!</v>
      </c>
      <c r="GX182">
        <f>IF('OTRAS ACCIONES'!71:71,"AAAAABf3680=",0)</f>
        <v>0</v>
      </c>
      <c r="GY182" t="e">
        <f>AND('OTRAS ACCIONES'!B71,"AAAAABf3684=")</f>
        <v>#VALUE!</v>
      </c>
      <c r="GZ182" t="e">
        <f>AND('OTRAS ACCIONES'!C71,"AAAAABf3688=")</f>
        <v>#VALUE!</v>
      </c>
      <c r="HA182" t="e">
        <f>AND('OTRAS ACCIONES'!D71,"AAAAABf369A=")</f>
        <v>#VALUE!</v>
      </c>
      <c r="HB182" t="e">
        <f>AND('OTRAS ACCIONES'!E71,"AAAAABf369E=")</f>
        <v>#VALUE!</v>
      </c>
      <c r="HC182" t="e">
        <f>AND('OTRAS ACCIONES'!F71,"AAAAABf369I=")</f>
        <v>#VALUE!</v>
      </c>
      <c r="HD182" t="e">
        <f>AND('OTRAS ACCIONES'!G71,"AAAAABf369M=")</f>
        <v>#VALUE!</v>
      </c>
      <c r="HE182" t="e">
        <f>AND('OTRAS ACCIONES'!H71,"AAAAABf369Q=")</f>
        <v>#VALUE!</v>
      </c>
      <c r="HF182" t="e">
        <f>AND('OTRAS ACCIONES'!I71,"AAAAABf369U=")</f>
        <v>#VALUE!</v>
      </c>
      <c r="HG182" t="e">
        <f>AND('OTRAS ACCIONES'!J71,"AAAAABf369Y=")</f>
        <v>#VALUE!</v>
      </c>
      <c r="HH182" t="e">
        <f>AND('OTRAS ACCIONES'!K71,"AAAAABf369c=")</f>
        <v>#VALUE!</v>
      </c>
      <c r="HI182" t="e">
        <f>AND('OTRAS ACCIONES'!L71,"AAAAABf369g=")</f>
        <v>#VALUE!</v>
      </c>
      <c r="HJ182" t="e">
        <f>AND('OTRAS ACCIONES'!M71,"AAAAABf369k=")</f>
        <v>#VALUE!</v>
      </c>
      <c r="HK182" t="e">
        <f>AND('OTRAS ACCIONES'!N71,"AAAAABf369o=")</f>
        <v>#VALUE!</v>
      </c>
      <c r="HL182" t="e">
        <f>AND('OTRAS ACCIONES'!O71,"AAAAABf369s=")</f>
        <v>#VALUE!</v>
      </c>
      <c r="HM182" t="e">
        <f>AND('OTRAS ACCIONES'!P71,"AAAAABf369w=")</f>
        <v>#VALUE!</v>
      </c>
      <c r="HN182" t="e">
        <f>AND('OTRAS ACCIONES'!Q71,"AAAAABf3690=")</f>
        <v>#VALUE!</v>
      </c>
      <c r="HO182" t="e">
        <f>AND('OTRAS ACCIONES'!R71,"AAAAABf3694=")</f>
        <v>#VALUE!</v>
      </c>
      <c r="HP182">
        <f>IF('OTRAS ACCIONES'!72:72,"AAAAABf3698=",0)</f>
        <v>0</v>
      </c>
      <c r="HQ182" t="e">
        <f>AND('OTRAS ACCIONES'!B72,"AAAAABf36+A=")</f>
        <v>#VALUE!</v>
      </c>
      <c r="HR182" t="e">
        <f>AND('OTRAS ACCIONES'!C72,"AAAAABf36+E=")</f>
        <v>#VALUE!</v>
      </c>
      <c r="HS182" t="e">
        <f>AND('OTRAS ACCIONES'!D72,"AAAAABf36+I=")</f>
        <v>#VALUE!</v>
      </c>
      <c r="HT182" t="e">
        <f>AND('OTRAS ACCIONES'!E72,"AAAAABf36+M=")</f>
        <v>#VALUE!</v>
      </c>
      <c r="HU182" t="e">
        <f>AND('OTRAS ACCIONES'!F72,"AAAAABf36+Q=")</f>
        <v>#VALUE!</v>
      </c>
      <c r="HV182" t="e">
        <f>AND('OTRAS ACCIONES'!G72,"AAAAABf36+U=")</f>
        <v>#VALUE!</v>
      </c>
      <c r="HW182" t="e">
        <f>AND('OTRAS ACCIONES'!H72,"AAAAABf36+Y=")</f>
        <v>#VALUE!</v>
      </c>
      <c r="HX182" t="e">
        <f>AND('OTRAS ACCIONES'!I72,"AAAAABf36+c=")</f>
        <v>#VALUE!</v>
      </c>
      <c r="HY182" t="e">
        <f>AND('OTRAS ACCIONES'!J72,"AAAAABf36+g=")</f>
        <v>#VALUE!</v>
      </c>
      <c r="HZ182" t="e">
        <f>AND('OTRAS ACCIONES'!K72,"AAAAABf36+k=")</f>
        <v>#VALUE!</v>
      </c>
      <c r="IA182" t="e">
        <f>AND('OTRAS ACCIONES'!L72,"AAAAABf36+o=")</f>
        <v>#VALUE!</v>
      </c>
      <c r="IB182" t="e">
        <f>AND('OTRAS ACCIONES'!M72,"AAAAABf36+s=")</f>
        <v>#VALUE!</v>
      </c>
      <c r="IC182" t="e">
        <f>AND('OTRAS ACCIONES'!N72,"AAAAABf36+w=")</f>
        <v>#VALUE!</v>
      </c>
      <c r="ID182" t="e">
        <f>AND('OTRAS ACCIONES'!O72,"AAAAABf36+0=")</f>
        <v>#VALUE!</v>
      </c>
      <c r="IE182" t="e">
        <f>AND('OTRAS ACCIONES'!P72,"AAAAABf36+4=")</f>
        <v>#VALUE!</v>
      </c>
      <c r="IF182" t="e">
        <f>AND('OTRAS ACCIONES'!Q72,"AAAAABf36+8=")</f>
        <v>#VALUE!</v>
      </c>
      <c r="IG182" t="e">
        <f>AND('OTRAS ACCIONES'!R72,"AAAAABf36/A=")</f>
        <v>#VALUE!</v>
      </c>
      <c r="IH182">
        <f>IF('OTRAS ACCIONES'!73:73,"AAAAABf36/E=",0)</f>
        <v>0</v>
      </c>
      <c r="II182" t="e">
        <f>AND('OTRAS ACCIONES'!B73,"AAAAABf36/I=")</f>
        <v>#VALUE!</v>
      </c>
      <c r="IJ182" t="e">
        <f>AND('OTRAS ACCIONES'!C73,"AAAAABf36/M=")</f>
        <v>#VALUE!</v>
      </c>
      <c r="IK182" t="e">
        <f>AND('OTRAS ACCIONES'!D73,"AAAAABf36/Q=")</f>
        <v>#VALUE!</v>
      </c>
      <c r="IL182" t="e">
        <f>AND('OTRAS ACCIONES'!E73,"AAAAABf36/U=")</f>
        <v>#VALUE!</v>
      </c>
      <c r="IM182" t="e">
        <f>AND('OTRAS ACCIONES'!F73,"AAAAABf36/Y=")</f>
        <v>#VALUE!</v>
      </c>
      <c r="IN182" t="e">
        <f>AND('OTRAS ACCIONES'!G73,"AAAAABf36/c=")</f>
        <v>#VALUE!</v>
      </c>
      <c r="IO182" t="e">
        <f>AND('OTRAS ACCIONES'!H73,"AAAAABf36/g=")</f>
        <v>#VALUE!</v>
      </c>
      <c r="IP182" t="e">
        <f>AND('OTRAS ACCIONES'!I73,"AAAAABf36/k=")</f>
        <v>#VALUE!</v>
      </c>
      <c r="IQ182" t="e">
        <f>AND('OTRAS ACCIONES'!J73,"AAAAABf36/o=")</f>
        <v>#VALUE!</v>
      </c>
      <c r="IR182" t="e">
        <f>AND('OTRAS ACCIONES'!K73,"AAAAABf36/s=")</f>
        <v>#VALUE!</v>
      </c>
      <c r="IS182" t="e">
        <f>AND('OTRAS ACCIONES'!L73,"AAAAABf36/w=")</f>
        <v>#VALUE!</v>
      </c>
      <c r="IT182" t="e">
        <f>AND('OTRAS ACCIONES'!M73,"AAAAABf36/0=")</f>
        <v>#VALUE!</v>
      </c>
      <c r="IU182" t="e">
        <f>AND('OTRAS ACCIONES'!N73,"AAAAABf36/4=")</f>
        <v>#VALUE!</v>
      </c>
      <c r="IV182" t="e">
        <f>AND('OTRAS ACCIONES'!O73,"AAAAABf36/8=")</f>
        <v>#VALUE!</v>
      </c>
    </row>
    <row r="183" spans="1:256" x14ac:dyDescent="0.2">
      <c r="A183" t="e">
        <f>AND('OTRAS ACCIONES'!P73,"AAAAAD3FcwA=")</f>
        <v>#VALUE!</v>
      </c>
      <c r="B183" t="e">
        <f>AND('OTRAS ACCIONES'!Q73,"AAAAAD3FcwE=")</f>
        <v>#VALUE!</v>
      </c>
      <c r="C183" t="e">
        <f>AND('OTRAS ACCIONES'!R73,"AAAAAD3FcwI=")</f>
        <v>#VALUE!</v>
      </c>
      <c r="D183" t="str">
        <f>IF('OTRAS ACCIONES'!74:74,"AAAAAD3FcwM=",0)</f>
        <v>AAAAAD3FcwM=</v>
      </c>
      <c r="E183" t="e">
        <f>AND('OTRAS ACCIONES'!B74,"AAAAAD3FcwQ=")</f>
        <v>#VALUE!</v>
      </c>
      <c r="F183" t="e">
        <f>AND('OTRAS ACCIONES'!C74,"AAAAAD3FcwU=")</f>
        <v>#VALUE!</v>
      </c>
      <c r="G183" t="e">
        <f>AND('OTRAS ACCIONES'!D74,"AAAAAD3FcwY=")</f>
        <v>#VALUE!</v>
      </c>
      <c r="H183" t="e">
        <f>AND('OTRAS ACCIONES'!E74,"AAAAAD3Fcwc=")</f>
        <v>#VALUE!</v>
      </c>
      <c r="I183" t="e">
        <f>AND('OTRAS ACCIONES'!F74,"AAAAAD3Fcwg=")</f>
        <v>#VALUE!</v>
      </c>
      <c r="J183" t="e">
        <f>AND('OTRAS ACCIONES'!G74,"AAAAAD3Fcwk=")</f>
        <v>#VALUE!</v>
      </c>
      <c r="K183" t="e">
        <f>AND('OTRAS ACCIONES'!H74,"AAAAAD3Fcwo=")</f>
        <v>#VALUE!</v>
      </c>
      <c r="L183" t="e">
        <f>AND('OTRAS ACCIONES'!I74,"AAAAAD3Fcws=")</f>
        <v>#VALUE!</v>
      </c>
      <c r="M183" t="e">
        <f>AND('OTRAS ACCIONES'!J74,"AAAAAD3Fcww=")</f>
        <v>#VALUE!</v>
      </c>
      <c r="N183" t="e">
        <f>AND('OTRAS ACCIONES'!K74,"AAAAAD3Fcw0=")</f>
        <v>#VALUE!</v>
      </c>
      <c r="O183" t="e">
        <f>AND('OTRAS ACCIONES'!L74,"AAAAAD3Fcw4=")</f>
        <v>#VALUE!</v>
      </c>
      <c r="P183" t="e">
        <f>AND('OTRAS ACCIONES'!M74,"AAAAAD3Fcw8=")</f>
        <v>#VALUE!</v>
      </c>
      <c r="Q183" t="e">
        <f>AND('OTRAS ACCIONES'!N74,"AAAAAD3FcxA=")</f>
        <v>#VALUE!</v>
      </c>
      <c r="R183" t="e">
        <f>AND('OTRAS ACCIONES'!O74,"AAAAAD3FcxE=")</f>
        <v>#VALUE!</v>
      </c>
      <c r="S183" t="e">
        <f>AND('OTRAS ACCIONES'!P74,"AAAAAD3FcxI=")</f>
        <v>#VALUE!</v>
      </c>
      <c r="T183" t="e">
        <f>AND('OTRAS ACCIONES'!Q74,"AAAAAD3FcxM=")</f>
        <v>#VALUE!</v>
      </c>
      <c r="U183" t="e">
        <f>AND('OTRAS ACCIONES'!R74,"AAAAAD3FcxQ=")</f>
        <v>#VALUE!</v>
      </c>
      <c r="V183">
        <f>IF('OTRAS ACCIONES'!75:75,"AAAAAD3FcxU=",0)</f>
        <v>0</v>
      </c>
      <c r="W183" t="e">
        <f>AND('OTRAS ACCIONES'!B75,"AAAAAD3FcxY=")</f>
        <v>#VALUE!</v>
      </c>
      <c r="X183" t="e">
        <f>AND('OTRAS ACCIONES'!C75,"AAAAAD3Fcxc=")</f>
        <v>#VALUE!</v>
      </c>
      <c r="Y183" t="e">
        <f>AND('OTRAS ACCIONES'!D75,"AAAAAD3Fcxg=")</f>
        <v>#VALUE!</v>
      </c>
      <c r="Z183" t="e">
        <f>AND('OTRAS ACCIONES'!E75,"AAAAAD3Fcxk=")</f>
        <v>#VALUE!</v>
      </c>
      <c r="AA183" t="e">
        <f>AND('OTRAS ACCIONES'!F75,"AAAAAD3Fcxo=")</f>
        <v>#VALUE!</v>
      </c>
      <c r="AB183" t="e">
        <f>AND('OTRAS ACCIONES'!G75,"AAAAAD3Fcxs=")</f>
        <v>#VALUE!</v>
      </c>
      <c r="AC183" t="e">
        <f>AND('OTRAS ACCIONES'!H75,"AAAAAD3Fcxw=")</f>
        <v>#VALUE!</v>
      </c>
      <c r="AD183" t="e">
        <f>AND('OTRAS ACCIONES'!I75,"AAAAAD3Fcx0=")</f>
        <v>#VALUE!</v>
      </c>
      <c r="AE183" t="e">
        <f>AND('OTRAS ACCIONES'!J75,"AAAAAD3Fcx4=")</f>
        <v>#VALUE!</v>
      </c>
      <c r="AF183" t="e">
        <f>AND('OTRAS ACCIONES'!K75,"AAAAAD3Fcx8=")</f>
        <v>#VALUE!</v>
      </c>
      <c r="AG183" t="e">
        <f>AND('OTRAS ACCIONES'!L75,"AAAAAD3FcyA=")</f>
        <v>#VALUE!</v>
      </c>
      <c r="AH183" t="e">
        <f>AND('OTRAS ACCIONES'!M75,"AAAAAD3FcyE=")</f>
        <v>#VALUE!</v>
      </c>
      <c r="AI183" t="e">
        <f>AND('OTRAS ACCIONES'!N75,"AAAAAD3FcyI=")</f>
        <v>#VALUE!</v>
      </c>
      <c r="AJ183" t="e">
        <f>AND('OTRAS ACCIONES'!O75,"AAAAAD3FcyM=")</f>
        <v>#VALUE!</v>
      </c>
      <c r="AK183" t="e">
        <f>AND('OTRAS ACCIONES'!P75,"AAAAAD3FcyQ=")</f>
        <v>#VALUE!</v>
      </c>
      <c r="AL183" t="e">
        <f>AND('OTRAS ACCIONES'!Q75,"AAAAAD3FcyU=")</f>
        <v>#VALUE!</v>
      </c>
      <c r="AM183" t="e">
        <f>AND('OTRAS ACCIONES'!R75,"AAAAAD3FcyY=")</f>
        <v>#VALUE!</v>
      </c>
      <c r="AN183">
        <f>IF('OTRAS ACCIONES'!76:76,"AAAAAD3Fcyc=",0)</f>
        <v>0</v>
      </c>
      <c r="AO183" t="e">
        <f>AND('OTRAS ACCIONES'!B76,"AAAAAD3Fcyg=")</f>
        <v>#VALUE!</v>
      </c>
      <c r="AP183" t="e">
        <f>AND('OTRAS ACCIONES'!C76,"AAAAAD3Fcyk=")</f>
        <v>#VALUE!</v>
      </c>
      <c r="AQ183" t="e">
        <f>AND('OTRAS ACCIONES'!D76,"AAAAAD3Fcyo=")</f>
        <v>#VALUE!</v>
      </c>
      <c r="AR183" t="e">
        <f>AND('OTRAS ACCIONES'!E76,"AAAAAD3Fcys=")</f>
        <v>#VALUE!</v>
      </c>
      <c r="AS183" t="e">
        <f>AND('OTRAS ACCIONES'!F76,"AAAAAD3Fcyw=")</f>
        <v>#VALUE!</v>
      </c>
      <c r="AT183" t="e">
        <f>AND('OTRAS ACCIONES'!G76,"AAAAAD3Fcy0=")</f>
        <v>#VALUE!</v>
      </c>
      <c r="AU183" t="e">
        <f>AND('OTRAS ACCIONES'!H76,"AAAAAD3Fcy4=")</f>
        <v>#VALUE!</v>
      </c>
      <c r="AV183" t="e">
        <f>AND('OTRAS ACCIONES'!I76,"AAAAAD3Fcy8=")</f>
        <v>#VALUE!</v>
      </c>
      <c r="AW183" t="e">
        <f>AND('OTRAS ACCIONES'!J76,"AAAAAD3FczA=")</f>
        <v>#VALUE!</v>
      </c>
      <c r="AX183" t="e">
        <f>AND('OTRAS ACCIONES'!K76,"AAAAAD3FczE=")</f>
        <v>#VALUE!</v>
      </c>
      <c r="AY183" t="e">
        <f>AND('OTRAS ACCIONES'!L76,"AAAAAD3FczI=")</f>
        <v>#VALUE!</v>
      </c>
      <c r="AZ183" t="e">
        <f>AND('OTRAS ACCIONES'!M76,"AAAAAD3FczM=")</f>
        <v>#VALUE!</v>
      </c>
      <c r="BA183" t="e">
        <f>AND('OTRAS ACCIONES'!N76,"AAAAAD3FczQ=")</f>
        <v>#VALUE!</v>
      </c>
      <c r="BB183" t="e">
        <f>AND('OTRAS ACCIONES'!O76,"AAAAAD3FczU=")</f>
        <v>#VALUE!</v>
      </c>
      <c r="BC183" t="e">
        <f>AND('OTRAS ACCIONES'!P76,"AAAAAD3FczY=")</f>
        <v>#VALUE!</v>
      </c>
      <c r="BD183" t="e">
        <f>AND('OTRAS ACCIONES'!Q76,"AAAAAD3Fczc=")</f>
        <v>#VALUE!</v>
      </c>
      <c r="BE183" t="e">
        <f>AND('OTRAS ACCIONES'!R76,"AAAAAD3Fczg=")</f>
        <v>#VALUE!</v>
      </c>
      <c r="BF183" t="e">
        <f>IF('OTRAS ACCIONES'!#REF!,"AAAAAD3Fczk=",0)</f>
        <v>#REF!</v>
      </c>
      <c r="BG183" t="e">
        <f>AND('OTRAS ACCIONES'!#REF!,"AAAAAD3Fczo=")</f>
        <v>#REF!</v>
      </c>
      <c r="BH183" t="e">
        <f>AND('OTRAS ACCIONES'!#REF!,"AAAAAD3Fczs=")</f>
        <v>#REF!</v>
      </c>
      <c r="BI183" t="e">
        <f>AND('OTRAS ACCIONES'!#REF!,"AAAAAD3Fczw=")</f>
        <v>#REF!</v>
      </c>
      <c r="BJ183" t="e">
        <f>AND('OTRAS ACCIONES'!#REF!,"AAAAAD3Fcz0=")</f>
        <v>#REF!</v>
      </c>
      <c r="BK183" t="e">
        <f>AND('OTRAS ACCIONES'!#REF!,"AAAAAD3Fcz4=")</f>
        <v>#REF!</v>
      </c>
      <c r="BL183" t="e">
        <f>AND('OTRAS ACCIONES'!#REF!,"AAAAAD3Fcz8=")</f>
        <v>#REF!</v>
      </c>
      <c r="BM183" t="e">
        <f>AND('OTRAS ACCIONES'!#REF!,"AAAAAD3Fc0A=")</f>
        <v>#REF!</v>
      </c>
      <c r="BN183" t="e">
        <f>AND('OTRAS ACCIONES'!#REF!,"AAAAAD3Fc0E=")</f>
        <v>#REF!</v>
      </c>
      <c r="BO183" t="e">
        <f>AND('OTRAS ACCIONES'!#REF!,"AAAAAD3Fc0I=")</f>
        <v>#REF!</v>
      </c>
      <c r="BP183" t="e">
        <f>AND('OTRAS ACCIONES'!#REF!,"AAAAAD3Fc0M=")</f>
        <v>#REF!</v>
      </c>
      <c r="BQ183" t="e">
        <f>AND('OTRAS ACCIONES'!#REF!,"AAAAAD3Fc0Q=")</f>
        <v>#REF!</v>
      </c>
      <c r="BR183" t="e">
        <f>AND('OTRAS ACCIONES'!#REF!,"AAAAAD3Fc0U=")</f>
        <v>#REF!</v>
      </c>
      <c r="BS183" t="e">
        <f>AND('OTRAS ACCIONES'!#REF!,"AAAAAD3Fc0Y=")</f>
        <v>#REF!</v>
      </c>
      <c r="BT183" t="e">
        <f>AND('OTRAS ACCIONES'!#REF!,"AAAAAD3Fc0c=")</f>
        <v>#REF!</v>
      </c>
      <c r="BU183" t="e">
        <f>AND('OTRAS ACCIONES'!#REF!,"AAAAAD3Fc0g=")</f>
        <v>#REF!</v>
      </c>
      <c r="BV183" t="e">
        <f>AND('OTRAS ACCIONES'!#REF!,"AAAAAD3Fc0k=")</f>
        <v>#REF!</v>
      </c>
      <c r="BW183" t="e">
        <f>AND('OTRAS ACCIONES'!#REF!,"AAAAAD3Fc0o=")</f>
        <v>#REF!</v>
      </c>
      <c r="BX183">
        <f>IF('OTRAS ACCIONES'!82:82,"AAAAAD3Fc0s=",0)</f>
        <v>0</v>
      </c>
      <c r="BY183" t="e">
        <f>AND('OTRAS ACCIONES'!B82,"AAAAAD3Fc0w=")</f>
        <v>#VALUE!</v>
      </c>
      <c r="BZ183" t="e">
        <f>AND('OTRAS ACCIONES'!C82,"AAAAAD3Fc00=")</f>
        <v>#VALUE!</v>
      </c>
      <c r="CA183" t="e">
        <f>AND('OTRAS ACCIONES'!D82,"AAAAAD3Fc04=")</f>
        <v>#VALUE!</v>
      </c>
      <c r="CB183" t="e">
        <f>AND('OTRAS ACCIONES'!E82,"AAAAAD3Fc08=")</f>
        <v>#VALUE!</v>
      </c>
      <c r="CC183" t="e">
        <f>AND('OTRAS ACCIONES'!F82,"AAAAAD3Fc1A=")</f>
        <v>#VALUE!</v>
      </c>
      <c r="CD183" t="e">
        <f>AND('OTRAS ACCIONES'!G82,"AAAAAD3Fc1E=")</f>
        <v>#VALUE!</v>
      </c>
      <c r="CE183" t="e">
        <f>AND('OTRAS ACCIONES'!H82,"AAAAAD3Fc1I=")</f>
        <v>#VALUE!</v>
      </c>
      <c r="CF183" t="e">
        <f>AND('OTRAS ACCIONES'!I82,"AAAAAD3Fc1M=")</f>
        <v>#VALUE!</v>
      </c>
      <c r="CG183" t="e">
        <f>AND('OTRAS ACCIONES'!J82,"AAAAAD3Fc1Q=")</f>
        <v>#VALUE!</v>
      </c>
      <c r="CH183" t="e">
        <f>AND('OTRAS ACCIONES'!K82,"AAAAAD3Fc1U=")</f>
        <v>#VALUE!</v>
      </c>
      <c r="CI183" t="e">
        <f>AND('OTRAS ACCIONES'!L82,"AAAAAD3Fc1Y=")</f>
        <v>#VALUE!</v>
      </c>
      <c r="CJ183" t="e">
        <f>AND('OTRAS ACCIONES'!M82,"AAAAAD3Fc1c=")</f>
        <v>#VALUE!</v>
      </c>
      <c r="CK183" t="e">
        <f>AND('OTRAS ACCIONES'!N82,"AAAAAD3Fc1g=")</f>
        <v>#VALUE!</v>
      </c>
      <c r="CL183" t="e">
        <f>AND('OTRAS ACCIONES'!O82,"AAAAAD3Fc1k=")</f>
        <v>#VALUE!</v>
      </c>
      <c r="CM183" t="e">
        <f>AND('OTRAS ACCIONES'!P82,"AAAAAD3Fc1o=")</f>
        <v>#VALUE!</v>
      </c>
      <c r="CN183" t="e">
        <f>AND('OTRAS ACCIONES'!Q82,"AAAAAD3Fc1s=")</f>
        <v>#VALUE!</v>
      </c>
      <c r="CO183" t="e">
        <f>AND('OTRAS ACCIONES'!R82,"AAAAAD3Fc1w=")</f>
        <v>#VALUE!</v>
      </c>
      <c r="CP183" t="e">
        <f>IF('OTRAS ACCIONES'!#REF!,"AAAAAD3Fc10=",0)</f>
        <v>#REF!</v>
      </c>
      <c r="CQ183" t="e">
        <f>AND('OTRAS ACCIONES'!#REF!,"AAAAAD3Fc14=")</f>
        <v>#REF!</v>
      </c>
      <c r="CR183" t="e">
        <f>AND('OTRAS ACCIONES'!#REF!,"AAAAAD3Fc18=")</f>
        <v>#REF!</v>
      </c>
      <c r="CS183" t="e">
        <f>AND('OTRAS ACCIONES'!#REF!,"AAAAAD3Fc2A=")</f>
        <v>#REF!</v>
      </c>
      <c r="CT183" t="e">
        <f>AND('OTRAS ACCIONES'!#REF!,"AAAAAD3Fc2E=")</f>
        <v>#REF!</v>
      </c>
      <c r="CU183" t="e">
        <f>AND('OTRAS ACCIONES'!#REF!,"AAAAAD3Fc2I=")</f>
        <v>#REF!</v>
      </c>
      <c r="CV183" t="e">
        <f>AND('OTRAS ACCIONES'!#REF!,"AAAAAD3Fc2M=")</f>
        <v>#REF!</v>
      </c>
      <c r="CW183" t="e">
        <f>AND('OTRAS ACCIONES'!#REF!,"AAAAAD3Fc2Q=")</f>
        <v>#REF!</v>
      </c>
      <c r="CX183" t="e">
        <f>AND('OTRAS ACCIONES'!#REF!,"AAAAAD3Fc2U=")</f>
        <v>#REF!</v>
      </c>
      <c r="CY183" t="e">
        <f>AND('OTRAS ACCIONES'!#REF!,"AAAAAD3Fc2Y=")</f>
        <v>#REF!</v>
      </c>
      <c r="CZ183" t="e">
        <f>AND('OTRAS ACCIONES'!#REF!,"AAAAAD3Fc2c=")</f>
        <v>#REF!</v>
      </c>
      <c r="DA183" t="e">
        <f>AND('OTRAS ACCIONES'!#REF!,"AAAAAD3Fc2g=")</f>
        <v>#REF!</v>
      </c>
      <c r="DB183" t="e">
        <f>AND('OTRAS ACCIONES'!#REF!,"AAAAAD3Fc2k=")</f>
        <v>#REF!</v>
      </c>
      <c r="DC183" t="e">
        <f>AND('OTRAS ACCIONES'!#REF!,"AAAAAD3Fc2o=")</f>
        <v>#REF!</v>
      </c>
      <c r="DD183" t="e">
        <f>AND('OTRAS ACCIONES'!#REF!,"AAAAAD3Fc2s=")</f>
        <v>#REF!</v>
      </c>
      <c r="DE183" t="e">
        <f>AND('OTRAS ACCIONES'!#REF!,"AAAAAD3Fc2w=")</f>
        <v>#REF!</v>
      </c>
      <c r="DF183" t="e">
        <f>AND('OTRAS ACCIONES'!#REF!,"AAAAAD3Fc20=")</f>
        <v>#REF!</v>
      </c>
      <c r="DG183" t="e">
        <f>AND('OTRAS ACCIONES'!#REF!,"AAAAAD3Fc24=")</f>
        <v>#REF!</v>
      </c>
      <c r="DH183">
        <f>IF('OTRAS ACCIONES'!83:83,"AAAAAD3Fc28=",0)</f>
        <v>0</v>
      </c>
      <c r="DI183" t="e">
        <f>AND('OTRAS ACCIONES'!B83,"AAAAAD3Fc3A=")</f>
        <v>#VALUE!</v>
      </c>
      <c r="DJ183" t="e">
        <f>AND('OTRAS ACCIONES'!C83,"AAAAAD3Fc3E=")</f>
        <v>#VALUE!</v>
      </c>
      <c r="DK183" t="e">
        <f>AND('OTRAS ACCIONES'!D83,"AAAAAD3Fc3I=")</f>
        <v>#VALUE!</v>
      </c>
      <c r="DL183" t="e">
        <f>AND('OTRAS ACCIONES'!E83,"AAAAAD3Fc3M=")</f>
        <v>#VALUE!</v>
      </c>
      <c r="DM183" t="e">
        <f>AND('OTRAS ACCIONES'!F83,"AAAAAD3Fc3Q=")</f>
        <v>#VALUE!</v>
      </c>
      <c r="DN183" t="e">
        <f>AND('OTRAS ACCIONES'!G83,"AAAAAD3Fc3U=")</f>
        <v>#VALUE!</v>
      </c>
      <c r="DO183" t="e">
        <f>AND('OTRAS ACCIONES'!H83,"AAAAAD3Fc3Y=")</f>
        <v>#VALUE!</v>
      </c>
      <c r="DP183" t="e">
        <f>AND('OTRAS ACCIONES'!I83,"AAAAAD3Fc3c=")</f>
        <v>#VALUE!</v>
      </c>
      <c r="DQ183" t="e">
        <f>AND('OTRAS ACCIONES'!J83,"AAAAAD3Fc3g=")</f>
        <v>#VALUE!</v>
      </c>
      <c r="DR183" t="e">
        <f>AND('OTRAS ACCIONES'!K83,"AAAAAD3Fc3k=")</f>
        <v>#VALUE!</v>
      </c>
      <c r="DS183" t="e">
        <f>AND('OTRAS ACCIONES'!L83,"AAAAAD3Fc3o=")</f>
        <v>#VALUE!</v>
      </c>
      <c r="DT183" t="e">
        <f>AND('OTRAS ACCIONES'!M83,"AAAAAD3Fc3s=")</f>
        <v>#VALUE!</v>
      </c>
      <c r="DU183" t="e">
        <f>AND('OTRAS ACCIONES'!N83,"AAAAAD3Fc3w=")</f>
        <v>#VALUE!</v>
      </c>
      <c r="DV183" t="e">
        <f>AND('OTRAS ACCIONES'!O83,"AAAAAD3Fc30=")</f>
        <v>#VALUE!</v>
      </c>
      <c r="DW183" t="e">
        <f>AND('OTRAS ACCIONES'!P83,"AAAAAD3Fc34=")</f>
        <v>#VALUE!</v>
      </c>
      <c r="DX183" t="e">
        <f>AND('OTRAS ACCIONES'!Q83,"AAAAAD3Fc38=")</f>
        <v>#VALUE!</v>
      </c>
      <c r="DY183" t="e">
        <f>AND('OTRAS ACCIONES'!R83,"AAAAAD3Fc4A=")</f>
        <v>#VALUE!</v>
      </c>
      <c r="DZ183">
        <f>IF('OTRAS ACCIONES'!84:84,"AAAAAD3Fc4E=",0)</f>
        <v>0</v>
      </c>
      <c r="EA183" t="e">
        <f>AND('OTRAS ACCIONES'!B84,"AAAAAD3Fc4I=")</f>
        <v>#VALUE!</v>
      </c>
      <c r="EB183" t="e">
        <f>AND('OTRAS ACCIONES'!C84,"AAAAAD3Fc4M=")</f>
        <v>#VALUE!</v>
      </c>
      <c r="EC183" t="e">
        <f>AND('OTRAS ACCIONES'!D84,"AAAAAD3Fc4Q=")</f>
        <v>#VALUE!</v>
      </c>
      <c r="ED183" t="e">
        <f>AND('OTRAS ACCIONES'!E84,"AAAAAD3Fc4U=")</f>
        <v>#VALUE!</v>
      </c>
      <c r="EE183" t="e">
        <f>AND('OTRAS ACCIONES'!F84,"AAAAAD3Fc4Y=")</f>
        <v>#VALUE!</v>
      </c>
      <c r="EF183" t="e">
        <f>AND('OTRAS ACCIONES'!G84,"AAAAAD3Fc4c=")</f>
        <v>#VALUE!</v>
      </c>
      <c r="EG183" t="e">
        <f>AND('OTRAS ACCIONES'!H84,"AAAAAD3Fc4g=")</f>
        <v>#VALUE!</v>
      </c>
      <c r="EH183" t="e">
        <f>AND('OTRAS ACCIONES'!I84,"AAAAAD3Fc4k=")</f>
        <v>#VALUE!</v>
      </c>
      <c r="EI183" t="e">
        <f>AND('OTRAS ACCIONES'!J84,"AAAAAD3Fc4o=")</f>
        <v>#VALUE!</v>
      </c>
      <c r="EJ183" t="e">
        <f>AND('OTRAS ACCIONES'!K84,"AAAAAD3Fc4s=")</f>
        <v>#VALUE!</v>
      </c>
      <c r="EK183" t="e">
        <f>AND('OTRAS ACCIONES'!L84,"AAAAAD3Fc4w=")</f>
        <v>#VALUE!</v>
      </c>
      <c r="EL183" t="e">
        <f>AND('OTRAS ACCIONES'!M84,"AAAAAD3Fc40=")</f>
        <v>#VALUE!</v>
      </c>
      <c r="EM183" t="e">
        <f>AND('OTRAS ACCIONES'!N84,"AAAAAD3Fc44=")</f>
        <v>#VALUE!</v>
      </c>
      <c r="EN183" t="e">
        <f>AND('OTRAS ACCIONES'!O84,"AAAAAD3Fc48=")</f>
        <v>#VALUE!</v>
      </c>
      <c r="EO183" t="e">
        <f>AND('OTRAS ACCIONES'!P84,"AAAAAD3Fc5A=")</f>
        <v>#VALUE!</v>
      </c>
      <c r="EP183" t="e">
        <f>AND('OTRAS ACCIONES'!Q84,"AAAAAD3Fc5E=")</f>
        <v>#VALUE!</v>
      </c>
      <c r="EQ183" t="e">
        <f>AND('OTRAS ACCIONES'!R84,"AAAAAD3Fc5I=")</f>
        <v>#VALUE!</v>
      </c>
      <c r="ER183" t="e">
        <f>IF('OTRAS ACCIONES'!#REF!,"AAAAAD3Fc5M=",0)</f>
        <v>#REF!</v>
      </c>
      <c r="ES183" t="e">
        <f>AND('OTRAS ACCIONES'!#REF!,"AAAAAD3Fc5Q=")</f>
        <v>#REF!</v>
      </c>
      <c r="ET183" t="e">
        <f>AND('OTRAS ACCIONES'!#REF!,"AAAAAD3Fc5U=")</f>
        <v>#REF!</v>
      </c>
      <c r="EU183" t="e">
        <f>AND('OTRAS ACCIONES'!#REF!,"AAAAAD3Fc5Y=")</f>
        <v>#REF!</v>
      </c>
      <c r="EV183" t="e">
        <f>AND('OTRAS ACCIONES'!#REF!,"AAAAAD3Fc5c=")</f>
        <v>#REF!</v>
      </c>
      <c r="EW183" t="e">
        <f>AND('OTRAS ACCIONES'!#REF!,"AAAAAD3Fc5g=")</f>
        <v>#REF!</v>
      </c>
      <c r="EX183" t="e">
        <f>AND('OTRAS ACCIONES'!#REF!,"AAAAAD3Fc5k=")</f>
        <v>#REF!</v>
      </c>
      <c r="EY183" t="e">
        <f>AND('OTRAS ACCIONES'!#REF!,"AAAAAD3Fc5o=")</f>
        <v>#REF!</v>
      </c>
      <c r="EZ183" t="e">
        <f>AND('OTRAS ACCIONES'!#REF!,"AAAAAD3Fc5s=")</f>
        <v>#REF!</v>
      </c>
      <c r="FA183" t="e">
        <f>AND('OTRAS ACCIONES'!#REF!,"AAAAAD3Fc5w=")</f>
        <v>#REF!</v>
      </c>
      <c r="FB183" t="e">
        <f>AND('OTRAS ACCIONES'!#REF!,"AAAAAD3Fc50=")</f>
        <v>#REF!</v>
      </c>
      <c r="FC183" t="e">
        <f>AND('OTRAS ACCIONES'!#REF!,"AAAAAD3Fc54=")</f>
        <v>#REF!</v>
      </c>
      <c r="FD183" t="e">
        <f>AND('OTRAS ACCIONES'!#REF!,"AAAAAD3Fc58=")</f>
        <v>#REF!</v>
      </c>
      <c r="FE183" t="e">
        <f>AND('OTRAS ACCIONES'!#REF!,"AAAAAD3Fc6A=")</f>
        <v>#REF!</v>
      </c>
      <c r="FF183" t="e">
        <f>AND('OTRAS ACCIONES'!#REF!,"AAAAAD3Fc6E=")</f>
        <v>#REF!</v>
      </c>
      <c r="FG183" t="e">
        <f>AND('OTRAS ACCIONES'!#REF!,"AAAAAD3Fc6I=")</f>
        <v>#REF!</v>
      </c>
      <c r="FH183" t="e">
        <f>AND('OTRAS ACCIONES'!#REF!,"AAAAAD3Fc6M=")</f>
        <v>#REF!</v>
      </c>
      <c r="FI183" t="e">
        <f>AND('OTRAS ACCIONES'!#REF!,"AAAAAD3Fc6Q=")</f>
        <v>#REF!</v>
      </c>
      <c r="FJ183" t="e">
        <f>IF('OTRAS ACCIONES'!#REF!,"AAAAAD3Fc6U=",0)</f>
        <v>#REF!</v>
      </c>
      <c r="FK183" t="e">
        <f>AND('OTRAS ACCIONES'!#REF!,"AAAAAD3Fc6Y=")</f>
        <v>#REF!</v>
      </c>
      <c r="FL183" t="e">
        <f>AND('OTRAS ACCIONES'!#REF!,"AAAAAD3Fc6c=")</f>
        <v>#REF!</v>
      </c>
      <c r="FM183" t="e">
        <f>AND('OTRAS ACCIONES'!#REF!,"AAAAAD3Fc6g=")</f>
        <v>#REF!</v>
      </c>
      <c r="FN183" t="e">
        <f>AND('OTRAS ACCIONES'!#REF!,"AAAAAD3Fc6k=")</f>
        <v>#REF!</v>
      </c>
      <c r="FO183" t="e">
        <f>AND('OTRAS ACCIONES'!#REF!,"AAAAAD3Fc6o=")</f>
        <v>#REF!</v>
      </c>
      <c r="FP183" t="e">
        <f>AND('OTRAS ACCIONES'!#REF!,"AAAAAD3Fc6s=")</f>
        <v>#REF!</v>
      </c>
      <c r="FQ183" t="e">
        <f>AND('OTRAS ACCIONES'!#REF!,"AAAAAD3Fc6w=")</f>
        <v>#REF!</v>
      </c>
      <c r="FR183" t="e">
        <f>AND('OTRAS ACCIONES'!#REF!,"AAAAAD3Fc60=")</f>
        <v>#REF!</v>
      </c>
      <c r="FS183" t="e">
        <f>AND('OTRAS ACCIONES'!#REF!,"AAAAAD3Fc64=")</f>
        <v>#REF!</v>
      </c>
      <c r="FT183" t="e">
        <f>AND('OTRAS ACCIONES'!#REF!,"AAAAAD3Fc68=")</f>
        <v>#REF!</v>
      </c>
      <c r="FU183" t="e">
        <f>AND('OTRAS ACCIONES'!#REF!,"AAAAAD3Fc7A=")</f>
        <v>#REF!</v>
      </c>
      <c r="FV183" t="e">
        <f>AND('OTRAS ACCIONES'!#REF!,"AAAAAD3Fc7E=")</f>
        <v>#REF!</v>
      </c>
      <c r="FW183" t="e">
        <f>AND('OTRAS ACCIONES'!#REF!,"AAAAAD3Fc7I=")</f>
        <v>#REF!</v>
      </c>
      <c r="FX183" t="e">
        <f>AND('OTRAS ACCIONES'!#REF!,"AAAAAD3Fc7M=")</f>
        <v>#REF!</v>
      </c>
      <c r="FY183" t="e">
        <f>AND('OTRAS ACCIONES'!#REF!,"AAAAAD3Fc7Q=")</f>
        <v>#REF!</v>
      </c>
      <c r="FZ183" t="e">
        <f>AND('OTRAS ACCIONES'!#REF!,"AAAAAD3Fc7U=")</f>
        <v>#REF!</v>
      </c>
      <c r="GA183" t="e">
        <f>AND('OTRAS ACCIONES'!#REF!,"AAAAAD3Fc7Y=")</f>
        <v>#REF!</v>
      </c>
      <c r="GB183">
        <f>IF('OTRAS ACCIONES'!85:85,"AAAAAD3Fc7c=",0)</f>
        <v>0</v>
      </c>
      <c r="GC183" t="e">
        <f>AND('OTRAS ACCIONES'!B85,"AAAAAD3Fc7g=")</f>
        <v>#VALUE!</v>
      </c>
      <c r="GD183" t="e">
        <f>AND('OTRAS ACCIONES'!C85,"AAAAAD3Fc7k=")</f>
        <v>#VALUE!</v>
      </c>
      <c r="GE183" t="e">
        <f>AND('OTRAS ACCIONES'!D85,"AAAAAD3Fc7o=")</f>
        <v>#VALUE!</v>
      </c>
      <c r="GF183" t="e">
        <f>AND('OTRAS ACCIONES'!E85,"AAAAAD3Fc7s=")</f>
        <v>#VALUE!</v>
      </c>
      <c r="GG183" t="e">
        <f>AND('OTRAS ACCIONES'!F86,"AAAAAD3Fc7w=")</f>
        <v>#VALUE!</v>
      </c>
      <c r="GH183" t="e">
        <f>AND('OTRAS ACCIONES'!G85,"AAAAAD3Fc70=")</f>
        <v>#VALUE!</v>
      </c>
      <c r="GI183" t="e">
        <f>AND('OTRAS ACCIONES'!H85,"AAAAAD3Fc74=")</f>
        <v>#VALUE!</v>
      </c>
      <c r="GJ183" t="e">
        <f>AND('OTRAS ACCIONES'!I85,"AAAAAD3Fc78=")</f>
        <v>#VALUE!</v>
      </c>
      <c r="GK183" t="e">
        <f>AND('OTRAS ACCIONES'!J85,"AAAAAD3Fc8A=")</f>
        <v>#VALUE!</v>
      </c>
      <c r="GL183" t="e">
        <f>AND('OTRAS ACCIONES'!K85,"AAAAAD3Fc8E=")</f>
        <v>#VALUE!</v>
      </c>
      <c r="GM183" t="e">
        <f>AND('OTRAS ACCIONES'!L85,"AAAAAD3Fc8I=")</f>
        <v>#VALUE!</v>
      </c>
      <c r="GN183" t="e">
        <f>AND('OTRAS ACCIONES'!M85,"AAAAAD3Fc8M=")</f>
        <v>#VALUE!</v>
      </c>
      <c r="GO183" t="e">
        <f>AND('OTRAS ACCIONES'!N85,"AAAAAD3Fc8Q=")</f>
        <v>#VALUE!</v>
      </c>
      <c r="GP183" t="e">
        <f>AND('OTRAS ACCIONES'!O85,"AAAAAD3Fc8U=")</f>
        <v>#VALUE!</v>
      </c>
      <c r="GQ183" t="e">
        <f>AND('OTRAS ACCIONES'!P85,"AAAAAD3Fc8Y=")</f>
        <v>#VALUE!</v>
      </c>
      <c r="GR183" t="e">
        <f>AND('OTRAS ACCIONES'!Q85,"AAAAAD3Fc8c=")</f>
        <v>#VALUE!</v>
      </c>
      <c r="GS183" t="e">
        <f>AND('OTRAS ACCIONES'!R85,"AAAAAD3Fc8g=")</f>
        <v>#VALUE!</v>
      </c>
      <c r="GT183" t="e">
        <f>IF('OTRAS ACCIONES'!#REF!,"AAAAAD3Fc8k=",0)</f>
        <v>#REF!</v>
      </c>
      <c r="GU183" t="e">
        <f>AND('OTRAS ACCIONES'!#REF!,"AAAAAD3Fc8o=")</f>
        <v>#REF!</v>
      </c>
      <c r="GV183" t="e">
        <f>AND('OTRAS ACCIONES'!#REF!,"AAAAAD3Fc8s=")</f>
        <v>#REF!</v>
      </c>
      <c r="GW183" t="e">
        <f>AND('OTRAS ACCIONES'!#REF!,"AAAAAD3Fc8w=")</f>
        <v>#REF!</v>
      </c>
      <c r="GX183" t="e">
        <f>AND('OTRAS ACCIONES'!#REF!,"AAAAAD3Fc80=")</f>
        <v>#REF!</v>
      </c>
      <c r="GY183" t="e">
        <f>AND('OTRAS ACCIONES'!#REF!,"AAAAAD3Fc84=")</f>
        <v>#REF!</v>
      </c>
      <c r="GZ183" t="e">
        <f>AND('OTRAS ACCIONES'!#REF!,"AAAAAD3Fc88=")</f>
        <v>#REF!</v>
      </c>
      <c r="HA183" t="e">
        <f>AND('OTRAS ACCIONES'!#REF!,"AAAAAD3Fc9A=")</f>
        <v>#REF!</v>
      </c>
      <c r="HB183" t="e">
        <f>AND('OTRAS ACCIONES'!#REF!,"AAAAAD3Fc9E=")</f>
        <v>#REF!</v>
      </c>
      <c r="HC183" t="e">
        <f>AND('OTRAS ACCIONES'!#REF!,"AAAAAD3Fc9I=")</f>
        <v>#REF!</v>
      </c>
      <c r="HD183" t="e">
        <f>AND('OTRAS ACCIONES'!#REF!,"AAAAAD3Fc9M=")</f>
        <v>#REF!</v>
      </c>
      <c r="HE183" t="e">
        <f>AND('OTRAS ACCIONES'!#REF!,"AAAAAD3Fc9Q=")</f>
        <v>#REF!</v>
      </c>
      <c r="HF183" t="e">
        <f>AND('OTRAS ACCIONES'!#REF!,"AAAAAD3Fc9U=")</f>
        <v>#REF!</v>
      </c>
      <c r="HG183" t="e">
        <f>AND('OTRAS ACCIONES'!#REF!,"AAAAAD3Fc9Y=")</f>
        <v>#REF!</v>
      </c>
      <c r="HH183" t="e">
        <f>AND('OTRAS ACCIONES'!#REF!,"AAAAAD3Fc9c=")</f>
        <v>#REF!</v>
      </c>
      <c r="HI183" t="e">
        <f>AND('OTRAS ACCIONES'!#REF!,"AAAAAD3Fc9g=")</f>
        <v>#REF!</v>
      </c>
      <c r="HJ183" t="e">
        <f>AND('OTRAS ACCIONES'!#REF!,"AAAAAD3Fc9k=")</f>
        <v>#REF!</v>
      </c>
      <c r="HK183" t="e">
        <f>AND('OTRAS ACCIONES'!#REF!,"AAAAAD3Fc9o=")</f>
        <v>#REF!</v>
      </c>
      <c r="HL183">
        <f>IF('OTRAS ACCIONES'!86:86,"AAAAAD3Fc9s=",0)</f>
        <v>0</v>
      </c>
      <c r="HM183" t="e">
        <f>AND('OTRAS ACCIONES'!B86,"AAAAAD3Fc9w=")</f>
        <v>#VALUE!</v>
      </c>
      <c r="HN183" t="e">
        <f>AND('OTRAS ACCIONES'!C86,"AAAAAD3Fc90=")</f>
        <v>#VALUE!</v>
      </c>
      <c r="HO183" t="e">
        <f>AND('OTRAS ACCIONES'!D86,"AAAAAD3Fc94=")</f>
        <v>#VALUE!</v>
      </c>
      <c r="HP183" t="e">
        <f>AND('OTRAS ACCIONES'!E86,"AAAAAD3Fc98=")</f>
        <v>#VALUE!</v>
      </c>
      <c r="HQ183" t="e">
        <f>AND('OTRAS ACCIONES'!F85,"AAAAAD3Fc+A=")</f>
        <v>#VALUE!</v>
      </c>
      <c r="HR183" t="e">
        <f>AND('OTRAS ACCIONES'!G86,"AAAAAD3Fc+E=")</f>
        <v>#VALUE!</v>
      </c>
      <c r="HS183" t="e">
        <f>AND('OTRAS ACCIONES'!H86,"AAAAAD3Fc+I=")</f>
        <v>#VALUE!</v>
      </c>
      <c r="HT183" t="e">
        <f>AND('OTRAS ACCIONES'!I86,"AAAAAD3Fc+M=")</f>
        <v>#VALUE!</v>
      </c>
      <c r="HU183" t="e">
        <f>AND('OTRAS ACCIONES'!J86,"AAAAAD3Fc+Q=")</f>
        <v>#VALUE!</v>
      </c>
      <c r="HV183" t="e">
        <f>AND('OTRAS ACCIONES'!K86,"AAAAAD3Fc+U=")</f>
        <v>#VALUE!</v>
      </c>
      <c r="HW183" t="e">
        <f>AND('OTRAS ACCIONES'!L86,"AAAAAD3Fc+Y=")</f>
        <v>#VALUE!</v>
      </c>
      <c r="HX183" t="e">
        <f>AND('OTRAS ACCIONES'!M86,"AAAAAD3Fc+c=")</f>
        <v>#VALUE!</v>
      </c>
      <c r="HY183" t="e">
        <f>AND('OTRAS ACCIONES'!N86,"AAAAAD3Fc+g=")</f>
        <v>#VALUE!</v>
      </c>
      <c r="HZ183" t="e">
        <f>AND('OTRAS ACCIONES'!O86,"AAAAAD3Fc+k=")</f>
        <v>#VALUE!</v>
      </c>
      <c r="IA183" t="e">
        <f>AND('OTRAS ACCIONES'!P86,"AAAAAD3Fc+o=")</f>
        <v>#VALUE!</v>
      </c>
      <c r="IB183" t="e">
        <f>AND('OTRAS ACCIONES'!Q86,"AAAAAD3Fc+s=")</f>
        <v>#VALUE!</v>
      </c>
      <c r="IC183" t="e">
        <f>AND('OTRAS ACCIONES'!R86,"AAAAAD3Fc+w=")</f>
        <v>#VALUE!</v>
      </c>
      <c r="ID183" t="e">
        <f>IF('OTRAS ACCIONES'!#REF!,"AAAAAD3Fc+0=",0)</f>
        <v>#REF!</v>
      </c>
      <c r="IE183" t="e">
        <f>AND('OTRAS ACCIONES'!#REF!,"AAAAAD3Fc+4=")</f>
        <v>#REF!</v>
      </c>
      <c r="IF183" t="e">
        <f>AND('OTRAS ACCIONES'!#REF!,"AAAAAD3Fc+8=")</f>
        <v>#REF!</v>
      </c>
      <c r="IG183" t="e">
        <f>AND('OTRAS ACCIONES'!#REF!,"AAAAAD3Fc/A=")</f>
        <v>#REF!</v>
      </c>
      <c r="IH183" t="e">
        <f>AND('OTRAS ACCIONES'!#REF!,"AAAAAD3Fc/E=")</f>
        <v>#REF!</v>
      </c>
      <c r="II183" t="e">
        <f>AND('OTRAS ACCIONES'!F87,"AAAAAD3Fc/I=")</f>
        <v>#VALUE!</v>
      </c>
      <c r="IJ183" t="e">
        <f>AND('OTRAS ACCIONES'!#REF!,"AAAAAD3Fc/M=")</f>
        <v>#REF!</v>
      </c>
      <c r="IK183" t="e">
        <f>AND('OTRAS ACCIONES'!#REF!,"AAAAAD3Fc/Q=")</f>
        <v>#REF!</v>
      </c>
      <c r="IL183" t="e">
        <f>AND('OTRAS ACCIONES'!#REF!,"AAAAAD3Fc/U=")</f>
        <v>#REF!</v>
      </c>
      <c r="IM183" t="e">
        <f>AND('OTRAS ACCIONES'!#REF!,"AAAAAD3Fc/Y=")</f>
        <v>#REF!</v>
      </c>
      <c r="IN183" t="e">
        <f>AND('OTRAS ACCIONES'!#REF!,"AAAAAD3Fc/c=")</f>
        <v>#REF!</v>
      </c>
      <c r="IO183" t="e">
        <f>AND('OTRAS ACCIONES'!#REF!,"AAAAAD3Fc/g=")</f>
        <v>#REF!</v>
      </c>
      <c r="IP183" t="e">
        <f>AND('OTRAS ACCIONES'!#REF!,"AAAAAD3Fc/k=")</f>
        <v>#REF!</v>
      </c>
      <c r="IQ183" t="e">
        <f>AND('OTRAS ACCIONES'!#REF!,"AAAAAD3Fc/o=")</f>
        <v>#REF!</v>
      </c>
      <c r="IR183" t="e">
        <f>AND('OTRAS ACCIONES'!#REF!,"AAAAAD3Fc/s=")</f>
        <v>#REF!</v>
      </c>
      <c r="IS183" t="e">
        <f>AND('OTRAS ACCIONES'!#REF!,"AAAAAD3Fc/w=")</f>
        <v>#REF!</v>
      </c>
      <c r="IT183" t="e">
        <f>AND('OTRAS ACCIONES'!#REF!,"AAAAAD3Fc/0=")</f>
        <v>#REF!</v>
      </c>
      <c r="IU183" t="e">
        <f>AND('OTRAS ACCIONES'!#REF!,"AAAAAD3Fc/4=")</f>
        <v>#REF!</v>
      </c>
      <c r="IV183">
        <f>IF('OTRAS ACCIONES'!87:87,"AAAAAD3Fc/8=",0)</f>
        <v>0</v>
      </c>
    </row>
    <row r="184" spans="1:256" x14ac:dyDescent="0.2">
      <c r="A184" t="e">
        <f>AND('OTRAS ACCIONES'!B87,"AAAAAGr/PwA=")</f>
        <v>#VALUE!</v>
      </c>
      <c r="B184" t="e">
        <f>AND('OTRAS ACCIONES'!C87,"AAAAAGr/PwE=")</f>
        <v>#VALUE!</v>
      </c>
      <c r="C184" t="e">
        <f>AND('OTRAS ACCIONES'!D87,"AAAAAGr/PwI=")</f>
        <v>#VALUE!</v>
      </c>
      <c r="D184" t="e">
        <f>AND('OTRAS ACCIONES'!E87,"AAAAAGr/PwM=")</f>
        <v>#VALUE!</v>
      </c>
      <c r="E184" t="e">
        <f>AND('OTRAS ACCIONES'!F88,"AAAAAGr/PwQ=")</f>
        <v>#VALUE!</v>
      </c>
      <c r="F184" t="e">
        <f>AND('OTRAS ACCIONES'!G87,"AAAAAGr/PwU=")</f>
        <v>#VALUE!</v>
      </c>
      <c r="G184" t="e">
        <f>AND('OTRAS ACCIONES'!H87,"AAAAAGr/PwY=")</f>
        <v>#VALUE!</v>
      </c>
      <c r="H184" t="e">
        <f>AND('OTRAS ACCIONES'!I87,"AAAAAGr/Pwc=")</f>
        <v>#VALUE!</v>
      </c>
      <c r="I184" t="e">
        <f>AND('OTRAS ACCIONES'!J87,"AAAAAGr/Pwg=")</f>
        <v>#VALUE!</v>
      </c>
      <c r="J184" t="e">
        <f>AND('OTRAS ACCIONES'!K87,"AAAAAGr/Pwk=")</f>
        <v>#VALUE!</v>
      </c>
      <c r="K184" t="e">
        <f>AND('OTRAS ACCIONES'!L87,"AAAAAGr/Pwo=")</f>
        <v>#VALUE!</v>
      </c>
      <c r="L184" t="e">
        <f>AND('OTRAS ACCIONES'!M87,"AAAAAGr/Pws=")</f>
        <v>#VALUE!</v>
      </c>
      <c r="M184" t="e">
        <f>AND('OTRAS ACCIONES'!N87,"AAAAAGr/Pww=")</f>
        <v>#VALUE!</v>
      </c>
      <c r="N184" t="e">
        <f>AND('OTRAS ACCIONES'!O87,"AAAAAGr/Pw0=")</f>
        <v>#VALUE!</v>
      </c>
      <c r="O184" t="e">
        <f>AND('OTRAS ACCIONES'!P87,"AAAAAGr/Pw4=")</f>
        <v>#VALUE!</v>
      </c>
      <c r="P184" t="e">
        <f>AND('OTRAS ACCIONES'!Q87,"AAAAAGr/Pw8=")</f>
        <v>#VALUE!</v>
      </c>
      <c r="Q184" t="e">
        <f>AND('OTRAS ACCIONES'!R87,"AAAAAGr/PxA=")</f>
        <v>#VALUE!</v>
      </c>
      <c r="R184">
        <f>IF('OTRAS ACCIONES'!88:88,"AAAAAGr/PxE=",0)</f>
        <v>0</v>
      </c>
      <c r="S184" t="e">
        <f>AND('OTRAS ACCIONES'!B88,"AAAAAGr/PxI=")</f>
        <v>#VALUE!</v>
      </c>
      <c r="T184" t="e">
        <f>AND('OTRAS ACCIONES'!C88,"AAAAAGr/PxM=")</f>
        <v>#VALUE!</v>
      </c>
      <c r="U184" t="e">
        <f>AND('OTRAS ACCIONES'!D88,"AAAAAGr/PxQ=")</f>
        <v>#VALUE!</v>
      </c>
      <c r="V184" t="e">
        <f>AND('OTRAS ACCIONES'!E88,"AAAAAGr/PxU=")</f>
        <v>#VALUE!</v>
      </c>
      <c r="W184" t="e">
        <f>AND('OTRAS ACCIONES'!F89,"AAAAAGr/PxY=")</f>
        <v>#VALUE!</v>
      </c>
      <c r="X184" t="e">
        <f>AND('OTRAS ACCIONES'!G88,"AAAAAGr/Pxc=")</f>
        <v>#VALUE!</v>
      </c>
      <c r="Y184" t="e">
        <f>AND('OTRAS ACCIONES'!H88,"AAAAAGr/Pxg=")</f>
        <v>#VALUE!</v>
      </c>
      <c r="Z184" t="e">
        <f>AND('OTRAS ACCIONES'!I88,"AAAAAGr/Pxk=")</f>
        <v>#VALUE!</v>
      </c>
      <c r="AA184" t="e">
        <f>AND('OTRAS ACCIONES'!J88,"AAAAAGr/Pxo=")</f>
        <v>#VALUE!</v>
      </c>
      <c r="AB184" t="e">
        <f>AND('OTRAS ACCIONES'!K88,"AAAAAGr/Pxs=")</f>
        <v>#VALUE!</v>
      </c>
      <c r="AC184" t="e">
        <f>AND('OTRAS ACCIONES'!L88,"AAAAAGr/Pxw=")</f>
        <v>#VALUE!</v>
      </c>
      <c r="AD184" t="e">
        <f>AND('OTRAS ACCIONES'!M88,"AAAAAGr/Px0=")</f>
        <v>#VALUE!</v>
      </c>
      <c r="AE184" t="e">
        <f>AND('OTRAS ACCIONES'!N88,"AAAAAGr/Px4=")</f>
        <v>#VALUE!</v>
      </c>
      <c r="AF184" t="e">
        <f>AND('OTRAS ACCIONES'!O88,"AAAAAGr/Px8=")</f>
        <v>#VALUE!</v>
      </c>
      <c r="AG184" t="e">
        <f>AND('OTRAS ACCIONES'!P88,"AAAAAGr/PyA=")</f>
        <v>#VALUE!</v>
      </c>
      <c r="AH184" t="e">
        <f>AND('OTRAS ACCIONES'!Q88,"AAAAAGr/PyE=")</f>
        <v>#VALUE!</v>
      </c>
      <c r="AI184" t="e">
        <f>AND('OTRAS ACCIONES'!R88,"AAAAAGr/PyI=")</f>
        <v>#VALUE!</v>
      </c>
      <c r="AJ184" t="e">
        <f>IF('OTRAS ACCIONES'!#REF!,"AAAAAGr/PyM=",0)</f>
        <v>#REF!</v>
      </c>
      <c r="AK184" t="e">
        <f>AND('OTRAS ACCIONES'!#REF!,"AAAAAGr/PyQ=")</f>
        <v>#REF!</v>
      </c>
      <c r="AL184" t="e">
        <f>AND('OTRAS ACCIONES'!#REF!,"AAAAAGr/PyU=")</f>
        <v>#REF!</v>
      </c>
      <c r="AM184" t="e">
        <f>AND('OTRAS ACCIONES'!#REF!,"AAAAAGr/PyY=")</f>
        <v>#REF!</v>
      </c>
      <c r="AN184" t="e">
        <f>AND('OTRAS ACCIONES'!#REF!,"AAAAAGr/Pyc=")</f>
        <v>#REF!</v>
      </c>
      <c r="AO184" t="e">
        <f>AND('OTRAS ACCIONES'!#REF!,"AAAAAGr/Pyg=")</f>
        <v>#REF!</v>
      </c>
      <c r="AP184" t="e">
        <f>AND('OTRAS ACCIONES'!#REF!,"AAAAAGr/Pyk=")</f>
        <v>#REF!</v>
      </c>
      <c r="AQ184" t="e">
        <f>AND('OTRAS ACCIONES'!#REF!,"AAAAAGr/Pyo=")</f>
        <v>#REF!</v>
      </c>
      <c r="AR184" t="e">
        <f>AND('OTRAS ACCIONES'!#REF!,"AAAAAGr/Pys=")</f>
        <v>#REF!</v>
      </c>
      <c r="AS184" t="e">
        <f>AND('OTRAS ACCIONES'!#REF!,"AAAAAGr/Pyw=")</f>
        <v>#REF!</v>
      </c>
      <c r="AT184" t="e">
        <f>AND('OTRAS ACCIONES'!#REF!,"AAAAAGr/Py0=")</f>
        <v>#REF!</v>
      </c>
      <c r="AU184" t="e">
        <f>AND('OTRAS ACCIONES'!#REF!,"AAAAAGr/Py4=")</f>
        <v>#REF!</v>
      </c>
      <c r="AV184" t="e">
        <f>AND('OTRAS ACCIONES'!#REF!,"AAAAAGr/Py8=")</f>
        <v>#REF!</v>
      </c>
      <c r="AW184" t="e">
        <f>AND('OTRAS ACCIONES'!#REF!,"AAAAAGr/PzA=")</f>
        <v>#REF!</v>
      </c>
      <c r="AX184" t="e">
        <f>AND('OTRAS ACCIONES'!#REF!,"AAAAAGr/PzE=")</f>
        <v>#REF!</v>
      </c>
      <c r="AY184" t="e">
        <f>AND('OTRAS ACCIONES'!#REF!,"AAAAAGr/PzI=")</f>
        <v>#REF!</v>
      </c>
      <c r="AZ184" t="e">
        <f>AND('OTRAS ACCIONES'!#REF!,"AAAAAGr/PzM=")</f>
        <v>#REF!</v>
      </c>
      <c r="BA184" t="e">
        <f>AND('OTRAS ACCIONES'!#REF!,"AAAAAGr/PzQ=")</f>
        <v>#REF!</v>
      </c>
      <c r="BB184">
        <f>IF('OTRAS ACCIONES'!90:90,"AAAAAGr/PzU=",0)</f>
        <v>0</v>
      </c>
      <c r="BC184" t="e">
        <f>AND('OTRAS ACCIONES'!B90,"AAAAAGr/PzY=")</f>
        <v>#VALUE!</v>
      </c>
      <c r="BD184" t="e">
        <f>AND('OTRAS ACCIONES'!C90,"AAAAAGr/Pzc=")</f>
        <v>#VALUE!</v>
      </c>
      <c r="BE184" t="e">
        <f>AND('OTRAS ACCIONES'!D90,"AAAAAGr/Pzg=")</f>
        <v>#VALUE!</v>
      </c>
      <c r="BF184" t="e">
        <f>AND('OTRAS ACCIONES'!E90,"AAAAAGr/Pzk=")</f>
        <v>#VALUE!</v>
      </c>
      <c r="BG184" t="e">
        <f>AND('OTRAS ACCIONES'!F90,"AAAAAGr/Pzo=")</f>
        <v>#VALUE!</v>
      </c>
      <c r="BH184" t="e">
        <f>AND('OTRAS ACCIONES'!G90,"AAAAAGr/Pzs=")</f>
        <v>#VALUE!</v>
      </c>
      <c r="BI184" t="e">
        <f>AND('OTRAS ACCIONES'!H90,"AAAAAGr/Pzw=")</f>
        <v>#VALUE!</v>
      </c>
      <c r="BJ184" t="e">
        <f>AND('OTRAS ACCIONES'!I90,"AAAAAGr/Pz0=")</f>
        <v>#VALUE!</v>
      </c>
      <c r="BK184" t="e">
        <f>AND('OTRAS ACCIONES'!J90,"AAAAAGr/Pz4=")</f>
        <v>#VALUE!</v>
      </c>
      <c r="BL184" t="e">
        <f>AND('OTRAS ACCIONES'!K90,"AAAAAGr/Pz8=")</f>
        <v>#VALUE!</v>
      </c>
      <c r="BM184" t="e">
        <f>AND('OTRAS ACCIONES'!L90,"AAAAAGr/P0A=")</f>
        <v>#VALUE!</v>
      </c>
      <c r="BN184" t="e">
        <f>AND('OTRAS ACCIONES'!M90,"AAAAAGr/P0E=")</f>
        <v>#VALUE!</v>
      </c>
      <c r="BO184" t="e">
        <f>AND('OTRAS ACCIONES'!N90,"AAAAAGr/P0I=")</f>
        <v>#VALUE!</v>
      </c>
      <c r="BP184" t="e">
        <f>AND('OTRAS ACCIONES'!O90,"AAAAAGr/P0M=")</f>
        <v>#VALUE!</v>
      </c>
      <c r="BQ184" t="e">
        <f>AND('OTRAS ACCIONES'!P90,"AAAAAGr/P0Q=")</f>
        <v>#VALUE!</v>
      </c>
      <c r="BR184" t="e">
        <f>AND('OTRAS ACCIONES'!Q90,"AAAAAGr/P0U=")</f>
        <v>#VALUE!</v>
      </c>
      <c r="BS184" t="e">
        <f>AND('OTRAS ACCIONES'!R90,"AAAAAGr/P0Y=")</f>
        <v>#VALUE!</v>
      </c>
      <c r="BT184">
        <f>IF('OTRAS ACCIONES'!91:91,"AAAAAGr/P0c=",0)</f>
        <v>0</v>
      </c>
      <c r="BU184" t="e">
        <f>AND('OTRAS ACCIONES'!B91,"AAAAAGr/P0g=")</f>
        <v>#VALUE!</v>
      </c>
      <c r="BV184" t="e">
        <f>AND('OTRAS ACCIONES'!C91,"AAAAAGr/P0k=")</f>
        <v>#VALUE!</v>
      </c>
      <c r="BW184" t="e">
        <f>AND('OTRAS ACCIONES'!D91,"AAAAAGr/P0o=")</f>
        <v>#VALUE!</v>
      </c>
      <c r="BX184" t="e">
        <f>AND('OTRAS ACCIONES'!E91,"AAAAAGr/P0s=")</f>
        <v>#VALUE!</v>
      </c>
      <c r="BY184" t="e">
        <f>AND('OTRAS ACCIONES'!F91,"AAAAAGr/P0w=")</f>
        <v>#VALUE!</v>
      </c>
      <c r="BZ184" t="e">
        <f>AND('OTRAS ACCIONES'!G91,"AAAAAGr/P00=")</f>
        <v>#VALUE!</v>
      </c>
      <c r="CA184" t="e">
        <f>AND('OTRAS ACCIONES'!H91,"AAAAAGr/P04=")</f>
        <v>#VALUE!</v>
      </c>
      <c r="CB184" t="e">
        <f>AND('OTRAS ACCIONES'!I91,"AAAAAGr/P08=")</f>
        <v>#VALUE!</v>
      </c>
      <c r="CC184" t="e">
        <f>AND('OTRAS ACCIONES'!J91,"AAAAAGr/P1A=")</f>
        <v>#VALUE!</v>
      </c>
      <c r="CD184" t="e">
        <f>AND('OTRAS ACCIONES'!K91,"AAAAAGr/P1E=")</f>
        <v>#VALUE!</v>
      </c>
      <c r="CE184" t="e">
        <f>AND('OTRAS ACCIONES'!L91,"AAAAAGr/P1I=")</f>
        <v>#VALUE!</v>
      </c>
      <c r="CF184" t="e">
        <f>AND('OTRAS ACCIONES'!M91,"AAAAAGr/P1M=")</f>
        <v>#VALUE!</v>
      </c>
      <c r="CG184" t="e">
        <f>AND('OTRAS ACCIONES'!N91,"AAAAAGr/P1Q=")</f>
        <v>#VALUE!</v>
      </c>
      <c r="CH184" t="e">
        <f>AND('OTRAS ACCIONES'!O91,"AAAAAGr/P1U=")</f>
        <v>#VALUE!</v>
      </c>
      <c r="CI184" t="e">
        <f>AND('OTRAS ACCIONES'!P91,"AAAAAGr/P1Y=")</f>
        <v>#VALUE!</v>
      </c>
      <c r="CJ184" t="e">
        <f>AND('OTRAS ACCIONES'!Q91,"AAAAAGr/P1c=")</f>
        <v>#VALUE!</v>
      </c>
      <c r="CK184" t="e">
        <f>AND('OTRAS ACCIONES'!R91,"AAAAAGr/P1g=")</f>
        <v>#VALUE!</v>
      </c>
      <c r="CL184">
        <f>IF('OTRAS ACCIONES'!92:92,"AAAAAGr/P1k=",0)</f>
        <v>0</v>
      </c>
      <c r="CM184" t="e">
        <f>AND('OTRAS ACCIONES'!B92,"AAAAAGr/P1o=")</f>
        <v>#VALUE!</v>
      </c>
      <c r="CN184" t="e">
        <f>AND('OTRAS ACCIONES'!C92,"AAAAAGr/P1s=")</f>
        <v>#VALUE!</v>
      </c>
      <c r="CO184" t="e">
        <f>AND('OTRAS ACCIONES'!D92,"AAAAAGr/P1w=")</f>
        <v>#VALUE!</v>
      </c>
      <c r="CP184" t="e">
        <f>AND('OTRAS ACCIONES'!E92,"AAAAAGr/P10=")</f>
        <v>#VALUE!</v>
      </c>
      <c r="CQ184" t="e">
        <f>AND('OTRAS ACCIONES'!F92,"AAAAAGr/P14=")</f>
        <v>#VALUE!</v>
      </c>
      <c r="CR184" t="e">
        <f>AND('OTRAS ACCIONES'!G92,"AAAAAGr/P18=")</f>
        <v>#VALUE!</v>
      </c>
      <c r="CS184" t="e">
        <f>AND('OTRAS ACCIONES'!H92,"AAAAAGr/P2A=")</f>
        <v>#VALUE!</v>
      </c>
      <c r="CT184" t="e">
        <f>AND('OTRAS ACCIONES'!I92,"AAAAAGr/P2E=")</f>
        <v>#VALUE!</v>
      </c>
      <c r="CU184" t="e">
        <f>AND('OTRAS ACCIONES'!J92,"AAAAAGr/P2I=")</f>
        <v>#VALUE!</v>
      </c>
      <c r="CV184" t="e">
        <f>AND('OTRAS ACCIONES'!K92,"AAAAAGr/P2M=")</f>
        <v>#VALUE!</v>
      </c>
      <c r="CW184" t="e">
        <f>AND('OTRAS ACCIONES'!L92,"AAAAAGr/P2Q=")</f>
        <v>#VALUE!</v>
      </c>
      <c r="CX184" t="e">
        <f>AND('OTRAS ACCIONES'!M92,"AAAAAGr/P2U=")</f>
        <v>#VALUE!</v>
      </c>
      <c r="CY184" t="e">
        <f>AND('OTRAS ACCIONES'!N92,"AAAAAGr/P2Y=")</f>
        <v>#VALUE!</v>
      </c>
      <c r="CZ184" t="e">
        <f>AND('OTRAS ACCIONES'!O92,"AAAAAGr/P2c=")</f>
        <v>#VALUE!</v>
      </c>
      <c r="DA184" t="e">
        <f>AND('OTRAS ACCIONES'!P92,"AAAAAGr/P2g=")</f>
        <v>#VALUE!</v>
      </c>
      <c r="DB184" t="e">
        <f>AND('OTRAS ACCIONES'!Q92,"AAAAAGr/P2k=")</f>
        <v>#VALUE!</v>
      </c>
      <c r="DC184" t="e">
        <f>AND('OTRAS ACCIONES'!R92,"AAAAAGr/P2o=")</f>
        <v>#VALUE!</v>
      </c>
      <c r="DD184">
        <f>IF('OTRAS ACCIONES'!93:93,"AAAAAGr/P2s=",0)</f>
        <v>0</v>
      </c>
      <c r="DE184" t="e">
        <f>AND('OTRAS ACCIONES'!B93,"AAAAAGr/P2w=")</f>
        <v>#VALUE!</v>
      </c>
      <c r="DF184" t="e">
        <f>AND('OTRAS ACCIONES'!C93,"AAAAAGr/P20=")</f>
        <v>#VALUE!</v>
      </c>
      <c r="DG184" t="e">
        <f>AND('OTRAS ACCIONES'!D93,"AAAAAGr/P24=")</f>
        <v>#VALUE!</v>
      </c>
      <c r="DH184" t="e">
        <f>AND('OTRAS ACCIONES'!E93,"AAAAAGr/P28=")</f>
        <v>#VALUE!</v>
      </c>
      <c r="DI184" t="e">
        <f>AND('OTRAS ACCIONES'!F93,"AAAAAGr/P3A=")</f>
        <v>#VALUE!</v>
      </c>
      <c r="DJ184" t="e">
        <f>AND('OTRAS ACCIONES'!G93,"AAAAAGr/P3E=")</f>
        <v>#VALUE!</v>
      </c>
      <c r="DK184" t="e">
        <f>AND('OTRAS ACCIONES'!H93,"AAAAAGr/P3I=")</f>
        <v>#VALUE!</v>
      </c>
      <c r="DL184" t="e">
        <f>AND('OTRAS ACCIONES'!I93,"AAAAAGr/P3M=")</f>
        <v>#VALUE!</v>
      </c>
      <c r="DM184" t="e">
        <f>AND('OTRAS ACCIONES'!J93,"AAAAAGr/P3Q=")</f>
        <v>#VALUE!</v>
      </c>
      <c r="DN184" t="e">
        <f>AND('OTRAS ACCIONES'!K93,"AAAAAGr/P3U=")</f>
        <v>#VALUE!</v>
      </c>
      <c r="DO184" t="e">
        <f>AND('OTRAS ACCIONES'!L93,"AAAAAGr/P3Y=")</f>
        <v>#VALUE!</v>
      </c>
      <c r="DP184" t="e">
        <f>AND('OTRAS ACCIONES'!M93,"AAAAAGr/P3c=")</f>
        <v>#VALUE!</v>
      </c>
      <c r="DQ184" t="e">
        <f>AND('OTRAS ACCIONES'!N93,"AAAAAGr/P3g=")</f>
        <v>#VALUE!</v>
      </c>
      <c r="DR184" t="e">
        <f>AND('OTRAS ACCIONES'!O93,"AAAAAGr/P3k=")</f>
        <v>#VALUE!</v>
      </c>
      <c r="DS184" t="e">
        <f>AND('OTRAS ACCIONES'!P93,"AAAAAGr/P3o=")</f>
        <v>#VALUE!</v>
      </c>
      <c r="DT184" t="e">
        <f>AND('OTRAS ACCIONES'!Q93,"AAAAAGr/P3s=")</f>
        <v>#VALUE!</v>
      </c>
      <c r="DU184" t="e">
        <f>AND('OTRAS ACCIONES'!R93,"AAAAAGr/P3w=")</f>
        <v>#VALUE!</v>
      </c>
      <c r="DV184">
        <f>IF('OTRAS ACCIONES'!94:94,"AAAAAGr/P30=",0)</f>
        <v>0</v>
      </c>
      <c r="DW184" t="e">
        <f>AND('OTRAS ACCIONES'!B94,"AAAAAGr/P34=")</f>
        <v>#VALUE!</v>
      </c>
      <c r="DX184" t="e">
        <f>AND('OTRAS ACCIONES'!C94,"AAAAAGr/P38=")</f>
        <v>#VALUE!</v>
      </c>
      <c r="DY184" t="e">
        <f>AND('OTRAS ACCIONES'!D94,"AAAAAGr/P4A=")</f>
        <v>#VALUE!</v>
      </c>
      <c r="DZ184" t="e">
        <f>AND('OTRAS ACCIONES'!E94,"AAAAAGr/P4E=")</f>
        <v>#VALUE!</v>
      </c>
      <c r="EA184" t="e">
        <f>AND('OTRAS ACCIONES'!F94,"AAAAAGr/P4I=")</f>
        <v>#VALUE!</v>
      </c>
      <c r="EB184" t="e">
        <f>AND('OTRAS ACCIONES'!G94,"AAAAAGr/P4M=")</f>
        <v>#VALUE!</v>
      </c>
      <c r="EC184" t="e">
        <f>AND('OTRAS ACCIONES'!H94,"AAAAAGr/P4Q=")</f>
        <v>#VALUE!</v>
      </c>
      <c r="ED184" t="e">
        <f>AND('OTRAS ACCIONES'!I94,"AAAAAGr/P4U=")</f>
        <v>#VALUE!</v>
      </c>
      <c r="EE184" t="e">
        <f>AND('OTRAS ACCIONES'!J94,"AAAAAGr/P4Y=")</f>
        <v>#VALUE!</v>
      </c>
      <c r="EF184" t="e">
        <f>AND('OTRAS ACCIONES'!K94,"AAAAAGr/P4c=")</f>
        <v>#VALUE!</v>
      </c>
      <c r="EG184" t="e">
        <f>AND('OTRAS ACCIONES'!L94,"AAAAAGr/P4g=")</f>
        <v>#VALUE!</v>
      </c>
      <c r="EH184" t="e">
        <f>AND('OTRAS ACCIONES'!M94,"AAAAAGr/P4k=")</f>
        <v>#VALUE!</v>
      </c>
      <c r="EI184" t="e">
        <f>AND('OTRAS ACCIONES'!N94,"AAAAAGr/P4o=")</f>
        <v>#VALUE!</v>
      </c>
      <c r="EJ184" t="e">
        <f>AND('OTRAS ACCIONES'!O94,"AAAAAGr/P4s=")</f>
        <v>#VALUE!</v>
      </c>
      <c r="EK184" t="e">
        <f>AND('OTRAS ACCIONES'!P94,"AAAAAGr/P4w=")</f>
        <v>#VALUE!</v>
      </c>
      <c r="EL184" t="e">
        <f>AND('OTRAS ACCIONES'!Q94,"AAAAAGr/P40=")</f>
        <v>#VALUE!</v>
      </c>
      <c r="EM184" t="e">
        <f>AND('OTRAS ACCIONES'!R94,"AAAAAGr/P44=")</f>
        <v>#VALUE!</v>
      </c>
      <c r="EN184">
        <f>IF('OTRAS ACCIONES'!95:95,"AAAAAGr/P48=",0)</f>
        <v>0</v>
      </c>
      <c r="EO184" t="e">
        <f>AND('OTRAS ACCIONES'!B95,"AAAAAGr/P5A=")</f>
        <v>#VALUE!</v>
      </c>
      <c r="EP184" t="e">
        <f>AND('OTRAS ACCIONES'!C95,"AAAAAGr/P5E=")</f>
        <v>#VALUE!</v>
      </c>
      <c r="EQ184" t="e">
        <f>AND('OTRAS ACCIONES'!D95,"AAAAAGr/P5I=")</f>
        <v>#VALUE!</v>
      </c>
      <c r="ER184" t="e">
        <f>AND('OTRAS ACCIONES'!E95,"AAAAAGr/P5M=")</f>
        <v>#VALUE!</v>
      </c>
      <c r="ES184" t="e">
        <f>AND('OTRAS ACCIONES'!F95,"AAAAAGr/P5Q=")</f>
        <v>#VALUE!</v>
      </c>
      <c r="ET184" t="e">
        <f>AND('OTRAS ACCIONES'!G95,"AAAAAGr/P5U=")</f>
        <v>#VALUE!</v>
      </c>
      <c r="EU184" t="e">
        <f>AND('OTRAS ACCIONES'!H95,"AAAAAGr/P5Y=")</f>
        <v>#VALUE!</v>
      </c>
      <c r="EV184" t="e">
        <f>AND('OTRAS ACCIONES'!I95,"AAAAAGr/P5c=")</f>
        <v>#VALUE!</v>
      </c>
      <c r="EW184" t="e">
        <f>AND('OTRAS ACCIONES'!J95,"AAAAAGr/P5g=")</f>
        <v>#VALUE!</v>
      </c>
      <c r="EX184" t="e">
        <f>AND('OTRAS ACCIONES'!K95,"AAAAAGr/P5k=")</f>
        <v>#VALUE!</v>
      </c>
      <c r="EY184" t="e">
        <f>AND('OTRAS ACCIONES'!L95,"AAAAAGr/P5o=")</f>
        <v>#VALUE!</v>
      </c>
      <c r="EZ184" t="e">
        <f>AND('OTRAS ACCIONES'!M95,"AAAAAGr/P5s=")</f>
        <v>#VALUE!</v>
      </c>
      <c r="FA184" t="e">
        <f>AND('OTRAS ACCIONES'!N95,"AAAAAGr/P5w=")</f>
        <v>#VALUE!</v>
      </c>
      <c r="FB184" t="e">
        <f>AND('OTRAS ACCIONES'!O95,"AAAAAGr/P50=")</f>
        <v>#VALUE!</v>
      </c>
      <c r="FC184" t="e">
        <f>AND('OTRAS ACCIONES'!P95,"AAAAAGr/P54=")</f>
        <v>#VALUE!</v>
      </c>
      <c r="FD184" t="e">
        <f>AND('OTRAS ACCIONES'!Q95,"AAAAAGr/P58=")</f>
        <v>#VALUE!</v>
      </c>
      <c r="FE184" t="e">
        <f>AND('OTRAS ACCIONES'!R95,"AAAAAGr/P6A=")</f>
        <v>#VALUE!</v>
      </c>
      <c r="FF184">
        <f>IF('OTRAS ACCIONES'!96:96,"AAAAAGr/P6E=",0)</f>
        <v>0</v>
      </c>
      <c r="FG184" t="e">
        <f>AND('OTRAS ACCIONES'!B96,"AAAAAGr/P6I=")</f>
        <v>#VALUE!</v>
      </c>
      <c r="FH184" t="e">
        <f>AND('OTRAS ACCIONES'!C96,"AAAAAGr/P6M=")</f>
        <v>#VALUE!</v>
      </c>
      <c r="FI184" t="e">
        <f>AND('OTRAS ACCIONES'!D96,"AAAAAGr/P6Q=")</f>
        <v>#VALUE!</v>
      </c>
      <c r="FJ184" t="e">
        <f>AND('OTRAS ACCIONES'!E96,"AAAAAGr/P6U=")</f>
        <v>#VALUE!</v>
      </c>
      <c r="FK184" t="e">
        <f>AND('OTRAS ACCIONES'!F96,"AAAAAGr/P6Y=")</f>
        <v>#VALUE!</v>
      </c>
      <c r="FL184" t="e">
        <f>AND('OTRAS ACCIONES'!G96,"AAAAAGr/P6c=")</f>
        <v>#VALUE!</v>
      </c>
      <c r="FM184" t="e">
        <f>AND('OTRAS ACCIONES'!H96,"AAAAAGr/P6g=")</f>
        <v>#VALUE!</v>
      </c>
      <c r="FN184" t="e">
        <f>AND('OTRAS ACCIONES'!I96,"AAAAAGr/P6k=")</f>
        <v>#VALUE!</v>
      </c>
      <c r="FO184" t="e">
        <f>AND('OTRAS ACCIONES'!J96,"AAAAAGr/P6o=")</f>
        <v>#VALUE!</v>
      </c>
      <c r="FP184" t="e">
        <f>AND('OTRAS ACCIONES'!K96,"AAAAAGr/P6s=")</f>
        <v>#VALUE!</v>
      </c>
      <c r="FQ184" t="e">
        <f>AND('OTRAS ACCIONES'!L96,"AAAAAGr/P6w=")</f>
        <v>#VALUE!</v>
      </c>
      <c r="FR184" t="e">
        <f>AND('OTRAS ACCIONES'!M96,"AAAAAGr/P60=")</f>
        <v>#VALUE!</v>
      </c>
      <c r="FS184" t="e">
        <f>AND('OTRAS ACCIONES'!N96,"AAAAAGr/P64=")</f>
        <v>#VALUE!</v>
      </c>
      <c r="FT184" t="e">
        <f>AND('OTRAS ACCIONES'!O96,"AAAAAGr/P68=")</f>
        <v>#VALUE!</v>
      </c>
      <c r="FU184" t="e">
        <f>AND('OTRAS ACCIONES'!P96,"AAAAAGr/P7A=")</f>
        <v>#VALUE!</v>
      </c>
      <c r="FV184" t="e">
        <f>AND('OTRAS ACCIONES'!Q96,"AAAAAGr/P7E=")</f>
        <v>#VALUE!</v>
      </c>
      <c r="FW184" t="e">
        <f>AND('OTRAS ACCIONES'!R96,"AAAAAGr/P7I=")</f>
        <v>#VALUE!</v>
      </c>
      <c r="FX184">
        <f>IF('OTRAS ACCIONES'!97:97,"AAAAAGr/P7M=",0)</f>
        <v>0</v>
      </c>
      <c r="FY184" t="e">
        <f>AND('OTRAS ACCIONES'!B97,"AAAAAGr/P7Q=")</f>
        <v>#VALUE!</v>
      </c>
      <c r="FZ184" t="e">
        <f>AND('OTRAS ACCIONES'!C97,"AAAAAGr/P7U=")</f>
        <v>#VALUE!</v>
      </c>
      <c r="GA184" t="e">
        <f>AND('OTRAS ACCIONES'!D97,"AAAAAGr/P7Y=")</f>
        <v>#VALUE!</v>
      </c>
      <c r="GB184" t="e">
        <f>AND('OTRAS ACCIONES'!E97,"AAAAAGr/P7c=")</f>
        <v>#VALUE!</v>
      </c>
      <c r="GC184" t="e">
        <f>AND('OTRAS ACCIONES'!F97,"AAAAAGr/P7g=")</f>
        <v>#VALUE!</v>
      </c>
      <c r="GD184" t="e">
        <f>AND('OTRAS ACCIONES'!G97,"AAAAAGr/P7k=")</f>
        <v>#VALUE!</v>
      </c>
      <c r="GE184" t="e">
        <f>AND('OTRAS ACCIONES'!H97,"AAAAAGr/P7o=")</f>
        <v>#VALUE!</v>
      </c>
      <c r="GF184" t="e">
        <f>AND('OTRAS ACCIONES'!I97,"AAAAAGr/P7s=")</f>
        <v>#VALUE!</v>
      </c>
      <c r="GG184" t="e">
        <f>AND('OTRAS ACCIONES'!J97,"AAAAAGr/P7w=")</f>
        <v>#VALUE!</v>
      </c>
      <c r="GH184" t="e">
        <f>AND('OTRAS ACCIONES'!K97,"AAAAAGr/P70=")</f>
        <v>#VALUE!</v>
      </c>
      <c r="GI184" t="e">
        <f>AND('OTRAS ACCIONES'!L97,"AAAAAGr/P74=")</f>
        <v>#VALUE!</v>
      </c>
      <c r="GJ184" t="e">
        <f>AND('OTRAS ACCIONES'!M97,"AAAAAGr/P78=")</f>
        <v>#VALUE!</v>
      </c>
      <c r="GK184" t="e">
        <f>AND('OTRAS ACCIONES'!N97,"AAAAAGr/P8A=")</f>
        <v>#VALUE!</v>
      </c>
      <c r="GL184" t="e">
        <f>AND('OTRAS ACCIONES'!O97,"AAAAAGr/P8E=")</f>
        <v>#VALUE!</v>
      </c>
      <c r="GM184" t="e">
        <f>AND('OTRAS ACCIONES'!P97,"AAAAAGr/P8I=")</f>
        <v>#VALUE!</v>
      </c>
      <c r="GN184" t="e">
        <f>AND('OTRAS ACCIONES'!Q97,"AAAAAGr/P8M=")</f>
        <v>#VALUE!</v>
      </c>
      <c r="GO184" t="e">
        <f>AND('OTRAS ACCIONES'!R97,"AAAAAGr/P8Q=")</f>
        <v>#VALUE!</v>
      </c>
      <c r="GP184">
        <f>IF('OTRAS ACCIONES'!98:98,"AAAAAGr/P8U=",0)</f>
        <v>0</v>
      </c>
      <c r="GQ184" t="e">
        <f>AND('OTRAS ACCIONES'!B98,"AAAAAGr/P8Y=")</f>
        <v>#VALUE!</v>
      </c>
      <c r="GR184" t="e">
        <f>AND('OTRAS ACCIONES'!C98,"AAAAAGr/P8c=")</f>
        <v>#VALUE!</v>
      </c>
      <c r="GS184" t="e">
        <f>AND('OTRAS ACCIONES'!D98,"AAAAAGr/P8g=")</f>
        <v>#VALUE!</v>
      </c>
      <c r="GT184" t="e">
        <f>AND('OTRAS ACCIONES'!E98,"AAAAAGr/P8k=")</f>
        <v>#VALUE!</v>
      </c>
      <c r="GU184" t="e">
        <f>AND('OTRAS ACCIONES'!F98,"AAAAAGr/P8o=")</f>
        <v>#VALUE!</v>
      </c>
      <c r="GV184" t="e">
        <f>AND('OTRAS ACCIONES'!G98,"AAAAAGr/P8s=")</f>
        <v>#VALUE!</v>
      </c>
      <c r="GW184" t="e">
        <f>AND('OTRAS ACCIONES'!H98,"AAAAAGr/P8w=")</f>
        <v>#VALUE!</v>
      </c>
      <c r="GX184" t="e">
        <f>AND('OTRAS ACCIONES'!I98,"AAAAAGr/P80=")</f>
        <v>#VALUE!</v>
      </c>
      <c r="GY184" t="e">
        <f>AND('OTRAS ACCIONES'!J98,"AAAAAGr/P84=")</f>
        <v>#VALUE!</v>
      </c>
      <c r="GZ184" t="e">
        <f>AND('OTRAS ACCIONES'!K98,"AAAAAGr/P88=")</f>
        <v>#VALUE!</v>
      </c>
      <c r="HA184" t="e">
        <f>AND('OTRAS ACCIONES'!L98,"AAAAAGr/P9A=")</f>
        <v>#VALUE!</v>
      </c>
      <c r="HB184" t="e">
        <f>AND('OTRAS ACCIONES'!M98,"AAAAAGr/P9E=")</f>
        <v>#VALUE!</v>
      </c>
      <c r="HC184" t="e">
        <f>AND('OTRAS ACCIONES'!N98,"AAAAAGr/P9I=")</f>
        <v>#VALUE!</v>
      </c>
      <c r="HD184" t="e">
        <f>AND('OTRAS ACCIONES'!O98,"AAAAAGr/P9M=")</f>
        <v>#VALUE!</v>
      </c>
      <c r="HE184" t="e">
        <f>AND('OTRAS ACCIONES'!P98,"AAAAAGr/P9Q=")</f>
        <v>#VALUE!</v>
      </c>
      <c r="HF184" t="e">
        <f>AND('OTRAS ACCIONES'!Q98,"AAAAAGr/P9U=")</f>
        <v>#VALUE!</v>
      </c>
      <c r="HG184" t="e">
        <f>AND('OTRAS ACCIONES'!R98,"AAAAAGr/P9Y=")</f>
        <v>#VALUE!</v>
      </c>
      <c r="HH184">
        <f>IF('OTRAS ACCIONES'!99:99,"AAAAAGr/P9c=",0)</f>
        <v>0</v>
      </c>
      <c r="HI184" t="e">
        <f>AND('OTRAS ACCIONES'!B99,"AAAAAGr/P9g=")</f>
        <v>#VALUE!</v>
      </c>
      <c r="HJ184" t="e">
        <f>AND('OTRAS ACCIONES'!C99,"AAAAAGr/P9k=")</f>
        <v>#VALUE!</v>
      </c>
      <c r="HK184" t="e">
        <f>AND('OTRAS ACCIONES'!D99,"AAAAAGr/P9o=")</f>
        <v>#VALUE!</v>
      </c>
      <c r="HL184" t="e">
        <f>AND('OTRAS ACCIONES'!E99,"AAAAAGr/P9s=")</f>
        <v>#VALUE!</v>
      </c>
      <c r="HM184" t="e">
        <f>AND('OTRAS ACCIONES'!F99,"AAAAAGr/P9w=")</f>
        <v>#VALUE!</v>
      </c>
      <c r="HN184" t="e">
        <f>AND('OTRAS ACCIONES'!G99,"AAAAAGr/P90=")</f>
        <v>#VALUE!</v>
      </c>
      <c r="HO184" t="e">
        <f>AND('OTRAS ACCIONES'!H99,"AAAAAGr/P94=")</f>
        <v>#VALUE!</v>
      </c>
      <c r="HP184" t="e">
        <f>AND('OTRAS ACCIONES'!I99,"AAAAAGr/P98=")</f>
        <v>#VALUE!</v>
      </c>
      <c r="HQ184" t="e">
        <f>AND('OTRAS ACCIONES'!J99,"AAAAAGr/P+A=")</f>
        <v>#VALUE!</v>
      </c>
      <c r="HR184" t="e">
        <f>AND('OTRAS ACCIONES'!K99,"AAAAAGr/P+E=")</f>
        <v>#VALUE!</v>
      </c>
      <c r="HS184" t="e">
        <f>AND('OTRAS ACCIONES'!L99,"AAAAAGr/P+I=")</f>
        <v>#VALUE!</v>
      </c>
      <c r="HT184" t="e">
        <f>AND('OTRAS ACCIONES'!M99,"AAAAAGr/P+M=")</f>
        <v>#VALUE!</v>
      </c>
      <c r="HU184" t="e">
        <f>AND('OTRAS ACCIONES'!N99,"AAAAAGr/P+Q=")</f>
        <v>#VALUE!</v>
      </c>
      <c r="HV184" t="e">
        <f>AND('OTRAS ACCIONES'!O99,"AAAAAGr/P+U=")</f>
        <v>#VALUE!</v>
      </c>
      <c r="HW184" t="e">
        <f>AND('OTRAS ACCIONES'!P99,"AAAAAGr/P+Y=")</f>
        <v>#VALUE!</v>
      </c>
      <c r="HX184" t="e">
        <f>AND('OTRAS ACCIONES'!Q99,"AAAAAGr/P+c=")</f>
        <v>#VALUE!</v>
      </c>
      <c r="HY184" t="e">
        <f>AND('OTRAS ACCIONES'!R99,"AAAAAGr/P+g=")</f>
        <v>#VALUE!</v>
      </c>
      <c r="HZ184">
        <f>IF('OTRAS ACCIONES'!100:100,"AAAAAGr/P+k=",0)</f>
        <v>0</v>
      </c>
      <c r="IA184" t="e">
        <f>AND('OTRAS ACCIONES'!B100,"AAAAAGr/P+o=")</f>
        <v>#VALUE!</v>
      </c>
      <c r="IB184" t="e">
        <f>AND('OTRAS ACCIONES'!C100,"AAAAAGr/P+s=")</f>
        <v>#VALUE!</v>
      </c>
      <c r="IC184" t="e">
        <f>AND('OTRAS ACCIONES'!D100,"AAAAAGr/P+w=")</f>
        <v>#VALUE!</v>
      </c>
      <c r="ID184" t="e">
        <f>AND('OTRAS ACCIONES'!E100,"AAAAAGr/P+0=")</f>
        <v>#VALUE!</v>
      </c>
      <c r="IE184" t="e">
        <f>AND('OTRAS ACCIONES'!F100,"AAAAAGr/P+4=")</f>
        <v>#VALUE!</v>
      </c>
      <c r="IF184" t="e">
        <f>AND('OTRAS ACCIONES'!G100,"AAAAAGr/P+8=")</f>
        <v>#VALUE!</v>
      </c>
      <c r="IG184" t="e">
        <f>AND('OTRAS ACCIONES'!H100,"AAAAAGr/P/A=")</f>
        <v>#VALUE!</v>
      </c>
      <c r="IH184" t="e">
        <f>AND('OTRAS ACCIONES'!I100,"AAAAAGr/P/E=")</f>
        <v>#VALUE!</v>
      </c>
      <c r="II184" t="e">
        <f>AND('OTRAS ACCIONES'!J100,"AAAAAGr/P/I=")</f>
        <v>#VALUE!</v>
      </c>
      <c r="IJ184" t="e">
        <f>AND('OTRAS ACCIONES'!K100,"AAAAAGr/P/M=")</f>
        <v>#VALUE!</v>
      </c>
      <c r="IK184" t="e">
        <f>AND('OTRAS ACCIONES'!L100,"AAAAAGr/P/Q=")</f>
        <v>#VALUE!</v>
      </c>
      <c r="IL184" t="e">
        <f>AND('OTRAS ACCIONES'!M100,"AAAAAGr/P/U=")</f>
        <v>#VALUE!</v>
      </c>
      <c r="IM184" t="e">
        <f>AND('OTRAS ACCIONES'!N100,"AAAAAGr/P/Y=")</f>
        <v>#VALUE!</v>
      </c>
      <c r="IN184" t="e">
        <f>AND('OTRAS ACCIONES'!O100,"AAAAAGr/P/c=")</f>
        <v>#VALUE!</v>
      </c>
      <c r="IO184" t="e">
        <f>AND('OTRAS ACCIONES'!P100,"AAAAAGr/P/g=")</f>
        <v>#VALUE!</v>
      </c>
      <c r="IP184" t="e">
        <f>AND('OTRAS ACCIONES'!Q100,"AAAAAGr/P/k=")</f>
        <v>#VALUE!</v>
      </c>
      <c r="IQ184" t="e">
        <f>AND('OTRAS ACCIONES'!R100,"AAAAAGr/P/o=")</f>
        <v>#VALUE!</v>
      </c>
      <c r="IR184">
        <f>IF('OTRAS ACCIONES'!101:101,"AAAAAGr/P/s=",0)</f>
        <v>0</v>
      </c>
      <c r="IS184" t="e">
        <f>AND('OTRAS ACCIONES'!B101,"AAAAAGr/P/w=")</f>
        <v>#VALUE!</v>
      </c>
      <c r="IT184" t="e">
        <f>AND('OTRAS ACCIONES'!C101,"AAAAAGr/P/0=")</f>
        <v>#VALUE!</v>
      </c>
      <c r="IU184" t="e">
        <f>AND('OTRAS ACCIONES'!D101,"AAAAAGr/P/4=")</f>
        <v>#VALUE!</v>
      </c>
      <c r="IV184" t="e">
        <f>AND('OTRAS ACCIONES'!E101,"AAAAAGr/P/8=")</f>
        <v>#VALUE!</v>
      </c>
    </row>
    <row r="185" spans="1:256" x14ac:dyDescent="0.2">
      <c r="A185" t="e">
        <f>AND('OTRAS ACCIONES'!F101,"AAAAAF3xzwA=")</f>
        <v>#VALUE!</v>
      </c>
      <c r="B185" t="e">
        <f>AND('OTRAS ACCIONES'!G101,"AAAAAF3xzwE=")</f>
        <v>#VALUE!</v>
      </c>
      <c r="C185" t="e">
        <f>AND('OTRAS ACCIONES'!H101,"AAAAAF3xzwI=")</f>
        <v>#VALUE!</v>
      </c>
      <c r="D185" t="e">
        <f>AND('OTRAS ACCIONES'!I101,"AAAAAF3xzwM=")</f>
        <v>#VALUE!</v>
      </c>
      <c r="E185" t="e">
        <f>AND('OTRAS ACCIONES'!J101,"AAAAAF3xzwQ=")</f>
        <v>#VALUE!</v>
      </c>
      <c r="F185" t="e">
        <f>AND('OTRAS ACCIONES'!K101,"AAAAAF3xzwU=")</f>
        <v>#VALUE!</v>
      </c>
      <c r="G185" t="e">
        <f>AND('OTRAS ACCIONES'!L101,"AAAAAF3xzwY=")</f>
        <v>#VALUE!</v>
      </c>
      <c r="H185" t="e">
        <f>AND('OTRAS ACCIONES'!M101,"AAAAAF3xzwc=")</f>
        <v>#VALUE!</v>
      </c>
      <c r="I185" t="e">
        <f>AND('OTRAS ACCIONES'!N101,"AAAAAF3xzwg=")</f>
        <v>#VALUE!</v>
      </c>
      <c r="J185" t="e">
        <f>AND('OTRAS ACCIONES'!O101,"AAAAAF3xzwk=")</f>
        <v>#VALUE!</v>
      </c>
      <c r="K185" t="e">
        <f>AND('OTRAS ACCIONES'!P101,"AAAAAF3xzwo=")</f>
        <v>#VALUE!</v>
      </c>
      <c r="L185" t="e">
        <f>AND('OTRAS ACCIONES'!Q101,"AAAAAF3xzws=")</f>
        <v>#VALUE!</v>
      </c>
      <c r="M185" t="e">
        <f>AND('OTRAS ACCIONES'!R101,"AAAAAF3xzww=")</f>
        <v>#VALUE!</v>
      </c>
      <c r="N185">
        <f>IF('OTRAS ACCIONES'!102:102,"AAAAAF3xzw0=",0)</f>
        <v>0</v>
      </c>
      <c r="O185" t="e">
        <f>AND('OTRAS ACCIONES'!B102,"AAAAAF3xzw4=")</f>
        <v>#VALUE!</v>
      </c>
      <c r="P185" t="e">
        <f>AND('OTRAS ACCIONES'!C102,"AAAAAF3xzw8=")</f>
        <v>#VALUE!</v>
      </c>
      <c r="Q185" t="e">
        <f>AND('OTRAS ACCIONES'!D102,"AAAAAF3xzxA=")</f>
        <v>#VALUE!</v>
      </c>
      <c r="R185" t="e">
        <f>AND('OTRAS ACCIONES'!E102,"AAAAAF3xzxE=")</f>
        <v>#VALUE!</v>
      </c>
      <c r="S185" t="e">
        <f>AND('OTRAS ACCIONES'!F102,"AAAAAF3xzxI=")</f>
        <v>#VALUE!</v>
      </c>
      <c r="T185" t="e">
        <f>AND('OTRAS ACCIONES'!G102,"AAAAAF3xzxM=")</f>
        <v>#VALUE!</v>
      </c>
      <c r="U185" t="e">
        <f>AND('OTRAS ACCIONES'!H102,"AAAAAF3xzxQ=")</f>
        <v>#VALUE!</v>
      </c>
      <c r="V185" t="e">
        <f>AND('OTRAS ACCIONES'!I102,"AAAAAF3xzxU=")</f>
        <v>#VALUE!</v>
      </c>
      <c r="W185" t="e">
        <f>AND('OTRAS ACCIONES'!J102,"AAAAAF3xzxY=")</f>
        <v>#VALUE!</v>
      </c>
      <c r="X185" t="e">
        <f>AND('OTRAS ACCIONES'!K102,"AAAAAF3xzxc=")</f>
        <v>#VALUE!</v>
      </c>
      <c r="Y185" t="e">
        <f>AND('OTRAS ACCIONES'!L102,"AAAAAF3xzxg=")</f>
        <v>#VALUE!</v>
      </c>
      <c r="Z185" t="e">
        <f>AND('OTRAS ACCIONES'!M102,"AAAAAF3xzxk=")</f>
        <v>#VALUE!</v>
      </c>
      <c r="AA185" t="e">
        <f>AND('OTRAS ACCIONES'!N102,"AAAAAF3xzxo=")</f>
        <v>#VALUE!</v>
      </c>
      <c r="AB185" t="e">
        <f>AND('OTRAS ACCIONES'!O102,"AAAAAF3xzxs=")</f>
        <v>#VALUE!</v>
      </c>
      <c r="AC185" t="e">
        <f>AND('OTRAS ACCIONES'!P102,"AAAAAF3xzxw=")</f>
        <v>#VALUE!</v>
      </c>
      <c r="AD185" t="e">
        <f>AND('OTRAS ACCIONES'!Q102,"AAAAAF3xzx0=")</f>
        <v>#VALUE!</v>
      </c>
      <c r="AE185" t="e">
        <f>AND('OTRAS ACCIONES'!R102,"AAAAAF3xzx4=")</f>
        <v>#VALUE!</v>
      </c>
      <c r="AF185">
        <f>IF('OTRAS ACCIONES'!103:103,"AAAAAF3xzx8=",0)</f>
        <v>0</v>
      </c>
      <c r="AG185" t="e">
        <f>AND('OTRAS ACCIONES'!B103,"AAAAAF3xzyA=")</f>
        <v>#VALUE!</v>
      </c>
      <c r="AH185" t="e">
        <f>AND('OTRAS ACCIONES'!C103,"AAAAAF3xzyE=")</f>
        <v>#VALUE!</v>
      </c>
      <c r="AI185" t="e">
        <f>AND('OTRAS ACCIONES'!D103,"AAAAAF3xzyI=")</f>
        <v>#VALUE!</v>
      </c>
      <c r="AJ185" t="e">
        <f>AND('OTRAS ACCIONES'!E103,"AAAAAF3xzyM=")</f>
        <v>#VALUE!</v>
      </c>
      <c r="AK185" t="e">
        <f>AND('OTRAS ACCIONES'!F103,"AAAAAF3xzyQ=")</f>
        <v>#VALUE!</v>
      </c>
      <c r="AL185" t="e">
        <f>AND('OTRAS ACCIONES'!G103,"AAAAAF3xzyU=")</f>
        <v>#VALUE!</v>
      </c>
      <c r="AM185" t="e">
        <f>AND('OTRAS ACCIONES'!H103,"AAAAAF3xzyY=")</f>
        <v>#VALUE!</v>
      </c>
      <c r="AN185" t="e">
        <f>AND('OTRAS ACCIONES'!I103,"AAAAAF3xzyc=")</f>
        <v>#VALUE!</v>
      </c>
      <c r="AO185" t="e">
        <f>AND('OTRAS ACCIONES'!J103,"AAAAAF3xzyg=")</f>
        <v>#VALUE!</v>
      </c>
      <c r="AP185" t="e">
        <f>AND('OTRAS ACCIONES'!K103,"AAAAAF3xzyk=")</f>
        <v>#VALUE!</v>
      </c>
      <c r="AQ185" t="e">
        <f>AND('OTRAS ACCIONES'!L103,"AAAAAF3xzyo=")</f>
        <v>#VALUE!</v>
      </c>
      <c r="AR185" t="e">
        <f>AND('OTRAS ACCIONES'!M103,"AAAAAF3xzys=")</f>
        <v>#VALUE!</v>
      </c>
      <c r="AS185" t="e">
        <f>AND('OTRAS ACCIONES'!N103,"AAAAAF3xzyw=")</f>
        <v>#VALUE!</v>
      </c>
      <c r="AT185" t="e">
        <f>AND('OTRAS ACCIONES'!O103,"AAAAAF3xzy0=")</f>
        <v>#VALUE!</v>
      </c>
      <c r="AU185" t="e">
        <f>AND('OTRAS ACCIONES'!P103,"AAAAAF3xzy4=")</f>
        <v>#VALUE!</v>
      </c>
      <c r="AV185" t="e">
        <f>AND('OTRAS ACCIONES'!Q103,"AAAAAF3xzy8=")</f>
        <v>#VALUE!</v>
      </c>
      <c r="AW185" t="e">
        <f>AND('OTRAS ACCIONES'!R103,"AAAAAF3xzzA=")</f>
        <v>#VALUE!</v>
      </c>
      <c r="AX185">
        <f>IF('OTRAS ACCIONES'!104:104,"AAAAAF3xzzE=",0)</f>
        <v>0</v>
      </c>
      <c r="AY185" t="e">
        <f>AND('OTRAS ACCIONES'!B104,"AAAAAF3xzzI=")</f>
        <v>#VALUE!</v>
      </c>
      <c r="AZ185" t="e">
        <f>AND('OTRAS ACCIONES'!C104,"AAAAAF3xzzM=")</f>
        <v>#VALUE!</v>
      </c>
      <c r="BA185" t="e">
        <f>AND('OTRAS ACCIONES'!D104,"AAAAAF3xzzQ=")</f>
        <v>#VALUE!</v>
      </c>
      <c r="BB185" t="e">
        <f>AND('OTRAS ACCIONES'!E104,"AAAAAF3xzzU=")</f>
        <v>#VALUE!</v>
      </c>
      <c r="BC185" t="e">
        <f>AND('OTRAS ACCIONES'!F104,"AAAAAF3xzzY=")</f>
        <v>#VALUE!</v>
      </c>
      <c r="BD185" t="e">
        <f>AND('OTRAS ACCIONES'!G104,"AAAAAF3xzzc=")</f>
        <v>#VALUE!</v>
      </c>
      <c r="BE185" t="e">
        <f>AND('OTRAS ACCIONES'!H104,"AAAAAF3xzzg=")</f>
        <v>#VALUE!</v>
      </c>
      <c r="BF185" t="e">
        <f>AND('OTRAS ACCIONES'!I104,"AAAAAF3xzzk=")</f>
        <v>#VALUE!</v>
      </c>
      <c r="BG185" t="e">
        <f>AND('OTRAS ACCIONES'!J104,"AAAAAF3xzzo=")</f>
        <v>#VALUE!</v>
      </c>
      <c r="BH185" t="e">
        <f>AND('OTRAS ACCIONES'!K104,"AAAAAF3xzzs=")</f>
        <v>#VALUE!</v>
      </c>
      <c r="BI185" t="e">
        <f>AND('OTRAS ACCIONES'!L104,"AAAAAF3xzzw=")</f>
        <v>#VALUE!</v>
      </c>
      <c r="BJ185" t="e">
        <f>AND('OTRAS ACCIONES'!M104,"AAAAAF3xzz0=")</f>
        <v>#VALUE!</v>
      </c>
      <c r="BK185" t="e">
        <f>AND('OTRAS ACCIONES'!N104,"AAAAAF3xzz4=")</f>
        <v>#VALUE!</v>
      </c>
      <c r="BL185" t="e">
        <f>AND('OTRAS ACCIONES'!O104,"AAAAAF3xzz8=")</f>
        <v>#VALUE!</v>
      </c>
      <c r="BM185" t="e">
        <f>AND('OTRAS ACCIONES'!P104,"AAAAAF3xz0A=")</f>
        <v>#VALUE!</v>
      </c>
      <c r="BN185" t="e">
        <f>AND('OTRAS ACCIONES'!Q104,"AAAAAF3xz0E=")</f>
        <v>#VALUE!</v>
      </c>
      <c r="BO185" t="e">
        <f>AND('OTRAS ACCIONES'!R104,"AAAAAF3xz0I=")</f>
        <v>#VALUE!</v>
      </c>
      <c r="BP185">
        <f>IF('OTRAS ACCIONES'!105:105,"AAAAAF3xz0M=",0)</f>
        <v>0</v>
      </c>
      <c r="BQ185" t="e">
        <f>AND('OTRAS ACCIONES'!B105,"AAAAAF3xz0Q=")</f>
        <v>#VALUE!</v>
      </c>
      <c r="BR185" t="e">
        <f>AND('OTRAS ACCIONES'!C105,"AAAAAF3xz0U=")</f>
        <v>#VALUE!</v>
      </c>
      <c r="BS185" t="e">
        <f>AND('OTRAS ACCIONES'!D105,"AAAAAF3xz0Y=")</f>
        <v>#VALUE!</v>
      </c>
      <c r="BT185" t="e">
        <f>AND('OTRAS ACCIONES'!E105,"AAAAAF3xz0c=")</f>
        <v>#VALUE!</v>
      </c>
      <c r="BU185" t="e">
        <f>AND('OTRAS ACCIONES'!F105,"AAAAAF3xz0g=")</f>
        <v>#VALUE!</v>
      </c>
      <c r="BV185" t="e">
        <f>AND('OTRAS ACCIONES'!G105,"AAAAAF3xz0k=")</f>
        <v>#VALUE!</v>
      </c>
      <c r="BW185" t="e">
        <f>AND('OTRAS ACCIONES'!H105,"AAAAAF3xz0o=")</f>
        <v>#VALUE!</v>
      </c>
      <c r="BX185" t="e">
        <f>AND('OTRAS ACCIONES'!I105,"AAAAAF3xz0s=")</f>
        <v>#VALUE!</v>
      </c>
      <c r="BY185" t="e">
        <f>AND('OTRAS ACCIONES'!J105,"AAAAAF3xz0w=")</f>
        <v>#VALUE!</v>
      </c>
      <c r="BZ185" t="e">
        <f>AND('OTRAS ACCIONES'!K105,"AAAAAF3xz00=")</f>
        <v>#VALUE!</v>
      </c>
      <c r="CA185" t="e">
        <f>AND('OTRAS ACCIONES'!L105,"AAAAAF3xz04=")</f>
        <v>#VALUE!</v>
      </c>
      <c r="CB185" t="e">
        <f>AND('OTRAS ACCIONES'!M105,"AAAAAF3xz08=")</f>
        <v>#VALUE!</v>
      </c>
      <c r="CC185" t="e">
        <f>AND('OTRAS ACCIONES'!N105,"AAAAAF3xz1A=")</f>
        <v>#VALUE!</v>
      </c>
      <c r="CD185" t="e">
        <f>AND('OTRAS ACCIONES'!O105,"AAAAAF3xz1E=")</f>
        <v>#VALUE!</v>
      </c>
      <c r="CE185" t="e">
        <f>AND('OTRAS ACCIONES'!P105,"AAAAAF3xz1I=")</f>
        <v>#VALUE!</v>
      </c>
      <c r="CF185" t="e">
        <f>AND('OTRAS ACCIONES'!Q105,"AAAAAF3xz1M=")</f>
        <v>#VALUE!</v>
      </c>
      <c r="CG185" t="e">
        <f>AND('OTRAS ACCIONES'!R105,"AAAAAF3xz1Q=")</f>
        <v>#VALUE!</v>
      </c>
      <c r="CH185">
        <f>IF('OTRAS ACCIONES'!106:106,"AAAAAF3xz1U=",0)</f>
        <v>0</v>
      </c>
      <c r="CI185" t="e">
        <f>AND('OTRAS ACCIONES'!B106,"AAAAAF3xz1Y=")</f>
        <v>#VALUE!</v>
      </c>
      <c r="CJ185" t="e">
        <f>AND('OTRAS ACCIONES'!C106,"AAAAAF3xz1c=")</f>
        <v>#VALUE!</v>
      </c>
      <c r="CK185" t="e">
        <f>AND('OTRAS ACCIONES'!D106,"AAAAAF3xz1g=")</f>
        <v>#VALUE!</v>
      </c>
      <c r="CL185" t="e">
        <f>AND('OTRAS ACCIONES'!E106,"AAAAAF3xz1k=")</f>
        <v>#VALUE!</v>
      </c>
      <c r="CM185" t="e">
        <f>AND('OTRAS ACCIONES'!F106,"AAAAAF3xz1o=")</f>
        <v>#VALUE!</v>
      </c>
      <c r="CN185" t="e">
        <f>AND('OTRAS ACCIONES'!G106,"AAAAAF3xz1s=")</f>
        <v>#VALUE!</v>
      </c>
      <c r="CO185" t="e">
        <f>AND('OTRAS ACCIONES'!H106,"AAAAAF3xz1w=")</f>
        <v>#VALUE!</v>
      </c>
      <c r="CP185" t="e">
        <f>AND('OTRAS ACCIONES'!I106,"AAAAAF3xz10=")</f>
        <v>#VALUE!</v>
      </c>
      <c r="CQ185" t="e">
        <f>AND('OTRAS ACCIONES'!J106,"AAAAAF3xz14=")</f>
        <v>#VALUE!</v>
      </c>
      <c r="CR185" t="e">
        <f>AND('OTRAS ACCIONES'!K106,"AAAAAF3xz18=")</f>
        <v>#VALUE!</v>
      </c>
      <c r="CS185" t="e">
        <f>AND('OTRAS ACCIONES'!L106,"AAAAAF3xz2A=")</f>
        <v>#VALUE!</v>
      </c>
      <c r="CT185" t="e">
        <f>AND('OTRAS ACCIONES'!M106,"AAAAAF3xz2E=")</f>
        <v>#VALUE!</v>
      </c>
      <c r="CU185" t="e">
        <f>AND('OTRAS ACCIONES'!N106,"AAAAAF3xz2I=")</f>
        <v>#VALUE!</v>
      </c>
      <c r="CV185" t="e">
        <f>AND('OTRAS ACCIONES'!O106,"AAAAAF3xz2M=")</f>
        <v>#VALUE!</v>
      </c>
      <c r="CW185" t="e">
        <f>AND('OTRAS ACCIONES'!P106,"AAAAAF3xz2Q=")</f>
        <v>#VALUE!</v>
      </c>
      <c r="CX185" t="e">
        <f>AND('OTRAS ACCIONES'!Q106,"AAAAAF3xz2U=")</f>
        <v>#VALUE!</v>
      </c>
      <c r="CY185" t="e">
        <f>AND('OTRAS ACCIONES'!R106,"AAAAAF3xz2Y=")</f>
        <v>#VALUE!</v>
      </c>
      <c r="CZ185">
        <f>IF('OTRAS ACCIONES'!107:107,"AAAAAF3xz2c=",0)</f>
        <v>0</v>
      </c>
      <c r="DA185" t="e">
        <f>AND('OTRAS ACCIONES'!B107,"AAAAAF3xz2g=")</f>
        <v>#VALUE!</v>
      </c>
      <c r="DB185" t="e">
        <f>AND('OTRAS ACCIONES'!C107,"AAAAAF3xz2k=")</f>
        <v>#VALUE!</v>
      </c>
      <c r="DC185" t="e">
        <f>AND('OTRAS ACCIONES'!D107,"AAAAAF3xz2o=")</f>
        <v>#VALUE!</v>
      </c>
      <c r="DD185" t="e">
        <f>AND('OTRAS ACCIONES'!E107,"AAAAAF3xz2s=")</f>
        <v>#VALUE!</v>
      </c>
      <c r="DE185" t="e">
        <f>AND('OTRAS ACCIONES'!F107,"AAAAAF3xz2w=")</f>
        <v>#VALUE!</v>
      </c>
      <c r="DF185" t="e">
        <f>AND('OTRAS ACCIONES'!G107,"AAAAAF3xz20=")</f>
        <v>#VALUE!</v>
      </c>
      <c r="DG185" t="e">
        <f>AND('OTRAS ACCIONES'!H107,"AAAAAF3xz24=")</f>
        <v>#VALUE!</v>
      </c>
      <c r="DH185" t="e">
        <f>AND('OTRAS ACCIONES'!I107,"AAAAAF3xz28=")</f>
        <v>#VALUE!</v>
      </c>
      <c r="DI185" t="e">
        <f>AND('OTRAS ACCIONES'!J107,"AAAAAF3xz3A=")</f>
        <v>#VALUE!</v>
      </c>
      <c r="DJ185" t="e">
        <f>AND('OTRAS ACCIONES'!K107,"AAAAAF3xz3E=")</f>
        <v>#VALUE!</v>
      </c>
      <c r="DK185" t="e">
        <f>AND('OTRAS ACCIONES'!L107,"AAAAAF3xz3I=")</f>
        <v>#VALUE!</v>
      </c>
      <c r="DL185" t="e">
        <f>AND('OTRAS ACCIONES'!M107,"AAAAAF3xz3M=")</f>
        <v>#VALUE!</v>
      </c>
      <c r="DM185" t="e">
        <f>AND('OTRAS ACCIONES'!N107,"AAAAAF3xz3Q=")</f>
        <v>#VALUE!</v>
      </c>
      <c r="DN185" t="e">
        <f>AND('OTRAS ACCIONES'!O107,"AAAAAF3xz3U=")</f>
        <v>#VALUE!</v>
      </c>
      <c r="DO185" t="e">
        <f>AND('OTRAS ACCIONES'!P107,"AAAAAF3xz3Y=")</f>
        <v>#VALUE!</v>
      </c>
      <c r="DP185" t="e">
        <f>AND('OTRAS ACCIONES'!Q107,"AAAAAF3xz3c=")</f>
        <v>#VALUE!</v>
      </c>
      <c r="DQ185" t="e">
        <f>AND('OTRAS ACCIONES'!R107,"AAAAAF3xz3g=")</f>
        <v>#VALUE!</v>
      </c>
      <c r="DR185">
        <f>IF('OTRAS ACCIONES'!108:108,"AAAAAF3xz3k=",0)</f>
        <v>0</v>
      </c>
      <c r="DS185" t="e">
        <f>AND('OTRAS ACCIONES'!B108,"AAAAAF3xz3o=")</f>
        <v>#VALUE!</v>
      </c>
      <c r="DT185" t="e">
        <f>AND('OTRAS ACCIONES'!C108,"AAAAAF3xz3s=")</f>
        <v>#VALUE!</v>
      </c>
      <c r="DU185" t="e">
        <f>AND('OTRAS ACCIONES'!D108,"AAAAAF3xz3w=")</f>
        <v>#VALUE!</v>
      </c>
      <c r="DV185" t="e">
        <f>AND('OTRAS ACCIONES'!E108,"AAAAAF3xz30=")</f>
        <v>#VALUE!</v>
      </c>
      <c r="DW185" t="e">
        <f>AND('OTRAS ACCIONES'!F108,"AAAAAF3xz34=")</f>
        <v>#VALUE!</v>
      </c>
      <c r="DX185" t="e">
        <f>AND('OTRAS ACCIONES'!G108,"AAAAAF3xz38=")</f>
        <v>#VALUE!</v>
      </c>
      <c r="DY185" t="e">
        <f>AND('OTRAS ACCIONES'!H108,"AAAAAF3xz4A=")</f>
        <v>#VALUE!</v>
      </c>
      <c r="DZ185" t="e">
        <f>AND('OTRAS ACCIONES'!I108,"AAAAAF3xz4E=")</f>
        <v>#VALUE!</v>
      </c>
      <c r="EA185" t="e">
        <f>AND('OTRAS ACCIONES'!J108,"AAAAAF3xz4I=")</f>
        <v>#VALUE!</v>
      </c>
      <c r="EB185" t="e">
        <f>AND('OTRAS ACCIONES'!K108,"AAAAAF3xz4M=")</f>
        <v>#VALUE!</v>
      </c>
      <c r="EC185" t="e">
        <f>AND('OTRAS ACCIONES'!L108,"AAAAAF3xz4Q=")</f>
        <v>#VALUE!</v>
      </c>
      <c r="ED185" t="e">
        <f>AND('OTRAS ACCIONES'!M108,"AAAAAF3xz4U=")</f>
        <v>#VALUE!</v>
      </c>
      <c r="EE185" t="e">
        <f>AND('OTRAS ACCIONES'!N108,"AAAAAF3xz4Y=")</f>
        <v>#VALUE!</v>
      </c>
      <c r="EF185" t="e">
        <f>AND('OTRAS ACCIONES'!O108,"AAAAAF3xz4c=")</f>
        <v>#VALUE!</v>
      </c>
      <c r="EG185" t="e">
        <f>AND('OTRAS ACCIONES'!P108,"AAAAAF3xz4g=")</f>
        <v>#VALUE!</v>
      </c>
      <c r="EH185" t="e">
        <f>AND('OTRAS ACCIONES'!Q108,"AAAAAF3xz4k=")</f>
        <v>#VALUE!</v>
      </c>
      <c r="EI185" t="e">
        <f>AND('OTRAS ACCIONES'!R108,"AAAAAF3xz4o=")</f>
        <v>#VALUE!</v>
      </c>
      <c r="EJ185">
        <f>IF('OTRAS ACCIONES'!109:109,"AAAAAF3xz4s=",0)</f>
        <v>0</v>
      </c>
      <c r="EK185" t="e">
        <f>AND('OTRAS ACCIONES'!B109,"AAAAAF3xz4w=")</f>
        <v>#VALUE!</v>
      </c>
      <c r="EL185" t="e">
        <f>AND('OTRAS ACCIONES'!C109,"AAAAAF3xz40=")</f>
        <v>#VALUE!</v>
      </c>
      <c r="EM185" t="e">
        <f>AND('OTRAS ACCIONES'!D109,"AAAAAF3xz44=")</f>
        <v>#VALUE!</v>
      </c>
      <c r="EN185" t="e">
        <f>AND('OTRAS ACCIONES'!E109,"AAAAAF3xz48=")</f>
        <v>#VALUE!</v>
      </c>
      <c r="EO185" t="e">
        <f>AND('OTRAS ACCIONES'!F109,"AAAAAF3xz5A=")</f>
        <v>#VALUE!</v>
      </c>
      <c r="EP185" t="e">
        <f>AND('OTRAS ACCIONES'!G109,"AAAAAF3xz5E=")</f>
        <v>#VALUE!</v>
      </c>
      <c r="EQ185" t="e">
        <f>AND('OTRAS ACCIONES'!H109,"AAAAAF3xz5I=")</f>
        <v>#VALUE!</v>
      </c>
      <c r="ER185" t="e">
        <f>AND('OTRAS ACCIONES'!I109,"AAAAAF3xz5M=")</f>
        <v>#VALUE!</v>
      </c>
      <c r="ES185" t="e">
        <f>AND('OTRAS ACCIONES'!J109,"AAAAAF3xz5Q=")</f>
        <v>#VALUE!</v>
      </c>
      <c r="ET185" t="e">
        <f>AND('OTRAS ACCIONES'!K109,"AAAAAF3xz5U=")</f>
        <v>#VALUE!</v>
      </c>
      <c r="EU185" t="e">
        <f>AND('OTRAS ACCIONES'!L109,"AAAAAF3xz5Y=")</f>
        <v>#VALUE!</v>
      </c>
      <c r="EV185" t="e">
        <f>AND('OTRAS ACCIONES'!M109,"AAAAAF3xz5c=")</f>
        <v>#VALUE!</v>
      </c>
      <c r="EW185" t="e">
        <f>AND('OTRAS ACCIONES'!N109,"AAAAAF3xz5g=")</f>
        <v>#VALUE!</v>
      </c>
      <c r="EX185" t="e">
        <f>AND('OTRAS ACCIONES'!O109,"AAAAAF3xz5k=")</f>
        <v>#VALUE!</v>
      </c>
      <c r="EY185" t="e">
        <f>AND('OTRAS ACCIONES'!P109,"AAAAAF3xz5o=")</f>
        <v>#VALUE!</v>
      </c>
      <c r="EZ185" t="e">
        <f>AND('OTRAS ACCIONES'!Q109,"AAAAAF3xz5s=")</f>
        <v>#VALUE!</v>
      </c>
      <c r="FA185" t="e">
        <f>AND('OTRAS ACCIONES'!R109,"AAAAAF3xz5w=")</f>
        <v>#VALUE!</v>
      </c>
      <c r="FB185">
        <f>IF('OTRAS ACCIONES'!110:110,"AAAAAF3xz50=",0)</f>
        <v>0</v>
      </c>
      <c r="FC185" t="e">
        <f>AND('OTRAS ACCIONES'!B110,"AAAAAF3xz54=")</f>
        <v>#VALUE!</v>
      </c>
      <c r="FD185" t="e">
        <f>AND('OTRAS ACCIONES'!C110,"AAAAAF3xz58=")</f>
        <v>#VALUE!</v>
      </c>
      <c r="FE185" t="e">
        <f>AND('OTRAS ACCIONES'!D110,"AAAAAF3xz6A=")</f>
        <v>#VALUE!</v>
      </c>
      <c r="FF185" t="e">
        <f>AND('OTRAS ACCIONES'!E110,"AAAAAF3xz6E=")</f>
        <v>#VALUE!</v>
      </c>
      <c r="FG185" t="e">
        <f>AND('OTRAS ACCIONES'!F110,"AAAAAF3xz6I=")</f>
        <v>#VALUE!</v>
      </c>
      <c r="FH185" t="e">
        <f>AND('OTRAS ACCIONES'!G110,"AAAAAF3xz6M=")</f>
        <v>#VALUE!</v>
      </c>
      <c r="FI185" t="e">
        <f>AND('OTRAS ACCIONES'!H110,"AAAAAF3xz6Q=")</f>
        <v>#VALUE!</v>
      </c>
      <c r="FJ185" t="e">
        <f>AND('OTRAS ACCIONES'!I110,"AAAAAF3xz6U=")</f>
        <v>#VALUE!</v>
      </c>
      <c r="FK185" t="e">
        <f>AND('OTRAS ACCIONES'!J110,"AAAAAF3xz6Y=")</f>
        <v>#VALUE!</v>
      </c>
      <c r="FL185" t="e">
        <f>AND('OTRAS ACCIONES'!K110,"AAAAAF3xz6c=")</f>
        <v>#VALUE!</v>
      </c>
      <c r="FM185" t="e">
        <f>AND('OTRAS ACCIONES'!L110,"AAAAAF3xz6g=")</f>
        <v>#VALUE!</v>
      </c>
      <c r="FN185" t="e">
        <f>AND('OTRAS ACCIONES'!M110,"AAAAAF3xz6k=")</f>
        <v>#VALUE!</v>
      </c>
      <c r="FO185" t="e">
        <f>AND('OTRAS ACCIONES'!N110,"AAAAAF3xz6o=")</f>
        <v>#VALUE!</v>
      </c>
      <c r="FP185" t="e">
        <f>AND('OTRAS ACCIONES'!O110,"AAAAAF3xz6s=")</f>
        <v>#VALUE!</v>
      </c>
      <c r="FQ185" t="e">
        <f>AND('OTRAS ACCIONES'!P110,"AAAAAF3xz6w=")</f>
        <v>#VALUE!</v>
      </c>
      <c r="FR185" t="e">
        <f>AND('OTRAS ACCIONES'!Q110,"AAAAAF3xz60=")</f>
        <v>#VALUE!</v>
      </c>
      <c r="FS185" t="e">
        <f>AND('OTRAS ACCIONES'!R110,"AAAAAF3xz64=")</f>
        <v>#VALUE!</v>
      </c>
      <c r="FT185">
        <f>IF('OTRAS ACCIONES'!111:111,"AAAAAF3xz68=",0)</f>
        <v>0</v>
      </c>
      <c r="FU185" t="e">
        <f>AND('OTRAS ACCIONES'!B111,"AAAAAF3xz7A=")</f>
        <v>#VALUE!</v>
      </c>
      <c r="FV185" t="e">
        <f>AND('OTRAS ACCIONES'!C111,"AAAAAF3xz7E=")</f>
        <v>#VALUE!</v>
      </c>
      <c r="FW185" t="e">
        <f>AND('OTRAS ACCIONES'!D111,"AAAAAF3xz7I=")</f>
        <v>#VALUE!</v>
      </c>
      <c r="FX185" t="e">
        <f>AND('OTRAS ACCIONES'!E111,"AAAAAF3xz7M=")</f>
        <v>#VALUE!</v>
      </c>
      <c r="FY185" t="e">
        <f>AND('OTRAS ACCIONES'!F111,"AAAAAF3xz7Q=")</f>
        <v>#VALUE!</v>
      </c>
      <c r="FZ185" t="e">
        <f>AND('OTRAS ACCIONES'!G111,"AAAAAF3xz7U=")</f>
        <v>#VALUE!</v>
      </c>
      <c r="GA185" t="e">
        <f>AND('OTRAS ACCIONES'!H111,"AAAAAF3xz7Y=")</f>
        <v>#VALUE!</v>
      </c>
      <c r="GB185" t="e">
        <f>AND('OTRAS ACCIONES'!I111,"AAAAAF3xz7c=")</f>
        <v>#VALUE!</v>
      </c>
      <c r="GC185" t="e">
        <f>AND('OTRAS ACCIONES'!J111,"AAAAAF3xz7g=")</f>
        <v>#VALUE!</v>
      </c>
      <c r="GD185" t="e">
        <f>AND('OTRAS ACCIONES'!K111,"AAAAAF3xz7k=")</f>
        <v>#VALUE!</v>
      </c>
      <c r="GE185" t="e">
        <f>AND('OTRAS ACCIONES'!L111,"AAAAAF3xz7o=")</f>
        <v>#VALUE!</v>
      </c>
      <c r="GF185" t="e">
        <f>AND('OTRAS ACCIONES'!M111,"AAAAAF3xz7s=")</f>
        <v>#VALUE!</v>
      </c>
      <c r="GG185" t="e">
        <f>AND('OTRAS ACCIONES'!N111,"AAAAAF3xz7w=")</f>
        <v>#VALUE!</v>
      </c>
      <c r="GH185" t="e">
        <f>AND('OTRAS ACCIONES'!O111,"AAAAAF3xz70=")</f>
        <v>#VALUE!</v>
      </c>
      <c r="GI185" t="e">
        <f>AND('OTRAS ACCIONES'!P111,"AAAAAF3xz74=")</f>
        <v>#VALUE!</v>
      </c>
      <c r="GJ185" t="e">
        <f>AND('OTRAS ACCIONES'!Q111,"AAAAAF3xz78=")</f>
        <v>#VALUE!</v>
      </c>
      <c r="GK185" t="e">
        <f>AND('OTRAS ACCIONES'!R111,"AAAAAF3xz8A=")</f>
        <v>#VALUE!</v>
      </c>
      <c r="GL185">
        <f>IF('OTRAS ACCIONES'!112:112,"AAAAAF3xz8E=",0)</f>
        <v>0</v>
      </c>
      <c r="GM185" t="e">
        <f>AND('OTRAS ACCIONES'!B112,"AAAAAF3xz8I=")</f>
        <v>#VALUE!</v>
      </c>
      <c r="GN185" t="e">
        <f>AND('OTRAS ACCIONES'!C112,"AAAAAF3xz8M=")</f>
        <v>#VALUE!</v>
      </c>
      <c r="GO185" t="e">
        <f>AND('OTRAS ACCIONES'!D112,"AAAAAF3xz8Q=")</f>
        <v>#VALUE!</v>
      </c>
      <c r="GP185" t="e">
        <f>AND('OTRAS ACCIONES'!E112,"AAAAAF3xz8U=")</f>
        <v>#VALUE!</v>
      </c>
      <c r="GQ185" t="e">
        <f>AND('OTRAS ACCIONES'!F112,"AAAAAF3xz8Y=")</f>
        <v>#VALUE!</v>
      </c>
      <c r="GR185" t="e">
        <f>AND('OTRAS ACCIONES'!G112,"AAAAAF3xz8c=")</f>
        <v>#VALUE!</v>
      </c>
      <c r="GS185" t="e">
        <f>AND('OTRAS ACCIONES'!H112,"AAAAAF3xz8g=")</f>
        <v>#VALUE!</v>
      </c>
      <c r="GT185" t="e">
        <f>AND('OTRAS ACCIONES'!I112,"AAAAAF3xz8k=")</f>
        <v>#VALUE!</v>
      </c>
      <c r="GU185" t="e">
        <f>AND('OTRAS ACCIONES'!J112,"AAAAAF3xz8o=")</f>
        <v>#VALUE!</v>
      </c>
      <c r="GV185" t="e">
        <f>AND('OTRAS ACCIONES'!K112,"AAAAAF3xz8s=")</f>
        <v>#VALUE!</v>
      </c>
      <c r="GW185" t="e">
        <f>AND('OTRAS ACCIONES'!L112,"AAAAAF3xz8w=")</f>
        <v>#VALUE!</v>
      </c>
      <c r="GX185" t="e">
        <f>AND('OTRAS ACCIONES'!M112,"AAAAAF3xz80=")</f>
        <v>#VALUE!</v>
      </c>
      <c r="GY185" t="e">
        <f>AND('OTRAS ACCIONES'!N112,"AAAAAF3xz84=")</f>
        <v>#VALUE!</v>
      </c>
      <c r="GZ185" t="e">
        <f>AND('OTRAS ACCIONES'!O112,"AAAAAF3xz88=")</f>
        <v>#VALUE!</v>
      </c>
      <c r="HA185" t="e">
        <f>AND('OTRAS ACCIONES'!P112,"AAAAAF3xz9A=")</f>
        <v>#VALUE!</v>
      </c>
      <c r="HB185" t="e">
        <f>AND('OTRAS ACCIONES'!Q112,"AAAAAF3xz9E=")</f>
        <v>#VALUE!</v>
      </c>
      <c r="HC185" t="e">
        <f>AND('OTRAS ACCIONES'!R112,"AAAAAF3xz9I=")</f>
        <v>#VALUE!</v>
      </c>
      <c r="HD185">
        <f>IF('OTRAS ACCIONES'!113:113,"AAAAAF3xz9M=",0)</f>
        <v>0</v>
      </c>
      <c r="HE185" t="e">
        <f>AND('OTRAS ACCIONES'!B113,"AAAAAF3xz9Q=")</f>
        <v>#VALUE!</v>
      </c>
      <c r="HF185" t="e">
        <f>AND('OTRAS ACCIONES'!C113,"AAAAAF3xz9U=")</f>
        <v>#VALUE!</v>
      </c>
      <c r="HG185" t="e">
        <f>AND('OTRAS ACCIONES'!D113,"AAAAAF3xz9Y=")</f>
        <v>#VALUE!</v>
      </c>
      <c r="HH185" t="e">
        <f>AND('OTRAS ACCIONES'!E113,"AAAAAF3xz9c=")</f>
        <v>#VALUE!</v>
      </c>
      <c r="HI185" t="e">
        <f>AND('OTRAS ACCIONES'!F113,"AAAAAF3xz9g=")</f>
        <v>#VALUE!</v>
      </c>
      <c r="HJ185" t="e">
        <f>AND('OTRAS ACCIONES'!G113,"AAAAAF3xz9k=")</f>
        <v>#VALUE!</v>
      </c>
      <c r="HK185" t="e">
        <f>AND('OTRAS ACCIONES'!H113,"AAAAAF3xz9o=")</f>
        <v>#VALUE!</v>
      </c>
      <c r="HL185" t="e">
        <f>AND('OTRAS ACCIONES'!I113,"AAAAAF3xz9s=")</f>
        <v>#VALUE!</v>
      </c>
      <c r="HM185" t="e">
        <f>AND('OTRAS ACCIONES'!J113,"AAAAAF3xz9w=")</f>
        <v>#VALUE!</v>
      </c>
      <c r="HN185" t="e">
        <f>AND('OTRAS ACCIONES'!K113,"AAAAAF3xz90=")</f>
        <v>#VALUE!</v>
      </c>
      <c r="HO185" t="e">
        <f>AND('OTRAS ACCIONES'!L113,"AAAAAF3xz94=")</f>
        <v>#VALUE!</v>
      </c>
      <c r="HP185" t="e">
        <f>AND('OTRAS ACCIONES'!M113,"AAAAAF3xz98=")</f>
        <v>#VALUE!</v>
      </c>
      <c r="HQ185" t="e">
        <f>AND('OTRAS ACCIONES'!N113,"AAAAAF3xz+A=")</f>
        <v>#VALUE!</v>
      </c>
      <c r="HR185" t="e">
        <f>AND('OTRAS ACCIONES'!O113,"AAAAAF3xz+E=")</f>
        <v>#VALUE!</v>
      </c>
      <c r="HS185" t="e">
        <f>AND('OTRAS ACCIONES'!P113,"AAAAAF3xz+I=")</f>
        <v>#VALUE!</v>
      </c>
      <c r="HT185" t="e">
        <f>AND('OTRAS ACCIONES'!Q113,"AAAAAF3xz+M=")</f>
        <v>#VALUE!</v>
      </c>
      <c r="HU185" t="e">
        <f>AND('OTRAS ACCIONES'!R113,"AAAAAF3xz+Q=")</f>
        <v>#VALUE!</v>
      </c>
      <c r="HV185">
        <f>IF('OTRAS ACCIONES'!114:114,"AAAAAF3xz+U=",0)</f>
        <v>0</v>
      </c>
      <c r="HW185" t="e">
        <f>AND('OTRAS ACCIONES'!B114,"AAAAAF3xz+Y=")</f>
        <v>#VALUE!</v>
      </c>
      <c r="HX185" t="e">
        <f>AND('OTRAS ACCIONES'!C114,"AAAAAF3xz+c=")</f>
        <v>#VALUE!</v>
      </c>
      <c r="HY185" t="e">
        <f>AND('OTRAS ACCIONES'!D114,"AAAAAF3xz+g=")</f>
        <v>#VALUE!</v>
      </c>
      <c r="HZ185" t="e">
        <f>AND('OTRAS ACCIONES'!E114,"AAAAAF3xz+k=")</f>
        <v>#VALUE!</v>
      </c>
      <c r="IA185" t="e">
        <f>AND('OTRAS ACCIONES'!F114,"AAAAAF3xz+o=")</f>
        <v>#VALUE!</v>
      </c>
      <c r="IB185" t="e">
        <f>AND('OTRAS ACCIONES'!G114,"AAAAAF3xz+s=")</f>
        <v>#VALUE!</v>
      </c>
      <c r="IC185" t="e">
        <f>AND('OTRAS ACCIONES'!H114,"AAAAAF3xz+w=")</f>
        <v>#VALUE!</v>
      </c>
      <c r="ID185" t="e">
        <f>AND('OTRAS ACCIONES'!I114,"AAAAAF3xz+0=")</f>
        <v>#VALUE!</v>
      </c>
      <c r="IE185" t="e">
        <f>AND('OTRAS ACCIONES'!J114,"AAAAAF3xz+4=")</f>
        <v>#VALUE!</v>
      </c>
      <c r="IF185" t="e">
        <f>AND('OTRAS ACCIONES'!K114,"AAAAAF3xz+8=")</f>
        <v>#VALUE!</v>
      </c>
      <c r="IG185" t="e">
        <f>AND('OTRAS ACCIONES'!L114,"AAAAAF3xz/A=")</f>
        <v>#VALUE!</v>
      </c>
      <c r="IH185" t="e">
        <f>AND('OTRAS ACCIONES'!M114,"AAAAAF3xz/E=")</f>
        <v>#VALUE!</v>
      </c>
      <c r="II185" t="e">
        <f>AND('OTRAS ACCIONES'!N114,"AAAAAF3xz/I=")</f>
        <v>#VALUE!</v>
      </c>
      <c r="IJ185" t="e">
        <f>AND('OTRAS ACCIONES'!O114,"AAAAAF3xz/M=")</f>
        <v>#VALUE!</v>
      </c>
      <c r="IK185" t="e">
        <f>AND('OTRAS ACCIONES'!P114,"AAAAAF3xz/Q=")</f>
        <v>#VALUE!</v>
      </c>
      <c r="IL185" t="e">
        <f>AND('OTRAS ACCIONES'!Q114,"AAAAAF3xz/U=")</f>
        <v>#VALUE!</v>
      </c>
      <c r="IM185" t="e">
        <f>AND('OTRAS ACCIONES'!R114,"AAAAAF3xz/Y=")</f>
        <v>#VALUE!</v>
      </c>
      <c r="IN185">
        <f>IF('OTRAS ACCIONES'!115:115,"AAAAAF3xz/c=",0)</f>
        <v>0</v>
      </c>
      <c r="IO185" t="e">
        <f>AND('OTRAS ACCIONES'!B115,"AAAAAF3xz/g=")</f>
        <v>#VALUE!</v>
      </c>
      <c r="IP185" t="e">
        <f>AND('OTRAS ACCIONES'!C115,"AAAAAF3xz/k=")</f>
        <v>#VALUE!</v>
      </c>
      <c r="IQ185" t="e">
        <f>AND('OTRAS ACCIONES'!D115,"AAAAAF3xz/o=")</f>
        <v>#VALUE!</v>
      </c>
      <c r="IR185" t="e">
        <f>AND('OTRAS ACCIONES'!E115,"AAAAAF3xz/s=")</f>
        <v>#VALUE!</v>
      </c>
      <c r="IS185" t="e">
        <f>AND('OTRAS ACCIONES'!F115,"AAAAAF3xz/w=")</f>
        <v>#VALUE!</v>
      </c>
      <c r="IT185" t="e">
        <f>AND('OTRAS ACCIONES'!G115,"AAAAAF3xz/0=")</f>
        <v>#VALUE!</v>
      </c>
      <c r="IU185" t="e">
        <f>AND('OTRAS ACCIONES'!H115,"AAAAAF3xz/4=")</f>
        <v>#VALUE!</v>
      </c>
      <c r="IV185" t="e">
        <f>AND('OTRAS ACCIONES'!I115,"AAAAAF3xz/8=")</f>
        <v>#VALUE!</v>
      </c>
    </row>
    <row r="186" spans="1:256" x14ac:dyDescent="0.2">
      <c r="A186" t="e">
        <f>AND('OTRAS ACCIONES'!J115,"AAAAAE7WywA=")</f>
        <v>#VALUE!</v>
      </c>
      <c r="B186" t="e">
        <f>AND('OTRAS ACCIONES'!K115,"AAAAAE7WywE=")</f>
        <v>#VALUE!</v>
      </c>
      <c r="C186" t="e">
        <f>AND('OTRAS ACCIONES'!L115,"AAAAAE7WywI=")</f>
        <v>#VALUE!</v>
      </c>
      <c r="D186" t="e">
        <f>AND('OTRAS ACCIONES'!M115,"AAAAAE7WywM=")</f>
        <v>#VALUE!</v>
      </c>
      <c r="E186" t="e">
        <f>AND('OTRAS ACCIONES'!N115,"AAAAAE7WywQ=")</f>
        <v>#VALUE!</v>
      </c>
      <c r="F186" t="e">
        <f>AND('OTRAS ACCIONES'!O115,"AAAAAE7WywU=")</f>
        <v>#VALUE!</v>
      </c>
      <c r="G186" t="e">
        <f>AND('OTRAS ACCIONES'!P115,"AAAAAE7WywY=")</f>
        <v>#VALUE!</v>
      </c>
      <c r="H186" t="e">
        <f>AND('OTRAS ACCIONES'!Q115,"AAAAAE7Wywc=")</f>
        <v>#VALUE!</v>
      </c>
      <c r="I186" t="e">
        <f>AND('OTRAS ACCIONES'!R115,"AAAAAE7Wywg=")</f>
        <v>#VALUE!</v>
      </c>
      <c r="J186">
        <f>IF('OTRAS ACCIONES'!116:116,"AAAAAE7Wywk=",0)</f>
        <v>0</v>
      </c>
      <c r="K186" t="e">
        <f>AND('OTRAS ACCIONES'!B116,"AAAAAE7Wywo=")</f>
        <v>#VALUE!</v>
      </c>
      <c r="L186" t="e">
        <f>AND('OTRAS ACCIONES'!C116,"AAAAAE7Wyws=")</f>
        <v>#VALUE!</v>
      </c>
      <c r="M186" t="e">
        <f>AND('OTRAS ACCIONES'!D116,"AAAAAE7Wyww=")</f>
        <v>#VALUE!</v>
      </c>
      <c r="N186" t="e">
        <f>AND('OTRAS ACCIONES'!E116,"AAAAAE7Wyw0=")</f>
        <v>#VALUE!</v>
      </c>
      <c r="O186" t="e">
        <f>AND('OTRAS ACCIONES'!F116,"AAAAAE7Wyw4=")</f>
        <v>#VALUE!</v>
      </c>
      <c r="P186" t="e">
        <f>AND('OTRAS ACCIONES'!G116,"AAAAAE7Wyw8=")</f>
        <v>#VALUE!</v>
      </c>
      <c r="Q186" t="e">
        <f>AND('OTRAS ACCIONES'!H116,"AAAAAE7WyxA=")</f>
        <v>#VALUE!</v>
      </c>
      <c r="R186" t="e">
        <f>AND('OTRAS ACCIONES'!I116,"AAAAAE7WyxE=")</f>
        <v>#VALUE!</v>
      </c>
      <c r="S186" t="e">
        <f>AND('OTRAS ACCIONES'!J116,"AAAAAE7WyxI=")</f>
        <v>#VALUE!</v>
      </c>
      <c r="T186" t="e">
        <f>AND('OTRAS ACCIONES'!K116,"AAAAAE7WyxM=")</f>
        <v>#VALUE!</v>
      </c>
      <c r="U186" t="e">
        <f>AND('OTRAS ACCIONES'!L116,"AAAAAE7WyxQ=")</f>
        <v>#VALUE!</v>
      </c>
      <c r="V186" t="e">
        <f>AND('OTRAS ACCIONES'!M116,"AAAAAE7WyxU=")</f>
        <v>#VALUE!</v>
      </c>
      <c r="W186" t="e">
        <f>AND('OTRAS ACCIONES'!N116,"AAAAAE7WyxY=")</f>
        <v>#VALUE!</v>
      </c>
      <c r="X186" t="e">
        <f>AND('OTRAS ACCIONES'!O116,"AAAAAE7Wyxc=")</f>
        <v>#VALUE!</v>
      </c>
      <c r="Y186" t="e">
        <f>AND('OTRAS ACCIONES'!P116,"AAAAAE7Wyxg=")</f>
        <v>#VALUE!</v>
      </c>
      <c r="Z186" t="e">
        <f>AND('OTRAS ACCIONES'!Q116,"AAAAAE7Wyxk=")</f>
        <v>#VALUE!</v>
      </c>
      <c r="AA186" t="e">
        <f>AND('OTRAS ACCIONES'!R116,"AAAAAE7Wyxo=")</f>
        <v>#VALUE!</v>
      </c>
      <c r="AB186">
        <f>IF('OTRAS ACCIONES'!117:117,"AAAAAE7Wyxs=",0)</f>
        <v>0</v>
      </c>
      <c r="AC186" t="e">
        <f>AND('OTRAS ACCIONES'!B117,"AAAAAE7Wyxw=")</f>
        <v>#VALUE!</v>
      </c>
      <c r="AD186" t="e">
        <f>AND('OTRAS ACCIONES'!C117,"AAAAAE7Wyx0=")</f>
        <v>#VALUE!</v>
      </c>
      <c r="AE186" t="e">
        <f>AND('OTRAS ACCIONES'!D117,"AAAAAE7Wyx4=")</f>
        <v>#VALUE!</v>
      </c>
      <c r="AF186" t="e">
        <f>AND('OTRAS ACCIONES'!E117,"AAAAAE7Wyx8=")</f>
        <v>#VALUE!</v>
      </c>
      <c r="AG186" t="e">
        <f>AND('OTRAS ACCIONES'!F117,"AAAAAE7WyyA=")</f>
        <v>#VALUE!</v>
      </c>
      <c r="AH186" t="e">
        <f>AND('OTRAS ACCIONES'!G117,"AAAAAE7WyyE=")</f>
        <v>#VALUE!</v>
      </c>
      <c r="AI186" t="e">
        <f>AND('OTRAS ACCIONES'!H117,"AAAAAE7WyyI=")</f>
        <v>#VALUE!</v>
      </c>
      <c r="AJ186" t="e">
        <f>AND('OTRAS ACCIONES'!I117,"AAAAAE7WyyM=")</f>
        <v>#VALUE!</v>
      </c>
      <c r="AK186" t="e">
        <f>AND('OTRAS ACCIONES'!J117,"AAAAAE7WyyQ=")</f>
        <v>#VALUE!</v>
      </c>
      <c r="AL186" t="e">
        <f>AND('OTRAS ACCIONES'!K117,"AAAAAE7WyyU=")</f>
        <v>#VALUE!</v>
      </c>
      <c r="AM186" t="e">
        <f>AND('OTRAS ACCIONES'!L117,"AAAAAE7WyyY=")</f>
        <v>#VALUE!</v>
      </c>
      <c r="AN186" t="e">
        <f>AND('OTRAS ACCIONES'!M117,"AAAAAE7Wyyc=")</f>
        <v>#VALUE!</v>
      </c>
      <c r="AO186" t="e">
        <f>AND('OTRAS ACCIONES'!N117,"AAAAAE7Wyyg=")</f>
        <v>#VALUE!</v>
      </c>
      <c r="AP186" t="e">
        <f>AND('OTRAS ACCIONES'!O117,"AAAAAE7Wyyk=")</f>
        <v>#VALUE!</v>
      </c>
      <c r="AQ186" t="e">
        <f>AND('OTRAS ACCIONES'!P117,"AAAAAE7Wyyo=")</f>
        <v>#VALUE!</v>
      </c>
      <c r="AR186" t="e">
        <f>AND('OTRAS ACCIONES'!Q117,"AAAAAE7Wyys=")</f>
        <v>#VALUE!</v>
      </c>
      <c r="AS186" t="e">
        <f>AND('OTRAS ACCIONES'!R117,"AAAAAE7Wyyw=")</f>
        <v>#VALUE!</v>
      </c>
      <c r="AT186">
        <f>IF('OTRAS ACCIONES'!118:118,"AAAAAE7Wyy0=",0)</f>
        <v>0</v>
      </c>
      <c r="AU186" t="e">
        <f>AND('OTRAS ACCIONES'!B118,"AAAAAE7Wyy4=")</f>
        <v>#VALUE!</v>
      </c>
      <c r="AV186" t="e">
        <f>AND('OTRAS ACCIONES'!C118,"AAAAAE7Wyy8=")</f>
        <v>#VALUE!</v>
      </c>
      <c r="AW186" t="e">
        <f>AND('OTRAS ACCIONES'!D118,"AAAAAE7WyzA=")</f>
        <v>#VALUE!</v>
      </c>
      <c r="AX186" t="e">
        <f>AND('OTRAS ACCIONES'!E118,"AAAAAE7WyzE=")</f>
        <v>#VALUE!</v>
      </c>
      <c r="AY186" t="e">
        <f>AND('OTRAS ACCIONES'!F118,"AAAAAE7WyzI=")</f>
        <v>#VALUE!</v>
      </c>
      <c r="AZ186" t="e">
        <f>AND('OTRAS ACCIONES'!G118,"AAAAAE7WyzM=")</f>
        <v>#VALUE!</v>
      </c>
      <c r="BA186" t="e">
        <f>AND('OTRAS ACCIONES'!H118,"AAAAAE7WyzQ=")</f>
        <v>#VALUE!</v>
      </c>
      <c r="BB186" t="e">
        <f>AND('OTRAS ACCIONES'!I118,"AAAAAE7WyzU=")</f>
        <v>#VALUE!</v>
      </c>
      <c r="BC186" t="e">
        <f>AND('OTRAS ACCIONES'!J118,"AAAAAE7WyzY=")</f>
        <v>#VALUE!</v>
      </c>
      <c r="BD186" t="e">
        <f>AND('OTRAS ACCIONES'!K118,"AAAAAE7Wyzc=")</f>
        <v>#VALUE!</v>
      </c>
      <c r="BE186" t="e">
        <f>AND('OTRAS ACCIONES'!L118,"AAAAAE7Wyzg=")</f>
        <v>#VALUE!</v>
      </c>
      <c r="BF186" t="e">
        <f>AND('OTRAS ACCIONES'!M118,"AAAAAE7Wyzk=")</f>
        <v>#VALUE!</v>
      </c>
      <c r="BG186" t="e">
        <f>AND('OTRAS ACCIONES'!N118,"AAAAAE7Wyzo=")</f>
        <v>#VALUE!</v>
      </c>
      <c r="BH186" t="e">
        <f>AND('OTRAS ACCIONES'!O118,"AAAAAE7Wyzs=")</f>
        <v>#VALUE!</v>
      </c>
      <c r="BI186" t="e">
        <f>AND('OTRAS ACCIONES'!P118,"AAAAAE7Wyzw=")</f>
        <v>#VALUE!</v>
      </c>
      <c r="BJ186" t="e">
        <f>AND('OTRAS ACCIONES'!Q118,"AAAAAE7Wyz0=")</f>
        <v>#VALUE!</v>
      </c>
      <c r="BK186" t="e">
        <f>AND('OTRAS ACCIONES'!R118,"AAAAAE7Wyz4=")</f>
        <v>#VALUE!</v>
      </c>
      <c r="BL186">
        <f>IF('OTRAS ACCIONES'!119:119,"AAAAAE7Wyz8=",0)</f>
        <v>0</v>
      </c>
      <c r="BM186" t="e">
        <f>AND('OTRAS ACCIONES'!B119,"AAAAAE7Wy0A=")</f>
        <v>#VALUE!</v>
      </c>
      <c r="BN186" t="e">
        <f>AND('OTRAS ACCIONES'!C119,"AAAAAE7Wy0E=")</f>
        <v>#VALUE!</v>
      </c>
      <c r="BO186" t="e">
        <f>AND('OTRAS ACCIONES'!D119,"AAAAAE7Wy0I=")</f>
        <v>#VALUE!</v>
      </c>
      <c r="BP186" t="e">
        <f>AND('OTRAS ACCIONES'!E119,"AAAAAE7Wy0M=")</f>
        <v>#VALUE!</v>
      </c>
      <c r="BQ186" t="e">
        <f>AND('OTRAS ACCIONES'!F119,"AAAAAE7Wy0Q=")</f>
        <v>#VALUE!</v>
      </c>
      <c r="BR186" t="e">
        <f>AND('OTRAS ACCIONES'!G119,"AAAAAE7Wy0U=")</f>
        <v>#VALUE!</v>
      </c>
      <c r="BS186" t="e">
        <f>AND('OTRAS ACCIONES'!H119,"AAAAAE7Wy0Y=")</f>
        <v>#VALUE!</v>
      </c>
      <c r="BT186" t="e">
        <f>AND('OTRAS ACCIONES'!I119,"AAAAAE7Wy0c=")</f>
        <v>#VALUE!</v>
      </c>
      <c r="BU186" t="e">
        <f>AND('OTRAS ACCIONES'!J119,"AAAAAE7Wy0g=")</f>
        <v>#VALUE!</v>
      </c>
      <c r="BV186" t="e">
        <f>AND('OTRAS ACCIONES'!K119,"AAAAAE7Wy0k=")</f>
        <v>#VALUE!</v>
      </c>
      <c r="BW186" t="e">
        <f>AND('OTRAS ACCIONES'!L119,"AAAAAE7Wy0o=")</f>
        <v>#VALUE!</v>
      </c>
      <c r="BX186" t="e">
        <f>AND('OTRAS ACCIONES'!M119,"AAAAAE7Wy0s=")</f>
        <v>#VALUE!</v>
      </c>
      <c r="BY186" t="e">
        <f>AND('OTRAS ACCIONES'!N119,"AAAAAE7Wy0w=")</f>
        <v>#VALUE!</v>
      </c>
      <c r="BZ186" t="e">
        <f>AND('OTRAS ACCIONES'!O119,"AAAAAE7Wy00=")</f>
        <v>#VALUE!</v>
      </c>
      <c r="CA186" t="e">
        <f>AND('OTRAS ACCIONES'!P119,"AAAAAE7Wy04=")</f>
        <v>#VALUE!</v>
      </c>
      <c r="CB186" t="e">
        <f>AND('OTRAS ACCIONES'!Q119,"AAAAAE7Wy08=")</f>
        <v>#VALUE!</v>
      </c>
      <c r="CC186" t="e">
        <f>AND('OTRAS ACCIONES'!R119,"AAAAAE7Wy1A=")</f>
        <v>#VALUE!</v>
      </c>
      <c r="CD186">
        <f>IF('OTRAS ACCIONES'!120:120,"AAAAAE7Wy1E=",0)</f>
        <v>0</v>
      </c>
      <c r="CE186" t="e">
        <f>AND('OTRAS ACCIONES'!B120,"AAAAAE7Wy1I=")</f>
        <v>#VALUE!</v>
      </c>
      <c r="CF186" t="e">
        <f>AND('OTRAS ACCIONES'!C120,"AAAAAE7Wy1M=")</f>
        <v>#VALUE!</v>
      </c>
      <c r="CG186" t="e">
        <f>AND('OTRAS ACCIONES'!D120,"AAAAAE7Wy1Q=")</f>
        <v>#VALUE!</v>
      </c>
      <c r="CH186" t="e">
        <f>AND('OTRAS ACCIONES'!E120,"AAAAAE7Wy1U=")</f>
        <v>#VALUE!</v>
      </c>
      <c r="CI186" t="e">
        <f>AND('OTRAS ACCIONES'!F120,"AAAAAE7Wy1Y=")</f>
        <v>#VALUE!</v>
      </c>
      <c r="CJ186" t="e">
        <f>AND('OTRAS ACCIONES'!G120,"AAAAAE7Wy1c=")</f>
        <v>#VALUE!</v>
      </c>
      <c r="CK186" t="e">
        <f>AND('OTRAS ACCIONES'!H120,"AAAAAE7Wy1g=")</f>
        <v>#VALUE!</v>
      </c>
      <c r="CL186" t="e">
        <f>AND('OTRAS ACCIONES'!I120,"AAAAAE7Wy1k=")</f>
        <v>#VALUE!</v>
      </c>
      <c r="CM186" t="e">
        <f>AND('OTRAS ACCIONES'!J120,"AAAAAE7Wy1o=")</f>
        <v>#VALUE!</v>
      </c>
      <c r="CN186" t="e">
        <f>AND('OTRAS ACCIONES'!K120,"AAAAAE7Wy1s=")</f>
        <v>#VALUE!</v>
      </c>
      <c r="CO186" t="e">
        <f>AND('OTRAS ACCIONES'!L120,"AAAAAE7Wy1w=")</f>
        <v>#VALUE!</v>
      </c>
      <c r="CP186" t="e">
        <f>AND('OTRAS ACCIONES'!M120,"AAAAAE7Wy10=")</f>
        <v>#VALUE!</v>
      </c>
      <c r="CQ186" t="e">
        <f>AND('OTRAS ACCIONES'!N120,"AAAAAE7Wy14=")</f>
        <v>#VALUE!</v>
      </c>
      <c r="CR186" t="e">
        <f>AND('OTRAS ACCIONES'!O120,"AAAAAE7Wy18=")</f>
        <v>#VALUE!</v>
      </c>
      <c r="CS186" t="e">
        <f>AND('OTRAS ACCIONES'!P120,"AAAAAE7Wy2A=")</f>
        <v>#VALUE!</v>
      </c>
      <c r="CT186" t="e">
        <f>AND('OTRAS ACCIONES'!Q120,"AAAAAE7Wy2E=")</f>
        <v>#VALUE!</v>
      </c>
      <c r="CU186" t="e">
        <f>AND('OTRAS ACCIONES'!R120,"AAAAAE7Wy2I=")</f>
        <v>#VALUE!</v>
      </c>
      <c r="CV186">
        <f>IF('OTRAS ACCIONES'!121:121,"AAAAAE7Wy2M=",0)</f>
        <v>0</v>
      </c>
      <c r="CW186" t="e">
        <f>AND('OTRAS ACCIONES'!B121,"AAAAAE7Wy2Q=")</f>
        <v>#VALUE!</v>
      </c>
      <c r="CX186" t="e">
        <f>AND('OTRAS ACCIONES'!C121,"AAAAAE7Wy2U=")</f>
        <v>#VALUE!</v>
      </c>
      <c r="CY186" t="e">
        <f>AND('OTRAS ACCIONES'!D121,"AAAAAE7Wy2Y=")</f>
        <v>#VALUE!</v>
      </c>
      <c r="CZ186" t="e">
        <f>AND('OTRAS ACCIONES'!E121,"AAAAAE7Wy2c=")</f>
        <v>#VALUE!</v>
      </c>
      <c r="DA186" t="e">
        <f>AND('OTRAS ACCIONES'!F121,"AAAAAE7Wy2g=")</f>
        <v>#VALUE!</v>
      </c>
      <c r="DB186" t="e">
        <f>AND('OTRAS ACCIONES'!G121,"AAAAAE7Wy2k=")</f>
        <v>#VALUE!</v>
      </c>
      <c r="DC186" t="e">
        <f>AND('OTRAS ACCIONES'!H121,"AAAAAE7Wy2o=")</f>
        <v>#VALUE!</v>
      </c>
      <c r="DD186" t="e">
        <f>AND('OTRAS ACCIONES'!I121,"AAAAAE7Wy2s=")</f>
        <v>#VALUE!</v>
      </c>
      <c r="DE186" t="e">
        <f>AND('OTRAS ACCIONES'!J121,"AAAAAE7Wy2w=")</f>
        <v>#VALUE!</v>
      </c>
      <c r="DF186" t="e">
        <f>AND('OTRAS ACCIONES'!K121,"AAAAAE7Wy20=")</f>
        <v>#VALUE!</v>
      </c>
      <c r="DG186" t="e">
        <f>AND('OTRAS ACCIONES'!L121,"AAAAAE7Wy24=")</f>
        <v>#VALUE!</v>
      </c>
      <c r="DH186" t="e">
        <f>AND('OTRAS ACCIONES'!M121,"AAAAAE7Wy28=")</f>
        <v>#VALUE!</v>
      </c>
      <c r="DI186" t="e">
        <f>AND('OTRAS ACCIONES'!N121,"AAAAAE7Wy3A=")</f>
        <v>#VALUE!</v>
      </c>
      <c r="DJ186" t="e">
        <f>AND('OTRAS ACCIONES'!O121,"AAAAAE7Wy3E=")</f>
        <v>#VALUE!</v>
      </c>
      <c r="DK186" t="e">
        <f>AND('OTRAS ACCIONES'!P121,"AAAAAE7Wy3I=")</f>
        <v>#VALUE!</v>
      </c>
      <c r="DL186" t="e">
        <f>AND('OTRAS ACCIONES'!Q121,"AAAAAE7Wy3M=")</f>
        <v>#VALUE!</v>
      </c>
      <c r="DM186" t="e">
        <f>AND('OTRAS ACCIONES'!R121,"AAAAAE7Wy3Q=")</f>
        <v>#VALUE!</v>
      </c>
      <c r="DN186">
        <f>IF('OTRAS ACCIONES'!122:122,"AAAAAE7Wy3U=",0)</f>
        <v>0</v>
      </c>
      <c r="DO186" t="e">
        <f>AND('OTRAS ACCIONES'!B122,"AAAAAE7Wy3Y=")</f>
        <v>#VALUE!</v>
      </c>
      <c r="DP186" t="e">
        <f>AND('OTRAS ACCIONES'!C122,"AAAAAE7Wy3c=")</f>
        <v>#VALUE!</v>
      </c>
      <c r="DQ186" t="e">
        <f>AND('OTRAS ACCIONES'!D122,"AAAAAE7Wy3g=")</f>
        <v>#VALUE!</v>
      </c>
      <c r="DR186" t="e">
        <f>AND('OTRAS ACCIONES'!E122,"AAAAAE7Wy3k=")</f>
        <v>#VALUE!</v>
      </c>
      <c r="DS186" t="e">
        <f>AND('OTRAS ACCIONES'!F122,"AAAAAE7Wy3o=")</f>
        <v>#VALUE!</v>
      </c>
      <c r="DT186" t="e">
        <f>AND('OTRAS ACCIONES'!G122,"AAAAAE7Wy3s=")</f>
        <v>#VALUE!</v>
      </c>
      <c r="DU186" t="e">
        <f>AND('OTRAS ACCIONES'!H122,"AAAAAE7Wy3w=")</f>
        <v>#VALUE!</v>
      </c>
      <c r="DV186" t="e">
        <f>AND('OTRAS ACCIONES'!I122,"AAAAAE7Wy30=")</f>
        <v>#VALUE!</v>
      </c>
      <c r="DW186" t="e">
        <f>AND('OTRAS ACCIONES'!J122,"AAAAAE7Wy34=")</f>
        <v>#VALUE!</v>
      </c>
      <c r="DX186" t="e">
        <f>AND('OTRAS ACCIONES'!K122,"AAAAAE7Wy38=")</f>
        <v>#VALUE!</v>
      </c>
      <c r="DY186" t="e">
        <f>AND('OTRAS ACCIONES'!L122,"AAAAAE7Wy4A=")</f>
        <v>#VALUE!</v>
      </c>
      <c r="DZ186" t="e">
        <f>AND('OTRAS ACCIONES'!M122,"AAAAAE7Wy4E=")</f>
        <v>#VALUE!</v>
      </c>
      <c r="EA186" t="e">
        <f>AND('OTRAS ACCIONES'!N122,"AAAAAE7Wy4I=")</f>
        <v>#VALUE!</v>
      </c>
      <c r="EB186" t="e">
        <f>AND('OTRAS ACCIONES'!O122,"AAAAAE7Wy4M=")</f>
        <v>#VALUE!</v>
      </c>
      <c r="EC186" t="e">
        <f>AND('OTRAS ACCIONES'!P122,"AAAAAE7Wy4Q=")</f>
        <v>#VALUE!</v>
      </c>
      <c r="ED186" t="e">
        <f>AND('OTRAS ACCIONES'!Q122,"AAAAAE7Wy4U=")</f>
        <v>#VALUE!</v>
      </c>
      <c r="EE186" t="e">
        <f>AND('OTRAS ACCIONES'!R122,"AAAAAE7Wy4Y=")</f>
        <v>#VALUE!</v>
      </c>
      <c r="EF186">
        <f>IF('OTRAS ACCIONES'!123:123,"AAAAAE7Wy4c=",0)</f>
        <v>0</v>
      </c>
      <c r="EG186" t="e">
        <f>AND('OTRAS ACCIONES'!B123,"AAAAAE7Wy4g=")</f>
        <v>#VALUE!</v>
      </c>
      <c r="EH186" t="e">
        <f>AND('OTRAS ACCIONES'!C123,"AAAAAE7Wy4k=")</f>
        <v>#VALUE!</v>
      </c>
      <c r="EI186" t="e">
        <f>AND('OTRAS ACCIONES'!D123,"AAAAAE7Wy4o=")</f>
        <v>#VALUE!</v>
      </c>
      <c r="EJ186" t="e">
        <f>AND('OTRAS ACCIONES'!E123,"AAAAAE7Wy4s=")</f>
        <v>#VALUE!</v>
      </c>
      <c r="EK186" t="e">
        <f>AND('OTRAS ACCIONES'!F123,"AAAAAE7Wy4w=")</f>
        <v>#VALUE!</v>
      </c>
      <c r="EL186" t="e">
        <f>AND('OTRAS ACCIONES'!G123,"AAAAAE7Wy40=")</f>
        <v>#VALUE!</v>
      </c>
      <c r="EM186" t="e">
        <f>AND('OTRAS ACCIONES'!H123,"AAAAAE7Wy44=")</f>
        <v>#VALUE!</v>
      </c>
      <c r="EN186" t="e">
        <f>AND('OTRAS ACCIONES'!I123,"AAAAAE7Wy48=")</f>
        <v>#VALUE!</v>
      </c>
      <c r="EO186" t="e">
        <f>AND('OTRAS ACCIONES'!J123,"AAAAAE7Wy5A=")</f>
        <v>#VALUE!</v>
      </c>
      <c r="EP186" t="e">
        <f>AND('OTRAS ACCIONES'!K123,"AAAAAE7Wy5E=")</f>
        <v>#VALUE!</v>
      </c>
      <c r="EQ186" t="e">
        <f>AND('OTRAS ACCIONES'!L123,"AAAAAE7Wy5I=")</f>
        <v>#VALUE!</v>
      </c>
      <c r="ER186" t="e">
        <f>AND('OTRAS ACCIONES'!M123,"AAAAAE7Wy5M=")</f>
        <v>#VALUE!</v>
      </c>
      <c r="ES186" t="e">
        <f>AND('OTRAS ACCIONES'!N123,"AAAAAE7Wy5Q=")</f>
        <v>#VALUE!</v>
      </c>
      <c r="ET186" t="e">
        <f>AND('OTRAS ACCIONES'!O123,"AAAAAE7Wy5U=")</f>
        <v>#VALUE!</v>
      </c>
      <c r="EU186" t="e">
        <f>AND('OTRAS ACCIONES'!P123,"AAAAAE7Wy5Y=")</f>
        <v>#VALUE!</v>
      </c>
      <c r="EV186" t="e">
        <f>AND('OTRAS ACCIONES'!Q123,"AAAAAE7Wy5c=")</f>
        <v>#VALUE!</v>
      </c>
      <c r="EW186" t="e">
        <f>AND('OTRAS ACCIONES'!R123,"AAAAAE7Wy5g=")</f>
        <v>#VALUE!</v>
      </c>
      <c r="EX186">
        <f>IF('OTRAS ACCIONES'!124:124,"AAAAAE7Wy5k=",0)</f>
        <v>0</v>
      </c>
      <c r="EY186" t="e">
        <f>AND('OTRAS ACCIONES'!B124,"AAAAAE7Wy5o=")</f>
        <v>#VALUE!</v>
      </c>
      <c r="EZ186" t="e">
        <f>AND('OTRAS ACCIONES'!C124,"AAAAAE7Wy5s=")</f>
        <v>#VALUE!</v>
      </c>
      <c r="FA186" t="e">
        <f>AND('OTRAS ACCIONES'!D124,"AAAAAE7Wy5w=")</f>
        <v>#VALUE!</v>
      </c>
      <c r="FB186" t="e">
        <f>AND('OTRAS ACCIONES'!E124,"AAAAAE7Wy50=")</f>
        <v>#VALUE!</v>
      </c>
      <c r="FC186" t="e">
        <f>AND('OTRAS ACCIONES'!F124,"AAAAAE7Wy54=")</f>
        <v>#VALUE!</v>
      </c>
      <c r="FD186" t="e">
        <f>AND('OTRAS ACCIONES'!G124,"AAAAAE7Wy58=")</f>
        <v>#VALUE!</v>
      </c>
      <c r="FE186" t="e">
        <f>AND('OTRAS ACCIONES'!H124,"AAAAAE7Wy6A=")</f>
        <v>#VALUE!</v>
      </c>
      <c r="FF186" t="e">
        <f>AND('OTRAS ACCIONES'!I124,"AAAAAE7Wy6E=")</f>
        <v>#VALUE!</v>
      </c>
      <c r="FG186" t="e">
        <f>AND('OTRAS ACCIONES'!J124,"AAAAAE7Wy6I=")</f>
        <v>#VALUE!</v>
      </c>
      <c r="FH186" t="e">
        <f>AND('OTRAS ACCIONES'!K124,"AAAAAE7Wy6M=")</f>
        <v>#VALUE!</v>
      </c>
      <c r="FI186" t="e">
        <f>AND('OTRAS ACCIONES'!L124,"AAAAAE7Wy6Q=")</f>
        <v>#VALUE!</v>
      </c>
      <c r="FJ186" t="e">
        <f>AND('OTRAS ACCIONES'!M124,"AAAAAE7Wy6U=")</f>
        <v>#VALUE!</v>
      </c>
      <c r="FK186" t="e">
        <f>AND('OTRAS ACCIONES'!N124,"AAAAAE7Wy6Y=")</f>
        <v>#VALUE!</v>
      </c>
      <c r="FL186" t="e">
        <f>AND('OTRAS ACCIONES'!O124,"AAAAAE7Wy6c=")</f>
        <v>#VALUE!</v>
      </c>
      <c r="FM186" t="e">
        <f>AND('OTRAS ACCIONES'!P124,"AAAAAE7Wy6g=")</f>
        <v>#VALUE!</v>
      </c>
      <c r="FN186" t="e">
        <f>AND('OTRAS ACCIONES'!Q124,"AAAAAE7Wy6k=")</f>
        <v>#VALUE!</v>
      </c>
      <c r="FO186" t="e">
        <f>AND('OTRAS ACCIONES'!R124,"AAAAAE7Wy6o=")</f>
        <v>#VALUE!</v>
      </c>
      <c r="FP186">
        <f>IF('OTRAS ACCIONES'!125:125,"AAAAAE7Wy6s=",0)</f>
        <v>0</v>
      </c>
      <c r="FQ186" t="e">
        <f>AND('OTRAS ACCIONES'!B125,"AAAAAE7Wy6w=")</f>
        <v>#VALUE!</v>
      </c>
      <c r="FR186" t="e">
        <f>AND('OTRAS ACCIONES'!C125,"AAAAAE7Wy60=")</f>
        <v>#VALUE!</v>
      </c>
      <c r="FS186" t="e">
        <f>AND('OTRAS ACCIONES'!D125,"AAAAAE7Wy64=")</f>
        <v>#VALUE!</v>
      </c>
      <c r="FT186" t="e">
        <f>AND('OTRAS ACCIONES'!E125,"AAAAAE7Wy68=")</f>
        <v>#VALUE!</v>
      </c>
      <c r="FU186" t="e">
        <f>AND('OTRAS ACCIONES'!F125,"AAAAAE7Wy7A=")</f>
        <v>#VALUE!</v>
      </c>
      <c r="FV186" t="e">
        <f>AND('OTRAS ACCIONES'!G125,"AAAAAE7Wy7E=")</f>
        <v>#VALUE!</v>
      </c>
      <c r="FW186" t="e">
        <f>AND('OTRAS ACCIONES'!H125,"AAAAAE7Wy7I=")</f>
        <v>#VALUE!</v>
      </c>
      <c r="FX186" t="e">
        <f>AND('OTRAS ACCIONES'!I125,"AAAAAE7Wy7M=")</f>
        <v>#VALUE!</v>
      </c>
      <c r="FY186" t="e">
        <f>AND('OTRAS ACCIONES'!J125,"AAAAAE7Wy7Q=")</f>
        <v>#VALUE!</v>
      </c>
      <c r="FZ186" t="e">
        <f>AND('OTRAS ACCIONES'!K125,"AAAAAE7Wy7U=")</f>
        <v>#VALUE!</v>
      </c>
      <c r="GA186" t="e">
        <f>AND('OTRAS ACCIONES'!L125,"AAAAAE7Wy7Y=")</f>
        <v>#VALUE!</v>
      </c>
      <c r="GB186" t="e">
        <f>AND('OTRAS ACCIONES'!M125,"AAAAAE7Wy7c=")</f>
        <v>#VALUE!</v>
      </c>
      <c r="GC186" t="e">
        <f>AND('OTRAS ACCIONES'!N125,"AAAAAE7Wy7g=")</f>
        <v>#VALUE!</v>
      </c>
      <c r="GD186" t="e">
        <f>AND('OTRAS ACCIONES'!O125,"AAAAAE7Wy7k=")</f>
        <v>#VALUE!</v>
      </c>
      <c r="GE186" t="e">
        <f>AND('OTRAS ACCIONES'!P125,"AAAAAE7Wy7o=")</f>
        <v>#VALUE!</v>
      </c>
      <c r="GF186" t="e">
        <f>AND('OTRAS ACCIONES'!Q125,"AAAAAE7Wy7s=")</f>
        <v>#VALUE!</v>
      </c>
      <c r="GG186" t="e">
        <f>AND('OTRAS ACCIONES'!R125,"AAAAAE7Wy7w=")</f>
        <v>#VALUE!</v>
      </c>
      <c r="GH186">
        <f>IF('OTRAS ACCIONES'!126:126,"AAAAAE7Wy70=",0)</f>
        <v>0</v>
      </c>
      <c r="GI186" t="e">
        <f>AND('OTRAS ACCIONES'!B126,"AAAAAE7Wy74=")</f>
        <v>#VALUE!</v>
      </c>
      <c r="GJ186" t="e">
        <f>AND('OTRAS ACCIONES'!C126,"AAAAAE7Wy78=")</f>
        <v>#VALUE!</v>
      </c>
      <c r="GK186" t="e">
        <f>AND('OTRAS ACCIONES'!D126,"AAAAAE7Wy8A=")</f>
        <v>#VALUE!</v>
      </c>
      <c r="GL186" t="e">
        <f>AND('OTRAS ACCIONES'!E126,"AAAAAE7Wy8E=")</f>
        <v>#VALUE!</v>
      </c>
      <c r="GM186" t="e">
        <f>AND('OTRAS ACCIONES'!F126,"AAAAAE7Wy8I=")</f>
        <v>#VALUE!</v>
      </c>
      <c r="GN186" t="e">
        <f>AND('OTRAS ACCIONES'!G126,"AAAAAE7Wy8M=")</f>
        <v>#VALUE!</v>
      </c>
      <c r="GO186" t="e">
        <f>AND('OTRAS ACCIONES'!H126,"AAAAAE7Wy8Q=")</f>
        <v>#VALUE!</v>
      </c>
      <c r="GP186" t="e">
        <f>AND('OTRAS ACCIONES'!I126,"AAAAAE7Wy8U=")</f>
        <v>#VALUE!</v>
      </c>
      <c r="GQ186" t="e">
        <f>AND('OTRAS ACCIONES'!J126,"AAAAAE7Wy8Y=")</f>
        <v>#VALUE!</v>
      </c>
      <c r="GR186" t="e">
        <f>AND('OTRAS ACCIONES'!K126,"AAAAAE7Wy8c=")</f>
        <v>#VALUE!</v>
      </c>
      <c r="GS186" t="e">
        <f>AND('OTRAS ACCIONES'!L126,"AAAAAE7Wy8g=")</f>
        <v>#VALUE!</v>
      </c>
      <c r="GT186" t="e">
        <f>AND('OTRAS ACCIONES'!M126,"AAAAAE7Wy8k=")</f>
        <v>#VALUE!</v>
      </c>
      <c r="GU186" t="e">
        <f>AND('OTRAS ACCIONES'!N126,"AAAAAE7Wy8o=")</f>
        <v>#VALUE!</v>
      </c>
      <c r="GV186" t="e">
        <f>AND('OTRAS ACCIONES'!O126,"AAAAAE7Wy8s=")</f>
        <v>#VALUE!</v>
      </c>
      <c r="GW186" t="e">
        <f>AND('OTRAS ACCIONES'!P126,"AAAAAE7Wy8w=")</f>
        <v>#VALUE!</v>
      </c>
      <c r="GX186" t="e">
        <f>AND('OTRAS ACCIONES'!Q126,"AAAAAE7Wy80=")</f>
        <v>#VALUE!</v>
      </c>
      <c r="GY186" t="e">
        <f>AND('OTRAS ACCIONES'!R126,"AAAAAE7Wy84=")</f>
        <v>#VALUE!</v>
      </c>
      <c r="GZ186">
        <f>IF('OTRAS ACCIONES'!127:127,"AAAAAE7Wy88=",0)</f>
        <v>0</v>
      </c>
      <c r="HA186" t="e">
        <f>AND('OTRAS ACCIONES'!B127,"AAAAAE7Wy9A=")</f>
        <v>#VALUE!</v>
      </c>
      <c r="HB186" t="e">
        <f>AND('OTRAS ACCIONES'!C127,"AAAAAE7Wy9E=")</f>
        <v>#VALUE!</v>
      </c>
      <c r="HC186" t="e">
        <f>AND('OTRAS ACCIONES'!D127,"AAAAAE7Wy9I=")</f>
        <v>#VALUE!</v>
      </c>
      <c r="HD186" t="e">
        <f>AND('OTRAS ACCIONES'!E127,"AAAAAE7Wy9M=")</f>
        <v>#VALUE!</v>
      </c>
      <c r="HE186" t="e">
        <f>AND('OTRAS ACCIONES'!F127,"AAAAAE7Wy9Q=")</f>
        <v>#VALUE!</v>
      </c>
      <c r="HF186" t="e">
        <f>AND('OTRAS ACCIONES'!G127,"AAAAAE7Wy9U=")</f>
        <v>#VALUE!</v>
      </c>
      <c r="HG186" t="e">
        <f>AND('OTRAS ACCIONES'!H127,"AAAAAE7Wy9Y=")</f>
        <v>#VALUE!</v>
      </c>
      <c r="HH186" t="e">
        <f>AND('OTRAS ACCIONES'!I127,"AAAAAE7Wy9c=")</f>
        <v>#VALUE!</v>
      </c>
      <c r="HI186" t="e">
        <f>AND('OTRAS ACCIONES'!J127,"AAAAAE7Wy9g=")</f>
        <v>#VALUE!</v>
      </c>
      <c r="HJ186" t="e">
        <f>AND('OTRAS ACCIONES'!K127,"AAAAAE7Wy9k=")</f>
        <v>#VALUE!</v>
      </c>
      <c r="HK186" t="e">
        <f>AND('OTRAS ACCIONES'!L127,"AAAAAE7Wy9o=")</f>
        <v>#VALUE!</v>
      </c>
      <c r="HL186" t="e">
        <f>AND('OTRAS ACCIONES'!M127,"AAAAAE7Wy9s=")</f>
        <v>#VALUE!</v>
      </c>
      <c r="HM186" t="e">
        <f>AND('OTRAS ACCIONES'!N127,"AAAAAE7Wy9w=")</f>
        <v>#VALUE!</v>
      </c>
      <c r="HN186" t="e">
        <f>AND('OTRAS ACCIONES'!O127,"AAAAAE7Wy90=")</f>
        <v>#VALUE!</v>
      </c>
      <c r="HO186" t="e">
        <f>AND('OTRAS ACCIONES'!P127,"AAAAAE7Wy94=")</f>
        <v>#VALUE!</v>
      </c>
      <c r="HP186" t="e">
        <f>AND('OTRAS ACCIONES'!Q127,"AAAAAE7Wy98=")</f>
        <v>#VALUE!</v>
      </c>
      <c r="HQ186" t="e">
        <f>AND('OTRAS ACCIONES'!R127,"AAAAAE7Wy+A=")</f>
        <v>#VALUE!</v>
      </c>
      <c r="HR186">
        <f>IF('OTRAS ACCIONES'!128:128,"AAAAAE7Wy+E=",0)</f>
        <v>0</v>
      </c>
      <c r="HS186" t="e">
        <f>AND('OTRAS ACCIONES'!B128,"AAAAAE7Wy+I=")</f>
        <v>#VALUE!</v>
      </c>
      <c r="HT186" t="e">
        <f>AND('OTRAS ACCIONES'!C128,"AAAAAE7Wy+M=")</f>
        <v>#VALUE!</v>
      </c>
      <c r="HU186" t="e">
        <f>AND('OTRAS ACCIONES'!D128,"AAAAAE7Wy+Q=")</f>
        <v>#VALUE!</v>
      </c>
      <c r="HV186" t="e">
        <f>AND('OTRAS ACCIONES'!E128,"AAAAAE7Wy+U=")</f>
        <v>#VALUE!</v>
      </c>
      <c r="HW186" t="e">
        <f>AND('OTRAS ACCIONES'!F128,"AAAAAE7Wy+Y=")</f>
        <v>#VALUE!</v>
      </c>
      <c r="HX186" t="e">
        <f>AND('OTRAS ACCIONES'!G128,"AAAAAE7Wy+c=")</f>
        <v>#VALUE!</v>
      </c>
      <c r="HY186" t="e">
        <f>AND('OTRAS ACCIONES'!H128,"AAAAAE7Wy+g=")</f>
        <v>#VALUE!</v>
      </c>
      <c r="HZ186" t="e">
        <f>AND('OTRAS ACCIONES'!I128,"AAAAAE7Wy+k=")</f>
        <v>#VALUE!</v>
      </c>
      <c r="IA186" t="e">
        <f>AND('OTRAS ACCIONES'!J128,"AAAAAE7Wy+o=")</f>
        <v>#VALUE!</v>
      </c>
      <c r="IB186" t="e">
        <f>AND('OTRAS ACCIONES'!K128,"AAAAAE7Wy+s=")</f>
        <v>#VALUE!</v>
      </c>
      <c r="IC186" t="e">
        <f>AND('OTRAS ACCIONES'!L128,"AAAAAE7Wy+w=")</f>
        <v>#VALUE!</v>
      </c>
      <c r="ID186" t="e">
        <f>AND('OTRAS ACCIONES'!M128,"AAAAAE7Wy+0=")</f>
        <v>#VALUE!</v>
      </c>
      <c r="IE186" t="e">
        <f>AND('OTRAS ACCIONES'!N128,"AAAAAE7Wy+4=")</f>
        <v>#VALUE!</v>
      </c>
      <c r="IF186" t="e">
        <f>AND('OTRAS ACCIONES'!O128,"AAAAAE7Wy+8=")</f>
        <v>#VALUE!</v>
      </c>
      <c r="IG186" t="e">
        <f>AND('OTRAS ACCIONES'!P128,"AAAAAE7Wy/A=")</f>
        <v>#VALUE!</v>
      </c>
      <c r="IH186" t="e">
        <f>AND('OTRAS ACCIONES'!Q128,"AAAAAE7Wy/E=")</f>
        <v>#VALUE!</v>
      </c>
      <c r="II186" t="e">
        <f>AND('OTRAS ACCIONES'!R128,"AAAAAE7Wy/I=")</f>
        <v>#VALUE!</v>
      </c>
      <c r="IJ186">
        <f>IF('OTRAS ACCIONES'!129:129,"AAAAAE7Wy/M=",0)</f>
        <v>0</v>
      </c>
      <c r="IK186" t="e">
        <f>AND('OTRAS ACCIONES'!B129,"AAAAAE7Wy/Q=")</f>
        <v>#VALUE!</v>
      </c>
      <c r="IL186" t="e">
        <f>AND('OTRAS ACCIONES'!C129,"AAAAAE7Wy/U=")</f>
        <v>#VALUE!</v>
      </c>
      <c r="IM186" t="e">
        <f>AND('OTRAS ACCIONES'!D129,"AAAAAE7Wy/Y=")</f>
        <v>#VALUE!</v>
      </c>
      <c r="IN186" t="e">
        <f>AND('OTRAS ACCIONES'!E129,"AAAAAE7Wy/c=")</f>
        <v>#VALUE!</v>
      </c>
      <c r="IO186" t="e">
        <f>AND('OTRAS ACCIONES'!F129,"AAAAAE7Wy/g=")</f>
        <v>#VALUE!</v>
      </c>
      <c r="IP186" t="e">
        <f>AND('OTRAS ACCIONES'!G129,"AAAAAE7Wy/k=")</f>
        <v>#VALUE!</v>
      </c>
      <c r="IQ186" t="e">
        <f>AND('OTRAS ACCIONES'!H129,"AAAAAE7Wy/o=")</f>
        <v>#VALUE!</v>
      </c>
      <c r="IR186" t="e">
        <f>AND('OTRAS ACCIONES'!I129,"AAAAAE7Wy/s=")</f>
        <v>#VALUE!</v>
      </c>
      <c r="IS186" t="e">
        <f>AND('OTRAS ACCIONES'!J129,"AAAAAE7Wy/w=")</f>
        <v>#VALUE!</v>
      </c>
      <c r="IT186" t="e">
        <f>AND('OTRAS ACCIONES'!K129,"AAAAAE7Wy/0=")</f>
        <v>#VALUE!</v>
      </c>
      <c r="IU186" t="e">
        <f>AND('OTRAS ACCIONES'!L129,"AAAAAE7Wy/4=")</f>
        <v>#VALUE!</v>
      </c>
      <c r="IV186" t="e">
        <f>AND('OTRAS ACCIONES'!M129,"AAAAAE7Wy/8=")</f>
        <v>#VALUE!</v>
      </c>
    </row>
    <row r="187" spans="1:256" x14ac:dyDescent="0.2">
      <c r="A187" t="e">
        <f>AND('OTRAS ACCIONES'!N129,"AAAAAH/3rgA=")</f>
        <v>#VALUE!</v>
      </c>
      <c r="B187" t="e">
        <f>AND('OTRAS ACCIONES'!O129,"AAAAAH/3rgE=")</f>
        <v>#VALUE!</v>
      </c>
      <c r="C187" t="e">
        <f>AND('OTRAS ACCIONES'!P129,"AAAAAH/3rgI=")</f>
        <v>#VALUE!</v>
      </c>
      <c r="D187" t="e">
        <f>AND('OTRAS ACCIONES'!Q129,"AAAAAH/3rgM=")</f>
        <v>#VALUE!</v>
      </c>
      <c r="E187" t="e">
        <f>AND('OTRAS ACCIONES'!R129,"AAAAAH/3rgQ=")</f>
        <v>#VALUE!</v>
      </c>
      <c r="F187">
        <f>IF('OTRAS ACCIONES'!130:130,"AAAAAH/3rgU=",0)</f>
        <v>0</v>
      </c>
      <c r="G187" t="e">
        <f>AND('OTRAS ACCIONES'!B130,"AAAAAH/3rgY=")</f>
        <v>#VALUE!</v>
      </c>
      <c r="H187" t="e">
        <f>AND('OTRAS ACCIONES'!C130,"AAAAAH/3rgc=")</f>
        <v>#VALUE!</v>
      </c>
      <c r="I187" t="e">
        <f>AND('OTRAS ACCIONES'!D130,"AAAAAH/3rgg=")</f>
        <v>#VALUE!</v>
      </c>
      <c r="J187" t="e">
        <f>AND('OTRAS ACCIONES'!E130,"AAAAAH/3rgk=")</f>
        <v>#VALUE!</v>
      </c>
      <c r="K187" t="e">
        <f>AND('OTRAS ACCIONES'!F130,"AAAAAH/3rgo=")</f>
        <v>#VALUE!</v>
      </c>
      <c r="L187" t="e">
        <f>AND('OTRAS ACCIONES'!G130,"AAAAAH/3rgs=")</f>
        <v>#VALUE!</v>
      </c>
      <c r="M187" t="e">
        <f>AND('OTRAS ACCIONES'!H130,"AAAAAH/3rgw=")</f>
        <v>#VALUE!</v>
      </c>
      <c r="N187" t="e">
        <f>AND('OTRAS ACCIONES'!I130,"AAAAAH/3rg0=")</f>
        <v>#VALUE!</v>
      </c>
      <c r="O187" t="e">
        <f>AND('OTRAS ACCIONES'!J130,"AAAAAH/3rg4=")</f>
        <v>#VALUE!</v>
      </c>
      <c r="P187" t="e">
        <f>AND('OTRAS ACCIONES'!K130,"AAAAAH/3rg8=")</f>
        <v>#VALUE!</v>
      </c>
      <c r="Q187" t="e">
        <f>AND('OTRAS ACCIONES'!L130,"AAAAAH/3rhA=")</f>
        <v>#VALUE!</v>
      </c>
      <c r="R187" t="e">
        <f>AND('OTRAS ACCIONES'!M130,"AAAAAH/3rhE=")</f>
        <v>#VALUE!</v>
      </c>
      <c r="S187" t="e">
        <f>AND('OTRAS ACCIONES'!N130,"AAAAAH/3rhI=")</f>
        <v>#VALUE!</v>
      </c>
      <c r="T187" t="e">
        <f>AND('OTRAS ACCIONES'!O130,"AAAAAH/3rhM=")</f>
        <v>#VALUE!</v>
      </c>
      <c r="U187" t="e">
        <f>AND('OTRAS ACCIONES'!P130,"AAAAAH/3rhQ=")</f>
        <v>#VALUE!</v>
      </c>
      <c r="V187" t="e">
        <f>AND('OTRAS ACCIONES'!Q130,"AAAAAH/3rhU=")</f>
        <v>#VALUE!</v>
      </c>
      <c r="W187" t="e">
        <f>AND('OTRAS ACCIONES'!R130,"AAAAAH/3rhY=")</f>
        <v>#VALUE!</v>
      </c>
      <c r="X187">
        <f>IF('OTRAS ACCIONES'!131:131,"AAAAAH/3rhc=",0)</f>
        <v>0</v>
      </c>
      <c r="Y187" t="e">
        <f>AND('OTRAS ACCIONES'!B131,"AAAAAH/3rhg=")</f>
        <v>#VALUE!</v>
      </c>
      <c r="Z187" t="e">
        <f>AND('OTRAS ACCIONES'!C131,"AAAAAH/3rhk=")</f>
        <v>#VALUE!</v>
      </c>
      <c r="AA187" t="e">
        <f>AND('OTRAS ACCIONES'!D131,"AAAAAH/3rho=")</f>
        <v>#VALUE!</v>
      </c>
      <c r="AB187" t="e">
        <f>AND('OTRAS ACCIONES'!E131,"AAAAAH/3rhs=")</f>
        <v>#VALUE!</v>
      </c>
      <c r="AC187" t="e">
        <f>AND('OTRAS ACCIONES'!F131,"AAAAAH/3rhw=")</f>
        <v>#VALUE!</v>
      </c>
      <c r="AD187" t="e">
        <f>AND('OTRAS ACCIONES'!G131,"AAAAAH/3rh0=")</f>
        <v>#VALUE!</v>
      </c>
      <c r="AE187" t="e">
        <f>AND('OTRAS ACCIONES'!H131,"AAAAAH/3rh4=")</f>
        <v>#VALUE!</v>
      </c>
      <c r="AF187" t="e">
        <f>AND('OTRAS ACCIONES'!I131,"AAAAAH/3rh8=")</f>
        <v>#VALUE!</v>
      </c>
      <c r="AG187" t="e">
        <f>AND('OTRAS ACCIONES'!J131,"AAAAAH/3riA=")</f>
        <v>#VALUE!</v>
      </c>
      <c r="AH187" t="e">
        <f>AND('OTRAS ACCIONES'!K131,"AAAAAH/3riE=")</f>
        <v>#VALUE!</v>
      </c>
      <c r="AI187" t="e">
        <f>AND('OTRAS ACCIONES'!L131,"AAAAAH/3riI=")</f>
        <v>#VALUE!</v>
      </c>
      <c r="AJ187" t="e">
        <f>AND('OTRAS ACCIONES'!M131,"AAAAAH/3riM=")</f>
        <v>#VALUE!</v>
      </c>
      <c r="AK187" t="e">
        <f>AND('OTRAS ACCIONES'!N131,"AAAAAH/3riQ=")</f>
        <v>#VALUE!</v>
      </c>
      <c r="AL187" t="e">
        <f>AND('OTRAS ACCIONES'!O131,"AAAAAH/3riU=")</f>
        <v>#VALUE!</v>
      </c>
      <c r="AM187" t="e">
        <f>AND('OTRAS ACCIONES'!P131,"AAAAAH/3riY=")</f>
        <v>#VALUE!</v>
      </c>
      <c r="AN187" t="e">
        <f>AND('OTRAS ACCIONES'!Q131,"AAAAAH/3ric=")</f>
        <v>#VALUE!</v>
      </c>
      <c r="AO187" t="e">
        <f>AND('OTRAS ACCIONES'!R131,"AAAAAH/3rig=")</f>
        <v>#VALUE!</v>
      </c>
      <c r="AP187">
        <f>IF('OTRAS ACCIONES'!132:132,"AAAAAH/3rik=",0)</f>
        <v>0</v>
      </c>
      <c r="AQ187" t="e">
        <f>AND('OTRAS ACCIONES'!B132,"AAAAAH/3rio=")</f>
        <v>#VALUE!</v>
      </c>
      <c r="AR187" t="e">
        <f>AND('OTRAS ACCIONES'!C132,"AAAAAH/3ris=")</f>
        <v>#VALUE!</v>
      </c>
      <c r="AS187" t="e">
        <f>AND('OTRAS ACCIONES'!D132,"AAAAAH/3riw=")</f>
        <v>#VALUE!</v>
      </c>
      <c r="AT187" t="e">
        <f>AND('OTRAS ACCIONES'!E132,"AAAAAH/3ri0=")</f>
        <v>#VALUE!</v>
      </c>
      <c r="AU187" t="e">
        <f>AND('OTRAS ACCIONES'!F132,"AAAAAH/3ri4=")</f>
        <v>#VALUE!</v>
      </c>
      <c r="AV187" t="e">
        <f>AND('OTRAS ACCIONES'!G132,"AAAAAH/3ri8=")</f>
        <v>#VALUE!</v>
      </c>
      <c r="AW187" t="e">
        <f>AND('OTRAS ACCIONES'!H132,"AAAAAH/3rjA=")</f>
        <v>#VALUE!</v>
      </c>
      <c r="AX187" t="e">
        <f>AND('OTRAS ACCIONES'!I132,"AAAAAH/3rjE=")</f>
        <v>#VALUE!</v>
      </c>
      <c r="AY187" t="e">
        <f>AND('OTRAS ACCIONES'!J132,"AAAAAH/3rjI=")</f>
        <v>#VALUE!</v>
      </c>
      <c r="AZ187" t="e">
        <f>AND('OTRAS ACCIONES'!K132,"AAAAAH/3rjM=")</f>
        <v>#VALUE!</v>
      </c>
      <c r="BA187" t="e">
        <f>AND('OTRAS ACCIONES'!L132,"AAAAAH/3rjQ=")</f>
        <v>#VALUE!</v>
      </c>
      <c r="BB187" t="e">
        <f>AND('OTRAS ACCIONES'!M132,"AAAAAH/3rjU=")</f>
        <v>#VALUE!</v>
      </c>
      <c r="BC187" t="e">
        <f>AND('OTRAS ACCIONES'!N132,"AAAAAH/3rjY=")</f>
        <v>#VALUE!</v>
      </c>
      <c r="BD187" t="e">
        <f>AND('OTRAS ACCIONES'!O132,"AAAAAH/3rjc=")</f>
        <v>#VALUE!</v>
      </c>
      <c r="BE187" t="e">
        <f>AND('OTRAS ACCIONES'!P132,"AAAAAH/3rjg=")</f>
        <v>#VALUE!</v>
      </c>
      <c r="BF187" t="e">
        <f>AND('OTRAS ACCIONES'!Q132,"AAAAAH/3rjk=")</f>
        <v>#VALUE!</v>
      </c>
      <c r="BG187" t="e">
        <f>AND('OTRAS ACCIONES'!R132,"AAAAAH/3rjo=")</f>
        <v>#VALUE!</v>
      </c>
      <c r="BH187">
        <f>IF('OTRAS ACCIONES'!133:133,"AAAAAH/3rjs=",0)</f>
        <v>0</v>
      </c>
      <c r="BI187" t="e">
        <f>AND('OTRAS ACCIONES'!B133,"AAAAAH/3rjw=")</f>
        <v>#VALUE!</v>
      </c>
      <c r="BJ187" t="e">
        <f>AND('OTRAS ACCIONES'!C133,"AAAAAH/3rj0=")</f>
        <v>#VALUE!</v>
      </c>
      <c r="BK187" t="e">
        <f>AND('OTRAS ACCIONES'!D133,"AAAAAH/3rj4=")</f>
        <v>#VALUE!</v>
      </c>
      <c r="BL187" t="e">
        <f>AND('OTRAS ACCIONES'!E133,"AAAAAH/3rj8=")</f>
        <v>#VALUE!</v>
      </c>
      <c r="BM187" t="e">
        <f>AND('OTRAS ACCIONES'!F133,"AAAAAH/3rkA=")</f>
        <v>#VALUE!</v>
      </c>
      <c r="BN187" t="e">
        <f>AND('OTRAS ACCIONES'!G133,"AAAAAH/3rkE=")</f>
        <v>#VALUE!</v>
      </c>
      <c r="BO187" t="e">
        <f>AND('OTRAS ACCIONES'!H133,"AAAAAH/3rkI=")</f>
        <v>#VALUE!</v>
      </c>
      <c r="BP187" t="e">
        <f>AND('OTRAS ACCIONES'!I133,"AAAAAH/3rkM=")</f>
        <v>#VALUE!</v>
      </c>
      <c r="BQ187" t="e">
        <f>AND('OTRAS ACCIONES'!J133,"AAAAAH/3rkQ=")</f>
        <v>#VALUE!</v>
      </c>
      <c r="BR187" t="e">
        <f>AND('OTRAS ACCIONES'!K133,"AAAAAH/3rkU=")</f>
        <v>#VALUE!</v>
      </c>
      <c r="BS187" t="e">
        <f>AND('OTRAS ACCIONES'!L133,"AAAAAH/3rkY=")</f>
        <v>#VALUE!</v>
      </c>
      <c r="BT187" t="e">
        <f>AND('OTRAS ACCIONES'!M133,"AAAAAH/3rkc=")</f>
        <v>#VALUE!</v>
      </c>
      <c r="BU187" t="e">
        <f>AND('OTRAS ACCIONES'!N133,"AAAAAH/3rkg=")</f>
        <v>#VALUE!</v>
      </c>
      <c r="BV187" t="e">
        <f>AND('OTRAS ACCIONES'!O133,"AAAAAH/3rkk=")</f>
        <v>#VALUE!</v>
      </c>
      <c r="BW187" t="e">
        <f>AND('OTRAS ACCIONES'!P133,"AAAAAH/3rko=")</f>
        <v>#VALUE!</v>
      </c>
      <c r="BX187" t="e">
        <f>AND('OTRAS ACCIONES'!Q133,"AAAAAH/3rks=")</f>
        <v>#VALUE!</v>
      </c>
      <c r="BY187" t="e">
        <f>AND('OTRAS ACCIONES'!R133,"AAAAAH/3rkw=")</f>
        <v>#VALUE!</v>
      </c>
      <c r="BZ187">
        <f>IF('OTRAS ACCIONES'!134:134,"AAAAAH/3rk0=",0)</f>
        <v>0</v>
      </c>
      <c r="CA187" t="e">
        <f>AND('OTRAS ACCIONES'!B134,"AAAAAH/3rk4=")</f>
        <v>#VALUE!</v>
      </c>
      <c r="CB187" t="e">
        <f>AND('OTRAS ACCIONES'!C134,"AAAAAH/3rk8=")</f>
        <v>#VALUE!</v>
      </c>
      <c r="CC187" t="e">
        <f>AND('OTRAS ACCIONES'!D134,"AAAAAH/3rlA=")</f>
        <v>#VALUE!</v>
      </c>
      <c r="CD187" t="e">
        <f>AND('OTRAS ACCIONES'!E134,"AAAAAH/3rlE=")</f>
        <v>#VALUE!</v>
      </c>
      <c r="CE187" t="e">
        <f>AND('OTRAS ACCIONES'!F134,"AAAAAH/3rlI=")</f>
        <v>#VALUE!</v>
      </c>
      <c r="CF187" t="e">
        <f>AND('OTRAS ACCIONES'!G134,"AAAAAH/3rlM=")</f>
        <v>#VALUE!</v>
      </c>
      <c r="CG187" t="e">
        <f>AND('OTRAS ACCIONES'!H134,"AAAAAH/3rlQ=")</f>
        <v>#VALUE!</v>
      </c>
      <c r="CH187" t="e">
        <f>AND('OTRAS ACCIONES'!I134,"AAAAAH/3rlU=")</f>
        <v>#VALUE!</v>
      </c>
      <c r="CI187" t="e">
        <f>AND('OTRAS ACCIONES'!J134,"AAAAAH/3rlY=")</f>
        <v>#VALUE!</v>
      </c>
      <c r="CJ187" t="e">
        <f>AND('OTRAS ACCIONES'!K134,"AAAAAH/3rlc=")</f>
        <v>#VALUE!</v>
      </c>
      <c r="CK187" t="e">
        <f>AND('OTRAS ACCIONES'!L134,"AAAAAH/3rlg=")</f>
        <v>#VALUE!</v>
      </c>
      <c r="CL187" t="e">
        <f>AND('OTRAS ACCIONES'!M134,"AAAAAH/3rlk=")</f>
        <v>#VALUE!</v>
      </c>
      <c r="CM187" t="e">
        <f>AND('OTRAS ACCIONES'!N134,"AAAAAH/3rlo=")</f>
        <v>#VALUE!</v>
      </c>
      <c r="CN187" t="e">
        <f>AND('OTRAS ACCIONES'!O134,"AAAAAH/3rls=")</f>
        <v>#VALUE!</v>
      </c>
      <c r="CO187" t="e">
        <f>AND('OTRAS ACCIONES'!P134,"AAAAAH/3rlw=")</f>
        <v>#VALUE!</v>
      </c>
      <c r="CP187" t="e">
        <f>AND('OTRAS ACCIONES'!Q134,"AAAAAH/3rl0=")</f>
        <v>#VALUE!</v>
      </c>
      <c r="CQ187" t="e">
        <f>AND('OTRAS ACCIONES'!R134,"AAAAAH/3rl4=")</f>
        <v>#VALUE!</v>
      </c>
      <c r="CR187">
        <f>IF('OTRAS ACCIONES'!135:135,"AAAAAH/3rl8=",0)</f>
        <v>0</v>
      </c>
      <c r="CS187" t="e">
        <f>AND('OTRAS ACCIONES'!B135,"AAAAAH/3rmA=")</f>
        <v>#VALUE!</v>
      </c>
      <c r="CT187" t="e">
        <f>AND('OTRAS ACCIONES'!C135,"AAAAAH/3rmE=")</f>
        <v>#VALUE!</v>
      </c>
      <c r="CU187" t="e">
        <f>AND('OTRAS ACCIONES'!D135,"AAAAAH/3rmI=")</f>
        <v>#VALUE!</v>
      </c>
      <c r="CV187" t="e">
        <f>AND('OTRAS ACCIONES'!E135,"AAAAAH/3rmM=")</f>
        <v>#VALUE!</v>
      </c>
      <c r="CW187" t="e">
        <f>AND('OTRAS ACCIONES'!F135,"AAAAAH/3rmQ=")</f>
        <v>#VALUE!</v>
      </c>
      <c r="CX187" t="e">
        <f>AND('OTRAS ACCIONES'!G135,"AAAAAH/3rmU=")</f>
        <v>#VALUE!</v>
      </c>
      <c r="CY187" t="e">
        <f>AND('OTRAS ACCIONES'!H135,"AAAAAH/3rmY=")</f>
        <v>#VALUE!</v>
      </c>
      <c r="CZ187" t="e">
        <f>AND('OTRAS ACCIONES'!I135,"AAAAAH/3rmc=")</f>
        <v>#VALUE!</v>
      </c>
      <c r="DA187" t="e">
        <f>AND('OTRAS ACCIONES'!J135,"AAAAAH/3rmg=")</f>
        <v>#VALUE!</v>
      </c>
      <c r="DB187" t="e">
        <f>AND('OTRAS ACCIONES'!K135,"AAAAAH/3rmk=")</f>
        <v>#VALUE!</v>
      </c>
      <c r="DC187" t="e">
        <f>AND('OTRAS ACCIONES'!L135,"AAAAAH/3rmo=")</f>
        <v>#VALUE!</v>
      </c>
      <c r="DD187" t="e">
        <f>AND('OTRAS ACCIONES'!M135,"AAAAAH/3rms=")</f>
        <v>#VALUE!</v>
      </c>
      <c r="DE187" t="e">
        <f>AND('OTRAS ACCIONES'!N135,"AAAAAH/3rmw=")</f>
        <v>#VALUE!</v>
      </c>
      <c r="DF187" t="e">
        <f>AND('OTRAS ACCIONES'!O135,"AAAAAH/3rm0=")</f>
        <v>#VALUE!</v>
      </c>
      <c r="DG187" t="e">
        <f>AND('OTRAS ACCIONES'!P135,"AAAAAH/3rm4=")</f>
        <v>#VALUE!</v>
      </c>
      <c r="DH187" t="e">
        <f>AND('OTRAS ACCIONES'!Q135,"AAAAAH/3rm8=")</f>
        <v>#VALUE!</v>
      </c>
      <c r="DI187" t="e">
        <f>AND('OTRAS ACCIONES'!R135,"AAAAAH/3rnA=")</f>
        <v>#VALUE!</v>
      </c>
      <c r="DJ187">
        <f>IF('OTRAS ACCIONES'!136:136,"AAAAAH/3rnE=",0)</f>
        <v>0</v>
      </c>
      <c r="DK187" t="e">
        <f>AND('OTRAS ACCIONES'!B136,"AAAAAH/3rnI=")</f>
        <v>#VALUE!</v>
      </c>
      <c r="DL187" t="e">
        <f>AND('OTRAS ACCIONES'!C136,"AAAAAH/3rnM=")</f>
        <v>#VALUE!</v>
      </c>
      <c r="DM187" t="e">
        <f>AND('OTRAS ACCIONES'!D136,"AAAAAH/3rnQ=")</f>
        <v>#VALUE!</v>
      </c>
      <c r="DN187" t="e">
        <f>AND('OTRAS ACCIONES'!E136,"AAAAAH/3rnU=")</f>
        <v>#VALUE!</v>
      </c>
      <c r="DO187" t="e">
        <f>AND('OTRAS ACCIONES'!F136,"AAAAAH/3rnY=")</f>
        <v>#VALUE!</v>
      </c>
      <c r="DP187" t="e">
        <f>AND('OTRAS ACCIONES'!G136,"AAAAAH/3rnc=")</f>
        <v>#VALUE!</v>
      </c>
      <c r="DQ187" t="e">
        <f>AND('OTRAS ACCIONES'!H136,"AAAAAH/3rng=")</f>
        <v>#VALUE!</v>
      </c>
      <c r="DR187" t="e">
        <f>AND('OTRAS ACCIONES'!I136,"AAAAAH/3rnk=")</f>
        <v>#VALUE!</v>
      </c>
      <c r="DS187" t="e">
        <f>AND('OTRAS ACCIONES'!J136,"AAAAAH/3rno=")</f>
        <v>#VALUE!</v>
      </c>
      <c r="DT187" t="e">
        <f>AND('OTRAS ACCIONES'!K136,"AAAAAH/3rns=")</f>
        <v>#VALUE!</v>
      </c>
      <c r="DU187" t="e">
        <f>AND('OTRAS ACCIONES'!L136,"AAAAAH/3rnw=")</f>
        <v>#VALUE!</v>
      </c>
      <c r="DV187" t="e">
        <f>AND('OTRAS ACCIONES'!M136,"AAAAAH/3rn0=")</f>
        <v>#VALUE!</v>
      </c>
      <c r="DW187" t="e">
        <f>AND('OTRAS ACCIONES'!N136,"AAAAAH/3rn4=")</f>
        <v>#VALUE!</v>
      </c>
      <c r="DX187" t="e">
        <f>AND('OTRAS ACCIONES'!O136,"AAAAAH/3rn8=")</f>
        <v>#VALUE!</v>
      </c>
      <c r="DY187" t="e">
        <f>AND('OTRAS ACCIONES'!P136,"AAAAAH/3roA=")</f>
        <v>#VALUE!</v>
      </c>
      <c r="DZ187" t="e">
        <f>AND('OTRAS ACCIONES'!Q136,"AAAAAH/3roE=")</f>
        <v>#VALUE!</v>
      </c>
      <c r="EA187" t="e">
        <f>AND('OTRAS ACCIONES'!R136,"AAAAAH/3roI=")</f>
        <v>#VALUE!</v>
      </c>
      <c r="EB187">
        <f>IF('OTRAS ACCIONES'!137:137,"AAAAAH/3roM=",0)</f>
        <v>0</v>
      </c>
      <c r="EC187" t="e">
        <f>AND('OTRAS ACCIONES'!B137,"AAAAAH/3roQ=")</f>
        <v>#VALUE!</v>
      </c>
      <c r="ED187" t="e">
        <f>AND('OTRAS ACCIONES'!C137,"AAAAAH/3roU=")</f>
        <v>#VALUE!</v>
      </c>
      <c r="EE187" t="e">
        <f>AND('OTRAS ACCIONES'!D137,"AAAAAH/3roY=")</f>
        <v>#VALUE!</v>
      </c>
      <c r="EF187" t="e">
        <f>AND('OTRAS ACCIONES'!E137,"AAAAAH/3roc=")</f>
        <v>#VALUE!</v>
      </c>
      <c r="EG187" t="e">
        <f>AND('OTRAS ACCIONES'!F137,"AAAAAH/3rog=")</f>
        <v>#VALUE!</v>
      </c>
      <c r="EH187" t="e">
        <f>AND('OTRAS ACCIONES'!G137,"AAAAAH/3rok=")</f>
        <v>#VALUE!</v>
      </c>
      <c r="EI187" t="e">
        <f>AND('OTRAS ACCIONES'!H137,"AAAAAH/3roo=")</f>
        <v>#VALUE!</v>
      </c>
      <c r="EJ187" t="e">
        <f>AND('OTRAS ACCIONES'!I137,"AAAAAH/3ros=")</f>
        <v>#VALUE!</v>
      </c>
      <c r="EK187" t="e">
        <f>AND('OTRAS ACCIONES'!J137,"AAAAAH/3row=")</f>
        <v>#VALUE!</v>
      </c>
      <c r="EL187" t="e">
        <f>AND('OTRAS ACCIONES'!K137,"AAAAAH/3ro0=")</f>
        <v>#VALUE!</v>
      </c>
      <c r="EM187" t="e">
        <f>AND('OTRAS ACCIONES'!L137,"AAAAAH/3ro4=")</f>
        <v>#VALUE!</v>
      </c>
      <c r="EN187" t="e">
        <f>AND('OTRAS ACCIONES'!M137,"AAAAAH/3ro8=")</f>
        <v>#VALUE!</v>
      </c>
      <c r="EO187" t="e">
        <f>AND('OTRAS ACCIONES'!N137,"AAAAAH/3rpA=")</f>
        <v>#VALUE!</v>
      </c>
      <c r="EP187" t="e">
        <f>AND('OTRAS ACCIONES'!O137,"AAAAAH/3rpE=")</f>
        <v>#VALUE!</v>
      </c>
      <c r="EQ187" t="e">
        <f>AND('OTRAS ACCIONES'!P137,"AAAAAH/3rpI=")</f>
        <v>#VALUE!</v>
      </c>
      <c r="ER187" t="e">
        <f>AND('OTRAS ACCIONES'!Q137,"AAAAAH/3rpM=")</f>
        <v>#VALUE!</v>
      </c>
      <c r="ES187" t="e">
        <f>AND('OTRAS ACCIONES'!R137,"AAAAAH/3rpQ=")</f>
        <v>#VALUE!</v>
      </c>
      <c r="ET187">
        <f>IF('OTRAS ACCIONES'!138:138,"AAAAAH/3rpU=",0)</f>
        <v>0</v>
      </c>
      <c r="EU187" t="e">
        <f>AND('OTRAS ACCIONES'!B138,"AAAAAH/3rpY=")</f>
        <v>#VALUE!</v>
      </c>
      <c r="EV187" t="e">
        <f>AND('OTRAS ACCIONES'!C138,"AAAAAH/3rpc=")</f>
        <v>#VALUE!</v>
      </c>
      <c r="EW187" t="e">
        <f>AND('OTRAS ACCIONES'!D138,"AAAAAH/3rpg=")</f>
        <v>#VALUE!</v>
      </c>
      <c r="EX187" t="e">
        <f>AND('OTRAS ACCIONES'!E138,"AAAAAH/3rpk=")</f>
        <v>#VALUE!</v>
      </c>
      <c r="EY187" t="e">
        <f>AND('OTRAS ACCIONES'!F138,"AAAAAH/3rpo=")</f>
        <v>#VALUE!</v>
      </c>
      <c r="EZ187" t="e">
        <f>AND('OTRAS ACCIONES'!G138,"AAAAAH/3rps=")</f>
        <v>#VALUE!</v>
      </c>
      <c r="FA187" t="e">
        <f>AND('OTRAS ACCIONES'!H138,"AAAAAH/3rpw=")</f>
        <v>#VALUE!</v>
      </c>
      <c r="FB187" t="e">
        <f>AND('OTRAS ACCIONES'!I138,"AAAAAH/3rp0=")</f>
        <v>#VALUE!</v>
      </c>
      <c r="FC187" t="e">
        <f>AND('OTRAS ACCIONES'!J138,"AAAAAH/3rp4=")</f>
        <v>#VALUE!</v>
      </c>
      <c r="FD187" t="e">
        <f>AND('OTRAS ACCIONES'!K138,"AAAAAH/3rp8=")</f>
        <v>#VALUE!</v>
      </c>
      <c r="FE187" t="e">
        <f>AND('OTRAS ACCIONES'!L138,"AAAAAH/3rqA=")</f>
        <v>#VALUE!</v>
      </c>
      <c r="FF187" t="e">
        <f>AND('OTRAS ACCIONES'!M138,"AAAAAH/3rqE=")</f>
        <v>#VALUE!</v>
      </c>
      <c r="FG187" t="e">
        <f>AND('OTRAS ACCIONES'!N138,"AAAAAH/3rqI=")</f>
        <v>#VALUE!</v>
      </c>
      <c r="FH187" t="e">
        <f>AND('OTRAS ACCIONES'!O138,"AAAAAH/3rqM=")</f>
        <v>#VALUE!</v>
      </c>
      <c r="FI187" t="e">
        <f>AND('OTRAS ACCIONES'!P138,"AAAAAH/3rqQ=")</f>
        <v>#VALUE!</v>
      </c>
      <c r="FJ187" t="e">
        <f>AND('OTRAS ACCIONES'!Q138,"AAAAAH/3rqU=")</f>
        <v>#VALUE!</v>
      </c>
      <c r="FK187" t="e">
        <f>AND('OTRAS ACCIONES'!R138,"AAAAAH/3rqY=")</f>
        <v>#VALUE!</v>
      </c>
      <c r="FL187">
        <f>IF('OTRAS ACCIONES'!139:139,"AAAAAH/3rqc=",0)</f>
        <v>0</v>
      </c>
      <c r="FM187" t="e">
        <f>AND('OTRAS ACCIONES'!B139,"AAAAAH/3rqg=")</f>
        <v>#VALUE!</v>
      </c>
      <c r="FN187" t="e">
        <f>AND('OTRAS ACCIONES'!C139,"AAAAAH/3rqk=")</f>
        <v>#VALUE!</v>
      </c>
      <c r="FO187" t="e">
        <f>AND('OTRAS ACCIONES'!D139,"AAAAAH/3rqo=")</f>
        <v>#VALUE!</v>
      </c>
      <c r="FP187" t="e">
        <f>AND('OTRAS ACCIONES'!E139,"AAAAAH/3rqs=")</f>
        <v>#VALUE!</v>
      </c>
      <c r="FQ187" t="e">
        <f>AND('OTRAS ACCIONES'!F139,"AAAAAH/3rqw=")</f>
        <v>#VALUE!</v>
      </c>
      <c r="FR187" t="e">
        <f>AND('OTRAS ACCIONES'!G139,"AAAAAH/3rq0=")</f>
        <v>#VALUE!</v>
      </c>
      <c r="FS187" t="e">
        <f>AND('OTRAS ACCIONES'!H139,"AAAAAH/3rq4=")</f>
        <v>#VALUE!</v>
      </c>
      <c r="FT187" t="e">
        <f>AND('OTRAS ACCIONES'!I139,"AAAAAH/3rq8=")</f>
        <v>#VALUE!</v>
      </c>
      <c r="FU187" t="e">
        <f>AND('OTRAS ACCIONES'!J139,"AAAAAH/3rrA=")</f>
        <v>#VALUE!</v>
      </c>
      <c r="FV187" t="e">
        <f>AND('OTRAS ACCIONES'!K139,"AAAAAH/3rrE=")</f>
        <v>#VALUE!</v>
      </c>
      <c r="FW187" t="e">
        <f>AND('OTRAS ACCIONES'!L139,"AAAAAH/3rrI=")</f>
        <v>#VALUE!</v>
      </c>
      <c r="FX187" t="e">
        <f>AND('OTRAS ACCIONES'!M139,"AAAAAH/3rrM=")</f>
        <v>#VALUE!</v>
      </c>
      <c r="FY187" t="e">
        <f>AND('OTRAS ACCIONES'!N139,"AAAAAH/3rrQ=")</f>
        <v>#VALUE!</v>
      </c>
      <c r="FZ187" t="e">
        <f>AND('OTRAS ACCIONES'!O139,"AAAAAH/3rrU=")</f>
        <v>#VALUE!</v>
      </c>
      <c r="GA187" t="e">
        <f>AND('OTRAS ACCIONES'!P139,"AAAAAH/3rrY=")</f>
        <v>#VALUE!</v>
      </c>
      <c r="GB187" t="e">
        <f>AND('OTRAS ACCIONES'!Q139,"AAAAAH/3rrc=")</f>
        <v>#VALUE!</v>
      </c>
      <c r="GC187" t="e">
        <f>AND('OTRAS ACCIONES'!R139,"AAAAAH/3rrg=")</f>
        <v>#VALUE!</v>
      </c>
      <c r="GD187">
        <f>IF('OTRAS ACCIONES'!140:140,"AAAAAH/3rrk=",0)</f>
        <v>0</v>
      </c>
      <c r="GE187" t="e">
        <f>AND('OTRAS ACCIONES'!B140,"AAAAAH/3rro=")</f>
        <v>#VALUE!</v>
      </c>
      <c r="GF187" t="e">
        <f>AND('OTRAS ACCIONES'!C140,"AAAAAH/3rrs=")</f>
        <v>#VALUE!</v>
      </c>
      <c r="GG187" t="e">
        <f>AND('OTRAS ACCIONES'!D140,"AAAAAH/3rrw=")</f>
        <v>#VALUE!</v>
      </c>
      <c r="GH187" t="e">
        <f>AND('OTRAS ACCIONES'!E140,"AAAAAH/3rr0=")</f>
        <v>#VALUE!</v>
      </c>
      <c r="GI187" t="e">
        <f>AND('OTRAS ACCIONES'!F140,"AAAAAH/3rr4=")</f>
        <v>#VALUE!</v>
      </c>
      <c r="GJ187" t="e">
        <f>AND('OTRAS ACCIONES'!G140,"AAAAAH/3rr8=")</f>
        <v>#VALUE!</v>
      </c>
      <c r="GK187" t="e">
        <f>AND('OTRAS ACCIONES'!H140,"AAAAAH/3rsA=")</f>
        <v>#VALUE!</v>
      </c>
      <c r="GL187" t="e">
        <f>AND('OTRAS ACCIONES'!I140,"AAAAAH/3rsE=")</f>
        <v>#VALUE!</v>
      </c>
      <c r="GM187" t="e">
        <f>AND('OTRAS ACCIONES'!J140,"AAAAAH/3rsI=")</f>
        <v>#VALUE!</v>
      </c>
      <c r="GN187" t="e">
        <f>AND('OTRAS ACCIONES'!K140,"AAAAAH/3rsM=")</f>
        <v>#VALUE!</v>
      </c>
      <c r="GO187" t="e">
        <f>AND('OTRAS ACCIONES'!L140,"AAAAAH/3rsQ=")</f>
        <v>#VALUE!</v>
      </c>
      <c r="GP187" t="e">
        <f>AND('OTRAS ACCIONES'!M140,"AAAAAH/3rsU=")</f>
        <v>#VALUE!</v>
      </c>
      <c r="GQ187" t="e">
        <f>AND('OTRAS ACCIONES'!N140,"AAAAAH/3rsY=")</f>
        <v>#VALUE!</v>
      </c>
      <c r="GR187" t="e">
        <f>AND('OTRAS ACCIONES'!O140,"AAAAAH/3rsc=")</f>
        <v>#VALUE!</v>
      </c>
      <c r="GS187" t="e">
        <f>AND('OTRAS ACCIONES'!P140,"AAAAAH/3rsg=")</f>
        <v>#VALUE!</v>
      </c>
      <c r="GT187" t="e">
        <f>AND('OTRAS ACCIONES'!Q140,"AAAAAH/3rsk=")</f>
        <v>#VALUE!</v>
      </c>
      <c r="GU187" t="e">
        <f>AND('OTRAS ACCIONES'!R140,"AAAAAH/3rso=")</f>
        <v>#VALUE!</v>
      </c>
      <c r="GV187">
        <f>IF('OTRAS ACCIONES'!141:141,"AAAAAH/3rss=",0)</f>
        <v>0</v>
      </c>
      <c r="GW187" t="e">
        <f>AND('OTRAS ACCIONES'!B141,"AAAAAH/3rsw=")</f>
        <v>#VALUE!</v>
      </c>
      <c r="GX187" t="e">
        <f>AND('OTRAS ACCIONES'!C141,"AAAAAH/3rs0=")</f>
        <v>#VALUE!</v>
      </c>
      <c r="GY187" t="e">
        <f>AND('OTRAS ACCIONES'!D141,"AAAAAH/3rs4=")</f>
        <v>#VALUE!</v>
      </c>
      <c r="GZ187" t="e">
        <f>AND('OTRAS ACCIONES'!E141,"AAAAAH/3rs8=")</f>
        <v>#VALUE!</v>
      </c>
      <c r="HA187" t="e">
        <f>AND('OTRAS ACCIONES'!F141,"AAAAAH/3rtA=")</f>
        <v>#VALUE!</v>
      </c>
      <c r="HB187" t="e">
        <f>AND('OTRAS ACCIONES'!G141,"AAAAAH/3rtE=")</f>
        <v>#VALUE!</v>
      </c>
      <c r="HC187" t="e">
        <f>AND('OTRAS ACCIONES'!H141,"AAAAAH/3rtI=")</f>
        <v>#VALUE!</v>
      </c>
      <c r="HD187" t="e">
        <f>AND('OTRAS ACCIONES'!I141,"AAAAAH/3rtM=")</f>
        <v>#VALUE!</v>
      </c>
      <c r="HE187" t="e">
        <f>AND('OTRAS ACCIONES'!J141,"AAAAAH/3rtQ=")</f>
        <v>#VALUE!</v>
      </c>
      <c r="HF187" t="e">
        <f>AND('OTRAS ACCIONES'!K141,"AAAAAH/3rtU=")</f>
        <v>#VALUE!</v>
      </c>
      <c r="HG187" t="e">
        <f>AND('OTRAS ACCIONES'!L141,"AAAAAH/3rtY=")</f>
        <v>#VALUE!</v>
      </c>
      <c r="HH187" t="e">
        <f>AND('OTRAS ACCIONES'!M141,"AAAAAH/3rtc=")</f>
        <v>#VALUE!</v>
      </c>
      <c r="HI187" t="e">
        <f>AND('OTRAS ACCIONES'!N141,"AAAAAH/3rtg=")</f>
        <v>#VALUE!</v>
      </c>
      <c r="HJ187" t="e">
        <f>AND('OTRAS ACCIONES'!O141,"AAAAAH/3rtk=")</f>
        <v>#VALUE!</v>
      </c>
      <c r="HK187" t="e">
        <f>AND('OTRAS ACCIONES'!P141,"AAAAAH/3rto=")</f>
        <v>#VALUE!</v>
      </c>
      <c r="HL187" t="e">
        <f>AND('OTRAS ACCIONES'!Q141,"AAAAAH/3rts=")</f>
        <v>#VALUE!</v>
      </c>
      <c r="HM187" t="e">
        <f>AND('OTRAS ACCIONES'!R141,"AAAAAH/3rtw=")</f>
        <v>#VALUE!</v>
      </c>
      <c r="HN187">
        <f>IF('OTRAS ACCIONES'!142:142,"AAAAAH/3rt0=",0)</f>
        <v>0</v>
      </c>
      <c r="HO187" t="e">
        <f>AND('OTRAS ACCIONES'!B142,"AAAAAH/3rt4=")</f>
        <v>#VALUE!</v>
      </c>
      <c r="HP187" t="e">
        <f>AND('OTRAS ACCIONES'!C142,"AAAAAH/3rt8=")</f>
        <v>#VALUE!</v>
      </c>
      <c r="HQ187" t="e">
        <f>AND('OTRAS ACCIONES'!D142,"AAAAAH/3ruA=")</f>
        <v>#VALUE!</v>
      </c>
      <c r="HR187" t="e">
        <f>AND('OTRAS ACCIONES'!E142,"AAAAAH/3ruE=")</f>
        <v>#VALUE!</v>
      </c>
      <c r="HS187" t="e">
        <f>AND('OTRAS ACCIONES'!F142,"AAAAAH/3ruI=")</f>
        <v>#VALUE!</v>
      </c>
      <c r="HT187" t="e">
        <f>AND('OTRAS ACCIONES'!G142,"AAAAAH/3ruM=")</f>
        <v>#VALUE!</v>
      </c>
      <c r="HU187" t="e">
        <f>AND('OTRAS ACCIONES'!H142,"AAAAAH/3ruQ=")</f>
        <v>#VALUE!</v>
      </c>
      <c r="HV187" t="e">
        <f>AND('OTRAS ACCIONES'!I142,"AAAAAH/3ruU=")</f>
        <v>#VALUE!</v>
      </c>
      <c r="HW187" t="e">
        <f>AND('OTRAS ACCIONES'!J142,"AAAAAH/3ruY=")</f>
        <v>#VALUE!</v>
      </c>
      <c r="HX187" t="e">
        <f>AND('OTRAS ACCIONES'!K142,"AAAAAH/3ruc=")</f>
        <v>#VALUE!</v>
      </c>
      <c r="HY187" t="e">
        <f>AND('OTRAS ACCIONES'!L142,"AAAAAH/3rug=")</f>
        <v>#VALUE!</v>
      </c>
      <c r="HZ187" t="e">
        <f>AND('OTRAS ACCIONES'!M142,"AAAAAH/3ruk=")</f>
        <v>#VALUE!</v>
      </c>
      <c r="IA187" t="e">
        <f>AND('OTRAS ACCIONES'!N142,"AAAAAH/3ruo=")</f>
        <v>#VALUE!</v>
      </c>
      <c r="IB187" t="e">
        <f>AND('OTRAS ACCIONES'!O142,"AAAAAH/3rus=")</f>
        <v>#VALUE!</v>
      </c>
      <c r="IC187" t="e">
        <f>AND('OTRAS ACCIONES'!P142,"AAAAAH/3ruw=")</f>
        <v>#VALUE!</v>
      </c>
      <c r="ID187" t="e">
        <f>AND('OTRAS ACCIONES'!Q142,"AAAAAH/3ru0=")</f>
        <v>#VALUE!</v>
      </c>
      <c r="IE187" t="e">
        <f>AND('OTRAS ACCIONES'!R142,"AAAAAH/3ru4=")</f>
        <v>#VALUE!</v>
      </c>
      <c r="IF187">
        <f>IF('OTRAS ACCIONES'!143:143,"AAAAAH/3ru8=",0)</f>
        <v>0</v>
      </c>
      <c r="IG187" t="e">
        <f>AND('OTRAS ACCIONES'!B143,"AAAAAH/3rvA=")</f>
        <v>#VALUE!</v>
      </c>
      <c r="IH187" t="e">
        <f>AND('OTRAS ACCIONES'!C143,"AAAAAH/3rvE=")</f>
        <v>#VALUE!</v>
      </c>
      <c r="II187" t="e">
        <f>AND('OTRAS ACCIONES'!D143,"AAAAAH/3rvI=")</f>
        <v>#VALUE!</v>
      </c>
      <c r="IJ187" t="e">
        <f>AND('OTRAS ACCIONES'!E143,"AAAAAH/3rvM=")</f>
        <v>#VALUE!</v>
      </c>
      <c r="IK187" t="e">
        <f>AND('OTRAS ACCIONES'!F143,"AAAAAH/3rvQ=")</f>
        <v>#VALUE!</v>
      </c>
      <c r="IL187" t="e">
        <f>AND('OTRAS ACCIONES'!G143,"AAAAAH/3rvU=")</f>
        <v>#VALUE!</v>
      </c>
      <c r="IM187" t="e">
        <f>AND('OTRAS ACCIONES'!H143,"AAAAAH/3rvY=")</f>
        <v>#VALUE!</v>
      </c>
      <c r="IN187" t="e">
        <f>AND('OTRAS ACCIONES'!I143,"AAAAAH/3rvc=")</f>
        <v>#VALUE!</v>
      </c>
      <c r="IO187" t="e">
        <f>AND('OTRAS ACCIONES'!J143,"AAAAAH/3rvg=")</f>
        <v>#VALUE!</v>
      </c>
      <c r="IP187" t="e">
        <f>AND('OTRAS ACCIONES'!K143,"AAAAAH/3rvk=")</f>
        <v>#VALUE!</v>
      </c>
      <c r="IQ187" t="e">
        <f>AND('OTRAS ACCIONES'!L143,"AAAAAH/3rvo=")</f>
        <v>#VALUE!</v>
      </c>
      <c r="IR187" t="e">
        <f>AND('OTRAS ACCIONES'!M143,"AAAAAH/3rvs=")</f>
        <v>#VALUE!</v>
      </c>
      <c r="IS187" t="e">
        <f>AND('OTRAS ACCIONES'!N143,"AAAAAH/3rvw=")</f>
        <v>#VALUE!</v>
      </c>
      <c r="IT187" t="e">
        <f>AND('OTRAS ACCIONES'!O143,"AAAAAH/3rv0=")</f>
        <v>#VALUE!</v>
      </c>
      <c r="IU187" t="e">
        <f>AND('OTRAS ACCIONES'!P143,"AAAAAH/3rv4=")</f>
        <v>#VALUE!</v>
      </c>
      <c r="IV187" t="e">
        <f>AND('OTRAS ACCIONES'!Q143,"AAAAAH/3rv8=")</f>
        <v>#VALUE!</v>
      </c>
    </row>
    <row r="188" spans="1:256" x14ac:dyDescent="0.2">
      <c r="A188" t="e">
        <f>AND('OTRAS ACCIONES'!R143,"AAAAAHzf/QA=")</f>
        <v>#VALUE!</v>
      </c>
      <c r="B188">
        <f>IF('OTRAS ACCIONES'!144:144,"AAAAAHzf/QE=",0)</f>
        <v>0</v>
      </c>
      <c r="C188" t="e">
        <f>AND('OTRAS ACCIONES'!B144,"AAAAAHzf/QI=")</f>
        <v>#VALUE!</v>
      </c>
      <c r="D188" t="e">
        <f>AND('OTRAS ACCIONES'!C144,"AAAAAHzf/QM=")</f>
        <v>#VALUE!</v>
      </c>
      <c r="E188" t="e">
        <f>AND('OTRAS ACCIONES'!D144,"AAAAAHzf/QQ=")</f>
        <v>#VALUE!</v>
      </c>
      <c r="F188" t="e">
        <f>AND('OTRAS ACCIONES'!E144,"AAAAAHzf/QU=")</f>
        <v>#VALUE!</v>
      </c>
      <c r="G188" t="e">
        <f>AND('OTRAS ACCIONES'!F144,"AAAAAHzf/QY=")</f>
        <v>#VALUE!</v>
      </c>
      <c r="H188" t="e">
        <f>AND('OTRAS ACCIONES'!G144,"AAAAAHzf/Qc=")</f>
        <v>#VALUE!</v>
      </c>
      <c r="I188" t="e">
        <f>AND('OTRAS ACCIONES'!H144,"AAAAAHzf/Qg=")</f>
        <v>#VALUE!</v>
      </c>
      <c r="J188" t="e">
        <f>AND('OTRAS ACCIONES'!I144,"AAAAAHzf/Qk=")</f>
        <v>#VALUE!</v>
      </c>
      <c r="K188" t="e">
        <f>AND('OTRAS ACCIONES'!J144,"AAAAAHzf/Qo=")</f>
        <v>#VALUE!</v>
      </c>
      <c r="L188" t="e">
        <f>AND('OTRAS ACCIONES'!K144,"AAAAAHzf/Qs=")</f>
        <v>#VALUE!</v>
      </c>
      <c r="M188" t="e">
        <f>AND('OTRAS ACCIONES'!L144,"AAAAAHzf/Qw=")</f>
        <v>#VALUE!</v>
      </c>
      <c r="N188" t="e">
        <f>AND('OTRAS ACCIONES'!M144,"AAAAAHzf/Q0=")</f>
        <v>#VALUE!</v>
      </c>
      <c r="O188" t="e">
        <f>AND('OTRAS ACCIONES'!N144,"AAAAAHzf/Q4=")</f>
        <v>#VALUE!</v>
      </c>
      <c r="P188" t="e">
        <f>AND('OTRAS ACCIONES'!O144,"AAAAAHzf/Q8=")</f>
        <v>#VALUE!</v>
      </c>
      <c r="Q188" t="e">
        <f>AND('OTRAS ACCIONES'!P144,"AAAAAHzf/RA=")</f>
        <v>#VALUE!</v>
      </c>
      <c r="R188" t="e">
        <f>AND('OTRAS ACCIONES'!Q144,"AAAAAHzf/RE=")</f>
        <v>#VALUE!</v>
      </c>
      <c r="S188" t="e">
        <f>AND('OTRAS ACCIONES'!R144,"AAAAAHzf/RI=")</f>
        <v>#VALUE!</v>
      </c>
      <c r="T188">
        <f>IF('OTRAS ACCIONES'!145:145,"AAAAAHzf/RM=",0)</f>
        <v>0</v>
      </c>
      <c r="U188" t="e">
        <f>AND('OTRAS ACCIONES'!B145,"AAAAAHzf/RQ=")</f>
        <v>#VALUE!</v>
      </c>
      <c r="V188" t="e">
        <f>AND('OTRAS ACCIONES'!C145,"AAAAAHzf/RU=")</f>
        <v>#VALUE!</v>
      </c>
      <c r="W188" t="e">
        <f>AND('OTRAS ACCIONES'!D145,"AAAAAHzf/RY=")</f>
        <v>#VALUE!</v>
      </c>
      <c r="X188" t="e">
        <f>AND('OTRAS ACCIONES'!E145,"AAAAAHzf/Rc=")</f>
        <v>#VALUE!</v>
      </c>
      <c r="Y188" t="e">
        <f>AND('OTRAS ACCIONES'!F145,"AAAAAHzf/Rg=")</f>
        <v>#VALUE!</v>
      </c>
      <c r="Z188" t="e">
        <f>AND('OTRAS ACCIONES'!G145,"AAAAAHzf/Rk=")</f>
        <v>#VALUE!</v>
      </c>
      <c r="AA188" t="e">
        <f>AND('OTRAS ACCIONES'!H145,"AAAAAHzf/Ro=")</f>
        <v>#VALUE!</v>
      </c>
      <c r="AB188" t="e">
        <f>AND('OTRAS ACCIONES'!I145,"AAAAAHzf/Rs=")</f>
        <v>#VALUE!</v>
      </c>
      <c r="AC188" t="e">
        <f>AND('OTRAS ACCIONES'!J145,"AAAAAHzf/Rw=")</f>
        <v>#VALUE!</v>
      </c>
      <c r="AD188" t="e">
        <f>AND('OTRAS ACCIONES'!K145,"AAAAAHzf/R0=")</f>
        <v>#VALUE!</v>
      </c>
      <c r="AE188" t="e">
        <f>AND('OTRAS ACCIONES'!L145,"AAAAAHzf/R4=")</f>
        <v>#VALUE!</v>
      </c>
      <c r="AF188" t="e">
        <f>AND('OTRAS ACCIONES'!M145,"AAAAAHzf/R8=")</f>
        <v>#VALUE!</v>
      </c>
      <c r="AG188" t="e">
        <f>AND('OTRAS ACCIONES'!N145,"AAAAAHzf/SA=")</f>
        <v>#VALUE!</v>
      </c>
      <c r="AH188" t="e">
        <f>AND('OTRAS ACCIONES'!O145,"AAAAAHzf/SE=")</f>
        <v>#VALUE!</v>
      </c>
      <c r="AI188" t="e">
        <f>AND('OTRAS ACCIONES'!P145,"AAAAAHzf/SI=")</f>
        <v>#VALUE!</v>
      </c>
      <c r="AJ188" t="e">
        <f>AND('OTRAS ACCIONES'!Q145,"AAAAAHzf/SM=")</f>
        <v>#VALUE!</v>
      </c>
      <c r="AK188" t="e">
        <f>AND('OTRAS ACCIONES'!R145,"AAAAAHzf/SQ=")</f>
        <v>#VALUE!</v>
      </c>
      <c r="AL188">
        <f>IF('OTRAS ACCIONES'!146:146,"AAAAAHzf/SU=",0)</f>
        <v>0</v>
      </c>
      <c r="AM188" t="e">
        <f>AND('OTRAS ACCIONES'!B146,"AAAAAHzf/SY=")</f>
        <v>#VALUE!</v>
      </c>
      <c r="AN188" t="e">
        <f>AND('OTRAS ACCIONES'!C146,"AAAAAHzf/Sc=")</f>
        <v>#VALUE!</v>
      </c>
      <c r="AO188" t="e">
        <f>AND('OTRAS ACCIONES'!D146,"AAAAAHzf/Sg=")</f>
        <v>#VALUE!</v>
      </c>
      <c r="AP188" t="e">
        <f>AND('OTRAS ACCIONES'!E146,"AAAAAHzf/Sk=")</f>
        <v>#VALUE!</v>
      </c>
      <c r="AQ188" t="e">
        <f>AND('OTRAS ACCIONES'!F146,"AAAAAHzf/So=")</f>
        <v>#VALUE!</v>
      </c>
      <c r="AR188" t="e">
        <f>AND('OTRAS ACCIONES'!G146,"AAAAAHzf/Ss=")</f>
        <v>#VALUE!</v>
      </c>
      <c r="AS188" t="e">
        <f>AND('OTRAS ACCIONES'!H146,"AAAAAHzf/Sw=")</f>
        <v>#VALUE!</v>
      </c>
      <c r="AT188" t="e">
        <f>AND('OTRAS ACCIONES'!I146,"AAAAAHzf/S0=")</f>
        <v>#VALUE!</v>
      </c>
      <c r="AU188" t="e">
        <f>AND('OTRAS ACCIONES'!J146,"AAAAAHzf/S4=")</f>
        <v>#VALUE!</v>
      </c>
      <c r="AV188" t="e">
        <f>AND('OTRAS ACCIONES'!K146,"AAAAAHzf/S8=")</f>
        <v>#VALUE!</v>
      </c>
      <c r="AW188" t="e">
        <f>AND('OTRAS ACCIONES'!L146,"AAAAAHzf/TA=")</f>
        <v>#VALUE!</v>
      </c>
      <c r="AX188" t="e">
        <f>AND('OTRAS ACCIONES'!M146,"AAAAAHzf/TE=")</f>
        <v>#VALUE!</v>
      </c>
      <c r="AY188" t="e">
        <f>AND('OTRAS ACCIONES'!N146,"AAAAAHzf/TI=")</f>
        <v>#VALUE!</v>
      </c>
      <c r="AZ188" t="e">
        <f>AND('OTRAS ACCIONES'!O146,"AAAAAHzf/TM=")</f>
        <v>#VALUE!</v>
      </c>
      <c r="BA188" t="e">
        <f>AND('OTRAS ACCIONES'!P146,"AAAAAHzf/TQ=")</f>
        <v>#VALUE!</v>
      </c>
      <c r="BB188" t="e">
        <f>AND('OTRAS ACCIONES'!Q146,"AAAAAHzf/TU=")</f>
        <v>#VALUE!</v>
      </c>
      <c r="BC188" t="e">
        <f>AND('OTRAS ACCIONES'!R146,"AAAAAHzf/TY=")</f>
        <v>#VALUE!</v>
      </c>
      <c r="BD188">
        <f>IF('OTRAS ACCIONES'!147:147,"AAAAAHzf/Tc=",0)</f>
        <v>0</v>
      </c>
      <c r="BE188" t="e">
        <f>AND('OTRAS ACCIONES'!B147,"AAAAAHzf/Tg=")</f>
        <v>#VALUE!</v>
      </c>
      <c r="BF188" t="e">
        <f>AND('OTRAS ACCIONES'!C147,"AAAAAHzf/Tk=")</f>
        <v>#VALUE!</v>
      </c>
      <c r="BG188" t="e">
        <f>AND('OTRAS ACCIONES'!D147,"AAAAAHzf/To=")</f>
        <v>#VALUE!</v>
      </c>
      <c r="BH188" t="e">
        <f>AND('OTRAS ACCIONES'!E147,"AAAAAHzf/Ts=")</f>
        <v>#VALUE!</v>
      </c>
      <c r="BI188" t="e">
        <f>AND('OTRAS ACCIONES'!F147,"AAAAAHzf/Tw=")</f>
        <v>#VALUE!</v>
      </c>
      <c r="BJ188" t="e">
        <f>AND('OTRAS ACCIONES'!G147,"AAAAAHzf/T0=")</f>
        <v>#VALUE!</v>
      </c>
      <c r="BK188" t="e">
        <f>AND('OTRAS ACCIONES'!H147,"AAAAAHzf/T4=")</f>
        <v>#VALUE!</v>
      </c>
      <c r="BL188" t="e">
        <f>AND('OTRAS ACCIONES'!I147,"AAAAAHzf/T8=")</f>
        <v>#VALUE!</v>
      </c>
      <c r="BM188" t="e">
        <f>AND('OTRAS ACCIONES'!J147,"AAAAAHzf/UA=")</f>
        <v>#VALUE!</v>
      </c>
      <c r="BN188" t="e">
        <f>AND('OTRAS ACCIONES'!K147,"AAAAAHzf/UE=")</f>
        <v>#VALUE!</v>
      </c>
      <c r="BO188" t="e">
        <f>AND('OTRAS ACCIONES'!L147,"AAAAAHzf/UI=")</f>
        <v>#VALUE!</v>
      </c>
      <c r="BP188" t="e">
        <f>AND('OTRAS ACCIONES'!M147,"AAAAAHzf/UM=")</f>
        <v>#VALUE!</v>
      </c>
      <c r="BQ188" t="e">
        <f>AND('OTRAS ACCIONES'!N147,"AAAAAHzf/UQ=")</f>
        <v>#VALUE!</v>
      </c>
      <c r="BR188" t="e">
        <f>AND('OTRAS ACCIONES'!O147,"AAAAAHzf/UU=")</f>
        <v>#VALUE!</v>
      </c>
      <c r="BS188" t="e">
        <f>AND('OTRAS ACCIONES'!P147,"AAAAAHzf/UY=")</f>
        <v>#VALUE!</v>
      </c>
      <c r="BT188" t="e">
        <f>AND('OTRAS ACCIONES'!Q147,"AAAAAHzf/Uc=")</f>
        <v>#VALUE!</v>
      </c>
      <c r="BU188" t="e">
        <f>AND('OTRAS ACCIONES'!R147,"AAAAAHzf/Ug=")</f>
        <v>#VALUE!</v>
      </c>
      <c r="BV188">
        <f>IF('OTRAS ACCIONES'!148:148,"AAAAAHzf/Uk=",0)</f>
        <v>0</v>
      </c>
      <c r="BW188" t="e">
        <f>AND('OTRAS ACCIONES'!B148,"AAAAAHzf/Uo=")</f>
        <v>#VALUE!</v>
      </c>
      <c r="BX188" t="e">
        <f>AND('OTRAS ACCIONES'!C148,"AAAAAHzf/Us=")</f>
        <v>#VALUE!</v>
      </c>
      <c r="BY188" t="e">
        <f>AND('OTRAS ACCIONES'!D148,"AAAAAHzf/Uw=")</f>
        <v>#VALUE!</v>
      </c>
      <c r="BZ188" t="e">
        <f>AND('OTRAS ACCIONES'!E148,"AAAAAHzf/U0=")</f>
        <v>#VALUE!</v>
      </c>
      <c r="CA188" t="e">
        <f>AND('OTRAS ACCIONES'!F148,"AAAAAHzf/U4=")</f>
        <v>#VALUE!</v>
      </c>
      <c r="CB188" t="e">
        <f>AND('OTRAS ACCIONES'!G148,"AAAAAHzf/U8=")</f>
        <v>#VALUE!</v>
      </c>
      <c r="CC188" t="e">
        <f>AND('OTRAS ACCIONES'!H148,"AAAAAHzf/VA=")</f>
        <v>#VALUE!</v>
      </c>
      <c r="CD188" t="e">
        <f>AND('OTRAS ACCIONES'!I148,"AAAAAHzf/VE=")</f>
        <v>#VALUE!</v>
      </c>
      <c r="CE188" t="e">
        <f>AND('OTRAS ACCIONES'!J148,"AAAAAHzf/VI=")</f>
        <v>#VALUE!</v>
      </c>
      <c r="CF188" t="e">
        <f>AND('OTRAS ACCIONES'!K148,"AAAAAHzf/VM=")</f>
        <v>#VALUE!</v>
      </c>
      <c r="CG188" t="e">
        <f>AND('OTRAS ACCIONES'!L148,"AAAAAHzf/VQ=")</f>
        <v>#VALUE!</v>
      </c>
      <c r="CH188" t="e">
        <f>AND('OTRAS ACCIONES'!M148,"AAAAAHzf/VU=")</f>
        <v>#VALUE!</v>
      </c>
      <c r="CI188" t="e">
        <f>AND('OTRAS ACCIONES'!N148,"AAAAAHzf/VY=")</f>
        <v>#VALUE!</v>
      </c>
      <c r="CJ188" t="e">
        <f>AND('OTRAS ACCIONES'!O148,"AAAAAHzf/Vc=")</f>
        <v>#VALUE!</v>
      </c>
      <c r="CK188" t="e">
        <f>AND('OTRAS ACCIONES'!P148,"AAAAAHzf/Vg=")</f>
        <v>#VALUE!</v>
      </c>
      <c r="CL188" t="e">
        <f>AND('OTRAS ACCIONES'!Q148,"AAAAAHzf/Vk=")</f>
        <v>#VALUE!</v>
      </c>
      <c r="CM188" t="e">
        <f>AND('OTRAS ACCIONES'!R148,"AAAAAHzf/Vo=")</f>
        <v>#VALUE!</v>
      </c>
      <c r="CN188">
        <f>IF('OTRAS ACCIONES'!149:149,"AAAAAHzf/Vs=",0)</f>
        <v>0</v>
      </c>
      <c r="CO188" t="e">
        <f>AND('OTRAS ACCIONES'!B149,"AAAAAHzf/Vw=")</f>
        <v>#VALUE!</v>
      </c>
      <c r="CP188" t="e">
        <f>AND('OTRAS ACCIONES'!C149,"AAAAAHzf/V0=")</f>
        <v>#VALUE!</v>
      </c>
      <c r="CQ188" t="e">
        <f>AND('OTRAS ACCIONES'!D149,"AAAAAHzf/V4=")</f>
        <v>#VALUE!</v>
      </c>
      <c r="CR188" t="e">
        <f>AND('OTRAS ACCIONES'!E149,"AAAAAHzf/V8=")</f>
        <v>#VALUE!</v>
      </c>
      <c r="CS188" t="e">
        <f>AND('OTRAS ACCIONES'!F149,"AAAAAHzf/WA=")</f>
        <v>#VALUE!</v>
      </c>
      <c r="CT188" t="e">
        <f>AND('OTRAS ACCIONES'!G149,"AAAAAHzf/WE=")</f>
        <v>#VALUE!</v>
      </c>
      <c r="CU188" t="e">
        <f>AND('OTRAS ACCIONES'!H149,"AAAAAHzf/WI=")</f>
        <v>#VALUE!</v>
      </c>
      <c r="CV188" t="e">
        <f>AND('OTRAS ACCIONES'!I149,"AAAAAHzf/WM=")</f>
        <v>#VALUE!</v>
      </c>
      <c r="CW188" t="e">
        <f>AND('OTRAS ACCIONES'!J149,"AAAAAHzf/WQ=")</f>
        <v>#VALUE!</v>
      </c>
      <c r="CX188" t="e">
        <f>AND('OTRAS ACCIONES'!K149,"AAAAAHzf/WU=")</f>
        <v>#VALUE!</v>
      </c>
      <c r="CY188" t="e">
        <f>AND('OTRAS ACCIONES'!L149,"AAAAAHzf/WY=")</f>
        <v>#VALUE!</v>
      </c>
      <c r="CZ188" t="e">
        <f>AND('OTRAS ACCIONES'!M149,"AAAAAHzf/Wc=")</f>
        <v>#VALUE!</v>
      </c>
      <c r="DA188" t="e">
        <f>AND('OTRAS ACCIONES'!N149,"AAAAAHzf/Wg=")</f>
        <v>#VALUE!</v>
      </c>
      <c r="DB188" t="e">
        <f>AND('OTRAS ACCIONES'!O149,"AAAAAHzf/Wk=")</f>
        <v>#VALUE!</v>
      </c>
      <c r="DC188" t="e">
        <f>AND('OTRAS ACCIONES'!P149,"AAAAAHzf/Wo=")</f>
        <v>#VALUE!</v>
      </c>
      <c r="DD188" t="e">
        <f>AND('OTRAS ACCIONES'!Q149,"AAAAAHzf/Ws=")</f>
        <v>#VALUE!</v>
      </c>
      <c r="DE188" t="e">
        <f>AND('OTRAS ACCIONES'!R149,"AAAAAHzf/Ww=")</f>
        <v>#VALUE!</v>
      </c>
      <c r="DF188">
        <f>IF('OTRAS ACCIONES'!150:150,"AAAAAHzf/W0=",0)</f>
        <v>0</v>
      </c>
      <c r="DG188" t="e">
        <f>AND('OTRAS ACCIONES'!B150,"AAAAAHzf/W4=")</f>
        <v>#VALUE!</v>
      </c>
      <c r="DH188" t="e">
        <f>AND('OTRAS ACCIONES'!C150,"AAAAAHzf/W8=")</f>
        <v>#VALUE!</v>
      </c>
      <c r="DI188" t="e">
        <f>AND('OTRAS ACCIONES'!D150,"AAAAAHzf/XA=")</f>
        <v>#VALUE!</v>
      </c>
      <c r="DJ188" t="e">
        <f>AND('OTRAS ACCIONES'!E150,"AAAAAHzf/XE=")</f>
        <v>#VALUE!</v>
      </c>
      <c r="DK188" t="e">
        <f>AND('OTRAS ACCIONES'!F150,"AAAAAHzf/XI=")</f>
        <v>#VALUE!</v>
      </c>
      <c r="DL188" t="e">
        <f>AND('OTRAS ACCIONES'!G150,"AAAAAHzf/XM=")</f>
        <v>#VALUE!</v>
      </c>
      <c r="DM188" t="e">
        <f>AND('OTRAS ACCIONES'!H150,"AAAAAHzf/XQ=")</f>
        <v>#VALUE!</v>
      </c>
      <c r="DN188" t="e">
        <f>AND('OTRAS ACCIONES'!I150,"AAAAAHzf/XU=")</f>
        <v>#VALUE!</v>
      </c>
      <c r="DO188" t="e">
        <f>AND('OTRAS ACCIONES'!J150,"AAAAAHzf/XY=")</f>
        <v>#VALUE!</v>
      </c>
      <c r="DP188" t="e">
        <f>AND('OTRAS ACCIONES'!K150,"AAAAAHzf/Xc=")</f>
        <v>#VALUE!</v>
      </c>
      <c r="DQ188" t="e">
        <f>AND('OTRAS ACCIONES'!L150,"AAAAAHzf/Xg=")</f>
        <v>#VALUE!</v>
      </c>
      <c r="DR188" t="e">
        <f>AND('OTRAS ACCIONES'!M150,"AAAAAHzf/Xk=")</f>
        <v>#VALUE!</v>
      </c>
      <c r="DS188" t="e">
        <f>AND('OTRAS ACCIONES'!N150,"AAAAAHzf/Xo=")</f>
        <v>#VALUE!</v>
      </c>
      <c r="DT188" t="e">
        <f>AND('OTRAS ACCIONES'!O150,"AAAAAHzf/Xs=")</f>
        <v>#VALUE!</v>
      </c>
      <c r="DU188" t="e">
        <f>AND('OTRAS ACCIONES'!P150,"AAAAAHzf/Xw=")</f>
        <v>#VALUE!</v>
      </c>
      <c r="DV188" t="e">
        <f>AND('OTRAS ACCIONES'!Q150,"AAAAAHzf/X0=")</f>
        <v>#VALUE!</v>
      </c>
      <c r="DW188" t="e">
        <f>AND('OTRAS ACCIONES'!R150,"AAAAAHzf/X4=")</f>
        <v>#VALUE!</v>
      </c>
      <c r="DX188">
        <f>IF('OTRAS ACCIONES'!151:151,"AAAAAHzf/X8=",0)</f>
        <v>0</v>
      </c>
      <c r="DY188" t="e">
        <f>AND('OTRAS ACCIONES'!B151,"AAAAAHzf/YA=")</f>
        <v>#VALUE!</v>
      </c>
      <c r="DZ188" t="e">
        <f>AND('OTRAS ACCIONES'!C151,"AAAAAHzf/YE=")</f>
        <v>#VALUE!</v>
      </c>
      <c r="EA188" t="e">
        <f>AND('OTRAS ACCIONES'!D151,"AAAAAHzf/YI=")</f>
        <v>#VALUE!</v>
      </c>
      <c r="EB188" t="e">
        <f>AND('OTRAS ACCIONES'!E151,"AAAAAHzf/YM=")</f>
        <v>#VALUE!</v>
      </c>
      <c r="EC188" t="e">
        <f>AND('OTRAS ACCIONES'!F151,"AAAAAHzf/YQ=")</f>
        <v>#VALUE!</v>
      </c>
      <c r="ED188" t="e">
        <f>AND('OTRAS ACCIONES'!G151,"AAAAAHzf/YU=")</f>
        <v>#VALUE!</v>
      </c>
      <c r="EE188" t="e">
        <f>AND('OTRAS ACCIONES'!H151,"AAAAAHzf/YY=")</f>
        <v>#VALUE!</v>
      </c>
      <c r="EF188" t="e">
        <f>AND('OTRAS ACCIONES'!I151,"AAAAAHzf/Yc=")</f>
        <v>#VALUE!</v>
      </c>
      <c r="EG188" t="e">
        <f>AND('OTRAS ACCIONES'!J151,"AAAAAHzf/Yg=")</f>
        <v>#VALUE!</v>
      </c>
      <c r="EH188" t="e">
        <f>AND('OTRAS ACCIONES'!K151,"AAAAAHzf/Yk=")</f>
        <v>#VALUE!</v>
      </c>
      <c r="EI188" t="e">
        <f>AND('OTRAS ACCIONES'!L151,"AAAAAHzf/Yo=")</f>
        <v>#VALUE!</v>
      </c>
      <c r="EJ188" t="e">
        <f>AND('OTRAS ACCIONES'!M151,"AAAAAHzf/Ys=")</f>
        <v>#VALUE!</v>
      </c>
      <c r="EK188" t="e">
        <f>AND('OTRAS ACCIONES'!N151,"AAAAAHzf/Yw=")</f>
        <v>#VALUE!</v>
      </c>
      <c r="EL188" t="e">
        <f>AND('OTRAS ACCIONES'!O151,"AAAAAHzf/Y0=")</f>
        <v>#VALUE!</v>
      </c>
      <c r="EM188" t="e">
        <f>AND('OTRAS ACCIONES'!P151,"AAAAAHzf/Y4=")</f>
        <v>#VALUE!</v>
      </c>
      <c r="EN188" t="e">
        <f>AND('OTRAS ACCIONES'!Q151,"AAAAAHzf/Y8=")</f>
        <v>#VALUE!</v>
      </c>
      <c r="EO188" t="e">
        <f>AND('OTRAS ACCIONES'!R151,"AAAAAHzf/ZA=")</f>
        <v>#VALUE!</v>
      </c>
      <c r="EP188">
        <f>IF('OTRAS ACCIONES'!152:152,"AAAAAHzf/ZE=",0)</f>
        <v>0</v>
      </c>
      <c r="EQ188" t="e">
        <f>AND('OTRAS ACCIONES'!B152,"AAAAAHzf/ZI=")</f>
        <v>#VALUE!</v>
      </c>
      <c r="ER188" t="e">
        <f>AND('OTRAS ACCIONES'!C152,"AAAAAHzf/ZM=")</f>
        <v>#VALUE!</v>
      </c>
      <c r="ES188" t="e">
        <f>AND('OTRAS ACCIONES'!D152,"AAAAAHzf/ZQ=")</f>
        <v>#VALUE!</v>
      </c>
      <c r="ET188" t="e">
        <f>AND('OTRAS ACCIONES'!E152,"AAAAAHzf/ZU=")</f>
        <v>#VALUE!</v>
      </c>
      <c r="EU188" t="e">
        <f>AND('OTRAS ACCIONES'!F152,"AAAAAHzf/ZY=")</f>
        <v>#VALUE!</v>
      </c>
      <c r="EV188" t="e">
        <f>AND('OTRAS ACCIONES'!G152,"AAAAAHzf/Zc=")</f>
        <v>#VALUE!</v>
      </c>
      <c r="EW188" t="e">
        <f>AND('OTRAS ACCIONES'!H152,"AAAAAHzf/Zg=")</f>
        <v>#VALUE!</v>
      </c>
      <c r="EX188" t="e">
        <f>AND('OTRAS ACCIONES'!I152,"AAAAAHzf/Zk=")</f>
        <v>#VALUE!</v>
      </c>
      <c r="EY188" t="e">
        <f>AND('OTRAS ACCIONES'!J152,"AAAAAHzf/Zo=")</f>
        <v>#VALUE!</v>
      </c>
      <c r="EZ188" t="e">
        <f>AND('OTRAS ACCIONES'!K152,"AAAAAHzf/Zs=")</f>
        <v>#VALUE!</v>
      </c>
      <c r="FA188" t="e">
        <f>AND('OTRAS ACCIONES'!L152,"AAAAAHzf/Zw=")</f>
        <v>#VALUE!</v>
      </c>
      <c r="FB188" t="e">
        <f>AND('OTRAS ACCIONES'!M152,"AAAAAHzf/Z0=")</f>
        <v>#VALUE!</v>
      </c>
      <c r="FC188" t="e">
        <f>AND('OTRAS ACCIONES'!N152,"AAAAAHzf/Z4=")</f>
        <v>#VALUE!</v>
      </c>
      <c r="FD188" t="e">
        <f>AND('OTRAS ACCIONES'!O152,"AAAAAHzf/Z8=")</f>
        <v>#VALUE!</v>
      </c>
      <c r="FE188" t="e">
        <f>AND('OTRAS ACCIONES'!P152,"AAAAAHzf/aA=")</f>
        <v>#VALUE!</v>
      </c>
      <c r="FF188" t="e">
        <f>AND('OTRAS ACCIONES'!Q152,"AAAAAHzf/aE=")</f>
        <v>#VALUE!</v>
      </c>
      <c r="FG188" t="e">
        <f>AND('OTRAS ACCIONES'!R152,"AAAAAHzf/aI=")</f>
        <v>#VALUE!</v>
      </c>
      <c r="FH188">
        <f>IF('OTRAS ACCIONES'!153:153,"AAAAAHzf/aM=",0)</f>
        <v>0</v>
      </c>
      <c r="FI188" t="e">
        <f>AND('OTRAS ACCIONES'!B153,"AAAAAHzf/aQ=")</f>
        <v>#VALUE!</v>
      </c>
      <c r="FJ188" t="e">
        <f>AND('OTRAS ACCIONES'!C153,"AAAAAHzf/aU=")</f>
        <v>#VALUE!</v>
      </c>
      <c r="FK188" t="e">
        <f>AND('OTRAS ACCIONES'!D153,"AAAAAHzf/aY=")</f>
        <v>#VALUE!</v>
      </c>
      <c r="FL188" t="e">
        <f>AND('OTRAS ACCIONES'!E153,"AAAAAHzf/ac=")</f>
        <v>#VALUE!</v>
      </c>
      <c r="FM188" t="e">
        <f>AND('OTRAS ACCIONES'!F153,"AAAAAHzf/ag=")</f>
        <v>#VALUE!</v>
      </c>
      <c r="FN188" t="e">
        <f>AND('OTRAS ACCIONES'!G153,"AAAAAHzf/ak=")</f>
        <v>#VALUE!</v>
      </c>
      <c r="FO188" t="e">
        <f>AND('OTRAS ACCIONES'!H153,"AAAAAHzf/ao=")</f>
        <v>#VALUE!</v>
      </c>
      <c r="FP188" t="e">
        <f>AND('OTRAS ACCIONES'!I153,"AAAAAHzf/as=")</f>
        <v>#VALUE!</v>
      </c>
      <c r="FQ188" t="e">
        <f>AND('OTRAS ACCIONES'!J153,"AAAAAHzf/aw=")</f>
        <v>#VALUE!</v>
      </c>
      <c r="FR188" t="e">
        <f>AND('OTRAS ACCIONES'!K153,"AAAAAHzf/a0=")</f>
        <v>#VALUE!</v>
      </c>
      <c r="FS188" t="e">
        <f>AND('OTRAS ACCIONES'!L153,"AAAAAHzf/a4=")</f>
        <v>#VALUE!</v>
      </c>
      <c r="FT188" t="e">
        <f>AND('OTRAS ACCIONES'!M153,"AAAAAHzf/a8=")</f>
        <v>#VALUE!</v>
      </c>
      <c r="FU188" t="e">
        <f>AND('OTRAS ACCIONES'!N153,"AAAAAHzf/bA=")</f>
        <v>#VALUE!</v>
      </c>
      <c r="FV188" t="e">
        <f>AND('OTRAS ACCIONES'!O153,"AAAAAHzf/bE=")</f>
        <v>#VALUE!</v>
      </c>
      <c r="FW188" t="e">
        <f>AND('OTRAS ACCIONES'!P153,"AAAAAHzf/bI=")</f>
        <v>#VALUE!</v>
      </c>
      <c r="FX188" t="e">
        <f>AND('OTRAS ACCIONES'!Q153,"AAAAAHzf/bM=")</f>
        <v>#VALUE!</v>
      </c>
      <c r="FY188" t="e">
        <f>AND('OTRAS ACCIONES'!R153,"AAAAAHzf/bQ=")</f>
        <v>#VALUE!</v>
      </c>
      <c r="FZ188">
        <f>IF('OTRAS ACCIONES'!154:154,"AAAAAHzf/bU=",0)</f>
        <v>0</v>
      </c>
      <c r="GA188" t="e">
        <f>AND('OTRAS ACCIONES'!B154,"AAAAAHzf/bY=")</f>
        <v>#VALUE!</v>
      </c>
      <c r="GB188" t="e">
        <f>AND('OTRAS ACCIONES'!C154,"AAAAAHzf/bc=")</f>
        <v>#VALUE!</v>
      </c>
      <c r="GC188" t="e">
        <f>AND('OTRAS ACCIONES'!D154,"AAAAAHzf/bg=")</f>
        <v>#VALUE!</v>
      </c>
      <c r="GD188" t="e">
        <f>AND('OTRAS ACCIONES'!E154,"AAAAAHzf/bk=")</f>
        <v>#VALUE!</v>
      </c>
      <c r="GE188" t="e">
        <f>AND('OTRAS ACCIONES'!F154,"AAAAAHzf/bo=")</f>
        <v>#VALUE!</v>
      </c>
      <c r="GF188" t="e">
        <f>AND('OTRAS ACCIONES'!G154,"AAAAAHzf/bs=")</f>
        <v>#VALUE!</v>
      </c>
      <c r="GG188" t="e">
        <f>AND('OTRAS ACCIONES'!H154,"AAAAAHzf/bw=")</f>
        <v>#VALUE!</v>
      </c>
      <c r="GH188" t="e">
        <f>AND('OTRAS ACCIONES'!I154,"AAAAAHzf/b0=")</f>
        <v>#VALUE!</v>
      </c>
      <c r="GI188" t="e">
        <f>AND('OTRAS ACCIONES'!J154,"AAAAAHzf/b4=")</f>
        <v>#VALUE!</v>
      </c>
      <c r="GJ188" t="e">
        <f>AND('OTRAS ACCIONES'!K154,"AAAAAHzf/b8=")</f>
        <v>#VALUE!</v>
      </c>
      <c r="GK188" t="e">
        <f>AND('OTRAS ACCIONES'!L154,"AAAAAHzf/cA=")</f>
        <v>#VALUE!</v>
      </c>
      <c r="GL188" t="e">
        <f>AND('OTRAS ACCIONES'!M154,"AAAAAHzf/cE=")</f>
        <v>#VALUE!</v>
      </c>
      <c r="GM188" t="e">
        <f>AND('OTRAS ACCIONES'!N154,"AAAAAHzf/cI=")</f>
        <v>#VALUE!</v>
      </c>
      <c r="GN188" t="e">
        <f>AND('OTRAS ACCIONES'!O154,"AAAAAHzf/cM=")</f>
        <v>#VALUE!</v>
      </c>
      <c r="GO188" t="e">
        <f>AND('OTRAS ACCIONES'!P154,"AAAAAHzf/cQ=")</f>
        <v>#VALUE!</v>
      </c>
      <c r="GP188" t="e">
        <f>AND('OTRAS ACCIONES'!Q154,"AAAAAHzf/cU=")</f>
        <v>#VALUE!</v>
      </c>
      <c r="GQ188" t="e">
        <f>AND('OTRAS ACCIONES'!R154,"AAAAAHzf/cY=")</f>
        <v>#VALUE!</v>
      </c>
      <c r="GR188">
        <f>IF('OTRAS ACCIONES'!155:155,"AAAAAHzf/cc=",0)</f>
        <v>0</v>
      </c>
      <c r="GS188" t="e">
        <f>AND('OTRAS ACCIONES'!B155,"AAAAAHzf/cg=")</f>
        <v>#VALUE!</v>
      </c>
      <c r="GT188" t="e">
        <f>AND('OTRAS ACCIONES'!C155,"AAAAAHzf/ck=")</f>
        <v>#VALUE!</v>
      </c>
      <c r="GU188" t="e">
        <f>AND('OTRAS ACCIONES'!D155,"AAAAAHzf/co=")</f>
        <v>#VALUE!</v>
      </c>
      <c r="GV188" t="e">
        <f>AND('OTRAS ACCIONES'!E155,"AAAAAHzf/cs=")</f>
        <v>#VALUE!</v>
      </c>
      <c r="GW188" t="e">
        <f>AND('OTRAS ACCIONES'!F155,"AAAAAHzf/cw=")</f>
        <v>#VALUE!</v>
      </c>
      <c r="GX188" t="e">
        <f>AND('OTRAS ACCIONES'!G155,"AAAAAHzf/c0=")</f>
        <v>#VALUE!</v>
      </c>
      <c r="GY188" t="e">
        <f>AND('OTRAS ACCIONES'!H155,"AAAAAHzf/c4=")</f>
        <v>#VALUE!</v>
      </c>
      <c r="GZ188" t="e">
        <f>AND('OTRAS ACCIONES'!I155,"AAAAAHzf/c8=")</f>
        <v>#VALUE!</v>
      </c>
      <c r="HA188" t="e">
        <f>AND('OTRAS ACCIONES'!J155,"AAAAAHzf/dA=")</f>
        <v>#VALUE!</v>
      </c>
      <c r="HB188" t="e">
        <f>AND('OTRAS ACCIONES'!K155,"AAAAAHzf/dE=")</f>
        <v>#VALUE!</v>
      </c>
      <c r="HC188" t="e">
        <f>AND('OTRAS ACCIONES'!L155,"AAAAAHzf/dI=")</f>
        <v>#VALUE!</v>
      </c>
      <c r="HD188" t="e">
        <f>AND('OTRAS ACCIONES'!M155,"AAAAAHzf/dM=")</f>
        <v>#VALUE!</v>
      </c>
      <c r="HE188" t="e">
        <f>AND('OTRAS ACCIONES'!N155,"AAAAAHzf/dQ=")</f>
        <v>#VALUE!</v>
      </c>
      <c r="HF188" t="e">
        <f>AND('OTRAS ACCIONES'!O155,"AAAAAHzf/dU=")</f>
        <v>#VALUE!</v>
      </c>
      <c r="HG188" t="e">
        <f>AND('OTRAS ACCIONES'!P155,"AAAAAHzf/dY=")</f>
        <v>#VALUE!</v>
      </c>
      <c r="HH188" t="e">
        <f>AND('OTRAS ACCIONES'!Q155,"AAAAAHzf/dc=")</f>
        <v>#VALUE!</v>
      </c>
      <c r="HI188" t="e">
        <f>AND('OTRAS ACCIONES'!R155,"AAAAAHzf/dg=")</f>
        <v>#VALUE!</v>
      </c>
      <c r="HJ188">
        <f>IF('OTRAS ACCIONES'!156:156,"AAAAAHzf/dk=",0)</f>
        <v>0</v>
      </c>
      <c r="HK188" t="e">
        <f>AND('OTRAS ACCIONES'!B156,"AAAAAHzf/do=")</f>
        <v>#VALUE!</v>
      </c>
      <c r="HL188" t="e">
        <f>AND('OTRAS ACCIONES'!C156,"AAAAAHzf/ds=")</f>
        <v>#VALUE!</v>
      </c>
      <c r="HM188" t="e">
        <f>AND('OTRAS ACCIONES'!D156,"AAAAAHzf/dw=")</f>
        <v>#VALUE!</v>
      </c>
      <c r="HN188" t="e">
        <f>AND('OTRAS ACCIONES'!E156,"AAAAAHzf/d0=")</f>
        <v>#VALUE!</v>
      </c>
      <c r="HO188" t="e">
        <f>AND('OTRAS ACCIONES'!F156,"AAAAAHzf/d4=")</f>
        <v>#VALUE!</v>
      </c>
      <c r="HP188" t="e">
        <f>AND('OTRAS ACCIONES'!G156,"AAAAAHzf/d8=")</f>
        <v>#VALUE!</v>
      </c>
      <c r="HQ188" t="e">
        <f>AND('OTRAS ACCIONES'!H156,"AAAAAHzf/eA=")</f>
        <v>#VALUE!</v>
      </c>
      <c r="HR188" t="e">
        <f>AND('OTRAS ACCIONES'!I156,"AAAAAHzf/eE=")</f>
        <v>#VALUE!</v>
      </c>
      <c r="HS188" t="e">
        <f>AND('OTRAS ACCIONES'!J156,"AAAAAHzf/eI=")</f>
        <v>#VALUE!</v>
      </c>
      <c r="HT188" t="e">
        <f>AND('OTRAS ACCIONES'!K156,"AAAAAHzf/eM=")</f>
        <v>#VALUE!</v>
      </c>
      <c r="HU188" t="e">
        <f>AND('OTRAS ACCIONES'!L156,"AAAAAHzf/eQ=")</f>
        <v>#VALUE!</v>
      </c>
      <c r="HV188" t="e">
        <f>AND('OTRAS ACCIONES'!M156,"AAAAAHzf/eU=")</f>
        <v>#VALUE!</v>
      </c>
      <c r="HW188" t="e">
        <f>AND('OTRAS ACCIONES'!N156,"AAAAAHzf/eY=")</f>
        <v>#VALUE!</v>
      </c>
      <c r="HX188" t="e">
        <f>AND('OTRAS ACCIONES'!O156,"AAAAAHzf/ec=")</f>
        <v>#VALUE!</v>
      </c>
      <c r="HY188" t="e">
        <f>AND('OTRAS ACCIONES'!P156,"AAAAAHzf/eg=")</f>
        <v>#VALUE!</v>
      </c>
      <c r="HZ188" t="e">
        <f>AND('OTRAS ACCIONES'!Q156,"AAAAAHzf/ek=")</f>
        <v>#VALUE!</v>
      </c>
      <c r="IA188" t="e">
        <f>AND('OTRAS ACCIONES'!R156,"AAAAAHzf/eo=")</f>
        <v>#VALUE!</v>
      </c>
      <c r="IB188">
        <f>IF('OTRAS ACCIONES'!157:157,"AAAAAHzf/es=",0)</f>
        <v>0</v>
      </c>
      <c r="IC188" t="e">
        <f>AND('OTRAS ACCIONES'!B157,"AAAAAHzf/ew=")</f>
        <v>#VALUE!</v>
      </c>
      <c r="ID188" t="e">
        <f>AND('OTRAS ACCIONES'!C157,"AAAAAHzf/e0=")</f>
        <v>#VALUE!</v>
      </c>
      <c r="IE188" t="e">
        <f>AND('OTRAS ACCIONES'!D157,"AAAAAHzf/e4=")</f>
        <v>#VALUE!</v>
      </c>
      <c r="IF188" t="e">
        <f>AND('OTRAS ACCIONES'!E157,"AAAAAHzf/e8=")</f>
        <v>#VALUE!</v>
      </c>
      <c r="IG188" t="e">
        <f>AND('OTRAS ACCIONES'!F157,"AAAAAHzf/fA=")</f>
        <v>#VALUE!</v>
      </c>
      <c r="IH188" t="e">
        <f>AND('OTRAS ACCIONES'!G157,"AAAAAHzf/fE=")</f>
        <v>#VALUE!</v>
      </c>
      <c r="II188" t="e">
        <f>AND('OTRAS ACCIONES'!H157,"AAAAAHzf/fI=")</f>
        <v>#VALUE!</v>
      </c>
      <c r="IJ188" t="e">
        <f>AND('OTRAS ACCIONES'!I157,"AAAAAHzf/fM=")</f>
        <v>#VALUE!</v>
      </c>
      <c r="IK188" t="e">
        <f>AND('OTRAS ACCIONES'!J157,"AAAAAHzf/fQ=")</f>
        <v>#VALUE!</v>
      </c>
      <c r="IL188" t="e">
        <f>AND('OTRAS ACCIONES'!K157,"AAAAAHzf/fU=")</f>
        <v>#VALUE!</v>
      </c>
      <c r="IM188" t="e">
        <f>AND('OTRAS ACCIONES'!L157,"AAAAAHzf/fY=")</f>
        <v>#VALUE!</v>
      </c>
      <c r="IN188" t="e">
        <f>AND('OTRAS ACCIONES'!M157,"AAAAAHzf/fc=")</f>
        <v>#VALUE!</v>
      </c>
      <c r="IO188" t="e">
        <f>AND('OTRAS ACCIONES'!N157,"AAAAAHzf/fg=")</f>
        <v>#VALUE!</v>
      </c>
      <c r="IP188" t="e">
        <f>AND('OTRAS ACCIONES'!O157,"AAAAAHzf/fk=")</f>
        <v>#VALUE!</v>
      </c>
      <c r="IQ188" t="e">
        <f>AND('OTRAS ACCIONES'!P157,"AAAAAHzf/fo=")</f>
        <v>#VALUE!</v>
      </c>
      <c r="IR188" t="e">
        <f>AND('OTRAS ACCIONES'!Q157,"AAAAAHzf/fs=")</f>
        <v>#VALUE!</v>
      </c>
      <c r="IS188" t="e">
        <f>AND('OTRAS ACCIONES'!R157,"AAAAAHzf/fw=")</f>
        <v>#VALUE!</v>
      </c>
      <c r="IT188">
        <f>IF('OTRAS ACCIONES'!158:158,"AAAAAHzf/f0=",0)</f>
        <v>0</v>
      </c>
      <c r="IU188" t="e">
        <f>AND('OTRAS ACCIONES'!B158,"AAAAAHzf/f4=")</f>
        <v>#VALUE!</v>
      </c>
      <c r="IV188" t="e">
        <f>AND('OTRAS ACCIONES'!C158,"AAAAAHzf/f8=")</f>
        <v>#VALUE!</v>
      </c>
    </row>
    <row r="189" spans="1:256" x14ac:dyDescent="0.2">
      <c r="A189" t="e">
        <f>AND('OTRAS ACCIONES'!D158,"AAAAAH8z9wA=")</f>
        <v>#VALUE!</v>
      </c>
      <c r="B189" t="e">
        <f>AND('OTRAS ACCIONES'!E158,"AAAAAH8z9wE=")</f>
        <v>#VALUE!</v>
      </c>
      <c r="C189" t="e">
        <f>AND('OTRAS ACCIONES'!F158,"AAAAAH8z9wI=")</f>
        <v>#VALUE!</v>
      </c>
      <c r="D189" t="e">
        <f>AND('OTRAS ACCIONES'!G158,"AAAAAH8z9wM=")</f>
        <v>#VALUE!</v>
      </c>
      <c r="E189" t="e">
        <f>AND('OTRAS ACCIONES'!H158,"AAAAAH8z9wQ=")</f>
        <v>#VALUE!</v>
      </c>
      <c r="F189" t="e">
        <f>AND('OTRAS ACCIONES'!I158,"AAAAAH8z9wU=")</f>
        <v>#VALUE!</v>
      </c>
      <c r="G189" t="e">
        <f>AND('OTRAS ACCIONES'!J158,"AAAAAH8z9wY=")</f>
        <v>#VALUE!</v>
      </c>
      <c r="H189" t="e">
        <f>AND('OTRAS ACCIONES'!K158,"AAAAAH8z9wc=")</f>
        <v>#VALUE!</v>
      </c>
      <c r="I189" t="e">
        <f>AND('OTRAS ACCIONES'!L158,"AAAAAH8z9wg=")</f>
        <v>#VALUE!</v>
      </c>
      <c r="J189" t="e">
        <f>AND('OTRAS ACCIONES'!M158,"AAAAAH8z9wk=")</f>
        <v>#VALUE!</v>
      </c>
      <c r="K189" t="e">
        <f>AND('OTRAS ACCIONES'!N158,"AAAAAH8z9wo=")</f>
        <v>#VALUE!</v>
      </c>
      <c r="L189" t="e">
        <f>AND('OTRAS ACCIONES'!O158,"AAAAAH8z9ws=")</f>
        <v>#VALUE!</v>
      </c>
      <c r="M189" t="e">
        <f>AND('OTRAS ACCIONES'!P158,"AAAAAH8z9ww=")</f>
        <v>#VALUE!</v>
      </c>
      <c r="N189" t="e">
        <f>AND('OTRAS ACCIONES'!Q158,"AAAAAH8z9w0=")</f>
        <v>#VALUE!</v>
      </c>
      <c r="O189" t="e">
        <f>AND('OTRAS ACCIONES'!R158,"AAAAAH8z9w4=")</f>
        <v>#VALUE!</v>
      </c>
      <c r="P189">
        <f>IF('OTRAS ACCIONES'!159:159,"AAAAAH8z9w8=",0)</f>
        <v>0</v>
      </c>
      <c r="Q189" t="e">
        <f>AND('OTRAS ACCIONES'!B159,"AAAAAH8z9xA=")</f>
        <v>#VALUE!</v>
      </c>
      <c r="R189" t="e">
        <f>AND('OTRAS ACCIONES'!C159,"AAAAAH8z9xE=")</f>
        <v>#VALUE!</v>
      </c>
      <c r="S189" t="e">
        <f>AND('OTRAS ACCIONES'!D159,"AAAAAH8z9xI=")</f>
        <v>#VALUE!</v>
      </c>
      <c r="T189" t="e">
        <f>AND('OTRAS ACCIONES'!E159,"AAAAAH8z9xM=")</f>
        <v>#VALUE!</v>
      </c>
      <c r="U189" t="e">
        <f>AND('OTRAS ACCIONES'!F159,"AAAAAH8z9xQ=")</f>
        <v>#VALUE!</v>
      </c>
      <c r="V189" t="e">
        <f>AND('OTRAS ACCIONES'!G159,"AAAAAH8z9xU=")</f>
        <v>#VALUE!</v>
      </c>
      <c r="W189" t="e">
        <f>AND('OTRAS ACCIONES'!H159,"AAAAAH8z9xY=")</f>
        <v>#VALUE!</v>
      </c>
      <c r="X189" t="e">
        <f>AND('OTRAS ACCIONES'!I159,"AAAAAH8z9xc=")</f>
        <v>#VALUE!</v>
      </c>
      <c r="Y189" t="e">
        <f>AND('OTRAS ACCIONES'!J159,"AAAAAH8z9xg=")</f>
        <v>#VALUE!</v>
      </c>
      <c r="Z189" t="e">
        <f>AND('OTRAS ACCIONES'!K159,"AAAAAH8z9xk=")</f>
        <v>#VALUE!</v>
      </c>
      <c r="AA189" t="e">
        <f>AND('OTRAS ACCIONES'!L159,"AAAAAH8z9xo=")</f>
        <v>#VALUE!</v>
      </c>
      <c r="AB189" t="e">
        <f>AND('OTRAS ACCIONES'!M159,"AAAAAH8z9xs=")</f>
        <v>#VALUE!</v>
      </c>
      <c r="AC189" t="e">
        <f>AND('OTRAS ACCIONES'!N159,"AAAAAH8z9xw=")</f>
        <v>#VALUE!</v>
      </c>
      <c r="AD189" t="e">
        <f>AND('OTRAS ACCIONES'!O159,"AAAAAH8z9x0=")</f>
        <v>#VALUE!</v>
      </c>
      <c r="AE189" t="e">
        <f>AND('OTRAS ACCIONES'!P159,"AAAAAH8z9x4=")</f>
        <v>#VALUE!</v>
      </c>
      <c r="AF189" t="e">
        <f>AND('OTRAS ACCIONES'!Q159,"AAAAAH8z9x8=")</f>
        <v>#VALUE!</v>
      </c>
      <c r="AG189" t="e">
        <f>AND('OTRAS ACCIONES'!R159,"AAAAAH8z9yA=")</f>
        <v>#VALUE!</v>
      </c>
      <c r="AH189">
        <f>IF('OTRAS ACCIONES'!160:160,"AAAAAH8z9yE=",0)</f>
        <v>0</v>
      </c>
      <c r="AI189" t="e">
        <f>AND('OTRAS ACCIONES'!B160,"AAAAAH8z9yI=")</f>
        <v>#VALUE!</v>
      </c>
      <c r="AJ189" t="e">
        <f>AND('OTRAS ACCIONES'!C160,"AAAAAH8z9yM=")</f>
        <v>#VALUE!</v>
      </c>
      <c r="AK189" t="e">
        <f>AND('OTRAS ACCIONES'!D160,"AAAAAH8z9yQ=")</f>
        <v>#VALUE!</v>
      </c>
      <c r="AL189" t="e">
        <f>AND('OTRAS ACCIONES'!E160,"AAAAAH8z9yU=")</f>
        <v>#VALUE!</v>
      </c>
      <c r="AM189" t="e">
        <f>AND('OTRAS ACCIONES'!F160,"AAAAAH8z9yY=")</f>
        <v>#VALUE!</v>
      </c>
      <c r="AN189" t="e">
        <f>AND('OTRAS ACCIONES'!G160,"AAAAAH8z9yc=")</f>
        <v>#VALUE!</v>
      </c>
      <c r="AO189" t="e">
        <f>AND('OTRAS ACCIONES'!H160,"AAAAAH8z9yg=")</f>
        <v>#VALUE!</v>
      </c>
      <c r="AP189" t="e">
        <f>AND('OTRAS ACCIONES'!I160,"AAAAAH8z9yk=")</f>
        <v>#VALUE!</v>
      </c>
      <c r="AQ189" t="e">
        <f>AND('OTRAS ACCIONES'!J160,"AAAAAH8z9yo=")</f>
        <v>#VALUE!</v>
      </c>
      <c r="AR189" t="e">
        <f>AND('OTRAS ACCIONES'!K160,"AAAAAH8z9ys=")</f>
        <v>#VALUE!</v>
      </c>
      <c r="AS189" t="e">
        <f>AND('OTRAS ACCIONES'!L160,"AAAAAH8z9yw=")</f>
        <v>#VALUE!</v>
      </c>
      <c r="AT189" t="e">
        <f>AND('OTRAS ACCIONES'!M160,"AAAAAH8z9y0=")</f>
        <v>#VALUE!</v>
      </c>
      <c r="AU189" t="e">
        <f>AND('OTRAS ACCIONES'!N160,"AAAAAH8z9y4=")</f>
        <v>#VALUE!</v>
      </c>
      <c r="AV189" t="e">
        <f>AND('OTRAS ACCIONES'!O160,"AAAAAH8z9y8=")</f>
        <v>#VALUE!</v>
      </c>
      <c r="AW189" t="e">
        <f>AND('OTRAS ACCIONES'!P160,"AAAAAH8z9zA=")</f>
        <v>#VALUE!</v>
      </c>
      <c r="AX189" t="e">
        <f>AND('OTRAS ACCIONES'!Q160,"AAAAAH8z9zE=")</f>
        <v>#VALUE!</v>
      </c>
      <c r="AY189" t="e">
        <f>AND('OTRAS ACCIONES'!R160,"AAAAAH8z9zI=")</f>
        <v>#VALUE!</v>
      </c>
      <c r="AZ189">
        <f>IF('OTRAS ACCIONES'!161:161,"AAAAAH8z9zM=",0)</f>
        <v>0</v>
      </c>
      <c r="BA189" t="e">
        <f>AND('OTRAS ACCIONES'!B161,"AAAAAH8z9zQ=")</f>
        <v>#VALUE!</v>
      </c>
      <c r="BB189" t="e">
        <f>AND('OTRAS ACCIONES'!C161,"AAAAAH8z9zU=")</f>
        <v>#VALUE!</v>
      </c>
      <c r="BC189" t="e">
        <f>AND('OTRAS ACCIONES'!D161,"AAAAAH8z9zY=")</f>
        <v>#VALUE!</v>
      </c>
      <c r="BD189" t="e">
        <f>AND('OTRAS ACCIONES'!E161,"AAAAAH8z9zc=")</f>
        <v>#VALUE!</v>
      </c>
      <c r="BE189" t="e">
        <f>AND('OTRAS ACCIONES'!F161,"AAAAAH8z9zg=")</f>
        <v>#VALUE!</v>
      </c>
      <c r="BF189" t="e">
        <f>AND('OTRAS ACCIONES'!G161,"AAAAAH8z9zk=")</f>
        <v>#VALUE!</v>
      </c>
      <c r="BG189" t="e">
        <f>AND('OTRAS ACCIONES'!H161,"AAAAAH8z9zo=")</f>
        <v>#VALUE!</v>
      </c>
      <c r="BH189" t="e">
        <f>AND('OTRAS ACCIONES'!I161,"AAAAAH8z9zs=")</f>
        <v>#VALUE!</v>
      </c>
      <c r="BI189" t="e">
        <f>AND('OTRAS ACCIONES'!J161,"AAAAAH8z9zw=")</f>
        <v>#VALUE!</v>
      </c>
      <c r="BJ189" t="e">
        <f>AND('OTRAS ACCIONES'!K161,"AAAAAH8z9z0=")</f>
        <v>#VALUE!</v>
      </c>
      <c r="BK189" t="e">
        <f>AND('OTRAS ACCIONES'!L161,"AAAAAH8z9z4=")</f>
        <v>#VALUE!</v>
      </c>
      <c r="BL189" t="e">
        <f>AND('OTRAS ACCIONES'!M161,"AAAAAH8z9z8=")</f>
        <v>#VALUE!</v>
      </c>
      <c r="BM189" t="e">
        <f>AND('OTRAS ACCIONES'!N161,"AAAAAH8z90A=")</f>
        <v>#VALUE!</v>
      </c>
      <c r="BN189" t="e">
        <f>AND('OTRAS ACCIONES'!O161,"AAAAAH8z90E=")</f>
        <v>#VALUE!</v>
      </c>
      <c r="BO189" t="e">
        <f>AND('OTRAS ACCIONES'!P161,"AAAAAH8z90I=")</f>
        <v>#VALUE!</v>
      </c>
      <c r="BP189" t="e">
        <f>AND('OTRAS ACCIONES'!Q161,"AAAAAH8z90M=")</f>
        <v>#VALUE!</v>
      </c>
      <c r="BQ189" t="e">
        <f>AND('OTRAS ACCIONES'!R161,"AAAAAH8z90Q=")</f>
        <v>#VALUE!</v>
      </c>
      <c r="BR189">
        <f>IF('OTRAS ACCIONES'!162:162,"AAAAAH8z90U=",0)</f>
        <v>0</v>
      </c>
      <c r="BS189" t="e">
        <f>AND('OTRAS ACCIONES'!B162,"AAAAAH8z90Y=")</f>
        <v>#VALUE!</v>
      </c>
      <c r="BT189" t="e">
        <f>AND('OTRAS ACCIONES'!C162,"AAAAAH8z90c=")</f>
        <v>#VALUE!</v>
      </c>
      <c r="BU189" t="e">
        <f>AND('OTRAS ACCIONES'!D162,"AAAAAH8z90g=")</f>
        <v>#VALUE!</v>
      </c>
      <c r="BV189" t="e">
        <f>AND('OTRAS ACCIONES'!E162,"AAAAAH8z90k=")</f>
        <v>#VALUE!</v>
      </c>
      <c r="BW189" t="e">
        <f>AND('OTRAS ACCIONES'!F162,"AAAAAH8z90o=")</f>
        <v>#VALUE!</v>
      </c>
      <c r="BX189" t="e">
        <f>AND('OTRAS ACCIONES'!G162,"AAAAAH8z90s=")</f>
        <v>#VALUE!</v>
      </c>
      <c r="BY189" t="e">
        <f>AND('OTRAS ACCIONES'!H162,"AAAAAH8z90w=")</f>
        <v>#VALUE!</v>
      </c>
      <c r="BZ189" t="e">
        <f>AND('OTRAS ACCIONES'!I162,"AAAAAH8z900=")</f>
        <v>#VALUE!</v>
      </c>
      <c r="CA189" t="e">
        <f>AND('OTRAS ACCIONES'!J162,"AAAAAH8z904=")</f>
        <v>#VALUE!</v>
      </c>
      <c r="CB189" t="e">
        <f>AND('OTRAS ACCIONES'!K162,"AAAAAH8z908=")</f>
        <v>#VALUE!</v>
      </c>
      <c r="CC189" t="e">
        <f>AND('OTRAS ACCIONES'!L162,"AAAAAH8z91A=")</f>
        <v>#VALUE!</v>
      </c>
      <c r="CD189" t="e">
        <f>AND('OTRAS ACCIONES'!M162,"AAAAAH8z91E=")</f>
        <v>#VALUE!</v>
      </c>
      <c r="CE189" t="e">
        <f>AND('OTRAS ACCIONES'!N162,"AAAAAH8z91I=")</f>
        <v>#VALUE!</v>
      </c>
      <c r="CF189" t="e">
        <f>AND('OTRAS ACCIONES'!O162,"AAAAAH8z91M=")</f>
        <v>#VALUE!</v>
      </c>
      <c r="CG189" t="e">
        <f>AND('OTRAS ACCIONES'!P162,"AAAAAH8z91Q=")</f>
        <v>#VALUE!</v>
      </c>
      <c r="CH189" t="e">
        <f>AND('OTRAS ACCIONES'!Q162,"AAAAAH8z91U=")</f>
        <v>#VALUE!</v>
      </c>
      <c r="CI189" t="e">
        <f>AND('OTRAS ACCIONES'!R162,"AAAAAH8z91Y=")</f>
        <v>#VALUE!</v>
      </c>
      <c r="CJ189">
        <f>IF('OTRAS ACCIONES'!163:163,"AAAAAH8z91c=",0)</f>
        <v>0</v>
      </c>
      <c r="CK189" t="e">
        <f>AND('OTRAS ACCIONES'!B163,"AAAAAH8z91g=")</f>
        <v>#VALUE!</v>
      </c>
      <c r="CL189" t="e">
        <f>AND('OTRAS ACCIONES'!C163,"AAAAAH8z91k=")</f>
        <v>#VALUE!</v>
      </c>
      <c r="CM189" t="e">
        <f>AND('OTRAS ACCIONES'!D163,"AAAAAH8z91o=")</f>
        <v>#VALUE!</v>
      </c>
      <c r="CN189" t="e">
        <f>AND('OTRAS ACCIONES'!E163,"AAAAAH8z91s=")</f>
        <v>#VALUE!</v>
      </c>
      <c r="CO189" t="e">
        <f>AND('OTRAS ACCIONES'!F163,"AAAAAH8z91w=")</f>
        <v>#VALUE!</v>
      </c>
      <c r="CP189" t="e">
        <f>AND('OTRAS ACCIONES'!G163,"AAAAAH8z910=")</f>
        <v>#VALUE!</v>
      </c>
      <c r="CQ189" t="e">
        <f>AND('OTRAS ACCIONES'!H163,"AAAAAH8z914=")</f>
        <v>#VALUE!</v>
      </c>
      <c r="CR189" t="e">
        <f>AND('OTRAS ACCIONES'!I163,"AAAAAH8z918=")</f>
        <v>#VALUE!</v>
      </c>
      <c r="CS189" t="e">
        <f>AND('OTRAS ACCIONES'!J163,"AAAAAH8z92A=")</f>
        <v>#VALUE!</v>
      </c>
      <c r="CT189" t="e">
        <f>AND('OTRAS ACCIONES'!K163,"AAAAAH8z92E=")</f>
        <v>#VALUE!</v>
      </c>
      <c r="CU189" t="e">
        <f>AND('OTRAS ACCIONES'!L163,"AAAAAH8z92I=")</f>
        <v>#VALUE!</v>
      </c>
      <c r="CV189" t="e">
        <f>AND('OTRAS ACCIONES'!M163,"AAAAAH8z92M=")</f>
        <v>#VALUE!</v>
      </c>
      <c r="CW189" t="e">
        <f>AND('OTRAS ACCIONES'!N163,"AAAAAH8z92Q=")</f>
        <v>#VALUE!</v>
      </c>
      <c r="CX189" t="e">
        <f>AND('OTRAS ACCIONES'!O163,"AAAAAH8z92U=")</f>
        <v>#VALUE!</v>
      </c>
      <c r="CY189" t="e">
        <f>AND('OTRAS ACCIONES'!P163,"AAAAAH8z92Y=")</f>
        <v>#VALUE!</v>
      </c>
      <c r="CZ189" t="e">
        <f>AND('OTRAS ACCIONES'!Q163,"AAAAAH8z92c=")</f>
        <v>#VALUE!</v>
      </c>
      <c r="DA189" t="e">
        <f>AND('OTRAS ACCIONES'!R163,"AAAAAH8z92g=")</f>
        <v>#VALUE!</v>
      </c>
      <c r="DB189">
        <f>IF('OTRAS ACCIONES'!164:164,"AAAAAH8z92k=",0)</f>
        <v>0</v>
      </c>
      <c r="DC189" t="e">
        <f>AND('OTRAS ACCIONES'!B164,"AAAAAH8z92o=")</f>
        <v>#VALUE!</v>
      </c>
      <c r="DD189" t="e">
        <f>AND('OTRAS ACCIONES'!C164,"AAAAAH8z92s=")</f>
        <v>#VALUE!</v>
      </c>
      <c r="DE189" t="e">
        <f>AND('OTRAS ACCIONES'!D164,"AAAAAH8z92w=")</f>
        <v>#VALUE!</v>
      </c>
      <c r="DF189" t="e">
        <f>AND('OTRAS ACCIONES'!E164,"AAAAAH8z920=")</f>
        <v>#VALUE!</v>
      </c>
      <c r="DG189" t="e">
        <f>AND('OTRAS ACCIONES'!F164,"AAAAAH8z924=")</f>
        <v>#VALUE!</v>
      </c>
      <c r="DH189" t="e">
        <f>AND('OTRAS ACCIONES'!G164,"AAAAAH8z928=")</f>
        <v>#VALUE!</v>
      </c>
      <c r="DI189" t="e">
        <f>AND('OTRAS ACCIONES'!H164,"AAAAAH8z93A=")</f>
        <v>#VALUE!</v>
      </c>
      <c r="DJ189" t="e">
        <f>AND('OTRAS ACCIONES'!I164,"AAAAAH8z93E=")</f>
        <v>#VALUE!</v>
      </c>
      <c r="DK189" t="e">
        <f>AND('OTRAS ACCIONES'!J164,"AAAAAH8z93I=")</f>
        <v>#VALUE!</v>
      </c>
      <c r="DL189" t="e">
        <f>AND('OTRAS ACCIONES'!K164,"AAAAAH8z93M=")</f>
        <v>#VALUE!</v>
      </c>
      <c r="DM189" t="e">
        <f>AND('OTRAS ACCIONES'!L164,"AAAAAH8z93Q=")</f>
        <v>#VALUE!</v>
      </c>
      <c r="DN189" t="e">
        <f>AND('OTRAS ACCIONES'!M164,"AAAAAH8z93U=")</f>
        <v>#VALUE!</v>
      </c>
      <c r="DO189" t="e">
        <f>AND('OTRAS ACCIONES'!N164,"AAAAAH8z93Y=")</f>
        <v>#VALUE!</v>
      </c>
      <c r="DP189" t="e">
        <f>AND('OTRAS ACCIONES'!O164,"AAAAAH8z93c=")</f>
        <v>#VALUE!</v>
      </c>
      <c r="DQ189" t="e">
        <f>AND('OTRAS ACCIONES'!P164,"AAAAAH8z93g=")</f>
        <v>#VALUE!</v>
      </c>
      <c r="DR189" t="e">
        <f>AND('OTRAS ACCIONES'!Q164,"AAAAAH8z93k=")</f>
        <v>#VALUE!</v>
      </c>
      <c r="DS189" t="e">
        <f>AND('OTRAS ACCIONES'!R164,"AAAAAH8z93o=")</f>
        <v>#VALUE!</v>
      </c>
      <c r="DT189">
        <f>IF('OTRAS ACCIONES'!165:165,"AAAAAH8z93s=",0)</f>
        <v>0</v>
      </c>
      <c r="DU189" t="e">
        <f>AND('OTRAS ACCIONES'!B165,"AAAAAH8z93w=")</f>
        <v>#VALUE!</v>
      </c>
      <c r="DV189" t="e">
        <f>AND('OTRAS ACCIONES'!C165,"AAAAAH8z930=")</f>
        <v>#VALUE!</v>
      </c>
      <c r="DW189" t="e">
        <f>AND('OTRAS ACCIONES'!D165,"AAAAAH8z934=")</f>
        <v>#VALUE!</v>
      </c>
      <c r="DX189" t="e">
        <f>AND('OTRAS ACCIONES'!E165,"AAAAAH8z938=")</f>
        <v>#VALUE!</v>
      </c>
      <c r="DY189" t="e">
        <f>AND('OTRAS ACCIONES'!F165,"AAAAAH8z94A=")</f>
        <v>#VALUE!</v>
      </c>
      <c r="DZ189" t="e">
        <f>AND('OTRAS ACCIONES'!G165,"AAAAAH8z94E=")</f>
        <v>#VALUE!</v>
      </c>
      <c r="EA189" t="e">
        <f>AND('OTRAS ACCIONES'!H165,"AAAAAH8z94I=")</f>
        <v>#VALUE!</v>
      </c>
      <c r="EB189" t="e">
        <f>AND('OTRAS ACCIONES'!I165,"AAAAAH8z94M=")</f>
        <v>#VALUE!</v>
      </c>
      <c r="EC189" t="e">
        <f>AND('OTRAS ACCIONES'!J165,"AAAAAH8z94Q=")</f>
        <v>#VALUE!</v>
      </c>
      <c r="ED189" t="e">
        <f>AND('OTRAS ACCIONES'!K165,"AAAAAH8z94U=")</f>
        <v>#VALUE!</v>
      </c>
      <c r="EE189" t="e">
        <f>AND('OTRAS ACCIONES'!L165,"AAAAAH8z94Y=")</f>
        <v>#VALUE!</v>
      </c>
      <c r="EF189" t="e">
        <f>AND('OTRAS ACCIONES'!M165,"AAAAAH8z94c=")</f>
        <v>#VALUE!</v>
      </c>
      <c r="EG189" t="e">
        <f>AND('OTRAS ACCIONES'!N165,"AAAAAH8z94g=")</f>
        <v>#VALUE!</v>
      </c>
      <c r="EH189" t="e">
        <f>AND('OTRAS ACCIONES'!O165,"AAAAAH8z94k=")</f>
        <v>#VALUE!</v>
      </c>
      <c r="EI189" t="e">
        <f>AND('OTRAS ACCIONES'!P165,"AAAAAH8z94o=")</f>
        <v>#VALUE!</v>
      </c>
      <c r="EJ189" t="e">
        <f>AND('OTRAS ACCIONES'!Q165,"AAAAAH8z94s=")</f>
        <v>#VALUE!</v>
      </c>
      <c r="EK189" t="e">
        <f>AND('OTRAS ACCIONES'!R165,"AAAAAH8z94w=")</f>
        <v>#VALUE!</v>
      </c>
      <c r="EL189">
        <f>IF('OTRAS ACCIONES'!166:166,"AAAAAH8z940=",0)</f>
        <v>0</v>
      </c>
      <c r="EM189" t="e">
        <f>AND('OTRAS ACCIONES'!B166,"AAAAAH8z944=")</f>
        <v>#VALUE!</v>
      </c>
      <c r="EN189" t="e">
        <f>AND('OTRAS ACCIONES'!C166,"AAAAAH8z948=")</f>
        <v>#VALUE!</v>
      </c>
      <c r="EO189" t="e">
        <f>AND('OTRAS ACCIONES'!D166,"AAAAAH8z95A=")</f>
        <v>#VALUE!</v>
      </c>
      <c r="EP189" t="e">
        <f>AND('OTRAS ACCIONES'!E166,"AAAAAH8z95E=")</f>
        <v>#VALUE!</v>
      </c>
      <c r="EQ189" t="e">
        <f>AND('OTRAS ACCIONES'!F166,"AAAAAH8z95I=")</f>
        <v>#VALUE!</v>
      </c>
      <c r="ER189" t="e">
        <f>AND('OTRAS ACCIONES'!G166,"AAAAAH8z95M=")</f>
        <v>#VALUE!</v>
      </c>
      <c r="ES189" t="e">
        <f>AND('OTRAS ACCIONES'!H166,"AAAAAH8z95Q=")</f>
        <v>#VALUE!</v>
      </c>
      <c r="ET189" t="e">
        <f>AND('OTRAS ACCIONES'!I166,"AAAAAH8z95U=")</f>
        <v>#VALUE!</v>
      </c>
      <c r="EU189" t="e">
        <f>AND('OTRAS ACCIONES'!J166,"AAAAAH8z95Y=")</f>
        <v>#VALUE!</v>
      </c>
      <c r="EV189" t="e">
        <f>AND('OTRAS ACCIONES'!K166,"AAAAAH8z95c=")</f>
        <v>#VALUE!</v>
      </c>
      <c r="EW189" t="e">
        <f>AND('OTRAS ACCIONES'!L166,"AAAAAH8z95g=")</f>
        <v>#VALUE!</v>
      </c>
      <c r="EX189" t="e">
        <f>AND('OTRAS ACCIONES'!M166,"AAAAAH8z95k=")</f>
        <v>#VALUE!</v>
      </c>
      <c r="EY189" t="e">
        <f>AND('OTRAS ACCIONES'!N166,"AAAAAH8z95o=")</f>
        <v>#VALUE!</v>
      </c>
      <c r="EZ189" t="e">
        <f>AND('OTRAS ACCIONES'!O166,"AAAAAH8z95s=")</f>
        <v>#VALUE!</v>
      </c>
      <c r="FA189" t="e">
        <f>AND('OTRAS ACCIONES'!P166,"AAAAAH8z95w=")</f>
        <v>#VALUE!</v>
      </c>
      <c r="FB189" t="e">
        <f>AND('OTRAS ACCIONES'!Q166,"AAAAAH8z950=")</f>
        <v>#VALUE!</v>
      </c>
      <c r="FC189" t="e">
        <f>AND('OTRAS ACCIONES'!R166,"AAAAAH8z954=")</f>
        <v>#VALUE!</v>
      </c>
      <c r="FD189">
        <f>IF('OTRAS ACCIONES'!167:167,"AAAAAH8z958=",0)</f>
        <v>0</v>
      </c>
      <c r="FE189" t="e">
        <f>AND('OTRAS ACCIONES'!B167,"AAAAAH8z96A=")</f>
        <v>#VALUE!</v>
      </c>
      <c r="FF189" t="e">
        <f>AND('OTRAS ACCIONES'!C167,"AAAAAH8z96E=")</f>
        <v>#VALUE!</v>
      </c>
      <c r="FG189" t="e">
        <f>AND('OTRAS ACCIONES'!D167,"AAAAAH8z96I=")</f>
        <v>#VALUE!</v>
      </c>
      <c r="FH189" t="e">
        <f>AND('OTRAS ACCIONES'!E167,"AAAAAH8z96M=")</f>
        <v>#VALUE!</v>
      </c>
      <c r="FI189" t="e">
        <f>AND('OTRAS ACCIONES'!F167,"AAAAAH8z96Q=")</f>
        <v>#VALUE!</v>
      </c>
      <c r="FJ189" t="e">
        <f>AND('OTRAS ACCIONES'!G167,"AAAAAH8z96U=")</f>
        <v>#VALUE!</v>
      </c>
      <c r="FK189" t="e">
        <f>AND('OTRAS ACCIONES'!H167,"AAAAAH8z96Y=")</f>
        <v>#VALUE!</v>
      </c>
      <c r="FL189" t="e">
        <f>AND('OTRAS ACCIONES'!I167,"AAAAAH8z96c=")</f>
        <v>#VALUE!</v>
      </c>
      <c r="FM189" t="e">
        <f>AND('OTRAS ACCIONES'!J167,"AAAAAH8z96g=")</f>
        <v>#VALUE!</v>
      </c>
      <c r="FN189" t="e">
        <f>AND('OTRAS ACCIONES'!K167,"AAAAAH8z96k=")</f>
        <v>#VALUE!</v>
      </c>
      <c r="FO189" t="e">
        <f>AND('OTRAS ACCIONES'!L167,"AAAAAH8z96o=")</f>
        <v>#VALUE!</v>
      </c>
      <c r="FP189" t="e">
        <f>AND('OTRAS ACCIONES'!M167,"AAAAAH8z96s=")</f>
        <v>#VALUE!</v>
      </c>
      <c r="FQ189" t="e">
        <f>AND('OTRAS ACCIONES'!N167,"AAAAAH8z96w=")</f>
        <v>#VALUE!</v>
      </c>
      <c r="FR189" t="e">
        <f>AND('OTRAS ACCIONES'!O167,"AAAAAH8z960=")</f>
        <v>#VALUE!</v>
      </c>
      <c r="FS189" t="e">
        <f>AND('OTRAS ACCIONES'!P167,"AAAAAH8z964=")</f>
        <v>#VALUE!</v>
      </c>
      <c r="FT189" t="e">
        <f>AND('OTRAS ACCIONES'!Q167,"AAAAAH8z968=")</f>
        <v>#VALUE!</v>
      </c>
      <c r="FU189" t="e">
        <f>AND('OTRAS ACCIONES'!R167,"AAAAAH8z97A=")</f>
        <v>#VALUE!</v>
      </c>
      <c r="FV189">
        <f>IF('OTRAS ACCIONES'!168:168,"AAAAAH8z97E=",0)</f>
        <v>0</v>
      </c>
      <c r="FW189" t="e">
        <f>AND('OTRAS ACCIONES'!B168,"AAAAAH8z97I=")</f>
        <v>#VALUE!</v>
      </c>
      <c r="FX189" t="e">
        <f>AND('OTRAS ACCIONES'!C168,"AAAAAH8z97M=")</f>
        <v>#VALUE!</v>
      </c>
      <c r="FY189" t="e">
        <f>AND('OTRAS ACCIONES'!D168,"AAAAAH8z97Q=")</f>
        <v>#VALUE!</v>
      </c>
      <c r="FZ189" t="e">
        <f>AND('OTRAS ACCIONES'!E168,"AAAAAH8z97U=")</f>
        <v>#VALUE!</v>
      </c>
      <c r="GA189" t="e">
        <f>AND('OTRAS ACCIONES'!F168,"AAAAAH8z97Y=")</f>
        <v>#VALUE!</v>
      </c>
      <c r="GB189" t="e">
        <f>AND('OTRAS ACCIONES'!G168,"AAAAAH8z97c=")</f>
        <v>#VALUE!</v>
      </c>
      <c r="GC189" t="e">
        <f>AND('OTRAS ACCIONES'!H168,"AAAAAH8z97g=")</f>
        <v>#VALUE!</v>
      </c>
      <c r="GD189" t="e">
        <f>AND('OTRAS ACCIONES'!I168,"AAAAAH8z97k=")</f>
        <v>#VALUE!</v>
      </c>
      <c r="GE189" t="e">
        <f>AND('OTRAS ACCIONES'!J168,"AAAAAH8z97o=")</f>
        <v>#VALUE!</v>
      </c>
      <c r="GF189" t="e">
        <f>AND('OTRAS ACCIONES'!K168,"AAAAAH8z97s=")</f>
        <v>#VALUE!</v>
      </c>
      <c r="GG189" t="e">
        <f>AND('OTRAS ACCIONES'!L168,"AAAAAH8z97w=")</f>
        <v>#VALUE!</v>
      </c>
      <c r="GH189" t="e">
        <f>AND('OTRAS ACCIONES'!M168,"AAAAAH8z970=")</f>
        <v>#VALUE!</v>
      </c>
      <c r="GI189" t="e">
        <f>AND('OTRAS ACCIONES'!N168,"AAAAAH8z974=")</f>
        <v>#VALUE!</v>
      </c>
      <c r="GJ189" t="e">
        <f>AND('OTRAS ACCIONES'!O168,"AAAAAH8z978=")</f>
        <v>#VALUE!</v>
      </c>
      <c r="GK189" t="e">
        <f>AND('OTRAS ACCIONES'!P168,"AAAAAH8z98A=")</f>
        <v>#VALUE!</v>
      </c>
      <c r="GL189" t="e">
        <f>AND('OTRAS ACCIONES'!Q168,"AAAAAH8z98E=")</f>
        <v>#VALUE!</v>
      </c>
      <c r="GM189" t="e">
        <f>AND('OTRAS ACCIONES'!R168,"AAAAAH8z98I=")</f>
        <v>#VALUE!</v>
      </c>
      <c r="GN189">
        <f>IF('OTRAS ACCIONES'!169:169,"AAAAAH8z98M=",0)</f>
        <v>0</v>
      </c>
      <c r="GO189" t="e">
        <f>AND('OTRAS ACCIONES'!B169,"AAAAAH8z98Q=")</f>
        <v>#VALUE!</v>
      </c>
      <c r="GP189" t="e">
        <f>AND('OTRAS ACCIONES'!C169,"AAAAAH8z98U=")</f>
        <v>#VALUE!</v>
      </c>
      <c r="GQ189" t="e">
        <f>AND('OTRAS ACCIONES'!D169,"AAAAAH8z98Y=")</f>
        <v>#VALUE!</v>
      </c>
      <c r="GR189" t="e">
        <f>AND('OTRAS ACCIONES'!E169,"AAAAAH8z98c=")</f>
        <v>#VALUE!</v>
      </c>
      <c r="GS189" t="e">
        <f>AND('OTRAS ACCIONES'!F169,"AAAAAH8z98g=")</f>
        <v>#VALUE!</v>
      </c>
      <c r="GT189" t="e">
        <f>AND('OTRAS ACCIONES'!G169,"AAAAAH8z98k=")</f>
        <v>#VALUE!</v>
      </c>
      <c r="GU189" t="e">
        <f>AND('OTRAS ACCIONES'!H169,"AAAAAH8z98o=")</f>
        <v>#VALUE!</v>
      </c>
      <c r="GV189" t="e">
        <f>AND('OTRAS ACCIONES'!I169,"AAAAAH8z98s=")</f>
        <v>#VALUE!</v>
      </c>
      <c r="GW189" t="e">
        <f>AND('OTRAS ACCIONES'!J169,"AAAAAH8z98w=")</f>
        <v>#VALUE!</v>
      </c>
      <c r="GX189" t="e">
        <f>AND('OTRAS ACCIONES'!K169,"AAAAAH8z980=")</f>
        <v>#VALUE!</v>
      </c>
      <c r="GY189" t="e">
        <f>AND('OTRAS ACCIONES'!L169,"AAAAAH8z984=")</f>
        <v>#VALUE!</v>
      </c>
      <c r="GZ189" t="e">
        <f>AND('OTRAS ACCIONES'!M169,"AAAAAH8z988=")</f>
        <v>#VALUE!</v>
      </c>
      <c r="HA189" t="e">
        <f>AND('OTRAS ACCIONES'!N169,"AAAAAH8z99A=")</f>
        <v>#VALUE!</v>
      </c>
      <c r="HB189" t="e">
        <f>AND('OTRAS ACCIONES'!O169,"AAAAAH8z99E=")</f>
        <v>#VALUE!</v>
      </c>
      <c r="HC189" t="e">
        <f>AND('OTRAS ACCIONES'!P169,"AAAAAH8z99I=")</f>
        <v>#VALUE!</v>
      </c>
      <c r="HD189" t="e">
        <f>AND('OTRAS ACCIONES'!Q169,"AAAAAH8z99M=")</f>
        <v>#VALUE!</v>
      </c>
      <c r="HE189" t="e">
        <f>AND('OTRAS ACCIONES'!R169,"AAAAAH8z99Q=")</f>
        <v>#VALUE!</v>
      </c>
      <c r="HF189">
        <f>IF('OTRAS ACCIONES'!170:170,"AAAAAH8z99U=",0)</f>
        <v>0</v>
      </c>
      <c r="HG189" t="e">
        <f>AND('OTRAS ACCIONES'!B170,"AAAAAH8z99Y=")</f>
        <v>#VALUE!</v>
      </c>
      <c r="HH189" t="e">
        <f>AND('OTRAS ACCIONES'!C170,"AAAAAH8z99c=")</f>
        <v>#VALUE!</v>
      </c>
      <c r="HI189" t="e">
        <f>AND('OTRAS ACCIONES'!D170,"AAAAAH8z99g=")</f>
        <v>#VALUE!</v>
      </c>
      <c r="HJ189" t="e">
        <f>AND('OTRAS ACCIONES'!E170,"AAAAAH8z99k=")</f>
        <v>#VALUE!</v>
      </c>
      <c r="HK189" t="e">
        <f>AND('OTRAS ACCIONES'!F170,"AAAAAH8z99o=")</f>
        <v>#VALUE!</v>
      </c>
      <c r="HL189" t="e">
        <f>AND('OTRAS ACCIONES'!G170,"AAAAAH8z99s=")</f>
        <v>#VALUE!</v>
      </c>
      <c r="HM189" t="e">
        <f>AND('OTRAS ACCIONES'!H170,"AAAAAH8z99w=")</f>
        <v>#VALUE!</v>
      </c>
      <c r="HN189" t="e">
        <f>AND('OTRAS ACCIONES'!I170,"AAAAAH8z990=")</f>
        <v>#VALUE!</v>
      </c>
      <c r="HO189" t="e">
        <f>AND('OTRAS ACCIONES'!J170,"AAAAAH8z994=")</f>
        <v>#VALUE!</v>
      </c>
      <c r="HP189" t="e">
        <f>AND('OTRAS ACCIONES'!K170,"AAAAAH8z998=")</f>
        <v>#VALUE!</v>
      </c>
      <c r="HQ189" t="e">
        <f>AND('OTRAS ACCIONES'!L170,"AAAAAH8z9+A=")</f>
        <v>#VALUE!</v>
      </c>
      <c r="HR189" t="e">
        <f>AND('OTRAS ACCIONES'!M170,"AAAAAH8z9+E=")</f>
        <v>#VALUE!</v>
      </c>
      <c r="HS189" t="e">
        <f>AND('OTRAS ACCIONES'!N170,"AAAAAH8z9+I=")</f>
        <v>#VALUE!</v>
      </c>
      <c r="HT189" t="e">
        <f>AND('OTRAS ACCIONES'!O170,"AAAAAH8z9+M=")</f>
        <v>#VALUE!</v>
      </c>
      <c r="HU189" t="e">
        <f>AND('OTRAS ACCIONES'!P170,"AAAAAH8z9+Q=")</f>
        <v>#VALUE!</v>
      </c>
      <c r="HV189" t="e">
        <f>AND('OTRAS ACCIONES'!Q170,"AAAAAH8z9+U=")</f>
        <v>#VALUE!</v>
      </c>
      <c r="HW189" t="e">
        <f>AND('OTRAS ACCIONES'!R170,"AAAAAH8z9+Y=")</f>
        <v>#VALUE!</v>
      </c>
      <c r="HX189">
        <f>IF('OTRAS ACCIONES'!171:171,"AAAAAH8z9+c=",0)</f>
        <v>0</v>
      </c>
      <c r="HY189" t="e">
        <f>AND('OTRAS ACCIONES'!B171,"AAAAAH8z9+g=")</f>
        <v>#VALUE!</v>
      </c>
      <c r="HZ189" t="e">
        <f>AND('OTRAS ACCIONES'!C171,"AAAAAH8z9+k=")</f>
        <v>#VALUE!</v>
      </c>
      <c r="IA189" t="e">
        <f>AND('OTRAS ACCIONES'!D171,"AAAAAH8z9+o=")</f>
        <v>#VALUE!</v>
      </c>
      <c r="IB189" t="e">
        <f>AND('OTRAS ACCIONES'!E171,"AAAAAH8z9+s=")</f>
        <v>#VALUE!</v>
      </c>
      <c r="IC189" t="e">
        <f>AND('OTRAS ACCIONES'!F171,"AAAAAH8z9+w=")</f>
        <v>#VALUE!</v>
      </c>
      <c r="ID189" t="e">
        <f>AND('OTRAS ACCIONES'!G171,"AAAAAH8z9+0=")</f>
        <v>#VALUE!</v>
      </c>
      <c r="IE189" t="e">
        <f>AND('OTRAS ACCIONES'!H171,"AAAAAH8z9+4=")</f>
        <v>#VALUE!</v>
      </c>
      <c r="IF189" t="e">
        <f>AND('OTRAS ACCIONES'!I171,"AAAAAH8z9+8=")</f>
        <v>#VALUE!</v>
      </c>
      <c r="IG189" t="e">
        <f>AND('OTRAS ACCIONES'!J171,"AAAAAH8z9/A=")</f>
        <v>#VALUE!</v>
      </c>
      <c r="IH189" t="e">
        <f>AND('OTRAS ACCIONES'!K171,"AAAAAH8z9/E=")</f>
        <v>#VALUE!</v>
      </c>
      <c r="II189" t="e">
        <f>AND('OTRAS ACCIONES'!L171,"AAAAAH8z9/I=")</f>
        <v>#VALUE!</v>
      </c>
      <c r="IJ189" t="e">
        <f>AND('OTRAS ACCIONES'!M171,"AAAAAH8z9/M=")</f>
        <v>#VALUE!</v>
      </c>
      <c r="IK189" t="e">
        <f>AND('OTRAS ACCIONES'!N171,"AAAAAH8z9/Q=")</f>
        <v>#VALUE!</v>
      </c>
      <c r="IL189" t="e">
        <f>AND('OTRAS ACCIONES'!O171,"AAAAAH8z9/U=")</f>
        <v>#VALUE!</v>
      </c>
      <c r="IM189" t="e">
        <f>AND('OTRAS ACCIONES'!P171,"AAAAAH8z9/Y=")</f>
        <v>#VALUE!</v>
      </c>
      <c r="IN189" t="e">
        <f>AND('OTRAS ACCIONES'!Q171,"AAAAAH8z9/c=")</f>
        <v>#VALUE!</v>
      </c>
      <c r="IO189" t="e">
        <f>AND('OTRAS ACCIONES'!R171,"AAAAAH8z9/g=")</f>
        <v>#VALUE!</v>
      </c>
      <c r="IP189">
        <f>IF('OTRAS ACCIONES'!172:172,"AAAAAH8z9/k=",0)</f>
        <v>0</v>
      </c>
      <c r="IQ189" t="e">
        <f>AND('OTRAS ACCIONES'!B172,"AAAAAH8z9/o=")</f>
        <v>#VALUE!</v>
      </c>
      <c r="IR189" t="e">
        <f>AND('OTRAS ACCIONES'!C172,"AAAAAH8z9/s=")</f>
        <v>#VALUE!</v>
      </c>
      <c r="IS189" t="e">
        <f>AND('OTRAS ACCIONES'!D172,"AAAAAH8z9/w=")</f>
        <v>#VALUE!</v>
      </c>
      <c r="IT189" t="e">
        <f>AND('OTRAS ACCIONES'!E172,"AAAAAH8z9/0=")</f>
        <v>#VALUE!</v>
      </c>
      <c r="IU189" t="e">
        <f>AND('OTRAS ACCIONES'!F172,"AAAAAH8z9/4=")</f>
        <v>#VALUE!</v>
      </c>
      <c r="IV189" t="e">
        <f>AND('OTRAS ACCIONES'!G172,"AAAAAH8z9/8=")</f>
        <v>#VALUE!</v>
      </c>
    </row>
    <row r="190" spans="1:256" x14ac:dyDescent="0.2">
      <c r="A190" t="e">
        <f>AND('OTRAS ACCIONES'!H172,"AAAAAE///gA=")</f>
        <v>#VALUE!</v>
      </c>
      <c r="B190" t="e">
        <f>AND('OTRAS ACCIONES'!I172,"AAAAAE///gE=")</f>
        <v>#VALUE!</v>
      </c>
      <c r="C190" t="e">
        <f>AND('OTRAS ACCIONES'!J172,"AAAAAE///gI=")</f>
        <v>#VALUE!</v>
      </c>
      <c r="D190" t="e">
        <f>AND('OTRAS ACCIONES'!K172,"AAAAAE///gM=")</f>
        <v>#VALUE!</v>
      </c>
      <c r="E190" t="e">
        <f>AND('OTRAS ACCIONES'!L172,"AAAAAE///gQ=")</f>
        <v>#VALUE!</v>
      </c>
      <c r="F190" t="e">
        <f>AND('OTRAS ACCIONES'!M172,"AAAAAE///gU=")</f>
        <v>#VALUE!</v>
      </c>
      <c r="G190" t="e">
        <f>AND('OTRAS ACCIONES'!N172,"AAAAAE///gY=")</f>
        <v>#VALUE!</v>
      </c>
      <c r="H190" t="e">
        <f>AND('OTRAS ACCIONES'!O172,"AAAAAE///gc=")</f>
        <v>#VALUE!</v>
      </c>
      <c r="I190" t="e">
        <f>AND('OTRAS ACCIONES'!P172,"AAAAAE///gg=")</f>
        <v>#VALUE!</v>
      </c>
      <c r="J190" t="e">
        <f>AND('OTRAS ACCIONES'!Q172,"AAAAAE///gk=")</f>
        <v>#VALUE!</v>
      </c>
      <c r="K190" t="e">
        <f>AND('OTRAS ACCIONES'!R172,"AAAAAE///go=")</f>
        <v>#VALUE!</v>
      </c>
      <c r="L190">
        <f>IF('OTRAS ACCIONES'!173:173,"AAAAAE///gs=",0)</f>
        <v>0</v>
      </c>
      <c r="M190" t="e">
        <f>AND('OTRAS ACCIONES'!B173,"AAAAAE///gw=")</f>
        <v>#VALUE!</v>
      </c>
      <c r="N190" t="e">
        <f>AND('OTRAS ACCIONES'!C173,"AAAAAE///g0=")</f>
        <v>#VALUE!</v>
      </c>
      <c r="O190" t="e">
        <f>AND('OTRAS ACCIONES'!D173,"AAAAAE///g4=")</f>
        <v>#VALUE!</v>
      </c>
      <c r="P190" t="e">
        <f>AND('OTRAS ACCIONES'!E173,"AAAAAE///g8=")</f>
        <v>#VALUE!</v>
      </c>
      <c r="Q190" t="e">
        <f>AND('OTRAS ACCIONES'!F173,"AAAAAE///hA=")</f>
        <v>#VALUE!</v>
      </c>
      <c r="R190" t="e">
        <f>AND('OTRAS ACCIONES'!G173,"AAAAAE///hE=")</f>
        <v>#VALUE!</v>
      </c>
      <c r="S190" t="e">
        <f>AND('OTRAS ACCIONES'!H173,"AAAAAE///hI=")</f>
        <v>#VALUE!</v>
      </c>
      <c r="T190" t="e">
        <f>AND('OTRAS ACCIONES'!I173,"AAAAAE///hM=")</f>
        <v>#VALUE!</v>
      </c>
      <c r="U190" t="e">
        <f>AND('OTRAS ACCIONES'!J173,"AAAAAE///hQ=")</f>
        <v>#VALUE!</v>
      </c>
      <c r="V190" t="e">
        <f>AND('OTRAS ACCIONES'!K173,"AAAAAE///hU=")</f>
        <v>#VALUE!</v>
      </c>
      <c r="W190" t="e">
        <f>AND('OTRAS ACCIONES'!L173,"AAAAAE///hY=")</f>
        <v>#VALUE!</v>
      </c>
      <c r="X190" t="e">
        <f>AND('OTRAS ACCIONES'!M173,"AAAAAE///hc=")</f>
        <v>#VALUE!</v>
      </c>
      <c r="Y190" t="e">
        <f>AND('OTRAS ACCIONES'!N173,"AAAAAE///hg=")</f>
        <v>#VALUE!</v>
      </c>
      <c r="Z190" t="e">
        <f>AND('OTRAS ACCIONES'!O173,"AAAAAE///hk=")</f>
        <v>#VALUE!</v>
      </c>
      <c r="AA190" t="e">
        <f>AND('OTRAS ACCIONES'!P173,"AAAAAE///ho=")</f>
        <v>#VALUE!</v>
      </c>
      <c r="AB190" t="e">
        <f>AND('OTRAS ACCIONES'!Q173,"AAAAAE///hs=")</f>
        <v>#VALUE!</v>
      </c>
      <c r="AC190" t="e">
        <f>AND('OTRAS ACCIONES'!R173,"AAAAAE///hw=")</f>
        <v>#VALUE!</v>
      </c>
      <c r="AD190">
        <f>IF('OTRAS ACCIONES'!174:174,"AAAAAE///h0=",0)</f>
        <v>0</v>
      </c>
      <c r="AE190" t="e">
        <f>AND('OTRAS ACCIONES'!B174,"AAAAAE///h4=")</f>
        <v>#VALUE!</v>
      </c>
      <c r="AF190" t="e">
        <f>AND('OTRAS ACCIONES'!C174,"AAAAAE///h8=")</f>
        <v>#VALUE!</v>
      </c>
      <c r="AG190" t="e">
        <f>AND('OTRAS ACCIONES'!D174,"AAAAAE///iA=")</f>
        <v>#VALUE!</v>
      </c>
      <c r="AH190" t="e">
        <f>AND('OTRAS ACCIONES'!E174,"AAAAAE///iE=")</f>
        <v>#VALUE!</v>
      </c>
      <c r="AI190" t="e">
        <f>AND('OTRAS ACCIONES'!F174,"AAAAAE///iI=")</f>
        <v>#VALUE!</v>
      </c>
      <c r="AJ190" t="e">
        <f>AND('OTRAS ACCIONES'!G174,"AAAAAE///iM=")</f>
        <v>#VALUE!</v>
      </c>
      <c r="AK190" t="e">
        <f>AND('OTRAS ACCIONES'!H174,"AAAAAE///iQ=")</f>
        <v>#VALUE!</v>
      </c>
      <c r="AL190" t="e">
        <f>AND('OTRAS ACCIONES'!I174,"AAAAAE///iU=")</f>
        <v>#VALUE!</v>
      </c>
      <c r="AM190" t="e">
        <f>AND('OTRAS ACCIONES'!J174,"AAAAAE///iY=")</f>
        <v>#VALUE!</v>
      </c>
      <c r="AN190" t="e">
        <f>AND('OTRAS ACCIONES'!K174,"AAAAAE///ic=")</f>
        <v>#VALUE!</v>
      </c>
      <c r="AO190" t="e">
        <f>AND('OTRAS ACCIONES'!L174,"AAAAAE///ig=")</f>
        <v>#VALUE!</v>
      </c>
      <c r="AP190" t="e">
        <f>AND('OTRAS ACCIONES'!M174,"AAAAAE///ik=")</f>
        <v>#VALUE!</v>
      </c>
      <c r="AQ190" t="e">
        <f>AND('OTRAS ACCIONES'!N174,"AAAAAE///io=")</f>
        <v>#VALUE!</v>
      </c>
      <c r="AR190" t="e">
        <f>AND('OTRAS ACCIONES'!O174,"AAAAAE///is=")</f>
        <v>#VALUE!</v>
      </c>
      <c r="AS190" t="e">
        <f>AND('OTRAS ACCIONES'!P174,"AAAAAE///iw=")</f>
        <v>#VALUE!</v>
      </c>
      <c r="AT190" t="e">
        <f>AND('OTRAS ACCIONES'!Q174,"AAAAAE///i0=")</f>
        <v>#VALUE!</v>
      </c>
      <c r="AU190" t="e">
        <f>AND('OTRAS ACCIONES'!R174,"AAAAAE///i4=")</f>
        <v>#VALUE!</v>
      </c>
      <c r="AV190">
        <f>IF('OTRAS ACCIONES'!175:175,"AAAAAE///i8=",0)</f>
        <v>0</v>
      </c>
      <c r="AW190" t="e">
        <f>AND('OTRAS ACCIONES'!B175,"AAAAAE///jA=")</f>
        <v>#VALUE!</v>
      </c>
      <c r="AX190" t="e">
        <f>AND('OTRAS ACCIONES'!C175,"AAAAAE///jE=")</f>
        <v>#VALUE!</v>
      </c>
      <c r="AY190" t="e">
        <f>AND('OTRAS ACCIONES'!D175,"AAAAAE///jI=")</f>
        <v>#VALUE!</v>
      </c>
      <c r="AZ190" t="e">
        <f>AND('OTRAS ACCIONES'!E175,"AAAAAE///jM=")</f>
        <v>#VALUE!</v>
      </c>
      <c r="BA190" t="e">
        <f>AND('OTRAS ACCIONES'!F175,"AAAAAE///jQ=")</f>
        <v>#VALUE!</v>
      </c>
      <c r="BB190" t="e">
        <f>AND('OTRAS ACCIONES'!G175,"AAAAAE///jU=")</f>
        <v>#VALUE!</v>
      </c>
      <c r="BC190" t="e">
        <f>AND('OTRAS ACCIONES'!H175,"AAAAAE///jY=")</f>
        <v>#VALUE!</v>
      </c>
      <c r="BD190" t="e">
        <f>AND('OTRAS ACCIONES'!I175,"AAAAAE///jc=")</f>
        <v>#VALUE!</v>
      </c>
      <c r="BE190" t="e">
        <f>AND('OTRAS ACCIONES'!J175,"AAAAAE///jg=")</f>
        <v>#VALUE!</v>
      </c>
      <c r="BF190" t="e">
        <f>AND('OTRAS ACCIONES'!K175,"AAAAAE///jk=")</f>
        <v>#VALUE!</v>
      </c>
      <c r="BG190" t="e">
        <f>AND('OTRAS ACCIONES'!L175,"AAAAAE///jo=")</f>
        <v>#VALUE!</v>
      </c>
      <c r="BH190" t="e">
        <f>AND('OTRAS ACCIONES'!M175,"AAAAAE///js=")</f>
        <v>#VALUE!</v>
      </c>
      <c r="BI190" t="e">
        <f>AND('OTRAS ACCIONES'!N175,"AAAAAE///jw=")</f>
        <v>#VALUE!</v>
      </c>
      <c r="BJ190" t="e">
        <f>AND('OTRAS ACCIONES'!O175,"AAAAAE///j0=")</f>
        <v>#VALUE!</v>
      </c>
      <c r="BK190" t="e">
        <f>AND('OTRAS ACCIONES'!P175,"AAAAAE///j4=")</f>
        <v>#VALUE!</v>
      </c>
      <c r="BL190" t="e">
        <f>AND('OTRAS ACCIONES'!Q175,"AAAAAE///j8=")</f>
        <v>#VALUE!</v>
      </c>
      <c r="BM190" t="e">
        <f>AND('OTRAS ACCIONES'!R175,"AAAAAE///kA=")</f>
        <v>#VALUE!</v>
      </c>
      <c r="BN190">
        <f>IF('OTRAS ACCIONES'!176:176,"AAAAAE///kE=",0)</f>
        <v>0</v>
      </c>
      <c r="BO190" t="e">
        <f>AND('OTRAS ACCIONES'!B176,"AAAAAE///kI=")</f>
        <v>#VALUE!</v>
      </c>
      <c r="BP190" t="e">
        <f>AND('OTRAS ACCIONES'!C176,"AAAAAE///kM=")</f>
        <v>#VALUE!</v>
      </c>
      <c r="BQ190" t="e">
        <f>AND('OTRAS ACCIONES'!D176,"AAAAAE///kQ=")</f>
        <v>#VALUE!</v>
      </c>
      <c r="BR190" t="e">
        <f>AND('OTRAS ACCIONES'!E176,"AAAAAE///kU=")</f>
        <v>#VALUE!</v>
      </c>
      <c r="BS190" t="e">
        <f>AND('OTRAS ACCIONES'!F176,"AAAAAE///kY=")</f>
        <v>#VALUE!</v>
      </c>
      <c r="BT190" t="e">
        <f>AND('OTRAS ACCIONES'!G176,"AAAAAE///kc=")</f>
        <v>#VALUE!</v>
      </c>
      <c r="BU190" t="e">
        <f>AND('OTRAS ACCIONES'!H176,"AAAAAE///kg=")</f>
        <v>#VALUE!</v>
      </c>
      <c r="BV190" t="e">
        <f>AND('OTRAS ACCIONES'!I176,"AAAAAE///kk=")</f>
        <v>#VALUE!</v>
      </c>
      <c r="BW190" t="e">
        <f>AND('OTRAS ACCIONES'!J176,"AAAAAE///ko=")</f>
        <v>#VALUE!</v>
      </c>
      <c r="BX190" t="e">
        <f>AND('OTRAS ACCIONES'!K176,"AAAAAE///ks=")</f>
        <v>#VALUE!</v>
      </c>
      <c r="BY190" t="e">
        <f>AND('OTRAS ACCIONES'!L176,"AAAAAE///kw=")</f>
        <v>#VALUE!</v>
      </c>
      <c r="BZ190" t="e">
        <f>AND('OTRAS ACCIONES'!M176,"AAAAAE///k0=")</f>
        <v>#VALUE!</v>
      </c>
      <c r="CA190" t="e">
        <f>AND('OTRAS ACCIONES'!N176,"AAAAAE///k4=")</f>
        <v>#VALUE!</v>
      </c>
      <c r="CB190" t="e">
        <f>AND('OTRAS ACCIONES'!O176,"AAAAAE///k8=")</f>
        <v>#VALUE!</v>
      </c>
      <c r="CC190" t="e">
        <f>AND('OTRAS ACCIONES'!P176,"AAAAAE///lA=")</f>
        <v>#VALUE!</v>
      </c>
      <c r="CD190" t="e">
        <f>AND('OTRAS ACCIONES'!Q176,"AAAAAE///lE=")</f>
        <v>#VALUE!</v>
      </c>
      <c r="CE190" t="e">
        <f>AND('OTRAS ACCIONES'!R176,"AAAAAE///lI=")</f>
        <v>#VALUE!</v>
      </c>
      <c r="CF190">
        <f>IF('OTRAS ACCIONES'!177:177,"AAAAAE///lM=",0)</f>
        <v>0</v>
      </c>
      <c r="CG190" t="e">
        <f>AND('OTRAS ACCIONES'!B177,"AAAAAE///lQ=")</f>
        <v>#VALUE!</v>
      </c>
      <c r="CH190" t="e">
        <f>AND('OTRAS ACCIONES'!C177,"AAAAAE///lU=")</f>
        <v>#VALUE!</v>
      </c>
      <c r="CI190" t="e">
        <f>AND('OTRAS ACCIONES'!D177,"AAAAAE///lY=")</f>
        <v>#VALUE!</v>
      </c>
      <c r="CJ190" t="e">
        <f>AND('OTRAS ACCIONES'!E177,"AAAAAE///lc=")</f>
        <v>#VALUE!</v>
      </c>
      <c r="CK190" t="e">
        <f>AND('OTRAS ACCIONES'!F177,"AAAAAE///lg=")</f>
        <v>#VALUE!</v>
      </c>
      <c r="CL190" t="e">
        <f>AND('OTRAS ACCIONES'!G177,"AAAAAE///lk=")</f>
        <v>#VALUE!</v>
      </c>
      <c r="CM190" t="e">
        <f>AND('OTRAS ACCIONES'!H177,"AAAAAE///lo=")</f>
        <v>#VALUE!</v>
      </c>
      <c r="CN190" t="e">
        <f>AND('OTRAS ACCIONES'!I177,"AAAAAE///ls=")</f>
        <v>#VALUE!</v>
      </c>
      <c r="CO190" t="e">
        <f>AND('OTRAS ACCIONES'!J177,"AAAAAE///lw=")</f>
        <v>#VALUE!</v>
      </c>
      <c r="CP190" t="e">
        <f>AND('OTRAS ACCIONES'!K177,"AAAAAE///l0=")</f>
        <v>#VALUE!</v>
      </c>
      <c r="CQ190" t="e">
        <f>AND('OTRAS ACCIONES'!L177,"AAAAAE///l4=")</f>
        <v>#VALUE!</v>
      </c>
      <c r="CR190" t="e">
        <f>AND('OTRAS ACCIONES'!M177,"AAAAAE///l8=")</f>
        <v>#VALUE!</v>
      </c>
      <c r="CS190" t="e">
        <f>AND('OTRAS ACCIONES'!N177,"AAAAAE///mA=")</f>
        <v>#VALUE!</v>
      </c>
      <c r="CT190" t="e">
        <f>AND('OTRAS ACCIONES'!O177,"AAAAAE///mE=")</f>
        <v>#VALUE!</v>
      </c>
      <c r="CU190" t="e">
        <f>AND('OTRAS ACCIONES'!P177,"AAAAAE///mI=")</f>
        <v>#VALUE!</v>
      </c>
      <c r="CV190" t="e">
        <f>AND('OTRAS ACCIONES'!Q177,"AAAAAE///mM=")</f>
        <v>#VALUE!</v>
      </c>
      <c r="CW190" t="e">
        <f>AND('OTRAS ACCIONES'!R177,"AAAAAE///mQ=")</f>
        <v>#VALUE!</v>
      </c>
      <c r="CX190">
        <f>IF('OTRAS ACCIONES'!178:178,"AAAAAE///mU=",0)</f>
        <v>0</v>
      </c>
      <c r="CY190" t="e">
        <f>AND('OTRAS ACCIONES'!B178,"AAAAAE///mY=")</f>
        <v>#VALUE!</v>
      </c>
      <c r="CZ190" t="e">
        <f>AND('OTRAS ACCIONES'!C178,"AAAAAE///mc=")</f>
        <v>#VALUE!</v>
      </c>
      <c r="DA190" t="e">
        <f>AND('OTRAS ACCIONES'!D178,"AAAAAE///mg=")</f>
        <v>#VALUE!</v>
      </c>
      <c r="DB190" t="e">
        <f>AND('OTRAS ACCIONES'!E178,"AAAAAE///mk=")</f>
        <v>#VALUE!</v>
      </c>
      <c r="DC190" t="e">
        <f>AND('OTRAS ACCIONES'!F178,"AAAAAE///mo=")</f>
        <v>#VALUE!</v>
      </c>
      <c r="DD190" t="e">
        <f>AND('OTRAS ACCIONES'!G178,"AAAAAE///ms=")</f>
        <v>#VALUE!</v>
      </c>
      <c r="DE190" t="e">
        <f>AND('OTRAS ACCIONES'!H178,"AAAAAE///mw=")</f>
        <v>#VALUE!</v>
      </c>
      <c r="DF190" t="e">
        <f>AND('OTRAS ACCIONES'!I178,"AAAAAE///m0=")</f>
        <v>#VALUE!</v>
      </c>
      <c r="DG190" t="e">
        <f>AND('OTRAS ACCIONES'!J178,"AAAAAE///m4=")</f>
        <v>#VALUE!</v>
      </c>
      <c r="DH190" t="e">
        <f>AND('OTRAS ACCIONES'!K178,"AAAAAE///m8=")</f>
        <v>#VALUE!</v>
      </c>
      <c r="DI190" t="e">
        <f>AND('OTRAS ACCIONES'!L178,"AAAAAE///nA=")</f>
        <v>#VALUE!</v>
      </c>
      <c r="DJ190" t="e">
        <f>AND('OTRAS ACCIONES'!M178,"AAAAAE///nE=")</f>
        <v>#VALUE!</v>
      </c>
      <c r="DK190" t="e">
        <f>AND('OTRAS ACCIONES'!N178,"AAAAAE///nI=")</f>
        <v>#VALUE!</v>
      </c>
      <c r="DL190" t="e">
        <f>AND('OTRAS ACCIONES'!O178,"AAAAAE///nM=")</f>
        <v>#VALUE!</v>
      </c>
      <c r="DM190" t="e">
        <f>AND('OTRAS ACCIONES'!P178,"AAAAAE///nQ=")</f>
        <v>#VALUE!</v>
      </c>
      <c r="DN190" t="e">
        <f>AND('OTRAS ACCIONES'!Q178,"AAAAAE///nU=")</f>
        <v>#VALUE!</v>
      </c>
      <c r="DO190" t="e">
        <f>AND('OTRAS ACCIONES'!R178,"AAAAAE///nY=")</f>
        <v>#VALUE!</v>
      </c>
      <c r="DP190">
        <f>IF('OTRAS ACCIONES'!179:179,"AAAAAE///nc=",0)</f>
        <v>0</v>
      </c>
      <c r="DQ190" t="e">
        <f>AND('OTRAS ACCIONES'!B179,"AAAAAE///ng=")</f>
        <v>#VALUE!</v>
      </c>
      <c r="DR190" t="e">
        <f>AND('OTRAS ACCIONES'!C179,"AAAAAE///nk=")</f>
        <v>#VALUE!</v>
      </c>
      <c r="DS190" t="e">
        <f>AND('OTRAS ACCIONES'!D179,"AAAAAE///no=")</f>
        <v>#VALUE!</v>
      </c>
      <c r="DT190" t="e">
        <f>AND('OTRAS ACCIONES'!E179,"AAAAAE///ns=")</f>
        <v>#VALUE!</v>
      </c>
      <c r="DU190" t="e">
        <f>AND('OTRAS ACCIONES'!F179,"AAAAAE///nw=")</f>
        <v>#VALUE!</v>
      </c>
      <c r="DV190" t="e">
        <f>AND('OTRAS ACCIONES'!G179,"AAAAAE///n0=")</f>
        <v>#VALUE!</v>
      </c>
      <c r="DW190" t="e">
        <f>AND('OTRAS ACCIONES'!H179,"AAAAAE///n4=")</f>
        <v>#VALUE!</v>
      </c>
      <c r="DX190" t="e">
        <f>AND('OTRAS ACCIONES'!I179,"AAAAAE///n8=")</f>
        <v>#VALUE!</v>
      </c>
      <c r="DY190" t="e">
        <f>AND('OTRAS ACCIONES'!J179,"AAAAAE///oA=")</f>
        <v>#VALUE!</v>
      </c>
      <c r="DZ190" t="e">
        <f>AND('OTRAS ACCIONES'!K179,"AAAAAE///oE=")</f>
        <v>#VALUE!</v>
      </c>
      <c r="EA190" t="e">
        <f>AND('OTRAS ACCIONES'!L179,"AAAAAE///oI=")</f>
        <v>#VALUE!</v>
      </c>
      <c r="EB190" t="e">
        <f>AND('OTRAS ACCIONES'!M179,"AAAAAE///oM=")</f>
        <v>#VALUE!</v>
      </c>
      <c r="EC190" t="e">
        <f>AND('OTRAS ACCIONES'!N179,"AAAAAE///oQ=")</f>
        <v>#VALUE!</v>
      </c>
      <c r="ED190" t="e">
        <f>AND('OTRAS ACCIONES'!O179,"AAAAAE///oU=")</f>
        <v>#VALUE!</v>
      </c>
      <c r="EE190" t="e">
        <f>AND('OTRAS ACCIONES'!P179,"AAAAAE///oY=")</f>
        <v>#VALUE!</v>
      </c>
      <c r="EF190" t="e">
        <f>AND('OTRAS ACCIONES'!Q179,"AAAAAE///oc=")</f>
        <v>#VALUE!</v>
      </c>
      <c r="EG190" t="e">
        <f>AND('OTRAS ACCIONES'!R179,"AAAAAE///og=")</f>
        <v>#VALUE!</v>
      </c>
      <c r="EH190">
        <f>IF('OTRAS ACCIONES'!180:180,"AAAAAE///ok=",0)</f>
        <v>0</v>
      </c>
      <c r="EI190" t="e">
        <f>AND('OTRAS ACCIONES'!B180,"AAAAAE///oo=")</f>
        <v>#VALUE!</v>
      </c>
      <c r="EJ190" t="e">
        <f>AND('OTRAS ACCIONES'!C180,"AAAAAE///os=")</f>
        <v>#VALUE!</v>
      </c>
      <c r="EK190" t="e">
        <f>AND('OTRAS ACCIONES'!D180,"AAAAAE///ow=")</f>
        <v>#VALUE!</v>
      </c>
      <c r="EL190" t="e">
        <f>AND('OTRAS ACCIONES'!E180,"AAAAAE///o0=")</f>
        <v>#VALUE!</v>
      </c>
      <c r="EM190" t="e">
        <f>AND('OTRAS ACCIONES'!F180,"AAAAAE///o4=")</f>
        <v>#VALUE!</v>
      </c>
      <c r="EN190" t="e">
        <f>AND('OTRAS ACCIONES'!G180,"AAAAAE///o8=")</f>
        <v>#VALUE!</v>
      </c>
      <c r="EO190" t="e">
        <f>AND('OTRAS ACCIONES'!H180,"AAAAAE///pA=")</f>
        <v>#VALUE!</v>
      </c>
      <c r="EP190" t="e">
        <f>AND('OTRAS ACCIONES'!I180,"AAAAAE///pE=")</f>
        <v>#VALUE!</v>
      </c>
      <c r="EQ190" t="e">
        <f>AND('OTRAS ACCIONES'!J180,"AAAAAE///pI=")</f>
        <v>#VALUE!</v>
      </c>
      <c r="ER190" t="e">
        <f>AND('OTRAS ACCIONES'!K180,"AAAAAE///pM=")</f>
        <v>#VALUE!</v>
      </c>
      <c r="ES190" t="e">
        <f>AND('OTRAS ACCIONES'!L180,"AAAAAE///pQ=")</f>
        <v>#VALUE!</v>
      </c>
      <c r="ET190" t="e">
        <f>AND('OTRAS ACCIONES'!M180,"AAAAAE///pU=")</f>
        <v>#VALUE!</v>
      </c>
      <c r="EU190" t="e">
        <f>AND('OTRAS ACCIONES'!N180,"AAAAAE///pY=")</f>
        <v>#VALUE!</v>
      </c>
      <c r="EV190" t="e">
        <f>AND('OTRAS ACCIONES'!O180,"AAAAAE///pc=")</f>
        <v>#VALUE!</v>
      </c>
      <c r="EW190" t="e">
        <f>AND('OTRAS ACCIONES'!P180,"AAAAAE///pg=")</f>
        <v>#VALUE!</v>
      </c>
      <c r="EX190" t="e">
        <f>AND('OTRAS ACCIONES'!Q180,"AAAAAE///pk=")</f>
        <v>#VALUE!</v>
      </c>
      <c r="EY190" t="e">
        <f>AND('OTRAS ACCIONES'!R180,"AAAAAE///po=")</f>
        <v>#VALUE!</v>
      </c>
      <c r="EZ190">
        <f>IF('OTRAS ACCIONES'!181:181,"AAAAAE///ps=",0)</f>
        <v>0</v>
      </c>
      <c r="FA190" t="e">
        <f>AND('OTRAS ACCIONES'!B181,"AAAAAE///pw=")</f>
        <v>#VALUE!</v>
      </c>
      <c r="FB190" t="e">
        <f>AND('OTRAS ACCIONES'!C181,"AAAAAE///p0=")</f>
        <v>#VALUE!</v>
      </c>
      <c r="FC190" t="e">
        <f>AND('OTRAS ACCIONES'!D181,"AAAAAE///p4=")</f>
        <v>#VALUE!</v>
      </c>
      <c r="FD190" t="e">
        <f>AND('OTRAS ACCIONES'!E181,"AAAAAE///p8=")</f>
        <v>#VALUE!</v>
      </c>
      <c r="FE190" t="e">
        <f>AND('OTRAS ACCIONES'!F181,"AAAAAE///qA=")</f>
        <v>#VALUE!</v>
      </c>
      <c r="FF190" t="e">
        <f>AND('OTRAS ACCIONES'!G181,"AAAAAE///qE=")</f>
        <v>#VALUE!</v>
      </c>
      <c r="FG190" t="e">
        <f>AND('OTRAS ACCIONES'!H181,"AAAAAE///qI=")</f>
        <v>#VALUE!</v>
      </c>
      <c r="FH190" t="e">
        <f>AND('OTRAS ACCIONES'!I181,"AAAAAE///qM=")</f>
        <v>#VALUE!</v>
      </c>
      <c r="FI190" t="e">
        <f>AND('OTRAS ACCIONES'!J181,"AAAAAE///qQ=")</f>
        <v>#VALUE!</v>
      </c>
      <c r="FJ190" t="e">
        <f>AND('OTRAS ACCIONES'!K181,"AAAAAE///qU=")</f>
        <v>#VALUE!</v>
      </c>
      <c r="FK190" t="e">
        <f>AND('OTRAS ACCIONES'!L181,"AAAAAE///qY=")</f>
        <v>#VALUE!</v>
      </c>
      <c r="FL190" t="e">
        <f>AND('OTRAS ACCIONES'!M181,"AAAAAE///qc=")</f>
        <v>#VALUE!</v>
      </c>
      <c r="FM190" t="e">
        <f>AND('OTRAS ACCIONES'!N181,"AAAAAE///qg=")</f>
        <v>#VALUE!</v>
      </c>
      <c r="FN190" t="e">
        <f>AND('OTRAS ACCIONES'!O181,"AAAAAE///qk=")</f>
        <v>#VALUE!</v>
      </c>
      <c r="FO190" t="e">
        <f>AND('OTRAS ACCIONES'!P181,"AAAAAE///qo=")</f>
        <v>#VALUE!</v>
      </c>
      <c r="FP190" t="e">
        <f>AND('OTRAS ACCIONES'!Q181,"AAAAAE///qs=")</f>
        <v>#VALUE!</v>
      </c>
      <c r="FQ190" t="e">
        <f>AND('OTRAS ACCIONES'!R181,"AAAAAE///qw=")</f>
        <v>#VALUE!</v>
      </c>
      <c r="FR190">
        <f>IF('OTRAS ACCIONES'!182:182,"AAAAAE///q0=",0)</f>
        <v>0</v>
      </c>
      <c r="FS190" t="e">
        <f>AND('OTRAS ACCIONES'!B182,"AAAAAE///q4=")</f>
        <v>#VALUE!</v>
      </c>
      <c r="FT190" t="e">
        <f>AND('OTRAS ACCIONES'!C182,"AAAAAE///q8=")</f>
        <v>#VALUE!</v>
      </c>
      <c r="FU190" t="e">
        <f>AND('OTRAS ACCIONES'!D182,"AAAAAE///rA=")</f>
        <v>#VALUE!</v>
      </c>
      <c r="FV190" t="e">
        <f>AND('OTRAS ACCIONES'!E182,"AAAAAE///rE=")</f>
        <v>#VALUE!</v>
      </c>
      <c r="FW190" t="e">
        <f>AND('OTRAS ACCIONES'!F182,"AAAAAE///rI=")</f>
        <v>#VALUE!</v>
      </c>
      <c r="FX190" t="e">
        <f>AND('OTRAS ACCIONES'!G182,"AAAAAE///rM=")</f>
        <v>#VALUE!</v>
      </c>
      <c r="FY190" t="e">
        <f>AND('OTRAS ACCIONES'!H182,"AAAAAE///rQ=")</f>
        <v>#VALUE!</v>
      </c>
      <c r="FZ190" t="e">
        <f>AND('OTRAS ACCIONES'!I182,"AAAAAE///rU=")</f>
        <v>#VALUE!</v>
      </c>
      <c r="GA190" t="e">
        <f>AND('OTRAS ACCIONES'!J182,"AAAAAE///rY=")</f>
        <v>#VALUE!</v>
      </c>
      <c r="GB190" t="e">
        <f>AND('OTRAS ACCIONES'!K182,"AAAAAE///rc=")</f>
        <v>#VALUE!</v>
      </c>
      <c r="GC190" t="e">
        <f>AND('OTRAS ACCIONES'!L182,"AAAAAE///rg=")</f>
        <v>#VALUE!</v>
      </c>
      <c r="GD190" t="e">
        <f>AND('OTRAS ACCIONES'!M182,"AAAAAE///rk=")</f>
        <v>#VALUE!</v>
      </c>
      <c r="GE190" t="e">
        <f>AND('OTRAS ACCIONES'!N182,"AAAAAE///ro=")</f>
        <v>#VALUE!</v>
      </c>
      <c r="GF190" t="e">
        <f>AND('OTRAS ACCIONES'!O182,"AAAAAE///rs=")</f>
        <v>#VALUE!</v>
      </c>
      <c r="GG190" t="e">
        <f>AND('OTRAS ACCIONES'!P182,"AAAAAE///rw=")</f>
        <v>#VALUE!</v>
      </c>
      <c r="GH190" t="e">
        <f>AND('OTRAS ACCIONES'!Q182,"AAAAAE///r0=")</f>
        <v>#VALUE!</v>
      </c>
      <c r="GI190" t="e">
        <f>AND('OTRAS ACCIONES'!R182,"AAAAAE///r4=")</f>
        <v>#VALUE!</v>
      </c>
      <c r="GJ190">
        <f>IF('OTRAS ACCIONES'!183:183,"AAAAAE///r8=",0)</f>
        <v>0</v>
      </c>
      <c r="GK190" t="e">
        <f>AND('OTRAS ACCIONES'!B183,"AAAAAE///sA=")</f>
        <v>#VALUE!</v>
      </c>
      <c r="GL190" t="e">
        <f>AND('OTRAS ACCIONES'!C183,"AAAAAE///sE=")</f>
        <v>#VALUE!</v>
      </c>
      <c r="GM190" t="e">
        <f>AND('OTRAS ACCIONES'!D183,"AAAAAE///sI=")</f>
        <v>#VALUE!</v>
      </c>
      <c r="GN190" t="e">
        <f>AND('OTRAS ACCIONES'!E183,"AAAAAE///sM=")</f>
        <v>#VALUE!</v>
      </c>
      <c r="GO190" t="e">
        <f>AND('OTRAS ACCIONES'!F183,"AAAAAE///sQ=")</f>
        <v>#VALUE!</v>
      </c>
      <c r="GP190" t="e">
        <f>AND('OTRAS ACCIONES'!G183,"AAAAAE///sU=")</f>
        <v>#VALUE!</v>
      </c>
      <c r="GQ190" t="e">
        <f>AND('OTRAS ACCIONES'!H183,"AAAAAE///sY=")</f>
        <v>#VALUE!</v>
      </c>
      <c r="GR190" t="e">
        <f>AND('OTRAS ACCIONES'!I183,"AAAAAE///sc=")</f>
        <v>#VALUE!</v>
      </c>
      <c r="GS190" t="e">
        <f>AND('OTRAS ACCIONES'!J183,"AAAAAE///sg=")</f>
        <v>#VALUE!</v>
      </c>
      <c r="GT190" t="e">
        <f>AND('OTRAS ACCIONES'!K183,"AAAAAE///sk=")</f>
        <v>#VALUE!</v>
      </c>
      <c r="GU190" t="e">
        <f>AND('OTRAS ACCIONES'!L183,"AAAAAE///so=")</f>
        <v>#VALUE!</v>
      </c>
      <c r="GV190" t="e">
        <f>AND('OTRAS ACCIONES'!M183,"AAAAAE///ss=")</f>
        <v>#VALUE!</v>
      </c>
      <c r="GW190" t="e">
        <f>AND('OTRAS ACCIONES'!N183,"AAAAAE///sw=")</f>
        <v>#VALUE!</v>
      </c>
      <c r="GX190" t="e">
        <f>AND('OTRAS ACCIONES'!O183,"AAAAAE///s0=")</f>
        <v>#VALUE!</v>
      </c>
      <c r="GY190" t="e">
        <f>AND('OTRAS ACCIONES'!P183,"AAAAAE///s4=")</f>
        <v>#VALUE!</v>
      </c>
      <c r="GZ190" t="e">
        <f>AND('OTRAS ACCIONES'!Q183,"AAAAAE///s8=")</f>
        <v>#VALUE!</v>
      </c>
      <c r="HA190" t="e">
        <f>AND('OTRAS ACCIONES'!R183,"AAAAAE///tA=")</f>
        <v>#VALUE!</v>
      </c>
      <c r="HB190">
        <f>IF('OTRAS ACCIONES'!184:184,"AAAAAE///tE=",0)</f>
        <v>0</v>
      </c>
      <c r="HC190" t="e">
        <f>AND('OTRAS ACCIONES'!B184,"AAAAAE///tI=")</f>
        <v>#VALUE!</v>
      </c>
      <c r="HD190" t="e">
        <f>AND('OTRAS ACCIONES'!C184,"AAAAAE///tM=")</f>
        <v>#VALUE!</v>
      </c>
      <c r="HE190" t="e">
        <f>AND('OTRAS ACCIONES'!D184,"AAAAAE///tQ=")</f>
        <v>#VALUE!</v>
      </c>
      <c r="HF190" t="e">
        <f>AND('OTRAS ACCIONES'!E184,"AAAAAE///tU=")</f>
        <v>#VALUE!</v>
      </c>
      <c r="HG190" t="e">
        <f>AND('OTRAS ACCIONES'!F184,"AAAAAE///tY=")</f>
        <v>#VALUE!</v>
      </c>
      <c r="HH190" t="e">
        <f>AND('OTRAS ACCIONES'!G184,"AAAAAE///tc=")</f>
        <v>#VALUE!</v>
      </c>
      <c r="HI190" t="e">
        <f>AND('OTRAS ACCIONES'!H184,"AAAAAE///tg=")</f>
        <v>#VALUE!</v>
      </c>
      <c r="HJ190" t="e">
        <f>AND('OTRAS ACCIONES'!I184,"AAAAAE///tk=")</f>
        <v>#VALUE!</v>
      </c>
      <c r="HK190" t="e">
        <f>AND('OTRAS ACCIONES'!J184,"AAAAAE///to=")</f>
        <v>#VALUE!</v>
      </c>
      <c r="HL190" t="e">
        <f>AND('OTRAS ACCIONES'!K184,"AAAAAE///ts=")</f>
        <v>#VALUE!</v>
      </c>
      <c r="HM190" t="e">
        <f>AND('OTRAS ACCIONES'!L184,"AAAAAE///tw=")</f>
        <v>#VALUE!</v>
      </c>
      <c r="HN190" t="e">
        <f>AND('OTRAS ACCIONES'!M184,"AAAAAE///t0=")</f>
        <v>#VALUE!</v>
      </c>
      <c r="HO190" t="e">
        <f>AND('OTRAS ACCIONES'!N184,"AAAAAE///t4=")</f>
        <v>#VALUE!</v>
      </c>
      <c r="HP190" t="e">
        <f>AND('OTRAS ACCIONES'!O184,"AAAAAE///t8=")</f>
        <v>#VALUE!</v>
      </c>
      <c r="HQ190" t="e">
        <f>AND('OTRAS ACCIONES'!P184,"AAAAAE///uA=")</f>
        <v>#VALUE!</v>
      </c>
      <c r="HR190" t="e">
        <f>AND('OTRAS ACCIONES'!Q184,"AAAAAE///uE=")</f>
        <v>#VALUE!</v>
      </c>
      <c r="HS190" t="e">
        <f>AND('OTRAS ACCIONES'!R184,"AAAAAE///uI=")</f>
        <v>#VALUE!</v>
      </c>
      <c r="HT190">
        <f>IF('OTRAS ACCIONES'!185:185,"AAAAAE///uM=",0)</f>
        <v>0</v>
      </c>
      <c r="HU190" t="e">
        <f>AND('OTRAS ACCIONES'!B185,"AAAAAE///uQ=")</f>
        <v>#VALUE!</v>
      </c>
      <c r="HV190" t="e">
        <f>AND('OTRAS ACCIONES'!C185,"AAAAAE///uU=")</f>
        <v>#VALUE!</v>
      </c>
      <c r="HW190" t="e">
        <f>AND('OTRAS ACCIONES'!D185,"AAAAAE///uY=")</f>
        <v>#VALUE!</v>
      </c>
      <c r="HX190" t="e">
        <f>AND('OTRAS ACCIONES'!E185,"AAAAAE///uc=")</f>
        <v>#VALUE!</v>
      </c>
      <c r="HY190" t="e">
        <f>AND('OTRAS ACCIONES'!F185,"AAAAAE///ug=")</f>
        <v>#VALUE!</v>
      </c>
      <c r="HZ190" t="e">
        <f>AND('OTRAS ACCIONES'!G185,"AAAAAE///uk=")</f>
        <v>#VALUE!</v>
      </c>
      <c r="IA190" t="e">
        <f>AND('OTRAS ACCIONES'!H185,"AAAAAE///uo=")</f>
        <v>#VALUE!</v>
      </c>
      <c r="IB190" t="e">
        <f>AND('OTRAS ACCIONES'!I185,"AAAAAE///us=")</f>
        <v>#VALUE!</v>
      </c>
      <c r="IC190" t="e">
        <f>AND('OTRAS ACCIONES'!J185,"AAAAAE///uw=")</f>
        <v>#VALUE!</v>
      </c>
      <c r="ID190" t="e">
        <f>AND('OTRAS ACCIONES'!K185,"AAAAAE///u0=")</f>
        <v>#VALUE!</v>
      </c>
      <c r="IE190" t="e">
        <f>AND('OTRAS ACCIONES'!L185,"AAAAAE///u4=")</f>
        <v>#VALUE!</v>
      </c>
      <c r="IF190" t="e">
        <f>AND('OTRAS ACCIONES'!M185,"AAAAAE///u8=")</f>
        <v>#VALUE!</v>
      </c>
      <c r="IG190" t="e">
        <f>AND('OTRAS ACCIONES'!N185,"AAAAAE///vA=")</f>
        <v>#VALUE!</v>
      </c>
      <c r="IH190" t="e">
        <f>AND('OTRAS ACCIONES'!O185,"AAAAAE///vE=")</f>
        <v>#VALUE!</v>
      </c>
      <c r="II190" t="e">
        <f>AND('OTRAS ACCIONES'!P185,"AAAAAE///vI=")</f>
        <v>#VALUE!</v>
      </c>
      <c r="IJ190" t="e">
        <f>AND('OTRAS ACCIONES'!Q185,"AAAAAE///vM=")</f>
        <v>#VALUE!</v>
      </c>
      <c r="IK190" t="e">
        <f>AND('OTRAS ACCIONES'!R185,"AAAAAE///vQ=")</f>
        <v>#VALUE!</v>
      </c>
      <c r="IL190">
        <f>IF('OTRAS ACCIONES'!186:186,"AAAAAE///vU=",0)</f>
        <v>0</v>
      </c>
      <c r="IM190" t="e">
        <f>AND('OTRAS ACCIONES'!B186,"AAAAAE///vY=")</f>
        <v>#VALUE!</v>
      </c>
      <c r="IN190" t="e">
        <f>AND('OTRAS ACCIONES'!C186,"AAAAAE///vc=")</f>
        <v>#VALUE!</v>
      </c>
      <c r="IO190" t="e">
        <f>AND('OTRAS ACCIONES'!D186,"AAAAAE///vg=")</f>
        <v>#VALUE!</v>
      </c>
      <c r="IP190" t="e">
        <f>AND('OTRAS ACCIONES'!E186,"AAAAAE///vk=")</f>
        <v>#VALUE!</v>
      </c>
      <c r="IQ190" t="e">
        <f>AND('OTRAS ACCIONES'!F186,"AAAAAE///vo=")</f>
        <v>#VALUE!</v>
      </c>
      <c r="IR190" t="e">
        <f>AND('OTRAS ACCIONES'!G186,"AAAAAE///vs=")</f>
        <v>#VALUE!</v>
      </c>
      <c r="IS190" t="e">
        <f>AND('OTRAS ACCIONES'!H186,"AAAAAE///vw=")</f>
        <v>#VALUE!</v>
      </c>
      <c r="IT190" t="e">
        <f>AND('OTRAS ACCIONES'!I186,"AAAAAE///v0=")</f>
        <v>#VALUE!</v>
      </c>
      <c r="IU190" t="e">
        <f>AND('OTRAS ACCIONES'!J186,"AAAAAE///v4=")</f>
        <v>#VALUE!</v>
      </c>
      <c r="IV190" t="e">
        <f>AND('OTRAS ACCIONES'!K186,"AAAAAE///v8=")</f>
        <v>#VALUE!</v>
      </c>
    </row>
    <row r="191" spans="1:256" x14ac:dyDescent="0.2">
      <c r="A191" t="e">
        <f>AND('OTRAS ACCIONES'!L186,"AAAAAD69XgA=")</f>
        <v>#VALUE!</v>
      </c>
      <c r="B191" t="e">
        <f>AND('OTRAS ACCIONES'!M186,"AAAAAD69XgE=")</f>
        <v>#VALUE!</v>
      </c>
      <c r="C191" t="e">
        <f>AND('OTRAS ACCIONES'!N186,"AAAAAD69XgI=")</f>
        <v>#VALUE!</v>
      </c>
      <c r="D191" t="e">
        <f>AND('OTRAS ACCIONES'!O186,"AAAAAD69XgM=")</f>
        <v>#VALUE!</v>
      </c>
      <c r="E191" t="e">
        <f>AND('OTRAS ACCIONES'!P186,"AAAAAD69XgQ=")</f>
        <v>#VALUE!</v>
      </c>
      <c r="F191" t="e">
        <f>AND('OTRAS ACCIONES'!Q186,"AAAAAD69XgU=")</f>
        <v>#VALUE!</v>
      </c>
      <c r="G191" t="e">
        <f>AND('OTRAS ACCIONES'!R186,"AAAAAD69XgY=")</f>
        <v>#VALUE!</v>
      </c>
      <c r="H191">
        <f>IF('OTRAS ACCIONES'!187:187,"AAAAAD69Xgc=",0)</f>
        <v>0</v>
      </c>
      <c r="I191" t="e">
        <f>AND('OTRAS ACCIONES'!B187,"AAAAAD69Xgg=")</f>
        <v>#VALUE!</v>
      </c>
      <c r="J191" t="e">
        <f>AND('OTRAS ACCIONES'!C187,"AAAAAD69Xgk=")</f>
        <v>#VALUE!</v>
      </c>
      <c r="K191" t="e">
        <f>AND('OTRAS ACCIONES'!D187,"AAAAAD69Xgo=")</f>
        <v>#VALUE!</v>
      </c>
      <c r="L191" t="e">
        <f>AND('OTRAS ACCIONES'!E187,"AAAAAD69Xgs=")</f>
        <v>#VALUE!</v>
      </c>
      <c r="M191" t="e">
        <f>AND('OTRAS ACCIONES'!F187,"AAAAAD69Xgw=")</f>
        <v>#VALUE!</v>
      </c>
      <c r="N191" t="e">
        <f>AND('OTRAS ACCIONES'!G187,"AAAAAD69Xg0=")</f>
        <v>#VALUE!</v>
      </c>
      <c r="O191" t="e">
        <f>AND('OTRAS ACCIONES'!H187,"AAAAAD69Xg4=")</f>
        <v>#VALUE!</v>
      </c>
      <c r="P191" t="e">
        <f>AND('OTRAS ACCIONES'!I187,"AAAAAD69Xg8=")</f>
        <v>#VALUE!</v>
      </c>
      <c r="Q191" t="e">
        <f>AND('OTRAS ACCIONES'!J187,"AAAAAD69XhA=")</f>
        <v>#VALUE!</v>
      </c>
      <c r="R191" t="e">
        <f>AND('OTRAS ACCIONES'!K187,"AAAAAD69XhE=")</f>
        <v>#VALUE!</v>
      </c>
      <c r="S191" t="e">
        <f>AND('OTRAS ACCIONES'!L187,"AAAAAD69XhI=")</f>
        <v>#VALUE!</v>
      </c>
      <c r="T191" t="e">
        <f>AND('OTRAS ACCIONES'!M187,"AAAAAD69XhM=")</f>
        <v>#VALUE!</v>
      </c>
      <c r="U191" t="e">
        <f>AND('OTRAS ACCIONES'!N187,"AAAAAD69XhQ=")</f>
        <v>#VALUE!</v>
      </c>
      <c r="V191" t="e">
        <f>AND('OTRAS ACCIONES'!O187,"AAAAAD69XhU=")</f>
        <v>#VALUE!</v>
      </c>
      <c r="W191" t="e">
        <f>AND('OTRAS ACCIONES'!P187,"AAAAAD69XhY=")</f>
        <v>#VALUE!</v>
      </c>
      <c r="X191" t="e">
        <f>AND('OTRAS ACCIONES'!Q187,"AAAAAD69Xhc=")</f>
        <v>#VALUE!</v>
      </c>
      <c r="Y191" t="e">
        <f>AND('OTRAS ACCIONES'!R187,"AAAAAD69Xhg=")</f>
        <v>#VALUE!</v>
      </c>
      <c r="Z191">
        <f>IF('OTRAS ACCIONES'!188:188,"AAAAAD69Xhk=",0)</f>
        <v>0</v>
      </c>
      <c r="AA191" t="e">
        <f>AND('OTRAS ACCIONES'!B188,"AAAAAD69Xho=")</f>
        <v>#VALUE!</v>
      </c>
      <c r="AB191" t="e">
        <f>AND('OTRAS ACCIONES'!C188,"AAAAAD69Xhs=")</f>
        <v>#VALUE!</v>
      </c>
      <c r="AC191" t="e">
        <f>AND('OTRAS ACCIONES'!D188,"AAAAAD69Xhw=")</f>
        <v>#VALUE!</v>
      </c>
      <c r="AD191" t="e">
        <f>AND('OTRAS ACCIONES'!E188,"AAAAAD69Xh0=")</f>
        <v>#VALUE!</v>
      </c>
      <c r="AE191" t="e">
        <f>AND('OTRAS ACCIONES'!F188,"AAAAAD69Xh4=")</f>
        <v>#VALUE!</v>
      </c>
      <c r="AF191" t="e">
        <f>AND('OTRAS ACCIONES'!G188,"AAAAAD69Xh8=")</f>
        <v>#VALUE!</v>
      </c>
      <c r="AG191" t="e">
        <f>AND('OTRAS ACCIONES'!H188,"AAAAAD69XiA=")</f>
        <v>#VALUE!</v>
      </c>
      <c r="AH191" t="e">
        <f>AND('OTRAS ACCIONES'!I188,"AAAAAD69XiE=")</f>
        <v>#VALUE!</v>
      </c>
      <c r="AI191" t="e">
        <f>AND('OTRAS ACCIONES'!J188,"AAAAAD69XiI=")</f>
        <v>#VALUE!</v>
      </c>
      <c r="AJ191" t="e">
        <f>AND('OTRAS ACCIONES'!K188,"AAAAAD69XiM=")</f>
        <v>#VALUE!</v>
      </c>
      <c r="AK191" t="e">
        <f>AND('OTRAS ACCIONES'!L188,"AAAAAD69XiQ=")</f>
        <v>#VALUE!</v>
      </c>
      <c r="AL191" t="e">
        <f>AND('OTRAS ACCIONES'!M188,"AAAAAD69XiU=")</f>
        <v>#VALUE!</v>
      </c>
      <c r="AM191" t="e">
        <f>AND('OTRAS ACCIONES'!N188,"AAAAAD69XiY=")</f>
        <v>#VALUE!</v>
      </c>
      <c r="AN191" t="e">
        <f>AND('OTRAS ACCIONES'!O188,"AAAAAD69Xic=")</f>
        <v>#VALUE!</v>
      </c>
      <c r="AO191" t="e">
        <f>AND('OTRAS ACCIONES'!P188,"AAAAAD69Xig=")</f>
        <v>#VALUE!</v>
      </c>
      <c r="AP191" t="e">
        <f>AND('OTRAS ACCIONES'!Q188,"AAAAAD69Xik=")</f>
        <v>#VALUE!</v>
      </c>
      <c r="AQ191" t="e">
        <f>AND('OTRAS ACCIONES'!R188,"AAAAAD69Xio=")</f>
        <v>#VALUE!</v>
      </c>
      <c r="AR191">
        <f>IF('OTRAS ACCIONES'!189:189,"AAAAAD69Xis=",0)</f>
        <v>0</v>
      </c>
      <c r="AS191" t="e">
        <f>AND('OTRAS ACCIONES'!B189,"AAAAAD69Xiw=")</f>
        <v>#VALUE!</v>
      </c>
      <c r="AT191" t="e">
        <f>AND('OTRAS ACCIONES'!C189,"AAAAAD69Xi0=")</f>
        <v>#VALUE!</v>
      </c>
      <c r="AU191" t="e">
        <f>AND('OTRAS ACCIONES'!D189,"AAAAAD69Xi4=")</f>
        <v>#VALUE!</v>
      </c>
      <c r="AV191" t="e">
        <f>AND('OTRAS ACCIONES'!E189,"AAAAAD69Xi8=")</f>
        <v>#VALUE!</v>
      </c>
      <c r="AW191" t="e">
        <f>AND('OTRAS ACCIONES'!F189,"AAAAAD69XjA=")</f>
        <v>#VALUE!</v>
      </c>
      <c r="AX191" t="e">
        <f>AND('OTRAS ACCIONES'!G189,"AAAAAD69XjE=")</f>
        <v>#VALUE!</v>
      </c>
      <c r="AY191" t="e">
        <f>AND('OTRAS ACCIONES'!H189,"AAAAAD69XjI=")</f>
        <v>#VALUE!</v>
      </c>
      <c r="AZ191" t="e">
        <f>AND('OTRAS ACCIONES'!I189,"AAAAAD69XjM=")</f>
        <v>#VALUE!</v>
      </c>
      <c r="BA191" t="e">
        <f>AND('OTRAS ACCIONES'!J189,"AAAAAD69XjQ=")</f>
        <v>#VALUE!</v>
      </c>
      <c r="BB191" t="e">
        <f>AND('OTRAS ACCIONES'!K189,"AAAAAD69XjU=")</f>
        <v>#VALUE!</v>
      </c>
      <c r="BC191" t="e">
        <f>AND('OTRAS ACCIONES'!L189,"AAAAAD69XjY=")</f>
        <v>#VALUE!</v>
      </c>
      <c r="BD191" t="e">
        <f>AND('OTRAS ACCIONES'!M189,"AAAAAD69Xjc=")</f>
        <v>#VALUE!</v>
      </c>
      <c r="BE191" t="e">
        <f>AND('OTRAS ACCIONES'!N189,"AAAAAD69Xjg=")</f>
        <v>#VALUE!</v>
      </c>
      <c r="BF191" t="e">
        <f>AND('OTRAS ACCIONES'!O189,"AAAAAD69Xjk=")</f>
        <v>#VALUE!</v>
      </c>
      <c r="BG191" t="e">
        <f>AND('OTRAS ACCIONES'!P189,"AAAAAD69Xjo=")</f>
        <v>#VALUE!</v>
      </c>
      <c r="BH191" t="e">
        <f>AND('OTRAS ACCIONES'!Q189,"AAAAAD69Xjs=")</f>
        <v>#VALUE!</v>
      </c>
      <c r="BI191" t="e">
        <f>AND('OTRAS ACCIONES'!R189,"AAAAAD69Xjw=")</f>
        <v>#VALUE!</v>
      </c>
      <c r="BJ191">
        <f>IF('OTRAS ACCIONES'!190:190,"AAAAAD69Xj0=",0)</f>
        <v>0</v>
      </c>
      <c r="BK191" t="e">
        <f>AND('OTRAS ACCIONES'!B190,"AAAAAD69Xj4=")</f>
        <v>#VALUE!</v>
      </c>
      <c r="BL191" t="e">
        <f>AND('OTRAS ACCIONES'!C190,"AAAAAD69Xj8=")</f>
        <v>#VALUE!</v>
      </c>
      <c r="BM191" t="e">
        <f>AND('OTRAS ACCIONES'!D190,"AAAAAD69XkA=")</f>
        <v>#VALUE!</v>
      </c>
      <c r="BN191" t="e">
        <f>AND('OTRAS ACCIONES'!E190,"AAAAAD69XkE=")</f>
        <v>#VALUE!</v>
      </c>
      <c r="BO191" t="e">
        <f>AND('OTRAS ACCIONES'!F190,"AAAAAD69XkI=")</f>
        <v>#VALUE!</v>
      </c>
      <c r="BP191" t="e">
        <f>AND('OTRAS ACCIONES'!G190,"AAAAAD69XkM=")</f>
        <v>#VALUE!</v>
      </c>
      <c r="BQ191" t="e">
        <f>AND('OTRAS ACCIONES'!H190,"AAAAAD69XkQ=")</f>
        <v>#VALUE!</v>
      </c>
      <c r="BR191" t="e">
        <f>AND('OTRAS ACCIONES'!I190,"AAAAAD69XkU=")</f>
        <v>#VALUE!</v>
      </c>
      <c r="BS191" t="e">
        <f>AND('OTRAS ACCIONES'!J190,"AAAAAD69XkY=")</f>
        <v>#VALUE!</v>
      </c>
      <c r="BT191" t="e">
        <f>AND('OTRAS ACCIONES'!K190,"AAAAAD69Xkc=")</f>
        <v>#VALUE!</v>
      </c>
      <c r="BU191" t="e">
        <f>AND('OTRAS ACCIONES'!L190,"AAAAAD69Xkg=")</f>
        <v>#VALUE!</v>
      </c>
      <c r="BV191" t="e">
        <f>AND('OTRAS ACCIONES'!M190,"AAAAAD69Xkk=")</f>
        <v>#VALUE!</v>
      </c>
      <c r="BW191" t="e">
        <f>AND('OTRAS ACCIONES'!N190,"AAAAAD69Xko=")</f>
        <v>#VALUE!</v>
      </c>
      <c r="BX191" t="e">
        <f>AND('OTRAS ACCIONES'!O190,"AAAAAD69Xks=")</f>
        <v>#VALUE!</v>
      </c>
      <c r="BY191" t="e">
        <f>AND('OTRAS ACCIONES'!P190,"AAAAAD69Xkw=")</f>
        <v>#VALUE!</v>
      </c>
      <c r="BZ191" t="e">
        <f>AND('OTRAS ACCIONES'!Q190,"AAAAAD69Xk0=")</f>
        <v>#VALUE!</v>
      </c>
      <c r="CA191" t="e">
        <f>AND('OTRAS ACCIONES'!R190,"AAAAAD69Xk4=")</f>
        <v>#VALUE!</v>
      </c>
      <c r="CB191">
        <f>IF('OTRAS ACCIONES'!191:191,"AAAAAD69Xk8=",0)</f>
        <v>0</v>
      </c>
      <c r="CC191" t="e">
        <f>AND('OTRAS ACCIONES'!B191,"AAAAAD69XlA=")</f>
        <v>#VALUE!</v>
      </c>
      <c r="CD191" t="e">
        <f>AND('OTRAS ACCIONES'!C191,"AAAAAD69XlE=")</f>
        <v>#VALUE!</v>
      </c>
      <c r="CE191" t="e">
        <f>AND('OTRAS ACCIONES'!D191,"AAAAAD69XlI=")</f>
        <v>#VALUE!</v>
      </c>
      <c r="CF191" t="e">
        <f>AND('OTRAS ACCIONES'!E191,"AAAAAD69XlM=")</f>
        <v>#VALUE!</v>
      </c>
      <c r="CG191" t="e">
        <f>AND('OTRAS ACCIONES'!F191,"AAAAAD69XlQ=")</f>
        <v>#VALUE!</v>
      </c>
      <c r="CH191" t="e">
        <f>AND('OTRAS ACCIONES'!G191,"AAAAAD69XlU=")</f>
        <v>#VALUE!</v>
      </c>
      <c r="CI191" t="e">
        <f>AND('OTRAS ACCIONES'!H191,"AAAAAD69XlY=")</f>
        <v>#VALUE!</v>
      </c>
      <c r="CJ191" t="e">
        <f>AND('OTRAS ACCIONES'!I191,"AAAAAD69Xlc=")</f>
        <v>#VALUE!</v>
      </c>
      <c r="CK191" t="e">
        <f>AND('OTRAS ACCIONES'!J191,"AAAAAD69Xlg=")</f>
        <v>#VALUE!</v>
      </c>
      <c r="CL191" t="e">
        <f>AND('OTRAS ACCIONES'!K191,"AAAAAD69Xlk=")</f>
        <v>#VALUE!</v>
      </c>
      <c r="CM191" t="e">
        <f>AND('OTRAS ACCIONES'!L191,"AAAAAD69Xlo=")</f>
        <v>#VALUE!</v>
      </c>
      <c r="CN191" t="e">
        <f>AND('OTRAS ACCIONES'!M191,"AAAAAD69Xls=")</f>
        <v>#VALUE!</v>
      </c>
      <c r="CO191" t="e">
        <f>AND('OTRAS ACCIONES'!N191,"AAAAAD69Xlw=")</f>
        <v>#VALUE!</v>
      </c>
      <c r="CP191" t="e">
        <f>AND('OTRAS ACCIONES'!O191,"AAAAAD69Xl0=")</f>
        <v>#VALUE!</v>
      </c>
      <c r="CQ191" t="e">
        <f>AND('OTRAS ACCIONES'!P191,"AAAAAD69Xl4=")</f>
        <v>#VALUE!</v>
      </c>
      <c r="CR191" t="e">
        <f>AND('OTRAS ACCIONES'!Q191,"AAAAAD69Xl8=")</f>
        <v>#VALUE!</v>
      </c>
      <c r="CS191" t="e">
        <f>AND('OTRAS ACCIONES'!R191,"AAAAAD69XmA=")</f>
        <v>#VALUE!</v>
      </c>
      <c r="CT191">
        <f>IF('OTRAS ACCIONES'!192:192,"AAAAAD69XmE=",0)</f>
        <v>0</v>
      </c>
      <c r="CU191" t="e">
        <f>AND('OTRAS ACCIONES'!B192,"AAAAAD69XmI=")</f>
        <v>#VALUE!</v>
      </c>
      <c r="CV191" t="e">
        <f>AND('OTRAS ACCIONES'!C192,"AAAAAD69XmM=")</f>
        <v>#VALUE!</v>
      </c>
      <c r="CW191" t="e">
        <f>AND('OTRAS ACCIONES'!D192,"AAAAAD69XmQ=")</f>
        <v>#VALUE!</v>
      </c>
      <c r="CX191" t="e">
        <f>AND('OTRAS ACCIONES'!E192,"AAAAAD69XmU=")</f>
        <v>#VALUE!</v>
      </c>
      <c r="CY191" t="e">
        <f>AND('OTRAS ACCIONES'!F192,"AAAAAD69XmY=")</f>
        <v>#VALUE!</v>
      </c>
      <c r="CZ191" t="e">
        <f>AND('OTRAS ACCIONES'!G192,"AAAAAD69Xmc=")</f>
        <v>#VALUE!</v>
      </c>
      <c r="DA191" t="e">
        <f>AND('OTRAS ACCIONES'!H192,"AAAAAD69Xmg=")</f>
        <v>#VALUE!</v>
      </c>
      <c r="DB191" t="e">
        <f>AND('OTRAS ACCIONES'!I192,"AAAAAD69Xmk=")</f>
        <v>#VALUE!</v>
      </c>
      <c r="DC191" t="e">
        <f>AND('OTRAS ACCIONES'!J192,"AAAAAD69Xmo=")</f>
        <v>#VALUE!</v>
      </c>
      <c r="DD191" t="e">
        <f>AND('OTRAS ACCIONES'!K192,"AAAAAD69Xms=")</f>
        <v>#VALUE!</v>
      </c>
      <c r="DE191" t="e">
        <f>AND('OTRAS ACCIONES'!L192,"AAAAAD69Xmw=")</f>
        <v>#VALUE!</v>
      </c>
      <c r="DF191" t="e">
        <f>AND('OTRAS ACCIONES'!M192,"AAAAAD69Xm0=")</f>
        <v>#VALUE!</v>
      </c>
      <c r="DG191" t="e">
        <f>AND('OTRAS ACCIONES'!N192,"AAAAAD69Xm4=")</f>
        <v>#VALUE!</v>
      </c>
      <c r="DH191" t="e">
        <f>AND('OTRAS ACCIONES'!O192,"AAAAAD69Xm8=")</f>
        <v>#VALUE!</v>
      </c>
      <c r="DI191" t="e">
        <f>AND('OTRAS ACCIONES'!P192,"AAAAAD69XnA=")</f>
        <v>#VALUE!</v>
      </c>
      <c r="DJ191" t="e">
        <f>AND('OTRAS ACCIONES'!Q192,"AAAAAD69XnE=")</f>
        <v>#VALUE!</v>
      </c>
      <c r="DK191" t="e">
        <f>AND('OTRAS ACCIONES'!R192,"AAAAAD69XnI=")</f>
        <v>#VALUE!</v>
      </c>
      <c r="DL191">
        <f>IF('OTRAS ACCIONES'!193:193,"AAAAAD69XnM=",0)</f>
        <v>0</v>
      </c>
      <c r="DM191" t="e">
        <f>AND('OTRAS ACCIONES'!B193,"AAAAAD69XnQ=")</f>
        <v>#VALUE!</v>
      </c>
      <c r="DN191" t="e">
        <f>AND('OTRAS ACCIONES'!C193,"AAAAAD69XnU=")</f>
        <v>#VALUE!</v>
      </c>
      <c r="DO191" t="e">
        <f>AND('OTRAS ACCIONES'!D193,"AAAAAD69XnY=")</f>
        <v>#VALUE!</v>
      </c>
      <c r="DP191" t="e">
        <f>AND('OTRAS ACCIONES'!E193,"AAAAAD69Xnc=")</f>
        <v>#VALUE!</v>
      </c>
      <c r="DQ191" t="e">
        <f>AND('OTRAS ACCIONES'!F193,"AAAAAD69Xng=")</f>
        <v>#VALUE!</v>
      </c>
      <c r="DR191" t="e">
        <f>AND('OTRAS ACCIONES'!G193,"AAAAAD69Xnk=")</f>
        <v>#VALUE!</v>
      </c>
      <c r="DS191" t="e">
        <f>AND('OTRAS ACCIONES'!H193,"AAAAAD69Xno=")</f>
        <v>#VALUE!</v>
      </c>
      <c r="DT191" t="e">
        <f>AND('OTRAS ACCIONES'!I193,"AAAAAD69Xns=")</f>
        <v>#VALUE!</v>
      </c>
      <c r="DU191" t="e">
        <f>AND('OTRAS ACCIONES'!J193,"AAAAAD69Xnw=")</f>
        <v>#VALUE!</v>
      </c>
      <c r="DV191" t="e">
        <f>AND('OTRAS ACCIONES'!K193,"AAAAAD69Xn0=")</f>
        <v>#VALUE!</v>
      </c>
      <c r="DW191" t="e">
        <f>AND('OTRAS ACCIONES'!L193,"AAAAAD69Xn4=")</f>
        <v>#VALUE!</v>
      </c>
      <c r="DX191" t="e">
        <f>AND('OTRAS ACCIONES'!M193,"AAAAAD69Xn8=")</f>
        <v>#VALUE!</v>
      </c>
      <c r="DY191" t="e">
        <f>AND('OTRAS ACCIONES'!N193,"AAAAAD69XoA=")</f>
        <v>#VALUE!</v>
      </c>
      <c r="DZ191" t="e">
        <f>AND('OTRAS ACCIONES'!O193,"AAAAAD69XoE=")</f>
        <v>#VALUE!</v>
      </c>
      <c r="EA191" t="e">
        <f>AND('OTRAS ACCIONES'!P193,"AAAAAD69XoI=")</f>
        <v>#VALUE!</v>
      </c>
      <c r="EB191" t="e">
        <f>AND('OTRAS ACCIONES'!Q193,"AAAAAD69XoM=")</f>
        <v>#VALUE!</v>
      </c>
      <c r="EC191" t="e">
        <f>AND('OTRAS ACCIONES'!R193,"AAAAAD69XoQ=")</f>
        <v>#VALUE!</v>
      </c>
      <c r="ED191">
        <f>IF('OTRAS ACCIONES'!194:194,"AAAAAD69XoU=",0)</f>
        <v>0</v>
      </c>
      <c r="EE191" t="e">
        <f>AND('OTRAS ACCIONES'!B194,"AAAAAD69XoY=")</f>
        <v>#VALUE!</v>
      </c>
      <c r="EF191" t="e">
        <f>AND('OTRAS ACCIONES'!C194,"AAAAAD69Xoc=")</f>
        <v>#VALUE!</v>
      </c>
      <c r="EG191" t="e">
        <f>AND('OTRAS ACCIONES'!D194,"AAAAAD69Xog=")</f>
        <v>#VALUE!</v>
      </c>
      <c r="EH191" t="e">
        <f>AND('OTRAS ACCIONES'!E194,"AAAAAD69Xok=")</f>
        <v>#VALUE!</v>
      </c>
      <c r="EI191" t="e">
        <f>AND('OTRAS ACCIONES'!F194,"AAAAAD69Xoo=")</f>
        <v>#VALUE!</v>
      </c>
      <c r="EJ191" t="e">
        <f>AND('OTRAS ACCIONES'!G194,"AAAAAD69Xos=")</f>
        <v>#VALUE!</v>
      </c>
      <c r="EK191" t="e">
        <f>AND('OTRAS ACCIONES'!H194,"AAAAAD69Xow=")</f>
        <v>#VALUE!</v>
      </c>
      <c r="EL191" t="e">
        <f>AND('OTRAS ACCIONES'!I194,"AAAAAD69Xo0=")</f>
        <v>#VALUE!</v>
      </c>
      <c r="EM191" t="e">
        <f>AND('OTRAS ACCIONES'!J194,"AAAAAD69Xo4=")</f>
        <v>#VALUE!</v>
      </c>
      <c r="EN191" t="e">
        <f>AND('OTRAS ACCIONES'!K194,"AAAAAD69Xo8=")</f>
        <v>#VALUE!</v>
      </c>
      <c r="EO191" t="e">
        <f>AND('OTRAS ACCIONES'!L194,"AAAAAD69XpA=")</f>
        <v>#VALUE!</v>
      </c>
      <c r="EP191" t="e">
        <f>AND('OTRAS ACCIONES'!M194,"AAAAAD69XpE=")</f>
        <v>#VALUE!</v>
      </c>
      <c r="EQ191" t="e">
        <f>AND('OTRAS ACCIONES'!N194,"AAAAAD69XpI=")</f>
        <v>#VALUE!</v>
      </c>
      <c r="ER191" t="e">
        <f>AND('OTRAS ACCIONES'!O194,"AAAAAD69XpM=")</f>
        <v>#VALUE!</v>
      </c>
      <c r="ES191" t="e">
        <f>AND('OTRAS ACCIONES'!P194,"AAAAAD69XpQ=")</f>
        <v>#VALUE!</v>
      </c>
      <c r="ET191" t="e">
        <f>AND('OTRAS ACCIONES'!Q194,"AAAAAD69XpU=")</f>
        <v>#VALUE!</v>
      </c>
      <c r="EU191" t="e">
        <f>AND('OTRAS ACCIONES'!R194,"AAAAAD69XpY=")</f>
        <v>#VALUE!</v>
      </c>
      <c r="EV191">
        <f>IF('OTRAS ACCIONES'!195:195,"AAAAAD69Xpc=",0)</f>
        <v>0</v>
      </c>
      <c r="EW191" t="e">
        <f>AND('OTRAS ACCIONES'!B195,"AAAAAD69Xpg=")</f>
        <v>#VALUE!</v>
      </c>
      <c r="EX191" t="e">
        <f>AND('OTRAS ACCIONES'!C195,"AAAAAD69Xpk=")</f>
        <v>#VALUE!</v>
      </c>
      <c r="EY191" t="e">
        <f>AND('OTRAS ACCIONES'!D195,"AAAAAD69Xpo=")</f>
        <v>#VALUE!</v>
      </c>
      <c r="EZ191" t="e">
        <f>AND('OTRAS ACCIONES'!E195,"AAAAAD69Xps=")</f>
        <v>#VALUE!</v>
      </c>
      <c r="FA191" t="e">
        <f>AND('OTRAS ACCIONES'!F195,"AAAAAD69Xpw=")</f>
        <v>#VALUE!</v>
      </c>
      <c r="FB191" t="e">
        <f>AND('OTRAS ACCIONES'!G195,"AAAAAD69Xp0=")</f>
        <v>#VALUE!</v>
      </c>
      <c r="FC191" t="e">
        <f>AND('OTRAS ACCIONES'!H195,"AAAAAD69Xp4=")</f>
        <v>#VALUE!</v>
      </c>
      <c r="FD191" t="e">
        <f>AND('OTRAS ACCIONES'!I195,"AAAAAD69Xp8=")</f>
        <v>#VALUE!</v>
      </c>
      <c r="FE191" t="e">
        <f>AND('OTRAS ACCIONES'!J195,"AAAAAD69XqA=")</f>
        <v>#VALUE!</v>
      </c>
      <c r="FF191" t="e">
        <f>AND('OTRAS ACCIONES'!K195,"AAAAAD69XqE=")</f>
        <v>#VALUE!</v>
      </c>
      <c r="FG191" t="e">
        <f>AND('OTRAS ACCIONES'!L195,"AAAAAD69XqI=")</f>
        <v>#VALUE!</v>
      </c>
      <c r="FH191" t="e">
        <f>AND('OTRAS ACCIONES'!M195,"AAAAAD69XqM=")</f>
        <v>#VALUE!</v>
      </c>
      <c r="FI191" t="e">
        <f>AND('OTRAS ACCIONES'!N195,"AAAAAD69XqQ=")</f>
        <v>#VALUE!</v>
      </c>
      <c r="FJ191" t="e">
        <f>AND('OTRAS ACCIONES'!O195,"AAAAAD69XqU=")</f>
        <v>#VALUE!</v>
      </c>
      <c r="FK191" t="e">
        <f>AND('OTRAS ACCIONES'!P195,"AAAAAD69XqY=")</f>
        <v>#VALUE!</v>
      </c>
      <c r="FL191" t="e">
        <f>AND('OTRAS ACCIONES'!Q195,"AAAAAD69Xqc=")</f>
        <v>#VALUE!</v>
      </c>
      <c r="FM191" t="e">
        <f>AND('OTRAS ACCIONES'!R195,"AAAAAD69Xqg=")</f>
        <v>#VALUE!</v>
      </c>
      <c r="FN191">
        <f>IF('OTRAS ACCIONES'!196:196,"AAAAAD69Xqk=",0)</f>
        <v>0</v>
      </c>
      <c r="FO191" t="e">
        <f>AND('OTRAS ACCIONES'!B196,"AAAAAD69Xqo=")</f>
        <v>#VALUE!</v>
      </c>
      <c r="FP191" t="e">
        <f>AND('OTRAS ACCIONES'!C196,"AAAAAD69Xqs=")</f>
        <v>#VALUE!</v>
      </c>
      <c r="FQ191" t="e">
        <f>AND('OTRAS ACCIONES'!D196,"AAAAAD69Xqw=")</f>
        <v>#VALUE!</v>
      </c>
      <c r="FR191" t="e">
        <f>AND('OTRAS ACCIONES'!E196,"AAAAAD69Xq0=")</f>
        <v>#VALUE!</v>
      </c>
      <c r="FS191" t="e">
        <f>AND('OTRAS ACCIONES'!F196,"AAAAAD69Xq4=")</f>
        <v>#VALUE!</v>
      </c>
      <c r="FT191" t="e">
        <f>AND('OTRAS ACCIONES'!G196,"AAAAAD69Xq8=")</f>
        <v>#VALUE!</v>
      </c>
      <c r="FU191" t="e">
        <f>AND('OTRAS ACCIONES'!H196,"AAAAAD69XrA=")</f>
        <v>#VALUE!</v>
      </c>
      <c r="FV191" t="e">
        <f>AND('OTRAS ACCIONES'!I196,"AAAAAD69XrE=")</f>
        <v>#VALUE!</v>
      </c>
      <c r="FW191" t="e">
        <f>AND('OTRAS ACCIONES'!J196,"AAAAAD69XrI=")</f>
        <v>#VALUE!</v>
      </c>
      <c r="FX191" t="e">
        <f>AND('OTRAS ACCIONES'!K196,"AAAAAD69XrM=")</f>
        <v>#VALUE!</v>
      </c>
      <c r="FY191" t="e">
        <f>AND('OTRAS ACCIONES'!L196,"AAAAAD69XrQ=")</f>
        <v>#VALUE!</v>
      </c>
      <c r="FZ191" t="e">
        <f>AND('OTRAS ACCIONES'!M196,"AAAAAD69XrU=")</f>
        <v>#VALUE!</v>
      </c>
      <c r="GA191" t="e">
        <f>AND('OTRAS ACCIONES'!N196,"AAAAAD69XrY=")</f>
        <v>#VALUE!</v>
      </c>
      <c r="GB191" t="e">
        <f>AND('OTRAS ACCIONES'!O196,"AAAAAD69Xrc=")</f>
        <v>#VALUE!</v>
      </c>
      <c r="GC191" t="e">
        <f>AND('OTRAS ACCIONES'!P196,"AAAAAD69Xrg=")</f>
        <v>#VALUE!</v>
      </c>
      <c r="GD191" t="e">
        <f>AND('OTRAS ACCIONES'!Q196,"AAAAAD69Xrk=")</f>
        <v>#VALUE!</v>
      </c>
      <c r="GE191" t="e">
        <f>AND('OTRAS ACCIONES'!R196,"AAAAAD69Xro=")</f>
        <v>#VALUE!</v>
      </c>
      <c r="GF191">
        <f>IF('OTRAS ACCIONES'!197:197,"AAAAAD69Xrs=",0)</f>
        <v>0</v>
      </c>
      <c r="GG191" t="e">
        <f>AND('OTRAS ACCIONES'!B197,"AAAAAD69Xrw=")</f>
        <v>#VALUE!</v>
      </c>
      <c r="GH191" t="e">
        <f>AND('OTRAS ACCIONES'!C197,"AAAAAD69Xr0=")</f>
        <v>#VALUE!</v>
      </c>
      <c r="GI191" t="e">
        <f>AND('OTRAS ACCIONES'!D197,"AAAAAD69Xr4=")</f>
        <v>#VALUE!</v>
      </c>
      <c r="GJ191" t="e">
        <f>AND('OTRAS ACCIONES'!E197,"AAAAAD69Xr8=")</f>
        <v>#VALUE!</v>
      </c>
      <c r="GK191" t="e">
        <f>AND('OTRAS ACCIONES'!F197,"AAAAAD69XsA=")</f>
        <v>#VALUE!</v>
      </c>
      <c r="GL191" t="e">
        <f>AND('OTRAS ACCIONES'!G197,"AAAAAD69XsE=")</f>
        <v>#VALUE!</v>
      </c>
      <c r="GM191" t="e">
        <f>AND('OTRAS ACCIONES'!H197,"AAAAAD69XsI=")</f>
        <v>#VALUE!</v>
      </c>
      <c r="GN191" t="e">
        <f>AND('OTRAS ACCIONES'!I197,"AAAAAD69XsM=")</f>
        <v>#VALUE!</v>
      </c>
      <c r="GO191" t="e">
        <f>AND('OTRAS ACCIONES'!J197,"AAAAAD69XsQ=")</f>
        <v>#VALUE!</v>
      </c>
      <c r="GP191" t="e">
        <f>AND('OTRAS ACCIONES'!K197,"AAAAAD69XsU=")</f>
        <v>#VALUE!</v>
      </c>
      <c r="GQ191" t="e">
        <f>AND('OTRAS ACCIONES'!L197,"AAAAAD69XsY=")</f>
        <v>#VALUE!</v>
      </c>
      <c r="GR191" t="e">
        <f>AND('OTRAS ACCIONES'!M197,"AAAAAD69Xsc=")</f>
        <v>#VALUE!</v>
      </c>
      <c r="GS191" t="e">
        <f>AND('OTRAS ACCIONES'!N197,"AAAAAD69Xsg=")</f>
        <v>#VALUE!</v>
      </c>
      <c r="GT191" t="e">
        <f>AND('OTRAS ACCIONES'!O197,"AAAAAD69Xsk=")</f>
        <v>#VALUE!</v>
      </c>
      <c r="GU191" t="e">
        <f>AND('OTRAS ACCIONES'!P197,"AAAAAD69Xso=")</f>
        <v>#VALUE!</v>
      </c>
      <c r="GV191" t="e">
        <f>AND('OTRAS ACCIONES'!Q197,"AAAAAD69Xss=")</f>
        <v>#VALUE!</v>
      </c>
      <c r="GW191" t="e">
        <f>AND('OTRAS ACCIONES'!R197,"AAAAAD69Xsw=")</f>
        <v>#VALUE!</v>
      </c>
      <c r="GX191">
        <f>IF('OTRAS ACCIONES'!198:198,"AAAAAD69Xs0=",0)</f>
        <v>0</v>
      </c>
      <c r="GY191" t="e">
        <f>AND('OTRAS ACCIONES'!B198,"AAAAAD69Xs4=")</f>
        <v>#VALUE!</v>
      </c>
      <c r="GZ191" t="e">
        <f>AND('OTRAS ACCIONES'!C198,"AAAAAD69Xs8=")</f>
        <v>#VALUE!</v>
      </c>
      <c r="HA191" t="e">
        <f>AND('OTRAS ACCIONES'!D198,"AAAAAD69XtA=")</f>
        <v>#VALUE!</v>
      </c>
      <c r="HB191" t="e">
        <f>AND('OTRAS ACCIONES'!E198,"AAAAAD69XtE=")</f>
        <v>#VALUE!</v>
      </c>
      <c r="HC191" t="e">
        <f>AND('OTRAS ACCIONES'!F198,"AAAAAD69XtI=")</f>
        <v>#VALUE!</v>
      </c>
      <c r="HD191" t="e">
        <f>AND('OTRAS ACCIONES'!G198,"AAAAAD69XtM=")</f>
        <v>#VALUE!</v>
      </c>
      <c r="HE191" t="e">
        <f>AND('OTRAS ACCIONES'!H198,"AAAAAD69XtQ=")</f>
        <v>#VALUE!</v>
      </c>
      <c r="HF191" t="e">
        <f>AND('OTRAS ACCIONES'!I198,"AAAAAD69XtU=")</f>
        <v>#VALUE!</v>
      </c>
      <c r="HG191" t="e">
        <f>AND('OTRAS ACCIONES'!J198,"AAAAAD69XtY=")</f>
        <v>#VALUE!</v>
      </c>
      <c r="HH191" t="e">
        <f>AND('OTRAS ACCIONES'!K198,"AAAAAD69Xtc=")</f>
        <v>#VALUE!</v>
      </c>
      <c r="HI191" t="e">
        <f>AND('OTRAS ACCIONES'!L198,"AAAAAD69Xtg=")</f>
        <v>#VALUE!</v>
      </c>
      <c r="HJ191" t="e">
        <f>AND('OTRAS ACCIONES'!M198,"AAAAAD69Xtk=")</f>
        <v>#VALUE!</v>
      </c>
      <c r="HK191" t="e">
        <f>AND('OTRAS ACCIONES'!N198,"AAAAAD69Xto=")</f>
        <v>#VALUE!</v>
      </c>
      <c r="HL191" t="e">
        <f>AND('OTRAS ACCIONES'!O198,"AAAAAD69Xts=")</f>
        <v>#VALUE!</v>
      </c>
      <c r="HM191" t="e">
        <f>AND('OTRAS ACCIONES'!P198,"AAAAAD69Xtw=")</f>
        <v>#VALUE!</v>
      </c>
      <c r="HN191" t="e">
        <f>AND('OTRAS ACCIONES'!Q198,"AAAAAD69Xt0=")</f>
        <v>#VALUE!</v>
      </c>
      <c r="HO191" t="e">
        <f>AND('OTRAS ACCIONES'!R198,"AAAAAD69Xt4=")</f>
        <v>#VALUE!</v>
      </c>
      <c r="HP191">
        <f>IF('OTRAS ACCIONES'!199:199,"AAAAAD69Xt8=",0)</f>
        <v>0</v>
      </c>
      <c r="HQ191" t="e">
        <f>AND('OTRAS ACCIONES'!B199,"AAAAAD69XuA=")</f>
        <v>#VALUE!</v>
      </c>
      <c r="HR191" t="e">
        <f>AND('OTRAS ACCIONES'!C199,"AAAAAD69XuE=")</f>
        <v>#VALUE!</v>
      </c>
      <c r="HS191" t="e">
        <f>AND('OTRAS ACCIONES'!D199,"AAAAAD69XuI=")</f>
        <v>#VALUE!</v>
      </c>
      <c r="HT191" t="e">
        <f>AND('OTRAS ACCIONES'!E199,"AAAAAD69XuM=")</f>
        <v>#VALUE!</v>
      </c>
      <c r="HU191" t="e">
        <f>AND('OTRAS ACCIONES'!F199,"AAAAAD69XuQ=")</f>
        <v>#VALUE!</v>
      </c>
      <c r="HV191" t="e">
        <f>AND('OTRAS ACCIONES'!G199,"AAAAAD69XuU=")</f>
        <v>#VALUE!</v>
      </c>
      <c r="HW191" t="e">
        <f>AND('OTRAS ACCIONES'!H199,"AAAAAD69XuY=")</f>
        <v>#VALUE!</v>
      </c>
      <c r="HX191" t="e">
        <f>AND('OTRAS ACCIONES'!I199,"AAAAAD69Xuc=")</f>
        <v>#VALUE!</v>
      </c>
      <c r="HY191" t="e">
        <f>AND('OTRAS ACCIONES'!J199,"AAAAAD69Xug=")</f>
        <v>#VALUE!</v>
      </c>
      <c r="HZ191" t="e">
        <f>AND('OTRAS ACCIONES'!K199,"AAAAAD69Xuk=")</f>
        <v>#VALUE!</v>
      </c>
      <c r="IA191" t="e">
        <f>AND('OTRAS ACCIONES'!L199,"AAAAAD69Xuo=")</f>
        <v>#VALUE!</v>
      </c>
      <c r="IB191" t="e">
        <f>AND('OTRAS ACCIONES'!M199,"AAAAAD69Xus=")</f>
        <v>#VALUE!</v>
      </c>
      <c r="IC191" t="e">
        <f>AND('OTRAS ACCIONES'!N199,"AAAAAD69Xuw=")</f>
        <v>#VALUE!</v>
      </c>
      <c r="ID191" t="e">
        <f>AND('OTRAS ACCIONES'!O199,"AAAAAD69Xu0=")</f>
        <v>#VALUE!</v>
      </c>
      <c r="IE191" t="e">
        <f>AND('OTRAS ACCIONES'!P199,"AAAAAD69Xu4=")</f>
        <v>#VALUE!</v>
      </c>
      <c r="IF191" t="e">
        <f>AND('OTRAS ACCIONES'!Q199,"AAAAAD69Xu8=")</f>
        <v>#VALUE!</v>
      </c>
      <c r="IG191" t="e">
        <f>AND('OTRAS ACCIONES'!R199,"AAAAAD69XvA=")</f>
        <v>#VALUE!</v>
      </c>
      <c r="IH191">
        <f>IF('OTRAS ACCIONES'!200:200,"AAAAAD69XvE=",0)</f>
        <v>0</v>
      </c>
      <c r="II191" t="e">
        <f>AND('OTRAS ACCIONES'!B200,"AAAAAD69XvI=")</f>
        <v>#VALUE!</v>
      </c>
      <c r="IJ191" t="e">
        <f>AND('OTRAS ACCIONES'!C200,"AAAAAD69XvM=")</f>
        <v>#VALUE!</v>
      </c>
      <c r="IK191" t="e">
        <f>AND('OTRAS ACCIONES'!D200,"AAAAAD69XvQ=")</f>
        <v>#VALUE!</v>
      </c>
      <c r="IL191" t="e">
        <f>AND('OTRAS ACCIONES'!E200,"AAAAAD69XvU=")</f>
        <v>#VALUE!</v>
      </c>
      <c r="IM191" t="e">
        <f>AND('OTRAS ACCIONES'!F200,"AAAAAD69XvY=")</f>
        <v>#VALUE!</v>
      </c>
      <c r="IN191" t="e">
        <f>AND('OTRAS ACCIONES'!G200,"AAAAAD69Xvc=")</f>
        <v>#VALUE!</v>
      </c>
      <c r="IO191" t="e">
        <f>AND('OTRAS ACCIONES'!H200,"AAAAAD69Xvg=")</f>
        <v>#VALUE!</v>
      </c>
      <c r="IP191" t="e">
        <f>AND('OTRAS ACCIONES'!I200,"AAAAAD69Xvk=")</f>
        <v>#VALUE!</v>
      </c>
      <c r="IQ191" t="e">
        <f>AND('OTRAS ACCIONES'!J200,"AAAAAD69Xvo=")</f>
        <v>#VALUE!</v>
      </c>
      <c r="IR191" t="e">
        <f>AND('OTRAS ACCIONES'!K200,"AAAAAD69Xvs=")</f>
        <v>#VALUE!</v>
      </c>
      <c r="IS191" t="e">
        <f>AND('OTRAS ACCIONES'!L200,"AAAAAD69Xvw=")</f>
        <v>#VALUE!</v>
      </c>
      <c r="IT191" t="e">
        <f>AND('OTRAS ACCIONES'!M200,"AAAAAD69Xv0=")</f>
        <v>#VALUE!</v>
      </c>
      <c r="IU191" t="e">
        <f>AND('OTRAS ACCIONES'!N200,"AAAAAD69Xv4=")</f>
        <v>#VALUE!</v>
      </c>
      <c r="IV191" t="e">
        <f>AND('OTRAS ACCIONES'!O200,"AAAAAD69Xv8=")</f>
        <v>#VALUE!</v>
      </c>
    </row>
    <row r="192" spans="1:256" x14ac:dyDescent="0.2">
      <c r="A192" t="e">
        <f>AND('OTRAS ACCIONES'!P200,"AAAAAFbuewA=")</f>
        <v>#VALUE!</v>
      </c>
      <c r="B192" t="e">
        <f>AND('OTRAS ACCIONES'!Q200,"AAAAAFbuewE=")</f>
        <v>#VALUE!</v>
      </c>
      <c r="C192" t="e">
        <f>AND('OTRAS ACCIONES'!R200,"AAAAAFbuewI=")</f>
        <v>#VALUE!</v>
      </c>
      <c r="D192">
        <f>IF('OTRAS ACCIONES'!201:201,"AAAAAFbuewM=",0)</f>
        <v>0</v>
      </c>
      <c r="E192" t="e">
        <f>AND('OTRAS ACCIONES'!B201,"AAAAAFbuewQ=")</f>
        <v>#VALUE!</v>
      </c>
      <c r="F192" t="e">
        <f>AND('OTRAS ACCIONES'!C201,"AAAAAFbuewU=")</f>
        <v>#VALUE!</v>
      </c>
      <c r="G192" t="e">
        <f>AND('OTRAS ACCIONES'!D201,"AAAAAFbuewY=")</f>
        <v>#VALUE!</v>
      </c>
      <c r="H192" t="e">
        <f>AND('OTRAS ACCIONES'!E201,"AAAAAFbuewc=")</f>
        <v>#VALUE!</v>
      </c>
      <c r="I192" t="e">
        <f>AND('OTRAS ACCIONES'!F201,"AAAAAFbuewg=")</f>
        <v>#VALUE!</v>
      </c>
      <c r="J192" t="e">
        <f>AND('OTRAS ACCIONES'!G201,"AAAAAFbuewk=")</f>
        <v>#VALUE!</v>
      </c>
      <c r="K192" t="e">
        <f>AND('OTRAS ACCIONES'!H201,"AAAAAFbuewo=")</f>
        <v>#VALUE!</v>
      </c>
      <c r="L192" t="e">
        <f>AND('OTRAS ACCIONES'!I201,"AAAAAFbuews=")</f>
        <v>#VALUE!</v>
      </c>
      <c r="M192" t="e">
        <f>AND('OTRAS ACCIONES'!J201,"AAAAAFbueww=")</f>
        <v>#VALUE!</v>
      </c>
      <c r="N192" t="e">
        <f>AND('OTRAS ACCIONES'!K201,"AAAAAFbuew0=")</f>
        <v>#VALUE!</v>
      </c>
      <c r="O192" t="e">
        <f>AND('OTRAS ACCIONES'!L201,"AAAAAFbuew4=")</f>
        <v>#VALUE!</v>
      </c>
      <c r="P192" t="e">
        <f>AND('OTRAS ACCIONES'!M201,"AAAAAFbuew8=")</f>
        <v>#VALUE!</v>
      </c>
      <c r="Q192" t="e">
        <f>AND('OTRAS ACCIONES'!N201,"AAAAAFbuexA=")</f>
        <v>#VALUE!</v>
      </c>
      <c r="R192" t="e">
        <f>AND('OTRAS ACCIONES'!O201,"AAAAAFbuexE=")</f>
        <v>#VALUE!</v>
      </c>
      <c r="S192" t="e">
        <f>AND('OTRAS ACCIONES'!P201,"AAAAAFbuexI=")</f>
        <v>#VALUE!</v>
      </c>
      <c r="T192" t="e">
        <f>AND('OTRAS ACCIONES'!Q201,"AAAAAFbuexM=")</f>
        <v>#VALUE!</v>
      </c>
      <c r="U192" t="e">
        <f>AND('OTRAS ACCIONES'!R201,"AAAAAFbuexQ=")</f>
        <v>#VALUE!</v>
      </c>
      <c r="V192">
        <f>IF('OTRAS ACCIONES'!202:202,"AAAAAFbuexU=",0)</f>
        <v>0</v>
      </c>
      <c r="W192" t="e">
        <f>AND('OTRAS ACCIONES'!B202,"AAAAAFbuexY=")</f>
        <v>#VALUE!</v>
      </c>
      <c r="X192" t="e">
        <f>AND('OTRAS ACCIONES'!C202,"AAAAAFbuexc=")</f>
        <v>#VALUE!</v>
      </c>
      <c r="Y192" t="e">
        <f>AND('OTRAS ACCIONES'!D202,"AAAAAFbuexg=")</f>
        <v>#VALUE!</v>
      </c>
      <c r="Z192" t="e">
        <f>AND('OTRAS ACCIONES'!E202,"AAAAAFbuexk=")</f>
        <v>#VALUE!</v>
      </c>
      <c r="AA192" t="e">
        <f>AND('OTRAS ACCIONES'!F202,"AAAAAFbuexo=")</f>
        <v>#VALUE!</v>
      </c>
      <c r="AB192" t="e">
        <f>AND('OTRAS ACCIONES'!G202,"AAAAAFbuexs=")</f>
        <v>#VALUE!</v>
      </c>
      <c r="AC192" t="e">
        <f>AND('OTRAS ACCIONES'!H202,"AAAAAFbuexw=")</f>
        <v>#VALUE!</v>
      </c>
      <c r="AD192" t="e">
        <f>AND('OTRAS ACCIONES'!I202,"AAAAAFbuex0=")</f>
        <v>#VALUE!</v>
      </c>
      <c r="AE192" t="e">
        <f>AND('OTRAS ACCIONES'!J202,"AAAAAFbuex4=")</f>
        <v>#VALUE!</v>
      </c>
      <c r="AF192" t="e">
        <f>AND('OTRAS ACCIONES'!K202,"AAAAAFbuex8=")</f>
        <v>#VALUE!</v>
      </c>
      <c r="AG192" t="e">
        <f>AND('OTRAS ACCIONES'!L202,"AAAAAFbueyA=")</f>
        <v>#VALUE!</v>
      </c>
      <c r="AH192" t="e">
        <f>AND('OTRAS ACCIONES'!M202,"AAAAAFbueyE=")</f>
        <v>#VALUE!</v>
      </c>
      <c r="AI192" t="e">
        <f>AND('OTRAS ACCIONES'!N202,"AAAAAFbueyI=")</f>
        <v>#VALUE!</v>
      </c>
      <c r="AJ192" t="e">
        <f>AND('OTRAS ACCIONES'!O202,"AAAAAFbueyM=")</f>
        <v>#VALUE!</v>
      </c>
      <c r="AK192" t="e">
        <f>AND('OTRAS ACCIONES'!P202,"AAAAAFbueyQ=")</f>
        <v>#VALUE!</v>
      </c>
      <c r="AL192" t="e">
        <f>AND('OTRAS ACCIONES'!Q202,"AAAAAFbueyU=")</f>
        <v>#VALUE!</v>
      </c>
      <c r="AM192" t="e">
        <f>AND('OTRAS ACCIONES'!R202,"AAAAAFbueyY=")</f>
        <v>#VALUE!</v>
      </c>
      <c r="AN192">
        <f>IF('OTRAS ACCIONES'!203:203,"AAAAAFbueyc=",0)</f>
        <v>0</v>
      </c>
      <c r="AO192" t="e">
        <f>AND('OTRAS ACCIONES'!B203,"AAAAAFbueyg=")</f>
        <v>#VALUE!</v>
      </c>
      <c r="AP192" t="e">
        <f>AND('OTRAS ACCIONES'!C203,"AAAAAFbueyk=")</f>
        <v>#VALUE!</v>
      </c>
      <c r="AQ192" t="e">
        <f>AND('OTRAS ACCIONES'!D203,"AAAAAFbueyo=")</f>
        <v>#VALUE!</v>
      </c>
      <c r="AR192" t="e">
        <f>AND('OTRAS ACCIONES'!E203,"AAAAAFbueys=")</f>
        <v>#VALUE!</v>
      </c>
      <c r="AS192" t="e">
        <f>AND('OTRAS ACCIONES'!F203,"AAAAAFbueyw=")</f>
        <v>#VALUE!</v>
      </c>
      <c r="AT192" t="e">
        <f>AND('OTRAS ACCIONES'!G203,"AAAAAFbuey0=")</f>
        <v>#VALUE!</v>
      </c>
      <c r="AU192" t="e">
        <f>AND('OTRAS ACCIONES'!H203,"AAAAAFbuey4=")</f>
        <v>#VALUE!</v>
      </c>
      <c r="AV192" t="e">
        <f>AND('OTRAS ACCIONES'!I203,"AAAAAFbuey8=")</f>
        <v>#VALUE!</v>
      </c>
      <c r="AW192" t="e">
        <f>AND('OTRAS ACCIONES'!J203,"AAAAAFbuezA=")</f>
        <v>#VALUE!</v>
      </c>
      <c r="AX192" t="e">
        <f>AND('OTRAS ACCIONES'!K203,"AAAAAFbuezE=")</f>
        <v>#VALUE!</v>
      </c>
      <c r="AY192" t="e">
        <f>AND('OTRAS ACCIONES'!L203,"AAAAAFbuezI=")</f>
        <v>#VALUE!</v>
      </c>
      <c r="AZ192" t="e">
        <f>AND('OTRAS ACCIONES'!M203,"AAAAAFbuezM=")</f>
        <v>#VALUE!</v>
      </c>
      <c r="BA192" t="e">
        <f>AND('OTRAS ACCIONES'!N203,"AAAAAFbuezQ=")</f>
        <v>#VALUE!</v>
      </c>
      <c r="BB192" t="e">
        <f>AND('OTRAS ACCIONES'!O203,"AAAAAFbuezU=")</f>
        <v>#VALUE!</v>
      </c>
      <c r="BC192" t="e">
        <f>AND('OTRAS ACCIONES'!P203,"AAAAAFbuezY=")</f>
        <v>#VALUE!</v>
      </c>
      <c r="BD192" t="e">
        <f>AND('OTRAS ACCIONES'!Q203,"AAAAAFbuezc=")</f>
        <v>#VALUE!</v>
      </c>
      <c r="BE192" t="e">
        <f>AND('OTRAS ACCIONES'!R203,"AAAAAFbuezg=")</f>
        <v>#VALUE!</v>
      </c>
      <c r="BF192">
        <f>IF('OTRAS ACCIONES'!204:204,"AAAAAFbuezk=",0)</f>
        <v>0</v>
      </c>
      <c r="BG192" t="e">
        <f>AND('OTRAS ACCIONES'!B204,"AAAAAFbuezo=")</f>
        <v>#VALUE!</v>
      </c>
      <c r="BH192" t="e">
        <f>AND('OTRAS ACCIONES'!C204,"AAAAAFbuezs=")</f>
        <v>#VALUE!</v>
      </c>
      <c r="BI192" t="e">
        <f>AND('OTRAS ACCIONES'!D204,"AAAAAFbuezw=")</f>
        <v>#VALUE!</v>
      </c>
      <c r="BJ192" t="e">
        <f>AND('OTRAS ACCIONES'!E204,"AAAAAFbuez0=")</f>
        <v>#VALUE!</v>
      </c>
      <c r="BK192" t="e">
        <f>AND('OTRAS ACCIONES'!F204,"AAAAAFbuez4=")</f>
        <v>#VALUE!</v>
      </c>
      <c r="BL192" t="e">
        <f>AND('OTRAS ACCIONES'!G204,"AAAAAFbuez8=")</f>
        <v>#VALUE!</v>
      </c>
      <c r="BM192" t="e">
        <f>AND('OTRAS ACCIONES'!H204,"AAAAAFbue0A=")</f>
        <v>#VALUE!</v>
      </c>
      <c r="BN192" t="e">
        <f>AND('OTRAS ACCIONES'!I204,"AAAAAFbue0E=")</f>
        <v>#VALUE!</v>
      </c>
      <c r="BO192" t="e">
        <f>AND('OTRAS ACCIONES'!J204,"AAAAAFbue0I=")</f>
        <v>#VALUE!</v>
      </c>
      <c r="BP192" t="e">
        <f>AND('OTRAS ACCIONES'!K204,"AAAAAFbue0M=")</f>
        <v>#VALUE!</v>
      </c>
      <c r="BQ192" t="e">
        <f>AND('OTRAS ACCIONES'!L204,"AAAAAFbue0Q=")</f>
        <v>#VALUE!</v>
      </c>
      <c r="BR192" t="e">
        <f>AND('OTRAS ACCIONES'!M204,"AAAAAFbue0U=")</f>
        <v>#VALUE!</v>
      </c>
      <c r="BS192" t="e">
        <f>AND('OTRAS ACCIONES'!N204,"AAAAAFbue0Y=")</f>
        <v>#VALUE!</v>
      </c>
      <c r="BT192" t="e">
        <f>AND('OTRAS ACCIONES'!O204,"AAAAAFbue0c=")</f>
        <v>#VALUE!</v>
      </c>
      <c r="BU192" t="e">
        <f>AND('OTRAS ACCIONES'!P204,"AAAAAFbue0g=")</f>
        <v>#VALUE!</v>
      </c>
      <c r="BV192" t="e">
        <f>AND('OTRAS ACCIONES'!Q204,"AAAAAFbue0k=")</f>
        <v>#VALUE!</v>
      </c>
      <c r="BW192" t="e">
        <f>AND('OTRAS ACCIONES'!R204,"AAAAAFbue0o=")</f>
        <v>#VALUE!</v>
      </c>
      <c r="BX192">
        <f>IF('OTRAS ACCIONES'!205:205,"AAAAAFbue0s=",0)</f>
        <v>0</v>
      </c>
      <c r="BY192" t="e">
        <f>AND('OTRAS ACCIONES'!B205,"AAAAAFbue0w=")</f>
        <v>#VALUE!</v>
      </c>
      <c r="BZ192" t="e">
        <f>AND('OTRAS ACCIONES'!C205,"AAAAAFbue00=")</f>
        <v>#VALUE!</v>
      </c>
      <c r="CA192" t="e">
        <f>AND('OTRAS ACCIONES'!D205,"AAAAAFbue04=")</f>
        <v>#VALUE!</v>
      </c>
      <c r="CB192" t="e">
        <f>AND('OTRAS ACCIONES'!E205,"AAAAAFbue08=")</f>
        <v>#VALUE!</v>
      </c>
      <c r="CC192" t="e">
        <f>AND('OTRAS ACCIONES'!F205,"AAAAAFbue1A=")</f>
        <v>#VALUE!</v>
      </c>
      <c r="CD192" t="e">
        <f>AND('OTRAS ACCIONES'!G205,"AAAAAFbue1E=")</f>
        <v>#VALUE!</v>
      </c>
      <c r="CE192" t="e">
        <f>AND('OTRAS ACCIONES'!H205,"AAAAAFbue1I=")</f>
        <v>#VALUE!</v>
      </c>
      <c r="CF192" t="e">
        <f>AND('OTRAS ACCIONES'!I205,"AAAAAFbue1M=")</f>
        <v>#VALUE!</v>
      </c>
      <c r="CG192" t="e">
        <f>AND('OTRAS ACCIONES'!J205,"AAAAAFbue1Q=")</f>
        <v>#VALUE!</v>
      </c>
      <c r="CH192" t="e">
        <f>AND('OTRAS ACCIONES'!K205,"AAAAAFbue1U=")</f>
        <v>#VALUE!</v>
      </c>
      <c r="CI192" t="e">
        <f>AND('OTRAS ACCIONES'!L205,"AAAAAFbue1Y=")</f>
        <v>#VALUE!</v>
      </c>
      <c r="CJ192" t="e">
        <f>AND('OTRAS ACCIONES'!M205,"AAAAAFbue1c=")</f>
        <v>#VALUE!</v>
      </c>
      <c r="CK192" t="e">
        <f>AND('OTRAS ACCIONES'!N205,"AAAAAFbue1g=")</f>
        <v>#VALUE!</v>
      </c>
      <c r="CL192" t="e">
        <f>AND('OTRAS ACCIONES'!O205,"AAAAAFbue1k=")</f>
        <v>#VALUE!</v>
      </c>
      <c r="CM192" t="e">
        <f>AND('OTRAS ACCIONES'!P205,"AAAAAFbue1o=")</f>
        <v>#VALUE!</v>
      </c>
      <c r="CN192" t="e">
        <f>AND('OTRAS ACCIONES'!Q205,"AAAAAFbue1s=")</f>
        <v>#VALUE!</v>
      </c>
      <c r="CO192" t="e">
        <f>AND('OTRAS ACCIONES'!R205,"AAAAAFbue1w=")</f>
        <v>#VALUE!</v>
      </c>
      <c r="CP192">
        <f>IF('OTRAS ACCIONES'!206:206,"AAAAAFbue10=",0)</f>
        <v>0</v>
      </c>
      <c r="CQ192" t="e">
        <f>AND('OTRAS ACCIONES'!B206,"AAAAAFbue14=")</f>
        <v>#VALUE!</v>
      </c>
      <c r="CR192" t="e">
        <f>AND('OTRAS ACCIONES'!C206,"AAAAAFbue18=")</f>
        <v>#VALUE!</v>
      </c>
      <c r="CS192" t="e">
        <f>AND('OTRAS ACCIONES'!D206,"AAAAAFbue2A=")</f>
        <v>#VALUE!</v>
      </c>
      <c r="CT192" t="e">
        <f>AND('OTRAS ACCIONES'!E206,"AAAAAFbue2E=")</f>
        <v>#VALUE!</v>
      </c>
      <c r="CU192" t="e">
        <f>AND('OTRAS ACCIONES'!F206,"AAAAAFbue2I=")</f>
        <v>#VALUE!</v>
      </c>
      <c r="CV192" t="e">
        <f>AND('OTRAS ACCIONES'!G206,"AAAAAFbue2M=")</f>
        <v>#VALUE!</v>
      </c>
      <c r="CW192" t="e">
        <f>AND('OTRAS ACCIONES'!H206,"AAAAAFbue2Q=")</f>
        <v>#VALUE!</v>
      </c>
      <c r="CX192" t="e">
        <f>AND('OTRAS ACCIONES'!I206,"AAAAAFbue2U=")</f>
        <v>#VALUE!</v>
      </c>
      <c r="CY192" t="e">
        <f>AND('OTRAS ACCIONES'!J206,"AAAAAFbue2Y=")</f>
        <v>#VALUE!</v>
      </c>
      <c r="CZ192" t="e">
        <f>AND('OTRAS ACCIONES'!K206,"AAAAAFbue2c=")</f>
        <v>#VALUE!</v>
      </c>
      <c r="DA192" t="e">
        <f>AND('OTRAS ACCIONES'!L206,"AAAAAFbue2g=")</f>
        <v>#VALUE!</v>
      </c>
      <c r="DB192" t="e">
        <f>AND('OTRAS ACCIONES'!M206,"AAAAAFbue2k=")</f>
        <v>#VALUE!</v>
      </c>
      <c r="DC192" t="e">
        <f>AND('OTRAS ACCIONES'!N206,"AAAAAFbue2o=")</f>
        <v>#VALUE!</v>
      </c>
      <c r="DD192" t="e">
        <f>AND('OTRAS ACCIONES'!O206,"AAAAAFbue2s=")</f>
        <v>#VALUE!</v>
      </c>
      <c r="DE192" t="e">
        <f>AND('OTRAS ACCIONES'!P206,"AAAAAFbue2w=")</f>
        <v>#VALUE!</v>
      </c>
      <c r="DF192" t="e">
        <f>AND('OTRAS ACCIONES'!Q206,"AAAAAFbue20=")</f>
        <v>#VALUE!</v>
      </c>
      <c r="DG192" t="e">
        <f>AND('OTRAS ACCIONES'!R206,"AAAAAFbue24=")</f>
        <v>#VALUE!</v>
      </c>
      <c r="DH192">
        <f>IF('OTRAS ACCIONES'!207:207,"AAAAAFbue28=",0)</f>
        <v>0</v>
      </c>
      <c r="DI192" t="e">
        <f>AND('OTRAS ACCIONES'!B207,"AAAAAFbue3A=")</f>
        <v>#VALUE!</v>
      </c>
      <c r="DJ192" t="e">
        <f>AND('OTRAS ACCIONES'!C207,"AAAAAFbue3E=")</f>
        <v>#VALUE!</v>
      </c>
      <c r="DK192" t="e">
        <f>AND('OTRAS ACCIONES'!D207,"AAAAAFbue3I=")</f>
        <v>#VALUE!</v>
      </c>
      <c r="DL192" t="e">
        <f>AND('OTRAS ACCIONES'!E207,"AAAAAFbue3M=")</f>
        <v>#VALUE!</v>
      </c>
      <c r="DM192" t="e">
        <f>AND('OTRAS ACCIONES'!F207,"AAAAAFbue3Q=")</f>
        <v>#VALUE!</v>
      </c>
      <c r="DN192" t="e">
        <f>AND('OTRAS ACCIONES'!G207,"AAAAAFbue3U=")</f>
        <v>#VALUE!</v>
      </c>
      <c r="DO192" t="e">
        <f>AND('OTRAS ACCIONES'!H207,"AAAAAFbue3Y=")</f>
        <v>#VALUE!</v>
      </c>
      <c r="DP192" t="e">
        <f>AND('OTRAS ACCIONES'!I207,"AAAAAFbue3c=")</f>
        <v>#VALUE!</v>
      </c>
      <c r="DQ192" t="e">
        <f>AND('OTRAS ACCIONES'!J207,"AAAAAFbue3g=")</f>
        <v>#VALUE!</v>
      </c>
      <c r="DR192" t="e">
        <f>AND('OTRAS ACCIONES'!K207,"AAAAAFbue3k=")</f>
        <v>#VALUE!</v>
      </c>
      <c r="DS192" t="e">
        <f>AND('OTRAS ACCIONES'!L207,"AAAAAFbue3o=")</f>
        <v>#VALUE!</v>
      </c>
      <c r="DT192" t="e">
        <f>AND('OTRAS ACCIONES'!M207,"AAAAAFbue3s=")</f>
        <v>#VALUE!</v>
      </c>
      <c r="DU192" t="e">
        <f>AND('OTRAS ACCIONES'!N207,"AAAAAFbue3w=")</f>
        <v>#VALUE!</v>
      </c>
      <c r="DV192" t="e">
        <f>AND('OTRAS ACCIONES'!O207,"AAAAAFbue30=")</f>
        <v>#VALUE!</v>
      </c>
      <c r="DW192" t="e">
        <f>AND('OTRAS ACCIONES'!P207,"AAAAAFbue34=")</f>
        <v>#VALUE!</v>
      </c>
      <c r="DX192" t="e">
        <f>AND('OTRAS ACCIONES'!Q207,"AAAAAFbue38=")</f>
        <v>#VALUE!</v>
      </c>
      <c r="DY192" t="e">
        <f>AND('OTRAS ACCIONES'!R207,"AAAAAFbue4A=")</f>
        <v>#VALUE!</v>
      </c>
      <c r="DZ192">
        <f>IF('OTRAS ACCIONES'!208:208,"AAAAAFbue4E=",0)</f>
        <v>0</v>
      </c>
      <c r="EA192" t="e">
        <f>AND('OTRAS ACCIONES'!B208,"AAAAAFbue4I=")</f>
        <v>#VALUE!</v>
      </c>
      <c r="EB192" t="e">
        <f>AND('OTRAS ACCIONES'!C208,"AAAAAFbue4M=")</f>
        <v>#VALUE!</v>
      </c>
      <c r="EC192" t="e">
        <f>AND('OTRAS ACCIONES'!D208,"AAAAAFbue4Q=")</f>
        <v>#VALUE!</v>
      </c>
      <c r="ED192" t="e">
        <f>AND('OTRAS ACCIONES'!E208,"AAAAAFbue4U=")</f>
        <v>#VALUE!</v>
      </c>
      <c r="EE192" t="e">
        <f>AND('OTRAS ACCIONES'!F208,"AAAAAFbue4Y=")</f>
        <v>#VALUE!</v>
      </c>
      <c r="EF192" t="e">
        <f>AND('OTRAS ACCIONES'!G208,"AAAAAFbue4c=")</f>
        <v>#VALUE!</v>
      </c>
      <c r="EG192" t="e">
        <f>AND('OTRAS ACCIONES'!H208,"AAAAAFbue4g=")</f>
        <v>#VALUE!</v>
      </c>
      <c r="EH192" t="e">
        <f>AND('OTRAS ACCIONES'!I208,"AAAAAFbue4k=")</f>
        <v>#VALUE!</v>
      </c>
      <c r="EI192" t="e">
        <f>AND('OTRAS ACCIONES'!J208,"AAAAAFbue4o=")</f>
        <v>#VALUE!</v>
      </c>
      <c r="EJ192" t="e">
        <f>AND('OTRAS ACCIONES'!K208,"AAAAAFbue4s=")</f>
        <v>#VALUE!</v>
      </c>
      <c r="EK192" t="e">
        <f>AND('OTRAS ACCIONES'!L208,"AAAAAFbue4w=")</f>
        <v>#VALUE!</v>
      </c>
      <c r="EL192" t="e">
        <f>AND('OTRAS ACCIONES'!M208,"AAAAAFbue40=")</f>
        <v>#VALUE!</v>
      </c>
      <c r="EM192" t="e">
        <f>AND('OTRAS ACCIONES'!N208,"AAAAAFbue44=")</f>
        <v>#VALUE!</v>
      </c>
      <c r="EN192" t="e">
        <f>AND('OTRAS ACCIONES'!O208,"AAAAAFbue48=")</f>
        <v>#VALUE!</v>
      </c>
      <c r="EO192" t="e">
        <f>AND('OTRAS ACCIONES'!P208,"AAAAAFbue5A=")</f>
        <v>#VALUE!</v>
      </c>
      <c r="EP192" t="e">
        <f>AND('OTRAS ACCIONES'!Q208,"AAAAAFbue5E=")</f>
        <v>#VALUE!</v>
      </c>
      <c r="EQ192" t="e">
        <f>AND('OTRAS ACCIONES'!R208,"AAAAAFbue5I=")</f>
        <v>#VALUE!</v>
      </c>
      <c r="ER192">
        <f>IF('OTRAS ACCIONES'!209:209,"AAAAAFbue5M=",0)</f>
        <v>0</v>
      </c>
      <c r="ES192" t="e">
        <f>AND('OTRAS ACCIONES'!B209,"AAAAAFbue5Q=")</f>
        <v>#VALUE!</v>
      </c>
      <c r="ET192" t="e">
        <f>AND('OTRAS ACCIONES'!C209,"AAAAAFbue5U=")</f>
        <v>#VALUE!</v>
      </c>
      <c r="EU192" t="e">
        <f>AND('OTRAS ACCIONES'!D209,"AAAAAFbue5Y=")</f>
        <v>#VALUE!</v>
      </c>
      <c r="EV192" t="e">
        <f>AND('OTRAS ACCIONES'!E209,"AAAAAFbue5c=")</f>
        <v>#VALUE!</v>
      </c>
      <c r="EW192" t="e">
        <f>AND('OTRAS ACCIONES'!F209,"AAAAAFbue5g=")</f>
        <v>#VALUE!</v>
      </c>
      <c r="EX192" t="e">
        <f>AND('OTRAS ACCIONES'!G209,"AAAAAFbue5k=")</f>
        <v>#VALUE!</v>
      </c>
      <c r="EY192" t="e">
        <f>AND('OTRAS ACCIONES'!H209,"AAAAAFbue5o=")</f>
        <v>#VALUE!</v>
      </c>
      <c r="EZ192" t="e">
        <f>AND('OTRAS ACCIONES'!I209,"AAAAAFbue5s=")</f>
        <v>#VALUE!</v>
      </c>
      <c r="FA192" t="e">
        <f>AND('OTRAS ACCIONES'!J209,"AAAAAFbue5w=")</f>
        <v>#VALUE!</v>
      </c>
      <c r="FB192" t="e">
        <f>AND('OTRAS ACCIONES'!K209,"AAAAAFbue50=")</f>
        <v>#VALUE!</v>
      </c>
      <c r="FC192" t="e">
        <f>AND('OTRAS ACCIONES'!L209,"AAAAAFbue54=")</f>
        <v>#VALUE!</v>
      </c>
      <c r="FD192" t="e">
        <f>AND('OTRAS ACCIONES'!M209,"AAAAAFbue58=")</f>
        <v>#VALUE!</v>
      </c>
      <c r="FE192" t="e">
        <f>AND('OTRAS ACCIONES'!N209,"AAAAAFbue6A=")</f>
        <v>#VALUE!</v>
      </c>
      <c r="FF192" t="e">
        <f>AND('OTRAS ACCIONES'!O209,"AAAAAFbue6E=")</f>
        <v>#VALUE!</v>
      </c>
      <c r="FG192" t="e">
        <f>AND('OTRAS ACCIONES'!P209,"AAAAAFbue6I=")</f>
        <v>#VALUE!</v>
      </c>
      <c r="FH192" t="e">
        <f>AND('OTRAS ACCIONES'!Q209,"AAAAAFbue6M=")</f>
        <v>#VALUE!</v>
      </c>
      <c r="FI192" t="e">
        <f>AND('OTRAS ACCIONES'!R209,"AAAAAFbue6Q=")</f>
        <v>#VALUE!</v>
      </c>
      <c r="FJ192">
        <f>IF('OTRAS ACCIONES'!210:210,"AAAAAFbue6U=",0)</f>
        <v>0</v>
      </c>
      <c r="FK192" t="e">
        <f>AND('OTRAS ACCIONES'!B210,"AAAAAFbue6Y=")</f>
        <v>#VALUE!</v>
      </c>
      <c r="FL192" t="e">
        <f>AND('OTRAS ACCIONES'!C210,"AAAAAFbue6c=")</f>
        <v>#VALUE!</v>
      </c>
      <c r="FM192" t="e">
        <f>AND('OTRAS ACCIONES'!D210,"AAAAAFbue6g=")</f>
        <v>#VALUE!</v>
      </c>
      <c r="FN192" t="e">
        <f>AND('OTRAS ACCIONES'!E210,"AAAAAFbue6k=")</f>
        <v>#VALUE!</v>
      </c>
      <c r="FO192" t="e">
        <f>AND('OTRAS ACCIONES'!F210,"AAAAAFbue6o=")</f>
        <v>#VALUE!</v>
      </c>
      <c r="FP192" t="e">
        <f>AND('OTRAS ACCIONES'!G210,"AAAAAFbue6s=")</f>
        <v>#VALUE!</v>
      </c>
      <c r="FQ192" t="e">
        <f>AND('OTRAS ACCIONES'!H210,"AAAAAFbue6w=")</f>
        <v>#VALUE!</v>
      </c>
      <c r="FR192" t="e">
        <f>AND('OTRAS ACCIONES'!I210,"AAAAAFbue60=")</f>
        <v>#VALUE!</v>
      </c>
      <c r="FS192" t="e">
        <f>AND('OTRAS ACCIONES'!J210,"AAAAAFbue64=")</f>
        <v>#VALUE!</v>
      </c>
      <c r="FT192" t="e">
        <f>AND('OTRAS ACCIONES'!K210,"AAAAAFbue68=")</f>
        <v>#VALUE!</v>
      </c>
      <c r="FU192" t="e">
        <f>AND('OTRAS ACCIONES'!L210,"AAAAAFbue7A=")</f>
        <v>#VALUE!</v>
      </c>
      <c r="FV192" t="e">
        <f>AND('OTRAS ACCIONES'!M210,"AAAAAFbue7E=")</f>
        <v>#VALUE!</v>
      </c>
      <c r="FW192" t="e">
        <f>AND('OTRAS ACCIONES'!N210,"AAAAAFbue7I=")</f>
        <v>#VALUE!</v>
      </c>
      <c r="FX192" t="e">
        <f>AND('OTRAS ACCIONES'!O210,"AAAAAFbue7M=")</f>
        <v>#VALUE!</v>
      </c>
      <c r="FY192" t="e">
        <f>AND('OTRAS ACCIONES'!P210,"AAAAAFbue7Q=")</f>
        <v>#VALUE!</v>
      </c>
      <c r="FZ192" t="e">
        <f>AND('OTRAS ACCIONES'!Q210,"AAAAAFbue7U=")</f>
        <v>#VALUE!</v>
      </c>
      <c r="GA192" t="e">
        <f>AND('OTRAS ACCIONES'!R210,"AAAAAFbue7Y=")</f>
        <v>#VALUE!</v>
      </c>
      <c r="GB192">
        <f>IF('OTRAS ACCIONES'!211:211,"AAAAAFbue7c=",0)</f>
        <v>0</v>
      </c>
      <c r="GC192" t="e">
        <f>AND('OTRAS ACCIONES'!B211,"AAAAAFbue7g=")</f>
        <v>#VALUE!</v>
      </c>
      <c r="GD192" t="e">
        <f>AND('OTRAS ACCIONES'!C211,"AAAAAFbue7k=")</f>
        <v>#VALUE!</v>
      </c>
      <c r="GE192" t="e">
        <f>AND('OTRAS ACCIONES'!D211,"AAAAAFbue7o=")</f>
        <v>#VALUE!</v>
      </c>
      <c r="GF192" t="e">
        <f>AND('OTRAS ACCIONES'!E211,"AAAAAFbue7s=")</f>
        <v>#VALUE!</v>
      </c>
      <c r="GG192" t="e">
        <f>AND('OTRAS ACCIONES'!F211,"AAAAAFbue7w=")</f>
        <v>#VALUE!</v>
      </c>
      <c r="GH192" t="e">
        <f>AND('OTRAS ACCIONES'!G211,"AAAAAFbue70=")</f>
        <v>#VALUE!</v>
      </c>
      <c r="GI192" t="e">
        <f>AND('OTRAS ACCIONES'!H211,"AAAAAFbue74=")</f>
        <v>#VALUE!</v>
      </c>
      <c r="GJ192" t="e">
        <f>AND('OTRAS ACCIONES'!I211,"AAAAAFbue78=")</f>
        <v>#VALUE!</v>
      </c>
      <c r="GK192" t="e">
        <f>AND('OTRAS ACCIONES'!J211,"AAAAAFbue8A=")</f>
        <v>#VALUE!</v>
      </c>
      <c r="GL192" t="e">
        <f>AND('OTRAS ACCIONES'!K211,"AAAAAFbue8E=")</f>
        <v>#VALUE!</v>
      </c>
      <c r="GM192" t="e">
        <f>AND('OTRAS ACCIONES'!L211,"AAAAAFbue8I=")</f>
        <v>#VALUE!</v>
      </c>
      <c r="GN192" t="e">
        <f>AND('OTRAS ACCIONES'!M211,"AAAAAFbue8M=")</f>
        <v>#VALUE!</v>
      </c>
      <c r="GO192" t="e">
        <f>AND('OTRAS ACCIONES'!N211,"AAAAAFbue8Q=")</f>
        <v>#VALUE!</v>
      </c>
      <c r="GP192" t="e">
        <f>AND('OTRAS ACCIONES'!O211,"AAAAAFbue8U=")</f>
        <v>#VALUE!</v>
      </c>
      <c r="GQ192" t="e">
        <f>AND('OTRAS ACCIONES'!P211,"AAAAAFbue8Y=")</f>
        <v>#VALUE!</v>
      </c>
      <c r="GR192" t="e">
        <f>AND('OTRAS ACCIONES'!Q211,"AAAAAFbue8c=")</f>
        <v>#VALUE!</v>
      </c>
      <c r="GS192" t="e">
        <f>AND('OTRAS ACCIONES'!R211,"AAAAAFbue8g=")</f>
        <v>#VALUE!</v>
      </c>
      <c r="GT192">
        <f>IF('OTRAS ACCIONES'!212:212,"AAAAAFbue8k=",0)</f>
        <v>0</v>
      </c>
      <c r="GU192" t="e">
        <f>AND('OTRAS ACCIONES'!B212,"AAAAAFbue8o=")</f>
        <v>#VALUE!</v>
      </c>
      <c r="GV192" t="e">
        <f>AND('OTRAS ACCIONES'!C212,"AAAAAFbue8s=")</f>
        <v>#VALUE!</v>
      </c>
      <c r="GW192" t="e">
        <f>AND('OTRAS ACCIONES'!D212,"AAAAAFbue8w=")</f>
        <v>#VALUE!</v>
      </c>
      <c r="GX192" t="e">
        <f>AND('OTRAS ACCIONES'!E212,"AAAAAFbue80=")</f>
        <v>#VALUE!</v>
      </c>
      <c r="GY192" t="e">
        <f>AND('OTRAS ACCIONES'!F212,"AAAAAFbue84=")</f>
        <v>#VALUE!</v>
      </c>
      <c r="GZ192" t="e">
        <f>AND('OTRAS ACCIONES'!G212,"AAAAAFbue88=")</f>
        <v>#VALUE!</v>
      </c>
      <c r="HA192" t="e">
        <f>AND('OTRAS ACCIONES'!H212,"AAAAAFbue9A=")</f>
        <v>#VALUE!</v>
      </c>
      <c r="HB192" t="e">
        <f>AND('OTRAS ACCIONES'!I212,"AAAAAFbue9E=")</f>
        <v>#VALUE!</v>
      </c>
      <c r="HC192" t="e">
        <f>AND('OTRAS ACCIONES'!J212,"AAAAAFbue9I=")</f>
        <v>#VALUE!</v>
      </c>
      <c r="HD192" t="e">
        <f>AND('OTRAS ACCIONES'!K212,"AAAAAFbue9M=")</f>
        <v>#VALUE!</v>
      </c>
      <c r="HE192" t="e">
        <f>AND('OTRAS ACCIONES'!L212,"AAAAAFbue9Q=")</f>
        <v>#VALUE!</v>
      </c>
      <c r="HF192" t="e">
        <f>AND('OTRAS ACCIONES'!M212,"AAAAAFbue9U=")</f>
        <v>#VALUE!</v>
      </c>
      <c r="HG192" t="e">
        <f>AND('OTRAS ACCIONES'!N212,"AAAAAFbue9Y=")</f>
        <v>#VALUE!</v>
      </c>
      <c r="HH192" t="e">
        <f>AND('OTRAS ACCIONES'!O212,"AAAAAFbue9c=")</f>
        <v>#VALUE!</v>
      </c>
      <c r="HI192" t="e">
        <f>AND('OTRAS ACCIONES'!P212,"AAAAAFbue9g=")</f>
        <v>#VALUE!</v>
      </c>
      <c r="HJ192" t="e">
        <f>AND('OTRAS ACCIONES'!Q212,"AAAAAFbue9k=")</f>
        <v>#VALUE!</v>
      </c>
      <c r="HK192" t="e">
        <f>AND('OTRAS ACCIONES'!R212,"AAAAAFbue9o=")</f>
        <v>#VALUE!</v>
      </c>
      <c r="HL192">
        <f>IF('OTRAS ACCIONES'!213:213,"AAAAAFbue9s=",0)</f>
        <v>0</v>
      </c>
      <c r="HM192" t="e">
        <f>AND('OTRAS ACCIONES'!B213,"AAAAAFbue9w=")</f>
        <v>#VALUE!</v>
      </c>
      <c r="HN192" t="e">
        <f>AND('OTRAS ACCIONES'!C213,"AAAAAFbue90=")</f>
        <v>#VALUE!</v>
      </c>
      <c r="HO192" t="e">
        <f>AND('OTRAS ACCIONES'!D213,"AAAAAFbue94=")</f>
        <v>#VALUE!</v>
      </c>
      <c r="HP192" t="e">
        <f>AND('OTRAS ACCIONES'!E213,"AAAAAFbue98=")</f>
        <v>#VALUE!</v>
      </c>
      <c r="HQ192" t="e">
        <f>AND('OTRAS ACCIONES'!F213,"AAAAAFbue+A=")</f>
        <v>#VALUE!</v>
      </c>
      <c r="HR192" t="e">
        <f>AND('OTRAS ACCIONES'!G213,"AAAAAFbue+E=")</f>
        <v>#VALUE!</v>
      </c>
      <c r="HS192" t="e">
        <f>AND('OTRAS ACCIONES'!H213,"AAAAAFbue+I=")</f>
        <v>#VALUE!</v>
      </c>
      <c r="HT192" t="e">
        <f>AND('OTRAS ACCIONES'!I213,"AAAAAFbue+M=")</f>
        <v>#VALUE!</v>
      </c>
      <c r="HU192" t="e">
        <f>AND('OTRAS ACCIONES'!J213,"AAAAAFbue+Q=")</f>
        <v>#VALUE!</v>
      </c>
      <c r="HV192" t="e">
        <f>AND('OTRAS ACCIONES'!K213,"AAAAAFbue+U=")</f>
        <v>#VALUE!</v>
      </c>
      <c r="HW192" t="e">
        <f>AND('OTRAS ACCIONES'!L213,"AAAAAFbue+Y=")</f>
        <v>#VALUE!</v>
      </c>
      <c r="HX192" t="e">
        <f>AND('OTRAS ACCIONES'!M213,"AAAAAFbue+c=")</f>
        <v>#VALUE!</v>
      </c>
      <c r="HY192" t="e">
        <f>AND('OTRAS ACCIONES'!N213,"AAAAAFbue+g=")</f>
        <v>#VALUE!</v>
      </c>
      <c r="HZ192" t="e">
        <f>AND('OTRAS ACCIONES'!O213,"AAAAAFbue+k=")</f>
        <v>#VALUE!</v>
      </c>
      <c r="IA192" t="e">
        <f>AND('OTRAS ACCIONES'!P213,"AAAAAFbue+o=")</f>
        <v>#VALUE!</v>
      </c>
      <c r="IB192" t="e">
        <f>AND('OTRAS ACCIONES'!Q213,"AAAAAFbue+s=")</f>
        <v>#VALUE!</v>
      </c>
      <c r="IC192" t="e">
        <f>AND('OTRAS ACCIONES'!R213,"AAAAAFbue+w=")</f>
        <v>#VALUE!</v>
      </c>
      <c r="ID192">
        <f>IF('OTRAS ACCIONES'!214:214,"AAAAAFbue+0=",0)</f>
        <v>0</v>
      </c>
      <c r="IE192" t="e">
        <f>AND('OTRAS ACCIONES'!B214,"AAAAAFbue+4=")</f>
        <v>#VALUE!</v>
      </c>
      <c r="IF192" t="e">
        <f>AND('OTRAS ACCIONES'!C214,"AAAAAFbue+8=")</f>
        <v>#VALUE!</v>
      </c>
      <c r="IG192" t="e">
        <f>AND('OTRAS ACCIONES'!D214,"AAAAAFbue/A=")</f>
        <v>#VALUE!</v>
      </c>
      <c r="IH192" t="e">
        <f>AND('OTRAS ACCIONES'!E214,"AAAAAFbue/E=")</f>
        <v>#VALUE!</v>
      </c>
      <c r="II192" t="e">
        <f>AND('OTRAS ACCIONES'!F214,"AAAAAFbue/I=")</f>
        <v>#VALUE!</v>
      </c>
      <c r="IJ192" t="e">
        <f>AND('OTRAS ACCIONES'!G214,"AAAAAFbue/M=")</f>
        <v>#VALUE!</v>
      </c>
      <c r="IK192" t="e">
        <f>AND('OTRAS ACCIONES'!H214,"AAAAAFbue/Q=")</f>
        <v>#VALUE!</v>
      </c>
      <c r="IL192" t="e">
        <f>AND('OTRAS ACCIONES'!I214,"AAAAAFbue/U=")</f>
        <v>#VALUE!</v>
      </c>
      <c r="IM192" t="e">
        <f>AND('OTRAS ACCIONES'!J214,"AAAAAFbue/Y=")</f>
        <v>#VALUE!</v>
      </c>
      <c r="IN192" t="e">
        <f>AND('OTRAS ACCIONES'!K214,"AAAAAFbue/c=")</f>
        <v>#VALUE!</v>
      </c>
      <c r="IO192" t="e">
        <f>AND('OTRAS ACCIONES'!L214,"AAAAAFbue/g=")</f>
        <v>#VALUE!</v>
      </c>
      <c r="IP192" t="e">
        <f>AND('OTRAS ACCIONES'!M214,"AAAAAFbue/k=")</f>
        <v>#VALUE!</v>
      </c>
      <c r="IQ192" t="e">
        <f>AND('OTRAS ACCIONES'!N214,"AAAAAFbue/o=")</f>
        <v>#VALUE!</v>
      </c>
      <c r="IR192" t="e">
        <f>AND('OTRAS ACCIONES'!O214,"AAAAAFbue/s=")</f>
        <v>#VALUE!</v>
      </c>
      <c r="IS192" t="e">
        <f>AND('OTRAS ACCIONES'!P214,"AAAAAFbue/w=")</f>
        <v>#VALUE!</v>
      </c>
      <c r="IT192" t="e">
        <f>AND('OTRAS ACCIONES'!Q214,"AAAAAFbue/0=")</f>
        <v>#VALUE!</v>
      </c>
      <c r="IU192" t="e">
        <f>AND('OTRAS ACCIONES'!R214,"AAAAAFbue/4=")</f>
        <v>#VALUE!</v>
      </c>
      <c r="IV192">
        <f>IF('OTRAS ACCIONES'!215:215,"AAAAAFbue/8=",0)</f>
        <v>0</v>
      </c>
    </row>
    <row r="193" spans="1:256" x14ac:dyDescent="0.2">
      <c r="A193" t="e">
        <f>AND('OTRAS ACCIONES'!B215,"AAAAAH/v+wA=")</f>
        <v>#VALUE!</v>
      </c>
      <c r="B193" t="e">
        <f>AND('OTRAS ACCIONES'!C215,"AAAAAH/v+wE=")</f>
        <v>#VALUE!</v>
      </c>
      <c r="C193" t="e">
        <f>AND('OTRAS ACCIONES'!D215,"AAAAAH/v+wI=")</f>
        <v>#VALUE!</v>
      </c>
      <c r="D193" t="e">
        <f>AND('OTRAS ACCIONES'!E215,"AAAAAH/v+wM=")</f>
        <v>#VALUE!</v>
      </c>
      <c r="E193" t="e">
        <f>AND('OTRAS ACCIONES'!F215,"AAAAAH/v+wQ=")</f>
        <v>#VALUE!</v>
      </c>
      <c r="F193" t="e">
        <f>AND('OTRAS ACCIONES'!G215,"AAAAAH/v+wU=")</f>
        <v>#VALUE!</v>
      </c>
      <c r="G193" t="e">
        <f>AND('OTRAS ACCIONES'!H215,"AAAAAH/v+wY=")</f>
        <v>#VALUE!</v>
      </c>
      <c r="H193" t="e">
        <f>AND('OTRAS ACCIONES'!I215,"AAAAAH/v+wc=")</f>
        <v>#VALUE!</v>
      </c>
      <c r="I193" t="e">
        <f>AND('OTRAS ACCIONES'!J215,"AAAAAH/v+wg=")</f>
        <v>#VALUE!</v>
      </c>
      <c r="J193" t="e">
        <f>AND('OTRAS ACCIONES'!K215,"AAAAAH/v+wk=")</f>
        <v>#VALUE!</v>
      </c>
      <c r="K193" t="e">
        <f>AND('OTRAS ACCIONES'!L215,"AAAAAH/v+wo=")</f>
        <v>#VALUE!</v>
      </c>
      <c r="L193" t="e">
        <f>AND('OTRAS ACCIONES'!M215,"AAAAAH/v+ws=")</f>
        <v>#VALUE!</v>
      </c>
      <c r="M193" t="e">
        <f>AND('OTRAS ACCIONES'!N215,"AAAAAH/v+ww=")</f>
        <v>#VALUE!</v>
      </c>
      <c r="N193" t="e">
        <f>AND('OTRAS ACCIONES'!O215,"AAAAAH/v+w0=")</f>
        <v>#VALUE!</v>
      </c>
      <c r="O193" t="e">
        <f>AND('OTRAS ACCIONES'!P215,"AAAAAH/v+w4=")</f>
        <v>#VALUE!</v>
      </c>
      <c r="P193" t="e">
        <f>AND('OTRAS ACCIONES'!Q215,"AAAAAH/v+w8=")</f>
        <v>#VALUE!</v>
      </c>
      <c r="Q193" t="e">
        <f>AND('OTRAS ACCIONES'!R215,"AAAAAH/v+xA=")</f>
        <v>#VALUE!</v>
      </c>
      <c r="R193" t="e">
        <f>IF('OTRAS ACCIONES'!216:216,"AAAAAH/v+xE=",0)</f>
        <v>#REF!</v>
      </c>
      <c r="S193" t="e">
        <f>AND('OTRAS ACCIONES'!B216,"AAAAAH/v+xI=")</f>
        <v>#VALUE!</v>
      </c>
      <c r="T193" t="e">
        <f>AND('OTRAS ACCIONES'!C216,"AAAAAH/v+xM=")</f>
        <v>#VALUE!</v>
      </c>
      <c r="U193" t="e">
        <f>AND('OTRAS ACCIONES'!D216,"AAAAAH/v+xQ=")</f>
        <v>#VALUE!</v>
      </c>
      <c r="V193" t="e">
        <f>AND('OTRAS ACCIONES'!E216,"AAAAAH/v+xU=")</f>
        <v>#VALUE!</v>
      </c>
      <c r="W193" t="e">
        <f>AND('OTRAS ACCIONES'!F216,"AAAAAH/v+xY=")</f>
        <v>#VALUE!</v>
      </c>
      <c r="X193" t="e">
        <f>AND('OTRAS ACCIONES'!G216,"AAAAAH/v+xc=")</f>
        <v>#VALUE!</v>
      </c>
      <c r="Y193" t="e">
        <f>AND('OTRAS ACCIONES'!H216,"AAAAAH/v+xg=")</f>
        <v>#VALUE!</v>
      </c>
      <c r="Z193" t="e">
        <f>AND('OTRAS ACCIONES'!I216,"AAAAAH/v+xk=")</f>
        <v>#VALUE!</v>
      </c>
      <c r="AA193" t="e">
        <f>AND('OTRAS ACCIONES'!J216,"AAAAAH/v+xo=")</f>
        <v>#VALUE!</v>
      </c>
      <c r="AB193" t="e">
        <f>AND('OTRAS ACCIONES'!K216,"AAAAAH/v+xs=")</f>
        <v>#VALUE!</v>
      </c>
      <c r="AC193" t="e">
        <f>AND('OTRAS ACCIONES'!L216,"AAAAAH/v+xw=")</f>
        <v>#VALUE!</v>
      </c>
      <c r="AD193" t="e">
        <f>AND('OTRAS ACCIONES'!M216,"AAAAAH/v+x0=")</f>
        <v>#VALUE!</v>
      </c>
      <c r="AE193" t="e">
        <f>AND('OTRAS ACCIONES'!N216,"AAAAAH/v+x4=")</f>
        <v>#VALUE!</v>
      </c>
      <c r="AF193" t="e">
        <f>AND('OTRAS ACCIONES'!O216,"AAAAAH/v+x8=")</f>
        <v>#VALUE!</v>
      </c>
      <c r="AG193" t="e">
        <f>AND('OTRAS ACCIONES'!P216,"AAAAAH/v+yA=")</f>
        <v>#VALUE!</v>
      </c>
      <c r="AH193" t="e">
        <f>AND('OTRAS ACCIONES'!Q216,"AAAAAH/v+yE=")</f>
        <v>#VALUE!</v>
      </c>
      <c r="AI193" t="e">
        <f>AND('OTRAS ACCIONES'!R216,"AAAAAH/v+yI=")</f>
        <v>#VALUE!</v>
      </c>
      <c r="AJ193">
        <f>IF('OTRAS ACCIONES'!217:217,"AAAAAH/v+yM=",0)</f>
        <v>0</v>
      </c>
      <c r="AK193" t="e">
        <f>AND('OTRAS ACCIONES'!B217,"AAAAAH/v+yQ=")</f>
        <v>#VALUE!</v>
      </c>
      <c r="AL193" t="e">
        <f>AND('OTRAS ACCIONES'!C217,"AAAAAH/v+yU=")</f>
        <v>#VALUE!</v>
      </c>
      <c r="AM193" t="e">
        <f>AND('OTRAS ACCIONES'!D217,"AAAAAH/v+yY=")</f>
        <v>#VALUE!</v>
      </c>
      <c r="AN193" t="e">
        <f>AND('OTRAS ACCIONES'!E217,"AAAAAH/v+yc=")</f>
        <v>#VALUE!</v>
      </c>
      <c r="AO193" t="e">
        <f>AND('OTRAS ACCIONES'!F217,"AAAAAH/v+yg=")</f>
        <v>#VALUE!</v>
      </c>
      <c r="AP193" t="e">
        <f>AND('OTRAS ACCIONES'!G217,"AAAAAH/v+yk=")</f>
        <v>#VALUE!</v>
      </c>
      <c r="AQ193" t="e">
        <f>AND('OTRAS ACCIONES'!H217,"AAAAAH/v+yo=")</f>
        <v>#VALUE!</v>
      </c>
      <c r="AR193" t="e">
        <f>AND('OTRAS ACCIONES'!I217,"AAAAAH/v+ys=")</f>
        <v>#VALUE!</v>
      </c>
      <c r="AS193" t="e">
        <f>AND('OTRAS ACCIONES'!J217,"AAAAAH/v+yw=")</f>
        <v>#VALUE!</v>
      </c>
      <c r="AT193" t="e">
        <f>AND('OTRAS ACCIONES'!K217,"AAAAAH/v+y0=")</f>
        <v>#VALUE!</v>
      </c>
      <c r="AU193" t="e">
        <f>AND('OTRAS ACCIONES'!L217,"AAAAAH/v+y4=")</f>
        <v>#VALUE!</v>
      </c>
      <c r="AV193" t="e">
        <f>AND('OTRAS ACCIONES'!M217,"AAAAAH/v+y8=")</f>
        <v>#VALUE!</v>
      </c>
      <c r="AW193" t="e">
        <f>AND('OTRAS ACCIONES'!N217,"AAAAAH/v+zA=")</f>
        <v>#VALUE!</v>
      </c>
      <c r="AX193" t="e">
        <f>AND('OTRAS ACCIONES'!O217,"AAAAAH/v+zE=")</f>
        <v>#VALUE!</v>
      </c>
      <c r="AY193" t="e">
        <f>AND('OTRAS ACCIONES'!P217,"AAAAAH/v+zI=")</f>
        <v>#VALUE!</v>
      </c>
      <c r="AZ193" t="e">
        <f>AND('OTRAS ACCIONES'!Q217,"AAAAAH/v+zM=")</f>
        <v>#VALUE!</v>
      </c>
      <c r="BA193" t="e">
        <f>AND('OTRAS ACCIONES'!R217,"AAAAAH/v+zQ=")</f>
        <v>#VALUE!</v>
      </c>
      <c r="BB193">
        <f>IF('OTRAS ACCIONES'!218:218,"AAAAAH/v+zU=",0)</f>
        <v>0</v>
      </c>
      <c r="BC193" t="e">
        <f>AND('OTRAS ACCIONES'!B218,"AAAAAH/v+zY=")</f>
        <v>#VALUE!</v>
      </c>
      <c r="BD193" t="e">
        <f>AND('OTRAS ACCIONES'!C218,"AAAAAH/v+zc=")</f>
        <v>#VALUE!</v>
      </c>
      <c r="BE193" t="e">
        <f>AND('OTRAS ACCIONES'!D218,"AAAAAH/v+zg=")</f>
        <v>#VALUE!</v>
      </c>
      <c r="BF193" t="e">
        <f>AND('OTRAS ACCIONES'!E218,"AAAAAH/v+zk=")</f>
        <v>#VALUE!</v>
      </c>
      <c r="BG193" t="e">
        <f>AND('OTRAS ACCIONES'!F218,"AAAAAH/v+zo=")</f>
        <v>#VALUE!</v>
      </c>
      <c r="BH193" t="e">
        <f>AND('OTRAS ACCIONES'!G218,"AAAAAH/v+zs=")</f>
        <v>#VALUE!</v>
      </c>
      <c r="BI193" t="e">
        <f>AND('OTRAS ACCIONES'!H218,"AAAAAH/v+zw=")</f>
        <v>#VALUE!</v>
      </c>
      <c r="BJ193" t="e">
        <f>AND('OTRAS ACCIONES'!I218,"AAAAAH/v+z0=")</f>
        <v>#VALUE!</v>
      </c>
      <c r="BK193" t="e">
        <f>AND('OTRAS ACCIONES'!J218,"AAAAAH/v+z4=")</f>
        <v>#VALUE!</v>
      </c>
      <c r="BL193" t="e">
        <f>AND('OTRAS ACCIONES'!K218,"AAAAAH/v+z8=")</f>
        <v>#VALUE!</v>
      </c>
      <c r="BM193" t="e">
        <f>AND('OTRAS ACCIONES'!L218,"AAAAAH/v+0A=")</f>
        <v>#VALUE!</v>
      </c>
      <c r="BN193" t="e">
        <f>AND('OTRAS ACCIONES'!M218,"AAAAAH/v+0E=")</f>
        <v>#VALUE!</v>
      </c>
      <c r="BO193" t="e">
        <f>AND('OTRAS ACCIONES'!N218,"AAAAAH/v+0I=")</f>
        <v>#VALUE!</v>
      </c>
      <c r="BP193" t="e">
        <f>AND('OTRAS ACCIONES'!O218,"AAAAAH/v+0M=")</f>
        <v>#VALUE!</v>
      </c>
      <c r="BQ193" t="e">
        <f>AND('OTRAS ACCIONES'!P218,"AAAAAH/v+0Q=")</f>
        <v>#VALUE!</v>
      </c>
      <c r="BR193" t="e">
        <f>AND('OTRAS ACCIONES'!Q218,"AAAAAH/v+0U=")</f>
        <v>#VALUE!</v>
      </c>
      <c r="BS193" t="e">
        <f>AND('OTRAS ACCIONES'!R218,"AAAAAH/v+0Y=")</f>
        <v>#VALUE!</v>
      </c>
      <c r="BT193">
        <f>IF('OTRAS ACCIONES'!219:219,"AAAAAH/v+0c=",0)</f>
        <v>0</v>
      </c>
      <c r="BU193" t="e">
        <f>AND('OTRAS ACCIONES'!B219,"AAAAAH/v+0g=")</f>
        <v>#VALUE!</v>
      </c>
      <c r="BV193" t="e">
        <f>AND('OTRAS ACCIONES'!C219,"AAAAAH/v+0k=")</f>
        <v>#VALUE!</v>
      </c>
      <c r="BW193" t="e">
        <f>AND('OTRAS ACCIONES'!D219,"AAAAAH/v+0o=")</f>
        <v>#VALUE!</v>
      </c>
      <c r="BX193" t="e">
        <f>AND('OTRAS ACCIONES'!E219,"AAAAAH/v+0s=")</f>
        <v>#VALUE!</v>
      </c>
      <c r="BY193" t="e">
        <f>AND('OTRAS ACCIONES'!F219,"AAAAAH/v+0w=")</f>
        <v>#VALUE!</v>
      </c>
      <c r="BZ193" t="e">
        <f>AND('OTRAS ACCIONES'!G219,"AAAAAH/v+00=")</f>
        <v>#VALUE!</v>
      </c>
      <c r="CA193" t="e">
        <f>AND('OTRAS ACCIONES'!H219,"AAAAAH/v+04=")</f>
        <v>#VALUE!</v>
      </c>
      <c r="CB193" t="e">
        <f>AND('OTRAS ACCIONES'!I219,"AAAAAH/v+08=")</f>
        <v>#VALUE!</v>
      </c>
      <c r="CC193" t="e">
        <f>AND('OTRAS ACCIONES'!J219,"AAAAAH/v+1A=")</f>
        <v>#VALUE!</v>
      </c>
      <c r="CD193" t="e">
        <f>AND('OTRAS ACCIONES'!K219,"AAAAAH/v+1E=")</f>
        <v>#VALUE!</v>
      </c>
      <c r="CE193" t="e">
        <f>AND('OTRAS ACCIONES'!L219,"AAAAAH/v+1I=")</f>
        <v>#VALUE!</v>
      </c>
      <c r="CF193" t="e">
        <f>AND('OTRAS ACCIONES'!M219,"AAAAAH/v+1M=")</f>
        <v>#VALUE!</v>
      </c>
      <c r="CG193" t="e">
        <f>AND('OTRAS ACCIONES'!N219,"AAAAAH/v+1Q=")</f>
        <v>#VALUE!</v>
      </c>
      <c r="CH193" t="e">
        <f>AND('OTRAS ACCIONES'!O219,"AAAAAH/v+1U=")</f>
        <v>#VALUE!</v>
      </c>
      <c r="CI193" t="e">
        <f>AND('OTRAS ACCIONES'!P219,"AAAAAH/v+1Y=")</f>
        <v>#VALUE!</v>
      </c>
      <c r="CJ193" t="e">
        <f>AND('OTRAS ACCIONES'!Q219,"AAAAAH/v+1c=")</f>
        <v>#VALUE!</v>
      </c>
      <c r="CK193" t="e">
        <f>AND('OTRAS ACCIONES'!R219,"AAAAAH/v+1g=")</f>
        <v>#VALUE!</v>
      </c>
      <c r="CL193">
        <f>IF('OTRAS ACCIONES'!220:220,"AAAAAH/v+1k=",0)</f>
        <v>0</v>
      </c>
      <c r="CM193" t="e">
        <f>AND('OTRAS ACCIONES'!B220,"AAAAAH/v+1o=")</f>
        <v>#VALUE!</v>
      </c>
      <c r="CN193" t="e">
        <f>AND('OTRAS ACCIONES'!C220,"AAAAAH/v+1s=")</f>
        <v>#VALUE!</v>
      </c>
      <c r="CO193" t="e">
        <f>AND('OTRAS ACCIONES'!D220,"AAAAAH/v+1w=")</f>
        <v>#VALUE!</v>
      </c>
      <c r="CP193" t="e">
        <f>AND('OTRAS ACCIONES'!E220,"AAAAAH/v+10=")</f>
        <v>#VALUE!</v>
      </c>
      <c r="CQ193" t="e">
        <f>AND('OTRAS ACCIONES'!F220,"AAAAAH/v+14=")</f>
        <v>#VALUE!</v>
      </c>
      <c r="CR193" t="e">
        <f>AND('OTRAS ACCIONES'!G220,"AAAAAH/v+18=")</f>
        <v>#VALUE!</v>
      </c>
      <c r="CS193" t="e">
        <f>AND('OTRAS ACCIONES'!H220,"AAAAAH/v+2A=")</f>
        <v>#VALUE!</v>
      </c>
      <c r="CT193" t="e">
        <f>AND('OTRAS ACCIONES'!I220,"AAAAAH/v+2E=")</f>
        <v>#VALUE!</v>
      </c>
      <c r="CU193" t="e">
        <f>AND('OTRAS ACCIONES'!J220,"AAAAAH/v+2I=")</f>
        <v>#VALUE!</v>
      </c>
      <c r="CV193" t="e">
        <f>AND('OTRAS ACCIONES'!K220,"AAAAAH/v+2M=")</f>
        <v>#VALUE!</v>
      </c>
      <c r="CW193" t="e">
        <f>AND('OTRAS ACCIONES'!L220,"AAAAAH/v+2Q=")</f>
        <v>#VALUE!</v>
      </c>
      <c r="CX193" t="e">
        <f>AND('OTRAS ACCIONES'!M220,"AAAAAH/v+2U=")</f>
        <v>#VALUE!</v>
      </c>
      <c r="CY193" t="e">
        <f>AND('OTRAS ACCIONES'!N220,"AAAAAH/v+2Y=")</f>
        <v>#VALUE!</v>
      </c>
      <c r="CZ193" t="e">
        <f>AND('OTRAS ACCIONES'!O220,"AAAAAH/v+2c=")</f>
        <v>#VALUE!</v>
      </c>
      <c r="DA193" t="e">
        <f>AND('OTRAS ACCIONES'!P220,"AAAAAH/v+2g=")</f>
        <v>#VALUE!</v>
      </c>
      <c r="DB193" t="e">
        <f>AND('OTRAS ACCIONES'!Q220,"AAAAAH/v+2k=")</f>
        <v>#VALUE!</v>
      </c>
      <c r="DC193" t="e">
        <f>AND('OTRAS ACCIONES'!R220,"AAAAAH/v+2o=")</f>
        <v>#VALUE!</v>
      </c>
      <c r="DD193">
        <f>IF('OTRAS ACCIONES'!221:221,"AAAAAH/v+2s=",0)</f>
        <v>0</v>
      </c>
      <c r="DE193" t="e">
        <f>AND('OTRAS ACCIONES'!B221,"AAAAAH/v+2w=")</f>
        <v>#VALUE!</v>
      </c>
      <c r="DF193" t="e">
        <f>AND('OTRAS ACCIONES'!C221,"AAAAAH/v+20=")</f>
        <v>#VALUE!</v>
      </c>
      <c r="DG193" t="e">
        <f>AND('OTRAS ACCIONES'!D221,"AAAAAH/v+24=")</f>
        <v>#VALUE!</v>
      </c>
      <c r="DH193" t="e">
        <f>AND('OTRAS ACCIONES'!E221,"AAAAAH/v+28=")</f>
        <v>#VALUE!</v>
      </c>
      <c r="DI193" t="e">
        <f>AND('OTRAS ACCIONES'!F221,"AAAAAH/v+3A=")</f>
        <v>#VALUE!</v>
      </c>
      <c r="DJ193" t="e">
        <f>AND('OTRAS ACCIONES'!G221,"AAAAAH/v+3E=")</f>
        <v>#VALUE!</v>
      </c>
      <c r="DK193" t="e">
        <f>AND('OTRAS ACCIONES'!H221,"AAAAAH/v+3I=")</f>
        <v>#VALUE!</v>
      </c>
      <c r="DL193" t="e">
        <f>AND('OTRAS ACCIONES'!I221,"AAAAAH/v+3M=")</f>
        <v>#VALUE!</v>
      </c>
      <c r="DM193" t="e">
        <f>AND('OTRAS ACCIONES'!J221,"AAAAAH/v+3Q=")</f>
        <v>#VALUE!</v>
      </c>
      <c r="DN193" t="e">
        <f>AND('OTRAS ACCIONES'!K221,"AAAAAH/v+3U=")</f>
        <v>#VALUE!</v>
      </c>
      <c r="DO193" t="e">
        <f>AND('OTRAS ACCIONES'!L221,"AAAAAH/v+3Y=")</f>
        <v>#VALUE!</v>
      </c>
      <c r="DP193" t="e">
        <f>AND('OTRAS ACCIONES'!M221,"AAAAAH/v+3c=")</f>
        <v>#VALUE!</v>
      </c>
      <c r="DQ193" t="e">
        <f>AND('OTRAS ACCIONES'!N221,"AAAAAH/v+3g=")</f>
        <v>#VALUE!</v>
      </c>
      <c r="DR193" t="e">
        <f>AND('OTRAS ACCIONES'!O221,"AAAAAH/v+3k=")</f>
        <v>#VALUE!</v>
      </c>
      <c r="DS193" t="e">
        <f>AND('OTRAS ACCIONES'!P221,"AAAAAH/v+3o=")</f>
        <v>#VALUE!</v>
      </c>
      <c r="DT193" t="e">
        <f>AND('OTRAS ACCIONES'!Q221,"AAAAAH/v+3s=")</f>
        <v>#VALUE!</v>
      </c>
      <c r="DU193" t="e">
        <f>AND('OTRAS ACCIONES'!R221,"AAAAAH/v+3w=")</f>
        <v>#VALUE!</v>
      </c>
      <c r="DV193">
        <f>IF('OTRAS ACCIONES'!222:222,"AAAAAH/v+30=",0)</f>
        <v>0</v>
      </c>
      <c r="DW193" t="e">
        <f>AND('OTRAS ACCIONES'!B222,"AAAAAH/v+34=")</f>
        <v>#VALUE!</v>
      </c>
      <c r="DX193" t="e">
        <f>AND('OTRAS ACCIONES'!C222,"AAAAAH/v+38=")</f>
        <v>#VALUE!</v>
      </c>
      <c r="DY193" t="e">
        <f>AND('OTRAS ACCIONES'!D222,"AAAAAH/v+4A=")</f>
        <v>#VALUE!</v>
      </c>
      <c r="DZ193" t="e">
        <f>AND('OTRAS ACCIONES'!E222,"AAAAAH/v+4E=")</f>
        <v>#VALUE!</v>
      </c>
      <c r="EA193" t="e">
        <f>AND('OTRAS ACCIONES'!F222,"AAAAAH/v+4I=")</f>
        <v>#VALUE!</v>
      </c>
      <c r="EB193" t="e">
        <f>AND('OTRAS ACCIONES'!G222,"AAAAAH/v+4M=")</f>
        <v>#VALUE!</v>
      </c>
      <c r="EC193" t="e">
        <f>AND('OTRAS ACCIONES'!H222,"AAAAAH/v+4Q=")</f>
        <v>#VALUE!</v>
      </c>
      <c r="ED193" t="e">
        <f>AND('OTRAS ACCIONES'!I222,"AAAAAH/v+4U=")</f>
        <v>#VALUE!</v>
      </c>
      <c r="EE193" t="e">
        <f>AND('OTRAS ACCIONES'!J222,"AAAAAH/v+4Y=")</f>
        <v>#VALUE!</v>
      </c>
      <c r="EF193" t="e">
        <f>AND('OTRAS ACCIONES'!K222,"AAAAAH/v+4c=")</f>
        <v>#VALUE!</v>
      </c>
      <c r="EG193" t="e">
        <f>AND('OTRAS ACCIONES'!L222,"AAAAAH/v+4g=")</f>
        <v>#VALUE!</v>
      </c>
      <c r="EH193" t="e">
        <f>AND('OTRAS ACCIONES'!M222,"AAAAAH/v+4k=")</f>
        <v>#VALUE!</v>
      </c>
      <c r="EI193" t="e">
        <f>AND('OTRAS ACCIONES'!N222,"AAAAAH/v+4o=")</f>
        <v>#VALUE!</v>
      </c>
      <c r="EJ193" t="e">
        <f>AND('OTRAS ACCIONES'!O222,"AAAAAH/v+4s=")</f>
        <v>#VALUE!</v>
      </c>
      <c r="EK193" t="e">
        <f>AND('OTRAS ACCIONES'!P222,"AAAAAH/v+4w=")</f>
        <v>#VALUE!</v>
      </c>
      <c r="EL193" t="e">
        <f>AND('OTRAS ACCIONES'!Q222,"AAAAAH/v+40=")</f>
        <v>#VALUE!</v>
      </c>
      <c r="EM193" t="e">
        <f>AND('OTRAS ACCIONES'!R222,"AAAAAH/v+44=")</f>
        <v>#VALUE!</v>
      </c>
      <c r="EN193">
        <f>IF('OTRAS ACCIONES'!223:223,"AAAAAH/v+48=",0)</f>
        <v>0</v>
      </c>
      <c r="EO193" t="e">
        <f>AND('OTRAS ACCIONES'!B223,"AAAAAH/v+5A=")</f>
        <v>#VALUE!</v>
      </c>
      <c r="EP193" t="e">
        <f>AND('OTRAS ACCIONES'!C223,"AAAAAH/v+5E=")</f>
        <v>#VALUE!</v>
      </c>
      <c r="EQ193" t="e">
        <f>AND('OTRAS ACCIONES'!D223,"AAAAAH/v+5I=")</f>
        <v>#VALUE!</v>
      </c>
      <c r="ER193" t="e">
        <f>AND('OTRAS ACCIONES'!E223,"AAAAAH/v+5M=")</f>
        <v>#VALUE!</v>
      </c>
      <c r="ES193" t="e">
        <f>AND('OTRAS ACCIONES'!F223,"AAAAAH/v+5Q=")</f>
        <v>#VALUE!</v>
      </c>
      <c r="ET193" t="e">
        <f>AND('OTRAS ACCIONES'!G223,"AAAAAH/v+5U=")</f>
        <v>#VALUE!</v>
      </c>
      <c r="EU193" t="e">
        <f>AND('OTRAS ACCIONES'!H223,"AAAAAH/v+5Y=")</f>
        <v>#VALUE!</v>
      </c>
      <c r="EV193" t="e">
        <f>AND('OTRAS ACCIONES'!I223,"AAAAAH/v+5c=")</f>
        <v>#VALUE!</v>
      </c>
      <c r="EW193" t="e">
        <f>AND('OTRAS ACCIONES'!J223,"AAAAAH/v+5g=")</f>
        <v>#VALUE!</v>
      </c>
      <c r="EX193" t="e">
        <f>AND('OTRAS ACCIONES'!K223,"AAAAAH/v+5k=")</f>
        <v>#VALUE!</v>
      </c>
      <c r="EY193" t="e">
        <f>AND('OTRAS ACCIONES'!L223,"AAAAAH/v+5o=")</f>
        <v>#VALUE!</v>
      </c>
      <c r="EZ193" t="e">
        <f>AND('OTRAS ACCIONES'!M223,"AAAAAH/v+5s=")</f>
        <v>#VALUE!</v>
      </c>
      <c r="FA193" t="e">
        <f>AND('OTRAS ACCIONES'!N223,"AAAAAH/v+5w=")</f>
        <v>#VALUE!</v>
      </c>
      <c r="FB193" t="e">
        <f>AND('OTRAS ACCIONES'!O223,"AAAAAH/v+50=")</f>
        <v>#VALUE!</v>
      </c>
      <c r="FC193" t="e">
        <f>AND('OTRAS ACCIONES'!P223,"AAAAAH/v+54=")</f>
        <v>#VALUE!</v>
      </c>
      <c r="FD193" t="e">
        <f>AND('OTRAS ACCIONES'!Q223,"AAAAAH/v+58=")</f>
        <v>#VALUE!</v>
      </c>
      <c r="FE193" t="e">
        <f>AND('OTRAS ACCIONES'!R223,"AAAAAH/v+6A=")</f>
        <v>#VALUE!</v>
      </c>
      <c r="FF193">
        <f>IF('OTRAS ACCIONES'!224:224,"AAAAAH/v+6E=",0)</f>
        <v>0</v>
      </c>
      <c r="FG193" t="e">
        <f>AND('OTRAS ACCIONES'!B224,"AAAAAH/v+6I=")</f>
        <v>#VALUE!</v>
      </c>
      <c r="FH193" t="e">
        <f>AND('OTRAS ACCIONES'!C224,"AAAAAH/v+6M=")</f>
        <v>#VALUE!</v>
      </c>
      <c r="FI193" t="e">
        <f>AND('OTRAS ACCIONES'!D224,"AAAAAH/v+6Q=")</f>
        <v>#VALUE!</v>
      </c>
      <c r="FJ193" t="e">
        <f>AND('OTRAS ACCIONES'!E224,"AAAAAH/v+6U=")</f>
        <v>#VALUE!</v>
      </c>
      <c r="FK193" t="e">
        <f>AND('OTRAS ACCIONES'!F224,"AAAAAH/v+6Y=")</f>
        <v>#VALUE!</v>
      </c>
      <c r="FL193" t="e">
        <f>AND('OTRAS ACCIONES'!G224,"AAAAAH/v+6c=")</f>
        <v>#VALUE!</v>
      </c>
      <c r="FM193" t="e">
        <f>AND('OTRAS ACCIONES'!H224,"AAAAAH/v+6g=")</f>
        <v>#VALUE!</v>
      </c>
      <c r="FN193" t="e">
        <f>AND('OTRAS ACCIONES'!I224,"AAAAAH/v+6k=")</f>
        <v>#VALUE!</v>
      </c>
      <c r="FO193" t="e">
        <f>AND('OTRAS ACCIONES'!J224,"AAAAAH/v+6o=")</f>
        <v>#VALUE!</v>
      </c>
      <c r="FP193" t="e">
        <f>AND('OTRAS ACCIONES'!K224,"AAAAAH/v+6s=")</f>
        <v>#VALUE!</v>
      </c>
      <c r="FQ193" t="e">
        <f>AND('OTRAS ACCIONES'!L224,"AAAAAH/v+6w=")</f>
        <v>#VALUE!</v>
      </c>
      <c r="FR193" t="e">
        <f>AND('OTRAS ACCIONES'!M224,"AAAAAH/v+60=")</f>
        <v>#VALUE!</v>
      </c>
      <c r="FS193" t="e">
        <f>AND('OTRAS ACCIONES'!N224,"AAAAAH/v+64=")</f>
        <v>#VALUE!</v>
      </c>
      <c r="FT193" t="e">
        <f>AND('OTRAS ACCIONES'!O224,"AAAAAH/v+68=")</f>
        <v>#VALUE!</v>
      </c>
      <c r="FU193" t="e">
        <f>AND('OTRAS ACCIONES'!P224,"AAAAAH/v+7A=")</f>
        <v>#VALUE!</v>
      </c>
      <c r="FV193" t="e">
        <f>AND('OTRAS ACCIONES'!Q224,"AAAAAH/v+7E=")</f>
        <v>#VALUE!</v>
      </c>
      <c r="FW193" t="e">
        <f>AND('OTRAS ACCIONES'!R224,"AAAAAH/v+7I=")</f>
        <v>#VALUE!</v>
      </c>
      <c r="FX193">
        <f>IF('OTRAS ACCIONES'!225:225,"AAAAAH/v+7M=",0)</f>
        <v>0</v>
      </c>
      <c r="FY193" t="e">
        <f>AND('OTRAS ACCIONES'!B225,"AAAAAH/v+7Q=")</f>
        <v>#VALUE!</v>
      </c>
      <c r="FZ193" t="e">
        <f>AND('OTRAS ACCIONES'!C225,"AAAAAH/v+7U=")</f>
        <v>#VALUE!</v>
      </c>
      <c r="GA193" t="e">
        <f>AND('OTRAS ACCIONES'!D225,"AAAAAH/v+7Y=")</f>
        <v>#VALUE!</v>
      </c>
      <c r="GB193" t="e">
        <f>AND('OTRAS ACCIONES'!E225,"AAAAAH/v+7c=")</f>
        <v>#VALUE!</v>
      </c>
      <c r="GC193" t="e">
        <f>AND('OTRAS ACCIONES'!F225,"AAAAAH/v+7g=")</f>
        <v>#VALUE!</v>
      </c>
      <c r="GD193" t="e">
        <f>AND('OTRAS ACCIONES'!G225,"AAAAAH/v+7k=")</f>
        <v>#VALUE!</v>
      </c>
      <c r="GE193" t="e">
        <f>AND('OTRAS ACCIONES'!H225,"AAAAAH/v+7o=")</f>
        <v>#VALUE!</v>
      </c>
      <c r="GF193" t="e">
        <f>AND('OTRAS ACCIONES'!I225,"AAAAAH/v+7s=")</f>
        <v>#VALUE!</v>
      </c>
      <c r="GG193" t="e">
        <f>AND('OTRAS ACCIONES'!J225,"AAAAAH/v+7w=")</f>
        <v>#VALUE!</v>
      </c>
      <c r="GH193" t="e">
        <f>AND('OTRAS ACCIONES'!K225,"AAAAAH/v+70=")</f>
        <v>#VALUE!</v>
      </c>
      <c r="GI193" t="e">
        <f>AND('OTRAS ACCIONES'!L225,"AAAAAH/v+74=")</f>
        <v>#VALUE!</v>
      </c>
      <c r="GJ193" t="e">
        <f>AND('OTRAS ACCIONES'!M225,"AAAAAH/v+78=")</f>
        <v>#VALUE!</v>
      </c>
      <c r="GK193" t="e">
        <f>AND('OTRAS ACCIONES'!N225,"AAAAAH/v+8A=")</f>
        <v>#VALUE!</v>
      </c>
      <c r="GL193" t="e">
        <f>AND('OTRAS ACCIONES'!O225,"AAAAAH/v+8E=")</f>
        <v>#VALUE!</v>
      </c>
      <c r="GM193" t="e">
        <f>AND('OTRAS ACCIONES'!P225,"AAAAAH/v+8I=")</f>
        <v>#VALUE!</v>
      </c>
      <c r="GN193" t="e">
        <f>AND('OTRAS ACCIONES'!Q225,"AAAAAH/v+8M=")</f>
        <v>#VALUE!</v>
      </c>
      <c r="GO193" t="e">
        <f>AND('OTRAS ACCIONES'!R225,"AAAAAH/v+8Q=")</f>
        <v>#VALUE!</v>
      </c>
      <c r="GP193">
        <f>IF('OTRAS ACCIONES'!226:226,"AAAAAH/v+8U=",0)</f>
        <v>0</v>
      </c>
      <c r="GQ193" t="e">
        <f>AND('OTRAS ACCIONES'!B226,"AAAAAH/v+8Y=")</f>
        <v>#VALUE!</v>
      </c>
      <c r="GR193" t="e">
        <f>AND('OTRAS ACCIONES'!C226,"AAAAAH/v+8c=")</f>
        <v>#VALUE!</v>
      </c>
      <c r="GS193" t="e">
        <f>AND('OTRAS ACCIONES'!D226,"AAAAAH/v+8g=")</f>
        <v>#VALUE!</v>
      </c>
      <c r="GT193" t="e">
        <f>AND('OTRAS ACCIONES'!E226,"AAAAAH/v+8k=")</f>
        <v>#VALUE!</v>
      </c>
      <c r="GU193" t="e">
        <f>AND('OTRAS ACCIONES'!F226,"AAAAAH/v+8o=")</f>
        <v>#VALUE!</v>
      </c>
      <c r="GV193" t="e">
        <f>AND('OTRAS ACCIONES'!G226,"AAAAAH/v+8s=")</f>
        <v>#VALUE!</v>
      </c>
      <c r="GW193" t="e">
        <f>AND('OTRAS ACCIONES'!H226,"AAAAAH/v+8w=")</f>
        <v>#VALUE!</v>
      </c>
      <c r="GX193" t="e">
        <f>AND('OTRAS ACCIONES'!I226,"AAAAAH/v+80=")</f>
        <v>#VALUE!</v>
      </c>
      <c r="GY193" t="e">
        <f>AND('OTRAS ACCIONES'!J226,"AAAAAH/v+84=")</f>
        <v>#VALUE!</v>
      </c>
      <c r="GZ193" t="e">
        <f>AND('OTRAS ACCIONES'!K226,"AAAAAH/v+88=")</f>
        <v>#VALUE!</v>
      </c>
      <c r="HA193" t="e">
        <f>AND('OTRAS ACCIONES'!L226,"AAAAAH/v+9A=")</f>
        <v>#VALUE!</v>
      </c>
      <c r="HB193" t="e">
        <f>AND('OTRAS ACCIONES'!M226,"AAAAAH/v+9E=")</f>
        <v>#VALUE!</v>
      </c>
      <c r="HC193" t="e">
        <f>AND('OTRAS ACCIONES'!N226,"AAAAAH/v+9I=")</f>
        <v>#VALUE!</v>
      </c>
      <c r="HD193" t="e">
        <f>AND('OTRAS ACCIONES'!O226,"AAAAAH/v+9M=")</f>
        <v>#VALUE!</v>
      </c>
      <c r="HE193" t="e">
        <f>AND('OTRAS ACCIONES'!P226,"AAAAAH/v+9Q=")</f>
        <v>#VALUE!</v>
      </c>
      <c r="HF193" t="e">
        <f>AND('OTRAS ACCIONES'!Q226,"AAAAAH/v+9U=")</f>
        <v>#VALUE!</v>
      </c>
      <c r="HG193" t="e">
        <f>AND('OTRAS ACCIONES'!R226,"AAAAAH/v+9Y=")</f>
        <v>#VALUE!</v>
      </c>
      <c r="HH193">
        <f>IF('OTRAS ACCIONES'!227:227,"AAAAAH/v+9c=",0)</f>
        <v>0</v>
      </c>
      <c r="HI193" t="e">
        <f>AND('OTRAS ACCIONES'!B227,"AAAAAH/v+9g=")</f>
        <v>#VALUE!</v>
      </c>
      <c r="HJ193" t="e">
        <f>AND('OTRAS ACCIONES'!C227,"AAAAAH/v+9k=")</f>
        <v>#VALUE!</v>
      </c>
      <c r="HK193" t="e">
        <f>AND('OTRAS ACCIONES'!D227,"AAAAAH/v+9o=")</f>
        <v>#VALUE!</v>
      </c>
      <c r="HL193" t="e">
        <f>AND('OTRAS ACCIONES'!E227,"AAAAAH/v+9s=")</f>
        <v>#VALUE!</v>
      </c>
      <c r="HM193" t="e">
        <f>AND('OTRAS ACCIONES'!F227,"AAAAAH/v+9w=")</f>
        <v>#VALUE!</v>
      </c>
      <c r="HN193" t="e">
        <f>AND('OTRAS ACCIONES'!G227,"AAAAAH/v+90=")</f>
        <v>#VALUE!</v>
      </c>
      <c r="HO193" t="e">
        <f>AND('OTRAS ACCIONES'!H227,"AAAAAH/v+94=")</f>
        <v>#VALUE!</v>
      </c>
      <c r="HP193" t="e">
        <f>AND('OTRAS ACCIONES'!I227,"AAAAAH/v+98=")</f>
        <v>#VALUE!</v>
      </c>
      <c r="HQ193" t="e">
        <f>AND('OTRAS ACCIONES'!J227,"AAAAAH/v++A=")</f>
        <v>#VALUE!</v>
      </c>
      <c r="HR193" t="e">
        <f>AND('OTRAS ACCIONES'!K227,"AAAAAH/v++E=")</f>
        <v>#VALUE!</v>
      </c>
      <c r="HS193" t="e">
        <f>AND('OTRAS ACCIONES'!L227,"AAAAAH/v++I=")</f>
        <v>#VALUE!</v>
      </c>
      <c r="HT193" t="e">
        <f>AND('OTRAS ACCIONES'!M227,"AAAAAH/v++M=")</f>
        <v>#VALUE!</v>
      </c>
      <c r="HU193" t="e">
        <f>AND('OTRAS ACCIONES'!N227,"AAAAAH/v++Q=")</f>
        <v>#VALUE!</v>
      </c>
      <c r="HV193" t="e">
        <f>AND('OTRAS ACCIONES'!O227,"AAAAAH/v++U=")</f>
        <v>#VALUE!</v>
      </c>
      <c r="HW193" t="e">
        <f>AND('OTRAS ACCIONES'!P227,"AAAAAH/v++Y=")</f>
        <v>#VALUE!</v>
      </c>
      <c r="HX193" t="e">
        <f>AND('OTRAS ACCIONES'!Q227,"AAAAAH/v++c=")</f>
        <v>#VALUE!</v>
      </c>
      <c r="HY193" t="e">
        <f>AND('OTRAS ACCIONES'!R227,"AAAAAH/v++g=")</f>
        <v>#VALUE!</v>
      </c>
      <c r="HZ193">
        <f>IF('OTRAS ACCIONES'!228:228,"AAAAAH/v++k=",0)</f>
        <v>0</v>
      </c>
      <c r="IA193" t="e">
        <f>AND('OTRAS ACCIONES'!B228,"AAAAAH/v++o=")</f>
        <v>#VALUE!</v>
      </c>
      <c r="IB193" t="e">
        <f>AND('OTRAS ACCIONES'!C228,"AAAAAH/v++s=")</f>
        <v>#VALUE!</v>
      </c>
      <c r="IC193" t="e">
        <f>AND('OTRAS ACCIONES'!D228,"AAAAAH/v++w=")</f>
        <v>#VALUE!</v>
      </c>
      <c r="ID193" t="e">
        <f>AND('OTRAS ACCIONES'!E228,"AAAAAH/v++0=")</f>
        <v>#VALUE!</v>
      </c>
      <c r="IE193" t="e">
        <f>AND('OTRAS ACCIONES'!F228,"AAAAAH/v++4=")</f>
        <v>#VALUE!</v>
      </c>
      <c r="IF193" t="e">
        <f>AND('OTRAS ACCIONES'!G228,"AAAAAH/v++8=")</f>
        <v>#VALUE!</v>
      </c>
      <c r="IG193" t="e">
        <f>AND('OTRAS ACCIONES'!H228,"AAAAAH/v+/A=")</f>
        <v>#VALUE!</v>
      </c>
      <c r="IH193" t="e">
        <f>AND('OTRAS ACCIONES'!I228,"AAAAAH/v+/E=")</f>
        <v>#VALUE!</v>
      </c>
      <c r="II193" t="e">
        <f>AND('OTRAS ACCIONES'!J228,"AAAAAH/v+/I=")</f>
        <v>#VALUE!</v>
      </c>
      <c r="IJ193" t="e">
        <f>AND('OTRAS ACCIONES'!K228,"AAAAAH/v+/M=")</f>
        <v>#VALUE!</v>
      </c>
      <c r="IK193" t="e">
        <f>AND('OTRAS ACCIONES'!L228,"AAAAAH/v+/Q=")</f>
        <v>#VALUE!</v>
      </c>
      <c r="IL193" t="e">
        <f>AND('OTRAS ACCIONES'!M228,"AAAAAH/v+/U=")</f>
        <v>#VALUE!</v>
      </c>
      <c r="IM193" t="e">
        <f>AND('OTRAS ACCIONES'!N228,"AAAAAH/v+/Y=")</f>
        <v>#VALUE!</v>
      </c>
      <c r="IN193" t="e">
        <f>AND('OTRAS ACCIONES'!O228,"AAAAAH/v+/c=")</f>
        <v>#VALUE!</v>
      </c>
      <c r="IO193" t="e">
        <f>AND('OTRAS ACCIONES'!P228,"AAAAAH/v+/g=")</f>
        <v>#VALUE!</v>
      </c>
      <c r="IP193" t="e">
        <f>AND('OTRAS ACCIONES'!Q228,"AAAAAH/v+/k=")</f>
        <v>#VALUE!</v>
      </c>
      <c r="IQ193" t="e">
        <f>AND('OTRAS ACCIONES'!R228,"AAAAAH/v+/o=")</f>
        <v>#VALUE!</v>
      </c>
      <c r="IR193">
        <f>IF('OTRAS ACCIONES'!229:229,"AAAAAH/v+/s=",0)</f>
        <v>0</v>
      </c>
      <c r="IS193" t="e">
        <f>AND('OTRAS ACCIONES'!B229,"AAAAAH/v+/w=")</f>
        <v>#VALUE!</v>
      </c>
      <c r="IT193" t="e">
        <f>AND('OTRAS ACCIONES'!C229,"AAAAAH/v+/0=")</f>
        <v>#VALUE!</v>
      </c>
      <c r="IU193" t="e">
        <f>AND('OTRAS ACCIONES'!D229,"AAAAAH/v+/4=")</f>
        <v>#VALUE!</v>
      </c>
      <c r="IV193" t="e">
        <f>AND('OTRAS ACCIONES'!E229,"AAAAAH/v+/8=")</f>
        <v>#VALUE!</v>
      </c>
    </row>
    <row r="194" spans="1:256" x14ac:dyDescent="0.2">
      <c r="A194" t="e">
        <f>AND('OTRAS ACCIONES'!F229,"AAAAAH8tXgA=")</f>
        <v>#VALUE!</v>
      </c>
      <c r="B194" t="e">
        <f>AND('OTRAS ACCIONES'!G229,"AAAAAH8tXgE=")</f>
        <v>#VALUE!</v>
      </c>
      <c r="C194" t="e">
        <f>AND('OTRAS ACCIONES'!H229,"AAAAAH8tXgI=")</f>
        <v>#VALUE!</v>
      </c>
      <c r="D194" t="e">
        <f>AND('OTRAS ACCIONES'!I229,"AAAAAH8tXgM=")</f>
        <v>#VALUE!</v>
      </c>
      <c r="E194" t="e">
        <f>AND('OTRAS ACCIONES'!J229,"AAAAAH8tXgQ=")</f>
        <v>#VALUE!</v>
      </c>
      <c r="F194" t="e">
        <f>AND('OTRAS ACCIONES'!K229,"AAAAAH8tXgU=")</f>
        <v>#VALUE!</v>
      </c>
      <c r="G194" t="e">
        <f>AND('OTRAS ACCIONES'!L229,"AAAAAH8tXgY=")</f>
        <v>#VALUE!</v>
      </c>
      <c r="H194" t="e">
        <f>AND('OTRAS ACCIONES'!M229,"AAAAAH8tXgc=")</f>
        <v>#VALUE!</v>
      </c>
      <c r="I194" t="e">
        <f>AND('OTRAS ACCIONES'!N229,"AAAAAH8tXgg=")</f>
        <v>#VALUE!</v>
      </c>
      <c r="J194" t="e">
        <f>AND('OTRAS ACCIONES'!O229,"AAAAAH8tXgk=")</f>
        <v>#VALUE!</v>
      </c>
      <c r="K194" t="e">
        <f>AND('OTRAS ACCIONES'!P229,"AAAAAH8tXgo=")</f>
        <v>#VALUE!</v>
      </c>
      <c r="L194" t="e">
        <f>AND('OTRAS ACCIONES'!Q229,"AAAAAH8tXgs=")</f>
        <v>#VALUE!</v>
      </c>
      <c r="M194" t="e">
        <f>AND('OTRAS ACCIONES'!R229,"AAAAAH8tXgw=")</f>
        <v>#VALUE!</v>
      </c>
      <c r="N194">
        <f>IF('OTRAS ACCIONES'!230:230,"AAAAAH8tXg0=",0)</f>
        <v>0</v>
      </c>
      <c r="O194" t="e">
        <f>AND('OTRAS ACCIONES'!B230,"AAAAAH8tXg4=")</f>
        <v>#VALUE!</v>
      </c>
      <c r="P194" t="e">
        <f>AND('OTRAS ACCIONES'!C230,"AAAAAH8tXg8=")</f>
        <v>#VALUE!</v>
      </c>
      <c r="Q194" t="e">
        <f>AND('OTRAS ACCIONES'!D230,"AAAAAH8tXhA=")</f>
        <v>#VALUE!</v>
      </c>
      <c r="R194" t="e">
        <f>AND('OTRAS ACCIONES'!E230,"AAAAAH8tXhE=")</f>
        <v>#VALUE!</v>
      </c>
      <c r="S194" t="e">
        <f>AND('OTRAS ACCIONES'!F230,"AAAAAH8tXhI=")</f>
        <v>#VALUE!</v>
      </c>
      <c r="T194" t="e">
        <f>AND('OTRAS ACCIONES'!G230,"AAAAAH8tXhM=")</f>
        <v>#VALUE!</v>
      </c>
      <c r="U194" t="e">
        <f>AND('OTRAS ACCIONES'!H230,"AAAAAH8tXhQ=")</f>
        <v>#VALUE!</v>
      </c>
      <c r="V194" t="e">
        <f>AND('OTRAS ACCIONES'!I230,"AAAAAH8tXhU=")</f>
        <v>#VALUE!</v>
      </c>
      <c r="W194" t="e">
        <f>AND('OTRAS ACCIONES'!J230,"AAAAAH8tXhY=")</f>
        <v>#VALUE!</v>
      </c>
      <c r="X194" t="e">
        <f>AND('OTRAS ACCIONES'!K230,"AAAAAH8tXhc=")</f>
        <v>#VALUE!</v>
      </c>
      <c r="Y194" t="e">
        <f>AND('OTRAS ACCIONES'!L230,"AAAAAH8tXhg=")</f>
        <v>#VALUE!</v>
      </c>
      <c r="Z194" t="e">
        <f>AND('OTRAS ACCIONES'!M230,"AAAAAH8tXhk=")</f>
        <v>#VALUE!</v>
      </c>
      <c r="AA194" t="e">
        <f>AND('OTRAS ACCIONES'!N230,"AAAAAH8tXho=")</f>
        <v>#VALUE!</v>
      </c>
      <c r="AB194" t="e">
        <f>AND('OTRAS ACCIONES'!O230,"AAAAAH8tXhs=")</f>
        <v>#VALUE!</v>
      </c>
      <c r="AC194" t="e">
        <f>AND('OTRAS ACCIONES'!P230,"AAAAAH8tXhw=")</f>
        <v>#VALUE!</v>
      </c>
      <c r="AD194" t="e">
        <f>AND('OTRAS ACCIONES'!Q230,"AAAAAH8tXh0=")</f>
        <v>#VALUE!</v>
      </c>
      <c r="AE194" t="e">
        <f>AND('OTRAS ACCIONES'!R230,"AAAAAH8tXh4=")</f>
        <v>#VALUE!</v>
      </c>
      <c r="AF194">
        <f>IF('OTRAS ACCIONES'!231:231,"AAAAAH8tXh8=",0)</f>
        <v>0</v>
      </c>
      <c r="AG194" t="e">
        <f>AND('OTRAS ACCIONES'!B231,"AAAAAH8tXiA=")</f>
        <v>#VALUE!</v>
      </c>
      <c r="AH194" t="e">
        <f>AND('OTRAS ACCIONES'!C231,"AAAAAH8tXiE=")</f>
        <v>#VALUE!</v>
      </c>
      <c r="AI194" t="e">
        <f>AND('OTRAS ACCIONES'!D231,"AAAAAH8tXiI=")</f>
        <v>#VALUE!</v>
      </c>
      <c r="AJ194" t="e">
        <f>AND('OTRAS ACCIONES'!E231,"AAAAAH8tXiM=")</f>
        <v>#VALUE!</v>
      </c>
      <c r="AK194" t="e">
        <f>AND('OTRAS ACCIONES'!F231,"AAAAAH8tXiQ=")</f>
        <v>#VALUE!</v>
      </c>
      <c r="AL194" t="e">
        <f>AND('OTRAS ACCIONES'!G231,"AAAAAH8tXiU=")</f>
        <v>#VALUE!</v>
      </c>
      <c r="AM194" t="e">
        <f>AND('OTRAS ACCIONES'!H231,"AAAAAH8tXiY=")</f>
        <v>#VALUE!</v>
      </c>
      <c r="AN194" t="e">
        <f>AND('OTRAS ACCIONES'!I231,"AAAAAH8tXic=")</f>
        <v>#VALUE!</v>
      </c>
      <c r="AO194" t="e">
        <f>AND('OTRAS ACCIONES'!J231,"AAAAAH8tXig=")</f>
        <v>#VALUE!</v>
      </c>
      <c r="AP194" t="e">
        <f>AND('OTRAS ACCIONES'!K231,"AAAAAH8tXik=")</f>
        <v>#VALUE!</v>
      </c>
      <c r="AQ194" t="e">
        <f>AND('OTRAS ACCIONES'!L231,"AAAAAH8tXio=")</f>
        <v>#VALUE!</v>
      </c>
      <c r="AR194" t="e">
        <f>AND('OTRAS ACCIONES'!M231,"AAAAAH8tXis=")</f>
        <v>#VALUE!</v>
      </c>
      <c r="AS194" t="e">
        <f>AND('OTRAS ACCIONES'!N231,"AAAAAH8tXiw=")</f>
        <v>#VALUE!</v>
      </c>
      <c r="AT194" t="e">
        <f>AND('OTRAS ACCIONES'!O231,"AAAAAH8tXi0=")</f>
        <v>#VALUE!</v>
      </c>
      <c r="AU194" t="e">
        <f>AND('OTRAS ACCIONES'!P231,"AAAAAH8tXi4=")</f>
        <v>#VALUE!</v>
      </c>
      <c r="AV194" t="e">
        <f>AND('OTRAS ACCIONES'!Q231,"AAAAAH8tXi8=")</f>
        <v>#VALUE!</v>
      </c>
      <c r="AW194" t="e">
        <f>AND('OTRAS ACCIONES'!R231,"AAAAAH8tXjA=")</f>
        <v>#VALUE!</v>
      </c>
      <c r="AX194">
        <f>IF('OTRAS ACCIONES'!232:232,"AAAAAH8tXjE=",0)</f>
        <v>0</v>
      </c>
      <c r="AY194" t="e">
        <f>AND('OTRAS ACCIONES'!B232,"AAAAAH8tXjI=")</f>
        <v>#VALUE!</v>
      </c>
      <c r="AZ194" t="e">
        <f>AND('OTRAS ACCIONES'!C232,"AAAAAH8tXjM=")</f>
        <v>#VALUE!</v>
      </c>
      <c r="BA194" t="e">
        <f>AND('OTRAS ACCIONES'!D232,"AAAAAH8tXjQ=")</f>
        <v>#VALUE!</v>
      </c>
      <c r="BB194" t="e">
        <f>AND('OTRAS ACCIONES'!E232,"AAAAAH8tXjU=")</f>
        <v>#VALUE!</v>
      </c>
      <c r="BC194" t="e">
        <f>AND('OTRAS ACCIONES'!F232,"AAAAAH8tXjY=")</f>
        <v>#VALUE!</v>
      </c>
      <c r="BD194" t="e">
        <f>AND('OTRAS ACCIONES'!G232,"AAAAAH8tXjc=")</f>
        <v>#VALUE!</v>
      </c>
      <c r="BE194" t="e">
        <f>AND('OTRAS ACCIONES'!H232,"AAAAAH8tXjg=")</f>
        <v>#VALUE!</v>
      </c>
      <c r="BF194" t="e">
        <f>AND('OTRAS ACCIONES'!I232,"AAAAAH8tXjk=")</f>
        <v>#VALUE!</v>
      </c>
      <c r="BG194" t="e">
        <f>AND('OTRAS ACCIONES'!J232,"AAAAAH8tXjo=")</f>
        <v>#VALUE!</v>
      </c>
      <c r="BH194" t="e">
        <f>AND('OTRAS ACCIONES'!K232,"AAAAAH8tXjs=")</f>
        <v>#VALUE!</v>
      </c>
      <c r="BI194" t="e">
        <f>AND('OTRAS ACCIONES'!L232,"AAAAAH8tXjw=")</f>
        <v>#VALUE!</v>
      </c>
      <c r="BJ194" t="e">
        <f>AND('OTRAS ACCIONES'!M232,"AAAAAH8tXj0=")</f>
        <v>#VALUE!</v>
      </c>
      <c r="BK194" t="e">
        <f>AND('OTRAS ACCIONES'!N232,"AAAAAH8tXj4=")</f>
        <v>#VALUE!</v>
      </c>
      <c r="BL194" t="e">
        <f>AND('OTRAS ACCIONES'!O232,"AAAAAH8tXj8=")</f>
        <v>#VALUE!</v>
      </c>
      <c r="BM194" t="e">
        <f>AND('OTRAS ACCIONES'!P232,"AAAAAH8tXkA=")</f>
        <v>#VALUE!</v>
      </c>
      <c r="BN194" t="e">
        <f>AND('OTRAS ACCIONES'!Q232,"AAAAAH8tXkE=")</f>
        <v>#VALUE!</v>
      </c>
      <c r="BO194" t="e">
        <f>AND('OTRAS ACCIONES'!R232,"AAAAAH8tXkI=")</f>
        <v>#VALUE!</v>
      </c>
      <c r="BP194">
        <f>IF('OTRAS ACCIONES'!233:233,"AAAAAH8tXkM=",0)</f>
        <v>0</v>
      </c>
      <c r="BQ194" t="e">
        <f>AND('OTRAS ACCIONES'!B233,"AAAAAH8tXkQ=")</f>
        <v>#VALUE!</v>
      </c>
      <c r="BR194" t="e">
        <f>AND('OTRAS ACCIONES'!C233,"AAAAAH8tXkU=")</f>
        <v>#VALUE!</v>
      </c>
      <c r="BS194" t="e">
        <f>AND('OTRAS ACCIONES'!D233,"AAAAAH8tXkY=")</f>
        <v>#VALUE!</v>
      </c>
      <c r="BT194" t="e">
        <f>AND('OTRAS ACCIONES'!E233,"AAAAAH8tXkc=")</f>
        <v>#VALUE!</v>
      </c>
      <c r="BU194" t="e">
        <f>AND('OTRAS ACCIONES'!F233,"AAAAAH8tXkg=")</f>
        <v>#VALUE!</v>
      </c>
      <c r="BV194" t="e">
        <f>AND('OTRAS ACCIONES'!G233,"AAAAAH8tXkk=")</f>
        <v>#VALUE!</v>
      </c>
      <c r="BW194" t="e">
        <f>AND('OTRAS ACCIONES'!H233,"AAAAAH8tXko=")</f>
        <v>#VALUE!</v>
      </c>
      <c r="BX194" t="e">
        <f>AND('OTRAS ACCIONES'!I233,"AAAAAH8tXks=")</f>
        <v>#VALUE!</v>
      </c>
      <c r="BY194" t="e">
        <f>AND('OTRAS ACCIONES'!J233,"AAAAAH8tXkw=")</f>
        <v>#VALUE!</v>
      </c>
      <c r="BZ194" t="e">
        <f>AND('OTRAS ACCIONES'!K233,"AAAAAH8tXk0=")</f>
        <v>#VALUE!</v>
      </c>
      <c r="CA194" t="e">
        <f>AND('OTRAS ACCIONES'!L233,"AAAAAH8tXk4=")</f>
        <v>#VALUE!</v>
      </c>
      <c r="CB194" t="e">
        <f>AND('OTRAS ACCIONES'!M233,"AAAAAH8tXk8=")</f>
        <v>#VALUE!</v>
      </c>
      <c r="CC194" t="e">
        <f>AND('OTRAS ACCIONES'!N233,"AAAAAH8tXlA=")</f>
        <v>#VALUE!</v>
      </c>
      <c r="CD194" t="e">
        <f>AND('OTRAS ACCIONES'!O233,"AAAAAH8tXlE=")</f>
        <v>#VALUE!</v>
      </c>
      <c r="CE194" t="e">
        <f>AND('OTRAS ACCIONES'!P233,"AAAAAH8tXlI=")</f>
        <v>#VALUE!</v>
      </c>
      <c r="CF194" t="e">
        <f>AND('OTRAS ACCIONES'!Q233,"AAAAAH8tXlM=")</f>
        <v>#VALUE!</v>
      </c>
      <c r="CG194" t="e">
        <f>AND('OTRAS ACCIONES'!R233,"AAAAAH8tXlQ=")</f>
        <v>#VALUE!</v>
      </c>
      <c r="CH194">
        <f>IF('OTRAS ACCIONES'!234:234,"AAAAAH8tXlU=",0)</f>
        <v>0</v>
      </c>
      <c r="CI194" t="e">
        <f>AND('OTRAS ACCIONES'!B234,"AAAAAH8tXlY=")</f>
        <v>#VALUE!</v>
      </c>
      <c r="CJ194" t="e">
        <f>AND('OTRAS ACCIONES'!C234,"AAAAAH8tXlc=")</f>
        <v>#VALUE!</v>
      </c>
      <c r="CK194" t="e">
        <f>AND('OTRAS ACCIONES'!D234,"AAAAAH8tXlg=")</f>
        <v>#VALUE!</v>
      </c>
      <c r="CL194" t="e">
        <f>AND('OTRAS ACCIONES'!E234,"AAAAAH8tXlk=")</f>
        <v>#VALUE!</v>
      </c>
      <c r="CM194" t="e">
        <f>AND('OTRAS ACCIONES'!F234,"AAAAAH8tXlo=")</f>
        <v>#VALUE!</v>
      </c>
      <c r="CN194" t="e">
        <f>AND('OTRAS ACCIONES'!G234,"AAAAAH8tXls=")</f>
        <v>#VALUE!</v>
      </c>
      <c r="CO194" t="e">
        <f>AND('OTRAS ACCIONES'!H234,"AAAAAH8tXlw=")</f>
        <v>#VALUE!</v>
      </c>
      <c r="CP194" t="e">
        <f>AND('OTRAS ACCIONES'!I234,"AAAAAH8tXl0=")</f>
        <v>#VALUE!</v>
      </c>
      <c r="CQ194" t="e">
        <f>AND('OTRAS ACCIONES'!J234,"AAAAAH8tXl4=")</f>
        <v>#VALUE!</v>
      </c>
      <c r="CR194" t="e">
        <f>AND('OTRAS ACCIONES'!K234,"AAAAAH8tXl8=")</f>
        <v>#VALUE!</v>
      </c>
      <c r="CS194" t="e">
        <f>AND('OTRAS ACCIONES'!L234,"AAAAAH8tXmA=")</f>
        <v>#VALUE!</v>
      </c>
      <c r="CT194" t="e">
        <f>AND('OTRAS ACCIONES'!M234,"AAAAAH8tXmE=")</f>
        <v>#VALUE!</v>
      </c>
      <c r="CU194" t="e">
        <f>AND('OTRAS ACCIONES'!N234,"AAAAAH8tXmI=")</f>
        <v>#VALUE!</v>
      </c>
      <c r="CV194" t="e">
        <f>AND('OTRAS ACCIONES'!O234,"AAAAAH8tXmM=")</f>
        <v>#VALUE!</v>
      </c>
      <c r="CW194" t="e">
        <f>AND('OTRAS ACCIONES'!P234,"AAAAAH8tXmQ=")</f>
        <v>#VALUE!</v>
      </c>
      <c r="CX194" t="e">
        <f>AND('OTRAS ACCIONES'!Q234,"AAAAAH8tXmU=")</f>
        <v>#VALUE!</v>
      </c>
      <c r="CY194" t="e">
        <f>AND('OTRAS ACCIONES'!R234,"AAAAAH8tXmY=")</f>
        <v>#VALUE!</v>
      </c>
      <c r="CZ194">
        <f>IF('OTRAS ACCIONES'!235:235,"AAAAAH8tXmc=",0)</f>
        <v>0</v>
      </c>
      <c r="DA194" t="e">
        <f>AND('OTRAS ACCIONES'!B235,"AAAAAH8tXmg=")</f>
        <v>#VALUE!</v>
      </c>
      <c r="DB194" t="e">
        <f>AND('OTRAS ACCIONES'!C235,"AAAAAH8tXmk=")</f>
        <v>#VALUE!</v>
      </c>
      <c r="DC194" t="e">
        <f>AND('OTRAS ACCIONES'!D235,"AAAAAH8tXmo=")</f>
        <v>#VALUE!</v>
      </c>
      <c r="DD194" t="e">
        <f>AND('OTRAS ACCIONES'!E235,"AAAAAH8tXms=")</f>
        <v>#VALUE!</v>
      </c>
      <c r="DE194" t="e">
        <f>AND('OTRAS ACCIONES'!F235,"AAAAAH8tXmw=")</f>
        <v>#VALUE!</v>
      </c>
      <c r="DF194" t="e">
        <f>AND('OTRAS ACCIONES'!G235,"AAAAAH8tXm0=")</f>
        <v>#VALUE!</v>
      </c>
      <c r="DG194" t="e">
        <f>AND('OTRAS ACCIONES'!H235,"AAAAAH8tXm4=")</f>
        <v>#VALUE!</v>
      </c>
      <c r="DH194" t="e">
        <f>AND('OTRAS ACCIONES'!I235,"AAAAAH8tXm8=")</f>
        <v>#VALUE!</v>
      </c>
      <c r="DI194" t="e">
        <f>AND('OTRAS ACCIONES'!J235,"AAAAAH8tXnA=")</f>
        <v>#VALUE!</v>
      </c>
      <c r="DJ194" t="e">
        <f>AND('OTRAS ACCIONES'!K235,"AAAAAH8tXnE=")</f>
        <v>#VALUE!</v>
      </c>
      <c r="DK194" t="e">
        <f>AND('OTRAS ACCIONES'!L235,"AAAAAH8tXnI=")</f>
        <v>#VALUE!</v>
      </c>
      <c r="DL194" t="e">
        <f>AND('OTRAS ACCIONES'!M235,"AAAAAH8tXnM=")</f>
        <v>#VALUE!</v>
      </c>
      <c r="DM194" t="e">
        <f>AND('OTRAS ACCIONES'!N235,"AAAAAH8tXnQ=")</f>
        <v>#VALUE!</v>
      </c>
      <c r="DN194" t="e">
        <f>AND('OTRAS ACCIONES'!O235,"AAAAAH8tXnU=")</f>
        <v>#VALUE!</v>
      </c>
      <c r="DO194" t="e">
        <f>AND('OTRAS ACCIONES'!P235,"AAAAAH8tXnY=")</f>
        <v>#VALUE!</v>
      </c>
      <c r="DP194" t="e">
        <f>AND('OTRAS ACCIONES'!Q235,"AAAAAH8tXnc=")</f>
        <v>#VALUE!</v>
      </c>
      <c r="DQ194" t="e">
        <f>AND('OTRAS ACCIONES'!R235,"AAAAAH8tXng=")</f>
        <v>#VALUE!</v>
      </c>
      <c r="DR194">
        <f>IF('OTRAS ACCIONES'!236:236,"AAAAAH8tXnk=",0)</f>
        <v>0</v>
      </c>
      <c r="DS194" t="e">
        <f>AND('OTRAS ACCIONES'!B236,"AAAAAH8tXno=")</f>
        <v>#VALUE!</v>
      </c>
      <c r="DT194" t="e">
        <f>AND('OTRAS ACCIONES'!C236,"AAAAAH8tXns=")</f>
        <v>#VALUE!</v>
      </c>
      <c r="DU194" t="e">
        <f>AND('OTRAS ACCIONES'!D236,"AAAAAH8tXnw=")</f>
        <v>#VALUE!</v>
      </c>
      <c r="DV194" t="e">
        <f>AND('OTRAS ACCIONES'!E236,"AAAAAH8tXn0=")</f>
        <v>#VALUE!</v>
      </c>
      <c r="DW194" t="e">
        <f>AND('OTRAS ACCIONES'!F236,"AAAAAH8tXn4=")</f>
        <v>#VALUE!</v>
      </c>
      <c r="DX194" t="e">
        <f>AND('OTRAS ACCIONES'!G236,"AAAAAH8tXn8=")</f>
        <v>#VALUE!</v>
      </c>
      <c r="DY194" t="e">
        <f>AND('OTRAS ACCIONES'!H236,"AAAAAH8tXoA=")</f>
        <v>#VALUE!</v>
      </c>
      <c r="DZ194" t="e">
        <f>AND('OTRAS ACCIONES'!I236,"AAAAAH8tXoE=")</f>
        <v>#VALUE!</v>
      </c>
      <c r="EA194" t="e">
        <f>AND('OTRAS ACCIONES'!J236,"AAAAAH8tXoI=")</f>
        <v>#VALUE!</v>
      </c>
      <c r="EB194" t="e">
        <f>AND('OTRAS ACCIONES'!K236,"AAAAAH8tXoM=")</f>
        <v>#VALUE!</v>
      </c>
      <c r="EC194" t="e">
        <f>AND('OTRAS ACCIONES'!L236,"AAAAAH8tXoQ=")</f>
        <v>#VALUE!</v>
      </c>
      <c r="ED194" t="e">
        <f>AND('OTRAS ACCIONES'!M236,"AAAAAH8tXoU=")</f>
        <v>#VALUE!</v>
      </c>
      <c r="EE194" t="e">
        <f>AND('OTRAS ACCIONES'!N236,"AAAAAH8tXoY=")</f>
        <v>#VALUE!</v>
      </c>
      <c r="EF194" t="e">
        <f>AND('OTRAS ACCIONES'!O236,"AAAAAH8tXoc=")</f>
        <v>#VALUE!</v>
      </c>
      <c r="EG194" t="e">
        <f>AND('OTRAS ACCIONES'!P236,"AAAAAH8tXog=")</f>
        <v>#VALUE!</v>
      </c>
      <c r="EH194" t="e">
        <f>AND('OTRAS ACCIONES'!Q236,"AAAAAH8tXok=")</f>
        <v>#VALUE!</v>
      </c>
      <c r="EI194" t="e">
        <f>AND('OTRAS ACCIONES'!R236,"AAAAAH8tXoo=")</f>
        <v>#VALUE!</v>
      </c>
      <c r="EJ194">
        <f>IF('OTRAS ACCIONES'!237:237,"AAAAAH8tXos=",0)</f>
        <v>0</v>
      </c>
      <c r="EK194" t="e">
        <f>AND('OTRAS ACCIONES'!B237,"AAAAAH8tXow=")</f>
        <v>#VALUE!</v>
      </c>
      <c r="EL194" t="e">
        <f>AND('OTRAS ACCIONES'!C237,"AAAAAH8tXo0=")</f>
        <v>#VALUE!</v>
      </c>
      <c r="EM194" t="e">
        <f>AND('OTRAS ACCIONES'!D237,"AAAAAH8tXo4=")</f>
        <v>#VALUE!</v>
      </c>
      <c r="EN194" t="e">
        <f>AND('OTRAS ACCIONES'!E237,"AAAAAH8tXo8=")</f>
        <v>#VALUE!</v>
      </c>
      <c r="EO194" t="e">
        <f>AND('OTRAS ACCIONES'!F237,"AAAAAH8tXpA=")</f>
        <v>#VALUE!</v>
      </c>
      <c r="EP194" t="e">
        <f>AND('OTRAS ACCIONES'!G237,"AAAAAH8tXpE=")</f>
        <v>#VALUE!</v>
      </c>
      <c r="EQ194" t="e">
        <f>AND('OTRAS ACCIONES'!H237,"AAAAAH8tXpI=")</f>
        <v>#VALUE!</v>
      </c>
      <c r="ER194" t="e">
        <f>AND('OTRAS ACCIONES'!I237,"AAAAAH8tXpM=")</f>
        <v>#VALUE!</v>
      </c>
      <c r="ES194" t="e">
        <f>AND('OTRAS ACCIONES'!J237,"AAAAAH8tXpQ=")</f>
        <v>#VALUE!</v>
      </c>
      <c r="ET194" t="e">
        <f>AND('OTRAS ACCIONES'!K237,"AAAAAH8tXpU=")</f>
        <v>#VALUE!</v>
      </c>
      <c r="EU194" t="e">
        <f>AND('OTRAS ACCIONES'!L237,"AAAAAH8tXpY=")</f>
        <v>#VALUE!</v>
      </c>
      <c r="EV194" t="e">
        <f>AND('OTRAS ACCIONES'!M237,"AAAAAH8tXpc=")</f>
        <v>#VALUE!</v>
      </c>
      <c r="EW194" t="e">
        <f>AND('OTRAS ACCIONES'!N237,"AAAAAH8tXpg=")</f>
        <v>#VALUE!</v>
      </c>
      <c r="EX194" t="e">
        <f>AND('OTRAS ACCIONES'!O237,"AAAAAH8tXpk=")</f>
        <v>#VALUE!</v>
      </c>
      <c r="EY194" t="e">
        <f>AND('OTRAS ACCIONES'!P237,"AAAAAH8tXpo=")</f>
        <v>#VALUE!</v>
      </c>
      <c r="EZ194" t="e">
        <f>AND('OTRAS ACCIONES'!Q237,"AAAAAH8tXps=")</f>
        <v>#VALUE!</v>
      </c>
      <c r="FA194" t="e">
        <f>AND('OTRAS ACCIONES'!R237,"AAAAAH8tXpw=")</f>
        <v>#VALUE!</v>
      </c>
      <c r="FB194">
        <f>IF('OTRAS ACCIONES'!238:238,"AAAAAH8tXp0=",0)</f>
        <v>0</v>
      </c>
      <c r="FC194" t="e">
        <f>AND('OTRAS ACCIONES'!B238,"AAAAAH8tXp4=")</f>
        <v>#VALUE!</v>
      </c>
      <c r="FD194" t="e">
        <f>AND('OTRAS ACCIONES'!C238,"AAAAAH8tXp8=")</f>
        <v>#VALUE!</v>
      </c>
      <c r="FE194" t="e">
        <f>AND('OTRAS ACCIONES'!D238,"AAAAAH8tXqA=")</f>
        <v>#VALUE!</v>
      </c>
      <c r="FF194" t="e">
        <f>AND('OTRAS ACCIONES'!E238,"AAAAAH8tXqE=")</f>
        <v>#VALUE!</v>
      </c>
      <c r="FG194" t="e">
        <f>AND('OTRAS ACCIONES'!F238,"AAAAAH8tXqI=")</f>
        <v>#VALUE!</v>
      </c>
      <c r="FH194" t="e">
        <f>AND('OTRAS ACCIONES'!G238,"AAAAAH8tXqM=")</f>
        <v>#VALUE!</v>
      </c>
      <c r="FI194" t="e">
        <f>AND('OTRAS ACCIONES'!H238,"AAAAAH8tXqQ=")</f>
        <v>#VALUE!</v>
      </c>
      <c r="FJ194" t="e">
        <f>AND('OTRAS ACCIONES'!I238,"AAAAAH8tXqU=")</f>
        <v>#VALUE!</v>
      </c>
      <c r="FK194" t="e">
        <f>AND('OTRAS ACCIONES'!J238,"AAAAAH8tXqY=")</f>
        <v>#VALUE!</v>
      </c>
      <c r="FL194" t="e">
        <f>AND('OTRAS ACCIONES'!K238,"AAAAAH8tXqc=")</f>
        <v>#VALUE!</v>
      </c>
      <c r="FM194" t="e">
        <f>AND('OTRAS ACCIONES'!L238,"AAAAAH8tXqg=")</f>
        <v>#VALUE!</v>
      </c>
      <c r="FN194" t="e">
        <f>AND('OTRAS ACCIONES'!M238,"AAAAAH8tXqk=")</f>
        <v>#VALUE!</v>
      </c>
      <c r="FO194" t="e">
        <f>AND('OTRAS ACCIONES'!N238,"AAAAAH8tXqo=")</f>
        <v>#VALUE!</v>
      </c>
      <c r="FP194" t="e">
        <f>AND('OTRAS ACCIONES'!O238,"AAAAAH8tXqs=")</f>
        <v>#VALUE!</v>
      </c>
      <c r="FQ194" t="e">
        <f>AND('OTRAS ACCIONES'!P238,"AAAAAH8tXqw=")</f>
        <v>#VALUE!</v>
      </c>
      <c r="FR194" t="e">
        <f>AND('OTRAS ACCIONES'!Q238,"AAAAAH8tXq0=")</f>
        <v>#VALUE!</v>
      </c>
      <c r="FS194" t="e">
        <f>AND('OTRAS ACCIONES'!R238,"AAAAAH8tXq4=")</f>
        <v>#VALUE!</v>
      </c>
      <c r="FT194">
        <f>IF('OTRAS ACCIONES'!239:239,"AAAAAH8tXq8=",0)</f>
        <v>0</v>
      </c>
      <c r="FU194" t="e">
        <f>AND('OTRAS ACCIONES'!B239,"AAAAAH8tXrA=")</f>
        <v>#VALUE!</v>
      </c>
      <c r="FV194" t="e">
        <f>AND('OTRAS ACCIONES'!C239,"AAAAAH8tXrE=")</f>
        <v>#VALUE!</v>
      </c>
      <c r="FW194" t="e">
        <f>AND('OTRAS ACCIONES'!D239,"AAAAAH8tXrI=")</f>
        <v>#VALUE!</v>
      </c>
      <c r="FX194" t="e">
        <f>AND('OTRAS ACCIONES'!E239,"AAAAAH8tXrM=")</f>
        <v>#VALUE!</v>
      </c>
      <c r="FY194" t="e">
        <f>AND('OTRAS ACCIONES'!F239,"AAAAAH8tXrQ=")</f>
        <v>#VALUE!</v>
      </c>
      <c r="FZ194" t="e">
        <f>AND('OTRAS ACCIONES'!G239,"AAAAAH8tXrU=")</f>
        <v>#VALUE!</v>
      </c>
      <c r="GA194" t="e">
        <f>AND('OTRAS ACCIONES'!H239,"AAAAAH8tXrY=")</f>
        <v>#VALUE!</v>
      </c>
      <c r="GB194" t="e">
        <f>AND('OTRAS ACCIONES'!I239,"AAAAAH8tXrc=")</f>
        <v>#VALUE!</v>
      </c>
      <c r="GC194" t="e">
        <f>AND('OTRAS ACCIONES'!J239,"AAAAAH8tXrg=")</f>
        <v>#VALUE!</v>
      </c>
      <c r="GD194" t="e">
        <f>AND('OTRAS ACCIONES'!K239,"AAAAAH8tXrk=")</f>
        <v>#VALUE!</v>
      </c>
      <c r="GE194" t="e">
        <f>AND('OTRAS ACCIONES'!L239,"AAAAAH8tXro=")</f>
        <v>#VALUE!</v>
      </c>
      <c r="GF194" t="e">
        <f>AND('OTRAS ACCIONES'!M239,"AAAAAH8tXrs=")</f>
        <v>#VALUE!</v>
      </c>
      <c r="GG194" t="e">
        <f>AND('OTRAS ACCIONES'!N239,"AAAAAH8tXrw=")</f>
        <v>#VALUE!</v>
      </c>
      <c r="GH194" t="e">
        <f>AND('OTRAS ACCIONES'!O239,"AAAAAH8tXr0=")</f>
        <v>#VALUE!</v>
      </c>
      <c r="GI194" t="e">
        <f>AND('OTRAS ACCIONES'!P239,"AAAAAH8tXr4=")</f>
        <v>#VALUE!</v>
      </c>
      <c r="GJ194" t="e">
        <f>AND('OTRAS ACCIONES'!Q239,"AAAAAH8tXr8=")</f>
        <v>#VALUE!</v>
      </c>
      <c r="GK194" t="e">
        <f>AND('OTRAS ACCIONES'!R239,"AAAAAH8tXsA=")</f>
        <v>#VALUE!</v>
      </c>
      <c r="GL194">
        <f>IF('OTRAS ACCIONES'!240:240,"AAAAAH8tXsE=",0)</f>
        <v>0</v>
      </c>
      <c r="GM194" t="e">
        <f>AND('OTRAS ACCIONES'!B240,"AAAAAH8tXsI=")</f>
        <v>#VALUE!</v>
      </c>
      <c r="GN194" t="e">
        <f>AND('OTRAS ACCIONES'!C240,"AAAAAH8tXsM=")</f>
        <v>#VALUE!</v>
      </c>
      <c r="GO194" t="e">
        <f>AND('OTRAS ACCIONES'!D240,"AAAAAH8tXsQ=")</f>
        <v>#VALUE!</v>
      </c>
      <c r="GP194" t="e">
        <f>AND('OTRAS ACCIONES'!E240,"AAAAAH8tXsU=")</f>
        <v>#VALUE!</v>
      </c>
      <c r="GQ194" t="e">
        <f>AND('OTRAS ACCIONES'!F240,"AAAAAH8tXsY=")</f>
        <v>#VALUE!</v>
      </c>
      <c r="GR194" t="e">
        <f>AND('OTRAS ACCIONES'!G240,"AAAAAH8tXsc=")</f>
        <v>#VALUE!</v>
      </c>
      <c r="GS194" t="e">
        <f>AND('OTRAS ACCIONES'!H240,"AAAAAH8tXsg=")</f>
        <v>#VALUE!</v>
      </c>
      <c r="GT194" t="e">
        <f>AND('OTRAS ACCIONES'!I240,"AAAAAH8tXsk=")</f>
        <v>#VALUE!</v>
      </c>
      <c r="GU194" t="e">
        <f>AND('OTRAS ACCIONES'!J240,"AAAAAH8tXso=")</f>
        <v>#VALUE!</v>
      </c>
      <c r="GV194" t="e">
        <f>AND('OTRAS ACCIONES'!K240,"AAAAAH8tXss=")</f>
        <v>#VALUE!</v>
      </c>
      <c r="GW194" t="e">
        <f>AND('OTRAS ACCIONES'!L240,"AAAAAH8tXsw=")</f>
        <v>#VALUE!</v>
      </c>
      <c r="GX194" t="e">
        <f>AND('OTRAS ACCIONES'!M240,"AAAAAH8tXs0=")</f>
        <v>#VALUE!</v>
      </c>
      <c r="GY194" t="e">
        <f>AND('OTRAS ACCIONES'!N240,"AAAAAH8tXs4=")</f>
        <v>#VALUE!</v>
      </c>
      <c r="GZ194" t="e">
        <f>AND('OTRAS ACCIONES'!O240,"AAAAAH8tXs8=")</f>
        <v>#VALUE!</v>
      </c>
      <c r="HA194" t="e">
        <f>AND('OTRAS ACCIONES'!P240,"AAAAAH8tXtA=")</f>
        <v>#VALUE!</v>
      </c>
      <c r="HB194" t="e">
        <f>AND('OTRAS ACCIONES'!Q240,"AAAAAH8tXtE=")</f>
        <v>#VALUE!</v>
      </c>
      <c r="HC194" t="e">
        <f>AND('OTRAS ACCIONES'!R240,"AAAAAH8tXtI=")</f>
        <v>#VALUE!</v>
      </c>
      <c r="HD194">
        <f>IF('OTRAS ACCIONES'!241:241,"AAAAAH8tXtM=",0)</f>
        <v>0</v>
      </c>
      <c r="HE194" t="e">
        <f>AND('OTRAS ACCIONES'!B241,"AAAAAH8tXtQ=")</f>
        <v>#VALUE!</v>
      </c>
      <c r="HF194" t="e">
        <f>AND('OTRAS ACCIONES'!C241,"AAAAAH8tXtU=")</f>
        <v>#VALUE!</v>
      </c>
      <c r="HG194" t="e">
        <f>AND('OTRAS ACCIONES'!D241,"AAAAAH8tXtY=")</f>
        <v>#VALUE!</v>
      </c>
      <c r="HH194" t="e">
        <f>AND('OTRAS ACCIONES'!E241,"AAAAAH8tXtc=")</f>
        <v>#VALUE!</v>
      </c>
      <c r="HI194" t="e">
        <f>AND('OTRAS ACCIONES'!F241,"AAAAAH8tXtg=")</f>
        <v>#VALUE!</v>
      </c>
      <c r="HJ194" t="e">
        <f>AND('OTRAS ACCIONES'!G241,"AAAAAH8tXtk=")</f>
        <v>#VALUE!</v>
      </c>
      <c r="HK194" t="e">
        <f>AND('OTRAS ACCIONES'!H241,"AAAAAH8tXto=")</f>
        <v>#VALUE!</v>
      </c>
      <c r="HL194" t="e">
        <f>AND('OTRAS ACCIONES'!I241,"AAAAAH8tXts=")</f>
        <v>#VALUE!</v>
      </c>
      <c r="HM194" t="e">
        <f>AND('OTRAS ACCIONES'!J241,"AAAAAH8tXtw=")</f>
        <v>#VALUE!</v>
      </c>
      <c r="HN194" t="e">
        <f>AND('OTRAS ACCIONES'!K241,"AAAAAH8tXt0=")</f>
        <v>#VALUE!</v>
      </c>
      <c r="HO194" t="e">
        <f>AND('OTRAS ACCIONES'!L241,"AAAAAH8tXt4=")</f>
        <v>#VALUE!</v>
      </c>
      <c r="HP194" t="e">
        <f>AND('OTRAS ACCIONES'!M241,"AAAAAH8tXt8=")</f>
        <v>#VALUE!</v>
      </c>
      <c r="HQ194" t="e">
        <f>AND('OTRAS ACCIONES'!N241,"AAAAAH8tXuA=")</f>
        <v>#VALUE!</v>
      </c>
      <c r="HR194" t="e">
        <f>AND('OTRAS ACCIONES'!O241,"AAAAAH8tXuE=")</f>
        <v>#VALUE!</v>
      </c>
      <c r="HS194" t="e">
        <f>AND('OTRAS ACCIONES'!P241,"AAAAAH8tXuI=")</f>
        <v>#VALUE!</v>
      </c>
      <c r="HT194" t="e">
        <f>AND('OTRAS ACCIONES'!Q241,"AAAAAH8tXuM=")</f>
        <v>#VALUE!</v>
      </c>
      <c r="HU194" t="e">
        <f>AND('OTRAS ACCIONES'!R241,"AAAAAH8tXuQ=")</f>
        <v>#VALUE!</v>
      </c>
      <c r="HV194">
        <f>IF('OTRAS ACCIONES'!242:242,"AAAAAH8tXuU=",0)</f>
        <v>0</v>
      </c>
      <c r="HW194" t="e">
        <f>AND('OTRAS ACCIONES'!B242,"AAAAAH8tXuY=")</f>
        <v>#VALUE!</v>
      </c>
      <c r="HX194" t="e">
        <f>AND('OTRAS ACCIONES'!C242,"AAAAAH8tXuc=")</f>
        <v>#VALUE!</v>
      </c>
      <c r="HY194" t="e">
        <f>AND('OTRAS ACCIONES'!D242,"AAAAAH8tXug=")</f>
        <v>#VALUE!</v>
      </c>
      <c r="HZ194" t="e">
        <f>AND('OTRAS ACCIONES'!E242,"AAAAAH8tXuk=")</f>
        <v>#VALUE!</v>
      </c>
      <c r="IA194" t="e">
        <f>AND('OTRAS ACCIONES'!F242,"AAAAAH8tXuo=")</f>
        <v>#VALUE!</v>
      </c>
      <c r="IB194" t="e">
        <f>AND('OTRAS ACCIONES'!G242,"AAAAAH8tXus=")</f>
        <v>#VALUE!</v>
      </c>
      <c r="IC194" t="e">
        <f>AND('OTRAS ACCIONES'!H242,"AAAAAH8tXuw=")</f>
        <v>#VALUE!</v>
      </c>
      <c r="ID194" t="e">
        <f>AND('OTRAS ACCIONES'!I242,"AAAAAH8tXu0=")</f>
        <v>#VALUE!</v>
      </c>
      <c r="IE194" t="e">
        <f>AND('OTRAS ACCIONES'!J242,"AAAAAH8tXu4=")</f>
        <v>#VALUE!</v>
      </c>
      <c r="IF194" t="e">
        <f>AND('OTRAS ACCIONES'!K242,"AAAAAH8tXu8=")</f>
        <v>#VALUE!</v>
      </c>
      <c r="IG194" t="e">
        <f>AND('OTRAS ACCIONES'!L242,"AAAAAH8tXvA=")</f>
        <v>#VALUE!</v>
      </c>
      <c r="IH194" t="e">
        <f>AND('OTRAS ACCIONES'!M242,"AAAAAH8tXvE=")</f>
        <v>#VALUE!</v>
      </c>
      <c r="II194" t="e">
        <f>AND('OTRAS ACCIONES'!N242,"AAAAAH8tXvI=")</f>
        <v>#VALUE!</v>
      </c>
      <c r="IJ194" t="e">
        <f>AND('OTRAS ACCIONES'!O242,"AAAAAH8tXvM=")</f>
        <v>#VALUE!</v>
      </c>
      <c r="IK194" t="e">
        <f>AND('OTRAS ACCIONES'!P242,"AAAAAH8tXvQ=")</f>
        <v>#VALUE!</v>
      </c>
      <c r="IL194" t="e">
        <f>AND('OTRAS ACCIONES'!Q242,"AAAAAH8tXvU=")</f>
        <v>#VALUE!</v>
      </c>
      <c r="IM194" t="e">
        <f>AND('OTRAS ACCIONES'!R242,"AAAAAH8tXvY=")</f>
        <v>#VALUE!</v>
      </c>
      <c r="IN194">
        <f>IF('OTRAS ACCIONES'!243:243,"AAAAAH8tXvc=",0)</f>
        <v>0</v>
      </c>
      <c r="IO194" t="e">
        <f>AND('OTRAS ACCIONES'!B243,"AAAAAH8tXvg=")</f>
        <v>#VALUE!</v>
      </c>
      <c r="IP194" t="e">
        <f>AND('OTRAS ACCIONES'!C243,"AAAAAH8tXvk=")</f>
        <v>#VALUE!</v>
      </c>
      <c r="IQ194" t="e">
        <f>AND('OTRAS ACCIONES'!D243,"AAAAAH8tXvo=")</f>
        <v>#VALUE!</v>
      </c>
      <c r="IR194" t="e">
        <f>AND('OTRAS ACCIONES'!E243,"AAAAAH8tXvs=")</f>
        <v>#VALUE!</v>
      </c>
      <c r="IS194" t="e">
        <f>AND('OTRAS ACCIONES'!F243,"AAAAAH8tXvw=")</f>
        <v>#VALUE!</v>
      </c>
      <c r="IT194" t="e">
        <f>AND('OTRAS ACCIONES'!G243,"AAAAAH8tXv0=")</f>
        <v>#VALUE!</v>
      </c>
      <c r="IU194" t="e">
        <f>AND('OTRAS ACCIONES'!H243,"AAAAAH8tXv4=")</f>
        <v>#VALUE!</v>
      </c>
      <c r="IV194" t="e">
        <f>AND('OTRAS ACCIONES'!I243,"AAAAAH8tXv8=")</f>
        <v>#VALUE!</v>
      </c>
    </row>
    <row r="195" spans="1:256" x14ac:dyDescent="0.2">
      <c r="A195" t="e">
        <f>AND('OTRAS ACCIONES'!J243,"AAAAAGvr/gA=")</f>
        <v>#VALUE!</v>
      </c>
      <c r="B195" t="e">
        <f>AND('OTRAS ACCIONES'!K243,"AAAAAGvr/gE=")</f>
        <v>#VALUE!</v>
      </c>
      <c r="C195" t="e">
        <f>AND('OTRAS ACCIONES'!L243,"AAAAAGvr/gI=")</f>
        <v>#VALUE!</v>
      </c>
      <c r="D195" t="e">
        <f>AND('OTRAS ACCIONES'!M243,"AAAAAGvr/gM=")</f>
        <v>#VALUE!</v>
      </c>
      <c r="E195" t="e">
        <f>AND('OTRAS ACCIONES'!N243,"AAAAAGvr/gQ=")</f>
        <v>#VALUE!</v>
      </c>
      <c r="F195" t="e">
        <f>AND('OTRAS ACCIONES'!O243,"AAAAAGvr/gU=")</f>
        <v>#VALUE!</v>
      </c>
      <c r="G195" t="e">
        <f>AND('OTRAS ACCIONES'!P243,"AAAAAGvr/gY=")</f>
        <v>#VALUE!</v>
      </c>
      <c r="H195" t="e">
        <f>AND('OTRAS ACCIONES'!Q243,"AAAAAGvr/gc=")</f>
        <v>#VALUE!</v>
      </c>
      <c r="I195" t="e">
        <f>AND('OTRAS ACCIONES'!R243,"AAAAAGvr/gg=")</f>
        <v>#VALUE!</v>
      </c>
      <c r="J195">
        <f>IF('OTRAS ACCIONES'!244:244,"AAAAAGvr/gk=",0)</f>
        <v>0</v>
      </c>
      <c r="K195" t="e">
        <f>AND('OTRAS ACCIONES'!B244,"AAAAAGvr/go=")</f>
        <v>#VALUE!</v>
      </c>
      <c r="L195" t="e">
        <f>AND('OTRAS ACCIONES'!C244,"AAAAAGvr/gs=")</f>
        <v>#VALUE!</v>
      </c>
      <c r="M195" t="e">
        <f>AND('OTRAS ACCIONES'!D244,"AAAAAGvr/gw=")</f>
        <v>#VALUE!</v>
      </c>
      <c r="N195" t="e">
        <f>AND('OTRAS ACCIONES'!E244,"AAAAAGvr/g0=")</f>
        <v>#VALUE!</v>
      </c>
      <c r="O195" t="e">
        <f>AND('OTRAS ACCIONES'!F244,"AAAAAGvr/g4=")</f>
        <v>#VALUE!</v>
      </c>
      <c r="P195" t="e">
        <f>AND('OTRAS ACCIONES'!G244,"AAAAAGvr/g8=")</f>
        <v>#VALUE!</v>
      </c>
      <c r="Q195" t="e">
        <f>AND('OTRAS ACCIONES'!H244,"AAAAAGvr/hA=")</f>
        <v>#VALUE!</v>
      </c>
      <c r="R195" t="e">
        <f>AND('OTRAS ACCIONES'!I244,"AAAAAGvr/hE=")</f>
        <v>#VALUE!</v>
      </c>
      <c r="S195" t="e">
        <f>AND('OTRAS ACCIONES'!J244,"AAAAAGvr/hI=")</f>
        <v>#VALUE!</v>
      </c>
      <c r="T195" t="e">
        <f>AND('OTRAS ACCIONES'!K244,"AAAAAGvr/hM=")</f>
        <v>#VALUE!</v>
      </c>
      <c r="U195" t="e">
        <f>AND('OTRAS ACCIONES'!L244,"AAAAAGvr/hQ=")</f>
        <v>#VALUE!</v>
      </c>
      <c r="V195" t="e">
        <f>AND('OTRAS ACCIONES'!M244,"AAAAAGvr/hU=")</f>
        <v>#VALUE!</v>
      </c>
      <c r="W195" t="e">
        <f>AND('OTRAS ACCIONES'!N244,"AAAAAGvr/hY=")</f>
        <v>#VALUE!</v>
      </c>
      <c r="X195" t="e">
        <f>AND('OTRAS ACCIONES'!O244,"AAAAAGvr/hc=")</f>
        <v>#VALUE!</v>
      </c>
      <c r="Y195" t="e">
        <f>AND('OTRAS ACCIONES'!P244,"AAAAAGvr/hg=")</f>
        <v>#VALUE!</v>
      </c>
      <c r="Z195" t="e">
        <f>AND('OTRAS ACCIONES'!Q244,"AAAAAGvr/hk=")</f>
        <v>#VALUE!</v>
      </c>
      <c r="AA195" t="e">
        <f>AND('OTRAS ACCIONES'!R244,"AAAAAGvr/ho=")</f>
        <v>#VALUE!</v>
      </c>
      <c r="AB195">
        <f>IF('OTRAS ACCIONES'!245:245,"AAAAAGvr/hs=",0)</f>
        <v>0</v>
      </c>
      <c r="AC195" t="e">
        <f>AND('OTRAS ACCIONES'!B245,"AAAAAGvr/hw=")</f>
        <v>#VALUE!</v>
      </c>
      <c r="AD195" t="e">
        <f>AND('OTRAS ACCIONES'!C245,"AAAAAGvr/h0=")</f>
        <v>#VALUE!</v>
      </c>
      <c r="AE195" t="e">
        <f>AND('OTRAS ACCIONES'!D245,"AAAAAGvr/h4=")</f>
        <v>#VALUE!</v>
      </c>
      <c r="AF195" t="e">
        <f>AND('OTRAS ACCIONES'!E245,"AAAAAGvr/h8=")</f>
        <v>#VALUE!</v>
      </c>
      <c r="AG195" t="e">
        <f>AND('OTRAS ACCIONES'!F245,"AAAAAGvr/iA=")</f>
        <v>#VALUE!</v>
      </c>
      <c r="AH195" t="e">
        <f>AND('OTRAS ACCIONES'!G245,"AAAAAGvr/iE=")</f>
        <v>#VALUE!</v>
      </c>
      <c r="AI195" t="e">
        <f>AND('OTRAS ACCIONES'!H245,"AAAAAGvr/iI=")</f>
        <v>#VALUE!</v>
      </c>
      <c r="AJ195" t="e">
        <f>AND('OTRAS ACCIONES'!I245,"AAAAAGvr/iM=")</f>
        <v>#VALUE!</v>
      </c>
      <c r="AK195" t="e">
        <f>AND('OTRAS ACCIONES'!J245,"AAAAAGvr/iQ=")</f>
        <v>#VALUE!</v>
      </c>
      <c r="AL195" t="e">
        <f>AND('OTRAS ACCIONES'!K245,"AAAAAGvr/iU=")</f>
        <v>#VALUE!</v>
      </c>
      <c r="AM195" t="e">
        <f>AND('OTRAS ACCIONES'!L245,"AAAAAGvr/iY=")</f>
        <v>#VALUE!</v>
      </c>
      <c r="AN195" t="e">
        <f>AND('OTRAS ACCIONES'!M245,"AAAAAGvr/ic=")</f>
        <v>#VALUE!</v>
      </c>
      <c r="AO195" t="e">
        <f>AND('OTRAS ACCIONES'!N245,"AAAAAGvr/ig=")</f>
        <v>#VALUE!</v>
      </c>
      <c r="AP195" t="e">
        <f>AND('OTRAS ACCIONES'!O245,"AAAAAGvr/ik=")</f>
        <v>#VALUE!</v>
      </c>
      <c r="AQ195" t="e">
        <f>AND('OTRAS ACCIONES'!P245,"AAAAAGvr/io=")</f>
        <v>#VALUE!</v>
      </c>
      <c r="AR195" t="e">
        <f>AND('OTRAS ACCIONES'!Q245,"AAAAAGvr/is=")</f>
        <v>#VALUE!</v>
      </c>
      <c r="AS195" t="e">
        <f>AND('OTRAS ACCIONES'!R245,"AAAAAGvr/iw=")</f>
        <v>#VALUE!</v>
      </c>
      <c r="AT195">
        <f>IF('OTRAS ACCIONES'!246:246,"AAAAAGvr/i0=",0)</f>
        <v>0</v>
      </c>
      <c r="AU195" t="e">
        <f>AND('OTRAS ACCIONES'!B246,"AAAAAGvr/i4=")</f>
        <v>#VALUE!</v>
      </c>
      <c r="AV195" t="e">
        <f>AND('OTRAS ACCIONES'!C246,"AAAAAGvr/i8=")</f>
        <v>#VALUE!</v>
      </c>
      <c r="AW195" t="e">
        <f>AND('OTRAS ACCIONES'!D246,"AAAAAGvr/jA=")</f>
        <v>#VALUE!</v>
      </c>
      <c r="AX195" t="e">
        <f>AND('OTRAS ACCIONES'!E246,"AAAAAGvr/jE=")</f>
        <v>#VALUE!</v>
      </c>
      <c r="AY195" t="e">
        <f>AND('OTRAS ACCIONES'!F246,"AAAAAGvr/jI=")</f>
        <v>#VALUE!</v>
      </c>
      <c r="AZ195" t="e">
        <f>AND('OTRAS ACCIONES'!G246,"AAAAAGvr/jM=")</f>
        <v>#VALUE!</v>
      </c>
      <c r="BA195" t="e">
        <f>AND('OTRAS ACCIONES'!H246,"AAAAAGvr/jQ=")</f>
        <v>#VALUE!</v>
      </c>
      <c r="BB195" t="e">
        <f>AND('OTRAS ACCIONES'!I246,"AAAAAGvr/jU=")</f>
        <v>#VALUE!</v>
      </c>
      <c r="BC195" t="e">
        <f>AND('OTRAS ACCIONES'!J246,"AAAAAGvr/jY=")</f>
        <v>#VALUE!</v>
      </c>
      <c r="BD195" t="e">
        <f>AND('OTRAS ACCIONES'!K246,"AAAAAGvr/jc=")</f>
        <v>#VALUE!</v>
      </c>
      <c r="BE195" t="e">
        <f>AND('OTRAS ACCIONES'!L246,"AAAAAGvr/jg=")</f>
        <v>#VALUE!</v>
      </c>
      <c r="BF195" t="e">
        <f>AND('OTRAS ACCIONES'!M246,"AAAAAGvr/jk=")</f>
        <v>#VALUE!</v>
      </c>
      <c r="BG195" t="e">
        <f>AND('OTRAS ACCIONES'!N246,"AAAAAGvr/jo=")</f>
        <v>#VALUE!</v>
      </c>
      <c r="BH195" t="e">
        <f>AND('OTRAS ACCIONES'!O246,"AAAAAGvr/js=")</f>
        <v>#VALUE!</v>
      </c>
      <c r="BI195" t="e">
        <f>AND('OTRAS ACCIONES'!P246,"AAAAAGvr/jw=")</f>
        <v>#VALUE!</v>
      </c>
      <c r="BJ195" t="e">
        <f>AND('OTRAS ACCIONES'!Q246,"AAAAAGvr/j0=")</f>
        <v>#VALUE!</v>
      </c>
      <c r="BK195" t="e">
        <f>AND('OTRAS ACCIONES'!R246,"AAAAAGvr/j4=")</f>
        <v>#VALUE!</v>
      </c>
      <c r="BL195">
        <f>IF('OTRAS ACCIONES'!247:247,"AAAAAGvr/j8=",0)</f>
        <v>0</v>
      </c>
      <c r="BM195" t="e">
        <f>AND('OTRAS ACCIONES'!B247,"AAAAAGvr/kA=")</f>
        <v>#VALUE!</v>
      </c>
      <c r="BN195" t="e">
        <f>AND('OTRAS ACCIONES'!C247,"AAAAAGvr/kE=")</f>
        <v>#VALUE!</v>
      </c>
      <c r="BO195" t="e">
        <f>AND('OTRAS ACCIONES'!D247,"AAAAAGvr/kI=")</f>
        <v>#VALUE!</v>
      </c>
      <c r="BP195" t="e">
        <f>AND('OTRAS ACCIONES'!E247,"AAAAAGvr/kM=")</f>
        <v>#VALUE!</v>
      </c>
      <c r="BQ195" t="e">
        <f>AND('OTRAS ACCIONES'!F247,"AAAAAGvr/kQ=")</f>
        <v>#VALUE!</v>
      </c>
      <c r="BR195" t="e">
        <f>AND('OTRAS ACCIONES'!G247,"AAAAAGvr/kU=")</f>
        <v>#VALUE!</v>
      </c>
      <c r="BS195" t="e">
        <f>AND('OTRAS ACCIONES'!H247,"AAAAAGvr/kY=")</f>
        <v>#VALUE!</v>
      </c>
      <c r="BT195" t="e">
        <f>AND('OTRAS ACCIONES'!I247,"AAAAAGvr/kc=")</f>
        <v>#VALUE!</v>
      </c>
      <c r="BU195" t="e">
        <f>AND('OTRAS ACCIONES'!J247,"AAAAAGvr/kg=")</f>
        <v>#VALUE!</v>
      </c>
      <c r="BV195" t="e">
        <f>AND('OTRAS ACCIONES'!K247,"AAAAAGvr/kk=")</f>
        <v>#VALUE!</v>
      </c>
      <c r="BW195" t="e">
        <f>AND('OTRAS ACCIONES'!L247,"AAAAAGvr/ko=")</f>
        <v>#VALUE!</v>
      </c>
      <c r="BX195" t="e">
        <f>AND('OTRAS ACCIONES'!M247,"AAAAAGvr/ks=")</f>
        <v>#VALUE!</v>
      </c>
      <c r="BY195" t="e">
        <f>AND('OTRAS ACCIONES'!N247,"AAAAAGvr/kw=")</f>
        <v>#VALUE!</v>
      </c>
      <c r="BZ195" t="e">
        <f>AND('OTRAS ACCIONES'!O247,"AAAAAGvr/k0=")</f>
        <v>#VALUE!</v>
      </c>
      <c r="CA195" t="e">
        <f>AND('OTRAS ACCIONES'!P247,"AAAAAGvr/k4=")</f>
        <v>#VALUE!</v>
      </c>
      <c r="CB195" t="e">
        <f>AND('OTRAS ACCIONES'!Q247,"AAAAAGvr/k8=")</f>
        <v>#VALUE!</v>
      </c>
      <c r="CC195" t="e">
        <f>AND('OTRAS ACCIONES'!R247,"AAAAAGvr/lA=")</f>
        <v>#VALUE!</v>
      </c>
      <c r="CD195">
        <f>IF('OTRAS ACCIONES'!248:248,"AAAAAGvr/lE=",0)</f>
        <v>0</v>
      </c>
      <c r="CE195" t="e">
        <f>AND('OTRAS ACCIONES'!B248,"AAAAAGvr/lI=")</f>
        <v>#VALUE!</v>
      </c>
      <c r="CF195" t="e">
        <f>AND('OTRAS ACCIONES'!C248,"AAAAAGvr/lM=")</f>
        <v>#VALUE!</v>
      </c>
      <c r="CG195" t="e">
        <f>AND('OTRAS ACCIONES'!D248,"AAAAAGvr/lQ=")</f>
        <v>#VALUE!</v>
      </c>
      <c r="CH195" t="e">
        <f>AND('OTRAS ACCIONES'!E248,"AAAAAGvr/lU=")</f>
        <v>#VALUE!</v>
      </c>
      <c r="CI195" t="e">
        <f>AND('OTRAS ACCIONES'!F248,"AAAAAGvr/lY=")</f>
        <v>#VALUE!</v>
      </c>
      <c r="CJ195" t="e">
        <f>AND('OTRAS ACCIONES'!G248,"AAAAAGvr/lc=")</f>
        <v>#VALUE!</v>
      </c>
      <c r="CK195" t="e">
        <f>AND('OTRAS ACCIONES'!H248,"AAAAAGvr/lg=")</f>
        <v>#VALUE!</v>
      </c>
      <c r="CL195" t="e">
        <f>AND('OTRAS ACCIONES'!I248,"AAAAAGvr/lk=")</f>
        <v>#VALUE!</v>
      </c>
      <c r="CM195" t="e">
        <f>AND('OTRAS ACCIONES'!J248,"AAAAAGvr/lo=")</f>
        <v>#VALUE!</v>
      </c>
      <c r="CN195" t="e">
        <f>AND('OTRAS ACCIONES'!K248,"AAAAAGvr/ls=")</f>
        <v>#VALUE!</v>
      </c>
      <c r="CO195" t="e">
        <f>AND('OTRAS ACCIONES'!L248,"AAAAAGvr/lw=")</f>
        <v>#VALUE!</v>
      </c>
      <c r="CP195" t="e">
        <f>AND('OTRAS ACCIONES'!M248,"AAAAAGvr/l0=")</f>
        <v>#VALUE!</v>
      </c>
      <c r="CQ195" t="e">
        <f>AND('OTRAS ACCIONES'!N248,"AAAAAGvr/l4=")</f>
        <v>#VALUE!</v>
      </c>
      <c r="CR195" t="e">
        <f>AND('OTRAS ACCIONES'!O248,"AAAAAGvr/l8=")</f>
        <v>#VALUE!</v>
      </c>
      <c r="CS195" t="e">
        <f>AND('OTRAS ACCIONES'!P248,"AAAAAGvr/mA=")</f>
        <v>#VALUE!</v>
      </c>
      <c r="CT195" t="e">
        <f>AND('OTRAS ACCIONES'!Q248,"AAAAAGvr/mE=")</f>
        <v>#VALUE!</v>
      </c>
      <c r="CU195" t="e">
        <f>AND('OTRAS ACCIONES'!R248,"AAAAAGvr/mI=")</f>
        <v>#VALUE!</v>
      </c>
      <c r="CV195">
        <f>IF('OTRAS ACCIONES'!249:249,"AAAAAGvr/mM=",0)</f>
        <v>0</v>
      </c>
      <c r="CW195" t="e">
        <f>AND('OTRAS ACCIONES'!B249,"AAAAAGvr/mQ=")</f>
        <v>#VALUE!</v>
      </c>
      <c r="CX195" t="e">
        <f>AND('OTRAS ACCIONES'!C249,"AAAAAGvr/mU=")</f>
        <v>#VALUE!</v>
      </c>
      <c r="CY195" t="e">
        <f>AND('OTRAS ACCIONES'!D249,"AAAAAGvr/mY=")</f>
        <v>#VALUE!</v>
      </c>
      <c r="CZ195" t="e">
        <f>AND('OTRAS ACCIONES'!E249,"AAAAAGvr/mc=")</f>
        <v>#VALUE!</v>
      </c>
      <c r="DA195" t="e">
        <f>AND('OTRAS ACCIONES'!F249,"AAAAAGvr/mg=")</f>
        <v>#VALUE!</v>
      </c>
      <c r="DB195" t="e">
        <f>AND('OTRAS ACCIONES'!G249,"AAAAAGvr/mk=")</f>
        <v>#VALUE!</v>
      </c>
      <c r="DC195" t="e">
        <f>AND('OTRAS ACCIONES'!H249,"AAAAAGvr/mo=")</f>
        <v>#VALUE!</v>
      </c>
      <c r="DD195" t="e">
        <f>AND('OTRAS ACCIONES'!I249,"AAAAAGvr/ms=")</f>
        <v>#VALUE!</v>
      </c>
      <c r="DE195" t="e">
        <f>AND('OTRAS ACCIONES'!J249,"AAAAAGvr/mw=")</f>
        <v>#VALUE!</v>
      </c>
      <c r="DF195" t="e">
        <f>AND('OTRAS ACCIONES'!K249,"AAAAAGvr/m0=")</f>
        <v>#VALUE!</v>
      </c>
      <c r="DG195" t="e">
        <f>AND('OTRAS ACCIONES'!L249,"AAAAAGvr/m4=")</f>
        <v>#VALUE!</v>
      </c>
      <c r="DH195" t="e">
        <f>AND('OTRAS ACCIONES'!M249,"AAAAAGvr/m8=")</f>
        <v>#VALUE!</v>
      </c>
      <c r="DI195" t="e">
        <f>AND('OTRAS ACCIONES'!N249,"AAAAAGvr/nA=")</f>
        <v>#VALUE!</v>
      </c>
      <c r="DJ195" t="e">
        <f>AND('OTRAS ACCIONES'!O249,"AAAAAGvr/nE=")</f>
        <v>#VALUE!</v>
      </c>
      <c r="DK195" t="e">
        <f>AND('OTRAS ACCIONES'!P249,"AAAAAGvr/nI=")</f>
        <v>#VALUE!</v>
      </c>
      <c r="DL195" t="e">
        <f>AND('OTRAS ACCIONES'!Q249,"AAAAAGvr/nM=")</f>
        <v>#VALUE!</v>
      </c>
      <c r="DM195" t="e">
        <f>AND('OTRAS ACCIONES'!R249,"AAAAAGvr/nQ=")</f>
        <v>#VALUE!</v>
      </c>
      <c r="DN195">
        <f>IF('OTRAS ACCIONES'!250:250,"AAAAAGvr/nU=",0)</f>
        <v>0</v>
      </c>
      <c r="DO195" t="e">
        <f>AND('OTRAS ACCIONES'!B250,"AAAAAGvr/nY=")</f>
        <v>#VALUE!</v>
      </c>
      <c r="DP195" t="e">
        <f>AND('OTRAS ACCIONES'!C250,"AAAAAGvr/nc=")</f>
        <v>#VALUE!</v>
      </c>
      <c r="DQ195" t="e">
        <f>AND('OTRAS ACCIONES'!D250,"AAAAAGvr/ng=")</f>
        <v>#VALUE!</v>
      </c>
      <c r="DR195" t="e">
        <f>AND('OTRAS ACCIONES'!E250,"AAAAAGvr/nk=")</f>
        <v>#VALUE!</v>
      </c>
      <c r="DS195" t="e">
        <f>AND('OTRAS ACCIONES'!F250,"AAAAAGvr/no=")</f>
        <v>#VALUE!</v>
      </c>
      <c r="DT195" t="e">
        <f>AND('OTRAS ACCIONES'!G250,"AAAAAGvr/ns=")</f>
        <v>#VALUE!</v>
      </c>
      <c r="DU195" t="e">
        <f>AND('OTRAS ACCIONES'!H250,"AAAAAGvr/nw=")</f>
        <v>#VALUE!</v>
      </c>
      <c r="DV195" t="e">
        <f>AND('OTRAS ACCIONES'!I250,"AAAAAGvr/n0=")</f>
        <v>#VALUE!</v>
      </c>
      <c r="DW195" t="e">
        <f>AND('OTRAS ACCIONES'!J250,"AAAAAGvr/n4=")</f>
        <v>#VALUE!</v>
      </c>
      <c r="DX195" t="e">
        <f>AND('OTRAS ACCIONES'!K250,"AAAAAGvr/n8=")</f>
        <v>#VALUE!</v>
      </c>
      <c r="DY195" t="e">
        <f>AND('OTRAS ACCIONES'!L250,"AAAAAGvr/oA=")</f>
        <v>#VALUE!</v>
      </c>
      <c r="DZ195" t="e">
        <f>AND('OTRAS ACCIONES'!M250,"AAAAAGvr/oE=")</f>
        <v>#VALUE!</v>
      </c>
      <c r="EA195" t="e">
        <f>AND('OTRAS ACCIONES'!N250,"AAAAAGvr/oI=")</f>
        <v>#VALUE!</v>
      </c>
      <c r="EB195" t="e">
        <f>AND('OTRAS ACCIONES'!O250,"AAAAAGvr/oM=")</f>
        <v>#VALUE!</v>
      </c>
      <c r="EC195" t="e">
        <f>AND('OTRAS ACCIONES'!P250,"AAAAAGvr/oQ=")</f>
        <v>#VALUE!</v>
      </c>
      <c r="ED195" t="e">
        <f>AND('OTRAS ACCIONES'!Q250,"AAAAAGvr/oU=")</f>
        <v>#VALUE!</v>
      </c>
      <c r="EE195" t="e">
        <f>AND('OTRAS ACCIONES'!R250,"AAAAAGvr/oY=")</f>
        <v>#VALUE!</v>
      </c>
      <c r="EF195">
        <f>IF('OTRAS ACCIONES'!251:251,"AAAAAGvr/oc=",0)</f>
        <v>0</v>
      </c>
      <c r="EG195" t="e">
        <f>AND('OTRAS ACCIONES'!B251,"AAAAAGvr/og=")</f>
        <v>#VALUE!</v>
      </c>
      <c r="EH195" t="e">
        <f>AND('OTRAS ACCIONES'!C251,"AAAAAGvr/ok=")</f>
        <v>#VALUE!</v>
      </c>
      <c r="EI195" t="e">
        <f>AND('OTRAS ACCIONES'!D251,"AAAAAGvr/oo=")</f>
        <v>#VALUE!</v>
      </c>
      <c r="EJ195" t="e">
        <f>AND('OTRAS ACCIONES'!E251,"AAAAAGvr/os=")</f>
        <v>#VALUE!</v>
      </c>
      <c r="EK195" t="e">
        <f>AND('OTRAS ACCIONES'!F251,"AAAAAGvr/ow=")</f>
        <v>#VALUE!</v>
      </c>
      <c r="EL195" t="e">
        <f>AND('OTRAS ACCIONES'!G251,"AAAAAGvr/o0=")</f>
        <v>#VALUE!</v>
      </c>
      <c r="EM195" t="e">
        <f>AND('OTRAS ACCIONES'!H251,"AAAAAGvr/o4=")</f>
        <v>#VALUE!</v>
      </c>
      <c r="EN195" t="e">
        <f>AND('OTRAS ACCIONES'!I251,"AAAAAGvr/o8=")</f>
        <v>#VALUE!</v>
      </c>
      <c r="EO195" t="e">
        <f>AND('OTRAS ACCIONES'!J251,"AAAAAGvr/pA=")</f>
        <v>#VALUE!</v>
      </c>
      <c r="EP195" t="e">
        <f>AND('OTRAS ACCIONES'!K251,"AAAAAGvr/pE=")</f>
        <v>#VALUE!</v>
      </c>
      <c r="EQ195" t="e">
        <f>AND('OTRAS ACCIONES'!L251,"AAAAAGvr/pI=")</f>
        <v>#VALUE!</v>
      </c>
      <c r="ER195" t="e">
        <f>AND('OTRAS ACCIONES'!M251,"AAAAAGvr/pM=")</f>
        <v>#VALUE!</v>
      </c>
      <c r="ES195" t="e">
        <f>AND('OTRAS ACCIONES'!N251,"AAAAAGvr/pQ=")</f>
        <v>#VALUE!</v>
      </c>
      <c r="ET195" t="e">
        <f>AND('OTRAS ACCIONES'!O251,"AAAAAGvr/pU=")</f>
        <v>#VALUE!</v>
      </c>
      <c r="EU195" t="e">
        <f>AND('OTRAS ACCIONES'!P251,"AAAAAGvr/pY=")</f>
        <v>#VALUE!</v>
      </c>
      <c r="EV195" t="e">
        <f>AND('OTRAS ACCIONES'!Q251,"AAAAAGvr/pc=")</f>
        <v>#VALUE!</v>
      </c>
      <c r="EW195" t="e">
        <f>AND('OTRAS ACCIONES'!R251,"AAAAAGvr/pg=")</f>
        <v>#VALUE!</v>
      </c>
      <c r="EX195">
        <f>IF('OTRAS ACCIONES'!252:252,"AAAAAGvr/pk=",0)</f>
        <v>0</v>
      </c>
      <c r="EY195" t="e">
        <f>AND('OTRAS ACCIONES'!B252,"AAAAAGvr/po=")</f>
        <v>#VALUE!</v>
      </c>
      <c r="EZ195" t="e">
        <f>AND('OTRAS ACCIONES'!C252,"AAAAAGvr/ps=")</f>
        <v>#VALUE!</v>
      </c>
      <c r="FA195" t="e">
        <f>AND('OTRAS ACCIONES'!D252,"AAAAAGvr/pw=")</f>
        <v>#VALUE!</v>
      </c>
      <c r="FB195" t="e">
        <f>AND('OTRAS ACCIONES'!E252,"AAAAAGvr/p0=")</f>
        <v>#VALUE!</v>
      </c>
      <c r="FC195" t="e">
        <f>AND('OTRAS ACCIONES'!F252,"AAAAAGvr/p4=")</f>
        <v>#VALUE!</v>
      </c>
      <c r="FD195" t="e">
        <f>AND('OTRAS ACCIONES'!G252,"AAAAAGvr/p8=")</f>
        <v>#VALUE!</v>
      </c>
      <c r="FE195" t="e">
        <f>AND('OTRAS ACCIONES'!H252,"AAAAAGvr/qA=")</f>
        <v>#VALUE!</v>
      </c>
      <c r="FF195" t="e">
        <f>AND('OTRAS ACCIONES'!I252,"AAAAAGvr/qE=")</f>
        <v>#VALUE!</v>
      </c>
      <c r="FG195" t="e">
        <f>AND('OTRAS ACCIONES'!J252,"AAAAAGvr/qI=")</f>
        <v>#VALUE!</v>
      </c>
      <c r="FH195" t="e">
        <f>AND('OTRAS ACCIONES'!K252,"AAAAAGvr/qM=")</f>
        <v>#VALUE!</v>
      </c>
      <c r="FI195" t="e">
        <f>AND('OTRAS ACCIONES'!L252,"AAAAAGvr/qQ=")</f>
        <v>#VALUE!</v>
      </c>
      <c r="FJ195" t="e">
        <f>AND('OTRAS ACCIONES'!M252,"AAAAAGvr/qU=")</f>
        <v>#VALUE!</v>
      </c>
      <c r="FK195" t="e">
        <f>AND('OTRAS ACCIONES'!N252,"AAAAAGvr/qY=")</f>
        <v>#VALUE!</v>
      </c>
      <c r="FL195" t="e">
        <f>AND('OTRAS ACCIONES'!O252,"AAAAAGvr/qc=")</f>
        <v>#VALUE!</v>
      </c>
      <c r="FM195" t="e">
        <f>AND('OTRAS ACCIONES'!P252,"AAAAAGvr/qg=")</f>
        <v>#VALUE!</v>
      </c>
      <c r="FN195" t="e">
        <f>AND('OTRAS ACCIONES'!Q252,"AAAAAGvr/qk=")</f>
        <v>#VALUE!</v>
      </c>
      <c r="FO195" t="e">
        <f>AND('OTRAS ACCIONES'!R252,"AAAAAGvr/qo=")</f>
        <v>#VALUE!</v>
      </c>
      <c r="FP195">
        <f>IF('OTRAS ACCIONES'!253:253,"AAAAAGvr/qs=",0)</f>
        <v>0</v>
      </c>
      <c r="FQ195" t="e">
        <f>AND('OTRAS ACCIONES'!B253,"AAAAAGvr/qw=")</f>
        <v>#VALUE!</v>
      </c>
      <c r="FR195" t="e">
        <f>AND('OTRAS ACCIONES'!C253,"AAAAAGvr/q0=")</f>
        <v>#VALUE!</v>
      </c>
      <c r="FS195" t="e">
        <f>AND('OTRAS ACCIONES'!D253,"AAAAAGvr/q4=")</f>
        <v>#VALUE!</v>
      </c>
      <c r="FT195" t="e">
        <f>AND('OTRAS ACCIONES'!E253,"AAAAAGvr/q8=")</f>
        <v>#VALUE!</v>
      </c>
      <c r="FU195" t="e">
        <f>AND('OTRAS ACCIONES'!F253,"AAAAAGvr/rA=")</f>
        <v>#VALUE!</v>
      </c>
      <c r="FV195" t="e">
        <f>AND('OTRAS ACCIONES'!G253,"AAAAAGvr/rE=")</f>
        <v>#VALUE!</v>
      </c>
      <c r="FW195" t="e">
        <f>AND('OTRAS ACCIONES'!H253,"AAAAAGvr/rI=")</f>
        <v>#VALUE!</v>
      </c>
      <c r="FX195" t="e">
        <f>AND('OTRAS ACCIONES'!I253,"AAAAAGvr/rM=")</f>
        <v>#VALUE!</v>
      </c>
      <c r="FY195" t="e">
        <f>AND('OTRAS ACCIONES'!J253,"AAAAAGvr/rQ=")</f>
        <v>#VALUE!</v>
      </c>
      <c r="FZ195" t="e">
        <f>AND('OTRAS ACCIONES'!K253,"AAAAAGvr/rU=")</f>
        <v>#VALUE!</v>
      </c>
      <c r="GA195" t="e">
        <f>AND('OTRAS ACCIONES'!L253,"AAAAAGvr/rY=")</f>
        <v>#VALUE!</v>
      </c>
      <c r="GB195" t="e">
        <f>AND('OTRAS ACCIONES'!M253,"AAAAAGvr/rc=")</f>
        <v>#VALUE!</v>
      </c>
      <c r="GC195" t="e">
        <f>AND('OTRAS ACCIONES'!N253,"AAAAAGvr/rg=")</f>
        <v>#VALUE!</v>
      </c>
      <c r="GD195" t="e">
        <f>AND('OTRAS ACCIONES'!O253,"AAAAAGvr/rk=")</f>
        <v>#VALUE!</v>
      </c>
      <c r="GE195" t="e">
        <f>AND('OTRAS ACCIONES'!P253,"AAAAAGvr/ro=")</f>
        <v>#VALUE!</v>
      </c>
      <c r="GF195" t="e">
        <f>AND('OTRAS ACCIONES'!Q253,"AAAAAGvr/rs=")</f>
        <v>#VALUE!</v>
      </c>
      <c r="GG195" t="e">
        <f>AND('OTRAS ACCIONES'!R253,"AAAAAGvr/rw=")</f>
        <v>#VALUE!</v>
      </c>
      <c r="GH195">
        <f>IF('OTRAS ACCIONES'!254:254,"AAAAAGvr/r0=",0)</f>
        <v>0</v>
      </c>
      <c r="GI195" t="e">
        <f>AND('OTRAS ACCIONES'!B254,"AAAAAGvr/r4=")</f>
        <v>#VALUE!</v>
      </c>
      <c r="GJ195" t="e">
        <f>AND('OTRAS ACCIONES'!C254,"AAAAAGvr/r8=")</f>
        <v>#VALUE!</v>
      </c>
      <c r="GK195" t="e">
        <f>AND('OTRAS ACCIONES'!D254,"AAAAAGvr/sA=")</f>
        <v>#VALUE!</v>
      </c>
      <c r="GL195" t="e">
        <f>AND('OTRAS ACCIONES'!E254,"AAAAAGvr/sE=")</f>
        <v>#VALUE!</v>
      </c>
      <c r="GM195" t="e">
        <f>AND('OTRAS ACCIONES'!F254,"AAAAAGvr/sI=")</f>
        <v>#VALUE!</v>
      </c>
      <c r="GN195" t="e">
        <f>AND('OTRAS ACCIONES'!G254,"AAAAAGvr/sM=")</f>
        <v>#VALUE!</v>
      </c>
      <c r="GO195" t="e">
        <f>AND('OTRAS ACCIONES'!H254,"AAAAAGvr/sQ=")</f>
        <v>#VALUE!</v>
      </c>
      <c r="GP195" t="e">
        <f>AND('OTRAS ACCIONES'!I254,"AAAAAGvr/sU=")</f>
        <v>#VALUE!</v>
      </c>
      <c r="GQ195" t="e">
        <f>AND('OTRAS ACCIONES'!J254,"AAAAAGvr/sY=")</f>
        <v>#VALUE!</v>
      </c>
      <c r="GR195" t="e">
        <f>AND('OTRAS ACCIONES'!K254,"AAAAAGvr/sc=")</f>
        <v>#VALUE!</v>
      </c>
      <c r="GS195" t="e">
        <f>AND('OTRAS ACCIONES'!L254,"AAAAAGvr/sg=")</f>
        <v>#VALUE!</v>
      </c>
      <c r="GT195" t="e">
        <f>AND('OTRAS ACCIONES'!M254,"AAAAAGvr/sk=")</f>
        <v>#VALUE!</v>
      </c>
      <c r="GU195" t="e">
        <f>AND('OTRAS ACCIONES'!N254,"AAAAAGvr/so=")</f>
        <v>#VALUE!</v>
      </c>
      <c r="GV195" t="e">
        <f>AND('OTRAS ACCIONES'!O254,"AAAAAGvr/ss=")</f>
        <v>#VALUE!</v>
      </c>
      <c r="GW195" t="e">
        <f>AND('OTRAS ACCIONES'!P254,"AAAAAGvr/sw=")</f>
        <v>#VALUE!</v>
      </c>
      <c r="GX195" t="e">
        <f>AND('OTRAS ACCIONES'!Q254,"AAAAAGvr/s0=")</f>
        <v>#VALUE!</v>
      </c>
      <c r="GY195" t="e">
        <f>AND('OTRAS ACCIONES'!R254,"AAAAAGvr/s4=")</f>
        <v>#VALUE!</v>
      </c>
      <c r="GZ195">
        <f>IF('OTRAS ACCIONES'!255:255,"AAAAAGvr/s8=",0)</f>
        <v>0</v>
      </c>
      <c r="HA195" t="e">
        <f>AND('OTRAS ACCIONES'!B255,"AAAAAGvr/tA=")</f>
        <v>#VALUE!</v>
      </c>
      <c r="HB195" t="e">
        <f>AND('OTRAS ACCIONES'!C255,"AAAAAGvr/tE=")</f>
        <v>#VALUE!</v>
      </c>
      <c r="HC195" t="e">
        <f>AND('OTRAS ACCIONES'!D255,"AAAAAGvr/tI=")</f>
        <v>#VALUE!</v>
      </c>
      <c r="HD195" t="e">
        <f>AND('OTRAS ACCIONES'!E255,"AAAAAGvr/tM=")</f>
        <v>#VALUE!</v>
      </c>
      <c r="HE195" t="e">
        <f>AND('OTRAS ACCIONES'!F255,"AAAAAGvr/tQ=")</f>
        <v>#VALUE!</v>
      </c>
      <c r="HF195" t="e">
        <f>AND('OTRAS ACCIONES'!G255,"AAAAAGvr/tU=")</f>
        <v>#VALUE!</v>
      </c>
      <c r="HG195" t="e">
        <f>AND('OTRAS ACCIONES'!H255,"AAAAAGvr/tY=")</f>
        <v>#VALUE!</v>
      </c>
      <c r="HH195" t="e">
        <f>AND('OTRAS ACCIONES'!I255,"AAAAAGvr/tc=")</f>
        <v>#VALUE!</v>
      </c>
      <c r="HI195" t="e">
        <f>AND('OTRAS ACCIONES'!J255,"AAAAAGvr/tg=")</f>
        <v>#VALUE!</v>
      </c>
      <c r="HJ195" t="e">
        <f>AND('OTRAS ACCIONES'!K255,"AAAAAGvr/tk=")</f>
        <v>#VALUE!</v>
      </c>
      <c r="HK195" t="e">
        <f>AND('OTRAS ACCIONES'!L255,"AAAAAGvr/to=")</f>
        <v>#VALUE!</v>
      </c>
      <c r="HL195" t="e">
        <f>AND('OTRAS ACCIONES'!M255,"AAAAAGvr/ts=")</f>
        <v>#VALUE!</v>
      </c>
      <c r="HM195" t="e">
        <f>AND('OTRAS ACCIONES'!N255,"AAAAAGvr/tw=")</f>
        <v>#VALUE!</v>
      </c>
      <c r="HN195" t="e">
        <f>AND('OTRAS ACCIONES'!O255,"AAAAAGvr/t0=")</f>
        <v>#VALUE!</v>
      </c>
      <c r="HO195" t="e">
        <f>AND('OTRAS ACCIONES'!P255,"AAAAAGvr/t4=")</f>
        <v>#VALUE!</v>
      </c>
      <c r="HP195" t="e">
        <f>AND('OTRAS ACCIONES'!Q255,"AAAAAGvr/t8=")</f>
        <v>#VALUE!</v>
      </c>
      <c r="HQ195" t="e">
        <f>AND('OTRAS ACCIONES'!R255,"AAAAAGvr/uA=")</f>
        <v>#VALUE!</v>
      </c>
      <c r="HR195">
        <f>IF('OTRAS ACCIONES'!256:256,"AAAAAGvr/uE=",0)</f>
        <v>0</v>
      </c>
      <c r="HS195" t="e">
        <f>AND('OTRAS ACCIONES'!B256,"AAAAAGvr/uI=")</f>
        <v>#VALUE!</v>
      </c>
      <c r="HT195" t="e">
        <f>AND('OTRAS ACCIONES'!C256,"AAAAAGvr/uM=")</f>
        <v>#VALUE!</v>
      </c>
      <c r="HU195" t="e">
        <f>AND('OTRAS ACCIONES'!D256,"AAAAAGvr/uQ=")</f>
        <v>#VALUE!</v>
      </c>
      <c r="HV195" t="e">
        <f>AND('OTRAS ACCIONES'!E256,"AAAAAGvr/uU=")</f>
        <v>#VALUE!</v>
      </c>
      <c r="HW195" t="e">
        <f>AND('OTRAS ACCIONES'!F256,"AAAAAGvr/uY=")</f>
        <v>#VALUE!</v>
      </c>
      <c r="HX195" t="e">
        <f>AND('OTRAS ACCIONES'!G256,"AAAAAGvr/uc=")</f>
        <v>#VALUE!</v>
      </c>
      <c r="HY195" t="e">
        <f>AND('OTRAS ACCIONES'!H256,"AAAAAGvr/ug=")</f>
        <v>#VALUE!</v>
      </c>
      <c r="HZ195" t="e">
        <f>AND('OTRAS ACCIONES'!I256,"AAAAAGvr/uk=")</f>
        <v>#VALUE!</v>
      </c>
      <c r="IA195" t="e">
        <f>AND('OTRAS ACCIONES'!J256,"AAAAAGvr/uo=")</f>
        <v>#VALUE!</v>
      </c>
      <c r="IB195" t="e">
        <f>AND('OTRAS ACCIONES'!K256,"AAAAAGvr/us=")</f>
        <v>#VALUE!</v>
      </c>
      <c r="IC195" t="e">
        <f>AND('OTRAS ACCIONES'!L256,"AAAAAGvr/uw=")</f>
        <v>#VALUE!</v>
      </c>
      <c r="ID195" t="e">
        <f>AND('OTRAS ACCIONES'!M256,"AAAAAGvr/u0=")</f>
        <v>#VALUE!</v>
      </c>
      <c r="IE195" t="e">
        <f>AND('OTRAS ACCIONES'!N256,"AAAAAGvr/u4=")</f>
        <v>#VALUE!</v>
      </c>
      <c r="IF195" t="e">
        <f>AND('OTRAS ACCIONES'!O256,"AAAAAGvr/u8=")</f>
        <v>#VALUE!</v>
      </c>
      <c r="IG195" t="e">
        <f>AND('OTRAS ACCIONES'!P256,"AAAAAGvr/vA=")</f>
        <v>#VALUE!</v>
      </c>
      <c r="IH195" t="e">
        <f>AND('OTRAS ACCIONES'!Q256,"AAAAAGvr/vE=")</f>
        <v>#VALUE!</v>
      </c>
      <c r="II195" t="e">
        <f>AND('OTRAS ACCIONES'!R256,"AAAAAGvr/vI=")</f>
        <v>#VALUE!</v>
      </c>
      <c r="IJ195">
        <f>IF('OTRAS ACCIONES'!257:257,"AAAAAGvr/vM=",0)</f>
        <v>0</v>
      </c>
      <c r="IK195" t="e">
        <f>AND('OTRAS ACCIONES'!B257,"AAAAAGvr/vQ=")</f>
        <v>#VALUE!</v>
      </c>
      <c r="IL195" t="e">
        <f>AND('OTRAS ACCIONES'!C257,"AAAAAGvr/vU=")</f>
        <v>#VALUE!</v>
      </c>
      <c r="IM195" t="e">
        <f>AND('OTRAS ACCIONES'!D257,"AAAAAGvr/vY=")</f>
        <v>#VALUE!</v>
      </c>
      <c r="IN195" t="e">
        <f>AND('OTRAS ACCIONES'!E257,"AAAAAGvr/vc=")</f>
        <v>#VALUE!</v>
      </c>
      <c r="IO195" t="e">
        <f>AND('OTRAS ACCIONES'!F257,"AAAAAGvr/vg=")</f>
        <v>#VALUE!</v>
      </c>
      <c r="IP195" t="e">
        <f>AND('OTRAS ACCIONES'!G257,"AAAAAGvr/vk=")</f>
        <v>#VALUE!</v>
      </c>
      <c r="IQ195" t="e">
        <f>AND('OTRAS ACCIONES'!H257,"AAAAAGvr/vo=")</f>
        <v>#VALUE!</v>
      </c>
      <c r="IR195" t="e">
        <f>AND('OTRAS ACCIONES'!I257,"AAAAAGvr/vs=")</f>
        <v>#VALUE!</v>
      </c>
      <c r="IS195" t="e">
        <f>AND('OTRAS ACCIONES'!J257,"AAAAAGvr/vw=")</f>
        <v>#VALUE!</v>
      </c>
      <c r="IT195" t="e">
        <f>AND('OTRAS ACCIONES'!K257,"AAAAAGvr/v0=")</f>
        <v>#VALUE!</v>
      </c>
      <c r="IU195" t="e">
        <f>AND('OTRAS ACCIONES'!L257,"AAAAAGvr/v4=")</f>
        <v>#VALUE!</v>
      </c>
      <c r="IV195" t="e">
        <f>AND('OTRAS ACCIONES'!M257,"AAAAAGvr/v8=")</f>
        <v>#VALUE!</v>
      </c>
    </row>
    <row r="196" spans="1:256" x14ac:dyDescent="0.2">
      <c r="A196" t="e">
        <f>AND('OTRAS ACCIONES'!N257,"AAAAABa7/wA=")</f>
        <v>#VALUE!</v>
      </c>
      <c r="B196" t="e">
        <f>AND('OTRAS ACCIONES'!O257,"AAAAABa7/wE=")</f>
        <v>#VALUE!</v>
      </c>
      <c r="C196" t="e">
        <f>AND('OTRAS ACCIONES'!P257,"AAAAABa7/wI=")</f>
        <v>#VALUE!</v>
      </c>
      <c r="D196" t="e">
        <f>AND('OTRAS ACCIONES'!Q257,"AAAAABa7/wM=")</f>
        <v>#VALUE!</v>
      </c>
      <c r="E196" t="e">
        <f>AND('OTRAS ACCIONES'!R257,"AAAAABa7/wQ=")</f>
        <v>#VALUE!</v>
      </c>
      <c r="F196">
        <f>IF('OTRAS ACCIONES'!258:258,"AAAAABa7/wU=",0)</f>
        <v>0</v>
      </c>
      <c r="G196" t="e">
        <f>AND('OTRAS ACCIONES'!B258,"AAAAABa7/wY=")</f>
        <v>#VALUE!</v>
      </c>
      <c r="H196" t="e">
        <f>AND('OTRAS ACCIONES'!C258,"AAAAABa7/wc=")</f>
        <v>#VALUE!</v>
      </c>
      <c r="I196" t="e">
        <f>AND('OTRAS ACCIONES'!D258,"AAAAABa7/wg=")</f>
        <v>#VALUE!</v>
      </c>
      <c r="J196" t="e">
        <f>AND('OTRAS ACCIONES'!E258,"AAAAABa7/wk=")</f>
        <v>#VALUE!</v>
      </c>
      <c r="K196" t="e">
        <f>AND('OTRAS ACCIONES'!F258,"AAAAABa7/wo=")</f>
        <v>#VALUE!</v>
      </c>
      <c r="L196" t="e">
        <f>AND('OTRAS ACCIONES'!G258,"AAAAABa7/ws=")</f>
        <v>#VALUE!</v>
      </c>
      <c r="M196" t="e">
        <f>AND('OTRAS ACCIONES'!H258,"AAAAABa7/ww=")</f>
        <v>#VALUE!</v>
      </c>
      <c r="N196" t="e">
        <f>AND('OTRAS ACCIONES'!I258,"AAAAABa7/w0=")</f>
        <v>#VALUE!</v>
      </c>
      <c r="O196" t="e">
        <f>AND('OTRAS ACCIONES'!J258,"AAAAABa7/w4=")</f>
        <v>#VALUE!</v>
      </c>
      <c r="P196" t="e">
        <f>AND('OTRAS ACCIONES'!K258,"AAAAABa7/w8=")</f>
        <v>#VALUE!</v>
      </c>
      <c r="Q196" t="e">
        <f>AND('OTRAS ACCIONES'!L258,"AAAAABa7/xA=")</f>
        <v>#VALUE!</v>
      </c>
      <c r="R196" t="e">
        <f>AND('OTRAS ACCIONES'!M258,"AAAAABa7/xE=")</f>
        <v>#VALUE!</v>
      </c>
      <c r="S196" t="e">
        <f>AND('OTRAS ACCIONES'!N258,"AAAAABa7/xI=")</f>
        <v>#VALUE!</v>
      </c>
      <c r="T196" t="e">
        <f>AND('OTRAS ACCIONES'!O258,"AAAAABa7/xM=")</f>
        <v>#VALUE!</v>
      </c>
      <c r="U196" t="e">
        <f>AND('OTRAS ACCIONES'!P258,"AAAAABa7/xQ=")</f>
        <v>#VALUE!</v>
      </c>
      <c r="V196" t="e">
        <f>AND('OTRAS ACCIONES'!Q258,"AAAAABa7/xU=")</f>
        <v>#VALUE!</v>
      </c>
      <c r="W196" t="e">
        <f>AND('OTRAS ACCIONES'!R258,"AAAAABa7/xY=")</f>
        <v>#VALUE!</v>
      </c>
      <c r="X196">
        <f>IF('OTRAS ACCIONES'!259:259,"AAAAABa7/xc=",0)</f>
        <v>0</v>
      </c>
      <c r="Y196" t="e">
        <f>AND('OTRAS ACCIONES'!B259,"AAAAABa7/xg=")</f>
        <v>#VALUE!</v>
      </c>
      <c r="Z196" t="e">
        <f>AND('OTRAS ACCIONES'!C259,"AAAAABa7/xk=")</f>
        <v>#VALUE!</v>
      </c>
      <c r="AA196" t="e">
        <f>AND('OTRAS ACCIONES'!D259,"AAAAABa7/xo=")</f>
        <v>#VALUE!</v>
      </c>
      <c r="AB196" t="e">
        <f>AND('OTRAS ACCIONES'!E259,"AAAAABa7/xs=")</f>
        <v>#VALUE!</v>
      </c>
      <c r="AC196" t="e">
        <f>AND('OTRAS ACCIONES'!F259,"AAAAABa7/xw=")</f>
        <v>#VALUE!</v>
      </c>
      <c r="AD196" t="e">
        <f>AND('OTRAS ACCIONES'!G259,"AAAAABa7/x0=")</f>
        <v>#VALUE!</v>
      </c>
      <c r="AE196" t="e">
        <f>AND('OTRAS ACCIONES'!H259,"AAAAABa7/x4=")</f>
        <v>#VALUE!</v>
      </c>
      <c r="AF196" t="e">
        <f>AND('OTRAS ACCIONES'!I259,"AAAAABa7/x8=")</f>
        <v>#VALUE!</v>
      </c>
      <c r="AG196" t="e">
        <f>AND('OTRAS ACCIONES'!J259,"AAAAABa7/yA=")</f>
        <v>#VALUE!</v>
      </c>
      <c r="AH196" t="e">
        <f>AND('OTRAS ACCIONES'!K259,"AAAAABa7/yE=")</f>
        <v>#VALUE!</v>
      </c>
      <c r="AI196" t="e">
        <f>AND('OTRAS ACCIONES'!L259,"AAAAABa7/yI=")</f>
        <v>#VALUE!</v>
      </c>
      <c r="AJ196" t="e">
        <f>AND('OTRAS ACCIONES'!M259,"AAAAABa7/yM=")</f>
        <v>#VALUE!</v>
      </c>
      <c r="AK196" t="e">
        <f>AND('OTRAS ACCIONES'!N259,"AAAAABa7/yQ=")</f>
        <v>#VALUE!</v>
      </c>
      <c r="AL196" t="e">
        <f>AND('OTRAS ACCIONES'!O259,"AAAAABa7/yU=")</f>
        <v>#VALUE!</v>
      </c>
      <c r="AM196" t="e">
        <f>AND('OTRAS ACCIONES'!P259,"AAAAABa7/yY=")</f>
        <v>#VALUE!</v>
      </c>
      <c r="AN196" t="e">
        <f>AND('OTRAS ACCIONES'!Q259,"AAAAABa7/yc=")</f>
        <v>#VALUE!</v>
      </c>
      <c r="AO196" t="e">
        <f>AND('OTRAS ACCIONES'!R259,"AAAAABa7/yg=")</f>
        <v>#VALUE!</v>
      </c>
      <c r="AP196">
        <f>IF('OTRAS ACCIONES'!260:260,"AAAAABa7/yk=",0)</f>
        <v>0</v>
      </c>
      <c r="AQ196" t="e">
        <f>AND('OTRAS ACCIONES'!B260,"AAAAABa7/yo=")</f>
        <v>#VALUE!</v>
      </c>
      <c r="AR196" t="e">
        <f>AND('OTRAS ACCIONES'!C260,"AAAAABa7/ys=")</f>
        <v>#VALUE!</v>
      </c>
      <c r="AS196" t="e">
        <f>AND('OTRAS ACCIONES'!D260,"AAAAABa7/yw=")</f>
        <v>#VALUE!</v>
      </c>
      <c r="AT196" t="e">
        <f>AND('OTRAS ACCIONES'!E260,"AAAAABa7/y0=")</f>
        <v>#VALUE!</v>
      </c>
      <c r="AU196" t="e">
        <f>AND('OTRAS ACCIONES'!F260,"AAAAABa7/y4=")</f>
        <v>#VALUE!</v>
      </c>
      <c r="AV196" t="e">
        <f>AND('OTRAS ACCIONES'!G260,"AAAAABa7/y8=")</f>
        <v>#VALUE!</v>
      </c>
      <c r="AW196" t="e">
        <f>AND('OTRAS ACCIONES'!H260,"AAAAABa7/zA=")</f>
        <v>#VALUE!</v>
      </c>
      <c r="AX196" t="e">
        <f>AND('OTRAS ACCIONES'!I260,"AAAAABa7/zE=")</f>
        <v>#VALUE!</v>
      </c>
      <c r="AY196" t="e">
        <f>AND('OTRAS ACCIONES'!J260,"AAAAABa7/zI=")</f>
        <v>#VALUE!</v>
      </c>
      <c r="AZ196" t="e">
        <f>AND('OTRAS ACCIONES'!K260,"AAAAABa7/zM=")</f>
        <v>#VALUE!</v>
      </c>
      <c r="BA196" t="e">
        <f>AND('OTRAS ACCIONES'!L260,"AAAAABa7/zQ=")</f>
        <v>#VALUE!</v>
      </c>
      <c r="BB196" t="e">
        <f>AND('OTRAS ACCIONES'!M260,"AAAAABa7/zU=")</f>
        <v>#VALUE!</v>
      </c>
      <c r="BC196" t="e">
        <f>AND('OTRAS ACCIONES'!N260,"AAAAABa7/zY=")</f>
        <v>#VALUE!</v>
      </c>
      <c r="BD196" t="e">
        <f>AND('OTRAS ACCIONES'!O260,"AAAAABa7/zc=")</f>
        <v>#VALUE!</v>
      </c>
      <c r="BE196" t="e">
        <f>AND('OTRAS ACCIONES'!P260,"AAAAABa7/zg=")</f>
        <v>#VALUE!</v>
      </c>
      <c r="BF196" t="e">
        <f>AND('OTRAS ACCIONES'!Q260,"AAAAABa7/zk=")</f>
        <v>#VALUE!</v>
      </c>
      <c r="BG196" t="e">
        <f>AND('OTRAS ACCIONES'!R260,"AAAAABa7/zo=")</f>
        <v>#VALUE!</v>
      </c>
      <c r="BH196">
        <f>IF('OTRAS ACCIONES'!261:261,"AAAAABa7/zs=",0)</f>
        <v>0</v>
      </c>
      <c r="BI196" t="e">
        <f>AND('OTRAS ACCIONES'!B261,"AAAAABa7/zw=")</f>
        <v>#VALUE!</v>
      </c>
      <c r="BJ196" t="e">
        <f>AND('OTRAS ACCIONES'!C261,"AAAAABa7/z0=")</f>
        <v>#VALUE!</v>
      </c>
      <c r="BK196" t="e">
        <f>AND('OTRAS ACCIONES'!D261,"AAAAABa7/z4=")</f>
        <v>#VALUE!</v>
      </c>
      <c r="BL196" t="e">
        <f>AND('OTRAS ACCIONES'!E261,"AAAAABa7/z8=")</f>
        <v>#VALUE!</v>
      </c>
      <c r="BM196" t="e">
        <f>AND('OTRAS ACCIONES'!F261,"AAAAABa7/0A=")</f>
        <v>#VALUE!</v>
      </c>
      <c r="BN196" t="e">
        <f>AND('OTRAS ACCIONES'!G261,"AAAAABa7/0E=")</f>
        <v>#VALUE!</v>
      </c>
      <c r="BO196" t="e">
        <f>AND('OTRAS ACCIONES'!H261,"AAAAABa7/0I=")</f>
        <v>#VALUE!</v>
      </c>
      <c r="BP196" t="e">
        <f>AND('OTRAS ACCIONES'!I261,"AAAAABa7/0M=")</f>
        <v>#VALUE!</v>
      </c>
      <c r="BQ196" t="e">
        <f>AND('OTRAS ACCIONES'!J261,"AAAAABa7/0Q=")</f>
        <v>#VALUE!</v>
      </c>
      <c r="BR196" t="e">
        <f>AND('OTRAS ACCIONES'!K261,"AAAAABa7/0U=")</f>
        <v>#VALUE!</v>
      </c>
      <c r="BS196" t="e">
        <f>AND('OTRAS ACCIONES'!L261,"AAAAABa7/0Y=")</f>
        <v>#VALUE!</v>
      </c>
      <c r="BT196" t="e">
        <f>AND('OTRAS ACCIONES'!M261,"AAAAABa7/0c=")</f>
        <v>#VALUE!</v>
      </c>
      <c r="BU196" t="e">
        <f>AND('OTRAS ACCIONES'!N261,"AAAAABa7/0g=")</f>
        <v>#VALUE!</v>
      </c>
      <c r="BV196" t="e">
        <f>AND('OTRAS ACCIONES'!O261,"AAAAABa7/0k=")</f>
        <v>#VALUE!</v>
      </c>
      <c r="BW196" t="e">
        <f>AND('OTRAS ACCIONES'!P261,"AAAAABa7/0o=")</f>
        <v>#VALUE!</v>
      </c>
      <c r="BX196" t="e">
        <f>AND('OTRAS ACCIONES'!Q261,"AAAAABa7/0s=")</f>
        <v>#VALUE!</v>
      </c>
      <c r="BY196" t="e">
        <f>AND('OTRAS ACCIONES'!R261,"AAAAABa7/0w=")</f>
        <v>#VALUE!</v>
      </c>
      <c r="BZ196">
        <f>IF('OTRAS ACCIONES'!262:262,"AAAAABa7/00=",0)</f>
        <v>0</v>
      </c>
      <c r="CA196" t="e">
        <f>AND('OTRAS ACCIONES'!B262,"AAAAABa7/04=")</f>
        <v>#VALUE!</v>
      </c>
      <c r="CB196" t="e">
        <f>AND('OTRAS ACCIONES'!C262,"AAAAABa7/08=")</f>
        <v>#VALUE!</v>
      </c>
      <c r="CC196" t="e">
        <f>AND('OTRAS ACCIONES'!D262,"AAAAABa7/1A=")</f>
        <v>#VALUE!</v>
      </c>
      <c r="CD196" t="e">
        <f>AND('OTRAS ACCIONES'!E262,"AAAAABa7/1E=")</f>
        <v>#VALUE!</v>
      </c>
      <c r="CE196" t="e">
        <f>AND('OTRAS ACCIONES'!F262,"AAAAABa7/1I=")</f>
        <v>#VALUE!</v>
      </c>
      <c r="CF196" t="e">
        <f>AND('OTRAS ACCIONES'!G262,"AAAAABa7/1M=")</f>
        <v>#VALUE!</v>
      </c>
      <c r="CG196" t="e">
        <f>AND('OTRAS ACCIONES'!H262,"AAAAABa7/1Q=")</f>
        <v>#VALUE!</v>
      </c>
      <c r="CH196" t="e">
        <f>AND('OTRAS ACCIONES'!I262,"AAAAABa7/1U=")</f>
        <v>#VALUE!</v>
      </c>
      <c r="CI196" t="e">
        <f>AND('OTRAS ACCIONES'!J262,"AAAAABa7/1Y=")</f>
        <v>#VALUE!</v>
      </c>
      <c r="CJ196" t="e">
        <f>AND('OTRAS ACCIONES'!K262,"AAAAABa7/1c=")</f>
        <v>#VALUE!</v>
      </c>
      <c r="CK196" t="e">
        <f>AND('OTRAS ACCIONES'!L262,"AAAAABa7/1g=")</f>
        <v>#VALUE!</v>
      </c>
      <c r="CL196" t="e">
        <f>AND('OTRAS ACCIONES'!M262,"AAAAABa7/1k=")</f>
        <v>#VALUE!</v>
      </c>
      <c r="CM196" t="e">
        <f>AND('OTRAS ACCIONES'!N262,"AAAAABa7/1o=")</f>
        <v>#VALUE!</v>
      </c>
      <c r="CN196" t="e">
        <f>AND('OTRAS ACCIONES'!O262,"AAAAABa7/1s=")</f>
        <v>#VALUE!</v>
      </c>
      <c r="CO196" t="e">
        <f>AND('OTRAS ACCIONES'!P262,"AAAAABa7/1w=")</f>
        <v>#VALUE!</v>
      </c>
      <c r="CP196" t="e">
        <f>AND('OTRAS ACCIONES'!Q262,"AAAAABa7/10=")</f>
        <v>#VALUE!</v>
      </c>
      <c r="CQ196" t="e">
        <f>AND('OTRAS ACCIONES'!R262,"AAAAABa7/14=")</f>
        <v>#VALUE!</v>
      </c>
      <c r="CR196">
        <f>IF('OTRAS ACCIONES'!263:263,"AAAAABa7/18=",0)</f>
        <v>0</v>
      </c>
      <c r="CS196" t="e">
        <f>AND('OTRAS ACCIONES'!B263,"AAAAABa7/2A=")</f>
        <v>#VALUE!</v>
      </c>
      <c r="CT196" t="e">
        <f>AND('OTRAS ACCIONES'!C263,"AAAAABa7/2E=")</f>
        <v>#VALUE!</v>
      </c>
      <c r="CU196" t="e">
        <f>AND('OTRAS ACCIONES'!D263,"AAAAABa7/2I=")</f>
        <v>#VALUE!</v>
      </c>
      <c r="CV196" t="e">
        <f>AND('OTRAS ACCIONES'!E263,"AAAAABa7/2M=")</f>
        <v>#VALUE!</v>
      </c>
      <c r="CW196" t="e">
        <f>AND('OTRAS ACCIONES'!F263,"AAAAABa7/2Q=")</f>
        <v>#VALUE!</v>
      </c>
      <c r="CX196" t="e">
        <f>AND('OTRAS ACCIONES'!G263,"AAAAABa7/2U=")</f>
        <v>#VALUE!</v>
      </c>
      <c r="CY196" t="e">
        <f>AND('OTRAS ACCIONES'!H263,"AAAAABa7/2Y=")</f>
        <v>#VALUE!</v>
      </c>
      <c r="CZ196" t="e">
        <f>AND('OTRAS ACCIONES'!I263,"AAAAABa7/2c=")</f>
        <v>#VALUE!</v>
      </c>
      <c r="DA196" t="e">
        <f>AND('OTRAS ACCIONES'!J263,"AAAAABa7/2g=")</f>
        <v>#VALUE!</v>
      </c>
      <c r="DB196" t="e">
        <f>AND('OTRAS ACCIONES'!K263,"AAAAABa7/2k=")</f>
        <v>#VALUE!</v>
      </c>
      <c r="DC196" t="e">
        <f>AND('OTRAS ACCIONES'!L263,"AAAAABa7/2o=")</f>
        <v>#VALUE!</v>
      </c>
      <c r="DD196" t="e">
        <f>AND('OTRAS ACCIONES'!M263,"AAAAABa7/2s=")</f>
        <v>#VALUE!</v>
      </c>
      <c r="DE196" t="e">
        <f>AND('OTRAS ACCIONES'!N263,"AAAAABa7/2w=")</f>
        <v>#VALUE!</v>
      </c>
      <c r="DF196" t="e">
        <f>AND('OTRAS ACCIONES'!O263,"AAAAABa7/20=")</f>
        <v>#VALUE!</v>
      </c>
      <c r="DG196" t="e">
        <f>AND('OTRAS ACCIONES'!P263,"AAAAABa7/24=")</f>
        <v>#VALUE!</v>
      </c>
      <c r="DH196" t="e">
        <f>AND('OTRAS ACCIONES'!Q263,"AAAAABa7/28=")</f>
        <v>#VALUE!</v>
      </c>
      <c r="DI196" t="e">
        <f>AND('OTRAS ACCIONES'!R263,"AAAAABa7/3A=")</f>
        <v>#VALUE!</v>
      </c>
      <c r="DJ196">
        <f>IF('OTRAS ACCIONES'!264:264,"AAAAABa7/3E=",0)</f>
        <v>0</v>
      </c>
      <c r="DK196" t="e">
        <f>AND('OTRAS ACCIONES'!B264,"AAAAABa7/3I=")</f>
        <v>#VALUE!</v>
      </c>
      <c r="DL196" t="e">
        <f>AND('OTRAS ACCIONES'!C264,"AAAAABa7/3M=")</f>
        <v>#VALUE!</v>
      </c>
      <c r="DM196" t="e">
        <f>AND('OTRAS ACCIONES'!D264,"AAAAABa7/3Q=")</f>
        <v>#VALUE!</v>
      </c>
      <c r="DN196" t="e">
        <f>AND('OTRAS ACCIONES'!E264,"AAAAABa7/3U=")</f>
        <v>#VALUE!</v>
      </c>
      <c r="DO196" t="e">
        <f>AND('OTRAS ACCIONES'!F264,"AAAAABa7/3Y=")</f>
        <v>#VALUE!</v>
      </c>
      <c r="DP196" t="e">
        <f>AND('OTRAS ACCIONES'!G264,"AAAAABa7/3c=")</f>
        <v>#VALUE!</v>
      </c>
      <c r="DQ196" t="e">
        <f>AND('OTRAS ACCIONES'!H264,"AAAAABa7/3g=")</f>
        <v>#VALUE!</v>
      </c>
      <c r="DR196" t="e">
        <f>AND('OTRAS ACCIONES'!I264,"AAAAABa7/3k=")</f>
        <v>#VALUE!</v>
      </c>
      <c r="DS196" t="e">
        <f>AND('OTRAS ACCIONES'!J264,"AAAAABa7/3o=")</f>
        <v>#VALUE!</v>
      </c>
      <c r="DT196" t="e">
        <f>AND('OTRAS ACCIONES'!K264,"AAAAABa7/3s=")</f>
        <v>#VALUE!</v>
      </c>
      <c r="DU196" t="e">
        <f>AND('OTRAS ACCIONES'!L264,"AAAAABa7/3w=")</f>
        <v>#VALUE!</v>
      </c>
      <c r="DV196" t="e">
        <f>AND('OTRAS ACCIONES'!M264,"AAAAABa7/30=")</f>
        <v>#VALUE!</v>
      </c>
      <c r="DW196" t="e">
        <f>AND('OTRAS ACCIONES'!N264,"AAAAABa7/34=")</f>
        <v>#VALUE!</v>
      </c>
      <c r="DX196" t="e">
        <f>AND('OTRAS ACCIONES'!O264,"AAAAABa7/38=")</f>
        <v>#VALUE!</v>
      </c>
      <c r="DY196" t="e">
        <f>AND('OTRAS ACCIONES'!P264,"AAAAABa7/4A=")</f>
        <v>#VALUE!</v>
      </c>
      <c r="DZ196" t="e">
        <f>AND('OTRAS ACCIONES'!Q264,"AAAAABa7/4E=")</f>
        <v>#VALUE!</v>
      </c>
      <c r="EA196" t="e">
        <f>AND('OTRAS ACCIONES'!R264,"AAAAABa7/4I=")</f>
        <v>#VALUE!</v>
      </c>
      <c r="EB196">
        <f>IF('OTRAS ACCIONES'!265:265,"AAAAABa7/4M=",0)</f>
        <v>0</v>
      </c>
      <c r="EC196" t="e">
        <f>AND('OTRAS ACCIONES'!B265,"AAAAABa7/4Q=")</f>
        <v>#VALUE!</v>
      </c>
      <c r="ED196" t="e">
        <f>AND('OTRAS ACCIONES'!C265,"AAAAABa7/4U=")</f>
        <v>#VALUE!</v>
      </c>
      <c r="EE196" t="e">
        <f>AND('OTRAS ACCIONES'!D265,"AAAAABa7/4Y=")</f>
        <v>#VALUE!</v>
      </c>
      <c r="EF196" t="e">
        <f>AND('OTRAS ACCIONES'!E265,"AAAAABa7/4c=")</f>
        <v>#VALUE!</v>
      </c>
      <c r="EG196" t="e">
        <f>AND('OTRAS ACCIONES'!F265,"AAAAABa7/4g=")</f>
        <v>#VALUE!</v>
      </c>
      <c r="EH196" t="e">
        <f>AND('OTRAS ACCIONES'!G265,"AAAAABa7/4k=")</f>
        <v>#VALUE!</v>
      </c>
      <c r="EI196" t="e">
        <f>AND('OTRAS ACCIONES'!H265,"AAAAABa7/4o=")</f>
        <v>#VALUE!</v>
      </c>
      <c r="EJ196" t="e">
        <f>AND('OTRAS ACCIONES'!I265,"AAAAABa7/4s=")</f>
        <v>#VALUE!</v>
      </c>
      <c r="EK196" t="e">
        <f>AND('OTRAS ACCIONES'!J265,"AAAAABa7/4w=")</f>
        <v>#VALUE!</v>
      </c>
      <c r="EL196" t="e">
        <f>AND('OTRAS ACCIONES'!K265,"AAAAABa7/40=")</f>
        <v>#VALUE!</v>
      </c>
      <c r="EM196" t="e">
        <f>AND('OTRAS ACCIONES'!L265,"AAAAABa7/44=")</f>
        <v>#VALUE!</v>
      </c>
      <c r="EN196" t="e">
        <f>AND('OTRAS ACCIONES'!M265,"AAAAABa7/48=")</f>
        <v>#VALUE!</v>
      </c>
      <c r="EO196" t="e">
        <f>AND('OTRAS ACCIONES'!N265,"AAAAABa7/5A=")</f>
        <v>#VALUE!</v>
      </c>
      <c r="EP196" t="e">
        <f>AND('OTRAS ACCIONES'!O265,"AAAAABa7/5E=")</f>
        <v>#VALUE!</v>
      </c>
      <c r="EQ196" t="e">
        <f>AND('OTRAS ACCIONES'!P265,"AAAAABa7/5I=")</f>
        <v>#VALUE!</v>
      </c>
      <c r="ER196" t="e">
        <f>AND('OTRAS ACCIONES'!Q265,"AAAAABa7/5M=")</f>
        <v>#VALUE!</v>
      </c>
      <c r="ES196" t="e">
        <f>AND('OTRAS ACCIONES'!R265,"AAAAABa7/5Q=")</f>
        <v>#VALUE!</v>
      </c>
      <c r="ET196">
        <f>IF('OTRAS ACCIONES'!266:266,"AAAAABa7/5U=",0)</f>
        <v>0</v>
      </c>
      <c r="EU196" t="e">
        <f>AND('OTRAS ACCIONES'!B266,"AAAAABa7/5Y=")</f>
        <v>#VALUE!</v>
      </c>
      <c r="EV196" t="e">
        <f>AND('OTRAS ACCIONES'!C266,"AAAAABa7/5c=")</f>
        <v>#VALUE!</v>
      </c>
      <c r="EW196" t="e">
        <f>AND('OTRAS ACCIONES'!D266,"AAAAABa7/5g=")</f>
        <v>#VALUE!</v>
      </c>
      <c r="EX196" t="e">
        <f>AND('OTRAS ACCIONES'!E266,"AAAAABa7/5k=")</f>
        <v>#VALUE!</v>
      </c>
      <c r="EY196" t="e">
        <f>AND('OTRAS ACCIONES'!F266,"AAAAABa7/5o=")</f>
        <v>#VALUE!</v>
      </c>
      <c r="EZ196" t="e">
        <f>AND('OTRAS ACCIONES'!G266,"AAAAABa7/5s=")</f>
        <v>#VALUE!</v>
      </c>
      <c r="FA196" t="e">
        <f>AND('OTRAS ACCIONES'!H266,"AAAAABa7/5w=")</f>
        <v>#VALUE!</v>
      </c>
      <c r="FB196" t="e">
        <f>AND('OTRAS ACCIONES'!I266,"AAAAABa7/50=")</f>
        <v>#VALUE!</v>
      </c>
      <c r="FC196" t="e">
        <f>AND('OTRAS ACCIONES'!J266,"AAAAABa7/54=")</f>
        <v>#VALUE!</v>
      </c>
      <c r="FD196" t="e">
        <f>AND('OTRAS ACCIONES'!K266,"AAAAABa7/58=")</f>
        <v>#VALUE!</v>
      </c>
      <c r="FE196" t="e">
        <f>AND('OTRAS ACCIONES'!L266,"AAAAABa7/6A=")</f>
        <v>#VALUE!</v>
      </c>
      <c r="FF196" t="e">
        <f>AND('OTRAS ACCIONES'!M266,"AAAAABa7/6E=")</f>
        <v>#VALUE!</v>
      </c>
      <c r="FG196" t="e">
        <f>AND('OTRAS ACCIONES'!N266,"AAAAABa7/6I=")</f>
        <v>#VALUE!</v>
      </c>
      <c r="FH196" t="e">
        <f>AND('OTRAS ACCIONES'!O266,"AAAAABa7/6M=")</f>
        <v>#VALUE!</v>
      </c>
      <c r="FI196" t="e">
        <f>AND('OTRAS ACCIONES'!P266,"AAAAABa7/6Q=")</f>
        <v>#VALUE!</v>
      </c>
      <c r="FJ196" t="e">
        <f>AND('OTRAS ACCIONES'!Q266,"AAAAABa7/6U=")</f>
        <v>#VALUE!</v>
      </c>
      <c r="FK196" t="e">
        <f>AND('OTRAS ACCIONES'!R266,"AAAAABa7/6Y=")</f>
        <v>#VALUE!</v>
      </c>
      <c r="FL196">
        <f>IF('OTRAS ACCIONES'!267:267,"AAAAABa7/6c=",0)</f>
        <v>0</v>
      </c>
      <c r="FM196" t="e">
        <f>AND('OTRAS ACCIONES'!B267,"AAAAABa7/6g=")</f>
        <v>#VALUE!</v>
      </c>
      <c r="FN196" t="e">
        <f>AND('OTRAS ACCIONES'!C267,"AAAAABa7/6k=")</f>
        <v>#VALUE!</v>
      </c>
      <c r="FO196" t="e">
        <f>AND('OTRAS ACCIONES'!D267,"AAAAABa7/6o=")</f>
        <v>#VALUE!</v>
      </c>
      <c r="FP196" t="e">
        <f>AND('OTRAS ACCIONES'!E267,"AAAAABa7/6s=")</f>
        <v>#VALUE!</v>
      </c>
      <c r="FQ196" t="e">
        <f>AND('OTRAS ACCIONES'!F267,"AAAAABa7/6w=")</f>
        <v>#VALUE!</v>
      </c>
      <c r="FR196" t="e">
        <f>AND('OTRAS ACCIONES'!G267,"AAAAABa7/60=")</f>
        <v>#VALUE!</v>
      </c>
      <c r="FS196" t="e">
        <f>AND('OTRAS ACCIONES'!H267,"AAAAABa7/64=")</f>
        <v>#VALUE!</v>
      </c>
      <c r="FT196" t="e">
        <f>AND('OTRAS ACCIONES'!I267,"AAAAABa7/68=")</f>
        <v>#VALUE!</v>
      </c>
      <c r="FU196" t="e">
        <f>AND('OTRAS ACCIONES'!J267,"AAAAABa7/7A=")</f>
        <v>#VALUE!</v>
      </c>
      <c r="FV196" t="e">
        <f>AND('OTRAS ACCIONES'!K267,"AAAAABa7/7E=")</f>
        <v>#VALUE!</v>
      </c>
      <c r="FW196" t="e">
        <f>AND('OTRAS ACCIONES'!L267,"AAAAABa7/7I=")</f>
        <v>#VALUE!</v>
      </c>
      <c r="FX196" t="e">
        <f>AND('OTRAS ACCIONES'!M267,"AAAAABa7/7M=")</f>
        <v>#VALUE!</v>
      </c>
      <c r="FY196" t="e">
        <f>AND('OTRAS ACCIONES'!N267,"AAAAABa7/7Q=")</f>
        <v>#VALUE!</v>
      </c>
      <c r="FZ196" t="e">
        <f>AND('OTRAS ACCIONES'!O267,"AAAAABa7/7U=")</f>
        <v>#VALUE!</v>
      </c>
      <c r="GA196" t="e">
        <f>AND('OTRAS ACCIONES'!P267,"AAAAABa7/7Y=")</f>
        <v>#VALUE!</v>
      </c>
      <c r="GB196" t="e">
        <f>AND('OTRAS ACCIONES'!Q267,"AAAAABa7/7c=")</f>
        <v>#VALUE!</v>
      </c>
      <c r="GC196" t="e">
        <f>AND('OTRAS ACCIONES'!R267,"AAAAABa7/7g=")</f>
        <v>#VALUE!</v>
      </c>
      <c r="GD196">
        <f>IF('OTRAS ACCIONES'!268:268,"AAAAABa7/7k=",0)</f>
        <v>0</v>
      </c>
      <c r="GE196" t="e">
        <f>AND('OTRAS ACCIONES'!B268,"AAAAABa7/7o=")</f>
        <v>#VALUE!</v>
      </c>
      <c r="GF196" t="e">
        <f>AND('OTRAS ACCIONES'!C268,"AAAAABa7/7s=")</f>
        <v>#VALUE!</v>
      </c>
      <c r="GG196" t="e">
        <f>AND('OTRAS ACCIONES'!D268,"AAAAABa7/7w=")</f>
        <v>#VALUE!</v>
      </c>
      <c r="GH196" t="e">
        <f>AND('OTRAS ACCIONES'!E268,"AAAAABa7/70=")</f>
        <v>#VALUE!</v>
      </c>
      <c r="GI196" t="e">
        <f>AND('OTRAS ACCIONES'!F268,"AAAAABa7/74=")</f>
        <v>#VALUE!</v>
      </c>
      <c r="GJ196" t="e">
        <f>AND('OTRAS ACCIONES'!G268,"AAAAABa7/78=")</f>
        <v>#VALUE!</v>
      </c>
      <c r="GK196" t="e">
        <f>AND('OTRAS ACCIONES'!H268,"AAAAABa7/8A=")</f>
        <v>#VALUE!</v>
      </c>
      <c r="GL196" t="e">
        <f>AND('OTRAS ACCIONES'!I268,"AAAAABa7/8E=")</f>
        <v>#VALUE!</v>
      </c>
      <c r="GM196" t="e">
        <f>AND('OTRAS ACCIONES'!J268,"AAAAABa7/8I=")</f>
        <v>#VALUE!</v>
      </c>
      <c r="GN196" t="e">
        <f>AND('OTRAS ACCIONES'!K268,"AAAAABa7/8M=")</f>
        <v>#VALUE!</v>
      </c>
      <c r="GO196" t="e">
        <f>AND('OTRAS ACCIONES'!L268,"AAAAABa7/8Q=")</f>
        <v>#VALUE!</v>
      </c>
      <c r="GP196" t="e">
        <f>AND('OTRAS ACCIONES'!M268,"AAAAABa7/8U=")</f>
        <v>#VALUE!</v>
      </c>
      <c r="GQ196" t="e">
        <f>AND('OTRAS ACCIONES'!N268,"AAAAABa7/8Y=")</f>
        <v>#VALUE!</v>
      </c>
      <c r="GR196" t="e">
        <f>AND('OTRAS ACCIONES'!O268,"AAAAABa7/8c=")</f>
        <v>#VALUE!</v>
      </c>
      <c r="GS196" t="e">
        <f>AND('OTRAS ACCIONES'!P268,"AAAAABa7/8g=")</f>
        <v>#VALUE!</v>
      </c>
      <c r="GT196" t="e">
        <f>AND('OTRAS ACCIONES'!Q268,"AAAAABa7/8k=")</f>
        <v>#VALUE!</v>
      </c>
      <c r="GU196" t="e">
        <f>AND('OTRAS ACCIONES'!R268,"AAAAABa7/8o=")</f>
        <v>#VALUE!</v>
      </c>
      <c r="GV196">
        <f>IF('OTRAS ACCIONES'!269:269,"AAAAABa7/8s=",0)</f>
        <v>0</v>
      </c>
      <c r="GW196" t="e">
        <f>AND('OTRAS ACCIONES'!B269,"AAAAABa7/8w=")</f>
        <v>#VALUE!</v>
      </c>
      <c r="GX196" t="e">
        <f>AND('OTRAS ACCIONES'!C269,"AAAAABa7/80=")</f>
        <v>#VALUE!</v>
      </c>
      <c r="GY196" t="e">
        <f>AND('OTRAS ACCIONES'!D269,"AAAAABa7/84=")</f>
        <v>#VALUE!</v>
      </c>
      <c r="GZ196" t="e">
        <f>AND('OTRAS ACCIONES'!E269,"AAAAABa7/88=")</f>
        <v>#VALUE!</v>
      </c>
      <c r="HA196" t="e">
        <f>AND('OTRAS ACCIONES'!F269,"AAAAABa7/9A=")</f>
        <v>#VALUE!</v>
      </c>
      <c r="HB196" t="e">
        <f>AND('OTRAS ACCIONES'!G269,"AAAAABa7/9E=")</f>
        <v>#VALUE!</v>
      </c>
      <c r="HC196" t="e">
        <f>AND('OTRAS ACCIONES'!H269,"AAAAABa7/9I=")</f>
        <v>#VALUE!</v>
      </c>
      <c r="HD196" t="e">
        <f>AND('OTRAS ACCIONES'!I269,"AAAAABa7/9M=")</f>
        <v>#VALUE!</v>
      </c>
      <c r="HE196" t="e">
        <f>AND('OTRAS ACCIONES'!J269,"AAAAABa7/9Q=")</f>
        <v>#VALUE!</v>
      </c>
      <c r="HF196" t="e">
        <f>AND('OTRAS ACCIONES'!K269,"AAAAABa7/9U=")</f>
        <v>#VALUE!</v>
      </c>
      <c r="HG196" t="e">
        <f>AND('OTRAS ACCIONES'!L269,"AAAAABa7/9Y=")</f>
        <v>#VALUE!</v>
      </c>
      <c r="HH196" t="e">
        <f>AND('OTRAS ACCIONES'!M269,"AAAAABa7/9c=")</f>
        <v>#VALUE!</v>
      </c>
      <c r="HI196" t="e">
        <f>AND('OTRAS ACCIONES'!N269,"AAAAABa7/9g=")</f>
        <v>#VALUE!</v>
      </c>
      <c r="HJ196" t="e">
        <f>AND('OTRAS ACCIONES'!O269,"AAAAABa7/9k=")</f>
        <v>#VALUE!</v>
      </c>
      <c r="HK196" t="e">
        <f>AND('OTRAS ACCIONES'!P269,"AAAAABa7/9o=")</f>
        <v>#VALUE!</v>
      </c>
      <c r="HL196" t="e">
        <f>AND('OTRAS ACCIONES'!Q269,"AAAAABa7/9s=")</f>
        <v>#VALUE!</v>
      </c>
      <c r="HM196" t="e">
        <f>AND('OTRAS ACCIONES'!R269,"AAAAABa7/9w=")</f>
        <v>#VALUE!</v>
      </c>
      <c r="HN196">
        <f>IF('OTRAS ACCIONES'!270:270,"AAAAABa7/90=",0)</f>
        <v>0</v>
      </c>
      <c r="HO196" t="e">
        <f>AND('OTRAS ACCIONES'!B270,"AAAAABa7/94=")</f>
        <v>#VALUE!</v>
      </c>
      <c r="HP196" t="e">
        <f>AND('OTRAS ACCIONES'!C270,"AAAAABa7/98=")</f>
        <v>#VALUE!</v>
      </c>
      <c r="HQ196" t="e">
        <f>AND('OTRAS ACCIONES'!D270,"AAAAABa7/+A=")</f>
        <v>#VALUE!</v>
      </c>
      <c r="HR196" t="e">
        <f>AND('OTRAS ACCIONES'!E270,"AAAAABa7/+E=")</f>
        <v>#VALUE!</v>
      </c>
      <c r="HS196" t="e">
        <f>AND('OTRAS ACCIONES'!F270,"AAAAABa7/+I=")</f>
        <v>#VALUE!</v>
      </c>
      <c r="HT196" t="e">
        <f>AND('OTRAS ACCIONES'!G270,"AAAAABa7/+M=")</f>
        <v>#VALUE!</v>
      </c>
      <c r="HU196" t="e">
        <f>AND('OTRAS ACCIONES'!H270,"AAAAABa7/+Q=")</f>
        <v>#VALUE!</v>
      </c>
      <c r="HV196" t="e">
        <f>AND('OTRAS ACCIONES'!I270,"AAAAABa7/+U=")</f>
        <v>#VALUE!</v>
      </c>
      <c r="HW196" t="e">
        <f>AND('OTRAS ACCIONES'!J270,"AAAAABa7/+Y=")</f>
        <v>#VALUE!</v>
      </c>
      <c r="HX196" t="e">
        <f>AND('OTRAS ACCIONES'!K270,"AAAAABa7/+c=")</f>
        <v>#VALUE!</v>
      </c>
      <c r="HY196" t="e">
        <f>AND('OTRAS ACCIONES'!L270,"AAAAABa7/+g=")</f>
        <v>#VALUE!</v>
      </c>
      <c r="HZ196" t="e">
        <f>AND('OTRAS ACCIONES'!M270,"AAAAABa7/+k=")</f>
        <v>#VALUE!</v>
      </c>
      <c r="IA196" t="e">
        <f>AND('OTRAS ACCIONES'!N270,"AAAAABa7/+o=")</f>
        <v>#VALUE!</v>
      </c>
      <c r="IB196" t="e">
        <f>AND('OTRAS ACCIONES'!O270,"AAAAABa7/+s=")</f>
        <v>#VALUE!</v>
      </c>
      <c r="IC196" t="e">
        <f>AND('OTRAS ACCIONES'!P270,"AAAAABa7/+w=")</f>
        <v>#VALUE!</v>
      </c>
      <c r="ID196" t="e">
        <f>AND('OTRAS ACCIONES'!Q270,"AAAAABa7/+0=")</f>
        <v>#VALUE!</v>
      </c>
      <c r="IE196" t="e">
        <f>AND('OTRAS ACCIONES'!R270,"AAAAABa7/+4=")</f>
        <v>#VALUE!</v>
      </c>
      <c r="IF196">
        <f>IF('OTRAS ACCIONES'!271:271,"AAAAABa7/+8=",0)</f>
        <v>0</v>
      </c>
      <c r="IG196" t="e">
        <f>AND('OTRAS ACCIONES'!B271,"AAAAABa7//A=")</f>
        <v>#VALUE!</v>
      </c>
      <c r="IH196" t="e">
        <f>AND('OTRAS ACCIONES'!C271,"AAAAABa7//E=")</f>
        <v>#VALUE!</v>
      </c>
      <c r="II196" t="e">
        <f>AND('OTRAS ACCIONES'!D271,"AAAAABa7//I=")</f>
        <v>#VALUE!</v>
      </c>
      <c r="IJ196" t="e">
        <f>AND('OTRAS ACCIONES'!E271,"AAAAABa7//M=")</f>
        <v>#VALUE!</v>
      </c>
      <c r="IK196" t="e">
        <f>AND('OTRAS ACCIONES'!F271,"AAAAABa7//Q=")</f>
        <v>#VALUE!</v>
      </c>
      <c r="IL196" t="e">
        <f>AND('OTRAS ACCIONES'!G271,"AAAAABa7//U=")</f>
        <v>#VALUE!</v>
      </c>
      <c r="IM196" t="e">
        <f>AND('OTRAS ACCIONES'!H271,"AAAAABa7//Y=")</f>
        <v>#VALUE!</v>
      </c>
      <c r="IN196" t="e">
        <f>AND('OTRAS ACCIONES'!I271,"AAAAABa7//c=")</f>
        <v>#VALUE!</v>
      </c>
      <c r="IO196" t="e">
        <f>AND('OTRAS ACCIONES'!J271,"AAAAABa7//g=")</f>
        <v>#VALUE!</v>
      </c>
      <c r="IP196" t="e">
        <f>AND('OTRAS ACCIONES'!K271,"AAAAABa7//k=")</f>
        <v>#VALUE!</v>
      </c>
      <c r="IQ196" t="e">
        <f>AND('OTRAS ACCIONES'!L271,"AAAAABa7//o=")</f>
        <v>#VALUE!</v>
      </c>
      <c r="IR196" t="e">
        <f>AND('OTRAS ACCIONES'!M271,"AAAAABa7//s=")</f>
        <v>#VALUE!</v>
      </c>
      <c r="IS196" t="e">
        <f>AND('OTRAS ACCIONES'!N271,"AAAAABa7//w=")</f>
        <v>#VALUE!</v>
      </c>
      <c r="IT196" t="e">
        <f>AND('OTRAS ACCIONES'!O271,"AAAAABa7//0=")</f>
        <v>#VALUE!</v>
      </c>
      <c r="IU196" t="e">
        <f>AND('OTRAS ACCIONES'!P271,"AAAAABa7//4=")</f>
        <v>#VALUE!</v>
      </c>
      <c r="IV196" t="e">
        <f>AND('OTRAS ACCIONES'!Q271,"AAAAABa7//8=")</f>
        <v>#VALUE!</v>
      </c>
    </row>
    <row r="197" spans="1:256" x14ac:dyDescent="0.2">
      <c r="A197" t="e">
        <f>AND('OTRAS ACCIONES'!R271,"AAAAABP5/wA=")</f>
        <v>#VALUE!</v>
      </c>
      <c r="B197">
        <f>IF('OTRAS ACCIONES'!272:272,"AAAAABP5/wE=",0)</f>
        <v>0</v>
      </c>
      <c r="C197" t="e">
        <f>AND('OTRAS ACCIONES'!B272,"AAAAABP5/wI=")</f>
        <v>#VALUE!</v>
      </c>
      <c r="D197" t="e">
        <f>AND('OTRAS ACCIONES'!C272,"AAAAABP5/wM=")</f>
        <v>#VALUE!</v>
      </c>
      <c r="E197" t="e">
        <f>AND('OTRAS ACCIONES'!D272,"AAAAABP5/wQ=")</f>
        <v>#VALUE!</v>
      </c>
      <c r="F197" t="e">
        <f>AND('OTRAS ACCIONES'!E272,"AAAAABP5/wU=")</f>
        <v>#VALUE!</v>
      </c>
      <c r="G197" t="e">
        <f>AND('OTRAS ACCIONES'!F272,"AAAAABP5/wY=")</f>
        <v>#VALUE!</v>
      </c>
      <c r="H197" t="e">
        <f>AND('OTRAS ACCIONES'!G272,"AAAAABP5/wc=")</f>
        <v>#VALUE!</v>
      </c>
      <c r="I197" t="e">
        <f>AND('OTRAS ACCIONES'!H272,"AAAAABP5/wg=")</f>
        <v>#VALUE!</v>
      </c>
      <c r="J197" t="e">
        <f>AND('OTRAS ACCIONES'!I272,"AAAAABP5/wk=")</f>
        <v>#VALUE!</v>
      </c>
      <c r="K197" t="e">
        <f>AND('OTRAS ACCIONES'!J272,"AAAAABP5/wo=")</f>
        <v>#VALUE!</v>
      </c>
      <c r="L197" t="e">
        <f>AND('OTRAS ACCIONES'!K272,"AAAAABP5/ws=")</f>
        <v>#VALUE!</v>
      </c>
      <c r="M197" t="e">
        <f>AND('OTRAS ACCIONES'!L272,"AAAAABP5/ww=")</f>
        <v>#VALUE!</v>
      </c>
      <c r="N197" t="e">
        <f>AND('OTRAS ACCIONES'!M272,"AAAAABP5/w0=")</f>
        <v>#VALUE!</v>
      </c>
      <c r="O197" t="e">
        <f>AND('OTRAS ACCIONES'!N272,"AAAAABP5/w4=")</f>
        <v>#VALUE!</v>
      </c>
      <c r="P197" t="e">
        <f>AND('OTRAS ACCIONES'!O272,"AAAAABP5/w8=")</f>
        <v>#VALUE!</v>
      </c>
      <c r="Q197" t="e">
        <f>AND('OTRAS ACCIONES'!P272,"AAAAABP5/xA=")</f>
        <v>#VALUE!</v>
      </c>
      <c r="R197" t="e">
        <f>AND('OTRAS ACCIONES'!Q272,"AAAAABP5/xE=")</f>
        <v>#VALUE!</v>
      </c>
      <c r="S197" t="e">
        <f>AND('OTRAS ACCIONES'!R272,"AAAAABP5/xI=")</f>
        <v>#VALUE!</v>
      </c>
      <c r="T197">
        <f>IF('OTRAS ACCIONES'!273:273,"AAAAABP5/xM=",0)</f>
        <v>0</v>
      </c>
      <c r="U197" t="e">
        <f>AND('OTRAS ACCIONES'!B273,"AAAAABP5/xQ=")</f>
        <v>#VALUE!</v>
      </c>
      <c r="V197" t="e">
        <f>AND('OTRAS ACCIONES'!C273,"AAAAABP5/xU=")</f>
        <v>#VALUE!</v>
      </c>
      <c r="W197" t="e">
        <f>AND('OTRAS ACCIONES'!D273,"AAAAABP5/xY=")</f>
        <v>#VALUE!</v>
      </c>
      <c r="X197" t="e">
        <f>AND('OTRAS ACCIONES'!E273,"AAAAABP5/xc=")</f>
        <v>#VALUE!</v>
      </c>
      <c r="Y197" t="e">
        <f>AND('OTRAS ACCIONES'!F273,"AAAAABP5/xg=")</f>
        <v>#VALUE!</v>
      </c>
      <c r="Z197" t="e">
        <f>AND('OTRAS ACCIONES'!G273,"AAAAABP5/xk=")</f>
        <v>#VALUE!</v>
      </c>
      <c r="AA197" t="e">
        <f>AND('OTRAS ACCIONES'!H273,"AAAAABP5/xo=")</f>
        <v>#VALUE!</v>
      </c>
      <c r="AB197" t="e">
        <f>AND('OTRAS ACCIONES'!I273,"AAAAABP5/xs=")</f>
        <v>#VALUE!</v>
      </c>
      <c r="AC197" t="e">
        <f>AND('OTRAS ACCIONES'!J273,"AAAAABP5/xw=")</f>
        <v>#VALUE!</v>
      </c>
      <c r="AD197" t="e">
        <f>AND('OTRAS ACCIONES'!K273,"AAAAABP5/x0=")</f>
        <v>#VALUE!</v>
      </c>
      <c r="AE197" t="e">
        <f>AND('OTRAS ACCIONES'!L273,"AAAAABP5/x4=")</f>
        <v>#VALUE!</v>
      </c>
      <c r="AF197" t="e">
        <f>AND('OTRAS ACCIONES'!M273,"AAAAABP5/x8=")</f>
        <v>#VALUE!</v>
      </c>
      <c r="AG197" t="e">
        <f>AND('OTRAS ACCIONES'!N273,"AAAAABP5/yA=")</f>
        <v>#VALUE!</v>
      </c>
      <c r="AH197" t="e">
        <f>AND('OTRAS ACCIONES'!O273,"AAAAABP5/yE=")</f>
        <v>#VALUE!</v>
      </c>
      <c r="AI197" t="e">
        <f>AND('OTRAS ACCIONES'!P273,"AAAAABP5/yI=")</f>
        <v>#VALUE!</v>
      </c>
      <c r="AJ197" t="e">
        <f>AND('OTRAS ACCIONES'!Q273,"AAAAABP5/yM=")</f>
        <v>#VALUE!</v>
      </c>
      <c r="AK197" t="e">
        <f>AND('OTRAS ACCIONES'!R273,"AAAAABP5/yQ=")</f>
        <v>#VALUE!</v>
      </c>
      <c r="AL197">
        <f>IF('OTRAS ACCIONES'!274:274,"AAAAABP5/yU=",0)</f>
        <v>0</v>
      </c>
      <c r="AM197" t="e">
        <f>AND('OTRAS ACCIONES'!B274,"AAAAABP5/yY=")</f>
        <v>#VALUE!</v>
      </c>
      <c r="AN197" t="e">
        <f>AND('OTRAS ACCIONES'!C274,"AAAAABP5/yc=")</f>
        <v>#VALUE!</v>
      </c>
      <c r="AO197" t="e">
        <f>AND('OTRAS ACCIONES'!D274,"AAAAABP5/yg=")</f>
        <v>#VALUE!</v>
      </c>
      <c r="AP197" t="e">
        <f>AND('OTRAS ACCIONES'!E274,"AAAAABP5/yk=")</f>
        <v>#VALUE!</v>
      </c>
      <c r="AQ197" t="e">
        <f>AND('OTRAS ACCIONES'!F274,"AAAAABP5/yo=")</f>
        <v>#VALUE!</v>
      </c>
      <c r="AR197" t="e">
        <f>AND('OTRAS ACCIONES'!G274,"AAAAABP5/ys=")</f>
        <v>#VALUE!</v>
      </c>
      <c r="AS197" t="e">
        <f>AND('OTRAS ACCIONES'!H274,"AAAAABP5/yw=")</f>
        <v>#VALUE!</v>
      </c>
      <c r="AT197" t="e">
        <f>AND('OTRAS ACCIONES'!I274,"AAAAABP5/y0=")</f>
        <v>#VALUE!</v>
      </c>
      <c r="AU197" t="e">
        <f>AND('OTRAS ACCIONES'!J274,"AAAAABP5/y4=")</f>
        <v>#VALUE!</v>
      </c>
      <c r="AV197" t="e">
        <f>AND('OTRAS ACCIONES'!K274,"AAAAABP5/y8=")</f>
        <v>#VALUE!</v>
      </c>
      <c r="AW197" t="e">
        <f>AND('OTRAS ACCIONES'!L274,"AAAAABP5/zA=")</f>
        <v>#VALUE!</v>
      </c>
      <c r="AX197" t="e">
        <f>AND('OTRAS ACCIONES'!M274,"AAAAABP5/zE=")</f>
        <v>#VALUE!</v>
      </c>
      <c r="AY197" t="e">
        <f>AND('OTRAS ACCIONES'!N274,"AAAAABP5/zI=")</f>
        <v>#VALUE!</v>
      </c>
      <c r="AZ197" t="e">
        <f>AND('OTRAS ACCIONES'!O274,"AAAAABP5/zM=")</f>
        <v>#VALUE!</v>
      </c>
      <c r="BA197" t="e">
        <f>AND('OTRAS ACCIONES'!P274,"AAAAABP5/zQ=")</f>
        <v>#VALUE!</v>
      </c>
      <c r="BB197" t="e">
        <f>AND('OTRAS ACCIONES'!Q274,"AAAAABP5/zU=")</f>
        <v>#VALUE!</v>
      </c>
      <c r="BC197" t="e">
        <f>AND('OTRAS ACCIONES'!R274,"AAAAABP5/zY=")</f>
        <v>#VALUE!</v>
      </c>
      <c r="BD197">
        <f>IF('OTRAS ACCIONES'!275:275,"AAAAABP5/zc=",0)</f>
        <v>0</v>
      </c>
      <c r="BE197" t="e">
        <f>AND('OTRAS ACCIONES'!B275,"AAAAABP5/zg=")</f>
        <v>#VALUE!</v>
      </c>
      <c r="BF197" t="e">
        <f>AND('OTRAS ACCIONES'!C275,"AAAAABP5/zk=")</f>
        <v>#VALUE!</v>
      </c>
      <c r="BG197" t="e">
        <f>AND('OTRAS ACCIONES'!D275,"AAAAABP5/zo=")</f>
        <v>#VALUE!</v>
      </c>
      <c r="BH197" t="e">
        <f>AND('OTRAS ACCIONES'!E275,"AAAAABP5/zs=")</f>
        <v>#VALUE!</v>
      </c>
      <c r="BI197" t="e">
        <f>AND('OTRAS ACCIONES'!F275,"AAAAABP5/zw=")</f>
        <v>#VALUE!</v>
      </c>
      <c r="BJ197" t="e">
        <f>AND('OTRAS ACCIONES'!G275,"AAAAABP5/z0=")</f>
        <v>#VALUE!</v>
      </c>
      <c r="BK197" t="e">
        <f>AND('OTRAS ACCIONES'!H275,"AAAAABP5/z4=")</f>
        <v>#VALUE!</v>
      </c>
      <c r="BL197" t="e">
        <f>AND('OTRAS ACCIONES'!I275,"AAAAABP5/z8=")</f>
        <v>#VALUE!</v>
      </c>
      <c r="BM197" t="e">
        <f>AND('OTRAS ACCIONES'!J275,"AAAAABP5/0A=")</f>
        <v>#VALUE!</v>
      </c>
      <c r="BN197" t="e">
        <f>AND('OTRAS ACCIONES'!K275,"AAAAABP5/0E=")</f>
        <v>#VALUE!</v>
      </c>
      <c r="BO197" t="e">
        <f>AND('OTRAS ACCIONES'!L275,"AAAAABP5/0I=")</f>
        <v>#VALUE!</v>
      </c>
      <c r="BP197" t="e">
        <f>AND('OTRAS ACCIONES'!M275,"AAAAABP5/0M=")</f>
        <v>#VALUE!</v>
      </c>
      <c r="BQ197" t="e">
        <f>AND('OTRAS ACCIONES'!N275,"AAAAABP5/0Q=")</f>
        <v>#VALUE!</v>
      </c>
      <c r="BR197" t="e">
        <f>AND('OTRAS ACCIONES'!O275,"AAAAABP5/0U=")</f>
        <v>#VALUE!</v>
      </c>
      <c r="BS197" t="e">
        <f>AND('OTRAS ACCIONES'!P275,"AAAAABP5/0Y=")</f>
        <v>#VALUE!</v>
      </c>
      <c r="BT197" t="e">
        <f>AND('OTRAS ACCIONES'!Q275,"AAAAABP5/0c=")</f>
        <v>#VALUE!</v>
      </c>
      <c r="BU197" t="e">
        <f>AND('OTRAS ACCIONES'!R275,"AAAAABP5/0g=")</f>
        <v>#VALUE!</v>
      </c>
      <c r="BV197">
        <f>IF('OTRAS ACCIONES'!276:276,"AAAAABP5/0k=",0)</f>
        <v>0</v>
      </c>
      <c r="BW197" t="e">
        <f>AND('OTRAS ACCIONES'!B276,"AAAAABP5/0o=")</f>
        <v>#VALUE!</v>
      </c>
      <c r="BX197" t="e">
        <f>AND('OTRAS ACCIONES'!C276,"AAAAABP5/0s=")</f>
        <v>#VALUE!</v>
      </c>
      <c r="BY197" t="e">
        <f>AND('OTRAS ACCIONES'!D276,"AAAAABP5/0w=")</f>
        <v>#VALUE!</v>
      </c>
      <c r="BZ197" t="e">
        <f>AND('OTRAS ACCIONES'!E276,"AAAAABP5/00=")</f>
        <v>#VALUE!</v>
      </c>
      <c r="CA197" t="e">
        <f>AND('OTRAS ACCIONES'!F276,"AAAAABP5/04=")</f>
        <v>#VALUE!</v>
      </c>
      <c r="CB197" t="e">
        <f>AND('OTRAS ACCIONES'!G276,"AAAAABP5/08=")</f>
        <v>#VALUE!</v>
      </c>
      <c r="CC197" t="e">
        <f>AND('OTRAS ACCIONES'!H276,"AAAAABP5/1A=")</f>
        <v>#VALUE!</v>
      </c>
      <c r="CD197" t="e">
        <f>AND('OTRAS ACCIONES'!I276,"AAAAABP5/1E=")</f>
        <v>#VALUE!</v>
      </c>
      <c r="CE197" t="e">
        <f>AND('OTRAS ACCIONES'!J276,"AAAAABP5/1I=")</f>
        <v>#VALUE!</v>
      </c>
      <c r="CF197" t="e">
        <f>AND('OTRAS ACCIONES'!K276,"AAAAABP5/1M=")</f>
        <v>#VALUE!</v>
      </c>
      <c r="CG197" t="e">
        <f>AND('OTRAS ACCIONES'!L276,"AAAAABP5/1Q=")</f>
        <v>#VALUE!</v>
      </c>
      <c r="CH197" t="e">
        <f>AND('OTRAS ACCIONES'!M276,"AAAAABP5/1U=")</f>
        <v>#VALUE!</v>
      </c>
      <c r="CI197" t="e">
        <f>AND('OTRAS ACCIONES'!N276,"AAAAABP5/1Y=")</f>
        <v>#VALUE!</v>
      </c>
      <c r="CJ197" t="e">
        <f>AND('OTRAS ACCIONES'!O276,"AAAAABP5/1c=")</f>
        <v>#VALUE!</v>
      </c>
      <c r="CK197" t="e">
        <f>AND('OTRAS ACCIONES'!P276,"AAAAABP5/1g=")</f>
        <v>#VALUE!</v>
      </c>
      <c r="CL197" t="e">
        <f>AND('OTRAS ACCIONES'!Q276,"AAAAABP5/1k=")</f>
        <v>#VALUE!</v>
      </c>
      <c r="CM197" t="e">
        <f>AND('OTRAS ACCIONES'!R276,"AAAAABP5/1o=")</f>
        <v>#VALUE!</v>
      </c>
      <c r="CN197">
        <f>IF('OTRAS ACCIONES'!277:277,"AAAAABP5/1s=",0)</f>
        <v>0</v>
      </c>
      <c r="CO197" t="e">
        <f>AND('OTRAS ACCIONES'!B277,"AAAAABP5/1w=")</f>
        <v>#VALUE!</v>
      </c>
      <c r="CP197" t="e">
        <f>AND('OTRAS ACCIONES'!C277,"AAAAABP5/10=")</f>
        <v>#VALUE!</v>
      </c>
      <c r="CQ197" t="e">
        <f>AND('OTRAS ACCIONES'!D277,"AAAAABP5/14=")</f>
        <v>#VALUE!</v>
      </c>
      <c r="CR197" t="e">
        <f>AND('OTRAS ACCIONES'!E277,"AAAAABP5/18=")</f>
        <v>#VALUE!</v>
      </c>
      <c r="CS197" t="e">
        <f>AND('OTRAS ACCIONES'!F277,"AAAAABP5/2A=")</f>
        <v>#VALUE!</v>
      </c>
      <c r="CT197" t="e">
        <f>AND('OTRAS ACCIONES'!G277,"AAAAABP5/2E=")</f>
        <v>#VALUE!</v>
      </c>
      <c r="CU197" t="e">
        <f>AND('OTRAS ACCIONES'!H277,"AAAAABP5/2I=")</f>
        <v>#VALUE!</v>
      </c>
      <c r="CV197" t="e">
        <f>AND('OTRAS ACCIONES'!I277,"AAAAABP5/2M=")</f>
        <v>#VALUE!</v>
      </c>
      <c r="CW197" t="e">
        <f>AND('OTRAS ACCIONES'!J277,"AAAAABP5/2Q=")</f>
        <v>#VALUE!</v>
      </c>
      <c r="CX197" t="e">
        <f>AND('OTRAS ACCIONES'!K277,"AAAAABP5/2U=")</f>
        <v>#VALUE!</v>
      </c>
      <c r="CY197" t="e">
        <f>AND('OTRAS ACCIONES'!L277,"AAAAABP5/2Y=")</f>
        <v>#VALUE!</v>
      </c>
      <c r="CZ197" t="e">
        <f>AND('OTRAS ACCIONES'!M277,"AAAAABP5/2c=")</f>
        <v>#VALUE!</v>
      </c>
      <c r="DA197" t="e">
        <f>AND('OTRAS ACCIONES'!N277,"AAAAABP5/2g=")</f>
        <v>#VALUE!</v>
      </c>
      <c r="DB197" t="e">
        <f>AND('OTRAS ACCIONES'!O277,"AAAAABP5/2k=")</f>
        <v>#VALUE!</v>
      </c>
      <c r="DC197" t="e">
        <f>AND('OTRAS ACCIONES'!P277,"AAAAABP5/2o=")</f>
        <v>#VALUE!</v>
      </c>
      <c r="DD197" t="e">
        <f>AND('OTRAS ACCIONES'!Q277,"AAAAABP5/2s=")</f>
        <v>#VALUE!</v>
      </c>
      <c r="DE197" t="e">
        <f>AND('OTRAS ACCIONES'!R277,"AAAAABP5/2w=")</f>
        <v>#VALUE!</v>
      </c>
      <c r="DF197">
        <f>IF('OTRAS ACCIONES'!278:278,"AAAAABP5/20=",0)</f>
        <v>0</v>
      </c>
      <c r="DG197" t="e">
        <f>AND('OTRAS ACCIONES'!B278,"AAAAABP5/24=")</f>
        <v>#VALUE!</v>
      </c>
      <c r="DH197" t="e">
        <f>AND('OTRAS ACCIONES'!C278,"AAAAABP5/28=")</f>
        <v>#VALUE!</v>
      </c>
      <c r="DI197" t="e">
        <f>AND('OTRAS ACCIONES'!D278,"AAAAABP5/3A=")</f>
        <v>#VALUE!</v>
      </c>
      <c r="DJ197" t="e">
        <f>AND('OTRAS ACCIONES'!E278,"AAAAABP5/3E=")</f>
        <v>#VALUE!</v>
      </c>
      <c r="DK197" t="e">
        <f>AND('OTRAS ACCIONES'!F278,"AAAAABP5/3I=")</f>
        <v>#VALUE!</v>
      </c>
      <c r="DL197" t="e">
        <f>AND('OTRAS ACCIONES'!G278,"AAAAABP5/3M=")</f>
        <v>#VALUE!</v>
      </c>
      <c r="DM197" t="e">
        <f>AND('OTRAS ACCIONES'!H278,"AAAAABP5/3Q=")</f>
        <v>#VALUE!</v>
      </c>
      <c r="DN197" t="e">
        <f>AND('OTRAS ACCIONES'!I278,"AAAAABP5/3U=")</f>
        <v>#VALUE!</v>
      </c>
      <c r="DO197" t="e">
        <f>AND('OTRAS ACCIONES'!J278,"AAAAABP5/3Y=")</f>
        <v>#VALUE!</v>
      </c>
      <c r="DP197" t="e">
        <f>AND('OTRAS ACCIONES'!K278,"AAAAABP5/3c=")</f>
        <v>#VALUE!</v>
      </c>
      <c r="DQ197" t="e">
        <f>AND('OTRAS ACCIONES'!L278,"AAAAABP5/3g=")</f>
        <v>#VALUE!</v>
      </c>
      <c r="DR197" t="e">
        <f>AND('OTRAS ACCIONES'!M278,"AAAAABP5/3k=")</f>
        <v>#VALUE!</v>
      </c>
      <c r="DS197" t="e">
        <f>AND('OTRAS ACCIONES'!N278,"AAAAABP5/3o=")</f>
        <v>#VALUE!</v>
      </c>
      <c r="DT197" t="e">
        <f>AND('OTRAS ACCIONES'!O278,"AAAAABP5/3s=")</f>
        <v>#VALUE!</v>
      </c>
      <c r="DU197" t="e">
        <f>AND('OTRAS ACCIONES'!P278,"AAAAABP5/3w=")</f>
        <v>#VALUE!</v>
      </c>
      <c r="DV197" t="e">
        <f>AND('OTRAS ACCIONES'!Q278,"AAAAABP5/30=")</f>
        <v>#VALUE!</v>
      </c>
      <c r="DW197" t="e">
        <f>AND('OTRAS ACCIONES'!R278,"AAAAABP5/34=")</f>
        <v>#VALUE!</v>
      </c>
      <c r="DX197">
        <f>IF('OTRAS ACCIONES'!279:279,"AAAAABP5/38=",0)</f>
        <v>0</v>
      </c>
      <c r="DY197" t="e">
        <f>AND('OTRAS ACCIONES'!B279,"AAAAABP5/4A=")</f>
        <v>#VALUE!</v>
      </c>
      <c r="DZ197" t="e">
        <f>AND('OTRAS ACCIONES'!C279,"AAAAABP5/4E=")</f>
        <v>#VALUE!</v>
      </c>
      <c r="EA197" t="e">
        <f>AND('OTRAS ACCIONES'!D279,"AAAAABP5/4I=")</f>
        <v>#VALUE!</v>
      </c>
      <c r="EB197" t="e">
        <f>AND('OTRAS ACCIONES'!E279,"AAAAABP5/4M=")</f>
        <v>#VALUE!</v>
      </c>
      <c r="EC197" t="e">
        <f>AND('OTRAS ACCIONES'!F279,"AAAAABP5/4Q=")</f>
        <v>#VALUE!</v>
      </c>
      <c r="ED197" t="e">
        <f>AND('OTRAS ACCIONES'!G279,"AAAAABP5/4U=")</f>
        <v>#VALUE!</v>
      </c>
      <c r="EE197" t="e">
        <f>AND('OTRAS ACCIONES'!H279,"AAAAABP5/4Y=")</f>
        <v>#VALUE!</v>
      </c>
      <c r="EF197" t="e">
        <f>AND('OTRAS ACCIONES'!I279,"AAAAABP5/4c=")</f>
        <v>#VALUE!</v>
      </c>
      <c r="EG197" t="e">
        <f>AND('OTRAS ACCIONES'!J279,"AAAAABP5/4g=")</f>
        <v>#VALUE!</v>
      </c>
      <c r="EH197" t="e">
        <f>AND('OTRAS ACCIONES'!K279,"AAAAABP5/4k=")</f>
        <v>#VALUE!</v>
      </c>
      <c r="EI197" t="e">
        <f>AND('OTRAS ACCIONES'!L279,"AAAAABP5/4o=")</f>
        <v>#VALUE!</v>
      </c>
      <c r="EJ197" t="e">
        <f>AND('OTRAS ACCIONES'!M279,"AAAAABP5/4s=")</f>
        <v>#VALUE!</v>
      </c>
      <c r="EK197" t="e">
        <f>AND('OTRAS ACCIONES'!N279,"AAAAABP5/4w=")</f>
        <v>#VALUE!</v>
      </c>
      <c r="EL197" t="e">
        <f>AND('OTRAS ACCIONES'!O279,"AAAAABP5/40=")</f>
        <v>#VALUE!</v>
      </c>
      <c r="EM197" t="e">
        <f>AND('OTRAS ACCIONES'!P279,"AAAAABP5/44=")</f>
        <v>#VALUE!</v>
      </c>
      <c r="EN197" t="e">
        <f>AND('OTRAS ACCIONES'!Q279,"AAAAABP5/48=")</f>
        <v>#VALUE!</v>
      </c>
      <c r="EO197" t="e">
        <f>AND('OTRAS ACCIONES'!R279,"AAAAABP5/5A=")</f>
        <v>#VALUE!</v>
      </c>
      <c r="EP197">
        <f>IF('OTRAS ACCIONES'!280:280,"AAAAABP5/5E=",0)</f>
        <v>0</v>
      </c>
      <c r="EQ197" t="e">
        <f>AND('OTRAS ACCIONES'!B280,"AAAAABP5/5I=")</f>
        <v>#VALUE!</v>
      </c>
      <c r="ER197" t="e">
        <f>AND('OTRAS ACCIONES'!C280,"AAAAABP5/5M=")</f>
        <v>#VALUE!</v>
      </c>
      <c r="ES197" t="e">
        <f>AND('OTRAS ACCIONES'!D280,"AAAAABP5/5Q=")</f>
        <v>#VALUE!</v>
      </c>
      <c r="ET197" t="e">
        <f>AND('OTRAS ACCIONES'!E280,"AAAAABP5/5U=")</f>
        <v>#VALUE!</v>
      </c>
      <c r="EU197" t="e">
        <f>AND('OTRAS ACCIONES'!F280,"AAAAABP5/5Y=")</f>
        <v>#VALUE!</v>
      </c>
      <c r="EV197" t="e">
        <f>AND('OTRAS ACCIONES'!G280,"AAAAABP5/5c=")</f>
        <v>#VALUE!</v>
      </c>
      <c r="EW197" t="e">
        <f>AND('OTRAS ACCIONES'!H280,"AAAAABP5/5g=")</f>
        <v>#VALUE!</v>
      </c>
      <c r="EX197" t="e">
        <f>AND('OTRAS ACCIONES'!I280,"AAAAABP5/5k=")</f>
        <v>#VALUE!</v>
      </c>
      <c r="EY197" t="e">
        <f>AND('OTRAS ACCIONES'!J280,"AAAAABP5/5o=")</f>
        <v>#VALUE!</v>
      </c>
      <c r="EZ197" t="e">
        <f>AND('OTRAS ACCIONES'!K280,"AAAAABP5/5s=")</f>
        <v>#VALUE!</v>
      </c>
      <c r="FA197" t="e">
        <f>AND('OTRAS ACCIONES'!L280,"AAAAABP5/5w=")</f>
        <v>#VALUE!</v>
      </c>
      <c r="FB197" t="e">
        <f>AND('OTRAS ACCIONES'!M280,"AAAAABP5/50=")</f>
        <v>#VALUE!</v>
      </c>
      <c r="FC197" t="e">
        <f>AND('OTRAS ACCIONES'!N280,"AAAAABP5/54=")</f>
        <v>#VALUE!</v>
      </c>
      <c r="FD197" t="e">
        <f>AND('OTRAS ACCIONES'!O280,"AAAAABP5/58=")</f>
        <v>#VALUE!</v>
      </c>
      <c r="FE197" t="e">
        <f>AND('OTRAS ACCIONES'!P280,"AAAAABP5/6A=")</f>
        <v>#VALUE!</v>
      </c>
      <c r="FF197" t="e">
        <f>AND('OTRAS ACCIONES'!Q280,"AAAAABP5/6E=")</f>
        <v>#VALUE!</v>
      </c>
      <c r="FG197" t="e">
        <f>AND('OTRAS ACCIONES'!R280,"AAAAABP5/6I=")</f>
        <v>#VALUE!</v>
      </c>
      <c r="FH197">
        <f>IF('OTRAS ACCIONES'!281:281,"AAAAABP5/6M=",0)</f>
        <v>0</v>
      </c>
      <c r="FI197" t="e">
        <f>AND('OTRAS ACCIONES'!B281,"AAAAABP5/6Q=")</f>
        <v>#VALUE!</v>
      </c>
      <c r="FJ197" t="e">
        <f>AND('OTRAS ACCIONES'!C281,"AAAAABP5/6U=")</f>
        <v>#VALUE!</v>
      </c>
      <c r="FK197" t="e">
        <f>AND('OTRAS ACCIONES'!D281,"AAAAABP5/6Y=")</f>
        <v>#VALUE!</v>
      </c>
      <c r="FL197" t="e">
        <f>AND('OTRAS ACCIONES'!E281,"AAAAABP5/6c=")</f>
        <v>#VALUE!</v>
      </c>
      <c r="FM197" t="e">
        <f>AND('OTRAS ACCIONES'!F281,"AAAAABP5/6g=")</f>
        <v>#VALUE!</v>
      </c>
      <c r="FN197" t="e">
        <f>AND('OTRAS ACCIONES'!G281,"AAAAABP5/6k=")</f>
        <v>#VALUE!</v>
      </c>
      <c r="FO197" t="e">
        <f>AND('OTRAS ACCIONES'!H281,"AAAAABP5/6o=")</f>
        <v>#VALUE!</v>
      </c>
      <c r="FP197" t="e">
        <f>AND('OTRAS ACCIONES'!I281,"AAAAABP5/6s=")</f>
        <v>#VALUE!</v>
      </c>
      <c r="FQ197" t="e">
        <f>AND('OTRAS ACCIONES'!J281,"AAAAABP5/6w=")</f>
        <v>#VALUE!</v>
      </c>
      <c r="FR197" t="e">
        <f>AND('OTRAS ACCIONES'!K281,"AAAAABP5/60=")</f>
        <v>#VALUE!</v>
      </c>
      <c r="FS197" t="e">
        <f>AND('OTRAS ACCIONES'!L281,"AAAAABP5/64=")</f>
        <v>#VALUE!</v>
      </c>
      <c r="FT197" t="e">
        <f>AND('OTRAS ACCIONES'!M281,"AAAAABP5/68=")</f>
        <v>#VALUE!</v>
      </c>
      <c r="FU197" t="e">
        <f>AND('OTRAS ACCIONES'!N281,"AAAAABP5/7A=")</f>
        <v>#VALUE!</v>
      </c>
      <c r="FV197" t="e">
        <f>AND('OTRAS ACCIONES'!O281,"AAAAABP5/7E=")</f>
        <v>#VALUE!</v>
      </c>
      <c r="FW197" t="e">
        <f>AND('OTRAS ACCIONES'!P281,"AAAAABP5/7I=")</f>
        <v>#VALUE!</v>
      </c>
      <c r="FX197" t="e">
        <f>AND('OTRAS ACCIONES'!Q281,"AAAAABP5/7M=")</f>
        <v>#VALUE!</v>
      </c>
      <c r="FY197" t="e">
        <f>AND('OTRAS ACCIONES'!R281,"AAAAABP5/7Q=")</f>
        <v>#VALUE!</v>
      </c>
      <c r="FZ197">
        <f>IF('OTRAS ACCIONES'!282:282,"AAAAABP5/7U=",0)</f>
        <v>0</v>
      </c>
      <c r="GA197" t="e">
        <f>AND('OTRAS ACCIONES'!B282,"AAAAABP5/7Y=")</f>
        <v>#VALUE!</v>
      </c>
      <c r="GB197" t="e">
        <f>AND('OTRAS ACCIONES'!C282,"AAAAABP5/7c=")</f>
        <v>#VALUE!</v>
      </c>
      <c r="GC197" t="e">
        <f>AND('OTRAS ACCIONES'!D282,"AAAAABP5/7g=")</f>
        <v>#VALUE!</v>
      </c>
      <c r="GD197" t="e">
        <f>AND('OTRAS ACCIONES'!E282,"AAAAABP5/7k=")</f>
        <v>#VALUE!</v>
      </c>
      <c r="GE197" t="e">
        <f>AND('OTRAS ACCIONES'!F282,"AAAAABP5/7o=")</f>
        <v>#VALUE!</v>
      </c>
      <c r="GF197" t="e">
        <f>AND('OTRAS ACCIONES'!G282,"AAAAABP5/7s=")</f>
        <v>#VALUE!</v>
      </c>
      <c r="GG197" t="e">
        <f>AND('OTRAS ACCIONES'!H282,"AAAAABP5/7w=")</f>
        <v>#VALUE!</v>
      </c>
      <c r="GH197" t="e">
        <f>AND('OTRAS ACCIONES'!I282,"AAAAABP5/70=")</f>
        <v>#VALUE!</v>
      </c>
      <c r="GI197" t="e">
        <f>AND('OTRAS ACCIONES'!J282,"AAAAABP5/74=")</f>
        <v>#VALUE!</v>
      </c>
      <c r="GJ197" t="e">
        <f>AND('OTRAS ACCIONES'!K282,"AAAAABP5/78=")</f>
        <v>#VALUE!</v>
      </c>
      <c r="GK197" t="e">
        <f>AND('OTRAS ACCIONES'!L282,"AAAAABP5/8A=")</f>
        <v>#VALUE!</v>
      </c>
      <c r="GL197" t="e">
        <f>AND('OTRAS ACCIONES'!M282,"AAAAABP5/8E=")</f>
        <v>#VALUE!</v>
      </c>
      <c r="GM197" t="e">
        <f>AND('OTRAS ACCIONES'!N282,"AAAAABP5/8I=")</f>
        <v>#VALUE!</v>
      </c>
      <c r="GN197" t="e">
        <f>AND('OTRAS ACCIONES'!O282,"AAAAABP5/8M=")</f>
        <v>#VALUE!</v>
      </c>
      <c r="GO197" t="e">
        <f>AND('OTRAS ACCIONES'!P282,"AAAAABP5/8Q=")</f>
        <v>#VALUE!</v>
      </c>
      <c r="GP197" t="e">
        <f>AND('OTRAS ACCIONES'!Q282,"AAAAABP5/8U=")</f>
        <v>#VALUE!</v>
      </c>
      <c r="GQ197" t="e">
        <f>AND('OTRAS ACCIONES'!R282,"AAAAABP5/8Y=")</f>
        <v>#VALUE!</v>
      </c>
      <c r="GR197">
        <f>IF('OTRAS ACCIONES'!283:283,"AAAAABP5/8c=",0)</f>
        <v>0</v>
      </c>
      <c r="GS197" t="e">
        <f>AND('OTRAS ACCIONES'!B283,"AAAAABP5/8g=")</f>
        <v>#VALUE!</v>
      </c>
      <c r="GT197" t="e">
        <f>AND('OTRAS ACCIONES'!C283,"AAAAABP5/8k=")</f>
        <v>#VALUE!</v>
      </c>
      <c r="GU197" t="e">
        <f>AND('OTRAS ACCIONES'!D283,"AAAAABP5/8o=")</f>
        <v>#VALUE!</v>
      </c>
      <c r="GV197" t="e">
        <f>AND('OTRAS ACCIONES'!E283,"AAAAABP5/8s=")</f>
        <v>#VALUE!</v>
      </c>
      <c r="GW197" t="e">
        <f>AND('OTRAS ACCIONES'!F283,"AAAAABP5/8w=")</f>
        <v>#VALUE!</v>
      </c>
      <c r="GX197" t="e">
        <f>AND('OTRAS ACCIONES'!G283,"AAAAABP5/80=")</f>
        <v>#VALUE!</v>
      </c>
      <c r="GY197" t="e">
        <f>AND('OTRAS ACCIONES'!H283,"AAAAABP5/84=")</f>
        <v>#VALUE!</v>
      </c>
      <c r="GZ197" t="e">
        <f>AND('OTRAS ACCIONES'!I283,"AAAAABP5/88=")</f>
        <v>#VALUE!</v>
      </c>
      <c r="HA197" t="e">
        <f>AND('OTRAS ACCIONES'!J283,"AAAAABP5/9A=")</f>
        <v>#VALUE!</v>
      </c>
      <c r="HB197" t="e">
        <f>AND('OTRAS ACCIONES'!K283,"AAAAABP5/9E=")</f>
        <v>#VALUE!</v>
      </c>
      <c r="HC197" t="e">
        <f>AND('OTRAS ACCIONES'!L283,"AAAAABP5/9I=")</f>
        <v>#VALUE!</v>
      </c>
      <c r="HD197" t="e">
        <f>AND('OTRAS ACCIONES'!M283,"AAAAABP5/9M=")</f>
        <v>#VALUE!</v>
      </c>
      <c r="HE197" t="e">
        <f>AND('OTRAS ACCIONES'!N283,"AAAAABP5/9Q=")</f>
        <v>#VALUE!</v>
      </c>
      <c r="HF197" t="e">
        <f>AND('OTRAS ACCIONES'!O283,"AAAAABP5/9U=")</f>
        <v>#VALUE!</v>
      </c>
      <c r="HG197" t="e">
        <f>AND('OTRAS ACCIONES'!P283,"AAAAABP5/9Y=")</f>
        <v>#VALUE!</v>
      </c>
      <c r="HH197" t="e">
        <f>AND('OTRAS ACCIONES'!Q283,"AAAAABP5/9c=")</f>
        <v>#VALUE!</v>
      </c>
      <c r="HI197" t="e">
        <f>AND('OTRAS ACCIONES'!R283,"AAAAABP5/9g=")</f>
        <v>#VALUE!</v>
      </c>
      <c r="HJ197">
        <f>IF('OTRAS ACCIONES'!284:284,"AAAAABP5/9k=",0)</f>
        <v>0</v>
      </c>
      <c r="HK197" t="e">
        <f>AND('OTRAS ACCIONES'!B284,"AAAAABP5/9o=")</f>
        <v>#VALUE!</v>
      </c>
      <c r="HL197" t="e">
        <f>AND('OTRAS ACCIONES'!C284,"AAAAABP5/9s=")</f>
        <v>#VALUE!</v>
      </c>
      <c r="HM197" t="e">
        <f>AND('OTRAS ACCIONES'!D284,"AAAAABP5/9w=")</f>
        <v>#VALUE!</v>
      </c>
      <c r="HN197" t="e">
        <f>AND('OTRAS ACCIONES'!E284,"AAAAABP5/90=")</f>
        <v>#VALUE!</v>
      </c>
      <c r="HO197" t="e">
        <f>AND('OTRAS ACCIONES'!F284,"AAAAABP5/94=")</f>
        <v>#VALUE!</v>
      </c>
      <c r="HP197" t="e">
        <f>AND('OTRAS ACCIONES'!G284,"AAAAABP5/98=")</f>
        <v>#VALUE!</v>
      </c>
      <c r="HQ197" t="e">
        <f>AND('OTRAS ACCIONES'!H284,"AAAAABP5/+A=")</f>
        <v>#VALUE!</v>
      </c>
      <c r="HR197" t="e">
        <f>AND('OTRAS ACCIONES'!I284,"AAAAABP5/+E=")</f>
        <v>#VALUE!</v>
      </c>
      <c r="HS197" t="e">
        <f>AND('OTRAS ACCIONES'!J284,"AAAAABP5/+I=")</f>
        <v>#VALUE!</v>
      </c>
      <c r="HT197" t="e">
        <f>AND('OTRAS ACCIONES'!K284,"AAAAABP5/+M=")</f>
        <v>#VALUE!</v>
      </c>
      <c r="HU197" t="e">
        <f>AND('OTRAS ACCIONES'!L284,"AAAAABP5/+Q=")</f>
        <v>#VALUE!</v>
      </c>
      <c r="HV197" t="e">
        <f>AND('OTRAS ACCIONES'!M284,"AAAAABP5/+U=")</f>
        <v>#VALUE!</v>
      </c>
      <c r="HW197" t="e">
        <f>AND('OTRAS ACCIONES'!N284,"AAAAABP5/+Y=")</f>
        <v>#VALUE!</v>
      </c>
      <c r="HX197" t="e">
        <f>AND('OTRAS ACCIONES'!O284,"AAAAABP5/+c=")</f>
        <v>#VALUE!</v>
      </c>
      <c r="HY197" t="e">
        <f>AND('OTRAS ACCIONES'!P284,"AAAAABP5/+g=")</f>
        <v>#VALUE!</v>
      </c>
      <c r="HZ197" t="e">
        <f>AND('OTRAS ACCIONES'!Q284,"AAAAABP5/+k=")</f>
        <v>#VALUE!</v>
      </c>
      <c r="IA197" t="e">
        <f>AND('OTRAS ACCIONES'!R284,"AAAAABP5/+o=")</f>
        <v>#VALUE!</v>
      </c>
      <c r="IB197">
        <f>IF('OTRAS ACCIONES'!285:285,"AAAAABP5/+s=",0)</f>
        <v>0</v>
      </c>
      <c r="IC197" t="e">
        <f>AND('OTRAS ACCIONES'!B285,"AAAAABP5/+w=")</f>
        <v>#VALUE!</v>
      </c>
      <c r="ID197" t="e">
        <f>AND('OTRAS ACCIONES'!C285,"AAAAABP5/+0=")</f>
        <v>#VALUE!</v>
      </c>
      <c r="IE197" t="e">
        <f>AND('OTRAS ACCIONES'!D285,"AAAAABP5/+4=")</f>
        <v>#VALUE!</v>
      </c>
      <c r="IF197" t="e">
        <f>AND('OTRAS ACCIONES'!E285,"AAAAABP5/+8=")</f>
        <v>#VALUE!</v>
      </c>
      <c r="IG197" t="e">
        <f>AND('OTRAS ACCIONES'!F285,"AAAAABP5//A=")</f>
        <v>#VALUE!</v>
      </c>
      <c r="IH197" t="e">
        <f>AND('OTRAS ACCIONES'!G285,"AAAAABP5//E=")</f>
        <v>#VALUE!</v>
      </c>
      <c r="II197" t="e">
        <f>AND('OTRAS ACCIONES'!H285,"AAAAABP5//I=")</f>
        <v>#VALUE!</v>
      </c>
      <c r="IJ197" t="e">
        <f>AND('OTRAS ACCIONES'!I285,"AAAAABP5//M=")</f>
        <v>#VALUE!</v>
      </c>
      <c r="IK197" t="e">
        <f>AND('OTRAS ACCIONES'!J285,"AAAAABP5//Q=")</f>
        <v>#VALUE!</v>
      </c>
      <c r="IL197" t="e">
        <f>AND('OTRAS ACCIONES'!K285,"AAAAABP5//U=")</f>
        <v>#VALUE!</v>
      </c>
      <c r="IM197" t="e">
        <f>AND('OTRAS ACCIONES'!L285,"AAAAABP5//Y=")</f>
        <v>#VALUE!</v>
      </c>
      <c r="IN197" t="e">
        <f>AND('OTRAS ACCIONES'!M285,"AAAAABP5//c=")</f>
        <v>#VALUE!</v>
      </c>
      <c r="IO197" t="e">
        <f>AND('OTRAS ACCIONES'!N285,"AAAAABP5//g=")</f>
        <v>#VALUE!</v>
      </c>
      <c r="IP197" t="e">
        <f>AND('OTRAS ACCIONES'!O285,"AAAAABP5//k=")</f>
        <v>#VALUE!</v>
      </c>
      <c r="IQ197" t="e">
        <f>AND('OTRAS ACCIONES'!P285,"AAAAABP5//o=")</f>
        <v>#VALUE!</v>
      </c>
      <c r="IR197" t="e">
        <f>AND('OTRAS ACCIONES'!Q285,"AAAAABP5//s=")</f>
        <v>#VALUE!</v>
      </c>
      <c r="IS197" t="e">
        <f>AND('OTRAS ACCIONES'!R285,"AAAAABP5//w=")</f>
        <v>#VALUE!</v>
      </c>
      <c r="IT197">
        <f>IF('OTRAS ACCIONES'!286:286,"AAAAABP5//0=",0)</f>
        <v>0</v>
      </c>
      <c r="IU197" t="e">
        <f>AND('OTRAS ACCIONES'!B286,"AAAAABP5//4=")</f>
        <v>#VALUE!</v>
      </c>
      <c r="IV197" t="e">
        <f>AND('OTRAS ACCIONES'!C286,"AAAAABP5//8=")</f>
        <v>#VALUE!</v>
      </c>
    </row>
    <row r="198" spans="1:256" x14ac:dyDescent="0.2">
      <c r="A198" t="e">
        <f>AND('OTRAS ACCIONES'!D286,"AAAAAH/m7QA=")</f>
        <v>#VALUE!</v>
      </c>
      <c r="B198" t="e">
        <f>AND('OTRAS ACCIONES'!E286,"AAAAAH/m7QE=")</f>
        <v>#VALUE!</v>
      </c>
      <c r="C198" t="e">
        <f>AND('OTRAS ACCIONES'!F286,"AAAAAH/m7QI=")</f>
        <v>#VALUE!</v>
      </c>
      <c r="D198" t="e">
        <f>AND('OTRAS ACCIONES'!G286,"AAAAAH/m7QM=")</f>
        <v>#VALUE!</v>
      </c>
      <c r="E198" t="e">
        <f>AND('OTRAS ACCIONES'!H286,"AAAAAH/m7QQ=")</f>
        <v>#VALUE!</v>
      </c>
      <c r="F198" t="e">
        <f>AND('OTRAS ACCIONES'!I286,"AAAAAH/m7QU=")</f>
        <v>#VALUE!</v>
      </c>
      <c r="G198" t="e">
        <f>AND('OTRAS ACCIONES'!J286,"AAAAAH/m7QY=")</f>
        <v>#VALUE!</v>
      </c>
      <c r="H198" t="e">
        <f>AND('OTRAS ACCIONES'!K286,"AAAAAH/m7Qc=")</f>
        <v>#VALUE!</v>
      </c>
      <c r="I198" t="e">
        <f>AND('OTRAS ACCIONES'!L286,"AAAAAH/m7Qg=")</f>
        <v>#VALUE!</v>
      </c>
      <c r="J198" t="e">
        <f>AND('OTRAS ACCIONES'!M286,"AAAAAH/m7Qk=")</f>
        <v>#VALUE!</v>
      </c>
      <c r="K198" t="e">
        <f>AND('OTRAS ACCIONES'!N286,"AAAAAH/m7Qo=")</f>
        <v>#VALUE!</v>
      </c>
      <c r="L198" t="e">
        <f>AND('OTRAS ACCIONES'!O286,"AAAAAH/m7Qs=")</f>
        <v>#VALUE!</v>
      </c>
      <c r="M198" t="e">
        <f>AND('OTRAS ACCIONES'!P286,"AAAAAH/m7Qw=")</f>
        <v>#VALUE!</v>
      </c>
      <c r="N198" t="e">
        <f>AND('OTRAS ACCIONES'!Q286,"AAAAAH/m7Q0=")</f>
        <v>#VALUE!</v>
      </c>
      <c r="O198" t="e">
        <f>AND('OTRAS ACCIONES'!R286,"AAAAAH/m7Q4=")</f>
        <v>#VALUE!</v>
      </c>
      <c r="P198">
        <f>IF('OTRAS ACCIONES'!287:287,"AAAAAH/m7Q8=",0)</f>
        <v>0</v>
      </c>
      <c r="Q198" t="e">
        <f>AND('OTRAS ACCIONES'!B287,"AAAAAH/m7RA=")</f>
        <v>#VALUE!</v>
      </c>
      <c r="R198" t="e">
        <f>AND('OTRAS ACCIONES'!C287,"AAAAAH/m7RE=")</f>
        <v>#VALUE!</v>
      </c>
      <c r="S198" t="e">
        <f>AND('OTRAS ACCIONES'!D287,"AAAAAH/m7RI=")</f>
        <v>#VALUE!</v>
      </c>
      <c r="T198" t="e">
        <f>AND('OTRAS ACCIONES'!E287,"AAAAAH/m7RM=")</f>
        <v>#VALUE!</v>
      </c>
      <c r="U198" t="e">
        <f>AND('OTRAS ACCIONES'!F287,"AAAAAH/m7RQ=")</f>
        <v>#VALUE!</v>
      </c>
      <c r="V198" t="e">
        <f>AND('OTRAS ACCIONES'!G287,"AAAAAH/m7RU=")</f>
        <v>#VALUE!</v>
      </c>
      <c r="W198" t="e">
        <f>AND('OTRAS ACCIONES'!H287,"AAAAAH/m7RY=")</f>
        <v>#VALUE!</v>
      </c>
      <c r="X198" t="e">
        <f>AND('OTRAS ACCIONES'!I287,"AAAAAH/m7Rc=")</f>
        <v>#VALUE!</v>
      </c>
      <c r="Y198" t="e">
        <f>AND('OTRAS ACCIONES'!J287,"AAAAAH/m7Rg=")</f>
        <v>#VALUE!</v>
      </c>
      <c r="Z198" t="e">
        <f>AND('OTRAS ACCIONES'!K287,"AAAAAH/m7Rk=")</f>
        <v>#VALUE!</v>
      </c>
      <c r="AA198" t="e">
        <f>AND('OTRAS ACCIONES'!L287,"AAAAAH/m7Ro=")</f>
        <v>#VALUE!</v>
      </c>
      <c r="AB198" t="e">
        <f>AND('OTRAS ACCIONES'!M287,"AAAAAH/m7Rs=")</f>
        <v>#VALUE!</v>
      </c>
      <c r="AC198" t="e">
        <f>AND('OTRAS ACCIONES'!N287,"AAAAAH/m7Rw=")</f>
        <v>#VALUE!</v>
      </c>
      <c r="AD198" t="e">
        <f>AND('OTRAS ACCIONES'!O287,"AAAAAH/m7R0=")</f>
        <v>#VALUE!</v>
      </c>
      <c r="AE198" t="e">
        <f>AND('OTRAS ACCIONES'!P287,"AAAAAH/m7R4=")</f>
        <v>#VALUE!</v>
      </c>
      <c r="AF198" t="e">
        <f>AND('OTRAS ACCIONES'!Q287,"AAAAAH/m7R8=")</f>
        <v>#VALUE!</v>
      </c>
      <c r="AG198" t="e">
        <f>AND('OTRAS ACCIONES'!R287,"AAAAAH/m7SA=")</f>
        <v>#VALUE!</v>
      </c>
      <c r="AH198">
        <f>IF('OTRAS ACCIONES'!288:288,"AAAAAH/m7SE=",0)</f>
        <v>0</v>
      </c>
      <c r="AI198" t="e">
        <f>AND('OTRAS ACCIONES'!B288,"AAAAAH/m7SI=")</f>
        <v>#VALUE!</v>
      </c>
      <c r="AJ198" t="e">
        <f>AND('OTRAS ACCIONES'!C288,"AAAAAH/m7SM=")</f>
        <v>#VALUE!</v>
      </c>
      <c r="AK198" t="e">
        <f>AND('OTRAS ACCIONES'!D288,"AAAAAH/m7SQ=")</f>
        <v>#VALUE!</v>
      </c>
      <c r="AL198" t="e">
        <f>AND('OTRAS ACCIONES'!E288,"AAAAAH/m7SU=")</f>
        <v>#VALUE!</v>
      </c>
      <c r="AM198" t="e">
        <f>AND('OTRAS ACCIONES'!F288,"AAAAAH/m7SY=")</f>
        <v>#VALUE!</v>
      </c>
      <c r="AN198" t="e">
        <f>AND('OTRAS ACCIONES'!G288,"AAAAAH/m7Sc=")</f>
        <v>#VALUE!</v>
      </c>
      <c r="AO198" t="e">
        <f>AND('OTRAS ACCIONES'!H288,"AAAAAH/m7Sg=")</f>
        <v>#VALUE!</v>
      </c>
      <c r="AP198" t="e">
        <f>AND('OTRAS ACCIONES'!I288,"AAAAAH/m7Sk=")</f>
        <v>#VALUE!</v>
      </c>
      <c r="AQ198" t="e">
        <f>AND('OTRAS ACCIONES'!J288,"AAAAAH/m7So=")</f>
        <v>#VALUE!</v>
      </c>
      <c r="AR198" t="e">
        <f>AND('OTRAS ACCIONES'!K288,"AAAAAH/m7Ss=")</f>
        <v>#VALUE!</v>
      </c>
      <c r="AS198" t="e">
        <f>AND('OTRAS ACCIONES'!L288,"AAAAAH/m7Sw=")</f>
        <v>#VALUE!</v>
      </c>
      <c r="AT198" t="e">
        <f>AND('OTRAS ACCIONES'!M288,"AAAAAH/m7S0=")</f>
        <v>#VALUE!</v>
      </c>
      <c r="AU198" t="e">
        <f>AND('OTRAS ACCIONES'!N288,"AAAAAH/m7S4=")</f>
        <v>#VALUE!</v>
      </c>
      <c r="AV198" t="e">
        <f>AND('OTRAS ACCIONES'!O288,"AAAAAH/m7S8=")</f>
        <v>#VALUE!</v>
      </c>
      <c r="AW198" t="e">
        <f>AND('OTRAS ACCIONES'!P288,"AAAAAH/m7TA=")</f>
        <v>#VALUE!</v>
      </c>
      <c r="AX198" t="e">
        <f>AND('OTRAS ACCIONES'!Q288,"AAAAAH/m7TE=")</f>
        <v>#VALUE!</v>
      </c>
      <c r="AY198" t="e">
        <f>AND('OTRAS ACCIONES'!R288,"AAAAAH/m7TI=")</f>
        <v>#VALUE!</v>
      </c>
      <c r="AZ198">
        <f>IF('OTRAS ACCIONES'!289:289,"AAAAAH/m7TM=",0)</f>
        <v>0</v>
      </c>
      <c r="BA198" t="e">
        <f>AND('OTRAS ACCIONES'!B289,"AAAAAH/m7TQ=")</f>
        <v>#VALUE!</v>
      </c>
      <c r="BB198" t="e">
        <f>AND('OTRAS ACCIONES'!C289,"AAAAAH/m7TU=")</f>
        <v>#VALUE!</v>
      </c>
      <c r="BC198" t="e">
        <f>AND('OTRAS ACCIONES'!D289,"AAAAAH/m7TY=")</f>
        <v>#VALUE!</v>
      </c>
      <c r="BD198" t="e">
        <f>AND('OTRAS ACCIONES'!E289,"AAAAAH/m7Tc=")</f>
        <v>#VALUE!</v>
      </c>
      <c r="BE198" t="e">
        <f>AND('OTRAS ACCIONES'!F289,"AAAAAH/m7Tg=")</f>
        <v>#VALUE!</v>
      </c>
      <c r="BF198" t="e">
        <f>AND('OTRAS ACCIONES'!G289,"AAAAAH/m7Tk=")</f>
        <v>#VALUE!</v>
      </c>
      <c r="BG198" t="e">
        <f>AND('OTRAS ACCIONES'!H289,"AAAAAH/m7To=")</f>
        <v>#VALUE!</v>
      </c>
      <c r="BH198" t="e">
        <f>AND('OTRAS ACCIONES'!I289,"AAAAAH/m7Ts=")</f>
        <v>#VALUE!</v>
      </c>
      <c r="BI198" t="e">
        <f>AND('OTRAS ACCIONES'!J289,"AAAAAH/m7Tw=")</f>
        <v>#VALUE!</v>
      </c>
      <c r="BJ198" t="e">
        <f>AND('OTRAS ACCIONES'!K289,"AAAAAH/m7T0=")</f>
        <v>#VALUE!</v>
      </c>
      <c r="BK198" t="e">
        <f>AND('OTRAS ACCIONES'!L289,"AAAAAH/m7T4=")</f>
        <v>#VALUE!</v>
      </c>
      <c r="BL198" t="e">
        <f>AND('OTRAS ACCIONES'!M289,"AAAAAH/m7T8=")</f>
        <v>#VALUE!</v>
      </c>
      <c r="BM198" t="e">
        <f>AND('OTRAS ACCIONES'!N289,"AAAAAH/m7UA=")</f>
        <v>#VALUE!</v>
      </c>
      <c r="BN198" t="e">
        <f>AND('OTRAS ACCIONES'!O289,"AAAAAH/m7UE=")</f>
        <v>#VALUE!</v>
      </c>
      <c r="BO198" t="e">
        <f>AND('OTRAS ACCIONES'!P289,"AAAAAH/m7UI=")</f>
        <v>#VALUE!</v>
      </c>
      <c r="BP198" t="e">
        <f>AND('OTRAS ACCIONES'!Q289,"AAAAAH/m7UM=")</f>
        <v>#VALUE!</v>
      </c>
      <c r="BQ198" t="e">
        <f>AND('OTRAS ACCIONES'!R289,"AAAAAH/m7UQ=")</f>
        <v>#VALUE!</v>
      </c>
      <c r="BR198">
        <f>IF('OTRAS ACCIONES'!290:290,"AAAAAH/m7UU=",0)</f>
        <v>0</v>
      </c>
      <c r="BS198" t="e">
        <f>AND('OTRAS ACCIONES'!B290,"AAAAAH/m7UY=")</f>
        <v>#VALUE!</v>
      </c>
      <c r="BT198" t="e">
        <f>AND('OTRAS ACCIONES'!C290,"AAAAAH/m7Uc=")</f>
        <v>#VALUE!</v>
      </c>
      <c r="BU198" t="e">
        <f>AND('OTRAS ACCIONES'!D290,"AAAAAH/m7Ug=")</f>
        <v>#VALUE!</v>
      </c>
      <c r="BV198" t="e">
        <f>AND('OTRAS ACCIONES'!E290,"AAAAAH/m7Uk=")</f>
        <v>#VALUE!</v>
      </c>
      <c r="BW198" t="e">
        <f>AND('OTRAS ACCIONES'!F290,"AAAAAH/m7Uo=")</f>
        <v>#VALUE!</v>
      </c>
      <c r="BX198" t="e">
        <f>AND('OTRAS ACCIONES'!G290,"AAAAAH/m7Us=")</f>
        <v>#VALUE!</v>
      </c>
      <c r="BY198" t="e">
        <f>AND('OTRAS ACCIONES'!H290,"AAAAAH/m7Uw=")</f>
        <v>#VALUE!</v>
      </c>
      <c r="BZ198" t="e">
        <f>AND('OTRAS ACCIONES'!I290,"AAAAAH/m7U0=")</f>
        <v>#VALUE!</v>
      </c>
      <c r="CA198" t="e">
        <f>AND('OTRAS ACCIONES'!J290,"AAAAAH/m7U4=")</f>
        <v>#VALUE!</v>
      </c>
      <c r="CB198" t="e">
        <f>AND('OTRAS ACCIONES'!K290,"AAAAAH/m7U8=")</f>
        <v>#VALUE!</v>
      </c>
      <c r="CC198" t="e">
        <f>AND('OTRAS ACCIONES'!L290,"AAAAAH/m7VA=")</f>
        <v>#VALUE!</v>
      </c>
      <c r="CD198" t="e">
        <f>AND('OTRAS ACCIONES'!M290,"AAAAAH/m7VE=")</f>
        <v>#VALUE!</v>
      </c>
      <c r="CE198" t="e">
        <f>AND('OTRAS ACCIONES'!N290,"AAAAAH/m7VI=")</f>
        <v>#VALUE!</v>
      </c>
      <c r="CF198" t="e">
        <f>AND('OTRAS ACCIONES'!O290,"AAAAAH/m7VM=")</f>
        <v>#VALUE!</v>
      </c>
      <c r="CG198" t="e">
        <f>AND('OTRAS ACCIONES'!P290,"AAAAAH/m7VQ=")</f>
        <v>#VALUE!</v>
      </c>
      <c r="CH198" t="e">
        <f>AND('OTRAS ACCIONES'!Q290,"AAAAAH/m7VU=")</f>
        <v>#VALUE!</v>
      </c>
      <c r="CI198" t="e">
        <f>AND('OTRAS ACCIONES'!R290,"AAAAAH/m7VY=")</f>
        <v>#VALUE!</v>
      </c>
      <c r="CJ198">
        <f>IF('OTRAS ACCIONES'!291:291,"AAAAAH/m7Vc=",0)</f>
        <v>0</v>
      </c>
      <c r="CK198" t="e">
        <f>AND('OTRAS ACCIONES'!B291,"AAAAAH/m7Vg=")</f>
        <v>#VALUE!</v>
      </c>
      <c r="CL198" t="e">
        <f>AND('OTRAS ACCIONES'!C291,"AAAAAH/m7Vk=")</f>
        <v>#VALUE!</v>
      </c>
      <c r="CM198" t="e">
        <f>AND('OTRAS ACCIONES'!D291,"AAAAAH/m7Vo=")</f>
        <v>#VALUE!</v>
      </c>
      <c r="CN198" t="e">
        <f>AND('OTRAS ACCIONES'!E291,"AAAAAH/m7Vs=")</f>
        <v>#VALUE!</v>
      </c>
      <c r="CO198" t="e">
        <f>AND('OTRAS ACCIONES'!F291,"AAAAAH/m7Vw=")</f>
        <v>#VALUE!</v>
      </c>
      <c r="CP198" t="e">
        <f>AND('OTRAS ACCIONES'!G291,"AAAAAH/m7V0=")</f>
        <v>#VALUE!</v>
      </c>
      <c r="CQ198" t="e">
        <f>AND('OTRAS ACCIONES'!H291,"AAAAAH/m7V4=")</f>
        <v>#VALUE!</v>
      </c>
      <c r="CR198" t="e">
        <f>AND('OTRAS ACCIONES'!I291,"AAAAAH/m7V8=")</f>
        <v>#VALUE!</v>
      </c>
      <c r="CS198" t="e">
        <f>AND('OTRAS ACCIONES'!J291,"AAAAAH/m7WA=")</f>
        <v>#VALUE!</v>
      </c>
      <c r="CT198" t="e">
        <f>AND('OTRAS ACCIONES'!K291,"AAAAAH/m7WE=")</f>
        <v>#VALUE!</v>
      </c>
      <c r="CU198" t="e">
        <f>AND('OTRAS ACCIONES'!L291,"AAAAAH/m7WI=")</f>
        <v>#VALUE!</v>
      </c>
      <c r="CV198" t="e">
        <f>AND('OTRAS ACCIONES'!M291,"AAAAAH/m7WM=")</f>
        <v>#VALUE!</v>
      </c>
      <c r="CW198" t="e">
        <f>AND('OTRAS ACCIONES'!N291,"AAAAAH/m7WQ=")</f>
        <v>#VALUE!</v>
      </c>
      <c r="CX198" t="e">
        <f>AND('OTRAS ACCIONES'!O291,"AAAAAH/m7WU=")</f>
        <v>#VALUE!</v>
      </c>
      <c r="CY198" t="e">
        <f>AND('OTRAS ACCIONES'!P291,"AAAAAH/m7WY=")</f>
        <v>#VALUE!</v>
      </c>
      <c r="CZ198" t="e">
        <f>AND('OTRAS ACCIONES'!Q291,"AAAAAH/m7Wc=")</f>
        <v>#VALUE!</v>
      </c>
      <c r="DA198" t="e">
        <f>AND('OTRAS ACCIONES'!R291,"AAAAAH/m7Wg=")</f>
        <v>#VALUE!</v>
      </c>
      <c r="DB198">
        <f>IF('OTRAS ACCIONES'!292:292,"AAAAAH/m7Wk=",0)</f>
        <v>0</v>
      </c>
      <c r="DC198" t="e">
        <f>AND('OTRAS ACCIONES'!B292,"AAAAAH/m7Wo=")</f>
        <v>#VALUE!</v>
      </c>
      <c r="DD198" t="e">
        <f>AND('OTRAS ACCIONES'!C292,"AAAAAH/m7Ws=")</f>
        <v>#VALUE!</v>
      </c>
      <c r="DE198" t="e">
        <f>AND('OTRAS ACCIONES'!D292,"AAAAAH/m7Ww=")</f>
        <v>#VALUE!</v>
      </c>
      <c r="DF198" t="e">
        <f>AND('OTRAS ACCIONES'!E292,"AAAAAH/m7W0=")</f>
        <v>#VALUE!</v>
      </c>
      <c r="DG198" t="e">
        <f>AND('OTRAS ACCIONES'!F292,"AAAAAH/m7W4=")</f>
        <v>#VALUE!</v>
      </c>
      <c r="DH198" t="e">
        <f>AND('OTRAS ACCIONES'!G292,"AAAAAH/m7W8=")</f>
        <v>#VALUE!</v>
      </c>
      <c r="DI198" t="e">
        <f>AND('OTRAS ACCIONES'!H292,"AAAAAH/m7XA=")</f>
        <v>#VALUE!</v>
      </c>
      <c r="DJ198" t="e">
        <f>AND('OTRAS ACCIONES'!I292,"AAAAAH/m7XE=")</f>
        <v>#VALUE!</v>
      </c>
      <c r="DK198" t="e">
        <f>AND('OTRAS ACCIONES'!J292,"AAAAAH/m7XI=")</f>
        <v>#VALUE!</v>
      </c>
      <c r="DL198" t="e">
        <f>AND('OTRAS ACCIONES'!K292,"AAAAAH/m7XM=")</f>
        <v>#VALUE!</v>
      </c>
      <c r="DM198" t="e">
        <f>AND('OTRAS ACCIONES'!L292,"AAAAAH/m7XQ=")</f>
        <v>#VALUE!</v>
      </c>
      <c r="DN198" t="e">
        <f>AND('OTRAS ACCIONES'!M292,"AAAAAH/m7XU=")</f>
        <v>#VALUE!</v>
      </c>
      <c r="DO198" t="e">
        <f>AND('OTRAS ACCIONES'!N292,"AAAAAH/m7XY=")</f>
        <v>#VALUE!</v>
      </c>
      <c r="DP198" t="e">
        <f>AND('OTRAS ACCIONES'!O292,"AAAAAH/m7Xc=")</f>
        <v>#VALUE!</v>
      </c>
      <c r="DQ198" t="e">
        <f>AND('OTRAS ACCIONES'!P292,"AAAAAH/m7Xg=")</f>
        <v>#VALUE!</v>
      </c>
      <c r="DR198" t="e">
        <f>AND('OTRAS ACCIONES'!Q292,"AAAAAH/m7Xk=")</f>
        <v>#VALUE!</v>
      </c>
      <c r="DS198" t="e">
        <f>AND('OTRAS ACCIONES'!R292,"AAAAAH/m7Xo=")</f>
        <v>#VALUE!</v>
      </c>
      <c r="DT198">
        <f>IF('OTRAS ACCIONES'!293:293,"AAAAAH/m7Xs=",0)</f>
        <v>0</v>
      </c>
      <c r="DU198" t="e">
        <f>AND('OTRAS ACCIONES'!B293,"AAAAAH/m7Xw=")</f>
        <v>#VALUE!</v>
      </c>
      <c r="DV198" t="e">
        <f>AND('OTRAS ACCIONES'!C293,"AAAAAH/m7X0=")</f>
        <v>#VALUE!</v>
      </c>
      <c r="DW198" t="e">
        <f>AND('OTRAS ACCIONES'!D293,"AAAAAH/m7X4=")</f>
        <v>#VALUE!</v>
      </c>
      <c r="DX198" t="e">
        <f>AND('OTRAS ACCIONES'!E293,"AAAAAH/m7X8=")</f>
        <v>#VALUE!</v>
      </c>
      <c r="DY198" t="e">
        <f>AND('OTRAS ACCIONES'!F293,"AAAAAH/m7YA=")</f>
        <v>#VALUE!</v>
      </c>
      <c r="DZ198" t="e">
        <f>AND('OTRAS ACCIONES'!G293,"AAAAAH/m7YE=")</f>
        <v>#VALUE!</v>
      </c>
      <c r="EA198" t="e">
        <f>AND('OTRAS ACCIONES'!H293,"AAAAAH/m7YI=")</f>
        <v>#VALUE!</v>
      </c>
      <c r="EB198" t="e">
        <f>AND('OTRAS ACCIONES'!I293,"AAAAAH/m7YM=")</f>
        <v>#VALUE!</v>
      </c>
      <c r="EC198" t="e">
        <f>AND('OTRAS ACCIONES'!J293,"AAAAAH/m7YQ=")</f>
        <v>#VALUE!</v>
      </c>
      <c r="ED198" t="e">
        <f>AND('OTRAS ACCIONES'!K293,"AAAAAH/m7YU=")</f>
        <v>#VALUE!</v>
      </c>
      <c r="EE198" t="e">
        <f>AND('OTRAS ACCIONES'!L293,"AAAAAH/m7YY=")</f>
        <v>#VALUE!</v>
      </c>
      <c r="EF198" t="e">
        <f>AND('OTRAS ACCIONES'!M293,"AAAAAH/m7Yc=")</f>
        <v>#VALUE!</v>
      </c>
      <c r="EG198" t="e">
        <f>AND('OTRAS ACCIONES'!N293,"AAAAAH/m7Yg=")</f>
        <v>#VALUE!</v>
      </c>
      <c r="EH198" t="e">
        <f>AND('OTRAS ACCIONES'!O293,"AAAAAH/m7Yk=")</f>
        <v>#VALUE!</v>
      </c>
      <c r="EI198" t="e">
        <f>AND('OTRAS ACCIONES'!P293,"AAAAAH/m7Yo=")</f>
        <v>#VALUE!</v>
      </c>
      <c r="EJ198" t="e">
        <f>AND('OTRAS ACCIONES'!Q293,"AAAAAH/m7Ys=")</f>
        <v>#VALUE!</v>
      </c>
      <c r="EK198" t="e">
        <f>AND('OTRAS ACCIONES'!R293,"AAAAAH/m7Yw=")</f>
        <v>#VALUE!</v>
      </c>
      <c r="EL198">
        <f>IF('OTRAS ACCIONES'!294:294,"AAAAAH/m7Y0=",0)</f>
        <v>0</v>
      </c>
      <c r="EM198" t="e">
        <f>AND('OTRAS ACCIONES'!B294,"AAAAAH/m7Y4=")</f>
        <v>#VALUE!</v>
      </c>
      <c r="EN198" t="e">
        <f>AND('OTRAS ACCIONES'!C294,"AAAAAH/m7Y8=")</f>
        <v>#VALUE!</v>
      </c>
      <c r="EO198" t="e">
        <f>AND('OTRAS ACCIONES'!D294,"AAAAAH/m7ZA=")</f>
        <v>#VALUE!</v>
      </c>
      <c r="EP198" t="e">
        <f>AND('OTRAS ACCIONES'!E294,"AAAAAH/m7ZE=")</f>
        <v>#VALUE!</v>
      </c>
      <c r="EQ198" t="e">
        <f>AND('OTRAS ACCIONES'!F294,"AAAAAH/m7ZI=")</f>
        <v>#VALUE!</v>
      </c>
      <c r="ER198" t="e">
        <f>AND('OTRAS ACCIONES'!G294,"AAAAAH/m7ZM=")</f>
        <v>#VALUE!</v>
      </c>
      <c r="ES198" t="e">
        <f>AND('OTRAS ACCIONES'!H294,"AAAAAH/m7ZQ=")</f>
        <v>#VALUE!</v>
      </c>
      <c r="ET198" t="e">
        <f>AND('OTRAS ACCIONES'!I294,"AAAAAH/m7ZU=")</f>
        <v>#VALUE!</v>
      </c>
      <c r="EU198" t="e">
        <f>AND('OTRAS ACCIONES'!J294,"AAAAAH/m7ZY=")</f>
        <v>#VALUE!</v>
      </c>
      <c r="EV198" t="e">
        <f>AND('OTRAS ACCIONES'!K294,"AAAAAH/m7Zc=")</f>
        <v>#VALUE!</v>
      </c>
      <c r="EW198" t="e">
        <f>AND('OTRAS ACCIONES'!L294,"AAAAAH/m7Zg=")</f>
        <v>#VALUE!</v>
      </c>
      <c r="EX198" t="e">
        <f>AND('OTRAS ACCIONES'!M294,"AAAAAH/m7Zk=")</f>
        <v>#VALUE!</v>
      </c>
      <c r="EY198" t="e">
        <f>AND('OTRAS ACCIONES'!N294,"AAAAAH/m7Zo=")</f>
        <v>#VALUE!</v>
      </c>
      <c r="EZ198" t="e">
        <f>AND('OTRAS ACCIONES'!O294,"AAAAAH/m7Zs=")</f>
        <v>#VALUE!</v>
      </c>
      <c r="FA198" t="e">
        <f>AND('OTRAS ACCIONES'!P294,"AAAAAH/m7Zw=")</f>
        <v>#VALUE!</v>
      </c>
      <c r="FB198" t="e">
        <f>AND('OTRAS ACCIONES'!Q294,"AAAAAH/m7Z0=")</f>
        <v>#VALUE!</v>
      </c>
      <c r="FC198" t="e">
        <f>AND('OTRAS ACCIONES'!R294,"AAAAAH/m7Z4=")</f>
        <v>#VALUE!</v>
      </c>
      <c r="FD198">
        <f>IF('OTRAS ACCIONES'!295:295,"AAAAAH/m7Z8=",0)</f>
        <v>0</v>
      </c>
      <c r="FE198" t="e">
        <f>AND('OTRAS ACCIONES'!B295,"AAAAAH/m7aA=")</f>
        <v>#VALUE!</v>
      </c>
      <c r="FF198" t="e">
        <f>AND('OTRAS ACCIONES'!C295,"AAAAAH/m7aE=")</f>
        <v>#VALUE!</v>
      </c>
      <c r="FG198" t="e">
        <f>AND('OTRAS ACCIONES'!D295,"AAAAAH/m7aI=")</f>
        <v>#VALUE!</v>
      </c>
      <c r="FH198" t="e">
        <f>AND('OTRAS ACCIONES'!E295,"AAAAAH/m7aM=")</f>
        <v>#VALUE!</v>
      </c>
      <c r="FI198" t="e">
        <f>AND('OTRAS ACCIONES'!F295,"AAAAAH/m7aQ=")</f>
        <v>#VALUE!</v>
      </c>
      <c r="FJ198" t="e">
        <f>AND('OTRAS ACCIONES'!G295,"AAAAAH/m7aU=")</f>
        <v>#VALUE!</v>
      </c>
      <c r="FK198" t="e">
        <f>AND('OTRAS ACCIONES'!H295,"AAAAAH/m7aY=")</f>
        <v>#VALUE!</v>
      </c>
      <c r="FL198" t="e">
        <f>AND('OTRAS ACCIONES'!I295,"AAAAAH/m7ac=")</f>
        <v>#VALUE!</v>
      </c>
      <c r="FM198" t="e">
        <f>AND('OTRAS ACCIONES'!J295,"AAAAAH/m7ag=")</f>
        <v>#VALUE!</v>
      </c>
      <c r="FN198" t="e">
        <f>AND('OTRAS ACCIONES'!K295,"AAAAAH/m7ak=")</f>
        <v>#VALUE!</v>
      </c>
      <c r="FO198" t="e">
        <f>AND('OTRAS ACCIONES'!L295,"AAAAAH/m7ao=")</f>
        <v>#VALUE!</v>
      </c>
      <c r="FP198" t="e">
        <f>AND('OTRAS ACCIONES'!M295,"AAAAAH/m7as=")</f>
        <v>#VALUE!</v>
      </c>
      <c r="FQ198" t="e">
        <f>AND('OTRAS ACCIONES'!N295,"AAAAAH/m7aw=")</f>
        <v>#VALUE!</v>
      </c>
      <c r="FR198" t="e">
        <f>AND('OTRAS ACCIONES'!O295,"AAAAAH/m7a0=")</f>
        <v>#VALUE!</v>
      </c>
      <c r="FS198" t="e">
        <f>AND('OTRAS ACCIONES'!P295,"AAAAAH/m7a4=")</f>
        <v>#VALUE!</v>
      </c>
      <c r="FT198" t="e">
        <f>AND('OTRAS ACCIONES'!Q295,"AAAAAH/m7a8=")</f>
        <v>#VALUE!</v>
      </c>
      <c r="FU198" t="e">
        <f>AND('OTRAS ACCIONES'!R295,"AAAAAH/m7bA=")</f>
        <v>#VALUE!</v>
      </c>
      <c r="FV198">
        <f>IF('OTRAS ACCIONES'!296:296,"AAAAAH/m7bE=",0)</f>
        <v>0</v>
      </c>
      <c r="FW198" t="e">
        <f>AND('OTRAS ACCIONES'!B296,"AAAAAH/m7bI=")</f>
        <v>#VALUE!</v>
      </c>
      <c r="FX198" t="e">
        <f>AND('OTRAS ACCIONES'!C296,"AAAAAH/m7bM=")</f>
        <v>#VALUE!</v>
      </c>
      <c r="FY198" t="e">
        <f>AND('OTRAS ACCIONES'!D296,"AAAAAH/m7bQ=")</f>
        <v>#VALUE!</v>
      </c>
      <c r="FZ198" t="e">
        <f>AND('OTRAS ACCIONES'!E296,"AAAAAH/m7bU=")</f>
        <v>#VALUE!</v>
      </c>
      <c r="GA198" t="e">
        <f>AND('OTRAS ACCIONES'!F296,"AAAAAH/m7bY=")</f>
        <v>#VALUE!</v>
      </c>
      <c r="GB198" t="e">
        <f>AND('OTRAS ACCIONES'!G296,"AAAAAH/m7bc=")</f>
        <v>#VALUE!</v>
      </c>
      <c r="GC198" t="e">
        <f>AND('OTRAS ACCIONES'!H296,"AAAAAH/m7bg=")</f>
        <v>#VALUE!</v>
      </c>
      <c r="GD198" t="e">
        <f>AND('OTRAS ACCIONES'!I296,"AAAAAH/m7bk=")</f>
        <v>#VALUE!</v>
      </c>
      <c r="GE198" t="e">
        <f>AND('OTRAS ACCIONES'!J296,"AAAAAH/m7bo=")</f>
        <v>#VALUE!</v>
      </c>
      <c r="GF198" t="e">
        <f>AND('OTRAS ACCIONES'!K296,"AAAAAH/m7bs=")</f>
        <v>#VALUE!</v>
      </c>
      <c r="GG198" t="e">
        <f>AND('OTRAS ACCIONES'!L296,"AAAAAH/m7bw=")</f>
        <v>#VALUE!</v>
      </c>
      <c r="GH198" t="e">
        <f>AND('OTRAS ACCIONES'!M296,"AAAAAH/m7b0=")</f>
        <v>#VALUE!</v>
      </c>
      <c r="GI198" t="e">
        <f>AND('OTRAS ACCIONES'!N296,"AAAAAH/m7b4=")</f>
        <v>#VALUE!</v>
      </c>
      <c r="GJ198" t="e">
        <f>AND('OTRAS ACCIONES'!O296,"AAAAAH/m7b8=")</f>
        <v>#VALUE!</v>
      </c>
      <c r="GK198" t="e">
        <f>AND('OTRAS ACCIONES'!P296,"AAAAAH/m7cA=")</f>
        <v>#VALUE!</v>
      </c>
      <c r="GL198" t="e">
        <f>AND('OTRAS ACCIONES'!Q296,"AAAAAH/m7cE=")</f>
        <v>#VALUE!</v>
      </c>
      <c r="GM198" t="e">
        <f>AND('OTRAS ACCIONES'!R296,"AAAAAH/m7cI=")</f>
        <v>#VALUE!</v>
      </c>
      <c r="GN198">
        <f>IF('OTRAS ACCIONES'!297:297,"AAAAAH/m7cM=",0)</f>
        <v>0</v>
      </c>
      <c r="GO198" t="e">
        <f>AND('OTRAS ACCIONES'!B297,"AAAAAH/m7cQ=")</f>
        <v>#VALUE!</v>
      </c>
      <c r="GP198" t="e">
        <f>AND('OTRAS ACCIONES'!C297,"AAAAAH/m7cU=")</f>
        <v>#VALUE!</v>
      </c>
      <c r="GQ198" t="e">
        <f>AND('OTRAS ACCIONES'!D297,"AAAAAH/m7cY=")</f>
        <v>#VALUE!</v>
      </c>
      <c r="GR198" t="e">
        <f>AND('OTRAS ACCIONES'!E297,"AAAAAH/m7cc=")</f>
        <v>#VALUE!</v>
      </c>
      <c r="GS198" t="e">
        <f>AND('OTRAS ACCIONES'!F297,"AAAAAH/m7cg=")</f>
        <v>#VALUE!</v>
      </c>
      <c r="GT198" t="e">
        <f>AND('OTRAS ACCIONES'!G297,"AAAAAH/m7ck=")</f>
        <v>#VALUE!</v>
      </c>
      <c r="GU198" t="e">
        <f>AND('OTRAS ACCIONES'!H297,"AAAAAH/m7co=")</f>
        <v>#VALUE!</v>
      </c>
      <c r="GV198" t="e">
        <f>AND('OTRAS ACCIONES'!I297,"AAAAAH/m7cs=")</f>
        <v>#VALUE!</v>
      </c>
      <c r="GW198" t="e">
        <f>AND('OTRAS ACCIONES'!J297,"AAAAAH/m7cw=")</f>
        <v>#VALUE!</v>
      </c>
      <c r="GX198" t="e">
        <f>AND('OTRAS ACCIONES'!K297,"AAAAAH/m7c0=")</f>
        <v>#VALUE!</v>
      </c>
      <c r="GY198" t="e">
        <f>AND('OTRAS ACCIONES'!L297,"AAAAAH/m7c4=")</f>
        <v>#VALUE!</v>
      </c>
      <c r="GZ198" t="e">
        <f>AND('OTRAS ACCIONES'!M297,"AAAAAH/m7c8=")</f>
        <v>#VALUE!</v>
      </c>
      <c r="HA198" t="e">
        <f>AND('OTRAS ACCIONES'!N297,"AAAAAH/m7dA=")</f>
        <v>#VALUE!</v>
      </c>
      <c r="HB198" t="e">
        <f>AND('OTRAS ACCIONES'!O297,"AAAAAH/m7dE=")</f>
        <v>#VALUE!</v>
      </c>
      <c r="HC198" t="e">
        <f>AND('OTRAS ACCIONES'!P297,"AAAAAH/m7dI=")</f>
        <v>#VALUE!</v>
      </c>
      <c r="HD198" t="e">
        <f>AND('OTRAS ACCIONES'!Q297,"AAAAAH/m7dM=")</f>
        <v>#VALUE!</v>
      </c>
      <c r="HE198" t="e">
        <f>AND('OTRAS ACCIONES'!R297,"AAAAAH/m7dQ=")</f>
        <v>#VALUE!</v>
      </c>
      <c r="HF198">
        <f>IF('OTRAS ACCIONES'!298:298,"AAAAAH/m7dU=",0)</f>
        <v>0</v>
      </c>
      <c r="HG198" t="e">
        <f>AND('OTRAS ACCIONES'!B298,"AAAAAH/m7dY=")</f>
        <v>#VALUE!</v>
      </c>
      <c r="HH198" t="e">
        <f>AND('OTRAS ACCIONES'!C298,"AAAAAH/m7dc=")</f>
        <v>#VALUE!</v>
      </c>
      <c r="HI198" t="e">
        <f>AND('OTRAS ACCIONES'!D298,"AAAAAH/m7dg=")</f>
        <v>#VALUE!</v>
      </c>
      <c r="HJ198" t="e">
        <f>AND('OTRAS ACCIONES'!E298,"AAAAAH/m7dk=")</f>
        <v>#VALUE!</v>
      </c>
      <c r="HK198" t="e">
        <f>AND('OTRAS ACCIONES'!F298,"AAAAAH/m7do=")</f>
        <v>#VALUE!</v>
      </c>
      <c r="HL198" t="e">
        <f>AND('OTRAS ACCIONES'!G298,"AAAAAH/m7ds=")</f>
        <v>#VALUE!</v>
      </c>
      <c r="HM198" t="e">
        <f>AND('OTRAS ACCIONES'!H298,"AAAAAH/m7dw=")</f>
        <v>#VALUE!</v>
      </c>
      <c r="HN198" t="e">
        <f>AND('OTRAS ACCIONES'!I298,"AAAAAH/m7d0=")</f>
        <v>#VALUE!</v>
      </c>
      <c r="HO198" t="e">
        <f>AND('OTRAS ACCIONES'!J298,"AAAAAH/m7d4=")</f>
        <v>#VALUE!</v>
      </c>
      <c r="HP198" t="e">
        <f>AND('OTRAS ACCIONES'!K298,"AAAAAH/m7d8=")</f>
        <v>#VALUE!</v>
      </c>
      <c r="HQ198" t="e">
        <f>AND('OTRAS ACCIONES'!L298,"AAAAAH/m7eA=")</f>
        <v>#VALUE!</v>
      </c>
      <c r="HR198" t="e">
        <f>AND('OTRAS ACCIONES'!M298,"AAAAAH/m7eE=")</f>
        <v>#VALUE!</v>
      </c>
      <c r="HS198" t="e">
        <f>AND('OTRAS ACCIONES'!N298,"AAAAAH/m7eI=")</f>
        <v>#VALUE!</v>
      </c>
      <c r="HT198" t="e">
        <f>AND('OTRAS ACCIONES'!O298,"AAAAAH/m7eM=")</f>
        <v>#VALUE!</v>
      </c>
      <c r="HU198" t="e">
        <f>AND('OTRAS ACCIONES'!P298,"AAAAAH/m7eQ=")</f>
        <v>#VALUE!</v>
      </c>
      <c r="HV198" t="e">
        <f>AND('OTRAS ACCIONES'!Q298,"AAAAAH/m7eU=")</f>
        <v>#VALUE!</v>
      </c>
      <c r="HW198" t="e">
        <f>AND('OTRAS ACCIONES'!R298,"AAAAAH/m7eY=")</f>
        <v>#VALUE!</v>
      </c>
      <c r="HX198">
        <f>IF('OTRAS ACCIONES'!299:299,"AAAAAH/m7ec=",0)</f>
        <v>0</v>
      </c>
      <c r="HY198" t="e">
        <f>AND('OTRAS ACCIONES'!B299,"AAAAAH/m7eg=")</f>
        <v>#VALUE!</v>
      </c>
      <c r="HZ198" t="e">
        <f>AND('OTRAS ACCIONES'!C299,"AAAAAH/m7ek=")</f>
        <v>#VALUE!</v>
      </c>
      <c r="IA198" t="e">
        <f>AND('OTRAS ACCIONES'!D299,"AAAAAH/m7eo=")</f>
        <v>#VALUE!</v>
      </c>
      <c r="IB198" t="e">
        <f>AND('OTRAS ACCIONES'!E299,"AAAAAH/m7es=")</f>
        <v>#VALUE!</v>
      </c>
      <c r="IC198" t="e">
        <f>AND('OTRAS ACCIONES'!F299,"AAAAAH/m7ew=")</f>
        <v>#VALUE!</v>
      </c>
      <c r="ID198" t="e">
        <f>AND('OTRAS ACCIONES'!G299,"AAAAAH/m7e0=")</f>
        <v>#VALUE!</v>
      </c>
      <c r="IE198" t="e">
        <f>AND('OTRAS ACCIONES'!H299,"AAAAAH/m7e4=")</f>
        <v>#VALUE!</v>
      </c>
      <c r="IF198" t="e">
        <f>AND('OTRAS ACCIONES'!I299,"AAAAAH/m7e8=")</f>
        <v>#VALUE!</v>
      </c>
      <c r="IG198" t="e">
        <f>AND('OTRAS ACCIONES'!J299,"AAAAAH/m7fA=")</f>
        <v>#VALUE!</v>
      </c>
      <c r="IH198" t="e">
        <f>AND('OTRAS ACCIONES'!K299,"AAAAAH/m7fE=")</f>
        <v>#VALUE!</v>
      </c>
      <c r="II198" t="e">
        <f>AND('OTRAS ACCIONES'!L299,"AAAAAH/m7fI=")</f>
        <v>#VALUE!</v>
      </c>
      <c r="IJ198" t="e">
        <f>AND('OTRAS ACCIONES'!M299,"AAAAAH/m7fM=")</f>
        <v>#VALUE!</v>
      </c>
      <c r="IK198" t="e">
        <f>AND('OTRAS ACCIONES'!N299,"AAAAAH/m7fQ=")</f>
        <v>#VALUE!</v>
      </c>
      <c r="IL198" t="e">
        <f>AND('OTRAS ACCIONES'!O299,"AAAAAH/m7fU=")</f>
        <v>#VALUE!</v>
      </c>
      <c r="IM198" t="e">
        <f>AND('OTRAS ACCIONES'!P299,"AAAAAH/m7fY=")</f>
        <v>#VALUE!</v>
      </c>
      <c r="IN198" t="e">
        <f>AND('OTRAS ACCIONES'!Q299,"AAAAAH/m7fc=")</f>
        <v>#VALUE!</v>
      </c>
      <c r="IO198" t="e">
        <f>AND('OTRAS ACCIONES'!R299,"AAAAAH/m7fg=")</f>
        <v>#VALUE!</v>
      </c>
      <c r="IP198">
        <f>IF('OTRAS ACCIONES'!300:300,"AAAAAH/m7fk=",0)</f>
        <v>0</v>
      </c>
      <c r="IQ198" t="e">
        <f>AND('OTRAS ACCIONES'!B300,"AAAAAH/m7fo=")</f>
        <v>#VALUE!</v>
      </c>
      <c r="IR198" t="e">
        <f>AND('OTRAS ACCIONES'!C300,"AAAAAH/m7fs=")</f>
        <v>#VALUE!</v>
      </c>
      <c r="IS198" t="e">
        <f>AND('OTRAS ACCIONES'!D300,"AAAAAH/m7fw=")</f>
        <v>#VALUE!</v>
      </c>
      <c r="IT198" t="e">
        <f>AND('OTRAS ACCIONES'!E300,"AAAAAH/m7f0=")</f>
        <v>#VALUE!</v>
      </c>
      <c r="IU198" t="e">
        <f>AND('OTRAS ACCIONES'!F300,"AAAAAH/m7f4=")</f>
        <v>#VALUE!</v>
      </c>
      <c r="IV198" t="e">
        <f>AND('OTRAS ACCIONES'!G300,"AAAAAH/m7f8=")</f>
        <v>#VALUE!</v>
      </c>
    </row>
    <row r="199" spans="1:256" x14ac:dyDescent="0.2">
      <c r="A199" t="e">
        <f>AND('OTRAS ACCIONES'!H300,"AAAAADbfCgA=")</f>
        <v>#VALUE!</v>
      </c>
      <c r="B199" t="e">
        <f>AND('OTRAS ACCIONES'!I300,"AAAAADbfCgE=")</f>
        <v>#VALUE!</v>
      </c>
      <c r="C199" t="e">
        <f>AND('OTRAS ACCIONES'!J300,"AAAAADbfCgI=")</f>
        <v>#VALUE!</v>
      </c>
      <c r="D199" t="e">
        <f>AND('OTRAS ACCIONES'!K300,"AAAAADbfCgM=")</f>
        <v>#VALUE!</v>
      </c>
      <c r="E199" t="e">
        <f>AND('OTRAS ACCIONES'!L300,"AAAAADbfCgQ=")</f>
        <v>#VALUE!</v>
      </c>
      <c r="F199" t="e">
        <f>AND('OTRAS ACCIONES'!M300,"AAAAADbfCgU=")</f>
        <v>#VALUE!</v>
      </c>
      <c r="G199" t="e">
        <f>AND('OTRAS ACCIONES'!N300,"AAAAADbfCgY=")</f>
        <v>#VALUE!</v>
      </c>
      <c r="H199" t="e">
        <f>AND('OTRAS ACCIONES'!O300,"AAAAADbfCgc=")</f>
        <v>#VALUE!</v>
      </c>
      <c r="I199" t="e">
        <f>AND('OTRAS ACCIONES'!P300,"AAAAADbfCgg=")</f>
        <v>#VALUE!</v>
      </c>
      <c r="J199" t="e">
        <f>AND('OTRAS ACCIONES'!Q300,"AAAAADbfCgk=")</f>
        <v>#VALUE!</v>
      </c>
      <c r="K199" t="e">
        <f>AND('OTRAS ACCIONES'!R300,"AAAAADbfCgo=")</f>
        <v>#VALUE!</v>
      </c>
      <c r="L199">
        <f>IF('OTRAS ACCIONES'!301:301,"AAAAADbfCgs=",0)</f>
        <v>0</v>
      </c>
      <c r="M199" t="e">
        <f>AND('OTRAS ACCIONES'!B301,"AAAAADbfCgw=")</f>
        <v>#VALUE!</v>
      </c>
      <c r="N199" t="e">
        <f>AND('OTRAS ACCIONES'!C301,"AAAAADbfCg0=")</f>
        <v>#VALUE!</v>
      </c>
      <c r="O199" t="e">
        <f>AND('OTRAS ACCIONES'!D301,"AAAAADbfCg4=")</f>
        <v>#VALUE!</v>
      </c>
      <c r="P199" t="e">
        <f>AND('OTRAS ACCIONES'!E301,"AAAAADbfCg8=")</f>
        <v>#VALUE!</v>
      </c>
      <c r="Q199" t="e">
        <f>AND('OTRAS ACCIONES'!F301,"AAAAADbfChA=")</f>
        <v>#VALUE!</v>
      </c>
      <c r="R199" t="e">
        <f>AND('OTRAS ACCIONES'!G301,"AAAAADbfChE=")</f>
        <v>#VALUE!</v>
      </c>
      <c r="S199" t="e">
        <f>AND('OTRAS ACCIONES'!H301,"AAAAADbfChI=")</f>
        <v>#VALUE!</v>
      </c>
      <c r="T199" t="e">
        <f>AND('OTRAS ACCIONES'!I301,"AAAAADbfChM=")</f>
        <v>#VALUE!</v>
      </c>
      <c r="U199" t="e">
        <f>AND('OTRAS ACCIONES'!J301,"AAAAADbfChQ=")</f>
        <v>#VALUE!</v>
      </c>
      <c r="V199" t="e">
        <f>AND('OTRAS ACCIONES'!K301,"AAAAADbfChU=")</f>
        <v>#VALUE!</v>
      </c>
      <c r="W199" t="e">
        <f>AND('OTRAS ACCIONES'!L301,"AAAAADbfChY=")</f>
        <v>#VALUE!</v>
      </c>
      <c r="X199" t="e">
        <f>AND('OTRAS ACCIONES'!M301,"AAAAADbfChc=")</f>
        <v>#VALUE!</v>
      </c>
      <c r="Y199" t="e">
        <f>AND('OTRAS ACCIONES'!N301,"AAAAADbfChg=")</f>
        <v>#VALUE!</v>
      </c>
      <c r="Z199" t="e">
        <f>AND('OTRAS ACCIONES'!O301,"AAAAADbfChk=")</f>
        <v>#VALUE!</v>
      </c>
      <c r="AA199" t="e">
        <f>AND('OTRAS ACCIONES'!P301,"AAAAADbfCho=")</f>
        <v>#VALUE!</v>
      </c>
      <c r="AB199" t="e">
        <f>AND('OTRAS ACCIONES'!Q301,"AAAAADbfChs=")</f>
        <v>#VALUE!</v>
      </c>
      <c r="AC199" t="e">
        <f>AND('OTRAS ACCIONES'!R301,"AAAAADbfChw=")</f>
        <v>#VALUE!</v>
      </c>
      <c r="AD199">
        <f>IF('OTRAS ACCIONES'!302:302,"AAAAADbfCh0=",0)</f>
        <v>0</v>
      </c>
      <c r="AE199" t="e">
        <f>AND('OTRAS ACCIONES'!B302,"AAAAADbfCh4=")</f>
        <v>#VALUE!</v>
      </c>
      <c r="AF199" t="e">
        <f>AND('OTRAS ACCIONES'!C302,"AAAAADbfCh8=")</f>
        <v>#VALUE!</v>
      </c>
      <c r="AG199" t="e">
        <f>AND('OTRAS ACCIONES'!D302,"AAAAADbfCiA=")</f>
        <v>#VALUE!</v>
      </c>
      <c r="AH199" t="e">
        <f>AND('OTRAS ACCIONES'!E302,"AAAAADbfCiE=")</f>
        <v>#VALUE!</v>
      </c>
      <c r="AI199" t="e">
        <f>AND('OTRAS ACCIONES'!F302,"AAAAADbfCiI=")</f>
        <v>#VALUE!</v>
      </c>
      <c r="AJ199" t="e">
        <f>AND('OTRAS ACCIONES'!G302,"AAAAADbfCiM=")</f>
        <v>#VALUE!</v>
      </c>
      <c r="AK199" t="e">
        <f>AND('OTRAS ACCIONES'!H302,"AAAAADbfCiQ=")</f>
        <v>#VALUE!</v>
      </c>
      <c r="AL199" t="e">
        <f>AND('OTRAS ACCIONES'!I302,"AAAAADbfCiU=")</f>
        <v>#VALUE!</v>
      </c>
      <c r="AM199" t="e">
        <f>AND('OTRAS ACCIONES'!J302,"AAAAADbfCiY=")</f>
        <v>#VALUE!</v>
      </c>
      <c r="AN199" t="e">
        <f>AND('OTRAS ACCIONES'!K302,"AAAAADbfCic=")</f>
        <v>#VALUE!</v>
      </c>
      <c r="AO199" t="e">
        <f>AND('OTRAS ACCIONES'!L302,"AAAAADbfCig=")</f>
        <v>#VALUE!</v>
      </c>
      <c r="AP199" t="e">
        <f>AND('OTRAS ACCIONES'!M302,"AAAAADbfCik=")</f>
        <v>#VALUE!</v>
      </c>
      <c r="AQ199" t="e">
        <f>AND('OTRAS ACCIONES'!N302,"AAAAADbfCio=")</f>
        <v>#VALUE!</v>
      </c>
      <c r="AR199" t="e">
        <f>AND('OTRAS ACCIONES'!O302,"AAAAADbfCis=")</f>
        <v>#VALUE!</v>
      </c>
      <c r="AS199" t="e">
        <f>AND('OTRAS ACCIONES'!P302,"AAAAADbfCiw=")</f>
        <v>#VALUE!</v>
      </c>
      <c r="AT199" t="e">
        <f>AND('OTRAS ACCIONES'!Q302,"AAAAADbfCi0=")</f>
        <v>#VALUE!</v>
      </c>
      <c r="AU199" t="e">
        <f>AND('OTRAS ACCIONES'!R302,"AAAAADbfCi4=")</f>
        <v>#VALUE!</v>
      </c>
      <c r="AV199">
        <f>IF('OTRAS ACCIONES'!303:303,"AAAAADbfCi8=",0)</f>
        <v>0</v>
      </c>
      <c r="AW199" t="e">
        <f>AND('OTRAS ACCIONES'!B303,"AAAAADbfCjA=")</f>
        <v>#VALUE!</v>
      </c>
      <c r="AX199" t="e">
        <f>AND('OTRAS ACCIONES'!C303,"AAAAADbfCjE=")</f>
        <v>#VALUE!</v>
      </c>
      <c r="AY199" t="e">
        <f>AND('OTRAS ACCIONES'!D303,"AAAAADbfCjI=")</f>
        <v>#VALUE!</v>
      </c>
      <c r="AZ199" t="e">
        <f>AND('OTRAS ACCIONES'!E303,"AAAAADbfCjM=")</f>
        <v>#VALUE!</v>
      </c>
      <c r="BA199" t="e">
        <f>AND('OTRAS ACCIONES'!F303,"AAAAADbfCjQ=")</f>
        <v>#VALUE!</v>
      </c>
      <c r="BB199" t="e">
        <f>AND('OTRAS ACCIONES'!G303,"AAAAADbfCjU=")</f>
        <v>#VALUE!</v>
      </c>
      <c r="BC199" t="e">
        <f>AND('OTRAS ACCIONES'!H303,"AAAAADbfCjY=")</f>
        <v>#VALUE!</v>
      </c>
      <c r="BD199" t="e">
        <f>AND('OTRAS ACCIONES'!I303,"AAAAADbfCjc=")</f>
        <v>#VALUE!</v>
      </c>
      <c r="BE199" t="e">
        <f>AND('OTRAS ACCIONES'!J303,"AAAAADbfCjg=")</f>
        <v>#VALUE!</v>
      </c>
      <c r="BF199" t="e">
        <f>AND('OTRAS ACCIONES'!K303,"AAAAADbfCjk=")</f>
        <v>#VALUE!</v>
      </c>
      <c r="BG199" t="e">
        <f>AND('OTRAS ACCIONES'!L303,"AAAAADbfCjo=")</f>
        <v>#VALUE!</v>
      </c>
      <c r="BH199" t="e">
        <f>AND('OTRAS ACCIONES'!M303,"AAAAADbfCjs=")</f>
        <v>#VALUE!</v>
      </c>
      <c r="BI199" t="e">
        <f>AND('OTRAS ACCIONES'!N303,"AAAAADbfCjw=")</f>
        <v>#VALUE!</v>
      </c>
      <c r="BJ199" t="e">
        <f>AND('OTRAS ACCIONES'!O303,"AAAAADbfCj0=")</f>
        <v>#VALUE!</v>
      </c>
      <c r="BK199" t="e">
        <f>AND('OTRAS ACCIONES'!P303,"AAAAADbfCj4=")</f>
        <v>#VALUE!</v>
      </c>
      <c r="BL199" t="e">
        <f>AND('OTRAS ACCIONES'!Q303,"AAAAADbfCj8=")</f>
        <v>#VALUE!</v>
      </c>
      <c r="BM199" t="e">
        <f>AND('OTRAS ACCIONES'!R303,"AAAAADbfCkA=")</f>
        <v>#VALUE!</v>
      </c>
      <c r="BN199">
        <f>IF('OTRAS ACCIONES'!304:304,"AAAAADbfCkE=",0)</f>
        <v>0</v>
      </c>
      <c r="BO199" t="e">
        <f>AND('OTRAS ACCIONES'!B304,"AAAAADbfCkI=")</f>
        <v>#VALUE!</v>
      </c>
      <c r="BP199" t="e">
        <f>AND('OTRAS ACCIONES'!C304,"AAAAADbfCkM=")</f>
        <v>#VALUE!</v>
      </c>
      <c r="BQ199" t="e">
        <f>AND('OTRAS ACCIONES'!D304,"AAAAADbfCkQ=")</f>
        <v>#VALUE!</v>
      </c>
      <c r="BR199" t="e">
        <f>AND('OTRAS ACCIONES'!E304,"AAAAADbfCkU=")</f>
        <v>#VALUE!</v>
      </c>
      <c r="BS199" t="e">
        <f>AND('OTRAS ACCIONES'!F304,"AAAAADbfCkY=")</f>
        <v>#VALUE!</v>
      </c>
      <c r="BT199" t="e">
        <f>AND('OTRAS ACCIONES'!G304,"AAAAADbfCkc=")</f>
        <v>#VALUE!</v>
      </c>
      <c r="BU199" t="e">
        <f>AND('OTRAS ACCIONES'!H304,"AAAAADbfCkg=")</f>
        <v>#VALUE!</v>
      </c>
      <c r="BV199" t="e">
        <f>AND('OTRAS ACCIONES'!I304,"AAAAADbfCkk=")</f>
        <v>#VALUE!</v>
      </c>
      <c r="BW199" t="e">
        <f>AND('OTRAS ACCIONES'!J304,"AAAAADbfCko=")</f>
        <v>#VALUE!</v>
      </c>
      <c r="BX199" t="e">
        <f>AND('OTRAS ACCIONES'!K304,"AAAAADbfCks=")</f>
        <v>#VALUE!</v>
      </c>
      <c r="BY199" t="e">
        <f>AND('OTRAS ACCIONES'!L304,"AAAAADbfCkw=")</f>
        <v>#VALUE!</v>
      </c>
      <c r="BZ199" t="e">
        <f>AND('OTRAS ACCIONES'!M304,"AAAAADbfCk0=")</f>
        <v>#VALUE!</v>
      </c>
      <c r="CA199" t="e">
        <f>AND('OTRAS ACCIONES'!N304,"AAAAADbfCk4=")</f>
        <v>#VALUE!</v>
      </c>
      <c r="CB199" t="e">
        <f>AND('OTRAS ACCIONES'!O304,"AAAAADbfCk8=")</f>
        <v>#VALUE!</v>
      </c>
      <c r="CC199" t="e">
        <f>AND('OTRAS ACCIONES'!P304,"AAAAADbfClA=")</f>
        <v>#VALUE!</v>
      </c>
      <c r="CD199" t="e">
        <f>AND('OTRAS ACCIONES'!Q304,"AAAAADbfClE=")</f>
        <v>#VALUE!</v>
      </c>
      <c r="CE199" t="e">
        <f>AND('OTRAS ACCIONES'!R304,"AAAAADbfClI=")</f>
        <v>#VALUE!</v>
      </c>
      <c r="CF199">
        <f>IF('OTRAS ACCIONES'!305:305,"AAAAADbfClM=",0)</f>
        <v>0</v>
      </c>
      <c r="CG199" t="e">
        <f>AND('OTRAS ACCIONES'!B305,"AAAAADbfClQ=")</f>
        <v>#VALUE!</v>
      </c>
      <c r="CH199" t="e">
        <f>AND('OTRAS ACCIONES'!C305,"AAAAADbfClU=")</f>
        <v>#VALUE!</v>
      </c>
      <c r="CI199" t="e">
        <f>AND('OTRAS ACCIONES'!D305,"AAAAADbfClY=")</f>
        <v>#VALUE!</v>
      </c>
      <c r="CJ199" t="e">
        <f>AND('OTRAS ACCIONES'!E305,"AAAAADbfClc=")</f>
        <v>#VALUE!</v>
      </c>
      <c r="CK199" t="e">
        <f>AND('OTRAS ACCIONES'!F305,"AAAAADbfClg=")</f>
        <v>#VALUE!</v>
      </c>
      <c r="CL199" t="e">
        <f>AND('OTRAS ACCIONES'!G305,"AAAAADbfClk=")</f>
        <v>#VALUE!</v>
      </c>
      <c r="CM199" t="e">
        <f>AND('OTRAS ACCIONES'!H305,"AAAAADbfClo=")</f>
        <v>#VALUE!</v>
      </c>
      <c r="CN199" t="e">
        <f>AND('OTRAS ACCIONES'!I305,"AAAAADbfCls=")</f>
        <v>#VALUE!</v>
      </c>
      <c r="CO199" t="e">
        <f>AND('OTRAS ACCIONES'!J305,"AAAAADbfClw=")</f>
        <v>#VALUE!</v>
      </c>
      <c r="CP199" t="e">
        <f>AND('OTRAS ACCIONES'!K305,"AAAAADbfCl0=")</f>
        <v>#VALUE!</v>
      </c>
      <c r="CQ199" t="e">
        <f>AND('OTRAS ACCIONES'!L305,"AAAAADbfCl4=")</f>
        <v>#VALUE!</v>
      </c>
      <c r="CR199" t="e">
        <f>AND('OTRAS ACCIONES'!M305,"AAAAADbfCl8=")</f>
        <v>#VALUE!</v>
      </c>
      <c r="CS199" t="e">
        <f>AND('OTRAS ACCIONES'!N305,"AAAAADbfCmA=")</f>
        <v>#VALUE!</v>
      </c>
      <c r="CT199" t="e">
        <f>AND('OTRAS ACCIONES'!O305,"AAAAADbfCmE=")</f>
        <v>#VALUE!</v>
      </c>
      <c r="CU199" t="e">
        <f>AND('OTRAS ACCIONES'!P305,"AAAAADbfCmI=")</f>
        <v>#VALUE!</v>
      </c>
      <c r="CV199" t="e">
        <f>AND('OTRAS ACCIONES'!Q305,"AAAAADbfCmM=")</f>
        <v>#VALUE!</v>
      </c>
      <c r="CW199" t="e">
        <f>AND('OTRAS ACCIONES'!R305,"AAAAADbfCmQ=")</f>
        <v>#VALUE!</v>
      </c>
      <c r="CX199">
        <f>IF('OTRAS ACCIONES'!306:306,"AAAAADbfCmU=",0)</f>
        <v>0</v>
      </c>
      <c r="CY199" t="e">
        <f>AND('OTRAS ACCIONES'!B306,"AAAAADbfCmY=")</f>
        <v>#VALUE!</v>
      </c>
      <c r="CZ199" t="e">
        <f>AND('OTRAS ACCIONES'!C306,"AAAAADbfCmc=")</f>
        <v>#VALUE!</v>
      </c>
      <c r="DA199" t="e">
        <f>AND('OTRAS ACCIONES'!D306,"AAAAADbfCmg=")</f>
        <v>#VALUE!</v>
      </c>
      <c r="DB199" t="e">
        <f>AND('OTRAS ACCIONES'!E306,"AAAAADbfCmk=")</f>
        <v>#VALUE!</v>
      </c>
      <c r="DC199" t="e">
        <f>AND('OTRAS ACCIONES'!F306,"AAAAADbfCmo=")</f>
        <v>#VALUE!</v>
      </c>
      <c r="DD199" t="e">
        <f>AND('OTRAS ACCIONES'!G306,"AAAAADbfCms=")</f>
        <v>#VALUE!</v>
      </c>
      <c r="DE199" t="e">
        <f>AND('OTRAS ACCIONES'!H306,"AAAAADbfCmw=")</f>
        <v>#VALUE!</v>
      </c>
      <c r="DF199" t="e">
        <f>AND('OTRAS ACCIONES'!I306,"AAAAADbfCm0=")</f>
        <v>#VALUE!</v>
      </c>
      <c r="DG199" t="e">
        <f>AND('OTRAS ACCIONES'!J306,"AAAAADbfCm4=")</f>
        <v>#VALUE!</v>
      </c>
      <c r="DH199" t="e">
        <f>AND('OTRAS ACCIONES'!K306,"AAAAADbfCm8=")</f>
        <v>#VALUE!</v>
      </c>
      <c r="DI199" t="e">
        <f>AND('OTRAS ACCIONES'!L306,"AAAAADbfCnA=")</f>
        <v>#VALUE!</v>
      </c>
      <c r="DJ199" t="e">
        <f>AND('OTRAS ACCIONES'!M306,"AAAAADbfCnE=")</f>
        <v>#VALUE!</v>
      </c>
      <c r="DK199" t="e">
        <f>AND('OTRAS ACCIONES'!N306,"AAAAADbfCnI=")</f>
        <v>#VALUE!</v>
      </c>
      <c r="DL199" t="e">
        <f>AND('OTRAS ACCIONES'!O306,"AAAAADbfCnM=")</f>
        <v>#VALUE!</v>
      </c>
      <c r="DM199" t="e">
        <f>AND('OTRAS ACCIONES'!P306,"AAAAADbfCnQ=")</f>
        <v>#VALUE!</v>
      </c>
      <c r="DN199" t="e">
        <f>AND('OTRAS ACCIONES'!Q306,"AAAAADbfCnU=")</f>
        <v>#VALUE!</v>
      </c>
      <c r="DO199" t="e">
        <f>AND('OTRAS ACCIONES'!R306,"AAAAADbfCnY=")</f>
        <v>#VALUE!</v>
      </c>
      <c r="DP199">
        <f>IF('OTRAS ACCIONES'!307:307,"AAAAADbfCnc=",0)</f>
        <v>0</v>
      </c>
      <c r="DQ199" t="e">
        <f>AND('OTRAS ACCIONES'!B307,"AAAAADbfCng=")</f>
        <v>#VALUE!</v>
      </c>
      <c r="DR199" t="e">
        <f>AND('OTRAS ACCIONES'!C307,"AAAAADbfCnk=")</f>
        <v>#VALUE!</v>
      </c>
      <c r="DS199" t="e">
        <f>AND('OTRAS ACCIONES'!D307,"AAAAADbfCno=")</f>
        <v>#VALUE!</v>
      </c>
      <c r="DT199" t="e">
        <f>AND('OTRAS ACCIONES'!E307,"AAAAADbfCns=")</f>
        <v>#VALUE!</v>
      </c>
      <c r="DU199" t="e">
        <f>AND('OTRAS ACCIONES'!F307,"AAAAADbfCnw=")</f>
        <v>#VALUE!</v>
      </c>
      <c r="DV199" t="e">
        <f>AND('OTRAS ACCIONES'!G307,"AAAAADbfCn0=")</f>
        <v>#VALUE!</v>
      </c>
      <c r="DW199" t="e">
        <f>AND('OTRAS ACCIONES'!H307,"AAAAADbfCn4=")</f>
        <v>#VALUE!</v>
      </c>
      <c r="DX199" t="e">
        <f>AND('OTRAS ACCIONES'!I307,"AAAAADbfCn8=")</f>
        <v>#VALUE!</v>
      </c>
      <c r="DY199" t="e">
        <f>AND('OTRAS ACCIONES'!J307,"AAAAADbfCoA=")</f>
        <v>#VALUE!</v>
      </c>
      <c r="DZ199" t="e">
        <f>AND('OTRAS ACCIONES'!K307,"AAAAADbfCoE=")</f>
        <v>#VALUE!</v>
      </c>
      <c r="EA199" t="e">
        <f>AND('OTRAS ACCIONES'!L307,"AAAAADbfCoI=")</f>
        <v>#VALUE!</v>
      </c>
      <c r="EB199" t="e">
        <f>AND('OTRAS ACCIONES'!M307,"AAAAADbfCoM=")</f>
        <v>#VALUE!</v>
      </c>
      <c r="EC199" t="e">
        <f>AND('OTRAS ACCIONES'!N307,"AAAAADbfCoQ=")</f>
        <v>#VALUE!</v>
      </c>
      <c r="ED199" t="e">
        <f>AND('OTRAS ACCIONES'!O307,"AAAAADbfCoU=")</f>
        <v>#VALUE!</v>
      </c>
      <c r="EE199" t="e">
        <f>AND('OTRAS ACCIONES'!P307,"AAAAADbfCoY=")</f>
        <v>#VALUE!</v>
      </c>
      <c r="EF199" t="e">
        <f>AND('OTRAS ACCIONES'!Q307,"AAAAADbfCoc=")</f>
        <v>#VALUE!</v>
      </c>
      <c r="EG199" t="e">
        <f>AND('OTRAS ACCIONES'!R307,"AAAAADbfCog=")</f>
        <v>#VALUE!</v>
      </c>
      <c r="EH199">
        <f>IF('OTRAS ACCIONES'!308:308,"AAAAADbfCok=",0)</f>
        <v>0</v>
      </c>
      <c r="EI199" t="e">
        <f>AND('OTRAS ACCIONES'!B308,"AAAAADbfCoo=")</f>
        <v>#VALUE!</v>
      </c>
      <c r="EJ199" t="e">
        <f>AND('OTRAS ACCIONES'!C308,"AAAAADbfCos=")</f>
        <v>#VALUE!</v>
      </c>
      <c r="EK199" t="e">
        <f>AND('OTRAS ACCIONES'!D308,"AAAAADbfCow=")</f>
        <v>#VALUE!</v>
      </c>
      <c r="EL199" t="e">
        <f>AND('OTRAS ACCIONES'!E308,"AAAAADbfCo0=")</f>
        <v>#VALUE!</v>
      </c>
      <c r="EM199" t="e">
        <f>AND('OTRAS ACCIONES'!F308,"AAAAADbfCo4=")</f>
        <v>#VALUE!</v>
      </c>
      <c r="EN199" t="e">
        <f>AND('OTRAS ACCIONES'!G308,"AAAAADbfCo8=")</f>
        <v>#VALUE!</v>
      </c>
      <c r="EO199" t="e">
        <f>AND('OTRAS ACCIONES'!H308,"AAAAADbfCpA=")</f>
        <v>#VALUE!</v>
      </c>
      <c r="EP199" t="e">
        <f>AND('OTRAS ACCIONES'!I308,"AAAAADbfCpE=")</f>
        <v>#VALUE!</v>
      </c>
      <c r="EQ199" t="e">
        <f>AND('OTRAS ACCIONES'!J308,"AAAAADbfCpI=")</f>
        <v>#VALUE!</v>
      </c>
      <c r="ER199" t="e">
        <f>AND('OTRAS ACCIONES'!K308,"AAAAADbfCpM=")</f>
        <v>#VALUE!</v>
      </c>
      <c r="ES199" t="e">
        <f>AND('OTRAS ACCIONES'!L308,"AAAAADbfCpQ=")</f>
        <v>#VALUE!</v>
      </c>
      <c r="ET199" t="e">
        <f>AND('OTRAS ACCIONES'!M308,"AAAAADbfCpU=")</f>
        <v>#VALUE!</v>
      </c>
      <c r="EU199" t="e">
        <f>AND('OTRAS ACCIONES'!N308,"AAAAADbfCpY=")</f>
        <v>#VALUE!</v>
      </c>
      <c r="EV199" t="e">
        <f>AND('OTRAS ACCIONES'!O308,"AAAAADbfCpc=")</f>
        <v>#VALUE!</v>
      </c>
      <c r="EW199" t="e">
        <f>AND('OTRAS ACCIONES'!P308,"AAAAADbfCpg=")</f>
        <v>#VALUE!</v>
      </c>
      <c r="EX199" t="e">
        <f>AND('OTRAS ACCIONES'!Q308,"AAAAADbfCpk=")</f>
        <v>#VALUE!</v>
      </c>
      <c r="EY199" t="e">
        <f>AND('OTRAS ACCIONES'!R308,"AAAAADbfCpo=")</f>
        <v>#VALUE!</v>
      </c>
      <c r="EZ199">
        <f>IF('OTRAS ACCIONES'!309:309,"AAAAADbfCps=",0)</f>
        <v>0</v>
      </c>
      <c r="FA199" t="e">
        <f>AND('OTRAS ACCIONES'!B309,"AAAAADbfCpw=")</f>
        <v>#VALUE!</v>
      </c>
      <c r="FB199" t="e">
        <f>AND('OTRAS ACCIONES'!C309,"AAAAADbfCp0=")</f>
        <v>#VALUE!</v>
      </c>
      <c r="FC199" t="e">
        <f>AND('OTRAS ACCIONES'!D309,"AAAAADbfCp4=")</f>
        <v>#VALUE!</v>
      </c>
      <c r="FD199" t="e">
        <f>AND('OTRAS ACCIONES'!E309,"AAAAADbfCp8=")</f>
        <v>#VALUE!</v>
      </c>
      <c r="FE199" t="e">
        <f>AND('OTRAS ACCIONES'!F309,"AAAAADbfCqA=")</f>
        <v>#VALUE!</v>
      </c>
      <c r="FF199" t="e">
        <f>AND('OTRAS ACCIONES'!G309,"AAAAADbfCqE=")</f>
        <v>#VALUE!</v>
      </c>
      <c r="FG199" t="e">
        <f>AND('OTRAS ACCIONES'!H309,"AAAAADbfCqI=")</f>
        <v>#VALUE!</v>
      </c>
      <c r="FH199" t="e">
        <f>AND('OTRAS ACCIONES'!I309,"AAAAADbfCqM=")</f>
        <v>#VALUE!</v>
      </c>
      <c r="FI199" t="e">
        <f>AND('OTRAS ACCIONES'!J309,"AAAAADbfCqQ=")</f>
        <v>#VALUE!</v>
      </c>
      <c r="FJ199" t="e">
        <f>AND('OTRAS ACCIONES'!K309,"AAAAADbfCqU=")</f>
        <v>#VALUE!</v>
      </c>
      <c r="FK199" t="e">
        <f>AND('OTRAS ACCIONES'!L309,"AAAAADbfCqY=")</f>
        <v>#VALUE!</v>
      </c>
      <c r="FL199" t="e">
        <f>AND('OTRAS ACCIONES'!M309,"AAAAADbfCqc=")</f>
        <v>#VALUE!</v>
      </c>
      <c r="FM199" t="e">
        <f>AND('OTRAS ACCIONES'!N309,"AAAAADbfCqg=")</f>
        <v>#VALUE!</v>
      </c>
      <c r="FN199" t="e">
        <f>AND('OTRAS ACCIONES'!O309,"AAAAADbfCqk=")</f>
        <v>#VALUE!</v>
      </c>
      <c r="FO199" t="e">
        <f>AND('OTRAS ACCIONES'!P309,"AAAAADbfCqo=")</f>
        <v>#VALUE!</v>
      </c>
      <c r="FP199" t="e">
        <f>AND('OTRAS ACCIONES'!Q309,"AAAAADbfCqs=")</f>
        <v>#VALUE!</v>
      </c>
      <c r="FQ199" t="e">
        <f>AND('OTRAS ACCIONES'!R309,"AAAAADbfCqw=")</f>
        <v>#VALUE!</v>
      </c>
      <c r="FR199">
        <f>IF('OTRAS ACCIONES'!310:310,"AAAAADbfCq0=",0)</f>
        <v>0</v>
      </c>
      <c r="FS199" t="e">
        <f>AND('OTRAS ACCIONES'!B310,"AAAAADbfCq4=")</f>
        <v>#VALUE!</v>
      </c>
      <c r="FT199" t="e">
        <f>AND('OTRAS ACCIONES'!C310,"AAAAADbfCq8=")</f>
        <v>#VALUE!</v>
      </c>
      <c r="FU199" t="e">
        <f>AND('OTRAS ACCIONES'!D310,"AAAAADbfCrA=")</f>
        <v>#VALUE!</v>
      </c>
      <c r="FV199" t="e">
        <f>AND('OTRAS ACCIONES'!E310,"AAAAADbfCrE=")</f>
        <v>#VALUE!</v>
      </c>
      <c r="FW199" t="e">
        <f>AND('OTRAS ACCIONES'!F310,"AAAAADbfCrI=")</f>
        <v>#VALUE!</v>
      </c>
      <c r="FX199" t="e">
        <f>AND('OTRAS ACCIONES'!G310,"AAAAADbfCrM=")</f>
        <v>#VALUE!</v>
      </c>
      <c r="FY199" t="e">
        <f>AND('OTRAS ACCIONES'!H310,"AAAAADbfCrQ=")</f>
        <v>#VALUE!</v>
      </c>
      <c r="FZ199" t="e">
        <f>AND('OTRAS ACCIONES'!I310,"AAAAADbfCrU=")</f>
        <v>#VALUE!</v>
      </c>
      <c r="GA199" t="e">
        <f>AND('OTRAS ACCIONES'!J310,"AAAAADbfCrY=")</f>
        <v>#VALUE!</v>
      </c>
      <c r="GB199" t="e">
        <f>AND('OTRAS ACCIONES'!K310,"AAAAADbfCrc=")</f>
        <v>#VALUE!</v>
      </c>
      <c r="GC199" t="e">
        <f>AND('OTRAS ACCIONES'!L310,"AAAAADbfCrg=")</f>
        <v>#VALUE!</v>
      </c>
      <c r="GD199" t="e">
        <f>AND('OTRAS ACCIONES'!M310,"AAAAADbfCrk=")</f>
        <v>#VALUE!</v>
      </c>
      <c r="GE199" t="e">
        <f>AND('OTRAS ACCIONES'!N310,"AAAAADbfCro=")</f>
        <v>#VALUE!</v>
      </c>
      <c r="GF199" t="e">
        <f>AND('OTRAS ACCIONES'!O310,"AAAAADbfCrs=")</f>
        <v>#VALUE!</v>
      </c>
      <c r="GG199" t="e">
        <f>AND('OTRAS ACCIONES'!P310,"AAAAADbfCrw=")</f>
        <v>#VALUE!</v>
      </c>
      <c r="GH199" t="e">
        <f>AND('OTRAS ACCIONES'!Q310,"AAAAADbfCr0=")</f>
        <v>#VALUE!</v>
      </c>
      <c r="GI199" t="e">
        <f>AND('OTRAS ACCIONES'!R310,"AAAAADbfCr4=")</f>
        <v>#VALUE!</v>
      </c>
      <c r="GJ199">
        <f>IF('OTRAS ACCIONES'!311:311,"AAAAADbfCr8=",0)</f>
        <v>0</v>
      </c>
      <c r="GK199" t="e">
        <f>AND('OTRAS ACCIONES'!B311,"AAAAADbfCsA=")</f>
        <v>#VALUE!</v>
      </c>
      <c r="GL199" t="e">
        <f>AND('OTRAS ACCIONES'!C311,"AAAAADbfCsE=")</f>
        <v>#VALUE!</v>
      </c>
      <c r="GM199" t="e">
        <f>AND('OTRAS ACCIONES'!D311,"AAAAADbfCsI=")</f>
        <v>#VALUE!</v>
      </c>
      <c r="GN199" t="e">
        <f>AND('OTRAS ACCIONES'!E311,"AAAAADbfCsM=")</f>
        <v>#VALUE!</v>
      </c>
      <c r="GO199" t="e">
        <f>AND('OTRAS ACCIONES'!F311,"AAAAADbfCsQ=")</f>
        <v>#VALUE!</v>
      </c>
      <c r="GP199" t="e">
        <f>AND('OTRAS ACCIONES'!G311,"AAAAADbfCsU=")</f>
        <v>#VALUE!</v>
      </c>
      <c r="GQ199" t="e">
        <f>AND('OTRAS ACCIONES'!H311,"AAAAADbfCsY=")</f>
        <v>#VALUE!</v>
      </c>
      <c r="GR199" t="e">
        <f>AND('OTRAS ACCIONES'!I311,"AAAAADbfCsc=")</f>
        <v>#VALUE!</v>
      </c>
      <c r="GS199" t="e">
        <f>AND('OTRAS ACCIONES'!J311,"AAAAADbfCsg=")</f>
        <v>#VALUE!</v>
      </c>
      <c r="GT199" t="e">
        <f>AND('OTRAS ACCIONES'!K311,"AAAAADbfCsk=")</f>
        <v>#VALUE!</v>
      </c>
      <c r="GU199" t="e">
        <f>AND('OTRAS ACCIONES'!L311,"AAAAADbfCso=")</f>
        <v>#VALUE!</v>
      </c>
      <c r="GV199" t="e">
        <f>AND('OTRAS ACCIONES'!M311,"AAAAADbfCss=")</f>
        <v>#VALUE!</v>
      </c>
      <c r="GW199" t="e">
        <f>AND('OTRAS ACCIONES'!N311,"AAAAADbfCsw=")</f>
        <v>#VALUE!</v>
      </c>
      <c r="GX199" t="e">
        <f>AND('OTRAS ACCIONES'!O311,"AAAAADbfCs0=")</f>
        <v>#VALUE!</v>
      </c>
      <c r="GY199" t="e">
        <f>AND('OTRAS ACCIONES'!P311,"AAAAADbfCs4=")</f>
        <v>#VALUE!</v>
      </c>
      <c r="GZ199" t="e">
        <f>AND('OTRAS ACCIONES'!Q311,"AAAAADbfCs8=")</f>
        <v>#VALUE!</v>
      </c>
      <c r="HA199" t="e">
        <f>AND('OTRAS ACCIONES'!R311,"AAAAADbfCtA=")</f>
        <v>#VALUE!</v>
      </c>
      <c r="HB199">
        <f>IF('OTRAS ACCIONES'!312:312,"AAAAADbfCtE=",0)</f>
        <v>0</v>
      </c>
      <c r="HC199" t="e">
        <f>AND('OTRAS ACCIONES'!B312,"AAAAADbfCtI=")</f>
        <v>#VALUE!</v>
      </c>
      <c r="HD199" t="e">
        <f>AND('OTRAS ACCIONES'!C312,"AAAAADbfCtM=")</f>
        <v>#VALUE!</v>
      </c>
      <c r="HE199" t="e">
        <f>AND('OTRAS ACCIONES'!D312,"AAAAADbfCtQ=")</f>
        <v>#VALUE!</v>
      </c>
      <c r="HF199" t="e">
        <f>AND('OTRAS ACCIONES'!E312,"AAAAADbfCtU=")</f>
        <v>#VALUE!</v>
      </c>
      <c r="HG199" t="e">
        <f>AND('OTRAS ACCIONES'!F312,"AAAAADbfCtY=")</f>
        <v>#VALUE!</v>
      </c>
      <c r="HH199" t="e">
        <f>AND('OTRAS ACCIONES'!G312,"AAAAADbfCtc=")</f>
        <v>#VALUE!</v>
      </c>
      <c r="HI199" t="e">
        <f>AND('OTRAS ACCIONES'!H312,"AAAAADbfCtg=")</f>
        <v>#VALUE!</v>
      </c>
      <c r="HJ199" t="e">
        <f>AND('OTRAS ACCIONES'!I312,"AAAAADbfCtk=")</f>
        <v>#VALUE!</v>
      </c>
      <c r="HK199" t="e">
        <f>AND('OTRAS ACCIONES'!J312,"AAAAADbfCto=")</f>
        <v>#VALUE!</v>
      </c>
      <c r="HL199" t="e">
        <f>AND('OTRAS ACCIONES'!K312,"AAAAADbfCts=")</f>
        <v>#VALUE!</v>
      </c>
      <c r="HM199" t="e">
        <f>AND('OTRAS ACCIONES'!L312,"AAAAADbfCtw=")</f>
        <v>#VALUE!</v>
      </c>
      <c r="HN199" t="e">
        <f>AND('OTRAS ACCIONES'!M312,"AAAAADbfCt0=")</f>
        <v>#VALUE!</v>
      </c>
      <c r="HO199" t="e">
        <f>AND('OTRAS ACCIONES'!N312,"AAAAADbfCt4=")</f>
        <v>#VALUE!</v>
      </c>
      <c r="HP199" t="e">
        <f>AND('OTRAS ACCIONES'!O312,"AAAAADbfCt8=")</f>
        <v>#VALUE!</v>
      </c>
      <c r="HQ199" t="e">
        <f>AND('OTRAS ACCIONES'!P312,"AAAAADbfCuA=")</f>
        <v>#VALUE!</v>
      </c>
      <c r="HR199" t="e">
        <f>AND('OTRAS ACCIONES'!Q312,"AAAAADbfCuE=")</f>
        <v>#VALUE!</v>
      </c>
      <c r="HS199" t="e">
        <f>AND('OTRAS ACCIONES'!R312,"AAAAADbfCuI=")</f>
        <v>#VALUE!</v>
      </c>
      <c r="HT199">
        <f>IF('OTRAS ACCIONES'!313:313,"AAAAADbfCuM=",0)</f>
        <v>0</v>
      </c>
      <c r="HU199" t="e">
        <f>AND('OTRAS ACCIONES'!B313,"AAAAADbfCuQ=")</f>
        <v>#VALUE!</v>
      </c>
      <c r="HV199" t="e">
        <f>AND('OTRAS ACCIONES'!C313,"AAAAADbfCuU=")</f>
        <v>#VALUE!</v>
      </c>
      <c r="HW199" t="e">
        <f>AND('OTRAS ACCIONES'!D313,"AAAAADbfCuY=")</f>
        <v>#VALUE!</v>
      </c>
      <c r="HX199" t="e">
        <f>AND('OTRAS ACCIONES'!E313,"AAAAADbfCuc=")</f>
        <v>#VALUE!</v>
      </c>
      <c r="HY199" t="e">
        <f>AND('OTRAS ACCIONES'!F313,"AAAAADbfCug=")</f>
        <v>#VALUE!</v>
      </c>
      <c r="HZ199" t="e">
        <f>AND('OTRAS ACCIONES'!G313,"AAAAADbfCuk=")</f>
        <v>#VALUE!</v>
      </c>
      <c r="IA199" t="e">
        <f>AND('OTRAS ACCIONES'!H313,"AAAAADbfCuo=")</f>
        <v>#VALUE!</v>
      </c>
      <c r="IB199" t="e">
        <f>AND('OTRAS ACCIONES'!I313,"AAAAADbfCus=")</f>
        <v>#VALUE!</v>
      </c>
      <c r="IC199" t="e">
        <f>AND('OTRAS ACCIONES'!J313,"AAAAADbfCuw=")</f>
        <v>#VALUE!</v>
      </c>
      <c r="ID199" t="e">
        <f>AND('OTRAS ACCIONES'!K313,"AAAAADbfCu0=")</f>
        <v>#VALUE!</v>
      </c>
      <c r="IE199" t="e">
        <f>AND('OTRAS ACCIONES'!L313,"AAAAADbfCu4=")</f>
        <v>#VALUE!</v>
      </c>
      <c r="IF199" t="e">
        <f>AND('OTRAS ACCIONES'!M313,"AAAAADbfCu8=")</f>
        <v>#VALUE!</v>
      </c>
      <c r="IG199" t="e">
        <f>AND('OTRAS ACCIONES'!N313,"AAAAADbfCvA=")</f>
        <v>#VALUE!</v>
      </c>
      <c r="IH199" t="e">
        <f>AND('OTRAS ACCIONES'!O313,"AAAAADbfCvE=")</f>
        <v>#VALUE!</v>
      </c>
      <c r="II199" t="e">
        <f>AND('OTRAS ACCIONES'!P313,"AAAAADbfCvI=")</f>
        <v>#VALUE!</v>
      </c>
      <c r="IJ199" t="e">
        <f>AND('OTRAS ACCIONES'!Q313,"AAAAADbfCvM=")</f>
        <v>#VALUE!</v>
      </c>
      <c r="IK199" t="e">
        <f>AND('OTRAS ACCIONES'!R313,"AAAAADbfCvQ=")</f>
        <v>#VALUE!</v>
      </c>
      <c r="IL199">
        <f>IF('OTRAS ACCIONES'!314:314,"AAAAADbfCvU=",0)</f>
        <v>0</v>
      </c>
      <c r="IM199" t="e">
        <f>AND('OTRAS ACCIONES'!B314,"AAAAADbfCvY=")</f>
        <v>#VALUE!</v>
      </c>
      <c r="IN199" t="e">
        <f>AND('OTRAS ACCIONES'!C314,"AAAAADbfCvc=")</f>
        <v>#VALUE!</v>
      </c>
      <c r="IO199" t="e">
        <f>AND('OTRAS ACCIONES'!D314,"AAAAADbfCvg=")</f>
        <v>#VALUE!</v>
      </c>
      <c r="IP199" t="e">
        <f>AND('OTRAS ACCIONES'!E314,"AAAAADbfCvk=")</f>
        <v>#VALUE!</v>
      </c>
      <c r="IQ199" t="e">
        <f>AND('OTRAS ACCIONES'!F314,"AAAAADbfCvo=")</f>
        <v>#VALUE!</v>
      </c>
      <c r="IR199" t="e">
        <f>AND('OTRAS ACCIONES'!G314,"AAAAADbfCvs=")</f>
        <v>#VALUE!</v>
      </c>
      <c r="IS199" t="e">
        <f>AND('OTRAS ACCIONES'!H314,"AAAAADbfCvw=")</f>
        <v>#VALUE!</v>
      </c>
      <c r="IT199" t="e">
        <f>AND('OTRAS ACCIONES'!I314,"AAAAADbfCv0=")</f>
        <v>#VALUE!</v>
      </c>
      <c r="IU199" t="e">
        <f>AND('OTRAS ACCIONES'!J314,"AAAAADbfCv4=")</f>
        <v>#VALUE!</v>
      </c>
      <c r="IV199" t="e">
        <f>AND('OTRAS ACCIONES'!K314,"AAAAADbfCv8=")</f>
        <v>#VALUE!</v>
      </c>
    </row>
    <row r="200" spans="1:256" x14ac:dyDescent="0.2">
      <c r="A200" t="e">
        <f>AND('OTRAS ACCIONES'!L314,"AAAAAG/erwA=")</f>
        <v>#VALUE!</v>
      </c>
      <c r="B200" t="e">
        <f>AND('OTRAS ACCIONES'!M314,"AAAAAG/erwE=")</f>
        <v>#VALUE!</v>
      </c>
      <c r="C200" t="e">
        <f>AND('OTRAS ACCIONES'!N314,"AAAAAG/erwI=")</f>
        <v>#VALUE!</v>
      </c>
      <c r="D200" t="e">
        <f>AND('OTRAS ACCIONES'!O314,"AAAAAG/erwM=")</f>
        <v>#VALUE!</v>
      </c>
      <c r="E200" t="e">
        <f>AND('OTRAS ACCIONES'!P314,"AAAAAG/erwQ=")</f>
        <v>#VALUE!</v>
      </c>
      <c r="F200" t="e">
        <f>AND('OTRAS ACCIONES'!Q314,"AAAAAG/erwU=")</f>
        <v>#VALUE!</v>
      </c>
      <c r="G200" t="e">
        <f>AND('OTRAS ACCIONES'!R314,"AAAAAG/erwY=")</f>
        <v>#VALUE!</v>
      </c>
      <c r="H200">
        <f>IF('OTRAS ACCIONES'!315:315,"AAAAAG/erwc=",0)</f>
        <v>0</v>
      </c>
      <c r="I200" t="e">
        <f>AND('OTRAS ACCIONES'!B315,"AAAAAG/erwg=")</f>
        <v>#VALUE!</v>
      </c>
      <c r="J200" t="e">
        <f>AND('OTRAS ACCIONES'!C315,"AAAAAG/erwk=")</f>
        <v>#VALUE!</v>
      </c>
      <c r="K200" t="e">
        <f>AND('OTRAS ACCIONES'!D315,"AAAAAG/erwo=")</f>
        <v>#VALUE!</v>
      </c>
      <c r="L200" t="e">
        <f>AND('OTRAS ACCIONES'!E315,"AAAAAG/erws=")</f>
        <v>#VALUE!</v>
      </c>
      <c r="M200" t="e">
        <f>AND('OTRAS ACCIONES'!F315,"AAAAAG/erww=")</f>
        <v>#VALUE!</v>
      </c>
      <c r="N200" t="e">
        <f>AND('OTRAS ACCIONES'!G315,"AAAAAG/erw0=")</f>
        <v>#VALUE!</v>
      </c>
      <c r="O200" t="e">
        <f>AND('OTRAS ACCIONES'!H315,"AAAAAG/erw4=")</f>
        <v>#VALUE!</v>
      </c>
      <c r="P200" t="e">
        <f>AND('OTRAS ACCIONES'!I315,"AAAAAG/erw8=")</f>
        <v>#VALUE!</v>
      </c>
      <c r="Q200" t="e">
        <f>AND('OTRAS ACCIONES'!J315,"AAAAAG/erxA=")</f>
        <v>#VALUE!</v>
      </c>
      <c r="R200" t="e">
        <f>AND('OTRAS ACCIONES'!K315,"AAAAAG/erxE=")</f>
        <v>#VALUE!</v>
      </c>
      <c r="S200" t="e">
        <f>AND('OTRAS ACCIONES'!L315,"AAAAAG/erxI=")</f>
        <v>#VALUE!</v>
      </c>
      <c r="T200" t="e">
        <f>AND('OTRAS ACCIONES'!M315,"AAAAAG/erxM=")</f>
        <v>#VALUE!</v>
      </c>
      <c r="U200" t="e">
        <f>AND('OTRAS ACCIONES'!N315,"AAAAAG/erxQ=")</f>
        <v>#VALUE!</v>
      </c>
      <c r="V200" t="e">
        <f>AND('OTRAS ACCIONES'!O315,"AAAAAG/erxU=")</f>
        <v>#VALUE!</v>
      </c>
      <c r="W200" t="e">
        <f>AND('OTRAS ACCIONES'!P315,"AAAAAG/erxY=")</f>
        <v>#VALUE!</v>
      </c>
      <c r="X200" t="e">
        <f>AND('OTRAS ACCIONES'!Q315,"AAAAAG/erxc=")</f>
        <v>#VALUE!</v>
      </c>
      <c r="Y200" t="e">
        <f>AND('OTRAS ACCIONES'!R315,"AAAAAG/erxg=")</f>
        <v>#VALUE!</v>
      </c>
      <c r="Z200">
        <f>IF('OTRAS ACCIONES'!316:316,"AAAAAG/erxk=",0)</f>
        <v>0</v>
      </c>
      <c r="AA200" t="e">
        <f>AND('OTRAS ACCIONES'!B316,"AAAAAG/erxo=")</f>
        <v>#VALUE!</v>
      </c>
      <c r="AB200" t="e">
        <f>AND('OTRAS ACCIONES'!C316,"AAAAAG/erxs=")</f>
        <v>#VALUE!</v>
      </c>
      <c r="AC200" t="e">
        <f>AND('OTRAS ACCIONES'!D316,"AAAAAG/erxw=")</f>
        <v>#VALUE!</v>
      </c>
      <c r="AD200" t="e">
        <f>AND('OTRAS ACCIONES'!E316,"AAAAAG/erx0=")</f>
        <v>#VALUE!</v>
      </c>
      <c r="AE200" t="e">
        <f>AND('OTRAS ACCIONES'!F316,"AAAAAG/erx4=")</f>
        <v>#VALUE!</v>
      </c>
      <c r="AF200" t="e">
        <f>AND('OTRAS ACCIONES'!G316,"AAAAAG/erx8=")</f>
        <v>#VALUE!</v>
      </c>
      <c r="AG200" t="e">
        <f>AND('OTRAS ACCIONES'!H316,"AAAAAG/eryA=")</f>
        <v>#VALUE!</v>
      </c>
      <c r="AH200" t="e">
        <f>AND('OTRAS ACCIONES'!I316,"AAAAAG/eryE=")</f>
        <v>#VALUE!</v>
      </c>
      <c r="AI200" t="e">
        <f>AND('OTRAS ACCIONES'!J316,"AAAAAG/eryI=")</f>
        <v>#VALUE!</v>
      </c>
      <c r="AJ200" t="e">
        <f>AND('OTRAS ACCIONES'!K316,"AAAAAG/eryM=")</f>
        <v>#VALUE!</v>
      </c>
      <c r="AK200" t="e">
        <f>AND('OTRAS ACCIONES'!L316,"AAAAAG/eryQ=")</f>
        <v>#VALUE!</v>
      </c>
      <c r="AL200" t="e">
        <f>AND('OTRAS ACCIONES'!M316,"AAAAAG/eryU=")</f>
        <v>#VALUE!</v>
      </c>
      <c r="AM200" t="e">
        <f>AND('OTRAS ACCIONES'!N316,"AAAAAG/eryY=")</f>
        <v>#VALUE!</v>
      </c>
      <c r="AN200" t="e">
        <f>AND('OTRAS ACCIONES'!O316,"AAAAAG/eryc=")</f>
        <v>#VALUE!</v>
      </c>
      <c r="AO200" t="e">
        <f>AND('OTRAS ACCIONES'!P316,"AAAAAG/eryg=")</f>
        <v>#VALUE!</v>
      </c>
      <c r="AP200" t="e">
        <f>AND('OTRAS ACCIONES'!Q316,"AAAAAG/eryk=")</f>
        <v>#VALUE!</v>
      </c>
      <c r="AQ200" t="e">
        <f>AND('OTRAS ACCIONES'!R316,"AAAAAG/eryo=")</f>
        <v>#VALUE!</v>
      </c>
      <c r="AR200">
        <f>IF('OTRAS ACCIONES'!317:317,"AAAAAG/erys=",0)</f>
        <v>0</v>
      </c>
      <c r="AS200" t="e">
        <f>AND('OTRAS ACCIONES'!B317,"AAAAAG/eryw=")</f>
        <v>#VALUE!</v>
      </c>
      <c r="AT200" t="e">
        <f>AND('OTRAS ACCIONES'!C317,"AAAAAG/ery0=")</f>
        <v>#VALUE!</v>
      </c>
      <c r="AU200" t="e">
        <f>AND('OTRAS ACCIONES'!D317,"AAAAAG/ery4=")</f>
        <v>#VALUE!</v>
      </c>
      <c r="AV200" t="e">
        <f>AND('OTRAS ACCIONES'!E317,"AAAAAG/ery8=")</f>
        <v>#VALUE!</v>
      </c>
      <c r="AW200" t="e">
        <f>AND('OTRAS ACCIONES'!F317,"AAAAAG/erzA=")</f>
        <v>#VALUE!</v>
      </c>
      <c r="AX200" t="e">
        <f>AND('OTRAS ACCIONES'!G317,"AAAAAG/erzE=")</f>
        <v>#VALUE!</v>
      </c>
      <c r="AY200" t="e">
        <f>AND('OTRAS ACCIONES'!H317,"AAAAAG/erzI=")</f>
        <v>#VALUE!</v>
      </c>
      <c r="AZ200" t="e">
        <f>AND('OTRAS ACCIONES'!I317,"AAAAAG/erzM=")</f>
        <v>#VALUE!</v>
      </c>
      <c r="BA200" t="e">
        <f>AND('OTRAS ACCIONES'!J317,"AAAAAG/erzQ=")</f>
        <v>#VALUE!</v>
      </c>
      <c r="BB200" t="e">
        <f>AND('OTRAS ACCIONES'!K317,"AAAAAG/erzU=")</f>
        <v>#VALUE!</v>
      </c>
      <c r="BC200" t="e">
        <f>AND('OTRAS ACCIONES'!L317,"AAAAAG/erzY=")</f>
        <v>#VALUE!</v>
      </c>
      <c r="BD200" t="e">
        <f>AND('OTRAS ACCIONES'!M317,"AAAAAG/erzc=")</f>
        <v>#VALUE!</v>
      </c>
      <c r="BE200" t="e">
        <f>AND('OTRAS ACCIONES'!N317,"AAAAAG/erzg=")</f>
        <v>#VALUE!</v>
      </c>
      <c r="BF200" t="e">
        <f>AND('OTRAS ACCIONES'!O317,"AAAAAG/erzk=")</f>
        <v>#VALUE!</v>
      </c>
      <c r="BG200" t="e">
        <f>AND('OTRAS ACCIONES'!P317,"AAAAAG/erzo=")</f>
        <v>#VALUE!</v>
      </c>
      <c r="BH200" t="e">
        <f>AND('OTRAS ACCIONES'!Q317,"AAAAAG/erzs=")</f>
        <v>#VALUE!</v>
      </c>
      <c r="BI200" t="e">
        <f>AND('OTRAS ACCIONES'!R317,"AAAAAG/erzw=")</f>
        <v>#VALUE!</v>
      </c>
      <c r="BJ200">
        <f>IF('OTRAS ACCIONES'!318:318,"AAAAAG/erz0=",0)</f>
        <v>0</v>
      </c>
      <c r="BK200" t="e">
        <f>AND('OTRAS ACCIONES'!B318,"AAAAAG/erz4=")</f>
        <v>#VALUE!</v>
      </c>
      <c r="BL200" t="e">
        <f>AND('OTRAS ACCIONES'!C318,"AAAAAG/erz8=")</f>
        <v>#VALUE!</v>
      </c>
      <c r="BM200" t="e">
        <f>AND('OTRAS ACCIONES'!D318,"AAAAAG/er0A=")</f>
        <v>#VALUE!</v>
      </c>
      <c r="BN200" t="e">
        <f>AND('OTRAS ACCIONES'!E318,"AAAAAG/er0E=")</f>
        <v>#VALUE!</v>
      </c>
      <c r="BO200" t="e">
        <f>AND('OTRAS ACCIONES'!F318,"AAAAAG/er0I=")</f>
        <v>#VALUE!</v>
      </c>
      <c r="BP200" t="e">
        <f>AND('OTRAS ACCIONES'!G318,"AAAAAG/er0M=")</f>
        <v>#VALUE!</v>
      </c>
      <c r="BQ200" t="e">
        <f>AND('OTRAS ACCIONES'!H318,"AAAAAG/er0Q=")</f>
        <v>#VALUE!</v>
      </c>
      <c r="BR200" t="e">
        <f>AND('OTRAS ACCIONES'!I318,"AAAAAG/er0U=")</f>
        <v>#VALUE!</v>
      </c>
      <c r="BS200" t="e">
        <f>AND('OTRAS ACCIONES'!J318,"AAAAAG/er0Y=")</f>
        <v>#VALUE!</v>
      </c>
      <c r="BT200" t="e">
        <f>AND('OTRAS ACCIONES'!K318,"AAAAAG/er0c=")</f>
        <v>#VALUE!</v>
      </c>
      <c r="BU200" t="e">
        <f>AND('OTRAS ACCIONES'!L318,"AAAAAG/er0g=")</f>
        <v>#VALUE!</v>
      </c>
      <c r="BV200" t="e">
        <f>AND('OTRAS ACCIONES'!M318,"AAAAAG/er0k=")</f>
        <v>#VALUE!</v>
      </c>
      <c r="BW200" t="e">
        <f>AND('OTRAS ACCIONES'!N318,"AAAAAG/er0o=")</f>
        <v>#VALUE!</v>
      </c>
      <c r="BX200" t="e">
        <f>AND('OTRAS ACCIONES'!O318,"AAAAAG/er0s=")</f>
        <v>#VALUE!</v>
      </c>
      <c r="BY200" t="e">
        <f>AND('OTRAS ACCIONES'!P318,"AAAAAG/er0w=")</f>
        <v>#VALUE!</v>
      </c>
      <c r="BZ200" t="e">
        <f>AND('OTRAS ACCIONES'!Q318,"AAAAAG/er00=")</f>
        <v>#VALUE!</v>
      </c>
      <c r="CA200" t="e">
        <f>AND('OTRAS ACCIONES'!R318,"AAAAAG/er04=")</f>
        <v>#VALUE!</v>
      </c>
      <c r="CB200">
        <f>IF('OTRAS ACCIONES'!319:319,"AAAAAG/er08=",0)</f>
        <v>0</v>
      </c>
      <c r="CC200" t="e">
        <f>AND('OTRAS ACCIONES'!B319,"AAAAAG/er1A=")</f>
        <v>#VALUE!</v>
      </c>
      <c r="CD200" t="e">
        <f>AND('OTRAS ACCIONES'!C319,"AAAAAG/er1E=")</f>
        <v>#VALUE!</v>
      </c>
      <c r="CE200" t="e">
        <f>AND('OTRAS ACCIONES'!D319,"AAAAAG/er1I=")</f>
        <v>#VALUE!</v>
      </c>
      <c r="CF200" t="e">
        <f>AND('OTRAS ACCIONES'!E319,"AAAAAG/er1M=")</f>
        <v>#VALUE!</v>
      </c>
      <c r="CG200" t="e">
        <f>AND('OTRAS ACCIONES'!F319,"AAAAAG/er1Q=")</f>
        <v>#VALUE!</v>
      </c>
      <c r="CH200" t="e">
        <f>AND('OTRAS ACCIONES'!G319,"AAAAAG/er1U=")</f>
        <v>#VALUE!</v>
      </c>
      <c r="CI200" t="e">
        <f>AND('OTRAS ACCIONES'!H319,"AAAAAG/er1Y=")</f>
        <v>#VALUE!</v>
      </c>
      <c r="CJ200" t="e">
        <f>AND('OTRAS ACCIONES'!I319,"AAAAAG/er1c=")</f>
        <v>#VALUE!</v>
      </c>
      <c r="CK200" t="e">
        <f>AND('OTRAS ACCIONES'!J319,"AAAAAG/er1g=")</f>
        <v>#VALUE!</v>
      </c>
      <c r="CL200" t="e">
        <f>AND('OTRAS ACCIONES'!K319,"AAAAAG/er1k=")</f>
        <v>#VALUE!</v>
      </c>
      <c r="CM200" t="e">
        <f>AND('OTRAS ACCIONES'!L319,"AAAAAG/er1o=")</f>
        <v>#VALUE!</v>
      </c>
      <c r="CN200" t="e">
        <f>AND('OTRAS ACCIONES'!M319,"AAAAAG/er1s=")</f>
        <v>#VALUE!</v>
      </c>
      <c r="CO200" t="e">
        <f>AND('OTRAS ACCIONES'!N319,"AAAAAG/er1w=")</f>
        <v>#VALUE!</v>
      </c>
      <c r="CP200" t="e">
        <f>AND('OTRAS ACCIONES'!O319,"AAAAAG/er10=")</f>
        <v>#VALUE!</v>
      </c>
      <c r="CQ200" t="e">
        <f>AND('OTRAS ACCIONES'!P319,"AAAAAG/er14=")</f>
        <v>#VALUE!</v>
      </c>
      <c r="CR200" t="e">
        <f>AND('OTRAS ACCIONES'!Q319,"AAAAAG/er18=")</f>
        <v>#VALUE!</v>
      </c>
      <c r="CS200" t="e">
        <f>AND('OTRAS ACCIONES'!R319,"AAAAAG/er2A=")</f>
        <v>#VALUE!</v>
      </c>
      <c r="CT200">
        <f>IF('OTRAS ACCIONES'!320:320,"AAAAAG/er2E=",0)</f>
        <v>0</v>
      </c>
      <c r="CU200" t="e">
        <f>AND('OTRAS ACCIONES'!B320,"AAAAAG/er2I=")</f>
        <v>#VALUE!</v>
      </c>
      <c r="CV200" t="e">
        <f>AND('OTRAS ACCIONES'!C320,"AAAAAG/er2M=")</f>
        <v>#VALUE!</v>
      </c>
      <c r="CW200" t="e">
        <f>AND('OTRAS ACCIONES'!D320,"AAAAAG/er2Q=")</f>
        <v>#VALUE!</v>
      </c>
      <c r="CX200" t="e">
        <f>AND('OTRAS ACCIONES'!E320,"AAAAAG/er2U=")</f>
        <v>#VALUE!</v>
      </c>
      <c r="CY200" t="e">
        <f>AND('OTRAS ACCIONES'!F320,"AAAAAG/er2Y=")</f>
        <v>#VALUE!</v>
      </c>
      <c r="CZ200" t="e">
        <f>AND('OTRAS ACCIONES'!G320,"AAAAAG/er2c=")</f>
        <v>#VALUE!</v>
      </c>
      <c r="DA200" t="e">
        <f>AND('OTRAS ACCIONES'!H320,"AAAAAG/er2g=")</f>
        <v>#VALUE!</v>
      </c>
      <c r="DB200" t="e">
        <f>AND('OTRAS ACCIONES'!I320,"AAAAAG/er2k=")</f>
        <v>#VALUE!</v>
      </c>
      <c r="DC200" t="e">
        <f>AND('OTRAS ACCIONES'!J320,"AAAAAG/er2o=")</f>
        <v>#VALUE!</v>
      </c>
      <c r="DD200" t="e">
        <f>AND('OTRAS ACCIONES'!K320,"AAAAAG/er2s=")</f>
        <v>#VALUE!</v>
      </c>
      <c r="DE200" t="e">
        <f>AND('OTRAS ACCIONES'!L320,"AAAAAG/er2w=")</f>
        <v>#VALUE!</v>
      </c>
      <c r="DF200" t="e">
        <f>AND('OTRAS ACCIONES'!M320,"AAAAAG/er20=")</f>
        <v>#VALUE!</v>
      </c>
      <c r="DG200" t="e">
        <f>AND('OTRAS ACCIONES'!N320,"AAAAAG/er24=")</f>
        <v>#VALUE!</v>
      </c>
      <c r="DH200" t="e">
        <f>AND('OTRAS ACCIONES'!O320,"AAAAAG/er28=")</f>
        <v>#VALUE!</v>
      </c>
      <c r="DI200" t="e">
        <f>AND('OTRAS ACCIONES'!P320,"AAAAAG/er3A=")</f>
        <v>#VALUE!</v>
      </c>
      <c r="DJ200" t="e">
        <f>AND('OTRAS ACCIONES'!Q320,"AAAAAG/er3E=")</f>
        <v>#VALUE!</v>
      </c>
      <c r="DK200" t="e">
        <f>AND('OTRAS ACCIONES'!R320,"AAAAAG/er3I=")</f>
        <v>#VALUE!</v>
      </c>
      <c r="DL200">
        <f>IF('OTRAS ACCIONES'!321:321,"AAAAAG/er3M=",0)</f>
        <v>0</v>
      </c>
      <c r="DM200" t="e">
        <f>AND('OTRAS ACCIONES'!B321,"AAAAAG/er3Q=")</f>
        <v>#VALUE!</v>
      </c>
      <c r="DN200" t="e">
        <f>AND('OTRAS ACCIONES'!C321,"AAAAAG/er3U=")</f>
        <v>#VALUE!</v>
      </c>
      <c r="DO200" t="e">
        <f>AND('OTRAS ACCIONES'!D321,"AAAAAG/er3Y=")</f>
        <v>#VALUE!</v>
      </c>
      <c r="DP200" t="e">
        <f>AND('OTRAS ACCIONES'!E321,"AAAAAG/er3c=")</f>
        <v>#VALUE!</v>
      </c>
      <c r="DQ200" t="e">
        <f>AND('OTRAS ACCIONES'!F321,"AAAAAG/er3g=")</f>
        <v>#VALUE!</v>
      </c>
      <c r="DR200" t="e">
        <f>AND('OTRAS ACCIONES'!G321,"AAAAAG/er3k=")</f>
        <v>#VALUE!</v>
      </c>
      <c r="DS200" t="e">
        <f>AND('OTRAS ACCIONES'!H321,"AAAAAG/er3o=")</f>
        <v>#VALUE!</v>
      </c>
      <c r="DT200" t="e">
        <f>AND('OTRAS ACCIONES'!I321,"AAAAAG/er3s=")</f>
        <v>#VALUE!</v>
      </c>
      <c r="DU200" t="e">
        <f>AND('OTRAS ACCIONES'!J321,"AAAAAG/er3w=")</f>
        <v>#VALUE!</v>
      </c>
      <c r="DV200" t="e">
        <f>AND('OTRAS ACCIONES'!K321,"AAAAAG/er30=")</f>
        <v>#VALUE!</v>
      </c>
      <c r="DW200" t="e">
        <f>AND('OTRAS ACCIONES'!L321,"AAAAAG/er34=")</f>
        <v>#VALUE!</v>
      </c>
      <c r="DX200" t="e">
        <f>AND('OTRAS ACCIONES'!M321,"AAAAAG/er38=")</f>
        <v>#VALUE!</v>
      </c>
      <c r="DY200" t="e">
        <f>AND('OTRAS ACCIONES'!N321,"AAAAAG/er4A=")</f>
        <v>#VALUE!</v>
      </c>
      <c r="DZ200" t="e">
        <f>AND('OTRAS ACCIONES'!O321,"AAAAAG/er4E=")</f>
        <v>#VALUE!</v>
      </c>
      <c r="EA200" t="e">
        <f>AND('OTRAS ACCIONES'!P321,"AAAAAG/er4I=")</f>
        <v>#VALUE!</v>
      </c>
      <c r="EB200" t="e">
        <f>AND('OTRAS ACCIONES'!Q321,"AAAAAG/er4M=")</f>
        <v>#VALUE!</v>
      </c>
      <c r="EC200" t="e">
        <f>AND('OTRAS ACCIONES'!R321,"AAAAAG/er4Q=")</f>
        <v>#VALUE!</v>
      </c>
      <c r="ED200">
        <f>IF('OTRAS ACCIONES'!322:322,"AAAAAG/er4U=",0)</f>
        <v>0</v>
      </c>
      <c r="EE200" t="e">
        <f>AND('OTRAS ACCIONES'!B322,"AAAAAG/er4Y=")</f>
        <v>#VALUE!</v>
      </c>
      <c r="EF200" t="e">
        <f>AND('OTRAS ACCIONES'!C322,"AAAAAG/er4c=")</f>
        <v>#VALUE!</v>
      </c>
      <c r="EG200" t="e">
        <f>AND('OTRAS ACCIONES'!D322,"AAAAAG/er4g=")</f>
        <v>#VALUE!</v>
      </c>
      <c r="EH200" t="e">
        <f>AND('OTRAS ACCIONES'!E322,"AAAAAG/er4k=")</f>
        <v>#VALUE!</v>
      </c>
      <c r="EI200" t="e">
        <f>AND('OTRAS ACCIONES'!F322,"AAAAAG/er4o=")</f>
        <v>#VALUE!</v>
      </c>
      <c r="EJ200" t="e">
        <f>AND('OTRAS ACCIONES'!G322,"AAAAAG/er4s=")</f>
        <v>#VALUE!</v>
      </c>
      <c r="EK200" t="e">
        <f>AND('OTRAS ACCIONES'!H322,"AAAAAG/er4w=")</f>
        <v>#VALUE!</v>
      </c>
      <c r="EL200" t="e">
        <f>AND('OTRAS ACCIONES'!I322,"AAAAAG/er40=")</f>
        <v>#VALUE!</v>
      </c>
      <c r="EM200" t="e">
        <f>AND('OTRAS ACCIONES'!J322,"AAAAAG/er44=")</f>
        <v>#VALUE!</v>
      </c>
      <c r="EN200" t="e">
        <f>AND('OTRAS ACCIONES'!K322,"AAAAAG/er48=")</f>
        <v>#VALUE!</v>
      </c>
      <c r="EO200" t="e">
        <f>AND('OTRAS ACCIONES'!L322,"AAAAAG/er5A=")</f>
        <v>#VALUE!</v>
      </c>
      <c r="EP200" t="e">
        <f>AND('OTRAS ACCIONES'!M322,"AAAAAG/er5E=")</f>
        <v>#VALUE!</v>
      </c>
      <c r="EQ200" t="e">
        <f>AND('OTRAS ACCIONES'!N322,"AAAAAG/er5I=")</f>
        <v>#VALUE!</v>
      </c>
      <c r="ER200" t="e">
        <f>AND('OTRAS ACCIONES'!O322,"AAAAAG/er5M=")</f>
        <v>#VALUE!</v>
      </c>
      <c r="ES200" t="e">
        <f>AND('OTRAS ACCIONES'!P322,"AAAAAG/er5Q=")</f>
        <v>#VALUE!</v>
      </c>
      <c r="ET200" t="e">
        <f>AND('OTRAS ACCIONES'!Q322,"AAAAAG/er5U=")</f>
        <v>#VALUE!</v>
      </c>
      <c r="EU200" t="e">
        <f>AND('OTRAS ACCIONES'!R322,"AAAAAG/er5Y=")</f>
        <v>#VALUE!</v>
      </c>
      <c r="EV200">
        <f>IF('OTRAS ACCIONES'!323:323,"AAAAAG/er5c=",0)</f>
        <v>0</v>
      </c>
      <c r="EW200" t="e">
        <f>AND('OTRAS ACCIONES'!B323,"AAAAAG/er5g=")</f>
        <v>#VALUE!</v>
      </c>
      <c r="EX200" t="e">
        <f>AND('OTRAS ACCIONES'!C323,"AAAAAG/er5k=")</f>
        <v>#VALUE!</v>
      </c>
      <c r="EY200" t="e">
        <f>AND('OTRAS ACCIONES'!D323,"AAAAAG/er5o=")</f>
        <v>#VALUE!</v>
      </c>
      <c r="EZ200" t="e">
        <f>AND('OTRAS ACCIONES'!E323,"AAAAAG/er5s=")</f>
        <v>#VALUE!</v>
      </c>
      <c r="FA200" t="e">
        <f>AND('OTRAS ACCIONES'!F323,"AAAAAG/er5w=")</f>
        <v>#VALUE!</v>
      </c>
      <c r="FB200" t="e">
        <f>AND('OTRAS ACCIONES'!G323,"AAAAAG/er50=")</f>
        <v>#VALUE!</v>
      </c>
      <c r="FC200" t="e">
        <f>AND('OTRAS ACCIONES'!H323,"AAAAAG/er54=")</f>
        <v>#VALUE!</v>
      </c>
      <c r="FD200" t="e">
        <f>AND('OTRAS ACCIONES'!I323,"AAAAAG/er58=")</f>
        <v>#VALUE!</v>
      </c>
      <c r="FE200" t="e">
        <f>AND('OTRAS ACCIONES'!J323,"AAAAAG/er6A=")</f>
        <v>#VALUE!</v>
      </c>
      <c r="FF200" t="e">
        <f>AND('OTRAS ACCIONES'!K323,"AAAAAG/er6E=")</f>
        <v>#VALUE!</v>
      </c>
      <c r="FG200" t="e">
        <f>AND('OTRAS ACCIONES'!L323,"AAAAAG/er6I=")</f>
        <v>#VALUE!</v>
      </c>
      <c r="FH200" t="e">
        <f>AND('OTRAS ACCIONES'!M323,"AAAAAG/er6M=")</f>
        <v>#VALUE!</v>
      </c>
      <c r="FI200" t="e">
        <f>AND('OTRAS ACCIONES'!N323,"AAAAAG/er6Q=")</f>
        <v>#VALUE!</v>
      </c>
      <c r="FJ200" t="e">
        <f>AND('OTRAS ACCIONES'!O323,"AAAAAG/er6U=")</f>
        <v>#VALUE!</v>
      </c>
      <c r="FK200" t="e">
        <f>AND('OTRAS ACCIONES'!P323,"AAAAAG/er6Y=")</f>
        <v>#VALUE!</v>
      </c>
      <c r="FL200" t="e">
        <f>AND('OTRAS ACCIONES'!Q323,"AAAAAG/er6c=")</f>
        <v>#VALUE!</v>
      </c>
      <c r="FM200" t="e">
        <f>AND('OTRAS ACCIONES'!R323,"AAAAAG/er6g=")</f>
        <v>#VALUE!</v>
      </c>
      <c r="FN200">
        <f>IF('OTRAS ACCIONES'!324:324,"AAAAAG/er6k=",0)</f>
        <v>0</v>
      </c>
      <c r="FO200" t="e">
        <f>AND('OTRAS ACCIONES'!B324,"AAAAAG/er6o=")</f>
        <v>#VALUE!</v>
      </c>
      <c r="FP200" t="e">
        <f>AND('OTRAS ACCIONES'!C324,"AAAAAG/er6s=")</f>
        <v>#VALUE!</v>
      </c>
      <c r="FQ200" t="e">
        <f>AND('OTRAS ACCIONES'!D324,"AAAAAG/er6w=")</f>
        <v>#VALUE!</v>
      </c>
      <c r="FR200" t="e">
        <f>AND('OTRAS ACCIONES'!E324,"AAAAAG/er60=")</f>
        <v>#VALUE!</v>
      </c>
      <c r="FS200" t="e">
        <f>AND('OTRAS ACCIONES'!F324,"AAAAAG/er64=")</f>
        <v>#VALUE!</v>
      </c>
      <c r="FT200" t="e">
        <f>AND('OTRAS ACCIONES'!G324,"AAAAAG/er68=")</f>
        <v>#VALUE!</v>
      </c>
      <c r="FU200" t="e">
        <f>AND('OTRAS ACCIONES'!H324,"AAAAAG/er7A=")</f>
        <v>#VALUE!</v>
      </c>
      <c r="FV200" t="e">
        <f>AND('OTRAS ACCIONES'!I324,"AAAAAG/er7E=")</f>
        <v>#VALUE!</v>
      </c>
      <c r="FW200" t="e">
        <f>AND('OTRAS ACCIONES'!J324,"AAAAAG/er7I=")</f>
        <v>#VALUE!</v>
      </c>
      <c r="FX200" t="e">
        <f>AND('OTRAS ACCIONES'!K324,"AAAAAG/er7M=")</f>
        <v>#VALUE!</v>
      </c>
      <c r="FY200" t="e">
        <f>AND('OTRAS ACCIONES'!L324,"AAAAAG/er7Q=")</f>
        <v>#VALUE!</v>
      </c>
      <c r="FZ200" t="e">
        <f>AND('OTRAS ACCIONES'!M324,"AAAAAG/er7U=")</f>
        <v>#VALUE!</v>
      </c>
      <c r="GA200" t="e">
        <f>AND('OTRAS ACCIONES'!N324,"AAAAAG/er7Y=")</f>
        <v>#VALUE!</v>
      </c>
      <c r="GB200" t="e">
        <f>AND('OTRAS ACCIONES'!O324,"AAAAAG/er7c=")</f>
        <v>#VALUE!</v>
      </c>
      <c r="GC200" t="e">
        <f>AND('OTRAS ACCIONES'!P324,"AAAAAG/er7g=")</f>
        <v>#VALUE!</v>
      </c>
      <c r="GD200" t="e">
        <f>AND('OTRAS ACCIONES'!Q324,"AAAAAG/er7k=")</f>
        <v>#VALUE!</v>
      </c>
      <c r="GE200" t="e">
        <f>AND('OTRAS ACCIONES'!R324,"AAAAAG/er7o=")</f>
        <v>#VALUE!</v>
      </c>
      <c r="GF200">
        <f>IF('OTRAS ACCIONES'!325:325,"AAAAAG/er7s=",0)</f>
        <v>0</v>
      </c>
      <c r="GG200" t="e">
        <f>AND('OTRAS ACCIONES'!B325,"AAAAAG/er7w=")</f>
        <v>#VALUE!</v>
      </c>
      <c r="GH200" t="e">
        <f>AND('OTRAS ACCIONES'!C325,"AAAAAG/er70=")</f>
        <v>#VALUE!</v>
      </c>
      <c r="GI200" t="e">
        <f>AND('OTRAS ACCIONES'!D325,"AAAAAG/er74=")</f>
        <v>#VALUE!</v>
      </c>
      <c r="GJ200" t="e">
        <f>AND('OTRAS ACCIONES'!E325,"AAAAAG/er78=")</f>
        <v>#VALUE!</v>
      </c>
      <c r="GK200" t="e">
        <f>AND('OTRAS ACCIONES'!F325,"AAAAAG/er8A=")</f>
        <v>#VALUE!</v>
      </c>
      <c r="GL200" t="e">
        <f>AND('OTRAS ACCIONES'!G325,"AAAAAG/er8E=")</f>
        <v>#VALUE!</v>
      </c>
      <c r="GM200" t="e">
        <f>AND('OTRAS ACCIONES'!H325,"AAAAAG/er8I=")</f>
        <v>#VALUE!</v>
      </c>
      <c r="GN200" t="e">
        <f>AND('OTRAS ACCIONES'!I325,"AAAAAG/er8M=")</f>
        <v>#VALUE!</v>
      </c>
      <c r="GO200" t="e">
        <f>AND('OTRAS ACCIONES'!J325,"AAAAAG/er8Q=")</f>
        <v>#VALUE!</v>
      </c>
      <c r="GP200" t="e">
        <f>AND('OTRAS ACCIONES'!K325,"AAAAAG/er8U=")</f>
        <v>#VALUE!</v>
      </c>
      <c r="GQ200" t="e">
        <f>AND('OTRAS ACCIONES'!L325,"AAAAAG/er8Y=")</f>
        <v>#VALUE!</v>
      </c>
      <c r="GR200" t="e">
        <f>AND('OTRAS ACCIONES'!M325,"AAAAAG/er8c=")</f>
        <v>#VALUE!</v>
      </c>
      <c r="GS200" t="e">
        <f>AND('OTRAS ACCIONES'!N325,"AAAAAG/er8g=")</f>
        <v>#VALUE!</v>
      </c>
      <c r="GT200" t="e">
        <f>AND('OTRAS ACCIONES'!O325,"AAAAAG/er8k=")</f>
        <v>#VALUE!</v>
      </c>
      <c r="GU200" t="e">
        <f>AND('OTRAS ACCIONES'!P325,"AAAAAG/er8o=")</f>
        <v>#VALUE!</v>
      </c>
      <c r="GV200" t="e">
        <f>AND('OTRAS ACCIONES'!Q325,"AAAAAG/er8s=")</f>
        <v>#VALUE!</v>
      </c>
      <c r="GW200" t="e">
        <f>AND('OTRAS ACCIONES'!R325,"AAAAAG/er8w=")</f>
        <v>#VALUE!</v>
      </c>
      <c r="GX200">
        <f>IF('OTRAS ACCIONES'!326:326,"AAAAAG/er80=",0)</f>
        <v>0</v>
      </c>
      <c r="GY200" t="e">
        <f>AND('OTRAS ACCIONES'!B326,"AAAAAG/er84=")</f>
        <v>#VALUE!</v>
      </c>
      <c r="GZ200" t="e">
        <f>AND('OTRAS ACCIONES'!C326,"AAAAAG/er88=")</f>
        <v>#VALUE!</v>
      </c>
      <c r="HA200" t="e">
        <f>AND('OTRAS ACCIONES'!D326,"AAAAAG/er9A=")</f>
        <v>#VALUE!</v>
      </c>
      <c r="HB200" t="e">
        <f>AND('OTRAS ACCIONES'!E326,"AAAAAG/er9E=")</f>
        <v>#VALUE!</v>
      </c>
      <c r="HC200" t="e">
        <f>AND('OTRAS ACCIONES'!F326,"AAAAAG/er9I=")</f>
        <v>#VALUE!</v>
      </c>
      <c r="HD200" t="e">
        <f>AND('OTRAS ACCIONES'!G326,"AAAAAG/er9M=")</f>
        <v>#VALUE!</v>
      </c>
      <c r="HE200" t="e">
        <f>AND('OTRAS ACCIONES'!H326,"AAAAAG/er9Q=")</f>
        <v>#VALUE!</v>
      </c>
      <c r="HF200" t="e">
        <f>AND('OTRAS ACCIONES'!I326,"AAAAAG/er9U=")</f>
        <v>#VALUE!</v>
      </c>
      <c r="HG200" t="e">
        <f>AND('OTRAS ACCIONES'!J326,"AAAAAG/er9Y=")</f>
        <v>#VALUE!</v>
      </c>
      <c r="HH200" t="e">
        <f>AND('OTRAS ACCIONES'!K326,"AAAAAG/er9c=")</f>
        <v>#VALUE!</v>
      </c>
      <c r="HI200" t="e">
        <f>AND('OTRAS ACCIONES'!L326,"AAAAAG/er9g=")</f>
        <v>#VALUE!</v>
      </c>
      <c r="HJ200" t="e">
        <f>AND('OTRAS ACCIONES'!M326,"AAAAAG/er9k=")</f>
        <v>#VALUE!</v>
      </c>
      <c r="HK200" t="e">
        <f>AND('OTRAS ACCIONES'!N326,"AAAAAG/er9o=")</f>
        <v>#VALUE!</v>
      </c>
      <c r="HL200" t="e">
        <f>AND('OTRAS ACCIONES'!O326,"AAAAAG/er9s=")</f>
        <v>#VALUE!</v>
      </c>
      <c r="HM200" t="e">
        <f>AND('OTRAS ACCIONES'!P326,"AAAAAG/er9w=")</f>
        <v>#VALUE!</v>
      </c>
      <c r="HN200" t="e">
        <f>AND('OTRAS ACCIONES'!Q326,"AAAAAG/er90=")</f>
        <v>#VALUE!</v>
      </c>
      <c r="HO200" t="e">
        <f>AND('OTRAS ACCIONES'!R326,"AAAAAG/er94=")</f>
        <v>#VALUE!</v>
      </c>
      <c r="HP200">
        <f>IF('OTRAS ACCIONES'!327:327,"AAAAAG/er98=",0)</f>
        <v>0</v>
      </c>
      <c r="HQ200" t="e">
        <f>AND('OTRAS ACCIONES'!B327,"AAAAAG/er+A=")</f>
        <v>#VALUE!</v>
      </c>
      <c r="HR200" t="e">
        <f>AND('OTRAS ACCIONES'!C327,"AAAAAG/er+E=")</f>
        <v>#VALUE!</v>
      </c>
      <c r="HS200" t="e">
        <f>AND('OTRAS ACCIONES'!D327,"AAAAAG/er+I=")</f>
        <v>#VALUE!</v>
      </c>
      <c r="HT200" t="e">
        <f>AND('OTRAS ACCIONES'!E327,"AAAAAG/er+M=")</f>
        <v>#VALUE!</v>
      </c>
      <c r="HU200" t="e">
        <f>AND('OTRAS ACCIONES'!F327,"AAAAAG/er+Q=")</f>
        <v>#VALUE!</v>
      </c>
      <c r="HV200" t="e">
        <f>AND('OTRAS ACCIONES'!G327,"AAAAAG/er+U=")</f>
        <v>#VALUE!</v>
      </c>
      <c r="HW200" t="e">
        <f>AND('OTRAS ACCIONES'!H327,"AAAAAG/er+Y=")</f>
        <v>#VALUE!</v>
      </c>
      <c r="HX200" t="e">
        <f>AND('OTRAS ACCIONES'!I327,"AAAAAG/er+c=")</f>
        <v>#VALUE!</v>
      </c>
      <c r="HY200" t="e">
        <f>AND('OTRAS ACCIONES'!J327,"AAAAAG/er+g=")</f>
        <v>#VALUE!</v>
      </c>
      <c r="HZ200" t="e">
        <f>AND('OTRAS ACCIONES'!K327,"AAAAAG/er+k=")</f>
        <v>#VALUE!</v>
      </c>
      <c r="IA200" t="e">
        <f>AND('OTRAS ACCIONES'!L327,"AAAAAG/er+o=")</f>
        <v>#VALUE!</v>
      </c>
      <c r="IB200" t="e">
        <f>AND('OTRAS ACCIONES'!M327,"AAAAAG/er+s=")</f>
        <v>#VALUE!</v>
      </c>
      <c r="IC200" t="e">
        <f>AND('OTRAS ACCIONES'!N327,"AAAAAG/er+w=")</f>
        <v>#VALUE!</v>
      </c>
      <c r="ID200" t="e">
        <f>AND('OTRAS ACCIONES'!O327,"AAAAAG/er+0=")</f>
        <v>#VALUE!</v>
      </c>
      <c r="IE200" t="e">
        <f>AND('OTRAS ACCIONES'!P327,"AAAAAG/er+4=")</f>
        <v>#VALUE!</v>
      </c>
      <c r="IF200" t="e">
        <f>AND('OTRAS ACCIONES'!Q327,"AAAAAG/er+8=")</f>
        <v>#VALUE!</v>
      </c>
      <c r="IG200" t="e">
        <f>AND('OTRAS ACCIONES'!R327,"AAAAAG/er/A=")</f>
        <v>#VALUE!</v>
      </c>
      <c r="IH200">
        <f>IF('OTRAS ACCIONES'!328:328,"AAAAAG/er/E=",0)</f>
        <v>0</v>
      </c>
      <c r="II200" t="e">
        <f>AND('OTRAS ACCIONES'!B328,"AAAAAG/er/I=")</f>
        <v>#VALUE!</v>
      </c>
      <c r="IJ200" t="e">
        <f>AND('OTRAS ACCIONES'!C328,"AAAAAG/er/M=")</f>
        <v>#VALUE!</v>
      </c>
      <c r="IK200" t="e">
        <f>AND('OTRAS ACCIONES'!D328,"AAAAAG/er/Q=")</f>
        <v>#VALUE!</v>
      </c>
      <c r="IL200" t="e">
        <f>AND('OTRAS ACCIONES'!E328,"AAAAAG/er/U=")</f>
        <v>#VALUE!</v>
      </c>
      <c r="IM200" t="e">
        <f>AND('OTRAS ACCIONES'!F328,"AAAAAG/er/Y=")</f>
        <v>#VALUE!</v>
      </c>
      <c r="IN200" t="e">
        <f>AND('OTRAS ACCIONES'!G328,"AAAAAG/er/c=")</f>
        <v>#VALUE!</v>
      </c>
      <c r="IO200" t="e">
        <f>AND('OTRAS ACCIONES'!H328,"AAAAAG/er/g=")</f>
        <v>#VALUE!</v>
      </c>
      <c r="IP200" t="e">
        <f>AND('OTRAS ACCIONES'!I328,"AAAAAG/er/k=")</f>
        <v>#VALUE!</v>
      </c>
      <c r="IQ200" t="e">
        <f>AND('OTRAS ACCIONES'!J328,"AAAAAG/er/o=")</f>
        <v>#VALUE!</v>
      </c>
      <c r="IR200" t="e">
        <f>AND('OTRAS ACCIONES'!K328,"AAAAAG/er/s=")</f>
        <v>#VALUE!</v>
      </c>
      <c r="IS200" t="e">
        <f>AND('OTRAS ACCIONES'!L328,"AAAAAG/er/w=")</f>
        <v>#VALUE!</v>
      </c>
      <c r="IT200" t="e">
        <f>AND('OTRAS ACCIONES'!M328,"AAAAAG/er/0=")</f>
        <v>#VALUE!</v>
      </c>
      <c r="IU200" t="e">
        <f>AND('OTRAS ACCIONES'!N328,"AAAAAG/er/4=")</f>
        <v>#VALUE!</v>
      </c>
      <c r="IV200" t="e">
        <f>AND('OTRAS ACCIONES'!O328,"AAAAAG/er/8=")</f>
        <v>#VALUE!</v>
      </c>
    </row>
    <row r="201" spans="1:256" x14ac:dyDescent="0.2">
      <c r="A201" t="e">
        <f>AND('OTRAS ACCIONES'!P328,"AAAAAEbYrAA=")</f>
        <v>#VALUE!</v>
      </c>
      <c r="B201" t="e">
        <f>AND('OTRAS ACCIONES'!Q328,"AAAAAEbYrAE=")</f>
        <v>#VALUE!</v>
      </c>
      <c r="C201" t="e">
        <f>AND('OTRAS ACCIONES'!R328,"AAAAAEbYrAI=")</f>
        <v>#VALUE!</v>
      </c>
      <c r="D201">
        <f>IF('OTRAS ACCIONES'!329:329,"AAAAAEbYrAM=",0)</f>
        <v>0</v>
      </c>
      <c r="E201" t="e">
        <f>AND('OTRAS ACCIONES'!B329,"AAAAAEbYrAQ=")</f>
        <v>#VALUE!</v>
      </c>
      <c r="F201" t="e">
        <f>AND('OTRAS ACCIONES'!C329,"AAAAAEbYrAU=")</f>
        <v>#VALUE!</v>
      </c>
      <c r="G201" t="e">
        <f>AND('OTRAS ACCIONES'!D329,"AAAAAEbYrAY=")</f>
        <v>#VALUE!</v>
      </c>
      <c r="H201" t="e">
        <f>AND('OTRAS ACCIONES'!E329,"AAAAAEbYrAc=")</f>
        <v>#VALUE!</v>
      </c>
      <c r="I201" t="e">
        <f>AND('OTRAS ACCIONES'!F329,"AAAAAEbYrAg=")</f>
        <v>#VALUE!</v>
      </c>
      <c r="J201" t="e">
        <f>AND('OTRAS ACCIONES'!G329,"AAAAAEbYrAk=")</f>
        <v>#VALUE!</v>
      </c>
      <c r="K201" t="e">
        <f>AND('OTRAS ACCIONES'!H329,"AAAAAEbYrAo=")</f>
        <v>#VALUE!</v>
      </c>
      <c r="L201" t="e">
        <f>AND('OTRAS ACCIONES'!I329,"AAAAAEbYrAs=")</f>
        <v>#VALUE!</v>
      </c>
      <c r="M201" t="e">
        <f>AND('OTRAS ACCIONES'!J329,"AAAAAEbYrAw=")</f>
        <v>#VALUE!</v>
      </c>
      <c r="N201" t="e">
        <f>AND('OTRAS ACCIONES'!K329,"AAAAAEbYrA0=")</f>
        <v>#VALUE!</v>
      </c>
      <c r="O201" t="e">
        <f>AND('OTRAS ACCIONES'!L329,"AAAAAEbYrA4=")</f>
        <v>#VALUE!</v>
      </c>
      <c r="P201" t="e">
        <f>AND('OTRAS ACCIONES'!M329,"AAAAAEbYrA8=")</f>
        <v>#VALUE!</v>
      </c>
      <c r="Q201" t="e">
        <f>AND('OTRAS ACCIONES'!N329,"AAAAAEbYrBA=")</f>
        <v>#VALUE!</v>
      </c>
      <c r="R201" t="e">
        <f>AND('OTRAS ACCIONES'!O329,"AAAAAEbYrBE=")</f>
        <v>#VALUE!</v>
      </c>
      <c r="S201" t="e">
        <f>AND('OTRAS ACCIONES'!P329,"AAAAAEbYrBI=")</f>
        <v>#VALUE!</v>
      </c>
      <c r="T201" t="e">
        <f>AND('OTRAS ACCIONES'!Q329,"AAAAAEbYrBM=")</f>
        <v>#VALUE!</v>
      </c>
      <c r="U201" t="e">
        <f>AND('OTRAS ACCIONES'!R329,"AAAAAEbYrBQ=")</f>
        <v>#VALUE!</v>
      </c>
      <c r="V201">
        <f>IF('OTRAS ACCIONES'!330:330,"AAAAAEbYrBU=",0)</f>
        <v>0</v>
      </c>
      <c r="W201" t="e">
        <f>AND('OTRAS ACCIONES'!B330,"AAAAAEbYrBY=")</f>
        <v>#VALUE!</v>
      </c>
      <c r="X201" t="e">
        <f>AND('OTRAS ACCIONES'!C330,"AAAAAEbYrBc=")</f>
        <v>#VALUE!</v>
      </c>
      <c r="Y201" t="e">
        <f>AND('OTRAS ACCIONES'!D330,"AAAAAEbYrBg=")</f>
        <v>#VALUE!</v>
      </c>
      <c r="Z201" t="e">
        <f>AND('OTRAS ACCIONES'!E330,"AAAAAEbYrBk=")</f>
        <v>#VALUE!</v>
      </c>
      <c r="AA201" t="e">
        <f>AND('OTRAS ACCIONES'!F330,"AAAAAEbYrBo=")</f>
        <v>#VALUE!</v>
      </c>
      <c r="AB201" t="e">
        <f>AND('OTRAS ACCIONES'!G330,"AAAAAEbYrBs=")</f>
        <v>#VALUE!</v>
      </c>
      <c r="AC201" t="e">
        <f>AND('OTRAS ACCIONES'!H330,"AAAAAEbYrBw=")</f>
        <v>#VALUE!</v>
      </c>
      <c r="AD201" t="e">
        <f>AND('OTRAS ACCIONES'!I330,"AAAAAEbYrB0=")</f>
        <v>#VALUE!</v>
      </c>
      <c r="AE201" t="e">
        <f>AND('OTRAS ACCIONES'!J330,"AAAAAEbYrB4=")</f>
        <v>#VALUE!</v>
      </c>
      <c r="AF201" t="e">
        <f>AND('OTRAS ACCIONES'!K330,"AAAAAEbYrB8=")</f>
        <v>#VALUE!</v>
      </c>
      <c r="AG201" t="e">
        <f>AND('OTRAS ACCIONES'!L330,"AAAAAEbYrCA=")</f>
        <v>#VALUE!</v>
      </c>
      <c r="AH201" t="e">
        <f>AND('OTRAS ACCIONES'!M330,"AAAAAEbYrCE=")</f>
        <v>#VALUE!</v>
      </c>
      <c r="AI201" t="e">
        <f>AND('OTRAS ACCIONES'!N330,"AAAAAEbYrCI=")</f>
        <v>#VALUE!</v>
      </c>
      <c r="AJ201" t="e">
        <f>AND('OTRAS ACCIONES'!O330,"AAAAAEbYrCM=")</f>
        <v>#VALUE!</v>
      </c>
      <c r="AK201" t="e">
        <f>AND('OTRAS ACCIONES'!P330,"AAAAAEbYrCQ=")</f>
        <v>#VALUE!</v>
      </c>
      <c r="AL201" t="e">
        <f>AND('OTRAS ACCIONES'!Q330,"AAAAAEbYrCU=")</f>
        <v>#VALUE!</v>
      </c>
      <c r="AM201" t="e">
        <f>AND('OTRAS ACCIONES'!R330,"AAAAAEbYrCY=")</f>
        <v>#VALUE!</v>
      </c>
      <c r="AN201">
        <f>IF('OTRAS ACCIONES'!331:331,"AAAAAEbYrCc=",0)</f>
        <v>0</v>
      </c>
      <c r="AO201" t="e">
        <f>AND('OTRAS ACCIONES'!B331,"AAAAAEbYrCg=")</f>
        <v>#VALUE!</v>
      </c>
      <c r="AP201" t="e">
        <f>AND('OTRAS ACCIONES'!C331,"AAAAAEbYrCk=")</f>
        <v>#VALUE!</v>
      </c>
      <c r="AQ201" t="e">
        <f>AND('OTRAS ACCIONES'!D331,"AAAAAEbYrCo=")</f>
        <v>#VALUE!</v>
      </c>
      <c r="AR201" t="e">
        <f>AND('OTRAS ACCIONES'!E331,"AAAAAEbYrCs=")</f>
        <v>#VALUE!</v>
      </c>
      <c r="AS201" t="e">
        <f>AND('OTRAS ACCIONES'!F331,"AAAAAEbYrCw=")</f>
        <v>#VALUE!</v>
      </c>
      <c r="AT201" t="e">
        <f>AND('OTRAS ACCIONES'!G331,"AAAAAEbYrC0=")</f>
        <v>#VALUE!</v>
      </c>
      <c r="AU201" t="e">
        <f>AND('OTRAS ACCIONES'!H331,"AAAAAEbYrC4=")</f>
        <v>#VALUE!</v>
      </c>
      <c r="AV201" t="e">
        <f>AND('OTRAS ACCIONES'!I331,"AAAAAEbYrC8=")</f>
        <v>#VALUE!</v>
      </c>
      <c r="AW201" t="e">
        <f>AND('OTRAS ACCIONES'!J331,"AAAAAEbYrDA=")</f>
        <v>#VALUE!</v>
      </c>
      <c r="AX201" t="e">
        <f>AND('OTRAS ACCIONES'!K331,"AAAAAEbYrDE=")</f>
        <v>#VALUE!</v>
      </c>
      <c r="AY201" t="e">
        <f>AND('OTRAS ACCIONES'!L331,"AAAAAEbYrDI=")</f>
        <v>#VALUE!</v>
      </c>
      <c r="AZ201" t="e">
        <f>AND('OTRAS ACCIONES'!M331,"AAAAAEbYrDM=")</f>
        <v>#VALUE!</v>
      </c>
      <c r="BA201" t="e">
        <f>AND('OTRAS ACCIONES'!N331,"AAAAAEbYrDQ=")</f>
        <v>#VALUE!</v>
      </c>
      <c r="BB201" t="e">
        <f>AND('OTRAS ACCIONES'!O331,"AAAAAEbYrDU=")</f>
        <v>#VALUE!</v>
      </c>
      <c r="BC201" t="e">
        <f>AND('OTRAS ACCIONES'!P331,"AAAAAEbYrDY=")</f>
        <v>#VALUE!</v>
      </c>
      <c r="BD201" t="e">
        <f>AND('OTRAS ACCIONES'!Q331,"AAAAAEbYrDc=")</f>
        <v>#VALUE!</v>
      </c>
      <c r="BE201" t="e">
        <f>AND('OTRAS ACCIONES'!R331,"AAAAAEbYrDg=")</f>
        <v>#VALUE!</v>
      </c>
      <c r="BF201">
        <f>IF('OTRAS ACCIONES'!332:332,"AAAAAEbYrDk=",0)</f>
        <v>0</v>
      </c>
      <c r="BG201" t="e">
        <f>AND('OTRAS ACCIONES'!B332,"AAAAAEbYrDo=")</f>
        <v>#VALUE!</v>
      </c>
      <c r="BH201" t="e">
        <f>AND('OTRAS ACCIONES'!C332,"AAAAAEbYrDs=")</f>
        <v>#VALUE!</v>
      </c>
      <c r="BI201" t="e">
        <f>AND('OTRAS ACCIONES'!D332,"AAAAAEbYrDw=")</f>
        <v>#VALUE!</v>
      </c>
      <c r="BJ201" t="e">
        <f>AND('OTRAS ACCIONES'!E332,"AAAAAEbYrD0=")</f>
        <v>#VALUE!</v>
      </c>
      <c r="BK201" t="e">
        <f>AND('OTRAS ACCIONES'!F332,"AAAAAEbYrD4=")</f>
        <v>#VALUE!</v>
      </c>
      <c r="BL201" t="e">
        <f>AND('OTRAS ACCIONES'!G332,"AAAAAEbYrD8=")</f>
        <v>#VALUE!</v>
      </c>
      <c r="BM201" t="e">
        <f>AND('OTRAS ACCIONES'!H332,"AAAAAEbYrEA=")</f>
        <v>#VALUE!</v>
      </c>
      <c r="BN201" t="e">
        <f>AND('OTRAS ACCIONES'!I332,"AAAAAEbYrEE=")</f>
        <v>#VALUE!</v>
      </c>
      <c r="BO201" t="e">
        <f>AND('OTRAS ACCIONES'!J332,"AAAAAEbYrEI=")</f>
        <v>#VALUE!</v>
      </c>
      <c r="BP201" t="e">
        <f>AND('OTRAS ACCIONES'!K332,"AAAAAEbYrEM=")</f>
        <v>#VALUE!</v>
      </c>
      <c r="BQ201" t="e">
        <f>AND('OTRAS ACCIONES'!L332,"AAAAAEbYrEQ=")</f>
        <v>#VALUE!</v>
      </c>
      <c r="BR201" t="e">
        <f>AND('OTRAS ACCIONES'!M332,"AAAAAEbYrEU=")</f>
        <v>#VALUE!</v>
      </c>
      <c r="BS201" t="e">
        <f>AND('OTRAS ACCIONES'!N332,"AAAAAEbYrEY=")</f>
        <v>#VALUE!</v>
      </c>
      <c r="BT201" t="e">
        <f>AND('OTRAS ACCIONES'!O332,"AAAAAEbYrEc=")</f>
        <v>#VALUE!</v>
      </c>
      <c r="BU201" t="e">
        <f>AND('OTRAS ACCIONES'!P332,"AAAAAEbYrEg=")</f>
        <v>#VALUE!</v>
      </c>
      <c r="BV201" t="e">
        <f>AND('OTRAS ACCIONES'!Q332,"AAAAAEbYrEk=")</f>
        <v>#VALUE!</v>
      </c>
      <c r="BW201" t="e">
        <f>AND('OTRAS ACCIONES'!R332,"AAAAAEbYrEo=")</f>
        <v>#VALUE!</v>
      </c>
      <c r="BX201">
        <f>IF('OTRAS ACCIONES'!333:333,"AAAAAEbYrEs=",0)</f>
        <v>0</v>
      </c>
      <c r="BY201" t="e">
        <f>AND('OTRAS ACCIONES'!B333,"AAAAAEbYrEw=")</f>
        <v>#VALUE!</v>
      </c>
      <c r="BZ201" t="e">
        <f>AND('OTRAS ACCIONES'!C333,"AAAAAEbYrE0=")</f>
        <v>#VALUE!</v>
      </c>
      <c r="CA201" t="e">
        <f>AND('OTRAS ACCIONES'!D333,"AAAAAEbYrE4=")</f>
        <v>#VALUE!</v>
      </c>
      <c r="CB201" t="e">
        <f>AND('OTRAS ACCIONES'!E333,"AAAAAEbYrE8=")</f>
        <v>#VALUE!</v>
      </c>
      <c r="CC201" t="e">
        <f>AND('OTRAS ACCIONES'!F333,"AAAAAEbYrFA=")</f>
        <v>#VALUE!</v>
      </c>
      <c r="CD201" t="e">
        <f>AND('OTRAS ACCIONES'!G333,"AAAAAEbYrFE=")</f>
        <v>#VALUE!</v>
      </c>
      <c r="CE201" t="e">
        <f>AND('OTRAS ACCIONES'!H333,"AAAAAEbYrFI=")</f>
        <v>#VALUE!</v>
      </c>
      <c r="CF201" t="e">
        <f>AND('OTRAS ACCIONES'!I333,"AAAAAEbYrFM=")</f>
        <v>#VALUE!</v>
      </c>
      <c r="CG201" t="e">
        <f>AND('OTRAS ACCIONES'!J333,"AAAAAEbYrFQ=")</f>
        <v>#VALUE!</v>
      </c>
      <c r="CH201" t="e">
        <f>AND('OTRAS ACCIONES'!K333,"AAAAAEbYrFU=")</f>
        <v>#VALUE!</v>
      </c>
      <c r="CI201" t="e">
        <f>AND('OTRAS ACCIONES'!L333,"AAAAAEbYrFY=")</f>
        <v>#VALUE!</v>
      </c>
      <c r="CJ201" t="e">
        <f>AND('OTRAS ACCIONES'!M333,"AAAAAEbYrFc=")</f>
        <v>#VALUE!</v>
      </c>
      <c r="CK201" t="e">
        <f>AND('OTRAS ACCIONES'!N333,"AAAAAEbYrFg=")</f>
        <v>#VALUE!</v>
      </c>
      <c r="CL201" t="e">
        <f>AND('OTRAS ACCIONES'!O333,"AAAAAEbYrFk=")</f>
        <v>#VALUE!</v>
      </c>
      <c r="CM201" t="e">
        <f>AND('OTRAS ACCIONES'!P333,"AAAAAEbYrFo=")</f>
        <v>#VALUE!</v>
      </c>
      <c r="CN201" t="e">
        <f>AND('OTRAS ACCIONES'!Q333,"AAAAAEbYrFs=")</f>
        <v>#VALUE!</v>
      </c>
      <c r="CO201" t="e">
        <f>AND('OTRAS ACCIONES'!R333,"AAAAAEbYrFw=")</f>
        <v>#VALUE!</v>
      </c>
      <c r="CP201">
        <f>IF('OTRAS ACCIONES'!334:334,"AAAAAEbYrF0=",0)</f>
        <v>0</v>
      </c>
      <c r="CQ201" t="e">
        <f>AND('OTRAS ACCIONES'!B334,"AAAAAEbYrF4=")</f>
        <v>#VALUE!</v>
      </c>
      <c r="CR201" t="e">
        <f>AND('OTRAS ACCIONES'!C334,"AAAAAEbYrF8=")</f>
        <v>#VALUE!</v>
      </c>
      <c r="CS201" t="e">
        <f>AND('OTRAS ACCIONES'!D334,"AAAAAEbYrGA=")</f>
        <v>#VALUE!</v>
      </c>
      <c r="CT201" t="e">
        <f>AND('OTRAS ACCIONES'!E334,"AAAAAEbYrGE=")</f>
        <v>#VALUE!</v>
      </c>
      <c r="CU201" t="e">
        <f>AND('OTRAS ACCIONES'!F334,"AAAAAEbYrGI=")</f>
        <v>#VALUE!</v>
      </c>
      <c r="CV201" t="e">
        <f>AND('OTRAS ACCIONES'!G334,"AAAAAEbYrGM=")</f>
        <v>#VALUE!</v>
      </c>
      <c r="CW201" t="e">
        <f>AND('OTRAS ACCIONES'!H334,"AAAAAEbYrGQ=")</f>
        <v>#VALUE!</v>
      </c>
      <c r="CX201" t="e">
        <f>AND('OTRAS ACCIONES'!I334,"AAAAAEbYrGU=")</f>
        <v>#VALUE!</v>
      </c>
      <c r="CY201" t="e">
        <f>AND('OTRAS ACCIONES'!J334,"AAAAAEbYrGY=")</f>
        <v>#VALUE!</v>
      </c>
      <c r="CZ201" t="e">
        <f>AND('OTRAS ACCIONES'!K334,"AAAAAEbYrGc=")</f>
        <v>#VALUE!</v>
      </c>
      <c r="DA201" t="e">
        <f>AND('OTRAS ACCIONES'!L334,"AAAAAEbYrGg=")</f>
        <v>#VALUE!</v>
      </c>
      <c r="DB201" t="e">
        <f>AND('OTRAS ACCIONES'!M334,"AAAAAEbYrGk=")</f>
        <v>#VALUE!</v>
      </c>
      <c r="DC201" t="e">
        <f>AND('OTRAS ACCIONES'!N334,"AAAAAEbYrGo=")</f>
        <v>#VALUE!</v>
      </c>
      <c r="DD201" t="e">
        <f>AND('OTRAS ACCIONES'!O334,"AAAAAEbYrGs=")</f>
        <v>#VALUE!</v>
      </c>
      <c r="DE201" t="e">
        <f>AND('OTRAS ACCIONES'!P334,"AAAAAEbYrGw=")</f>
        <v>#VALUE!</v>
      </c>
      <c r="DF201" t="e">
        <f>AND('OTRAS ACCIONES'!Q334,"AAAAAEbYrG0=")</f>
        <v>#VALUE!</v>
      </c>
      <c r="DG201" t="e">
        <f>AND('OTRAS ACCIONES'!R334,"AAAAAEbYrG4=")</f>
        <v>#VALUE!</v>
      </c>
      <c r="DH201">
        <f>IF('OTRAS ACCIONES'!335:335,"AAAAAEbYrG8=",0)</f>
        <v>0</v>
      </c>
      <c r="DI201" t="e">
        <f>AND('OTRAS ACCIONES'!B335,"AAAAAEbYrHA=")</f>
        <v>#VALUE!</v>
      </c>
      <c r="DJ201" t="e">
        <f>AND('OTRAS ACCIONES'!C335,"AAAAAEbYrHE=")</f>
        <v>#VALUE!</v>
      </c>
      <c r="DK201" t="e">
        <f>AND('OTRAS ACCIONES'!D335,"AAAAAEbYrHI=")</f>
        <v>#VALUE!</v>
      </c>
      <c r="DL201" t="e">
        <f>AND('OTRAS ACCIONES'!E335,"AAAAAEbYrHM=")</f>
        <v>#VALUE!</v>
      </c>
      <c r="DM201" t="e">
        <f>AND('OTRAS ACCIONES'!F335,"AAAAAEbYrHQ=")</f>
        <v>#VALUE!</v>
      </c>
      <c r="DN201" t="e">
        <f>AND('OTRAS ACCIONES'!G335,"AAAAAEbYrHU=")</f>
        <v>#VALUE!</v>
      </c>
      <c r="DO201" t="e">
        <f>AND('OTRAS ACCIONES'!H335,"AAAAAEbYrHY=")</f>
        <v>#VALUE!</v>
      </c>
      <c r="DP201" t="e">
        <f>AND('OTRAS ACCIONES'!I335,"AAAAAEbYrHc=")</f>
        <v>#VALUE!</v>
      </c>
      <c r="DQ201" t="e">
        <f>AND('OTRAS ACCIONES'!J335,"AAAAAEbYrHg=")</f>
        <v>#VALUE!</v>
      </c>
      <c r="DR201" t="e">
        <f>AND('OTRAS ACCIONES'!K335,"AAAAAEbYrHk=")</f>
        <v>#VALUE!</v>
      </c>
      <c r="DS201" t="e">
        <f>AND('OTRAS ACCIONES'!L335,"AAAAAEbYrHo=")</f>
        <v>#VALUE!</v>
      </c>
      <c r="DT201" t="e">
        <f>AND('OTRAS ACCIONES'!M335,"AAAAAEbYrHs=")</f>
        <v>#VALUE!</v>
      </c>
      <c r="DU201" t="e">
        <f>AND('OTRAS ACCIONES'!N335,"AAAAAEbYrHw=")</f>
        <v>#VALUE!</v>
      </c>
      <c r="DV201" t="e">
        <f>AND('OTRAS ACCIONES'!O335,"AAAAAEbYrH0=")</f>
        <v>#VALUE!</v>
      </c>
      <c r="DW201" t="e">
        <f>AND('OTRAS ACCIONES'!P335,"AAAAAEbYrH4=")</f>
        <v>#VALUE!</v>
      </c>
      <c r="DX201" t="e">
        <f>AND('OTRAS ACCIONES'!Q335,"AAAAAEbYrH8=")</f>
        <v>#VALUE!</v>
      </c>
      <c r="DY201" t="e">
        <f>AND('OTRAS ACCIONES'!R335,"AAAAAEbYrIA=")</f>
        <v>#VALUE!</v>
      </c>
      <c r="DZ201">
        <f>IF('OTRAS ACCIONES'!336:336,"AAAAAEbYrIE=",0)</f>
        <v>0</v>
      </c>
      <c r="EA201" t="e">
        <f>AND('OTRAS ACCIONES'!B336,"AAAAAEbYrII=")</f>
        <v>#VALUE!</v>
      </c>
      <c r="EB201" t="e">
        <f>AND('OTRAS ACCIONES'!C336,"AAAAAEbYrIM=")</f>
        <v>#VALUE!</v>
      </c>
      <c r="EC201" t="e">
        <f>AND('OTRAS ACCIONES'!D336,"AAAAAEbYrIQ=")</f>
        <v>#VALUE!</v>
      </c>
      <c r="ED201" t="e">
        <f>AND('OTRAS ACCIONES'!E336,"AAAAAEbYrIU=")</f>
        <v>#VALUE!</v>
      </c>
      <c r="EE201" t="e">
        <f>AND('OTRAS ACCIONES'!F336,"AAAAAEbYrIY=")</f>
        <v>#VALUE!</v>
      </c>
      <c r="EF201" t="e">
        <f>AND('OTRAS ACCIONES'!G336,"AAAAAEbYrIc=")</f>
        <v>#VALUE!</v>
      </c>
      <c r="EG201" t="e">
        <f>AND('OTRAS ACCIONES'!H336,"AAAAAEbYrIg=")</f>
        <v>#VALUE!</v>
      </c>
      <c r="EH201" t="e">
        <f>AND('OTRAS ACCIONES'!I336,"AAAAAEbYrIk=")</f>
        <v>#VALUE!</v>
      </c>
      <c r="EI201" t="e">
        <f>AND('OTRAS ACCIONES'!J336,"AAAAAEbYrIo=")</f>
        <v>#VALUE!</v>
      </c>
      <c r="EJ201" t="e">
        <f>AND('OTRAS ACCIONES'!K336,"AAAAAEbYrIs=")</f>
        <v>#VALUE!</v>
      </c>
      <c r="EK201" t="e">
        <f>AND('OTRAS ACCIONES'!L336,"AAAAAEbYrIw=")</f>
        <v>#VALUE!</v>
      </c>
      <c r="EL201" t="e">
        <f>AND('OTRAS ACCIONES'!M336,"AAAAAEbYrI0=")</f>
        <v>#VALUE!</v>
      </c>
      <c r="EM201" t="e">
        <f>AND('OTRAS ACCIONES'!N336,"AAAAAEbYrI4=")</f>
        <v>#VALUE!</v>
      </c>
      <c r="EN201" t="e">
        <f>AND('OTRAS ACCIONES'!O336,"AAAAAEbYrI8=")</f>
        <v>#VALUE!</v>
      </c>
      <c r="EO201" t="e">
        <f>AND('OTRAS ACCIONES'!P336,"AAAAAEbYrJA=")</f>
        <v>#VALUE!</v>
      </c>
      <c r="EP201" t="e">
        <f>AND('OTRAS ACCIONES'!Q336,"AAAAAEbYrJE=")</f>
        <v>#VALUE!</v>
      </c>
      <c r="EQ201" t="e">
        <f>AND('OTRAS ACCIONES'!R336,"AAAAAEbYrJI=")</f>
        <v>#VALUE!</v>
      </c>
      <c r="ER201">
        <f>IF('OTRAS ACCIONES'!337:337,"AAAAAEbYrJM=",0)</f>
        <v>0</v>
      </c>
      <c r="ES201" t="e">
        <f>AND('OTRAS ACCIONES'!B337,"AAAAAEbYrJQ=")</f>
        <v>#VALUE!</v>
      </c>
      <c r="ET201" t="e">
        <f>AND('OTRAS ACCIONES'!C337,"AAAAAEbYrJU=")</f>
        <v>#VALUE!</v>
      </c>
      <c r="EU201" t="e">
        <f>AND('OTRAS ACCIONES'!D337,"AAAAAEbYrJY=")</f>
        <v>#VALUE!</v>
      </c>
      <c r="EV201" t="e">
        <f>AND('OTRAS ACCIONES'!E337,"AAAAAEbYrJc=")</f>
        <v>#VALUE!</v>
      </c>
      <c r="EW201" t="e">
        <f>AND('OTRAS ACCIONES'!F337,"AAAAAEbYrJg=")</f>
        <v>#VALUE!</v>
      </c>
      <c r="EX201" t="e">
        <f>AND('OTRAS ACCIONES'!G337,"AAAAAEbYrJk=")</f>
        <v>#VALUE!</v>
      </c>
      <c r="EY201" t="e">
        <f>AND('OTRAS ACCIONES'!H337,"AAAAAEbYrJo=")</f>
        <v>#VALUE!</v>
      </c>
      <c r="EZ201" t="e">
        <f>AND('OTRAS ACCIONES'!I337,"AAAAAEbYrJs=")</f>
        <v>#VALUE!</v>
      </c>
      <c r="FA201" t="e">
        <f>AND('OTRAS ACCIONES'!J337,"AAAAAEbYrJw=")</f>
        <v>#VALUE!</v>
      </c>
      <c r="FB201" t="e">
        <f>AND('OTRAS ACCIONES'!K337,"AAAAAEbYrJ0=")</f>
        <v>#VALUE!</v>
      </c>
      <c r="FC201" t="e">
        <f>AND('OTRAS ACCIONES'!L337,"AAAAAEbYrJ4=")</f>
        <v>#VALUE!</v>
      </c>
      <c r="FD201" t="e">
        <f>AND('OTRAS ACCIONES'!M337,"AAAAAEbYrJ8=")</f>
        <v>#VALUE!</v>
      </c>
      <c r="FE201" t="e">
        <f>AND('OTRAS ACCIONES'!N337,"AAAAAEbYrKA=")</f>
        <v>#VALUE!</v>
      </c>
      <c r="FF201" t="e">
        <f>AND('OTRAS ACCIONES'!O337,"AAAAAEbYrKE=")</f>
        <v>#VALUE!</v>
      </c>
      <c r="FG201" t="e">
        <f>AND('OTRAS ACCIONES'!P337,"AAAAAEbYrKI=")</f>
        <v>#VALUE!</v>
      </c>
      <c r="FH201" t="e">
        <f>AND('OTRAS ACCIONES'!Q337,"AAAAAEbYrKM=")</f>
        <v>#VALUE!</v>
      </c>
      <c r="FI201" t="e">
        <f>AND('OTRAS ACCIONES'!R337,"AAAAAEbYrKQ=")</f>
        <v>#VALUE!</v>
      </c>
      <c r="FJ201">
        <f>IF('OTRAS ACCIONES'!338:338,"AAAAAEbYrKU=",0)</f>
        <v>0</v>
      </c>
      <c r="FK201" t="e">
        <f>AND('OTRAS ACCIONES'!B338,"AAAAAEbYrKY=")</f>
        <v>#VALUE!</v>
      </c>
      <c r="FL201" t="e">
        <f>AND('OTRAS ACCIONES'!C338,"AAAAAEbYrKc=")</f>
        <v>#VALUE!</v>
      </c>
      <c r="FM201" t="e">
        <f>AND('OTRAS ACCIONES'!D338,"AAAAAEbYrKg=")</f>
        <v>#VALUE!</v>
      </c>
      <c r="FN201" t="e">
        <f>AND('OTRAS ACCIONES'!E338,"AAAAAEbYrKk=")</f>
        <v>#VALUE!</v>
      </c>
      <c r="FO201" t="e">
        <f>AND('OTRAS ACCIONES'!F338,"AAAAAEbYrKo=")</f>
        <v>#VALUE!</v>
      </c>
      <c r="FP201" t="e">
        <f>AND('OTRAS ACCIONES'!G338,"AAAAAEbYrKs=")</f>
        <v>#VALUE!</v>
      </c>
      <c r="FQ201" t="e">
        <f>AND('OTRAS ACCIONES'!H338,"AAAAAEbYrKw=")</f>
        <v>#VALUE!</v>
      </c>
      <c r="FR201" t="e">
        <f>AND('OTRAS ACCIONES'!I338,"AAAAAEbYrK0=")</f>
        <v>#VALUE!</v>
      </c>
      <c r="FS201" t="e">
        <f>AND('OTRAS ACCIONES'!J338,"AAAAAEbYrK4=")</f>
        <v>#VALUE!</v>
      </c>
      <c r="FT201" t="e">
        <f>AND('OTRAS ACCIONES'!K338,"AAAAAEbYrK8=")</f>
        <v>#VALUE!</v>
      </c>
      <c r="FU201" t="e">
        <f>AND('OTRAS ACCIONES'!L338,"AAAAAEbYrLA=")</f>
        <v>#VALUE!</v>
      </c>
      <c r="FV201" t="e">
        <f>AND('OTRAS ACCIONES'!M338,"AAAAAEbYrLE=")</f>
        <v>#VALUE!</v>
      </c>
      <c r="FW201" t="e">
        <f>AND('OTRAS ACCIONES'!N338,"AAAAAEbYrLI=")</f>
        <v>#VALUE!</v>
      </c>
      <c r="FX201" t="e">
        <f>AND('OTRAS ACCIONES'!O338,"AAAAAEbYrLM=")</f>
        <v>#VALUE!</v>
      </c>
      <c r="FY201" t="e">
        <f>AND('OTRAS ACCIONES'!P338,"AAAAAEbYrLQ=")</f>
        <v>#VALUE!</v>
      </c>
      <c r="FZ201" t="e">
        <f>AND('OTRAS ACCIONES'!Q338,"AAAAAEbYrLU=")</f>
        <v>#VALUE!</v>
      </c>
      <c r="GA201" t="e">
        <f>AND('OTRAS ACCIONES'!R338,"AAAAAEbYrLY=")</f>
        <v>#VALUE!</v>
      </c>
      <c r="GB201">
        <f>IF('OTRAS ACCIONES'!339:339,"AAAAAEbYrLc=",0)</f>
        <v>0</v>
      </c>
      <c r="GC201" t="e">
        <f>AND('OTRAS ACCIONES'!B339,"AAAAAEbYrLg=")</f>
        <v>#VALUE!</v>
      </c>
      <c r="GD201" t="e">
        <f>AND('OTRAS ACCIONES'!C339,"AAAAAEbYrLk=")</f>
        <v>#VALUE!</v>
      </c>
      <c r="GE201" t="e">
        <f>AND('OTRAS ACCIONES'!D339,"AAAAAEbYrLo=")</f>
        <v>#VALUE!</v>
      </c>
      <c r="GF201" t="e">
        <f>AND('OTRAS ACCIONES'!E339,"AAAAAEbYrLs=")</f>
        <v>#VALUE!</v>
      </c>
      <c r="GG201" t="e">
        <f>AND('OTRAS ACCIONES'!F339,"AAAAAEbYrLw=")</f>
        <v>#VALUE!</v>
      </c>
      <c r="GH201" t="e">
        <f>AND('OTRAS ACCIONES'!G339,"AAAAAEbYrL0=")</f>
        <v>#VALUE!</v>
      </c>
      <c r="GI201" t="e">
        <f>AND('OTRAS ACCIONES'!H339,"AAAAAEbYrL4=")</f>
        <v>#VALUE!</v>
      </c>
      <c r="GJ201" t="e">
        <f>AND('OTRAS ACCIONES'!I339,"AAAAAEbYrL8=")</f>
        <v>#VALUE!</v>
      </c>
      <c r="GK201" t="e">
        <f>AND('OTRAS ACCIONES'!J339,"AAAAAEbYrMA=")</f>
        <v>#VALUE!</v>
      </c>
      <c r="GL201" t="e">
        <f>AND('OTRAS ACCIONES'!K339,"AAAAAEbYrME=")</f>
        <v>#VALUE!</v>
      </c>
      <c r="GM201" t="e">
        <f>AND('OTRAS ACCIONES'!L339,"AAAAAEbYrMI=")</f>
        <v>#VALUE!</v>
      </c>
      <c r="GN201" t="e">
        <f>AND('OTRAS ACCIONES'!M339,"AAAAAEbYrMM=")</f>
        <v>#VALUE!</v>
      </c>
      <c r="GO201" t="e">
        <f>AND('OTRAS ACCIONES'!N339,"AAAAAEbYrMQ=")</f>
        <v>#VALUE!</v>
      </c>
      <c r="GP201" t="e">
        <f>AND('OTRAS ACCIONES'!O339,"AAAAAEbYrMU=")</f>
        <v>#VALUE!</v>
      </c>
      <c r="GQ201" t="e">
        <f>AND('OTRAS ACCIONES'!P339,"AAAAAEbYrMY=")</f>
        <v>#VALUE!</v>
      </c>
      <c r="GR201" t="e">
        <f>AND('OTRAS ACCIONES'!Q339,"AAAAAEbYrMc=")</f>
        <v>#VALUE!</v>
      </c>
      <c r="GS201" t="e">
        <f>AND('OTRAS ACCIONES'!R339,"AAAAAEbYrMg=")</f>
        <v>#VALUE!</v>
      </c>
      <c r="GT201">
        <f>IF('OTRAS ACCIONES'!340:340,"AAAAAEbYrMk=",0)</f>
        <v>0</v>
      </c>
      <c r="GU201" t="e">
        <f>AND('OTRAS ACCIONES'!B340,"AAAAAEbYrMo=")</f>
        <v>#VALUE!</v>
      </c>
      <c r="GV201" t="e">
        <f>AND('OTRAS ACCIONES'!C340,"AAAAAEbYrMs=")</f>
        <v>#VALUE!</v>
      </c>
      <c r="GW201" t="e">
        <f>AND('OTRAS ACCIONES'!D340,"AAAAAEbYrMw=")</f>
        <v>#VALUE!</v>
      </c>
      <c r="GX201" t="e">
        <f>AND('OTRAS ACCIONES'!E340,"AAAAAEbYrM0=")</f>
        <v>#VALUE!</v>
      </c>
      <c r="GY201" t="e">
        <f>AND('OTRAS ACCIONES'!F340,"AAAAAEbYrM4=")</f>
        <v>#VALUE!</v>
      </c>
      <c r="GZ201" t="e">
        <f>AND('OTRAS ACCIONES'!G340,"AAAAAEbYrM8=")</f>
        <v>#VALUE!</v>
      </c>
      <c r="HA201" t="e">
        <f>AND('OTRAS ACCIONES'!H340,"AAAAAEbYrNA=")</f>
        <v>#VALUE!</v>
      </c>
      <c r="HB201" t="e">
        <f>AND('OTRAS ACCIONES'!I340,"AAAAAEbYrNE=")</f>
        <v>#VALUE!</v>
      </c>
      <c r="HC201" t="e">
        <f>AND('OTRAS ACCIONES'!J340,"AAAAAEbYrNI=")</f>
        <v>#VALUE!</v>
      </c>
      <c r="HD201" t="e">
        <f>AND('OTRAS ACCIONES'!K340,"AAAAAEbYrNM=")</f>
        <v>#VALUE!</v>
      </c>
      <c r="HE201" t="e">
        <f>AND('OTRAS ACCIONES'!L340,"AAAAAEbYrNQ=")</f>
        <v>#VALUE!</v>
      </c>
      <c r="HF201" t="e">
        <f>AND('OTRAS ACCIONES'!M340,"AAAAAEbYrNU=")</f>
        <v>#VALUE!</v>
      </c>
      <c r="HG201" t="e">
        <f>AND('OTRAS ACCIONES'!N340,"AAAAAEbYrNY=")</f>
        <v>#VALUE!</v>
      </c>
      <c r="HH201" t="e">
        <f>AND('OTRAS ACCIONES'!O340,"AAAAAEbYrNc=")</f>
        <v>#VALUE!</v>
      </c>
      <c r="HI201" t="e">
        <f>AND('OTRAS ACCIONES'!P340,"AAAAAEbYrNg=")</f>
        <v>#VALUE!</v>
      </c>
      <c r="HJ201" t="e">
        <f>AND('OTRAS ACCIONES'!Q340,"AAAAAEbYrNk=")</f>
        <v>#VALUE!</v>
      </c>
      <c r="HK201" t="e">
        <f>AND('OTRAS ACCIONES'!R340,"AAAAAEbYrNo=")</f>
        <v>#VALUE!</v>
      </c>
      <c r="HL201">
        <f>IF('OTRAS ACCIONES'!341:341,"AAAAAEbYrNs=",0)</f>
        <v>0</v>
      </c>
      <c r="HM201" t="e">
        <f>AND('OTRAS ACCIONES'!B341,"AAAAAEbYrNw=")</f>
        <v>#VALUE!</v>
      </c>
      <c r="HN201" t="e">
        <f>AND('OTRAS ACCIONES'!C341,"AAAAAEbYrN0=")</f>
        <v>#VALUE!</v>
      </c>
      <c r="HO201" t="e">
        <f>AND('OTRAS ACCIONES'!D341,"AAAAAEbYrN4=")</f>
        <v>#VALUE!</v>
      </c>
      <c r="HP201" t="e">
        <f>AND('OTRAS ACCIONES'!E341,"AAAAAEbYrN8=")</f>
        <v>#VALUE!</v>
      </c>
      <c r="HQ201" t="e">
        <f>AND('OTRAS ACCIONES'!F341,"AAAAAEbYrOA=")</f>
        <v>#VALUE!</v>
      </c>
      <c r="HR201" t="e">
        <f>AND('OTRAS ACCIONES'!G341,"AAAAAEbYrOE=")</f>
        <v>#VALUE!</v>
      </c>
      <c r="HS201" t="e">
        <f>AND('OTRAS ACCIONES'!H341,"AAAAAEbYrOI=")</f>
        <v>#VALUE!</v>
      </c>
      <c r="HT201" t="e">
        <f>AND('OTRAS ACCIONES'!I341,"AAAAAEbYrOM=")</f>
        <v>#VALUE!</v>
      </c>
      <c r="HU201" t="e">
        <f>AND('OTRAS ACCIONES'!J341,"AAAAAEbYrOQ=")</f>
        <v>#VALUE!</v>
      </c>
      <c r="HV201" t="e">
        <f>AND('OTRAS ACCIONES'!K341,"AAAAAEbYrOU=")</f>
        <v>#VALUE!</v>
      </c>
      <c r="HW201" t="e">
        <f>AND('OTRAS ACCIONES'!L341,"AAAAAEbYrOY=")</f>
        <v>#VALUE!</v>
      </c>
      <c r="HX201" t="e">
        <f>AND('OTRAS ACCIONES'!M341,"AAAAAEbYrOc=")</f>
        <v>#VALUE!</v>
      </c>
      <c r="HY201" t="e">
        <f>AND('OTRAS ACCIONES'!N341,"AAAAAEbYrOg=")</f>
        <v>#VALUE!</v>
      </c>
      <c r="HZ201" t="e">
        <f>AND('OTRAS ACCIONES'!O341,"AAAAAEbYrOk=")</f>
        <v>#VALUE!</v>
      </c>
      <c r="IA201" t="e">
        <f>AND('OTRAS ACCIONES'!P341,"AAAAAEbYrOo=")</f>
        <v>#VALUE!</v>
      </c>
      <c r="IB201" t="e">
        <f>AND('OTRAS ACCIONES'!Q341,"AAAAAEbYrOs=")</f>
        <v>#VALUE!</v>
      </c>
      <c r="IC201" t="e">
        <f>AND('OTRAS ACCIONES'!R341,"AAAAAEbYrOw=")</f>
        <v>#VALUE!</v>
      </c>
      <c r="ID201">
        <f>IF('OTRAS ACCIONES'!342:342,"AAAAAEbYrO0=",0)</f>
        <v>0</v>
      </c>
      <c r="IE201" t="e">
        <f>AND('OTRAS ACCIONES'!B342,"AAAAAEbYrO4=")</f>
        <v>#VALUE!</v>
      </c>
      <c r="IF201" t="e">
        <f>AND('OTRAS ACCIONES'!C342,"AAAAAEbYrO8=")</f>
        <v>#VALUE!</v>
      </c>
      <c r="IG201" t="e">
        <f>AND('OTRAS ACCIONES'!D342,"AAAAAEbYrPA=")</f>
        <v>#VALUE!</v>
      </c>
      <c r="IH201" t="e">
        <f>AND('OTRAS ACCIONES'!E342,"AAAAAEbYrPE=")</f>
        <v>#VALUE!</v>
      </c>
      <c r="II201" t="e">
        <f>AND('OTRAS ACCIONES'!F342,"AAAAAEbYrPI=")</f>
        <v>#VALUE!</v>
      </c>
      <c r="IJ201" t="e">
        <f>AND('OTRAS ACCIONES'!G342,"AAAAAEbYrPM=")</f>
        <v>#VALUE!</v>
      </c>
      <c r="IK201" t="e">
        <f>AND('OTRAS ACCIONES'!H342,"AAAAAEbYrPQ=")</f>
        <v>#VALUE!</v>
      </c>
      <c r="IL201" t="e">
        <f>AND('OTRAS ACCIONES'!I342,"AAAAAEbYrPU=")</f>
        <v>#VALUE!</v>
      </c>
      <c r="IM201" t="e">
        <f>AND('OTRAS ACCIONES'!J342,"AAAAAEbYrPY=")</f>
        <v>#VALUE!</v>
      </c>
      <c r="IN201" t="e">
        <f>AND('OTRAS ACCIONES'!K342,"AAAAAEbYrPc=")</f>
        <v>#VALUE!</v>
      </c>
      <c r="IO201" t="e">
        <f>AND('OTRAS ACCIONES'!L342,"AAAAAEbYrPg=")</f>
        <v>#VALUE!</v>
      </c>
      <c r="IP201" t="e">
        <f>AND('OTRAS ACCIONES'!M342,"AAAAAEbYrPk=")</f>
        <v>#VALUE!</v>
      </c>
      <c r="IQ201" t="e">
        <f>AND('OTRAS ACCIONES'!N342,"AAAAAEbYrPo=")</f>
        <v>#VALUE!</v>
      </c>
      <c r="IR201" t="e">
        <f>AND('OTRAS ACCIONES'!O342,"AAAAAEbYrPs=")</f>
        <v>#VALUE!</v>
      </c>
      <c r="IS201" t="e">
        <f>AND('OTRAS ACCIONES'!P342,"AAAAAEbYrPw=")</f>
        <v>#VALUE!</v>
      </c>
      <c r="IT201" t="e">
        <f>AND('OTRAS ACCIONES'!Q342,"AAAAAEbYrP0=")</f>
        <v>#VALUE!</v>
      </c>
      <c r="IU201" t="e">
        <f>AND('OTRAS ACCIONES'!R342,"AAAAAEbYrP4=")</f>
        <v>#VALUE!</v>
      </c>
      <c r="IV201">
        <f>IF('OTRAS ACCIONES'!343:343,"AAAAAEbYrP8=",0)</f>
        <v>0</v>
      </c>
    </row>
    <row r="202" spans="1:256" x14ac:dyDescent="0.2">
      <c r="A202" t="e">
        <f>AND('OTRAS ACCIONES'!B343,"AAAAAGLz0wA=")</f>
        <v>#VALUE!</v>
      </c>
      <c r="B202" t="e">
        <f>AND('OTRAS ACCIONES'!C343,"AAAAAGLz0wE=")</f>
        <v>#VALUE!</v>
      </c>
      <c r="C202" t="e">
        <f>AND('OTRAS ACCIONES'!D343,"AAAAAGLz0wI=")</f>
        <v>#VALUE!</v>
      </c>
      <c r="D202" t="e">
        <f>AND('OTRAS ACCIONES'!E343,"AAAAAGLz0wM=")</f>
        <v>#VALUE!</v>
      </c>
      <c r="E202" t="e">
        <f>AND('OTRAS ACCIONES'!F343,"AAAAAGLz0wQ=")</f>
        <v>#VALUE!</v>
      </c>
      <c r="F202" t="e">
        <f>AND('OTRAS ACCIONES'!G343,"AAAAAGLz0wU=")</f>
        <v>#VALUE!</v>
      </c>
      <c r="G202" t="e">
        <f>AND('OTRAS ACCIONES'!H343,"AAAAAGLz0wY=")</f>
        <v>#VALUE!</v>
      </c>
      <c r="H202" t="e">
        <f>AND('OTRAS ACCIONES'!I343,"AAAAAGLz0wc=")</f>
        <v>#VALUE!</v>
      </c>
      <c r="I202" t="e">
        <f>AND('OTRAS ACCIONES'!J343,"AAAAAGLz0wg=")</f>
        <v>#VALUE!</v>
      </c>
      <c r="J202" t="e">
        <f>AND('OTRAS ACCIONES'!K343,"AAAAAGLz0wk=")</f>
        <v>#VALUE!</v>
      </c>
      <c r="K202" t="e">
        <f>AND('OTRAS ACCIONES'!L343,"AAAAAGLz0wo=")</f>
        <v>#VALUE!</v>
      </c>
      <c r="L202" t="e">
        <f>AND('OTRAS ACCIONES'!M343,"AAAAAGLz0ws=")</f>
        <v>#VALUE!</v>
      </c>
      <c r="M202" t="e">
        <f>AND('OTRAS ACCIONES'!N343,"AAAAAGLz0ww=")</f>
        <v>#VALUE!</v>
      </c>
      <c r="N202" t="e">
        <f>AND('OTRAS ACCIONES'!O343,"AAAAAGLz0w0=")</f>
        <v>#VALUE!</v>
      </c>
      <c r="O202" t="e">
        <f>AND('OTRAS ACCIONES'!P343,"AAAAAGLz0w4=")</f>
        <v>#VALUE!</v>
      </c>
      <c r="P202" t="e">
        <f>AND('OTRAS ACCIONES'!Q343,"AAAAAGLz0w8=")</f>
        <v>#VALUE!</v>
      </c>
      <c r="Q202" t="e">
        <f>AND('OTRAS ACCIONES'!R343,"AAAAAGLz0xA=")</f>
        <v>#VALUE!</v>
      </c>
      <c r="R202" t="e">
        <f>IF('OTRAS ACCIONES'!344:344,"AAAAAGLz0xE=",0)</f>
        <v>#REF!</v>
      </c>
      <c r="S202" t="e">
        <f>AND('OTRAS ACCIONES'!B344,"AAAAAGLz0xI=")</f>
        <v>#VALUE!</v>
      </c>
      <c r="T202" t="e">
        <f>AND('OTRAS ACCIONES'!C344,"AAAAAGLz0xM=")</f>
        <v>#VALUE!</v>
      </c>
      <c r="U202" t="e">
        <f>AND('OTRAS ACCIONES'!D344,"AAAAAGLz0xQ=")</f>
        <v>#VALUE!</v>
      </c>
      <c r="V202" t="e">
        <f>AND('OTRAS ACCIONES'!E344,"AAAAAGLz0xU=")</f>
        <v>#VALUE!</v>
      </c>
      <c r="W202" t="e">
        <f>AND('OTRAS ACCIONES'!F344,"AAAAAGLz0xY=")</f>
        <v>#VALUE!</v>
      </c>
      <c r="X202" t="e">
        <f>AND('OTRAS ACCIONES'!G344,"AAAAAGLz0xc=")</f>
        <v>#VALUE!</v>
      </c>
      <c r="Y202" t="e">
        <f>AND('OTRAS ACCIONES'!H344,"AAAAAGLz0xg=")</f>
        <v>#VALUE!</v>
      </c>
      <c r="Z202" t="e">
        <f>AND('OTRAS ACCIONES'!I344,"AAAAAGLz0xk=")</f>
        <v>#VALUE!</v>
      </c>
      <c r="AA202" t="e">
        <f>AND('OTRAS ACCIONES'!J344,"AAAAAGLz0xo=")</f>
        <v>#VALUE!</v>
      </c>
      <c r="AB202" t="e">
        <f>AND('OTRAS ACCIONES'!K344,"AAAAAGLz0xs=")</f>
        <v>#VALUE!</v>
      </c>
      <c r="AC202" t="e">
        <f>AND('OTRAS ACCIONES'!L344,"AAAAAGLz0xw=")</f>
        <v>#VALUE!</v>
      </c>
      <c r="AD202" t="e">
        <f>AND('OTRAS ACCIONES'!M344,"AAAAAGLz0x0=")</f>
        <v>#VALUE!</v>
      </c>
      <c r="AE202" t="e">
        <f>AND('OTRAS ACCIONES'!N344,"AAAAAGLz0x4=")</f>
        <v>#VALUE!</v>
      </c>
      <c r="AF202" t="e">
        <f>AND('OTRAS ACCIONES'!O344,"AAAAAGLz0x8=")</f>
        <v>#VALUE!</v>
      </c>
      <c r="AG202" t="e">
        <f>AND('OTRAS ACCIONES'!P344,"AAAAAGLz0yA=")</f>
        <v>#VALUE!</v>
      </c>
      <c r="AH202" t="e">
        <f>AND('OTRAS ACCIONES'!Q344,"AAAAAGLz0yE=")</f>
        <v>#VALUE!</v>
      </c>
      <c r="AI202" t="e">
        <f>AND('OTRAS ACCIONES'!R344,"AAAAAGLz0yI=")</f>
        <v>#VALUE!</v>
      </c>
      <c r="AJ202">
        <f>IF('OTRAS ACCIONES'!345:345,"AAAAAGLz0yM=",0)</f>
        <v>0</v>
      </c>
      <c r="AK202" t="e">
        <f>AND('OTRAS ACCIONES'!B345,"AAAAAGLz0yQ=")</f>
        <v>#VALUE!</v>
      </c>
      <c r="AL202" t="e">
        <f>AND('OTRAS ACCIONES'!C345,"AAAAAGLz0yU=")</f>
        <v>#VALUE!</v>
      </c>
      <c r="AM202" t="e">
        <f>AND('OTRAS ACCIONES'!D345,"AAAAAGLz0yY=")</f>
        <v>#VALUE!</v>
      </c>
      <c r="AN202" t="e">
        <f>AND('OTRAS ACCIONES'!E345,"AAAAAGLz0yc=")</f>
        <v>#VALUE!</v>
      </c>
      <c r="AO202" t="e">
        <f>AND('OTRAS ACCIONES'!F345,"AAAAAGLz0yg=")</f>
        <v>#VALUE!</v>
      </c>
      <c r="AP202" t="e">
        <f>AND('OTRAS ACCIONES'!G345,"AAAAAGLz0yk=")</f>
        <v>#VALUE!</v>
      </c>
      <c r="AQ202" t="e">
        <f>AND('OTRAS ACCIONES'!H345,"AAAAAGLz0yo=")</f>
        <v>#VALUE!</v>
      </c>
      <c r="AR202" t="e">
        <f>AND('OTRAS ACCIONES'!I345,"AAAAAGLz0ys=")</f>
        <v>#VALUE!</v>
      </c>
      <c r="AS202" t="e">
        <f>AND('OTRAS ACCIONES'!J345,"AAAAAGLz0yw=")</f>
        <v>#VALUE!</v>
      </c>
      <c r="AT202" t="e">
        <f>AND('OTRAS ACCIONES'!K345,"AAAAAGLz0y0=")</f>
        <v>#VALUE!</v>
      </c>
      <c r="AU202" t="e">
        <f>AND('OTRAS ACCIONES'!L345,"AAAAAGLz0y4=")</f>
        <v>#VALUE!</v>
      </c>
      <c r="AV202" t="e">
        <f>AND('OTRAS ACCIONES'!M345,"AAAAAGLz0y8=")</f>
        <v>#VALUE!</v>
      </c>
      <c r="AW202" t="e">
        <f>AND('OTRAS ACCIONES'!N345,"AAAAAGLz0zA=")</f>
        <v>#VALUE!</v>
      </c>
      <c r="AX202" t="e">
        <f>AND('OTRAS ACCIONES'!O345,"AAAAAGLz0zE=")</f>
        <v>#VALUE!</v>
      </c>
      <c r="AY202" t="e">
        <f>AND('OTRAS ACCIONES'!P345,"AAAAAGLz0zI=")</f>
        <v>#VALUE!</v>
      </c>
      <c r="AZ202" t="e">
        <f>AND('OTRAS ACCIONES'!Q345,"AAAAAGLz0zM=")</f>
        <v>#VALUE!</v>
      </c>
      <c r="BA202" t="e">
        <f>AND('OTRAS ACCIONES'!R345,"AAAAAGLz0zQ=")</f>
        <v>#VALUE!</v>
      </c>
      <c r="BB202">
        <f>IF('OTRAS ACCIONES'!346:346,"AAAAAGLz0zU=",0)</f>
        <v>0</v>
      </c>
      <c r="BC202" t="e">
        <f>AND('OTRAS ACCIONES'!B346,"AAAAAGLz0zY=")</f>
        <v>#VALUE!</v>
      </c>
      <c r="BD202" t="e">
        <f>AND('OTRAS ACCIONES'!C346,"AAAAAGLz0zc=")</f>
        <v>#VALUE!</v>
      </c>
      <c r="BE202" t="e">
        <f>AND('OTRAS ACCIONES'!D346,"AAAAAGLz0zg=")</f>
        <v>#VALUE!</v>
      </c>
      <c r="BF202" t="e">
        <f>AND('OTRAS ACCIONES'!E346,"AAAAAGLz0zk=")</f>
        <v>#VALUE!</v>
      </c>
      <c r="BG202" t="e">
        <f>AND('OTRAS ACCIONES'!F346,"AAAAAGLz0zo=")</f>
        <v>#VALUE!</v>
      </c>
      <c r="BH202" t="e">
        <f>AND('OTRAS ACCIONES'!G346,"AAAAAGLz0zs=")</f>
        <v>#VALUE!</v>
      </c>
      <c r="BI202" t="e">
        <f>AND('OTRAS ACCIONES'!H346,"AAAAAGLz0zw=")</f>
        <v>#VALUE!</v>
      </c>
      <c r="BJ202" t="e">
        <f>AND('OTRAS ACCIONES'!I346,"AAAAAGLz0z0=")</f>
        <v>#VALUE!</v>
      </c>
      <c r="BK202" t="e">
        <f>AND('OTRAS ACCIONES'!J346,"AAAAAGLz0z4=")</f>
        <v>#VALUE!</v>
      </c>
      <c r="BL202" t="e">
        <f>AND('OTRAS ACCIONES'!K346,"AAAAAGLz0z8=")</f>
        <v>#VALUE!</v>
      </c>
      <c r="BM202" t="e">
        <f>AND('OTRAS ACCIONES'!L346,"AAAAAGLz00A=")</f>
        <v>#VALUE!</v>
      </c>
      <c r="BN202" t="e">
        <f>AND('OTRAS ACCIONES'!M346,"AAAAAGLz00E=")</f>
        <v>#VALUE!</v>
      </c>
      <c r="BO202" t="e">
        <f>AND('OTRAS ACCIONES'!N346,"AAAAAGLz00I=")</f>
        <v>#VALUE!</v>
      </c>
      <c r="BP202" t="e">
        <f>AND('OTRAS ACCIONES'!O346,"AAAAAGLz00M=")</f>
        <v>#VALUE!</v>
      </c>
      <c r="BQ202" t="e">
        <f>AND('OTRAS ACCIONES'!P346,"AAAAAGLz00Q=")</f>
        <v>#VALUE!</v>
      </c>
      <c r="BR202" t="e">
        <f>AND('OTRAS ACCIONES'!Q346,"AAAAAGLz00U=")</f>
        <v>#VALUE!</v>
      </c>
      <c r="BS202" t="e">
        <f>AND('OTRAS ACCIONES'!R346,"AAAAAGLz00Y=")</f>
        <v>#VALUE!</v>
      </c>
      <c r="BT202">
        <f>IF('OTRAS ACCIONES'!347:347,"AAAAAGLz00c=",0)</f>
        <v>0</v>
      </c>
      <c r="BU202" t="e">
        <f>AND('OTRAS ACCIONES'!B347,"AAAAAGLz00g=")</f>
        <v>#VALUE!</v>
      </c>
      <c r="BV202" t="e">
        <f>AND('OTRAS ACCIONES'!C347,"AAAAAGLz00k=")</f>
        <v>#VALUE!</v>
      </c>
      <c r="BW202" t="e">
        <f>AND('OTRAS ACCIONES'!D347,"AAAAAGLz00o=")</f>
        <v>#VALUE!</v>
      </c>
      <c r="BX202" t="e">
        <f>AND('OTRAS ACCIONES'!E347,"AAAAAGLz00s=")</f>
        <v>#VALUE!</v>
      </c>
      <c r="BY202" t="e">
        <f>AND('OTRAS ACCIONES'!F347,"AAAAAGLz00w=")</f>
        <v>#VALUE!</v>
      </c>
      <c r="BZ202" t="e">
        <f>AND('OTRAS ACCIONES'!G347,"AAAAAGLz000=")</f>
        <v>#VALUE!</v>
      </c>
      <c r="CA202" t="e">
        <f>AND('OTRAS ACCIONES'!H347,"AAAAAGLz004=")</f>
        <v>#VALUE!</v>
      </c>
      <c r="CB202" t="e">
        <f>AND('OTRAS ACCIONES'!I347,"AAAAAGLz008=")</f>
        <v>#VALUE!</v>
      </c>
      <c r="CC202" t="e">
        <f>AND('OTRAS ACCIONES'!J347,"AAAAAGLz01A=")</f>
        <v>#VALUE!</v>
      </c>
      <c r="CD202" t="e">
        <f>AND('OTRAS ACCIONES'!K347,"AAAAAGLz01E=")</f>
        <v>#VALUE!</v>
      </c>
      <c r="CE202" t="e">
        <f>AND('OTRAS ACCIONES'!L347,"AAAAAGLz01I=")</f>
        <v>#VALUE!</v>
      </c>
      <c r="CF202" t="e">
        <f>AND('OTRAS ACCIONES'!M347,"AAAAAGLz01M=")</f>
        <v>#VALUE!</v>
      </c>
      <c r="CG202" t="e">
        <f>AND('OTRAS ACCIONES'!N347,"AAAAAGLz01Q=")</f>
        <v>#VALUE!</v>
      </c>
      <c r="CH202" t="e">
        <f>AND('OTRAS ACCIONES'!O347,"AAAAAGLz01U=")</f>
        <v>#VALUE!</v>
      </c>
      <c r="CI202" t="e">
        <f>AND('OTRAS ACCIONES'!P347,"AAAAAGLz01Y=")</f>
        <v>#VALUE!</v>
      </c>
      <c r="CJ202" t="e">
        <f>AND('OTRAS ACCIONES'!Q347,"AAAAAGLz01c=")</f>
        <v>#VALUE!</v>
      </c>
      <c r="CK202" t="e">
        <f>AND('OTRAS ACCIONES'!R347,"AAAAAGLz01g=")</f>
        <v>#VALUE!</v>
      </c>
      <c r="CL202">
        <f>IF('OTRAS ACCIONES'!348:348,"AAAAAGLz01k=",0)</f>
        <v>0</v>
      </c>
      <c r="CM202" t="e">
        <f>AND('OTRAS ACCIONES'!B348,"AAAAAGLz01o=")</f>
        <v>#VALUE!</v>
      </c>
      <c r="CN202" t="e">
        <f>AND('OTRAS ACCIONES'!C348,"AAAAAGLz01s=")</f>
        <v>#VALUE!</v>
      </c>
      <c r="CO202" t="e">
        <f>AND('OTRAS ACCIONES'!D348,"AAAAAGLz01w=")</f>
        <v>#VALUE!</v>
      </c>
      <c r="CP202" t="e">
        <f>AND('OTRAS ACCIONES'!E348,"AAAAAGLz010=")</f>
        <v>#VALUE!</v>
      </c>
      <c r="CQ202" t="e">
        <f>AND('OTRAS ACCIONES'!F348,"AAAAAGLz014=")</f>
        <v>#VALUE!</v>
      </c>
      <c r="CR202" t="e">
        <f>AND('OTRAS ACCIONES'!G348,"AAAAAGLz018=")</f>
        <v>#VALUE!</v>
      </c>
      <c r="CS202" t="e">
        <f>AND('OTRAS ACCIONES'!H348,"AAAAAGLz02A=")</f>
        <v>#VALUE!</v>
      </c>
      <c r="CT202" t="e">
        <f>AND('OTRAS ACCIONES'!I348,"AAAAAGLz02E=")</f>
        <v>#VALUE!</v>
      </c>
      <c r="CU202" t="e">
        <f>AND('OTRAS ACCIONES'!J348,"AAAAAGLz02I=")</f>
        <v>#VALUE!</v>
      </c>
      <c r="CV202" t="e">
        <f>AND('OTRAS ACCIONES'!K348,"AAAAAGLz02M=")</f>
        <v>#VALUE!</v>
      </c>
      <c r="CW202" t="e">
        <f>AND('OTRAS ACCIONES'!L348,"AAAAAGLz02Q=")</f>
        <v>#VALUE!</v>
      </c>
      <c r="CX202" t="e">
        <f>AND('OTRAS ACCIONES'!M348,"AAAAAGLz02U=")</f>
        <v>#VALUE!</v>
      </c>
      <c r="CY202" t="e">
        <f>AND('OTRAS ACCIONES'!N348,"AAAAAGLz02Y=")</f>
        <v>#VALUE!</v>
      </c>
      <c r="CZ202" t="e">
        <f>AND('OTRAS ACCIONES'!O348,"AAAAAGLz02c=")</f>
        <v>#VALUE!</v>
      </c>
      <c r="DA202" t="e">
        <f>AND('OTRAS ACCIONES'!P348,"AAAAAGLz02g=")</f>
        <v>#VALUE!</v>
      </c>
      <c r="DB202" t="e">
        <f>AND('OTRAS ACCIONES'!Q348,"AAAAAGLz02k=")</f>
        <v>#VALUE!</v>
      </c>
      <c r="DC202" t="e">
        <f>AND('OTRAS ACCIONES'!R348,"AAAAAGLz02o=")</f>
        <v>#VALUE!</v>
      </c>
      <c r="DD202">
        <f>IF('OTRAS ACCIONES'!349:349,"AAAAAGLz02s=",0)</f>
        <v>0</v>
      </c>
      <c r="DE202" t="e">
        <f>AND('OTRAS ACCIONES'!B349,"AAAAAGLz02w=")</f>
        <v>#VALUE!</v>
      </c>
      <c r="DF202" t="e">
        <f>AND('OTRAS ACCIONES'!C349,"AAAAAGLz020=")</f>
        <v>#VALUE!</v>
      </c>
      <c r="DG202" t="e">
        <f>AND('OTRAS ACCIONES'!D349,"AAAAAGLz024=")</f>
        <v>#VALUE!</v>
      </c>
      <c r="DH202" t="e">
        <f>AND('OTRAS ACCIONES'!E349,"AAAAAGLz028=")</f>
        <v>#VALUE!</v>
      </c>
      <c r="DI202" t="e">
        <f>AND('OTRAS ACCIONES'!F349,"AAAAAGLz03A=")</f>
        <v>#VALUE!</v>
      </c>
      <c r="DJ202" t="e">
        <f>AND('OTRAS ACCIONES'!G349,"AAAAAGLz03E=")</f>
        <v>#VALUE!</v>
      </c>
      <c r="DK202" t="e">
        <f>AND('OTRAS ACCIONES'!H349,"AAAAAGLz03I=")</f>
        <v>#VALUE!</v>
      </c>
      <c r="DL202" t="e">
        <f>AND('OTRAS ACCIONES'!I349,"AAAAAGLz03M=")</f>
        <v>#VALUE!</v>
      </c>
      <c r="DM202" t="e">
        <f>AND('OTRAS ACCIONES'!J349,"AAAAAGLz03Q=")</f>
        <v>#VALUE!</v>
      </c>
      <c r="DN202" t="e">
        <f>AND('OTRAS ACCIONES'!K349,"AAAAAGLz03U=")</f>
        <v>#VALUE!</v>
      </c>
      <c r="DO202" t="e">
        <f>AND('OTRAS ACCIONES'!L349,"AAAAAGLz03Y=")</f>
        <v>#VALUE!</v>
      </c>
      <c r="DP202" t="e">
        <f>AND('OTRAS ACCIONES'!M349,"AAAAAGLz03c=")</f>
        <v>#VALUE!</v>
      </c>
      <c r="DQ202" t="e">
        <f>AND('OTRAS ACCIONES'!N349,"AAAAAGLz03g=")</f>
        <v>#VALUE!</v>
      </c>
      <c r="DR202" t="e">
        <f>AND('OTRAS ACCIONES'!O349,"AAAAAGLz03k=")</f>
        <v>#VALUE!</v>
      </c>
      <c r="DS202" t="e">
        <f>AND('OTRAS ACCIONES'!P349,"AAAAAGLz03o=")</f>
        <v>#VALUE!</v>
      </c>
      <c r="DT202" t="e">
        <f>AND('OTRAS ACCIONES'!Q349,"AAAAAGLz03s=")</f>
        <v>#VALUE!</v>
      </c>
      <c r="DU202" t="e">
        <f>AND('OTRAS ACCIONES'!R349,"AAAAAGLz03w=")</f>
        <v>#VALUE!</v>
      </c>
      <c r="DV202">
        <f>IF('OTRAS ACCIONES'!350:350,"AAAAAGLz030=",0)</f>
        <v>0</v>
      </c>
      <c r="DW202" t="e">
        <f>AND('OTRAS ACCIONES'!B350,"AAAAAGLz034=")</f>
        <v>#VALUE!</v>
      </c>
      <c r="DX202" t="e">
        <f>AND('OTRAS ACCIONES'!C350,"AAAAAGLz038=")</f>
        <v>#VALUE!</v>
      </c>
      <c r="DY202" t="e">
        <f>AND('OTRAS ACCIONES'!D350,"AAAAAGLz04A=")</f>
        <v>#VALUE!</v>
      </c>
      <c r="DZ202" t="e">
        <f>AND('OTRAS ACCIONES'!E350,"AAAAAGLz04E=")</f>
        <v>#VALUE!</v>
      </c>
      <c r="EA202" t="e">
        <f>AND('OTRAS ACCIONES'!F350,"AAAAAGLz04I=")</f>
        <v>#VALUE!</v>
      </c>
      <c r="EB202" t="e">
        <f>AND('OTRAS ACCIONES'!G350,"AAAAAGLz04M=")</f>
        <v>#VALUE!</v>
      </c>
      <c r="EC202" t="e">
        <f>AND('OTRAS ACCIONES'!H350,"AAAAAGLz04Q=")</f>
        <v>#VALUE!</v>
      </c>
      <c r="ED202" t="e">
        <f>AND('OTRAS ACCIONES'!I350,"AAAAAGLz04U=")</f>
        <v>#VALUE!</v>
      </c>
      <c r="EE202" t="e">
        <f>AND('OTRAS ACCIONES'!J350,"AAAAAGLz04Y=")</f>
        <v>#VALUE!</v>
      </c>
      <c r="EF202" t="e">
        <f>AND('OTRAS ACCIONES'!K350,"AAAAAGLz04c=")</f>
        <v>#VALUE!</v>
      </c>
      <c r="EG202" t="e">
        <f>AND('OTRAS ACCIONES'!L350,"AAAAAGLz04g=")</f>
        <v>#VALUE!</v>
      </c>
      <c r="EH202" t="e">
        <f>AND('OTRAS ACCIONES'!M350,"AAAAAGLz04k=")</f>
        <v>#VALUE!</v>
      </c>
      <c r="EI202" t="e">
        <f>AND('OTRAS ACCIONES'!N350,"AAAAAGLz04o=")</f>
        <v>#VALUE!</v>
      </c>
      <c r="EJ202" t="e">
        <f>AND('OTRAS ACCIONES'!O350,"AAAAAGLz04s=")</f>
        <v>#VALUE!</v>
      </c>
      <c r="EK202" t="e">
        <f>AND('OTRAS ACCIONES'!P350,"AAAAAGLz04w=")</f>
        <v>#VALUE!</v>
      </c>
      <c r="EL202" t="e">
        <f>AND('OTRAS ACCIONES'!Q350,"AAAAAGLz040=")</f>
        <v>#VALUE!</v>
      </c>
      <c r="EM202" t="e">
        <f>AND('OTRAS ACCIONES'!R350,"AAAAAGLz044=")</f>
        <v>#VALUE!</v>
      </c>
      <c r="EN202">
        <f>IF('OTRAS ACCIONES'!351:351,"AAAAAGLz048=",0)</f>
        <v>0</v>
      </c>
      <c r="EO202" t="e">
        <f>AND('OTRAS ACCIONES'!B351,"AAAAAGLz05A=")</f>
        <v>#VALUE!</v>
      </c>
      <c r="EP202" t="e">
        <f>AND('OTRAS ACCIONES'!C351,"AAAAAGLz05E=")</f>
        <v>#VALUE!</v>
      </c>
      <c r="EQ202" t="e">
        <f>AND('OTRAS ACCIONES'!D351,"AAAAAGLz05I=")</f>
        <v>#VALUE!</v>
      </c>
      <c r="ER202" t="e">
        <f>AND('OTRAS ACCIONES'!E351,"AAAAAGLz05M=")</f>
        <v>#VALUE!</v>
      </c>
      <c r="ES202" t="e">
        <f>AND('OTRAS ACCIONES'!F351,"AAAAAGLz05Q=")</f>
        <v>#VALUE!</v>
      </c>
      <c r="ET202" t="e">
        <f>AND('OTRAS ACCIONES'!G351,"AAAAAGLz05U=")</f>
        <v>#VALUE!</v>
      </c>
      <c r="EU202" t="e">
        <f>AND('OTRAS ACCIONES'!H351,"AAAAAGLz05Y=")</f>
        <v>#VALUE!</v>
      </c>
      <c r="EV202" t="e">
        <f>AND('OTRAS ACCIONES'!I351,"AAAAAGLz05c=")</f>
        <v>#VALUE!</v>
      </c>
      <c r="EW202" t="e">
        <f>AND('OTRAS ACCIONES'!J351,"AAAAAGLz05g=")</f>
        <v>#VALUE!</v>
      </c>
      <c r="EX202" t="e">
        <f>AND('OTRAS ACCIONES'!K351,"AAAAAGLz05k=")</f>
        <v>#VALUE!</v>
      </c>
      <c r="EY202" t="e">
        <f>AND('OTRAS ACCIONES'!L351,"AAAAAGLz05o=")</f>
        <v>#VALUE!</v>
      </c>
      <c r="EZ202" t="e">
        <f>AND('OTRAS ACCIONES'!M351,"AAAAAGLz05s=")</f>
        <v>#VALUE!</v>
      </c>
      <c r="FA202" t="e">
        <f>AND('OTRAS ACCIONES'!N351,"AAAAAGLz05w=")</f>
        <v>#VALUE!</v>
      </c>
      <c r="FB202" t="e">
        <f>AND('OTRAS ACCIONES'!O351,"AAAAAGLz050=")</f>
        <v>#VALUE!</v>
      </c>
      <c r="FC202" t="e">
        <f>AND('OTRAS ACCIONES'!P351,"AAAAAGLz054=")</f>
        <v>#VALUE!</v>
      </c>
      <c r="FD202" t="e">
        <f>AND('OTRAS ACCIONES'!Q351,"AAAAAGLz058=")</f>
        <v>#VALUE!</v>
      </c>
      <c r="FE202" t="e">
        <f>AND('OTRAS ACCIONES'!R351,"AAAAAGLz06A=")</f>
        <v>#VALUE!</v>
      </c>
      <c r="FF202">
        <f>IF('OTRAS ACCIONES'!352:352,"AAAAAGLz06E=",0)</f>
        <v>0</v>
      </c>
      <c r="FG202" t="e">
        <f>AND('OTRAS ACCIONES'!B352,"AAAAAGLz06I=")</f>
        <v>#VALUE!</v>
      </c>
      <c r="FH202" t="e">
        <f>AND('OTRAS ACCIONES'!C352,"AAAAAGLz06M=")</f>
        <v>#VALUE!</v>
      </c>
      <c r="FI202" t="e">
        <f>AND('OTRAS ACCIONES'!D352,"AAAAAGLz06Q=")</f>
        <v>#VALUE!</v>
      </c>
      <c r="FJ202" t="e">
        <f>AND('OTRAS ACCIONES'!E352,"AAAAAGLz06U=")</f>
        <v>#VALUE!</v>
      </c>
      <c r="FK202" t="e">
        <f>AND('OTRAS ACCIONES'!F352,"AAAAAGLz06Y=")</f>
        <v>#VALUE!</v>
      </c>
      <c r="FL202" t="e">
        <f>AND('OTRAS ACCIONES'!G352,"AAAAAGLz06c=")</f>
        <v>#VALUE!</v>
      </c>
      <c r="FM202" t="e">
        <f>AND('OTRAS ACCIONES'!H352,"AAAAAGLz06g=")</f>
        <v>#VALUE!</v>
      </c>
      <c r="FN202" t="e">
        <f>AND('OTRAS ACCIONES'!I352,"AAAAAGLz06k=")</f>
        <v>#VALUE!</v>
      </c>
      <c r="FO202" t="e">
        <f>AND('OTRAS ACCIONES'!J352,"AAAAAGLz06o=")</f>
        <v>#VALUE!</v>
      </c>
      <c r="FP202" t="e">
        <f>AND('OTRAS ACCIONES'!K352,"AAAAAGLz06s=")</f>
        <v>#VALUE!</v>
      </c>
      <c r="FQ202" t="e">
        <f>AND('OTRAS ACCIONES'!L352,"AAAAAGLz06w=")</f>
        <v>#VALUE!</v>
      </c>
      <c r="FR202" t="e">
        <f>AND('OTRAS ACCIONES'!M352,"AAAAAGLz060=")</f>
        <v>#VALUE!</v>
      </c>
      <c r="FS202" t="e">
        <f>AND('OTRAS ACCIONES'!N352,"AAAAAGLz064=")</f>
        <v>#VALUE!</v>
      </c>
      <c r="FT202" t="e">
        <f>AND('OTRAS ACCIONES'!O352,"AAAAAGLz068=")</f>
        <v>#VALUE!</v>
      </c>
      <c r="FU202" t="e">
        <f>AND('OTRAS ACCIONES'!P352,"AAAAAGLz07A=")</f>
        <v>#VALUE!</v>
      </c>
      <c r="FV202" t="e">
        <f>AND('OTRAS ACCIONES'!Q352,"AAAAAGLz07E=")</f>
        <v>#VALUE!</v>
      </c>
      <c r="FW202" t="e">
        <f>AND('OTRAS ACCIONES'!R352,"AAAAAGLz07I=")</f>
        <v>#VALUE!</v>
      </c>
      <c r="FX202">
        <f>IF('OTRAS ACCIONES'!353:353,"AAAAAGLz07M=",0)</f>
        <v>0</v>
      </c>
      <c r="FY202" t="e">
        <f>AND('OTRAS ACCIONES'!B353,"AAAAAGLz07Q=")</f>
        <v>#VALUE!</v>
      </c>
      <c r="FZ202" t="e">
        <f>AND('OTRAS ACCIONES'!C353,"AAAAAGLz07U=")</f>
        <v>#VALUE!</v>
      </c>
      <c r="GA202" t="e">
        <f>AND('OTRAS ACCIONES'!D353,"AAAAAGLz07Y=")</f>
        <v>#VALUE!</v>
      </c>
      <c r="GB202" t="e">
        <f>AND('OTRAS ACCIONES'!E353,"AAAAAGLz07c=")</f>
        <v>#VALUE!</v>
      </c>
      <c r="GC202" t="e">
        <f>AND('OTRAS ACCIONES'!F353,"AAAAAGLz07g=")</f>
        <v>#VALUE!</v>
      </c>
      <c r="GD202" t="e">
        <f>AND('OTRAS ACCIONES'!G353,"AAAAAGLz07k=")</f>
        <v>#VALUE!</v>
      </c>
      <c r="GE202" t="e">
        <f>AND('OTRAS ACCIONES'!H353,"AAAAAGLz07o=")</f>
        <v>#VALUE!</v>
      </c>
      <c r="GF202" t="e">
        <f>AND('OTRAS ACCIONES'!I353,"AAAAAGLz07s=")</f>
        <v>#VALUE!</v>
      </c>
      <c r="GG202" t="e">
        <f>AND('OTRAS ACCIONES'!J353,"AAAAAGLz07w=")</f>
        <v>#VALUE!</v>
      </c>
      <c r="GH202" t="e">
        <f>AND('OTRAS ACCIONES'!K353,"AAAAAGLz070=")</f>
        <v>#VALUE!</v>
      </c>
      <c r="GI202" t="e">
        <f>AND('OTRAS ACCIONES'!L353,"AAAAAGLz074=")</f>
        <v>#VALUE!</v>
      </c>
      <c r="GJ202" t="e">
        <f>AND('OTRAS ACCIONES'!M353,"AAAAAGLz078=")</f>
        <v>#VALUE!</v>
      </c>
      <c r="GK202" t="e">
        <f>AND('OTRAS ACCIONES'!N353,"AAAAAGLz08A=")</f>
        <v>#VALUE!</v>
      </c>
      <c r="GL202" t="e">
        <f>AND('OTRAS ACCIONES'!O353,"AAAAAGLz08E=")</f>
        <v>#VALUE!</v>
      </c>
      <c r="GM202" t="e">
        <f>AND('OTRAS ACCIONES'!P353,"AAAAAGLz08I=")</f>
        <v>#VALUE!</v>
      </c>
      <c r="GN202" t="e">
        <f>AND('OTRAS ACCIONES'!Q353,"AAAAAGLz08M=")</f>
        <v>#VALUE!</v>
      </c>
      <c r="GO202" t="e">
        <f>AND('OTRAS ACCIONES'!R353,"AAAAAGLz08Q=")</f>
        <v>#VALUE!</v>
      </c>
      <c r="GP202">
        <f>IF('OTRAS ACCIONES'!354:354,"AAAAAGLz08U=",0)</f>
        <v>0</v>
      </c>
      <c r="GQ202" t="e">
        <f>AND('OTRAS ACCIONES'!B354,"AAAAAGLz08Y=")</f>
        <v>#VALUE!</v>
      </c>
      <c r="GR202" t="e">
        <f>AND('OTRAS ACCIONES'!C354,"AAAAAGLz08c=")</f>
        <v>#VALUE!</v>
      </c>
      <c r="GS202" t="e">
        <f>AND('OTRAS ACCIONES'!D354,"AAAAAGLz08g=")</f>
        <v>#VALUE!</v>
      </c>
      <c r="GT202" t="e">
        <f>AND('OTRAS ACCIONES'!E354,"AAAAAGLz08k=")</f>
        <v>#VALUE!</v>
      </c>
      <c r="GU202" t="e">
        <f>AND('OTRAS ACCIONES'!F354,"AAAAAGLz08o=")</f>
        <v>#VALUE!</v>
      </c>
      <c r="GV202" t="e">
        <f>AND('OTRAS ACCIONES'!G354,"AAAAAGLz08s=")</f>
        <v>#VALUE!</v>
      </c>
      <c r="GW202" t="e">
        <f>AND('OTRAS ACCIONES'!H354,"AAAAAGLz08w=")</f>
        <v>#VALUE!</v>
      </c>
      <c r="GX202" t="e">
        <f>AND('OTRAS ACCIONES'!I354,"AAAAAGLz080=")</f>
        <v>#VALUE!</v>
      </c>
      <c r="GY202" t="e">
        <f>AND('OTRAS ACCIONES'!J354,"AAAAAGLz084=")</f>
        <v>#VALUE!</v>
      </c>
      <c r="GZ202" t="e">
        <f>AND('OTRAS ACCIONES'!K354,"AAAAAGLz088=")</f>
        <v>#VALUE!</v>
      </c>
      <c r="HA202" t="e">
        <f>AND('OTRAS ACCIONES'!L354,"AAAAAGLz09A=")</f>
        <v>#VALUE!</v>
      </c>
      <c r="HB202" t="e">
        <f>AND('OTRAS ACCIONES'!M354,"AAAAAGLz09E=")</f>
        <v>#VALUE!</v>
      </c>
      <c r="HC202" t="e">
        <f>AND('OTRAS ACCIONES'!N354,"AAAAAGLz09I=")</f>
        <v>#VALUE!</v>
      </c>
      <c r="HD202" t="e">
        <f>AND('OTRAS ACCIONES'!O354,"AAAAAGLz09M=")</f>
        <v>#VALUE!</v>
      </c>
      <c r="HE202" t="e">
        <f>AND('OTRAS ACCIONES'!P354,"AAAAAGLz09Q=")</f>
        <v>#VALUE!</v>
      </c>
      <c r="HF202" t="e">
        <f>AND('OTRAS ACCIONES'!Q354,"AAAAAGLz09U=")</f>
        <v>#VALUE!</v>
      </c>
      <c r="HG202" t="e">
        <f>AND('OTRAS ACCIONES'!R354,"AAAAAGLz09Y=")</f>
        <v>#VALUE!</v>
      </c>
      <c r="HH202">
        <f>IF('OTRAS ACCIONES'!355:355,"AAAAAGLz09c=",0)</f>
        <v>0</v>
      </c>
      <c r="HI202" t="e">
        <f>AND('OTRAS ACCIONES'!B355,"AAAAAGLz09g=")</f>
        <v>#VALUE!</v>
      </c>
      <c r="HJ202" t="e">
        <f>AND('OTRAS ACCIONES'!C355,"AAAAAGLz09k=")</f>
        <v>#VALUE!</v>
      </c>
      <c r="HK202" t="e">
        <f>AND('OTRAS ACCIONES'!D355,"AAAAAGLz09o=")</f>
        <v>#VALUE!</v>
      </c>
      <c r="HL202" t="e">
        <f>AND('OTRAS ACCIONES'!E355,"AAAAAGLz09s=")</f>
        <v>#VALUE!</v>
      </c>
      <c r="HM202" t="e">
        <f>AND('OTRAS ACCIONES'!F355,"AAAAAGLz09w=")</f>
        <v>#VALUE!</v>
      </c>
      <c r="HN202" t="e">
        <f>AND('OTRAS ACCIONES'!G355,"AAAAAGLz090=")</f>
        <v>#VALUE!</v>
      </c>
      <c r="HO202" t="e">
        <f>AND('OTRAS ACCIONES'!H355,"AAAAAGLz094=")</f>
        <v>#VALUE!</v>
      </c>
      <c r="HP202" t="e">
        <f>AND('OTRAS ACCIONES'!I355,"AAAAAGLz098=")</f>
        <v>#VALUE!</v>
      </c>
      <c r="HQ202" t="e">
        <f>AND('OTRAS ACCIONES'!J355,"AAAAAGLz0+A=")</f>
        <v>#VALUE!</v>
      </c>
      <c r="HR202" t="e">
        <f>AND('OTRAS ACCIONES'!K355,"AAAAAGLz0+E=")</f>
        <v>#VALUE!</v>
      </c>
      <c r="HS202" t="e">
        <f>AND('OTRAS ACCIONES'!L355,"AAAAAGLz0+I=")</f>
        <v>#VALUE!</v>
      </c>
      <c r="HT202" t="e">
        <f>AND('OTRAS ACCIONES'!M355,"AAAAAGLz0+M=")</f>
        <v>#VALUE!</v>
      </c>
      <c r="HU202" t="e">
        <f>AND('OTRAS ACCIONES'!N355,"AAAAAGLz0+Q=")</f>
        <v>#VALUE!</v>
      </c>
      <c r="HV202" t="e">
        <f>AND('OTRAS ACCIONES'!O355,"AAAAAGLz0+U=")</f>
        <v>#VALUE!</v>
      </c>
      <c r="HW202" t="e">
        <f>AND('OTRAS ACCIONES'!P355,"AAAAAGLz0+Y=")</f>
        <v>#VALUE!</v>
      </c>
      <c r="HX202" t="e">
        <f>AND('OTRAS ACCIONES'!Q355,"AAAAAGLz0+c=")</f>
        <v>#VALUE!</v>
      </c>
      <c r="HY202" t="e">
        <f>AND('OTRAS ACCIONES'!R355,"AAAAAGLz0+g=")</f>
        <v>#VALUE!</v>
      </c>
      <c r="HZ202">
        <f>IF('OTRAS ACCIONES'!356:356,"AAAAAGLz0+k=",0)</f>
        <v>0</v>
      </c>
      <c r="IA202" t="e">
        <f>AND('OTRAS ACCIONES'!B356,"AAAAAGLz0+o=")</f>
        <v>#VALUE!</v>
      </c>
      <c r="IB202" t="e">
        <f>AND('OTRAS ACCIONES'!C356,"AAAAAGLz0+s=")</f>
        <v>#VALUE!</v>
      </c>
      <c r="IC202" t="e">
        <f>AND('OTRAS ACCIONES'!D356,"AAAAAGLz0+w=")</f>
        <v>#VALUE!</v>
      </c>
      <c r="ID202" t="e">
        <f>AND('OTRAS ACCIONES'!E356,"AAAAAGLz0+0=")</f>
        <v>#VALUE!</v>
      </c>
      <c r="IE202" t="e">
        <f>AND('OTRAS ACCIONES'!F356,"AAAAAGLz0+4=")</f>
        <v>#VALUE!</v>
      </c>
      <c r="IF202" t="e">
        <f>AND('OTRAS ACCIONES'!G356,"AAAAAGLz0+8=")</f>
        <v>#VALUE!</v>
      </c>
      <c r="IG202" t="e">
        <f>AND('OTRAS ACCIONES'!H356,"AAAAAGLz0/A=")</f>
        <v>#VALUE!</v>
      </c>
      <c r="IH202" t="e">
        <f>AND('OTRAS ACCIONES'!I356,"AAAAAGLz0/E=")</f>
        <v>#VALUE!</v>
      </c>
      <c r="II202" t="e">
        <f>AND('OTRAS ACCIONES'!J356,"AAAAAGLz0/I=")</f>
        <v>#VALUE!</v>
      </c>
      <c r="IJ202" t="e">
        <f>AND('OTRAS ACCIONES'!K356,"AAAAAGLz0/M=")</f>
        <v>#VALUE!</v>
      </c>
      <c r="IK202" t="e">
        <f>AND('OTRAS ACCIONES'!L356,"AAAAAGLz0/Q=")</f>
        <v>#VALUE!</v>
      </c>
      <c r="IL202" t="e">
        <f>AND('OTRAS ACCIONES'!M356,"AAAAAGLz0/U=")</f>
        <v>#VALUE!</v>
      </c>
      <c r="IM202" t="e">
        <f>AND('OTRAS ACCIONES'!N356,"AAAAAGLz0/Y=")</f>
        <v>#VALUE!</v>
      </c>
      <c r="IN202" t="e">
        <f>AND('OTRAS ACCIONES'!O356,"AAAAAGLz0/c=")</f>
        <v>#VALUE!</v>
      </c>
      <c r="IO202" t="e">
        <f>AND('OTRAS ACCIONES'!P356,"AAAAAGLz0/g=")</f>
        <v>#VALUE!</v>
      </c>
      <c r="IP202" t="e">
        <f>AND('OTRAS ACCIONES'!Q356,"AAAAAGLz0/k=")</f>
        <v>#VALUE!</v>
      </c>
      <c r="IQ202" t="e">
        <f>AND('OTRAS ACCIONES'!R356,"AAAAAGLz0/o=")</f>
        <v>#VALUE!</v>
      </c>
      <c r="IR202">
        <f>IF('OTRAS ACCIONES'!357:357,"AAAAAGLz0/s=",0)</f>
        <v>0</v>
      </c>
      <c r="IS202" t="e">
        <f>AND('OTRAS ACCIONES'!B357,"AAAAAGLz0/w=")</f>
        <v>#VALUE!</v>
      </c>
      <c r="IT202" t="e">
        <f>AND('OTRAS ACCIONES'!C357,"AAAAAGLz0/0=")</f>
        <v>#VALUE!</v>
      </c>
      <c r="IU202" t="e">
        <f>AND('OTRAS ACCIONES'!D357,"AAAAAGLz0/4=")</f>
        <v>#VALUE!</v>
      </c>
      <c r="IV202" t="e">
        <f>AND('OTRAS ACCIONES'!E357,"AAAAAGLz0/8=")</f>
        <v>#VALUE!</v>
      </c>
    </row>
    <row r="203" spans="1:256" x14ac:dyDescent="0.2">
      <c r="A203" t="e">
        <f>AND('OTRAS ACCIONES'!F357,"AAAAAG7vvQA=")</f>
        <v>#VALUE!</v>
      </c>
      <c r="B203" t="e">
        <f>AND('OTRAS ACCIONES'!G357,"AAAAAG7vvQE=")</f>
        <v>#VALUE!</v>
      </c>
      <c r="C203" t="e">
        <f>AND('OTRAS ACCIONES'!H357,"AAAAAG7vvQI=")</f>
        <v>#VALUE!</v>
      </c>
      <c r="D203" t="e">
        <f>AND('OTRAS ACCIONES'!I357,"AAAAAG7vvQM=")</f>
        <v>#VALUE!</v>
      </c>
      <c r="E203" t="e">
        <f>AND('OTRAS ACCIONES'!J357,"AAAAAG7vvQQ=")</f>
        <v>#VALUE!</v>
      </c>
      <c r="F203" t="e">
        <f>AND('OTRAS ACCIONES'!K357,"AAAAAG7vvQU=")</f>
        <v>#VALUE!</v>
      </c>
      <c r="G203" t="e">
        <f>AND('OTRAS ACCIONES'!L357,"AAAAAG7vvQY=")</f>
        <v>#VALUE!</v>
      </c>
      <c r="H203" t="e">
        <f>AND('OTRAS ACCIONES'!M357,"AAAAAG7vvQc=")</f>
        <v>#VALUE!</v>
      </c>
      <c r="I203" t="e">
        <f>AND('OTRAS ACCIONES'!N357,"AAAAAG7vvQg=")</f>
        <v>#VALUE!</v>
      </c>
      <c r="J203" t="e">
        <f>AND('OTRAS ACCIONES'!O357,"AAAAAG7vvQk=")</f>
        <v>#VALUE!</v>
      </c>
      <c r="K203" t="e">
        <f>AND('OTRAS ACCIONES'!P357,"AAAAAG7vvQo=")</f>
        <v>#VALUE!</v>
      </c>
      <c r="L203" t="e">
        <f>AND('OTRAS ACCIONES'!Q357,"AAAAAG7vvQs=")</f>
        <v>#VALUE!</v>
      </c>
      <c r="M203" t="e">
        <f>AND('OTRAS ACCIONES'!R357,"AAAAAG7vvQw=")</f>
        <v>#VALUE!</v>
      </c>
      <c r="N203">
        <f>IF('OTRAS ACCIONES'!358:358,"AAAAAG7vvQ0=",0)</f>
        <v>0</v>
      </c>
      <c r="O203" t="e">
        <f>AND('OTRAS ACCIONES'!B358,"AAAAAG7vvQ4=")</f>
        <v>#VALUE!</v>
      </c>
      <c r="P203" t="e">
        <f>AND('OTRAS ACCIONES'!C358,"AAAAAG7vvQ8=")</f>
        <v>#VALUE!</v>
      </c>
      <c r="Q203" t="e">
        <f>AND('OTRAS ACCIONES'!D358,"AAAAAG7vvRA=")</f>
        <v>#VALUE!</v>
      </c>
      <c r="R203" t="e">
        <f>AND('OTRAS ACCIONES'!E358,"AAAAAG7vvRE=")</f>
        <v>#VALUE!</v>
      </c>
      <c r="S203" t="e">
        <f>AND('OTRAS ACCIONES'!F358,"AAAAAG7vvRI=")</f>
        <v>#VALUE!</v>
      </c>
      <c r="T203" t="e">
        <f>AND('OTRAS ACCIONES'!G358,"AAAAAG7vvRM=")</f>
        <v>#VALUE!</v>
      </c>
      <c r="U203" t="e">
        <f>AND('OTRAS ACCIONES'!H358,"AAAAAG7vvRQ=")</f>
        <v>#VALUE!</v>
      </c>
      <c r="V203" t="e">
        <f>AND('OTRAS ACCIONES'!I358,"AAAAAG7vvRU=")</f>
        <v>#VALUE!</v>
      </c>
      <c r="W203" t="e">
        <f>AND('OTRAS ACCIONES'!J358,"AAAAAG7vvRY=")</f>
        <v>#VALUE!</v>
      </c>
      <c r="X203" t="e">
        <f>AND('OTRAS ACCIONES'!K358,"AAAAAG7vvRc=")</f>
        <v>#VALUE!</v>
      </c>
      <c r="Y203" t="e">
        <f>AND('OTRAS ACCIONES'!L358,"AAAAAG7vvRg=")</f>
        <v>#VALUE!</v>
      </c>
      <c r="Z203" t="e">
        <f>AND('OTRAS ACCIONES'!M358,"AAAAAG7vvRk=")</f>
        <v>#VALUE!</v>
      </c>
      <c r="AA203" t="e">
        <f>AND('OTRAS ACCIONES'!N358,"AAAAAG7vvRo=")</f>
        <v>#VALUE!</v>
      </c>
      <c r="AB203" t="e">
        <f>AND('OTRAS ACCIONES'!O358,"AAAAAG7vvRs=")</f>
        <v>#VALUE!</v>
      </c>
      <c r="AC203" t="e">
        <f>AND('OTRAS ACCIONES'!P358,"AAAAAG7vvRw=")</f>
        <v>#VALUE!</v>
      </c>
      <c r="AD203" t="e">
        <f>AND('OTRAS ACCIONES'!Q358,"AAAAAG7vvR0=")</f>
        <v>#VALUE!</v>
      </c>
      <c r="AE203" t="e">
        <f>AND('OTRAS ACCIONES'!R358,"AAAAAG7vvR4=")</f>
        <v>#VALUE!</v>
      </c>
      <c r="AF203">
        <f>IF('OTRAS ACCIONES'!359:359,"AAAAAG7vvR8=",0)</f>
        <v>0</v>
      </c>
      <c r="AG203" t="e">
        <f>AND('OTRAS ACCIONES'!B359,"AAAAAG7vvSA=")</f>
        <v>#VALUE!</v>
      </c>
      <c r="AH203" t="e">
        <f>AND('OTRAS ACCIONES'!C359,"AAAAAG7vvSE=")</f>
        <v>#VALUE!</v>
      </c>
      <c r="AI203" t="e">
        <f>AND('OTRAS ACCIONES'!D359,"AAAAAG7vvSI=")</f>
        <v>#VALUE!</v>
      </c>
      <c r="AJ203" t="e">
        <f>AND('OTRAS ACCIONES'!E359,"AAAAAG7vvSM=")</f>
        <v>#VALUE!</v>
      </c>
      <c r="AK203" t="e">
        <f>AND('OTRAS ACCIONES'!F359,"AAAAAG7vvSQ=")</f>
        <v>#VALUE!</v>
      </c>
      <c r="AL203" t="e">
        <f>AND('OTRAS ACCIONES'!G359,"AAAAAG7vvSU=")</f>
        <v>#VALUE!</v>
      </c>
      <c r="AM203" t="e">
        <f>AND('OTRAS ACCIONES'!H359,"AAAAAG7vvSY=")</f>
        <v>#VALUE!</v>
      </c>
      <c r="AN203" t="e">
        <f>AND('OTRAS ACCIONES'!I359,"AAAAAG7vvSc=")</f>
        <v>#VALUE!</v>
      </c>
      <c r="AO203" t="e">
        <f>AND('OTRAS ACCIONES'!J359,"AAAAAG7vvSg=")</f>
        <v>#VALUE!</v>
      </c>
      <c r="AP203" t="e">
        <f>AND('OTRAS ACCIONES'!K359,"AAAAAG7vvSk=")</f>
        <v>#VALUE!</v>
      </c>
      <c r="AQ203" t="e">
        <f>AND('OTRAS ACCIONES'!L359,"AAAAAG7vvSo=")</f>
        <v>#VALUE!</v>
      </c>
      <c r="AR203" t="e">
        <f>AND('OTRAS ACCIONES'!M359,"AAAAAG7vvSs=")</f>
        <v>#VALUE!</v>
      </c>
      <c r="AS203" t="e">
        <f>AND('OTRAS ACCIONES'!N359,"AAAAAG7vvSw=")</f>
        <v>#VALUE!</v>
      </c>
      <c r="AT203" t="e">
        <f>AND('OTRAS ACCIONES'!O359,"AAAAAG7vvS0=")</f>
        <v>#VALUE!</v>
      </c>
      <c r="AU203" t="e">
        <f>AND('OTRAS ACCIONES'!P359,"AAAAAG7vvS4=")</f>
        <v>#VALUE!</v>
      </c>
      <c r="AV203" t="e">
        <f>AND('OTRAS ACCIONES'!Q359,"AAAAAG7vvS8=")</f>
        <v>#VALUE!</v>
      </c>
      <c r="AW203" t="e">
        <f>AND('OTRAS ACCIONES'!R359,"AAAAAG7vvTA=")</f>
        <v>#VALUE!</v>
      </c>
      <c r="AX203">
        <f>IF('OTRAS ACCIONES'!360:360,"AAAAAG7vvTE=",0)</f>
        <v>0</v>
      </c>
      <c r="AY203" t="e">
        <f>AND('OTRAS ACCIONES'!B360,"AAAAAG7vvTI=")</f>
        <v>#VALUE!</v>
      </c>
      <c r="AZ203" t="e">
        <f>AND('OTRAS ACCIONES'!C360,"AAAAAG7vvTM=")</f>
        <v>#VALUE!</v>
      </c>
      <c r="BA203" t="e">
        <f>AND('OTRAS ACCIONES'!D360,"AAAAAG7vvTQ=")</f>
        <v>#VALUE!</v>
      </c>
      <c r="BB203" t="e">
        <f>AND('OTRAS ACCIONES'!E360,"AAAAAG7vvTU=")</f>
        <v>#VALUE!</v>
      </c>
      <c r="BC203" t="e">
        <f>AND('OTRAS ACCIONES'!F360,"AAAAAG7vvTY=")</f>
        <v>#VALUE!</v>
      </c>
      <c r="BD203" t="e">
        <f>AND('OTRAS ACCIONES'!G360,"AAAAAG7vvTc=")</f>
        <v>#VALUE!</v>
      </c>
      <c r="BE203" t="e">
        <f>AND('OTRAS ACCIONES'!H360,"AAAAAG7vvTg=")</f>
        <v>#VALUE!</v>
      </c>
      <c r="BF203" t="e">
        <f>AND('OTRAS ACCIONES'!I360,"AAAAAG7vvTk=")</f>
        <v>#VALUE!</v>
      </c>
      <c r="BG203" t="e">
        <f>AND('OTRAS ACCIONES'!J360,"AAAAAG7vvTo=")</f>
        <v>#VALUE!</v>
      </c>
      <c r="BH203" t="e">
        <f>AND('OTRAS ACCIONES'!K360,"AAAAAG7vvTs=")</f>
        <v>#VALUE!</v>
      </c>
      <c r="BI203" t="e">
        <f>AND('OTRAS ACCIONES'!L360,"AAAAAG7vvTw=")</f>
        <v>#VALUE!</v>
      </c>
      <c r="BJ203" t="e">
        <f>AND('OTRAS ACCIONES'!M360,"AAAAAG7vvT0=")</f>
        <v>#VALUE!</v>
      </c>
      <c r="BK203" t="e">
        <f>AND('OTRAS ACCIONES'!N360,"AAAAAG7vvT4=")</f>
        <v>#VALUE!</v>
      </c>
      <c r="BL203" t="e">
        <f>AND('OTRAS ACCIONES'!O360,"AAAAAG7vvT8=")</f>
        <v>#VALUE!</v>
      </c>
      <c r="BM203" t="e">
        <f>AND('OTRAS ACCIONES'!P360,"AAAAAG7vvUA=")</f>
        <v>#VALUE!</v>
      </c>
      <c r="BN203" t="e">
        <f>AND('OTRAS ACCIONES'!Q360,"AAAAAG7vvUE=")</f>
        <v>#VALUE!</v>
      </c>
      <c r="BO203" t="e">
        <f>AND('OTRAS ACCIONES'!R360,"AAAAAG7vvUI=")</f>
        <v>#VALUE!</v>
      </c>
      <c r="BP203">
        <f>IF('OTRAS ACCIONES'!361:361,"AAAAAG7vvUM=",0)</f>
        <v>0</v>
      </c>
      <c r="BQ203" t="e">
        <f>AND('OTRAS ACCIONES'!B361,"AAAAAG7vvUQ=")</f>
        <v>#VALUE!</v>
      </c>
      <c r="BR203" t="e">
        <f>AND('OTRAS ACCIONES'!C361,"AAAAAG7vvUU=")</f>
        <v>#VALUE!</v>
      </c>
      <c r="BS203" t="e">
        <f>AND('OTRAS ACCIONES'!D361,"AAAAAG7vvUY=")</f>
        <v>#VALUE!</v>
      </c>
      <c r="BT203" t="e">
        <f>AND('OTRAS ACCIONES'!E361,"AAAAAG7vvUc=")</f>
        <v>#VALUE!</v>
      </c>
      <c r="BU203" t="e">
        <f>AND('OTRAS ACCIONES'!F361,"AAAAAG7vvUg=")</f>
        <v>#VALUE!</v>
      </c>
      <c r="BV203" t="e">
        <f>AND('OTRAS ACCIONES'!G361,"AAAAAG7vvUk=")</f>
        <v>#VALUE!</v>
      </c>
      <c r="BW203" t="e">
        <f>AND('OTRAS ACCIONES'!H361,"AAAAAG7vvUo=")</f>
        <v>#VALUE!</v>
      </c>
      <c r="BX203" t="e">
        <f>AND('OTRAS ACCIONES'!I361,"AAAAAG7vvUs=")</f>
        <v>#VALUE!</v>
      </c>
      <c r="BY203" t="e">
        <f>AND('OTRAS ACCIONES'!J361,"AAAAAG7vvUw=")</f>
        <v>#VALUE!</v>
      </c>
      <c r="BZ203" t="e">
        <f>AND('OTRAS ACCIONES'!K361,"AAAAAG7vvU0=")</f>
        <v>#VALUE!</v>
      </c>
      <c r="CA203" t="e">
        <f>AND('OTRAS ACCIONES'!L361,"AAAAAG7vvU4=")</f>
        <v>#VALUE!</v>
      </c>
      <c r="CB203" t="e">
        <f>AND('OTRAS ACCIONES'!M361,"AAAAAG7vvU8=")</f>
        <v>#VALUE!</v>
      </c>
      <c r="CC203" t="e">
        <f>AND('OTRAS ACCIONES'!N361,"AAAAAG7vvVA=")</f>
        <v>#VALUE!</v>
      </c>
      <c r="CD203" t="e">
        <f>AND('OTRAS ACCIONES'!O361,"AAAAAG7vvVE=")</f>
        <v>#VALUE!</v>
      </c>
      <c r="CE203" t="e">
        <f>AND('OTRAS ACCIONES'!P361,"AAAAAG7vvVI=")</f>
        <v>#VALUE!</v>
      </c>
      <c r="CF203" t="e">
        <f>AND('OTRAS ACCIONES'!Q361,"AAAAAG7vvVM=")</f>
        <v>#VALUE!</v>
      </c>
      <c r="CG203" t="e">
        <f>AND('OTRAS ACCIONES'!R361,"AAAAAG7vvVQ=")</f>
        <v>#VALUE!</v>
      </c>
      <c r="CH203">
        <f>IF('OTRAS ACCIONES'!362:362,"AAAAAG7vvVU=",0)</f>
        <v>0</v>
      </c>
      <c r="CI203" t="e">
        <f>AND('OTRAS ACCIONES'!B362,"AAAAAG7vvVY=")</f>
        <v>#VALUE!</v>
      </c>
      <c r="CJ203" t="e">
        <f>AND('OTRAS ACCIONES'!C362,"AAAAAG7vvVc=")</f>
        <v>#VALUE!</v>
      </c>
      <c r="CK203" t="e">
        <f>AND('OTRAS ACCIONES'!D362,"AAAAAG7vvVg=")</f>
        <v>#VALUE!</v>
      </c>
      <c r="CL203" t="e">
        <f>AND('OTRAS ACCIONES'!E362,"AAAAAG7vvVk=")</f>
        <v>#VALUE!</v>
      </c>
      <c r="CM203" t="e">
        <f>AND('OTRAS ACCIONES'!F362,"AAAAAG7vvVo=")</f>
        <v>#VALUE!</v>
      </c>
      <c r="CN203" t="e">
        <f>AND('OTRAS ACCIONES'!G362,"AAAAAG7vvVs=")</f>
        <v>#VALUE!</v>
      </c>
      <c r="CO203" t="e">
        <f>AND('OTRAS ACCIONES'!H362,"AAAAAG7vvVw=")</f>
        <v>#VALUE!</v>
      </c>
      <c r="CP203" t="e">
        <f>AND('OTRAS ACCIONES'!I362,"AAAAAG7vvV0=")</f>
        <v>#VALUE!</v>
      </c>
      <c r="CQ203" t="e">
        <f>AND('OTRAS ACCIONES'!J362,"AAAAAG7vvV4=")</f>
        <v>#VALUE!</v>
      </c>
      <c r="CR203" t="e">
        <f>AND('OTRAS ACCIONES'!K362,"AAAAAG7vvV8=")</f>
        <v>#VALUE!</v>
      </c>
      <c r="CS203" t="e">
        <f>AND('OTRAS ACCIONES'!L362,"AAAAAG7vvWA=")</f>
        <v>#VALUE!</v>
      </c>
      <c r="CT203" t="e">
        <f>AND('OTRAS ACCIONES'!M362,"AAAAAG7vvWE=")</f>
        <v>#VALUE!</v>
      </c>
      <c r="CU203" t="e">
        <f>AND('OTRAS ACCIONES'!N362,"AAAAAG7vvWI=")</f>
        <v>#VALUE!</v>
      </c>
      <c r="CV203" t="e">
        <f>AND('OTRAS ACCIONES'!O362,"AAAAAG7vvWM=")</f>
        <v>#VALUE!</v>
      </c>
      <c r="CW203" t="e">
        <f>AND('OTRAS ACCIONES'!P362,"AAAAAG7vvWQ=")</f>
        <v>#VALUE!</v>
      </c>
      <c r="CX203" t="e">
        <f>AND('OTRAS ACCIONES'!Q362,"AAAAAG7vvWU=")</f>
        <v>#VALUE!</v>
      </c>
      <c r="CY203" t="e">
        <f>AND('OTRAS ACCIONES'!R362,"AAAAAG7vvWY=")</f>
        <v>#VALUE!</v>
      </c>
      <c r="CZ203">
        <f>IF('OTRAS ACCIONES'!363:363,"AAAAAG7vvWc=",0)</f>
        <v>0</v>
      </c>
      <c r="DA203" t="e">
        <f>AND('OTRAS ACCIONES'!B363,"AAAAAG7vvWg=")</f>
        <v>#VALUE!</v>
      </c>
      <c r="DB203" t="e">
        <f>AND('OTRAS ACCIONES'!C363,"AAAAAG7vvWk=")</f>
        <v>#VALUE!</v>
      </c>
      <c r="DC203" t="e">
        <f>AND('OTRAS ACCIONES'!D363,"AAAAAG7vvWo=")</f>
        <v>#VALUE!</v>
      </c>
      <c r="DD203" t="e">
        <f>AND('OTRAS ACCIONES'!E363,"AAAAAG7vvWs=")</f>
        <v>#VALUE!</v>
      </c>
      <c r="DE203" t="e">
        <f>AND('OTRAS ACCIONES'!F363,"AAAAAG7vvWw=")</f>
        <v>#VALUE!</v>
      </c>
      <c r="DF203" t="e">
        <f>AND('OTRAS ACCIONES'!G363,"AAAAAG7vvW0=")</f>
        <v>#VALUE!</v>
      </c>
      <c r="DG203" t="e">
        <f>AND('OTRAS ACCIONES'!H363,"AAAAAG7vvW4=")</f>
        <v>#VALUE!</v>
      </c>
      <c r="DH203" t="e">
        <f>AND('OTRAS ACCIONES'!I363,"AAAAAG7vvW8=")</f>
        <v>#VALUE!</v>
      </c>
      <c r="DI203" t="e">
        <f>AND('OTRAS ACCIONES'!J363,"AAAAAG7vvXA=")</f>
        <v>#VALUE!</v>
      </c>
      <c r="DJ203" t="e">
        <f>AND('OTRAS ACCIONES'!K363,"AAAAAG7vvXE=")</f>
        <v>#VALUE!</v>
      </c>
      <c r="DK203" t="e">
        <f>AND('OTRAS ACCIONES'!L363,"AAAAAG7vvXI=")</f>
        <v>#VALUE!</v>
      </c>
      <c r="DL203" t="e">
        <f>AND('OTRAS ACCIONES'!M363,"AAAAAG7vvXM=")</f>
        <v>#VALUE!</v>
      </c>
      <c r="DM203" t="e">
        <f>AND('OTRAS ACCIONES'!N363,"AAAAAG7vvXQ=")</f>
        <v>#VALUE!</v>
      </c>
      <c r="DN203" t="e">
        <f>AND('OTRAS ACCIONES'!O363,"AAAAAG7vvXU=")</f>
        <v>#VALUE!</v>
      </c>
      <c r="DO203" t="e">
        <f>AND('OTRAS ACCIONES'!P363,"AAAAAG7vvXY=")</f>
        <v>#VALUE!</v>
      </c>
      <c r="DP203" t="e">
        <f>AND('OTRAS ACCIONES'!Q363,"AAAAAG7vvXc=")</f>
        <v>#VALUE!</v>
      </c>
      <c r="DQ203" t="e">
        <f>AND('OTRAS ACCIONES'!R363,"AAAAAG7vvXg=")</f>
        <v>#VALUE!</v>
      </c>
      <c r="DR203">
        <f>IF('OTRAS ACCIONES'!364:364,"AAAAAG7vvXk=",0)</f>
        <v>0</v>
      </c>
      <c r="DS203" t="e">
        <f>AND('OTRAS ACCIONES'!B364,"AAAAAG7vvXo=")</f>
        <v>#VALUE!</v>
      </c>
      <c r="DT203" t="e">
        <f>AND('OTRAS ACCIONES'!C364,"AAAAAG7vvXs=")</f>
        <v>#VALUE!</v>
      </c>
      <c r="DU203" t="e">
        <f>AND('OTRAS ACCIONES'!D364,"AAAAAG7vvXw=")</f>
        <v>#VALUE!</v>
      </c>
      <c r="DV203" t="e">
        <f>AND('OTRAS ACCIONES'!E364,"AAAAAG7vvX0=")</f>
        <v>#VALUE!</v>
      </c>
      <c r="DW203" t="e">
        <f>AND('OTRAS ACCIONES'!F364,"AAAAAG7vvX4=")</f>
        <v>#VALUE!</v>
      </c>
      <c r="DX203" t="e">
        <f>AND('OTRAS ACCIONES'!G364,"AAAAAG7vvX8=")</f>
        <v>#VALUE!</v>
      </c>
      <c r="DY203" t="e">
        <f>AND('OTRAS ACCIONES'!H364,"AAAAAG7vvYA=")</f>
        <v>#VALUE!</v>
      </c>
      <c r="DZ203" t="e">
        <f>AND('OTRAS ACCIONES'!I364,"AAAAAG7vvYE=")</f>
        <v>#VALUE!</v>
      </c>
      <c r="EA203" t="e">
        <f>AND('OTRAS ACCIONES'!J364,"AAAAAG7vvYI=")</f>
        <v>#VALUE!</v>
      </c>
      <c r="EB203" t="e">
        <f>AND('OTRAS ACCIONES'!K364,"AAAAAG7vvYM=")</f>
        <v>#VALUE!</v>
      </c>
      <c r="EC203" t="e">
        <f>AND('OTRAS ACCIONES'!L364,"AAAAAG7vvYQ=")</f>
        <v>#VALUE!</v>
      </c>
      <c r="ED203" t="e">
        <f>AND('OTRAS ACCIONES'!M364,"AAAAAG7vvYU=")</f>
        <v>#VALUE!</v>
      </c>
      <c r="EE203" t="e">
        <f>AND('OTRAS ACCIONES'!N364,"AAAAAG7vvYY=")</f>
        <v>#VALUE!</v>
      </c>
      <c r="EF203" t="e">
        <f>AND('OTRAS ACCIONES'!O364,"AAAAAG7vvYc=")</f>
        <v>#VALUE!</v>
      </c>
      <c r="EG203" t="e">
        <f>AND('OTRAS ACCIONES'!P364,"AAAAAG7vvYg=")</f>
        <v>#VALUE!</v>
      </c>
      <c r="EH203" t="e">
        <f>AND('OTRAS ACCIONES'!Q364,"AAAAAG7vvYk=")</f>
        <v>#VALUE!</v>
      </c>
      <c r="EI203" t="e">
        <f>AND('OTRAS ACCIONES'!R364,"AAAAAG7vvYo=")</f>
        <v>#VALUE!</v>
      </c>
      <c r="EJ203">
        <f>IF('OTRAS ACCIONES'!365:365,"AAAAAG7vvYs=",0)</f>
        <v>0</v>
      </c>
      <c r="EK203" t="e">
        <f>AND('OTRAS ACCIONES'!B365,"AAAAAG7vvYw=")</f>
        <v>#VALUE!</v>
      </c>
      <c r="EL203" t="e">
        <f>AND('OTRAS ACCIONES'!C365,"AAAAAG7vvY0=")</f>
        <v>#VALUE!</v>
      </c>
      <c r="EM203" t="e">
        <f>AND('OTRAS ACCIONES'!D365,"AAAAAG7vvY4=")</f>
        <v>#VALUE!</v>
      </c>
      <c r="EN203" t="e">
        <f>AND('OTRAS ACCIONES'!E365,"AAAAAG7vvY8=")</f>
        <v>#VALUE!</v>
      </c>
      <c r="EO203" t="e">
        <f>AND('OTRAS ACCIONES'!F365,"AAAAAG7vvZA=")</f>
        <v>#VALUE!</v>
      </c>
      <c r="EP203" t="e">
        <f>AND('OTRAS ACCIONES'!G365,"AAAAAG7vvZE=")</f>
        <v>#VALUE!</v>
      </c>
      <c r="EQ203" t="e">
        <f>AND('OTRAS ACCIONES'!H365,"AAAAAG7vvZI=")</f>
        <v>#VALUE!</v>
      </c>
      <c r="ER203" t="e">
        <f>AND('OTRAS ACCIONES'!I365,"AAAAAG7vvZM=")</f>
        <v>#VALUE!</v>
      </c>
      <c r="ES203" t="e">
        <f>AND('OTRAS ACCIONES'!J365,"AAAAAG7vvZQ=")</f>
        <v>#VALUE!</v>
      </c>
      <c r="ET203" t="e">
        <f>AND('OTRAS ACCIONES'!K365,"AAAAAG7vvZU=")</f>
        <v>#VALUE!</v>
      </c>
      <c r="EU203" t="e">
        <f>AND('OTRAS ACCIONES'!L365,"AAAAAG7vvZY=")</f>
        <v>#VALUE!</v>
      </c>
      <c r="EV203" t="e">
        <f>AND('OTRAS ACCIONES'!M365,"AAAAAG7vvZc=")</f>
        <v>#VALUE!</v>
      </c>
      <c r="EW203" t="e">
        <f>AND('OTRAS ACCIONES'!N365,"AAAAAG7vvZg=")</f>
        <v>#VALUE!</v>
      </c>
      <c r="EX203" t="e">
        <f>AND('OTRAS ACCIONES'!O365,"AAAAAG7vvZk=")</f>
        <v>#VALUE!</v>
      </c>
      <c r="EY203" t="e">
        <f>AND('OTRAS ACCIONES'!P365,"AAAAAG7vvZo=")</f>
        <v>#VALUE!</v>
      </c>
      <c r="EZ203" t="e">
        <f>AND('OTRAS ACCIONES'!Q365,"AAAAAG7vvZs=")</f>
        <v>#VALUE!</v>
      </c>
      <c r="FA203" t="e">
        <f>AND('OTRAS ACCIONES'!R365,"AAAAAG7vvZw=")</f>
        <v>#VALUE!</v>
      </c>
      <c r="FB203">
        <f>IF('OTRAS ACCIONES'!366:366,"AAAAAG7vvZ0=",0)</f>
        <v>0</v>
      </c>
      <c r="FC203" t="e">
        <f>AND('OTRAS ACCIONES'!B366,"AAAAAG7vvZ4=")</f>
        <v>#VALUE!</v>
      </c>
      <c r="FD203" t="e">
        <f>AND('OTRAS ACCIONES'!C366,"AAAAAG7vvZ8=")</f>
        <v>#VALUE!</v>
      </c>
      <c r="FE203" t="e">
        <f>AND('OTRAS ACCIONES'!D366,"AAAAAG7vvaA=")</f>
        <v>#VALUE!</v>
      </c>
      <c r="FF203" t="e">
        <f>AND('OTRAS ACCIONES'!E366,"AAAAAG7vvaE=")</f>
        <v>#VALUE!</v>
      </c>
      <c r="FG203" t="e">
        <f>AND('OTRAS ACCIONES'!F366,"AAAAAG7vvaI=")</f>
        <v>#VALUE!</v>
      </c>
      <c r="FH203" t="e">
        <f>AND('OTRAS ACCIONES'!G366,"AAAAAG7vvaM=")</f>
        <v>#VALUE!</v>
      </c>
      <c r="FI203" t="e">
        <f>AND('OTRAS ACCIONES'!H366,"AAAAAG7vvaQ=")</f>
        <v>#VALUE!</v>
      </c>
      <c r="FJ203" t="e">
        <f>AND('OTRAS ACCIONES'!I366,"AAAAAG7vvaU=")</f>
        <v>#VALUE!</v>
      </c>
      <c r="FK203" t="e">
        <f>AND('OTRAS ACCIONES'!J366,"AAAAAG7vvaY=")</f>
        <v>#VALUE!</v>
      </c>
      <c r="FL203" t="e">
        <f>AND('OTRAS ACCIONES'!K366,"AAAAAG7vvac=")</f>
        <v>#VALUE!</v>
      </c>
      <c r="FM203" t="e">
        <f>AND('OTRAS ACCIONES'!L366,"AAAAAG7vvag=")</f>
        <v>#VALUE!</v>
      </c>
      <c r="FN203" t="e">
        <f>AND('OTRAS ACCIONES'!M366,"AAAAAG7vvak=")</f>
        <v>#VALUE!</v>
      </c>
      <c r="FO203" t="e">
        <f>AND('OTRAS ACCIONES'!N366,"AAAAAG7vvao=")</f>
        <v>#VALUE!</v>
      </c>
      <c r="FP203" t="e">
        <f>AND('OTRAS ACCIONES'!O366,"AAAAAG7vvas=")</f>
        <v>#VALUE!</v>
      </c>
      <c r="FQ203" t="e">
        <f>AND('OTRAS ACCIONES'!P366,"AAAAAG7vvaw=")</f>
        <v>#VALUE!</v>
      </c>
      <c r="FR203" t="e">
        <f>AND('OTRAS ACCIONES'!Q366,"AAAAAG7vva0=")</f>
        <v>#VALUE!</v>
      </c>
      <c r="FS203" t="e">
        <f>AND('OTRAS ACCIONES'!R366,"AAAAAG7vva4=")</f>
        <v>#VALUE!</v>
      </c>
      <c r="FT203">
        <f>IF('OTRAS ACCIONES'!367:367,"AAAAAG7vva8=",0)</f>
        <v>0</v>
      </c>
      <c r="FU203" t="e">
        <f>AND('OTRAS ACCIONES'!B367,"AAAAAG7vvbA=")</f>
        <v>#VALUE!</v>
      </c>
      <c r="FV203" t="e">
        <f>AND('OTRAS ACCIONES'!C367,"AAAAAG7vvbE=")</f>
        <v>#VALUE!</v>
      </c>
      <c r="FW203" t="e">
        <f>AND('OTRAS ACCIONES'!D367,"AAAAAG7vvbI=")</f>
        <v>#VALUE!</v>
      </c>
      <c r="FX203" t="e">
        <f>AND('OTRAS ACCIONES'!E367,"AAAAAG7vvbM=")</f>
        <v>#VALUE!</v>
      </c>
      <c r="FY203" t="e">
        <f>AND('OTRAS ACCIONES'!F367,"AAAAAG7vvbQ=")</f>
        <v>#VALUE!</v>
      </c>
      <c r="FZ203" t="e">
        <f>AND('OTRAS ACCIONES'!G367,"AAAAAG7vvbU=")</f>
        <v>#VALUE!</v>
      </c>
      <c r="GA203" t="e">
        <f>AND('OTRAS ACCIONES'!H367,"AAAAAG7vvbY=")</f>
        <v>#VALUE!</v>
      </c>
      <c r="GB203" t="e">
        <f>AND('OTRAS ACCIONES'!I367,"AAAAAG7vvbc=")</f>
        <v>#VALUE!</v>
      </c>
      <c r="GC203" t="e">
        <f>AND('OTRAS ACCIONES'!J367,"AAAAAG7vvbg=")</f>
        <v>#VALUE!</v>
      </c>
      <c r="GD203" t="e">
        <f>AND('OTRAS ACCIONES'!K367,"AAAAAG7vvbk=")</f>
        <v>#VALUE!</v>
      </c>
      <c r="GE203" t="e">
        <f>AND('OTRAS ACCIONES'!L367,"AAAAAG7vvbo=")</f>
        <v>#VALUE!</v>
      </c>
      <c r="GF203" t="e">
        <f>AND('OTRAS ACCIONES'!M367,"AAAAAG7vvbs=")</f>
        <v>#VALUE!</v>
      </c>
      <c r="GG203" t="e">
        <f>AND('OTRAS ACCIONES'!N367,"AAAAAG7vvbw=")</f>
        <v>#VALUE!</v>
      </c>
      <c r="GH203" t="e">
        <f>AND('OTRAS ACCIONES'!O367,"AAAAAG7vvb0=")</f>
        <v>#VALUE!</v>
      </c>
      <c r="GI203" t="e">
        <f>AND('OTRAS ACCIONES'!P367,"AAAAAG7vvb4=")</f>
        <v>#VALUE!</v>
      </c>
      <c r="GJ203" t="e">
        <f>AND('OTRAS ACCIONES'!Q367,"AAAAAG7vvb8=")</f>
        <v>#VALUE!</v>
      </c>
      <c r="GK203" t="e">
        <f>AND('OTRAS ACCIONES'!R367,"AAAAAG7vvcA=")</f>
        <v>#VALUE!</v>
      </c>
      <c r="GL203">
        <f>IF('OTRAS ACCIONES'!368:368,"AAAAAG7vvcE=",0)</f>
        <v>0</v>
      </c>
      <c r="GM203" t="e">
        <f>AND('OTRAS ACCIONES'!B368,"AAAAAG7vvcI=")</f>
        <v>#VALUE!</v>
      </c>
      <c r="GN203" t="e">
        <f>AND('OTRAS ACCIONES'!C368,"AAAAAG7vvcM=")</f>
        <v>#VALUE!</v>
      </c>
      <c r="GO203" t="e">
        <f>AND('OTRAS ACCIONES'!D368,"AAAAAG7vvcQ=")</f>
        <v>#VALUE!</v>
      </c>
      <c r="GP203" t="e">
        <f>AND('OTRAS ACCIONES'!E368,"AAAAAG7vvcU=")</f>
        <v>#VALUE!</v>
      </c>
      <c r="GQ203" t="e">
        <f>AND('OTRAS ACCIONES'!F368,"AAAAAG7vvcY=")</f>
        <v>#VALUE!</v>
      </c>
      <c r="GR203" t="e">
        <f>AND('OTRAS ACCIONES'!G368,"AAAAAG7vvcc=")</f>
        <v>#VALUE!</v>
      </c>
      <c r="GS203" t="e">
        <f>AND('OTRAS ACCIONES'!H368,"AAAAAG7vvcg=")</f>
        <v>#VALUE!</v>
      </c>
      <c r="GT203" t="e">
        <f>AND('OTRAS ACCIONES'!I368,"AAAAAG7vvck=")</f>
        <v>#VALUE!</v>
      </c>
      <c r="GU203" t="e">
        <f>AND('OTRAS ACCIONES'!J368,"AAAAAG7vvco=")</f>
        <v>#VALUE!</v>
      </c>
      <c r="GV203" t="e">
        <f>AND('OTRAS ACCIONES'!K368,"AAAAAG7vvcs=")</f>
        <v>#VALUE!</v>
      </c>
      <c r="GW203" t="e">
        <f>AND('OTRAS ACCIONES'!L368,"AAAAAG7vvcw=")</f>
        <v>#VALUE!</v>
      </c>
      <c r="GX203" t="e">
        <f>AND('OTRAS ACCIONES'!M368,"AAAAAG7vvc0=")</f>
        <v>#VALUE!</v>
      </c>
      <c r="GY203" t="e">
        <f>AND('OTRAS ACCIONES'!N368,"AAAAAG7vvc4=")</f>
        <v>#VALUE!</v>
      </c>
      <c r="GZ203" t="e">
        <f>AND('OTRAS ACCIONES'!O368,"AAAAAG7vvc8=")</f>
        <v>#VALUE!</v>
      </c>
      <c r="HA203" t="e">
        <f>AND('OTRAS ACCIONES'!P368,"AAAAAG7vvdA=")</f>
        <v>#VALUE!</v>
      </c>
      <c r="HB203" t="e">
        <f>AND('OTRAS ACCIONES'!Q368,"AAAAAG7vvdE=")</f>
        <v>#VALUE!</v>
      </c>
      <c r="HC203" t="e">
        <f>AND('OTRAS ACCIONES'!R368,"AAAAAG7vvdI=")</f>
        <v>#VALUE!</v>
      </c>
      <c r="HD203">
        <f>IF('OTRAS ACCIONES'!A:A,"AAAAAG7vvdM=",0)</f>
        <v>0</v>
      </c>
      <c r="HE203">
        <f>IF('OTRAS ACCIONES'!B:B,"AAAAAG7vvdQ=",0)</f>
        <v>0</v>
      </c>
      <c r="HF203">
        <f>IF('OTRAS ACCIONES'!C:C,"AAAAAG7vvdU=",0)</f>
        <v>0</v>
      </c>
      <c r="HG203">
        <f>IF('OTRAS ACCIONES'!D:D,"AAAAAG7vvdY=",0)</f>
        <v>0</v>
      </c>
      <c r="HH203">
        <f>IF('OTRAS ACCIONES'!E:E,"AAAAAG7vvdc=",0)</f>
        <v>0</v>
      </c>
      <c r="HI203">
        <f>IF('OTRAS ACCIONES'!F:F,"AAAAAG7vvdg=",0)</f>
        <v>0</v>
      </c>
      <c r="HJ203">
        <f>IF('OTRAS ACCIONES'!G:G,"AAAAAG7vvdk=",0)</f>
        <v>0</v>
      </c>
      <c r="HK203">
        <f>IF('OTRAS ACCIONES'!H:H,"AAAAAG7vvdo=",0)</f>
        <v>0</v>
      </c>
      <c r="HL203">
        <f>IF('OTRAS ACCIONES'!I:I,"AAAAAG7vvds=",0)</f>
        <v>0</v>
      </c>
      <c r="HM203">
        <f>IF('OTRAS ACCIONES'!J:J,"AAAAAG7vvdw=",0)</f>
        <v>0</v>
      </c>
      <c r="HN203">
        <f>IF('OTRAS ACCIONES'!K:K,"AAAAAG7vvd0=",0)</f>
        <v>0</v>
      </c>
      <c r="HO203">
        <f>IF('OTRAS ACCIONES'!L:L,"AAAAAG7vvd4=",0)</f>
        <v>0</v>
      </c>
      <c r="HP203">
        <f>IF('OTRAS ACCIONES'!M:M,"AAAAAG7vvd8=",0)</f>
        <v>0</v>
      </c>
      <c r="HQ203">
        <f>IF('OTRAS ACCIONES'!N:N,"AAAAAG7vveA=",0)</f>
        <v>0</v>
      </c>
      <c r="HR203">
        <f>IF('OTRAS ACCIONES'!O:O,"AAAAAG7vveE=",0)</f>
        <v>0</v>
      </c>
      <c r="HS203">
        <f>IF('OTRAS ACCIONES'!P:P,"AAAAAG7vveI=",0)</f>
        <v>0</v>
      </c>
      <c r="HT203">
        <f>IF('OTRAS ACCIONES'!Q:Q,"AAAAAG7vveM=",0)</f>
        <v>0</v>
      </c>
      <c r="HU203" t="e">
        <f>IF('OTRAS ACCIONES'!R:R,"AAAAAG7vveQ=",0)</f>
        <v>#REF!</v>
      </c>
      <c r="HV203" t="e">
        <f>IF(#REF!,"AAAAAG7vveU=",0)</f>
        <v>#REF!</v>
      </c>
      <c r="HW203" t="e">
        <f>AND(#REF!,"AAAAAG7vveY=")</f>
        <v>#REF!</v>
      </c>
      <c r="HX203" t="e">
        <f>AND(#REF!,"AAAAAG7vvec=")</f>
        <v>#REF!</v>
      </c>
      <c r="HY203" t="e">
        <f>AND(#REF!,"AAAAAG7vveg=")</f>
        <v>#REF!</v>
      </c>
      <c r="HZ203" t="e">
        <f>AND(#REF!,"AAAAAG7vvek=")</f>
        <v>#REF!</v>
      </c>
      <c r="IA203" t="e">
        <f>AND(#REF!,"AAAAAG7vveo=")</f>
        <v>#REF!</v>
      </c>
      <c r="IB203" t="e">
        <f>AND(#REF!,"AAAAAG7vves=")</f>
        <v>#REF!</v>
      </c>
      <c r="IC203" t="e">
        <f>AND(#REF!,"AAAAAG7vvew=")</f>
        <v>#REF!</v>
      </c>
      <c r="ID203" t="e">
        <f>AND(#REF!,"AAAAAG7vve0=")</f>
        <v>#REF!</v>
      </c>
      <c r="IE203" t="e">
        <f>IF(#REF!,"AAAAAG7vve4=",0)</f>
        <v>#REF!</v>
      </c>
      <c r="IF203" t="e">
        <f>AND(#REF!,"AAAAAG7vve8=")</f>
        <v>#REF!</v>
      </c>
      <c r="IG203" t="e">
        <f>AND(#REF!,"AAAAAG7vvfA=")</f>
        <v>#REF!</v>
      </c>
      <c r="IH203" t="e">
        <f>AND(#REF!,"AAAAAG7vvfE=")</f>
        <v>#REF!</v>
      </c>
      <c r="II203" t="e">
        <f>AND(#REF!,"AAAAAG7vvfI=")</f>
        <v>#REF!</v>
      </c>
      <c r="IJ203" t="e">
        <f>AND(#REF!,"AAAAAG7vvfM=")</f>
        <v>#REF!</v>
      </c>
      <c r="IK203" t="e">
        <f>AND(#REF!,"AAAAAG7vvfQ=")</f>
        <v>#REF!</v>
      </c>
      <c r="IL203" t="e">
        <f>AND(#REF!,"AAAAAG7vvfU=")</f>
        <v>#REF!</v>
      </c>
      <c r="IM203" t="e">
        <f>AND(#REF!,"AAAAAG7vvfY=")</f>
        <v>#REF!</v>
      </c>
      <c r="IN203" t="e">
        <f>IF(#REF!,"AAAAAG7vvfc=",0)</f>
        <v>#REF!</v>
      </c>
      <c r="IO203" t="e">
        <f>AND(#REF!,"AAAAAG7vvfg=")</f>
        <v>#REF!</v>
      </c>
      <c r="IP203" t="e">
        <f>AND(#REF!,"AAAAAG7vvfk=")</f>
        <v>#REF!</v>
      </c>
      <c r="IQ203" t="e">
        <f>AND(#REF!,"AAAAAG7vvfo=")</f>
        <v>#REF!</v>
      </c>
      <c r="IR203" t="e">
        <f>AND(#REF!,"AAAAAG7vvfs=")</f>
        <v>#REF!</v>
      </c>
      <c r="IS203" t="e">
        <f>AND(#REF!,"AAAAAG7vvfw=")</f>
        <v>#REF!</v>
      </c>
      <c r="IT203" t="e">
        <f>AND(#REF!,"AAAAAG7vvf0=")</f>
        <v>#REF!</v>
      </c>
      <c r="IU203" t="e">
        <f>AND(#REF!,"AAAAAG7vvf4=")</f>
        <v>#REF!</v>
      </c>
      <c r="IV203" t="e">
        <f>AND(#REF!,"AAAAAG7vvf8=")</f>
        <v>#REF!</v>
      </c>
    </row>
    <row r="204" spans="1:256" x14ac:dyDescent="0.2">
      <c r="A204" t="e">
        <f>IF(#REF!,"AAAAAHn//QA=",0)</f>
        <v>#REF!</v>
      </c>
      <c r="B204" t="e">
        <f>AND(#REF!,"AAAAAHn//QE=")</f>
        <v>#REF!</v>
      </c>
      <c r="C204" t="e">
        <f>AND(#REF!,"AAAAAHn//QI=")</f>
        <v>#REF!</v>
      </c>
      <c r="D204" t="e">
        <f>AND(#REF!,"AAAAAHn//QM=")</f>
        <v>#REF!</v>
      </c>
      <c r="E204" t="e">
        <f>AND(#REF!,"AAAAAHn//QQ=")</f>
        <v>#REF!</v>
      </c>
      <c r="F204" t="e">
        <f>AND(#REF!,"AAAAAHn//QU=")</f>
        <v>#REF!</v>
      </c>
      <c r="G204" t="e">
        <f>AND(#REF!,"AAAAAHn//QY=")</f>
        <v>#REF!</v>
      </c>
      <c r="H204" t="e">
        <f>AND(#REF!,"AAAAAHn//Qc=")</f>
        <v>#REF!</v>
      </c>
      <c r="I204" t="e">
        <f>AND(#REF!,"AAAAAHn//Qg=")</f>
        <v>#REF!</v>
      </c>
      <c r="J204" t="e">
        <f>IF(#REF!,"AAAAAHn//Qk=",0)</f>
        <v>#REF!</v>
      </c>
      <c r="K204" t="e">
        <f>AND(#REF!,"AAAAAHn//Qo=")</f>
        <v>#REF!</v>
      </c>
      <c r="L204" t="e">
        <f>AND(#REF!,"AAAAAHn//Qs=")</f>
        <v>#REF!</v>
      </c>
      <c r="M204" t="e">
        <f>AND(#REF!,"AAAAAHn//Qw=")</f>
        <v>#REF!</v>
      </c>
      <c r="N204" t="e">
        <f>AND(#REF!,"AAAAAHn//Q0=")</f>
        <v>#REF!</v>
      </c>
      <c r="O204" t="e">
        <f>AND(#REF!,"AAAAAHn//Q4=")</f>
        <v>#REF!</v>
      </c>
      <c r="P204" t="e">
        <f>AND(#REF!,"AAAAAHn//Q8=")</f>
        <v>#REF!</v>
      </c>
      <c r="Q204" t="e">
        <f>AND(#REF!,"AAAAAHn//RA=")</f>
        <v>#REF!</v>
      </c>
      <c r="R204" t="e">
        <f>AND(#REF!,"AAAAAHn//RE=")</f>
        <v>#REF!</v>
      </c>
      <c r="S204" t="e">
        <f>IF(#REF!,"AAAAAHn//RI=",0)</f>
        <v>#REF!</v>
      </c>
      <c r="T204" t="e">
        <f>AND(#REF!,"AAAAAHn//RM=")</f>
        <v>#REF!</v>
      </c>
      <c r="U204" t="e">
        <f>AND(#REF!,"AAAAAHn//RQ=")</f>
        <v>#REF!</v>
      </c>
      <c r="V204" t="e">
        <f>AND(#REF!,"AAAAAHn//RU=")</f>
        <v>#REF!</v>
      </c>
      <c r="W204" t="e">
        <f>AND(#REF!,"AAAAAHn//RY=")</f>
        <v>#REF!</v>
      </c>
      <c r="X204" t="e">
        <f>AND(#REF!,"AAAAAHn//Rc=")</f>
        <v>#REF!</v>
      </c>
      <c r="Y204" t="e">
        <f>AND(#REF!,"AAAAAHn//Rg=")</f>
        <v>#REF!</v>
      </c>
      <c r="Z204" t="e">
        <f>AND(#REF!,"AAAAAHn//Rk=")</f>
        <v>#REF!</v>
      </c>
      <c r="AA204" t="e">
        <f>AND(#REF!,"AAAAAHn//Ro=")</f>
        <v>#REF!</v>
      </c>
      <c r="AB204" t="e">
        <f>IF(#REF!,"AAAAAHn//Rs=",0)</f>
        <v>#REF!</v>
      </c>
      <c r="AC204" t="e">
        <f>AND(#REF!,"AAAAAHn//Rw=")</f>
        <v>#REF!</v>
      </c>
      <c r="AD204" t="e">
        <f>AND(#REF!,"AAAAAHn//R0=")</f>
        <v>#REF!</v>
      </c>
      <c r="AE204" t="e">
        <f>AND(#REF!,"AAAAAHn//R4=")</f>
        <v>#REF!</v>
      </c>
      <c r="AF204" t="e">
        <f>AND(#REF!,"AAAAAHn//R8=")</f>
        <v>#REF!</v>
      </c>
      <c r="AG204" t="e">
        <f>AND(#REF!,"AAAAAHn//SA=")</f>
        <v>#REF!</v>
      </c>
      <c r="AH204" t="e">
        <f>AND(#REF!,"AAAAAHn//SE=")</f>
        <v>#REF!</v>
      </c>
      <c r="AI204" t="e">
        <f>AND(#REF!,"AAAAAHn//SI=")</f>
        <v>#REF!</v>
      </c>
      <c r="AJ204" t="e">
        <f>AND(#REF!,"AAAAAHn//SM=")</f>
        <v>#REF!</v>
      </c>
      <c r="AK204" t="e">
        <f>IF(#REF!,"AAAAAHn//SQ=",0)</f>
        <v>#REF!</v>
      </c>
      <c r="AL204" t="e">
        <f>AND(#REF!,"AAAAAHn//SU=")</f>
        <v>#REF!</v>
      </c>
      <c r="AM204" t="e">
        <f>AND(#REF!,"AAAAAHn//SY=")</f>
        <v>#REF!</v>
      </c>
      <c r="AN204" t="e">
        <f>AND(#REF!,"AAAAAHn//Sc=")</f>
        <v>#REF!</v>
      </c>
      <c r="AO204" t="e">
        <f>AND(#REF!,"AAAAAHn//Sg=")</f>
        <v>#REF!</v>
      </c>
      <c r="AP204" t="e">
        <f>AND(#REF!,"AAAAAHn//Sk=")</f>
        <v>#REF!</v>
      </c>
      <c r="AQ204" t="e">
        <f>AND(#REF!,"AAAAAHn//So=")</f>
        <v>#REF!</v>
      </c>
      <c r="AR204" t="e">
        <f>AND(#REF!,"AAAAAHn//Ss=")</f>
        <v>#REF!</v>
      </c>
      <c r="AS204" t="e">
        <f>AND(#REF!,"AAAAAHn//Sw=")</f>
        <v>#REF!</v>
      </c>
      <c r="AT204" t="e">
        <f>IF(#REF!,"AAAAAHn//S0=",0)</f>
        <v>#REF!</v>
      </c>
      <c r="AU204" t="e">
        <f>AND(#REF!,"AAAAAHn//S4=")</f>
        <v>#REF!</v>
      </c>
      <c r="AV204" t="e">
        <f>AND(#REF!,"AAAAAHn//S8=")</f>
        <v>#REF!</v>
      </c>
      <c r="AW204" t="e">
        <f>AND(#REF!,"AAAAAHn//TA=")</f>
        <v>#REF!</v>
      </c>
      <c r="AX204" t="e">
        <f>AND(#REF!,"AAAAAHn//TE=")</f>
        <v>#REF!</v>
      </c>
      <c r="AY204" t="e">
        <f>AND(#REF!,"AAAAAHn//TI=")</f>
        <v>#REF!</v>
      </c>
      <c r="AZ204" t="e">
        <f>AND(#REF!,"AAAAAHn//TM=")</f>
        <v>#REF!</v>
      </c>
      <c r="BA204" t="e">
        <f>AND(#REF!,"AAAAAHn//TQ=")</f>
        <v>#REF!</v>
      </c>
      <c r="BB204" t="e">
        <f>AND(#REF!,"AAAAAHn//TU=")</f>
        <v>#REF!</v>
      </c>
      <c r="BC204" t="e">
        <f>IF(#REF!,"AAAAAHn//TY=",0)</f>
        <v>#REF!</v>
      </c>
      <c r="BD204" t="e">
        <f>AND(#REF!,"AAAAAHn//Tc=")</f>
        <v>#REF!</v>
      </c>
      <c r="BE204" t="e">
        <f>AND(#REF!,"AAAAAHn//Tg=")</f>
        <v>#REF!</v>
      </c>
      <c r="BF204" t="e">
        <f>AND(#REF!,"AAAAAHn//Tk=")</f>
        <v>#REF!</v>
      </c>
      <c r="BG204" t="e">
        <f>AND(#REF!,"AAAAAHn//To=")</f>
        <v>#REF!</v>
      </c>
      <c r="BH204" t="e">
        <f>AND(#REF!,"AAAAAHn//Ts=")</f>
        <v>#REF!</v>
      </c>
      <c r="BI204" t="e">
        <f>AND(#REF!,"AAAAAHn//Tw=")</f>
        <v>#REF!</v>
      </c>
      <c r="BJ204" t="e">
        <f>AND(#REF!,"AAAAAHn//T0=")</f>
        <v>#REF!</v>
      </c>
      <c r="BK204" t="e">
        <f>AND(#REF!,"AAAAAHn//T4=")</f>
        <v>#REF!</v>
      </c>
      <c r="BL204" t="e">
        <f>IF(#REF!,"AAAAAHn//T8=",0)</f>
        <v>#REF!</v>
      </c>
      <c r="BM204" t="e">
        <f>AND(#REF!,"AAAAAHn//UA=")</f>
        <v>#REF!</v>
      </c>
      <c r="BN204" t="e">
        <f>AND(#REF!,"AAAAAHn//UE=")</f>
        <v>#REF!</v>
      </c>
      <c r="BO204" t="e">
        <f>AND(#REF!,"AAAAAHn//UI=")</f>
        <v>#REF!</v>
      </c>
      <c r="BP204" t="e">
        <f>AND(#REF!,"AAAAAHn//UM=")</f>
        <v>#REF!</v>
      </c>
      <c r="BQ204" t="e">
        <f>AND(#REF!,"AAAAAHn//UQ=")</f>
        <v>#REF!</v>
      </c>
      <c r="BR204" t="e">
        <f>AND(#REF!,"AAAAAHn//UU=")</f>
        <v>#REF!</v>
      </c>
      <c r="BS204" t="e">
        <f>AND(#REF!,"AAAAAHn//UY=")</f>
        <v>#REF!</v>
      </c>
      <c r="BT204" t="e">
        <f>AND(#REF!,"AAAAAHn//Uc=")</f>
        <v>#REF!</v>
      </c>
      <c r="BU204" t="e">
        <f>IF(#REF!,"AAAAAHn//Ug=",0)</f>
        <v>#REF!</v>
      </c>
      <c r="BV204" t="e">
        <f>AND(#REF!,"AAAAAHn//Uk=")</f>
        <v>#REF!</v>
      </c>
      <c r="BW204" t="e">
        <f>AND(#REF!,"AAAAAHn//Uo=")</f>
        <v>#REF!</v>
      </c>
      <c r="BX204" t="e">
        <f>AND(#REF!,"AAAAAHn//Us=")</f>
        <v>#REF!</v>
      </c>
      <c r="BY204" t="e">
        <f>AND(#REF!,"AAAAAHn//Uw=")</f>
        <v>#REF!</v>
      </c>
      <c r="BZ204" t="e">
        <f>AND(#REF!,"AAAAAHn//U0=")</f>
        <v>#REF!</v>
      </c>
      <c r="CA204" t="e">
        <f>AND(#REF!,"AAAAAHn//U4=")</f>
        <v>#REF!</v>
      </c>
      <c r="CB204" t="e">
        <f>AND(#REF!,"AAAAAHn//U8=")</f>
        <v>#REF!</v>
      </c>
      <c r="CC204" t="e">
        <f>AND(#REF!,"AAAAAHn//VA=")</f>
        <v>#REF!</v>
      </c>
      <c r="CD204" t="e">
        <f>IF(#REF!,"AAAAAHn//VE=",0)</f>
        <v>#REF!</v>
      </c>
      <c r="CE204" t="e">
        <f>AND(#REF!,"AAAAAHn//VI=")</f>
        <v>#REF!</v>
      </c>
      <c r="CF204" t="e">
        <f>AND(#REF!,"AAAAAHn//VM=")</f>
        <v>#REF!</v>
      </c>
      <c r="CG204" t="e">
        <f>AND(#REF!,"AAAAAHn//VQ=")</f>
        <v>#REF!</v>
      </c>
      <c r="CH204" t="e">
        <f>AND(#REF!,"AAAAAHn//VU=")</f>
        <v>#REF!</v>
      </c>
      <c r="CI204" t="e">
        <f>AND(#REF!,"AAAAAHn//VY=")</f>
        <v>#REF!</v>
      </c>
      <c r="CJ204" t="e">
        <f>AND(#REF!,"AAAAAHn//Vc=")</f>
        <v>#REF!</v>
      </c>
      <c r="CK204" t="e">
        <f>AND(#REF!,"AAAAAHn//Vg=")</f>
        <v>#REF!</v>
      </c>
      <c r="CL204" t="e">
        <f>AND(#REF!,"AAAAAHn//Vk=")</f>
        <v>#REF!</v>
      </c>
      <c r="CM204" t="e">
        <f>IF(#REF!,"AAAAAHn//Vo=",0)</f>
        <v>#REF!</v>
      </c>
      <c r="CN204" t="e">
        <f>AND(#REF!,"AAAAAHn//Vs=")</f>
        <v>#REF!</v>
      </c>
      <c r="CO204" t="e">
        <f>AND(#REF!,"AAAAAHn//Vw=")</f>
        <v>#REF!</v>
      </c>
      <c r="CP204" t="e">
        <f>AND(#REF!,"AAAAAHn//V0=")</f>
        <v>#REF!</v>
      </c>
      <c r="CQ204" t="e">
        <f>AND(#REF!,"AAAAAHn//V4=")</f>
        <v>#REF!</v>
      </c>
      <c r="CR204" t="e">
        <f>AND(#REF!,"AAAAAHn//V8=")</f>
        <v>#REF!</v>
      </c>
      <c r="CS204" t="e">
        <f>AND(#REF!,"AAAAAHn//WA=")</f>
        <v>#REF!</v>
      </c>
      <c r="CT204" t="e">
        <f>AND(#REF!,"AAAAAHn//WE=")</f>
        <v>#REF!</v>
      </c>
      <c r="CU204" t="e">
        <f>AND(#REF!,"AAAAAHn//WI=")</f>
        <v>#REF!</v>
      </c>
      <c r="CV204" t="e">
        <f>IF(#REF!,"AAAAAHn//WM=",0)</f>
        <v>#REF!</v>
      </c>
      <c r="CW204" t="e">
        <f>AND(#REF!,"AAAAAHn//WQ=")</f>
        <v>#REF!</v>
      </c>
      <c r="CX204" t="e">
        <f>AND(#REF!,"AAAAAHn//WU=")</f>
        <v>#REF!</v>
      </c>
      <c r="CY204" t="e">
        <f>AND(#REF!,"AAAAAHn//WY=")</f>
        <v>#REF!</v>
      </c>
      <c r="CZ204" t="e">
        <f>AND(#REF!,"AAAAAHn//Wc=")</f>
        <v>#REF!</v>
      </c>
      <c r="DA204" t="e">
        <f>AND(#REF!,"AAAAAHn//Wg=")</f>
        <v>#REF!</v>
      </c>
      <c r="DB204" t="e">
        <f>AND(#REF!,"AAAAAHn//Wk=")</f>
        <v>#REF!</v>
      </c>
      <c r="DC204" t="e">
        <f>AND(#REF!,"AAAAAHn//Wo=")</f>
        <v>#REF!</v>
      </c>
      <c r="DD204" t="e">
        <f>AND(#REF!,"AAAAAHn//Ws=")</f>
        <v>#REF!</v>
      </c>
      <c r="DE204" t="e">
        <f>IF(#REF!,"AAAAAHn//Ww=",0)</f>
        <v>#REF!</v>
      </c>
      <c r="DF204" t="e">
        <f>AND(#REF!,"AAAAAHn//W0=")</f>
        <v>#REF!</v>
      </c>
      <c r="DG204" t="e">
        <f>AND(#REF!,"AAAAAHn//W4=")</f>
        <v>#REF!</v>
      </c>
      <c r="DH204" t="e">
        <f>AND(#REF!,"AAAAAHn//W8=")</f>
        <v>#REF!</v>
      </c>
      <c r="DI204" t="e">
        <f>AND(#REF!,"AAAAAHn//XA=")</f>
        <v>#REF!</v>
      </c>
      <c r="DJ204" t="e">
        <f>AND(#REF!,"AAAAAHn//XE=")</f>
        <v>#REF!</v>
      </c>
      <c r="DK204" t="e">
        <f>AND(#REF!,"AAAAAHn//XI=")</f>
        <v>#REF!</v>
      </c>
      <c r="DL204" t="e">
        <f>AND(#REF!,"AAAAAHn//XM=")</f>
        <v>#REF!</v>
      </c>
      <c r="DM204" t="e">
        <f>AND(#REF!,"AAAAAHn//XQ=")</f>
        <v>#REF!</v>
      </c>
      <c r="DN204" t="e">
        <f>IF(#REF!,"AAAAAHn//XU=",0)</f>
        <v>#REF!</v>
      </c>
      <c r="DO204" t="e">
        <f>AND(#REF!,"AAAAAHn//XY=")</f>
        <v>#REF!</v>
      </c>
      <c r="DP204" t="e">
        <f>AND(#REF!,"AAAAAHn//Xc=")</f>
        <v>#REF!</v>
      </c>
      <c r="DQ204" t="e">
        <f>AND(#REF!,"AAAAAHn//Xg=")</f>
        <v>#REF!</v>
      </c>
      <c r="DR204" t="e">
        <f>AND(#REF!,"AAAAAHn//Xk=")</f>
        <v>#REF!</v>
      </c>
      <c r="DS204" t="e">
        <f>AND(#REF!,"AAAAAHn//Xo=")</f>
        <v>#REF!</v>
      </c>
      <c r="DT204" t="e">
        <f>AND(#REF!,"AAAAAHn//Xs=")</f>
        <v>#REF!</v>
      </c>
      <c r="DU204" t="e">
        <f>AND(#REF!,"AAAAAHn//Xw=")</f>
        <v>#REF!</v>
      </c>
      <c r="DV204" t="e">
        <f>AND(#REF!,"AAAAAHn//X0=")</f>
        <v>#REF!</v>
      </c>
      <c r="DW204" t="e">
        <f>IF(#REF!,"AAAAAHn//X4=",0)</f>
        <v>#REF!</v>
      </c>
      <c r="DX204" t="e">
        <f>AND(#REF!,"AAAAAHn//X8=")</f>
        <v>#REF!</v>
      </c>
      <c r="DY204" t="e">
        <f>AND(#REF!,"AAAAAHn//YA=")</f>
        <v>#REF!</v>
      </c>
      <c r="DZ204" t="e">
        <f>AND(#REF!,"AAAAAHn//YE=")</f>
        <v>#REF!</v>
      </c>
      <c r="EA204" t="e">
        <f>AND(#REF!,"AAAAAHn//YI=")</f>
        <v>#REF!</v>
      </c>
      <c r="EB204" t="e">
        <f>AND(#REF!,"AAAAAHn//YM=")</f>
        <v>#REF!</v>
      </c>
      <c r="EC204" t="e">
        <f>AND(#REF!,"AAAAAHn//YQ=")</f>
        <v>#REF!</v>
      </c>
      <c r="ED204" t="e">
        <f>AND(#REF!,"AAAAAHn//YU=")</f>
        <v>#REF!</v>
      </c>
      <c r="EE204" t="e">
        <f>AND(#REF!,"AAAAAHn//YY=")</f>
        <v>#REF!</v>
      </c>
      <c r="EF204" t="e">
        <f>IF(#REF!,"AAAAAHn//Yc=",0)</f>
        <v>#REF!</v>
      </c>
      <c r="EG204" t="e">
        <f>AND(#REF!,"AAAAAHn//Yg=")</f>
        <v>#REF!</v>
      </c>
      <c r="EH204" t="e">
        <f>AND(#REF!,"AAAAAHn//Yk=")</f>
        <v>#REF!</v>
      </c>
      <c r="EI204" t="e">
        <f>AND(#REF!,"AAAAAHn//Yo=")</f>
        <v>#REF!</v>
      </c>
      <c r="EJ204" t="e">
        <f>AND(#REF!,"AAAAAHn//Ys=")</f>
        <v>#REF!</v>
      </c>
      <c r="EK204" t="e">
        <f>AND(#REF!,"AAAAAHn//Yw=")</f>
        <v>#REF!</v>
      </c>
      <c r="EL204" t="e">
        <f>AND(#REF!,"AAAAAHn//Y0=")</f>
        <v>#REF!</v>
      </c>
      <c r="EM204" t="e">
        <f>AND(#REF!,"AAAAAHn//Y4=")</f>
        <v>#REF!</v>
      </c>
      <c r="EN204" t="e">
        <f>AND(#REF!,"AAAAAHn//Y8=")</f>
        <v>#REF!</v>
      </c>
      <c r="EO204" t="e">
        <f>IF(#REF!,"AAAAAHn//ZA=",0)</f>
        <v>#REF!</v>
      </c>
      <c r="EP204" t="e">
        <f>AND(#REF!,"AAAAAHn//ZE=")</f>
        <v>#REF!</v>
      </c>
      <c r="EQ204" t="e">
        <f>AND(#REF!,"AAAAAHn//ZI=")</f>
        <v>#REF!</v>
      </c>
      <c r="ER204" t="e">
        <f>AND(#REF!,"AAAAAHn//ZM=")</f>
        <v>#REF!</v>
      </c>
      <c r="ES204" t="e">
        <f>AND(#REF!,"AAAAAHn//ZQ=")</f>
        <v>#REF!</v>
      </c>
      <c r="ET204" t="e">
        <f>AND(#REF!,"AAAAAHn//ZU=")</f>
        <v>#REF!</v>
      </c>
      <c r="EU204" t="e">
        <f>AND(#REF!,"AAAAAHn//ZY=")</f>
        <v>#REF!</v>
      </c>
      <c r="EV204" t="e">
        <f>AND(#REF!,"AAAAAHn//Zc=")</f>
        <v>#REF!</v>
      </c>
      <c r="EW204" t="e">
        <f>AND(#REF!,"AAAAAHn//Zg=")</f>
        <v>#REF!</v>
      </c>
      <c r="EX204" t="e">
        <f>IF(#REF!,"AAAAAHn//Zk=",0)</f>
        <v>#REF!</v>
      </c>
      <c r="EY204" t="e">
        <f>AND(#REF!,"AAAAAHn//Zo=")</f>
        <v>#REF!</v>
      </c>
      <c r="EZ204" t="e">
        <f>AND(#REF!,"AAAAAHn//Zs=")</f>
        <v>#REF!</v>
      </c>
      <c r="FA204" t="e">
        <f>AND(#REF!,"AAAAAHn//Zw=")</f>
        <v>#REF!</v>
      </c>
      <c r="FB204" t="e">
        <f>AND(#REF!,"AAAAAHn//Z0=")</f>
        <v>#REF!</v>
      </c>
      <c r="FC204" t="e">
        <f>AND(#REF!,"AAAAAHn//Z4=")</f>
        <v>#REF!</v>
      </c>
      <c r="FD204" t="e">
        <f>AND(#REF!,"AAAAAHn//Z8=")</f>
        <v>#REF!</v>
      </c>
      <c r="FE204" t="e">
        <f>AND(#REF!,"AAAAAHn//aA=")</f>
        <v>#REF!</v>
      </c>
      <c r="FF204" t="e">
        <f>AND(#REF!,"AAAAAHn//aE=")</f>
        <v>#REF!</v>
      </c>
      <c r="FG204" t="e">
        <f>IF(#REF!,"AAAAAHn//aI=",0)</f>
        <v>#REF!</v>
      </c>
      <c r="FH204" t="e">
        <f>AND(#REF!,"AAAAAHn//aM=")</f>
        <v>#REF!</v>
      </c>
      <c r="FI204" t="e">
        <f>AND(#REF!,"AAAAAHn//aQ=")</f>
        <v>#REF!</v>
      </c>
      <c r="FJ204" t="e">
        <f>AND(#REF!,"AAAAAHn//aU=")</f>
        <v>#REF!</v>
      </c>
      <c r="FK204" t="e">
        <f>AND(#REF!,"AAAAAHn//aY=")</f>
        <v>#REF!</v>
      </c>
      <c r="FL204" t="e">
        <f>AND(#REF!,"AAAAAHn//ac=")</f>
        <v>#REF!</v>
      </c>
      <c r="FM204" t="e">
        <f>AND(#REF!,"AAAAAHn//ag=")</f>
        <v>#REF!</v>
      </c>
      <c r="FN204" t="e">
        <f>AND(#REF!,"AAAAAHn//ak=")</f>
        <v>#REF!</v>
      </c>
      <c r="FO204" t="e">
        <f>AND(#REF!,"AAAAAHn//ao=")</f>
        <v>#REF!</v>
      </c>
      <c r="FP204" t="e">
        <f>IF(#REF!,"AAAAAHn//as=",0)</f>
        <v>#REF!</v>
      </c>
      <c r="FQ204" t="e">
        <f>AND(#REF!,"AAAAAHn//aw=")</f>
        <v>#REF!</v>
      </c>
      <c r="FR204" t="e">
        <f>AND(#REF!,"AAAAAHn//a0=")</f>
        <v>#REF!</v>
      </c>
      <c r="FS204" t="e">
        <f>AND(#REF!,"AAAAAHn//a4=")</f>
        <v>#REF!</v>
      </c>
      <c r="FT204" t="e">
        <f>AND(#REF!,"AAAAAHn//a8=")</f>
        <v>#REF!</v>
      </c>
      <c r="FU204" t="e">
        <f>AND(#REF!,"AAAAAHn//bA=")</f>
        <v>#REF!</v>
      </c>
      <c r="FV204" t="e">
        <f>AND(#REF!,"AAAAAHn//bE=")</f>
        <v>#REF!</v>
      </c>
      <c r="FW204" t="e">
        <f>AND(#REF!,"AAAAAHn//bI=")</f>
        <v>#REF!</v>
      </c>
      <c r="FX204" t="e">
        <f>AND(#REF!,"AAAAAHn//bM=")</f>
        <v>#REF!</v>
      </c>
      <c r="FY204" t="e">
        <f>IF(#REF!,"AAAAAHn//bQ=",0)</f>
        <v>#REF!</v>
      </c>
      <c r="FZ204" t="e">
        <f>AND(#REF!,"AAAAAHn//bU=")</f>
        <v>#REF!</v>
      </c>
      <c r="GA204" t="e">
        <f>AND(#REF!,"AAAAAHn//bY=")</f>
        <v>#REF!</v>
      </c>
      <c r="GB204" t="e">
        <f>AND(#REF!,"AAAAAHn//bc=")</f>
        <v>#REF!</v>
      </c>
      <c r="GC204" t="e">
        <f>AND(#REF!,"AAAAAHn//bg=")</f>
        <v>#REF!</v>
      </c>
      <c r="GD204" t="e">
        <f>AND(#REF!,"AAAAAHn//bk=")</f>
        <v>#REF!</v>
      </c>
      <c r="GE204" t="e">
        <f>AND(#REF!,"AAAAAHn//bo=")</f>
        <v>#REF!</v>
      </c>
      <c r="GF204" t="e">
        <f>IF(#REF!,"AAAAAHn//bs=",0)</f>
        <v>#REF!</v>
      </c>
      <c r="GG204" t="e">
        <f>AND(#REF!,"AAAAAHn//bw=")</f>
        <v>#REF!</v>
      </c>
      <c r="GH204" t="e">
        <f>AND(#REF!,"AAAAAHn//b0=")</f>
        <v>#REF!</v>
      </c>
      <c r="GI204" t="e">
        <f>AND(#REF!,"AAAAAHn//b4=")</f>
        <v>#REF!</v>
      </c>
      <c r="GJ204" t="e">
        <f>AND(#REF!,"AAAAAHn//b8=")</f>
        <v>#REF!</v>
      </c>
      <c r="GK204" t="e">
        <f>AND(#REF!,"AAAAAHn//cA=")</f>
        <v>#REF!</v>
      </c>
      <c r="GL204" t="e">
        <f>AND(#REF!,"AAAAAHn//cE=")</f>
        <v>#REF!</v>
      </c>
      <c r="GM204" t="e">
        <f>IF(#REF!,"AAAAAHn//cI=",0)</f>
        <v>#REF!</v>
      </c>
      <c r="GN204" t="e">
        <f>AND(#REF!,"AAAAAHn//cM=")</f>
        <v>#REF!</v>
      </c>
      <c r="GO204" t="e">
        <f>AND(#REF!,"AAAAAHn//cQ=")</f>
        <v>#REF!</v>
      </c>
      <c r="GP204" t="e">
        <f>AND(#REF!,"AAAAAHn//cU=")</f>
        <v>#REF!</v>
      </c>
      <c r="GQ204" t="e">
        <f>AND(#REF!,"AAAAAHn//cY=")</f>
        <v>#REF!</v>
      </c>
      <c r="GR204" t="e">
        <f>AND(#REF!,"AAAAAHn//cc=")</f>
        <v>#REF!</v>
      </c>
      <c r="GS204" t="e">
        <f>AND(#REF!,"AAAAAHn//cg=")</f>
        <v>#REF!</v>
      </c>
      <c r="GT204" t="e">
        <f>IF(#REF!,"AAAAAHn//ck=",0)</f>
        <v>#REF!</v>
      </c>
      <c r="GU204" t="e">
        <f>AND(#REF!,"AAAAAHn//co=")</f>
        <v>#REF!</v>
      </c>
      <c r="GV204" t="e">
        <f>AND(#REF!,"AAAAAHn//cs=")</f>
        <v>#REF!</v>
      </c>
      <c r="GW204" t="e">
        <f>AND(#REF!,"AAAAAHn//cw=")</f>
        <v>#REF!</v>
      </c>
      <c r="GX204" t="e">
        <f>AND(#REF!,"AAAAAHn//c0=")</f>
        <v>#REF!</v>
      </c>
      <c r="GY204" t="e">
        <f>AND(#REF!,"AAAAAHn//c4=")</f>
        <v>#REF!</v>
      </c>
      <c r="GZ204" t="e">
        <f>AND(#REF!,"AAAAAHn//c8=")</f>
        <v>#REF!</v>
      </c>
      <c r="HA204" t="e">
        <f>IF(#REF!,"AAAAAHn//dA=",0)</f>
        <v>#REF!</v>
      </c>
      <c r="HB204" t="e">
        <f>AND(#REF!,"AAAAAHn//dE=")</f>
        <v>#REF!</v>
      </c>
      <c r="HC204" t="e">
        <f>AND(#REF!,"AAAAAHn//dI=")</f>
        <v>#REF!</v>
      </c>
      <c r="HD204" t="e">
        <f>AND(#REF!,"AAAAAHn//dM=")</f>
        <v>#REF!</v>
      </c>
      <c r="HE204" t="e">
        <f>AND(#REF!,"AAAAAHn//dQ=")</f>
        <v>#REF!</v>
      </c>
      <c r="HF204" t="e">
        <f>AND(#REF!,"AAAAAHn//dU=")</f>
        <v>#REF!</v>
      </c>
      <c r="HG204" t="e">
        <f>AND(#REF!,"AAAAAHn//dY=")</f>
        <v>#REF!</v>
      </c>
      <c r="HH204" t="e">
        <f>IF(#REF!,"AAAAAHn//dc=",0)</f>
        <v>#REF!</v>
      </c>
      <c r="HI204" t="e">
        <f>AND(#REF!,"AAAAAHn//dg=")</f>
        <v>#REF!</v>
      </c>
      <c r="HJ204" t="e">
        <f>AND(#REF!,"AAAAAHn//dk=")</f>
        <v>#REF!</v>
      </c>
      <c r="HK204" t="e">
        <f>AND(#REF!,"AAAAAHn//do=")</f>
        <v>#REF!</v>
      </c>
      <c r="HL204" t="e">
        <f>AND(#REF!,"AAAAAHn//ds=")</f>
        <v>#REF!</v>
      </c>
      <c r="HM204" t="e">
        <f>AND(#REF!,"AAAAAHn//dw=")</f>
        <v>#REF!</v>
      </c>
      <c r="HN204" t="e">
        <f>AND(#REF!,"AAAAAHn//d0=")</f>
        <v>#REF!</v>
      </c>
      <c r="HO204" t="e">
        <f>IF(#REF!,"AAAAAHn//d4=",0)</f>
        <v>#REF!</v>
      </c>
      <c r="HP204" t="e">
        <f>IF(#REF!,"AAAAAHn//d8=",0)</f>
        <v>#REF!</v>
      </c>
      <c r="HQ204" t="e">
        <f>IF(#REF!,"AAAAAHn//eA=",0)</f>
        <v>#REF!</v>
      </c>
      <c r="HR204" t="e">
        <f>IF(#REF!,"AAAAAHn//eE=",0)</f>
        <v>#REF!</v>
      </c>
      <c r="HS204" t="e">
        <f>IF(#REF!,"AAAAAHn//eI=",0)</f>
        <v>#REF!</v>
      </c>
      <c r="HT204" t="e">
        <f>IF(#REF!,"AAAAAHn//eM=",0)</f>
        <v>#REF!</v>
      </c>
      <c r="HU204" t="e">
        <f>IF(#REF!,"AAAAAHn//eQ=",0)</f>
        <v>#REF!</v>
      </c>
      <c r="HV204" t="e">
        <f>IF(#REF!,"AAAAAHn//eU=",0)</f>
        <v>#REF!</v>
      </c>
      <c r="HW204" t="e">
        <f>AND(GETPIVOTDATA("",#REF!),"AAAAAHn//eY=")</f>
        <v>#REF!</v>
      </c>
      <c r="HX204" t="e">
        <f>IF(#REF!,"AAAAAHn//ec=",0)</f>
        <v>#REF!</v>
      </c>
      <c r="HY204" t="e">
        <f>AND(#REF!,"AAAAAHn//eg=")</f>
        <v>#REF!</v>
      </c>
      <c r="HZ204" t="e">
        <f>AND(#REF!,"AAAAAHn//ek=")</f>
        <v>#REF!</v>
      </c>
      <c r="IA204" t="e">
        <f>AND(#REF!,"AAAAAHn//eo=")</f>
        <v>#REF!</v>
      </c>
      <c r="IB204" t="e">
        <f>AND(#REF!,"AAAAAHn//es=")</f>
        <v>#REF!</v>
      </c>
      <c r="IC204" t="e">
        <f>AND(#REF!,"AAAAAHn//ew=")</f>
        <v>#REF!</v>
      </c>
      <c r="ID204" t="e">
        <f>AND(#REF!,"AAAAAHn//e0=")</f>
        <v>#REF!</v>
      </c>
      <c r="IE204" t="e">
        <f>AND(#REF!,"AAAAAHn//e4=")</f>
        <v>#REF!</v>
      </c>
      <c r="IF204" t="e">
        <f>IF(#REF!,"AAAAAHn//e8=",0)</f>
        <v>#REF!</v>
      </c>
      <c r="IG204" t="e">
        <f>AND(#REF!,"AAAAAHn//fA=")</f>
        <v>#REF!</v>
      </c>
      <c r="IH204" t="e">
        <f>AND(#REF!,"AAAAAHn//fE=")</f>
        <v>#REF!</v>
      </c>
      <c r="II204" t="e">
        <f>AND(#REF!,"AAAAAHn//fI=")</f>
        <v>#REF!</v>
      </c>
      <c r="IJ204" t="e">
        <f>AND(#REF!,"AAAAAHn//fM=")</f>
        <v>#REF!</v>
      </c>
      <c r="IK204" t="e">
        <f>AND(#REF!,"AAAAAHn//fQ=")</f>
        <v>#REF!</v>
      </c>
      <c r="IL204" t="e">
        <f>AND(#REF!,"AAAAAHn//fU=")</f>
        <v>#REF!</v>
      </c>
      <c r="IM204" t="e">
        <f>AND(#REF!,"AAAAAHn//fY=")</f>
        <v>#REF!</v>
      </c>
      <c r="IN204" t="e">
        <f>IF(#REF!,"AAAAAHn//fc=",0)</f>
        <v>#REF!</v>
      </c>
      <c r="IO204" t="e">
        <f>AND(#REF!,"AAAAAHn//fg=")</f>
        <v>#REF!</v>
      </c>
      <c r="IP204" t="e">
        <f>AND(#REF!,"AAAAAHn//fk=")</f>
        <v>#REF!</v>
      </c>
      <c r="IQ204" t="e">
        <f>AND(#REF!,"AAAAAHn//fo=")</f>
        <v>#REF!</v>
      </c>
      <c r="IR204" t="e">
        <f>AND(#REF!,"AAAAAHn//fs=")</f>
        <v>#REF!</v>
      </c>
      <c r="IS204" t="e">
        <f>AND(#REF!,"AAAAAHn//fw=")</f>
        <v>#REF!</v>
      </c>
      <c r="IT204" t="e">
        <f>AND(#REF!,"AAAAAHn//f0=")</f>
        <v>#REF!</v>
      </c>
      <c r="IU204" t="e">
        <f>AND(#REF!,"AAAAAHn//f4=")</f>
        <v>#REF!</v>
      </c>
      <c r="IV204" t="e">
        <f>IF(#REF!,"AAAAAHn//f8=",0)</f>
        <v>#REF!</v>
      </c>
    </row>
    <row r="205" spans="1:256" x14ac:dyDescent="0.2">
      <c r="A205" t="e">
        <f>AND(#REF!,"AAAAAH/y3QA=")</f>
        <v>#REF!</v>
      </c>
      <c r="B205" t="e">
        <f>AND(#REF!,"AAAAAH/y3QE=")</f>
        <v>#REF!</v>
      </c>
      <c r="C205" t="e">
        <f>AND(#REF!,"AAAAAH/y3QI=")</f>
        <v>#REF!</v>
      </c>
      <c r="D205" t="e">
        <f>AND(#REF!,"AAAAAH/y3QM=")</f>
        <v>#REF!</v>
      </c>
      <c r="E205" t="e">
        <f>AND(#REF!,"AAAAAH/y3QQ=")</f>
        <v>#REF!</v>
      </c>
      <c r="F205" t="e">
        <f>AND(#REF!,"AAAAAH/y3QU=")</f>
        <v>#REF!</v>
      </c>
      <c r="G205" t="e">
        <f>AND(#REF!,"AAAAAH/y3QY=")</f>
        <v>#REF!</v>
      </c>
      <c r="H205" t="e">
        <f>IF(#REF!,"AAAAAH/y3Qc=",0)</f>
        <v>#REF!</v>
      </c>
      <c r="I205" t="e">
        <f>AND(#REF!,"AAAAAH/y3Qg=")</f>
        <v>#REF!</v>
      </c>
      <c r="J205" t="e">
        <f>AND(#REF!,"AAAAAH/y3Qk=")</f>
        <v>#REF!</v>
      </c>
      <c r="K205" t="e">
        <f>AND(#REF!,"AAAAAH/y3Qo=")</f>
        <v>#REF!</v>
      </c>
      <c r="L205" t="e">
        <f>AND(#REF!,"AAAAAH/y3Qs=")</f>
        <v>#REF!</v>
      </c>
      <c r="M205" t="e">
        <f>AND(#REF!,"AAAAAH/y3Qw=")</f>
        <v>#REF!</v>
      </c>
      <c r="N205" t="e">
        <f>AND(#REF!,"AAAAAH/y3Q0=")</f>
        <v>#REF!</v>
      </c>
      <c r="O205" t="e">
        <f>AND(#REF!,"AAAAAH/y3Q4=")</f>
        <v>#REF!</v>
      </c>
      <c r="P205" t="e">
        <f>IF(#REF!,"AAAAAH/y3Q8=",0)</f>
        <v>#REF!</v>
      </c>
      <c r="Q205" t="e">
        <f>AND(#REF!,"AAAAAH/y3RA=")</f>
        <v>#REF!</v>
      </c>
      <c r="R205" t="e">
        <f>AND(#REF!,"AAAAAH/y3RE=")</f>
        <v>#REF!</v>
      </c>
      <c r="S205" t="e">
        <f>AND(#REF!,"AAAAAH/y3RI=")</f>
        <v>#REF!</v>
      </c>
      <c r="T205" t="e">
        <f>AND(#REF!,"AAAAAH/y3RM=")</f>
        <v>#REF!</v>
      </c>
      <c r="U205" t="e">
        <f>AND(#REF!,"AAAAAH/y3RQ=")</f>
        <v>#REF!</v>
      </c>
      <c r="V205" t="e">
        <f>AND(#REF!,"AAAAAH/y3RU=")</f>
        <v>#REF!</v>
      </c>
      <c r="W205" t="e">
        <f>AND(#REF!,"AAAAAH/y3RY=")</f>
        <v>#REF!</v>
      </c>
      <c r="X205" t="e">
        <f>IF(#REF!,"AAAAAH/y3Rc=",0)</f>
        <v>#REF!</v>
      </c>
      <c r="Y205" t="e">
        <f>AND(#REF!,"AAAAAH/y3Rg=")</f>
        <v>#REF!</v>
      </c>
      <c r="Z205" t="e">
        <f>AND(#REF!,"AAAAAH/y3Rk=")</f>
        <v>#REF!</v>
      </c>
      <c r="AA205" t="e">
        <f>AND(#REF!,"AAAAAH/y3Ro=")</f>
        <v>#REF!</v>
      </c>
      <c r="AB205" t="e">
        <f>AND(#REF!,"AAAAAH/y3Rs=")</f>
        <v>#REF!</v>
      </c>
      <c r="AC205" t="e">
        <f>AND(#REF!,"AAAAAH/y3Rw=")</f>
        <v>#REF!</v>
      </c>
      <c r="AD205" t="e">
        <f>AND(#REF!,"AAAAAH/y3R0=")</f>
        <v>#REF!</v>
      </c>
      <c r="AE205" t="e">
        <f>AND(#REF!,"AAAAAH/y3R4=")</f>
        <v>#REF!</v>
      </c>
      <c r="AF205" t="e">
        <f>IF(#REF!,"AAAAAH/y3R8=",0)</f>
        <v>#REF!</v>
      </c>
      <c r="AG205" t="e">
        <f>IF(#REF!,"AAAAAH/y3SA=",0)</f>
        <v>#REF!</v>
      </c>
      <c r="AH205" t="e">
        <f>IF(#REF!,"AAAAAH/y3SE=",0)</f>
        <v>#REF!</v>
      </c>
      <c r="AI205" t="e">
        <f>IF(#REF!,"AAAAAH/y3SI=",0)</f>
        <v>#REF!</v>
      </c>
      <c r="AJ205" t="e">
        <f>IF(#REF!,"AAAAAH/y3SM=",0)</f>
        <v>#REF!</v>
      </c>
      <c r="AK205" t="e">
        <f>IF(#REF!,"AAAAAH/y3SQ=",0)</f>
        <v>#REF!</v>
      </c>
      <c r="AL205" t="e">
        <f>IF(#REF!,"AAAAAH/y3SU=",0)</f>
        <v>#REF!</v>
      </c>
      <c r="AM205" t="e">
        <f>IF(#REF!,"AAAAAH/y3SY=",0)</f>
        <v>#REF!</v>
      </c>
      <c r="AN205" t="e">
        <f>IF(#REF!,"AAAAAH/y3Sc=",0)</f>
        <v>#REF!</v>
      </c>
      <c r="AO205" t="e">
        <f>IF(#REF!,"AAAAAH/y3Sg=",0)</f>
        <v>#REF!</v>
      </c>
      <c r="AP205" t="e">
        <f>IF(#REF!,"AAAAAH/y3Sk=",0)</f>
        <v>#REF!</v>
      </c>
      <c r="AQ205" t="e">
        <f>IF(#REF!,"AAAAAH/y3So=",0)</f>
        <v>#REF!</v>
      </c>
      <c r="AR205" t="e">
        <f>IF(#REF!,"AAAAAH/y3Ss=",0)</f>
        <v>#REF!</v>
      </c>
      <c r="AS205" t="e">
        <f>IF(#REF!,"AAAAAH/y3Sw=",0)</f>
        <v>#REF!</v>
      </c>
      <c r="AT205" t="e">
        <f>IF(#REF!,"AAAAAH/y3S0=",0)</f>
        <v>#REF!</v>
      </c>
      <c r="AU205" t="e">
        <f>IF(#REF!,"AAAAAH/y3S4=",0)</f>
        <v>#REF!</v>
      </c>
      <c r="AV205" t="e">
        <f>IF(#REF!,"AAAAAH/y3S8=",0)</f>
        <v>#REF!</v>
      </c>
      <c r="AW205" t="e">
        <f>IF(#REF!,"AAAAAH/y3TA=",0)</f>
        <v>#REF!</v>
      </c>
      <c r="AX205" t="e">
        <f>IF(#REF!,"AAAAAH/y3TE=",0)</f>
        <v>#REF!</v>
      </c>
      <c r="AY205" t="e">
        <f>IF(#REF!,"AAAAAH/y3TI=",0)</f>
        <v>#REF!</v>
      </c>
      <c r="AZ205" t="e">
        <f>IF(#REF!,"AAAAAH/y3TM=",0)</f>
        <v>#REF!</v>
      </c>
      <c r="BA205" t="e">
        <f>IF(#REF!,"AAAAAH/y3TQ=",0)</f>
        <v>#REF!</v>
      </c>
      <c r="BB205" t="e">
        <f>IF(#REF!,"AAAAAH/y3TU=",0)</f>
        <v>#REF!</v>
      </c>
      <c r="BC205" t="e">
        <f>AND(GETPIVOTDATA("",#REF!),"AAAAAH/y3TY=")</f>
        <v>#REF!</v>
      </c>
      <c r="BD205" t="e">
        <f>IF(#REF!,"AAAAAH/y3Tc=",0)</f>
        <v>#REF!</v>
      </c>
      <c r="BE205" t="e">
        <f>AND(#REF!,"AAAAAH/y3Tg=")</f>
        <v>#REF!</v>
      </c>
      <c r="BF205" t="e">
        <f>AND(#REF!,"AAAAAH/y3Tk=")</f>
        <v>#REF!</v>
      </c>
      <c r="BG205" t="e">
        <f>AND(#REF!,"AAAAAH/y3To=")</f>
        <v>#REF!</v>
      </c>
      <c r="BH205" t="e">
        <f>AND(#REF!,"AAAAAH/y3Ts=")</f>
        <v>#REF!</v>
      </c>
      <c r="BI205" t="e">
        <f>AND(#REF!,"AAAAAH/y3Tw=")</f>
        <v>#REF!</v>
      </c>
      <c r="BJ205" t="e">
        <f>AND(#REF!,"AAAAAH/y3T0=")</f>
        <v>#REF!</v>
      </c>
      <c r="BK205" t="e">
        <f>AND(#REF!,"AAAAAH/y3T4=")</f>
        <v>#REF!</v>
      </c>
      <c r="BL205" t="e">
        <f>AND(#REF!,"AAAAAH/y3T8=")</f>
        <v>#REF!</v>
      </c>
      <c r="BM205" t="e">
        <f>AND(#REF!,"AAAAAH/y3UA=")</f>
        <v>#REF!</v>
      </c>
      <c r="BN205" t="e">
        <f>AND(#REF!,"AAAAAH/y3UE=")</f>
        <v>#REF!</v>
      </c>
      <c r="BO205" t="e">
        <f>AND(#REF!,"AAAAAH/y3UI=")</f>
        <v>#REF!</v>
      </c>
      <c r="BP205" t="e">
        <f>AND(#REF!,"AAAAAH/y3UM=")</f>
        <v>#REF!</v>
      </c>
      <c r="BQ205" t="e">
        <f>AND(#REF!,"AAAAAH/y3UQ=")</f>
        <v>#REF!</v>
      </c>
      <c r="BR205" t="e">
        <f>AND(#REF!,"AAAAAH/y3UU=")</f>
        <v>#REF!</v>
      </c>
      <c r="BS205" t="e">
        <f>AND(#REF!,"AAAAAH/y3UY=")</f>
        <v>#REF!</v>
      </c>
      <c r="BT205" t="e">
        <f>AND(#REF!,"AAAAAH/y3Uc=")</f>
        <v>#REF!</v>
      </c>
      <c r="BU205" t="e">
        <f>AND(#REF!,"AAAAAH/y3Ug=")</f>
        <v>#REF!</v>
      </c>
      <c r="BV205" t="e">
        <f>AND(#REF!,"AAAAAH/y3Uk=")</f>
        <v>#REF!</v>
      </c>
      <c r="BW205" t="e">
        <f>AND(#REF!,"AAAAAH/y3Uo=")</f>
        <v>#REF!</v>
      </c>
      <c r="BX205" t="e">
        <f>AND(#REF!,"AAAAAH/y3Us=")</f>
        <v>#REF!</v>
      </c>
      <c r="BY205" t="e">
        <f>AND(#REF!,"AAAAAH/y3Uw=")</f>
        <v>#REF!</v>
      </c>
      <c r="BZ205" t="e">
        <f>AND(#REF!,"AAAAAH/y3U0=")</f>
        <v>#REF!</v>
      </c>
      <c r="CA205" t="e">
        <f>AND(#REF!,"AAAAAH/y3U4=")</f>
        <v>#REF!</v>
      </c>
      <c r="CB205" t="e">
        <f>AND(#REF!,"AAAAAH/y3U8=")</f>
        <v>#REF!</v>
      </c>
      <c r="CC205" t="e">
        <f>AND(#REF!,"AAAAAH/y3VA=")</f>
        <v>#REF!</v>
      </c>
      <c r="CD205" t="e">
        <f>AND(#REF!,"AAAAAH/y3VE=")</f>
        <v>#REF!</v>
      </c>
      <c r="CE205" t="e">
        <f>AND(#REF!,"AAAAAH/y3VI=")</f>
        <v>#REF!</v>
      </c>
      <c r="CF205" t="e">
        <f>AND(#REF!,"AAAAAH/y3VM=")</f>
        <v>#REF!</v>
      </c>
      <c r="CG205" t="e">
        <f>AND(#REF!,"AAAAAH/y3VQ=")</f>
        <v>#REF!</v>
      </c>
      <c r="CH205" t="e">
        <f>AND(#REF!,"AAAAAH/y3VU=")</f>
        <v>#REF!</v>
      </c>
      <c r="CI205" t="e">
        <f>AND(#REF!,"AAAAAH/y3VY=")</f>
        <v>#REF!</v>
      </c>
      <c r="CJ205" t="e">
        <f>AND(#REF!,"AAAAAH/y3Vc=")</f>
        <v>#REF!</v>
      </c>
      <c r="CK205" t="e">
        <f>AND(#REF!,"AAAAAH/y3Vg=")</f>
        <v>#REF!</v>
      </c>
      <c r="CL205" t="e">
        <f>IF(#REF!,"AAAAAH/y3Vk=",0)</f>
        <v>#REF!</v>
      </c>
      <c r="CM205" t="e">
        <f>AND(#REF!,"AAAAAH/y3Vo=")</f>
        <v>#REF!</v>
      </c>
      <c r="CN205" t="e">
        <f>AND(#REF!,"AAAAAH/y3Vs=")</f>
        <v>#REF!</v>
      </c>
      <c r="CO205" t="e">
        <f>AND(#REF!,"AAAAAH/y3Vw=")</f>
        <v>#REF!</v>
      </c>
      <c r="CP205" t="e">
        <f>AND(#REF!,"AAAAAH/y3V0=")</f>
        <v>#REF!</v>
      </c>
      <c r="CQ205" t="e">
        <f>AND(#REF!,"AAAAAH/y3V4=")</f>
        <v>#REF!</v>
      </c>
      <c r="CR205" t="e">
        <f>AND(#REF!,"AAAAAH/y3V8=")</f>
        <v>#REF!</v>
      </c>
      <c r="CS205" t="e">
        <f>AND(#REF!,"AAAAAH/y3WA=")</f>
        <v>#REF!</v>
      </c>
      <c r="CT205" t="e">
        <f>AND(#REF!,"AAAAAH/y3WE=")</f>
        <v>#REF!</v>
      </c>
      <c r="CU205" t="e">
        <f>AND(#REF!,"AAAAAH/y3WI=")</f>
        <v>#REF!</v>
      </c>
      <c r="CV205" t="e">
        <f>AND(#REF!,"AAAAAH/y3WM=")</f>
        <v>#REF!</v>
      </c>
      <c r="CW205" t="e">
        <f>AND(#REF!,"AAAAAH/y3WQ=")</f>
        <v>#REF!</v>
      </c>
      <c r="CX205" t="e">
        <f>AND(#REF!,"AAAAAH/y3WU=")</f>
        <v>#REF!</v>
      </c>
      <c r="CY205" t="e">
        <f>AND(#REF!,"AAAAAH/y3WY=")</f>
        <v>#REF!</v>
      </c>
      <c r="CZ205" t="e">
        <f>AND(#REF!,"AAAAAH/y3Wc=")</f>
        <v>#REF!</v>
      </c>
      <c r="DA205" t="e">
        <f>AND(#REF!,"AAAAAH/y3Wg=")</f>
        <v>#REF!</v>
      </c>
      <c r="DB205" t="e">
        <f>AND(#REF!,"AAAAAH/y3Wk=")</f>
        <v>#REF!</v>
      </c>
      <c r="DC205" t="e">
        <f>AND(#REF!,"AAAAAH/y3Wo=")</f>
        <v>#REF!</v>
      </c>
      <c r="DD205" t="e">
        <f>AND(#REF!,"AAAAAH/y3Ws=")</f>
        <v>#REF!</v>
      </c>
      <c r="DE205" t="e">
        <f>AND(#REF!,"AAAAAH/y3Ww=")</f>
        <v>#REF!</v>
      </c>
      <c r="DF205" t="e">
        <f>AND(#REF!,"AAAAAH/y3W0=")</f>
        <v>#REF!</v>
      </c>
      <c r="DG205" t="e">
        <f>AND(#REF!,"AAAAAH/y3W4=")</f>
        <v>#REF!</v>
      </c>
      <c r="DH205" t="e">
        <f>AND(#REF!,"AAAAAH/y3W8=")</f>
        <v>#REF!</v>
      </c>
      <c r="DI205" t="e">
        <f>AND(#REF!,"AAAAAH/y3XA=")</f>
        <v>#REF!</v>
      </c>
      <c r="DJ205" t="e">
        <f>AND(#REF!,"AAAAAH/y3XE=")</f>
        <v>#REF!</v>
      </c>
      <c r="DK205" t="e">
        <f>AND(#REF!,"AAAAAH/y3XI=")</f>
        <v>#REF!</v>
      </c>
      <c r="DL205" t="e">
        <f>AND(#REF!,"AAAAAH/y3XM=")</f>
        <v>#REF!</v>
      </c>
      <c r="DM205" t="e">
        <f>AND(#REF!,"AAAAAH/y3XQ=")</f>
        <v>#REF!</v>
      </c>
      <c r="DN205" t="e">
        <f>AND(#REF!,"AAAAAH/y3XU=")</f>
        <v>#REF!</v>
      </c>
      <c r="DO205" t="e">
        <f>AND(#REF!,"AAAAAH/y3XY=")</f>
        <v>#REF!</v>
      </c>
      <c r="DP205" t="e">
        <f>AND(#REF!,"AAAAAH/y3Xc=")</f>
        <v>#REF!</v>
      </c>
      <c r="DQ205" t="e">
        <f>AND(#REF!,"AAAAAH/y3Xg=")</f>
        <v>#REF!</v>
      </c>
      <c r="DR205" t="e">
        <f>AND(#REF!,"AAAAAH/y3Xk=")</f>
        <v>#REF!</v>
      </c>
      <c r="DS205" t="e">
        <f>AND(#REF!,"AAAAAH/y3Xo=")</f>
        <v>#REF!</v>
      </c>
      <c r="DT205" t="e">
        <f>IF(#REF!,"AAAAAH/y3Xs=",0)</f>
        <v>#REF!</v>
      </c>
      <c r="DU205" t="e">
        <f>AND(#REF!,"AAAAAH/y3Xw=")</f>
        <v>#REF!</v>
      </c>
      <c r="DV205" t="e">
        <f>AND(#REF!,"AAAAAH/y3X0=")</f>
        <v>#REF!</v>
      </c>
      <c r="DW205" t="e">
        <f>AND(#REF!,"AAAAAH/y3X4=")</f>
        <v>#REF!</v>
      </c>
      <c r="DX205" t="e">
        <f>AND(#REF!,"AAAAAH/y3X8=")</f>
        <v>#REF!</v>
      </c>
      <c r="DY205" t="e">
        <f>AND(#REF!,"AAAAAH/y3YA=")</f>
        <v>#REF!</v>
      </c>
      <c r="DZ205" t="e">
        <f>AND(#REF!,"AAAAAH/y3YE=")</f>
        <v>#REF!</v>
      </c>
      <c r="EA205" t="e">
        <f>AND(#REF!,"AAAAAH/y3YI=")</f>
        <v>#REF!</v>
      </c>
      <c r="EB205" t="e">
        <f>AND(#REF!,"AAAAAH/y3YM=")</f>
        <v>#REF!</v>
      </c>
      <c r="EC205" t="e">
        <f>AND(#REF!,"AAAAAH/y3YQ=")</f>
        <v>#REF!</v>
      </c>
      <c r="ED205" t="e">
        <f>AND(#REF!,"AAAAAH/y3YU=")</f>
        <v>#REF!</v>
      </c>
      <c r="EE205" t="e">
        <f>AND(#REF!,"AAAAAH/y3YY=")</f>
        <v>#REF!</v>
      </c>
      <c r="EF205" t="e">
        <f>AND(#REF!,"AAAAAH/y3Yc=")</f>
        <v>#REF!</v>
      </c>
      <c r="EG205" t="e">
        <f>AND(#REF!,"AAAAAH/y3Yg=")</f>
        <v>#REF!</v>
      </c>
      <c r="EH205" t="e">
        <f>AND(#REF!,"AAAAAH/y3Yk=")</f>
        <v>#REF!</v>
      </c>
      <c r="EI205" t="e">
        <f>AND(#REF!,"AAAAAH/y3Yo=")</f>
        <v>#REF!</v>
      </c>
      <c r="EJ205" t="e">
        <f>AND(#REF!,"AAAAAH/y3Ys=")</f>
        <v>#REF!</v>
      </c>
      <c r="EK205" t="e">
        <f>AND(#REF!,"AAAAAH/y3Yw=")</f>
        <v>#REF!</v>
      </c>
      <c r="EL205" t="e">
        <f>AND(#REF!,"AAAAAH/y3Y0=")</f>
        <v>#REF!</v>
      </c>
      <c r="EM205" t="e">
        <f>AND(#REF!,"AAAAAH/y3Y4=")</f>
        <v>#REF!</v>
      </c>
      <c r="EN205" t="e">
        <f>AND(#REF!,"AAAAAH/y3Y8=")</f>
        <v>#REF!</v>
      </c>
      <c r="EO205" t="e">
        <f>AND(#REF!,"AAAAAH/y3ZA=")</f>
        <v>#REF!</v>
      </c>
      <c r="EP205" t="e">
        <f>AND(#REF!,"AAAAAH/y3ZE=")</f>
        <v>#REF!</v>
      </c>
      <c r="EQ205" t="e">
        <f>AND(#REF!,"AAAAAH/y3ZI=")</f>
        <v>#REF!</v>
      </c>
      <c r="ER205" t="e">
        <f>AND(#REF!,"AAAAAH/y3ZM=")</f>
        <v>#REF!</v>
      </c>
      <c r="ES205" t="e">
        <f>AND(#REF!,"AAAAAH/y3ZQ=")</f>
        <v>#REF!</v>
      </c>
      <c r="ET205" t="e">
        <f>AND(#REF!,"AAAAAH/y3ZU=")</f>
        <v>#REF!</v>
      </c>
      <c r="EU205" t="e">
        <f>AND(#REF!,"AAAAAH/y3ZY=")</f>
        <v>#REF!</v>
      </c>
      <c r="EV205" t="e">
        <f>AND(#REF!,"AAAAAH/y3Zc=")</f>
        <v>#REF!</v>
      </c>
      <c r="EW205" t="e">
        <f>AND(#REF!,"AAAAAH/y3Zg=")</f>
        <v>#REF!</v>
      </c>
      <c r="EX205" t="e">
        <f>AND(#REF!,"AAAAAH/y3Zk=")</f>
        <v>#REF!</v>
      </c>
      <c r="EY205" t="e">
        <f>AND(#REF!,"AAAAAH/y3Zo=")</f>
        <v>#REF!</v>
      </c>
      <c r="EZ205" t="e">
        <f>AND(#REF!,"AAAAAH/y3Zs=")</f>
        <v>#REF!</v>
      </c>
      <c r="FA205" t="e">
        <f>AND(#REF!,"AAAAAH/y3Zw=")</f>
        <v>#REF!</v>
      </c>
      <c r="FB205" t="e">
        <f>IF(#REF!,"AAAAAH/y3Z0=",0)</f>
        <v>#REF!</v>
      </c>
      <c r="FC205" t="e">
        <f>AND(#REF!,"AAAAAH/y3Z4=")</f>
        <v>#REF!</v>
      </c>
      <c r="FD205" t="e">
        <f>AND(#REF!,"AAAAAH/y3Z8=")</f>
        <v>#REF!</v>
      </c>
      <c r="FE205" t="e">
        <f>AND(#REF!,"AAAAAH/y3aA=")</f>
        <v>#REF!</v>
      </c>
      <c r="FF205" t="e">
        <f>AND(#REF!,"AAAAAH/y3aE=")</f>
        <v>#REF!</v>
      </c>
      <c r="FG205" t="e">
        <f>AND(#REF!,"AAAAAH/y3aI=")</f>
        <v>#REF!</v>
      </c>
      <c r="FH205" t="e">
        <f>AND(#REF!,"AAAAAH/y3aM=")</f>
        <v>#REF!</v>
      </c>
      <c r="FI205" t="e">
        <f>AND(#REF!,"AAAAAH/y3aQ=")</f>
        <v>#REF!</v>
      </c>
      <c r="FJ205" t="e">
        <f>AND(#REF!,"AAAAAH/y3aU=")</f>
        <v>#REF!</v>
      </c>
      <c r="FK205" t="e">
        <f>AND(#REF!,"AAAAAH/y3aY=")</f>
        <v>#REF!</v>
      </c>
      <c r="FL205" t="e">
        <f>AND(#REF!,"AAAAAH/y3ac=")</f>
        <v>#REF!</v>
      </c>
      <c r="FM205" t="e">
        <f>AND(#REF!,"AAAAAH/y3ag=")</f>
        <v>#REF!</v>
      </c>
      <c r="FN205" t="e">
        <f>AND(#REF!,"AAAAAH/y3ak=")</f>
        <v>#REF!</v>
      </c>
      <c r="FO205" t="e">
        <f>AND(#REF!,"AAAAAH/y3ao=")</f>
        <v>#REF!</v>
      </c>
      <c r="FP205" t="e">
        <f>AND(#REF!,"AAAAAH/y3as=")</f>
        <v>#REF!</v>
      </c>
      <c r="FQ205" t="e">
        <f>AND(#REF!,"AAAAAH/y3aw=")</f>
        <v>#REF!</v>
      </c>
      <c r="FR205" t="e">
        <f>AND(#REF!,"AAAAAH/y3a0=")</f>
        <v>#REF!</v>
      </c>
      <c r="FS205" t="e">
        <f>AND(#REF!,"AAAAAH/y3a4=")</f>
        <v>#REF!</v>
      </c>
      <c r="FT205" t="e">
        <f>AND(#REF!,"AAAAAH/y3a8=")</f>
        <v>#REF!</v>
      </c>
      <c r="FU205" t="e">
        <f>AND(#REF!,"AAAAAH/y3bA=")</f>
        <v>#REF!</v>
      </c>
      <c r="FV205" t="e">
        <f>AND(#REF!,"AAAAAH/y3bE=")</f>
        <v>#REF!</v>
      </c>
      <c r="FW205" t="e">
        <f>AND(#REF!,"AAAAAH/y3bI=")</f>
        <v>#REF!</v>
      </c>
      <c r="FX205" t="e">
        <f>AND(#REF!,"AAAAAH/y3bM=")</f>
        <v>#REF!</v>
      </c>
      <c r="FY205" t="e">
        <f>AND(#REF!,"AAAAAH/y3bQ=")</f>
        <v>#REF!</v>
      </c>
      <c r="FZ205" t="e">
        <f>AND(#REF!,"AAAAAH/y3bU=")</f>
        <v>#REF!</v>
      </c>
      <c r="GA205" t="e">
        <f>AND(#REF!,"AAAAAH/y3bY=")</f>
        <v>#REF!</v>
      </c>
      <c r="GB205" t="e">
        <f>AND(#REF!,"AAAAAH/y3bc=")</f>
        <v>#REF!</v>
      </c>
      <c r="GC205" t="e">
        <f>AND(#REF!,"AAAAAH/y3bg=")</f>
        <v>#REF!</v>
      </c>
      <c r="GD205" t="e">
        <f>AND(#REF!,"AAAAAH/y3bk=")</f>
        <v>#REF!</v>
      </c>
      <c r="GE205" t="e">
        <f>AND(#REF!,"AAAAAH/y3bo=")</f>
        <v>#REF!</v>
      </c>
      <c r="GF205" t="e">
        <f>AND(#REF!,"AAAAAH/y3bs=")</f>
        <v>#REF!</v>
      </c>
      <c r="GG205" t="e">
        <f>AND(#REF!,"AAAAAH/y3bw=")</f>
        <v>#REF!</v>
      </c>
      <c r="GH205" t="e">
        <f>AND(#REF!,"AAAAAH/y3b0=")</f>
        <v>#REF!</v>
      </c>
      <c r="GI205" t="e">
        <f>AND(#REF!,"AAAAAH/y3b4=")</f>
        <v>#REF!</v>
      </c>
      <c r="GJ205" t="e">
        <f>IF(#REF!,"AAAAAH/y3b8=",0)</f>
        <v>#REF!</v>
      </c>
      <c r="GK205" t="e">
        <f>AND(#REF!,"AAAAAH/y3cA=")</f>
        <v>#REF!</v>
      </c>
      <c r="GL205" t="e">
        <f>AND(#REF!,"AAAAAH/y3cE=")</f>
        <v>#REF!</v>
      </c>
      <c r="GM205" t="e">
        <f>AND(#REF!,"AAAAAH/y3cI=")</f>
        <v>#REF!</v>
      </c>
      <c r="GN205" t="e">
        <f>AND(#REF!,"AAAAAH/y3cM=")</f>
        <v>#REF!</v>
      </c>
      <c r="GO205" t="e">
        <f>AND(#REF!,"AAAAAH/y3cQ=")</f>
        <v>#REF!</v>
      </c>
      <c r="GP205" t="e">
        <f>AND(#REF!,"AAAAAH/y3cU=")</f>
        <v>#REF!</v>
      </c>
      <c r="GQ205" t="e">
        <f>AND(#REF!,"AAAAAH/y3cY=")</f>
        <v>#REF!</v>
      </c>
      <c r="GR205" t="e">
        <f>AND(#REF!,"AAAAAH/y3cc=")</f>
        <v>#REF!</v>
      </c>
      <c r="GS205" t="e">
        <f>AND(#REF!,"AAAAAH/y3cg=")</f>
        <v>#REF!</v>
      </c>
      <c r="GT205" t="e">
        <f>AND(#REF!,"AAAAAH/y3ck=")</f>
        <v>#REF!</v>
      </c>
      <c r="GU205" t="e">
        <f>AND(#REF!,"AAAAAH/y3co=")</f>
        <v>#REF!</v>
      </c>
      <c r="GV205" t="e">
        <f>AND(#REF!,"AAAAAH/y3cs=")</f>
        <v>#REF!</v>
      </c>
      <c r="GW205" t="e">
        <f>AND(#REF!,"AAAAAH/y3cw=")</f>
        <v>#REF!</v>
      </c>
      <c r="GX205" t="e">
        <f>AND(#REF!,"AAAAAH/y3c0=")</f>
        <v>#REF!</v>
      </c>
      <c r="GY205" t="e">
        <f>AND(#REF!,"AAAAAH/y3c4=")</f>
        <v>#REF!</v>
      </c>
      <c r="GZ205" t="e">
        <f>AND(#REF!,"AAAAAH/y3c8=")</f>
        <v>#REF!</v>
      </c>
      <c r="HA205" t="e">
        <f>AND(#REF!,"AAAAAH/y3dA=")</f>
        <v>#REF!</v>
      </c>
      <c r="HB205" t="e">
        <f>AND(#REF!,"AAAAAH/y3dE=")</f>
        <v>#REF!</v>
      </c>
      <c r="HC205" t="e">
        <f>AND(#REF!,"AAAAAH/y3dI=")</f>
        <v>#REF!</v>
      </c>
      <c r="HD205" t="e">
        <f>AND(#REF!,"AAAAAH/y3dM=")</f>
        <v>#REF!</v>
      </c>
      <c r="HE205" t="e">
        <f>AND(#REF!,"AAAAAH/y3dQ=")</f>
        <v>#REF!</v>
      </c>
      <c r="HF205" t="e">
        <f>AND(#REF!,"AAAAAH/y3dU=")</f>
        <v>#REF!</v>
      </c>
      <c r="HG205" t="e">
        <f>AND(#REF!,"AAAAAH/y3dY=")</f>
        <v>#REF!</v>
      </c>
      <c r="HH205" t="e">
        <f>AND(#REF!,"AAAAAH/y3dc=")</f>
        <v>#REF!</v>
      </c>
      <c r="HI205" t="e">
        <f>AND(#REF!,"AAAAAH/y3dg=")</f>
        <v>#REF!</v>
      </c>
      <c r="HJ205" t="e">
        <f>AND(#REF!,"AAAAAH/y3dk=")</f>
        <v>#REF!</v>
      </c>
      <c r="HK205" t="e">
        <f>AND(#REF!,"AAAAAH/y3do=")</f>
        <v>#REF!</v>
      </c>
      <c r="HL205" t="e">
        <f>AND(#REF!,"AAAAAH/y3ds=")</f>
        <v>#REF!</v>
      </c>
      <c r="HM205" t="e">
        <f>AND(#REF!,"AAAAAH/y3dw=")</f>
        <v>#REF!</v>
      </c>
      <c r="HN205" t="e">
        <f>AND(#REF!,"AAAAAH/y3d0=")</f>
        <v>#REF!</v>
      </c>
      <c r="HO205" t="e">
        <f>AND(#REF!,"AAAAAH/y3d4=")</f>
        <v>#REF!</v>
      </c>
      <c r="HP205" t="e">
        <f>AND(#REF!,"AAAAAH/y3d8=")</f>
        <v>#REF!</v>
      </c>
      <c r="HQ205" t="e">
        <f>AND(#REF!,"AAAAAH/y3eA=")</f>
        <v>#REF!</v>
      </c>
      <c r="HR205" t="e">
        <f>IF(#REF!,"AAAAAH/y3eE=",0)</f>
        <v>#REF!</v>
      </c>
      <c r="HS205" t="e">
        <f>AND(#REF!,"AAAAAH/y3eI=")</f>
        <v>#REF!</v>
      </c>
      <c r="HT205" t="e">
        <f>AND(#REF!,"AAAAAH/y3eM=")</f>
        <v>#REF!</v>
      </c>
      <c r="HU205" t="e">
        <f>AND(#REF!,"AAAAAH/y3eQ=")</f>
        <v>#REF!</v>
      </c>
      <c r="HV205" t="e">
        <f>AND(#REF!,"AAAAAH/y3eU=")</f>
        <v>#REF!</v>
      </c>
      <c r="HW205" t="e">
        <f>AND(#REF!,"AAAAAH/y3eY=")</f>
        <v>#REF!</v>
      </c>
      <c r="HX205" t="e">
        <f>AND(#REF!,"AAAAAH/y3ec=")</f>
        <v>#REF!</v>
      </c>
      <c r="HY205" t="e">
        <f>AND(#REF!,"AAAAAH/y3eg=")</f>
        <v>#REF!</v>
      </c>
      <c r="HZ205" t="e">
        <f>AND(#REF!,"AAAAAH/y3ek=")</f>
        <v>#REF!</v>
      </c>
      <c r="IA205" t="e">
        <f>AND(#REF!,"AAAAAH/y3eo=")</f>
        <v>#REF!</v>
      </c>
      <c r="IB205" t="e">
        <f>AND(#REF!,"AAAAAH/y3es=")</f>
        <v>#REF!</v>
      </c>
      <c r="IC205" t="e">
        <f>AND(#REF!,"AAAAAH/y3ew=")</f>
        <v>#REF!</v>
      </c>
      <c r="ID205" t="e">
        <f>AND(#REF!,"AAAAAH/y3e0=")</f>
        <v>#REF!</v>
      </c>
      <c r="IE205" t="e">
        <f>AND(#REF!,"AAAAAH/y3e4=")</f>
        <v>#REF!</v>
      </c>
      <c r="IF205" t="e">
        <f>AND(#REF!,"AAAAAH/y3e8=")</f>
        <v>#REF!</v>
      </c>
      <c r="IG205" t="e">
        <f>AND(#REF!,"AAAAAH/y3fA=")</f>
        <v>#REF!</v>
      </c>
      <c r="IH205" t="e">
        <f>AND(#REF!,"AAAAAH/y3fE=")</f>
        <v>#REF!</v>
      </c>
      <c r="II205" t="e">
        <f>AND(#REF!,"AAAAAH/y3fI=")</f>
        <v>#REF!</v>
      </c>
      <c r="IJ205" t="e">
        <f>AND(#REF!,"AAAAAH/y3fM=")</f>
        <v>#REF!</v>
      </c>
      <c r="IK205" t="e">
        <f>AND(#REF!,"AAAAAH/y3fQ=")</f>
        <v>#REF!</v>
      </c>
      <c r="IL205" t="e">
        <f>AND(#REF!,"AAAAAH/y3fU=")</f>
        <v>#REF!</v>
      </c>
      <c r="IM205" t="e">
        <f>AND(#REF!,"AAAAAH/y3fY=")</f>
        <v>#REF!</v>
      </c>
      <c r="IN205" t="e">
        <f>AND(#REF!,"AAAAAH/y3fc=")</f>
        <v>#REF!</v>
      </c>
      <c r="IO205" t="e">
        <f>AND(#REF!,"AAAAAH/y3fg=")</f>
        <v>#REF!</v>
      </c>
      <c r="IP205" t="e">
        <f>AND(#REF!,"AAAAAH/y3fk=")</f>
        <v>#REF!</v>
      </c>
      <c r="IQ205" t="e">
        <f>AND(#REF!,"AAAAAH/y3fo=")</f>
        <v>#REF!</v>
      </c>
      <c r="IR205" t="e">
        <f>AND(#REF!,"AAAAAH/y3fs=")</f>
        <v>#REF!</v>
      </c>
      <c r="IS205" t="e">
        <f>AND(#REF!,"AAAAAH/y3fw=")</f>
        <v>#REF!</v>
      </c>
      <c r="IT205" t="e">
        <f>AND(#REF!,"AAAAAH/y3f0=")</f>
        <v>#REF!</v>
      </c>
      <c r="IU205" t="e">
        <f>AND(#REF!,"AAAAAH/y3f4=")</f>
        <v>#REF!</v>
      </c>
      <c r="IV205" t="e">
        <f>AND(#REF!,"AAAAAH/y3f8=")</f>
        <v>#REF!</v>
      </c>
    </row>
    <row r="206" spans="1:256" x14ac:dyDescent="0.2">
      <c r="A206" t="e">
        <f>AND(#REF!,"AAAAAFf8/gA=")</f>
        <v>#REF!</v>
      </c>
      <c r="B206" t="e">
        <f>AND(#REF!,"AAAAAFf8/gE=")</f>
        <v>#REF!</v>
      </c>
      <c r="C206" t="e">
        <f>AND(#REF!,"AAAAAFf8/gI=")</f>
        <v>#REF!</v>
      </c>
      <c r="D206" t="e">
        <f>IF(#REF!,"AAAAAFf8/gM=",0)</f>
        <v>#REF!</v>
      </c>
      <c r="E206" t="e">
        <f>AND(#REF!,"AAAAAFf8/gQ=")</f>
        <v>#REF!</v>
      </c>
      <c r="F206" t="e">
        <f>AND(#REF!,"AAAAAFf8/gU=")</f>
        <v>#REF!</v>
      </c>
      <c r="G206" t="e">
        <f>AND(#REF!,"AAAAAFf8/gY=")</f>
        <v>#REF!</v>
      </c>
      <c r="H206" t="e">
        <f>AND(#REF!,"AAAAAFf8/gc=")</f>
        <v>#REF!</v>
      </c>
      <c r="I206" t="e">
        <f>AND(#REF!,"AAAAAFf8/gg=")</f>
        <v>#REF!</v>
      </c>
      <c r="J206" t="e">
        <f>AND(#REF!,"AAAAAFf8/gk=")</f>
        <v>#REF!</v>
      </c>
      <c r="K206" t="e">
        <f>AND(#REF!,"AAAAAFf8/go=")</f>
        <v>#REF!</v>
      </c>
      <c r="L206" t="e">
        <f>AND(#REF!,"AAAAAFf8/gs=")</f>
        <v>#REF!</v>
      </c>
      <c r="M206" t="e">
        <f>AND(#REF!,"AAAAAFf8/gw=")</f>
        <v>#REF!</v>
      </c>
      <c r="N206" t="e">
        <f>AND(#REF!,"AAAAAFf8/g0=")</f>
        <v>#REF!</v>
      </c>
      <c r="O206" t="e">
        <f>AND(#REF!,"AAAAAFf8/g4=")</f>
        <v>#REF!</v>
      </c>
      <c r="P206" t="e">
        <f>AND(#REF!,"AAAAAFf8/g8=")</f>
        <v>#REF!</v>
      </c>
      <c r="Q206" t="e">
        <f>AND(#REF!,"AAAAAFf8/hA=")</f>
        <v>#REF!</v>
      </c>
      <c r="R206" t="e">
        <f>AND(#REF!,"AAAAAFf8/hE=")</f>
        <v>#REF!</v>
      </c>
      <c r="S206" t="e">
        <f>AND(#REF!,"AAAAAFf8/hI=")</f>
        <v>#REF!</v>
      </c>
      <c r="T206" t="e">
        <f>AND(#REF!,"AAAAAFf8/hM=")</f>
        <v>#REF!</v>
      </c>
      <c r="U206" t="e">
        <f>AND(#REF!,"AAAAAFf8/hQ=")</f>
        <v>#REF!</v>
      </c>
      <c r="V206" t="e">
        <f>AND(#REF!,"AAAAAFf8/hU=")</f>
        <v>#REF!</v>
      </c>
      <c r="W206" t="e">
        <f>AND(#REF!,"AAAAAFf8/hY=")</f>
        <v>#REF!</v>
      </c>
      <c r="X206" t="e">
        <f>AND(#REF!,"AAAAAFf8/hc=")</f>
        <v>#REF!</v>
      </c>
      <c r="Y206" t="e">
        <f>AND(#REF!,"AAAAAFf8/hg=")</f>
        <v>#REF!</v>
      </c>
      <c r="Z206" t="e">
        <f>AND(#REF!,"AAAAAFf8/hk=")</f>
        <v>#REF!</v>
      </c>
      <c r="AA206" t="e">
        <f>AND(#REF!,"AAAAAFf8/ho=")</f>
        <v>#REF!</v>
      </c>
      <c r="AB206" t="e">
        <f>AND(#REF!,"AAAAAFf8/hs=")</f>
        <v>#REF!</v>
      </c>
      <c r="AC206" t="e">
        <f>AND(#REF!,"AAAAAFf8/hw=")</f>
        <v>#REF!</v>
      </c>
      <c r="AD206" t="e">
        <f>AND(#REF!,"AAAAAFf8/h0=")</f>
        <v>#REF!</v>
      </c>
      <c r="AE206" t="e">
        <f>AND(#REF!,"AAAAAFf8/h4=")</f>
        <v>#REF!</v>
      </c>
      <c r="AF206" t="e">
        <f>AND(#REF!,"AAAAAFf8/h8=")</f>
        <v>#REF!</v>
      </c>
      <c r="AG206" t="e">
        <f>AND(#REF!,"AAAAAFf8/iA=")</f>
        <v>#REF!</v>
      </c>
      <c r="AH206" t="e">
        <f>AND(#REF!,"AAAAAFf8/iE=")</f>
        <v>#REF!</v>
      </c>
      <c r="AI206" t="e">
        <f>AND(#REF!,"AAAAAFf8/iI=")</f>
        <v>#REF!</v>
      </c>
      <c r="AJ206" t="e">
        <f>AND(#REF!,"AAAAAFf8/iM=")</f>
        <v>#REF!</v>
      </c>
      <c r="AK206" t="e">
        <f>AND(#REF!,"AAAAAFf8/iQ=")</f>
        <v>#REF!</v>
      </c>
      <c r="AL206" t="e">
        <f>IF(#REF!,"AAAAAFf8/iU=",0)</f>
        <v>#REF!</v>
      </c>
      <c r="AM206" t="e">
        <f>AND(#REF!,"AAAAAFf8/iY=")</f>
        <v>#REF!</v>
      </c>
      <c r="AN206" t="e">
        <f>AND(#REF!,"AAAAAFf8/ic=")</f>
        <v>#REF!</v>
      </c>
      <c r="AO206" t="e">
        <f>AND(#REF!,"AAAAAFf8/ig=")</f>
        <v>#REF!</v>
      </c>
      <c r="AP206" t="e">
        <f>AND(#REF!,"AAAAAFf8/ik=")</f>
        <v>#REF!</v>
      </c>
      <c r="AQ206" t="e">
        <f>AND(#REF!,"AAAAAFf8/io=")</f>
        <v>#REF!</v>
      </c>
      <c r="AR206" t="e">
        <f>AND(#REF!,"AAAAAFf8/is=")</f>
        <v>#REF!</v>
      </c>
      <c r="AS206" t="e">
        <f>AND(#REF!,"AAAAAFf8/iw=")</f>
        <v>#REF!</v>
      </c>
      <c r="AT206" t="e">
        <f>AND(#REF!,"AAAAAFf8/i0=")</f>
        <v>#REF!</v>
      </c>
      <c r="AU206" t="e">
        <f>AND(#REF!,"AAAAAFf8/i4=")</f>
        <v>#REF!</v>
      </c>
      <c r="AV206" t="e">
        <f>AND(#REF!,"AAAAAFf8/i8=")</f>
        <v>#REF!</v>
      </c>
      <c r="AW206" t="e">
        <f>AND(#REF!,"AAAAAFf8/jA=")</f>
        <v>#REF!</v>
      </c>
      <c r="AX206" t="e">
        <f>AND(#REF!,"AAAAAFf8/jE=")</f>
        <v>#REF!</v>
      </c>
      <c r="AY206" t="e">
        <f>AND(#REF!,"AAAAAFf8/jI=")</f>
        <v>#REF!</v>
      </c>
      <c r="AZ206" t="e">
        <f>AND(#REF!,"AAAAAFf8/jM=")</f>
        <v>#REF!</v>
      </c>
      <c r="BA206" t="e">
        <f>AND(#REF!,"AAAAAFf8/jQ=")</f>
        <v>#REF!</v>
      </c>
      <c r="BB206" t="e">
        <f>AND(#REF!,"AAAAAFf8/jU=")</f>
        <v>#REF!</v>
      </c>
      <c r="BC206" t="e">
        <f>AND(#REF!,"AAAAAFf8/jY=")</f>
        <v>#REF!</v>
      </c>
      <c r="BD206" t="e">
        <f>AND(#REF!,"AAAAAFf8/jc=")</f>
        <v>#REF!</v>
      </c>
      <c r="BE206" t="e">
        <f>AND(#REF!,"AAAAAFf8/jg=")</f>
        <v>#REF!</v>
      </c>
      <c r="BF206" t="e">
        <f>AND(#REF!,"AAAAAFf8/jk=")</f>
        <v>#REF!</v>
      </c>
      <c r="BG206" t="e">
        <f>AND(#REF!,"AAAAAFf8/jo=")</f>
        <v>#REF!</v>
      </c>
      <c r="BH206" t="e">
        <f>AND(#REF!,"AAAAAFf8/js=")</f>
        <v>#REF!</v>
      </c>
      <c r="BI206" t="e">
        <f>AND(#REF!,"AAAAAFf8/jw=")</f>
        <v>#REF!</v>
      </c>
      <c r="BJ206" t="e">
        <f>AND(#REF!,"AAAAAFf8/j0=")</f>
        <v>#REF!</v>
      </c>
      <c r="BK206" t="e">
        <f>AND(#REF!,"AAAAAFf8/j4=")</f>
        <v>#REF!</v>
      </c>
      <c r="BL206" t="e">
        <f>AND(#REF!,"AAAAAFf8/j8=")</f>
        <v>#REF!</v>
      </c>
      <c r="BM206" t="e">
        <f>AND(#REF!,"AAAAAFf8/kA=")</f>
        <v>#REF!</v>
      </c>
      <c r="BN206" t="e">
        <f>AND(#REF!,"AAAAAFf8/kE=")</f>
        <v>#REF!</v>
      </c>
      <c r="BO206" t="e">
        <f>AND(#REF!,"AAAAAFf8/kI=")</f>
        <v>#REF!</v>
      </c>
      <c r="BP206" t="e">
        <f>AND(#REF!,"AAAAAFf8/kM=")</f>
        <v>#REF!</v>
      </c>
      <c r="BQ206" t="e">
        <f>AND(#REF!,"AAAAAFf8/kQ=")</f>
        <v>#REF!</v>
      </c>
      <c r="BR206" t="e">
        <f>AND(#REF!,"AAAAAFf8/kU=")</f>
        <v>#REF!</v>
      </c>
      <c r="BS206" t="e">
        <f>AND(#REF!,"AAAAAFf8/kY=")</f>
        <v>#REF!</v>
      </c>
      <c r="BT206" t="e">
        <f>IF(#REF!,"AAAAAFf8/kc=",0)</f>
        <v>#REF!</v>
      </c>
      <c r="BU206" t="e">
        <f>AND(#REF!,"AAAAAFf8/kg=")</f>
        <v>#REF!</v>
      </c>
      <c r="BV206" t="e">
        <f>AND(#REF!,"AAAAAFf8/kk=")</f>
        <v>#REF!</v>
      </c>
      <c r="BW206" t="e">
        <f>AND(#REF!,"AAAAAFf8/ko=")</f>
        <v>#REF!</v>
      </c>
      <c r="BX206" t="e">
        <f>AND(#REF!,"AAAAAFf8/ks=")</f>
        <v>#REF!</v>
      </c>
      <c r="BY206" t="e">
        <f>AND(#REF!,"AAAAAFf8/kw=")</f>
        <v>#REF!</v>
      </c>
      <c r="BZ206" t="e">
        <f>AND(#REF!,"AAAAAFf8/k0=")</f>
        <v>#REF!</v>
      </c>
      <c r="CA206" t="e">
        <f>AND(#REF!,"AAAAAFf8/k4=")</f>
        <v>#REF!</v>
      </c>
      <c r="CB206" t="e">
        <f>AND(#REF!,"AAAAAFf8/k8=")</f>
        <v>#REF!</v>
      </c>
      <c r="CC206" t="e">
        <f>AND(#REF!,"AAAAAFf8/lA=")</f>
        <v>#REF!</v>
      </c>
      <c r="CD206" t="e">
        <f>AND(#REF!,"AAAAAFf8/lE=")</f>
        <v>#REF!</v>
      </c>
      <c r="CE206" t="e">
        <f>AND(#REF!,"AAAAAFf8/lI=")</f>
        <v>#REF!</v>
      </c>
      <c r="CF206" t="e">
        <f>AND(#REF!,"AAAAAFf8/lM=")</f>
        <v>#REF!</v>
      </c>
      <c r="CG206" t="e">
        <f>AND(#REF!,"AAAAAFf8/lQ=")</f>
        <v>#REF!</v>
      </c>
      <c r="CH206" t="e">
        <f>AND(#REF!,"AAAAAFf8/lU=")</f>
        <v>#REF!</v>
      </c>
      <c r="CI206" t="e">
        <f>AND(#REF!,"AAAAAFf8/lY=")</f>
        <v>#REF!</v>
      </c>
      <c r="CJ206" t="e">
        <f>AND(#REF!,"AAAAAFf8/lc=")</f>
        <v>#REF!</v>
      </c>
      <c r="CK206" t="e">
        <f>AND(#REF!,"AAAAAFf8/lg=")</f>
        <v>#REF!</v>
      </c>
      <c r="CL206" t="e">
        <f>AND(#REF!,"AAAAAFf8/lk=")</f>
        <v>#REF!</v>
      </c>
      <c r="CM206" t="e">
        <f>AND(#REF!,"AAAAAFf8/lo=")</f>
        <v>#REF!</v>
      </c>
      <c r="CN206" t="e">
        <f>AND(#REF!,"AAAAAFf8/ls=")</f>
        <v>#REF!</v>
      </c>
      <c r="CO206" t="e">
        <f>AND(#REF!,"AAAAAFf8/lw=")</f>
        <v>#REF!</v>
      </c>
      <c r="CP206" t="e">
        <f>AND(#REF!,"AAAAAFf8/l0=")</f>
        <v>#REF!</v>
      </c>
      <c r="CQ206" t="e">
        <f>AND(#REF!,"AAAAAFf8/l4=")</f>
        <v>#REF!</v>
      </c>
      <c r="CR206" t="e">
        <f>AND(#REF!,"AAAAAFf8/l8=")</f>
        <v>#REF!</v>
      </c>
      <c r="CS206" t="e">
        <f>AND(#REF!,"AAAAAFf8/mA=")</f>
        <v>#REF!</v>
      </c>
      <c r="CT206" t="e">
        <f>AND(#REF!,"AAAAAFf8/mE=")</f>
        <v>#REF!</v>
      </c>
      <c r="CU206" t="e">
        <f>AND(#REF!,"AAAAAFf8/mI=")</f>
        <v>#REF!</v>
      </c>
      <c r="CV206" t="e">
        <f>AND(#REF!,"AAAAAFf8/mM=")</f>
        <v>#REF!</v>
      </c>
      <c r="CW206" t="e">
        <f>AND(#REF!,"AAAAAFf8/mQ=")</f>
        <v>#REF!</v>
      </c>
      <c r="CX206" t="e">
        <f>AND(#REF!,"AAAAAFf8/mU=")</f>
        <v>#REF!</v>
      </c>
      <c r="CY206" t="e">
        <f>AND(#REF!,"AAAAAFf8/mY=")</f>
        <v>#REF!</v>
      </c>
      <c r="CZ206" t="e">
        <f>AND(#REF!,"AAAAAFf8/mc=")</f>
        <v>#REF!</v>
      </c>
      <c r="DA206" t="e">
        <f>AND(#REF!,"AAAAAFf8/mg=")</f>
        <v>#REF!</v>
      </c>
      <c r="DB206" t="e">
        <f>IF(#REF!,"AAAAAFf8/mk=",0)</f>
        <v>#REF!</v>
      </c>
      <c r="DC206" t="e">
        <f>AND(#REF!,"AAAAAFf8/mo=")</f>
        <v>#REF!</v>
      </c>
      <c r="DD206" t="e">
        <f>AND(#REF!,"AAAAAFf8/ms=")</f>
        <v>#REF!</v>
      </c>
      <c r="DE206" t="e">
        <f>AND(#REF!,"AAAAAFf8/mw=")</f>
        <v>#REF!</v>
      </c>
      <c r="DF206" t="e">
        <f>AND(#REF!,"AAAAAFf8/m0=")</f>
        <v>#REF!</v>
      </c>
      <c r="DG206" t="e">
        <f>AND(#REF!,"AAAAAFf8/m4=")</f>
        <v>#REF!</v>
      </c>
      <c r="DH206" t="e">
        <f>AND(#REF!,"AAAAAFf8/m8=")</f>
        <v>#REF!</v>
      </c>
      <c r="DI206" t="e">
        <f>AND(#REF!,"AAAAAFf8/nA=")</f>
        <v>#REF!</v>
      </c>
      <c r="DJ206" t="e">
        <f>AND(#REF!,"AAAAAFf8/nE=")</f>
        <v>#REF!</v>
      </c>
      <c r="DK206" t="e">
        <f>AND(#REF!,"AAAAAFf8/nI=")</f>
        <v>#REF!</v>
      </c>
      <c r="DL206" t="e">
        <f>AND(#REF!,"AAAAAFf8/nM=")</f>
        <v>#REF!</v>
      </c>
      <c r="DM206" t="e">
        <f>AND(#REF!,"AAAAAFf8/nQ=")</f>
        <v>#REF!</v>
      </c>
      <c r="DN206" t="e">
        <f>AND(#REF!,"AAAAAFf8/nU=")</f>
        <v>#REF!</v>
      </c>
      <c r="DO206" t="e">
        <f>AND(#REF!,"AAAAAFf8/nY=")</f>
        <v>#REF!</v>
      </c>
      <c r="DP206" t="e">
        <f>AND(#REF!,"AAAAAFf8/nc=")</f>
        <v>#REF!</v>
      </c>
      <c r="DQ206" t="e">
        <f>AND(#REF!,"AAAAAFf8/ng=")</f>
        <v>#REF!</v>
      </c>
      <c r="DR206" t="e">
        <f>AND(#REF!,"AAAAAFf8/nk=")</f>
        <v>#REF!</v>
      </c>
      <c r="DS206" t="e">
        <f>AND(#REF!,"AAAAAFf8/no=")</f>
        <v>#REF!</v>
      </c>
      <c r="DT206" t="e">
        <f>AND(#REF!,"AAAAAFf8/ns=")</f>
        <v>#REF!</v>
      </c>
      <c r="DU206" t="e">
        <f>AND(#REF!,"AAAAAFf8/nw=")</f>
        <v>#REF!</v>
      </c>
      <c r="DV206" t="e">
        <f>AND(#REF!,"AAAAAFf8/n0=")</f>
        <v>#REF!</v>
      </c>
      <c r="DW206" t="e">
        <f>AND(#REF!,"AAAAAFf8/n4=")</f>
        <v>#REF!</v>
      </c>
      <c r="DX206" t="e">
        <f>AND(#REF!,"AAAAAFf8/n8=")</f>
        <v>#REF!</v>
      </c>
      <c r="DY206" t="e">
        <f>AND(#REF!,"AAAAAFf8/oA=")</f>
        <v>#REF!</v>
      </c>
      <c r="DZ206" t="e">
        <f>AND(#REF!,"AAAAAFf8/oE=")</f>
        <v>#REF!</v>
      </c>
      <c r="EA206" t="e">
        <f>AND(#REF!,"AAAAAFf8/oI=")</f>
        <v>#REF!</v>
      </c>
      <c r="EB206" t="e">
        <f>AND(#REF!,"AAAAAFf8/oM=")</f>
        <v>#REF!</v>
      </c>
      <c r="EC206" t="e">
        <f>AND(#REF!,"AAAAAFf8/oQ=")</f>
        <v>#REF!</v>
      </c>
      <c r="ED206" t="e">
        <f>AND(#REF!,"AAAAAFf8/oU=")</f>
        <v>#REF!</v>
      </c>
      <c r="EE206" t="e">
        <f>AND(#REF!,"AAAAAFf8/oY=")</f>
        <v>#REF!</v>
      </c>
      <c r="EF206" t="e">
        <f>AND(#REF!,"AAAAAFf8/oc=")</f>
        <v>#REF!</v>
      </c>
      <c r="EG206" t="e">
        <f>AND(#REF!,"AAAAAFf8/og=")</f>
        <v>#REF!</v>
      </c>
      <c r="EH206" t="e">
        <f>AND(#REF!,"AAAAAFf8/ok=")</f>
        <v>#REF!</v>
      </c>
      <c r="EI206" t="e">
        <f>AND(#REF!,"AAAAAFf8/oo=")</f>
        <v>#REF!</v>
      </c>
      <c r="EJ206" t="e">
        <f>IF(#REF!,"AAAAAFf8/os=",0)</f>
        <v>#REF!</v>
      </c>
      <c r="EK206" t="e">
        <f>AND(#REF!,"AAAAAFf8/ow=")</f>
        <v>#REF!</v>
      </c>
      <c r="EL206" t="e">
        <f>AND(#REF!,"AAAAAFf8/o0=")</f>
        <v>#REF!</v>
      </c>
      <c r="EM206" t="e">
        <f>AND(#REF!,"AAAAAFf8/o4=")</f>
        <v>#REF!</v>
      </c>
      <c r="EN206" t="e">
        <f>AND(#REF!,"AAAAAFf8/o8=")</f>
        <v>#REF!</v>
      </c>
      <c r="EO206" t="e">
        <f>AND(#REF!,"AAAAAFf8/pA=")</f>
        <v>#REF!</v>
      </c>
      <c r="EP206" t="e">
        <f>AND(#REF!,"AAAAAFf8/pE=")</f>
        <v>#REF!</v>
      </c>
      <c r="EQ206" t="e">
        <f>AND(#REF!,"AAAAAFf8/pI=")</f>
        <v>#REF!</v>
      </c>
      <c r="ER206" t="e">
        <f>AND(#REF!,"AAAAAFf8/pM=")</f>
        <v>#REF!</v>
      </c>
      <c r="ES206" t="e">
        <f>AND(#REF!,"AAAAAFf8/pQ=")</f>
        <v>#REF!</v>
      </c>
      <c r="ET206" t="e">
        <f>AND(#REF!,"AAAAAFf8/pU=")</f>
        <v>#REF!</v>
      </c>
      <c r="EU206" t="e">
        <f>AND(#REF!,"AAAAAFf8/pY=")</f>
        <v>#REF!</v>
      </c>
      <c r="EV206" t="e">
        <f>AND(#REF!,"AAAAAFf8/pc=")</f>
        <v>#REF!</v>
      </c>
      <c r="EW206" t="e">
        <f>AND(#REF!,"AAAAAFf8/pg=")</f>
        <v>#REF!</v>
      </c>
      <c r="EX206" t="e">
        <f>AND(#REF!,"AAAAAFf8/pk=")</f>
        <v>#REF!</v>
      </c>
      <c r="EY206" t="e">
        <f>AND(#REF!,"AAAAAFf8/po=")</f>
        <v>#REF!</v>
      </c>
      <c r="EZ206" t="e">
        <f>AND(#REF!,"AAAAAFf8/ps=")</f>
        <v>#REF!</v>
      </c>
      <c r="FA206" t="e">
        <f>AND(#REF!,"AAAAAFf8/pw=")</f>
        <v>#REF!</v>
      </c>
      <c r="FB206" t="e">
        <f>AND(#REF!,"AAAAAFf8/p0=")</f>
        <v>#REF!</v>
      </c>
      <c r="FC206" t="e">
        <f>AND(#REF!,"AAAAAFf8/p4=")</f>
        <v>#REF!</v>
      </c>
      <c r="FD206" t="e">
        <f>AND(#REF!,"AAAAAFf8/p8=")</f>
        <v>#REF!</v>
      </c>
      <c r="FE206" t="e">
        <f>AND(#REF!,"AAAAAFf8/qA=")</f>
        <v>#REF!</v>
      </c>
      <c r="FF206" t="e">
        <f>AND(#REF!,"AAAAAFf8/qE=")</f>
        <v>#REF!</v>
      </c>
      <c r="FG206" t="e">
        <f>AND(#REF!,"AAAAAFf8/qI=")</f>
        <v>#REF!</v>
      </c>
      <c r="FH206" t="e">
        <f>AND(#REF!,"AAAAAFf8/qM=")</f>
        <v>#REF!</v>
      </c>
      <c r="FI206" t="e">
        <f>AND(#REF!,"AAAAAFf8/qQ=")</f>
        <v>#REF!</v>
      </c>
      <c r="FJ206" t="e">
        <f>AND(#REF!,"AAAAAFf8/qU=")</f>
        <v>#REF!</v>
      </c>
      <c r="FK206" t="e">
        <f>AND(#REF!,"AAAAAFf8/qY=")</f>
        <v>#REF!</v>
      </c>
      <c r="FL206" t="e">
        <f>AND(#REF!,"AAAAAFf8/qc=")</f>
        <v>#REF!</v>
      </c>
      <c r="FM206" t="e">
        <f>AND(#REF!,"AAAAAFf8/qg=")</f>
        <v>#REF!</v>
      </c>
      <c r="FN206" t="e">
        <f>AND(#REF!,"AAAAAFf8/qk=")</f>
        <v>#REF!</v>
      </c>
      <c r="FO206" t="e">
        <f>AND(#REF!,"AAAAAFf8/qo=")</f>
        <v>#REF!</v>
      </c>
      <c r="FP206" t="e">
        <f>AND(#REF!,"AAAAAFf8/qs=")</f>
        <v>#REF!</v>
      </c>
      <c r="FQ206" t="e">
        <f>AND(#REF!,"AAAAAFf8/qw=")</f>
        <v>#REF!</v>
      </c>
      <c r="FR206" t="e">
        <f>IF(#REF!,"AAAAAFf8/q0=",0)</f>
        <v>#REF!</v>
      </c>
      <c r="FS206" t="e">
        <f>AND(#REF!,"AAAAAFf8/q4=")</f>
        <v>#REF!</v>
      </c>
      <c r="FT206" t="e">
        <f>AND(#REF!,"AAAAAFf8/q8=")</f>
        <v>#REF!</v>
      </c>
      <c r="FU206" t="e">
        <f>AND(#REF!,"AAAAAFf8/rA=")</f>
        <v>#REF!</v>
      </c>
      <c r="FV206" t="e">
        <f>AND(#REF!,"AAAAAFf8/rE=")</f>
        <v>#REF!</v>
      </c>
      <c r="FW206" t="e">
        <f>AND(#REF!,"AAAAAFf8/rI=")</f>
        <v>#REF!</v>
      </c>
      <c r="FX206" t="e">
        <f>AND(#REF!,"AAAAAFf8/rM=")</f>
        <v>#REF!</v>
      </c>
      <c r="FY206" t="e">
        <f>AND(#REF!,"AAAAAFf8/rQ=")</f>
        <v>#REF!</v>
      </c>
      <c r="FZ206" t="e">
        <f>AND(#REF!,"AAAAAFf8/rU=")</f>
        <v>#REF!</v>
      </c>
      <c r="GA206" t="e">
        <f>AND(#REF!,"AAAAAFf8/rY=")</f>
        <v>#REF!</v>
      </c>
      <c r="GB206" t="e">
        <f>AND(#REF!,"AAAAAFf8/rc=")</f>
        <v>#REF!</v>
      </c>
      <c r="GC206" t="e">
        <f>AND(#REF!,"AAAAAFf8/rg=")</f>
        <v>#REF!</v>
      </c>
      <c r="GD206" t="e">
        <f>AND(#REF!,"AAAAAFf8/rk=")</f>
        <v>#REF!</v>
      </c>
      <c r="GE206" t="e">
        <f>AND(#REF!,"AAAAAFf8/ro=")</f>
        <v>#REF!</v>
      </c>
      <c r="GF206" t="e">
        <f>AND(#REF!,"AAAAAFf8/rs=")</f>
        <v>#REF!</v>
      </c>
      <c r="GG206" t="e">
        <f>AND(#REF!,"AAAAAFf8/rw=")</f>
        <v>#REF!</v>
      </c>
      <c r="GH206" t="e">
        <f>AND(#REF!,"AAAAAFf8/r0=")</f>
        <v>#REF!</v>
      </c>
      <c r="GI206" t="e">
        <f>AND(#REF!,"AAAAAFf8/r4=")</f>
        <v>#REF!</v>
      </c>
      <c r="GJ206" t="e">
        <f>AND(#REF!,"AAAAAFf8/r8=")</f>
        <v>#REF!</v>
      </c>
      <c r="GK206" t="e">
        <f>AND(#REF!,"AAAAAFf8/sA=")</f>
        <v>#REF!</v>
      </c>
      <c r="GL206" t="e">
        <f>AND(#REF!,"AAAAAFf8/sE=")</f>
        <v>#REF!</v>
      </c>
      <c r="GM206" t="e">
        <f>AND(#REF!,"AAAAAFf8/sI=")</f>
        <v>#REF!</v>
      </c>
      <c r="GN206" t="e">
        <f>AND(#REF!,"AAAAAFf8/sM=")</f>
        <v>#REF!</v>
      </c>
      <c r="GO206" t="e">
        <f>AND(#REF!,"AAAAAFf8/sQ=")</f>
        <v>#REF!</v>
      </c>
      <c r="GP206" t="e">
        <f>AND(#REF!,"AAAAAFf8/sU=")</f>
        <v>#REF!</v>
      </c>
      <c r="GQ206" t="e">
        <f>AND(#REF!,"AAAAAFf8/sY=")</f>
        <v>#REF!</v>
      </c>
      <c r="GR206" t="e">
        <f>AND(#REF!,"AAAAAFf8/sc=")</f>
        <v>#REF!</v>
      </c>
      <c r="GS206" t="e">
        <f>AND(#REF!,"AAAAAFf8/sg=")</f>
        <v>#REF!</v>
      </c>
      <c r="GT206" t="e">
        <f>AND(#REF!,"AAAAAFf8/sk=")</f>
        <v>#REF!</v>
      </c>
      <c r="GU206" t="e">
        <f>AND(#REF!,"AAAAAFf8/so=")</f>
        <v>#REF!</v>
      </c>
      <c r="GV206" t="e">
        <f>AND(#REF!,"AAAAAFf8/ss=")</f>
        <v>#REF!</v>
      </c>
      <c r="GW206" t="e">
        <f>AND(#REF!,"AAAAAFf8/sw=")</f>
        <v>#REF!</v>
      </c>
      <c r="GX206" t="e">
        <f>AND(#REF!,"AAAAAFf8/s0=")</f>
        <v>#REF!</v>
      </c>
      <c r="GY206" t="e">
        <f>AND(#REF!,"AAAAAFf8/s4=")</f>
        <v>#REF!</v>
      </c>
      <c r="GZ206" t="e">
        <f>IF(#REF!,"AAAAAFf8/s8=",0)</f>
        <v>#REF!</v>
      </c>
      <c r="HA206" t="e">
        <f>AND(#REF!,"AAAAAFf8/tA=")</f>
        <v>#REF!</v>
      </c>
      <c r="HB206" t="e">
        <f>AND(#REF!,"AAAAAFf8/tE=")</f>
        <v>#REF!</v>
      </c>
      <c r="HC206" t="e">
        <f>AND(#REF!,"AAAAAFf8/tI=")</f>
        <v>#REF!</v>
      </c>
      <c r="HD206" t="e">
        <f>AND(#REF!,"AAAAAFf8/tM=")</f>
        <v>#REF!</v>
      </c>
      <c r="HE206" t="e">
        <f>AND(#REF!,"AAAAAFf8/tQ=")</f>
        <v>#REF!</v>
      </c>
      <c r="HF206" t="e">
        <f>AND(#REF!,"AAAAAFf8/tU=")</f>
        <v>#REF!</v>
      </c>
      <c r="HG206" t="e">
        <f>AND(#REF!,"AAAAAFf8/tY=")</f>
        <v>#REF!</v>
      </c>
      <c r="HH206" t="e">
        <f>AND(#REF!,"AAAAAFf8/tc=")</f>
        <v>#REF!</v>
      </c>
      <c r="HI206" t="e">
        <f>AND(#REF!,"AAAAAFf8/tg=")</f>
        <v>#REF!</v>
      </c>
      <c r="HJ206" t="e">
        <f>AND(#REF!,"AAAAAFf8/tk=")</f>
        <v>#REF!</v>
      </c>
      <c r="HK206" t="e">
        <f>AND(#REF!,"AAAAAFf8/to=")</f>
        <v>#REF!</v>
      </c>
      <c r="HL206" t="e">
        <f>AND(#REF!,"AAAAAFf8/ts=")</f>
        <v>#REF!</v>
      </c>
      <c r="HM206" t="e">
        <f>AND(#REF!,"AAAAAFf8/tw=")</f>
        <v>#REF!</v>
      </c>
      <c r="HN206" t="e">
        <f>AND(#REF!,"AAAAAFf8/t0=")</f>
        <v>#REF!</v>
      </c>
      <c r="HO206" t="e">
        <f>AND(#REF!,"AAAAAFf8/t4=")</f>
        <v>#REF!</v>
      </c>
      <c r="HP206" t="e">
        <f>AND(#REF!,"AAAAAFf8/t8=")</f>
        <v>#REF!</v>
      </c>
      <c r="HQ206" t="e">
        <f>AND(#REF!,"AAAAAFf8/uA=")</f>
        <v>#REF!</v>
      </c>
      <c r="HR206" t="e">
        <f>AND(#REF!,"AAAAAFf8/uE=")</f>
        <v>#REF!</v>
      </c>
      <c r="HS206" t="e">
        <f>AND(#REF!,"AAAAAFf8/uI=")</f>
        <v>#REF!</v>
      </c>
      <c r="HT206" t="e">
        <f>AND(#REF!,"AAAAAFf8/uM=")</f>
        <v>#REF!</v>
      </c>
      <c r="HU206" t="e">
        <f>AND(#REF!,"AAAAAFf8/uQ=")</f>
        <v>#REF!</v>
      </c>
      <c r="HV206" t="e">
        <f>AND(#REF!,"AAAAAFf8/uU=")</f>
        <v>#REF!</v>
      </c>
      <c r="HW206" t="e">
        <f>AND(#REF!,"AAAAAFf8/uY=")</f>
        <v>#REF!</v>
      </c>
      <c r="HX206" t="e">
        <f>AND(#REF!,"AAAAAFf8/uc=")</f>
        <v>#REF!</v>
      </c>
      <c r="HY206" t="e">
        <f>AND(#REF!,"AAAAAFf8/ug=")</f>
        <v>#REF!</v>
      </c>
      <c r="HZ206" t="e">
        <f>AND(#REF!,"AAAAAFf8/uk=")</f>
        <v>#REF!</v>
      </c>
      <c r="IA206" t="e">
        <f>AND(#REF!,"AAAAAFf8/uo=")</f>
        <v>#REF!</v>
      </c>
      <c r="IB206" t="e">
        <f>AND(#REF!,"AAAAAFf8/us=")</f>
        <v>#REF!</v>
      </c>
      <c r="IC206" t="e">
        <f>AND(#REF!,"AAAAAFf8/uw=")</f>
        <v>#REF!</v>
      </c>
      <c r="ID206" t="e">
        <f>AND(#REF!,"AAAAAFf8/u0=")</f>
        <v>#REF!</v>
      </c>
      <c r="IE206" t="e">
        <f>AND(#REF!,"AAAAAFf8/u4=")</f>
        <v>#REF!</v>
      </c>
      <c r="IF206" t="e">
        <f>AND(#REF!,"AAAAAFf8/u8=")</f>
        <v>#REF!</v>
      </c>
      <c r="IG206" t="e">
        <f>AND(#REF!,"AAAAAFf8/vA=")</f>
        <v>#REF!</v>
      </c>
      <c r="IH206" t="e">
        <f>IF(#REF!,"AAAAAFf8/vE=",0)</f>
        <v>#REF!</v>
      </c>
      <c r="II206" t="e">
        <f>AND(#REF!,"AAAAAFf8/vI=")</f>
        <v>#REF!</v>
      </c>
      <c r="IJ206" t="e">
        <f>AND(#REF!,"AAAAAFf8/vM=")</f>
        <v>#REF!</v>
      </c>
      <c r="IK206" t="e">
        <f>AND(#REF!,"AAAAAFf8/vQ=")</f>
        <v>#REF!</v>
      </c>
      <c r="IL206" t="e">
        <f>AND(#REF!,"AAAAAFf8/vU=")</f>
        <v>#REF!</v>
      </c>
      <c r="IM206" t="e">
        <f>AND(#REF!,"AAAAAFf8/vY=")</f>
        <v>#REF!</v>
      </c>
      <c r="IN206" t="e">
        <f>AND(#REF!,"AAAAAFf8/vc=")</f>
        <v>#REF!</v>
      </c>
      <c r="IO206" t="e">
        <f>AND(#REF!,"AAAAAFf8/vg=")</f>
        <v>#REF!</v>
      </c>
      <c r="IP206" t="e">
        <f>AND(#REF!,"AAAAAFf8/vk=")</f>
        <v>#REF!</v>
      </c>
      <c r="IQ206" t="e">
        <f>AND(#REF!,"AAAAAFf8/vo=")</f>
        <v>#REF!</v>
      </c>
      <c r="IR206" t="e">
        <f>AND(#REF!,"AAAAAFf8/vs=")</f>
        <v>#REF!</v>
      </c>
      <c r="IS206" t="e">
        <f>AND(#REF!,"AAAAAFf8/vw=")</f>
        <v>#REF!</v>
      </c>
      <c r="IT206" t="e">
        <f>AND(#REF!,"AAAAAFf8/v0=")</f>
        <v>#REF!</v>
      </c>
      <c r="IU206" t="e">
        <f>AND(#REF!,"AAAAAFf8/v4=")</f>
        <v>#REF!</v>
      </c>
      <c r="IV206" t="e">
        <f>AND(#REF!,"AAAAAFf8/v8=")</f>
        <v>#REF!</v>
      </c>
    </row>
    <row r="207" spans="1:256" x14ac:dyDescent="0.2">
      <c r="A207" t="e">
        <f>AND(#REF!,"AAAAAF/X/QA=")</f>
        <v>#REF!</v>
      </c>
      <c r="B207" t="e">
        <f>AND(#REF!,"AAAAAF/X/QE=")</f>
        <v>#REF!</v>
      </c>
      <c r="C207" t="e">
        <f>AND(#REF!,"AAAAAF/X/QI=")</f>
        <v>#REF!</v>
      </c>
      <c r="D207" t="e">
        <f>AND(#REF!,"AAAAAF/X/QM=")</f>
        <v>#REF!</v>
      </c>
      <c r="E207" t="e">
        <f>AND(#REF!,"AAAAAF/X/QQ=")</f>
        <v>#REF!</v>
      </c>
      <c r="F207" t="e">
        <f>AND(#REF!,"AAAAAF/X/QU=")</f>
        <v>#REF!</v>
      </c>
      <c r="G207" t="e">
        <f>AND(#REF!,"AAAAAF/X/QY=")</f>
        <v>#REF!</v>
      </c>
      <c r="H207" t="e">
        <f>AND(#REF!,"AAAAAF/X/Qc=")</f>
        <v>#REF!</v>
      </c>
      <c r="I207" t="e">
        <f>AND(#REF!,"AAAAAF/X/Qg=")</f>
        <v>#REF!</v>
      </c>
      <c r="J207" t="e">
        <f>AND(#REF!,"AAAAAF/X/Qk=")</f>
        <v>#REF!</v>
      </c>
      <c r="K207" t="e">
        <f>AND(#REF!,"AAAAAF/X/Qo=")</f>
        <v>#REF!</v>
      </c>
      <c r="L207" t="e">
        <f>AND(#REF!,"AAAAAF/X/Qs=")</f>
        <v>#REF!</v>
      </c>
      <c r="M207" t="e">
        <f>AND(#REF!,"AAAAAF/X/Qw=")</f>
        <v>#REF!</v>
      </c>
      <c r="N207" t="e">
        <f>AND(#REF!,"AAAAAF/X/Q0=")</f>
        <v>#REF!</v>
      </c>
      <c r="O207" t="e">
        <f>AND(#REF!,"AAAAAF/X/Q4=")</f>
        <v>#REF!</v>
      </c>
      <c r="P207" t="e">
        <f>AND(#REF!,"AAAAAF/X/Q8=")</f>
        <v>#REF!</v>
      </c>
      <c r="Q207" t="e">
        <f>AND(#REF!,"AAAAAF/X/RA=")</f>
        <v>#REF!</v>
      </c>
      <c r="R207" t="e">
        <f>AND(#REF!,"AAAAAF/X/RE=")</f>
        <v>#REF!</v>
      </c>
      <c r="S207" t="e">
        <f>AND(#REF!,"AAAAAF/X/RI=")</f>
        <v>#REF!</v>
      </c>
      <c r="T207" t="e">
        <f>IF(#REF!,"AAAAAF/X/RM=",0)</f>
        <v>#REF!</v>
      </c>
      <c r="U207" t="e">
        <f>AND(#REF!,"AAAAAF/X/RQ=")</f>
        <v>#REF!</v>
      </c>
      <c r="V207" t="e">
        <f>AND(#REF!,"AAAAAF/X/RU=")</f>
        <v>#REF!</v>
      </c>
      <c r="W207" t="e">
        <f>AND(#REF!,"AAAAAF/X/RY=")</f>
        <v>#REF!</v>
      </c>
      <c r="X207" t="e">
        <f>AND(#REF!,"AAAAAF/X/Rc=")</f>
        <v>#REF!</v>
      </c>
      <c r="Y207" t="e">
        <f>AND(#REF!,"AAAAAF/X/Rg=")</f>
        <v>#REF!</v>
      </c>
      <c r="Z207" t="e">
        <f>AND(#REF!,"AAAAAF/X/Rk=")</f>
        <v>#REF!</v>
      </c>
      <c r="AA207" t="e">
        <f>AND(#REF!,"AAAAAF/X/Ro=")</f>
        <v>#REF!</v>
      </c>
      <c r="AB207" t="e">
        <f>AND(#REF!,"AAAAAF/X/Rs=")</f>
        <v>#REF!</v>
      </c>
      <c r="AC207" t="e">
        <f>AND(#REF!,"AAAAAF/X/Rw=")</f>
        <v>#REF!</v>
      </c>
      <c r="AD207" t="e">
        <f>AND(#REF!,"AAAAAF/X/R0=")</f>
        <v>#REF!</v>
      </c>
      <c r="AE207" t="e">
        <f>AND(#REF!,"AAAAAF/X/R4=")</f>
        <v>#REF!</v>
      </c>
      <c r="AF207" t="e">
        <f>AND(#REF!,"AAAAAF/X/R8=")</f>
        <v>#REF!</v>
      </c>
      <c r="AG207" t="e">
        <f>AND(#REF!,"AAAAAF/X/SA=")</f>
        <v>#REF!</v>
      </c>
      <c r="AH207" t="e">
        <f>AND(#REF!,"AAAAAF/X/SE=")</f>
        <v>#REF!</v>
      </c>
      <c r="AI207" t="e">
        <f>AND(#REF!,"AAAAAF/X/SI=")</f>
        <v>#REF!</v>
      </c>
      <c r="AJ207" t="e">
        <f>AND(#REF!,"AAAAAF/X/SM=")</f>
        <v>#REF!</v>
      </c>
      <c r="AK207" t="e">
        <f>AND(#REF!,"AAAAAF/X/SQ=")</f>
        <v>#REF!</v>
      </c>
      <c r="AL207" t="e">
        <f>AND(#REF!,"AAAAAF/X/SU=")</f>
        <v>#REF!</v>
      </c>
      <c r="AM207" t="e">
        <f>AND(#REF!,"AAAAAF/X/SY=")</f>
        <v>#REF!</v>
      </c>
      <c r="AN207" t="e">
        <f>AND(#REF!,"AAAAAF/X/Sc=")</f>
        <v>#REF!</v>
      </c>
      <c r="AO207" t="e">
        <f>AND(#REF!,"AAAAAF/X/Sg=")</f>
        <v>#REF!</v>
      </c>
      <c r="AP207" t="e">
        <f>AND(#REF!,"AAAAAF/X/Sk=")</f>
        <v>#REF!</v>
      </c>
      <c r="AQ207" t="e">
        <f>AND(#REF!,"AAAAAF/X/So=")</f>
        <v>#REF!</v>
      </c>
      <c r="AR207" t="e">
        <f>AND(#REF!,"AAAAAF/X/Ss=")</f>
        <v>#REF!</v>
      </c>
      <c r="AS207" t="e">
        <f>AND(#REF!,"AAAAAF/X/Sw=")</f>
        <v>#REF!</v>
      </c>
      <c r="AT207" t="e">
        <f>AND(#REF!,"AAAAAF/X/S0=")</f>
        <v>#REF!</v>
      </c>
      <c r="AU207" t="e">
        <f>AND(#REF!,"AAAAAF/X/S4=")</f>
        <v>#REF!</v>
      </c>
      <c r="AV207" t="e">
        <f>AND(#REF!,"AAAAAF/X/S8=")</f>
        <v>#REF!</v>
      </c>
      <c r="AW207" t="e">
        <f>AND(#REF!,"AAAAAF/X/TA=")</f>
        <v>#REF!</v>
      </c>
      <c r="AX207" t="e">
        <f>AND(#REF!,"AAAAAF/X/TE=")</f>
        <v>#REF!</v>
      </c>
      <c r="AY207" t="e">
        <f>AND(#REF!,"AAAAAF/X/TI=")</f>
        <v>#REF!</v>
      </c>
      <c r="AZ207" t="e">
        <f>AND(#REF!,"AAAAAF/X/TM=")</f>
        <v>#REF!</v>
      </c>
      <c r="BA207" t="e">
        <f>AND(#REF!,"AAAAAF/X/TQ=")</f>
        <v>#REF!</v>
      </c>
      <c r="BB207" t="e">
        <f>IF(#REF!,"AAAAAF/X/TU=",0)</f>
        <v>#REF!</v>
      </c>
      <c r="BC207" t="e">
        <f>AND(#REF!,"AAAAAF/X/TY=")</f>
        <v>#REF!</v>
      </c>
      <c r="BD207" t="e">
        <f>AND(#REF!,"AAAAAF/X/Tc=")</f>
        <v>#REF!</v>
      </c>
      <c r="BE207" t="e">
        <f>AND(#REF!,"AAAAAF/X/Tg=")</f>
        <v>#REF!</v>
      </c>
      <c r="BF207" t="e">
        <f>AND(#REF!,"AAAAAF/X/Tk=")</f>
        <v>#REF!</v>
      </c>
      <c r="BG207" t="e">
        <f>AND(#REF!,"AAAAAF/X/To=")</f>
        <v>#REF!</v>
      </c>
      <c r="BH207" t="e">
        <f>AND(#REF!,"AAAAAF/X/Ts=")</f>
        <v>#REF!</v>
      </c>
      <c r="BI207" t="e">
        <f>AND(#REF!,"AAAAAF/X/Tw=")</f>
        <v>#REF!</v>
      </c>
      <c r="BJ207" t="e">
        <f>AND(#REF!,"AAAAAF/X/T0=")</f>
        <v>#REF!</v>
      </c>
      <c r="BK207" t="e">
        <f>AND(#REF!,"AAAAAF/X/T4=")</f>
        <v>#REF!</v>
      </c>
      <c r="BL207" t="e">
        <f>AND(#REF!,"AAAAAF/X/T8=")</f>
        <v>#REF!</v>
      </c>
      <c r="BM207" t="e">
        <f>AND(#REF!,"AAAAAF/X/UA=")</f>
        <v>#REF!</v>
      </c>
      <c r="BN207" t="e">
        <f>AND(#REF!,"AAAAAF/X/UE=")</f>
        <v>#REF!</v>
      </c>
      <c r="BO207" t="e">
        <f>AND(#REF!,"AAAAAF/X/UI=")</f>
        <v>#REF!</v>
      </c>
      <c r="BP207" t="e">
        <f>AND(#REF!,"AAAAAF/X/UM=")</f>
        <v>#REF!</v>
      </c>
      <c r="BQ207" t="e">
        <f>AND(#REF!,"AAAAAF/X/UQ=")</f>
        <v>#REF!</v>
      </c>
      <c r="BR207" t="e">
        <f>AND(#REF!,"AAAAAF/X/UU=")</f>
        <v>#REF!</v>
      </c>
      <c r="BS207" t="e">
        <f>AND(#REF!,"AAAAAF/X/UY=")</f>
        <v>#REF!</v>
      </c>
      <c r="BT207" t="e">
        <f>AND(#REF!,"AAAAAF/X/Uc=")</f>
        <v>#REF!</v>
      </c>
      <c r="BU207" t="e">
        <f>AND(#REF!,"AAAAAF/X/Ug=")</f>
        <v>#REF!</v>
      </c>
      <c r="BV207" t="e">
        <f>AND(#REF!,"AAAAAF/X/Uk=")</f>
        <v>#REF!</v>
      </c>
      <c r="BW207" t="e">
        <f>AND(#REF!,"AAAAAF/X/Uo=")</f>
        <v>#REF!</v>
      </c>
      <c r="BX207" t="e">
        <f>AND(#REF!,"AAAAAF/X/Us=")</f>
        <v>#REF!</v>
      </c>
      <c r="BY207" t="e">
        <f>AND(#REF!,"AAAAAF/X/Uw=")</f>
        <v>#REF!</v>
      </c>
      <c r="BZ207" t="e">
        <f>AND(#REF!,"AAAAAF/X/U0=")</f>
        <v>#REF!</v>
      </c>
      <c r="CA207" t="e">
        <f>AND(#REF!,"AAAAAF/X/U4=")</f>
        <v>#REF!</v>
      </c>
      <c r="CB207" t="e">
        <f>AND(#REF!,"AAAAAF/X/U8=")</f>
        <v>#REF!</v>
      </c>
      <c r="CC207" t="e">
        <f>AND(#REF!,"AAAAAF/X/VA=")</f>
        <v>#REF!</v>
      </c>
      <c r="CD207" t="e">
        <f>AND(#REF!,"AAAAAF/X/VE=")</f>
        <v>#REF!</v>
      </c>
      <c r="CE207" t="e">
        <f>AND(#REF!,"AAAAAF/X/VI=")</f>
        <v>#REF!</v>
      </c>
      <c r="CF207" t="e">
        <f>AND(#REF!,"AAAAAF/X/VM=")</f>
        <v>#REF!</v>
      </c>
      <c r="CG207" t="e">
        <f>AND(#REF!,"AAAAAF/X/VQ=")</f>
        <v>#REF!</v>
      </c>
      <c r="CH207" t="e">
        <f>AND(#REF!,"AAAAAF/X/VU=")</f>
        <v>#REF!</v>
      </c>
      <c r="CI207" t="e">
        <f>AND(#REF!,"AAAAAF/X/VY=")</f>
        <v>#REF!</v>
      </c>
      <c r="CJ207" t="e">
        <f>IF(#REF!,"AAAAAF/X/Vc=",0)</f>
        <v>#REF!</v>
      </c>
      <c r="CK207" t="e">
        <f>AND(#REF!,"AAAAAF/X/Vg=")</f>
        <v>#REF!</v>
      </c>
      <c r="CL207" t="e">
        <f>AND(#REF!,"AAAAAF/X/Vk=")</f>
        <v>#REF!</v>
      </c>
      <c r="CM207" t="e">
        <f>AND(#REF!,"AAAAAF/X/Vo=")</f>
        <v>#REF!</v>
      </c>
      <c r="CN207" t="e">
        <f>AND(#REF!,"AAAAAF/X/Vs=")</f>
        <v>#REF!</v>
      </c>
      <c r="CO207" t="e">
        <f>AND(#REF!,"AAAAAF/X/Vw=")</f>
        <v>#REF!</v>
      </c>
      <c r="CP207" t="e">
        <f>AND(#REF!,"AAAAAF/X/V0=")</f>
        <v>#REF!</v>
      </c>
      <c r="CQ207" t="e">
        <f>AND(#REF!,"AAAAAF/X/V4=")</f>
        <v>#REF!</v>
      </c>
      <c r="CR207" t="e">
        <f>AND(#REF!,"AAAAAF/X/V8=")</f>
        <v>#REF!</v>
      </c>
      <c r="CS207" t="e">
        <f>AND(#REF!,"AAAAAF/X/WA=")</f>
        <v>#REF!</v>
      </c>
      <c r="CT207" t="e">
        <f>AND(#REF!,"AAAAAF/X/WE=")</f>
        <v>#REF!</v>
      </c>
      <c r="CU207" t="e">
        <f>AND(#REF!,"AAAAAF/X/WI=")</f>
        <v>#REF!</v>
      </c>
      <c r="CV207" t="e">
        <f>AND(#REF!,"AAAAAF/X/WM=")</f>
        <v>#REF!</v>
      </c>
      <c r="CW207" t="e">
        <f>AND(#REF!,"AAAAAF/X/WQ=")</f>
        <v>#REF!</v>
      </c>
      <c r="CX207" t="e">
        <f>AND(#REF!,"AAAAAF/X/WU=")</f>
        <v>#REF!</v>
      </c>
      <c r="CY207" t="e">
        <f>AND(#REF!,"AAAAAF/X/WY=")</f>
        <v>#REF!</v>
      </c>
      <c r="CZ207" t="e">
        <f>AND(#REF!,"AAAAAF/X/Wc=")</f>
        <v>#REF!</v>
      </c>
      <c r="DA207" t="e">
        <f>AND(#REF!,"AAAAAF/X/Wg=")</f>
        <v>#REF!</v>
      </c>
      <c r="DB207" t="e">
        <f>AND(#REF!,"AAAAAF/X/Wk=")</f>
        <v>#REF!</v>
      </c>
      <c r="DC207" t="e">
        <f>AND(#REF!,"AAAAAF/X/Wo=")</f>
        <v>#REF!</v>
      </c>
      <c r="DD207" t="e">
        <f>AND(#REF!,"AAAAAF/X/Ws=")</f>
        <v>#REF!</v>
      </c>
      <c r="DE207" t="e">
        <f>AND(#REF!,"AAAAAF/X/Ww=")</f>
        <v>#REF!</v>
      </c>
      <c r="DF207" t="e">
        <f>AND(#REF!,"AAAAAF/X/W0=")</f>
        <v>#REF!</v>
      </c>
      <c r="DG207" t="e">
        <f>AND(#REF!,"AAAAAF/X/W4=")</f>
        <v>#REF!</v>
      </c>
      <c r="DH207" t="e">
        <f>AND(#REF!,"AAAAAF/X/W8=")</f>
        <v>#REF!</v>
      </c>
      <c r="DI207" t="e">
        <f>AND(#REF!,"AAAAAF/X/XA=")</f>
        <v>#REF!</v>
      </c>
      <c r="DJ207" t="e">
        <f>AND(#REF!,"AAAAAF/X/XE=")</f>
        <v>#REF!</v>
      </c>
      <c r="DK207" t="e">
        <f>AND(#REF!,"AAAAAF/X/XI=")</f>
        <v>#REF!</v>
      </c>
      <c r="DL207" t="e">
        <f>AND(#REF!,"AAAAAF/X/XM=")</f>
        <v>#REF!</v>
      </c>
      <c r="DM207" t="e">
        <f>AND(#REF!,"AAAAAF/X/XQ=")</f>
        <v>#REF!</v>
      </c>
      <c r="DN207" t="e">
        <f>AND(#REF!,"AAAAAF/X/XU=")</f>
        <v>#REF!</v>
      </c>
      <c r="DO207" t="e">
        <f>AND(#REF!,"AAAAAF/X/XY=")</f>
        <v>#REF!</v>
      </c>
      <c r="DP207" t="e">
        <f>AND(#REF!,"AAAAAF/X/Xc=")</f>
        <v>#REF!</v>
      </c>
      <c r="DQ207" t="e">
        <f>AND(#REF!,"AAAAAF/X/Xg=")</f>
        <v>#REF!</v>
      </c>
      <c r="DR207" t="e">
        <f>IF(#REF!,"AAAAAF/X/Xk=",0)</f>
        <v>#REF!</v>
      </c>
      <c r="DS207" t="e">
        <f>AND(#REF!,"AAAAAF/X/Xo=")</f>
        <v>#REF!</v>
      </c>
      <c r="DT207" t="e">
        <f>AND(#REF!,"AAAAAF/X/Xs=")</f>
        <v>#REF!</v>
      </c>
      <c r="DU207" t="e">
        <f>AND(#REF!,"AAAAAF/X/Xw=")</f>
        <v>#REF!</v>
      </c>
      <c r="DV207" t="e">
        <f>AND(#REF!,"AAAAAF/X/X0=")</f>
        <v>#REF!</v>
      </c>
      <c r="DW207" t="e">
        <f>AND(#REF!,"AAAAAF/X/X4=")</f>
        <v>#REF!</v>
      </c>
      <c r="DX207" t="e">
        <f>AND(#REF!,"AAAAAF/X/X8=")</f>
        <v>#REF!</v>
      </c>
      <c r="DY207" t="e">
        <f>AND(#REF!,"AAAAAF/X/YA=")</f>
        <v>#REF!</v>
      </c>
      <c r="DZ207" t="e">
        <f>AND(#REF!,"AAAAAF/X/YE=")</f>
        <v>#REF!</v>
      </c>
      <c r="EA207" t="e">
        <f>AND(#REF!,"AAAAAF/X/YI=")</f>
        <v>#REF!</v>
      </c>
      <c r="EB207" t="e">
        <f>AND(#REF!,"AAAAAF/X/YM=")</f>
        <v>#REF!</v>
      </c>
      <c r="EC207" t="e">
        <f>AND(#REF!,"AAAAAF/X/YQ=")</f>
        <v>#REF!</v>
      </c>
      <c r="ED207" t="e">
        <f>AND(#REF!,"AAAAAF/X/YU=")</f>
        <v>#REF!</v>
      </c>
      <c r="EE207" t="e">
        <f>AND(#REF!,"AAAAAF/X/YY=")</f>
        <v>#REF!</v>
      </c>
      <c r="EF207" t="e">
        <f>AND(#REF!,"AAAAAF/X/Yc=")</f>
        <v>#REF!</v>
      </c>
      <c r="EG207" t="e">
        <f>AND(#REF!,"AAAAAF/X/Yg=")</f>
        <v>#REF!</v>
      </c>
      <c r="EH207" t="e">
        <f>AND(#REF!,"AAAAAF/X/Yk=")</f>
        <v>#REF!</v>
      </c>
      <c r="EI207" t="e">
        <f>AND(#REF!,"AAAAAF/X/Yo=")</f>
        <v>#REF!</v>
      </c>
      <c r="EJ207" t="e">
        <f>AND(#REF!,"AAAAAF/X/Ys=")</f>
        <v>#REF!</v>
      </c>
      <c r="EK207" t="e">
        <f>AND(#REF!,"AAAAAF/X/Yw=")</f>
        <v>#REF!</v>
      </c>
      <c r="EL207" t="e">
        <f>AND(#REF!,"AAAAAF/X/Y0=")</f>
        <v>#REF!</v>
      </c>
      <c r="EM207" t="e">
        <f>AND(#REF!,"AAAAAF/X/Y4=")</f>
        <v>#REF!</v>
      </c>
      <c r="EN207" t="e">
        <f>AND(#REF!,"AAAAAF/X/Y8=")</f>
        <v>#REF!</v>
      </c>
      <c r="EO207" t="e">
        <f>AND(#REF!,"AAAAAF/X/ZA=")</f>
        <v>#REF!</v>
      </c>
      <c r="EP207" t="e">
        <f>AND(#REF!,"AAAAAF/X/ZE=")</f>
        <v>#REF!</v>
      </c>
      <c r="EQ207" t="e">
        <f>AND(#REF!,"AAAAAF/X/ZI=")</f>
        <v>#REF!</v>
      </c>
      <c r="ER207" t="e">
        <f>AND(#REF!,"AAAAAF/X/ZM=")</f>
        <v>#REF!</v>
      </c>
      <c r="ES207" t="e">
        <f>AND(#REF!,"AAAAAF/X/ZQ=")</f>
        <v>#REF!</v>
      </c>
      <c r="ET207" t="e">
        <f>AND(#REF!,"AAAAAF/X/ZU=")</f>
        <v>#REF!</v>
      </c>
      <c r="EU207" t="e">
        <f>AND(#REF!,"AAAAAF/X/ZY=")</f>
        <v>#REF!</v>
      </c>
      <c r="EV207" t="e">
        <f>AND(#REF!,"AAAAAF/X/Zc=")</f>
        <v>#REF!</v>
      </c>
      <c r="EW207" t="e">
        <f>AND(#REF!,"AAAAAF/X/Zg=")</f>
        <v>#REF!</v>
      </c>
      <c r="EX207" t="e">
        <f>AND(#REF!,"AAAAAF/X/Zk=")</f>
        <v>#REF!</v>
      </c>
      <c r="EY207" t="e">
        <f>AND(#REF!,"AAAAAF/X/Zo=")</f>
        <v>#REF!</v>
      </c>
      <c r="EZ207" t="e">
        <f>IF(#REF!,"AAAAAF/X/Zs=",0)</f>
        <v>#REF!</v>
      </c>
      <c r="FA207" t="e">
        <f>AND(#REF!,"AAAAAF/X/Zw=")</f>
        <v>#REF!</v>
      </c>
      <c r="FB207" t="e">
        <f>AND(#REF!,"AAAAAF/X/Z0=")</f>
        <v>#REF!</v>
      </c>
      <c r="FC207" t="e">
        <f>AND(#REF!,"AAAAAF/X/Z4=")</f>
        <v>#REF!</v>
      </c>
      <c r="FD207" t="e">
        <f>AND(#REF!,"AAAAAF/X/Z8=")</f>
        <v>#REF!</v>
      </c>
      <c r="FE207" t="e">
        <f>AND(#REF!,"AAAAAF/X/aA=")</f>
        <v>#REF!</v>
      </c>
      <c r="FF207" t="e">
        <f>AND(#REF!,"AAAAAF/X/aE=")</f>
        <v>#REF!</v>
      </c>
      <c r="FG207" t="e">
        <f>AND(#REF!,"AAAAAF/X/aI=")</f>
        <v>#REF!</v>
      </c>
      <c r="FH207" t="e">
        <f>AND(#REF!,"AAAAAF/X/aM=")</f>
        <v>#REF!</v>
      </c>
      <c r="FI207" t="e">
        <f>AND(#REF!,"AAAAAF/X/aQ=")</f>
        <v>#REF!</v>
      </c>
      <c r="FJ207" t="e">
        <f>AND(#REF!,"AAAAAF/X/aU=")</f>
        <v>#REF!</v>
      </c>
      <c r="FK207" t="e">
        <f>AND(#REF!,"AAAAAF/X/aY=")</f>
        <v>#REF!</v>
      </c>
      <c r="FL207" t="e">
        <f>AND(#REF!,"AAAAAF/X/ac=")</f>
        <v>#REF!</v>
      </c>
      <c r="FM207" t="e">
        <f>AND(#REF!,"AAAAAF/X/ag=")</f>
        <v>#REF!</v>
      </c>
      <c r="FN207" t="e">
        <f>AND(#REF!,"AAAAAF/X/ak=")</f>
        <v>#REF!</v>
      </c>
      <c r="FO207" t="e">
        <f>AND(#REF!,"AAAAAF/X/ao=")</f>
        <v>#REF!</v>
      </c>
      <c r="FP207" t="e">
        <f>AND(#REF!,"AAAAAF/X/as=")</f>
        <v>#REF!</v>
      </c>
      <c r="FQ207" t="e">
        <f>AND(#REF!,"AAAAAF/X/aw=")</f>
        <v>#REF!</v>
      </c>
      <c r="FR207" t="e">
        <f>AND(#REF!,"AAAAAF/X/a0=")</f>
        <v>#REF!</v>
      </c>
      <c r="FS207" t="e">
        <f>AND(#REF!,"AAAAAF/X/a4=")</f>
        <v>#REF!</v>
      </c>
      <c r="FT207" t="e">
        <f>AND(#REF!,"AAAAAF/X/a8=")</f>
        <v>#REF!</v>
      </c>
      <c r="FU207" t="e">
        <f>AND(#REF!,"AAAAAF/X/bA=")</f>
        <v>#REF!</v>
      </c>
      <c r="FV207" t="e">
        <f>AND(#REF!,"AAAAAF/X/bE=")</f>
        <v>#REF!</v>
      </c>
      <c r="FW207" t="e">
        <f>AND(#REF!,"AAAAAF/X/bI=")</f>
        <v>#REF!</v>
      </c>
      <c r="FX207" t="e">
        <f>AND(#REF!,"AAAAAF/X/bM=")</f>
        <v>#REF!</v>
      </c>
      <c r="FY207" t="e">
        <f>AND(#REF!,"AAAAAF/X/bQ=")</f>
        <v>#REF!</v>
      </c>
      <c r="FZ207" t="e">
        <f>AND(#REF!,"AAAAAF/X/bU=")</f>
        <v>#REF!</v>
      </c>
      <c r="GA207" t="e">
        <f>AND(#REF!,"AAAAAF/X/bY=")</f>
        <v>#REF!</v>
      </c>
      <c r="GB207" t="e">
        <f>AND(#REF!,"AAAAAF/X/bc=")</f>
        <v>#REF!</v>
      </c>
      <c r="GC207" t="e">
        <f>AND(#REF!,"AAAAAF/X/bg=")</f>
        <v>#REF!</v>
      </c>
      <c r="GD207" t="e">
        <f>AND(#REF!,"AAAAAF/X/bk=")</f>
        <v>#REF!</v>
      </c>
      <c r="GE207" t="e">
        <f>AND(#REF!,"AAAAAF/X/bo=")</f>
        <v>#REF!</v>
      </c>
      <c r="GF207" t="e">
        <f>AND(#REF!,"AAAAAF/X/bs=")</f>
        <v>#REF!</v>
      </c>
      <c r="GG207" t="e">
        <f>AND(#REF!,"AAAAAF/X/bw=")</f>
        <v>#REF!</v>
      </c>
      <c r="GH207" t="e">
        <f>IF(#REF!,"AAAAAF/X/b0=",0)</f>
        <v>#REF!</v>
      </c>
      <c r="GI207" t="e">
        <f>AND(#REF!,"AAAAAF/X/b4=")</f>
        <v>#REF!</v>
      </c>
      <c r="GJ207" t="e">
        <f>AND(#REF!,"AAAAAF/X/b8=")</f>
        <v>#REF!</v>
      </c>
      <c r="GK207" t="e">
        <f>AND(#REF!,"AAAAAF/X/cA=")</f>
        <v>#REF!</v>
      </c>
      <c r="GL207" t="e">
        <f>AND(#REF!,"AAAAAF/X/cE=")</f>
        <v>#REF!</v>
      </c>
      <c r="GM207" t="e">
        <f>AND(#REF!,"AAAAAF/X/cI=")</f>
        <v>#REF!</v>
      </c>
      <c r="GN207" t="e">
        <f>AND(#REF!,"AAAAAF/X/cM=")</f>
        <v>#REF!</v>
      </c>
      <c r="GO207" t="e">
        <f>AND(#REF!,"AAAAAF/X/cQ=")</f>
        <v>#REF!</v>
      </c>
      <c r="GP207" t="e">
        <f>AND(#REF!,"AAAAAF/X/cU=")</f>
        <v>#REF!</v>
      </c>
      <c r="GQ207" t="e">
        <f>AND(#REF!,"AAAAAF/X/cY=")</f>
        <v>#REF!</v>
      </c>
      <c r="GR207" t="e">
        <f>AND(#REF!,"AAAAAF/X/cc=")</f>
        <v>#REF!</v>
      </c>
      <c r="GS207" t="e">
        <f>AND(#REF!,"AAAAAF/X/cg=")</f>
        <v>#REF!</v>
      </c>
      <c r="GT207" t="e">
        <f>AND(#REF!,"AAAAAF/X/ck=")</f>
        <v>#REF!</v>
      </c>
      <c r="GU207" t="e">
        <f>AND(#REF!,"AAAAAF/X/co=")</f>
        <v>#REF!</v>
      </c>
      <c r="GV207" t="e">
        <f>AND(#REF!,"AAAAAF/X/cs=")</f>
        <v>#REF!</v>
      </c>
      <c r="GW207" t="e">
        <f>AND(#REF!,"AAAAAF/X/cw=")</f>
        <v>#REF!</v>
      </c>
      <c r="GX207" t="e">
        <f>AND(#REF!,"AAAAAF/X/c0=")</f>
        <v>#REF!</v>
      </c>
      <c r="GY207" t="e">
        <f>AND(#REF!,"AAAAAF/X/c4=")</f>
        <v>#REF!</v>
      </c>
      <c r="GZ207" t="e">
        <f>AND(#REF!,"AAAAAF/X/c8=")</f>
        <v>#REF!</v>
      </c>
      <c r="HA207" t="e">
        <f>AND(#REF!,"AAAAAF/X/dA=")</f>
        <v>#REF!</v>
      </c>
      <c r="HB207" t="e">
        <f>AND(#REF!,"AAAAAF/X/dE=")</f>
        <v>#REF!</v>
      </c>
      <c r="HC207" t="e">
        <f>AND(#REF!,"AAAAAF/X/dI=")</f>
        <v>#REF!</v>
      </c>
      <c r="HD207" t="e">
        <f>AND(#REF!,"AAAAAF/X/dM=")</f>
        <v>#REF!</v>
      </c>
      <c r="HE207" t="e">
        <f>AND(#REF!,"AAAAAF/X/dQ=")</f>
        <v>#REF!</v>
      </c>
      <c r="HF207" t="e">
        <f>AND(#REF!,"AAAAAF/X/dU=")</f>
        <v>#REF!</v>
      </c>
      <c r="HG207" t="e">
        <f>AND(#REF!,"AAAAAF/X/dY=")</f>
        <v>#REF!</v>
      </c>
      <c r="HH207" t="e">
        <f>AND(#REF!,"AAAAAF/X/dc=")</f>
        <v>#REF!</v>
      </c>
      <c r="HI207" t="e">
        <f>AND(#REF!,"AAAAAF/X/dg=")</f>
        <v>#REF!</v>
      </c>
      <c r="HJ207" t="e">
        <f>AND(#REF!,"AAAAAF/X/dk=")</f>
        <v>#REF!</v>
      </c>
      <c r="HK207" t="e">
        <f>AND(#REF!,"AAAAAF/X/do=")</f>
        <v>#REF!</v>
      </c>
      <c r="HL207" t="e">
        <f>AND(#REF!,"AAAAAF/X/ds=")</f>
        <v>#REF!</v>
      </c>
      <c r="HM207" t="e">
        <f>AND(#REF!,"AAAAAF/X/dw=")</f>
        <v>#REF!</v>
      </c>
      <c r="HN207" t="e">
        <f>AND(#REF!,"AAAAAF/X/d0=")</f>
        <v>#REF!</v>
      </c>
      <c r="HO207" t="e">
        <f>AND(#REF!,"AAAAAF/X/d4=")</f>
        <v>#REF!</v>
      </c>
      <c r="HP207" t="e">
        <f>IF(#REF!,"AAAAAF/X/d8=",0)</f>
        <v>#REF!</v>
      </c>
      <c r="HQ207" t="e">
        <f>AND(#REF!,"AAAAAF/X/eA=")</f>
        <v>#REF!</v>
      </c>
      <c r="HR207" t="e">
        <f>AND(#REF!,"AAAAAF/X/eE=")</f>
        <v>#REF!</v>
      </c>
      <c r="HS207" t="e">
        <f>AND(#REF!,"AAAAAF/X/eI=")</f>
        <v>#REF!</v>
      </c>
      <c r="HT207" t="e">
        <f>AND(#REF!,"AAAAAF/X/eM=")</f>
        <v>#REF!</v>
      </c>
      <c r="HU207" t="e">
        <f>AND(#REF!,"AAAAAF/X/eQ=")</f>
        <v>#REF!</v>
      </c>
      <c r="HV207" t="e">
        <f>AND(#REF!,"AAAAAF/X/eU=")</f>
        <v>#REF!</v>
      </c>
      <c r="HW207" t="e">
        <f>AND(#REF!,"AAAAAF/X/eY=")</f>
        <v>#REF!</v>
      </c>
      <c r="HX207" t="e">
        <f>AND(#REF!,"AAAAAF/X/ec=")</f>
        <v>#REF!</v>
      </c>
      <c r="HY207" t="e">
        <f>AND(#REF!,"AAAAAF/X/eg=")</f>
        <v>#REF!</v>
      </c>
      <c r="HZ207" t="e">
        <f>AND(#REF!,"AAAAAF/X/ek=")</f>
        <v>#REF!</v>
      </c>
      <c r="IA207" t="e">
        <f>AND(#REF!,"AAAAAF/X/eo=")</f>
        <v>#REF!</v>
      </c>
      <c r="IB207" t="e">
        <f>AND(#REF!,"AAAAAF/X/es=")</f>
        <v>#REF!</v>
      </c>
      <c r="IC207" t="e">
        <f>AND(#REF!,"AAAAAF/X/ew=")</f>
        <v>#REF!</v>
      </c>
      <c r="ID207" t="e">
        <f>AND(#REF!,"AAAAAF/X/e0=")</f>
        <v>#REF!</v>
      </c>
      <c r="IE207" t="e">
        <f>AND(#REF!,"AAAAAF/X/e4=")</f>
        <v>#REF!</v>
      </c>
      <c r="IF207" t="e">
        <f>AND(#REF!,"AAAAAF/X/e8=")</f>
        <v>#REF!</v>
      </c>
      <c r="IG207" t="e">
        <f>AND(#REF!,"AAAAAF/X/fA=")</f>
        <v>#REF!</v>
      </c>
      <c r="IH207" t="e">
        <f>AND(#REF!,"AAAAAF/X/fE=")</f>
        <v>#REF!</v>
      </c>
      <c r="II207" t="e">
        <f>AND(#REF!,"AAAAAF/X/fI=")</f>
        <v>#REF!</v>
      </c>
      <c r="IJ207" t="e">
        <f>AND(#REF!,"AAAAAF/X/fM=")</f>
        <v>#REF!</v>
      </c>
      <c r="IK207" t="e">
        <f>AND(#REF!,"AAAAAF/X/fQ=")</f>
        <v>#REF!</v>
      </c>
      <c r="IL207" t="e">
        <f>AND(#REF!,"AAAAAF/X/fU=")</f>
        <v>#REF!</v>
      </c>
      <c r="IM207" t="e">
        <f>AND(#REF!,"AAAAAF/X/fY=")</f>
        <v>#REF!</v>
      </c>
      <c r="IN207" t="e">
        <f>AND(#REF!,"AAAAAF/X/fc=")</f>
        <v>#REF!</v>
      </c>
      <c r="IO207" t="e">
        <f>AND(#REF!,"AAAAAF/X/fg=")</f>
        <v>#REF!</v>
      </c>
      <c r="IP207" t="e">
        <f>AND(#REF!,"AAAAAF/X/fk=")</f>
        <v>#REF!</v>
      </c>
      <c r="IQ207" t="e">
        <f>AND(#REF!,"AAAAAF/X/fo=")</f>
        <v>#REF!</v>
      </c>
      <c r="IR207" t="e">
        <f>AND(#REF!,"AAAAAF/X/fs=")</f>
        <v>#REF!</v>
      </c>
      <c r="IS207" t="e">
        <f>AND(#REF!,"AAAAAF/X/fw=")</f>
        <v>#REF!</v>
      </c>
      <c r="IT207" t="e">
        <f>AND(#REF!,"AAAAAF/X/f0=")</f>
        <v>#REF!</v>
      </c>
      <c r="IU207" t="e">
        <f>AND(#REF!,"AAAAAF/X/f4=")</f>
        <v>#REF!</v>
      </c>
      <c r="IV207" t="e">
        <f>AND(#REF!,"AAAAAF/X/f8=")</f>
        <v>#REF!</v>
      </c>
    </row>
    <row r="208" spans="1:256" x14ac:dyDescent="0.2">
      <c r="A208" t="e">
        <f>AND(#REF!,"AAAAAH3n/QA=")</f>
        <v>#REF!</v>
      </c>
      <c r="B208" t="e">
        <f>IF(#REF!,"AAAAAH3n/QE=",0)</f>
        <v>#REF!</v>
      </c>
      <c r="C208" t="e">
        <f>AND(#REF!,"AAAAAH3n/QI=")</f>
        <v>#REF!</v>
      </c>
      <c r="D208" t="e">
        <f>AND(#REF!,"AAAAAH3n/QM=")</f>
        <v>#REF!</v>
      </c>
      <c r="E208" t="e">
        <f>AND(#REF!,"AAAAAH3n/QQ=")</f>
        <v>#REF!</v>
      </c>
      <c r="F208" t="e">
        <f>AND(#REF!,"AAAAAH3n/QU=")</f>
        <v>#REF!</v>
      </c>
      <c r="G208" t="e">
        <f>AND(#REF!,"AAAAAH3n/QY=")</f>
        <v>#REF!</v>
      </c>
      <c r="H208" t="e">
        <f>AND(#REF!,"AAAAAH3n/Qc=")</f>
        <v>#REF!</v>
      </c>
      <c r="I208" t="e">
        <f>AND(#REF!,"AAAAAH3n/Qg=")</f>
        <v>#REF!</v>
      </c>
      <c r="J208" t="e">
        <f>AND(#REF!,"AAAAAH3n/Qk=")</f>
        <v>#REF!</v>
      </c>
      <c r="K208" t="e">
        <f>AND(#REF!,"AAAAAH3n/Qo=")</f>
        <v>#REF!</v>
      </c>
      <c r="L208" t="e">
        <f>AND(#REF!,"AAAAAH3n/Qs=")</f>
        <v>#REF!</v>
      </c>
      <c r="M208" t="e">
        <f>AND(#REF!,"AAAAAH3n/Qw=")</f>
        <v>#REF!</v>
      </c>
      <c r="N208" t="e">
        <f>AND(#REF!,"AAAAAH3n/Q0=")</f>
        <v>#REF!</v>
      </c>
      <c r="O208" t="e">
        <f>AND(#REF!,"AAAAAH3n/Q4=")</f>
        <v>#REF!</v>
      </c>
      <c r="P208" t="e">
        <f>AND(#REF!,"AAAAAH3n/Q8=")</f>
        <v>#REF!</v>
      </c>
      <c r="Q208" t="e">
        <f>AND(#REF!,"AAAAAH3n/RA=")</f>
        <v>#REF!</v>
      </c>
      <c r="R208" t="e">
        <f>AND(#REF!,"AAAAAH3n/RE=")</f>
        <v>#REF!</v>
      </c>
      <c r="S208" t="e">
        <f>AND(#REF!,"AAAAAH3n/RI=")</f>
        <v>#REF!</v>
      </c>
      <c r="T208" t="e">
        <f>AND(#REF!,"AAAAAH3n/RM=")</f>
        <v>#REF!</v>
      </c>
      <c r="U208" t="e">
        <f>AND(#REF!,"AAAAAH3n/RQ=")</f>
        <v>#REF!</v>
      </c>
      <c r="V208" t="e">
        <f>AND(#REF!,"AAAAAH3n/RU=")</f>
        <v>#REF!</v>
      </c>
      <c r="W208" t="e">
        <f>AND(#REF!,"AAAAAH3n/RY=")</f>
        <v>#REF!</v>
      </c>
      <c r="X208" t="e">
        <f>AND(#REF!,"AAAAAH3n/Rc=")</f>
        <v>#REF!</v>
      </c>
      <c r="Y208" t="e">
        <f>AND(#REF!,"AAAAAH3n/Rg=")</f>
        <v>#REF!</v>
      </c>
      <c r="Z208" t="e">
        <f>AND(#REF!,"AAAAAH3n/Rk=")</f>
        <v>#REF!</v>
      </c>
      <c r="AA208" t="e">
        <f>AND(#REF!,"AAAAAH3n/Ro=")</f>
        <v>#REF!</v>
      </c>
      <c r="AB208" t="e">
        <f>AND(#REF!,"AAAAAH3n/Rs=")</f>
        <v>#REF!</v>
      </c>
      <c r="AC208" t="e">
        <f>AND(#REF!,"AAAAAH3n/Rw=")</f>
        <v>#REF!</v>
      </c>
      <c r="AD208" t="e">
        <f>AND(#REF!,"AAAAAH3n/R0=")</f>
        <v>#REF!</v>
      </c>
      <c r="AE208" t="e">
        <f>AND(#REF!,"AAAAAH3n/R4=")</f>
        <v>#REF!</v>
      </c>
      <c r="AF208" t="e">
        <f>AND(#REF!,"AAAAAH3n/R8=")</f>
        <v>#REF!</v>
      </c>
      <c r="AG208" t="e">
        <f>AND(#REF!,"AAAAAH3n/SA=")</f>
        <v>#REF!</v>
      </c>
      <c r="AH208" t="e">
        <f>AND(#REF!,"AAAAAH3n/SE=")</f>
        <v>#REF!</v>
      </c>
      <c r="AI208" t="e">
        <f>AND(#REF!,"AAAAAH3n/SI=")</f>
        <v>#REF!</v>
      </c>
      <c r="AJ208" t="e">
        <f>IF(#REF!,"AAAAAH3n/SM=",0)</f>
        <v>#REF!</v>
      </c>
      <c r="AK208" t="e">
        <f>AND(#REF!,"AAAAAH3n/SQ=")</f>
        <v>#REF!</v>
      </c>
      <c r="AL208" t="e">
        <f>AND(#REF!,"AAAAAH3n/SU=")</f>
        <v>#REF!</v>
      </c>
      <c r="AM208" t="e">
        <f>AND(#REF!,"AAAAAH3n/SY=")</f>
        <v>#REF!</v>
      </c>
      <c r="AN208" t="e">
        <f>AND(#REF!,"AAAAAH3n/Sc=")</f>
        <v>#REF!</v>
      </c>
      <c r="AO208" t="e">
        <f>AND(#REF!,"AAAAAH3n/Sg=")</f>
        <v>#REF!</v>
      </c>
      <c r="AP208" t="e">
        <f>AND(#REF!,"AAAAAH3n/Sk=")</f>
        <v>#REF!</v>
      </c>
      <c r="AQ208" t="e">
        <f>AND(#REF!,"AAAAAH3n/So=")</f>
        <v>#REF!</v>
      </c>
      <c r="AR208" t="e">
        <f>AND(#REF!,"AAAAAH3n/Ss=")</f>
        <v>#REF!</v>
      </c>
      <c r="AS208" t="e">
        <f>AND(#REF!,"AAAAAH3n/Sw=")</f>
        <v>#REF!</v>
      </c>
      <c r="AT208" t="e">
        <f>AND(#REF!,"AAAAAH3n/S0=")</f>
        <v>#REF!</v>
      </c>
      <c r="AU208" t="e">
        <f>AND(#REF!,"AAAAAH3n/S4=")</f>
        <v>#REF!</v>
      </c>
      <c r="AV208" t="e">
        <f>AND(#REF!,"AAAAAH3n/S8=")</f>
        <v>#REF!</v>
      </c>
      <c r="AW208" t="e">
        <f>AND(#REF!,"AAAAAH3n/TA=")</f>
        <v>#REF!</v>
      </c>
      <c r="AX208" t="e">
        <f>AND(#REF!,"AAAAAH3n/TE=")</f>
        <v>#REF!</v>
      </c>
      <c r="AY208" t="e">
        <f>AND(#REF!,"AAAAAH3n/TI=")</f>
        <v>#REF!</v>
      </c>
      <c r="AZ208" t="e">
        <f>AND(#REF!,"AAAAAH3n/TM=")</f>
        <v>#REF!</v>
      </c>
      <c r="BA208" t="e">
        <f>AND(#REF!,"AAAAAH3n/TQ=")</f>
        <v>#REF!</v>
      </c>
      <c r="BB208" t="e">
        <f>AND(#REF!,"AAAAAH3n/TU=")</f>
        <v>#REF!</v>
      </c>
      <c r="BC208" t="e">
        <f>AND(#REF!,"AAAAAH3n/TY=")</f>
        <v>#REF!</v>
      </c>
      <c r="BD208" t="e">
        <f>AND(#REF!,"AAAAAH3n/Tc=")</f>
        <v>#REF!</v>
      </c>
      <c r="BE208" t="e">
        <f>AND(#REF!,"AAAAAH3n/Tg=")</f>
        <v>#REF!</v>
      </c>
      <c r="BF208" t="e">
        <f>AND(#REF!,"AAAAAH3n/Tk=")</f>
        <v>#REF!</v>
      </c>
      <c r="BG208" t="e">
        <f>AND(#REF!,"AAAAAH3n/To=")</f>
        <v>#REF!</v>
      </c>
      <c r="BH208" t="e">
        <f>AND(#REF!,"AAAAAH3n/Ts=")</f>
        <v>#REF!</v>
      </c>
      <c r="BI208" t="e">
        <f>AND(#REF!,"AAAAAH3n/Tw=")</f>
        <v>#REF!</v>
      </c>
      <c r="BJ208" t="e">
        <f>AND(#REF!,"AAAAAH3n/T0=")</f>
        <v>#REF!</v>
      </c>
      <c r="BK208" t="e">
        <f>AND(#REF!,"AAAAAH3n/T4=")</f>
        <v>#REF!</v>
      </c>
      <c r="BL208" t="e">
        <f>AND(#REF!,"AAAAAH3n/T8=")</f>
        <v>#REF!</v>
      </c>
      <c r="BM208" t="e">
        <f>AND(#REF!,"AAAAAH3n/UA=")</f>
        <v>#REF!</v>
      </c>
      <c r="BN208" t="e">
        <f>AND(#REF!,"AAAAAH3n/UE=")</f>
        <v>#REF!</v>
      </c>
      <c r="BO208" t="e">
        <f>AND(#REF!,"AAAAAH3n/UI=")</f>
        <v>#REF!</v>
      </c>
      <c r="BP208" t="e">
        <f>AND(#REF!,"AAAAAH3n/UM=")</f>
        <v>#REF!</v>
      </c>
      <c r="BQ208" t="e">
        <f>AND(#REF!,"AAAAAH3n/UQ=")</f>
        <v>#REF!</v>
      </c>
      <c r="BR208" t="e">
        <f>IF(#REF!,"AAAAAH3n/UU=",0)</f>
        <v>#REF!</v>
      </c>
      <c r="BS208" t="e">
        <f>AND(#REF!,"AAAAAH3n/UY=")</f>
        <v>#REF!</v>
      </c>
      <c r="BT208" t="e">
        <f>AND(#REF!,"AAAAAH3n/Uc=")</f>
        <v>#REF!</v>
      </c>
      <c r="BU208" t="e">
        <f>AND(#REF!,"AAAAAH3n/Ug=")</f>
        <v>#REF!</v>
      </c>
      <c r="BV208" t="e">
        <f>AND(#REF!,"AAAAAH3n/Uk=")</f>
        <v>#REF!</v>
      </c>
      <c r="BW208" t="e">
        <f>AND(#REF!,"AAAAAH3n/Uo=")</f>
        <v>#REF!</v>
      </c>
      <c r="BX208" t="e">
        <f>AND(#REF!,"AAAAAH3n/Us=")</f>
        <v>#REF!</v>
      </c>
      <c r="BY208" t="e">
        <f>AND(#REF!,"AAAAAH3n/Uw=")</f>
        <v>#REF!</v>
      </c>
      <c r="BZ208" t="e">
        <f>AND(#REF!,"AAAAAH3n/U0=")</f>
        <v>#REF!</v>
      </c>
      <c r="CA208" t="e">
        <f>AND(#REF!,"AAAAAH3n/U4=")</f>
        <v>#REF!</v>
      </c>
      <c r="CB208" t="e">
        <f>AND(#REF!,"AAAAAH3n/U8=")</f>
        <v>#REF!</v>
      </c>
      <c r="CC208" t="e">
        <f>AND(#REF!,"AAAAAH3n/VA=")</f>
        <v>#REF!</v>
      </c>
      <c r="CD208" t="e">
        <f>AND(#REF!,"AAAAAH3n/VE=")</f>
        <v>#REF!</v>
      </c>
      <c r="CE208" t="e">
        <f>AND(#REF!,"AAAAAH3n/VI=")</f>
        <v>#REF!</v>
      </c>
      <c r="CF208" t="e">
        <f>AND(#REF!,"AAAAAH3n/VM=")</f>
        <v>#REF!</v>
      </c>
      <c r="CG208" t="e">
        <f>AND(#REF!,"AAAAAH3n/VQ=")</f>
        <v>#REF!</v>
      </c>
      <c r="CH208" t="e">
        <f>AND(#REF!,"AAAAAH3n/VU=")</f>
        <v>#REF!</v>
      </c>
      <c r="CI208" t="e">
        <f>AND(#REF!,"AAAAAH3n/VY=")</f>
        <v>#REF!</v>
      </c>
      <c r="CJ208" t="e">
        <f>AND(#REF!,"AAAAAH3n/Vc=")</f>
        <v>#REF!</v>
      </c>
      <c r="CK208" t="e">
        <f>AND(#REF!,"AAAAAH3n/Vg=")</f>
        <v>#REF!</v>
      </c>
      <c r="CL208" t="e">
        <f>AND(#REF!,"AAAAAH3n/Vk=")</f>
        <v>#REF!</v>
      </c>
      <c r="CM208" t="e">
        <f>AND(#REF!,"AAAAAH3n/Vo=")</f>
        <v>#REF!</v>
      </c>
      <c r="CN208" t="e">
        <f>AND(#REF!,"AAAAAH3n/Vs=")</f>
        <v>#REF!</v>
      </c>
      <c r="CO208" t="e">
        <f>AND(#REF!,"AAAAAH3n/Vw=")</f>
        <v>#REF!</v>
      </c>
      <c r="CP208" t="e">
        <f>AND(#REF!,"AAAAAH3n/V0=")</f>
        <v>#REF!</v>
      </c>
      <c r="CQ208" t="e">
        <f>AND(#REF!,"AAAAAH3n/V4=")</f>
        <v>#REF!</v>
      </c>
      <c r="CR208" t="e">
        <f>AND(#REF!,"AAAAAH3n/V8=")</f>
        <v>#REF!</v>
      </c>
      <c r="CS208" t="e">
        <f>AND(#REF!,"AAAAAH3n/WA=")</f>
        <v>#REF!</v>
      </c>
      <c r="CT208" t="e">
        <f>AND(#REF!,"AAAAAH3n/WE=")</f>
        <v>#REF!</v>
      </c>
      <c r="CU208" t="e">
        <f>AND(#REF!,"AAAAAH3n/WI=")</f>
        <v>#REF!</v>
      </c>
      <c r="CV208" t="e">
        <f>AND(#REF!,"AAAAAH3n/WM=")</f>
        <v>#REF!</v>
      </c>
      <c r="CW208" t="e">
        <f>AND(#REF!,"AAAAAH3n/WQ=")</f>
        <v>#REF!</v>
      </c>
      <c r="CX208" t="e">
        <f>AND(#REF!,"AAAAAH3n/WU=")</f>
        <v>#REF!</v>
      </c>
      <c r="CY208" t="e">
        <f>AND(#REF!,"AAAAAH3n/WY=")</f>
        <v>#REF!</v>
      </c>
      <c r="CZ208" t="e">
        <f>IF(#REF!,"AAAAAH3n/Wc=",0)</f>
        <v>#REF!</v>
      </c>
      <c r="DA208" t="e">
        <f>AND(#REF!,"AAAAAH3n/Wg=")</f>
        <v>#REF!</v>
      </c>
      <c r="DB208" t="e">
        <f>AND(#REF!,"AAAAAH3n/Wk=")</f>
        <v>#REF!</v>
      </c>
      <c r="DC208" t="e">
        <f>AND(#REF!,"AAAAAH3n/Wo=")</f>
        <v>#REF!</v>
      </c>
      <c r="DD208" t="e">
        <f>AND(#REF!,"AAAAAH3n/Ws=")</f>
        <v>#REF!</v>
      </c>
      <c r="DE208" t="e">
        <f>AND(#REF!,"AAAAAH3n/Ww=")</f>
        <v>#REF!</v>
      </c>
      <c r="DF208" t="e">
        <f>AND(#REF!,"AAAAAH3n/W0=")</f>
        <v>#REF!</v>
      </c>
      <c r="DG208" t="e">
        <f>AND(#REF!,"AAAAAH3n/W4=")</f>
        <v>#REF!</v>
      </c>
      <c r="DH208" t="e">
        <f>AND(#REF!,"AAAAAH3n/W8=")</f>
        <v>#REF!</v>
      </c>
      <c r="DI208" t="e">
        <f>AND(#REF!,"AAAAAH3n/XA=")</f>
        <v>#REF!</v>
      </c>
      <c r="DJ208" t="e">
        <f>AND(#REF!,"AAAAAH3n/XE=")</f>
        <v>#REF!</v>
      </c>
      <c r="DK208" t="e">
        <f>AND(#REF!,"AAAAAH3n/XI=")</f>
        <v>#REF!</v>
      </c>
      <c r="DL208" t="e">
        <f>AND(#REF!,"AAAAAH3n/XM=")</f>
        <v>#REF!</v>
      </c>
      <c r="DM208" t="e">
        <f>AND(#REF!,"AAAAAH3n/XQ=")</f>
        <v>#REF!</v>
      </c>
      <c r="DN208" t="e">
        <f>AND(#REF!,"AAAAAH3n/XU=")</f>
        <v>#REF!</v>
      </c>
      <c r="DO208" t="e">
        <f>AND(#REF!,"AAAAAH3n/XY=")</f>
        <v>#REF!</v>
      </c>
      <c r="DP208" t="e">
        <f>AND(#REF!,"AAAAAH3n/Xc=")</f>
        <v>#REF!</v>
      </c>
      <c r="DQ208" t="e">
        <f>AND(#REF!,"AAAAAH3n/Xg=")</f>
        <v>#REF!</v>
      </c>
      <c r="DR208" t="e">
        <f>AND(#REF!,"AAAAAH3n/Xk=")</f>
        <v>#REF!</v>
      </c>
      <c r="DS208" t="e">
        <f>AND(#REF!,"AAAAAH3n/Xo=")</f>
        <v>#REF!</v>
      </c>
      <c r="DT208" t="e">
        <f>AND(#REF!,"AAAAAH3n/Xs=")</f>
        <v>#REF!</v>
      </c>
      <c r="DU208" t="e">
        <f>AND(#REF!,"AAAAAH3n/Xw=")</f>
        <v>#REF!</v>
      </c>
      <c r="DV208" t="e">
        <f>AND(#REF!,"AAAAAH3n/X0=")</f>
        <v>#REF!</v>
      </c>
      <c r="DW208" t="e">
        <f>AND(#REF!,"AAAAAH3n/X4=")</f>
        <v>#REF!</v>
      </c>
      <c r="DX208" t="e">
        <f>AND(#REF!,"AAAAAH3n/X8=")</f>
        <v>#REF!</v>
      </c>
      <c r="DY208" t="e">
        <f>AND(#REF!,"AAAAAH3n/YA=")</f>
        <v>#REF!</v>
      </c>
      <c r="DZ208" t="e">
        <f>AND(#REF!,"AAAAAH3n/YE=")</f>
        <v>#REF!</v>
      </c>
      <c r="EA208" t="e">
        <f>AND(#REF!,"AAAAAH3n/YI=")</f>
        <v>#REF!</v>
      </c>
      <c r="EB208" t="e">
        <f>AND(#REF!,"AAAAAH3n/YM=")</f>
        <v>#REF!</v>
      </c>
      <c r="EC208" t="e">
        <f>AND(#REF!,"AAAAAH3n/YQ=")</f>
        <v>#REF!</v>
      </c>
      <c r="ED208" t="e">
        <f>AND(#REF!,"AAAAAH3n/YU=")</f>
        <v>#REF!</v>
      </c>
      <c r="EE208" t="e">
        <f>AND(#REF!,"AAAAAH3n/YY=")</f>
        <v>#REF!</v>
      </c>
      <c r="EF208" t="e">
        <f>AND(#REF!,"AAAAAH3n/Yc=")</f>
        <v>#REF!</v>
      </c>
      <c r="EG208" t="e">
        <f>AND(#REF!,"AAAAAH3n/Yg=")</f>
        <v>#REF!</v>
      </c>
      <c r="EH208" t="e">
        <f>IF(#REF!,"AAAAAH3n/Yk=",0)</f>
        <v>#REF!</v>
      </c>
      <c r="EI208" t="e">
        <f>AND(#REF!,"AAAAAH3n/Yo=")</f>
        <v>#REF!</v>
      </c>
      <c r="EJ208" t="e">
        <f>AND(#REF!,"AAAAAH3n/Ys=")</f>
        <v>#REF!</v>
      </c>
      <c r="EK208" t="e">
        <f>AND(#REF!,"AAAAAH3n/Yw=")</f>
        <v>#REF!</v>
      </c>
      <c r="EL208" t="e">
        <f>AND(#REF!,"AAAAAH3n/Y0=")</f>
        <v>#REF!</v>
      </c>
      <c r="EM208" t="e">
        <f>AND(#REF!,"AAAAAH3n/Y4=")</f>
        <v>#REF!</v>
      </c>
      <c r="EN208" t="e">
        <f>AND(#REF!,"AAAAAH3n/Y8=")</f>
        <v>#REF!</v>
      </c>
      <c r="EO208" t="e">
        <f>AND(#REF!,"AAAAAH3n/ZA=")</f>
        <v>#REF!</v>
      </c>
      <c r="EP208" t="e">
        <f>AND(#REF!,"AAAAAH3n/ZE=")</f>
        <v>#REF!</v>
      </c>
      <c r="EQ208" t="e">
        <f>AND(#REF!,"AAAAAH3n/ZI=")</f>
        <v>#REF!</v>
      </c>
      <c r="ER208" t="e">
        <f>AND(#REF!,"AAAAAH3n/ZM=")</f>
        <v>#REF!</v>
      </c>
      <c r="ES208" t="e">
        <f>AND(#REF!,"AAAAAH3n/ZQ=")</f>
        <v>#REF!</v>
      </c>
      <c r="ET208" t="e">
        <f>AND(#REF!,"AAAAAH3n/ZU=")</f>
        <v>#REF!</v>
      </c>
      <c r="EU208" t="e">
        <f>AND(#REF!,"AAAAAH3n/ZY=")</f>
        <v>#REF!</v>
      </c>
      <c r="EV208" t="e">
        <f>AND(#REF!,"AAAAAH3n/Zc=")</f>
        <v>#REF!</v>
      </c>
      <c r="EW208" t="e">
        <f>AND(#REF!,"AAAAAH3n/Zg=")</f>
        <v>#REF!</v>
      </c>
      <c r="EX208" t="e">
        <f>AND(#REF!,"AAAAAH3n/Zk=")</f>
        <v>#REF!</v>
      </c>
      <c r="EY208" t="e">
        <f>AND(#REF!,"AAAAAH3n/Zo=")</f>
        <v>#REF!</v>
      </c>
      <c r="EZ208" t="e">
        <f>AND(#REF!,"AAAAAH3n/Zs=")</f>
        <v>#REF!</v>
      </c>
      <c r="FA208" t="e">
        <f>AND(#REF!,"AAAAAH3n/Zw=")</f>
        <v>#REF!</v>
      </c>
      <c r="FB208" t="e">
        <f>AND(#REF!,"AAAAAH3n/Z0=")</f>
        <v>#REF!</v>
      </c>
      <c r="FC208" t="e">
        <f>AND(#REF!,"AAAAAH3n/Z4=")</f>
        <v>#REF!</v>
      </c>
      <c r="FD208" t="e">
        <f>AND(#REF!,"AAAAAH3n/Z8=")</f>
        <v>#REF!</v>
      </c>
      <c r="FE208" t="e">
        <f>AND(#REF!,"AAAAAH3n/aA=")</f>
        <v>#REF!</v>
      </c>
      <c r="FF208" t="e">
        <f>AND(#REF!,"AAAAAH3n/aE=")</f>
        <v>#REF!</v>
      </c>
      <c r="FG208" t="e">
        <f>AND(#REF!,"AAAAAH3n/aI=")</f>
        <v>#REF!</v>
      </c>
      <c r="FH208" t="e">
        <f>AND(#REF!,"AAAAAH3n/aM=")</f>
        <v>#REF!</v>
      </c>
      <c r="FI208" t="e">
        <f>AND(#REF!,"AAAAAH3n/aQ=")</f>
        <v>#REF!</v>
      </c>
      <c r="FJ208" t="e">
        <f>AND(#REF!,"AAAAAH3n/aU=")</f>
        <v>#REF!</v>
      </c>
      <c r="FK208" t="e">
        <f>AND(#REF!,"AAAAAH3n/aY=")</f>
        <v>#REF!</v>
      </c>
      <c r="FL208" t="e">
        <f>AND(#REF!,"AAAAAH3n/ac=")</f>
        <v>#REF!</v>
      </c>
      <c r="FM208" t="e">
        <f>AND(#REF!,"AAAAAH3n/ag=")</f>
        <v>#REF!</v>
      </c>
      <c r="FN208" t="e">
        <f>AND(#REF!,"AAAAAH3n/ak=")</f>
        <v>#REF!</v>
      </c>
      <c r="FO208" t="e">
        <f>AND(#REF!,"AAAAAH3n/ao=")</f>
        <v>#REF!</v>
      </c>
      <c r="FP208" t="e">
        <f>IF(#REF!,"AAAAAH3n/as=",0)</f>
        <v>#REF!</v>
      </c>
      <c r="FQ208" t="e">
        <f>AND(#REF!,"AAAAAH3n/aw=")</f>
        <v>#REF!</v>
      </c>
      <c r="FR208" t="e">
        <f>AND(#REF!,"AAAAAH3n/a0=")</f>
        <v>#REF!</v>
      </c>
      <c r="FS208" t="e">
        <f>AND(#REF!,"AAAAAH3n/a4=")</f>
        <v>#REF!</v>
      </c>
      <c r="FT208" t="e">
        <f>AND(#REF!,"AAAAAH3n/a8=")</f>
        <v>#REF!</v>
      </c>
      <c r="FU208" t="e">
        <f>AND(#REF!,"AAAAAH3n/bA=")</f>
        <v>#REF!</v>
      </c>
      <c r="FV208" t="e">
        <f>AND(#REF!,"AAAAAH3n/bE=")</f>
        <v>#REF!</v>
      </c>
      <c r="FW208" t="e">
        <f>AND(#REF!,"AAAAAH3n/bI=")</f>
        <v>#REF!</v>
      </c>
      <c r="FX208" t="e">
        <f>AND(#REF!,"AAAAAH3n/bM=")</f>
        <v>#REF!</v>
      </c>
      <c r="FY208" t="e">
        <f>AND(#REF!,"AAAAAH3n/bQ=")</f>
        <v>#REF!</v>
      </c>
      <c r="FZ208" t="e">
        <f>AND(#REF!,"AAAAAH3n/bU=")</f>
        <v>#REF!</v>
      </c>
      <c r="GA208" t="e">
        <f>AND(#REF!,"AAAAAH3n/bY=")</f>
        <v>#REF!</v>
      </c>
      <c r="GB208" t="e">
        <f>AND(#REF!,"AAAAAH3n/bc=")</f>
        <v>#REF!</v>
      </c>
      <c r="GC208" t="e">
        <f>AND(#REF!,"AAAAAH3n/bg=")</f>
        <v>#REF!</v>
      </c>
      <c r="GD208" t="e">
        <f>AND(#REF!,"AAAAAH3n/bk=")</f>
        <v>#REF!</v>
      </c>
      <c r="GE208" t="e">
        <f>AND(#REF!,"AAAAAH3n/bo=")</f>
        <v>#REF!</v>
      </c>
      <c r="GF208" t="e">
        <f>AND(#REF!,"AAAAAH3n/bs=")</f>
        <v>#REF!</v>
      </c>
      <c r="GG208" t="e">
        <f>AND(#REF!,"AAAAAH3n/bw=")</f>
        <v>#REF!</v>
      </c>
      <c r="GH208" t="e">
        <f>AND(#REF!,"AAAAAH3n/b0=")</f>
        <v>#REF!</v>
      </c>
      <c r="GI208" t="e">
        <f>AND(#REF!,"AAAAAH3n/b4=")</f>
        <v>#REF!</v>
      </c>
      <c r="GJ208" t="e">
        <f>AND(#REF!,"AAAAAH3n/b8=")</f>
        <v>#REF!</v>
      </c>
      <c r="GK208" t="e">
        <f>AND(#REF!,"AAAAAH3n/cA=")</f>
        <v>#REF!</v>
      </c>
      <c r="GL208" t="e">
        <f>AND(#REF!,"AAAAAH3n/cE=")</f>
        <v>#REF!</v>
      </c>
      <c r="GM208" t="e">
        <f>AND(#REF!,"AAAAAH3n/cI=")</f>
        <v>#REF!</v>
      </c>
      <c r="GN208" t="e">
        <f>AND(#REF!,"AAAAAH3n/cM=")</f>
        <v>#REF!</v>
      </c>
      <c r="GO208" t="e">
        <f>AND(#REF!,"AAAAAH3n/cQ=")</f>
        <v>#REF!</v>
      </c>
      <c r="GP208" t="e">
        <f>AND(#REF!,"AAAAAH3n/cU=")</f>
        <v>#REF!</v>
      </c>
      <c r="GQ208" t="e">
        <f>AND(#REF!,"AAAAAH3n/cY=")</f>
        <v>#REF!</v>
      </c>
      <c r="GR208" t="e">
        <f>AND(#REF!,"AAAAAH3n/cc=")</f>
        <v>#REF!</v>
      </c>
      <c r="GS208" t="e">
        <f>AND(#REF!,"AAAAAH3n/cg=")</f>
        <v>#REF!</v>
      </c>
      <c r="GT208" t="e">
        <f>AND(#REF!,"AAAAAH3n/ck=")</f>
        <v>#REF!</v>
      </c>
      <c r="GU208" t="e">
        <f>AND(#REF!,"AAAAAH3n/co=")</f>
        <v>#REF!</v>
      </c>
      <c r="GV208" t="e">
        <f>AND(#REF!,"AAAAAH3n/cs=")</f>
        <v>#REF!</v>
      </c>
      <c r="GW208" t="e">
        <f>AND(#REF!,"AAAAAH3n/cw=")</f>
        <v>#REF!</v>
      </c>
      <c r="GX208" t="e">
        <f>IF(#REF!,"AAAAAH3n/c0=",0)</f>
        <v>#REF!</v>
      </c>
      <c r="GY208" t="e">
        <f>AND(#REF!,"AAAAAH3n/c4=")</f>
        <v>#REF!</v>
      </c>
      <c r="GZ208" t="e">
        <f>AND(#REF!,"AAAAAH3n/c8=")</f>
        <v>#REF!</v>
      </c>
      <c r="HA208" t="e">
        <f>AND(#REF!,"AAAAAH3n/dA=")</f>
        <v>#REF!</v>
      </c>
      <c r="HB208" t="e">
        <f>AND(#REF!,"AAAAAH3n/dE=")</f>
        <v>#REF!</v>
      </c>
      <c r="HC208" t="e">
        <f>AND(#REF!,"AAAAAH3n/dI=")</f>
        <v>#REF!</v>
      </c>
      <c r="HD208" t="e">
        <f>AND(#REF!,"AAAAAH3n/dM=")</f>
        <v>#REF!</v>
      </c>
      <c r="HE208" t="e">
        <f>AND(#REF!,"AAAAAH3n/dQ=")</f>
        <v>#REF!</v>
      </c>
      <c r="HF208" t="e">
        <f>AND(#REF!,"AAAAAH3n/dU=")</f>
        <v>#REF!</v>
      </c>
      <c r="HG208" t="e">
        <f>AND(#REF!,"AAAAAH3n/dY=")</f>
        <v>#REF!</v>
      </c>
      <c r="HH208" t="e">
        <f>AND(#REF!,"AAAAAH3n/dc=")</f>
        <v>#REF!</v>
      </c>
      <c r="HI208" t="e">
        <f>AND(#REF!,"AAAAAH3n/dg=")</f>
        <v>#REF!</v>
      </c>
      <c r="HJ208" t="e">
        <f>AND(#REF!,"AAAAAH3n/dk=")</f>
        <v>#REF!</v>
      </c>
      <c r="HK208" t="e">
        <f>AND(#REF!,"AAAAAH3n/do=")</f>
        <v>#REF!</v>
      </c>
      <c r="HL208" t="e">
        <f>AND(#REF!,"AAAAAH3n/ds=")</f>
        <v>#REF!</v>
      </c>
      <c r="HM208" t="e">
        <f>AND(#REF!,"AAAAAH3n/dw=")</f>
        <v>#REF!</v>
      </c>
      <c r="HN208" t="e">
        <f>AND(#REF!,"AAAAAH3n/d0=")</f>
        <v>#REF!</v>
      </c>
      <c r="HO208" t="e">
        <f>AND(#REF!,"AAAAAH3n/d4=")</f>
        <v>#REF!</v>
      </c>
      <c r="HP208" t="e">
        <f>AND(#REF!,"AAAAAH3n/d8=")</f>
        <v>#REF!</v>
      </c>
      <c r="HQ208" t="e">
        <f>AND(#REF!,"AAAAAH3n/eA=")</f>
        <v>#REF!</v>
      </c>
      <c r="HR208" t="e">
        <f>AND(#REF!,"AAAAAH3n/eE=")</f>
        <v>#REF!</v>
      </c>
      <c r="HS208" t="e">
        <f>AND(#REF!,"AAAAAH3n/eI=")</f>
        <v>#REF!</v>
      </c>
      <c r="HT208" t="e">
        <f>AND(#REF!,"AAAAAH3n/eM=")</f>
        <v>#REF!</v>
      </c>
      <c r="HU208" t="e">
        <f>AND(#REF!,"AAAAAH3n/eQ=")</f>
        <v>#REF!</v>
      </c>
      <c r="HV208" t="e">
        <f>AND(#REF!,"AAAAAH3n/eU=")</f>
        <v>#REF!</v>
      </c>
      <c r="HW208" t="e">
        <f>AND(#REF!,"AAAAAH3n/eY=")</f>
        <v>#REF!</v>
      </c>
      <c r="HX208" t="e">
        <f>AND(#REF!,"AAAAAH3n/ec=")</f>
        <v>#REF!</v>
      </c>
      <c r="HY208" t="e">
        <f>AND(#REF!,"AAAAAH3n/eg=")</f>
        <v>#REF!</v>
      </c>
      <c r="HZ208" t="e">
        <f>AND(#REF!,"AAAAAH3n/ek=")</f>
        <v>#REF!</v>
      </c>
      <c r="IA208" t="e">
        <f>AND(#REF!,"AAAAAH3n/eo=")</f>
        <v>#REF!</v>
      </c>
      <c r="IB208" t="e">
        <f>AND(#REF!,"AAAAAH3n/es=")</f>
        <v>#REF!</v>
      </c>
      <c r="IC208" t="e">
        <f>AND(#REF!,"AAAAAH3n/ew=")</f>
        <v>#REF!</v>
      </c>
      <c r="ID208" t="e">
        <f>AND(#REF!,"AAAAAH3n/e0=")</f>
        <v>#REF!</v>
      </c>
      <c r="IE208" t="e">
        <f>AND(#REF!,"AAAAAH3n/e4=")</f>
        <v>#REF!</v>
      </c>
      <c r="IF208" t="e">
        <f>IF(#REF!,"AAAAAH3n/e8=",0)</f>
        <v>#REF!</v>
      </c>
      <c r="IG208" t="e">
        <f>AND(#REF!,"AAAAAH3n/fA=")</f>
        <v>#REF!</v>
      </c>
      <c r="IH208" t="e">
        <f>AND(#REF!,"AAAAAH3n/fE=")</f>
        <v>#REF!</v>
      </c>
      <c r="II208" t="e">
        <f>AND(#REF!,"AAAAAH3n/fI=")</f>
        <v>#REF!</v>
      </c>
      <c r="IJ208" t="e">
        <f>AND(#REF!,"AAAAAH3n/fM=")</f>
        <v>#REF!</v>
      </c>
      <c r="IK208" t="e">
        <f>AND(#REF!,"AAAAAH3n/fQ=")</f>
        <v>#REF!</v>
      </c>
      <c r="IL208" t="e">
        <f>AND(#REF!,"AAAAAH3n/fU=")</f>
        <v>#REF!</v>
      </c>
      <c r="IM208" t="e">
        <f>AND(#REF!,"AAAAAH3n/fY=")</f>
        <v>#REF!</v>
      </c>
      <c r="IN208" t="e">
        <f>AND(#REF!,"AAAAAH3n/fc=")</f>
        <v>#REF!</v>
      </c>
      <c r="IO208" t="e">
        <f>AND(#REF!,"AAAAAH3n/fg=")</f>
        <v>#REF!</v>
      </c>
      <c r="IP208" t="e">
        <f>AND(#REF!,"AAAAAH3n/fk=")</f>
        <v>#REF!</v>
      </c>
      <c r="IQ208" t="e">
        <f>AND(#REF!,"AAAAAH3n/fo=")</f>
        <v>#REF!</v>
      </c>
      <c r="IR208" t="e">
        <f>AND(#REF!,"AAAAAH3n/fs=")</f>
        <v>#REF!</v>
      </c>
      <c r="IS208" t="e">
        <f>AND(#REF!,"AAAAAH3n/fw=")</f>
        <v>#REF!</v>
      </c>
      <c r="IT208" t="e">
        <f>AND(#REF!,"AAAAAH3n/f0=")</f>
        <v>#REF!</v>
      </c>
      <c r="IU208" t="e">
        <f>AND(#REF!,"AAAAAH3n/f4=")</f>
        <v>#REF!</v>
      </c>
      <c r="IV208" t="e">
        <f>AND(#REF!,"AAAAAH3n/f8=")</f>
        <v>#REF!</v>
      </c>
    </row>
    <row r="209" spans="1:256" x14ac:dyDescent="0.2">
      <c r="A209" t="e">
        <f>AND(#REF!,"AAAAAG/7TwA=")</f>
        <v>#REF!</v>
      </c>
      <c r="B209" t="e">
        <f>AND(#REF!,"AAAAAG/7TwE=")</f>
        <v>#REF!</v>
      </c>
      <c r="C209" t="e">
        <f>AND(#REF!,"AAAAAG/7TwI=")</f>
        <v>#REF!</v>
      </c>
      <c r="D209" t="e">
        <f>AND(#REF!,"AAAAAG/7TwM=")</f>
        <v>#REF!</v>
      </c>
      <c r="E209" t="e">
        <f>AND(#REF!,"AAAAAG/7TwQ=")</f>
        <v>#REF!</v>
      </c>
      <c r="F209" t="e">
        <f>AND(#REF!,"AAAAAG/7TwU=")</f>
        <v>#REF!</v>
      </c>
      <c r="G209" t="e">
        <f>AND(#REF!,"AAAAAG/7TwY=")</f>
        <v>#REF!</v>
      </c>
      <c r="H209" t="e">
        <f>AND(#REF!,"AAAAAG/7Twc=")</f>
        <v>#REF!</v>
      </c>
      <c r="I209" t="e">
        <f>AND(#REF!,"AAAAAG/7Twg=")</f>
        <v>#REF!</v>
      </c>
      <c r="J209" t="e">
        <f>AND(#REF!,"AAAAAG/7Twk=")</f>
        <v>#REF!</v>
      </c>
      <c r="K209" t="e">
        <f>AND(#REF!,"AAAAAG/7Two=")</f>
        <v>#REF!</v>
      </c>
      <c r="L209" t="e">
        <f>AND(#REF!,"AAAAAG/7Tws=")</f>
        <v>#REF!</v>
      </c>
      <c r="M209" t="e">
        <f>AND(#REF!,"AAAAAG/7Tww=")</f>
        <v>#REF!</v>
      </c>
      <c r="N209" t="e">
        <f>AND(#REF!,"AAAAAG/7Tw0=")</f>
        <v>#REF!</v>
      </c>
      <c r="O209" t="e">
        <f>AND(#REF!,"AAAAAG/7Tw4=")</f>
        <v>#REF!</v>
      </c>
      <c r="P209" t="e">
        <f>AND(#REF!,"AAAAAG/7Tw8=")</f>
        <v>#REF!</v>
      </c>
      <c r="Q209" t="e">
        <f>AND(#REF!,"AAAAAG/7TxA=")</f>
        <v>#REF!</v>
      </c>
      <c r="R209" t="e">
        <f>IF(#REF!,"AAAAAG/7TxE=",0)</f>
        <v>#REF!</v>
      </c>
      <c r="S209" t="e">
        <f>AND(#REF!,"AAAAAG/7TxI=")</f>
        <v>#REF!</v>
      </c>
      <c r="T209" t="e">
        <f>AND(#REF!,"AAAAAG/7TxM=")</f>
        <v>#REF!</v>
      </c>
      <c r="U209" t="e">
        <f>AND(#REF!,"AAAAAG/7TxQ=")</f>
        <v>#REF!</v>
      </c>
      <c r="V209" t="e">
        <f>AND(#REF!,"AAAAAG/7TxU=")</f>
        <v>#REF!</v>
      </c>
      <c r="W209" t="e">
        <f>AND(#REF!,"AAAAAG/7TxY=")</f>
        <v>#REF!</v>
      </c>
      <c r="X209" t="e">
        <f>AND(#REF!,"AAAAAG/7Txc=")</f>
        <v>#REF!</v>
      </c>
      <c r="Y209" t="e">
        <f>AND(#REF!,"AAAAAG/7Txg=")</f>
        <v>#REF!</v>
      </c>
      <c r="Z209" t="e">
        <f>AND(#REF!,"AAAAAG/7Txk=")</f>
        <v>#REF!</v>
      </c>
      <c r="AA209" t="e">
        <f>AND(#REF!,"AAAAAG/7Txo=")</f>
        <v>#REF!</v>
      </c>
      <c r="AB209" t="e">
        <f>AND(#REF!,"AAAAAG/7Txs=")</f>
        <v>#REF!</v>
      </c>
      <c r="AC209" t="e">
        <f>AND(#REF!,"AAAAAG/7Txw=")</f>
        <v>#REF!</v>
      </c>
      <c r="AD209" t="e">
        <f>AND(#REF!,"AAAAAG/7Tx0=")</f>
        <v>#REF!</v>
      </c>
      <c r="AE209" t="e">
        <f>AND(#REF!,"AAAAAG/7Tx4=")</f>
        <v>#REF!</v>
      </c>
      <c r="AF209" t="e">
        <f>AND(#REF!,"AAAAAG/7Tx8=")</f>
        <v>#REF!</v>
      </c>
      <c r="AG209" t="e">
        <f>AND(#REF!,"AAAAAG/7TyA=")</f>
        <v>#REF!</v>
      </c>
      <c r="AH209" t="e">
        <f>AND(#REF!,"AAAAAG/7TyE=")</f>
        <v>#REF!</v>
      </c>
      <c r="AI209" t="e">
        <f>AND(#REF!,"AAAAAG/7TyI=")</f>
        <v>#REF!</v>
      </c>
      <c r="AJ209" t="e">
        <f>AND(#REF!,"AAAAAG/7TyM=")</f>
        <v>#REF!</v>
      </c>
      <c r="AK209" t="e">
        <f>AND(#REF!,"AAAAAG/7TyQ=")</f>
        <v>#REF!</v>
      </c>
      <c r="AL209" t="e">
        <f>AND(#REF!,"AAAAAG/7TyU=")</f>
        <v>#REF!</v>
      </c>
      <c r="AM209" t="e">
        <f>AND(#REF!,"AAAAAG/7TyY=")</f>
        <v>#REF!</v>
      </c>
      <c r="AN209" t="e">
        <f>AND(#REF!,"AAAAAG/7Tyc=")</f>
        <v>#REF!</v>
      </c>
      <c r="AO209" t="e">
        <f>AND(#REF!,"AAAAAG/7Tyg=")</f>
        <v>#REF!</v>
      </c>
      <c r="AP209" t="e">
        <f>AND(#REF!,"AAAAAG/7Tyk=")</f>
        <v>#REF!</v>
      </c>
      <c r="AQ209" t="e">
        <f>AND(#REF!,"AAAAAG/7Tyo=")</f>
        <v>#REF!</v>
      </c>
      <c r="AR209" t="e">
        <f>AND(#REF!,"AAAAAG/7Tys=")</f>
        <v>#REF!</v>
      </c>
      <c r="AS209" t="e">
        <f>AND(#REF!,"AAAAAG/7Tyw=")</f>
        <v>#REF!</v>
      </c>
      <c r="AT209" t="e">
        <f>AND(#REF!,"AAAAAG/7Ty0=")</f>
        <v>#REF!</v>
      </c>
      <c r="AU209" t="e">
        <f>AND(#REF!,"AAAAAG/7Ty4=")</f>
        <v>#REF!</v>
      </c>
      <c r="AV209" t="e">
        <f>AND(#REF!,"AAAAAG/7Ty8=")</f>
        <v>#REF!</v>
      </c>
      <c r="AW209" t="e">
        <f>AND(#REF!,"AAAAAG/7TzA=")</f>
        <v>#REF!</v>
      </c>
      <c r="AX209" t="e">
        <f>AND(#REF!,"AAAAAG/7TzE=")</f>
        <v>#REF!</v>
      </c>
      <c r="AY209" t="e">
        <f>AND(#REF!,"AAAAAG/7TzI=")</f>
        <v>#REF!</v>
      </c>
      <c r="AZ209" t="e">
        <f>IF(#REF!,"AAAAAG/7TzM=",0)</f>
        <v>#REF!</v>
      </c>
      <c r="BA209" t="e">
        <f>AND(#REF!,"AAAAAG/7TzQ=")</f>
        <v>#REF!</v>
      </c>
      <c r="BB209" t="e">
        <f>AND(#REF!,"AAAAAG/7TzU=")</f>
        <v>#REF!</v>
      </c>
      <c r="BC209" t="e">
        <f>AND(#REF!,"AAAAAG/7TzY=")</f>
        <v>#REF!</v>
      </c>
      <c r="BD209" t="e">
        <f>AND(#REF!,"AAAAAG/7Tzc=")</f>
        <v>#REF!</v>
      </c>
      <c r="BE209" t="e">
        <f>AND(#REF!,"AAAAAG/7Tzg=")</f>
        <v>#REF!</v>
      </c>
      <c r="BF209" t="e">
        <f>AND(#REF!,"AAAAAG/7Tzk=")</f>
        <v>#REF!</v>
      </c>
      <c r="BG209" t="e">
        <f>AND(#REF!,"AAAAAG/7Tzo=")</f>
        <v>#REF!</v>
      </c>
      <c r="BH209" t="e">
        <f>AND(#REF!,"AAAAAG/7Tzs=")</f>
        <v>#REF!</v>
      </c>
      <c r="BI209" t="e">
        <f>AND(#REF!,"AAAAAG/7Tzw=")</f>
        <v>#REF!</v>
      </c>
      <c r="BJ209" t="e">
        <f>AND(#REF!,"AAAAAG/7Tz0=")</f>
        <v>#REF!</v>
      </c>
      <c r="BK209" t="e">
        <f>AND(#REF!,"AAAAAG/7Tz4=")</f>
        <v>#REF!</v>
      </c>
      <c r="BL209" t="e">
        <f>AND(#REF!,"AAAAAG/7Tz8=")</f>
        <v>#REF!</v>
      </c>
      <c r="BM209" t="e">
        <f>AND(#REF!,"AAAAAG/7T0A=")</f>
        <v>#REF!</v>
      </c>
      <c r="BN209" t="e">
        <f>AND(#REF!,"AAAAAG/7T0E=")</f>
        <v>#REF!</v>
      </c>
      <c r="BO209" t="e">
        <f>AND(#REF!,"AAAAAG/7T0I=")</f>
        <v>#REF!</v>
      </c>
      <c r="BP209" t="e">
        <f>AND(#REF!,"AAAAAG/7T0M=")</f>
        <v>#REF!</v>
      </c>
      <c r="BQ209" t="e">
        <f>AND(#REF!,"AAAAAG/7T0Q=")</f>
        <v>#REF!</v>
      </c>
      <c r="BR209" t="e">
        <f>AND(#REF!,"AAAAAG/7T0U=")</f>
        <v>#REF!</v>
      </c>
      <c r="BS209" t="e">
        <f>AND(#REF!,"AAAAAG/7T0Y=")</f>
        <v>#REF!</v>
      </c>
      <c r="BT209" t="e">
        <f>AND(#REF!,"AAAAAG/7T0c=")</f>
        <v>#REF!</v>
      </c>
      <c r="BU209" t="e">
        <f>AND(#REF!,"AAAAAG/7T0g=")</f>
        <v>#REF!</v>
      </c>
      <c r="BV209" t="e">
        <f>AND(#REF!,"AAAAAG/7T0k=")</f>
        <v>#REF!</v>
      </c>
      <c r="BW209" t="e">
        <f>AND(#REF!,"AAAAAG/7T0o=")</f>
        <v>#REF!</v>
      </c>
      <c r="BX209" t="e">
        <f>AND(#REF!,"AAAAAG/7T0s=")</f>
        <v>#REF!</v>
      </c>
      <c r="BY209" t="e">
        <f>AND(#REF!,"AAAAAG/7T0w=")</f>
        <v>#REF!</v>
      </c>
      <c r="BZ209" t="e">
        <f>AND(#REF!,"AAAAAG/7T00=")</f>
        <v>#REF!</v>
      </c>
      <c r="CA209" t="e">
        <f>AND(#REF!,"AAAAAG/7T04=")</f>
        <v>#REF!</v>
      </c>
      <c r="CB209" t="e">
        <f>AND(#REF!,"AAAAAG/7T08=")</f>
        <v>#REF!</v>
      </c>
      <c r="CC209" t="e">
        <f>AND(#REF!,"AAAAAG/7T1A=")</f>
        <v>#REF!</v>
      </c>
      <c r="CD209" t="e">
        <f>AND(#REF!,"AAAAAG/7T1E=")</f>
        <v>#REF!</v>
      </c>
      <c r="CE209" t="e">
        <f>AND(#REF!,"AAAAAG/7T1I=")</f>
        <v>#REF!</v>
      </c>
      <c r="CF209" t="e">
        <f>AND(#REF!,"AAAAAG/7T1M=")</f>
        <v>#REF!</v>
      </c>
      <c r="CG209" t="e">
        <f>AND(#REF!,"AAAAAG/7T1Q=")</f>
        <v>#REF!</v>
      </c>
      <c r="CH209" t="e">
        <f>IF(#REF!,"AAAAAG/7T1U=",0)</f>
        <v>#REF!</v>
      </c>
      <c r="CI209" t="e">
        <f>AND(#REF!,"AAAAAG/7T1Y=")</f>
        <v>#REF!</v>
      </c>
      <c r="CJ209" t="e">
        <f>AND(#REF!,"AAAAAG/7T1c=")</f>
        <v>#REF!</v>
      </c>
      <c r="CK209" t="e">
        <f>AND(#REF!,"AAAAAG/7T1g=")</f>
        <v>#REF!</v>
      </c>
      <c r="CL209" t="e">
        <f>AND(#REF!,"AAAAAG/7T1k=")</f>
        <v>#REF!</v>
      </c>
      <c r="CM209" t="e">
        <f>AND(#REF!,"AAAAAG/7T1o=")</f>
        <v>#REF!</v>
      </c>
      <c r="CN209" t="e">
        <f>AND(#REF!,"AAAAAG/7T1s=")</f>
        <v>#REF!</v>
      </c>
      <c r="CO209" t="e">
        <f>AND(#REF!,"AAAAAG/7T1w=")</f>
        <v>#REF!</v>
      </c>
      <c r="CP209" t="e">
        <f>AND(#REF!,"AAAAAG/7T10=")</f>
        <v>#REF!</v>
      </c>
      <c r="CQ209" t="e">
        <f>AND(#REF!,"AAAAAG/7T14=")</f>
        <v>#REF!</v>
      </c>
      <c r="CR209" t="e">
        <f>AND(#REF!,"AAAAAG/7T18=")</f>
        <v>#REF!</v>
      </c>
      <c r="CS209" t="e">
        <f>AND(#REF!,"AAAAAG/7T2A=")</f>
        <v>#REF!</v>
      </c>
      <c r="CT209" t="e">
        <f>AND(#REF!,"AAAAAG/7T2E=")</f>
        <v>#REF!</v>
      </c>
      <c r="CU209" t="e">
        <f>AND(#REF!,"AAAAAG/7T2I=")</f>
        <v>#REF!</v>
      </c>
      <c r="CV209" t="e">
        <f>AND(#REF!,"AAAAAG/7T2M=")</f>
        <v>#REF!</v>
      </c>
      <c r="CW209" t="e">
        <f>AND(#REF!,"AAAAAG/7T2Q=")</f>
        <v>#REF!</v>
      </c>
      <c r="CX209" t="e">
        <f>AND(#REF!,"AAAAAG/7T2U=")</f>
        <v>#REF!</v>
      </c>
      <c r="CY209" t="e">
        <f>AND(#REF!,"AAAAAG/7T2Y=")</f>
        <v>#REF!</v>
      </c>
      <c r="CZ209" t="e">
        <f>AND(#REF!,"AAAAAG/7T2c=")</f>
        <v>#REF!</v>
      </c>
      <c r="DA209" t="e">
        <f>AND(#REF!,"AAAAAG/7T2g=")</f>
        <v>#REF!</v>
      </c>
      <c r="DB209" t="e">
        <f>AND(#REF!,"AAAAAG/7T2k=")</f>
        <v>#REF!</v>
      </c>
      <c r="DC209" t="e">
        <f>AND(#REF!,"AAAAAG/7T2o=")</f>
        <v>#REF!</v>
      </c>
      <c r="DD209" t="e">
        <f>AND(#REF!,"AAAAAG/7T2s=")</f>
        <v>#REF!</v>
      </c>
      <c r="DE209" t="e">
        <f>AND(#REF!,"AAAAAG/7T2w=")</f>
        <v>#REF!</v>
      </c>
      <c r="DF209" t="e">
        <f>AND(#REF!,"AAAAAG/7T20=")</f>
        <v>#REF!</v>
      </c>
      <c r="DG209" t="e">
        <f>AND(#REF!,"AAAAAG/7T24=")</f>
        <v>#REF!</v>
      </c>
      <c r="DH209" t="e">
        <f>AND(#REF!,"AAAAAG/7T28=")</f>
        <v>#REF!</v>
      </c>
      <c r="DI209" t="e">
        <f>AND(#REF!,"AAAAAG/7T3A=")</f>
        <v>#REF!</v>
      </c>
      <c r="DJ209" t="e">
        <f>AND(#REF!,"AAAAAG/7T3E=")</f>
        <v>#REF!</v>
      </c>
      <c r="DK209" t="e">
        <f>AND(#REF!,"AAAAAG/7T3I=")</f>
        <v>#REF!</v>
      </c>
      <c r="DL209" t="e">
        <f>AND(#REF!,"AAAAAG/7T3M=")</f>
        <v>#REF!</v>
      </c>
      <c r="DM209" t="e">
        <f>AND(#REF!,"AAAAAG/7T3Q=")</f>
        <v>#REF!</v>
      </c>
      <c r="DN209" t="e">
        <f>AND(#REF!,"AAAAAG/7T3U=")</f>
        <v>#REF!</v>
      </c>
      <c r="DO209" t="e">
        <f>AND(#REF!,"AAAAAG/7T3Y=")</f>
        <v>#REF!</v>
      </c>
      <c r="DP209" t="e">
        <f>IF(#REF!,"AAAAAG/7T3c=",0)</f>
        <v>#REF!</v>
      </c>
      <c r="DQ209" t="e">
        <f>AND(#REF!,"AAAAAG/7T3g=")</f>
        <v>#REF!</v>
      </c>
      <c r="DR209" t="e">
        <f>AND(#REF!,"AAAAAG/7T3k=")</f>
        <v>#REF!</v>
      </c>
      <c r="DS209" t="e">
        <f>AND(#REF!,"AAAAAG/7T3o=")</f>
        <v>#REF!</v>
      </c>
      <c r="DT209" t="e">
        <f>AND(#REF!,"AAAAAG/7T3s=")</f>
        <v>#REF!</v>
      </c>
      <c r="DU209" t="e">
        <f>AND(#REF!,"AAAAAG/7T3w=")</f>
        <v>#REF!</v>
      </c>
      <c r="DV209" t="e">
        <f>AND(#REF!,"AAAAAG/7T30=")</f>
        <v>#REF!</v>
      </c>
      <c r="DW209" t="e">
        <f>AND(#REF!,"AAAAAG/7T34=")</f>
        <v>#REF!</v>
      </c>
      <c r="DX209" t="e">
        <f>AND(#REF!,"AAAAAG/7T38=")</f>
        <v>#REF!</v>
      </c>
      <c r="DY209" t="e">
        <f>AND(#REF!,"AAAAAG/7T4A=")</f>
        <v>#REF!</v>
      </c>
      <c r="DZ209" t="e">
        <f>AND(#REF!,"AAAAAG/7T4E=")</f>
        <v>#REF!</v>
      </c>
      <c r="EA209" t="e">
        <f>AND(#REF!,"AAAAAG/7T4I=")</f>
        <v>#REF!</v>
      </c>
      <c r="EB209" t="e">
        <f>AND(#REF!,"AAAAAG/7T4M=")</f>
        <v>#REF!</v>
      </c>
      <c r="EC209" t="e">
        <f>AND(#REF!,"AAAAAG/7T4Q=")</f>
        <v>#REF!</v>
      </c>
      <c r="ED209" t="e">
        <f>AND(#REF!,"AAAAAG/7T4U=")</f>
        <v>#REF!</v>
      </c>
      <c r="EE209" t="e">
        <f>AND(#REF!,"AAAAAG/7T4Y=")</f>
        <v>#REF!</v>
      </c>
      <c r="EF209" t="e">
        <f>AND(#REF!,"AAAAAG/7T4c=")</f>
        <v>#REF!</v>
      </c>
      <c r="EG209" t="e">
        <f>AND(#REF!,"AAAAAG/7T4g=")</f>
        <v>#REF!</v>
      </c>
      <c r="EH209" t="e">
        <f>AND(#REF!,"AAAAAG/7T4k=")</f>
        <v>#REF!</v>
      </c>
      <c r="EI209" t="e">
        <f>AND(#REF!,"AAAAAG/7T4o=")</f>
        <v>#REF!</v>
      </c>
      <c r="EJ209" t="e">
        <f>AND(#REF!,"AAAAAG/7T4s=")</f>
        <v>#REF!</v>
      </c>
      <c r="EK209" t="e">
        <f>AND(#REF!,"AAAAAG/7T4w=")</f>
        <v>#REF!</v>
      </c>
      <c r="EL209" t="e">
        <f>AND(#REF!,"AAAAAG/7T40=")</f>
        <v>#REF!</v>
      </c>
      <c r="EM209" t="e">
        <f>AND(#REF!,"AAAAAG/7T44=")</f>
        <v>#REF!</v>
      </c>
      <c r="EN209" t="e">
        <f>AND(#REF!,"AAAAAG/7T48=")</f>
        <v>#REF!</v>
      </c>
      <c r="EO209" t="e">
        <f>AND(#REF!,"AAAAAG/7T5A=")</f>
        <v>#REF!</v>
      </c>
      <c r="EP209" t="e">
        <f>AND(#REF!,"AAAAAG/7T5E=")</f>
        <v>#REF!</v>
      </c>
      <c r="EQ209" t="e">
        <f>AND(#REF!,"AAAAAG/7T5I=")</f>
        <v>#REF!</v>
      </c>
      <c r="ER209" t="e">
        <f>AND(#REF!,"AAAAAG/7T5M=")</f>
        <v>#REF!</v>
      </c>
      <c r="ES209" t="e">
        <f>AND(#REF!,"AAAAAG/7T5Q=")</f>
        <v>#REF!</v>
      </c>
      <c r="ET209" t="e">
        <f>AND(#REF!,"AAAAAG/7T5U=")</f>
        <v>#REF!</v>
      </c>
      <c r="EU209" t="e">
        <f>AND(#REF!,"AAAAAG/7T5Y=")</f>
        <v>#REF!</v>
      </c>
      <c r="EV209" t="e">
        <f>AND(#REF!,"AAAAAG/7T5c=")</f>
        <v>#REF!</v>
      </c>
      <c r="EW209" t="e">
        <f>AND(#REF!,"AAAAAG/7T5g=")</f>
        <v>#REF!</v>
      </c>
      <c r="EX209" t="e">
        <f>IF(#REF!,"AAAAAG/7T5k=",0)</f>
        <v>#REF!</v>
      </c>
      <c r="EY209" t="e">
        <f>AND(#REF!,"AAAAAG/7T5o=")</f>
        <v>#REF!</v>
      </c>
      <c r="EZ209" t="e">
        <f>AND(#REF!,"AAAAAG/7T5s=")</f>
        <v>#REF!</v>
      </c>
      <c r="FA209" t="e">
        <f>AND(#REF!,"AAAAAG/7T5w=")</f>
        <v>#REF!</v>
      </c>
      <c r="FB209" t="e">
        <f>AND(#REF!,"AAAAAG/7T50=")</f>
        <v>#REF!</v>
      </c>
      <c r="FC209" t="e">
        <f>AND(#REF!,"AAAAAG/7T54=")</f>
        <v>#REF!</v>
      </c>
      <c r="FD209" t="e">
        <f>AND(#REF!,"AAAAAG/7T58=")</f>
        <v>#REF!</v>
      </c>
      <c r="FE209" t="e">
        <f>AND(#REF!,"AAAAAG/7T6A=")</f>
        <v>#REF!</v>
      </c>
      <c r="FF209" t="e">
        <f>AND(#REF!,"AAAAAG/7T6E=")</f>
        <v>#REF!</v>
      </c>
      <c r="FG209" t="e">
        <f>AND(#REF!,"AAAAAG/7T6I=")</f>
        <v>#REF!</v>
      </c>
      <c r="FH209" t="e">
        <f>AND(#REF!,"AAAAAG/7T6M=")</f>
        <v>#REF!</v>
      </c>
      <c r="FI209" t="e">
        <f>AND(#REF!,"AAAAAG/7T6Q=")</f>
        <v>#REF!</v>
      </c>
      <c r="FJ209" t="e">
        <f>AND(#REF!,"AAAAAG/7T6U=")</f>
        <v>#REF!</v>
      </c>
      <c r="FK209" t="e">
        <f>AND(#REF!,"AAAAAG/7T6Y=")</f>
        <v>#REF!</v>
      </c>
      <c r="FL209" t="e">
        <f>AND(#REF!,"AAAAAG/7T6c=")</f>
        <v>#REF!</v>
      </c>
      <c r="FM209" t="e">
        <f>AND(#REF!,"AAAAAG/7T6g=")</f>
        <v>#REF!</v>
      </c>
      <c r="FN209" t="e">
        <f>AND(#REF!,"AAAAAG/7T6k=")</f>
        <v>#REF!</v>
      </c>
      <c r="FO209" t="e">
        <f>AND(#REF!,"AAAAAG/7T6o=")</f>
        <v>#REF!</v>
      </c>
      <c r="FP209" t="e">
        <f>AND(#REF!,"AAAAAG/7T6s=")</f>
        <v>#REF!</v>
      </c>
      <c r="FQ209" t="e">
        <f>AND(#REF!,"AAAAAG/7T6w=")</f>
        <v>#REF!</v>
      </c>
      <c r="FR209" t="e">
        <f>AND(#REF!,"AAAAAG/7T60=")</f>
        <v>#REF!</v>
      </c>
      <c r="FS209" t="e">
        <f>AND(#REF!,"AAAAAG/7T64=")</f>
        <v>#REF!</v>
      </c>
      <c r="FT209" t="e">
        <f>AND(#REF!,"AAAAAG/7T68=")</f>
        <v>#REF!</v>
      </c>
      <c r="FU209" t="e">
        <f>AND(#REF!,"AAAAAG/7T7A=")</f>
        <v>#REF!</v>
      </c>
      <c r="FV209" t="e">
        <f>AND(#REF!,"AAAAAG/7T7E=")</f>
        <v>#REF!</v>
      </c>
      <c r="FW209" t="e">
        <f>AND(#REF!,"AAAAAG/7T7I=")</f>
        <v>#REF!</v>
      </c>
      <c r="FX209" t="e">
        <f>AND(#REF!,"AAAAAG/7T7M=")</f>
        <v>#REF!</v>
      </c>
      <c r="FY209" t="e">
        <f>AND(#REF!,"AAAAAG/7T7Q=")</f>
        <v>#REF!</v>
      </c>
      <c r="FZ209" t="e">
        <f>AND(#REF!,"AAAAAG/7T7U=")</f>
        <v>#REF!</v>
      </c>
      <c r="GA209" t="e">
        <f>AND(#REF!,"AAAAAG/7T7Y=")</f>
        <v>#REF!</v>
      </c>
      <c r="GB209" t="e">
        <f>AND(#REF!,"AAAAAG/7T7c=")</f>
        <v>#REF!</v>
      </c>
      <c r="GC209" t="e">
        <f>AND(#REF!,"AAAAAG/7T7g=")</f>
        <v>#REF!</v>
      </c>
      <c r="GD209" t="e">
        <f>AND(#REF!,"AAAAAG/7T7k=")</f>
        <v>#REF!</v>
      </c>
      <c r="GE209" t="e">
        <f>AND(#REF!,"AAAAAG/7T7o=")</f>
        <v>#REF!</v>
      </c>
      <c r="GF209" t="e">
        <f>IF(#REF!,"AAAAAG/7T7s=",0)</f>
        <v>#REF!</v>
      </c>
      <c r="GG209" t="e">
        <f>AND(#REF!,"AAAAAG/7T7w=")</f>
        <v>#REF!</v>
      </c>
      <c r="GH209" t="e">
        <f>AND(#REF!,"AAAAAG/7T70=")</f>
        <v>#REF!</v>
      </c>
      <c r="GI209" t="e">
        <f>AND(#REF!,"AAAAAG/7T74=")</f>
        <v>#REF!</v>
      </c>
      <c r="GJ209" t="e">
        <f>AND(#REF!,"AAAAAG/7T78=")</f>
        <v>#REF!</v>
      </c>
      <c r="GK209" t="e">
        <f>AND(#REF!,"AAAAAG/7T8A=")</f>
        <v>#REF!</v>
      </c>
      <c r="GL209" t="e">
        <f>AND(#REF!,"AAAAAG/7T8E=")</f>
        <v>#REF!</v>
      </c>
      <c r="GM209" t="e">
        <f>AND(#REF!,"AAAAAG/7T8I=")</f>
        <v>#REF!</v>
      </c>
      <c r="GN209" t="e">
        <f>AND(#REF!,"AAAAAG/7T8M=")</f>
        <v>#REF!</v>
      </c>
      <c r="GO209" t="e">
        <f>AND(#REF!,"AAAAAG/7T8Q=")</f>
        <v>#REF!</v>
      </c>
      <c r="GP209" t="e">
        <f>AND(#REF!,"AAAAAG/7T8U=")</f>
        <v>#REF!</v>
      </c>
      <c r="GQ209" t="e">
        <f>AND(#REF!,"AAAAAG/7T8Y=")</f>
        <v>#REF!</v>
      </c>
      <c r="GR209" t="e">
        <f>AND(#REF!,"AAAAAG/7T8c=")</f>
        <v>#REF!</v>
      </c>
      <c r="GS209" t="e">
        <f>AND(#REF!,"AAAAAG/7T8g=")</f>
        <v>#REF!</v>
      </c>
      <c r="GT209" t="e">
        <f>AND(#REF!,"AAAAAG/7T8k=")</f>
        <v>#REF!</v>
      </c>
      <c r="GU209" t="e">
        <f>AND(#REF!,"AAAAAG/7T8o=")</f>
        <v>#REF!</v>
      </c>
      <c r="GV209" t="e">
        <f>AND(#REF!,"AAAAAG/7T8s=")</f>
        <v>#REF!</v>
      </c>
      <c r="GW209" t="e">
        <f>AND(#REF!,"AAAAAG/7T8w=")</f>
        <v>#REF!</v>
      </c>
      <c r="GX209" t="e">
        <f>AND(#REF!,"AAAAAG/7T80=")</f>
        <v>#REF!</v>
      </c>
      <c r="GY209" t="e">
        <f>AND(#REF!,"AAAAAG/7T84=")</f>
        <v>#REF!</v>
      </c>
      <c r="GZ209" t="e">
        <f>AND(#REF!,"AAAAAG/7T88=")</f>
        <v>#REF!</v>
      </c>
      <c r="HA209" t="e">
        <f>AND(#REF!,"AAAAAG/7T9A=")</f>
        <v>#REF!</v>
      </c>
      <c r="HB209" t="e">
        <f>AND(#REF!,"AAAAAG/7T9E=")</f>
        <v>#REF!</v>
      </c>
      <c r="HC209" t="e">
        <f>AND(#REF!,"AAAAAG/7T9I=")</f>
        <v>#REF!</v>
      </c>
      <c r="HD209" t="e">
        <f>AND(#REF!,"AAAAAG/7T9M=")</f>
        <v>#REF!</v>
      </c>
      <c r="HE209" t="e">
        <f>AND(#REF!,"AAAAAG/7T9Q=")</f>
        <v>#REF!</v>
      </c>
      <c r="HF209" t="e">
        <f>AND(#REF!,"AAAAAG/7T9U=")</f>
        <v>#REF!</v>
      </c>
      <c r="HG209" t="e">
        <f>AND(#REF!,"AAAAAG/7T9Y=")</f>
        <v>#REF!</v>
      </c>
      <c r="HH209" t="e">
        <f>AND(#REF!,"AAAAAG/7T9c=")</f>
        <v>#REF!</v>
      </c>
      <c r="HI209" t="e">
        <f>AND(#REF!,"AAAAAG/7T9g=")</f>
        <v>#REF!</v>
      </c>
      <c r="HJ209" t="e">
        <f>AND(#REF!,"AAAAAG/7T9k=")</f>
        <v>#REF!</v>
      </c>
      <c r="HK209" t="e">
        <f>AND(#REF!,"AAAAAG/7T9o=")</f>
        <v>#REF!</v>
      </c>
      <c r="HL209" t="e">
        <f>AND(#REF!,"AAAAAG/7T9s=")</f>
        <v>#REF!</v>
      </c>
      <c r="HM209" t="e">
        <f>AND(#REF!,"AAAAAG/7T9w=")</f>
        <v>#REF!</v>
      </c>
      <c r="HN209" t="e">
        <f>IF(#REF!,"AAAAAG/7T90=",0)</f>
        <v>#REF!</v>
      </c>
      <c r="HO209" t="e">
        <f>AND(#REF!,"AAAAAG/7T94=")</f>
        <v>#REF!</v>
      </c>
      <c r="HP209" t="e">
        <f>AND(#REF!,"AAAAAG/7T98=")</f>
        <v>#REF!</v>
      </c>
      <c r="HQ209" t="e">
        <f>AND(#REF!,"AAAAAG/7T+A=")</f>
        <v>#REF!</v>
      </c>
      <c r="HR209" t="e">
        <f>AND(#REF!,"AAAAAG/7T+E=")</f>
        <v>#REF!</v>
      </c>
      <c r="HS209" t="e">
        <f>AND(#REF!,"AAAAAG/7T+I=")</f>
        <v>#REF!</v>
      </c>
      <c r="HT209" t="e">
        <f>AND(#REF!,"AAAAAG/7T+M=")</f>
        <v>#REF!</v>
      </c>
      <c r="HU209" t="e">
        <f>AND(#REF!,"AAAAAG/7T+Q=")</f>
        <v>#REF!</v>
      </c>
      <c r="HV209" t="e">
        <f>AND(#REF!,"AAAAAG/7T+U=")</f>
        <v>#REF!</v>
      </c>
      <c r="HW209" t="e">
        <f>AND(#REF!,"AAAAAG/7T+Y=")</f>
        <v>#REF!</v>
      </c>
      <c r="HX209" t="e">
        <f>AND(#REF!,"AAAAAG/7T+c=")</f>
        <v>#REF!</v>
      </c>
      <c r="HY209" t="e">
        <f>AND(#REF!,"AAAAAG/7T+g=")</f>
        <v>#REF!</v>
      </c>
      <c r="HZ209" t="e">
        <f>AND(#REF!,"AAAAAG/7T+k=")</f>
        <v>#REF!</v>
      </c>
      <c r="IA209" t="e">
        <f>AND(#REF!,"AAAAAG/7T+o=")</f>
        <v>#REF!</v>
      </c>
      <c r="IB209" t="e">
        <f>AND(#REF!,"AAAAAG/7T+s=")</f>
        <v>#REF!</v>
      </c>
      <c r="IC209" t="e">
        <f>AND(#REF!,"AAAAAG/7T+w=")</f>
        <v>#REF!</v>
      </c>
      <c r="ID209" t="e">
        <f>AND(#REF!,"AAAAAG/7T+0=")</f>
        <v>#REF!</v>
      </c>
      <c r="IE209" t="e">
        <f>AND(#REF!,"AAAAAG/7T+4=")</f>
        <v>#REF!</v>
      </c>
      <c r="IF209" t="e">
        <f>AND(#REF!,"AAAAAG/7T+8=")</f>
        <v>#REF!</v>
      </c>
      <c r="IG209" t="e">
        <f>AND(#REF!,"AAAAAG/7T/A=")</f>
        <v>#REF!</v>
      </c>
      <c r="IH209" t="e">
        <f>AND(#REF!,"AAAAAG/7T/E=")</f>
        <v>#REF!</v>
      </c>
      <c r="II209" t="e">
        <f>AND(#REF!,"AAAAAG/7T/I=")</f>
        <v>#REF!</v>
      </c>
      <c r="IJ209" t="e">
        <f>AND(#REF!,"AAAAAG/7T/M=")</f>
        <v>#REF!</v>
      </c>
      <c r="IK209" t="e">
        <f>AND(#REF!,"AAAAAG/7T/Q=")</f>
        <v>#REF!</v>
      </c>
      <c r="IL209" t="e">
        <f>AND(#REF!,"AAAAAG/7T/U=")</f>
        <v>#REF!</v>
      </c>
      <c r="IM209" t="e">
        <f>AND(#REF!,"AAAAAG/7T/Y=")</f>
        <v>#REF!</v>
      </c>
      <c r="IN209" t="e">
        <f>AND(#REF!,"AAAAAG/7T/c=")</f>
        <v>#REF!</v>
      </c>
      <c r="IO209" t="e">
        <f>AND(#REF!,"AAAAAG/7T/g=")</f>
        <v>#REF!</v>
      </c>
      <c r="IP209" t="e">
        <f>AND(#REF!,"AAAAAG/7T/k=")</f>
        <v>#REF!</v>
      </c>
      <c r="IQ209" t="e">
        <f>AND(#REF!,"AAAAAG/7T/o=")</f>
        <v>#REF!</v>
      </c>
      <c r="IR209" t="e">
        <f>AND(#REF!,"AAAAAG/7T/s=")</f>
        <v>#REF!</v>
      </c>
      <c r="IS209" t="e">
        <f>AND(#REF!,"AAAAAG/7T/w=")</f>
        <v>#REF!</v>
      </c>
      <c r="IT209" t="e">
        <f>AND(#REF!,"AAAAAG/7T/0=")</f>
        <v>#REF!</v>
      </c>
      <c r="IU209" t="e">
        <f>AND(#REF!,"AAAAAG/7T/4=")</f>
        <v>#REF!</v>
      </c>
      <c r="IV209" t="e">
        <f>IF(#REF!,"AAAAAG/7T/8=",0)</f>
        <v>#REF!</v>
      </c>
    </row>
    <row r="210" spans="1:256" x14ac:dyDescent="0.2">
      <c r="A210" t="e">
        <f>AND(#REF!,"AAAAAH5e/gA=")</f>
        <v>#REF!</v>
      </c>
      <c r="B210" t="e">
        <f>AND(#REF!,"AAAAAH5e/gE=")</f>
        <v>#REF!</v>
      </c>
      <c r="C210" t="e">
        <f>AND(#REF!,"AAAAAH5e/gI=")</f>
        <v>#REF!</v>
      </c>
      <c r="D210" t="e">
        <f>AND(#REF!,"AAAAAH5e/gM=")</f>
        <v>#REF!</v>
      </c>
      <c r="E210" t="e">
        <f>AND(#REF!,"AAAAAH5e/gQ=")</f>
        <v>#REF!</v>
      </c>
      <c r="F210" t="e">
        <f>AND(#REF!,"AAAAAH5e/gU=")</f>
        <v>#REF!</v>
      </c>
      <c r="G210" t="e">
        <f>AND(#REF!,"AAAAAH5e/gY=")</f>
        <v>#REF!</v>
      </c>
      <c r="H210" t="e">
        <f>AND(#REF!,"AAAAAH5e/gc=")</f>
        <v>#REF!</v>
      </c>
      <c r="I210" t="e">
        <f>AND(#REF!,"AAAAAH5e/gg=")</f>
        <v>#REF!</v>
      </c>
      <c r="J210" t="e">
        <f>AND(#REF!,"AAAAAH5e/gk=")</f>
        <v>#REF!</v>
      </c>
      <c r="K210" t="e">
        <f>AND(#REF!,"AAAAAH5e/go=")</f>
        <v>#REF!</v>
      </c>
      <c r="L210" t="e">
        <f>AND(#REF!,"AAAAAH5e/gs=")</f>
        <v>#REF!</v>
      </c>
      <c r="M210" t="e">
        <f>AND(#REF!,"AAAAAH5e/gw=")</f>
        <v>#REF!</v>
      </c>
      <c r="N210" t="e">
        <f>AND(#REF!,"AAAAAH5e/g0=")</f>
        <v>#REF!</v>
      </c>
      <c r="O210" t="e">
        <f>AND(#REF!,"AAAAAH5e/g4=")</f>
        <v>#REF!</v>
      </c>
      <c r="P210" t="e">
        <f>AND(#REF!,"AAAAAH5e/g8=")</f>
        <v>#REF!</v>
      </c>
      <c r="Q210" t="e">
        <f>AND(#REF!,"AAAAAH5e/hA=")</f>
        <v>#REF!</v>
      </c>
      <c r="R210" t="e">
        <f>AND(#REF!,"AAAAAH5e/hE=")</f>
        <v>#REF!</v>
      </c>
      <c r="S210" t="e">
        <f>AND(#REF!,"AAAAAH5e/hI=")</f>
        <v>#REF!</v>
      </c>
      <c r="T210" t="e">
        <f>AND(#REF!,"AAAAAH5e/hM=")</f>
        <v>#REF!</v>
      </c>
      <c r="U210" t="e">
        <f>AND(#REF!,"AAAAAH5e/hQ=")</f>
        <v>#REF!</v>
      </c>
      <c r="V210" t="e">
        <f>AND(#REF!,"AAAAAH5e/hU=")</f>
        <v>#REF!</v>
      </c>
      <c r="W210" t="e">
        <f>AND(#REF!,"AAAAAH5e/hY=")</f>
        <v>#REF!</v>
      </c>
      <c r="X210" t="e">
        <f>AND(#REF!,"AAAAAH5e/hc=")</f>
        <v>#REF!</v>
      </c>
      <c r="Y210" t="e">
        <f>AND(#REF!,"AAAAAH5e/hg=")</f>
        <v>#REF!</v>
      </c>
      <c r="Z210" t="e">
        <f>AND(#REF!,"AAAAAH5e/hk=")</f>
        <v>#REF!</v>
      </c>
      <c r="AA210" t="e">
        <f>AND(#REF!,"AAAAAH5e/ho=")</f>
        <v>#REF!</v>
      </c>
      <c r="AB210" t="e">
        <f>AND(#REF!,"AAAAAH5e/hs=")</f>
        <v>#REF!</v>
      </c>
      <c r="AC210" t="e">
        <f>AND(#REF!,"AAAAAH5e/hw=")</f>
        <v>#REF!</v>
      </c>
      <c r="AD210" t="e">
        <f>AND(#REF!,"AAAAAH5e/h0=")</f>
        <v>#REF!</v>
      </c>
      <c r="AE210" t="e">
        <f>AND(#REF!,"AAAAAH5e/h4=")</f>
        <v>#REF!</v>
      </c>
      <c r="AF210" t="e">
        <f>AND(#REF!,"AAAAAH5e/h8=")</f>
        <v>#REF!</v>
      </c>
      <c r="AG210" t="e">
        <f>AND(#REF!,"AAAAAH5e/iA=")</f>
        <v>#REF!</v>
      </c>
      <c r="AH210" t="e">
        <f>IF(#REF!,"AAAAAH5e/iE=",0)</f>
        <v>#REF!</v>
      </c>
      <c r="AI210" t="e">
        <f>AND(#REF!,"AAAAAH5e/iI=")</f>
        <v>#REF!</v>
      </c>
      <c r="AJ210" t="e">
        <f>AND(#REF!,"AAAAAH5e/iM=")</f>
        <v>#REF!</v>
      </c>
      <c r="AK210" t="e">
        <f>AND(#REF!,"AAAAAH5e/iQ=")</f>
        <v>#REF!</v>
      </c>
      <c r="AL210" t="e">
        <f>AND(#REF!,"AAAAAH5e/iU=")</f>
        <v>#REF!</v>
      </c>
      <c r="AM210" t="e">
        <f>AND(#REF!,"AAAAAH5e/iY=")</f>
        <v>#REF!</v>
      </c>
      <c r="AN210" t="e">
        <f>AND(#REF!,"AAAAAH5e/ic=")</f>
        <v>#REF!</v>
      </c>
      <c r="AO210" t="e">
        <f>AND(#REF!,"AAAAAH5e/ig=")</f>
        <v>#REF!</v>
      </c>
      <c r="AP210" t="e">
        <f>AND(#REF!,"AAAAAH5e/ik=")</f>
        <v>#REF!</v>
      </c>
      <c r="AQ210" t="e">
        <f>AND(#REF!,"AAAAAH5e/io=")</f>
        <v>#REF!</v>
      </c>
      <c r="AR210" t="e">
        <f>AND(#REF!,"AAAAAH5e/is=")</f>
        <v>#REF!</v>
      </c>
      <c r="AS210" t="e">
        <f>AND(#REF!,"AAAAAH5e/iw=")</f>
        <v>#REF!</v>
      </c>
      <c r="AT210" t="e">
        <f>AND(#REF!,"AAAAAH5e/i0=")</f>
        <v>#REF!</v>
      </c>
      <c r="AU210" t="e">
        <f>AND(#REF!,"AAAAAH5e/i4=")</f>
        <v>#REF!</v>
      </c>
      <c r="AV210" t="e">
        <f>AND(#REF!,"AAAAAH5e/i8=")</f>
        <v>#REF!</v>
      </c>
      <c r="AW210" t="e">
        <f>AND(#REF!,"AAAAAH5e/jA=")</f>
        <v>#REF!</v>
      </c>
      <c r="AX210" t="e">
        <f>AND(#REF!,"AAAAAH5e/jE=")</f>
        <v>#REF!</v>
      </c>
      <c r="AY210" t="e">
        <f>AND(#REF!,"AAAAAH5e/jI=")</f>
        <v>#REF!</v>
      </c>
      <c r="AZ210" t="e">
        <f>AND(#REF!,"AAAAAH5e/jM=")</f>
        <v>#REF!</v>
      </c>
      <c r="BA210" t="e">
        <f>AND(#REF!,"AAAAAH5e/jQ=")</f>
        <v>#REF!</v>
      </c>
      <c r="BB210" t="e">
        <f>AND(#REF!,"AAAAAH5e/jU=")</f>
        <v>#REF!</v>
      </c>
      <c r="BC210" t="e">
        <f>AND(#REF!,"AAAAAH5e/jY=")</f>
        <v>#REF!</v>
      </c>
      <c r="BD210" t="e">
        <f>AND(#REF!,"AAAAAH5e/jc=")</f>
        <v>#REF!</v>
      </c>
      <c r="BE210" t="e">
        <f>AND(#REF!,"AAAAAH5e/jg=")</f>
        <v>#REF!</v>
      </c>
      <c r="BF210" t="e">
        <f>AND(#REF!,"AAAAAH5e/jk=")</f>
        <v>#REF!</v>
      </c>
      <c r="BG210" t="e">
        <f>AND(#REF!,"AAAAAH5e/jo=")</f>
        <v>#REF!</v>
      </c>
      <c r="BH210" t="e">
        <f>AND(#REF!,"AAAAAH5e/js=")</f>
        <v>#REF!</v>
      </c>
      <c r="BI210" t="e">
        <f>AND(#REF!,"AAAAAH5e/jw=")</f>
        <v>#REF!</v>
      </c>
      <c r="BJ210" t="e">
        <f>AND(#REF!,"AAAAAH5e/j0=")</f>
        <v>#REF!</v>
      </c>
      <c r="BK210" t="e">
        <f>AND(#REF!,"AAAAAH5e/j4=")</f>
        <v>#REF!</v>
      </c>
      <c r="BL210" t="e">
        <f>AND(#REF!,"AAAAAH5e/j8=")</f>
        <v>#REF!</v>
      </c>
      <c r="BM210" t="e">
        <f>AND(#REF!,"AAAAAH5e/kA=")</f>
        <v>#REF!</v>
      </c>
      <c r="BN210" t="e">
        <f>AND(#REF!,"AAAAAH5e/kE=")</f>
        <v>#REF!</v>
      </c>
      <c r="BO210" t="e">
        <f>AND(#REF!,"AAAAAH5e/kI=")</f>
        <v>#REF!</v>
      </c>
      <c r="BP210" t="e">
        <f>IF(#REF!,"AAAAAH5e/kM=",0)</f>
        <v>#REF!</v>
      </c>
      <c r="BQ210" t="e">
        <f>AND(#REF!,"AAAAAH5e/kQ=")</f>
        <v>#REF!</v>
      </c>
      <c r="BR210" t="e">
        <f>AND(#REF!,"AAAAAH5e/kU=")</f>
        <v>#REF!</v>
      </c>
      <c r="BS210" t="e">
        <f>AND(#REF!,"AAAAAH5e/kY=")</f>
        <v>#REF!</v>
      </c>
      <c r="BT210" t="e">
        <f>AND(#REF!,"AAAAAH5e/kc=")</f>
        <v>#REF!</v>
      </c>
      <c r="BU210" t="e">
        <f>AND(#REF!,"AAAAAH5e/kg=")</f>
        <v>#REF!</v>
      </c>
      <c r="BV210" t="e">
        <f>AND(#REF!,"AAAAAH5e/kk=")</f>
        <v>#REF!</v>
      </c>
      <c r="BW210" t="e">
        <f>AND(#REF!,"AAAAAH5e/ko=")</f>
        <v>#REF!</v>
      </c>
      <c r="BX210" t="e">
        <f>AND(#REF!,"AAAAAH5e/ks=")</f>
        <v>#REF!</v>
      </c>
      <c r="BY210" t="e">
        <f>AND(#REF!,"AAAAAH5e/kw=")</f>
        <v>#REF!</v>
      </c>
      <c r="BZ210" t="e">
        <f>AND(#REF!,"AAAAAH5e/k0=")</f>
        <v>#REF!</v>
      </c>
      <c r="CA210" t="e">
        <f>AND(#REF!,"AAAAAH5e/k4=")</f>
        <v>#REF!</v>
      </c>
      <c r="CB210" t="e">
        <f>AND(#REF!,"AAAAAH5e/k8=")</f>
        <v>#REF!</v>
      </c>
      <c r="CC210" t="e">
        <f>AND(#REF!,"AAAAAH5e/lA=")</f>
        <v>#REF!</v>
      </c>
      <c r="CD210" t="e">
        <f>AND(#REF!,"AAAAAH5e/lE=")</f>
        <v>#REF!</v>
      </c>
      <c r="CE210" t="e">
        <f>AND(#REF!,"AAAAAH5e/lI=")</f>
        <v>#REF!</v>
      </c>
      <c r="CF210" t="e">
        <f>AND(#REF!,"AAAAAH5e/lM=")</f>
        <v>#REF!</v>
      </c>
      <c r="CG210" t="e">
        <f>AND(#REF!,"AAAAAH5e/lQ=")</f>
        <v>#REF!</v>
      </c>
      <c r="CH210" t="e">
        <f>AND(#REF!,"AAAAAH5e/lU=")</f>
        <v>#REF!</v>
      </c>
      <c r="CI210" t="e">
        <f>AND(#REF!,"AAAAAH5e/lY=")</f>
        <v>#REF!</v>
      </c>
      <c r="CJ210" t="e">
        <f>AND(#REF!,"AAAAAH5e/lc=")</f>
        <v>#REF!</v>
      </c>
      <c r="CK210" t="e">
        <f>AND(#REF!,"AAAAAH5e/lg=")</f>
        <v>#REF!</v>
      </c>
      <c r="CL210" t="e">
        <f>AND(#REF!,"AAAAAH5e/lk=")</f>
        <v>#REF!</v>
      </c>
      <c r="CM210" t="e">
        <f>AND(#REF!,"AAAAAH5e/lo=")</f>
        <v>#REF!</v>
      </c>
      <c r="CN210" t="e">
        <f>AND(#REF!,"AAAAAH5e/ls=")</f>
        <v>#REF!</v>
      </c>
      <c r="CO210" t="e">
        <f>AND(#REF!,"AAAAAH5e/lw=")</f>
        <v>#REF!</v>
      </c>
      <c r="CP210" t="e">
        <f>AND(#REF!,"AAAAAH5e/l0=")</f>
        <v>#REF!</v>
      </c>
      <c r="CQ210" t="e">
        <f>AND(#REF!,"AAAAAH5e/l4=")</f>
        <v>#REF!</v>
      </c>
      <c r="CR210" t="e">
        <f>AND(#REF!,"AAAAAH5e/l8=")</f>
        <v>#REF!</v>
      </c>
      <c r="CS210" t="e">
        <f>AND(#REF!,"AAAAAH5e/mA=")</f>
        <v>#REF!</v>
      </c>
      <c r="CT210" t="e">
        <f>AND(#REF!,"AAAAAH5e/mE=")</f>
        <v>#REF!</v>
      </c>
      <c r="CU210" t="e">
        <f>AND(#REF!,"AAAAAH5e/mI=")</f>
        <v>#REF!</v>
      </c>
      <c r="CV210" t="e">
        <f>AND(#REF!,"AAAAAH5e/mM=")</f>
        <v>#REF!</v>
      </c>
      <c r="CW210" t="e">
        <f>AND(#REF!,"AAAAAH5e/mQ=")</f>
        <v>#REF!</v>
      </c>
      <c r="CX210" t="e">
        <f>IF(#REF!,"AAAAAH5e/mU=",0)</f>
        <v>#REF!</v>
      </c>
      <c r="CY210" t="e">
        <f>AND(#REF!,"AAAAAH5e/mY=")</f>
        <v>#REF!</v>
      </c>
      <c r="CZ210" t="e">
        <f>AND(#REF!,"AAAAAH5e/mc=")</f>
        <v>#REF!</v>
      </c>
      <c r="DA210" t="e">
        <f>AND(#REF!,"AAAAAH5e/mg=")</f>
        <v>#REF!</v>
      </c>
      <c r="DB210" t="e">
        <f>AND(#REF!,"AAAAAH5e/mk=")</f>
        <v>#REF!</v>
      </c>
      <c r="DC210" t="e">
        <f>AND(#REF!,"AAAAAH5e/mo=")</f>
        <v>#REF!</v>
      </c>
      <c r="DD210" t="e">
        <f>AND(#REF!,"AAAAAH5e/ms=")</f>
        <v>#REF!</v>
      </c>
      <c r="DE210" t="e">
        <f>AND(#REF!,"AAAAAH5e/mw=")</f>
        <v>#REF!</v>
      </c>
      <c r="DF210" t="e">
        <f>AND(#REF!,"AAAAAH5e/m0=")</f>
        <v>#REF!</v>
      </c>
      <c r="DG210" t="e">
        <f>AND(#REF!,"AAAAAH5e/m4=")</f>
        <v>#REF!</v>
      </c>
      <c r="DH210" t="e">
        <f>AND(#REF!,"AAAAAH5e/m8=")</f>
        <v>#REF!</v>
      </c>
      <c r="DI210" t="e">
        <f>AND(#REF!,"AAAAAH5e/nA=")</f>
        <v>#REF!</v>
      </c>
      <c r="DJ210" t="e">
        <f>AND(#REF!,"AAAAAH5e/nE=")</f>
        <v>#REF!</v>
      </c>
      <c r="DK210" t="e">
        <f>AND(#REF!,"AAAAAH5e/nI=")</f>
        <v>#REF!</v>
      </c>
      <c r="DL210" t="e">
        <f>AND(#REF!,"AAAAAH5e/nM=")</f>
        <v>#REF!</v>
      </c>
      <c r="DM210" t="e">
        <f>AND(#REF!,"AAAAAH5e/nQ=")</f>
        <v>#REF!</v>
      </c>
      <c r="DN210" t="e">
        <f>AND(#REF!,"AAAAAH5e/nU=")</f>
        <v>#REF!</v>
      </c>
      <c r="DO210" t="e">
        <f>AND(#REF!,"AAAAAH5e/nY=")</f>
        <v>#REF!</v>
      </c>
      <c r="DP210" t="e">
        <f>AND(#REF!,"AAAAAH5e/nc=")</f>
        <v>#REF!</v>
      </c>
      <c r="DQ210" t="e">
        <f>AND(#REF!,"AAAAAH5e/ng=")</f>
        <v>#REF!</v>
      </c>
      <c r="DR210" t="e">
        <f>AND(#REF!,"AAAAAH5e/nk=")</f>
        <v>#REF!</v>
      </c>
      <c r="DS210" t="e">
        <f>AND(#REF!,"AAAAAH5e/no=")</f>
        <v>#REF!</v>
      </c>
      <c r="DT210" t="e">
        <f>AND(#REF!,"AAAAAH5e/ns=")</f>
        <v>#REF!</v>
      </c>
      <c r="DU210" t="e">
        <f>AND(#REF!,"AAAAAH5e/nw=")</f>
        <v>#REF!</v>
      </c>
      <c r="DV210" t="e">
        <f>AND(#REF!,"AAAAAH5e/n0=")</f>
        <v>#REF!</v>
      </c>
      <c r="DW210" t="e">
        <f>AND(#REF!,"AAAAAH5e/n4=")</f>
        <v>#REF!</v>
      </c>
      <c r="DX210" t="e">
        <f>AND(#REF!,"AAAAAH5e/n8=")</f>
        <v>#REF!</v>
      </c>
      <c r="DY210" t="e">
        <f>AND(#REF!,"AAAAAH5e/oA=")</f>
        <v>#REF!</v>
      </c>
      <c r="DZ210" t="e">
        <f>AND(#REF!,"AAAAAH5e/oE=")</f>
        <v>#REF!</v>
      </c>
      <c r="EA210" t="e">
        <f>AND(#REF!,"AAAAAH5e/oI=")</f>
        <v>#REF!</v>
      </c>
      <c r="EB210" t="e">
        <f>AND(#REF!,"AAAAAH5e/oM=")</f>
        <v>#REF!</v>
      </c>
      <c r="EC210" t="e">
        <f>AND(#REF!,"AAAAAH5e/oQ=")</f>
        <v>#REF!</v>
      </c>
      <c r="ED210" t="e">
        <f>AND(#REF!,"AAAAAH5e/oU=")</f>
        <v>#REF!</v>
      </c>
      <c r="EE210" t="e">
        <f>AND(#REF!,"AAAAAH5e/oY=")</f>
        <v>#REF!</v>
      </c>
      <c r="EF210" t="e">
        <f>IF(#REF!,"AAAAAH5e/oc=",0)</f>
        <v>#REF!</v>
      </c>
      <c r="EG210" t="e">
        <f>AND(#REF!,"AAAAAH5e/og=")</f>
        <v>#REF!</v>
      </c>
      <c r="EH210" t="e">
        <f>AND(#REF!,"AAAAAH5e/ok=")</f>
        <v>#REF!</v>
      </c>
      <c r="EI210" t="e">
        <f>AND(#REF!,"AAAAAH5e/oo=")</f>
        <v>#REF!</v>
      </c>
      <c r="EJ210" t="e">
        <f>AND(#REF!,"AAAAAH5e/os=")</f>
        <v>#REF!</v>
      </c>
      <c r="EK210" t="e">
        <f>AND(#REF!,"AAAAAH5e/ow=")</f>
        <v>#REF!</v>
      </c>
      <c r="EL210" t="e">
        <f>AND(#REF!,"AAAAAH5e/o0=")</f>
        <v>#REF!</v>
      </c>
      <c r="EM210" t="e">
        <f>AND(#REF!,"AAAAAH5e/o4=")</f>
        <v>#REF!</v>
      </c>
      <c r="EN210" t="e">
        <f>AND(#REF!,"AAAAAH5e/o8=")</f>
        <v>#REF!</v>
      </c>
      <c r="EO210" t="e">
        <f>AND(#REF!,"AAAAAH5e/pA=")</f>
        <v>#REF!</v>
      </c>
      <c r="EP210" t="e">
        <f>AND(#REF!,"AAAAAH5e/pE=")</f>
        <v>#REF!</v>
      </c>
      <c r="EQ210" t="e">
        <f>AND(#REF!,"AAAAAH5e/pI=")</f>
        <v>#REF!</v>
      </c>
      <c r="ER210" t="e">
        <f>AND(#REF!,"AAAAAH5e/pM=")</f>
        <v>#REF!</v>
      </c>
      <c r="ES210" t="e">
        <f>AND(#REF!,"AAAAAH5e/pQ=")</f>
        <v>#REF!</v>
      </c>
      <c r="ET210" t="e">
        <f>AND(#REF!,"AAAAAH5e/pU=")</f>
        <v>#REF!</v>
      </c>
      <c r="EU210" t="e">
        <f>AND(#REF!,"AAAAAH5e/pY=")</f>
        <v>#REF!</v>
      </c>
      <c r="EV210" t="e">
        <f>AND(#REF!,"AAAAAH5e/pc=")</f>
        <v>#REF!</v>
      </c>
      <c r="EW210" t="e">
        <f>AND(#REF!,"AAAAAH5e/pg=")</f>
        <v>#REF!</v>
      </c>
      <c r="EX210" t="e">
        <f>AND(#REF!,"AAAAAH5e/pk=")</f>
        <v>#REF!</v>
      </c>
      <c r="EY210" t="e">
        <f>AND(#REF!,"AAAAAH5e/po=")</f>
        <v>#REF!</v>
      </c>
      <c r="EZ210" t="e">
        <f>AND(#REF!,"AAAAAH5e/ps=")</f>
        <v>#REF!</v>
      </c>
      <c r="FA210" t="e">
        <f>AND(#REF!,"AAAAAH5e/pw=")</f>
        <v>#REF!</v>
      </c>
      <c r="FB210" t="e">
        <f>AND(#REF!,"AAAAAH5e/p0=")</f>
        <v>#REF!</v>
      </c>
      <c r="FC210" t="e">
        <f>AND(#REF!,"AAAAAH5e/p4=")</f>
        <v>#REF!</v>
      </c>
      <c r="FD210" t="e">
        <f>AND(#REF!,"AAAAAH5e/p8=")</f>
        <v>#REF!</v>
      </c>
      <c r="FE210" t="e">
        <f>AND(#REF!,"AAAAAH5e/qA=")</f>
        <v>#REF!</v>
      </c>
      <c r="FF210" t="e">
        <f>AND(#REF!,"AAAAAH5e/qE=")</f>
        <v>#REF!</v>
      </c>
      <c r="FG210" t="e">
        <f>AND(#REF!,"AAAAAH5e/qI=")</f>
        <v>#REF!</v>
      </c>
      <c r="FH210" t="e">
        <f>AND(#REF!,"AAAAAH5e/qM=")</f>
        <v>#REF!</v>
      </c>
      <c r="FI210" t="e">
        <f>AND(#REF!,"AAAAAH5e/qQ=")</f>
        <v>#REF!</v>
      </c>
      <c r="FJ210" t="e">
        <f>AND(#REF!,"AAAAAH5e/qU=")</f>
        <v>#REF!</v>
      </c>
      <c r="FK210" t="e">
        <f>AND(#REF!,"AAAAAH5e/qY=")</f>
        <v>#REF!</v>
      </c>
      <c r="FL210" t="e">
        <f>AND(#REF!,"AAAAAH5e/qc=")</f>
        <v>#REF!</v>
      </c>
      <c r="FM210" t="e">
        <f>AND(#REF!,"AAAAAH5e/qg=")</f>
        <v>#REF!</v>
      </c>
      <c r="FN210" t="e">
        <f>IF(#REF!,"AAAAAH5e/qk=",0)</f>
        <v>#REF!</v>
      </c>
      <c r="FO210" t="e">
        <f>AND(#REF!,"AAAAAH5e/qo=")</f>
        <v>#REF!</v>
      </c>
      <c r="FP210" t="e">
        <f>AND(#REF!,"AAAAAH5e/qs=")</f>
        <v>#REF!</v>
      </c>
      <c r="FQ210" t="e">
        <f>AND(#REF!,"AAAAAH5e/qw=")</f>
        <v>#REF!</v>
      </c>
      <c r="FR210" t="e">
        <f>AND(#REF!,"AAAAAH5e/q0=")</f>
        <v>#REF!</v>
      </c>
      <c r="FS210" t="e">
        <f>AND(#REF!,"AAAAAH5e/q4=")</f>
        <v>#REF!</v>
      </c>
      <c r="FT210" t="e">
        <f>AND(#REF!,"AAAAAH5e/q8=")</f>
        <v>#REF!</v>
      </c>
      <c r="FU210" t="e">
        <f>AND(#REF!,"AAAAAH5e/rA=")</f>
        <v>#REF!</v>
      </c>
      <c r="FV210" t="e">
        <f>AND(#REF!,"AAAAAH5e/rE=")</f>
        <v>#REF!</v>
      </c>
      <c r="FW210" t="e">
        <f>AND(#REF!,"AAAAAH5e/rI=")</f>
        <v>#REF!</v>
      </c>
      <c r="FX210" t="e">
        <f>AND(#REF!,"AAAAAH5e/rM=")</f>
        <v>#REF!</v>
      </c>
      <c r="FY210" t="e">
        <f>AND(#REF!,"AAAAAH5e/rQ=")</f>
        <v>#REF!</v>
      </c>
      <c r="FZ210" t="e">
        <f>AND(#REF!,"AAAAAH5e/rU=")</f>
        <v>#REF!</v>
      </c>
      <c r="GA210" t="e">
        <f>AND(#REF!,"AAAAAH5e/rY=")</f>
        <v>#REF!</v>
      </c>
      <c r="GB210" t="e">
        <f>AND(#REF!,"AAAAAH5e/rc=")</f>
        <v>#REF!</v>
      </c>
      <c r="GC210" t="e">
        <f>AND(#REF!,"AAAAAH5e/rg=")</f>
        <v>#REF!</v>
      </c>
      <c r="GD210" t="e">
        <f>AND(#REF!,"AAAAAH5e/rk=")</f>
        <v>#REF!</v>
      </c>
      <c r="GE210" t="e">
        <f>AND(#REF!,"AAAAAH5e/ro=")</f>
        <v>#REF!</v>
      </c>
      <c r="GF210" t="e">
        <f>AND(#REF!,"AAAAAH5e/rs=")</f>
        <v>#REF!</v>
      </c>
      <c r="GG210" t="e">
        <f>AND(#REF!,"AAAAAH5e/rw=")</f>
        <v>#REF!</v>
      </c>
      <c r="GH210" t="e">
        <f>AND(#REF!,"AAAAAH5e/r0=")</f>
        <v>#REF!</v>
      </c>
      <c r="GI210" t="e">
        <f>AND(#REF!,"AAAAAH5e/r4=")</f>
        <v>#REF!</v>
      </c>
      <c r="GJ210" t="e">
        <f>AND(#REF!,"AAAAAH5e/r8=")</f>
        <v>#REF!</v>
      </c>
      <c r="GK210" t="e">
        <f>AND(#REF!,"AAAAAH5e/sA=")</f>
        <v>#REF!</v>
      </c>
      <c r="GL210" t="e">
        <f>AND(#REF!,"AAAAAH5e/sE=")</f>
        <v>#REF!</v>
      </c>
      <c r="GM210" t="e">
        <f>AND(#REF!,"AAAAAH5e/sI=")</f>
        <v>#REF!</v>
      </c>
      <c r="GN210" t="e">
        <f>AND(#REF!,"AAAAAH5e/sM=")</f>
        <v>#REF!</v>
      </c>
      <c r="GO210" t="e">
        <f>AND(#REF!,"AAAAAH5e/sQ=")</f>
        <v>#REF!</v>
      </c>
      <c r="GP210" t="e">
        <f>AND(#REF!,"AAAAAH5e/sU=")</f>
        <v>#REF!</v>
      </c>
      <c r="GQ210" t="e">
        <f>AND(#REF!,"AAAAAH5e/sY=")</f>
        <v>#REF!</v>
      </c>
      <c r="GR210" t="e">
        <f>AND(#REF!,"AAAAAH5e/sc=")</f>
        <v>#REF!</v>
      </c>
      <c r="GS210" t="e">
        <f>AND(#REF!,"AAAAAH5e/sg=")</f>
        <v>#REF!</v>
      </c>
      <c r="GT210" t="e">
        <f>AND(#REF!,"AAAAAH5e/sk=")</f>
        <v>#REF!</v>
      </c>
      <c r="GU210" t="e">
        <f>AND(#REF!,"AAAAAH5e/so=")</f>
        <v>#REF!</v>
      </c>
      <c r="GV210" t="e">
        <f>IF(#REF!,"AAAAAH5e/ss=",0)</f>
        <v>#REF!</v>
      </c>
      <c r="GW210" t="e">
        <f>AND(#REF!,"AAAAAH5e/sw=")</f>
        <v>#REF!</v>
      </c>
      <c r="GX210" t="e">
        <f>AND(#REF!,"AAAAAH5e/s0=")</f>
        <v>#REF!</v>
      </c>
      <c r="GY210" t="e">
        <f>AND(#REF!,"AAAAAH5e/s4=")</f>
        <v>#REF!</v>
      </c>
      <c r="GZ210" t="e">
        <f>AND(#REF!,"AAAAAH5e/s8=")</f>
        <v>#REF!</v>
      </c>
      <c r="HA210" t="e">
        <f>AND(#REF!,"AAAAAH5e/tA=")</f>
        <v>#REF!</v>
      </c>
      <c r="HB210" t="e">
        <f>AND(#REF!,"AAAAAH5e/tE=")</f>
        <v>#REF!</v>
      </c>
      <c r="HC210" t="e">
        <f>AND(#REF!,"AAAAAH5e/tI=")</f>
        <v>#REF!</v>
      </c>
      <c r="HD210" t="e">
        <f>AND(#REF!,"AAAAAH5e/tM=")</f>
        <v>#REF!</v>
      </c>
      <c r="HE210" t="e">
        <f>AND(#REF!,"AAAAAH5e/tQ=")</f>
        <v>#REF!</v>
      </c>
      <c r="HF210" t="e">
        <f>AND(#REF!,"AAAAAH5e/tU=")</f>
        <v>#REF!</v>
      </c>
      <c r="HG210" t="e">
        <f>AND(#REF!,"AAAAAH5e/tY=")</f>
        <v>#REF!</v>
      </c>
      <c r="HH210" t="e">
        <f>AND(#REF!,"AAAAAH5e/tc=")</f>
        <v>#REF!</v>
      </c>
      <c r="HI210" t="e">
        <f>AND(#REF!,"AAAAAH5e/tg=")</f>
        <v>#REF!</v>
      </c>
      <c r="HJ210" t="e">
        <f>AND(#REF!,"AAAAAH5e/tk=")</f>
        <v>#REF!</v>
      </c>
      <c r="HK210" t="e">
        <f>AND(#REF!,"AAAAAH5e/to=")</f>
        <v>#REF!</v>
      </c>
      <c r="HL210" t="e">
        <f>AND(#REF!,"AAAAAH5e/ts=")</f>
        <v>#REF!</v>
      </c>
      <c r="HM210" t="e">
        <f>AND(#REF!,"AAAAAH5e/tw=")</f>
        <v>#REF!</v>
      </c>
      <c r="HN210" t="e">
        <f>AND(#REF!,"AAAAAH5e/t0=")</f>
        <v>#REF!</v>
      </c>
      <c r="HO210" t="e">
        <f>AND(#REF!,"AAAAAH5e/t4=")</f>
        <v>#REF!</v>
      </c>
      <c r="HP210" t="e">
        <f>AND(#REF!,"AAAAAH5e/t8=")</f>
        <v>#REF!</v>
      </c>
      <c r="HQ210" t="e">
        <f>AND(#REF!,"AAAAAH5e/uA=")</f>
        <v>#REF!</v>
      </c>
      <c r="HR210" t="e">
        <f>AND(#REF!,"AAAAAH5e/uE=")</f>
        <v>#REF!</v>
      </c>
      <c r="HS210" t="e">
        <f>AND(#REF!,"AAAAAH5e/uI=")</f>
        <v>#REF!</v>
      </c>
      <c r="HT210" t="e">
        <f>AND(#REF!,"AAAAAH5e/uM=")</f>
        <v>#REF!</v>
      </c>
      <c r="HU210" t="e">
        <f>AND(#REF!,"AAAAAH5e/uQ=")</f>
        <v>#REF!</v>
      </c>
      <c r="HV210" t="e">
        <f>AND(#REF!,"AAAAAH5e/uU=")</f>
        <v>#REF!</v>
      </c>
      <c r="HW210" t="e">
        <f>AND(#REF!,"AAAAAH5e/uY=")</f>
        <v>#REF!</v>
      </c>
      <c r="HX210" t="e">
        <f>AND(#REF!,"AAAAAH5e/uc=")</f>
        <v>#REF!</v>
      </c>
      <c r="HY210" t="e">
        <f>AND(#REF!,"AAAAAH5e/ug=")</f>
        <v>#REF!</v>
      </c>
      <c r="HZ210" t="e">
        <f>AND(#REF!,"AAAAAH5e/uk=")</f>
        <v>#REF!</v>
      </c>
      <c r="IA210" t="e">
        <f>AND(#REF!,"AAAAAH5e/uo=")</f>
        <v>#REF!</v>
      </c>
      <c r="IB210" t="e">
        <f>AND(#REF!,"AAAAAH5e/us=")</f>
        <v>#REF!</v>
      </c>
      <c r="IC210" t="e">
        <f>AND(#REF!,"AAAAAH5e/uw=")</f>
        <v>#REF!</v>
      </c>
      <c r="ID210" t="e">
        <f>IF(#REF!,"AAAAAH5e/u0=",0)</f>
        <v>#REF!</v>
      </c>
      <c r="IE210" t="e">
        <f>AND(#REF!,"AAAAAH5e/u4=")</f>
        <v>#REF!</v>
      </c>
      <c r="IF210" t="e">
        <f>AND(#REF!,"AAAAAH5e/u8=")</f>
        <v>#REF!</v>
      </c>
      <c r="IG210" t="e">
        <f>AND(#REF!,"AAAAAH5e/vA=")</f>
        <v>#REF!</v>
      </c>
      <c r="IH210" t="e">
        <f>AND(#REF!,"AAAAAH5e/vE=")</f>
        <v>#REF!</v>
      </c>
      <c r="II210" t="e">
        <f>AND(#REF!,"AAAAAH5e/vI=")</f>
        <v>#REF!</v>
      </c>
      <c r="IJ210" t="e">
        <f>AND(#REF!,"AAAAAH5e/vM=")</f>
        <v>#REF!</v>
      </c>
      <c r="IK210" t="e">
        <f>AND(#REF!,"AAAAAH5e/vQ=")</f>
        <v>#REF!</v>
      </c>
      <c r="IL210" t="e">
        <f>AND(#REF!,"AAAAAH5e/vU=")</f>
        <v>#REF!</v>
      </c>
      <c r="IM210" t="e">
        <f>AND(#REF!,"AAAAAH5e/vY=")</f>
        <v>#REF!</v>
      </c>
      <c r="IN210" t="e">
        <f>AND(#REF!,"AAAAAH5e/vc=")</f>
        <v>#REF!</v>
      </c>
      <c r="IO210" t="e">
        <f>AND(#REF!,"AAAAAH5e/vg=")</f>
        <v>#REF!</v>
      </c>
      <c r="IP210" t="e">
        <f>AND(#REF!,"AAAAAH5e/vk=")</f>
        <v>#REF!</v>
      </c>
      <c r="IQ210" t="e">
        <f>AND(#REF!,"AAAAAH5e/vo=")</f>
        <v>#REF!</v>
      </c>
      <c r="IR210" t="e">
        <f>AND(#REF!,"AAAAAH5e/vs=")</f>
        <v>#REF!</v>
      </c>
      <c r="IS210" t="e">
        <f>AND(#REF!,"AAAAAH5e/vw=")</f>
        <v>#REF!</v>
      </c>
      <c r="IT210" t="e">
        <f>AND(#REF!,"AAAAAH5e/v0=")</f>
        <v>#REF!</v>
      </c>
      <c r="IU210" t="e">
        <f>AND(#REF!,"AAAAAH5e/v4=")</f>
        <v>#REF!</v>
      </c>
      <c r="IV210" t="e">
        <f>AND(#REF!,"AAAAAH5e/v8=")</f>
        <v>#REF!</v>
      </c>
    </row>
    <row r="211" spans="1:256" x14ac:dyDescent="0.2">
      <c r="A211" t="e">
        <f>AND(#REF!,"AAAAAHP12wA=")</f>
        <v>#REF!</v>
      </c>
      <c r="B211" t="e">
        <f>AND(#REF!,"AAAAAHP12wE=")</f>
        <v>#REF!</v>
      </c>
      <c r="C211" t="e">
        <f>AND(#REF!,"AAAAAHP12wI=")</f>
        <v>#REF!</v>
      </c>
      <c r="D211" t="e">
        <f>AND(#REF!,"AAAAAHP12wM=")</f>
        <v>#REF!</v>
      </c>
      <c r="E211" t="e">
        <f>AND(#REF!,"AAAAAHP12wQ=")</f>
        <v>#REF!</v>
      </c>
      <c r="F211" t="e">
        <f>AND(#REF!,"AAAAAHP12wU=")</f>
        <v>#REF!</v>
      </c>
      <c r="G211" t="e">
        <f>AND(#REF!,"AAAAAHP12wY=")</f>
        <v>#REF!</v>
      </c>
      <c r="H211" t="e">
        <f>AND(#REF!,"AAAAAHP12wc=")</f>
        <v>#REF!</v>
      </c>
      <c r="I211" t="e">
        <f>AND(#REF!,"AAAAAHP12wg=")</f>
        <v>#REF!</v>
      </c>
      <c r="J211" t="e">
        <f>AND(#REF!,"AAAAAHP12wk=")</f>
        <v>#REF!</v>
      </c>
      <c r="K211" t="e">
        <f>AND(#REF!,"AAAAAHP12wo=")</f>
        <v>#REF!</v>
      </c>
      <c r="L211" t="e">
        <f>AND(#REF!,"AAAAAHP12ws=")</f>
        <v>#REF!</v>
      </c>
      <c r="M211" t="e">
        <f>AND(#REF!,"AAAAAHP12ww=")</f>
        <v>#REF!</v>
      </c>
      <c r="N211" t="e">
        <f>AND(#REF!,"AAAAAHP12w0=")</f>
        <v>#REF!</v>
      </c>
      <c r="O211" t="e">
        <f>AND(#REF!,"AAAAAHP12w4=")</f>
        <v>#REF!</v>
      </c>
      <c r="P211" t="e">
        <f>IF(#REF!,"AAAAAHP12w8=",0)</f>
        <v>#REF!</v>
      </c>
      <c r="Q211" t="e">
        <f>AND(#REF!,"AAAAAHP12xA=")</f>
        <v>#REF!</v>
      </c>
      <c r="R211" t="e">
        <f>AND(#REF!,"AAAAAHP12xE=")</f>
        <v>#REF!</v>
      </c>
      <c r="S211" t="e">
        <f>AND(#REF!,"AAAAAHP12xI=")</f>
        <v>#REF!</v>
      </c>
      <c r="T211" t="e">
        <f>AND(#REF!,"AAAAAHP12xM=")</f>
        <v>#REF!</v>
      </c>
      <c r="U211" t="e">
        <f>AND(#REF!,"AAAAAHP12xQ=")</f>
        <v>#REF!</v>
      </c>
      <c r="V211" t="e">
        <f>AND(#REF!,"AAAAAHP12xU=")</f>
        <v>#REF!</v>
      </c>
      <c r="W211" t="e">
        <f>AND(#REF!,"AAAAAHP12xY=")</f>
        <v>#REF!</v>
      </c>
      <c r="X211" t="e">
        <f>AND(#REF!,"AAAAAHP12xc=")</f>
        <v>#REF!</v>
      </c>
      <c r="Y211" t="e">
        <f>AND(#REF!,"AAAAAHP12xg=")</f>
        <v>#REF!</v>
      </c>
      <c r="Z211" t="e">
        <f>AND(#REF!,"AAAAAHP12xk=")</f>
        <v>#REF!</v>
      </c>
      <c r="AA211" t="e">
        <f>AND(#REF!,"AAAAAHP12xo=")</f>
        <v>#REF!</v>
      </c>
      <c r="AB211" t="e">
        <f>AND(#REF!,"AAAAAHP12xs=")</f>
        <v>#REF!</v>
      </c>
      <c r="AC211" t="e">
        <f>AND(#REF!,"AAAAAHP12xw=")</f>
        <v>#REF!</v>
      </c>
      <c r="AD211" t="e">
        <f>AND(#REF!,"AAAAAHP12x0=")</f>
        <v>#REF!</v>
      </c>
      <c r="AE211" t="e">
        <f>AND(#REF!,"AAAAAHP12x4=")</f>
        <v>#REF!</v>
      </c>
      <c r="AF211" t="e">
        <f>AND(#REF!,"AAAAAHP12x8=")</f>
        <v>#REF!</v>
      </c>
      <c r="AG211" t="e">
        <f>AND(#REF!,"AAAAAHP12yA=")</f>
        <v>#REF!</v>
      </c>
      <c r="AH211" t="e">
        <f>AND(#REF!,"AAAAAHP12yE=")</f>
        <v>#REF!</v>
      </c>
      <c r="AI211" t="e">
        <f>AND(#REF!,"AAAAAHP12yI=")</f>
        <v>#REF!</v>
      </c>
      <c r="AJ211" t="e">
        <f>AND(#REF!,"AAAAAHP12yM=")</f>
        <v>#REF!</v>
      </c>
      <c r="AK211" t="e">
        <f>AND(#REF!,"AAAAAHP12yQ=")</f>
        <v>#REF!</v>
      </c>
      <c r="AL211" t="e">
        <f>AND(#REF!,"AAAAAHP12yU=")</f>
        <v>#REF!</v>
      </c>
      <c r="AM211" t="e">
        <f>AND(#REF!,"AAAAAHP12yY=")</f>
        <v>#REF!</v>
      </c>
      <c r="AN211" t="e">
        <f>AND(#REF!,"AAAAAHP12yc=")</f>
        <v>#REF!</v>
      </c>
      <c r="AO211" t="e">
        <f>AND(#REF!,"AAAAAHP12yg=")</f>
        <v>#REF!</v>
      </c>
      <c r="AP211" t="e">
        <f>AND(#REF!,"AAAAAHP12yk=")</f>
        <v>#REF!</v>
      </c>
      <c r="AQ211" t="e">
        <f>AND(#REF!,"AAAAAHP12yo=")</f>
        <v>#REF!</v>
      </c>
      <c r="AR211" t="e">
        <f>AND(#REF!,"AAAAAHP12ys=")</f>
        <v>#REF!</v>
      </c>
      <c r="AS211" t="e">
        <f>AND(#REF!,"AAAAAHP12yw=")</f>
        <v>#REF!</v>
      </c>
      <c r="AT211" t="e">
        <f>AND(#REF!,"AAAAAHP12y0=")</f>
        <v>#REF!</v>
      </c>
      <c r="AU211" t="e">
        <f>AND(#REF!,"AAAAAHP12y4=")</f>
        <v>#REF!</v>
      </c>
      <c r="AV211" t="e">
        <f>AND(#REF!,"AAAAAHP12y8=")</f>
        <v>#REF!</v>
      </c>
      <c r="AW211" t="e">
        <f>AND(#REF!,"AAAAAHP12zA=")</f>
        <v>#REF!</v>
      </c>
      <c r="AX211" t="e">
        <f>IF(#REF!,"AAAAAHP12zE=",0)</f>
        <v>#REF!</v>
      </c>
      <c r="AY211" t="e">
        <f>AND(#REF!,"AAAAAHP12zI=")</f>
        <v>#REF!</v>
      </c>
      <c r="AZ211" t="e">
        <f>AND(#REF!,"AAAAAHP12zM=")</f>
        <v>#REF!</v>
      </c>
      <c r="BA211" t="e">
        <f>AND(#REF!,"AAAAAHP12zQ=")</f>
        <v>#REF!</v>
      </c>
      <c r="BB211" t="e">
        <f>AND(#REF!,"AAAAAHP12zU=")</f>
        <v>#REF!</v>
      </c>
      <c r="BC211" t="e">
        <f>AND(#REF!,"AAAAAHP12zY=")</f>
        <v>#REF!</v>
      </c>
      <c r="BD211" t="e">
        <f>AND(#REF!,"AAAAAHP12zc=")</f>
        <v>#REF!</v>
      </c>
      <c r="BE211" t="e">
        <f>AND(#REF!,"AAAAAHP12zg=")</f>
        <v>#REF!</v>
      </c>
      <c r="BF211" t="e">
        <f>AND(#REF!,"AAAAAHP12zk=")</f>
        <v>#REF!</v>
      </c>
      <c r="BG211" t="e">
        <f>AND(#REF!,"AAAAAHP12zo=")</f>
        <v>#REF!</v>
      </c>
      <c r="BH211" t="e">
        <f>AND(#REF!,"AAAAAHP12zs=")</f>
        <v>#REF!</v>
      </c>
      <c r="BI211" t="e">
        <f>AND(#REF!,"AAAAAHP12zw=")</f>
        <v>#REF!</v>
      </c>
      <c r="BJ211" t="e">
        <f>AND(#REF!,"AAAAAHP12z0=")</f>
        <v>#REF!</v>
      </c>
      <c r="BK211" t="e">
        <f>AND(#REF!,"AAAAAHP12z4=")</f>
        <v>#REF!</v>
      </c>
      <c r="BL211" t="e">
        <f>AND(#REF!,"AAAAAHP12z8=")</f>
        <v>#REF!</v>
      </c>
      <c r="BM211" t="e">
        <f>AND(#REF!,"AAAAAHP120A=")</f>
        <v>#REF!</v>
      </c>
      <c r="BN211" t="e">
        <f>AND(#REF!,"AAAAAHP120E=")</f>
        <v>#REF!</v>
      </c>
      <c r="BO211" t="e">
        <f>AND(#REF!,"AAAAAHP120I=")</f>
        <v>#REF!</v>
      </c>
      <c r="BP211" t="e">
        <f>AND(#REF!,"AAAAAHP120M=")</f>
        <v>#REF!</v>
      </c>
      <c r="BQ211" t="e">
        <f>AND(#REF!,"AAAAAHP120Q=")</f>
        <v>#REF!</v>
      </c>
      <c r="BR211" t="e">
        <f>AND(#REF!,"AAAAAHP120U=")</f>
        <v>#REF!</v>
      </c>
      <c r="BS211" t="e">
        <f>AND(#REF!,"AAAAAHP120Y=")</f>
        <v>#REF!</v>
      </c>
      <c r="BT211" t="e">
        <f>AND(#REF!,"AAAAAHP120c=")</f>
        <v>#REF!</v>
      </c>
      <c r="BU211" t="e">
        <f>AND(#REF!,"AAAAAHP120g=")</f>
        <v>#REF!</v>
      </c>
      <c r="BV211" t="e">
        <f>AND(#REF!,"AAAAAHP120k=")</f>
        <v>#REF!</v>
      </c>
      <c r="BW211" t="e">
        <f>AND(#REF!,"AAAAAHP120o=")</f>
        <v>#REF!</v>
      </c>
      <c r="BX211" t="e">
        <f>AND(#REF!,"AAAAAHP120s=")</f>
        <v>#REF!</v>
      </c>
      <c r="BY211" t="e">
        <f>AND(#REF!,"AAAAAHP120w=")</f>
        <v>#REF!</v>
      </c>
      <c r="BZ211" t="e">
        <f>AND(#REF!,"AAAAAHP1200=")</f>
        <v>#REF!</v>
      </c>
      <c r="CA211" t="e">
        <f>AND(#REF!,"AAAAAHP1204=")</f>
        <v>#REF!</v>
      </c>
      <c r="CB211" t="e">
        <f>AND(#REF!,"AAAAAHP1208=")</f>
        <v>#REF!</v>
      </c>
      <c r="CC211" t="e">
        <f>AND(#REF!,"AAAAAHP121A=")</f>
        <v>#REF!</v>
      </c>
      <c r="CD211" t="e">
        <f>AND(#REF!,"AAAAAHP121E=")</f>
        <v>#REF!</v>
      </c>
      <c r="CE211" t="e">
        <f>AND(#REF!,"AAAAAHP121I=")</f>
        <v>#REF!</v>
      </c>
      <c r="CF211" t="e">
        <f>IF(#REF!,"AAAAAHP121M=",0)</f>
        <v>#REF!</v>
      </c>
      <c r="CG211" t="e">
        <f>AND(#REF!,"AAAAAHP121Q=")</f>
        <v>#REF!</v>
      </c>
      <c r="CH211" t="e">
        <f>AND(#REF!,"AAAAAHP121U=")</f>
        <v>#REF!</v>
      </c>
      <c r="CI211" t="e">
        <f>AND(#REF!,"AAAAAHP121Y=")</f>
        <v>#REF!</v>
      </c>
      <c r="CJ211" t="e">
        <f>AND(#REF!,"AAAAAHP121c=")</f>
        <v>#REF!</v>
      </c>
      <c r="CK211" t="e">
        <f>AND(#REF!,"AAAAAHP121g=")</f>
        <v>#REF!</v>
      </c>
      <c r="CL211" t="e">
        <f>AND(#REF!,"AAAAAHP121k=")</f>
        <v>#REF!</v>
      </c>
      <c r="CM211" t="e">
        <f>AND(#REF!,"AAAAAHP121o=")</f>
        <v>#REF!</v>
      </c>
      <c r="CN211" t="e">
        <f>AND(#REF!,"AAAAAHP121s=")</f>
        <v>#REF!</v>
      </c>
      <c r="CO211" t="e">
        <f>AND(#REF!,"AAAAAHP121w=")</f>
        <v>#REF!</v>
      </c>
      <c r="CP211" t="e">
        <f>AND(#REF!,"AAAAAHP1210=")</f>
        <v>#REF!</v>
      </c>
      <c r="CQ211" t="e">
        <f>AND(#REF!,"AAAAAHP1214=")</f>
        <v>#REF!</v>
      </c>
      <c r="CR211" t="e">
        <f>AND(#REF!,"AAAAAHP1218=")</f>
        <v>#REF!</v>
      </c>
      <c r="CS211" t="e">
        <f>AND(#REF!,"AAAAAHP122A=")</f>
        <v>#REF!</v>
      </c>
      <c r="CT211" t="e">
        <f>AND(#REF!,"AAAAAHP122E=")</f>
        <v>#REF!</v>
      </c>
      <c r="CU211" t="e">
        <f>AND(#REF!,"AAAAAHP122I=")</f>
        <v>#REF!</v>
      </c>
      <c r="CV211" t="e">
        <f>AND(#REF!,"AAAAAHP122M=")</f>
        <v>#REF!</v>
      </c>
      <c r="CW211" t="e">
        <f>AND(#REF!,"AAAAAHP122Q=")</f>
        <v>#REF!</v>
      </c>
      <c r="CX211" t="e">
        <f>AND(#REF!,"AAAAAHP122U=")</f>
        <v>#REF!</v>
      </c>
      <c r="CY211" t="e">
        <f>AND(#REF!,"AAAAAHP122Y=")</f>
        <v>#REF!</v>
      </c>
      <c r="CZ211" t="e">
        <f>AND(#REF!,"AAAAAHP122c=")</f>
        <v>#REF!</v>
      </c>
      <c r="DA211" t="e">
        <f>AND(#REF!,"AAAAAHP122g=")</f>
        <v>#REF!</v>
      </c>
      <c r="DB211" t="e">
        <f>AND(#REF!,"AAAAAHP122k=")</f>
        <v>#REF!</v>
      </c>
      <c r="DC211" t="e">
        <f>AND(#REF!,"AAAAAHP122o=")</f>
        <v>#REF!</v>
      </c>
      <c r="DD211" t="e">
        <f>AND(#REF!,"AAAAAHP122s=")</f>
        <v>#REF!</v>
      </c>
      <c r="DE211" t="e">
        <f>AND(#REF!,"AAAAAHP122w=")</f>
        <v>#REF!</v>
      </c>
      <c r="DF211" t="e">
        <f>AND(#REF!,"AAAAAHP1220=")</f>
        <v>#REF!</v>
      </c>
      <c r="DG211" t="e">
        <f>AND(#REF!,"AAAAAHP1224=")</f>
        <v>#REF!</v>
      </c>
      <c r="DH211" t="e">
        <f>AND(#REF!,"AAAAAHP1228=")</f>
        <v>#REF!</v>
      </c>
      <c r="DI211" t="e">
        <f>AND(#REF!,"AAAAAHP123A=")</f>
        <v>#REF!</v>
      </c>
      <c r="DJ211" t="e">
        <f>AND(#REF!,"AAAAAHP123E=")</f>
        <v>#REF!</v>
      </c>
      <c r="DK211" t="e">
        <f>AND(#REF!,"AAAAAHP123I=")</f>
        <v>#REF!</v>
      </c>
      <c r="DL211" t="e">
        <f>AND(#REF!,"AAAAAHP123M=")</f>
        <v>#REF!</v>
      </c>
      <c r="DM211" t="e">
        <f>AND(#REF!,"AAAAAHP123Q=")</f>
        <v>#REF!</v>
      </c>
      <c r="DN211" t="e">
        <f>IF(#REF!,"AAAAAHP123U=",0)</f>
        <v>#REF!</v>
      </c>
      <c r="DO211" t="e">
        <f>AND(#REF!,"AAAAAHP123Y=")</f>
        <v>#REF!</v>
      </c>
      <c r="DP211" t="e">
        <f>AND(#REF!,"AAAAAHP123c=")</f>
        <v>#REF!</v>
      </c>
      <c r="DQ211" t="e">
        <f>AND(#REF!,"AAAAAHP123g=")</f>
        <v>#REF!</v>
      </c>
      <c r="DR211" t="e">
        <f>AND(#REF!,"AAAAAHP123k=")</f>
        <v>#REF!</v>
      </c>
      <c r="DS211" t="e">
        <f>AND(#REF!,"AAAAAHP123o=")</f>
        <v>#REF!</v>
      </c>
      <c r="DT211" t="e">
        <f>AND(#REF!,"AAAAAHP123s=")</f>
        <v>#REF!</v>
      </c>
      <c r="DU211" t="e">
        <f>AND(#REF!,"AAAAAHP123w=")</f>
        <v>#REF!</v>
      </c>
      <c r="DV211" t="e">
        <f>AND(#REF!,"AAAAAHP1230=")</f>
        <v>#REF!</v>
      </c>
      <c r="DW211" t="e">
        <f>AND(#REF!,"AAAAAHP1234=")</f>
        <v>#REF!</v>
      </c>
      <c r="DX211" t="e">
        <f>AND(#REF!,"AAAAAHP1238=")</f>
        <v>#REF!</v>
      </c>
      <c r="DY211" t="e">
        <f>AND(#REF!,"AAAAAHP124A=")</f>
        <v>#REF!</v>
      </c>
      <c r="DZ211" t="e">
        <f>AND(#REF!,"AAAAAHP124E=")</f>
        <v>#REF!</v>
      </c>
      <c r="EA211" t="e">
        <f>AND(#REF!,"AAAAAHP124I=")</f>
        <v>#REF!</v>
      </c>
      <c r="EB211" t="e">
        <f>AND(#REF!,"AAAAAHP124M=")</f>
        <v>#REF!</v>
      </c>
      <c r="EC211" t="e">
        <f>AND(#REF!,"AAAAAHP124Q=")</f>
        <v>#REF!</v>
      </c>
      <c r="ED211" t="e">
        <f>AND(#REF!,"AAAAAHP124U=")</f>
        <v>#REF!</v>
      </c>
      <c r="EE211" t="e">
        <f>AND(#REF!,"AAAAAHP124Y=")</f>
        <v>#REF!</v>
      </c>
      <c r="EF211" t="e">
        <f>AND(#REF!,"AAAAAHP124c=")</f>
        <v>#REF!</v>
      </c>
      <c r="EG211" t="e">
        <f>AND(#REF!,"AAAAAHP124g=")</f>
        <v>#REF!</v>
      </c>
      <c r="EH211" t="e">
        <f>AND(#REF!,"AAAAAHP124k=")</f>
        <v>#REF!</v>
      </c>
      <c r="EI211" t="e">
        <f>AND(#REF!,"AAAAAHP124o=")</f>
        <v>#REF!</v>
      </c>
      <c r="EJ211" t="e">
        <f>AND(#REF!,"AAAAAHP124s=")</f>
        <v>#REF!</v>
      </c>
      <c r="EK211" t="e">
        <f>AND(#REF!,"AAAAAHP124w=")</f>
        <v>#REF!</v>
      </c>
      <c r="EL211" t="e">
        <f>AND(#REF!,"AAAAAHP1240=")</f>
        <v>#REF!</v>
      </c>
      <c r="EM211" t="e">
        <f>AND(#REF!,"AAAAAHP1244=")</f>
        <v>#REF!</v>
      </c>
      <c r="EN211" t="e">
        <f>AND(#REF!,"AAAAAHP1248=")</f>
        <v>#REF!</v>
      </c>
      <c r="EO211" t="e">
        <f>AND(#REF!,"AAAAAHP125A=")</f>
        <v>#REF!</v>
      </c>
      <c r="EP211" t="e">
        <f>AND(#REF!,"AAAAAHP125E=")</f>
        <v>#REF!</v>
      </c>
      <c r="EQ211" t="e">
        <f>AND(#REF!,"AAAAAHP125I=")</f>
        <v>#REF!</v>
      </c>
      <c r="ER211" t="e">
        <f>AND(#REF!,"AAAAAHP125M=")</f>
        <v>#REF!</v>
      </c>
      <c r="ES211" t="e">
        <f>AND(#REF!,"AAAAAHP125Q=")</f>
        <v>#REF!</v>
      </c>
      <c r="ET211" t="e">
        <f>AND(#REF!,"AAAAAHP125U=")</f>
        <v>#REF!</v>
      </c>
      <c r="EU211" t="e">
        <f>AND(#REF!,"AAAAAHP125Y=")</f>
        <v>#REF!</v>
      </c>
      <c r="EV211" t="e">
        <f>IF(#REF!,"AAAAAHP125c=",0)</f>
        <v>#REF!</v>
      </c>
      <c r="EW211" t="e">
        <f>AND(#REF!,"AAAAAHP125g=")</f>
        <v>#REF!</v>
      </c>
      <c r="EX211" t="e">
        <f>AND(#REF!,"AAAAAHP125k=")</f>
        <v>#REF!</v>
      </c>
      <c r="EY211" t="e">
        <f>AND(#REF!,"AAAAAHP125o=")</f>
        <v>#REF!</v>
      </c>
      <c r="EZ211" t="e">
        <f>AND(#REF!,"AAAAAHP125s=")</f>
        <v>#REF!</v>
      </c>
      <c r="FA211" t="e">
        <f>AND(#REF!,"AAAAAHP125w=")</f>
        <v>#REF!</v>
      </c>
      <c r="FB211" t="e">
        <f>AND(#REF!,"AAAAAHP1250=")</f>
        <v>#REF!</v>
      </c>
      <c r="FC211" t="e">
        <f>AND(#REF!,"AAAAAHP1254=")</f>
        <v>#REF!</v>
      </c>
      <c r="FD211" t="e">
        <f>AND(#REF!,"AAAAAHP1258=")</f>
        <v>#REF!</v>
      </c>
      <c r="FE211" t="e">
        <f>AND(#REF!,"AAAAAHP126A=")</f>
        <v>#REF!</v>
      </c>
      <c r="FF211" t="e">
        <f>AND(#REF!,"AAAAAHP126E=")</f>
        <v>#REF!</v>
      </c>
      <c r="FG211" t="e">
        <f>AND(#REF!,"AAAAAHP126I=")</f>
        <v>#REF!</v>
      </c>
      <c r="FH211" t="e">
        <f>AND(#REF!,"AAAAAHP126M=")</f>
        <v>#REF!</v>
      </c>
      <c r="FI211" t="e">
        <f>AND(#REF!,"AAAAAHP126Q=")</f>
        <v>#REF!</v>
      </c>
      <c r="FJ211" t="e">
        <f>AND(#REF!,"AAAAAHP126U=")</f>
        <v>#REF!</v>
      </c>
      <c r="FK211" t="e">
        <f>AND(#REF!,"AAAAAHP126Y=")</f>
        <v>#REF!</v>
      </c>
      <c r="FL211" t="e">
        <f>AND(#REF!,"AAAAAHP126c=")</f>
        <v>#REF!</v>
      </c>
      <c r="FM211" t="e">
        <f>AND(#REF!,"AAAAAHP126g=")</f>
        <v>#REF!</v>
      </c>
      <c r="FN211" t="e">
        <f>AND(#REF!,"AAAAAHP126k=")</f>
        <v>#REF!</v>
      </c>
      <c r="FO211" t="e">
        <f>AND(#REF!,"AAAAAHP126o=")</f>
        <v>#REF!</v>
      </c>
      <c r="FP211" t="e">
        <f>AND(#REF!,"AAAAAHP126s=")</f>
        <v>#REF!</v>
      </c>
      <c r="FQ211" t="e">
        <f>AND(#REF!,"AAAAAHP126w=")</f>
        <v>#REF!</v>
      </c>
      <c r="FR211" t="e">
        <f>AND(#REF!,"AAAAAHP1260=")</f>
        <v>#REF!</v>
      </c>
      <c r="FS211" t="e">
        <f>AND(#REF!,"AAAAAHP1264=")</f>
        <v>#REF!</v>
      </c>
      <c r="FT211" t="e">
        <f>AND(#REF!,"AAAAAHP1268=")</f>
        <v>#REF!</v>
      </c>
      <c r="FU211" t="e">
        <f>AND(#REF!,"AAAAAHP127A=")</f>
        <v>#REF!</v>
      </c>
      <c r="FV211" t="e">
        <f>AND(#REF!,"AAAAAHP127E=")</f>
        <v>#REF!</v>
      </c>
      <c r="FW211" t="e">
        <f>AND(#REF!,"AAAAAHP127I=")</f>
        <v>#REF!</v>
      </c>
      <c r="FX211" t="e">
        <f>AND(#REF!,"AAAAAHP127M=")</f>
        <v>#REF!</v>
      </c>
      <c r="FY211" t="e">
        <f>AND(#REF!,"AAAAAHP127Q=")</f>
        <v>#REF!</v>
      </c>
      <c r="FZ211" t="e">
        <f>AND(#REF!,"AAAAAHP127U=")</f>
        <v>#REF!</v>
      </c>
      <c r="GA211" t="e">
        <f>AND(#REF!,"AAAAAHP127Y=")</f>
        <v>#REF!</v>
      </c>
      <c r="GB211" t="e">
        <f>AND(#REF!,"AAAAAHP127c=")</f>
        <v>#REF!</v>
      </c>
      <c r="GC211" t="e">
        <f>AND(#REF!,"AAAAAHP127g=")</f>
        <v>#REF!</v>
      </c>
      <c r="GD211" t="e">
        <f>IF(#REF!,"AAAAAHP127k=",0)</f>
        <v>#REF!</v>
      </c>
      <c r="GE211" t="e">
        <f>AND(#REF!,"AAAAAHP127o=")</f>
        <v>#REF!</v>
      </c>
      <c r="GF211" t="e">
        <f>AND(#REF!,"AAAAAHP127s=")</f>
        <v>#REF!</v>
      </c>
      <c r="GG211" t="e">
        <f>AND(#REF!,"AAAAAHP127w=")</f>
        <v>#REF!</v>
      </c>
      <c r="GH211" t="e">
        <f>AND(#REF!,"AAAAAHP1270=")</f>
        <v>#REF!</v>
      </c>
      <c r="GI211" t="e">
        <f>AND(#REF!,"AAAAAHP1274=")</f>
        <v>#REF!</v>
      </c>
      <c r="GJ211" t="e">
        <f>AND(#REF!,"AAAAAHP1278=")</f>
        <v>#REF!</v>
      </c>
      <c r="GK211" t="e">
        <f>AND(#REF!,"AAAAAHP128A=")</f>
        <v>#REF!</v>
      </c>
      <c r="GL211" t="e">
        <f>AND(#REF!,"AAAAAHP128E=")</f>
        <v>#REF!</v>
      </c>
      <c r="GM211" t="e">
        <f>AND(#REF!,"AAAAAHP128I=")</f>
        <v>#REF!</v>
      </c>
      <c r="GN211" t="e">
        <f>AND(#REF!,"AAAAAHP128M=")</f>
        <v>#REF!</v>
      </c>
      <c r="GO211" t="e">
        <f>AND(#REF!,"AAAAAHP128Q=")</f>
        <v>#REF!</v>
      </c>
      <c r="GP211" t="e">
        <f>AND(#REF!,"AAAAAHP128U=")</f>
        <v>#REF!</v>
      </c>
      <c r="GQ211" t="e">
        <f>AND(#REF!,"AAAAAHP128Y=")</f>
        <v>#REF!</v>
      </c>
      <c r="GR211" t="e">
        <f>AND(#REF!,"AAAAAHP128c=")</f>
        <v>#REF!</v>
      </c>
      <c r="GS211" t="e">
        <f>AND(#REF!,"AAAAAHP128g=")</f>
        <v>#REF!</v>
      </c>
      <c r="GT211" t="e">
        <f>AND(#REF!,"AAAAAHP128k=")</f>
        <v>#REF!</v>
      </c>
      <c r="GU211" t="e">
        <f>AND(#REF!,"AAAAAHP128o=")</f>
        <v>#REF!</v>
      </c>
      <c r="GV211" t="e">
        <f>AND(#REF!,"AAAAAHP128s=")</f>
        <v>#REF!</v>
      </c>
      <c r="GW211" t="e">
        <f>AND(#REF!,"AAAAAHP128w=")</f>
        <v>#REF!</v>
      </c>
      <c r="GX211" t="e">
        <f>AND(#REF!,"AAAAAHP1280=")</f>
        <v>#REF!</v>
      </c>
      <c r="GY211" t="e">
        <f>AND(#REF!,"AAAAAHP1284=")</f>
        <v>#REF!</v>
      </c>
      <c r="GZ211" t="e">
        <f>AND(#REF!,"AAAAAHP1288=")</f>
        <v>#REF!</v>
      </c>
      <c r="HA211" t="e">
        <f>AND(#REF!,"AAAAAHP129A=")</f>
        <v>#REF!</v>
      </c>
      <c r="HB211" t="e">
        <f>AND(#REF!,"AAAAAHP129E=")</f>
        <v>#REF!</v>
      </c>
      <c r="HC211" t="e">
        <f>AND(#REF!,"AAAAAHP129I=")</f>
        <v>#REF!</v>
      </c>
      <c r="HD211" t="e">
        <f>AND(#REF!,"AAAAAHP129M=")</f>
        <v>#REF!</v>
      </c>
      <c r="HE211" t="e">
        <f>AND(#REF!,"AAAAAHP129Q=")</f>
        <v>#REF!</v>
      </c>
      <c r="HF211" t="e">
        <f>AND(#REF!,"AAAAAHP129U=")</f>
        <v>#REF!</v>
      </c>
      <c r="HG211" t="e">
        <f>AND(#REF!,"AAAAAHP129Y=")</f>
        <v>#REF!</v>
      </c>
      <c r="HH211" t="e">
        <f>AND(#REF!,"AAAAAHP129c=")</f>
        <v>#REF!</v>
      </c>
      <c r="HI211" t="e">
        <f>AND(#REF!,"AAAAAHP129g=")</f>
        <v>#REF!</v>
      </c>
      <c r="HJ211" t="e">
        <f>AND(#REF!,"AAAAAHP129k=")</f>
        <v>#REF!</v>
      </c>
      <c r="HK211" t="e">
        <f>AND(#REF!,"AAAAAHP129o=")</f>
        <v>#REF!</v>
      </c>
      <c r="HL211" t="e">
        <f>IF(#REF!,"AAAAAHP129s=",0)</f>
        <v>#REF!</v>
      </c>
      <c r="HM211" t="e">
        <f>AND(#REF!,"AAAAAHP129w=")</f>
        <v>#REF!</v>
      </c>
      <c r="HN211" t="e">
        <f>AND(#REF!,"AAAAAHP1290=")</f>
        <v>#REF!</v>
      </c>
      <c r="HO211" t="e">
        <f>AND(#REF!,"AAAAAHP1294=")</f>
        <v>#REF!</v>
      </c>
      <c r="HP211" t="e">
        <f>AND(#REF!,"AAAAAHP1298=")</f>
        <v>#REF!</v>
      </c>
      <c r="HQ211" t="e">
        <f>AND(#REF!,"AAAAAHP12+A=")</f>
        <v>#REF!</v>
      </c>
      <c r="HR211" t="e">
        <f>AND(#REF!,"AAAAAHP12+E=")</f>
        <v>#REF!</v>
      </c>
      <c r="HS211" t="e">
        <f>AND(#REF!,"AAAAAHP12+I=")</f>
        <v>#REF!</v>
      </c>
      <c r="HT211" t="e">
        <f>AND(#REF!,"AAAAAHP12+M=")</f>
        <v>#REF!</v>
      </c>
      <c r="HU211" t="e">
        <f>AND(#REF!,"AAAAAHP12+Q=")</f>
        <v>#REF!</v>
      </c>
      <c r="HV211" t="e">
        <f>AND(#REF!,"AAAAAHP12+U=")</f>
        <v>#REF!</v>
      </c>
      <c r="HW211" t="e">
        <f>AND(#REF!,"AAAAAHP12+Y=")</f>
        <v>#REF!</v>
      </c>
      <c r="HX211" t="e">
        <f>AND(#REF!,"AAAAAHP12+c=")</f>
        <v>#REF!</v>
      </c>
      <c r="HY211" t="e">
        <f>AND(#REF!,"AAAAAHP12+g=")</f>
        <v>#REF!</v>
      </c>
      <c r="HZ211" t="e">
        <f>AND(#REF!,"AAAAAHP12+k=")</f>
        <v>#REF!</v>
      </c>
      <c r="IA211" t="e">
        <f>AND(#REF!,"AAAAAHP12+o=")</f>
        <v>#REF!</v>
      </c>
      <c r="IB211" t="e">
        <f>AND(#REF!,"AAAAAHP12+s=")</f>
        <v>#REF!</v>
      </c>
      <c r="IC211" t="e">
        <f>AND(#REF!,"AAAAAHP12+w=")</f>
        <v>#REF!</v>
      </c>
      <c r="ID211" t="e">
        <f>AND(#REF!,"AAAAAHP12+0=")</f>
        <v>#REF!</v>
      </c>
      <c r="IE211" t="e">
        <f>AND(#REF!,"AAAAAHP12+4=")</f>
        <v>#REF!</v>
      </c>
      <c r="IF211" t="e">
        <f>AND(#REF!,"AAAAAHP12+8=")</f>
        <v>#REF!</v>
      </c>
      <c r="IG211" t="e">
        <f>AND(#REF!,"AAAAAHP12/A=")</f>
        <v>#REF!</v>
      </c>
      <c r="IH211" t="e">
        <f>AND(#REF!,"AAAAAHP12/E=")</f>
        <v>#REF!</v>
      </c>
      <c r="II211" t="e">
        <f>AND(#REF!,"AAAAAHP12/I=")</f>
        <v>#REF!</v>
      </c>
      <c r="IJ211" t="e">
        <f>AND(#REF!,"AAAAAHP12/M=")</f>
        <v>#REF!</v>
      </c>
      <c r="IK211" t="e">
        <f>AND(#REF!,"AAAAAHP12/Q=")</f>
        <v>#REF!</v>
      </c>
      <c r="IL211" t="e">
        <f>AND(#REF!,"AAAAAHP12/U=")</f>
        <v>#REF!</v>
      </c>
      <c r="IM211" t="e">
        <f>AND(#REF!,"AAAAAHP12/Y=")</f>
        <v>#REF!</v>
      </c>
      <c r="IN211" t="e">
        <f>AND(#REF!,"AAAAAHP12/c=")</f>
        <v>#REF!</v>
      </c>
      <c r="IO211" t="e">
        <f>AND(#REF!,"AAAAAHP12/g=")</f>
        <v>#REF!</v>
      </c>
      <c r="IP211" t="e">
        <f>AND(#REF!,"AAAAAHP12/k=")</f>
        <v>#REF!</v>
      </c>
      <c r="IQ211" t="e">
        <f>AND(#REF!,"AAAAAHP12/o=")</f>
        <v>#REF!</v>
      </c>
      <c r="IR211" t="e">
        <f>AND(#REF!,"AAAAAHP12/s=")</f>
        <v>#REF!</v>
      </c>
      <c r="IS211" t="e">
        <f>AND(#REF!,"AAAAAHP12/w=")</f>
        <v>#REF!</v>
      </c>
      <c r="IT211" t="e">
        <f>IF(#REF!,"AAAAAHP12/0=",0)</f>
        <v>#REF!</v>
      </c>
      <c r="IU211" t="e">
        <f>AND(#REF!,"AAAAAHP12/4=")</f>
        <v>#REF!</v>
      </c>
      <c r="IV211" t="e">
        <f>AND(#REF!,"AAAAAHP12/8=")</f>
        <v>#REF!</v>
      </c>
    </row>
    <row r="212" spans="1:256" x14ac:dyDescent="0.2">
      <c r="A212" t="e">
        <f>AND(#REF!,"AAAAAHevPwA=")</f>
        <v>#REF!</v>
      </c>
      <c r="B212" t="e">
        <f>AND(#REF!,"AAAAAHevPwE=")</f>
        <v>#REF!</v>
      </c>
      <c r="C212" t="e">
        <f>AND(#REF!,"AAAAAHevPwI=")</f>
        <v>#REF!</v>
      </c>
      <c r="D212" t="e">
        <f>AND(#REF!,"AAAAAHevPwM=")</f>
        <v>#REF!</v>
      </c>
      <c r="E212" t="e">
        <f>AND(#REF!,"AAAAAHevPwQ=")</f>
        <v>#REF!</v>
      </c>
      <c r="F212" t="e">
        <f>AND(#REF!,"AAAAAHevPwU=")</f>
        <v>#REF!</v>
      </c>
      <c r="G212" t="e">
        <f>AND(#REF!,"AAAAAHevPwY=")</f>
        <v>#REF!</v>
      </c>
      <c r="H212" t="e">
        <f>AND(#REF!,"AAAAAHevPwc=")</f>
        <v>#REF!</v>
      </c>
      <c r="I212" t="e">
        <f>AND(#REF!,"AAAAAHevPwg=")</f>
        <v>#REF!</v>
      </c>
      <c r="J212" t="e">
        <f>AND(#REF!,"AAAAAHevPwk=")</f>
        <v>#REF!</v>
      </c>
      <c r="K212" t="e">
        <f>AND(#REF!,"AAAAAHevPwo=")</f>
        <v>#REF!</v>
      </c>
      <c r="L212" t="e">
        <f>AND(#REF!,"AAAAAHevPws=")</f>
        <v>#REF!</v>
      </c>
      <c r="M212" t="e">
        <f>AND(#REF!,"AAAAAHevPww=")</f>
        <v>#REF!</v>
      </c>
      <c r="N212" t="e">
        <f>AND(#REF!,"AAAAAHevPw0=")</f>
        <v>#REF!</v>
      </c>
      <c r="O212" t="e">
        <f>AND(#REF!,"AAAAAHevPw4=")</f>
        <v>#REF!</v>
      </c>
      <c r="P212" t="e">
        <f>AND(#REF!,"AAAAAHevPw8=")</f>
        <v>#REF!</v>
      </c>
      <c r="Q212" t="e">
        <f>AND(#REF!,"AAAAAHevPxA=")</f>
        <v>#REF!</v>
      </c>
      <c r="R212" t="e">
        <f>AND(#REF!,"AAAAAHevPxE=")</f>
        <v>#REF!</v>
      </c>
      <c r="S212" t="e">
        <f>AND(#REF!,"AAAAAHevPxI=")</f>
        <v>#REF!</v>
      </c>
      <c r="T212" t="e">
        <f>AND(#REF!,"AAAAAHevPxM=")</f>
        <v>#REF!</v>
      </c>
      <c r="U212" t="e">
        <f>AND(#REF!,"AAAAAHevPxQ=")</f>
        <v>#REF!</v>
      </c>
      <c r="V212" t="e">
        <f>AND(#REF!,"AAAAAHevPxU=")</f>
        <v>#REF!</v>
      </c>
      <c r="W212" t="e">
        <f>AND(#REF!,"AAAAAHevPxY=")</f>
        <v>#REF!</v>
      </c>
      <c r="X212" t="e">
        <f>AND(#REF!,"AAAAAHevPxc=")</f>
        <v>#REF!</v>
      </c>
      <c r="Y212" t="e">
        <f>AND(#REF!,"AAAAAHevPxg=")</f>
        <v>#REF!</v>
      </c>
      <c r="Z212" t="e">
        <f>AND(#REF!,"AAAAAHevPxk=")</f>
        <v>#REF!</v>
      </c>
      <c r="AA212" t="e">
        <f>AND(#REF!,"AAAAAHevPxo=")</f>
        <v>#REF!</v>
      </c>
      <c r="AB212" t="e">
        <f>AND(#REF!,"AAAAAHevPxs=")</f>
        <v>#REF!</v>
      </c>
      <c r="AC212" t="e">
        <f>AND(#REF!,"AAAAAHevPxw=")</f>
        <v>#REF!</v>
      </c>
      <c r="AD212" t="e">
        <f>AND(#REF!,"AAAAAHevPx0=")</f>
        <v>#REF!</v>
      </c>
      <c r="AE212" t="e">
        <f>AND(#REF!,"AAAAAHevPx4=")</f>
        <v>#REF!</v>
      </c>
      <c r="AF212" t="e">
        <f>IF(#REF!,"AAAAAHevPx8=",0)</f>
        <v>#REF!</v>
      </c>
      <c r="AG212" t="e">
        <f>AND(#REF!,"AAAAAHevPyA=")</f>
        <v>#REF!</v>
      </c>
      <c r="AH212" t="e">
        <f>AND(#REF!,"AAAAAHevPyE=")</f>
        <v>#REF!</v>
      </c>
      <c r="AI212" t="e">
        <f>AND(#REF!,"AAAAAHevPyI=")</f>
        <v>#REF!</v>
      </c>
      <c r="AJ212" t="e">
        <f>AND(#REF!,"AAAAAHevPyM=")</f>
        <v>#REF!</v>
      </c>
      <c r="AK212" t="e">
        <f>AND(#REF!,"AAAAAHevPyQ=")</f>
        <v>#REF!</v>
      </c>
      <c r="AL212" t="e">
        <f>AND(#REF!,"AAAAAHevPyU=")</f>
        <v>#REF!</v>
      </c>
      <c r="AM212" t="e">
        <f>AND(#REF!,"AAAAAHevPyY=")</f>
        <v>#REF!</v>
      </c>
      <c r="AN212" t="e">
        <f>AND(#REF!,"AAAAAHevPyc=")</f>
        <v>#REF!</v>
      </c>
      <c r="AO212" t="e">
        <f>AND(#REF!,"AAAAAHevPyg=")</f>
        <v>#REF!</v>
      </c>
      <c r="AP212" t="e">
        <f>AND(#REF!,"AAAAAHevPyk=")</f>
        <v>#REF!</v>
      </c>
      <c r="AQ212" t="e">
        <f>AND(#REF!,"AAAAAHevPyo=")</f>
        <v>#REF!</v>
      </c>
      <c r="AR212" t="e">
        <f>AND(#REF!,"AAAAAHevPys=")</f>
        <v>#REF!</v>
      </c>
      <c r="AS212" t="e">
        <f>AND(#REF!,"AAAAAHevPyw=")</f>
        <v>#REF!</v>
      </c>
      <c r="AT212" t="e">
        <f>AND(#REF!,"AAAAAHevPy0=")</f>
        <v>#REF!</v>
      </c>
      <c r="AU212" t="e">
        <f>AND(#REF!,"AAAAAHevPy4=")</f>
        <v>#REF!</v>
      </c>
      <c r="AV212" t="e">
        <f>AND(#REF!,"AAAAAHevPy8=")</f>
        <v>#REF!</v>
      </c>
      <c r="AW212" t="e">
        <f>AND(#REF!,"AAAAAHevPzA=")</f>
        <v>#REF!</v>
      </c>
      <c r="AX212" t="e">
        <f>AND(#REF!,"AAAAAHevPzE=")</f>
        <v>#REF!</v>
      </c>
      <c r="AY212" t="e">
        <f>AND(#REF!,"AAAAAHevPzI=")</f>
        <v>#REF!</v>
      </c>
      <c r="AZ212" t="e">
        <f>AND(#REF!,"AAAAAHevPzM=")</f>
        <v>#REF!</v>
      </c>
      <c r="BA212" t="e">
        <f>AND(#REF!,"AAAAAHevPzQ=")</f>
        <v>#REF!</v>
      </c>
      <c r="BB212" t="e">
        <f>AND(#REF!,"AAAAAHevPzU=")</f>
        <v>#REF!</v>
      </c>
      <c r="BC212" t="e">
        <f>AND(#REF!,"AAAAAHevPzY=")</f>
        <v>#REF!</v>
      </c>
      <c r="BD212" t="e">
        <f>AND(#REF!,"AAAAAHevPzc=")</f>
        <v>#REF!</v>
      </c>
      <c r="BE212" t="e">
        <f>AND(#REF!,"AAAAAHevPzg=")</f>
        <v>#REF!</v>
      </c>
      <c r="BF212" t="e">
        <f>AND(#REF!,"AAAAAHevPzk=")</f>
        <v>#REF!</v>
      </c>
      <c r="BG212" t="e">
        <f>AND(#REF!,"AAAAAHevPzo=")</f>
        <v>#REF!</v>
      </c>
      <c r="BH212" t="e">
        <f>AND(#REF!,"AAAAAHevPzs=")</f>
        <v>#REF!</v>
      </c>
      <c r="BI212" t="e">
        <f>AND(#REF!,"AAAAAHevPzw=")</f>
        <v>#REF!</v>
      </c>
      <c r="BJ212" t="e">
        <f>AND(#REF!,"AAAAAHevPz0=")</f>
        <v>#REF!</v>
      </c>
      <c r="BK212" t="e">
        <f>AND(#REF!,"AAAAAHevPz4=")</f>
        <v>#REF!</v>
      </c>
      <c r="BL212" t="e">
        <f>AND(#REF!,"AAAAAHevPz8=")</f>
        <v>#REF!</v>
      </c>
      <c r="BM212" t="e">
        <f>AND(#REF!,"AAAAAHevP0A=")</f>
        <v>#REF!</v>
      </c>
      <c r="BN212" t="e">
        <f>IF(#REF!,"AAAAAHevP0E=",0)</f>
        <v>#REF!</v>
      </c>
      <c r="BO212" t="e">
        <f>AND(#REF!,"AAAAAHevP0I=")</f>
        <v>#REF!</v>
      </c>
      <c r="BP212" t="e">
        <f>AND(#REF!,"AAAAAHevP0M=")</f>
        <v>#REF!</v>
      </c>
      <c r="BQ212" t="e">
        <f>AND(#REF!,"AAAAAHevP0Q=")</f>
        <v>#REF!</v>
      </c>
      <c r="BR212" t="e">
        <f>AND(#REF!,"AAAAAHevP0U=")</f>
        <v>#REF!</v>
      </c>
      <c r="BS212" t="e">
        <f>AND(#REF!,"AAAAAHevP0Y=")</f>
        <v>#REF!</v>
      </c>
      <c r="BT212" t="e">
        <f>AND(#REF!,"AAAAAHevP0c=")</f>
        <v>#REF!</v>
      </c>
      <c r="BU212" t="e">
        <f>AND(#REF!,"AAAAAHevP0g=")</f>
        <v>#REF!</v>
      </c>
      <c r="BV212" t="e">
        <f>AND(#REF!,"AAAAAHevP0k=")</f>
        <v>#REF!</v>
      </c>
      <c r="BW212" t="e">
        <f>AND(#REF!,"AAAAAHevP0o=")</f>
        <v>#REF!</v>
      </c>
      <c r="BX212" t="e">
        <f>AND(#REF!,"AAAAAHevP0s=")</f>
        <v>#REF!</v>
      </c>
      <c r="BY212" t="e">
        <f>AND(#REF!,"AAAAAHevP0w=")</f>
        <v>#REF!</v>
      </c>
      <c r="BZ212" t="e">
        <f>AND(#REF!,"AAAAAHevP00=")</f>
        <v>#REF!</v>
      </c>
      <c r="CA212" t="e">
        <f>AND(#REF!,"AAAAAHevP04=")</f>
        <v>#REF!</v>
      </c>
      <c r="CB212" t="e">
        <f>AND(#REF!,"AAAAAHevP08=")</f>
        <v>#REF!</v>
      </c>
      <c r="CC212" t="e">
        <f>AND(#REF!,"AAAAAHevP1A=")</f>
        <v>#REF!</v>
      </c>
      <c r="CD212" t="e">
        <f>AND(#REF!,"AAAAAHevP1E=")</f>
        <v>#REF!</v>
      </c>
      <c r="CE212" t="e">
        <f>AND(#REF!,"AAAAAHevP1I=")</f>
        <v>#REF!</v>
      </c>
      <c r="CF212" t="e">
        <f>AND(#REF!,"AAAAAHevP1M=")</f>
        <v>#REF!</v>
      </c>
      <c r="CG212" t="e">
        <f>AND(#REF!,"AAAAAHevP1Q=")</f>
        <v>#REF!</v>
      </c>
      <c r="CH212" t="e">
        <f>AND(#REF!,"AAAAAHevP1U=")</f>
        <v>#REF!</v>
      </c>
      <c r="CI212" t="e">
        <f>AND(#REF!,"AAAAAHevP1Y=")</f>
        <v>#REF!</v>
      </c>
      <c r="CJ212" t="e">
        <f>AND(#REF!,"AAAAAHevP1c=")</f>
        <v>#REF!</v>
      </c>
      <c r="CK212" t="e">
        <f>AND(#REF!,"AAAAAHevP1g=")</f>
        <v>#REF!</v>
      </c>
      <c r="CL212" t="e">
        <f>AND(#REF!,"AAAAAHevP1k=")</f>
        <v>#REF!</v>
      </c>
      <c r="CM212" t="e">
        <f>AND(#REF!,"AAAAAHevP1o=")</f>
        <v>#REF!</v>
      </c>
      <c r="CN212" t="e">
        <f>AND(#REF!,"AAAAAHevP1s=")</f>
        <v>#REF!</v>
      </c>
      <c r="CO212" t="e">
        <f>AND(#REF!,"AAAAAHevP1w=")</f>
        <v>#REF!</v>
      </c>
      <c r="CP212" t="e">
        <f>AND(#REF!,"AAAAAHevP10=")</f>
        <v>#REF!</v>
      </c>
      <c r="CQ212" t="e">
        <f>AND(#REF!,"AAAAAHevP14=")</f>
        <v>#REF!</v>
      </c>
      <c r="CR212" t="e">
        <f>AND(#REF!,"AAAAAHevP18=")</f>
        <v>#REF!</v>
      </c>
      <c r="CS212" t="e">
        <f>AND(#REF!,"AAAAAHevP2A=")</f>
        <v>#REF!</v>
      </c>
      <c r="CT212" t="e">
        <f>AND(#REF!,"AAAAAHevP2E=")</f>
        <v>#REF!</v>
      </c>
      <c r="CU212" t="e">
        <f>AND(#REF!,"AAAAAHevP2I=")</f>
        <v>#REF!</v>
      </c>
      <c r="CV212" t="e">
        <f>IF(#REF!,"AAAAAHevP2M=",0)</f>
        <v>#REF!</v>
      </c>
      <c r="CW212" t="e">
        <f>AND(#REF!,"AAAAAHevP2Q=")</f>
        <v>#REF!</v>
      </c>
      <c r="CX212" t="e">
        <f>AND(#REF!,"AAAAAHevP2U=")</f>
        <v>#REF!</v>
      </c>
      <c r="CY212" t="e">
        <f>AND(#REF!,"AAAAAHevP2Y=")</f>
        <v>#REF!</v>
      </c>
      <c r="CZ212" t="e">
        <f>AND(#REF!,"AAAAAHevP2c=")</f>
        <v>#REF!</v>
      </c>
      <c r="DA212" t="e">
        <f>AND(#REF!,"AAAAAHevP2g=")</f>
        <v>#REF!</v>
      </c>
      <c r="DB212" t="e">
        <f>AND(#REF!,"AAAAAHevP2k=")</f>
        <v>#REF!</v>
      </c>
      <c r="DC212" t="e">
        <f>AND(#REF!,"AAAAAHevP2o=")</f>
        <v>#REF!</v>
      </c>
      <c r="DD212" t="e">
        <f>AND(#REF!,"AAAAAHevP2s=")</f>
        <v>#REF!</v>
      </c>
      <c r="DE212" t="e">
        <f>AND(#REF!,"AAAAAHevP2w=")</f>
        <v>#REF!</v>
      </c>
      <c r="DF212" t="e">
        <f>AND(#REF!,"AAAAAHevP20=")</f>
        <v>#REF!</v>
      </c>
      <c r="DG212" t="e">
        <f>AND(#REF!,"AAAAAHevP24=")</f>
        <v>#REF!</v>
      </c>
      <c r="DH212" t="e">
        <f>AND(#REF!,"AAAAAHevP28=")</f>
        <v>#REF!</v>
      </c>
      <c r="DI212" t="e">
        <f>AND(#REF!,"AAAAAHevP3A=")</f>
        <v>#REF!</v>
      </c>
      <c r="DJ212" t="e">
        <f>AND(#REF!,"AAAAAHevP3E=")</f>
        <v>#REF!</v>
      </c>
      <c r="DK212" t="e">
        <f>AND(#REF!,"AAAAAHevP3I=")</f>
        <v>#REF!</v>
      </c>
      <c r="DL212" t="e">
        <f>AND(#REF!,"AAAAAHevP3M=")</f>
        <v>#REF!</v>
      </c>
      <c r="DM212" t="e">
        <f>AND(#REF!,"AAAAAHevP3Q=")</f>
        <v>#REF!</v>
      </c>
      <c r="DN212" t="e">
        <f>AND(#REF!,"AAAAAHevP3U=")</f>
        <v>#REF!</v>
      </c>
      <c r="DO212" t="e">
        <f>AND(#REF!,"AAAAAHevP3Y=")</f>
        <v>#REF!</v>
      </c>
      <c r="DP212" t="e">
        <f>AND(#REF!,"AAAAAHevP3c=")</f>
        <v>#REF!</v>
      </c>
      <c r="DQ212" t="e">
        <f>AND(#REF!,"AAAAAHevP3g=")</f>
        <v>#REF!</v>
      </c>
      <c r="DR212" t="e">
        <f>AND(#REF!,"AAAAAHevP3k=")</f>
        <v>#REF!</v>
      </c>
      <c r="DS212" t="e">
        <f>AND(#REF!,"AAAAAHevP3o=")</f>
        <v>#REF!</v>
      </c>
      <c r="DT212" t="e">
        <f>AND(#REF!,"AAAAAHevP3s=")</f>
        <v>#REF!</v>
      </c>
      <c r="DU212" t="e">
        <f>AND(#REF!,"AAAAAHevP3w=")</f>
        <v>#REF!</v>
      </c>
      <c r="DV212" t="e">
        <f>AND(#REF!,"AAAAAHevP30=")</f>
        <v>#REF!</v>
      </c>
      <c r="DW212" t="e">
        <f>AND(#REF!,"AAAAAHevP34=")</f>
        <v>#REF!</v>
      </c>
      <c r="DX212" t="e">
        <f>AND(#REF!,"AAAAAHevP38=")</f>
        <v>#REF!</v>
      </c>
      <c r="DY212" t="e">
        <f>AND(#REF!,"AAAAAHevP4A=")</f>
        <v>#REF!</v>
      </c>
      <c r="DZ212" t="e">
        <f>AND(#REF!,"AAAAAHevP4E=")</f>
        <v>#REF!</v>
      </c>
      <c r="EA212" t="e">
        <f>AND(#REF!,"AAAAAHevP4I=")</f>
        <v>#REF!</v>
      </c>
      <c r="EB212" t="e">
        <f>AND(#REF!,"AAAAAHevP4M=")</f>
        <v>#REF!</v>
      </c>
      <c r="EC212" t="e">
        <f>AND(#REF!,"AAAAAHevP4Q=")</f>
        <v>#REF!</v>
      </c>
      <c r="ED212" t="e">
        <f>IF(#REF!,"AAAAAHevP4U=",0)</f>
        <v>#REF!</v>
      </c>
      <c r="EE212" t="e">
        <f>AND(#REF!,"AAAAAHevP4Y=")</f>
        <v>#REF!</v>
      </c>
      <c r="EF212" t="e">
        <f>AND(#REF!,"AAAAAHevP4c=")</f>
        <v>#REF!</v>
      </c>
      <c r="EG212" t="e">
        <f>AND(#REF!,"AAAAAHevP4g=")</f>
        <v>#REF!</v>
      </c>
      <c r="EH212" t="e">
        <f>AND(#REF!,"AAAAAHevP4k=")</f>
        <v>#REF!</v>
      </c>
      <c r="EI212" t="e">
        <f>AND(#REF!,"AAAAAHevP4o=")</f>
        <v>#REF!</v>
      </c>
      <c r="EJ212" t="e">
        <f>AND(#REF!,"AAAAAHevP4s=")</f>
        <v>#REF!</v>
      </c>
      <c r="EK212" t="e">
        <f>AND(#REF!,"AAAAAHevP4w=")</f>
        <v>#REF!</v>
      </c>
      <c r="EL212" t="e">
        <f>AND(#REF!,"AAAAAHevP40=")</f>
        <v>#REF!</v>
      </c>
      <c r="EM212" t="e">
        <f>AND(#REF!,"AAAAAHevP44=")</f>
        <v>#REF!</v>
      </c>
      <c r="EN212" t="e">
        <f>AND(#REF!,"AAAAAHevP48=")</f>
        <v>#REF!</v>
      </c>
      <c r="EO212" t="e">
        <f>AND(#REF!,"AAAAAHevP5A=")</f>
        <v>#REF!</v>
      </c>
      <c r="EP212" t="e">
        <f>AND(#REF!,"AAAAAHevP5E=")</f>
        <v>#REF!</v>
      </c>
      <c r="EQ212" t="e">
        <f>AND(#REF!,"AAAAAHevP5I=")</f>
        <v>#REF!</v>
      </c>
      <c r="ER212" t="e">
        <f>AND(#REF!,"AAAAAHevP5M=")</f>
        <v>#REF!</v>
      </c>
      <c r="ES212" t="e">
        <f>AND(#REF!,"AAAAAHevP5Q=")</f>
        <v>#REF!</v>
      </c>
      <c r="ET212" t="e">
        <f>AND(#REF!,"AAAAAHevP5U=")</f>
        <v>#REF!</v>
      </c>
      <c r="EU212" t="e">
        <f>AND(#REF!,"AAAAAHevP5Y=")</f>
        <v>#REF!</v>
      </c>
      <c r="EV212" t="e">
        <f>AND(#REF!,"AAAAAHevP5c=")</f>
        <v>#REF!</v>
      </c>
      <c r="EW212" t="e">
        <f>AND(#REF!,"AAAAAHevP5g=")</f>
        <v>#REF!</v>
      </c>
      <c r="EX212" t="e">
        <f>AND(#REF!,"AAAAAHevP5k=")</f>
        <v>#REF!</v>
      </c>
      <c r="EY212" t="e">
        <f>AND(#REF!,"AAAAAHevP5o=")</f>
        <v>#REF!</v>
      </c>
      <c r="EZ212" t="e">
        <f>AND(#REF!,"AAAAAHevP5s=")</f>
        <v>#REF!</v>
      </c>
      <c r="FA212" t="e">
        <f>AND(#REF!,"AAAAAHevP5w=")</f>
        <v>#REF!</v>
      </c>
      <c r="FB212" t="e">
        <f>AND(#REF!,"AAAAAHevP50=")</f>
        <v>#REF!</v>
      </c>
      <c r="FC212" t="e">
        <f>AND(#REF!,"AAAAAHevP54=")</f>
        <v>#REF!</v>
      </c>
      <c r="FD212" t="e">
        <f>AND(#REF!,"AAAAAHevP58=")</f>
        <v>#REF!</v>
      </c>
      <c r="FE212" t="e">
        <f>AND(#REF!,"AAAAAHevP6A=")</f>
        <v>#REF!</v>
      </c>
      <c r="FF212" t="e">
        <f>AND(#REF!,"AAAAAHevP6E=")</f>
        <v>#REF!</v>
      </c>
      <c r="FG212" t="e">
        <f>AND(#REF!,"AAAAAHevP6I=")</f>
        <v>#REF!</v>
      </c>
      <c r="FH212" t="e">
        <f>AND(#REF!,"AAAAAHevP6M=")</f>
        <v>#REF!</v>
      </c>
      <c r="FI212" t="e">
        <f>AND(#REF!,"AAAAAHevP6Q=")</f>
        <v>#REF!</v>
      </c>
      <c r="FJ212" t="e">
        <f>AND(#REF!,"AAAAAHevP6U=")</f>
        <v>#REF!</v>
      </c>
      <c r="FK212" t="e">
        <f>AND(#REF!,"AAAAAHevP6Y=")</f>
        <v>#REF!</v>
      </c>
      <c r="FL212" t="e">
        <f>IF(#REF!,"AAAAAHevP6c=",0)</f>
        <v>#REF!</v>
      </c>
      <c r="FM212" t="e">
        <f>AND(#REF!,"AAAAAHevP6g=")</f>
        <v>#REF!</v>
      </c>
      <c r="FN212" t="e">
        <f>AND(#REF!,"AAAAAHevP6k=")</f>
        <v>#REF!</v>
      </c>
      <c r="FO212" t="e">
        <f>AND(#REF!,"AAAAAHevP6o=")</f>
        <v>#REF!</v>
      </c>
      <c r="FP212" t="e">
        <f>AND(#REF!,"AAAAAHevP6s=")</f>
        <v>#REF!</v>
      </c>
      <c r="FQ212" t="e">
        <f>AND(#REF!,"AAAAAHevP6w=")</f>
        <v>#REF!</v>
      </c>
      <c r="FR212" t="e">
        <f>AND(#REF!,"AAAAAHevP60=")</f>
        <v>#REF!</v>
      </c>
      <c r="FS212" t="e">
        <f>AND(#REF!,"AAAAAHevP64=")</f>
        <v>#REF!</v>
      </c>
      <c r="FT212" t="e">
        <f>AND(#REF!,"AAAAAHevP68=")</f>
        <v>#REF!</v>
      </c>
      <c r="FU212" t="e">
        <f>AND(#REF!,"AAAAAHevP7A=")</f>
        <v>#REF!</v>
      </c>
      <c r="FV212" t="e">
        <f>AND(#REF!,"AAAAAHevP7E=")</f>
        <v>#REF!</v>
      </c>
      <c r="FW212" t="e">
        <f>AND(#REF!,"AAAAAHevP7I=")</f>
        <v>#REF!</v>
      </c>
      <c r="FX212" t="e">
        <f>AND(#REF!,"AAAAAHevP7M=")</f>
        <v>#REF!</v>
      </c>
      <c r="FY212" t="e">
        <f>AND(#REF!,"AAAAAHevP7Q=")</f>
        <v>#REF!</v>
      </c>
      <c r="FZ212" t="e">
        <f>AND(#REF!,"AAAAAHevP7U=")</f>
        <v>#REF!</v>
      </c>
      <c r="GA212" t="e">
        <f>AND(#REF!,"AAAAAHevP7Y=")</f>
        <v>#REF!</v>
      </c>
      <c r="GB212" t="e">
        <f>AND(#REF!,"AAAAAHevP7c=")</f>
        <v>#REF!</v>
      </c>
      <c r="GC212" t="e">
        <f>AND(#REF!,"AAAAAHevP7g=")</f>
        <v>#REF!</v>
      </c>
      <c r="GD212" t="e">
        <f>AND(#REF!,"AAAAAHevP7k=")</f>
        <v>#REF!</v>
      </c>
      <c r="GE212" t="e">
        <f>AND(#REF!,"AAAAAHevP7o=")</f>
        <v>#REF!</v>
      </c>
      <c r="GF212" t="e">
        <f>AND(#REF!,"AAAAAHevP7s=")</f>
        <v>#REF!</v>
      </c>
      <c r="GG212" t="e">
        <f>AND(#REF!,"AAAAAHevP7w=")</f>
        <v>#REF!</v>
      </c>
      <c r="GH212" t="e">
        <f>AND(#REF!,"AAAAAHevP70=")</f>
        <v>#REF!</v>
      </c>
      <c r="GI212" t="e">
        <f>AND(#REF!,"AAAAAHevP74=")</f>
        <v>#REF!</v>
      </c>
      <c r="GJ212" t="e">
        <f>AND(#REF!,"AAAAAHevP78=")</f>
        <v>#REF!</v>
      </c>
      <c r="GK212" t="e">
        <f>AND(#REF!,"AAAAAHevP8A=")</f>
        <v>#REF!</v>
      </c>
      <c r="GL212" t="e">
        <f>AND(#REF!,"AAAAAHevP8E=")</f>
        <v>#REF!</v>
      </c>
      <c r="GM212" t="e">
        <f>AND(#REF!,"AAAAAHevP8I=")</f>
        <v>#REF!</v>
      </c>
      <c r="GN212" t="e">
        <f>AND(#REF!,"AAAAAHevP8M=")</f>
        <v>#REF!</v>
      </c>
      <c r="GO212" t="e">
        <f>AND(#REF!,"AAAAAHevP8Q=")</f>
        <v>#REF!</v>
      </c>
      <c r="GP212" t="e">
        <f>AND(#REF!,"AAAAAHevP8U=")</f>
        <v>#REF!</v>
      </c>
      <c r="GQ212" t="e">
        <f>AND(#REF!,"AAAAAHevP8Y=")</f>
        <v>#REF!</v>
      </c>
      <c r="GR212" t="e">
        <f>AND(#REF!,"AAAAAHevP8c=")</f>
        <v>#REF!</v>
      </c>
      <c r="GS212" t="e">
        <f>AND(#REF!,"AAAAAHevP8g=")</f>
        <v>#REF!</v>
      </c>
      <c r="GT212" t="e">
        <f>IF(#REF!,"AAAAAHevP8k=",0)</f>
        <v>#REF!</v>
      </c>
      <c r="GU212" t="e">
        <f>AND(#REF!,"AAAAAHevP8o=")</f>
        <v>#REF!</v>
      </c>
      <c r="GV212" t="e">
        <f>AND(#REF!,"AAAAAHevP8s=")</f>
        <v>#REF!</v>
      </c>
      <c r="GW212" t="e">
        <f>AND(#REF!,"AAAAAHevP8w=")</f>
        <v>#REF!</v>
      </c>
      <c r="GX212" t="e">
        <f>AND(#REF!,"AAAAAHevP80=")</f>
        <v>#REF!</v>
      </c>
      <c r="GY212" t="e">
        <f>AND(#REF!,"AAAAAHevP84=")</f>
        <v>#REF!</v>
      </c>
      <c r="GZ212" t="e">
        <f>AND(#REF!,"AAAAAHevP88=")</f>
        <v>#REF!</v>
      </c>
      <c r="HA212" t="e">
        <f>AND(#REF!,"AAAAAHevP9A=")</f>
        <v>#REF!</v>
      </c>
      <c r="HB212" t="e">
        <f>AND(#REF!,"AAAAAHevP9E=")</f>
        <v>#REF!</v>
      </c>
      <c r="HC212" t="e">
        <f>AND(#REF!,"AAAAAHevP9I=")</f>
        <v>#REF!</v>
      </c>
      <c r="HD212" t="e">
        <f>AND(#REF!,"AAAAAHevP9M=")</f>
        <v>#REF!</v>
      </c>
      <c r="HE212" t="e">
        <f>AND(#REF!,"AAAAAHevP9Q=")</f>
        <v>#REF!</v>
      </c>
      <c r="HF212" t="e">
        <f>AND(#REF!,"AAAAAHevP9U=")</f>
        <v>#REF!</v>
      </c>
      <c r="HG212" t="e">
        <f>AND(#REF!,"AAAAAHevP9Y=")</f>
        <v>#REF!</v>
      </c>
      <c r="HH212" t="e">
        <f>AND(#REF!,"AAAAAHevP9c=")</f>
        <v>#REF!</v>
      </c>
      <c r="HI212" t="e">
        <f>AND(#REF!,"AAAAAHevP9g=")</f>
        <v>#REF!</v>
      </c>
      <c r="HJ212" t="e">
        <f>AND(#REF!,"AAAAAHevP9k=")</f>
        <v>#REF!</v>
      </c>
      <c r="HK212" t="e">
        <f>AND(#REF!,"AAAAAHevP9o=")</f>
        <v>#REF!</v>
      </c>
      <c r="HL212" t="e">
        <f>AND(#REF!,"AAAAAHevP9s=")</f>
        <v>#REF!</v>
      </c>
      <c r="HM212" t="e">
        <f>AND(#REF!,"AAAAAHevP9w=")</f>
        <v>#REF!</v>
      </c>
      <c r="HN212" t="e">
        <f>AND(#REF!,"AAAAAHevP90=")</f>
        <v>#REF!</v>
      </c>
      <c r="HO212" t="e">
        <f>AND(#REF!,"AAAAAHevP94=")</f>
        <v>#REF!</v>
      </c>
      <c r="HP212" t="e">
        <f>AND(#REF!,"AAAAAHevP98=")</f>
        <v>#REF!</v>
      </c>
      <c r="HQ212" t="e">
        <f>AND(#REF!,"AAAAAHevP+A=")</f>
        <v>#REF!</v>
      </c>
      <c r="HR212" t="e">
        <f>AND(#REF!,"AAAAAHevP+E=")</f>
        <v>#REF!</v>
      </c>
      <c r="HS212" t="e">
        <f>AND(#REF!,"AAAAAHevP+I=")</f>
        <v>#REF!</v>
      </c>
      <c r="HT212" t="e">
        <f>AND(#REF!,"AAAAAHevP+M=")</f>
        <v>#REF!</v>
      </c>
      <c r="HU212" t="e">
        <f>AND(#REF!,"AAAAAHevP+Q=")</f>
        <v>#REF!</v>
      </c>
      <c r="HV212" t="e">
        <f>AND(#REF!,"AAAAAHevP+U=")</f>
        <v>#REF!</v>
      </c>
      <c r="HW212" t="e">
        <f>AND(#REF!,"AAAAAHevP+Y=")</f>
        <v>#REF!</v>
      </c>
      <c r="HX212" t="e">
        <f>AND(#REF!,"AAAAAHevP+c=")</f>
        <v>#REF!</v>
      </c>
      <c r="HY212" t="e">
        <f>AND(#REF!,"AAAAAHevP+g=")</f>
        <v>#REF!</v>
      </c>
      <c r="HZ212" t="e">
        <f>AND(#REF!,"AAAAAHevP+k=")</f>
        <v>#REF!</v>
      </c>
      <c r="IA212" t="e">
        <f>AND(#REF!,"AAAAAHevP+o=")</f>
        <v>#REF!</v>
      </c>
      <c r="IB212" t="e">
        <f>IF(#REF!,"AAAAAHevP+s=",0)</f>
        <v>#REF!</v>
      </c>
      <c r="IC212" t="e">
        <f>AND(#REF!,"AAAAAHevP+w=")</f>
        <v>#REF!</v>
      </c>
      <c r="ID212" t="e">
        <f>AND(#REF!,"AAAAAHevP+0=")</f>
        <v>#REF!</v>
      </c>
      <c r="IE212" t="e">
        <f>AND(#REF!,"AAAAAHevP+4=")</f>
        <v>#REF!</v>
      </c>
      <c r="IF212" t="e">
        <f>AND(#REF!,"AAAAAHevP+8=")</f>
        <v>#REF!</v>
      </c>
      <c r="IG212" t="e">
        <f>AND(#REF!,"AAAAAHevP/A=")</f>
        <v>#REF!</v>
      </c>
      <c r="IH212" t="e">
        <f>AND(#REF!,"AAAAAHevP/E=")</f>
        <v>#REF!</v>
      </c>
      <c r="II212" t="e">
        <f>AND(#REF!,"AAAAAHevP/I=")</f>
        <v>#REF!</v>
      </c>
      <c r="IJ212" t="e">
        <f>AND(#REF!,"AAAAAHevP/M=")</f>
        <v>#REF!</v>
      </c>
      <c r="IK212" t="e">
        <f>AND(#REF!,"AAAAAHevP/Q=")</f>
        <v>#REF!</v>
      </c>
      <c r="IL212" t="e">
        <f>AND(#REF!,"AAAAAHevP/U=")</f>
        <v>#REF!</v>
      </c>
      <c r="IM212" t="e">
        <f>AND(#REF!,"AAAAAHevP/Y=")</f>
        <v>#REF!</v>
      </c>
      <c r="IN212" t="e">
        <f>AND(#REF!,"AAAAAHevP/c=")</f>
        <v>#REF!</v>
      </c>
      <c r="IO212" t="e">
        <f>AND(#REF!,"AAAAAHevP/g=")</f>
        <v>#REF!</v>
      </c>
      <c r="IP212" t="e">
        <f>AND(#REF!,"AAAAAHevP/k=")</f>
        <v>#REF!</v>
      </c>
      <c r="IQ212" t="e">
        <f>AND(#REF!,"AAAAAHevP/o=")</f>
        <v>#REF!</v>
      </c>
      <c r="IR212" t="e">
        <f>AND(#REF!,"AAAAAHevP/s=")</f>
        <v>#REF!</v>
      </c>
      <c r="IS212" t="e">
        <f>AND(#REF!,"AAAAAHevP/w=")</f>
        <v>#REF!</v>
      </c>
      <c r="IT212" t="e">
        <f>AND(#REF!,"AAAAAHevP/0=")</f>
        <v>#REF!</v>
      </c>
      <c r="IU212" t="e">
        <f>AND(#REF!,"AAAAAHevP/4=")</f>
        <v>#REF!</v>
      </c>
      <c r="IV212" t="e">
        <f>AND(#REF!,"AAAAAHevP/8=")</f>
        <v>#REF!</v>
      </c>
    </row>
    <row r="213" spans="1:256" x14ac:dyDescent="0.2">
      <c r="A213" t="e">
        <f>AND(#REF!,"AAAAAEv37QA=")</f>
        <v>#REF!</v>
      </c>
      <c r="B213" t="e">
        <f>AND(#REF!,"AAAAAEv37QE=")</f>
        <v>#REF!</v>
      </c>
      <c r="C213" t="e">
        <f>AND(#REF!,"AAAAAEv37QI=")</f>
        <v>#REF!</v>
      </c>
      <c r="D213" t="e">
        <f>AND(#REF!,"AAAAAEv37QM=")</f>
        <v>#REF!</v>
      </c>
      <c r="E213" t="e">
        <f>AND(#REF!,"AAAAAEv37QQ=")</f>
        <v>#REF!</v>
      </c>
      <c r="F213" t="e">
        <f>AND(#REF!,"AAAAAEv37QU=")</f>
        <v>#REF!</v>
      </c>
      <c r="G213" t="e">
        <f>AND(#REF!,"AAAAAEv37QY=")</f>
        <v>#REF!</v>
      </c>
      <c r="H213" t="e">
        <f>AND(#REF!,"AAAAAEv37Qc=")</f>
        <v>#REF!</v>
      </c>
      <c r="I213" t="e">
        <f>AND(#REF!,"AAAAAEv37Qg=")</f>
        <v>#REF!</v>
      </c>
      <c r="J213" t="e">
        <f>AND(#REF!,"AAAAAEv37Qk=")</f>
        <v>#REF!</v>
      </c>
      <c r="K213" t="e">
        <f>AND(#REF!,"AAAAAEv37Qo=")</f>
        <v>#REF!</v>
      </c>
      <c r="L213" t="e">
        <f>AND(#REF!,"AAAAAEv37Qs=")</f>
        <v>#REF!</v>
      </c>
      <c r="M213" t="e">
        <f>AND(#REF!,"AAAAAEv37Qw=")</f>
        <v>#REF!</v>
      </c>
      <c r="N213" t="e">
        <f>IF(#REF!,"AAAAAEv37Q0=",0)</f>
        <v>#REF!</v>
      </c>
      <c r="O213" t="e">
        <f>AND(#REF!,"AAAAAEv37Q4=")</f>
        <v>#REF!</v>
      </c>
      <c r="P213" t="e">
        <f>AND(#REF!,"AAAAAEv37Q8=")</f>
        <v>#REF!</v>
      </c>
      <c r="Q213" t="e">
        <f>AND(#REF!,"AAAAAEv37RA=")</f>
        <v>#REF!</v>
      </c>
      <c r="R213" t="e">
        <f>AND(#REF!,"AAAAAEv37RE=")</f>
        <v>#REF!</v>
      </c>
      <c r="S213" t="e">
        <f>AND(#REF!,"AAAAAEv37RI=")</f>
        <v>#REF!</v>
      </c>
      <c r="T213" t="e">
        <f>AND(#REF!,"AAAAAEv37RM=")</f>
        <v>#REF!</v>
      </c>
      <c r="U213" t="e">
        <f>AND(#REF!,"AAAAAEv37RQ=")</f>
        <v>#REF!</v>
      </c>
      <c r="V213" t="e">
        <f>AND(#REF!,"AAAAAEv37RU=")</f>
        <v>#REF!</v>
      </c>
      <c r="W213" t="e">
        <f>AND(#REF!,"AAAAAEv37RY=")</f>
        <v>#REF!</v>
      </c>
      <c r="X213" t="e">
        <f>AND(#REF!,"AAAAAEv37Rc=")</f>
        <v>#REF!</v>
      </c>
      <c r="Y213" t="e">
        <f>AND(#REF!,"AAAAAEv37Rg=")</f>
        <v>#REF!</v>
      </c>
      <c r="Z213" t="e">
        <f>AND(#REF!,"AAAAAEv37Rk=")</f>
        <v>#REF!</v>
      </c>
      <c r="AA213" t="e">
        <f>AND(#REF!,"AAAAAEv37Ro=")</f>
        <v>#REF!</v>
      </c>
      <c r="AB213" t="e">
        <f>AND(#REF!,"AAAAAEv37Rs=")</f>
        <v>#REF!</v>
      </c>
      <c r="AC213" t="e">
        <f>AND(#REF!,"AAAAAEv37Rw=")</f>
        <v>#REF!</v>
      </c>
      <c r="AD213" t="e">
        <f>AND(#REF!,"AAAAAEv37R0=")</f>
        <v>#REF!</v>
      </c>
      <c r="AE213" t="e">
        <f>AND(#REF!,"AAAAAEv37R4=")</f>
        <v>#REF!</v>
      </c>
      <c r="AF213" t="e">
        <f>AND(#REF!,"AAAAAEv37R8=")</f>
        <v>#REF!</v>
      </c>
      <c r="AG213" t="e">
        <f>AND(#REF!,"AAAAAEv37SA=")</f>
        <v>#REF!</v>
      </c>
      <c r="AH213" t="e">
        <f>AND(#REF!,"AAAAAEv37SE=")</f>
        <v>#REF!</v>
      </c>
      <c r="AI213" t="e">
        <f>AND(#REF!,"AAAAAEv37SI=")</f>
        <v>#REF!</v>
      </c>
      <c r="AJ213" t="e">
        <f>AND(#REF!,"AAAAAEv37SM=")</f>
        <v>#REF!</v>
      </c>
      <c r="AK213" t="e">
        <f>AND(#REF!,"AAAAAEv37SQ=")</f>
        <v>#REF!</v>
      </c>
      <c r="AL213" t="e">
        <f>AND(#REF!,"AAAAAEv37SU=")</f>
        <v>#REF!</v>
      </c>
      <c r="AM213" t="e">
        <f>AND(#REF!,"AAAAAEv37SY=")</f>
        <v>#REF!</v>
      </c>
      <c r="AN213" t="e">
        <f>AND(#REF!,"AAAAAEv37Sc=")</f>
        <v>#REF!</v>
      </c>
      <c r="AO213" t="e">
        <f>AND(#REF!,"AAAAAEv37Sg=")</f>
        <v>#REF!</v>
      </c>
      <c r="AP213" t="e">
        <f>AND(#REF!,"AAAAAEv37Sk=")</f>
        <v>#REF!</v>
      </c>
      <c r="AQ213" t="e">
        <f>AND(#REF!,"AAAAAEv37So=")</f>
        <v>#REF!</v>
      </c>
      <c r="AR213" t="e">
        <f>AND(#REF!,"AAAAAEv37Ss=")</f>
        <v>#REF!</v>
      </c>
      <c r="AS213" t="e">
        <f>AND(#REF!,"AAAAAEv37Sw=")</f>
        <v>#REF!</v>
      </c>
      <c r="AT213" t="e">
        <f>AND(#REF!,"AAAAAEv37S0=")</f>
        <v>#REF!</v>
      </c>
      <c r="AU213" t="e">
        <f>AND(#REF!,"AAAAAEv37S4=")</f>
        <v>#REF!</v>
      </c>
      <c r="AV213" t="e">
        <f>IF(#REF!,"AAAAAEv37S8=",0)</f>
        <v>#REF!</v>
      </c>
      <c r="AW213" t="e">
        <f>AND(#REF!,"AAAAAEv37TA=")</f>
        <v>#REF!</v>
      </c>
      <c r="AX213" t="e">
        <f>AND(#REF!,"AAAAAEv37TE=")</f>
        <v>#REF!</v>
      </c>
      <c r="AY213" t="e">
        <f>AND(#REF!,"AAAAAEv37TI=")</f>
        <v>#REF!</v>
      </c>
      <c r="AZ213" t="e">
        <f>AND(#REF!,"AAAAAEv37TM=")</f>
        <v>#REF!</v>
      </c>
      <c r="BA213" t="e">
        <f>AND(#REF!,"AAAAAEv37TQ=")</f>
        <v>#REF!</v>
      </c>
      <c r="BB213" t="e">
        <f>AND(#REF!,"AAAAAEv37TU=")</f>
        <v>#REF!</v>
      </c>
      <c r="BC213" t="e">
        <f>AND(#REF!,"AAAAAEv37TY=")</f>
        <v>#REF!</v>
      </c>
      <c r="BD213" t="e">
        <f>AND(#REF!,"AAAAAEv37Tc=")</f>
        <v>#REF!</v>
      </c>
      <c r="BE213" t="e">
        <f>AND(#REF!,"AAAAAEv37Tg=")</f>
        <v>#REF!</v>
      </c>
      <c r="BF213" t="e">
        <f>AND(#REF!,"AAAAAEv37Tk=")</f>
        <v>#REF!</v>
      </c>
      <c r="BG213" t="e">
        <f>AND(#REF!,"AAAAAEv37To=")</f>
        <v>#REF!</v>
      </c>
      <c r="BH213" t="e">
        <f>AND(#REF!,"AAAAAEv37Ts=")</f>
        <v>#REF!</v>
      </c>
      <c r="BI213" t="e">
        <f>AND(#REF!,"AAAAAEv37Tw=")</f>
        <v>#REF!</v>
      </c>
      <c r="BJ213" t="e">
        <f>AND(#REF!,"AAAAAEv37T0=")</f>
        <v>#REF!</v>
      </c>
      <c r="BK213" t="e">
        <f>AND(#REF!,"AAAAAEv37T4=")</f>
        <v>#REF!</v>
      </c>
      <c r="BL213" t="e">
        <f>AND(#REF!,"AAAAAEv37T8=")</f>
        <v>#REF!</v>
      </c>
      <c r="BM213" t="e">
        <f>AND(#REF!,"AAAAAEv37UA=")</f>
        <v>#REF!</v>
      </c>
      <c r="BN213" t="e">
        <f>AND(#REF!,"AAAAAEv37UE=")</f>
        <v>#REF!</v>
      </c>
      <c r="BO213" t="e">
        <f>AND(#REF!,"AAAAAEv37UI=")</f>
        <v>#REF!</v>
      </c>
      <c r="BP213" t="e">
        <f>AND(#REF!,"AAAAAEv37UM=")</f>
        <v>#REF!</v>
      </c>
      <c r="BQ213" t="e">
        <f>AND(#REF!,"AAAAAEv37UQ=")</f>
        <v>#REF!</v>
      </c>
      <c r="BR213" t="e">
        <f>AND(#REF!,"AAAAAEv37UU=")</f>
        <v>#REF!</v>
      </c>
      <c r="BS213" t="e">
        <f>AND(#REF!,"AAAAAEv37UY=")</f>
        <v>#REF!</v>
      </c>
      <c r="BT213" t="e">
        <f>AND(#REF!,"AAAAAEv37Uc=")</f>
        <v>#REF!</v>
      </c>
      <c r="BU213" t="e">
        <f>AND(#REF!,"AAAAAEv37Ug=")</f>
        <v>#REF!</v>
      </c>
      <c r="BV213" t="e">
        <f>AND(#REF!,"AAAAAEv37Uk=")</f>
        <v>#REF!</v>
      </c>
      <c r="BW213" t="e">
        <f>AND(#REF!,"AAAAAEv37Uo=")</f>
        <v>#REF!</v>
      </c>
      <c r="BX213" t="e">
        <f>AND(#REF!,"AAAAAEv37Us=")</f>
        <v>#REF!</v>
      </c>
      <c r="BY213" t="e">
        <f>AND(#REF!,"AAAAAEv37Uw=")</f>
        <v>#REF!</v>
      </c>
      <c r="BZ213" t="e">
        <f>AND(#REF!,"AAAAAEv37U0=")</f>
        <v>#REF!</v>
      </c>
      <c r="CA213" t="e">
        <f>AND(#REF!,"AAAAAEv37U4=")</f>
        <v>#REF!</v>
      </c>
      <c r="CB213" t="e">
        <f>AND(#REF!,"AAAAAEv37U8=")</f>
        <v>#REF!</v>
      </c>
      <c r="CC213" t="e">
        <f>AND(#REF!,"AAAAAEv37VA=")</f>
        <v>#REF!</v>
      </c>
      <c r="CD213" t="e">
        <f>IF(#REF!,"AAAAAEv37VE=",0)</f>
        <v>#REF!</v>
      </c>
      <c r="CE213" t="e">
        <f>AND(#REF!,"AAAAAEv37VI=")</f>
        <v>#REF!</v>
      </c>
      <c r="CF213" t="e">
        <f>AND(#REF!,"AAAAAEv37VM=")</f>
        <v>#REF!</v>
      </c>
      <c r="CG213" t="e">
        <f>AND(#REF!,"AAAAAEv37VQ=")</f>
        <v>#REF!</v>
      </c>
      <c r="CH213" t="e">
        <f>AND(#REF!,"AAAAAEv37VU=")</f>
        <v>#REF!</v>
      </c>
      <c r="CI213" t="e">
        <f>AND(#REF!,"AAAAAEv37VY=")</f>
        <v>#REF!</v>
      </c>
      <c r="CJ213" t="e">
        <f>AND(#REF!,"AAAAAEv37Vc=")</f>
        <v>#REF!</v>
      </c>
      <c r="CK213" t="e">
        <f>AND(#REF!,"AAAAAEv37Vg=")</f>
        <v>#REF!</v>
      </c>
      <c r="CL213" t="e">
        <f>AND(#REF!,"AAAAAEv37Vk=")</f>
        <v>#REF!</v>
      </c>
      <c r="CM213" t="e">
        <f>AND(#REF!,"AAAAAEv37Vo=")</f>
        <v>#REF!</v>
      </c>
      <c r="CN213" t="e">
        <f>AND(#REF!,"AAAAAEv37Vs=")</f>
        <v>#REF!</v>
      </c>
      <c r="CO213" t="e">
        <f>AND(#REF!,"AAAAAEv37Vw=")</f>
        <v>#REF!</v>
      </c>
      <c r="CP213" t="e">
        <f>AND(#REF!,"AAAAAEv37V0=")</f>
        <v>#REF!</v>
      </c>
      <c r="CQ213" t="e">
        <f>AND(#REF!,"AAAAAEv37V4=")</f>
        <v>#REF!</v>
      </c>
      <c r="CR213" t="e">
        <f>AND(#REF!,"AAAAAEv37V8=")</f>
        <v>#REF!</v>
      </c>
      <c r="CS213" t="e">
        <f>AND(#REF!,"AAAAAEv37WA=")</f>
        <v>#REF!</v>
      </c>
      <c r="CT213" t="e">
        <f>AND(#REF!,"AAAAAEv37WE=")</f>
        <v>#REF!</v>
      </c>
      <c r="CU213" t="e">
        <f>AND(#REF!,"AAAAAEv37WI=")</f>
        <v>#REF!</v>
      </c>
      <c r="CV213" t="e">
        <f>AND(#REF!,"AAAAAEv37WM=")</f>
        <v>#REF!</v>
      </c>
      <c r="CW213" t="e">
        <f>AND(#REF!,"AAAAAEv37WQ=")</f>
        <v>#REF!</v>
      </c>
      <c r="CX213" t="e">
        <f>AND(#REF!,"AAAAAEv37WU=")</f>
        <v>#REF!</v>
      </c>
      <c r="CY213" t="e">
        <f>AND(#REF!,"AAAAAEv37WY=")</f>
        <v>#REF!</v>
      </c>
      <c r="CZ213" t="e">
        <f>AND(#REF!,"AAAAAEv37Wc=")</f>
        <v>#REF!</v>
      </c>
      <c r="DA213" t="e">
        <f>AND(#REF!,"AAAAAEv37Wg=")</f>
        <v>#REF!</v>
      </c>
      <c r="DB213" t="e">
        <f>AND(#REF!,"AAAAAEv37Wk=")</f>
        <v>#REF!</v>
      </c>
      <c r="DC213" t="e">
        <f>AND(#REF!,"AAAAAEv37Wo=")</f>
        <v>#REF!</v>
      </c>
      <c r="DD213" t="e">
        <f>AND(#REF!,"AAAAAEv37Ws=")</f>
        <v>#REF!</v>
      </c>
      <c r="DE213" t="e">
        <f>AND(#REF!,"AAAAAEv37Ww=")</f>
        <v>#REF!</v>
      </c>
      <c r="DF213" t="e">
        <f>AND(#REF!,"AAAAAEv37W0=")</f>
        <v>#REF!</v>
      </c>
      <c r="DG213" t="e">
        <f>AND(#REF!,"AAAAAEv37W4=")</f>
        <v>#REF!</v>
      </c>
      <c r="DH213" t="e">
        <f>AND(#REF!,"AAAAAEv37W8=")</f>
        <v>#REF!</v>
      </c>
      <c r="DI213" t="e">
        <f>AND(#REF!,"AAAAAEv37XA=")</f>
        <v>#REF!</v>
      </c>
      <c r="DJ213" t="e">
        <f>AND(#REF!,"AAAAAEv37XE=")</f>
        <v>#REF!</v>
      </c>
      <c r="DK213" t="e">
        <f>AND(#REF!,"AAAAAEv37XI=")</f>
        <v>#REF!</v>
      </c>
      <c r="DL213" t="e">
        <f>IF(#REF!,"AAAAAEv37XM=",0)</f>
        <v>#REF!</v>
      </c>
      <c r="DM213" t="e">
        <f>AND(#REF!,"AAAAAEv37XQ=")</f>
        <v>#REF!</v>
      </c>
      <c r="DN213" t="e">
        <f>AND(#REF!,"AAAAAEv37XU=")</f>
        <v>#REF!</v>
      </c>
      <c r="DO213" t="e">
        <f>AND(#REF!,"AAAAAEv37XY=")</f>
        <v>#REF!</v>
      </c>
      <c r="DP213" t="e">
        <f>AND(#REF!,"AAAAAEv37Xc=")</f>
        <v>#REF!</v>
      </c>
      <c r="DQ213" t="e">
        <f>AND(#REF!,"AAAAAEv37Xg=")</f>
        <v>#REF!</v>
      </c>
      <c r="DR213" t="e">
        <f>AND(#REF!,"AAAAAEv37Xk=")</f>
        <v>#REF!</v>
      </c>
      <c r="DS213" t="e">
        <f>AND(#REF!,"AAAAAEv37Xo=")</f>
        <v>#REF!</v>
      </c>
      <c r="DT213" t="e">
        <f>AND(#REF!,"AAAAAEv37Xs=")</f>
        <v>#REF!</v>
      </c>
      <c r="DU213" t="e">
        <f>AND(#REF!,"AAAAAEv37Xw=")</f>
        <v>#REF!</v>
      </c>
      <c r="DV213" t="e">
        <f>AND(#REF!,"AAAAAEv37X0=")</f>
        <v>#REF!</v>
      </c>
      <c r="DW213" t="e">
        <f>AND(#REF!,"AAAAAEv37X4=")</f>
        <v>#REF!</v>
      </c>
      <c r="DX213" t="e">
        <f>AND(#REF!,"AAAAAEv37X8=")</f>
        <v>#REF!</v>
      </c>
      <c r="DY213" t="e">
        <f>AND(#REF!,"AAAAAEv37YA=")</f>
        <v>#REF!</v>
      </c>
      <c r="DZ213" t="e">
        <f>AND(#REF!,"AAAAAEv37YE=")</f>
        <v>#REF!</v>
      </c>
      <c r="EA213" t="e">
        <f>AND(#REF!,"AAAAAEv37YI=")</f>
        <v>#REF!</v>
      </c>
      <c r="EB213" t="e">
        <f>AND(#REF!,"AAAAAEv37YM=")</f>
        <v>#REF!</v>
      </c>
      <c r="EC213" t="e">
        <f>AND(#REF!,"AAAAAEv37YQ=")</f>
        <v>#REF!</v>
      </c>
      <c r="ED213" t="e">
        <f>AND(#REF!,"AAAAAEv37YU=")</f>
        <v>#REF!</v>
      </c>
      <c r="EE213" t="e">
        <f>AND(#REF!,"AAAAAEv37YY=")</f>
        <v>#REF!</v>
      </c>
      <c r="EF213" t="e">
        <f>AND(#REF!,"AAAAAEv37Yc=")</f>
        <v>#REF!</v>
      </c>
      <c r="EG213" t="e">
        <f>AND(#REF!,"AAAAAEv37Yg=")</f>
        <v>#REF!</v>
      </c>
      <c r="EH213" t="e">
        <f>AND(#REF!,"AAAAAEv37Yk=")</f>
        <v>#REF!</v>
      </c>
      <c r="EI213" t="e">
        <f>AND(#REF!,"AAAAAEv37Yo=")</f>
        <v>#REF!</v>
      </c>
      <c r="EJ213" t="e">
        <f>AND(#REF!,"AAAAAEv37Ys=")</f>
        <v>#REF!</v>
      </c>
      <c r="EK213" t="e">
        <f>AND(#REF!,"AAAAAEv37Yw=")</f>
        <v>#REF!</v>
      </c>
      <c r="EL213" t="e">
        <f>AND(#REF!,"AAAAAEv37Y0=")</f>
        <v>#REF!</v>
      </c>
      <c r="EM213" t="e">
        <f>AND(#REF!,"AAAAAEv37Y4=")</f>
        <v>#REF!</v>
      </c>
      <c r="EN213" t="e">
        <f>AND(#REF!,"AAAAAEv37Y8=")</f>
        <v>#REF!</v>
      </c>
      <c r="EO213" t="e">
        <f>AND(#REF!,"AAAAAEv37ZA=")</f>
        <v>#REF!</v>
      </c>
      <c r="EP213" t="e">
        <f>AND(#REF!,"AAAAAEv37ZE=")</f>
        <v>#REF!</v>
      </c>
      <c r="EQ213" t="e">
        <f>AND(#REF!,"AAAAAEv37ZI=")</f>
        <v>#REF!</v>
      </c>
      <c r="ER213" t="e">
        <f>AND(#REF!,"AAAAAEv37ZM=")</f>
        <v>#REF!</v>
      </c>
      <c r="ES213" t="e">
        <f>AND(#REF!,"AAAAAEv37ZQ=")</f>
        <v>#REF!</v>
      </c>
      <c r="ET213" t="e">
        <f>IF(#REF!,"AAAAAEv37ZU=",0)</f>
        <v>#REF!</v>
      </c>
      <c r="EU213" t="e">
        <f>AND(#REF!,"AAAAAEv37ZY=")</f>
        <v>#REF!</v>
      </c>
      <c r="EV213" t="e">
        <f>AND(#REF!,"AAAAAEv37Zc=")</f>
        <v>#REF!</v>
      </c>
      <c r="EW213" t="e">
        <f>AND(#REF!,"AAAAAEv37Zg=")</f>
        <v>#REF!</v>
      </c>
      <c r="EX213" t="e">
        <f>AND(#REF!,"AAAAAEv37Zk=")</f>
        <v>#REF!</v>
      </c>
      <c r="EY213" t="e">
        <f>AND(#REF!,"AAAAAEv37Zo=")</f>
        <v>#REF!</v>
      </c>
      <c r="EZ213" t="e">
        <f>AND(#REF!,"AAAAAEv37Zs=")</f>
        <v>#REF!</v>
      </c>
      <c r="FA213" t="e">
        <f>AND(#REF!,"AAAAAEv37Zw=")</f>
        <v>#REF!</v>
      </c>
      <c r="FB213" t="e">
        <f>AND(#REF!,"AAAAAEv37Z0=")</f>
        <v>#REF!</v>
      </c>
      <c r="FC213" t="e">
        <f>AND(#REF!,"AAAAAEv37Z4=")</f>
        <v>#REF!</v>
      </c>
      <c r="FD213" t="e">
        <f>AND(#REF!,"AAAAAEv37Z8=")</f>
        <v>#REF!</v>
      </c>
      <c r="FE213" t="e">
        <f>AND(#REF!,"AAAAAEv37aA=")</f>
        <v>#REF!</v>
      </c>
      <c r="FF213" t="e">
        <f>AND(#REF!,"AAAAAEv37aE=")</f>
        <v>#REF!</v>
      </c>
      <c r="FG213" t="e">
        <f>AND(#REF!,"AAAAAEv37aI=")</f>
        <v>#REF!</v>
      </c>
      <c r="FH213" t="e">
        <f>AND(#REF!,"AAAAAEv37aM=")</f>
        <v>#REF!</v>
      </c>
      <c r="FI213" t="e">
        <f>AND(#REF!,"AAAAAEv37aQ=")</f>
        <v>#REF!</v>
      </c>
      <c r="FJ213" t="e">
        <f>AND(#REF!,"AAAAAEv37aU=")</f>
        <v>#REF!</v>
      </c>
      <c r="FK213" t="e">
        <f>AND(#REF!,"AAAAAEv37aY=")</f>
        <v>#REF!</v>
      </c>
      <c r="FL213" t="e">
        <f>AND(#REF!,"AAAAAEv37ac=")</f>
        <v>#REF!</v>
      </c>
      <c r="FM213" t="e">
        <f>AND(#REF!,"AAAAAEv37ag=")</f>
        <v>#REF!</v>
      </c>
      <c r="FN213" t="e">
        <f>AND(#REF!,"AAAAAEv37ak=")</f>
        <v>#REF!</v>
      </c>
      <c r="FO213" t="e">
        <f>AND(#REF!,"AAAAAEv37ao=")</f>
        <v>#REF!</v>
      </c>
      <c r="FP213" t="e">
        <f>AND(#REF!,"AAAAAEv37as=")</f>
        <v>#REF!</v>
      </c>
      <c r="FQ213" t="e">
        <f>AND(#REF!,"AAAAAEv37aw=")</f>
        <v>#REF!</v>
      </c>
      <c r="FR213" t="e">
        <f>AND(#REF!,"AAAAAEv37a0=")</f>
        <v>#REF!</v>
      </c>
      <c r="FS213" t="e">
        <f>AND(#REF!,"AAAAAEv37a4=")</f>
        <v>#REF!</v>
      </c>
      <c r="FT213" t="e">
        <f>AND(#REF!,"AAAAAEv37a8=")</f>
        <v>#REF!</v>
      </c>
      <c r="FU213" t="e">
        <f>AND(#REF!,"AAAAAEv37bA=")</f>
        <v>#REF!</v>
      </c>
      <c r="FV213" t="e">
        <f>AND(#REF!,"AAAAAEv37bE=")</f>
        <v>#REF!</v>
      </c>
      <c r="FW213" t="e">
        <f>AND(#REF!,"AAAAAEv37bI=")</f>
        <v>#REF!</v>
      </c>
      <c r="FX213" t="e">
        <f>AND(#REF!,"AAAAAEv37bM=")</f>
        <v>#REF!</v>
      </c>
      <c r="FY213" t="e">
        <f>AND(#REF!,"AAAAAEv37bQ=")</f>
        <v>#REF!</v>
      </c>
      <c r="FZ213" t="e">
        <f>AND(#REF!,"AAAAAEv37bU=")</f>
        <v>#REF!</v>
      </c>
      <c r="GA213" t="e">
        <f>AND(#REF!,"AAAAAEv37bY=")</f>
        <v>#REF!</v>
      </c>
      <c r="GB213" t="e">
        <f>IF(#REF!,"AAAAAEv37bc=",0)</f>
        <v>#REF!</v>
      </c>
      <c r="GC213" t="e">
        <f>AND(#REF!,"AAAAAEv37bg=")</f>
        <v>#REF!</v>
      </c>
      <c r="GD213" t="e">
        <f>AND(#REF!,"AAAAAEv37bk=")</f>
        <v>#REF!</v>
      </c>
      <c r="GE213" t="e">
        <f>AND(#REF!,"AAAAAEv37bo=")</f>
        <v>#REF!</v>
      </c>
      <c r="GF213" t="e">
        <f>AND(#REF!,"AAAAAEv37bs=")</f>
        <v>#REF!</v>
      </c>
      <c r="GG213" t="e">
        <f>AND(#REF!,"AAAAAEv37bw=")</f>
        <v>#REF!</v>
      </c>
      <c r="GH213" t="e">
        <f>AND(#REF!,"AAAAAEv37b0=")</f>
        <v>#REF!</v>
      </c>
      <c r="GI213" t="e">
        <f>AND(#REF!,"AAAAAEv37b4=")</f>
        <v>#REF!</v>
      </c>
      <c r="GJ213" t="e">
        <f>AND(#REF!,"AAAAAEv37b8=")</f>
        <v>#REF!</v>
      </c>
      <c r="GK213" t="e">
        <f>AND(#REF!,"AAAAAEv37cA=")</f>
        <v>#REF!</v>
      </c>
      <c r="GL213" t="e">
        <f>AND(#REF!,"AAAAAEv37cE=")</f>
        <v>#REF!</v>
      </c>
      <c r="GM213" t="e">
        <f>AND(#REF!,"AAAAAEv37cI=")</f>
        <v>#REF!</v>
      </c>
      <c r="GN213" t="e">
        <f>AND(#REF!,"AAAAAEv37cM=")</f>
        <v>#REF!</v>
      </c>
      <c r="GO213" t="e">
        <f>AND(#REF!,"AAAAAEv37cQ=")</f>
        <v>#REF!</v>
      </c>
      <c r="GP213" t="e">
        <f>AND(#REF!,"AAAAAEv37cU=")</f>
        <v>#REF!</v>
      </c>
      <c r="GQ213" t="e">
        <f>AND(#REF!,"AAAAAEv37cY=")</f>
        <v>#REF!</v>
      </c>
      <c r="GR213" t="e">
        <f>AND(#REF!,"AAAAAEv37cc=")</f>
        <v>#REF!</v>
      </c>
      <c r="GS213" t="e">
        <f>AND(#REF!,"AAAAAEv37cg=")</f>
        <v>#REF!</v>
      </c>
      <c r="GT213" t="e">
        <f>AND(#REF!,"AAAAAEv37ck=")</f>
        <v>#REF!</v>
      </c>
      <c r="GU213" t="e">
        <f>AND(#REF!,"AAAAAEv37co=")</f>
        <v>#REF!</v>
      </c>
      <c r="GV213" t="e">
        <f>AND(#REF!,"AAAAAEv37cs=")</f>
        <v>#REF!</v>
      </c>
      <c r="GW213" t="e">
        <f>AND(#REF!,"AAAAAEv37cw=")</f>
        <v>#REF!</v>
      </c>
      <c r="GX213" t="e">
        <f>AND(#REF!,"AAAAAEv37c0=")</f>
        <v>#REF!</v>
      </c>
      <c r="GY213" t="e">
        <f>AND(#REF!,"AAAAAEv37c4=")</f>
        <v>#REF!</v>
      </c>
      <c r="GZ213" t="e">
        <f>AND(#REF!,"AAAAAEv37c8=")</f>
        <v>#REF!</v>
      </c>
      <c r="HA213" t="e">
        <f>AND(#REF!,"AAAAAEv37dA=")</f>
        <v>#REF!</v>
      </c>
      <c r="HB213" t="e">
        <f>AND(#REF!,"AAAAAEv37dE=")</f>
        <v>#REF!</v>
      </c>
      <c r="HC213" t="e">
        <f>AND(#REF!,"AAAAAEv37dI=")</f>
        <v>#REF!</v>
      </c>
      <c r="HD213" t="e">
        <f>AND(#REF!,"AAAAAEv37dM=")</f>
        <v>#REF!</v>
      </c>
      <c r="HE213" t="e">
        <f>AND(#REF!,"AAAAAEv37dQ=")</f>
        <v>#REF!</v>
      </c>
      <c r="HF213" t="e">
        <f>AND(#REF!,"AAAAAEv37dU=")</f>
        <v>#REF!</v>
      </c>
      <c r="HG213" t="e">
        <f>AND(#REF!,"AAAAAEv37dY=")</f>
        <v>#REF!</v>
      </c>
      <c r="HH213" t="e">
        <f>AND(#REF!,"AAAAAEv37dc=")</f>
        <v>#REF!</v>
      </c>
      <c r="HI213" t="e">
        <f>AND(#REF!,"AAAAAEv37dg=")</f>
        <v>#REF!</v>
      </c>
      <c r="HJ213" t="e">
        <f>IF(#REF!,"AAAAAEv37dk=",0)</f>
        <v>#REF!</v>
      </c>
      <c r="HK213" t="e">
        <f>AND(#REF!,"AAAAAEv37do=")</f>
        <v>#REF!</v>
      </c>
      <c r="HL213" t="e">
        <f>AND(#REF!,"AAAAAEv37ds=")</f>
        <v>#REF!</v>
      </c>
      <c r="HM213" t="e">
        <f>AND(#REF!,"AAAAAEv37dw=")</f>
        <v>#REF!</v>
      </c>
      <c r="HN213" t="e">
        <f>AND(#REF!,"AAAAAEv37d0=")</f>
        <v>#REF!</v>
      </c>
      <c r="HO213" t="e">
        <f>AND(#REF!,"AAAAAEv37d4=")</f>
        <v>#REF!</v>
      </c>
      <c r="HP213" t="e">
        <f>AND(#REF!,"AAAAAEv37d8=")</f>
        <v>#REF!</v>
      </c>
      <c r="HQ213" t="e">
        <f>AND(#REF!,"AAAAAEv37eA=")</f>
        <v>#REF!</v>
      </c>
      <c r="HR213" t="e">
        <f>AND(#REF!,"AAAAAEv37eE=")</f>
        <v>#REF!</v>
      </c>
      <c r="HS213" t="e">
        <f>AND(#REF!,"AAAAAEv37eI=")</f>
        <v>#REF!</v>
      </c>
      <c r="HT213" t="e">
        <f>AND(#REF!,"AAAAAEv37eM=")</f>
        <v>#REF!</v>
      </c>
      <c r="HU213" t="e">
        <f>AND(#REF!,"AAAAAEv37eQ=")</f>
        <v>#REF!</v>
      </c>
      <c r="HV213" t="e">
        <f>AND(#REF!,"AAAAAEv37eU=")</f>
        <v>#REF!</v>
      </c>
      <c r="HW213" t="e">
        <f>AND(#REF!,"AAAAAEv37eY=")</f>
        <v>#REF!</v>
      </c>
      <c r="HX213" t="e">
        <f>AND(#REF!,"AAAAAEv37ec=")</f>
        <v>#REF!</v>
      </c>
      <c r="HY213" t="e">
        <f>AND(#REF!,"AAAAAEv37eg=")</f>
        <v>#REF!</v>
      </c>
      <c r="HZ213" t="e">
        <f>AND(#REF!,"AAAAAEv37ek=")</f>
        <v>#REF!</v>
      </c>
      <c r="IA213" t="e">
        <f>AND(#REF!,"AAAAAEv37eo=")</f>
        <v>#REF!</v>
      </c>
      <c r="IB213" t="e">
        <f>AND(#REF!,"AAAAAEv37es=")</f>
        <v>#REF!</v>
      </c>
      <c r="IC213" t="e">
        <f>AND(#REF!,"AAAAAEv37ew=")</f>
        <v>#REF!</v>
      </c>
      <c r="ID213" t="e">
        <f>AND(#REF!,"AAAAAEv37e0=")</f>
        <v>#REF!</v>
      </c>
      <c r="IE213" t="e">
        <f>AND(#REF!,"AAAAAEv37e4=")</f>
        <v>#REF!</v>
      </c>
      <c r="IF213" t="e">
        <f>AND(#REF!,"AAAAAEv37e8=")</f>
        <v>#REF!</v>
      </c>
      <c r="IG213" t="e">
        <f>AND(#REF!,"AAAAAEv37fA=")</f>
        <v>#REF!</v>
      </c>
      <c r="IH213" t="e">
        <f>AND(#REF!,"AAAAAEv37fE=")</f>
        <v>#REF!</v>
      </c>
      <c r="II213" t="e">
        <f>AND(#REF!,"AAAAAEv37fI=")</f>
        <v>#REF!</v>
      </c>
      <c r="IJ213" t="e">
        <f>AND(#REF!,"AAAAAEv37fM=")</f>
        <v>#REF!</v>
      </c>
      <c r="IK213" t="e">
        <f>AND(#REF!,"AAAAAEv37fQ=")</f>
        <v>#REF!</v>
      </c>
      <c r="IL213" t="e">
        <f>AND(#REF!,"AAAAAEv37fU=")</f>
        <v>#REF!</v>
      </c>
      <c r="IM213" t="e">
        <f>AND(#REF!,"AAAAAEv37fY=")</f>
        <v>#REF!</v>
      </c>
      <c r="IN213" t="e">
        <f>AND(#REF!,"AAAAAEv37fc=")</f>
        <v>#REF!</v>
      </c>
      <c r="IO213" t="e">
        <f>AND(#REF!,"AAAAAEv37fg=")</f>
        <v>#REF!</v>
      </c>
      <c r="IP213" t="e">
        <f>AND(#REF!,"AAAAAEv37fk=")</f>
        <v>#REF!</v>
      </c>
      <c r="IQ213" t="e">
        <f>AND(#REF!,"AAAAAEv37fo=")</f>
        <v>#REF!</v>
      </c>
      <c r="IR213" t="e">
        <f>IF(#REF!,"AAAAAEv37fs=",0)</f>
        <v>#REF!</v>
      </c>
      <c r="IS213" t="e">
        <f>AND(#REF!,"AAAAAEv37fw=")</f>
        <v>#REF!</v>
      </c>
      <c r="IT213" t="e">
        <f>AND(#REF!,"AAAAAEv37f0=")</f>
        <v>#REF!</v>
      </c>
      <c r="IU213" t="e">
        <f>AND(#REF!,"AAAAAEv37f4=")</f>
        <v>#REF!</v>
      </c>
      <c r="IV213" t="e">
        <f>AND(#REF!,"AAAAAEv37f8=")</f>
        <v>#REF!</v>
      </c>
    </row>
    <row r="214" spans="1:256" x14ac:dyDescent="0.2">
      <c r="A214" t="e">
        <f>AND(#REF!,"AAAAAH/2zgA=")</f>
        <v>#REF!</v>
      </c>
      <c r="B214" t="e">
        <f>AND(#REF!,"AAAAAH/2zgE=")</f>
        <v>#REF!</v>
      </c>
      <c r="C214" t="e">
        <f>AND(#REF!,"AAAAAH/2zgI=")</f>
        <v>#REF!</v>
      </c>
      <c r="D214" t="e">
        <f>AND(#REF!,"AAAAAH/2zgM=")</f>
        <v>#REF!</v>
      </c>
      <c r="E214" t="e">
        <f>AND(#REF!,"AAAAAH/2zgQ=")</f>
        <v>#REF!</v>
      </c>
      <c r="F214" t="e">
        <f>AND(#REF!,"AAAAAH/2zgU=")</f>
        <v>#REF!</v>
      </c>
      <c r="G214" t="e">
        <f>AND(#REF!,"AAAAAH/2zgY=")</f>
        <v>#REF!</v>
      </c>
      <c r="H214" t="e">
        <f>AND(#REF!,"AAAAAH/2zgc=")</f>
        <v>#REF!</v>
      </c>
      <c r="I214" t="e">
        <f>AND(#REF!,"AAAAAH/2zgg=")</f>
        <v>#REF!</v>
      </c>
      <c r="J214" t="e">
        <f>AND(#REF!,"AAAAAH/2zgk=")</f>
        <v>#REF!</v>
      </c>
      <c r="K214" t="e">
        <f>AND(#REF!,"AAAAAH/2zgo=")</f>
        <v>#REF!</v>
      </c>
      <c r="L214" t="e">
        <f>AND(#REF!,"AAAAAH/2zgs=")</f>
        <v>#REF!</v>
      </c>
      <c r="M214" t="e">
        <f>AND(#REF!,"AAAAAH/2zgw=")</f>
        <v>#REF!</v>
      </c>
      <c r="N214" t="e">
        <f>AND(#REF!,"AAAAAH/2zg0=")</f>
        <v>#REF!</v>
      </c>
      <c r="O214" t="e">
        <f>AND(#REF!,"AAAAAH/2zg4=")</f>
        <v>#REF!</v>
      </c>
      <c r="P214" t="e">
        <f>AND(#REF!,"AAAAAH/2zg8=")</f>
        <v>#REF!</v>
      </c>
      <c r="Q214" t="e">
        <f>AND(#REF!,"AAAAAH/2zhA=")</f>
        <v>#REF!</v>
      </c>
      <c r="R214" t="e">
        <f>AND(#REF!,"AAAAAH/2zhE=")</f>
        <v>#REF!</v>
      </c>
      <c r="S214" t="e">
        <f>AND(#REF!,"AAAAAH/2zhI=")</f>
        <v>#REF!</v>
      </c>
      <c r="T214" t="e">
        <f>AND(#REF!,"AAAAAH/2zhM=")</f>
        <v>#REF!</v>
      </c>
      <c r="U214" t="e">
        <f>AND(#REF!,"AAAAAH/2zhQ=")</f>
        <v>#REF!</v>
      </c>
      <c r="V214" t="e">
        <f>AND(#REF!,"AAAAAH/2zhU=")</f>
        <v>#REF!</v>
      </c>
      <c r="W214" t="e">
        <f>AND(#REF!,"AAAAAH/2zhY=")</f>
        <v>#REF!</v>
      </c>
      <c r="X214" t="e">
        <f>AND(#REF!,"AAAAAH/2zhc=")</f>
        <v>#REF!</v>
      </c>
      <c r="Y214" t="e">
        <f>AND(#REF!,"AAAAAH/2zhg=")</f>
        <v>#REF!</v>
      </c>
      <c r="Z214" t="e">
        <f>AND(#REF!,"AAAAAH/2zhk=")</f>
        <v>#REF!</v>
      </c>
      <c r="AA214" t="e">
        <f>AND(#REF!,"AAAAAH/2zho=")</f>
        <v>#REF!</v>
      </c>
      <c r="AB214" t="e">
        <f>AND(#REF!,"AAAAAH/2zhs=")</f>
        <v>#REF!</v>
      </c>
      <c r="AC214" t="e">
        <f>AND(#REF!,"AAAAAH/2zhw=")</f>
        <v>#REF!</v>
      </c>
      <c r="AD214" t="e">
        <f>IF(#REF!,"AAAAAH/2zh0=",0)</f>
        <v>#REF!</v>
      </c>
      <c r="AE214" t="e">
        <f>AND(#REF!,"AAAAAH/2zh4=")</f>
        <v>#REF!</v>
      </c>
      <c r="AF214" t="e">
        <f>AND(#REF!,"AAAAAH/2zh8=")</f>
        <v>#REF!</v>
      </c>
      <c r="AG214" t="e">
        <f>AND(#REF!,"AAAAAH/2ziA=")</f>
        <v>#REF!</v>
      </c>
      <c r="AH214" t="e">
        <f>AND(#REF!,"AAAAAH/2ziE=")</f>
        <v>#REF!</v>
      </c>
      <c r="AI214" t="e">
        <f>AND(#REF!,"AAAAAH/2ziI=")</f>
        <v>#REF!</v>
      </c>
      <c r="AJ214" t="e">
        <f>AND(#REF!,"AAAAAH/2ziM=")</f>
        <v>#REF!</v>
      </c>
      <c r="AK214" t="e">
        <f>AND(#REF!,"AAAAAH/2ziQ=")</f>
        <v>#REF!</v>
      </c>
      <c r="AL214" t="e">
        <f>AND(#REF!,"AAAAAH/2ziU=")</f>
        <v>#REF!</v>
      </c>
      <c r="AM214" t="e">
        <f>AND(#REF!,"AAAAAH/2ziY=")</f>
        <v>#REF!</v>
      </c>
      <c r="AN214" t="e">
        <f>AND(#REF!,"AAAAAH/2zic=")</f>
        <v>#REF!</v>
      </c>
      <c r="AO214" t="e">
        <f>AND(#REF!,"AAAAAH/2zig=")</f>
        <v>#REF!</v>
      </c>
      <c r="AP214" t="e">
        <f>AND(#REF!,"AAAAAH/2zik=")</f>
        <v>#REF!</v>
      </c>
      <c r="AQ214" t="e">
        <f>AND(#REF!,"AAAAAH/2zio=")</f>
        <v>#REF!</v>
      </c>
      <c r="AR214" t="e">
        <f>AND(#REF!,"AAAAAH/2zis=")</f>
        <v>#REF!</v>
      </c>
      <c r="AS214" t="e">
        <f>AND(#REF!,"AAAAAH/2ziw=")</f>
        <v>#REF!</v>
      </c>
      <c r="AT214" t="e">
        <f>AND(#REF!,"AAAAAH/2zi0=")</f>
        <v>#REF!</v>
      </c>
      <c r="AU214" t="e">
        <f>AND(#REF!,"AAAAAH/2zi4=")</f>
        <v>#REF!</v>
      </c>
      <c r="AV214" t="e">
        <f>AND(#REF!,"AAAAAH/2zi8=")</f>
        <v>#REF!</v>
      </c>
      <c r="AW214" t="e">
        <f>AND(#REF!,"AAAAAH/2zjA=")</f>
        <v>#REF!</v>
      </c>
      <c r="AX214" t="e">
        <f>AND(#REF!,"AAAAAH/2zjE=")</f>
        <v>#REF!</v>
      </c>
      <c r="AY214" t="e">
        <f>AND(#REF!,"AAAAAH/2zjI=")</f>
        <v>#REF!</v>
      </c>
      <c r="AZ214" t="e">
        <f>AND(#REF!,"AAAAAH/2zjM=")</f>
        <v>#REF!</v>
      </c>
      <c r="BA214" t="e">
        <f>AND(#REF!,"AAAAAH/2zjQ=")</f>
        <v>#REF!</v>
      </c>
      <c r="BB214" t="e">
        <f>AND(#REF!,"AAAAAH/2zjU=")</f>
        <v>#REF!</v>
      </c>
      <c r="BC214" t="e">
        <f>AND(#REF!,"AAAAAH/2zjY=")</f>
        <v>#REF!</v>
      </c>
      <c r="BD214" t="e">
        <f>AND(#REF!,"AAAAAH/2zjc=")</f>
        <v>#REF!</v>
      </c>
      <c r="BE214" t="e">
        <f>AND(#REF!,"AAAAAH/2zjg=")</f>
        <v>#REF!</v>
      </c>
      <c r="BF214" t="e">
        <f>AND(#REF!,"AAAAAH/2zjk=")</f>
        <v>#REF!</v>
      </c>
      <c r="BG214" t="e">
        <f>AND(#REF!,"AAAAAH/2zjo=")</f>
        <v>#REF!</v>
      </c>
      <c r="BH214" t="e">
        <f>AND(#REF!,"AAAAAH/2zjs=")</f>
        <v>#REF!</v>
      </c>
      <c r="BI214" t="e">
        <f>AND(#REF!,"AAAAAH/2zjw=")</f>
        <v>#REF!</v>
      </c>
      <c r="BJ214" t="e">
        <f>AND(#REF!,"AAAAAH/2zj0=")</f>
        <v>#REF!</v>
      </c>
      <c r="BK214" t="e">
        <f>AND(#REF!,"AAAAAH/2zj4=")</f>
        <v>#REF!</v>
      </c>
      <c r="BL214" t="e">
        <f>IF(#REF!,"AAAAAH/2zj8=",0)</f>
        <v>#REF!</v>
      </c>
      <c r="BM214" t="e">
        <f>AND(#REF!,"AAAAAH/2zkA=")</f>
        <v>#REF!</v>
      </c>
      <c r="BN214" t="e">
        <f>AND(#REF!,"AAAAAH/2zkE=")</f>
        <v>#REF!</v>
      </c>
      <c r="BO214" t="e">
        <f>AND(#REF!,"AAAAAH/2zkI=")</f>
        <v>#REF!</v>
      </c>
      <c r="BP214" t="e">
        <f>AND(#REF!,"AAAAAH/2zkM=")</f>
        <v>#REF!</v>
      </c>
      <c r="BQ214" t="e">
        <f>AND(#REF!,"AAAAAH/2zkQ=")</f>
        <v>#REF!</v>
      </c>
      <c r="BR214" t="e">
        <f>AND(#REF!,"AAAAAH/2zkU=")</f>
        <v>#REF!</v>
      </c>
      <c r="BS214" t="e">
        <f>AND(#REF!,"AAAAAH/2zkY=")</f>
        <v>#REF!</v>
      </c>
      <c r="BT214" t="e">
        <f>AND(#REF!,"AAAAAH/2zkc=")</f>
        <v>#REF!</v>
      </c>
      <c r="BU214" t="e">
        <f>AND(#REF!,"AAAAAH/2zkg=")</f>
        <v>#REF!</v>
      </c>
      <c r="BV214" t="e">
        <f>AND(#REF!,"AAAAAH/2zkk=")</f>
        <v>#REF!</v>
      </c>
      <c r="BW214" t="e">
        <f>AND(#REF!,"AAAAAH/2zko=")</f>
        <v>#REF!</v>
      </c>
      <c r="BX214" t="e">
        <f>AND(#REF!,"AAAAAH/2zks=")</f>
        <v>#REF!</v>
      </c>
      <c r="BY214" t="e">
        <f>AND(#REF!,"AAAAAH/2zkw=")</f>
        <v>#REF!</v>
      </c>
      <c r="BZ214" t="e">
        <f>AND(#REF!,"AAAAAH/2zk0=")</f>
        <v>#REF!</v>
      </c>
      <c r="CA214" t="e">
        <f>AND(#REF!,"AAAAAH/2zk4=")</f>
        <v>#REF!</v>
      </c>
      <c r="CB214" t="e">
        <f>AND(#REF!,"AAAAAH/2zk8=")</f>
        <v>#REF!</v>
      </c>
      <c r="CC214" t="e">
        <f>AND(#REF!,"AAAAAH/2zlA=")</f>
        <v>#REF!</v>
      </c>
      <c r="CD214" t="e">
        <f>AND(#REF!,"AAAAAH/2zlE=")</f>
        <v>#REF!</v>
      </c>
      <c r="CE214" t="e">
        <f>AND(#REF!,"AAAAAH/2zlI=")</f>
        <v>#REF!</v>
      </c>
      <c r="CF214" t="e">
        <f>AND(#REF!,"AAAAAH/2zlM=")</f>
        <v>#REF!</v>
      </c>
      <c r="CG214" t="e">
        <f>AND(#REF!,"AAAAAH/2zlQ=")</f>
        <v>#REF!</v>
      </c>
      <c r="CH214" t="e">
        <f>AND(#REF!,"AAAAAH/2zlU=")</f>
        <v>#REF!</v>
      </c>
      <c r="CI214" t="e">
        <f>AND(#REF!,"AAAAAH/2zlY=")</f>
        <v>#REF!</v>
      </c>
      <c r="CJ214" t="e">
        <f>AND(#REF!,"AAAAAH/2zlc=")</f>
        <v>#REF!</v>
      </c>
      <c r="CK214" t="e">
        <f>AND(#REF!,"AAAAAH/2zlg=")</f>
        <v>#REF!</v>
      </c>
      <c r="CL214" t="e">
        <f>AND(#REF!,"AAAAAH/2zlk=")</f>
        <v>#REF!</v>
      </c>
      <c r="CM214" t="e">
        <f>AND(#REF!,"AAAAAH/2zlo=")</f>
        <v>#REF!</v>
      </c>
      <c r="CN214" t="e">
        <f>AND(#REF!,"AAAAAH/2zls=")</f>
        <v>#REF!</v>
      </c>
      <c r="CO214" t="e">
        <f>AND(#REF!,"AAAAAH/2zlw=")</f>
        <v>#REF!</v>
      </c>
      <c r="CP214" t="e">
        <f>AND(#REF!,"AAAAAH/2zl0=")</f>
        <v>#REF!</v>
      </c>
      <c r="CQ214" t="e">
        <f>AND(#REF!,"AAAAAH/2zl4=")</f>
        <v>#REF!</v>
      </c>
      <c r="CR214" t="e">
        <f>AND(#REF!,"AAAAAH/2zl8=")</f>
        <v>#REF!</v>
      </c>
      <c r="CS214" t="e">
        <f>AND(#REF!,"AAAAAH/2zmA=")</f>
        <v>#REF!</v>
      </c>
      <c r="CT214" t="e">
        <f>IF(#REF!,"AAAAAH/2zmE=",0)</f>
        <v>#REF!</v>
      </c>
      <c r="CU214" t="e">
        <f>AND(#REF!,"AAAAAH/2zmI=")</f>
        <v>#REF!</v>
      </c>
      <c r="CV214" t="e">
        <f>AND(#REF!,"AAAAAH/2zmM=")</f>
        <v>#REF!</v>
      </c>
      <c r="CW214" t="e">
        <f>AND(#REF!,"AAAAAH/2zmQ=")</f>
        <v>#REF!</v>
      </c>
      <c r="CX214" t="e">
        <f>AND(#REF!,"AAAAAH/2zmU=")</f>
        <v>#REF!</v>
      </c>
      <c r="CY214" t="e">
        <f>AND(#REF!,"AAAAAH/2zmY=")</f>
        <v>#REF!</v>
      </c>
      <c r="CZ214" t="e">
        <f>AND(#REF!,"AAAAAH/2zmc=")</f>
        <v>#REF!</v>
      </c>
      <c r="DA214" t="e">
        <f>AND(#REF!,"AAAAAH/2zmg=")</f>
        <v>#REF!</v>
      </c>
      <c r="DB214" t="e">
        <f>AND(#REF!,"AAAAAH/2zmk=")</f>
        <v>#REF!</v>
      </c>
      <c r="DC214" t="e">
        <f>AND(#REF!,"AAAAAH/2zmo=")</f>
        <v>#REF!</v>
      </c>
      <c r="DD214" t="e">
        <f>AND(#REF!,"AAAAAH/2zms=")</f>
        <v>#REF!</v>
      </c>
      <c r="DE214" t="e">
        <f>AND(#REF!,"AAAAAH/2zmw=")</f>
        <v>#REF!</v>
      </c>
      <c r="DF214" t="e">
        <f>AND(#REF!,"AAAAAH/2zm0=")</f>
        <v>#REF!</v>
      </c>
      <c r="DG214" t="e">
        <f>AND(#REF!,"AAAAAH/2zm4=")</f>
        <v>#REF!</v>
      </c>
      <c r="DH214" t="e">
        <f>AND(#REF!,"AAAAAH/2zm8=")</f>
        <v>#REF!</v>
      </c>
      <c r="DI214" t="e">
        <f>AND(#REF!,"AAAAAH/2znA=")</f>
        <v>#REF!</v>
      </c>
      <c r="DJ214" t="e">
        <f>AND(#REF!,"AAAAAH/2znE=")</f>
        <v>#REF!</v>
      </c>
      <c r="DK214" t="e">
        <f>AND(#REF!,"AAAAAH/2znI=")</f>
        <v>#REF!</v>
      </c>
      <c r="DL214" t="e">
        <f>AND(#REF!,"AAAAAH/2znM=")</f>
        <v>#REF!</v>
      </c>
      <c r="DM214" t="e">
        <f>AND(#REF!,"AAAAAH/2znQ=")</f>
        <v>#REF!</v>
      </c>
      <c r="DN214" t="e">
        <f>AND(#REF!,"AAAAAH/2znU=")</f>
        <v>#REF!</v>
      </c>
      <c r="DO214" t="e">
        <f>AND(#REF!,"AAAAAH/2znY=")</f>
        <v>#REF!</v>
      </c>
      <c r="DP214" t="e">
        <f>AND(#REF!,"AAAAAH/2znc=")</f>
        <v>#REF!</v>
      </c>
      <c r="DQ214" t="e">
        <f>AND(#REF!,"AAAAAH/2zng=")</f>
        <v>#REF!</v>
      </c>
      <c r="DR214" t="e">
        <f>AND(#REF!,"AAAAAH/2znk=")</f>
        <v>#REF!</v>
      </c>
      <c r="DS214" t="e">
        <f>AND(#REF!,"AAAAAH/2zno=")</f>
        <v>#REF!</v>
      </c>
      <c r="DT214" t="e">
        <f>AND(#REF!,"AAAAAH/2zns=")</f>
        <v>#REF!</v>
      </c>
      <c r="DU214" t="e">
        <f>AND(#REF!,"AAAAAH/2znw=")</f>
        <v>#REF!</v>
      </c>
      <c r="DV214" t="e">
        <f>AND(#REF!,"AAAAAH/2zn0=")</f>
        <v>#REF!</v>
      </c>
      <c r="DW214" t="e">
        <f>AND(#REF!,"AAAAAH/2zn4=")</f>
        <v>#REF!</v>
      </c>
      <c r="DX214" t="e">
        <f>AND(#REF!,"AAAAAH/2zn8=")</f>
        <v>#REF!</v>
      </c>
      <c r="DY214" t="e">
        <f>AND(#REF!,"AAAAAH/2zoA=")</f>
        <v>#REF!</v>
      </c>
      <c r="DZ214" t="e">
        <f>AND(#REF!,"AAAAAH/2zoE=")</f>
        <v>#REF!</v>
      </c>
      <c r="EA214" t="e">
        <f>AND(#REF!,"AAAAAH/2zoI=")</f>
        <v>#REF!</v>
      </c>
      <c r="EB214" t="e">
        <f>IF(#REF!,"AAAAAH/2zoM=",0)</f>
        <v>#REF!</v>
      </c>
      <c r="EC214" t="e">
        <f>AND(#REF!,"AAAAAH/2zoQ=")</f>
        <v>#REF!</v>
      </c>
      <c r="ED214" t="e">
        <f>AND(#REF!,"AAAAAH/2zoU=")</f>
        <v>#REF!</v>
      </c>
      <c r="EE214" t="e">
        <f>AND(#REF!,"AAAAAH/2zoY=")</f>
        <v>#REF!</v>
      </c>
      <c r="EF214" t="e">
        <f>AND(#REF!,"AAAAAH/2zoc=")</f>
        <v>#REF!</v>
      </c>
      <c r="EG214" t="e">
        <f>AND(#REF!,"AAAAAH/2zog=")</f>
        <v>#REF!</v>
      </c>
      <c r="EH214" t="e">
        <f>AND(#REF!,"AAAAAH/2zok=")</f>
        <v>#REF!</v>
      </c>
      <c r="EI214" t="e">
        <f>AND(#REF!,"AAAAAH/2zoo=")</f>
        <v>#REF!</v>
      </c>
      <c r="EJ214" t="e">
        <f>AND(#REF!,"AAAAAH/2zos=")</f>
        <v>#REF!</v>
      </c>
      <c r="EK214" t="e">
        <f>AND(#REF!,"AAAAAH/2zow=")</f>
        <v>#REF!</v>
      </c>
      <c r="EL214" t="e">
        <f>AND(#REF!,"AAAAAH/2zo0=")</f>
        <v>#REF!</v>
      </c>
      <c r="EM214" t="e">
        <f>AND(#REF!,"AAAAAH/2zo4=")</f>
        <v>#REF!</v>
      </c>
      <c r="EN214" t="e">
        <f>AND(#REF!,"AAAAAH/2zo8=")</f>
        <v>#REF!</v>
      </c>
      <c r="EO214" t="e">
        <f>AND(#REF!,"AAAAAH/2zpA=")</f>
        <v>#REF!</v>
      </c>
      <c r="EP214" t="e">
        <f>AND(#REF!,"AAAAAH/2zpE=")</f>
        <v>#REF!</v>
      </c>
      <c r="EQ214" t="e">
        <f>AND(#REF!,"AAAAAH/2zpI=")</f>
        <v>#REF!</v>
      </c>
      <c r="ER214" t="e">
        <f>AND(#REF!,"AAAAAH/2zpM=")</f>
        <v>#REF!</v>
      </c>
      <c r="ES214" t="e">
        <f>AND(#REF!,"AAAAAH/2zpQ=")</f>
        <v>#REF!</v>
      </c>
      <c r="ET214" t="e">
        <f>AND(#REF!,"AAAAAH/2zpU=")</f>
        <v>#REF!</v>
      </c>
      <c r="EU214" t="e">
        <f>AND(#REF!,"AAAAAH/2zpY=")</f>
        <v>#REF!</v>
      </c>
      <c r="EV214" t="e">
        <f>AND(#REF!,"AAAAAH/2zpc=")</f>
        <v>#REF!</v>
      </c>
      <c r="EW214" t="e">
        <f>AND(#REF!,"AAAAAH/2zpg=")</f>
        <v>#REF!</v>
      </c>
      <c r="EX214" t="e">
        <f>AND(#REF!,"AAAAAH/2zpk=")</f>
        <v>#REF!</v>
      </c>
      <c r="EY214" t="e">
        <f>AND(#REF!,"AAAAAH/2zpo=")</f>
        <v>#REF!</v>
      </c>
      <c r="EZ214" t="e">
        <f>AND(#REF!,"AAAAAH/2zps=")</f>
        <v>#REF!</v>
      </c>
      <c r="FA214" t="e">
        <f>AND(#REF!,"AAAAAH/2zpw=")</f>
        <v>#REF!</v>
      </c>
      <c r="FB214" t="e">
        <f>AND(#REF!,"AAAAAH/2zp0=")</f>
        <v>#REF!</v>
      </c>
      <c r="FC214" t="e">
        <f>AND(#REF!,"AAAAAH/2zp4=")</f>
        <v>#REF!</v>
      </c>
      <c r="FD214" t="e">
        <f>AND(#REF!,"AAAAAH/2zp8=")</f>
        <v>#REF!</v>
      </c>
      <c r="FE214" t="e">
        <f>AND(#REF!,"AAAAAH/2zqA=")</f>
        <v>#REF!</v>
      </c>
      <c r="FF214" t="e">
        <f>AND(#REF!,"AAAAAH/2zqE=")</f>
        <v>#REF!</v>
      </c>
      <c r="FG214" t="e">
        <f>AND(#REF!,"AAAAAH/2zqI=")</f>
        <v>#REF!</v>
      </c>
      <c r="FH214" t="e">
        <f>AND(#REF!,"AAAAAH/2zqM=")</f>
        <v>#REF!</v>
      </c>
      <c r="FI214" t="e">
        <f>AND(#REF!,"AAAAAH/2zqQ=")</f>
        <v>#REF!</v>
      </c>
      <c r="FJ214" t="e">
        <f>IF(#REF!,"AAAAAH/2zqU=",0)</f>
        <v>#REF!</v>
      </c>
      <c r="FK214" t="e">
        <f>AND(#REF!,"AAAAAH/2zqY=")</f>
        <v>#REF!</v>
      </c>
      <c r="FL214" t="e">
        <f>AND(#REF!,"AAAAAH/2zqc=")</f>
        <v>#REF!</v>
      </c>
      <c r="FM214" t="e">
        <f>AND(#REF!,"AAAAAH/2zqg=")</f>
        <v>#REF!</v>
      </c>
      <c r="FN214" t="e">
        <f>AND(#REF!,"AAAAAH/2zqk=")</f>
        <v>#REF!</v>
      </c>
      <c r="FO214" t="e">
        <f>AND(#REF!,"AAAAAH/2zqo=")</f>
        <v>#REF!</v>
      </c>
      <c r="FP214" t="e">
        <f>AND(#REF!,"AAAAAH/2zqs=")</f>
        <v>#REF!</v>
      </c>
      <c r="FQ214" t="e">
        <f>AND(#REF!,"AAAAAH/2zqw=")</f>
        <v>#REF!</v>
      </c>
      <c r="FR214" t="e">
        <f>AND(#REF!,"AAAAAH/2zq0=")</f>
        <v>#REF!</v>
      </c>
      <c r="FS214" t="e">
        <f>AND(#REF!,"AAAAAH/2zq4=")</f>
        <v>#REF!</v>
      </c>
      <c r="FT214" t="e">
        <f>AND(#REF!,"AAAAAH/2zq8=")</f>
        <v>#REF!</v>
      </c>
      <c r="FU214" t="e">
        <f>AND(#REF!,"AAAAAH/2zrA=")</f>
        <v>#REF!</v>
      </c>
      <c r="FV214" t="e">
        <f>AND(#REF!,"AAAAAH/2zrE=")</f>
        <v>#REF!</v>
      </c>
      <c r="FW214" t="e">
        <f>AND(#REF!,"AAAAAH/2zrI=")</f>
        <v>#REF!</v>
      </c>
      <c r="FX214" t="e">
        <f>AND(#REF!,"AAAAAH/2zrM=")</f>
        <v>#REF!</v>
      </c>
      <c r="FY214" t="e">
        <f>AND(#REF!,"AAAAAH/2zrQ=")</f>
        <v>#REF!</v>
      </c>
      <c r="FZ214" t="e">
        <f>AND(#REF!,"AAAAAH/2zrU=")</f>
        <v>#REF!</v>
      </c>
      <c r="GA214" t="e">
        <f>AND(#REF!,"AAAAAH/2zrY=")</f>
        <v>#REF!</v>
      </c>
      <c r="GB214" t="e">
        <f>AND(#REF!,"AAAAAH/2zrc=")</f>
        <v>#REF!</v>
      </c>
      <c r="GC214" t="e">
        <f>AND(#REF!,"AAAAAH/2zrg=")</f>
        <v>#REF!</v>
      </c>
      <c r="GD214" t="e">
        <f>AND(#REF!,"AAAAAH/2zrk=")</f>
        <v>#REF!</v>
      </c>
      <c r="GE214" t="e">
        <f>AND(#REF!,"AAAAAH/2zro=")</f>
        <v>#REF!</v>
      </c>
      <c r="GF214" t="e">
        <f>AND(#REF!,"AAAAAH/2zrs=")</f>
        <v>#REF!</v>
      </c>
      <c r="GG214" t="e">
        <f>AND(#REF!,"AAAAAH/2zrw=")</f>
        <v>#REF!</v>
      </c>
      <c r="GH214" t="e">
        <f>AND(#REF!,"AAAAAH/2zr0=")</f>
        <v>#REF!</v>
      </c>
      <c r="GI214" t="e">
        <f>AND(#REF!,"AAAAAH/2zr4=")</f>
        <v>#REF!</v>
      </c>
      <c r="GJ214" t="e">
        <f>AND(#REF!,"AAAAAH/2zr8=")</f>
        <v>#REF!</v>
      </c>
      <c r="GK214" t="e">
        <f>AND(#REF!,"AAAAAH/2zsA=")</f>
        <v>#REF!</v>
      </c>
      <c r="GL214" t="e">
        <f>AND(#REF!,"AAAAAH/2zsE=")</f>
        <v>#REF!</v>
      </c>
      <c r="GM214" t="e">
        <f>AND(#REF!,"AAAAAH/2zsI=")</f>
        <v>#REF!</v>
      </c>
      <c r="GN214" t="e">
        <f>AND(#REF!,"AAAAAH/2zsM=")</f>
        <v>#REF!</v>
      </c>
      <c r="GO214" t="e">
        <f>AND(#REF!,"AAAAAH/2zsQ=")</f>
        <v>#REF!</v>
      </c>
      <c r="GP214" t="e">
        <f>AND(#REF!,"AAAAAH/2zsU=")</f>
        <v>#REF!</v>
      </c>
      <c r="GQ214" t="e">
        <f>AND(#REF!,"AAAAAH/2zsY=")</f>
        <v>#REF!</v>
      </c>
      <c r="GR214" t="e">
        <f>IF(#REF!,"AAAAAH/2zsc=",0)</f>
        <v>#REF!</v>
      </c>
      <c r="GS214" t="e">
        <f>AND(#REF!,"AAAAAH/2zsg=")</f>
        <v>#REF!</v>
      </c>
      <c r="GT214" t="e">
        <f>AND(#REF!,"AAAAAH/2zsk=")</f>
        <v>#REF!</v>
      </c>
      <c r="GU214" t="e">
        <f>AND(#REF!,"AAAAAH/2zso=")</f>
        <v>#REF!</v>
      </c>
      <c r="GV214" t="e">
        <f>AND(#REF!,"AAAAAH/2zss=")</f>
        <v>#REF!</v>
      </c>
      <c r="GW214" t="e">
        <f>AND(#REF!,"AAAAAH/2zsw=")</f>
        <v>#REF!</v>
      </c>
      <c r="GX214" t="e">
        <f>AND(#REF!,"AAAAAH/2zs0=")</f>
        <v>#REF!</v>
      </c>
      <c r="GY214" t="e">
        <f>AND(#REF!,"AAAAAH/2zs4=")</f>
        <v>#REF!</v>
      </c>
      <c r="GZ214" t="e">
        <f>AND(#REF!,"AAAAAH/2zs8=")</f>
        <v>#REF!</v>
      </c>
      <c r="HA214" t="e">
        <f>AND(#REF!,"AAAAAH/2ztA=")</f>
        <v>#REF!</v>
      </c>
      <c r="HB214" t="e">
        <f>AND(#REF!,"AAAAAH/2ztE=")</f>
        <v>#REF!</v>
      </c>
      <c r="HC214" t="e">
        <f>AND(#REF!,"AAAAAH/2ztI=")</f>
        <v>#REF!</v>
      </c>
      <c r="HD214" t="e">
        <f>AND(#REF!,"AAAAAH/2ztM=")</f>
        <v>#REF!</v>
      </c>
      <c r="HE214" t="e">
        <f>AND(#REF!,"AAAAAH/2ztQ=")</f>
        <v>#REF!</v>
      </c>
      <c r="HF214" t="e">
        <f>AND(#REF!,"AAAAAH/2ztU=")</f>
        <v>#REF!</v>
      </c>
      <c r="HG214" t="e">
        <f>AND(#REF!,"AAAAAH/2ztY=")</f>
        <v>#REF!</v>
      </c>
      <c r="HH214" t="e">
        <f>AND(#REF!,"AAAAAH/2ztc=")</f>
        <v>#REF!</v>
      </c>
      <c r="HI214" t="e">
        <f>AND(#REF!,"AAAAAH/2ztg=")</f>
        <v>#REF!</v>
      </c>
      <c r="HJ214" t="e">
        <f>AND(#REF!,"AAAAAH/2ztk=")</f>
        <v>#REF!</v>
      </c>
      <c r="HK214" t="e">
        <f>AND(#REF!,"AAAAAH/2zto=")</f>
        <v>#REF!</v>
      </c>
      <c r="HL214" t="e">
        <f>AND(#REF!,"AAAAAH/2zts=")</f>
        <v>#REF!</v>
      </c>
      <c r="HM214" t="e">
        <f>AND(#REF!,"AAAAAH/2ztw=")</f>
        <v>#REF!</v>
      </c>
      <c r="HN214" t="e">
        <f>AND(#REF!,"AAAAAH/2zt0=")</f>
        <v>#REF!</v>
      </c>
      <c r="HO214" t="e">
        <f>AND(#REF!,"AAAAAH/2zt4=")</f>
        <v>#REF!</v>
      </c>
      <c r="HP214" t="e">
        <f>AND(#REF!,"AAAAAH/2zt8=")</f>
        <v>#REF!</v>
      </c>
      <c r="HQ214" t="e">
        <f>AND(#REF!,"AAAAAH/2zuA=")</f>
        <v>#REF!</v>
      </c>
      <c r="HR214" t="e">
        <f>AND(#REF!,"AAAAAH/2zuE=")</f>
        <v>#REF!</v>
      </c>
      <c r="HS214" t="e">
        <f>AND(#REF!,"AAAAAH/2zuI=")</f>
        <v>#REF!</v>
      </c>
      <c r="HT214" t="e">
        <f>AND(#REF!,"AAAAAH/2zuM=")</f>
        <v>#REF!</v>
      </c>
      <c r="HU214" t="e">
        <f>AND(#REF!,"AAAAAH/2zuQ=")</f>
        <v>#REF!</v>
      </c>
      <c r="HV214" t="e">
        <f>AND(#REF!,"AAAAAH/2zuU=")</f>
        <v>#REF!</v>
      </c>
      <c r="HW214" t="e">
        <f>AND(#REF!,"AAAAAH/2zuY=")</f>
        <v>#REF!</v>
      </c>
      <c r="HX214" t="e">
        <f>AND(#REF!,"AAAAAH/2zuc=")</f>
        <v>#REF!</v>
      </c>
      <c r="HY214" t="e">
        <f>AND(#REF!,"AAAAAH/2zug=")</f>
        <v>#REF!</v>
      </c>
      <c r="HZ214" t="e">
        <f>IF(#REF!,"AAAAAH/2zuk=",0)</f>
        <v>#REF!</v>
      </c>
      <c r="IA214" t="e">
        <f>AND(#REF!,"AAAAAH/2zuo=")</f>
        <v>#REF!</v>
      </c>
      <c r="IB214" t="e">
        <f>AND(#REF!,"AAAAAH/2zus=")</f>
        <v>#REF!</v>
      </c>
      <c r="IC214" t="e">
        <f>AND(#REF!,"AAAAAH/2zuw=")</f>
        <v>#REF!</v>
      </c>
      <c r="ID214" t="e">
        <f>AND(#REF!,"AAAAAH/2zu0=")</f>
        <v>#REF!</v>
      </c>
      <c r="IE214" t="e">
        <f>AND(#REF!,"AAAAAH/2zu4=")</f>
        <v>#REF!</v>
      </c>
      <c r="IF214" t="e">
        <f>AND(#REF!,"AAAAAH/2zu8=")</f>
        <v>#REF!</v>
      </c>
      <c r="IG214" t="e">
        <f>AND(#REF!,"AAAAAH/2zvA=")</f>
        <v>#REF!</v>
      </c>
      <c r="IH214" t="e">
        <f>AND(#REF!,"AAAAAH/2zvE=")</f>
        <v>#REF!</v>
      </c>
      <c r="II214" t="e">
        <f>AND(#REF!,"AAAAAH/2zvI=")</f>
        <v>#REF!</v>
      </c>
      <c r="IJ214" t="e">
        <f>AND(#REF!,"AAAAAH/2zvM=")</f>
        <v>#REF!</v>
      </c>
      <c r="IK214" t="e">
        <f>AND(#REF!,"AAAAAH/2zvQ=")</f>
        <v>#REF!</v>
      </c>
      <c r="IL214" t="e">
        <f>AND(#REF!,"AAAAAH/2zvU=")</f>
        <v>#REF!</v>
      </c>
      <c r="IM214" t="e">
        <f>AND(#REF!,"AAAAAH/2zvY=")</f>
        <v>#REF!</v>
      </c>
      <c r="IN214" t="e">
        <f>AND(#REF!,"AAAAAH/2zvc=")</f>
        <v>#REF!</v>
      </c>
      <c r="IO214" t="e">
        <f>AND(#REF!,"AAAAAH/2zvg=")</f>
        <v>#REF!</v>
      </c>
      <c r="IP214" t="e">
        <f>AND(#REF!,"AAAAAH/2zvk=")</f>
        <v>#REF!</v>
      </c>
      <c r="IQ214" t="e">
        <f>AND(#REF!,"AAAAAH/2zvo=")</f>
        <v>#REF!</v>
      </c>
      <c r="IR214" t="e">
        <f>AND(#REF!,"AAAAAH/2zvs=")</f>
        <v>#REF!</v>
      </c>
      <c r="IS214" t="e">
        <f>AND(#REF!,"AAAAAH/2zvw=")</f>
        <v>#REF!</v>
      </c>
      <c r="IT214" t="e">
        <f>AND(#REF!,"AAAAAH/2zv0=")</f>
        <v>#REF!</v>
      </c>
      <c r="IU214" t="e">
        <f>AND(#REF!,"AAAAAH/2zv4=")</f>
        <v>#REF!</v>
      </c>
      <c r="IV214" t="e">
        <f>AND(#REF!,"AAAAAH/2zv8=")</f>
        <v>#REF!</v>
      </c>
    </row>
    <row r="215" spans="1:256" x14ac:dyDescent="0.2">
      <c r="A215" t="e">
        <f>AND(#REF!,"AAAAAH9n+wA=")</f>
        <v>#REF!</v>
      </c>
      <c r="B215" t="e">
        <f>AND(#REF!,"AAAAAH9n+wE=")</f>
        <v>#REF!</v>
      </c>
      <c r="C215" t="e">
        <f>AND(#REF!,"AAAAAH9n+wI=")</f>
        <v>#REF!</v>
      </c>
      <c r="D215" t="e">
        <f>AND(#REF!,"AAAAAH9n+wM=")</f>
        <v>#REF!</v>
      </c>
      <c r="E215" t="e">
        <f>AND(#REF!,"AAAAAH9n+wQ=")</f>
        <v>#REF!</v>
      </c>
      <c r="F215" t="e">
        <f>AND(#REF!,"AAAAAH9n+wU=")</f>
        <v>#REF!</v>
      </c>
      <c r="G215" t="e">
        <f>AND(#REF!,"AAAAAH9n+wY=")</f>
        <v>#REF!</v>
      </c>
      <c r="H215" t="e">
        <f>AND(#REF!,"AAAAAH9n+wc=")</f>
        <v>#REF!</v>
      </c>
      <c r="I215" t="e">
        <f>AND(#REF!,"AAAAAH9n+wg=")</f>
        <v>#REF!</v>
      </c>
      <c r="J215" t="e">
        <f>AND(#REF!,"AAAAAH9n+wk=")</f>
        <v>#REF!</v>
      </c>
      <c r="K215" t="e">
        <f>AND(#REF!,"AAAAAH9n+wo=")</f>
        <v>#REF!</v>
      </c>
      <c r="L215" t="e">
        <f>IF(#REF!,"AAAAAH9n+ws=",0)</f>
        <v>#REF!</v>
      </c>
      <c r="M215" t="e">
        <f>AND(#REF!,"AAAAAH9n+ww=")</f>
        <v>#REF!</v>
      </c>
      <c r="N215" t="e">
        <f>AND(#REF!,"AAAAAH9n+w0=")</f>
        <v>#REF!</v>
      </c>
      <c r="O215" t="e">
        <f>AND(#REF!,"AAAAAH9n+w4=")</f>
        <v>#REF!</v>
      </c>
      <c r="P215" t="e">
        <f>AND(#REF!,"AAAAAH9n+w8=")</f>
        <v>#REF!</v>
      </c>
      <c r="Q215" t="e">
        <f>AND(#REF!,"AAAAAH9n+xA=")</f>
        <v>#REF!</v>
      </c>
      <c r="R215" t="e">
        <f>AND(#REF!,"AAAAAH9n+xE=")</f>
        <v>#REF!</v>
      </c>
      <c r="S215" t="e">
        <f>AND(#REF!,"AAAAAH9n+xI=")</f>
        <v>#REF!</v>
      </c>
      <c r="T215" t="e">
        <f>AND(#REF!,"AAAAAH9n+xM=")</f>
        <v>#REF!</v>
      </c>
      <c r="U215" t="e">
        <f>AND(#REF!,"AAAAAH9n+xQ=")</f>
        <v>#REF!</v>
      </c>
      <c r="V215" t="e">
        <f>AND(#REF!,"AAAAAH9n+xU=")</f>
        <v>#REF!</v>
      </c>
      <c r="W215" t="e">
        <f>AND(#REF!,"AAAAAH9n+xY=")</f>
        <v>#REF!</v>
      </c>
      <c r="X215" t="e">
        <f>AND(#REF!,"AAAAAH9n+xc=")</f>
        <v>#REF!</v>
      </c>
      <c r="Y215" t="e">
        <f>AND(#REF!,"AAAAAH9n+xg=")</f>
        <v>#REF!</v>
      </c>
      <c r="Z215" t="e">
        <f>AND(#REF!,"AAAAAH9n+xk=")</f>
        <v>#REF!</v>
      </c>
      <c r="AA215" t="e">
        <f>AND(#REF!,"AAAAAH9n+xo=")</f>
        <v>#REF!</v>
      </c>
      <c r="AB215" t="e">
        <f>AND(#REF!,"AAAAAH9n+xs=")</f>
        <v>#REF!</v>
      </c>
      <c r="AC215" t="e">
        <f>AND(#REF!,"AAAAAH9n+xw=")</f>
        <v>#REF!</v>
      </c>
      <c r="AD215" t="e">
        <f>AND(#REF!,"AAAAAH9n+x0=")</f>
        <v>#REF!</v>
      </c>
      <c r="AE215" t="e">
        <f>AND(#REF!,"AAAAAH9n+x4=")</f>
        <v>#REF!</v>
      </c>
      <c r="AF215" t="e">
        <f>AND(#REF!,"AAAAAH9n+x8=")</f>
        <v>#REF!</v>
      </c>
      <c r="AG215" t="e">
        <f>AND(#REF!,"AAAAAH9n+yA=")</f>
        <v>#REF!</v>
      </c>
      <c r="AH215" t="e">
        <f>AND(#REF!,"AAAAAH9n+yE=")</f>
        <v>#REF!</v>
      </c>
      <c r="AI215" t="e">
        <f>AND(#REF!,"AAAAAH9n+yI=")</f>
        <v>#REF!</v>
      </c>
      <c r="AJ215" t="e">
        <f>AND(#REF!,"AAAAAH9n+yM=")</f>
        <v>#REF!</v>
      </c>
      <c r="AK215" t="e">
        <f>AND(#REF!,"AAAAAH9n+yQ=")</f>
        <v>#REF!</v>
      </c>
      <c r="AL215" t="e">
        <f>AND(#REF!,"AAAAAH9n+yU=")</f>
        <v>#REF!</v>
      </c>
      <c r="AM215" t="e">
        <f>AND(#REF!,"AAAAAH9n+yY=")</f>
        <v>#REF!</v>
      </c>
      <c r="AN215" t="e">
        <f>AND(#REF!,"AAAAAH9n+yc=")</f>
        <v>#REF!</v>
      </c>
      <c r="AO215" t="e">
        <f>AND(#REF!,"AAAAAH9n+yg=")</f>
        <v>#REF!</v>
      </c>
      <c r="AP215" t="e">
        <f>AND(#REF!,"AAAAAH9n+yk=")</f>
        <v>#REF!</v>
      </c>
      <c r="AQ215" t="e">
        <f>AND(#REF!,"AAAAAH9n+yo=")</f>
        <v>#REF!</v>
      </c>
      <c r="AR215" t="e">
        <f>AND(#REF!,"AAAAAH9n+ys=")</f>
        <v>#REF!</v>
      </c>
      <c r="AS215" t="e">
        <f>AND(#REF!,"AAAAAH9n+yw=")</f>
        <v>#REF!</v>
      </c>
      <c r="AT215" t="e">
        <f>IF(#REF!,"AAAAAH9n+y0=",0)</f>
        <v>#REF!</v>
      </c>
      <c r="AU215" t="e">
        <f>AND(#REF!,"AAAAAH9n+y4=")</f>
        <v>#REF!</v>
      </c>
      <c r="AV215" t="e">
        <f>AND(#REF!,"AAAAAH9n+y8=")</f>
        <v>#REF!</v>
      </c>
      <c r="AW215" t="e">
        <f>AND(#REF!,"AAAAAH9n+zA=")</f>
        <v>#REF!</v>
      </c>
      <c r="AX215" t="e">
        <f>AND(#REF!,"AAAAAH9n+zE=")</f>
        <v>#REF!</v>
      </c>
      <c r="AY215" t="e">
        <f>AND(#REF!,"AAAAAH9n+zI=")</f>
        <v>#REF!</v>
      </c>
      <c r="AZ215" t="e">
        <f>AND(#REF!,"AAAAAH9n+zM=")</f>
        <v>#REF!</v>
      </c>
      <c r="BA215" t="e">
        <f>AND(#REF!,"AAAAAH9n+zQ=")</f>
        <v>#REF!</v>
      </c>
      <c r="BB215" t="e">
        <f>AND(#REF!,"AAAAAH9n+zU=")</f>
        <v>#REF!</v>
      </c>
      <c r="BC215" t="e">
        <f>AND(#REF!,"AAAAAH9n+zY=")</f>
        <v>#REF!</v>
      </c>
      <c r="BD215" t="e">
        <f>AND(#REF!,"AAAAAH9n+zc=")</f>
        <v>#REF!</v>
      </c>
      <c r="BE215" t="e">
        <f>AND(#REF!,"AAAAAH9n+zg=")</f>
        <v>#REF!</v>
      </c>
      <c r="BF215" t="e">
        <f>AND(#REF!,"AAAAAH9n+zk=")</f>
        <v>#REF!</v>
      </c>
      <c r="BG215" t="e">
        <f>AND(#REF!,"AAAAAH9n+zo=")</f>
        <v>#REF!</v>
      </c>
      <c r="BH215" t="e">
        <f>AND(#REF!,"AAAAAH9n+zs=")</f>
        <v>#REF!</v>
      </c>
      <c r="BI215" t="e">
        <f>AND(#REF!,"AAAAAH9n+zw=")</f>
        <v>#REF!</v>
      </c>
      <c r="BJ215" t="e">
        <f>AND(#REF!,"AAAAAH9n+z0=")</f>
        <v>#REF!</v>
      </c>
      <c r="BK215" t="e">
        <f>AND(#REF!,"AAAAAH9n+z4=")</f>
        <v>#REF!</v>
      </c>
      <c r="BL215" t="e">
        <f>AND(#REF!,"AAAAAH9n+z8=")</f>
        <v>#REF!</v>
      </c>
      <c r="BM215" t="e">
        <f>AND(#REF!,"AAAAAH9n+0A=")</f>
        <v>#REF!</v>
      </c>
      <c r="BN215" t="e">
        <f>AND(#REF!,"AAAAAH9n+0E=")</f>
        <v>#REF!</v>
      </c>
      <c r="BO215" t="e">
        <f>AND(#REF!,"AAAAAH9n+0I=")</f>
        <v>#REF!</v>
      </c>
      <c r="BP215" t="e">
        <f>AND(#REF!,"AAAAAH9n+0M=")</f>
        <v>#REF!</v>
      </c>
      <c r="BQ215" t="e">
        <f>AND(#REF!,"AAAAAH9n+0Q=")</f>
        <v>#REF!</v>
      </c>
      <c r="BR215" t="e">
        <f>AND(#REF!,"AAAAAH9n+0U=")</f>
        <v>#REF!</v>
      </c>
      <c r="BS215" t="e">
        <f>AND(#REF!,"AAAAAH9n+0Y=")</f>
        <v>#REF!</v>
      </c>
      <c r="BT215" t="e">
        <f>AND(#REF!,"AAAAAH9n+0c=")</f>
        <v>#REF!</v>
      </c>
      <c r="BU215" t="e">
        <f>AND(#REF!,"AAAAAH9n+0g=")</f>
        <v>#REF!</v>
      </c>
      <c r="BV215" t="e">
        <f>AND(#REF!,"AAAAAH9n+0k=")</f>
        <v>#REF!</v>
      </c>
      <c r="BW215" t="e">
        <f>AND(#REF!,"AAAAAH9n+0o=")</f>
        <v>#REF!</v>
      </c>
      <c r="BX215" t="e">
        <f>AND(#REF!,"AAAAAH9n+0s=")</f>
        <v>#REF!</v>
      </c>
      <c r="BY215" t="e">
        <f>AND(#REF!,"AAAAAH9n+0w=")</f>
        <v>#REF!</v>
      </c>
      <c r="BZ215" t="e">
        <f>AND(#REF!,"AAAAAH9n+00=")</f>
        <v>#REF!</v>
      </c>
      <c r="CA215" t="e">
        <f>AND(#REF!,"AAAAAH9n+04=")</f>
        <v>#REF!</v>
      </c>
      <c r="CB215" t="e">
        <f>IF(#REF!,"AAAAAH9n+08=",0)</f>
        <v>#REF!</v>
      </c>
      <c r="CC215" t="e">
        <f>AND(#REF!,"AAAAAH9n+1A=")</f>
        <v>#REF!</v>
      </c>
      <c r="CD215" t="e">
        <f>AND(#REF!,"AAAAAH9n+1E=")</f>
        <v>#REF!</v>
      </c>
      <c r="CE215" t="e">
        <f>AND(#REF!,"AAAAAH9n+1I=")</f>
        <v>#REF!</v>
      </c>
      <c r="CF215" t="e">
        <f>AND(#REF!,"AAAAAH9n+1M=")</f>
        <v>#REF!</v>
      </c>
      <c r="CG215" t="e">
        <f>AND(#REF!,"AAAAAH9n+1Q=")</f>
        <v>#REF!</v>
      </c>
      <c r="CH215" t="e">
        <f>AND(#REF!,"AAAAAH9n+1U=")</f>
        <v>#REF!</v>
      </c>
      <c r="CI215" t="e">
        <f>AND(#REF!,"AAAAAH9n+1Y=")</f>
        <v>#REF!</v>
      </c>
      <c r="CJ215" t="e">
        <f>AND(#REF!,"AAAAAH9n+1c=")</f>
        <v>#REF!</v>
      </c>
      <c r="CK215" t="e">
        <f>AND(#REF!,"AAAAAH9n+1g=")</f>
        <v>#REF!</v>
      </c>
      <c r="CL215" t="e">
        <f>AND(#REF!,"AAAAAH9n+1k=")</f>
        <v>#REF!</v>
      </c>
      <c r="CM215" t="e">
        <f>AND(#REF!,"AAAAAH9n+1o=")</f>
        <v>#REF!</v>
      </c>
      <c r="CN215" t="e">
        <f>AND(#REF!,"AAAAAH9n+1s=")</f>
        <v>#REF!</v>
      </c>
      <c r="CO215" t="e">
        <f>AND(#REF!,"AAAAAH9n+1w=")</f>
        <v>#REF!</v>
      </c>
      <c r="CP215" t="e">
        <f>AND(#REF!,"AAAAAH9n+10=")</f>
        <v>#REF!</v>
      </c>
      <c r="CQ215" t="e">
        <f>AND(#REF!,"AAAAAH9n+14=")</f>
        <v>#REF!</v>
      </c>
      <c r="CR215" t="e">
        <f>AND(#REF!,"AAAAAH9n+18=")</f>
        <v>#REF!</v>
      </c>
      <c r="CS215" t="e">
        <f>AND(#REF!,"AAAAAH9n+2A=")</f>
        <v>#REF!</v>
      </c>
      <c r="CT215" t="e">
        <f>AND(#REF!,"AAAAAH9n+2E=")</f>
        <v>#REF!</v>
      </c>
      <c r="CU215" t="e">
        <f>AND(#REF!,"AAAAAH9n+2I=")</f>
        <v>#REF!</v>
      </c>
      <c r="CV215" t="e">
        <f>AND(#REF!,"AAAAAH9n+2M=")</f>
        <v>#REF!</v>
      </c>
      <c r="CW215" t="e">
        <f>AND(#REF!,"AAAAAH9n+2Q=")</f>
        <v>#REF!</v>
      </c>
      <c r="CX215" t="e">
        <f>AND(#REF!,"AAAAAH9n+2U=")</f>
        <v>#REF!</v>
      </c>
      <c r="CY215" t="e">
        <f>AND(#REF!,"AAAAAH9n+2Y=")</f>
        <v>#REF!</v>
      </c>
      <c r="CZ215" t="e">
        <f>AND(#REF!,"AAAAAH9n+2c=")</f>
        <v>#REF!</v>
      </c>
      <c r="DA215" t="e">
        <f>AND(#REF!,"AAAAAH9n+2g=")</f>
        <v>#REF!</v>
      </c>
      <c r="DB215" t="e">
        <f>AND(#REF!,"AAAAAH9n+2k=")</f>
        <v>#REF!</v>
      </c>
      <c r="DC215" t="e">
        <f>AND(#REF!,"AAAAAH9n+2o=")</f>
        <v>#REF!</v>
      </c>
      <c r="DD215" t="e">
        <f>AND(#REF!,"AAAAAH9n+2s=")</f>
        <v>#REF!</v>
      </c>
      <c r="DE215" t="e">
        <f>AND(#REF!,"AAAAAH9n+2w=")</f>
        <v>#REF!</v>
      </c>
      <c r="DF215" t="e">
        <f>AND(#REF!,"AAAAAH9n+20=")</f>
        <v>#REF!</v>
      </c>
      <c r="DG215" t="e">
        <f>AND(#REF!,"AAAAAH9n+24=")</f>
        <v>#REF!</v>
      </c>
      <c r="DH215" t="e">
        <f>AND(#REF!,"AAAAAH9n+28=")</f>
        <v>#REF!</v>
      </c>
      <c r="DI215" t="e">
        <f>AND(#REF!,"AAAAAH9n+3A=")</f>
        <v>#REF!</v>
      </c>
      <c r="DJ215" t="e">
        <f>IF(#REF!,"AAAAAH9n+3E=",0)</f>
        <v>#REF!</v>
      </c>
      <c r="DK215" t="e">
        <f>AND(#REF!,"AAAAAH9n+3I=")</f>
        <v>#REF!</v>
      </c>
      <c r="DL215" t="e">
        <f>AND(#REF!,"AAAAAH9n+3M=")</f>
        <v>#REF!</v>
      </c>
      <c r="DM215" t="e">
        <f>AND(#REF!,"AAAAAH9n+3Q=")</f>
        <v>#REF!</v>
      </c>
      <c r="DN215" t="e">
        <f>AND(#REF!,"AAAAAH9n+3U=")</f>
        <v>#REF!</v>
      </c>
      <c r="DO215" t="e">
        <f>AND(#REF!,"AAAAAH9n+3Y=")</f>
        <v>#REF!</v>
      </c>
      <c r="DP215" t="e">
        <f>AND(#REF!,"AAAAAH9n+3c=")</f>
        <v>#REF!</v>
      </c>
      <c r="DQ215" t="e">
        <f>AND(#REF!,"AAAAAH9n+3g=")</f>
        <v>#REF!</v>
      </c>
      <c r="DR215" t="e">
        <f>AND(#REF!,"AAAAAH9n+3k=")</f>
        <v>#REF!</v>
      </c>
      <c r="DS215" t="e">
        <f>AND(#REF!,"AAAAAH9n+3o=")</f>
        <v>#REF!</v>
      </c>
      <c r="DT215" t="e">
        <f>AND(#REF!,"AAAAAH9n+3s=")</f>
        <v>#REF!</v>
      </c>
      <c r="DU215" t="e">
        <f>AND(#REF!,"AAAAAH9n+3w=")</f>
        <v>#REF!</v>
      </c>
      <c r="DV215" t="e">
        <f>AND(#REF!,"AAAAAH9n+30=")</f>
        <v>#REF!</v>
      </c>
      <c r="DW215" t="e">
        <f>AND(#REF!,"AAAAAH9n+34=")</f>
        <v>#REF!</v>
      </c>
      <c r="DX215" t="e">
        <f>AND(#REF!,"AAAAAH9n+38=")</f>
        <v>#REF!</v>
      </c>
      <c r="DY215" t="e">
        <f>AND(#REF!,"AAAAAH9n+4A=")</f>
        <v>#REF!</v>
      </c>
      <c r="DZ215" t="e">
        <f>AND(#REF!,"AAAAAH9n+4E=")</f>
        <v>#REF!</v>
      </c>
      <c r="EA215" t="e">
        <f>AND(#REF!,"AAAAAH9n+4I=")</f>
        <v>#REF!</v>
      </c>
      <c r="EB215" t="e">
        <f>AND(#REF!,"AAAAAH9n+4M=")</f>
        <v>#REF!</v>
      </c>
      <c r="EC215" t="e">
        <f>AND(#REF!,"AAAAAH9n+4Q=")</f>
        <v>#REF!</v>
      </c>
      <c r="ED215" t="e">
        <f>AND(#REF!,"AAAAAH9n+4U=")</f>
        <v>#REF!</v>
      </c>
      <c r="EE215" t="e">
        <f>AND(#REF!,"AAAAAH9n+4Y=")</f>
        <v>#REF!</v>
      </c>
      <c r="EF215" t="e">
        <f>AND(#REF!,"AAAAAH9n+4c=")</f>
        <v>#REF!</v>
      </c>
      <c r="EG215" t="e">
        <f>AND(#REF!,"AAAAAH9n+4g=")</f>
        <v>#REF!</v>
      </c>
      <c r="EH215" t="e">
        <f>AND(#REF!,"AAAAAH9n+4k=")</f>
        <v>#REF!</v>
      </c>
      <c r="EI215" t="e">
        <f>AND(#REF!,"AAAAAH9n+4o=")</f>
        <v>#REF!</v>
      </c>
      <c r="EJ215" t="e">
        <f>AND(#REF!,"AAAAAH9n+4s=")</f>
        <v>#REF!</v>
      </c>
      <c r="EK215" t="e">
        <f>AND(#REF!,"AAAAAH9n+4w=")</f>
        <v>#REF!</v>
      </c>
      <c r="EL215" t="e">
        <f>AND(#REF!,"AAAAAH9n+40=")</f>
        <v>#REF!</v>
      </c>
      <c r="EM215" t="e">
        <f>AND(#REF!,"AAAAAH9n+44=")</f>
        <v>#REF!</v>
      </c>
      <c r="EN215" t="e">
        <f>AND(#REF!,"AAAAAH9n+48=")</f>
        <v>#REF!</v>
      </c>
      <c r="EO215" t="e">
        <f>AND(#REF!,"AAAAAH9n+5A=")</f>
        <v>#REF!</v>
      </c>
      <c r="EP215" t="e">
        <f>AND(#REF!,"AAAAAH9n+5E=")</f>
        <v>#REF!</v>
      </c>
      <c r="EQ215" t="e">
        <f>AND(#REF!,"AAAAAH9n+5I=")</f>
        <v>#REF!</v>
      </c>
      <c r="ER215" t="e">
        <f>IF(#REF!,"AAAAAH9n+5M=",0)</f>
        <v>#REF!</v>
      </c>
      <c r="ES215" t="e">
        <f>AND(#REF!,"AAAAAH9n+5Q=")</f>
        <v>#REF!</v>
      </c>
      <c r="ET215" t="e">
        <f>AND(#REF!,"AAAAAH9n+5U=")</f>
        <v>#REF!</v>
      </c>
      <c r="EU215" t="e">
        <f>AND(#REF!,"AAAAAH9n+5Y=")</f>
        <v>#REF!</v>
      </c>
      <c r="EV215" t="e">
        <f>AND(#REF!,"AAAAAH9n+5c=")</f>
        <v>#REF!</v>
      </c>
      <c r="EW215" t="e">
        <f>AND(#REF!,"AAAAAH9n+5g=")</f>
        <v>#REF!</v>
      </c>
      <c r="EX215" t="e">
        <f>AND(#REF!,"AAAAAH9n+5k=")</f>
        <v>#REF!</v>
      </c>
      <c r="EY215" t="e">
        <f>AND(#REF!,"AAAAAH9n+5o=")</f>
        <v>#REF!</v>
      </c>
      <c r="EZ215" t="e">
        <f>AND(#REF!,"AAAAAH9n+5s=")</f>
        <v>#REF!</v>
      </c>
      <c r="FA215" t="e">
        <f>AND(#REF!,"AAAAAH9n+5w=")</f>
        <v>#REF!</v>
      </c>
      <c r="FB215" t="e">
        <f>AND(#REF!,"AAAAAH9n+50=")</f>
        <v>#REF!</v>
      </c>
      <c r="FC215" t="e">
        <f>AND(#REF!,"AAAAAH9n+54=")</f>
        <v>#REF!</v>
      </c>
      <c r="FD215" t="e">
        <f>AND(#REF!,"AAAAAH9n+58=")</f>
        <v>#REF!</v>
      </c>
      <c r="FE215" t="e">
        <f>AND(#REF!,"AAAAAH9n+6A=")</f>
        <v>#REF!</v>
      </c>
      <c r="FF215" t="e">
        <f>AND(#REF!,"AAAAAH9n+6E=")</f>
        <v>#REF!</v>
      </c>
      <c r="FG215" t="e">
        <f>AND(#REF!,"AAAAAH9n+6I=")</f>
        <v>#REF!</v>
      </c>
      <c r="FH215" t="e">
        <f>AND(#REF!,"AAAAAH9n+6M=")</f>
        <v>#REF!</v>
      </c>
      <c r="FI215" t="e">
        <f>AND(#REF!,"AAAAAH9n+6Q=")</f>
        <v>#REF!</v>
      </c>
      <c r="FJ215" t="e">
        <f>AND(#REF!,"AAAAAH9n+6U=")</f>
        <v>#REF!</v>
      </c>
      <c r="FK215" t="e">
        <f>AND(#REF!,"AAAAAH9n+6Y=")</f>
        <v>#REF!</v>
      </c>
      <c r="FL215" t="e">
        <f>AND(#REF!,"AAAAAH9n+6c=")</f>
        <v>#REF!</v>
      </c>
      <c r="FM215" t="e">
        <f>AND(#REF!,"AAAAAH9n+6g=")</f>
        <v>#REF!</v>
      </c>
      <c r="FN215" t="e">
        <f>AND(#REF!,"AAAAAH9n+6k=")</f>
        <v>#REF!</v>
      </c>
      <c r="FO215" t="e">
        <f>AND(#REF!,"AAAAAH9n+6o=")</f>
        <v>#REF!</v>
      </c>
      <c r="FP215" t="e">
        <f>AND(#REF!,"AAAAAH9n+6s=")</f>
        <v>#REF!</v>
      </c>
      <c r="FQ215" t="e">
        <f>AND(#REF!,"AAAAAH9n+6w=")</f>
        <v>#REF!</v>
      </c>
      <c r="FR215" t="e">
        <f>AND(#REF!,"AAAAAH9n+60=")</f>
        <v>#REF!</v>
      </c>
      <c r="FS215" t="e">
        <f>AND(#REF!,"AAAAAH9n+64=")</f>
        <v>#REF!</v>
      </c>
      <c r="FT215" t="e">
        <f>AND(#REF!,"AAAAAH9n+68=")</f>
        <v>#REF!</v>
      </c>
      <c r="FU215" t="e">
        <f>AND(#REF!,"AAAAAH9n+7A=")</f>
        <v>#REF!</v>
      </c>
      <c r="FV215" t="e">
        <f>AND(#REF!,"AAAAAH9n+7E=")</f>
        <v>#REF!</v>
      </c>
      <c r="FW215" t="e">
        <f>AND(#REF!,"AAAAAH9n+7I=")</f>
        <v>#REF!</v>
      </c>
      <c r="FX215" t="e">
        <f>AND(#REF!,"AAAAAH9n+7M=")</f>
        <v>#REF!</v>
      </c>
      <c r="FY215" t="e">
        <f>AND(#REF!,"AAAAAH9n+7Q=")</f>
        <v>#REF!</v>
      </c>
      <c r="FZ215" t="e">
        <f>IF(#REF!,"AAAAAH9n+7U=",0)</f>
        <v>#REF!</v>
      </c>
      <c r="GA215" t="e">
        <f>AND(#REF!,"AAAAAH9n+7Y=")</f>
        <v>#REF!</v>
      </c>
      <c r="GB215" t="e">
        <f>AND(#REF!,"AAAAAH9n+7c=")</f>
        <v>#REF!</v>
      </c>
      <c r="GC215" t="e">
        <f>AND(#REF!,"AAAAAH9n+7g=")</f>
        <v>#REF!</v>
      </c>
      <c r="GD215" t="e">
        <f>AND(#REF!,"AAAAAH9n+7k=")</f>
        <v>#REF!</v>
      </c>
      <c r="GE215" t="e">
        <f>AND(#REF!,"AAAAAH9n+7o=")</f>
        <v>#REF!</v>
      </c>
      <c r="GF215" t="e">
        <f>AND(#REF!,"AAAAAH9n+7s=")</f>
        <v>#REF!</v>
      </c>
      <c r="GG215" t="e">
        <f>AND(#REF!,"AAAAAH9n+7w=")</f>
        <v>#REF!</v>
      </c>
      <c r="GH215" t="e">
        <f>AND(#REF!,"AAAAAH9n+70=")</f>
        <v>#REF!</v>
      </c>
      <c r="GI215" t="e">
        <f>AND(#REF!,"AAAAAH9n+74=")</f>
        <v>#REF!</v>
      </c>
      <c r="GJ215" t="e">
        <f>AND(#REF!,"AAAAAH9n+78=")</f>
        <v>#REF!</v>
      </c>
      <c r="GK215" t="e">
        <f>AND(#REF!,"AAAAAH9n+8A=")</f>
        <v>#REF!</v>
      </c>
      <c r="GL215" t="e">
        <f>AND(#REF!,"AAAAAH9n+8E=")</f>
        <v>#REF!</v>
      </c>
      <c r="GM215" t="e">
        <f>AND(#REF!,"AAAAAH9n+8I=")</f>
        <v>#REF!</v>
      </c>
      <c r="GN215" t="e">
        <f>AND(#REF!,"AAAAAH9n+8M=")</f>
        <v>#REF!</v>
      </c>
      <c r="GO215" t="e">
        <f>AND(#REF!,"AAAAAH9n+8Q=")</f>
        <v>#REF!</v>
      </c>
      <c r="GP215" t="e">
        <f>AND(#REF!,"AAAAAH9n+8U=")</f>
        <v>#REF!</v>
      </c>
      <c r="GQ215" t="e">
        <f>AND(#REF!,"AAAAAH9n+8Y=")</f>
        <v>#REF!</v>
      </c>
      <c r="GR215" t="e">
        <f>AND(#REF!,"AAAAAH9n+8c=")</f>
        <v>#REF!</v>
      </c>
      <c r="GS215" t="e">
        <f>AND(#REF!,"AAAAAH9n+8g=")</f>
        <v>#REF!</v>
      </c>
      <c r="GT215" t="e">
        <f>AND(#REF!,"AAAAAH9n+8k=")</f>
        <v>#REF!</v>
      </c>
      <c r="GU215" t="e">
        <f>AND(#REF!,"AAAAAH9n+8o=")</f>
        <v>#REF!</v>
      </c>
      <c r="GV215" t="e">
        <f>AND(#REF!,"AAAAAH9n+8s=")</f>
        <v>#REF!</v>
      </c>
      <c r="GW215" t="e">
        <f>AND(#REF!,"AAAAAH9n+8w=")</f>
        <v>#REF!</v>
      </c>
      <c r="GX215" t="e">
        <f>AND(#REF!,"AAAAAH9n+80=")</f>
        <v>#REF!</v>
      </c>
      <c r="GY215" t="e">
        <f>AND(#REF!,"AAAAAH9n+84=")</f>
        <v>#REF!</v>
      </c>
      <c r="GZ215" t="e">
        <f>AND(#REF!,"AAAAAH9n+88=")</f>
        <v>#REF!</v>
      </c>
      <c r="HA215" t="e">
        <f>AND(#REF!,"AAAAAH9n+9A=")</f>
        <v>#REF!</v>
      </c>
      <c r="HB215" t="e">
        <f>AND(#REF!,"AAAAAH9n+9E=")</f>
        <v>#REF!</v>
      </c>
      <c r="HC215" t="e">
        <f>AND(#REF!,"AAAAAH9n+9I=")</f>
        <v>#REF!</v>
      </c>
      <c r="HD215" t="e">
        <f>AND(#REF!,"AAAAAH9n+9M=")</f>
        <v>#REF!</v>
      </c>
      <c r="HE215" t="e">
        <f>AND(#REF!,"AAAAAH9n+9Q=")</f>
        <v>#REF!</v>
      </c>
      <c r="HF215" t="e">
        <f>AND(#REF!,"AAAAAH9n+9U=")</f>
        <v>#REF!</v>
      </c>
      <c r="HG215" t="e">
        <f>AND(#REF!,"AAAAAH9n+9Y=")</f>
        <v>#REF!</v>
      </c>
      <c r="HH215" t="e">
        <f>IF(#REF!,"AAAAAH9n+9c=",0)</f>
        <v>#REF!</v>
      </c>
      <c r="HI215" t="e">
        <f>AND(#REF!,"AAAAAH9n+9g=")</f>
        <v>#REF!</v>
      </c>
      <c r="HJ215" t="e">
        <f>AND(#REF!,"AAAAAH9n+9k=")</f>
        <v>#REF!</v>
      </c>
      <c r="HK215" t="e">
        <f>AND(#REF!,"AAAAAH9n+9o=")</f>
        <v>#REF!</v>
      </c>
      <c r="HL215" t="e">
        <f>AND(#REF!,"AAAAAH9n+9s=")</f>
        <v>#REF!</v>
      </c>
      <c r="HM215" t="e">
        <f>AND(#REF!,"AAAAAH9n+9w=")</f>
        <v>#REF!</v>
      </c>
      <c r="HN215" t="e">
        <f>AND(#REF!,"AAAAAH9n+90=")</f>
        <v>#REF!</v>
      </c>
      <c r="HO215" t="e">
        <f>AND(#REF!,"AAAAAH9n+94=")</f>
        <v>#REF!</v>
      </c>
      <c r="HP215" t="e">
        <f>AND(#REF!,"AAAAAH9n+98=")</f>
        <v>#REF!</v>
      </c>
      <c r="HQ215" t="e">
        <f>AND(#REF!,"AAAAAH9n++A=")</f>
        <v>#REF!</v>
      </c>
      <c r="HR215" t="e">
        <f>AND(#REF!,"AAAAAH9n++E=")</f>
        <v>#REF!</v>
      </c>
      <c r="HS215" t="e">
        <f>AND(#REF!,"AAAAAH9n++I=")</f>
        <v>#REF!</v>
      </c>
      <c r="HT215" t="e">
        <f>AND(#REF!,"AAAAAH9n++M=")</f>
        <v>#REF!</v>
      </c>
      <c r="HU215" t="e">
        <f>AND(#REF!,"AAAAAH9n++Q=")</f>
        <v>#REF!</v>
      </c>
      <c r="HV215" t="e">
        <f>AND(#REF!,"AAAAAH9n++U=")</f>
        <v>#REF!</v>
      </c>
      <c r="HW215" t="e">
        <f>AND(#REF!,"AAAAAH9n++Y=")</f>
        <v>#REF!</v>
      </c>
      <c r="HX215" t="e">
        <f>AND(#REF!,"AAAAAH9n++c=")</f>
        <v>#REF!</v>
      </c>
      <c r="HY215" t="e">
        <f>AND(#REF!,"AAAAAH9n++g=")</f>
        <v>#REF!</v>
      </c>
      <c r="HZ215" t="e">
        <f>AND(#REF!,"AAAAAH9n++k=")</f>
        <v>#REF!</v>
      </c>
      <c r="IA215" t="e">
        <f>AND(#REF!,"AAAAAH9n++o=")</f>
        <v>#REF!</v>
      </c>
      <c r="IB215" t="e">
        <f>AND(#REF!,"AAAAAH9n++s=")</f>
        <v>#REF!</v>
      </c>
      <c r="IC215" t="e">
        <f>AND(#REF!,"AAAAAH9n++w=")</f>
        <v>#REF!</v>
      </c>
      <c r="ID215" t="e">
        <f>AND(#REF!,"AAAAAH9n++0=")</f>
        <v>#REF!</v>
      </c>
      <c r="IE215" t="e">
        <f>AND(#REF!,"AAAAAH9n++4=")</f>
        <v>#REF!</v>
      </c>
      <c r="IF215" t="e">
        <f>AND(#REF!,"AAAAAH9n++8=")</f>
        <v>#REF!</v>
      </c>
      <c r="IG215" t="e">
        <f>AND(#REF!,"AAAAAH9n+/A=")</f>
        <v>#REF!</v>
      </c>
      <c r="IH215" t="e">
        <f>AND(#REF!,"AAAAAH9n+/E=")</f>
        <v>#REF!</v>
      </c>
      <c r="II215" t="e">
        <f>AND(#REF!,"AAAAAH9n+/I=")</f>
        <v>#REF!</v>
      </c>
      <c r="IJ215" t="e">
        <f>AND(#REF!,"AAAAAH9n+/M=")</f>
        <v>#REF!</v>
      </c>
      <c r="IK215" t="e">
        <f>AND(#REF!,"AAAAAH9n+/Q=")</f>
        <v>#REF!</v>
      </c>
      <c r="IL215" t="e">
        <f>AND(#REF!,"AAAAAH9n+/U=")</f>
        <v>#REF!</v>
      </c>
      <c r="IM215" t="e">
        <f>AND(#REF!,"AAAAAH9n+/Y=")</f>
        <v>#REF!</v>
      </c>
      <c r="IN215" t="e">
        <f>AND(#REF!,"AAAAAH9n+/c=")</f>
        <v>#REF!</v>
      </c>
      <c r="IO215" t="e">
        <f>AND(#REF!,"AAAAAH9n+/g=")</f>
        <v>#REF!</v>
      </c>
      <c r="IP215" t="e">
        <f>IF(#REF!,"AAAAAH9n+/k=",0)</f>
        <v>#REF!</v>
      </c>
      <c r="IQ215" t="e">
        <f>AND(#REF!,"AAAAAH9n+/o=")</f>
        <v>#REF!</v>
      </c>
      <c r="IR215" t="e">
        <f>AND(#REF!,"AAAAAH9n+/s=")</f>
        <v>#REF!</v>
      </c>
      <c r="IS215" t="e">
        <f>AND(#REF!,"AAAAAH9n+/w=")</f>
        <v>#REF!</v>
      </c>
      <c r="IT215" t="e">
        <f>AND(#REF!,"AAAAAH9n+/0=")</f>
        <v>#REF!</v>
      </c>
      <c r="IU215" t="e">
        <f>AND(#REF!,"AAAAAH9n+/4=")</f>
        <v>#REF!</v>
      </c>
      <c r="IV215" t="e">
        <f>AND(#REF!,"AAAAAH9n+/8=")</f>
        <v>#REF!</v>
      </c>
    </row>
    <row r="216" spans="1:256" x14ac:dyDescent="0.2">
      <c r="A216" t="e">
        <f>AND(#REF!,"AAAAAD/q9QA=")</f>
        <v>#REF!</v>
      </c>
      <c r="B216" t="e">
        <f>AND(#REF!,"AAAAAD/q9QE=")</f>
        <v>#REF!</v>
      </c>
      <c r="C216" t="e">
        <f>AND(#REF!,"AAAAAD/q9QI=")</f>
        <v>#REF!</v>
      </c>
      <c r="D216" t="e">
        <f>AND(#REF!,"AAAAAD/q9QM=")</f>
        <v>#REF!</v>
      </c>
      <c r="E216" t="e">
        <f>AND(#REF!,"AAAAAD/q9QQ=")</f>
        <v>#REF!</v>
      </c>
      <c r="F216" t="e">
        <f>AND(#REF!,"AAAAAD/q9QU=")</f>
        <v>#REF!</v>
      </c>
      <c r="G216" t="e">
        <f>AND(#REF!,"AAAAAD/q9QY=")</f>
        <v>#REF!</v>
      </c>
      <c r="H216" t="e">
        <f>AND(#REF!,"AAAAAD/q9Qc=")</f>
        <v>#REF!</v>
      </c>
      <c r="I216" t="e">
        <f>AND(#REF!,"AAAAAD/q9Qg=")</f>
        <v>#REF!</v>
      </c>
      <c r="J216" t="e">
        <f>AND(#REF!,"AAAAAD/q9Qk=")</f>
        <v>#REF!</v>
      </c>
      <c r="K216" t="e">
        <f>AND(#REF!,"AAAAAD/q9Qo=")</f>
        <v>#REF!</v>
      </c>
      <c r="L216" t="e">
        <f>AND(#REF!,"AAAAAD/q9Qs=")</f>
        <v>#REF!</v>
      </c>
      <c r="M216" t="e">
        <f>AND(#REF!,"AAAAAD/q9Qw=")</f>
        <v>#REF!</v>
      </c>
      <c r="N216" t="e">
        <f>AND(#REF!,"AAAAAD/q9Q0=")</f>
        <v>#REF!</v>
      </c>
      <c r="O216" t="e">
        <f>AND(#REF!,"AAAAAD/q9Q4=")</f>
        <v>#REF!</v>
      </c>
      <c r="P216" t="e">
        <f>AND(#REF!,"AAAAAD/q9Q8=")</f>
        <v>#REF!</v>
      </c>
      <c r="Q216" t="e">
        <f>AND(#REF!,"AAAAAD/q9RA=")</f>
        <v>#REF!</v>
      </c>
      <c r="R216" t="e">
        <f>AND(#REF!,"AAAAAD/q9RE=")</f>
        <v>#REF!</v>
      </c>
      <c r="S216" t="e">
        <f>AND(#REF!,"AAAAAD/q9RI=")</f>
        <v>#REF!</v>
      </c>
      <c r="T216" t="e">
        <f>AND(#REF!,"AAAAAD/q9RM=")</f>
        <v>#REF!</v>
      </c>
      <c r="U216" t="e">
        <f>AND(#REF!,"AAAAAD/q9RQ=")</f>
        <v>#REF!</v>
      </c>
      <c r="V216" t="e">
        <f>AND(#REF!,"AAAAAD/q9RU=")</f>
        <v>#REF!</v>
      </c>
      <c r="W216" t="e">
        <f>AND(#REF!,"AAAAAD/q9RY=")</f>
        <v>#REF!</v>
      </c>
      <c r="X216" t="e">
        <f>AND(#REF!,"AAAAAD/q9Rc=")</f>
        <v>#REF!</v>
      </c>
      <c r="Y216" t="e">
        <f>AND(#REF!,"AAAAAD/q9Rg=")</f>
        <v>#REF!</v>
      </c>
      <c r="Z216" t="e">
        <f>AND(#REF!,"AAAAAD/q9Rk=")</f>
        <v>#REF!</v>
      </c>
      <c r="AA216" t="e">
        <f>AND(#REF!,"AAAAAD/q9Ro=")</f>
        <v>#REF!</v>
      </c>
      <c r="AB216" t="e">
        <f>IF(#REF!,"AAAAAD/q9Rs=",0)</f>
        <v>#REF!</v>
      </c>
      <c r="AC216" t="e">
        <f>AND(#REF!,"AAAAAD/q9Rw=")</f>
        <v>#REF!</v>
      </c>
      <c r="AD216" t="e">
        <f>AND(#REF!,"AAAAAD/q9R0=")</f>
        <v>#REF!</v>
      </c>
      <c r="AE216" t="e">
        <f>AND(#REF!,"AAAAAD/q9R4=")</f>
        <v>#REF!</v>
      </c>
      <c r="AF216" t="e">
        <f>AND(#REF!,"AAAAAD/q9R8=")</f>
        <v>#REF!</v>
      </c>
      <c r="AG216" t="e">
        <f>AND(#REF!,"AAAAAD/q9SA=")</f>
        <v>#REF!</v>
      </c>
      <c r="AH216" t="e">
        <f>AND(#REF!,"AAAAAD/q9SE=")</f>
        <v>#REF!</v>
      </c>
      <c r="AI216" t="e">
        <f>AND(#REF!,"AAAAAD/q9SI=")</f>
        <v>#REF!</v>
      </c>
      <c r="AJ216" t="e">
        <f>AND(#REF!,"AAAAAD/q9SM=")</f>
        <v>#REF!</v>
      </c>
      <c r="AK216" t="e">
        <f>AND(#REF!,"AAAAAD/q9SQ=")</f>
        <v>#REF!</v>
      </c>
      <c r="AL216" t="e">
        <f>AND(#REF!,"AAAAAD/q9SU=")</f>
        <v>#REF!</v>
      </c>
      <c r="AM216" t="e">
        <f>AND(#REF!,"AAAAAD/q9SY=")</f>
        <v>#REF!</v>
      </c>
      <c r="AN216" t="e">
        <f>AND(#REF!,"AAAAAD/q9Sc=")</f>
        <v>#REF!</v>
      </c>
      <c r="AO216" t="e">
        <f>AND(#REF!,"AAAAAD/q9Sg=")</f>
        <v>#REF!</v>
      </c>
      <c r="AP216" t="e">
        <f>AND(#REF!,"AAAAAD/q9Sk=")</f>
        <v>#REF!</v>
      </c>
      <c r="AQ216" t="e">
        <f>AND(#REF!,"AAAAAD/q9So=")</f>
        <v>#REF!</v>
      </c>
      <c r="AR216" t="e">
        <f>AND(#REF!,"AAAAAD/q9Ss=")</f>
        <v>#REF!</v>
      </c>
      <c r="AS216" t="e">
        <f>AND(#REF!,"AAAAAD/q9Sw=")</f>
        <v>#REF!</v>
      </c>
      <c r="AT216" t="e">
        <f>AND(#REF!,"AAAAAD/q9S0=")</f>
        <v>#REF!</v>
      </c>
      <c r="AU216" t="e">
        <f>AND(#REF!,"AAAAAD/q9S4=")</f>
        <v>#REF!</v>
      </c>
      <c r="AV216" t="e">
        <f>AND(#REF!,"AAAAAD/q9S8=")</f>
        <v>#REF!</v>
      </c>
      <c r="AW216" t="e">
        <f>AND(#REF!,"AAAAAD/q9TA=")</f>
        <v>#REF!</v>
      </c>
      <c r="AX216" t="e">
        <f>AND(#REF!,"AAAAAD/q9TE=")</f>
        <v>#REF!</v>
      </c>
      <c r="AY216" t="e">
        <f>AND(#REF!,"AAAAAD/q9TI=")</f>
        <v>#REF!</v>
      </c>
      <c r="AZ216" t="e">
        <f>AND(#REF!,"AAAAAD/q9TM=")</f>
        <v>#REF!</v>
      </c>
      <c r="BA216" t="e">
        <f>AND(#REF!,"AAAAAD/q9TQ=")</f>
        <v>#REF!</v>
      </c>
      <c r="BB216" t="e">
        <f>AND(#REF!,"AAAAAD/q9TU=")</f>
        <v>#REF!</v>
      </c>
      <c r="BC216" t="e">
        <f>AND(#REF!,"AAAAAD/q9TY=")</f>
        <v>#REF!</v>
      </c>
      <c r="BD216" t="e">
        <f>AND(#REF!,"AAAAAD/q9Tc=")</f>
        <v>#REF!</v>
      </c>
      <c r="BE216" t="e">
        <f>AND(#REF!,"AAAAAD/q9Tg=")</f>
        <v>#REF!</v>
      </c>
      <c r="BF216" t="e">
        <f>AND(#REF!,"AAAAAD/q9Tk=")</f>
        <v>#REF!</v>
      </c>
      <c r="BG216" t="e">
        <f>AND(#REF!,"AAAAAD/q9To=")</f>
        <v>#REF!</v>
      </c>
      <c r="BH216" t="e">
        <f>AND(#REF!,"AAAAAD/q9Ts=")</f>
        <v>#REF!</v>
      </c>
      <c r="BI216" t="e">
        <f>AND(#REF!,"AAAAAD/q9Tw=")</f>
        <v>#REF!</v>
      </c>
      <c r="BJ216" t="e">
        <f>IF(#REF!,"AAAAAD/q9T0=",0)</f>
        <v>#REF!</v>
      </c>
      <c r="BK216" t="e">
        <f>AND(#REF!,"AAAAAD/q9T4=")</f>
        <v>#REF!</v>
      </c>
      <c r="BL216" t="e">
        <f>AND(#REF!,"AAAAAD/q9T8=")</f>
        <v>#REF!</v>
      </c>
      <c r="BM216" t="e">
        <f>AND(#REF!,"AAAAAD/q9UA=")</f>
        <v>#REF!</v>
      </c>
      <c r="BN216" t="e">
        <f>AND(#REF!,"AAAAAD/q9UE=")</f>
        <v>#REF!</v>
      </c>
      <c r="BO216" t="e">
        <f>AND(#REF!,"AAAAAD/q9UI=")</f>
        <v>#REF!</v>
      </c>
      <c r="BP216" t="e">
        <f>AND(#REF!,"AAAAAD/q9UM=")</f>
        <v>#REF!</v>
      </c>
      <c r="BQ216" t="e">
        <f>AND(#REF!,"AAAAAD/q9UQ=")</f>
        <v>#REF!</v>
      </c>
      <c r="BR216" t="e">
        <f>AND(#REF!,"AAAAAD/q9UU=")</f>
        <v>#REF!</v>
      </c>
      <c r="BS216" t="e">
        <f>AND(#REF!,"AAAAAD/q9UY=")</f>
        <v>#REF!</v>
      </c>
      <c r="BT216" t="e">
        <f>AND(#REF!,"AAAAAD/q9Uc=")</f>
        <v>#REF!</v>
      </c>
      <c r="BU216" t="e">
        <f>AND(#REF!,"AAAAAD/q9Ug=")</f>
        <v>#REF!</v>
      </c>
      <c r="BV216" t="e">
        <f>AND(#REF!,"AAAAAD/q9Uk=")</f>
        <v>#REF!</v>
      </c>
      <c r="BW216" t="e">
        <f>AND(#REF!,"AAAAAD/q9Uo=")</f>
        <v>#REF!</v>
      </c>
      <c r="BX216" t="e">
        <f>AND(#REF!,"AAAAAD/q9Us=")</f>
        <v>#REF!</v>
      </c>
      <c r="BY216" t="e">
        <f>AND(#REF!,"AAAAAD/q9Uw=")</f>
        <v>#REF!</v>
      </c>
      <c r="BZ216" t="e">
        <f>AND(#REF!,"AAAAAD/q9U0=")</f>
        <v>#REF!</v>
      </c>
      <c r="CA216" t="e">
        <f>AND(#REF!,"AAAAAD/q9U4=")</f>
        <v>#REF!</v>
      </c>
      <c r="CB216" t="e">
        <f>AND(#REF!,"AAAAAD/q9U8=")</f>
        <v>#REF!</v>
      </c>
      <c r="CC216" t="e">
        <f>AND(#REF!,"AAAAAD/q9VA=")</f>
        <v>#REF!</v>
      </c>
      <c r="CD216" t="e">
        <f>AND(#REF!,"AAAAAD/q9VE=")</f>
        <v>#REF!</v>
      </c>
      <c r="CE216" t="e">
        <f>AND(#REF!,"AAAAAD/q9VI=")</f>
        <v>#REF!</v>
      </c>
      <c r="CF216" t="e">
        <f>AND(#REF!,"AAAAAD/q9VM=")</f>
        <v>#REF!</v>
      </c>
      <c r="CG216" t="e">
        <f>AND(#REF!,"AAAAAD/q9VQ=")</f>
        <v>#REF!</v>
      </c>
      <c r="CH216" t="e">
        <f>AND(#REF!,"AAAAAD/q9VU=")</f>
        <v>#REF!</v>
      </c>
      <c r="CI216" t="e">
        <f>AND(#REF!,"AAAAAD/q9VY=")</f>
        <v>#REF!</v>
      </c>
      <c r="CJ216" t="e">
        <f>AND(#REF!,"AAAAAD/q9Vc=")</f>
        <v>#REF!</v>
      </c>
      <c r="CK216" t="e">
        <f>AND(#REF!,"AAAAAD/q9Vg=")</f>
        <v>#REF!</v>
      </c>
      <c r="CL216" t="e">
        <f>AND(#REF!,"AAAAAD/q9Vk=")</f>
        <v>#REF!</v>
      </c>
      <c r="CM216" t="e">
        <f>AND(#REF!,"AAAAAD/q9Vo=")</f>
        <v>#REF!</v>
      </c>
      <c r="CN216" t="e">
        <f>AND(#REF!,"AAAAAD/q9Vs=")</f>
        <v>#REF!</v>
      </c>
      <c r="CO216" t="e">
        <f>AND(#REF!,"AAAAAD/q9Vw=")</f>
        <v>#REF!</v>
      </c>
      <c r="CP216" t="e">
        <f>AND(#REF!,"AAAAAD/q9V0=")</f>
        <v>#REF!</v>
      </c>
      <c r="CQ216" t="e">
        <f>AND(#REF!,"AAAAAD/q9V4=")</f>
        <v>#REF!</v>
      </c>
      <c r="CR216" t="e">
        <f>IF(#REF!,"AAAAAD/q9V8=",0)</f>
        <v>#REF!</v>
      </c>
      <c r="CS216" t="e">
        <f>AND(#REF!,"AAAAAD/q9WA=")</f>
        <v>#REF!</v>
      </c>
      <c r="CT216" t="e">
        <f>AND(#REF!,"AAAAAD/q9WE=")</f>
        <v>#REF!</v>
      </c>
      <c r="CU216" t="e">
        <f>AND(#REF!,"AAAAAD/q9WI=")</f>
        <v>#REF!</v>
      </c>
      <c r="CV216" t="e">
        <f>AND(#REF!,"AAAAAD/q9WM=")</f>
        <v>#REF!</v>
      </c>
      <c r="CW216" t="e">
        <f>AND(#REF!,"AAAAAD/q9WQ=")</f>
        <v>#REF!</v>
      </c>
      <c r="CX216" t="e">
        <f>AND(#REF!,"AAAAAD/q9WU=")</f>
        <v>#REF!</v>
      </c>
      <c r="CY216" t="e">
        <f>AND(#REF!,"AAAAAD/q9WY=")</f>
        <v>#REF!</v>
      </c>
      <c r="CZ216" t="e">
        <f>AND(#REF!,"AAAAAD/q9Wc=")</f>
        <v>#REF!</v>
      </c>
      <c r="DA216" t="e">
        <f>AND(#REF!,"AAAAAD/q9Wg=")</f>
        <v>#REF!</v>
      </c>
      <c r="DB216" t="e">
        <f>AND(#REF!,"AAAAAD/q9Wk=")</f>
        <v>#REF!</v>
      </c>
      <c r="DC216" t="e">
        <f>AND(#REF!,"AAAAAD/q9Wo=")</f>
        <v>#REF!</v>
      </c>
      <c r="DD216" t="e">
        <f>AND(#REF!,"AAAAAD/q9Ws=")</f>
        <v>#REF!</v>
      </c>
      <c r="DE216" t="e">
        <f>AND(#REF!,"AAAAAD/q9Ww=")</f>
        <v>#REF!</v>
      </c>
      <c r="DF216" t="e">
        <f>AND(#REF!,"AAAAAD/q9W0=")</f>
        <v>#REF!</v>
      </c>
      <c r="DG216" t="e">
        <f>AND(#REF!,"AAAAAD/q9W4=")</f>
        <v>#REF!</v>
      </c>
      <c r="DH216" t="e">
        <f>AND(#REF!,"AAAAAD/q9W8=")</f>
        <v>#REF!</v>
      </c>
      <c r="DI216" t="e">
        <f>AND(#REF!,"AAAAAD/q9XA=")</f>
        <v>#REF!</v>
      </c>
      <c r="DJ216" t="e">
        <f>AND(#REF!,"AAAAAD/q9XE=")</f>
        <v>#REF!</v>
      </c>
      <c r="DK216" t="e">
        <f>AND(#REF!,"AAAAAD/q9XI=")</f>
        <v>#REF!</v>
      </c>
      <c r="DL216" t="e">
        <f>AND(#REF!,"AAAAAD/q9XM=")</f>
        <v>#REF!</v>
      </c>
      <c r="DM216" t="e">
        <f>AND(#REF!,"AAAAAD/q9XQ=")</f>
        <v>#REF!</v>
      </c>
      <c r="DN216" t="e">
        <f>AND(#REF!,"AAAAAD/q9XU=")</f>
        <v>#REF!</v>
      </c>
      <c r="DO216" t="e">
        <f>AND(#REF!,"AAAAAD/q9XY=")</f>
        <v>#REF!</v>
      </c>
      <c r="DP216" t="e">
        <f>AND(#REF!,"AAAAAD/q9Xc=")</f>
        <v>#REF!</v>
      </c>
      <c r="DQ216" t="e">
        <f>AND(#REF!,"AAAAAD/q9Xg=")</f>
        <v>#REF!</v>
      </c>
      <c r="DR216" t="e">
        <f>AND(#REF!,"AAAAAD/q9Xk=")</f>
        <v>#REF!</v>
      </c>
      <c r="DS216" t="e">
        <f>AND(#REF!,"AAAAAD/q9Xo=")</f>
        <v>#REF!</v>
      </c>
      <c r="DT216" t="e">
        <f>AND(#REF!,"AAAAAD/q9Xs=")</f>
        <v>#REF!</v>
      </c>
      <c r="DU216" t="e">
        <f>AND(#REF!,"AAAAAD/q9Xw=")</f>
        <v>#REF!</v>
      </c>
      <c r="DV216" t="e">
        <f>AND(#REF!,"AAAAAD/q9X0=")</f>
        <v>#REF!</v>
      </c>
      <c r="DW216" t="e">
        <f>AND(#REF!,"AAAAAD/q9X4=")</f>
        <v>#REF!</v>
      </c>
      <c r="DX216" t="e">
        <f>AND(#REF!,"AAAAAD/q9X8=")</f>
        <v>#REF!</v>
      </c>
      <c r="DY216" t="e">
        <f>AND(#REF!,"AAAAAD/q9YA=")</f>
        <v>#REF!</v>
      </c>
      <c r="DZ216" t="e">
        <f>IF(#REF!,"AAAAAD/q9YE=",0)</f>
        <v>#REF!</v>
      </c>
      <c r="EA216" t="e">
        <f>AND(#REF!,"AAAAAD/q9YI=")</f>
        <v>#REF!</v>
      </c>
      <c r="EB216" t="e">
        <f>AND(#REF!,"AAAAAD/q9YM=")</f>
        <v>#REF!</v>
      </c>
      <c r="EC216" t="e">
        <f>AND(#REF!,"AAAAAD/q9YQ=")</f>
        <v>#REF!</v>
      </c>
      <c r="ED216" t="e">
        <f>AND(#REF!,"AAAAAD/q9YU=")</f>
        <v>#REF!</v>
      </c>
      <c r="EE216" t="e">
        <f>AND(#REF!,"AAAAAD/q9YY=")</f>
        <v>#REF!</v>
      </c>
      <c r="EF216" t="e">
        <f>AND(#REF!,"AAAAAD/q9Yc=")</f>
        <v>#REF!</v>
      </c>
      <c r="EG216" t="e">
        <f>AND(#REF!,"AAAAAD/q9Yg=")</f>
        <v>#REF!</v>
      </c>
      <c r="EH216" t="e">
        <f>AND(#REF!,"AAAAAD/q9Yk=")</f>
        <v>#REF!</v>
      </c>
      <c r="EI216" t="e">
        <f>AND(#REF!,"AAAAAD/q9Yo=")</f>
        <v>#REF!</v>
      </c>
      <c r="EJ216" t="e">
        <f>AND(#REF!,"AAAAAD/q9Ys=")</f>
        <v>#REF!</v>
      </c>
      <c r="EK216" t="e">
        <f>AND(#REF!,"AAAAAD/q9Yw=")</f>
        <v>#REF!</v>
      </c>
      <c r="EL216" t="e">
        <f>AND(#REF!,"AAAAAD/q9Y0=")</f>
        <v>#REF!</v>
      </c>
      <c r="EM216" t="e">
        <f>AND(#REF!,"AAAAAD/q9Y4=")</f>
        <v>#REF!</v>
      </c>
      <c r="EN216" t="e">
        <f>AND(#REF!,"AAAAAD/q9Y8=")</f>
        <v>#REF!</v>
      </c>
      <c r="EO216" t="e">
        <f>AND(#REF!,"AAAAAD/q9ZA=")</f>
        <v>#REF!</v>
      </c>
      <c r="EP216" t="e">
        <f>AND(#REF!,"AAAAAD/q9ZE=")</f>
        <v>#REF!</v>
      </c>
      <c r="EQ216" t="e">
        <f>AND(#REF!,"AAAAAD/q9ZI=")</f>
        <v>#REF!</v>
      </c>
      <c r="ER216" t="e">
        <f>AND(#REF!,"AAAAAD/q9ZM=")</f>
        <v>#REF!</v>
      </c>
      <c r="ES216" t="e">
        <f>AND(#REF!,"AAAAAD/q9ZQ=")</f>
        <v>#REF!</v>
      </c>
      <c r="ET216" t="e">
        <f>AND(#REF!,"AAAAAD/q9ZU=")</f>
        <v>#REF!</v>
      </c>
      <c r="EU216" t="e">
        <f>AND(#REF!,"AAAAAD/q9ZY=")</f>
        <v>#REF!</v>
      </c>
      <c r="EV216" t="e">
        <f>AND(#REF!,"AAAAAD/q9Zc=")</f>
        <v>#REF!</v>
      </c>
      <c r="EW216" t="e">
        <f>AND(#REF!,"AAAAAD/q9Zg=")</f>
        <v>#REF!</v>
      </c>
      <c r="EX216" t="e">
        <f>AND(#REF!,"AAAAAD/q9Zk=")</f>
        <v>#REF!</v>
      </c>
      <c r="EY216" t="e">
        <f>AND(#REF!,"AAAAAD/q9Zo=")</f>
        <v>#REF!</v>
      </c>
      <c r="EZ216" t="e">
        <f>AND(#REF!,"AAAAAD/q9Zs=")</f>
        <v>#REF!</v>
      </c>
      <c r="FA216" t="e">
        <f>AND(#REF!,"AAAAAD/q9Zw=")</f>
        <v>#REF!</v>
      </c>
      <c r="FB216" t="e">
        <f>AND(#REF!,"AAAAAD/q9Z0=")</f>
        <v>#REF!</v>
      </c>
      <c r="FC216" t="e">
        <f>AND(#REF!,"AAAAAD/q9Z4=")</f>
        <v>#REF!</v>
      </c>
      <c r="FD216" t="e">
        <f>AND(#REF!,"AAAAAD/q9Z8=")</f>
        <v>#REF!</v>
      </c>
      <c r="FE216" t="e">
        <f>AND(#REF!,"AAAAAD/q9aA=")</f>
        <v>#REF!</v>
      </c>
      <c r="FF216" t="e">
        <f>AND(#REF!,"AAAAAD/q9aE=")</f>
        <v>#REF!</v>
      </c>
      <c r="FG216" t="e">
        <f>AND(#REF!,"AAAAAD/q9aI=")</f>
        <v>#REF!</v>
      </c>
      <c r="FH216" t="e">
        <f>IF(#REF!,"AAAAAD/q9aM=",0)</f>
        <v>#REF!</v>
      </c>
      <c r="FI216" t="e">
        <f>AND(#REF!,"AAAAAD/q9aQ=")</f>
        <v>#REF!</v>
      </c>
      <c r="FJ216" t="e">
        <f>AND(#REF!,"AAAAAD/q9aU=")</f>
        <v>#REF!</v>
      </c>
      <c r="FK216" t="e">
        <f>AND(#REF!,"AAAAAD/q9aY=")</f>
        <v>#REF!</v>
      </c>
      <c r="FL216" t="e">
        <f>AND(#REF!,"AAAAAD/q9ac=")</f>
        <v>#REF!</v>
      </c>
      <c r="FM216" t="e">
        <f>AND(#REF!,"AAAAAD/q9ag=")</f>
        <v>#REF!</v>
      </c>
      <c r="FN216" t="e">
        <f>AND(#REF!,"AAAAAD/q9ak=")</f>
        <v>#REF!</v>
      </c>
      <c r="FO216" t="e">
        <f>AND(#REF!,"AAAAAD/q9ao=")</f>
        <v>#REF!</v>
      </c>
      <c r="FP216" t="e">
        <f>AND(#REF!,"AAAAAD/q9as=")</f>
        <v>#REF!</v>
      </c>
      <c r="FQ216" t="e">
        <f>AND(#REF!,"AAAAAD/q9aw=")</f>
        <v>#REF!</v>
      </c>
      <c r="FR216" t="e">
        <f>AND(#REF!,"AAAAAD/q9a0=")</f>
        <v>#REF!</v>
      </c>
      <c r="FS216" t="e">
        <f>AND(#REF!,"AAAAAD/q9a4=")</f>
        <v>#REF!</v>
      </c>
      <c r="FT216" t="e">
        <f>AND(#REF!,"AAAAAD/q9a8=")</f>
        <v>#REF!</v>
      </c>
      <c r="FU216" t="e">
        <f>AND(#REF!,"AAAAAD/q9bA=")</f>
        <v>#REF!</v>
      </c>
      <c r="FV216" t="e">
        <f>AND(#REF!,"AAAAAD/q9bE=")</f>
        <v>#REF!</v>
      </c>
      <c r="FW216" t="e">
        <f>AND(#REF!,"AAAAAD/q9bI=")</f>
        <v>#REF!</v>
      </c>
      <c r="FX216" t="e">
        <f>AND(#REF!,"AAAAAD/q9bM=")</f>
        <v>#REF!</v>
      </c>
      <c r="FY216" t="e">
        <f>AND(#REF!,"AAAAAD/q9bQ=")</f>
        <v>#REF!</v>
      </c>
      <c r="FZ216" t="e">
        <f>AND(#REF!,"AAAAAD/q9bU=")</f>
        <v>#REF!</v>
      </c>
      <c r="GA216" t="e">
        <f>AND(#REF!,"AAAAAD/q9bY=")</f>
        <v>#REF!</v>
      </c>
      <c r="GB216" t="e">
        <f>AND(#REF!,"AAAAAD/q9bc=")</f>
        <v>#REF!</v>
      </c>
      <c r="GC216" t="e">
        <f>AND(#REF!,"AAAAAD/q9bg=")</f>
        <v>#REF!</v>
      </c>
      <c r="GD216" t="e">
        <f>AND(#REF!,"AAAAAD/q9bk=")</f>
        <v>#REF!</v>
      </c>
      <c r="GE216" t="e">
        <f>AND(#REF!,"AAAAAD/q9bo=")</f>
        <v>#REF!</v>
      </c>
      <c r="GF216" t="e">
        <f>AND(#REF!,"AAAAAD/q9bs=")</f>
        <v>#REF!</v>
      </c>
      <c r="GG216" t="e">
        <f>AND(#REF!,"AAAAAD/q9bw=")</f>
        <v>#REF!</v>
      </c>
      <c r="GH216" t="e">
        <f>AND(#REF!,"AAAAAD/q9b0=")</f>
        <v>#REF!</v>
      </c>
      <c r="GI216" t="e">
        <f>AND(#REF!,"AAAAAD/q9b4=")</f>
        <v>#REF!</v>
      </c>
      <c r="GJ216" t="e">
        <f>AND(#REF!,"AAAAAD/q9b8=")</f>
        <v>#REF!</v>
      </c>
      <c r="GK216" t="e">
        <f>AND(#REF!,"AAAAAD/q9cA=")</f>
        <v>#REF!</v>
      </c>
      <c r="GL216" t="e">
        <f>AND(#REF!,"AAAAAD/q9cE=")</f>
        <v>#REF!</v>
      </c>
      <c r="GM216" t="e">
        <f>AND(#REF!,"AAAAAD/q9cI=")</f>
        <v>#REF!</v>
      </c>
      <c r="GN216" t="e">
        <f>AND(#REF!,"AAAAAD/q9cM=")</f>
        <v>#REF!</v>
      </c>
      <c r="GO216" t="e">
        <f>AND(#REF!,"AAAAAD/q9cQ=")</f>
        <v>#REF!</v>
      </c>
      <c r="GP216" t="e">
        <f>IF(#REF!,"AAAAAD/q9cU=",0)</f>
        <v>#REF!</v>
      </c>
      <c r="GQ216" t="e">
        <f>AND(#REF!,"AAAAAD/q9cY=")</f>
        <v>#REF!</v>
      </c>
      <c r="GR216" t="e">
        <f>AND(#REF!,"AAAAAD/q9cc=")</f>
        <v>#REF!</v>
      </c>
      <c r="GS216" t="e">
        <f>AND(#REF!,"AAAAAD/q9cg=")</f>
        <v>#REF!</v>
      </c>
      <c r="GT216" t="e">
        <f>AND(#REF!,"AAAAAD/q9ck=")</f>
        <v>#REF!</v>
      </c>
      <c r="GU216" t="e">
        <f>AND(#REF!,"AAAAAD/q9co=")</f>
        <v>#REF!</v>
      </c>
      <c r="GV216" t="e">
        <f>AND(#REF!,"AAAAAD/q9cs=")</f>
        <v>#REF!</v>
      </c>
      <c r="GW216" t="e">
        <f>AND(#REF!,"AAAAAD/q9cw=")</f>
        <v>#REF!</v>
      </c>
      <c r="GX216" t="e">
        <f>AND(#REF!,"AAAAAD/q9c0=")</f>
        <v>#REF!</v>
      </c>
      <c r="GY216" t="e">
        <f>AND(#REF!,"AAAAAD/q9c4=")</f>
        <v>#REF!</v>
      </c>
      <c r="GZ216" t="e">
        <f>AND(#REF!,"AAAAAD/q9c8=")</f>
        <v>#REF!</v>
      </c>
      <c r="HA216" t="e">
        <f>AND(#REF!,"AAAAAD/q9dA=")</f>
        <v>#REF!</v>
      </c>
      <c r="HB216" t="e">
        <f>AND(#REF!,"AAAAAD/q9dE=")</f>
        <v>#REF!</v>
      </c>
      <c r="HC216" t="e">
        <f>AND(#REF!,"AAAAAD/q9dI=")</f>
        <v>#REF!</v>
      </c>
      <c r="HD216" t="e">
        <f>AND(#REF!,"AAAAAD/q9dM=")</f>
        <v>#REF!</v>
      </c>
      <c r="HE216" t="e">
        <f>AND(#REF!,"AAAAAD/q9dQ=")</f>
        <v>#REF!</v>
      </c>
      <c r="HF216" t="e">
        <f>AND(#REF!,"AAAAAD/q9dU=")</f>
        <v>#REF!</v>
      </c>
      <c r="HG216" t="e">
        <f>AND(#REF!,"AAAAAD/q9dY=")</f>
        <v>#REF!</v>
      </c>
      <c r="HH216" t="e">
        <f>AND(#REF!,"AAAAAD/q9dc=")</f>
        <v>#REF!</v>
      </c>
      <c r="HI216" t="e">
        <f>AND(#REF!,"AAAAAD/q9dg=")</f>
        <v>#REF!</v>
      </c>
      <c r="HJ216" t="e">
        <f>AND(#REF!,"AAAAAD/q9dk=")</f>
        <v>#REF!</v>
      </c>
      <c r="HK216" t="e">
        <f>AND(#REF!,"AAAAAD/q9do=")</f>
        <v>#REF!</v>
      </c>
      <c r="HL216" t="e">
        <f>AND(#REF!,"AAAAAD/q9ds=")</f>
        <v>#REF!</v>
      </c>
      <c r="HM216" t="e">
        <f>AND(#REF!,"AAAAAD/q9dw=")</f>
        <v>#REF!</v>
      </c>
      <c r="HN216" t="e">
        <f>AND(#REF!,"AAAAAD/q9d0=")</f>
        <v>#REF!</v>
      </c>
      <c r="HO216" t="e">
        <f>AND(#REF!,"AAAAAD/q9d4=")</f>
        <v>#REF!</v>
      </c>
      <c r="HP216" t="e">
        <f>AND(#REF!,"AAAAAD/q9d8=")</f>
        <v>#REF!</v>
      </c>
      <c r="HQ216" t="e">
        <f>AND(#REF!,"AAAAAD/q9eA=")</f>
        <v>#REF!</v>
      </c>
      <c r="HR216" t="e">
        <f>AND(#REF!,"AAAAAD/q9eE=")</f>
        <v>#REF!</v>
      </c>
      <c r="HS216" t="e">
        <f>AND(#REF!,"AAAAAD/q9eI=")</f>
        <v>#REF!</v>
      </c>
      <c r="HT216" t="e">
        <f>AND(#REF!,"AAAAAD/q9eM=")</f>
        <v>#REF!</v>
      </c>
      <c r="HU216" t="e">
        <f>AND(#REF!,"AAAAAD/q9eQ=")</f>
        <v>#REF!</v>
      </c>
      <c r="HV216" t="e">
        <f>AND(#REF!,"AAAAAD/q9eU=")</f>
        <v>#REF!</v>
      </c>
      <c r="HW216" t="e">
        <f>AND(#REF!,"AAAAAD/q9eY=")</f>
        <v>#REF!</v>
      </c>
      <c r="HX216" t="e">
        <f>IF(#REF!,"AAAAAD/q9ec=",0)</f>
        <v>#REF!</v>
      </c>
      <c r="HY216" t="e">
        <f>AND(#REF!,"AAAAAD/q9eg=")</f>
        <v>#REF!</v>
      </c>
      <c r="HZ216" t="e">
        <f>AND(#REF!,"AAAAAD/q9ek=")</f>
        <v>#REF!</v>
      </c>
      <c r="IA216" t="e">
        <f>AND(#REF!,"AAAAAD/q9eo=")</f>
        <v>#REF!</v>
      </c>
      <c r="IB216" t="e">
        <f>AND(#REF!,"AAAAAD/q9es=")</f>
        <v>#REF!</v>
      </c>
      <c r="IC216" t="e">
        <f>AND(#REF!,"AAAAAD/q9ew=")</f>
        <v>#REF!</v>
      </c>
      <c r="ID216" t="e">
        <f>AND(#REF!,"AAAAAD/q9e0=")</f>
        <v>#REF!</v>
      </c>
      <c r="IE216" t="e">
        <f>AND(#REF!,"AAAAAD/q9e4=")</f>
        <v>#REF!</v>
      </c>
      <c r="IF216" t="e">
        <f>AND(#REF!,"AAAAAD/q9e8=")</f>
        <v>#REF!</v>
      </c>
      <c r="IG216" t="e">
        <f>AND(#REF!,"AAAAAD/q9fA=")</f>
        <v>#REF!</v>
      </c>
      <c r="IH216" t="e">
        <f>AND(#REF!,"AAAAAD/q9fE=")</f>
        <v>#REF!</v>
      </c>
      <c r="II216" t="e">
        <f>AND(#REF!,"AAAAAD/q9fI=")</f>
        <v>#REF!</v>
      </c>
      <c r="IJ216" t="e">
        <f>AND(#REF!,"AAAAAD/q9fM=")</f>
        <v>#REF!</v>
      </c>
      <c r="IK216" t="e">
        <f>AND(#REF!,"AAAAAD/q9fQ=")</f>
        <v>#REF!</v>
      </c>
      <c r="IL216" t="e">
        <f>AND(#REF!,"AAAAAD/q9fU=")</f>
        <v>#REF!</v>
      </c>
      <c r="IM216" t="e">
        <f>AND(#REF!,"AAAAAD/q9fY=")</f>
        <v>#REF!</v>
      </c>
      <c r="IN216" t="e">
        <f>AND(#REF!,"AAAAAD/q9fc=")</f>
        <v>#REF!</v>
      </c>
      <c r="IO216" t="e">
        <f>AND(#REF!,"AAAAAD/q9fg=")</f>
        <v>#REF!</v>
      </c>
      <c r="IP216" t="e">
        <f>AND(#REF!,"AAAAAD/q9fk=")</f>
        <v>#REF!</v>
      </c>
      <c r="IQ216" t="e">
        <f>AND(#REF!,"AAAAAD/q9fo=")</f>
        <v>#REF!</v>
      </c>
      <c r="IR216" t="e">
        <f>AND(#REF!,"AAAAAD/q9fs=")</f>
        <v>#REF!</v>
      </c>
      <c r="IS216" t="e">
        <f>AND(#REF!,"AAAAAD/q9fw=")</f>
        <v>#REF!</v>
      </c>
      <c r="IT216" t="e">
        <f>AND(#REF!,"AAAAAD/q9f0=")</f>
        <v>#REF!</v>
      </c>
      <c r="IU216" t="e">
        <f>AND(#REF!,"AAAAAD/q9f4=")</f>
        <v>#REF!</v>
      </c>
      <c r="IV216" t="e">
        <f>AND(#REF!,"AAAAAD/q9f8=")</f>
        <v>#REF!</v>
      </c>
    </row>
    <row r="217" spans="1:256" x14ac:dyDescent="0.2">
      <c r="A217" t="e">
        <f>AND(#REF!,"AAAAAG/0jwA=")</f>
        <v>#REF!</v>
      </c>
      <c r="B217" t="e">
        <f>AND(#REF!,"AAAAAG/0jwE=")</f>
        <v>#REF!</v>
      </c>
      <c r="C217" t="e">
        <f>AND(#REF!,"AAAAAG/0jwI=")</f>
        <v>#REF!</v>
      </c>
      <c r="D217" t="e">
        <f>AND(#REF!,"AAAAAG/0jwM=")</f>
        <v>#REF!</v>
      </c>
      <c r="E217" t="e">
        <f>AND(#REF!,"AAAAAG/0jwQ=")</f>
        <v>#REF!</v>
      </c>
      <c r="F217" t="e">
        <f>AND(#REF!,"AAAAAG/0jwU=")</f>
        <v>#REF!</v>
      </c>
      <c r="G217" t="e">
        <f>AND(#REF!,"AAAAAG/0jwY=")</f>
        <v>#REF!</v>
      </c>
      <c r="H217" t="e">
        <f>AND(#REF!,"AAAAAG/0jwc=")</f>
        <v>#REF!</v>
      </c>
      <c r="I217" t="e">
        <f>AND(#REF!,"AAAAAG/0jwg=")</f>
        <v>#REF!</v>
      </c>
      <c r="J217" t="e">
        <f>IF(#REF!,"AAAAAG/0jwk=",0)</f>
        <v>#REF!</v>
      </c>
      <c r="K217" t="e">
        <f>AND(#REF!,"AAAAAG/0jwo=")</f>
        <v>#REF!</v>
      </c>
      <c r="L217" t="e">
        <f>AND(#REF!,"AAAAAG/0jws=")</f>
        <v>#REF!</v>
      </c>
      <c r="M217" t="e">
        <f>AND(#REF!,"AAAAAG/0jww=")</f>
        <v>#REF!</v>
      </c>
      <c r="N217" t="e">
        <f>AND(#REF!,"AAAAAG/0jw0=")</f>
        <v>#REF!</v>
      </c>
      <c r="O217" t="e">
        <f>AND(#REF!,"AAAAAG/0jw4=")</f>
        <v>#REF!</v>
      </c>
      <c r="P217" t="e">
        <f>AND(#REF!,"AAAAAG/0jw8=")</f>
        <v>#REF!</v>
      </c>
      <c r="Q217" t="e">
        <f>AND(#REF!,"AAAAAG/0jxA=")</f>
        <v>#REF!</v>
      </c>
      <c r="R217" t="e">
        <f>AND(#REF!,"AAAAAG/0jxE=")</f>
        <v>#REF!</v>
      </c>
      <c r="S217" t="e">
        <f>AND(#REF!,"AAAAAG/0jxI=")</f>
        <v>#REF!</v>
      </c>
      <c r="T217" t="e">
        <f>AND(#REF!,"AAAAAG/0jxM=")</f>
        <v>#REF!</v>
      </c>
      <c r="U217" t="e">
        <f>AND(#REF!,"AAAAAG/0jxQ=")</f>
        <v>#REF!</v>
      </c>
      <c r="V217" t="e">
        <f>AND(#REF!,"AAAAAG/0jxU=")</f>
        <v>#REF!</v>
      </c>
      <c r="W217" t="e">
        <f>AND(#REF!,"AAAAAG/0jxY=")</f>
        <v>#REF!</v>
      </c>
      <c r="X217" t="e">
        <f>AND(#REF!,"AAAAAG/0jxc=")</f>
        <v>#REF!</v>
      </c>
      <c r="Y217" t="e">
        <f>AND(#REF!,"AAAAAG/0jxg=")</f>
        <v>#REF!</v>
      </c>
      <c r="Z217" t="e">
        <f>AND(#REF!,"AAAAAG/0jxk=")</f>
        <v>#REF!</v>
      </c>
      <c r="AA217" t="e">
        <f>AND(#REF!,"AAAAAG/0jxo=")</f>
        <v>#REF!</v>
      </c>
      <c r="AB217" t="e">
        <f>AND(#REF!,"AAAAAG/0jxs=")</f>
        <v>#REF!</v>
      </c>
      <c r="AC217" t="e">
        <f>AND(#REF!,"AAAAAG/0jxw=")</f>
        <v>#REF!</v>
      </c>
      <c r="AD217" t="e">
        <f>AND(#REF!,"AAAAAG/0jx0=")</f>
        <v>#REF!</v>
      </c>
      <c r="AE217" t="e">
        <f>AND(#REF!,"AAAAAG/0jx4=")</f>
        <v>#REF!</v>
      </c>
      <c r="AF217" t="e">
        <f>AND(#REF!,"AAAAAG/0jx8=")</f>
        <v>#REF!</v>
      </c>
      <c r="AG217" t="e">
        <f>AND(#REF!,"AAAAAG/0jyA=")</f>
        <v>#REF!</v>
      </c>
      <c r="AH217" t="e">
        <f>AND(#REF!,"AAAAAG/0jyE=")</f>
        <v>#REF!</v>
      </c>
      <c r="AI217" t="e">
        <f>AND(#REF!,"AAAAAG/0jyI=")</f>
        <v>#REF!</v>
      </c>
      <c r="AJ217" t="e">
        <f>AND(#REF!,"AAAAAG/0jyM=")</f>
        <v>#REF!</v>
      </c>
      <c r="AK217" t="e">
        <f>AND(#REF!,"AAAAAG/0jyQ=")</f>
        <v>#REF!</v>
      </c>
      <c r="AL217" t="e">
        <f>AND(#REF!,"AAAAAG/0jyU=")</f>
        <v>#REF!</v>
      </c>
      <c r="AM217" t="e">
        <f>AND(#REF!,"AAAAAG/0jyY=")</f>
        <v>#REF!</v>
      </c>
      <c r="AN217" t="e">
        <f>AND(#REF!,"AAAAAG/0jyc=")</f>
        <v>#REF!</v>
      </c>
      <c r="AO217" t="e">
        <f>AND(#REF!,"AAAAAG/0jyg=")</f>
        <v>#REF!</v>
      </c>
      <c r="AP217" t="e">
        <f>AND(#REF!,"AAAAAG/0jyk=")</f>
        <v>#REF!</v>
      </c>
      <c r="AQ217" t="e">
        <f>AND(#REF!,"AAAAAG/0jyo=")</f>
        <v>#REF!</v>
      </c>
      <c r="AR217" t="e">
        <f>IF(#REF!,"AAAAAG/0jys=",0)</f>
        <v>#REF!</v>
      </c>
      <c r="AS217" t="e">
        <f>AND(#REF!,"AAAAAG/0jyw=")</f>
        <v>#REF!</v>
      </c>
      <c r="AT217" t="e">
        <f>AND(#REF!,"AAAAAG/0jy0=")</f>
        <v>#REF!</v>
      </c>
      <c r="AU217" t="e">
        <f>AND(#REF!,"AAAAAG/0jy4=")</f>
        <v>#REF!</v>
      </c>
      <c r="AV217" t="e">
        <f>AND(#REF!,"AAAAAG/0jy8=")</f>
        <v>#REF!</v>
      </c>
      <c r="AW217" t="e">
        <f>AND(#REF!,"AAAAAG/0jzA=")</f>
        <v>#REF!</v>
      </c>
      <c r="AX217" t="e">
        <f>AND(#REF!,"AAAAAG/0jzE=")</f>
        <v>#REF!</v>
      </c>
      <c r="AY217" t="e">
        <f>AND(#REF!,"AAAAAG/0jzI=")</f>
        <v>#REF!</v>
      </c>
      <c r="AZ217" t="e">
        <f>AND(#REF!,"AAAAAG/0jzM=")</f>
        <v>#REF!</v>
      </c>
      <c r="BA217" t="e">
        <f>AND(#REF!,"AAAAAG/0jzQ=")</f>
        <v>#REF!</v>
      </c>
      <c r="BB217" t="e">
        <f>AND(#REF!,"AAAAAG/0jzU=")</f>
        <v>#REF!</v>
      </c>
      <c r="BC217" t="e">
        <f>AND(#REF!,"AAAAAG/0jzY=")</f>
        <v>#REF!</v>
      </c>
      <c r="BD217" t="e">
        <f>AND(#REF!,"AAAAAG/0jzc=")</f>
        <v>#REF!</v>
      </c>
      <c r="BE217" t="e">
        <f>AND(#REF!,"AAAAAG/0jzg=")</f>
        <v>#REF!</v>
      </c>
      <c r="BF217" t="e">
        <f>AND(#REF!,"AAAAAG/0jzk=")</f>
        <v>#REF!</v>
      </c>
      <c r="BG217" t="e">
        <f>AND(#REF!,"AAAAAG/0jzo=")</f>
        <v>#REF!</v>
      </c>
      <c r="BH217" t="e">
        <f>AND(#REF!,"AAAAAG/0jzs=")</f>
        <v>#REF!</v>
      </c>
      <c r="BI217" t="e">
        <f>AND(#REF!,"AAAAAG/0jzw=")</f>
        <v>#REF!</v>
      </c>
      <c r="BJ217" t="e">
        <f>AND(#REF!,"AAAAAG/0jz0=")</f>
        <v>#REF!</v>
      </c>
      <c r="BK217" t="e">
        <f>AND(#REF!,"AAAAAG/0jz4=")</f>
        <v>#REF!</v>
      </c>
      <c r="BL217" t="e">
        <f>AND(#REF!,"AAAAAG/0jz8=")</f>
        <v>#REF!</v>
      </c>
      <c r="BM217" t="e">
        <f>AND(#REF!,"AAAAAG/0j0A=")</f>
        <v>#REF!</v>
      </c>
      <c r="BN217" t="e">
        <f>AND(#REF!,"AAAAAG/0j0E=")</f>
        <v>#REF!</v>
      </c>
      <c r="BO217" t="e">
        <f>AND(#REF!,"AAAAAG/0j0I=")</f>
        <v>#REF!</v>
      </c>
      <c r="BP217" t="e">
        <f>AND(#REF!,"AAAAAG/0j0M=")</f>
        <v>#REF!</v>
      </c>
      <c r="BQ217" t="e">
        <f>AND(#REF!,"AAAAAG/0j0Q=")</f>
        <v>#REF!</v>
      </c>
      <c r="BR217" t="e">
        <f>AND(#REF!,"AAAAAG/0j0U=")</f>
        <v>#REF!</v>
      </c>
      <c r="BS217" t="e">
        <f>AND(#REF!,"AAAAAG/0j0Y=")</f>
        <v>#REF!</v>
      </c>
      <c r="BT217" t="e">
        <f>AND(#REF!,"AAAAAG/0j0c=")</f>
        <v>#REF!</v>
      </c>
      <c r="BU217" t="e">
        <f>AND(#REF!,"AAAAAG/0j0g=")</f>
        <v>#REF!</v>
      </c>
      <c r="BV217" t="e">
        <f>AND(#REF!,"AAAAAG/0j0k=")</f>
        <v>#REF!</v>
      </c>
      <c r="BW217" t="e">
        <f>AND(#REF!,"AAAAAG/0j0o=")</f>
        <v>#REF!</v>
      </c>
      <c r="BX217" t="e">
        <f>AND(#REF!,"AAAAAG/0j0s=")</f>
        <v>#REF!</v>
      </c>
      <c r="BY217" t="e">
        <f>AND(#REF!,"AAAAAG/0j0w=")</f>
        <v>#REF!</v>
      </c>
      <c r="BZ217" t="e">
        <f>IF(#REF!,"AAAAAG/0j00=",0)</f>
        <v>#REF!</v>
      </c>
      <c r="CA217" t="e">
        <f>AND(#REF!,"AAAAAG/0j04=")</f>
        <v>#REF!</v>
      </c>
      <c r="CB217" t="e">
        <f>AND(#REF!,"AAAAAG/0j08=")</f>
        <v>#REF!</v>
      </c>
      <c r="CC217" t="e">
        <f>AND(#REF!,"AAAAAG/0j1A=")</f>
        <v>#REF!</v>
      </c>
      <c r="CD217" t="e">
        <f>AND(#REF!,"AAAAAG/0j1E=")</f>
        <v>#REF!</v>
      </c>
      <c r="CE217" t="e">
        <f>AND(#REF!,"AAAAAG/0j1I=")</f>
        <v>#REF!</v>
      </c>
      <c r="CF217" t="e">
        <f>AND(#REF!,"AAAAAG/0j1M=")</f>
        <v>#REF!</v>
      </c>
      <c r="CG217" t="e">
        <f>AND(#REF!,"AAAAAG/0j1Q=")</f>
        <v>#REF!</v>
      </c>
      <c r="CH217" t="e">
        <f>AND(#REF!,"AAAAAG/0j1U=")</f>
        <v>#REF!</v>
      </c>
      <c r="CI217" t="e">
        <f>AND(#REF!,"AAAAAG/0j1Y=")</f>
        <v>#REF!</v>
      </c>
      <c r="CJ217" t="e">
        <f>AND(#REF!,"AAAAAG/0j1c=")</f>
        <v>#REF!</v>
      </c>
      <c r="CK217" t="e">
        <f>AND(#REF!,"AAAAAG/0j1g=")</f>
        <v>#REF!</v>
      </c>
      <c r="CL217" t="e">
        <f>AND(#REF!,"AAAAAG/0j1k=")</f>
        <v>#REF!</v>
      </c>
      <c r="CM217" t="e">
        <f>AND(#REF!,"AAAAAG/0j1o=")</f>
        <v>#REF!</v>
      </c>
      <c r="CN217" t="e">
        <f>AND(#REF!,"AAAAAG/0j1s=")</f>
        <v>#REF!</v>
      </c>
      <c r="CO217" t="e">
        <f>AND(#REF!,"AAAAAG/0j1w=")</f>
        <v>#REF!</v>
      </c>
      <c r="CP217" t="e">
        <f>AND(#REF!,"AAAAAG/0j10=")</f>
        <v>#REF!</v>
      </c>
      <c r="CQ217" t="e">
        <f>AND(#REF!,"AAAAAG/0j14=")</f>
        <v>#REF!</v>
      </c>
      <c r="CR217" t="e">
        <f>AND(#REF!,"AAAAAG/0j18=")</f>
        <v>#REF!</v>
      </c>
      <c r="CS217" t="e">
        <f>AND(#REF!,"AAAAAG/0j2A=")</f>
        <v>#REF!</v>
      </c>
      <c r="CT217" t="e">
        <f>AND(#REF!,"AAAAAG/0j2E=")</f>
        <v>#REF!</v>
      </c>
      <c r="CU217" t="e">
        <f>AND(#REF!,"AAAAAG/0j2I=")</f>
        <v>#REF!</v>
      </c>
      <c r="CV217" t="e">
        <f>AND(#REF!,"AAAAAG/0j2M=")</f>
        <v>#REF!</v>
      </c>
      <c r="CW217" t="e">
        <f>AND(#REF!,"AAAAAG/0j2Q=")</f>
        <v>#REF!</v>
      </c>
      <c r="CX217" t="e">
        <f>AND(#REF!,"AAAAAG/0j2U=")</f>
        <v>#REF!</v>
      </c>
      <c r="CY217" t="e">
        <f>AND(#REF!,"AAAAAG/0j2Y=")</f>
        <v>#REF!</v>
      </c>
      <c r="CZ217" t="e">
        <f>AND(#REF!,"AAAAAG/0j2c=")</f>
        <v>#REF!</v>
      </c>
      <c r="DA217" t="e">
        <f>AND(#REF!,"AAAAAG/0j2g=")</f>
        <v>#REF!</v>
      </c>
      <c r="DB217" t="e">
        <f>AND(#REF!,"AAAAAG/0j2k=")</f>
        <v>#REF!</v>
      </c>
      <c r="DC217" t="e">
        <f>AND(#REF!,"AAAAAG/0j2o=")</f>
        <v>#REF!</v>
      </c>
      <c r="DD217" t="e">
        <f>AND(#REF!,"AAAAAG/0j2s=")</f>
        <v>#REF!</v>
      </c>
      <c r="DE217" t="e">
        <f>AND(#REF!,"AAAAAG/0j2w=")</f>
        <v>#REF!</v>
      </c>
      <c r="DF217" t="e">
        <f>AND(#REF!,"AAAAAG/0j20=")</f>
        <v>#REF!</v>
      </c>
      <c r="DG217" t="e">
        <f>AND(#REF!,"AAAAAG/0j24=")</f>
        <v>#REF!</v>
      </c>
      <c r="DH217" t="e">
        <f>IF(#REF!,"AAAAAG/0j28=",0)</f>
        <v>#REF!</v>
      </c>
      <c r="DI217" t="e">
        <f>AND(#REF!,"AAAAAG/0j3A=")</f>
        <v>#REF!</v>
      </c>
      <c r="DJ217" t="e">
        <f>AND(#REF!,"AAAAAG/0j3E=")</f>
        <v>#REF!</v>
      </c>
      <c r="DK217" t="e">
        <f>AND(#REF!,"AAAAAG/0j3I=")</f>
        <v>#REF!</v>
      </c>
      <c r="DL217" t="e">
        <f>AND(#REF!,"AAAAAG/0j3M=")</f>
        <v>#REF!</v>
      </c>
      <c r="DM217" t="e">
        <f>AND(#REF!,"AAAAAG/0j3Q=")</f>
        <v>#REF!</v>
      </c>
      <c r="DN217" t="e">
        <f>AND(#REF!,"AAAAAG/0j3U=")</f>
        <v>#REF!</v>
      </c>
      <c r="DO217" t="e">
        <f>AND(#REF!,"AAAAAG/0j3Y=")</f>
        <v>#REF!</v>
      </c>
      <c r="DP217" t="e">
        <f>AND(#REF!,"AAAAAG/0j3c=")</f>
        <v>#REF!</v>
      </c>
      <c r="DQ217" t="e">
        <f>AND(#REF!,"AAAAAG/0j3g=")</f>
        <v>#REF!</v>
      </c>
      <c r="DR217" t="e">
        <f>AND(#REF!,"AAAAAG/0j3k=")</f>
        <v>#REF!</v>
      </c>
      <c r="DS217" t="e">
        <f>AND(#REF!,"AAAAAG/0j3o=")</f>
        <v>#REF!</v>
      </c>
      <c r="DT217" t="e">
        <f>AND(#REF!,"AAAAAG/0j3s=")</f>
        <v>#REF!</v>
      </c>
      <c r="DU217" t="e">
        <f>AND(#REF!,"AAAAAG/0j3w=")</f>
        <v>#REF!</v>
      </c>
      <c r="DV217" t="e">
        <f>AND(#REF!,"AAAAAG/0j30=")</f>
        <v>#REF!</v>
      </c>
      <c r="DW217" t="e">
        <f>AND(#REF!,"AAAAAG/0j34=")</f>
        <v>#REF!</v>
      </c>
      <c r="DX217" t="e">
        <f>AND(#REF!,"AAAAAG/0j38=")</f>
        <v>#REF!</v>
      </c>
      <c r="DY217" t="e">
        <f>AND(#REF!,"AAAAAG/0j4A=")</f>
        <v>#REF!</v>
      </c>
      <c r="DZ217" t="e">
        <f>AND(#REF!,"AAAAAG/0j4E=")</f>
        <v>#REF!</v>
      </c>
      <c r="EA217" t="e">
        <f>AND(#REF!,"AAAAAG/0j4I=")</f>
        <v>#REF!</v>
      </c>
      <c r="EB217" t="e">
        <f>AND(#REF!,"AAAAAG/0j4M=")</f>
        <v>#REF!</v>
      </c>
      <c r="EC217" t="e">
        <f>AND(#REF!,"AAAAAG/0j4Q=")</f>
        <v>#REF!</v>
      </c>
      <c r="ED217" t="e">
        <f>AND(#REF!,"AAAAAG/0j4U=")</f>
        <v>#REF!</v>
      </c>
      <c r="EE217" t="e">
        <f>AND(#REF!,"AAAAAG/0j4Y=")</f>
        <v>#REF!</v>
      </c>
      <c r="EF217" t="e">
        <f>AND(#REF!,"AAAAAG/0j4c=")</f>
        <v>#REF!</v>
      </c>
      <c r="EG217" t="e">
        <f>AND(#REF!,"AAAAAG/0j4g=")</f>
        <v>#REF!</v>
      </c>
      <c r="EH217" t="e">
        <f>AND(#REF!,"AAAAAG/0j4k=")</f>
        <v>#REF!</v>
      </c>
      <c r="EI217" t="e">
        <f>AND(#REF!,"AAAAAG/0j4o=")</f>
        <v>#REF!</v>
      </c>
      <c r="EJ217" t="e">
        <f>AND(#REF!,"AAAAAG/0j4s=")</f>
        <v>#REF!</v>
      </c>
      <c r="EK217" t="e">
        <f>AND(#REF!,"AAAAAG/0j4w=")</f>
        <v>#REF!</v>
      </c>
      <c r="EL217" t="e">
        <f>AND(#REF!,"AAAAAG/0j40=")</f>
        <v>#REF!</v>
      </c>
      <c r="EM217" t="e">
        <f>AND(#REF!,"AAAAAG/0j44=")</f>
        <v>#REF!</v>
      </c>
      <c r="EN217" t="e">
        <f>AND(#REF!,"AAAAAG/0j48=")</f>
        <v>#REF!</v>
      </c>
      <c r="EO217" t="e">
        <f>AND(#REF!,"AAAAAG/0j5A=")</f>
        <v>#REF!</v>
      </c>
      <c r="EP217" t="e">
        <f>IF(#REF!,"AAAAAG/0j5E=",0)</f>
        <v>#REF!</v>
      </c>
      <c r="EQ217" t="e">
        <f>AND(#REF!,"AAAAAG/0j5I=")</f>
        <v>#REF!</v>
      </c>
      <c r="ER217" t="e">
        <f>AND(#REF!,"AAAAAG/0j5M=")</f>
        <v>#REF!</v>
      </c>
      <c r="ES217" t="e">
        <f>AND(#REF!,"AAAAAG/0j5Q=")</f>
        <v>#REF!</v>
      </c>
      <c r="ET217" t="e">
        <f>AND(#REF!,"AAAAAG/0j5U=")</f>
        <v>#REF!</v>
      </c>
      <c r="EU217" t="e">
        <f>AND(#REF!,"AAAAAG/0j5Y=")</f>
        <v>#REF!</v>
      </c>
      <c r="EV217" t="e">
        <f>AND(#REF!,"AAAAAG/0j5c=")</f>
        <v>#REF!</v>
      </c>
      <c r="EW217" t="e">
        <f>AND(#REF!,"AAAAAG/0j5g=")</f>
        <v>#REF!</v>
      </c>
      <c r="EX217" t="e">
        <f>AND(#REF!,"AAAAAG/0j5k=")</f>
        <v>#REF!</v>
      </c>
      <c r="EY217" t="e">
        <f>AND(#REF!,"AAAAAG/0j5o=")</f>
        <v>#REF!</v>
      </c>
      <c r="EZ217" t="e">
        <f>AND(#REF!,"AAAAAG/0j5s=")</f>
        <v>#REF!</v>
      </c>
      <c r="FA217" t="e">
        <f>AND(#REF!,"AAAAAG/0j5w=")</f>
        <v>#REF!</v>
      </c>
      <c r="FB217" t="e">
        <f>AND(#REF!,"AAAAAG/0j50=")</f>
        <v>#REF!</v>
      </c>
      <c r="FC217" t="e">
        <f>AND(#REF!,"AAAAAG/0j54=")</f>
        <v>#REF!</v>
      </c>
      <c r="FD217" t="e">
        <f>AND(#REF!,"AAAAAG/0j58=")</f>
        <v>#REF!</v>
      </c>
      <c r="FE217" t="e">
        <f>AND(#REF!,"AAAAAG/0j6A=")</f>
        <v>#REF!</v>
      </c>
      <c r="FF217" t="e">
        <f>AND(#REF!,"AAAAAG/0j6E=")</f>
        <v>#REF!</v>
      </c>
      <c r="FG217" t="e">
        <f>AND(#REF!,"AAAAAG/0j6I=")</f>
        <v>#REF!</v>
      </c>
      <c r="FH217" t="e">
        <f>AND(#REF!,"AAAAAG/0j6M=")</f>
        <v>#REF!</v>
      </c>
      <c r="FI217" t="e">
        <f>AND(#REF!,"AAAAAG/0j6Q=")</f>
        <v>#REF!</v>
      </c>
      <c r="FJ217" t="e">
        <f>AND(#REF!,"AAAAAG/0j6U=")</f>
        <v>#REF!</v>
      </c>
      <c r="FK217" t="e">
        <f>AND(#REF!,"AAAAAG/0j6Y=")</f>
        <v>#REF!</v>
      </c>
      <c r="FL217" t="e">
        <f>AND(#REF!,"AAAAAG/0j6c=")</f>
        <v>#REF!</v>
      </c>
      <c r="FM217" t="e">
        <f>AND(#REF!,"AAAAAG/0j6g=")</f>
        <v>#REF!</v>
      </c>
      <c r="FN217" t="e">
        <f>AND(#REF!,"AAAAAG/0j6k=")</f>
        <v>#REF!</v>
      </c>
      <c r="FO217" t="e">
        <f>AND(#REF!,"AAAAAG/0j6o=")</f>
        <v>#REF!</v>
      </c>
      <c r="FP217" t="e">
        <f>AND(#REF!,"AAAAAG/0j6s=")</f>
        <v>#REF!</v>
      </c>
      <c r="FQ217" t="e">
        <f>AND(#REF!,"AAAAAG/0j6w=")</f>
        <v>#REF!</v>
      </c>
      <c r="FR217" t="e">
        <f>AND(#REF!,"AAAAAG/0j60=")</f>
        <v>#REF!</v>
      </c>
      <c r="FS217" t="e">
        <f>AND(#REF!,"AAAAAG/0j64=")</f>
        <v>#REF!</v>
      </c>
      <c r="FT217" t="e">
        <f>AND(#REF!,"AAAAAG/0j68=")</f>
        <v>#REF!</v>
      </c>
      <c r="FU217" t="e">
        <f>AND(#REF!,"AAAAAG/0j7A=")</f>
        <v>#REF!</v>
      </c>
      <c r="FV217" t="e">
        <f>AND(#REF!,"AAAAAG/0j7E=")</f>
        <v>#REF!</v>
      </c>
      <c r="FW217" t="e">
        <f>AND(#REF!,"AAAAAG/0j7I=")</f>
        <v>#REF!</v>
      </c>
      <c r="FX217" t="e">
        <f>IF(#REF!,"AAAAAG/0j7M=",0)</f>
        <v>#REF!</v>
      </c>
      <c r="FY217" t="e">
        <f>AND(#REF!,"AAAAAG/0j7Q=")</f>
        <v>#REF!</v>
      </c>
      <c r="FZ217" t="e">
        <f>AND(#REF!,"AAAAAG/0j7U=")</f>
        <v>#REF!</v>
      </c>
      <c r="GA217" t="e">
        <f>AND(#REF!,"AAAAAG/0j7Y=")</f>
        <v>#REF!</v>
      </c>
      <c r="GB217" t="e">
        <f>AND(#REF!,"AAAAAG/0j7c=")</f>
        <v>#REF!</v>
      </c>
      <c r="GC217" t="e">
        <f>AND(#REF!,"AAAAAG/0j7g=")</f>
        <v>#REF!</v>
      </c>
      <c r="GD217" t="e">
        <f>AND(#REF!,"AAAAAG/0j7k=")</f>
        <v>#REF!</v>
      </c>
      <c r="GE217" t="e">
        <f>AND(#REF!,"AAAAAG/0j7o=")</f>
        <v>#REF!</v>
      </c>
      <c r="GF217" t="e">
        <f>AND(#REF!,"AAAAAG/0j7s=")</f>
        <v>#REF!</v>
      </c>
      <c r="GG217" t="e">
        <f>AND(#REF!,"AAAAAG/0j7w=")</f>
        <v>#REF!</v>
      </c>
      <c r="GH217" t="e">
        <f>AND(#REF!,"AAAAAG/0j70=")</f>
        <v>#REF!</v>
      </c>
      <c r="GI217" t="e">
        <f>AND(#REF!,"AAAAAG/0j74=")</f>
        <v>#REF!</v>
      </c>
      <c r="GJ217" t="e">
        <f>AND(#REF!,"AAAAAG/0j78=")</f>
        <v>#REF!</v>
      </c>
      <c r="GK217" t="e">
        <f>AND(#REF!,"AAAAAG/0j8A=")</f>
        <v>#REF!</v>
      </c>
      <c r="GL217" t="e">
        <f>AND(#REF!,"AAAAAG/0j8E=")</f>
        <v>#REF!</v>
      </c>
      <c r="GM217" t="e">
        <f>AND(#REF!,"AAAAAG/0j8I=")</f>
        <v>#REF!</v>
      </c>
      <c r="GN217" t="e">
        <f>AND(#REF!,"AAAAAG/0j8M=")</f>
        <v>#REF!</v>
      </c>
      <c r="GO217" t="e">
        <f>AND(#REF!,"AAAAAG/0j8Q=")</f>
        <v>#REF!</v>
      </c>
      <c r="GP217" t="e">
        <f>AND(#REF!,"AAAAAG/0j8U=")</f>
        <v>#REF!</v>
      </c>
      <c r="GQ217" t="e">
        <f>AND(#REF!,"AAAAAG/0j8Y=")</f>
        <v>#REF!</v>
      </c>
      <c r="GR217" t="e">
        <f>AND(#REF!,"AAAAAG/0j8c=")</f>
        <v>#REF!</v>
      </c>
      <c r="GS217" t="e">
        <f>AND(#REF!,"AAAAAG/0j8g=")</f>
        <v>#REF!</v>
      </c>
      <c r="GT217" t="e">
        <f>AND(#REF!,"AAAAAG/0j8k=")</f>
        <v>#REF!</v>
      </c>
      <c r="GU217" t="e">
        <f>AND(#REF!,"AAAAAG/0j8o=")</f>
        <v>#REF!</v>
      </c>
      <c r="GV217" t="e">
        <f>AND(#REF!,"AAAAAG/0j8s=")</f>
        <v>#REF!</v>
      </c>
      <c r="GW217" t="e">
        <f>AND(#REF!,"AAAAAG/0j8w=")</f>
        <v>#REF!</v>
      </c>
      <c r="GX217" t="e">
        <f>AND(#REF!,"AAAAAG/0j80=")</f>
        <v>#REF!</v>
      </c>
      <c r="GY217" t="e">
        <f>AND(#REF!,"AAAAAG/0j84=")</f>
        <v>#REF!</v>
      </c>
      <c r="GZ217" t="e">
        <f>AND(#REF!,"AAAAAG/0j88=")</f>
        <v>#REF!</v>
      </c>
      <c r="HA217" t="e">
        <f>AND(#REF!,"AAAAAG/0j9A=")</f>
        <v>#REF!</v>
      </c>
      <c r="HB217" t="e">
        <f>AND(#REF!,"AAAAAG/0j9E=")</f>
        <v>#REF!</v>
      </c>
      <c r="HC217" t="e">
        <f>AND(#REF!,"AAAAAG/0j9I=")</f>
        <v>#REF!</v>
      </c>
      <c r="HD217" t="e">
        <f>AND(#REF!,"AAAAAG/0j9M=")</f>
        <v>#REF!</v>
      </c>
      <c r="HE217" t="e">
        <f>AND(#REF!,"AAAAAG/0j9Q=")</f>
        <v>#REF!</v>
      </c>
      <c r="HF217" t="e">
        <f>IF(#REF!,"AAAAAG/0j9U=",0)</f>
        <v>#REF!</v>
      </c>
      <c r="HG217" t="e">
        <f>AND(#REF!,"AAAAAG/0j9Y=")</f>
        <v>#REF!</v>
      </c>
      <c r="HH217" t="e">
        <f>AND(#REF!,"AAAAAG/0j9c=")</f>
        <v>#REF!</v>
      </c>
      <c r="HI217" t="e">
        <f>AND(#REF!,"AAAAAG/0j9g=")</f>
        <v>#REF!</v>
      </c>
      <c r="HJ217" t="e">
        <f>AND(#REF!,"AAAAAG/0j9k=")</f>
        <v>#REF!</v>
      </c>
      <c r="HK217" t="e">
        <f>AND(#REF!,"AAAAAG/0j9o=")</f>
        <v>#REF!</v>
      </c>
      <c r="HL217" t="e">
        <f>AND(#REF!,"AAAAAG/0j9s=")</f>
        <v>#REF!</v>
      </c>
      <c r="HM217" t="e">
        <f>AND(#REF!,"AAAAAG/0j9w=")</f>
        <v>#REF!</v>
      </c>
      <c r="HN217" t="e">
        <f>AND(#REF!,"AAAAAG/0j90=")</f>
        <v>#REF!</v>
      </c>
      <c r="HO217" t="e">
        <f>AND(#REF!,"AAAAAG/0j94=")</f>
        <v>#REF!</v>
      </c>
      <c r="HP217" t="e">
        <f>AND(#REF!,"AAAAAG/0j98=")</f>
        <v>#REF!</v>
      </c>
      <c r="HQ217" t="e">
        <f>AND(#REF!,"AAAAAG/0j+A=")</f>
        <v>#REF!</v>
      </c>
      <c r="HR217" t="e">
        <f>AND(#REF!,"AAAAAG/0j+E=")</f>
        <v>#REF!</v>
      </c>
      <c r="HS217" t="e">
        <f>AND(#REF!,"AAAAAG/0j+I=")</f>
        <v>#REF!</v>
      </c>
      <c r="HT217" t="e">
        <f>AND(#REF!,"AAAAAG/0j+M=")</f>
        <v>#REF!</v>
      </c>
      <c r="HU217" t="e">
        <f>AND(#REF!,"AAAAAG/0j+Q=")</f>
        <v>#REF!</v>
      </c>
      <c r="HV217" t="e">
        <f>AND(#REF!,"AAAAAG/0j+U=")</f>
        <v>#REF!</v>
      </c>
      <c r="HW217" t="e">
        <f>AND(#REF!,"AAAAAG/0j+Y=")</f>
        <v>#REF!</v>
      </c>
      <c r="HX217" t="e">
        <f>AND(#REF!,"AAAAAG/0j+c=")</f>
        <v>#REF!</v>
      </c>
      <c r="HY217" t="e">
        <f>AND(#REF!,"AAAAAG/0j+g=")</f>
        <v>#REF!</v>
      </c>
      <c r="HZ217" t="e">
        <f>AND(#REF!,"AAAAAG/0j+k=")</f>
        <v>#REF!</v>
      </c>
      <c r="IA217" t="e">
        <f>AND(#REF!,"AAAAAG/0j+o=")</f>
        <v>#REF!</v>
      </c>
      <c r="IB217" t="e">
        <f>AND(#REF!,"AAAAAG/0j+s=")</f>
        <v>#REF!</v>
      </c>
      <c r="IC217" t="e">
        <f>AND(#REF!,"AAAAAG/0j+w=")</f>
        <v>#REF!</v>
      </c>
      <c r="ID217" t="e">
        <f>AND(#REF!,"AAAAAG/0j+0=")</f>
        <v>#REF!</v>
      </c>
      <c r="IE217" t="e">
        <f>AND(#REF!,"AAAAAG/0j+4=")</f>
        <v>#REF!</v>
      </c>
      <c r="IF217" t="e">
        <f>AND(#REF!,"AAAAAG/0j+8=")</f>
        <v>#REF!</v>
      </c>
      <c r="IG217" t="e">
        <f>AND(#REF!,"AAAAAG/0j/A=")</f>
        <v>#REF!</v>
      </c>
      <c r="IH217" t="e">
        <f>AND(#REF!,"AAAAAG/0j/E=")</f>
        <v>#REF!</v>
      </c>
      <c r="II217" t="e">
        <f>AND(#REF!,"AAAAAG/0j/I=")</f>
        <v>#REF!</v>
      </c>
      <c r="IJ217" t="e">
        <f>AND(#REF!,"AAAAAG/0j/M=")</f>
        <v>#REF!</v>
      </c>
      <c r="IK217" t="e">
        <f>AND(#REF!,"AAAAAG/0j/Q=")</f>
        <v>#REF!</v>
      </c>
      <c r="IL217" t="e">
        <f>AND(#REF!,"AAAAAG/0j/U=")</f>
        <v>#REF!</v>
      </c>
      <c r="IM217" t="e">
        <f>AND(#REF!,"AAAAAG/0j/Y=")</f>
        <v>#REF!</v>
      </c>
      <c r="IN217" t="e">
        <f>IF(#REF!,"AAAAAG/0j/c=",0)</f>
        <v>#REF!</v>
      </c>
      <c r="IO217" t="e">
        <f>AND(#REF!,"AAAAAG/0j/g=")</f>
        <v>#REF!</v>
      </c>
      <c r="IP217" t="e">
        <f>AND(#REF!,"AAAAAG/0j/k=")</f>
        <v>#REF!</v>
      </c>
      <c r="IQ217" t="e">
        <f>AND(#REF!,"AAAAAG/0j/o=")</f>
        <v>#REF!</v>
      </c>
      <c r="IR217" t="e">
        <f>AND(#REF!,"AAAAAG/0j/s=")</f>
        <v>#REF!</v>
      </c>
      <c r="IS217" t="e">
        <f>AND(#REF!,"AAAAAG/0j/w=")</f>
        <v>#REF!</v>
      </c>
      <c r="IT217" t="e">
        <f>AND(#REF!,"AAAAAG/0j/0=")</f>
        <v>#REF!</v>
      </c>
      <c r="IU217" t="e">
        <f>AND(#REF!,"AAAAAG/0j/4=")</f>
        <v>#REF!</v>
      </c>
      <c r="IV217" t="e">
        <f>AND(#REF!,"AAAAAG/0j/8=")</f>
        <v>#REF!</v>
      </c>
    </row>
    <row r="218" spans="1:256" x14ac:dyDescent="0.2">
      <c r="A218" t="e">
        <f>AND(#REF!,"AAAAAH927wA=")</f>
        <v>#REF!</v>
      </c>
      <c r="B218" t="e">
        <f>AND(#REF!,"AAAAAH927wE=")</f>
        <v>#REF!</v>
      </c>
      <c r="C218" t="e">
        <f>AND(#REF!,"AAAAAH927wI=")</f>
        <v>#REF!</v>
      </c>
      <c r="D218" t="e">
        <f>AND(#REF!,"AAAAAH927wM=")</f>
        <v>#REF!</v>
      </c>
      <c r="E218" t="e">
        <f>AND(#REF!,"AAAAAH927wQ=")</f>
        <v>#REF!</v>
      </c>
      <c r="F218" t="e">
        <f>AND(#REF!,"AAAAAH927wU=")</f>
        <v>#REF!</v>
      </c>
      <c r="G218" t="e">
        <f>AND(#REF!,"AAAAAH927wY=")</f>
        <v>#REF!</v>
      </c>
      <c r="H218" t="e">
        <f>AND(#REF!,"AAAAAH927wc=")</f>
        <v>#REF!</v>
      </c>
      <c r="I218" t="e">
        <f>AND(#REF!,"AAAAAH927wg=")</f>
        <v>#REF!</v>
      </c>
      <c r="J218" t="e">
        <f>AND(#REF!,"AAAAAH927wk=")</f>
        <v>#REF!</v>
      </c>
      <c r="K218" t="e">
        <f>AND(#REF!,"AAAAAH927wo=")</f>
        <v>#REF!</v>
      </c>
      <c r="L218" t="e">
        <f>AND(#REF!,"AAAAAH927ws=")</f>
        <v>#REF!</v>
      </c>
      <c r="M218" t="e">
        <f>AND(#REF!,"AAAAAH927ww=")</f>
        <v>#REF!</v>
      </c>
      <c r="N218" t="e">
        <f>AND(#REF!,"AAAAAH927w0=")</f>
        <v>#REF!</v>
      </c>
      <c r="O218" t="e">
        <f>AND(#REF!,"AAAAAH927w4=")</f>
        <v>#REF!</v>
      </c>
      <c r="P218" t="e">
        <f>AND(#REF!,"AAAAAH927w8=")</f>
        <v>#REF!</v>
      </c>
      <c r="Q218" t="e">
        <f>AND(#REF!,"AAAAAH927xA=")</f>
        <v>#REF!</v>
      </c>
      <c r="R218" t="e">
        <f>AND(#REF!,"AAAAAH927xE=")</f>
        <v>#REF!</v>
      </c>
      <c r="S218" t="e">
        <f>AND(#REF!,"AAAAAH927xI=")</f>
        <v>#REF!</v>
      </c>
      <c r="T218" t="e">
        <f>AND(#REF!,"AAAAAH927xM=")</f>
        <v>#REF!</v>
      </c>
      <c r="U218" t="e">
        <f>AND(#REF!,"AAAAAH927xQ=")</f>
        <v>#REF!</v>
      </c>
      <c r="V218" t="e">
        <f>AND(#REF!,"AAAAAH927xU=")</f>
        <v>#REF!</v>
      </c>
      <c r="W218" t="e">
        <f>AND(#REF!,"AAAAAH927xY=")</f>
        <v>#REF!</v>
      </c>
      <c r="X218" t="e">
        <f>AND(#REF!,"AAAAAH927xc=")</f>
        <v>#REF!</v>
      </c>
      <c r="Y218" t="e">
        <f>AND(#REF!,"AAAAAH927xg=")</f>
        <v>#REF!</v>
      </c>
      <c r="Z218" t="e">
        <f>IF(#REF!,"AAAAAH927xk=",0)</f>
        <v>#REF!</v>
      </c>
      <c r="AA218" t="e">
        <f>AND(#REF!,"AAAAAH927xo=")</f>
        <v>#REF!</v>
      </c>
      <c r="AB218" t="e">
        <f>AND(#REF!,"AAAAAH927xs=")</f>
        <v>#REF!</v>
      </c>
      <c r="AC218" t="e">
        <f>AND(#REF!,"AAAAAH927xw=")</f>
        <v>#REF!</v>
      </c>
      <c r="AD218" t="e">
        <f>AND(#REF!,"AAAAAH927x0=")</f>
        <v>#REF!</v>
      </c>
      <c r="AE218" t="e">
        <f>AND(#REF!,"AAAAAH927x4=")</f>
        <v>#REF!</v>
      </c>
      <c r="AF218" t="e">
        <f>AND(#REF!,"AAAAAH927x8=")</f>
        <v>#REF!</v>
      </c>
      <c r="AG218" t="e">
        <f>AND(#REF!,"AAAAAH927yA=")</f>
        <v>#REF!</v>
      </c>
      <c r="AH218" t="e">
        <f>AND(#REF!,"AAAAAH927yE=")</f>
        <v>#REF!</v>
      </c>
      <c r="AI218" t="e">
        <f>AND(#REF!,"AAAAAH927yI=")</f>
        <v>#REF!</v>
      </c>
      <c r="AJ218" t="e">
        <f>AND(#REF!,"AAAAAH927yM=")</f>
        <v>#REF!</v>
      </c>
      <c r="AK218" t="e">
        <f>AND(#REF!,"AAAAAH927yQ=")</f>
        <v>#REF!</v>
      </c>
      <c r="AL218" t="e">
        <f>AND(#REF!,"AAAAAH927yU=")</f>
        <v>#REF!</v>
      </c>
      <c r="AM218" t="e">
        <f>AND(#REF!,"AAAAAH927yY=")</f>
        <v>#REF!</v>
      </c>
      <c r="AN218" t="e">
        <f>AND(#REF!,"AAAAAH927yc=")</f>
        <v>#REF!</v>
      </c>
      <c r="AO218" t="e">
        <f>AND(#REF!,"AAAAAH927yg=")</f>
        <v>#REF!</v>
      </c>
      <c r="AP218" t="e">
        <f>AND(#REF!,"AAAAAH927yk=")</f>
        <v>#REF!</v>
      </c>
      <c r="AQ218" t="e">
        <f>AND(#REF!,"AAAAAH927yo=")</f>
        <v>#REF!</v>
      </c>
      <c r="AR218" t="e">
        <f>AND(#REF!,"AAAAAH927ys=")</f>
        <v>#REF!</v>
      </c>
      <c r="AS218" t="e">
        <f>AND(#REF!,"AAAAAH927yw=")</f>
        <v>#REF!</v>
      </c>
      <c r="AT218" t="e">
        <f>AND(#REF!,"AAAAAH927y0=")</f>
        <v>#REF!</v>
      </c>
      <c r="AU218" t="e">
        <f>AND(#REF!,"AAAAAH927y4=")</f>
        <v>#REF!</v>
      </c>
      <c r="AV218" t="e">
        <f>AND(#REF!,"AAAAAH927y8=")</f>
        <v>#REF!</v>
      </c>
      <c r="AW218" t="e">
        <f>AND(#REF!,"AAAAAH927zA=")</f>
        <v>#REF!</v>
      </c>
      <c r="AX218" t="e">
        <f>AND(#REF!,"AAAAAH927zE=")</f>
        <v>#REF!</v>
      </c>
      <c r="AY218" t="e">
        <f>AND(#REF!,"AAAAAH927zI=")</f>
        <v>#REF!</v>
      </c>
      <c r="AZ218" t="e">
        <f>AND(#REF!,"AAAAAH927zM=")</f>
        <v>#REF!</v>
      </c>
      <c r="BA218" t="e">
        <f>AND(#REF!,"AAAAAH927zQ=")</f>
        <v>#REF!</v>
      </c>
      <c r="BB218" t="e">
        <f>AND(#REF!,"AAAAAH927zU=")</f>
        <v>#REF!</v>
      </c>
      <c r="BC218" t="e">
        <f>AND(#REF!,"AAAAAH927zY=")</f>
        <v>#REF!</v>
      </c>
      <c r="BD218" t="e">
        <f>AND(#REF!,"AAAAAH927zc=")</f>
        <v>#REF!</v>
      </c>
      <c r="BE218" t="e">
        <f>AND(#REF!,"AAAAAH927zg=")</f>
        <v>#REF!</v>
      </c>
      <c r="BF218" t="e">
        <f>AND(#REF!,"AAAAAH927zk=")</f>
        <v>#REF!</v>
      </c>
      <c r="BG218" t="e">
        <f>AND(#REF!,"AAAAAH927zo=")</f>
        <v>#REF!</v>
      </c>
      <c r="BH218" t="e">
        <f>IF(#REF!,"AAAAAH927zs=",0)</f>
        <v>#REF!</v>
      </c>
      <c r="BI218" t="e">
        <f>AND(#REF!,"AAAAAH927zw=")</f>
        <v>#REF!</v>
      </c>
      <c r="BJ218" t="e">
        <f>AND(#REF!,"AAAAAH927z0=")</f>
        <v>#REF!</v>
      </c>
      <c r="BK218" t="e">
        <f>AND(#REF!,"AAAAAH927z4=")</f>
        <v>#REF!</v>
      </c>
      <c r="BL218" t="e">
        <f>AND(#REF!,"AAAAAH927z8=")</f>
        <v>#REF!</v>
      </c>
      <c r="BM218" t="e">
        <f>AND(#REF!,"AAAAAH9270A=")</f>
        <v>#REF!</v>
      </c>
      <c r="BN218" t="e">
        <f>AND(#REF!,"AAAAAH9270E=")</f>
        <v>#REF!</v>
      </c>
      <c r="BO218" t="e">
        <f>AND(#REF!,"AAAAAH9270I=")</f>
        <v>#REF!</v>
      </c>
      <c r="BP218" t="e">
        <f>AND(#REF!,"AAAAAH9270M=")</f>
        <v>#REF!</v>
      </c>
      <c r="BQ218" t="e">
        <f>AND(#REF!,"AAAAAH9270Q=")</f>
        <v>#REF!</v>
      </c>
      <c r="BR218" t="e">
        <f>AND(#REF!,"AAAAAH9270U=")</f>
        <v>#REF!</v>
      </c>
      <c r="BS218" t="e">
        <f>AND(#REF!,"AAAAAH9270Y=")</f>
        <v>#REF!</v>
      </c>
      <c r="BT218" t="e">
        <f>AND(#REF!,"AAAAAH9270c=")</f>
        <v>#REF!</v>
      </c>
      <c r="BU218" t="e">
        <f>AND(#REF!,"AAAAAH9270g=")</f>
        <v>#REF!</v>
      </c>
      <c r="BV218" t="e">
        <f>AND(#REF!,"AAAAAH9270k=")</f>
        <v>#REF!</v>
      </c>
      <c r="BW218" t="e">
        <f>AND(#REF!,"AAAAAH9270o=")</f>
        <v>#REF!</v>
      </c>
      <c r="BX218" t="e">
        <f>AND(#REF!,"AAAAAH9270s=")</f>
        <v>#REF!</v>
      </c>
      <c r="BY218" t="e">
        <f>AND(#REF!,"AAAAAH9270w=")</f>
        <v>#REF!</v>
      </c>
      <c r="BZ218" t="e">
        <f>AND(#REF!,"AAAAAH92700=")</f>
        <v>#REF!</v>
      </c>
      <c r="CA218" t="e">
        <f>AND(#REF!,"AAAAAH92704=")</f>
        <v>#REF!</v>
      </c>
      <c r="CB218" t="e">
        <f>AND(#REF!,"AAAAAH92708=")</f>
        <v>#REF!</v>
      </c>
      <c r="CC218" t="e">
        <f>AND(#REF!,"AAAAAH9271A=")</f>
        <v>#REF!</v>
      </c>
      <c r="CD218" t="e">
        <f>AND(#REF!,"AAAAAH9271E=")</f>
        <v>#REF!</v>
      </c>
      <c r="CE218" t="e">
        <f>AND(#REF!,"AAAAAH9271I=")</f>
        <v>#REF!</v>
      </c>
      <c r="CF218" t="e">
        <f>AND(#REF!,"AAAAAH9271M=")</f>
        <v>#REF!</v>
      </c>
      <c r="CG218" t="e">
        <f>AND(#REF!,"AAAAAH9271Q=")</f>
        <v>#REF!</v>
      </c>
      <c r="CH218" t="e">
        <f>AND(#REF!,"AAAAAH9271U=")</f>
        <v>#REF!</v>
      </c>
      <c r="CI218" t="e">
        <f>AND(#REF!,"AAAAAH9271Y=")</f>
        <v>#REF!</v>
      </c>
      <c r="CJ218" t="e">
        <f>AND(#REF!,"AAAAAH9271c=")</f>
        <v>#REF!</v>
      </c>
      <c r="CK218" t="e">
        <f>AND(#REF!,"AAAAAH9271g=")</f>
        <v>#REF!</v>
      </c>
      <c r="CL218" t="e">
        <f>AND(#REF!,"AAAAAH9271k=")</f>
        <v>#REF!</v>
      </c>
      <c r="CM218" t="e">
        <f>AND(#REF!,"AAAAAH9271o=")</f>
        <v>#REF!</v>
      </c>
      <c r="CN218" t="e">
        <f>AND(#REF!,"AAAAAH9271s=")</f>
        <v>#REF!</v>
      </c>
      <c r="CO218" t="e">
        <f>AND(#REF!,"AAAAAH9271w=")</f>
        <v>#REF!</v>
      </c>
      <c r="CP218" t="e">
        <f>IF(#REF!,"AAAAAH92710=",0)</f>
        <v>#REF!</v>
      </c>
      <c r="CQ218" t="e">
        <f>AND(#REF!,"AAAAAH92714=")</f>
        <v>#REF!</v>
      </c>
      <c r="CR218" t="e">
        <f>AND(#REF!,"AAAAAH92718=")</f>
        <v>#REF!</v>
      </c>
      <c r="CS218" t="e">
        <f>AND(#REF!,"AAAAAH9272A=")</f>
        <v>#REF!</v>
      </c>
      <c r="CT218" t="e">
        <f>AND(#REF!,"AAAAAH9272E=")</f>
        <v>#REF!</v>
      </c>
      <c r="CU218" t="e">
        <f>AND(#REF!,"AAAAAH9272I=")</f>
        <v>#REF!</v>
      </c>
      <c r="CV218" t="e">
        <f>AND(#REF!,"AAAAAH9272M=")</f>
        <v>#REF!</v>
      </c>
      <c r="CW218" t="e">
        <f>AND(#REF!,"AAAAAH9272Q=")</f>
        <v>#REF!</v>
      </c>
      <c r="CX218" t="e">
        <f>AND(#REF!,"AAAAAH9272U=")</f>
        <v>#REF!</v>
      </c>
      <c r="CY218" t="e">
        <f>AND(#REF!,"AAAAAH9272Y=")</f>
        <v>#REF!</v>
      </c>
      <c r="CZ218" t="e">
        <f>AND(#REF!,"AAAAAH9272c=")</f>
        <v>#REF!</v>
      </c>
      <c r="DA218" t="e">
        <f>AND(#REF!,"AAAAAH9272g=")</f>
        <v>#REF!</v>
      </c>
      <c r="DB218" t="e">
        <f>AND(#REF!,"AAAAAH9272k=")</f>
        <v>#REF!</v>
      </c>
      <c r="DC218" t="e">
        <f>AND(#REF!,"AAAAAH9272o=")</f>
        <v>#REF!</v>
      </c>
      <c r="DD218" t="e">
        <f>AND(#REF!,"AAAAAH9272s=")</f>
        <v>#REF!</v>
      </c>
      <c r="DE218" t="e">
        <f>AND(#REF!,"AAAAAH9272w=")</f>
        <v>#REF!</v>
      </c>
      <c r="DF218" t="e">
        <f>AND(#REF!,"AAAAAH92720=")</f>
        <v>#REF!</v>
      </c>
      <c r="DG218" t="e">
        <f>AND(#REF!,"AAAAAH92724=")</f>
        <v>#REF!</v>
      </c>
      <c r="DH218" t="e">
        <f>AND(#REF!,"AAAAAH92728=")</f>
        <v>#REF!</v>
      </c>
      <c r="DI218" t="e">
        <f>AND(#REF!,"AAAAAH9273A=")</f>
        <v>#REF!</v>
      </c>
      <c r="DJ218" t="e">
        <f>AND(#REF!,"AAAAAH9273E=")</f>
        <v>#REF!</v>
      </c>
      <c r="DK218" t="e">
        <f>AND(#REF!,"AAAAAH9273I=")</f>
        <v>#REF!</v>
      </c>
      <c r="DL218" t="e">
        <f>AND(#REF!,"AAAAAH9273M=")</f>
        <v>#REF!</v>
      </c>
      <c r="DM218" t="e">
        <f>AND(#REF!,"AAAAAH9273Q=")</f>
        <v>#REF!</v>
      </c>
      <c r="DN218" t="e">
        <f>AND(#REF!,"AAAAAH9273U=")</f>
        <v>#REF!</v>
      </c>
      <c r="DO218" t="e">
        <f>AND(#REF!,"AAAAAH9273Y=")</f>
        <v>#REF!</v>
      </c>
      <c r="DP218" t="e">
        <f>AND(#REF!,"AAAAAH9273c=")</f>
        <v>#REF!</v>
      </c>
      <c r="DQ218" t="e">
        <f>AND(#REF!,"AAAAAH9273g=")</f>
        <v>#REF!</v>
      </c>
      <c r="DR218" t="e">
        <f>AND(#REF!,"AAAAAH9273k=")</f>
        <v>#REF!</v>
      </c>
      <c r="DS218" t="e">
        <f>AND(#REF!,"AAAAAH9273o=")</f>
        <v>#REF!</v>
      </c>
      <c r="DT218" t="e">
        <f>AND(#REF!,"AAAAAH9273s=")</f>
        <v>#REF!</v>
      </c>
      <c r="DU218" t="e">
        <f>AND(#REF!,"AAAAAH9273w=")</f>
        <v>#REF!</v>
      </c>
      <c r="DV218" t="e">
        <f>AND(#REF!,"AAAAAH92730=")</f>
        <v>#REF!</v>
      </c>
      <c r="DW218" t="e">
        <f>AND(#REF!,"AAAAAH92734=")</f>
        <v>#REF!</v>
      </c>
      <c r="DX218" t="e">
        <f>IF(#REF!,"AAAAAH92738=",0)</f>
        <v>#REF!</v>
      </c>
      <c r="DY218" t="e">
        <f>AND(#REF!,"AAAAAH9274A=")</f>
        <v>#REF!</v>
      </c>
      <c r="DZ218" t="e">
        <f>AND(#REF!,"AAAAAH9274E=")</f>
        <v>#REF!</v>
      </c>
      <c r="EA218" t="e">
        <f>AND(#REF!,"AAAAAH9274I=")</f>
        <v>#REF!</v>
      </c>
      <c r="EB218" t="e">
        <f>AND(#REF!,"AAAAAH9274M=")</f>
        <v>#REF!</v>
      </c>
      <c r="EC218" t="e">
        <f>AND(#REF!,"AAAAAH9274Q=")</f>
        <v>#REF!</v>
      </c>
      <c r="ED218" t="e">
        <f>AND(#REF!,"AAAAAH9274U=")</f>
        <v>#REF!</v>
      </c>
      <c r="EE218" t="e">
        <f>AND(#REF!,"AAAAAH9274Y=")</f>
        <v>#REF!</v>
      </c>
      <c r="EF218" t="e">
        <f>AND(#REF!,"AAAAAH9274c=")</f>
        <v>#REF!</v>
      </c>
      <c r="EG218" t="e">
        <f>AND(#REF!,"AAAAAH9274g=")</f>
        <v>#REF!</v>
      </c>
      <c r="EH218" t="e">
        <f>AND(#REF!,"AAAAAH9274k=")</f>
        <v>#REF!</v>
      </c>
      <c r="EI218" t="e">
        <f>AND(#REF!,"AAAAAH9274o=")</f>
        <v>#REF!</v>
      </c>
      <c r="EJ218" t="e">
        <f>AND(#REF!,"AAAAAH9274s=")</f>
        <v>#REF!</v>
      </c>
      <c r="EK218" t="e">
        <f>AND(#REF!,"AAAAAH9274w=")</f>
        <v>#REF!</v>
      </c>
      <c r="EL218" t="e">
        <f>AND(#REF!,"AAAAAH92740=")</f>
        <v>#REF!</v>
      </c>
      <c r="EM218" t="e">
        <f>AND(#REF!,"AAAAAH92744=")</f>
        <v>#REF!</v>
      </c>
      <c r="EN218" t="e">
        <f>AND(#REF!,"AAAAAH92748=")</f>
        <v>#REF!</v>
      </c>
      <c r="EO218" t="e">
        <f>AND(#REF!,"AAAAAH9275A=")</f>
        <v>#REF!</v>
      </c>
      <c r="EP218" t="e">
        <f>AND(#REF!,"AAAAAH9275E=")</f>
        <v>#REF!</v>
      </c>
      <c r="EQ218" t="e">
        <f>AND(#REF!,"AAAAAH9275I=")</f>
        <v>#REF!</v>
      </c>
      <c r="ER218" t="e">
        <f>AND(#REF!,"AAAAAH9275M=")</f>
        <v>#REF!</v>
      </c>
      <c r="ES218" t="e">
        <f>AND(#REF!,"AAAAAH9275Q=")</f>
        <v>#REF!</v>
      </c>
      <c r="ET218" t="e">
        <f>AND(#REF!,"AAAAAH9275U=")</f>
        <v>#REF!</v>
      </c>
      <c r="EU218" t="e">
        <f>AND(#REF!,"AAAAAH9275Y=")</f>
        <v>#REF!</v>
      </c>
      <c r="EV218" t="e">
        <f>AND(#REF!,"AAAAAH9275c=")</f>
        <v>#REF!</v>
      </c>
      <c r="EW218" t="e">
        <f>AND(#REF!,"AAAAAH9275g=")</f>
        <v>#REF!</v>
      </c>
      <c r="EX218" t="e">
        <f>AND(#REF!,"AAAAAH9275k=")</f>
        <v>#REF!</v>
      </c>
      <c r="EY218" t="e">
        <f>AND(#REF!,"AAAAAH9275o=")</f>
        <v>#REF!</v>
      </c>
      <c r="EZ218" t="e">
        <f>AND(#REF!,"AAAAAH9275s=")</f>
        <v>#REF!</v>
      </c>
      <c r="FA218" t="e">
        <f>AND(#REF!,"AAAAAH9275w=")</f>
        <v>#REF!</v>
      </c>
      <c r="FB218" t="e">
        <f>AND(#REF!,"AAAAAH92750=")</f>
        <v>#REF!</v>
      </c>
      <c r="FC218" t="e">
        <f>AND(#REF!,"AAAAAH92754=")</f>
        <v>#REF!</v>
      </c>
      <c r="FD218" t="e">
        <f>AND(#REF!,"AAAAAH92758=")</f>
        <v>#REF!</v>
      </c>
      <c r="FE218" t="e">
        <f>AND(#REF!,"AAAAAH9276A=")</f>
        <v>#REF!</v>
      </c>
      <c r="FF218" t="e">
        <f>IF(#REF!,"AAAAAH9276E=",0)</f>
        <v>#REF!</v>
      </c>
      <c r="FG218" t="e">
        <f>AND(#REF!,"AAAAAH9276I=")</f>
        <v>#REF!</v>
      </c>
      <c r="FH218" t="e">
        <f>AND(#REF!,"AAAAAH9276M=")</f>
        <v>#REF!</v>
      </c>
      <c r="FI218" t="e">
        <f>AND(#REF!,"AAAAAH9276Q=")</f>
        <v>#REF!</v>
      </c>
      <c r="FJ218" t="e">
        <f>AND(#REF!,"AAAAAH9276U=")</f>
        <v>#REF!</v>
      </c>
      <c r="FK218" t="e">
        <f>AND(#REF!,"AAAAAH9276Y=")</f>
        <v>#REF!</v>
      </c>
      <c r="FL218" t="e">
        <f>AND(#REF!,"AAAAAH9276c=")</f>
        <v>#REF!</v>
      </c>
      <c r="FM218" t="e">
        <f>AND(#REF!,"AAAAAH9276g=")</f>
        <v>#REF!</v>
      </c>
      <c r="FN218" t="e">
        <f>AND(#REF!,"AAAAAH9276k=")</f>
        <v>#REF!</v>
      </c>
      <c r="FO218" t="e">
        <f>AND(#REF!,"AAAAAH9276o=")</f>
        <v>#REF!</v>
      </c>
      <c r="FP218" t="e">
        <f>AND(#REF!,"AAAAAH9276s=")</f>
        <v>#REF!</v>
      </c>
      <c r="FQ218" t="e">
        <f>AND(#REF!,"AAAAAH9276w=")</f>
        <v>#REF!</v>
      </c>
      <c r="FR218" t="e">
        <f>AND(#REF!,"AAAAAH92760=")</f>
        <v>#REF!</v>
      </c>
      <c r="FS218" t="e">
        <f>AND(#REF!,"AAAAAH92764=")</f>
        <v>#REF!</v>
      </c>
      <c r="FT218" t="e">
        <f>AND(#REF!,"AAAAAH92768=")</f>
        <v>#REF!</v>
      </c>
      <c r="FU218" t="e">
        <f>AND(#REF!,"AAAAAH9277A=")</f>
        <v>#REF!</v>
      </c>
      <c r="FV218" t="e">
        <f>AND(#REF!,"AAAAAH9277E=")</f>
        <v>#REF!</v>
      </c>
      <c r="FW218" t="e">
        <f>AND(#REF!,"AAAAAH9277I=")</f>
        <v>#REF!</v>
      </c>
      <c r="FX218" t="e">
        <f>AND(#REF!,"AAAAAH9277M=")</f>
        <v>#REF!</v>
      </c>
      <c r="FY218" t="e">
        <f>AND(#REF!,"AAAAAH9277Q=")</f>
        <v>#REF!</v>
      </c>
      <c r="FZ218" t="e">
        <f>AND(#REF!,"AAAAAH9277U=")</f>
        <v>#REF!</v>
      </c>
      <c r="GA218" t="e">
        <f>AND(#REF!,"AAAAAH9277Y=")</f>
        <v>#REF!</v>
      </c>
      <c r="GB218" t="e">
        <f>AND(#REF!,"AAAAAH9277c=")</f>
        <v>#REF!</v>
      </c>
      <c r="GC218" t="e">
        <f>AND(#REF!,"AAAAAH9277g=")</f>
        <v>#REF!</v>
      </c>
      <c r="GD218" t="e">
        <f>AND(#REF!,"AAAAAH9277k=")</f>
        <v>#REF!</v>
      </c>
      <c r="GE218" t="e">
        <f>AND(#REF!,"AAAAAH9277o=")</f>
        <v>#REF!</v>
      </c>
      <c r="GF218" t="e">
        <f>AND(#REF!,"AAAAAH9277s=")</f>
        <v>#REF!</v>
      </c>
      <c r="GG218" t="e">
        <f>AND(#REF!,"AAAAAH9277w=")</f>
        <v>#REF!</v>
      </c>
      <c r="GH218" t="e">
        <f>AND(#REF!,"AAAAAH92770=")</f>
        <v>#REF!</v>
      </c>
      <c r="GI218" t="e">
        <f>AND(#REF!,"AAAAAH92774=")</f>
        <v>#REF!</v>
      </c>
      <c r="GJ218" t="e">
        <f>AND(#REF!,"AAAAAH92778=")</f>
        <v>#REF!</v>
      </c>
      <c r="GK218" t="e">
        <f>AND(#REF!,"AAAAAH9278A=")</f>
        <v>#REF!</v>
      </c>
      <c r="GL218" t="e">
        <f>AND(#REF!,"AAAAAH9278E=")</f>
        <v>#REF!</v>
      </c>
      <c r="GM218" t="e">
        <f>AND(#REF!,"AAAAAH9278I=")</f>
        <v>#REF!</v>
      </c>
      <c r="GN218" t="e">
        <f>IF(#REF!,"AAAAAH9278M=",0)</f>
        <v>#REF!</v>
      </c>
      <c r="GO218" t="e">
        <f>AND(#REF!,"AAAAAH9278Q=")</f>
        <v>#REF!</v>
      </c>
      <c r="GP218" t="e">
        <f>AND(#REF!,"AAAAAH9278U=")</f>
        <v>#REF!</v>
      </c>
      <c r="GQ218" t="e">
        <f>AND(#REF!,"AAAAAH9278Y=")</f>
        <v>#REF!</v>
      </c>
      <c r="GR218" t="e">
        <f>AND(#REF!,"AAAAAH9278c=")</f>
        <v>#REF!</v>
      </c>
      <c r="GS218" t="e">
        <f>AND(#REF!,"AAAAAH9278g=")</f>
        <v>#REF!</v>
      </c>
      <c r="GT218" t="e">
        <f>AND(#REF!,"AAAAAH9278k=")</f>
        <v>#REF!</v>
      </c>
      <c r="GU218" t="e">
        <f>AND(#REF!,"AAAAAH9278o=")</f>
        <v>#REF!</v>
      </c>
      <c r="GV218" t="e">
        <f>AND(#REF!,"AAAAAH9278s=")</f>
        <v>#REF!</v>
      </c>
      <c r="GW218" t="e">
        <f>AND(#REF!,"AAAAAH9278w=")</f>
        <v>#REF!</v>
      </c>
      <c r="GX218" t="e">
        <f>AND(#REF!,"AAAAAH92780=")</f>
        <v>#REF!</v>
      </c>
      <c r="GY218" t="e">
        <f>AND(#REF!,"AAAAAH92784=")</f>
        <v>#REF!</v>
      </c>
      <c r="GZ218" t="e">
        <f>AND(#REF!,"AAAAAH92788=")</f>
        <v>#REF!</v>
      </c>
      <c r="HA218" t="e">
        <f>AND(#REF!,"AAAAAH9279A=")</f>
        <v>#REF!</v>
      </c>
      <c r="HB218" t="e">
        <f>AND(#REF!,"AAAAAH9279E=")</f>
        <v>#REF!</v>
      </c>
      <c r="HC218" t="e">
        <f>AND(#REF!,"AAAAAH9279I=")</f>
        <v>#REF!</v>
      </c>
      <c r="HD218" t="e">
        <f>AND(#REF!,"AAAAAH9279M=")</f>
        <v>#REF!</v>
      </c>
      <c r="HE218" t="e">
        <f>AND(#REF!,"AAAAAH9279Q=")</f>
        <v>#REF!</v>
      </c>
      <c r="HF218" t="e">
        <f>AND(#REF!,"AAAAAH9279U=")</f>
        <v>#REF!</v>
      </c>
      <c r="HG218" t="e">
        <f>AND(#REF!,"AAAAAH9279Y=")</f>
        <v>#REF!</v>
      </c>
      <c r="HH218" t="e">
        <f>AND(#REF!,"AAAAAH9279c=")</f>
        <v>#REF!</v>
      </c>
      <c r="HI218" t="e">
        <f>AND(#REF!,"AAAAAH9279g=")</f>
        <v>#REF!</v>
      </c>
      <c r="HJ218" t="e">
        <f>AND(#REF!,"AAAAAH9279k=")</f>
        <v>#REF!</v>
      </c>
      <c r="HK218" t="e">
        <f>AND(#REF!,"AAAAAH9279o=")</f>
        <v>#REF!</v>
      </c>
      <c r="HL218" t="e">
        <f>AND(#REF!,"AAAAAH9279s=")</f>
        <v>#REF!</v>
      </c>
      <c r="HM218" t="e">
        <f>AND(#REF!,"AAAAAH9279w=")</f>
        <v>#REF!</v>
      </c>
      <c r="HN218" t="e">
        <f>AND(#REF!,"AAAAAH92790=")</f>
        <v>#REF!</v>
      </c>
      <c r="HO218" t="e">
        <f>AND(#REF!,"AAAAAH92794=")</f>
        <v>#REF!</v>
      </c>
      <c r="HP218" t="e">
        <f>AND(#REF!,"AAAAAH92798=")</f>
        <v>#REF!</v>
      </c>
      <c r="HQ218" t="e">
        <f>AND(#REF!,"AAAAAH927+A=")</f>
        <v>#REF!</v>
      </c>
      <c r="HR218" t="e">
        <f>AND(#REF!,"AAAAAH927+E=")</f>
        <v>#REF!</v>
      </c>
      <c r="HS218" t="e">
        <f>AND(#REF!,"AAAAAH927+I=")</f>
        <v>#REF!</v>
      </c>
      <c r="HT218" t="e">
        <f>AND(#REF!,"AAAAAH927+M=")</f>
        <v>#REF!</v>
      </c>
      <c r="HU218" t="e">
        <f>AND(#REF!,"AAAAAH927+Q=")</f>
        <v>#REF!</v>
      </c>
      <c r="HV218" t="e">
        <f>IF(#REF!,"AAAAAH927+U=",0)</f>
        <v>#REF!</v>
      </c>
      <c r="HW218" t="e">
        <f>AND(#REF!,"AAAAAH927+Y=")</f>
        <v>#REF!</v>
      </c>
      <c r="HX218" t="e">
        <f>AND(#REF!,"AAAAAH927+c=")</f>
        <v>#REF!</v>
      </c>
      <c r="HY218" t="e">
        <f>AND(#REF!,"AAAAAH927+g=")</f>
        <v>#REF!</v>
      </c>
      <c r="HZ218" t="e">
        <f>AND(#REF!,"AAAAAH927+k=")</f>
        <v>#REF!</v>
      </c>
      <c r="IA218" t="e">
        <f>AND(#REF!,"AAAAAH927+o=")</f>
        <v>#REF!</v>
      </c>
      <c r="IB218" t="e">
        <f>AND(#REF!,"AAAAAH927+s=")</f>
        <v>#REF!</v>
      </c>
      <c r="IC218" t="e">
        <f>AND(#REF!,"AAAAAH927+w=")</f>
        <v>#REF!</v>
      </c>
      <c r="ID218" t="e">
        <f>AND(#REF!,"AAAAAH927+0=")</f>
        <v>#REF!</v>
      </c>
      <c r="IE218" t="e">
        <f>AND(#REF!,"AAAAAH927+4=")</f>
        <v>#REF!</v>
      </c>
      <c r="IF218" t="e">
        <f>AND(#REF!,"AAAAAH927+8=")</f>
        <v>#REF!</v>
      </c>
      <c r="IG218" t="e">
        <f>AND(#REF!,"AAAAAH927/A=")</f>
        <v>#REF!</v>
      </c>
      <c r="IH218" t="e">
        <f>AND(#REF!,"AAAAAH927/E=")</f>
        <v>#REF!</v>
      </c>
      <c r="II218" t="e">
        <f>AND(#REF!,"AAAAAH927/I=")</f>
        <v>#REF!</v>
      </c>
      <c r="IJ218" t="e">
        <f>AND(#REF!,"AAAAAH927/M=")</f>
        <v>#REF!</v>
      </c>
      <c r="IK218" t="e">
        <f>AND(#REF!,"AAAAAH927/Q=")</f>
        <v>#REF!</v>
      </c>
      <c r="IL218" t="e">
        <f>AND(#REF!,"AAAAAH927/U=")</f>
        <v>#REF!</v>
      </c>
      <c r="IM218" t="e">
        <f>AND(#REF!,"AAAAAH927/Y=")</f>
        <v>#REF!</v>
      </c>
      <c r="IN218" t="e">
        <f>AND(#REF!,"AAAAAH927/c=")</f>
        <v>#REF!</v>
      </c>
      <c r="IO218" t="e">
        <f>AND(#REF!,"AAAAAH927/g=")</f>
        <v>#REF!</v>
      </c>
      <c r="IP218" t="e">
        <f>AND(#REF!,"AAAAAH927/k=")</f>
        <v>#REF!</v>
      </c>
      <c r="IQ218" t="e">
        <f>AND(#REF!,"AAAAAH927/o=")</f>
        <v>#REF!</v>
      </c>
      <c r="IR218" t="e">
        <f>AND(#REF!,"AAAAAH927/s=")</f>
        <v>#REF!</v>
      </c>
      <c r="IS218" t="e">
        <f>AND(#REF!,"AAAAAH927/w=")</f>
        <v>#REF!</v>
      </c>
      <c r="IT218" t="e">
        <f>AND(#REF!,"AAAAAH927/0=")</f>
        <v>#REF!</v>
      </c>
      <c r="IU218" t="e">
        <f>AND(#REF!,"AAAAAH927/4=")</f>
        <v>#REF!</v>
      </c>
      <c r="IV218" t="e">
        <f>AND(#REF!,"AAAAAH927/8=")</f>
        <v>#REF!</v>
      </c>
    </row>
    <row r="219" spans="1:256" x14ac:dyDescent="0.2">
      <c r="A219" t="e">
        <f>AND(#REF!,"AAAAAG+3PwA=")</f>
        <v>#REF!</v>
      </c>
      <c r="B219" t="e">
        <f>AND(#REF!,"AAAAAG+3PwE=")</f>
        <v>#REF!</v>
      </c>
      <c r="C219" t="e">
        <f>AND(#REF!,"AAAAAG+3PwI=")</f>
        <v>#REF!</v>
      </c>
      <c r="D219" t="e">
        <f>AND(#REF!,"AAAAAG+3PwM=")</f>
        <v>#REF!</v>
      </c>
      <c r="E219" t="e">
        <f>AND(#REF!,"AAAAAG+3PwQ=")</f>
        <v>#REF!</v>
      </c>
      <c r="F219" t="e">
        <f>AND(#REF!,"AAAAAG+3PwU=")</f>
        <v>#REF!</v>
      </c>
      <c r="G219" t="e">
        <f>AND(#REF!,"AAAAAG+3PwY=")</f>
        <v>#REF!</v>
      </c>
      <c r="H219" t="e">
        <f>IF(#REF!,"AAAAAG+3Pwc=",0)</f>
        <v>#REF!</v>
      </c>
      <c r="I219" t="e">
        <f>AND(#REF!,"AAAAAG+3Pwg=")</f>
        <v>#REF!</v>
      </c>
      <c r="J219" t="e">
        <f>AND(#REF!,"AAAAAG+3Pwk=")</f>
        <v>#REF!</v>
      </c>
      <c r="K219" t="e">
        <f>AND(#REF!,"AAAAAG+3Pwo=")</f>
        <v>#REF!</v>
      </c>
      <c r="L219" t="e">
        <f>AND(#REF!,"AAAAAG+3Pws=")</f>
        <v>#REF!</v>
      </c>
      <c r="M219" t="e">
        <f>AND(#REF!,"AAAAAG+3Pww=")</f>
        <v>#REF!</v>
      </c>
      <c r="N219" t="e">
        <f>AND(#REF!,"AAAAAG+3Pw0=")</f>
        <v>#REF!</v>
      </c>
      <c r="O219" t="e">
        <f>AND(#REF!,"AAAAAG+3Pw4=")</f>
        <v>#REF!</v>
      </c>
      <c r="P219" t="e">
        <f>AND(#REF!,"AAAAAG+3Pw8=")</f>
        <v>#REF!</v>
      </c>
      <c r="Q219" t="e">
        <f>AND(#REF!,"AAAAAG+3PxA=")</f>
        <v>#REF!</v>
      </c>
      <c r="R219" t="e">
        <f>AND(#REF!,"AAAAAG+3PxE=")</f>
        <v>#REF!</v>
      </c>
      <c r="S219" t="e">
        <f>AND(#REF!,"AAAAAG+3PxI=")</f>
        <v>#REF!</v>
      </c>
      <c r="T219" t="e">
        <f>AND(#REF!,"AAAAAG+3PxM=")</f>
        <v>#REF!</v>
      </c>
      <c r="U219" t="e">
        <f>AND(#REF!,"AAAAAG+3PxQ=")</f>
        <v>#REF!</v>
      </c>
      <c r="V219" t="e">
        <f>AND(#REF!,"AAAAAG+3PxU=")</f>
        <v>#REF!</v>
      </c>
      <c r="W219" t="e">
        <f>AND(#REF!,"AAAAAG+3PxY=")</f>
        <v>#REF!</v>
      </c>
      <c r="X219" t="e">
        <f>AND(#REF!,"AAAAAG+3Pxc=")</f>
        <v>#REF!</v>
      </c>
      <c r="Y219" t="e">
        <f>AND(#REF!,"AAAAAG+3Pxg=")</f>
        <v>#REF!</v>
      </c>
      <c r="Z219" t="e">
        <f>AND(#REF!,"AAAAAG+3Pxk=")</f>
        <v>#REF!</v>
      </c>
      <c r="AA219" t="e">
        <f>AND(#REF!,"AAAAAG+3Pxo=")</f>
        <v>#REF!</v>
      </c>
      <c r="AB219" t="e">
        <f>AND(#REF!,"AAAAAG+3Pxs=")</f>
        <v>#REF!</v>
      </c>
      <c r="AC219" t="e">
        <f>AND(#REF!,"AAAAAG+3Pxw=")</f>
        <v>#REF!</v>
      </c>
      <c r="AD219" t="e">
        <f>AND(#REF!,"AAAAAG+3Px0=")</f>
        <v>#REF!</v>
      </c>
      <c r="AE219" t="e">
        <f>AND(#REF!,"AAAAAG+3Px4=")</f>
        <v>#REF!</v>
      </c>
      <c r="AF219" t="e">
        <f>AND(#REF!,"AAAAAG+3Px8=")</f>
        <v>#REF!</v>
      </c>
      <c r="AG219" t="e">
        <f>AND(#REF!,"AAAAAG+3PyA=")</f>
        <v>#REF!</v>
      </c>
      <c r="AH219" t="e">
        <f>AND(#REF!,"AAAAAG+3PyE=")</f>
        <v>#REF!</v>
      </c>
      <c r="AI219" t="e">
        <f>AND(#REF!,"AAAAAG+3PyI=")</f>
        <v>#REF!</v>
      </c>
      <c r="AJ219" t="e">
        <f>AND(#REF!,"AAAAAG+3PyM=")</f>
        <v>#REF!</v>
      </c>
      <c r="AK219" t="e">
        <f>AND(#REF!,"AAAAAG+3PyQ=")</f>
        <v>#REF!</v>
      </c>
      <c r="AL219" t="e">
        <f>AND(#REF!,"AAAAAG+3PyU=")</f>
        <v>#REF!</v>
      </c>
      <c r="AM219" t="e">
        <f>AND(#REF!,"AAAAAG+3PyY=")</f>
        <v>#REF!</v>
      </c>
      <c r="AN219" t="e">
        <f>AND(#REF!,"AAAAAG+3Pyc=")</f>
        <v>#REF!</v>
      </c>
      <c r="AO219" t="e">
        <f>AND(#REF!,"AAAAAG+3Pyg=")</f>
        <v>#REF!</v>
      </c>
      <c r="AP219" t="e">
        <f>IF(#REF!,"AAAAAG+3Pyk=",0)</f>
        <v>#REF!</v>
      </c>
      <c r="AQ219" t="e">
        <f>AND(#REF!,"AAAAAG+3Pyo=")</f>
        <v>#REF!</v>
      </c>
      <c r="AR219" t="e">
        <f>AND(#REF!,"AAAAAG+3Pys=")</f>
        <v>#REF!</v>
      </c>
      <c r="AS219" t="e">
        <f>AND(#REF!,"AAAAAG+3Pyw=")</f>
        <v>#REF!</v>
      </c>
      <c r="AT219" t="e">
        <f>AND(#REF!,"AAAAAG+3Py0=")</f>
        <v>#REF!</v>
      </c>
      <c r="AU219" t="e">
        <f>AND(#REF!,"AAAAAG+3Py4=")</f>
        <v>#REF!</v>
      </c>
      <c r="AV219" t="e">
        <f>AND(#REF!,"AAAAAG+3Py8=")</f>
        <v>#REF!</v>
      </c>
      <c r="AW219" t="e">
        <f>AND(#REF!,"AAAAAG+3PzA=")</f>
        <v>#REF!</v>
      </c>
      <c r="AX219" t="e">
        <f>AND(#REF!,"AAAAAG+3PzE=")</f>
        <v>#REF!</v>
      </c>
      <c r="AY219" t="e">
        <f>AND(#REF!,"AAAAAG+3PzI=")</f>
        <v>#REF!</v>
      </c>
      <c r="AZ219" t="e">
        <f>AND(#REF!,"AAAAAG+3PzM=")</f>
        <v>#REF!</v>
      </c>
      <c r="BA219" t="e">
        <f>AND(#REF!,"AAAAAG+3PzQ=")</f>
        <v>#REF!</v>
      </c>
      <c r="BB219" t="e">
        <f>AND(#REF!,"AAAAAG+3PzU=")</f>
        <v>#REF!</v>
      </c>
      <c r="BC219" t="e">
        <f>AND(#REF!,"AAAAAG+3PzY=")</f>
        <v>#REF!</v>
      </c>
      <c r="BD219" t="e">
        <f>AND(#REF!,"AAAAAG+3Pzc=")</f>
        <v>#REF!</v>
      </c>
      <c r="BE219" t="e">
        <f>AND(#REF!,"AAAAAG+3Pzg=")</f>
        <v>#REF!</v>
      </c>
      <c r="BF219" t="e">
        <f>AND(#REF!,"AAAAAG+3Pzk=")</f>
        <v>#REF!</v>
      </c>
      <c r="BG219" t="e">
        <f>AND(#REF!,"AAAAAG+3Pzo=")</f>
        <v>#REF!</v>
      </c>
      <c r="BH219" t="e">
        <f>AND(#REF!,"AAAAAG+3Pzs=")</f>
        <v>#REF!</v>
      </c>
      <c r="BI219" t="e">
        <f>AND(#REF!,"AAAAAG+3Pzw=")</f>
        <v>#REF!</v>
      </c>
      <c r="BJ219" t="e">
        <f>AND(#REF!,"AAAAAG+3Pz0=")</f>
        <v>#REF!</v>
      </c>
      <c r="BK219" t="e">
        <f>AND(#REF!,"AAAAAG+3Pz4=")</f>
        <v>#REF!</v>
      </c>
      <c r="BL219" t="e">
        <f>AND(#REF!,"AAAAAG+3Pz8=")</f>
        <v>#REF!</v>
      </c>
      <c r="BM219" t="e">
        <f>AND(#REF!,"AAAAAG+3P0A=")</f>
        <v>#REF!</v>
      </c>
      <c r="BN219" t="e">
        <f>AND(#REF!,"AAAAAG+3P0E=")</f>
        <v>#REF!</v>
      </c>
      <c r="BO219" t="e">
        <f>AND(#REF!,"AAAAAG+3P0I=")</f>
        <v>#REF!</v>
      </c>
      <c r="BP219" t="e">
        <f>AND(#REF!,"AAAAAG+3P0M=")</f>
        <v>#REF!</v>
      </c>
      <c r="BQ219" t="e">
        <f>AND(#REF!,"AAAAAG+3P0Q=")</f>
        <v>#REF!</v>
      </c>
      <c r="BR219" t="e">
        <f>AND(#REF!,"AAAAAG+3P0U=")</f>
        <v>#REF!</v>
      </c>
      <c r="BS219" t="e">
        <f>AND(#REF!,"AAAAAG+3P0Y=")</f>
        <v>#REF!</v>
      </c>
      <c r="BT219" t="e">
        <f>AND(#REF!,"AAAAAG+3P0c=")</f>
        <v>#REF!</v>
      </c>
      <c r="BU219" t="e">
        <f>AND(#REF!,"AAAAAG+3P0g=")</f>
        <v>#REF!</v>
      </c>
      <c r="BV219" t="e">
        <f>AND(#REF!,"AAAAAG+3P0k=")</f>
        <v>#REF!</v>
      </c>
      <c r="BW219" t="e">
        <f>AND(#REF!,"AAAAAG+3P0o=")</f>
        <v>#REF!</v>
      </c>
      <c r="BX219" t="e">
        <f>IF(#REF!,"AAAAAG+3P0s=",0)</f>
        <v>#REF!</v>
      </c>
      <c r="BY219" t="e">
        <f>AND(#REF!,"AAAAAG+3P0w=")</f>
        <v>#REF!</v>
      </c>
      <c r="BZ219" t="e">
        <f>AND(#REF!,"AAAAAG+3P00=")</f>
        <v>#REF!</v>
      </c>
      <c r="CA219" t="e">
        <f>AND(#REF!,"AAAAAG+3P04=")</f>
        <v>#REF!</v>
      </c>
      <c r="CB219" t="e">
        <f>AND(#REF!,"AAAAAG+3P08=")</f>
        <v>#REF!</v>
      </c>
      <c r="CC219" t="e">
        <f>AND(#REF!,"AAAAAG+3P1A=")</f>
        <v>#REF!</v>
      </c>
      <c r="CD219" t="e">
        <f>AND(#REF!,"AAAAAG+3P1E=")</f>
        <v>#REF!</v>
      </c>
      <c r="CE219" t="e">
        <f>AND(#REF!,"AAAAAG+3P1I=")</f>
        <v>#REF!</v>
      </c>
      <c r="CF219" t="e">
        <f>AND(#REF!,"AAAAAG+3P1M=")</f>
        <v>#REF!</v>
      </c>
      <c r="CG219" t="e">
        <f>AND(#REF!,"AAAAAG+3P1Q=")</f>
        <v>#REF!</v>
      </c>
      <c r="CH219" t="e">
        <f>AND(#REF!,"AAAAAG+3P1U=")</f>
        <v>#REF!</v>
      </c>
      <c r="CI219" t="e">
        <f>AND(#REF!,"AAAAAG+3P1Y=")</f>
        <v>#REF!</v>
      </c>
      <c r="CJ219" t="e">
        <f>AND(#REF!,"AAAAAG+3P1c=")</f>
        <v>#REF!</v>
      </c>
      <c r="CK219" t="e">
        <f>AND(#REF!,"AAAAAG+3P1g=")</f>
        <v>#REF!</v>
      </c>
      <c r="CL219" t="e">
        <f>AND(#REF!,"AAAAAG+3P1k=")</f>
        <v>#REF!</v>
      </c>
      <c r="CM219" t="e">
        <f>AND(#REF!,"AAAAAG+3P1o=")</f>
        <v>#REF!</v>
      </c>
      <c r="CN219" t="e">
        <f>AND(#REF!,"AAAAAG+3P1s=")</f>
        <v>#REF!</v>
      </c>
      <c r="CO219" t="e">
        <f>AND(#REF!,"AAAAAG+3P1w=")</f>
        <v>#REF!</v>
      </c>
      <c r="CP219" t="e">
        <f>AND(#REF!,"AAAAAG+3P10=")</f>
        <v>#REF!</v>
      </c>
      <c r="CQ219" t="e">
        <f>AND(#REF!,"AAAAAG+3P14=")</f>
        <v>#REF!</v>
      </c>
      <c r="CR219" t="e">
        <f>AND(#REF!,"AAAAAG+3P18=")</f>
        <v>#REF!</v>
      </c>
      <c r="CS219" t="e">
        <f>AND(#REF!,"AAAAAG+3P2A=")</f>
        <v>#REF!</v>
      </c>
      <c r="CT219" t="e">
        <f>AND(#REF!,"AAAAAG+3P2E=")</f>
        <v>#REF!</v>
      </c>
      <c r="CU219" t="e">
        <f>AND(#REF!,"AAAAAG+3P2I=")</f>
        <v>#REF!</v>
      </c>
      <c r="CV219" t="e">
        <f>AND(#REF!,"AAAAAG+3P2M=")</f>
        <v>#REF!</v>
      </c>
      <c r="CW219" t="e">
        <f>AND(#REF!,"AAAAAG+3P2Q=")</f>
        <v>#REF!</v>
      </c>
      <c r="CX219" t="e">
        <f>AND(#REF!,"AAAAAG+3P2U=")</f>
        <v>#REF!</v>
      </c>
      <c r="CY219" t="e">
        <f>AND(#REF!,"AAAAAG+3P2Y=")</f>
        <v>#REF!</v>
      </c>
      <c r="CZ219" t="e">
        <f>AND(#REF!,"AAAAAG+3P2c=")</f>
        <v>#REF!</v>
      </c>
      <c r="DA219" t="e">
        <f>AND(#REF!,"AAAAAG+3P2g=")</f>
        <v>#REF!</v>
      </c>
      <c r="DB219" t="e">
        <f>AND(#REF!,"AAAAAG+3P2k=")</f>
        <v>#REF!</v>
      </c>
      <c r="DC219" t="e">
        <f>AND(#REF!,"AAAAAG+3P2o=")</f>
        <v>#REF!</v>
      </c>
      <c r="DD219" t="e">
        <f>AND(#REF!,"AAAAAG+3P2s=")</f>
        <v>#REF!</v>
      </c>
      <c r="DE219" t="e">
        <f>AND(#REF!,"AAAAAG+3P2w=")</f>
        <v>#REF!</v>
      </c>
      <c r="DF219" t="e">
        <f>IF(#REF!,"AAAAAG+3P20=",0)</f>
        <v>#REF!</v>
      </c>
      <c r="DG219" t="e">
        <f>AND(#REF!,"AAAAAG+3P24=")</f>
        <v>#REF!</v>
      </c>
      <c r="DH219" t="e">
        <f>AND(#REF!,"AAAAAG+3P28=")</f>
        <v>#REF!</v>
      </c>
      <c r="DI219" t="e">
        <f>AND(#REF!,"AAAAAG+3P3A=")</f>
        <v>#REF!</v>
      </c>
      <c r="DJ219" t="e">
        <f>AND(#REF!,"AAAAAG+3P3E=")</f>
        <v>#REF!</v>
      </c>
      <c r="DK219" t="e">
        <f>AND(#REF!,"AAAAAG+3P3I=")</f>
        <v>#REF!</v>
      </c>
      <c r="DL219" t="e">
        <f>AND(#REF!,"AAAAAG+3P3M=")</f>
        <v>#REF!</v>
      </c>
      <c r="DM219" t="e">
        <f>AND(#REF!,"AAAAAG+3P3Q=")</f>
        <v>#REF!</v>
      </c>
      <c r="DN219" t="e">
        <f>AND(#REF!,"AAAAAG+3P3U=")</f>
        <v>#REF!</v>
      </c>
      <c r="DO219" t="e">
        <f>AND(#REF!,"AAAAAG+3P3Y=")</f>
        <v>#REF!</v>
      </c>
      <c r="DP219" t="e">
        <f>AND(#REF!,"AAAAAG+3P3c=")</f>
        <v>#REF!</v>
      </c>
      <c r="DQ219" t="e">
        <f>AND(#REF!,"AAAAAG+3P3g=")</f>
        <v>#REF!</v>
      </c>
      <c r="DR219" t="e">
        <f>AND(#REF!,"AAAAAG+3P3k=")</f>
        <v>#REF!</v>
      </c>
      <c r="DS219" t="e">
        <f>AND(#REF!,"AAAAAG+3P3o=")</f>
        <v>#REF!</v>
      </c>
      <c r="DT219" t="e">
        <f>AND(#REF!,"AAAAAG+3P3s=")</f>
        <v>#REF!</v>
      </c>
      <c r="DU219" t="e">
        <f>AND(#REF!,"AAAAAG+3P3w=")</f>
        <v>#REF!</v>
      </c>
      <c r="DV219" t="e">
        <f>AND(#REF!,"AAAAAG+3P30=")</f>
        <v>#REF!</v>
      </c>
      <c r="DW219" t="e">
        <f>AND(#REF!,"AAAAAG+3P34=")</f>
        <v>#REF!</v>
      </c>
      <c r="DX219" t="e">
        <f>AND(#REF!,"AAAAAG+3P38=")</f>
        <v>#REF!</v>
      </c>
      <c r="DY219" t="e">
        <f>AND(#REF!,"AAAAAG+3P4A=")</f>
        <v>#REF!</v>
      </c>
      <c r="DZ219" t="e">
        <f>AND(#REF!,"AAAAAG+3P4E=")</f>
        <v>#REF!</v>
      </c>
      <c r="EA219" t="e">
        <f>AND(#REF!,"AAAAAG+3P4I=")</f>
        <v>#REF!</v>
      </c>
      <c r="EB219" t="e">
        <f>AND(#REF!,"AAAAAG+3P4M=")</f>
        <v>#REF!</v>
      </c>
      <c r="EC219" t="e">
        <f>AND(#REF!,"AAAAAG+3P4Q=")</f>
        <v>#REF!</v>
      </c>
      <c r="ED219" t="e">
        <f>AND(#REF!,"AAAAAG+3P4U=")</f>
        <v>#REF!</v>
      </c>
      <c r="EE219" t="e">
        <f>AND(#REF!,"AAAAAG+3P4Y=")</f>
        <v>#REF!</v>
      </c>
      <c r="EF219" t="e">
        <f>AND(#REF!,"AAAAAG+3P4c=")</f>
        <v>#REF!</v>
      </c>
      <c r="EG219" t="e">
        <f>AND(#REF!,"AAAAAG+3P4g=")</f>
        <v>#REF!</v>
      </c>
      <c r="EH219" t="e">
        <f>AND(#REF!,"AAAAAG+3P4k=")</f>
        <v>#REF!</v>
      </c>
      <c r="EI219" t="e">
        <f>AND(#REF!,"AAAAAG+3P4o=")</f>
        <v>#REF!</v>
      </c>
      <c r="EJ219" t="e">
        <f>AND(#REF!,"AAAAAG+3P4s=")</f>
        <v>#REF!</v>
      </c>
      <c r="EK219" t="e">
        <f>AND(#REF!,"AAAAAG+3P4w=")</f>
        <v>#REF!</v>
      </c>
      <c r="EL219" t="e">
        <f>AND(#REF!,"AAAAAG+3P40=")</f>
        <v>#REF!</v>
      </c>
      <c r="EM219" t="e">
        <f>AND(#REF!,"AAAAAG+3P44=")</f>
        <v>#REF!</v>
      </c>
      <c r="EN219" t="e">
        <f>IF(#REF!,"AAAAAG+3P48=",0)</f>
        <v>#REF!</v>
      </c>
      <c r="EO219" t="e">
        <f>AND(#REF!,"AAAAAG+3P5A=")</f>
        <v>#REF!</v>
      </c>
      <c r="EP219" t="e">
        <f>AND(#REF!,"AAAAAG+3P5E=")</f>
        <v>#REF!</v>
      </c>
      <c r="EQ219" t="e">
        <f>AND(#REF!,"AAAAAG+3P5I=")</f>
        <v>#REF!</v>
      </c>
      <c r="ER219" t="e">
        <f>AND(#REF!,"AAAAAG+3P5M=")</f>
        <v>#REF!</v>
      </c>
      <c r="ES219" t="e">
        <f>AND(#REF!,"AAAAAG+3P5Q=")</f>
        <v>#REF!</v>
      </c>
      <c r="ET219" t="e">
        <f>AND(#REF!,"AAAAAG+3P5U=")</f>
        <v>#REF!</v>
      </c>
      <c r="EU219" t="e">
        <f>AND(#REF!,"AAAAAG+3P5Y=")</f>
        <v>#REF!</v>
      </c>
      <c r="EV219" t="e">
        <f>AND(#REF!,"AAAAAG+3P5c=")</f>
        <v>#REF!</v>
      </c>
      <c r="EW219" t="e">
        <f>AND(#REF!,"AAAAAG+3P5g=")</f>
        <v>#REF!</v>
      </c>
      <c r="EX219" t="e">
        <f>AND(#REF!,"AAAAAG+3P5k=")</f>
        <v>#REF!</v>
      </c>
      <c r="EY219" t="e">
        <f>AND(#REF!,"AAAAAG+3P5o=")</f>
        <v>#REF!</v>
      </c>
      <c r="EZ219" t="e">
        <f>AND(#REF!,"AAAAAG+3P5s=")</f>
        <v>#REF!</v>
      </c>
      <c r="FA219" t="e">
        <f>AND(#REF!,"AAAAAG+3P5w=")</f>
        <v>#REF!</v>
      </c>
      <c r="FB219" t="e">
        <f>AND(#REF!,"AAAAAG+3P50=")</f>
        <v>#REF!</v>
      </c>
      <c r="FC219" t="e">
        <f>AND(#REF!,"AAAAAG+3P54=")</f>
        <v>#REF!</v>
      </c>
      <c r="FD219" t="e">
        <f>AND(#REF!,"AAAAAG+3P58=")</f>
        <v>#REF!</v>
      </c>
      <c r="FE219" t="e">
        <f>AND(#REF!,"AAAAAG+3P6A=")</f>
        <v>#REF!</v>
      </c>
      <c r="FF219" t="e">
        <f>AND(#REF!,"AAAAAG+3P6E=")</f>
        <v>#REF!</v>
      </c>
      <c r="FG219" t="e">
        <f>AND(#REF!,"AAAAAG+3P6I=")</f>
        <v>#REF!</v>
      </c>
      <c r="FH219" t="e">
        <f>AND(#REF!,"AAAAAG+3P6M=")</f>
        <v>#REF!</v>
      </c>
      <c r="FI219" t="e">
        <f>AND(#REF!,"AAAAAG+3P6Q=")</f>
        <v>#REF!</v>
      </c>
      <c r="FJ219" t="e">
        <f>AND(#REF!,"AAAAAG+3P6U=")</f>
        <v>#REF!</v>
      </c>
      <c r="FK219" t="e">
        <f>AND(#REF!,"AAAAAG+3P6Y=")</f>
        <v>#REF!</v>
      </c>
      <c r="FL219" t="e">
        <f>AND(#REF!,"AAAAAG+3P6c=")</f>
        <v>#REF!</v>
      </c>
      <c r="FM219" t="e">
        <f>AND(#REF!,"AAAAAG+3P6g=")</f>
        <v>#REF!</v>
      </c>
      <c r="FN219" t="e">
        <f>AND(#REF!,"AAAAAG+3P6k=")</f>
        <v>#REF!</v>
      </c>
      <c r="FO219" t="e">
        <f>AND(#REF!,"AAAAAG+3P6o=")</f>
        <v>#REF!</v>
      </c>
      <c r="FP219" t="e">
        <f>AND(#REF!,"AAAAAG+3P6s=")</f>
        <v>#REF!</v>
      </c>
      <c r="FQ219" t="e">
        <f>AND(#REF!,"AAAAAG+3P6w=")</f>
        <v>#REF!</v>
      </c>
      <c r="FR219" t="e">
        <f>AND(#REF!,"AAAAAG+3P60=")</f>
        <v>#REF!</v>
      </c>
      <c r="FS219" t="e">
        <f>AND(#REF!,"AAAAAG+3P64=")</f>
        <v>#REF!</v>
      </c>
      <c r="FT219" t="e">
        <f>AND(#REF!,"AAAAAG+3P68=")</f>
        <v>#REF!</v>
      </c>
      <c r="FU219" t="e">
        <f>AND(#REF!,"AAAAAG+3P7A=")</f>
        <v>#REF!</v>
      </c>
      <c r="FV219" t="e">
        <f>IF(#REF!,"AAAAAG+3P7E=",0)</f>
        <v>#REF!</v>
      </c>
      <c r="FW219" t="e">
        <f>AND(#REF!,"AAAAAG+3P7I=")</f>
        <v>#REF!</v>
      </c>
      <c r="FX219" t="e">
        <f>AND(#REF!,"AAAAAG+3P7M=")</f>
        <v>#REF!</v>
      </c>
      <c r="FY219" t="e">
        <f>AND(#REF!,"AAAAAG+3P7Q=")</f>
        <v>#REF!</v>
      </c>
      <c r="FZ219" t="e">
        <f>AND(#REF!,"AAAAAG+3P7U=")</f>
        <v>#REF!</v>
      </c>
      <c r="GA219" t="e">
        <f>AND(#REF!,"AAAAAG+3P7Y=")</f>
        <v>#REF!</v>
      </c>
      <c r="GB219" t="e">
        <f>AND(#REF!,"AAAAAG+3P7c=")</f>
        <v>#REF!</v>
      </c>
      <c r="GC219" t="e">
        <f>AND(#REF!,"AAAAAG+3P7g=")</f>
        <v>#REF!</v>
      </c>
      <c r="GD219" t="e">
        <f>AND(#REF!,"AAAAAG+3P7k=")</f>
        <v>#REF!</v>
      </c>
      <c r="GE219" t="e">
        <f>AND(#REF!,"AAAAAG+3P7o=")</f>
        <v>#REF!</v>
      </c>
      <c r="GF219" t="e">
        <f>AND(#REF!,"AAAAAG+3P7s=")</f>
        <v>#REF!</v>
      </c>
      <c r="GG219" t="e">
        <f>AND(#REF!,"AAAAAG+3P7w=")</f>
        <v>#REF!</v>
      </c>
      <c r="GH219" t="e">
        <f>AND(#REF!,"AAAAAG+3P70=")</f>
        <v>#REF!</v>
      </c>
      <c r="GI219" t="e">
        <f>AND(#REF!,"AAAAAG+3P74=")</f>
        <v>#REF!</v>
      </c>
      <c r="GJ219" t="e">
        <f>AND(#REF!,"AAAAAG+3P78=")</f>
        <v>#REF!</v>
      </c>
      <c r="GK219" t="e">
        <f>AND(#REF!,"AAAAAG+3P8A=")</f>
        <v>#REF!</v>
      </c>
      <c r="GL219" t="e">
        <f>AND(#REF!,"AAAAAG+3P8E=")</f>
        <v>#REF!</v>
      </c>
      <c r="GM219" t="e">
        <f>AND(#REF!,"AAAAAG+3P8I=")</f>
        <v>#REF!</v>
      </c>
      <c r="GN219" t="e">
        <f>AND(#REF!,"AAAAAG+3P8M=")</f>
        <v>#REF!</v>
      </c>
      <c r="GO219" t="e">
        <f>AND(#REF!,"AAAAAG+3P8Q=")</f>
        <v>#REF!</v>
      </c>
      <c r="GP219" t="e">
        <f>AND(#REF!,"AAAAAG+3P8U=")</f>
        <v>#REF!</v>
      </c>
      <c r="GQ219" t="e">
        <f>AND(#REF!,"AAAAAG+3P8Y=")</f>
        <v>#REF!</v>
      </c>
      <c r="GR219" t="e">
        <f>AND(#REF!,"AAAAAG+3P8c=")</f>
        <v>#REF!</v>
      </c>
      <c r="GS219" t="e">
        <f>AND(#REF!,"AAAAAG+3P8g=")</f>
        <v>#REF!</v>
      </c>
      <c r="GT219" t="e">
        <f>AND(#REF!,"AAAAAG+3P8k=")</f>
        <v>#REF!</v>
      </c>
      <c r="GU219" t="e">
        <f>AND(#REF!,"AAAAAG+3P8o=")</f>
        <v>#REF!</v>
      </c>
      <c r="GV219" t="e">
        <f>AND(#REF!,"AAAAAG+3P8s=")</f>
        <v>#REF!</v>
      </c>
      <c r="GW219" t="e">
        <f>AND(#REF!,"AAAAAG+3P8w=")</f>
        <v>#REF!</v>
      </c>
      <c r="GX219" t="e">
        <f>AND(#REF!,"AAAAAG+3P80=")</f>
        <v>#REF!</v>
      </c>
      <c r="GY219" t="e">
        <f>AND(#REF!,"AAAAAG+3P84=")</f>
        <v>#REF!</v>
      </c>
      <c r="GZ219" t="e">
        <f>AND(#REF!,"AAAAAG+3P88=")</f>
        <v>#REF!</v>
      </c>
      <c r="HA219" t="e">
        <f>AND(#REF!,"AAAAAG+3P9A=")</f>
        <v>#REF!</v>
      </c>
      <c r="HB219" t="e">
        <f>AND(#REF!,"AAAAAG+3P9E=")</f>
        <v>#REF!</v>
      </c>
      <c r="HC219" t="e">
        <f>AND(#REF!,"AAAAAG+3P9I=")</f>
        <v>#REF!</v>
      </c>
      <c r="HD219" t="e">
        <f>IF(#REF!,"AAAAAG+3P9M=",0)</f>
        <v>#REF!</v>
      </c>
      <c r="HE219" t="e">
        <f>AND(#REF!,"AAAAAG+3P9Q=")</f>
        <v>#REF!</v>
      </c>
      <c r="HF219" t="e">
        <f>AND(#REF!,"AAAAAG+3P9U=")</f>
        <v>#REF!</v>
      </c>
      <c r="HG219" t="e">
        <f>AND(#REF!,"AAAAAG+3P9Y=")</f>
        <v>#REF!</v>
      </c>
      <c r="HH219" t="e">
        <f>AND(#REF!,"AAAAAG+3P9c=")</f>
        <v>#REF!</v>
      </c>
      <c r="HI219" t="e">
        <f>AND(#REF!,"AAAAAG+3P9g=")</f>
        <v>#REF!</v>
      </c>
      <c r="HJ219" t="e">
        <f>AND(#REF!,"AAAAAG+3P9k=")</f>
        <v>#REF!</v>
      </c>
      <c r="HK219" t="e">
        <f>AND(#REF!,"AAAAAG+3P9o=")</f>
        <v>#REF!</v>
      </c>
      <c r="HL219" t="e">
        <f>AND(#REF!,"AAAAAG+3P9s=")</f>
        <v>#REF!</v>
      </c>
      <c r="HM219" t="e">
        <f>AND(#REF!,"AAAAAG+3P9w=")</f>
        <v>#REF!</v>
      </c>
      <c r="HN219" t="e">
        <f>AND(#REF!,"AAAAAG+3P90=")</f>
        <v>#REF!</v>
      </c>
      <c r="HO219" t="e">
        <f>AND(#REF!,"AAAAAG+3P94=")</f>
        <v>#REF!</v>
      </c>
      <c r="HP219" t="e">
        <f>AND(#REF!,"AAAAAG+3P98=")</f>
        <v>#REF!</v>
      </c>
      <c r="HQ219" t="e">
        <f>AND(#REF!,"AAAAAG+3P+A=")</f>
        <v>#REF!</v>
      </c>
      <c r="HR219" t="e">
        <f>AND(#REF!,"AAAAAG+3P+E=")</f>
        <v>#REF!</v>
      </c>
      <c r="HS219" t="e">
        <f>AND(#REF!,"AAAAAG+3P+I=")</f>
        <v>#REF!</v>
      </c>
      <c r="HT219" t="e">
        <f>AND(#REF!,"AAAAAG+3P+M=")</f>
        <v>#REF!</v>
      </c>
      <c r="HU219" t="e">
        <f>AND(#REF!,"AAAAAG+3P+Q=")</f>
        <v>#REF!</v>
      </c>
      <c r="HV219" t="e">
        <f>AND(#REF!,"AAAAAG+3P+U=")</f>
        <v>#REF!</v>
      </c>
      <c r="HW219" t="e">
        <f>AND(#REF!,"AAAAAG+3P+Y=")</f>
        <v>#REF!</v>
      </c>
      <c r="HX219" t="e">
        <f>AND(#REF!,"AAAAAG+3P+c=")</f>
        <v>#REF!</v>
      </c>
      <c r="HY219" t="e">
        <f>AND(#REF!,"AAAAAG+3P+g=")</f>
        <v>#REF!</v>
      </c>
      <c r="HZ219" t="e">
        <f>AND(#REF!,"AAAAAG+3P+k=")</f>
        <v>#REF!</v>
      </c>
      <c r="IA219" t="e">
        <f>AND(#REF!,"AAAAAG+3P+o=")</f>
        <v>#REF!</v>
      </c>
      <c r="IB219" t="e">
        <f>AND(#REF!,"AAAAAG+3P+s=")</f>
        <v>#REF!</v>
      </c>
      <c r="IC219" t="e">
        <f>AND(#REF!,"AAAAAG+3P+w=")</f>
        <v>#REF!</v>
      </c>
      <c r="ID219" t="e">
        <f>AND(#REF!,"AAAAAG+3P+0=")</f>
        <v>#REF!</v>
      </c>
      <c r="IE219" t="e">
        <f>AND(#REF!,"AAAAAG+3P+4=")</f>
        <v>#REF!</v>
      </c>
      <c r="IF219" t="e">
        <f>AND(#REF!,"AAAAAG+3P+8=")</f>
        <v>#REF!</v>
      </c>
      <c r="IG219" t="e">
        <f>AND(#REF!,"AAAAAG+3P/A=")</f>
        <v>#REF!</v>
      </c>
      <c r="IH219" t="e">
        <f>AND(#REF!,"AAAAAG+3P/E=")</f>
        <v>#REF!</v>
      </c>
      <c r="II219" t="e">
        <f>AND(#REF!,"AAAAAG+3P/I=")</f>
        <v>#REF!</v>
      </c>
      <c r="IJ219" t="e">
        <f>AND(#REF!,"AAAAAG+3P/M=")</f>
        <v>#REF!</v>
      </c>
      <c r="IK219" t="e">
        <f>AND(#REF!,"AAAAAG+3P/Q=")</f>
        <v>#REF!</v>
      </c>
      <c r="IL219" t="e">
        <f>IF(#REF!,"AAAAAG+3P/U=",0)</f>
        <v>#REF!</v>
      </c>
      <c r="IM219" t="e">
        <f>AND(#REF!,"AAAAAG+3P/Y=")</f>
        <v>#REF!</v>
      </c>
      <c r="IN219" t="e">
        <f>AND(#REF!,"AAAAAG+3P/c=")</f>
        <v>#REF!</v>
      </c>
      <c r="IO219" t="e">
        <f>AND(#REF!,"AAAAAG+3P/g=")</f>
        <v>#REF!</v>
      </c>
      <c r="IP219" t="e">
        <f>AND(#REF!,"AAAAAG+3P/k=")</f>
        <v>#REF!</v>
      </c>
      <c r="IQ219" t="e">
        <f>AND(#REF!,"AAAAAG+3P/o=")</f>
        <v>#REF!</v>
      </c>
      <c r="IR219" t="e">
        <f>AND(#REF!,"AAAAAG+3P/s=")</f>
        <v>#REF!</v>
      </c>
      <c r="IS219" t="e">
        <f>AND(#REF!,"AAAAAG+3P/w=")</f>
        <v>#REF!</v>
      </c>
      <c r="IT219" t="e">
        <f>AND(#REF!,"AAAAAG+3P/0=")</f>
        <v>#REF!</v>
      </c>
      <c r="IU219" t="e">
        <f>AND(#REF!,"AAAAAG+3P/4=")</f>
        <v>#REF!</v>
      </c>
      <c r="IV219" t="e">
        <f>AND(#REF!,"AAAAAG+3P/8=")</f>
        <v>#REF!</v>
      </c>
    </row>
    <row r="220" spans="1:256" x14ac:dyDescent="0.2">
      <c r="A220" t="e">
        <f>AND(#REF!,"AAAAAE//7gA=")</f>
        <v>#REF!</v>
      </c>
      <c r="B220" t="e">
        <f>AND(#REF!,"AAAAAE//7gE=")</f>
        <v>#REF!</v>
      </c>
      <c r="C220" t="e">
        <f>AND(#REF!,"AAAAAE//7gI=")</f>
        <v>#REF!</v>
      </c>
      <c r="D220" t="e">
        <f>AND(#REF!,"AAAAAE//7gM=")</f>
        <v>#REF!</v>
      </c>
      <c r="E220" t="e">
        <f>AND(#REF!,"AAAAAE//7gQ=")</f>
        <v>#REF!</v>
      </c>
      <c r="F220" t="e">
        <f>AND(#REF!,"AAAAAE//7gU=")</f>
        <v>#REF!</v>
      </c>
      <c r="G220" t="e">
        <f>AND(#REF!,"AAAAAE//7gY=")</f>
        <v>#REF!</v>
      </c>
      <c r="H220" t="e">
        <f>AND(#REF!,"AAAAAE//7gc=")</f>
        <v>#REF!</v>
      </c>
      <c r="I220" t="e">
        <f>AND(#REF!,"AAAAAE//7gg=")</f>
        <v>#REF!</v>
      </c>
      <c r="J220" t="e">
        <f>AND(#REF!,"AAAAAE//7gk=")</f>
        <v>#REF!</v>
      </c>
      <c r="K220" t="e">
        <f>AND(#REF!,"AAAAAE//7go=")</f>
        <v>#REF!</v>
      </c>
      <c r="L220" t="e">
        <f>AND(#REF!,"AAAAAE//7gs=")</f>
        <v>#REF!</v>
      </c>
      <c r="M220" t="e">
        <f>AND(#REF!,"AAAAAE//7gw=")</f>
        <v>#REF!</v>
      </c>
      <c r="N220" t="e">
        <f>AND(#REF!,"AAAAAE//7g0=")</f>
        <v>#REF!</v>
      </c>
      <c r="O220" t="e">
        <f>AND(#REF!,"AAAAAE//7g4=")</f>
        <v>#REF!</v>
      </c>
      <c r="P220" t="e">
        <f>AND(#REF!,"AAAAAE//7g8=")</f>
        <v>#REF!</v>
      </c>
      <c r="Q220" t="e">
        <f>AND(#REF!,"AAAAAE//7hA=")</f>
        <v>#REF!</v>
      </c>
      <c r="R220" t="e">
        <f>AND(#REF!,"AAAAAE//7hE=")</f>
        <v>#REF!</v>
      </c>
      <c r="S220" t="e">
        <f>AND(#REF!,"AAAAAE//7hI=")</f>
        <v>#REF!</v>
      </c>
      <c r="T220" t="e">
        <f>AND(#REF!,"AAAAAE//7hM=")</f>
        <v>#REF!</v>
      </c>
      <c r="U220" t="e">
        <f>AND(#REF!,"AAAAAE//7hQ=")</f>
        <v>#REF!</v>
      </c>
      <c r="V220" t="e">
        <f>AND(#REF!,"AAAAAE//7hU=")</f>
        <v>#REF!</v>
      </c>
      <c r="W220" t="e">
        <f>AND(#REF!,"AAAAAE//7hY=")</f>
        <v>#REF!</v>
      </c>
      <c r="X220" t="e">
        <f>IF(#REF!,"AAAAAE//7hc=",0)</f>
        <v>#REF!</v>
      </c>
      <c r="Y220" t="e">
        <f>AND(#REF!,"AAAAAE//7hg=")</f>
        <v>#REF!</v>
      </c>
      <c r="Z220" t="e">
        <f>AND(#REF!,"AAAAAE//7hk=")</f>
        <v>#REF!</v>
      </c>
      <c r="AA220" t="e">
        <f>AND(#REF!,"AAAAAE//7ho=")</f>
        <v>#REF!</v>
      </c>
      <c r="AB220" t="e">
        <f>AND(#REF!,"AAAAAE//7hs=")</f>
        <v>#REF!</v>
      </c>
      <c r="AC220" t="e">
        <f>AND(#REF!,"AAAAAE//7hw=")</f>
        <v>#REF!</v>
      </c>
      <c r="AD220" t="e">
        <f>AND(#REF!,"AAAAAE//7h0=")</f>
        <v>#REF!</v>
      </c>
      <c r="AE220" t="e">
        <f>AND(#REF!,"AAAAAE//7h4=")</f>
        <v>#REF!</v>
      </c>
      <c r="AF220" t="e">
        <f>AND(#REF!,"AAAAAE//7h8=")</f>
        <v>#REF!</v>
      </c>
      <c r="AG220" t="e">
        <f>AND(#REF!,"AAAAAE//7iA=")</f>
        <v>#REF!</v>
      </c>
      <c r="AH220" t="e">
        <f>AND(#REF!,"AAAAAE//7iE=")</f>
        <v>#REF!</v>
      </c>
      <c r="AI220" t="e">
        <f>AND(#REF!,"AAAAAE//7iI=")</f>
        <v>#REF!</v>
      </c>
      <c r="AJ220" t="e">
        <f>AND(#REF!,"AAAAAE//7iM=")</f>
        <v>#REF!</v>
      </c>
      <c r="AK220" t="e">
        <f>AND(#REF!,"AAAAAE//7iQ=")</f>
        <v>#REF!</v>
      </c>
      <c r="AL220" t="e">
        <f>AND(#REF!,"AAAAAE//7iU=")</f>
        <v>#REF!</v>
      </c>
      <c r="AM220" t="e">
        <f>AND(#REF!,"AAAAAE//7iY=")</f>
        <v>#REF!</v>
      </c>
      <c r="AN220" t="e">
        <f>AND(#REF!,"AAAAAE//7ic=")</f>
        <v>#REF!</v>
      </c>
      <c r="AO220" t="e">
        <f>AND(#REF!,"AAAAAE//7ig=")</f>
        <v>#REF!</v>
      </c>
      <c r="AP220" t="e">
        <f>AND(#REF!,"AAAAAE//7ik=")</f>
        <v>#REF!</v>
      </c>
      <c r="AQ220" t="e">
        <f>AND(#REF!,"AAAAAE//7io=")</f>
        <v>#REF!</v>
      </c>
      <c r="AR220" t="e">
        <f>AND(#REF!,"AAAAAE//7is=")</f>
        <v>#REF!</v>
      </c>
      <c r="AS220" t="e">
        <f>AND(#REF!,"AAAAAE//7iw=")</f>
        <v>#REF!</v>
      </c>
      <c r="AT220" t="e">
        <f>AND(#REF!,"AAAAAE//7i0=")</f>
        <v>#REF!</v>
      </c>
      <c r="AU220" t="e">
        <f>AND(#REF!,"AAAAAE//7i4=")</f>
        <v>#REF!</v>
      </c>
      <c r="AV220" t="e">
        <f>AND(#REF!,"AAAAAE//7i8=")</f>
        <v>#REF!</v>
      </c>
      <c r="AW220" t="e">
        <f>AND(#REF!,"AAAAAE//7jA=")</f>
        <v>#REF!</v>
      </c>
      <c r="AX220" t="e">
        <f>AND(#REF!,"AAAAAE//7jE=")</f>
        <v>#REF!</v>
      </c>
      <c r="AY220" t="e">
        <f>AND(#REF!,"AAAAAE//7jI=")</f>
        <v>#REF!</v>
      </c>
      <c r="AZ220" t="e">
        <f>AND(#REF!,"AAAAAE//7jM=")</f>
        <v>#REF!</v>
      </c>
      <c r="BA220" t="e">
        <f>AND(#REF!,"AAAAAE//7jQ=")</f>
        <v>#REF!</v>
      </c>
      <c r="BB220" t="e">
        <f>AND(#REF!,"AAAAAE//7jU=")</f>
        <v>#REF!</v>
      </c>
      <c r="BC220" t="e">
        <f>AND(#REF!,"AAAAAE//7jY=")</f>
        <v>#REF!</v>
      </c>
      <c r="BD220" t="e">
        <f>AND(#REF!,"AAAAAE//7jc=")</f>
        <v>#REF!</v>
      </c>
      <c r="BE220" t="e">
        <f>AND(#REF!,"AAAAAE//7jg=")</f>
        <v>#REF!</v>
      </c>
      <c r="BF220" t="e">
        <f>IF(#REF!,"AAAAAE//7jk=",0)</f>
        <v>#REF!</v>
      </c>
      <c r="BG220" t="e">
        <f>AND(#REF!,"AAAAAE//7jo=")</f>
        <v>#REF!</v>
      </c>
      <c r="BH220" t="e">
        <f>AND(#REF!,"AAAAAE//7js=")</f>
        <v>#REF!</v>
      </c>
      <c r="BI220" t="e">
        <f>AND(#REF!,"AAAAAE//7jw=")</f>
        <v>#REF!</v>
      </c>
      <c r="BJ220" t="e">
        <f>AND(#REF!,"AAAAAE//7j0=")</f>
        <v>#REF!</v>
      </c>
      <c r="BK220" t="e">
        <f>AND(#REF!,"AAAAAE//7j4=")</f>
        <v>#REF!</v>
      </c>
      <c r="BL220" t="e">
        <f>AND(#REF!,"AAAAAE//7j8=")</f>
        <v>#REF!</v>
      </c>
      <c r="BM220" t="e">
        <f>AND(#REF!,"AAAAAE//7kA=")</f>
        <v>#REF!</v>
      </c>
      <c r="BN220" t="e">
        <f>AND(#REF!,"AAAAAE//7kE=")</f>
        <v>#REF!</v>
      </c>
      <c r="BO220" t="e">
        <f>AND(#REF!,"AAAAAE//7kI=")</f>
        <v>#REF!</v>
      </c>
      <c r="BP220" t="e">
        <f>AND(#REF!,"AAAAAE//7kM=")</f>
        <v>#REF!</v>
      </c>
      <c r="BQ220" t="e">
        <f>AND(#REF!,"AAAAAE//7kQ=")</f>
        <v>#REF!</v>
      </c>
      <c r="BR220" t="e">
        <f>AND(#REF!,"AAAAAE//7kU=")</f>
        <v>#REF!</v>
      </c>
      <c r="BS220" t="e">
        <f>AND(#REF!,"AAAAAE//7kY=")</f>
        <v>#REF!</v>
      </c>
      <c r="BT220" t="e">
        <f>AND(#REF!,"AAAAAE//7kc=")</f>
        <v>#REF!</v>
      </c>
      <c r="BU220" t="e">
        <f>AND(#REF!,"AAAAAE//7kg=")</f>
        <v>#REF!</v>
      </c>
      <c r="BV220" t="e">
        <f>AND(#REF!,"AAAAAE//7kk=")</f>
        <v>#REF!</v>
      </c>
      <c r="BW220" t="e">
        <f>AND(#REF!,"AAAAAE//7ko=")</f>
        <v>#REF!</v>
      </c>
      <c r="BX220" t="e">
        <f>AND(#REF!,"AAAAAE//7ks=")</f>
        <v>#REF!</v>
      </c>
      <c r="BY220" t="e">
        <f>AND(#REF!,"AAAAAE//7kw=")</f>
        <v>#REF!</v>
      </c>
      <c r="BZ220" t="e">
        <f>AND(#REF!,"AAAAAE//7k0=")</f>
        <v>#REF!</v>
      </c>
      <c r="CA220" t="e">
        <f>AND(#REF!,"AAAAAE//7k4=")</f>
        <v>#REF!</v>
      </c>
      <c r="CB220" t="e">
        <f>AND(#REF!,"AAAAAE//7k8=")</f>
        <v>#REF!</v>
      </c>
      <c r="CC220" t="e">
        <f>AND(#REF!,"AAAAAE//7lA=")</f>
        <v>#REF!</v>
      </c>
      <c r="CD220" t="e">
        <f>AND(#REF!,"AAAAAE//7lE=")</f>
        <v>#REF!</v>
      </c>
      <c r="CE220" t="e">
        <f>AND(#REF!,"AAAAAE//7lI=")</f>
        <v>#REF!</v>
      </c>
      <c r="CF220" t="e">
        <f>AND(#REF!,"AAAAAE//7lM=")</f>
        <v>#REF!</v>
      </c>
      <c r="CG220" t="e">
        <f>AND(#REF!,"AAAAAE//7lQ=")</f>
        <v>#REF!</v>
      </c>
      <c r="CH220" t="e">
        <f>AND(#REF!,"AAAAAE//7lU=")</f>
        <v>#REF!</v>
      </c>
      <c r="CI220" t="e">
        <f>AND(#REF!,"AAAAAE//7lY=")</f>
        <v>#REF!</v>
      </c>
      <c r="CJ220" t="e">
        <f>AND(#REF!,"AAAAAE//7lc=")</f>
        <v>#REF!</v>
      </c>
      <c r="CK220" t="e">
        <f>AND(#REF!,"AAAAAE//7lg=")</f>
        <v>#REF!</v>
      </c>
      <c r="CL220" t="e">
        <f>AND(#REF!,"AAAAAE//7lk=")</f>
        <v>#REF!</v>
      </c>
      <c r="CM220" t="e">
        <f>AND(#REF!,"AAAAAE//7lo=")</f>
        <v>#REF!</v>
      </c>
      <c r="CN220" t="e">
        <f>IF(#REF!,"AAAAAE//7ls=",0)</f>
        <v>#REF!</v>
      </c>
      <c r="CO220" t="e">
        <f>AND(#REF!,"AAAAAE//7lw=")</f>
        <v>#REF!</v>
      </c>
      <c r="CP220" t="e">
        <f>AND(#REF!,"AAAAAE//7l0=")</f>
        <v>#REF!</v>
      </c>
      <c r="CQ220" t="e">
        <f>AND(#REF!,"AAAAAE//7l4=")</f>
        <v>#REF!</v>
      </c>
      <c r="CR220" t="e">
        <f>AND(#REF!,"AAAAAE//7l8=")</f>
        <v>#REF!</v>
      </c>
      <c r="CS220" t="e">
        <f>AND(#REF!,"AAAAAE//7mA=")</f>
        <v>#REF!</v>
      </c>
      <c r="CT220" t="e">
        <f>AND(#REF!,"AAAAAE//7mE=")</f>
        <v>#REF!</v>
      </c>
      <c r="CU220" t="e">
        <f>AND(#REF!,"AAAAAE//7mI=")</f>
        <v>#REF!</v>
      </c>
      <c r="CV220" t="e">
        <f>AND(#REF!,"AAAAAE//7mM=")</f>
        <v>#REF!</v>
      </c>
      <c r="CW220" t="e">
        <f>AND(#REF!,"AAAAAE//7mQ=")</f>
        <v>#REF!</v>
      </c>
      <c r="CX220" t="e">
        <f>AND(#REF!,"AAAAAE//7mU=")</f>
        <v>#REF!</v>
      </c>
      <c r="CY220" t="e">
        <f>AND(#REF!,"AAAAAE//7mY=")</f>
        <v>#REF!</v>
      </c>
      <c r="CZ220" t="e">
        <f>AND(#REF!,"AAAAAE//7mc=")</f>
        <v>#REF!</v>
      </c>
      <c r="DA220" t="e">
        <f>AND(#REF!,"AAAAAE//7mg=")</f>
        <v>#REF!</v>
      </c>
      <c r="DB220" t="e">
        <f>AND(#REF!,"AAAAAE//7mk=")</f>
        <v>#REF!</v>
      </c>
      <c r="DC220" t="e">
        <f>AND(#REF!,"AAAAAE//7mo=")</f>
        <v>#REF!</v>
      </c>
      <c r="DD220" t="e">
        <f>AND(#REF!,"AAAAAE//7ms=")</f>
        <v>#REF!</v>
      </c>
      <c r="DE220" t="e">
        <f>AND(#REF!,"AAAAAE//7mw=")</f>
        <v>#REF!</v>
      </c>
      <c r="DF220" t="e">
        <f>AND(#REF!,"AAAAAE//7m0=")</f>
        <v>#REF!</v>
      </c>
      <c r="DG220" t="e">
        <f>AND(#REF!,"AAAAAE//7m4=")</f>
        <v>#REF!</v>
      </c>
      <c r="DH220" t="e">
        <f>AND(#REF!,"AAAAAE//7m8=")</f>
        <v>#REF!</v>
      </c>
      <c r="DI220" t="e">
        <f>AND(#REF!,"AAAAAE//7nA=")</f>
        <v>#REF!</v>
      </c>
      <c r="DJ220" t="e">
        <f>AND(#REF!,"AAAAAE//7nE=")</f>
        <v>#REF!</v>
      </c>
      <c r="DK220" t="e">
        <f>AND(#REF!,"AAAAAE//7nI=")</f>
        <v>#REF!</v>
      </c>
      <c r="DL220" t="e">
        <f>AND(#REF!,"AAAAAE//7nM=")</f>
        <v>#REF!</v>
      </c>
      <c r="DM220" t="e">
        <f>AND(#REF!,"AAAAAE//7nQ=")</f>
        <v>#REF!</v>
      </c>
      <c r="DN220" t="e">
        <f>AND(#REF!,"AAAAAE//7nU=")</f>
        <v>#REF!</v>
      </c>
      <c r="DO220" t="e">
        <f>AND(#REF!,"AAAAAE//7nY=")</f>
        <v>#REF!</v>
      </c>
      <c r="DP220" t="e">
        <f>AND(#REF!,"AAAAAE//7nc=")</f>
        <v>#REF!</v>
      </c>
      <c r="DQ220" t="e">
        <f>AND(#REF!,"AAAAAE//7ng=")</f>
        <v>#REF!</v>
      </c>
      <c r="DR220" t="e">
        <f>AND(#REF!,"AAAAAE//7nk=")</f>
        <v>#REF!</v>
      </c>
      <c r="DS220" t="e">
        <f>AND(#REF!,"AAAAAE//7no=")</f>
        <v>#REF!</v>
      </c>
      <c r="DT220" t="e">
        <f>AND(#REF!,"AAAAAE//7ns=")</f>
        <v>#REF!</v>
      </c>
      <c r="DU220" t="e">
        <f>AND(#REF!,"AAAAAE//7nw=")</f>
        <v>#REF!</v>
      </c>
      <c r="DV220" t="e">
        <f>IF(#REF!,"AAAAAE//7n0=",0)</f>
        <v>#REF!</v>
      </c>
      <c r="DW220" t="e">
        <f>AND(#REF!,"AAAAAE//7n4=")</f>
        <v>#REF!</v>
      </c>
      <c r="DX220" t="e">
        <f>AND(#REF!,"AAAAAE//7n8=")</f>
        <v>#REF!</v>
      </c>
      <c r="DY220" t="e">
        <f>AND(#REF!,"AAAAAE//7oA=")</f>
        <v>#REF!</v>
      </c>
      <c r="DZ220" t="e">
        <f>AND(#REF!,"AAAAAE//7oE=")</f>
        <v>#REF!</v>
      </c>
      <c r="EA220" t="e">
        <f>AND(#REF!,"AAAAAE//7oI=")</f>
        <v>#REF!</v>
      </c>
      <c r="EB220" t="e">
        <f>AND(#REF!,"AAAAAE//7oM=")</f>
        <v>#REF!</v>
      </c>
      <c r="EC220" t="e">
        <f>AND(#REF!,"AAAAAE//7oQ=")</f>
        <v>#REF!</v>
      </c>
      <c r="ED220" t="e">
        <f>AND(#REF!,"AAAAAE//7oU=")</f>
        <v>#REF!</v>
      </c>
      <c r="EE220" t="e">
        <f>AND(#REF!,"AAAAAE//7oY=")</f>
        <v>#REF!</v>
      </c>
      <c r="EF220" t="e">
        <f>AND(#REF!,"AAAAAE//7oc=")</f>
        <v>#REF!</v>
      </c>
      <c r="EG220" t="e">
        <f>AND(#REF!,"AAAAAE//7og=")</f>
        <v>#REF!</v>
      </c>
      <c r="EH220" t="e">
        <f>AND(#REF!,"AAAAAE//7ok=")</f>
        <v>#REF!</v>
      </c>
      <c r="EI220" t="e">
        <f>AND(#REF!,"AAAAAE//7oo=")</f>
        <v>#REF!</v>
      </c>
      <c r="EJ220" t="e">
        <f>AND(#REF!,"AAAAAE//7os=")</f>
        <v>#REF!</v>
      </c>
      <c r="EK220" t="e">
        <f>AND(#REF!,"AAAAAE//7ow=")</f>
        <v>#REF!</v>
      </c>
      <c r="EL220" t="e">
        <f>AND(#REF!,"AAAAAE//7o0=")</f>
        <v>#REF!</v>
      </c>
      <c r="EM220" t="e">
        <f>AND(#REF!,"AAAAAE//7o4=")</f>
        <v>#REF!</v>
      </c>
      <c r="EN220" t="e">
        <f>AND(#REF!,"AAAAAE//7o8=")</f>
        <v>#REF!</v>
      </c>
      <c r="EO220" t="e">
        <f>AND(#REF!,"AAAAAE//7pA=")</f>
        <v>#REF!</v>
      </c>
      <c r="EP220" t="e">
        <f>AND(#REF!,"AAAAAE//7pE=")</f>
        <v>#REF!</v>
      </c>
      <c r="EQ220" t="e">
        <f>AND(#REF!,"AAAAAE//7pI=")</f>
        <v>#REF!</v>
      </c>
      <c r="ER220" t="e">
        <f>AND(#REF!,"AAAAAE//7pM=")</f>
        <v>#REF!</v>
      </c>
      <c r="ES220" t="e">
        <f>AND(#REF!,"AAAAAE//7pQ=")</f>
        <v>#REF!</v>
      </c>
      <c r="ET220" t="e">
        <f>AND(#REF!,"AAAAAE//7pU=")</f>
        <v>#REF!</v>
      </c>
      <c r="EU220" t="e">
        <f>AND(#REF!,"AAAAAE//7pY=")</f>
        <v>#REF!</v>
      </c>
      <c r="EV220" t="e">
        <f>AND(#REF!,"AAAAAE//7pc=")</f>
        <v>#REF!</v>
      </c>
      <c r="EW220" t="e">
        <f>AND(#REF!,"AAAAAE//7pg=")</f>
        <v>#REF!</v>
      </c>
      <c r="EX220" t="e">
        <f>AND(#REF!,"AAAAAE//7pk=")</f>
        <v>#REF!</v>
      </c>
      <c r="EY220" t="e">
        <f>AND(#REF!,"AAAAAE//7po=")</f>
        <v>#REF!</v>
      </c>
      <c r="EZ220" t="e">
        <f>AND(#REF!,"AAAAAE//7ps=")</f>
        <v>#REF!</v>
      </c>
      <c r="FA220" t="e">
        <f>AND(#REF!,"AAAAAE//7pw=")</f>
        <v>#REF!</v>
      </c>
      <c r="FB220" t="e">
        <f>AND(#REF!,"AAAAAE//7p0=")</f>
        <v>#REF!</v>
      </c>
      <c r="FC220" t="e">
        <f>AND(#REF!,"AAAAAE//7p4=")</f>
        <v>#REF!</v>
      </c>
      <c r="FD220" t="e">
        <f>IF(#REF!,"AAAAAE//7p8=",0)</f>
        <v>#REF!</v>
      </c>
      <c r="FE220" t="e">
        <f>AND(#REF!,"AAAAAE//7qA=")</f>
        <v>#REF!</v>
      </c>
      <c r="FF220" t="e">
        <f>AND(#REF!,"AAAAAE//7qE=")</f>
        <v>#REF!</v>
      </c>
      <c r="FG220" t="e">
        <f>AND(#REF!,"AAAAAE//7qI=")</f>
        <v>#REF!</v>
      </c>
      <c r="FH220" t="e">
        <f>AND(#REF!,"AAAAAE//7qM=")</f>
        <v>#REF!</v>
      </c>
      <c r="FI220" t="e">
        <f>AND(#REF!,"AAAAAE//7qQ=")</f>
        <v>#REF!</v>
      </c>
      <c r="FJ220" t="e">
        <f>AND(#REF!,"AAAAAE//7qU=")</f>
        <v>#REF!</v>
      </c>
      <c r="FK220" t="e">
        <f>AND(#REF!,"AAAAAE//7qY=")</f>
        <v>#REF!</v>
      </c>
      <c r="FL220" t="e">
        <f>AND(#REF!,"AAAAAE//7qc=")</f>
        <v>#REF!</v>
      </c>
      <c r="FM220" t="e">
        <f>AND(#REF!,"AAAAAE//7qg=")</f>
        <v>#REF!</v>
      </c>
      <c r="FN220" t="e">
        <f>AND(#REF!,"AAAAAE//7qk=")</f>
        <v>#REF!</v>
      </c>
      <c r="FO220" t="e">
        <f>AND(#REF!,"AAAAAE//7qo=")</f>
        <v>#REF!</v>
      </c>
      <c r="FP220" t="e">
        <f>AND(#REF!,"AAAAAE//7qs=")</f>
        <v>#REF!</v>
      </c>
      <c r="FQ220" t="e">
        <f>AND(#REF!,"AAAAAE//7qw=")</f>
        <v>#REF!</v>
      </c>
      <c r="FR220" t="e">
        <f>AND(#REF!,"AAAAAE//7q0=")</f>
        <v>#REF!</v>
      </c>
      <c r="FS220" t="e">
        <f>AND(#REF!,"AAAAAE//7q4=")</f>
        <v>#REF!</v>
      </c>
      <c r="FT220" t="e">
        <f>AND(#REF!,"AAAAAE//7q8=")</f>
        <v>#REF!</v>
      </c>
      <c r="FU220" t="e">
        <f>AND(#REF!,"AAAAAE//7rA=")</f>
        <v>#REF!</v>
      </c>
      <c r="FV220" t="e">
        <f>AND(#REF!,"AAAAAE//7rE=")</f>
        <v>#REF!</v>
      </c>
      <c r="FW220" t="e">
        <f>AND(#REF!,"AAAAAE//7rI=")</f>
        <v>#REF!</v>
      </c>
      <c r="FX220" t="e">
        <f>AND(#REF!,"AAAAAE//7rM=")</f>
        <v>#REF!</v>
      </c>
      <c r="FY220" t="e">
        <f>AND(#REF!,"AAAAAE//7rQ=")</f>
        <v>#REF!</v>
      </c>
      <c r="FZ220" t="e">
        <f>AND(#REF!,"AAAAAE//7rU=")</f>
        <v>#REF!</v>
      </c>
      <c r="GA220" t="e">
        <f>AND(#REF!,"AAAAAE//7rY=")</f>
        <v>#REF!</v>
      </c>
      <c r="GB220" t="e">
        <f>AND(#REF!,"AAAAAE//7rc=")</f>
        <v>#REF!</v>
      </c>
      <c r="GC220" t="e">
        <f>AND(#REF!,"AAAAAE//7rg=")</f>
        <v>#REF!</v>
      </c>
      <c r="GD220" t="e">
        <f>AND(#REF!,"AAAAAE//7rk=")</f>
        <v>#REF!</v>
      </c>
      <c r="GE220" t="e">
        <f>AND(#REF!,"AAAAAE//7ro=")</f>
        <v>#REF!</v>
      </c>
      <c r="GF220" t="e">
        <f>AND(#REF!,"AAAAAE//7rs=")</f>
        <v>#REF!</v>
      </c>
      <c r="GG220" t="e">
        <f>AND(#REF!,"AAAAAE//7rw=")</f>
        <v>#REF!</v>
      </c>
      <c r="GH220" t="e">
        <f>AND(#REF!,"AAAAAE//7r0=")</f>
        <v>#REF!</v>
      </c>
      <c r="GI220" t="e">
        <f>AND(#REF!,"AAAAAE//7r4=")</f>
        <v>#REF!</v>
      </c>
      <c r="GJ220" t="e">
        <f>AND(#REF!,"AAAAAE//7r8=")</f>
        <v>#REF!</v>
      </c>
      <c r="GK220" t="e">
        <f>AND(#REF!,"AAAAAE//7sA=")</f>
        <v>#REF!</v>
      </c>
      <c r="GL220" t="e">
        <f>IF(#REF!,"AAAAAE//7sE=",0)</f>
        <v>#REF!</v>
      </c>
      <c r="GM220" t="e">
        <f>AND(#REF!,"AAAAAE//7sI=")</f>
        <v>#REF!</v>
      </c>
      <c r="GN220" t="e">
        <f>AND(#REF!,"AAAAAE//7sM=")</f>
        <v>#REF!</v>
      </c>
      <c r="GO220" t="e">
        <f>AND(#REF!,"AAAAAE//7sQ=")</f>
        <v>#REF!</v>
      </c>
      <c r="GP220" t="e">
        <f>AND(#REF!,"AAAAAE//7sU=")</f>
        <v>#REF!</v>
      </c>
      <c r="GQ220" t="e">
        <f>AND(#REF!,"AAAAAE//7sY=")</f>
        <v>#REF!</v>
      </c>
      <c r="GR220" t="e">
        <f>AND(#REF!,"AAAAAE//7sc=")</f>
        <v>#REF!</v>
      </c>
      <c r="GS220" t="e">
        <f>AND(#REF!,"AAAAAE//7sg=")</f>
        <v>#REF!</v>
      </c>
      <c r="GT220" t="e">
        <f>AND(#REF!,"AAAAAE//7sk=")</f>
        <v>#REF!</v>
      </c>
      <c r="GU220" t="e">
        <f>AND(#REF!,"AAAAAE//7so=")</f>
        <v>#REF!</v>
      </c>
      <c r="GV220" t="e">
        <f>AND(#REF!,"AAAAAE//7ss=")</f>
        <v>#REF!</v>
      </c>
      <c r="GW220" t="e">
        <f>AND(#REF!,"AAAAAE//7sw=")</f>
        <v>#REF!</v>
      </c>
      <c r="GX220" t="e">
        <f>AND(#REF!,"AAAAAE//7s0=")</f>
        <v>#REF!</v>
      </c>
      <c r="GY220" t="e">
        <f>AND(#REF!,"AAAAAE//7s4=")</f>
        <v>#REF!</v>
      </c>
      <c r="GZ220" t="e">
        <f>AND(#REF!,"AAAAAE//7s8=")</f>
        <v>#REF!</v>
      </c>
      <c r="HA220" t="e">
        <f>AND(#REF!,"AAAAAE//7tA=")</f>
        <v>#REF!</v>
      </c>
      <c r="HB220" t="e">
        <f>AND(#REF!,"AAAAAE//7tE=")</f>
        <v>#REF!</v>
      </c>
      <c r="HC220" t="e">
        <f>AND(#REF!,"AAAAAE//7tI=")</f>
        <v>#REF!</v>
      </c>
      <c r="HD220" t="e">
        <f>AND(#REF!,"AAAAAE//7tM=")</f>
        <v>#REF!</v>
      </c>
      <c r="HE220" t="e">
        <f>AND(#REF!,"AAAAAE//7tQ=")</f>
        <v>#REF!</v>
      </c>
      <c r="HF220" t="e">
        <f>AND(#REF!,"AAAAAE//7tU=")</f>
        <v>#REF!</v>
      </c>
      <c r="HG220" t="e">
        <f>AND(#REF!,"AAAAAE//7tY=")</f>
        <v>#REF!</v>
      </c>
      <c r="HH220" t="e">
        <f>AND(#REF!,"AAAAAE//7tc=")</f>
        <v>#REF!</v>
      </c>
      <c r="HI220" t="e">
        <f>AND(#REF!,"AAAAAE//7tg=")</f>
        <v>#REF!</v>
      </c>
      <c r="HJ220" t="e">
        <f>AND(#REF!,"AAAAAE//7tk=")</f>
        <v>#REF!</v>
      </c>
      <c r="HK220" t="e">
        <f>AND(#REF!,"AAAAAE//7to=")</f>
        <v>#REF!</v>
      </c>
      <c r="HL220" t="e">
        <f>AND(#REF!,"AAAAAE//7ts=")</f>
        <v>#REF!</v>
      </c>
      <c r="HM220" t="e">
        <f>AND(#REF!,"AAAAAE//7tw=")</f>
        <v>#REF!</v>
      </c>
      <c r="HN220" t="e">
        <f>AND(#REF!,"AAAAAE//7t0=")</f>
        <v>#REF!</v>
      </c>
      <c r="HO220" t="e">
        <f>AND(#REF!,"AAAAAE//7t4=")</f>
        <v>#REF!</v>
      </c>
      <c r="HP220" t="e">
        <f>AND(#REF!,"AAAAAE//7t8=")</f>
        <v>#REF!</v>
      </c>
      <c r="HQ220" t="e">
        <f>AND(#REF!,"AAAAAE//7uA=")</f>
        <v>#REF!</v>
      </c>
      <c r="HR220" t="e">
        <f>AND(#REF!,"AAAAAE//7uE=")</f>
        <v>#REF!</v>
      </c>
      <c r="HS220" t="e">
        <f>AND(#REF!,"AAAAAE//7uI=")</f>
        <v>#REF!</v>
      </c>
      <c r="HT220" t="e">
        <f>IF(#REF!,"AAAAAE//7uM=",0)</f>
        <v>#REF!</v>
      </c>
      <c r="HU220" t="e">
        <f>AND(#REF!,"AAAAAE//7uQ=")</f>
        <v>#REF!</v>
      </c>
      <c r="HV220" t="e">
        <f>AND(#REF!,"AAAAAE//7uU=")</f>
        <v>#REF!</v>
      </c>
      <c r="HW220" t="e">
        <f>AND(#REF!,"AAAAAE//7uY=")</f>
        <v>#REF!</v>
      </c>
      <c r="HX220" t="e">
        <f>AND(#REF!,"AAAAAE//7uc=")</f>
        <v>#REF!</v>
      </c>
      <c r="HY220" t="e">
        <f>AND(#REF!,"AAAAAE//7ug=")</f>
        <v>#REF!</v>
      </c>
      <c r="HZ220" t="e">
        <f>AND(#REF!,"AAAAAE//7uk=")</f>
        <v>#REF!</v>
      </c>
      <c r="IA220" t="e">
        <f>AND(#REF!,"AAAAAE//7uo=")</f>
        <v>#REF!</v>
      </c>
      <c r="IB220" t="e">
        <f>AND(#REF!,"AAAAAE//7us=")</f>
        <v>#REF!</v>
      </c>
      <c r="IC220" t="e">
        <f>AND(#REF!,"AAAAAE//7uw=")</f>
        <v>#REF!</v>
      </c>
      <c r="ID220" t="e">
        <f>AND(#REF!,"AAAAAE//7u0=")</f>
        <v>#REF!</v>
      </c>
      <c r="IE220" t="e">
        <f>AND(#REF!,"AAAAAE//7u4=")</f>
        <v>#REF!</v>
      </c>
      <c r="IF220" t="e">
        <f>AND(#REF!,"AAAAAE//7u8=")</f>
        <v>#REF!</v>
      </c>
      <c r="IG220" t="e">
        <f>AND(#REF!,"AAAAAE//7vA=")</f>
        <v>#REF!</v>
      </c>
      <c r="IH220" t="e">
        <f>AND(#REF!,"AAAAAE//7vE=")</f>
        <v>#REF!</v>
      </c>
      <c r="II220" t="e">
        <f>AND(#REF!,"AAAAAE//7vI=")</f>
        <v>#REF!</v>
      </c>
      <c r="IJ220" t="e">
        <f>AND(#REF!,"AAAAAE//7vM=")</f>
        <v>#REF!</v>
      </c>
      <c r="IK220" t="e">
        <f>AND(#REF!,"AAAAAE//7vQ=")</f>
        <v>#REF!</v>
      </c>
      <c r="IL220" t="e">
        <f>AND(#REF!,"AAAAAE//7vU=")</f>
        <v>#REF!</v>
      </c>
      <c r="IM220" t="e">
        <f>AND(#REF!,"AAAAAE//7vY=")</f>
        <v>#REF!</v>
      </c>
      <c r="IN220" t="e">
        <f>AND(#REF!,"AAAAAE//7vc=")</f>
        <v>#REF!</v>
      </c>
      <c r="IO220" t="e">
        <f>AND(#REF!,"AAAAAE//7vg=")</f>
        <v>#REF!</v>
      </c>
      <c r="IP220" t="e">
        <f>AND(#REF!,"AAAAAE//7vk=")</f>
        <v>#REF!</v>
      </c>
      <c r="IQ220" t="e">
        <f>AND(#REF!,"AAAAAE//7vo=")</f>
        <v>#REF!</v>
      </c>
      <c r="IR220" t="e">
        <f>AND(#REF!,"AAAAAE//7vs=")</f>
        <v>#REF!</v>
      </c>
      <c r="IS220" t="e">
        <f>AND(#REF!,"AAAAAE//7vw=")</f>
        <v>#REF!</v>
      </c>
      <c r="IT220" t="e">
        <f>AND(#REF!,"AAAAAE//7v0=")</f>
        <v>#REF!</v>
      </c>
      <c r="IU220" t="e">
        <f>AND(#REF!,"AAAAAE//7v4=")</f>
        <v>#REF!</v>
      </c>
      <c r="IV220" t="e">
        <f>AND(#REF!,"AAAAAE//7v8=")</f>
        <v>#REF!</v>
      </c>
    </row>
    <row r="221" spans="1:256" x14ac:dyDescent="0.2">
      <c r="A221" t="e">
        <f>AND(#REF!,"AAAAAF2+RgA=")</f>
        <v>#REF!</v>
      </c>
      <c r="B221" t="e">
        <f>AND(#REF!,"AAAAAF2+RgE=")</f>
        <v>#REF!</v>
      </c>
      <c r="C221" t="e">
        <f>AND(#REF!,"AAAAAF2+RgI=")</f>
        <v>#REF!</v>
      </c>
      <c r="D221" t="e">
        <f>AND(#REF!,"AAAAAF2+RgM=")</f>
        <v>#REF!</v>
      </c>
      <c r="E221" t="e">
        <f>AND(#REF!,"AAAAAF2+RgQ=")</f>
        <v>#REF!</v>
      </c>
      <c r="F221" t="e">
        <f>IF(#REF!,"AAAAAF2+RgU=",0)</f>
        <v>#REF!</v>
      </c>
      <c r="G221" t="e">
        <f>AND(#REF!,"AAAAAF2+RgY=")</f>
        <v>#REF!</v>
      </c>
      <c r="H221" t="e">
        <f>AND(#REF!,"AAAAAF2+Rgc=")</f>
        <v>#REF!</v>
      </c>
      <c r="I221" t="e">
        <f>AND(#REF!,"AAAAAF2+Rgg=")</f>
        <v>#REF!</v>
      </c>
      <c r="J221" t="e">
        <f>AND(#REF!,"AAAAAF2+Rgk=")</f>
        <v>#REF!</v>
      </c>
      <c r="K221" t="e">
        <f>AND(#REF!,"AAAAAF2+Rgo=")</f>
        <v>#REF!</v>
      </c>
      <c r="L221" t="e">
        <f>AND(#REF!,"AAAAAF2+Rgs=")</f>
        <v>#REF!</v>
      </c>
      <c r="M221" t="e">
        <f>AND(#REF!,"AAAAAF2+Rgw=")</f>
        <v>#REF!</v>
      </c>
      <c r="N221" t="e">
        <f>AND(#REF!,"AAAAAF2+Rg0=")</f>
        <v>#REF!</v>
      </c>
      <c r="O221" t="e">
        <f>AND(#REF!,"AAAAAF2+Rg4=")</f>
        <v>#REF!</v>
      </c>
      <c r="P221" t="e">
        <f>AND(#REF!,"AAAAAF2+Rg8=")</f>
        <v>#REF!</v>
      </c>
      <c r="Q221" t="e">
        <f>AND(#REF!,"AAAAAF2+RhA=")</f>
        <v>#REF!</v>
      </c>
      <c r="R221" t="e">
        <f>AND(#REF!,"AAAAAF2+RhE=")</f>
        <v>#REF!</v>
      </c>
      <c r="S221" t="e">
        <f>AND(#REF!,"AAAAAF2+RhI=")</f>
        <v>#REF!</v>
      </c>
      <c r="T221" t="e">
        <f>AND(#REF!,"AAAAAF2+RhM=")</f>
        <v>#REF!</v>
      </c>
      <c r="U221" t="e">
        <f>AND(#REF!,"AAAAAF2+RhQ=")</f>
        <v>#REF!</v>
      </c>
      <c r="V221" t="e">
        <f>AND(#REF!,"AAAAAF2+RhU=")</f>
        <v>#REF!</v>
      </c>
      <c r="W221" t="e">
        <f>AND(#REF!,"AAAAAF2+RhY=")</f>
        <v>#REF!</v>
      </c>
      <c r="X221" t="e">
        <f>AND(#REF!,"AAAAAF2+Rhc=")</f>
        <v>#REF!</v>
      </c>
      <c r="Y221" t="e">
        <f>AND(#REF!,"AAAAAF2+Rhg=")</f>
        <v>#REF!</v>
      </c>
      <c r="Z221" t="e">
        <f>AND(#REF!,"AAAAAF2+Rhk=")</f>
        <v>#REF!</v>
      </c>
      <c r="AA221" t="e">
        <f>AND(#REF!,"AAAAAF2+Rho=")</f>
        <v>#REF!</v>
      </c>
      <c r="AB221" t="e">
        <f>AND(#REF!,"AAAAAF2+Rhs=")</f>
        <v>#REF!</v>
      </c>
      <c r="AC221" t="e">
        <f>AND(#REF!,"AAAAAF2+Rhw=")</f>
        <v>#REF!</v>
      </c>
      <c r="AD221" t="e">
        <f>AND(#REF!,"AAAAAF2+Rh0=")</f>
        <v>#REF!</v>
      </c>
      <c r="AE221" t="e">
        <f>AND(#REF!,"AAAAAF2+Rh4=")</f>
        <v>#REF!</v>
      </c>
      <c r="AF221" t="e">
        <f>AND(#REF!,"AAAAAF2+Rh8=")</f>
        <v>#REF!</v>
      </c>
      <c r="AG221" t="e">
        <f>AND(#REF!,"AAAAAF2+RiA=")</f>
        <v>#REF!</v>
      </c>
      <c r="AH221" t="e">
        <f>AND(#REF!,"AAAAAF2+RiE=")</f>
        <v>#REF!</v>
      </c>
      <c r="AI221" t="e">
        <f>AND(#REF!,"AAAAAF2+RiI=")</f>
        <v>#REF!</v>
      </c>
      <c r="AJ221" t="e">
        <f>AND(#REF!,"AAAAAF2+RiM=")</f>
        <v>#REF!</v>
      </c>
      <c r="AK221" t="e">
        <f>AND(#REF!,"AAAAAF2+RiQ=")</f>
        <v>#REF!</v>
      </c>
      <c r="AL221" t="e">
        <f>AND(#REF!,"AAAAAF2+RiU=")</f>
        <v>#REF!</v>
      </c>
      <c r="AM221" t="e">
        <f>AND(#REF!,"AAAAAF2+RiY=")</f>
        <v>#REF!</v>
      </c>
      <c r="AN221" t="e">
        <f>IF(#REF!,"AAAAAF2+Ric=",0)</f>
        <v>#REF!</v>
      </c>
      <c r="AO221" t="e">
        <f>AND(#REF!,"AAAAAF2+Rig=")</f>
        <v>#REF!</v>
      </c>
      <c r="AP221" t="e">
        <f>AND(#REF!,"AAAAAF2+Rik=")</f>
        <v>#REF!</v>
      </c>
      <c r="AQ221" t="e">
        <f>AND(#REF!,"AAAAAF2+Rio=")</f>
        <v>#REF!</v>
      </c>
      <c r="AR221" t="e">
        <f>AND(#REF!,"AAAAAF2+Ris=")</f>
        <v>#REF!</v>
      </c>
      <c r="AS221" t="e">
        <f>AND(#REF!,"AAAAAF2+Riw=")</f>
        <v>#REF!</v>
      </c>
      <c r="AT221" t="e">
        <f>AND(#REF!,"AAAAAF2+Ri0=")</f>
        <v>#REF!</v>
      </c>
      <c r="AU221" t="e">
        <f>AND(#REF!,"AAAAAF2+Ri4=")</f>
        <v>#REF!</v>
      </c>
      <c r="AV221" t="e">
        <f>AND(#REF!,"AAAAAF2+Ri8=")</f>
        <v>#REF!</v>
      </c>
      <c r="AW221" t="e">
        <f>AND(#REF!,"AAAAAF2+RjA=")</f>
        <v>#REF!</v>
      </c>
      <c r="AX221" t="e">
        <f>AND(#REF!,"AAAAAF2+RjE=")</f>
        <v>#REF!</v>
      </c>
      <c r="AY221" t="e">
        <f>AND(#REF!,"AAAAAF2+RjI=")</f>
        <v>#REF!</v>
      </c>
      <c r="AZ221" t="e">
        <f>AND(#REF!,"AAAAAF2+RjM=")</f>
        <v>#REF!</v>
      </c>
      <c r="BA221" t="e">
        <f>AND(#REF!,"AAAAAF2+RjQ=")</f>
        <v>#REF!</v>
      </c>
      <c r="BB221" t="e">
        <f>AND(#REF!,"AAAAAF2+RjU=")</f>
        <v>#REF!</v>
      </c>
      <c r="BC221" t="e">
        <f>AND(#REF!,"AAAAAF2+RjY=")</f>
        <v>#REF!</v>
      </c>
      <c r="BD221" t="e">
        <f>AND(#REF!,"AAAAAF2+Rjc=")</f>
        <v>#REF!</v>
      </c>
      <c r="BE221" t="e">
        <f>AND(#REF!,"AAAAAF2+Rjg=")</f>
        <v>#REF!</v>
      </c>
      <c r="BF221" t="e">
        <f>AND(#REF!,"AAAAAF2+Rjk=")</f>
        <v>#REF!</v>
      </c>
      <c r="BG221" t="e">
        <f>AND(#REF!,"AAAAAF2+Rjo=")</f>
        <v>#REF!</v>
      </c>
      <c r="BH221" t="e">
        <f>AND(#REF!,"AAAAAF2+Rjs=")</f>
        <v>#REF!</v>
      </c>
      <c r="BI221" t="e">
        <f>AND(#REF!,"AAAAAF2+Rjw=")</f>
        <v>#REF!</v>
      </c>
      <c r="BJ221" t="e">
        <f>AND(#REF!,"AAAAAF2+Rj0=")</f>
        <v>#REF!</v>
      </c>
      <c r="BK221" t="e">
        <f>AND(#REF!,"AAAAAF2+Rj4=")</f>
        <v>#REF!</v>
      </c>
      <c r="BL221" t="e">
        <f>AND(#REF!,"AAAAAF2+Rj8=")</f>
        <v>#REF!</v>
      </c>
      <c r="BM221" t="e">
        <f>AND(#REF!,"AAAAAF2+RkA=")</f>
        <v>#REF!</v>
      </c>
      <c r="BN221" t="e">
        <f>AND(#REF!,"AAAAAF2+RkE=")</f>
        <v>#REF!</v>
      </c>
      <c r="BO221" t="e">
        <f>AND(#REF!,"AAAAAF2+RkI=")</f>
        <v>#REF!</v>
      </c>
      <c r="BP221" t="e">
        <f>AND(#REF!,"AAAAAF2+RkM=")</f>
        <v>#REF!</v>
      </c>
      <c r="BQ221" t="e">
        <f>AND(#REF!,"AAAAAF2+RkQ=")</f>
        <v>#REF!</v>
      </c>
      <c r="BR221" t="e">
        <f>AND(#REF!,"AAAAAF2+RkU=")</f>
        <v>#REF!</v>
      </c>
      <c r="BS221" t="e">
        <f>AND(#REF!,"AAAAAF2+RkY=")</f>
        <v>#REF!</v>
      </c>
      <c r="BT221" t="e">
        <f>AND(#REF!,"AAAAAF2+Rkc=")</f>
        <v>#REF!</v>
      </c>
      <c r="BU221" t="e">
        <f>AND(#REF!,"AAAAAF2+Rkg=")</f>
        <v>#REF!</v>
      </c>
      <c r="BV221" t="e">
        <f>IF(#REF!,"AAAAAF2+Rkk=",0)</f>
        <v>#REF!</v>
      </c>
      <c r="BW221" t="e">
        <f>AND(#REF!,"AAAAAF2+Rko=")</f>
        <v>#REF!</v>
      </c>
      <c r="BX221" t="e">
        <f>AND(#REF!,"AAAAAF2+Rks=")</f>
        <v>#REF!</v>
      </c>
      <c r="BY221" t="e">
        <f>AND(#REF!,"AAAAAF2+Rkw=")</f>
        <v>#REF!</v>
      </c>
      <c r="BZ221" t="e">
        <f>AND(#REF!,"AAAAAF2+Rk0=")</f>
        <v>#REF!</v>
      </c>
      <c r="CA221" t="e">
        <f>AND(#REF!,"AAAAAF2+Rk4=")</f>
        <v>#REF!</v>
      </c>
      <c r="CB221" t="e">
        <f>AND(#REF!,"AAAAAF2+Rk8=")</f>
        <v>#REF!</v>
      </c>
      <c r="CC221" t="e">
        <f>AND(#REF!,"AAAAAF2+RlA=")</f>
        <v>#REF!</v>
      </c>
      <c r="CD221" t="e">
        <f>AND(#REF!,"AAAAAF2+RlE=")</f>
        <v>#REF!</v>
      </c>
      <c r="CE221" t="e">
        <f>AND(#REF!,"AAAAAF2+RlI=")</f>
        <v>#REF!</v>
      </c>
      <c r="CF221" t="e">
        <f>AND(#REF!,"AAAAAF2+RlM=")</f>
        <v>#REF!</v>
      </c>
      <c r="CG221" t="e">
        <f>AND(#REF!,"AAAAAF2+RlQ=")</f>
        <v>#REF!</v>
      </c>
      <c r="CH221" t="e">
        <f>AND(#REF!,"AAAAAF2+RlU=")</f>
        <v>#REF!</v>
      </c>
      <c r="CI221" t="e">
        <f>AND(#REF!,"AAAAAF2+RlY=")</f>
        <v>#REF!</v>
      </c>
      <c r="CJ221" t="e">
        <f>AND(#REF!,"AAAAAF2+Rlc=")</f>
        <v>#REF!</v>
      </c>
      <c r="CK221" t="e">
        <f>AND(#REF!,"AAAAAF2+Rlg=")</f>
        <v>#REF!</v>
      </c>
      <c r="CL221" t="e">
        <f>AND(#REF!,"AAAAAF2+Rlk=")</f>
        <v>#REF!</v>
      </c>
      <c r="CM221" t="e">
        <f>AND(#REF!,"AAAAAF2+Rlo=")</f>
        <v>#REF!</v>
      </c>
      <c r="CN221" t="e">
        <f>AND(#REF!,"AAAAAF2+Rls=")</f>
        <v>#REF!</v>
      </c>
      <c r="CO221" t="e">
        <f>AND(#REF!,"AAAAAF2+Rlw=")</f>
        <v>#REF!</v>
      </c>
      <c r="CP221" t="e">
        <f>AND(#REF!,"AAAAAF2+Rl0=")</f>
        <v>#REF!</v>
      </c>
      <c r="CQ221" t="e">
        <f>AND(#REF!,"AAAAAF2+Rl4=")</f>
        <v>#REF!</v>
      </c>
      <c r="CR221" t="e">
        <f>AND(#REF!,"AAAAAF2+Rl8=")</f>
        <v>#REF!</v>
      </c>
      <c r="CS221" t="e">
        <f>AND(#REF!,"AAAAAF2+RmA=")</f>
        <v>#REF!</v>
      </c>
      <c r="CT221" t="e">
        <f>AND(#REF!,"AAAAAF2+RmE=")</f>
        <v>#REF!</v>
      </c>
      <c r="CU221" t="e">
        <f>AND(#REF!,"AAAAAF2+RmI=")</f>
        <v>#REF!</v>
      </c>
      <c r="CV221" t="e">
        <f>AND(#REF!,"AAAAAF2+RmM=")</f>
        <v>#REF!</v>
      </c>
      <c r="CW221" t="e">
        <f>AND(#REF!,"AAAAAF2+RmQ=")</f>
        <v>#REF!</v>
      </c>
      <c r="CX221" t="e">
        <f>AND(#REF!,"AAAAAF2+RmU=")</f>
        <v>#REF!</v>
      </c>
      <c r="CY221" t="e">
        <f>AND(#REF!,"AAAAAF2+RmY=")</f>
        <v>#REF!</v>
      </c>
      <c r="CZ221" t="e">
        <f>AND(#REF!,"AAAAAF2+Rmc=")</f>
        <v>#REF!</v>
      </c>
      <c r="DA221" t="e">
        <f>AND(#REF!,"AAAAAF2+Rmg=")</f>
        <v>#REF!</v>
      </c>
      <c r="DB221" t="e">
        <f>AND(#REF!,"AAAAAF2+Rmk=")</f>
        <v>#REF!</v>
      </c>
      <c r="DC221" t="e">
        <f>AND(#REF!,"AAAAAF2+Rmo=")</f>
        <v>#REF!</v>
      </c>
      <c r="DD221" t="e">
        <f>IF(#REF!,"AAAAAF2+Rms=",0)</f>
        <v>#REF!</v>
      </c>
      <c r="DE221" t="e">
        <f>AND(#REF!,"AAAAAF2+Rmw=")</f>
        <v>#REF!</v>
      </c>
      <c r="DF221" t="e">
        <f>AND(#REF!,"AAAAAF2+Rm0=")</f>
        <v>#REF!</v>
      </c>
      <c r="DG221" t="e">
        <f>AND(#REF!,"AAAAAF2+Rm4=")</f>
        <v>#REF!</v>
      </c>
      <c r="DH221" t="e">
        <f>AND(#REF!,"AAAAAF2+Rm8=")</f>
        <v>#REF!</v>
      </c>
      <c r="DI221" t="e">
        <f>AND(#REF!,"AAAAAF2+RnA=")</f>
        <v>#REF!</v>
      </c>
      <c r="DJ221" t="e">
        <f>AND(#REF!,"AAAAAF2+RnE=")</f>
        <v>#REF!</v>
      </c>
      <c r="DK221" t="e">
        <f>AND(#REF!,"AAAAAF2+RnI=")</f>
        <v>#REF!</v>
      </c>
      <c r="DL221" t="e">
        <f>AND(#REF!,"AAAAAF2+RnM=")</f>
        <v>#REF!</v>
      </c>
      <c r="DM221" t="e">
        <f>AND(#REF!,"AAAAAF2+RnQ=")</f>
        <v>#REF!</v>
      </c>
      <c r="DN221" t="e">
        <f>AND(#REF!,"AAAAAF2+RnU=")</f>
        <v>#REF!</v>
      </c>
      <c r="DO221" t="e">
        <f>AND(#REF!,"AAAAAF2+RnY=")</f>
        <v>#REF!</v>
      </c>
      <c r="DP221" t="e">
        <f>AND(#REF!,"AAAAAF2+Rnc=")</f>
        <v>#REF!</v>
      </c>
      <c r="DQ221" t="e">
        <f>AND(#REF!,"AAAAAF2+Rng=")</f>
        <v>#REF!</v>
      </c>
      <c r="DR221" t="e">
        <f>AND(#REF!,"AAAAAF2+Rnk=")</f>
        <v>#REF!</v>
      </c>
      <c r="DS221" t="e">
        <f>AND(#REF!,"AAAAAF2+Rno=")</f>
        <v>#REF!</v>
      </c>
      <c r="DT221" t="e">
        <f>AND(#REF!,"AAAAAF2+Rns=")</f>
        <v>#REF!</v>
      </c>
      <c r="DU221" t="e">
        <f>AND(#REF!,"AAAAAF2+Rnw=")</f>
        <v>#REF!</v>
      </c>
      <c r="DV221" t="e">
        <f>AND(#REF!,"AAAAAF2+Rn0=")</f>
        <v>#REF!</v>
      </c>
      <c r="DW221" t="e">
        <f>AND(#REF!,"AAAAAF2+Rn4=")</f>
        <v>#REF!</v>
      </c>
      <c r="DX221" t="e">
        <f>AND(#REF!,"AAAAAF2+Rn8=")</f>
        <v>#REF!</v>
      </c>
      <c r="DY221" t="e">
        <f>AND(#REF!,"AAAAAF2+RoA=")</f>
        <v>#REF!</v>
      </c>
      <c r="DZ221" t="e">
        <f>AND(#REF!,"AAAAAF2+RoE=")</f>
        <v>#REF!</v>
      </c>
      <c r="EA221" t="e">
        <f>AND(#REF!,"AAAAAF2+RoI=")</f>
        <v>#REF!</v>
      </c>
      <c r="EB221" t="e">
        <f>AND(#REF!,"AAAAAF2+RoM=")</f>
        <v>#REF!</v>
      </c>
      <c r="EC221" t="e">
        <f>AND(#REF!,"AAAAAF2+RoQ=")</f>
        <v>#REF!</v>
      </c>
      <c r="ED221" t="e">
        <f>AND(#REF!,"AAAAAF2+RoU=")</f>
        <v>#REF!</v>
      </c>
      <c r="EE221" t="e">
        <f>AND(#REF!,"AAAAAF2+RoY=")</f>
        <v>#REF!</v>
      </c>
      <c r="EF221" t="e">
        <f>AND(#REF!,"AAAAAF2+Roc=")</f>
        <v>#REF!</v>
      </c>
      <c r="EG221" t="e">
        <f>AND(#REF!,"AAAAAF2+Rog=")</f>
        <v>#REF!</v>
      </c>
      <c r="EH221" t="e">
        <f>AND(#REF!,"AAAAAF2+Rok=")</f>
        <v>#REF!</v>
      </c>
      <c r="EI221" t="e">
        <f>AND(#REF!,"AAAAAF2+Roo=")</f>
        <v>#REF!</v>
      </c>
      <c r="EJ221" t="e">
        <f>AND(#REF!,"AAAAAF2+Ros=")</f>
        <v>#REF!</v>
      </c>
      <c r="EK221" t="e">
        <f>AND(#REF!,"AAAAAF2+Row=")</f>
        <v>#REF!</v>
      </c>
      <c r="EL221" t="e">
        <f>IF(#REF!,"AAAAAF2+Ro0=",0)</f>
        <v>#REF!</v>
      </c>
      <c r="EM221" t="e">
        <f>AND(#REF!,"AAAAAF2+Ro4=")</f>
        <v>#REF!</v>
      </c>
      <c r="EN221" t="e">
        <f>AND(#REF!,"AAAAAF2+Ro8=")</f>
        <v>#REF!</v>
      </c>
      <c r="EO221" t="e">
        <f>AND(#REF!,"AAAAAF2+RpA=")</f>
        <v>#REF!</v>
      </c>
      <c r="EP221" t="e">
        <f>AND(#REF!,"AAAAAF2+RpE=")</f>
        <v>#REF!</v>
      </c>
      <c r="EQ221" t="e">
        <f>AND(#REF!,"AAAAAF2+RpI=")</f>
        <v>#REF!</v>
      </c>
      <c r="ER221" t="e">
        <f>AND(#REF!,"AAAAAF2+RpM=")</f>
        <v>#REF!</v>
      </c>
      <c r="ES221" t="e">
        <f>AND(#REF!,"AAAAAF2+RpQ=")</f>
        <v>#REF!</v>
      </c>
      <c r="ET221" t="e">
        <f>AND(#REF!,"AAAAAF2+RpU=")</f>
        <v>#REF!</v>
      </c>
      <c r="EU221" t="e">
        <f>AND(#REF!,"AAAAAF2+RpY=")</f>
        <v>#REF!</v>
      </c>
      <c r="EV221" t="e">
        <f>AND(#REF!,"AAAAAF2+Rpc=")</f>
        <v>#REF!</v>
      </c>
      <c r="EW221" t="e">
        <f>AND(#REF!,"AAAAAF2+Rpg=")</f>
        <v>#REF!</v>
      </c>
      <c r="EX221" t="e">
        <f>AND(#REF!,"AAAAAF2+Rpk=")</f>
        <v>#REF!</v>
      </c>
      <c r="EY221" t="e">
        <f>AND(#REF!,"AAAAAF2+Rpo=")</f>
        <v>#REF!</v>
      </c>
      <c r="EZ221" t="e">
        <f>AND(#REF!,"AAAAAF2+Rps=")</f>
        <v>#REF!</v>
      </c>
      <c r="FA221" t="e">
        <f>AND(#REF!,"AAAAAF2+Rpw=")</f>
        <v>#REF!</v>
      </c>
      <c r="FB221" t="e">
        <f>AND(#REF!,"AAAAAF2+Rp0=")</f>
        <v>#REF!</v>
      </c>
      <c r="FC221" t="e">
        <f>AND(#REF!,"AAAAAF2+Rp4=")</f>
        <v>#REF!</v>
      </c>
      <c r="FD221" t="e">
        <f>AND(#REF!,"AAAAAF2+Rp8=")</f>
        <v>#REF!</v>
      </c>
      <c r="FE221" t="e">
        <f>AND(#REF!,"AAAAAF2+RqA=")</f>
        <v>#REF!</v>
      </c>
      <c r="FF221" t="e">
        <f>AND(#REF!,"AAAAAF2+RqE=")</f>
        <v>#REF!</v>
      </c>
      <c r="FG221" t="e">
        <f>AND(#REF!,"AAAAAF2+RqI=")</f>
        <v>#REF!</v>
      </c>
      <c r="FH221" t="e">
        <f>AND(#REF!,"AAAAAF2+RqM=")</f>
        <v>#REF!</v>
      </c>
      <c r="FI221" t="e">
        <f>AND(#REF!,"AAAAAF2+RqQ=")</f>
        <v>#REF!</v>
      </c>
      <c r="FJ221" t="e">
        <f>AND(#REF!,"AAAAAF2+RqU=")</f>
        <v>#REF!</v>
      </c>
      <c r="FK221" t="e">
        <f>AND(#REF!,"AAAAAF2+RqY=")</f>
        <v>#REF!</v>
      </c>
      <c r="FL221" t="e">
        <f>AND(#REF!,"AAAAAF2+Rqc=")</f>
        <v>#REF!</v>
      </c>
      <c r="FM221" t="e">
        <f>AND(#REF!,"AAAAAF2+Rqg=")</f>
        <v>#REF!</v>
      </c>
      <c r="FN221" t="e">
        <f>AND(#REF!,"AAAAAF2+Rqk=")</f>
        <v>#REF!</v>
      </c>
      <c r="FO221" t="e">
        <f>AND(#REF!,"AAAAAF2+Rqo=")</f>
        <v>#REF!</v>
      </c>
      <c r="FP221" t="e">
        <f>AND(#REF!,"AAAAAF2+Rqs=")</f>
        <v>#REF!</v>
      </c>
      <c r="FQ221" t="e">
        <f>AND(#REF!,"AAAAAF2+Rqw=")</f>
        <v>#REF!</v>
      </c>
      <c r="FR221" t="e">
        <f>AND(#REF!,"AAAAAF2+Rq0=")</f>
        <v>#REF!</v>
      </c>
      <c r="FS221" t="e">
        <f>AND(#REF!,"AAAAAF2+Rq4=")</f>
        <v>#REF!</v>
      </c>
      <c r="FT221" t="e">
        <f>IF(#REF!,"AAAAAF2+Rq8=",0)</f>
        <v>#REF!</v>
      </c>
      <c r="FU221" t="e">
        <f>AND(#REF!,"AAAAAF2+RrA=")</f>
        <v>#REF!</v>
      </c>
      <c r="FV221" t="e">
        <f>AND(#REF!,"AAAAAF2+RrE=")</f>
        <v>#REF!</v>
      </c>
      <c r="FW221" t="e">
        <f>AND(#REF!,"AAAAAF2+RrI=")</f>
        <v>#REF!</v>
      </c>
      <c r="FX221" t="e">
        <f>AND(#REF!,"AAAAAF2+RrM=")</f>
        <v>#REF!</v>
      </c>
      <c r="FY221" t="e">
        <f>AND(#REF!,"AAAAAF2+RrQ=")</f>
        <v>#REF!</v>
      </c>
      <c r="FZ221" t="e">
        <f>AND(#REF!,"AAAAAF2+RrU=")</f>
        <v>#REF!</v>
      </c>
      <c r="GA221" t="e">
        <f>AND(#REF!,"AAAAAF2+RrY=")</f>
        <v>#REF!</v>
      </c>
      <c r="GB221" t="e">
        <f>AND(#REF!,"AAAAAF2+Rrc=")</f>
        <v>#REF!</v>
      </c>
      <c r="GC221" t="e">
        <f>AND(#REF!,"AAAAAF2+Rrg=")</f>
        <v>#REF!</v>
      </c>
      <c r="GD221" t="e">
        <f>AND(#REF!,"AAAAAF2+Rrk=")</f>
        <v>#REF!</v>
      </c>
      <c r="GE221" t="e">
        <f>AND(#REF!,"AAAAAF2+Rro=")</f>
        <v>#REF!</v>
      </c>
      <c r="GF221" t="e">
        <f>AND(#REF!,"AAAAAF2+Rrs=")</f>
        <v>#REF!</v>
      </c>
      <c r="GG221" t="e">
        <f>AND(#REF!,"AAAAAF2+Rrw=")</f>
        <v>#REF!</v>
      </c>
      <c r="GH221" t="e">
        <f>AND(#REF!,"AAAAAF2+Rr0=")</f>
        <v>#REF!</v>
      </c>
      <c r="GI221" t="e">
        <f>AND(#REF!,"AAAAAF2+Rr4=")</f>
        <v>#REF!</v>
      </c>
      <c r="GJ221" t="e">
        <f>AND(#REF!,"AAAAAF2+Rr8=")</f>
        <v>#REF!</v>
      </c>
      <c r="GK221" t="e">
        <f>AND(#REF!,"AAAAAF2+RsA=")</f>
        <v>#REF!</v>
      </c>
      <c r="GL221" t="e">
        <f>AND(#REF!,"AAAAAF2+RsE=")</f>
        <v>#REF!</v>
      </c>
      <c r="GM221" t="e">
        <f>AND(#REF!,"AAAAAF2+RsI=")</f>
        <v>#REF!</v>
      </c>
      <c r="GN221" t="e">
        <f>AND(#REF!,"AAAAAF2+RsM=")</f>
        <v>#REF!</v>
      </c>
      <c r="GO221" t="e">
        <f>AND(#REF!,"AAAAAF2+RsQ=")</f>
        <v>#REF!</v>
      </c>
      <c r="GP221" t="e">
        <f>AND(#REF!,"AAAAAF2+RsU=")</f>
        <v>#REF!</v>
      </c>
      <c r="GQ221" t="e">
        <f>AND(#REF!,"AAAAAF2+RsY=")</f>
        <v>#REF!</v>
      </c>
      <c r="GR221" t="e">
        <f>AND(#REF!,"AAAAAF2+Rsc=")</f>
        <v>#REF!</v>
      </c>
      <c r="GS221" t="e">
        <f>AND(#REF!,"AAAAAF2+Rsg=")</f>
        <v>#REF!</v>
      </c>
      <c r="GT221" t="e">
        <f>AND(#REF!,"AAAAAF2+Rsk=")</f>
        <v>#REF!</v>
      </c>
      <c r="GU221" t="e">
        <f>AND(#REF!,"AAAAAF2+Rso=")</f>
        <v>#REF!</v>
      </c>
      <c r="GV221" t="e">
        <f>AND(#REF!,"AAAAAF2+Rss=")</f>
        <v>#REF!</v>
      </c>
      <c r="GW221" t="e">
        <f>AND(#REF!,"AAAAAF2+Rsw=")</f>
        <v>#REF!</v>
      </c>
      <c r="GX221" t="e">
        <f>AND(#REF!,"AAAAAF2+Rs0=")</f>
        <v>#REF!</v>
      </c>
      <c r="GY221" t="e">
        <f>AND(#REF!,"AAAAAF2+Rs4=")</f>
        <v>#REF!</v>
      </c>
      <c r="GZ221" t="e">
        <f>AND(#REF!,"AAAAAF2+Rs8=")</f>
        <v>#REF!</v>
      </c>
      <c r="HA221" t="e">
        <f>AND(#REF!,"AAAAAF2+RtA=")</f>
        <v>#REF!</v>
      </c>
      <c r="HB221" t="e">
        <f>IF(#REF!,"AAAAAF2+RtE=",0)</f>
        <v>#REF!</v>
      </c>
      <c r="HC221" t="e">
        <f>AND(#REF!,"AAAAAF2+RtI=")</f>
        <v>#REF!</v>
      </c>
      <c r="HD221" t="e">
        <f>AND(#REF!,"AAAAAF2+RtM=")</f>
        <v>#REF!</v>
      </c>
      <c r="HE221" t="e">
        <f>AND(#REF!,"AAAAAF2+RtQ=")</f>
        <v>#REF!</v>
      </c>
      <c r="HF221" t="e">
        <f>AND(#REF!,"AAAAAF2+RtU=")</f>
        <v>#REF!</v>
      </c>
      <c r="HG221" t="e">
        <f>AND(#REF!,"AAAAAF2+RtY=")</f>
        <v>#REF!</v>
      </c>
      <c r="HH221" t="e">
        <f>AND(#REF!,"AAAAAF2+Rtc=")</f>
        <v>#REF!</v>
      </c>
      <c r="HI221" t="e">
        <f>AND(#REF!,"AAAAAF2+Rtg=")</f>
        <v>#REF!</v>
      </c>
      <c r="HJ221" t="e">
        <f>AND(#REF!,"AAAAAF2+Rtk=")</f>
        <v>#REF!</v>
      </c>
      <c r="HK221" t="e">
        <f>AND(#REF!,"AAAAAF2+Rto=")</f>
        <v>#REF!</v>
      </c>
      <c r="HL221" t="e">
        <f>AND(#REF!,"AAAAAF2+Rts=")</f>
        <v>#REF!</v>
      </c>
      <c r="HM221" t="e">
        <f>AND(#REF!,"AAAAAF2+Rtw=")</f>
        <v>#REF!</v>
      </c>
      <c r="HN221" t="e">
        <f>AND(#REF!,"AAAAAF2+Rt0=")</f>
        <v>#REF!</v>
      </c>
      <c r="HO221" t="e">
        <f>AND(#REF!,"AAAAAF2+Rt4=")</f>
        <v>#REF!</v>
      </c>
      <c r="HP221" t="e">
        <f>AND(#REF!,"AAAAAF2+Rt8=")</f>
        <v>#REF!</v>
      </c>
      <c r="HQ221" t="e">
        <f>AND(#REF!,"AAAAAF2+RuA=")</f>
        <v>#REF!</v>
      </c>
      <c r="HR221" t="e">
        <f>AND(#REF!,"AAAAAF2+RuE=")</f>
        <v>#REF!</v>
      </c>
      <c r="HS221" t="e">
        <f>AND(#REF!,"AAAAAF2+RuI=")</f>
        <v>#REF!</v>
      </c>
      <c r="HT221" t="e">
        <f>AND(#REF!,"AAAAAF2+RuM=")</f>
        <v>#REF!</v>
      </c>
      <c r="HU221" t="e">
        <f>AND(#REF!,"AAAAAF2+RuQ=")</f>
        <v>#REF!</v>
      </c>
      <c r="HV221" t="e">
        <f>AND(#REF!,"AAAAAF2+RuU=")</f>
        <v>#REF!</v>
      </c>
      <c r="HW221" t="e">
        <f>AND(#REF!,"AAAAAF2+RuY=")</f>
        <v>#REF!</v>
      </c>
      <c r="HX221" t="e">
        <f>AND(#REF!,"AAAAAF2+Ruc=")</f>
        <v>#REF!</v>
      </c>
      <c r="HY221" t="e">
        <f>AND(#REF!,"AAAAAF2+Rug=")</f>
        <v>#REF!</v>
      </c>
      <c r="HZ221" t="e">
        <f>AND(#REF!,"AAAAAF2+Ruk=")</f>
        <v>#REF!</v>
      </c>
      <c r="IA221" t="e">
        <f>AND(#REF!,"AAAAAF2+Ruo=")</f>
        <v>#REF!</v>
      </c>
      <c r="IB221" t="e">
        <f>AND(#REF!,"AAAAAF2+Rus=")</f>
        <v>#REF!</v>
      </c>
      <c r="IC221" t="e">
        <f>AND(#REF!,"AAAAAF2+Ruw=")</f>
        <v>#REF!</v>
      </c>
      <c r="ID221" t="e">
        <f>AND(#REF!,"AAAAAF2+Ru0=")</f>
        <v>#REF!</v>
      </c>
      <c r="IE221" t="e">
        <f>AND(#REF!,"AAAAAF2+Ru4=")</f>
        <v>#REF!</v>
      </c>
      <c r="IF221" t="e">
        <f>AND(#REF!,"AAAAAF2+Ru8=")</f>
        <v>#REF!</v>
      </c>
      <c r="IG221" t="e">
        <f>AND(#REF!,"AAAAAF2+RvA=")</f>
        <v>#REF!</v>
      </c>
      <c r="IH221" t="e">
        <f>AND(#REF!,"AAAAAF2+RvE=")</f>
        <v>#REF!</v>
      </c>
      <c r="II221" t="e">
        <f>AND(#REF!,"AAAAAF2+RvI=")</f>
        <v>#REF!</v>
      </c>
      <c r="IJ221" t="e">
        <f>IF(#REF!,"AAAAAF2+RvM=",0)</f>
        <v>#REF!</v>
      </c>
      <c r="IK221" t="e">
        <f>AND(#REF!,"AAAAAF2+RvQ=")</f>
        <v>#REF!</v>
      </c>
      <c r="IL221" t="e">
        <f>AND(#REF!,"AAAAAF2+RvU=")</f>
        <v>#REF!</v>
      </c>
      <c r="IM221" t="e">
        <f>AND(#REF!,"AAAAAF2+RvY=")</f>
        <v>#REF!</v>
      </c>
      <c r="IN221" t="e">
        <f>AND(#REF!,"AAAAAF2+Rvc=")</f>
        <v>#REF!</v>
      </c>
      <c r="IO221" t="e">
        <f>AND(#REF!,"AAAAAF2+Rvg=")</f>
        <v>#REF!</v>
      </c>
      <c r="IP221" t="e">
        <f>AND(#REF!,"AAAAAF2+Rvk=")</f>
        <v>#REF!</v>
      </c>
      <c r="IQ221" t="e">
        <f>AND(#REF!,"AAAAAF2+Rvo=")</f>
        <v>#REF!</v>
      </c>
      <c r="IR221" t="e">
        <f>AND(#REF!,"AAAAAF2+Rvs=")</f>
        <v>#REF!</v>
      </c>
      <c r="IS221" t="e">
        <f>AND(#REF!,"AAAAAF2+Rvw=")</f>
        <v>#REF!</v>
      </c>
      <c r="IT221" t="e">
        <f>AND(#REF!,"AAAAAF2+Rv0=")</f>
        <v>#REF!</v>
      </c>
      <c r="IU221" t="e">
        <f>AND(#REF!,"AAAAAF2+Rv4=")</f>
        <v>#REF!</v>
      </c>
      <c r="IV221" t="e">
        <f>AND(#REF!,"AAAAAF2+Rv8=")</f>
        <v>#REF!</v>
      </c>
    </row>
    <row r="222" spans="1:256" x14ac:dyDescent="0.2">
      <c r="A222" t="e">
        <f>AND(#REF!,"AAAAAH95+QA=")</f>
        <v>#REF!</v>
      </c>
      <c r="B222" t="e">
        <f>AND(#REF!,"AAAAAH95+QE=")</f>
        <v>#REF!</v>
      </c>
      <c r="C222" t="e">
        <f>AND(#REF!,"AAAAAH95+QI=")</f>
        <v>#REF!</v>
      </c>
      <c r="D222" t="e">
        <f>AND(#REF!,"AAAAAH95+QM=")</f>
        <v>#REF!</v>
      </c>
      <c r="E222" t="e">
        <f>AND(#REF!,"AAAAAH95+QQ=")</f>
        <v>#REF!</v>
      </c>
      <c r="F222" t="e">
        <f>AND(#REF!,"AAAAAH95+QU=")</f>
        <v>#REF!</v>
      </c>
      <c r="G222" t="e">
        <f>AND(#REF!,"AAAAAH95+QY=")</f>
        <v>#REF!</v>
      </c>
      <c r="H222" t="e">
        <f>AND(#REF!,"AAAAAH95+Qc=")</f>
        <v>#REF!</v>
      </c>
      <c r="I222" t="e">
        <f>AND(#REF!,"AAAAAH95+Qg=")</f>
        <v>#REF!</v>
      </c>
      <c r="J222" t="e">
        <f>AND(#REF!,"AAAAAH95+Qk=")</f>
        <v>#REF!</v>
      </c>
      <c r="K222" t="e">
        <f>AND(#REF!,"AAAAAH95+Qo=")</f>
        <v>#REF!</v>
      </c>
      <c r="L222" t="e">
        <f>AND(#REF!,"AAAAAH95+Qs=")</f>
        <v>#REF!</v>
      </c>
      <c r="M222" t="e">
        <f>AND(#REF!,"AAAAAH95+Qw=")</f>
        <v>#REF!</v>
      </c>
      <c r="N222" t="e">
        <f>AND(#REF!,"AAAAAH95+Q0=")</f>
        <v>#REF!</v>
      </c>
      <c r="O222" t="e">
        <f>AND(#REF!,"AAAAAH95+Q4=")</f>
        <v>#REF!</v>
      </c>
      <c r="P222" t="e">
        <f>AND(#REF!,"AAAAAH95+Q8=")</f>
        <v>#REF!</v>
      </c>
      <c r="Q222" t="e">
        <f>AND(#REF!,"AAAAAH95+RA=")</f>
        <v>#REF!</v>
      </c>
      <c r="R222" t="e">
        <f>AND(#REF!,"AAAAAH95+RE=")</f>
        <v>#REF!</v>
      </c>
      <c r="S222" t="e">
        <f>AND(#REF!,"AAAAAH95+RI=")</f>
        <v>#REF!</v>
      </c>
      <c r="T222" t="e">
        <f>AND(#REF!,"AAAAAH95+RM=")</f>
        <v>#REF!</v>
      </c>
      <c r="U222" t="e">
        <f>AND(#REF!,"AAAAAH95+RQ=")</f>
        <v>#REF!</v>
      </c>
      <c r="V222" t="e">
        <f>IF(#REF!,"AAAAAH95+RU=",0)</f>
        <v>#REF!</v>
      </c>
      <c r="W222" t="e">
        <f>AND(#REF!,"AAAAAH95+RY=")</f>
        <v>#REF!</v>
      </c>
      <c r="X222" t="e">
        <f>AND(#REF!,"AAAAAH95+Rc=")</f>
        <v>#REF!</v>
      </c>
      <c r="Y222" t="e">
        <f>AND(#REF!,"AAAAAH95+Rg=")</f>
        <v>#REF!</v>
      </c>
      <c r="Z222" t="e">
        <f>AND(#REF!,"AAAAAH95+Rk=")</f>
        <v>#REF!</v>
      </c>
      <c r="AA222" t="e">
        <f>AND(#REF!,"AAAAAH95+Ro=")</f>
        <v>#REF!</v>
      </c>
      <c r="AB222" t="e">
        <f>AND(#REF!,"AAAAAH95+Rs=")</f>
        <v>#REF!</v>
      </c>
      <c r="AC222" t="e">
        <f>AND(#REF!,"AAAAAH95+Rw=")</f>
        <v>#REF!</v>
      </c>
      <c r="AD222" t="e">
        <f>AND(#REF!,"AAAAAH95+R0=")</f>
        <v>#REF!</v>
      </c>
      <c r="AE222" t="e">
        <f>AND(#REF!,"AAAAAH95+R4=")</f>
        <v>#REF!</v>
      </c>
      <c r="AF222" t="e">
        <f>AND(#REF!,"AAAAAH95+R8=")</f>
        <v>#REF!</v>
      </c>
      <c r="AG222" t="e">
        <f>AND(#REF!,"AAAAAH95+SA=")</f>
        <v>#REF!</v>
      </c>
      <c r="AH222" t="e">
        <f>AND(#REF!,"AAAAAH95+SE=")</f>
        <v>#REF!</v>
      </c>
      <c r="AI222" t="e">
        <f>AND(#REF!,"AAAAAH95+SI=")</f>
        <v>#REF!</v>
      </c>
      <c r="AJ222" t="e">
        <f>AND(#REF!,"AAAAAH95+SM=")</f>
        <v>#REF!</v>
      </c>
      <c r="AK222" t="e">
        <f>AND(#REF!,"AAAAAH95+SQ=")</f>
        <v>#REF!</v>
      </c>
      <c r="AL222" t="e">
        <f>AND(#REF!,"AAAAAH95+SU=")</f>
        <v>#REF!</v>
      </c>
      <c r="AM222" t="e">
        <f>AND(#REF!,"AAAAAH95+SY=")</f>
        <v>#REF!</v>
      </c>
      <c r="AN222" t="e">
        <f>AND(#REF!,"AAAAAH95+Sc=")</f>
        <v>#REF!</v>
      </c>
      <c r="AO222" t="e">
        <f>AND(#REF!,"AAAAAH95+Sg=")</f>
        <v>#REF!</v>
      </c>
      <c r="AP222" t="e">
        <f>AND(#REF!,"AAAAAH95+Sk=")</f>
        <v>#REF!</v>
      </c>
      <c r="AQ222" t="e">
        <f>AND(#REF!,"AAAAAH95+So=")</f>
        <v>#REF!</v>
      </c>
      <c r="AR222" t="e">
        <f>AND(#REF!,"AAAAAH95+Ss=")</f>
        <v>#REF!</v>
      </c>
      <c r="AS222" t="e">
        <f>AND(#REF!,"AAAAAH95+Sw=")</f>
        <v>#REF!</v>
      </c>
      <c r="AT222" t="e">
        <f>AND(#REF!,"AAAAAH95+S0=")</f>
        <v>#REF!</v>
      </c>
      <c r="AU222" t="e">
        <f>AND(#REF!,"AAAAAH95+S4=")</f>
        <v>#REF!</v>
      </c>
      <c r="AV222" t="e">
        <f>AND(#REF!,"AAAAAH95+S8=")</f>
        <v>#REF!</v>
      </c>
      <c r="AW222" t="e">
        <f>AND(#REF!,"AAAAAH95+TA=")</f>
        <v>#REF!</v>
      </c>
      <c r="AX222" t="e">
        <f>AND(#REF!,"AAAAAH95+TE=")</f>
        <v>#REF!</v>
      </c>
      <c r="AY222" t="e">
        <f>AND(#REF!,"AAAAAH95+TI=")</f>
        <v>#REF!</v>
      </c>
      <c r="AZ222" t="e">
        <f>AND(#REF!,"AAAAAH95+TM=")</f>
        <v>#REF!</v>
      </c>
      <c r="BA222" t="e">
        <f>AND(#REF!,"AAAAAH95+TQ=")</f>
        <v>#REF!</v>
      </c>
      <c r="BB222" t="e">
        <f>AND(#REF!,"AAAAAH95+TU=")</f>
        <v>#REF!</v>
      </c>
      <c r="BC222" t="e">
        <f>AND(#REF!,"AAAAAH95+TY=")</f>
        <v>#REF!</v>
      </c>
      <c r="BD222" t="e">
        <f>IF(#REF!,"AAAAAH95+Tc=",0)</f>
        <v>#REF!</v>
      </c>
      <c r="BE222" t="e">
        <f>AND(#REF!,"AAAAAH95+Tg=")</f>
        <v>#REF!</v>
      </c>
      <c r="BF222" t="e">
        <f>AND(#REF!,"AAAAAH95+Tk=")</f>
        <v>#REF!</v>
      </c>
      <c r="BG222" t="e">
        <f>AND(#REF!,"AAAAAH95+To=")</f>
        <v>#REF!</v>
      </c>
      <c r="BH222" t="e">
        <f>AND(#REF!,"AAAAAH95+Ts=")</f>
        <v>#REF!</v>
      </c>
      <c r="BI222" t="e">
        <f>AND(#REF!,"AAAAAH95+Tw=")</f>
        <v>#REF!</v>
      </c>
      <c r="BJ222" t="e">
        <f>AND(#REF!,"AAAAAH95+T0=")</f>
        <v>#REF!</v>
      </c>
      <c r="BK222" t="e">
        <f>AND(#REF!,"AAAAAH95+T4=")</f>
        <v>#REF!</v>
      </c>
      <c r="BL222" t="e">
        <f>AND(#REF!,"AAAAAH95+T8=")</f>
        <v>#REF!</v>
      </c>
      <c r="BM222" t="e">
        <f>AND(#REF!,"AAAAAH95+UA=")</f>
        <v>#REF!</v>
      </c>
      <c r="BN222" t="e">
        <f>AND(#REF!,"AAAAAH95+UE=")</f>
        <v>#REF!</v>
      </c>
      <c r="BO222" t="e">
        <f>AND(#REF!,"AAAAAH95+UI=")</f>
        <v>#REF!</v>
      </c>
      <c r="BP222" t="e">
        <f>AND(#REF!,"AAAAAH95+UM=")</f>
        <v>#REF!</v>
      </c>
      <c r="BQ222" t="e">
        <f>AND(#REF!,"AAAAAH95+UQ=")</f>
        <v>#REF!</v>
      </c>
      <c r="BR222" t="e">
        <f>AND(#REF!,"AAAAAH95+UU=")</f>
        <v>#REF!</v>
      </c>
      <c r="BS222" t="e">
        <f>AND(#REF!,"AAAAAH95+UY=")</f>
        <v>#REF!</v>
      </c>
      <c r="BT222" t="e">
        <f>AND(#REF!,"AAAAAH95+Uc=")</f>
        <v>#REF!</v>
      </c>
      <c r="BU222" t="e">
        <f>AND(#REF!,"AAAAAH95+Ug=")</f>
        <v>#REF!</v>
      </c>
      <c r="BV222" t="e">
        <f>AND(#REF!,"AAAAAH95+Uk=")</f>
        <v>#REF!</v>
      </c>
      <c r="BW222" t="e">
        <f>AND(#REF!,"AAAAAH95+Uo=")</f>
        <v>#REF!</v>
      </c>
      <c r="BX222" t="e">
        <f>AND(#REF!,"AAAAAH95+Us=")</f>
        <v>#REF!</v>
      </c>
      <c r="BY222" t="e">
        <f>AND(#REF!,"AAAAAH95+Uw=")</f>
        <v>#REF!</v>
      </c>
      <c r="BZ222" t="e">
        <f>AND(#REF!,"AAAAAH95+U0=")</f>
        <v>#REF!</v>
      </c>
      <c r="CA222" t="e">
        <f>AND(#REF!,"AAAAAH95+U4=")</f>
        <v>#REF!</v>
      </c>
      <c r="CB222" t="e">
        <f>AND(#REF!,"AAAAAH95+U8=")</f>
        <v>#REF!</v>
      </c>
      <c r="CC222" t="e">
        <f>AND(#REF!,"AAAAAH95+VA=")</f>
        <v>#REF!</v>
      </c>
      <c r="CD222" t="e">
        <f>AND(#REF!,"AAAAAH95+VE=")</f>
        <v>#REF!</v>
      </c>
      <c r="CE222" t="e">
        <f>AND(#REF!,"AAAAAH95+VI=")</f>
        <v>#REF!</v>
      </c>
      <c r="CF222" t="e">
        <f>AND(#REF!,"AAAAAH95+VM=")</f>
        <v>#REF!</v>
      </c>
      <c r="CG222" t="e">
        <f>AND(#REF!,"AAAAAH95+VQ=")</f>
        <v>#REF!</v>
      </c>
      <c r="CH222" t="e">
        <f>AND(#REF!,"AAAAAH95+VU=")</f>
        <v>#REF!</v>
      </c>
      <c r="CI222" t="e">
        <f>AND(#REF!,"AAAAAH95+VY=")</f>
        <v>#REF!</v>
      </c>
      <c r="CJ222" t="e">
        <f>AND(#REF!,"AAAAAH95+Vc=")</f>
        <v>#REF!</v>
      </c>
      <c r="CK222" t="e">
        <f>AND(#REF!,"AAAAAH95+Vg=")</f>
        <v>#REF!</v>
      </c>
      <c r="CL222" t="e">
        <f>IF(#REF!,"AAAAAH95+Vk=",0)</f>
        <v>#REF!</v>
      </c>
      <c r="CM222" t="e">
        <f>AND(#REF!,"AAAAAH95+Vo=")</f>
        <v>#REF!</v>
      </c>
      <c r="CN222" t="e">
        <f>AND(#REF!,"AAAAAH95+Vs=")</f>
        <v>#REF!</v>
      </c>
      <c r="CO222" t="e">
        <f>AND(#REF!,"AAAAAH95+Vw=")</f>
        <v>#REF!</v>
      </c>
      <c r="CP222" t="e">
        <f>AND(#REF!,"AAAAAH95+V0=")</f>
        <v>#REF!</v>
      </c>
      <c r="CQ222" t="e">
        <f>AND(#REF!,"AAAAAH95+V4=")</f>
        <v>#REF!</v>
      </c>
      <c r="CR222" t="e">
        <f>AND(#REF!,"AAAAAH95+V8=")</f>
        <v>#REF!</v>
      </c>
      <c r="CS222" t="e">
        <f>AND(#REF!,"AAAAAH95+WA=")</f>
        <v>#REF!</v>
      </c>
      <c r="CT222" t="e">
        <f>AND(#REF!,"AAAAAH95+WE=")</f>
        <v>#REF!</v>
      </c>
      <c r="CU222" t="e">
        <f>AND(#REF!,"AAAAAH95+WI=")</f>
        <v>#REF!</v>
      </c>
      <c r="CV222" t="e">
        <f>AND(#REF!,"AAAAAH95+WM=")</f>
        <v>#REF!</v>
      </c>
      <c r="CW222" t="e">
        <f>AND(#REF!,"AAAAAH95+WQ=")</f>
        <v>#REF!</v>
      </c>
      <c r="CX222" t="e">
        <f>AND(#REF!,"AAAAAH95+WU=")</f>
        <v>#REF!</v>
      </c>
      <c r="CY222" t="e">
        <f>AND(#REF!,"AAAAAH95+WY=")</f>
        <v>#REF!</v>
      </c>
      <c r="CZ222" t="e">
        <f>AND(#REF!,"AAAAAH95+Wc=")</f>
        <v>#REF!</v>
      </c>
      <c r="DA222" t="e">
        <f>AND(#REF!,"AAAAAH95+Wg=")</f>
        <v>#REF!</v>
      </c>
      <c r="DB222" t="e">
        <f>AND(#REF!,"AAAAAH95+Wk=")</f>
        <v>#REF!</v>
      </c>
      <c r="DC222" t="e">
        <f>AND(#REF!,"AAAAAH95+Wo=")</f>
        <v>#REF!</v>
      </c>
      <c r="DD222" t="e">
        <f>AND(#REF!,"AAAAAH95+Ws=")</f>
        <v>#REF!</v>
      </c>
      <c r="DE222" t="e">
        <f>AND(#REF!,"AAAAAH95+Ww=")</f>
        <v>#REF!</v>
      </c>
      <c r="DF222" t="e">
        <f>AND(#REF!,"AAAAAH95+W0=")</f>
        <v>#REF!</v>
      </c>
      <c r="DG222" t="e">
        <f>AND(#REF!,"AAAAAH95+W4=")</f>
        <v>#REF!</v>
      </c>
      <c r="DH222" t="e">
        <f>AND(#REF!,"AAAAAH95+W8=")</f>
        <v>#REF!</v>
      </c>
      <c r="DI222" t="e">
        <f>AND(#REF!,"AAAAAH95+XA=")</f>
        <v>#REF!</v>
      </c>
      <c r="DJ222" t="e">
        <f>AND(#REF!,"AAAAAH95+XE=")</f>
        <v>#REF!</v>
      </c>
      <c r="DK222" t="e">
        <f>AND(#REF!,"AAAAAH95+XI=")</f>
        <v>#REF!</v>
      </c>
      <c r="DL222" t="e">
        <f>AND(#REF!,"AAAAAH95+XM=")</f>
        <v>#REF!</v>
      </c>
      <c r="DM222" t="e">
        <f>AND(#REF!,"AAAAAH95+XQ=")</f>
        <v>#REF!</v>
      </c>
      <c r="DN222" t="e">
        <f>AND(#REF!,"AAAAAH95+XU=")</f>
        <v>#REF!</v>
      </c>
      <c r="DO222" t="e">
        <f>AND(#REF!,"AAAAAH95+XY=")</f>
        <v>#REF!</v>
      </c>
      <c r="DP222" t="e">
        <f>AND(#REF!,"AAAAAH95+Xc=")</f>
        <v>#REF!</v>
      </c>
      <c r="DQ222" t="e">
        <f>AND(#REF!,"AAAAAH95+Xg=")</f>
        <v>#REF!</v>
      </c>
      <c r="DR222" t="e">
        <f>AND(#REF!,"AAAAAH95+Xk=")</f>
        <v>#REF!</v>
      </c>
      <c r="DS222" t="e">
        <f>AND(#REF!,"AAAAAH95+Xo=")</f>
        <v>#REF!</v>
      </c>
      <c r="DT222" t="e">
        <f>IF(#REF!,"AAAAAH95+Xs=",0)</f>
        <v>#REF!</v>
      </c>
      <c r="DU222" t="e">
        <f>AND(#REF!,"AAAAAH95+Xw=")</f>
        <v>#REF!</v>
      </c>
      <c r="DV222" t="e">
        <f>AND(#REF!,"AAAAAH95+X0=")</f>
        <v>#REF!</v>
      </c>
      <c r="DW222" t="e">
        <f>AND(#REF!,"AAAAAH95+X4=")</f>
        <v>#REF!</v>
      </c>
      <c r="DX222" t="e">
        <f>AND(#REF!,"AAAAAH95+X8=")</f>
        <v>#REF!</v>
      </c>
      <c r="DY222" t="e">
        <f>AND(#REF!,"AAAAAH95+YA=")</f>
        <v>#REF!</v>
      </c>
      <c r="DZ222" t="e">
        <f>AND(#REF!,"AAAAAH95+YE=")</f>
        <v>#REF!</v>
      </c>
      <c r="EA222" t="e">
        <f>AND(#REF!,"AAAAAH95+YI=")</f>
        <v>#REF!</v>
      </c>
      <c r="EB222" t="e">
        <f>AND(#REF!,"AAAAAH95+YM=")</f>
        <v>#REF!</v>
      </c>
      <c r="EC222" t="e">
        <f>AND(#REF!,"AAAAAH95+YQ=")</f>
        <v>#REF!</v>
      </c>
      <c r="ED222" t="e">
        <f>AND(#REF!,"AAAAAH95+YU=")</f>
        <v>#REF!</v>
      </c>
      <c r="EE222" t="e">
        <f>AND(#REF!,"AAAAAH95+YY=")</f>
        <v>#REF!</v>
      </c>
      <c r="EF222" t="e">
        <f>AND(#REF!,"AAAAAH95+Yc=")</f>
        <v>#REF!</v>
      </c>
      <c r="EG222" t="e">
        <f>AND(#REF!,"AAAAAH95+Yg=")</f>
        <v>#REF!</v>
      </c>
      <c r="EH222" t="e">
        <f>AND(#REF!,"AAAAAH95+Yk=")</f>
        <v>#REF!</v>
      </c>
      <c r="EI222" t="e">
        <f>AND(#REF!,"AAAAAH95+Yo=")</f>
        <v>#REF!</v>
      </c>
      <c r="EJ222" t="e">
        <f>AND(#REF!,"AAAAAH95+Ys=")</f>
        <v>#REF!</v>
      </c>
      <c r="EK222" t="e">
        <f>AND(#REF!,"AAAAAH95+Yw=")</f>
        <v>#REF!</v>
      </c>
      <c r="EL222" t="e">
        <f>AND(#REF!,"AAAAAH95+Y0=")</f>
        <v>#REF!</v>
      </c>
      <c r="EM222" t="e">
        <f>AND(#REF!,"AAAAAH95+Y4=")</f>
        <v>#REF!</v>
      </c>
      <c r="EN222" t="e">
        <f>AND(#REF!,"AAAAAH95+Y8=")</f>
        <v>#REF!</v>
      </c>
      <c r="EO222" t="e">
        <f>AND(#REF!,"AAAAAH95+ZA=")</f>
        <v>#REF!</v>
      </c>
      <c r="EP222" t="e">
        <f>AND(#REF!,"AAAAAH95+ZE=")</f>
        <v>#REF!</v>
      </c>
      <c r="EQ222" t="e">
        <f>AND(#REF!,"AAAAAH95+ZI=")</f>
        <v>#REF!</v>
      </c>
      <c r="ER222" t="e">
        <f>AND(#REF!,"AAAAAH95+ZM=")</f>
        <v>#REF!</v>
      </c>
      <c r="ES222" t="e">
        <f>AND(#REF!,"AAAAAH95+ZQ=")</f>
        <v>#REF!</v>
      </c>
      <c r="ET222" t="e">
        <f>AND(#REF!,"AAAAAH95+ZU=")</f>
        <v>#REF!</v>
      </c>
      <c r="EU222" t="e">
        <f>AND(#REF!,"AAAAAH95+ZY=")</f>
        <v>#REF!</v>
      </c>
      <c r="EV222" t="e">
        <f>AND(#REF!,"AAAAAH95+Zc=")</f>
        <v>#REF!</v>
      </c>
      <c r="EW222" t="e">
        <f>AND(#REF!,"AAAAAH95+Zg=")</f>
        <v>#REF!</v>
      </c>
      <c r="EX222" t="e">
        <f>AND(#REF!,"AAAAAH95+Zk=")</f>
        <v>#REF!</v>
      </c>
      <c r="EY222" t="e">
        <f>AND(#REF!,"AAAAAH95+Zo=")</f>
        <v>#REF!</v>
      </c>
      <c r="EZ222" t="e">
        <f>AND(#REF!,"AAAAAH95+Zs=")</f>
        <v>#REF!</v>
      </c>
      <c r="FA222" t="e">
        <f>AND(#REF!,"AAAAAH95+Zw=")</f>
        <v>#REF!</v>
      </c>
      <c r="FB222" t="e">
        <f>IF(#REF!,"AAAAAH95+Z0=",0)</f>
        <v>#REF!</v>
      </c>
      <c r="FC222" t="e">
        <f>AND(#REF!,"AAAAAH95+Z4=")</f>
        <v>#REF!</v>
      </c>
      <c r="FD222" t="e">
        <f>AND(#REF!,"AAAAAH95+Z8=")</f>
        <v>#REF!</v>
      </c>
      <c r="FE222" t="e">
        <f>AND(#REF!,"AAAAAH95+aA=")</f>
        <v>#REF!</v>
      </c>
      <c r="FF222" t="e">
        <f>AND(#REF!,"AAAAAH95+aE=")</f>
        <v>#REF!</v>
      </c>
      <c r="FG222" t="e">
        <f>AND(#REF!,"AAAAAH95+aI=")</f>
        <v>#REF!</v>
      </c>
      <c r="FH222" t="e">
        <f>AND(#REF!,"AAAAAH95+aM=")</f>
        <v>#REF!</v>
      </c>
      <c r="FI222" t="e">
        <f>AND(#REF!,"AAAAAH95+aQ=")</f>
        <v>#REF!</v>
      </c>
      <c r="FJ222" t="e">
        <f>AND(#REF!,"AAAAAH95+aU=")</f>
        <v>#REF!</v>
      </c>
      <c r="FK222" t="e">
        <f>AND(#REF!,"AAAAAH95+aY=")</f>
        <v>#REF!</v>
      </c>
      <c r="FL222" t="e">
        <f>AND(#REF!,"AAAAAH95+ac=")</f>
        <v>#REF!</v>
      </c>
      <c r="FM222" t="e">
        <f>AND(#REF!,"AAAAAH95+ag=")</f>
        <v>#REF!</v>
      </c>
      <c r="FN222" t="e">
        <f>AND(#REF!,"AAAAAH95+ak=")</f>
        <v>#REF!</v>
      </c>
      <c r="FO222" t="e">
        <f>AND(#REF!,"AAAAAH95+ao=")</f>
        <v>#REF!</v>
      </c>
      <c r="FP222" t="e">
        <f>AND(#REF!,"AAAAAH95+as=")</f>
        <v>#REF!</v>
      </c>
      <c r="FQ222" t="e">
        <f>AND(#REF!,"AAAAAH95+aw=")</f>
        <v>#REF!</v>
      </c>
      <c r="FR222" t="e">
        <f>AND(#REF!,"AAAAAH95+a0=")</f>
        <v>#REF!</v>
      </c>
      <c r="FS222" t="e">
        <f>AND(#REF!,"AAAAAH95+a4=")</f>
        <v>#REF!</v>
      </c>
      <c r="FT222" t="e">
        <f>AND(#REF!,"AAAAAH95+a8=")</f>
        <v>#REF!</v>
      </c>
      <c r="FU222" t="e">
        <f>AND(#REF!,"AAAAAH95+bA=")</f>
        <v>#REF!</v>
      </c>
      <c r="FV222" t="e">
        <f>AND(#REF!,"AAAAAH95+bE=")</f>
        <v>#REF!</v>
      </c>
      <c r="FW222" t="e">
        <f>AND(#REF!,"AAAAAH95+bI=")</f>
        <v>#REF!</v>
      </c>
      <c r="FX222" t="e">
        <f>AND(#REF!,"AAAAAH95+bM=")</f>
        <v>#REF!</v>
      </c>
      <c r="FY222" t="e">
        <f>AND(#REF!,"AAAAAH95+bQ=")</f>
        <v>#REF!</v>
      </c>
      <c r="FZ222" t="e">
        <f>AND(#REF!,"AAAAAH95+bU=")</f>
        <v>#REF!</v>
      </c>
      <c r="GA222" t="e">
        <f>AND(#REF!,"AAAAAH95+bY=")</f>
        <v>#REF!</v>
      </c>
      <c r="GB222" t="e">
        <f>AND(#REF!,"AAAAAH95+bc=")</f>
        <v>#REF!</v>
      </c>
      <c r="GC222" t="e">
        <f>AND(#REF!,"AAAAAH95+bg=")</f>
        <v>#REF!</v>
      </c>
      <c r="GD222" t="e">
        <f>AND(#REF!,"AAAAAH95+bk=")</f>
        <v>#REF!</v>
      </c>
      <c r="GE222" t="e">
        <f>AND(#REF!,"AAAAAH95+bo=")</f>
        <v>#REF!</v>
      </c>
      <c r="GF222" t="e">
        <f>AND(#REF!,"AAAAAH95+bs=")</f>
        <v>#REF!</v>
      </c>
      <c r="GG222" t="e">
        <f>AND(#REF!,"AAAAAH95+bw=")</f>
        <v>#REF!</v>
      </c>
      <c r="GH222" t="e">
        <f>AND(#REF!,"AAAAAH95+b0=")</f>
        <v>#REF!</v>
      </c>
      <c r="GI222" t="e">
        <f>AND(#REF!,"AAAAAH95+b4=")</f>
        <v>#REF!</v>
      </c>
      <c r="GJ222" t="e">
        <f>IF(#REF!,"AAAAAH95+b8=",0)</f>
        <v>#REF!</v>
      </c>
      <c r="GK222" t="e">
        <f>AND(#REF!,"AAAAAH95+cA=")</f>
        <v>#REF!</v>
      </c>
      <c r="GL222" t="e">
        <f>AND(#REF!,"AAAAAH95+cE=")</f>
        <v>#REF!</v>
      </c>
      <c r="GM222" t="e">
        <f>AND(#REF!,"AAAAAH95+cI=")</f>
        <v>#REF!</v>
      </c>
      <c r="GN222" t="e">
        <f>AND(#REF!,"AAAAAH95+cM=")</f>
        <v>#REF!</v>
      </c>
      <c r="GO222" t="e">
        <f>AND(#REF!,"AAAAAH95+cQ=")</f>
        <v>#REF!</v>
      </c>
      <c r="GP222" t="e">
        <f>AND(#REF!,"AAAAAH95+cU=")</f>
        <v>#REF!</v>
      </c>
      <c r="GQ222" t="e">
        <f>AND(#REF!,"AAAAAH95+cY=")</f>
        <v>#REF!</v>
      </c>
      <c r="GR222" t="e">
        <f>AND(#REF!,"AAAAAH95+cc=")</f>
        <v>#REF!</v>
      </c>
      <c r="GS222" t="e">
        <f>AND(#REF!,"AAAAAH95+cg=")</f>
        <v>#REF!</v>
      </c>
      <c r="GT222" t="e">
        <f>AND(#REF!,"AAAAAH95+ck=")</f>
        <v>#REF!</v>
      </c>
      <c r="GU222" t="e">
        <f>AND(#REF!,"AAAAAH95+co=")</f>
        <v>#REF!</v>
      </c>
      <c r="GV222" t="e">
        <f>AND(#REF!,"AAAAAH95+cs=")</f>
        <v>#REF!</v>
      </c>
      <c r="GW222" t="e">
        <f>AND(#REF!,"AAAAAH95+cw=")</f>
        <v>#REF!</v>
      </c>
      <c r="GX222" t="e">
        <f>AND(#REF!,"AAAAAH95+c0=")</f>
        <v>#REF!</v>
      </c>
      <c r="GY222" t="e">
        <f>AND(#REF!,"AAAAAH95+c4=")</f>
        <v>#REF!</v>
      </c>
      <c r="GZ222" t="e">
        <f>AND(#REF!,"AAAAAH95+c8=")</f>
        <v>#REF!</v>
      </c>
      <c r="HA222" t="e">
        <f>AND(#REF!,"AAAAAH95+dA=")</f>
        <v>#REF!</v>
      </c>
      <c r="HB222" t="e">
        <f>AND(#REF!,"AAAAAH95+dE=")</f>
        <v>#REF!</v>
      </c>
      <c r="HC222" t="e">
        <f>AND(#REF!,"AAAAAH95+dI=")</f>
        <v>#REF!</v>
      </c>
      <c r="HD222" t="e">
        <f>AND(#REF!,"AAAAAH95+dM=")</f>
        <v>#REF!</v>
      </c>
      <c r="HE222" t="e">
        <f>AND(#REF!,"AAAAAH95+dQ=")</f>
        <v>#REF!</v>
      </c>
      <c r="HF222" t="e">
        <f>AND(#REF!,"AAAAAH95+dU=")</f>
        <v>#REF!</v>
      </c>
      <c r="HG222" t="e">
        <f>AND(#REF!,"AAAAAH95+dY=")</f>
        <v>#REF!</v>
      </c>
      <c r="HH222" t="e">
        <f>AND(#REF!,"AAAAAH95+dc=")</f>
        <v>#REF!</v>
      </c>
      <c r="HI222" t="e">
        <f>AND(#REF!,"AAAAAH95+dg=")</f>
        <v>#REF!</v>
      </c>
      <c r="HJ222" t="e">
        <f>AND(#REF!,"AAAAAH95+dk=")</f>
        <v>#REF!</v>
      </c>
      <c r="HK222" t="e">
        <f>AND(#REF!,"AAAAAH95+do=")</f>
        <v>#REF!</v>
      </c>
      <c r="HL222" t="e">
        <f>AND(#REF!,"AAAAAH95+ds=")</f>
        <v>#REF!</v>
      </c>
      <c r="HM222" t="e">
        <f>AND(#REF!,"AAAAAH95+dw=")</f>
        <v>#REF!</v>
      </c>
      <c r="HN222" t="e">
        <f>AND(#REF!,"AAAAAH95+d0=")</f>
        <v>#REF!</v>
      </c>
      <c r="HO222" t="e">
        <f>AND(#REF!,"AAAAAH95+d4=")</f>
        <v>#REF!</v>
      </c>
      <c r="HP222" t="e">
        <f>AND(#REF!,"AAAAAH95+d8=")</f>
        <v>#REF!</v>
      </c>
      <c r="HQ222" t="e">
        <f>AND(#REF!,"AAAAAH95+eA=")</f>
        <v>#REF!</v>
      </c>
      <c r="HR222" t="e">
        <f>IF(#REF!,"AAAAAH95+eE=",0)</f>
        <v>#REF!</v>
      </c>
      <c r="HS222" t="e">
        <f>AND(#REF!,"AAAAAH95+eI=")</f>
        <v>#REF!</v>
      </c>
      <c r="HT222" t="e">
        <f>AND(#REF!,"AAAAAH95+eM=")</f>
        <v>#REF!</v>
      </c>
      <c r="HU222" t="e">
        <f>AND(#REF!,"AAAAAH95+eQ=")</f>
        <v>#REF!</v>
      </c>
      <c r="HV222" t="e">
        <f>AND(#REF!,"AAAAAH95+eU=")</f>
        <v>#REF!</v>
      </c>
      <c r="HW222" t="e">
        <f>AND(#REF!,"AAAAAH95+eY=")</f>
        <v>#REF!</v>
      </c>
      <c r="HX222" t="e">
        <f>AND(#REF!,"AAAAAH95+ec=")</f>
        <v>#REF!</v>
      </c>
      <c r="HY222" t="e">
        <f>AND(#REF!,"AAAAAH95+eg=")</f>
        <v>#REF!</v>
      </c>
      <c r="HZ222" t="e">
        <f>AND(#REF!,"AAAAAH95+ek=")</f>
        <v>#REF!</v>
      </c>
      <c r="IA222" t="e">
        <f>AND(#REF!,"AAAAAH95+eo=")</f>
        <v>#REF!</v>
      </c>
      <c r="IB222" t="e">
        <f>AND(#REF!,"AAAAAH95+es=")</f>
        <v>#REF!</v>
      </c>
      <c r="IC222" t="e">
        <f>AND(#REF!,"AAAAAH95+ew=")</f>
        <v>#REF!</v>
      </c>
      <c r="ID222" t="e">
        <f>AND(#REF!,"AAAAAH95+e0=")</f>
        <v>#REF!</v>
      </c>
      <c r="IE222" t="e">
        <f>AND(#REF!,"AAAAAH95+e4=")</f>
        <v>#REF!</v>
      </c>
      <c r="IF222" t="e">
        <f>AND(#REF!,"AAAAAH95+e8=")</f>
        <v>#REF!</v>
      </c>
      <c r="IG222" t="e">
        <f>AND(#REF!,"AAAAAH95+fA=")</f>
        <v>#REF!</v>
      </c>
      <c r="IH222" t="e">
        <f>AND(#REF!,"AAAAAH95+fE=")</f>
        <v>#REF!</v>
      </c>
      <c r="II222" t="e">
        <f>AND(#REF!,"AAAAAH95+fI=")</f>
        <v>#REF!</v>
      </c>
      <c r="IJ222" t="e">
        <f>AND(#REF!,"AAAAAH95+fM=")</f>
        <v>#REF!</v>
      </c>
      <c r="IK222" t="e">
        <f>AND(#REF!,"AAAAAH95+fQ=")</f>
        <v>#REF!</v>
      </c>
      <c r="IL222" t="e">
        <f>AND(#REF!,"AAAAAH95+fU=")</f>
        <v>#REF!</v>
      </c>
      <c r="IM222" t="e">
        <f>AND(#REF!,"AAAAAH95+fY=")</f>
        <v>#REF!</v>
      </c>
      <c r="IN222" t="e">
        <f>AND(#REF!,"AAAAAH95+fc=")</f>
        <v>#REF!</v>
      </c>
      <c r="IO222" t="e">
        <f>AND(#REF!,"AAAAAH95+fg=")</f>
        <v>#REF!</v>
      </c>
      <c r="IP222" t="e">
        <f>AND(#REF!,"AAAAAH95+fk=")</f>
        <v>#REF!</v>
      </c>
      <c r="IQ222" t="e">
        <f>AND(#REF!,"AAAAAH95+fo=")</f>
        <v>#REF!</v>
      </c>
      <c r="IR222" t="e">
        <f>AND(#REF!,"AAAAAH95+fs=")</f>
        <v>#REF!</v>
      </c>
      <c r="IS222" t="e">
        <f>AND(#REF!,"AAAAAH95+fw=")</f>
        <v>#REF!</v>
      </c>
      <c r="IT222" t="e">
        <f>AND(#REF!,"AAAAAH95+f0=")</f>
        <v>#REF!</v>
      </c>
      <c r="IU222" t="e">
        <f>AND(#REF!,"AAAAAH95+f4=")</f>
        <v>#REF!</v>
      </c>
      <c r="IV222" t="e">
        <f>AND(#REF!,"AAAAAH95+f8=")</f>
        <v>#REF!</v>
      </c>
    </row>
    <row r="223" spans="1:256" x14ac:dyDescent="0.2">
      <c r="A223" t="e">
        <f>AND(#REF!,"AAAAAH/+9wA=")</f>
        <v>#REF!</v>
      </c>
      <c r="B223" t="e">
        <f>AND(#REF!,"AAAAAH/+9wE=")</f>
        <v>#REF!</v>
      </c>
      <c r="C223" t="e">
        <f>AND(#REF!,"AAAAAH/+9wI=")</f>
        <v>#REF!</v>
      </c>
      <c r="D223" t="e">
        <f>IF(#REF!,"AAAAAH/+9wM=",0)</f>
        <v>#REF!</v>
      </c>
      <c r="E223" t="e">
        <f>AND(#REF!,"AAAAAH/+9wQ=")</f>
        <v>#REF!</v>
      </c>
      <c r="F223" t="e">
        <f>AND(#REF!,"AAAAAH/+9wU=")</f>
        <v>#REF!</v>
      </c>
      <c r="G223" t="e">
        <f>AND(#REF!,"AAAAAH/+9wY=")</f>
        <v>#REF!</v>
      </c>
      <c r="H223" t="e">
        <f>AND(#REF!,"AAAAAH/+9wc=")</f>
        <v>#REF!</v>
      </c>
      <c r="I223" t="e">
        <f>AND(#REF!,"AAAAAH/+9wg=")</f>
        <v>#REF!</v>
      </c>
      <c r="J223" t="e">
        <f>AND(#REF!,"AAAAAH/+9wk=")</f>
        <v>#REF!</v>
      </c>
      <c r="K223" t="e">
        <f>AND(#REF!,"AAAAAH/+9wo=")</f>
        <v>#REF!</v>
      </c>
      <c r="L223" t="e">
        <f>AND(#REF!,"AAAAAH/+9ws=")</f>
        <v>#REF!</v>
      </c>
      <c r="M223" t="e">
        <f>AND(#REF!,"AAAAAH/+9ww=")</f>
        <v>#REF!</v>
      </c>
      <c r="N223" t="e">
        <f>AND(#REF!,"AAAAAH/+9w0=")</f>
        <v>#REF!</v>
      </c>
      <c r="O223" t="e">
        <f>AND(#REF!,"AAAAAH/+9w4=")</f>
        <v>#REF!</v>
      </c>
      <c r="P223" t="e">
        <f>AND(#REF!,"AAAAAH/+9w8=")</f>
        <v>#REF!</v>
      </c>
      <c r="Q223" t="e">
        <f>AND(#REF!,"AAAAAH/+9xA=")</f>
        <v>#REF!</v>
      </c>
      <c r="R223" t="e">
        <f>AND(#REF!,"AAAAAH/+9xE=")</f>
        <v>#REF!</v>
      </c>
      <c r="S223" t="e">
        <f>AND(#REF!,"AAAAAH/+9xI=")</f>
        <v>#REF!</v>
      </c>
      <c r="T223" t="e">
        <f>AND(#REF!,"AAAAAH/+9xM=")</f>
        <v>#REF!</v>
      </c>
      <c r="U223" t="e">
        <f>AND(#REF!,"AAAAAH/+9xQ=")</f>
        <v>#REF!</v>
      </c>
      <c r="V223" t="e">
        <f>AND(#REF!,"AAAAAH/+9xU=")</f>
        <v>#REF!</v>
      </c>
      <c r="W223" t="e">
        <f>AND(#REF!,"AAAAAH/+9xY=")</f>
        <v>#REF!</v>
      </c>
      <c r="X223" t="e">
        <f>AND(#REF!,"AAAAAH/+9xc=")</f>
        <v>#REF!</v>
      </c>
      <c r="Y223" t="e">
        <f>AND(#REF!,"AAAAAH/+9xg=")</f>
        <v>#REF!</v>
      </c>
      <c r="Z223" t="e">
        <f>AND(#REF!,"AAAAAH/+9xk=")</f>
        <v>#REF!</v>
      </c>
      <c r="AA223" t="e">
        <f>AND(#REF!,"AAAAAH/+9xo=")</f>
        <v>#REF!</v>
      </c>
      <c r="AB223" t="e">
        <f>AND(#REF!,"AAAAAH/+9xs=")</f>
        <v>#REF!</v>
      </c>
      <c r="AC223" t="e">
        <f>AND(#REF!,"AAAAAH/+9xw=")</f>
        <v>#REF!</v>
      </c>
      <c r="AD223" t="e">
        <f>AND(#REF!,"AAAAAH/+9x0=")</f>
        <v>#REF!</v>
      </c>
      <c r="AE223" t="e">
        <f>AND(#REF!,"AAAAAH/+9x4=")</f>
        <v>#REF!</v>
      </c>
      <c r="AF223" t="e">
        <f>AND(#REF!,"AAAAAH/+9x8=")</f>
        <v>#REF!</v>
      </c>
      <c r="AG223" t="e">
        <f>AND(#REF!,"AAAAAH/+9yA=")</f>
        <v>#REF!</v>
      </c>
      <c r="AH223" t="e">
        <f>AND(#REF!,"AAAAAH/+9yE=")</f>
        <v>#REF!</v>
      </c>
      <c r="AI223" t="e">
        <f>AND(#REF!,"AAAAAH/+9yI=")</f>
        <v>#REF!</v>
      </c>
      <c r="AJ223" t="e">
        <f>AND(#REF!,"AAAAAH/+9yM=")</f>
        <v>#REF!</v>
      </c>
      <c r="AK223" t="e">
        <f>AND(#REF!,"AAAAAH/+9yQ=")</f>
        <v>#REF!</v>
      </c>
      <c r="AL223" t="e">
        <f>IF(#REF!,"AAAAAH/+9yU=",0)</f>
        <v>#REF!</v>
      </c>
      <c r="AM223" t="e">
        <f>AND(#REF!,"AAAAAH/+9yY=")</f>
        <v>#REF!</v>
      </c>
      <c r="AN223" t="e">
        <f>AND(#REF!,"AAAAAH/+9yc=")</f>
        <v>#REF!</v>
      </c>
      <c r="AO223" t="e">
        <f>AND(#REF!,"AAAAAH/+9yg=")</f>
        <v>#REF!</v>
      </c>
      <c r="AP223" t="e">
        <f>AND(#REF!,"AAAAAH/+9yk=")</f>
        <v>#REF!</v>
      </c>
      <c r="AQ223" t="e">
        <f>AND(#REF!,"AAAAAH/+9yo=")</f>
        <v>#REF!</v>
      </c>
      <c r="AR223" t="e">
        <f>AND(#REF!,"AAAAAH/+9ys=")</f>
        <v>#REF!</v>
      </c>
      <c r="AS223" t="e">
        <f>AND(#REF!,"AAAAAH/+9yw=")</f>
        <v>#REF!</v>
      </c>
      <c r="AT223" t="e">
        <f>AND(#REF!,"AAAAAH/+9y0=")</f>
        <v>#REF!</v>
      </c>
      <c r="AU223" t="e">
        <f>AND(#REF!,"AAAAAH/+9y4=")</f>
        <v>#REF!</v>
      </c>
      <c r="AV223" t="e">
        <f>AND(#REF!,"AAAAAH/+9y8=")</f>
        <v>#REF!</v>
      </c>
      <c r="AW223" t="e">
        <f>AND(#REF!,"AAAAAH/+9zA=")</f>
        <v>#REF!</v>
      </c>
      <c r="AX223" t="e">
        <f>AND(#REF!,"AAAAAH/+9zE=")</f>
        <v>#REF!</v>
      </c>
      <c r="AY223" t="e">
        <f>AND(#REF!,"AAAAAH/+9zI=")</f>
        <v>#REF!</v>
      </c>
      <c r="AZ223" t="e">
        <f>AND(#REF!,"AAAAAH/+9zM=")</f>
        <v>#REF!</v>
      </c>
      <c r="BA223" t="e">
        <f>AND(#REF!,"AAAAAH/+9zQ=")</f>
        <v>#REF!</v>
      </c>
      <c r="BB223" t="e">
        <f>AND(#REF!,"AAAAAH/+9zU=")</f>
        <v>#REF!</v>
      </c>
      <c r="BC223" t="e">
        <f>AND(#REF!,"AAAAAH/+9zY=")</f>
        <v>#REF!</v>
      </c>
      <c r="BD223" t="e">
        <f>AND(#REF!,"AAAAAH/+9zc=")</f>
        <v>#REF!</v>
      </c>
      <c r="BE223" t="e">
        <f>AND(#REF!,"AAAAAH/+9zg=")</f>
        <v>#REF!</v>
      </c>
      <c r="BF223" t="e">
        <f>AND(#REF!,"AAAAAH/+9zk=")</f>
        <v>#REF!</v>
      </c>
      <c r="BG223" t="e">
        <f>AND(#REF!,"AAAAAH/+9zo=")</f>
        <v>#REF!</v>
      </c>
      <c r="BH223" t="e">
        <f>AND(#REF!,"AAAAAH/+9zs=")</f>
        <v>#REF!</v>
      </c>
      <c r="BI223" t="e">
        <f>AND(#REF!,"AAAAAH/+9zw=")</f>
        <v>#REF!</v>
      </c>
      <c r="BJ223" t="e">
        <f>AND(#REF!,"AAAAAH/+9z0=")</f>
        <v>#REF!</v>
      </c>
      <c r="BK223" t="e">
        <f>AND(#REF!,"AAAAAH/+9z4=")</f>
        <v>#REF!</v>
      </c>
      <c r="BL223" t="e">
        <f>AND(#REF!,"AAAAAH/+9z8=")</f>
        <v>#REF!</v>
      </c>
      <c r="BM223" t="e">
        <f>AND(#REF!,"AAAAAH/+90A=")</f>
        <v>#REF!</v>
      </c>
      <c r="BN223" t="e">
        <f>AND(#REF!,"AAAAAH/+90E=")</f>
        <v>#REF!</v>
      </c>
      <c r="BO223" t="e">
        <f>AND(#REF!,"AAAAAH/+90I=")</f>
        <v>#REF!</v>
      </c>
      <c r="BP223" t="e">
        <f>AND(#REF!,"AAAAAH/+90M=")</f>
        <v>#REF!</v>
      </c>
      <c r="BQ223" t="e">
        <f>AND(#REF!,"AAAAAH/+90Q=")</f>
        <v>#REF!</v>
      </c>
      <c r="BR223" t="e">
        <f>AND(#REF!,"AAAAAH/+90U=")</f>
        <v>#REF!</v>
      </c>
      <c r="BS223" t="e">
        <f>AND(#REF!,"AAAAAH/+90Y=")</f>
        <v>#REF!</v>
      </c>
      <c r="BT223" t="e">
        <f>IF(#REF!,"AAAAAH/+90c=",0)</f>
        <v>#REF!</v>
      </c>
      <c r="BU223" t="e">
        <f>AND(#REF!,"AAAAAH/+90g=")</f>
        <v>#REF!</v>
      </c>
      <c r="BV223" t="e">
        <f>AND(#REF!,"AAAAAH/+90k=")</f>
        <v>#REF!</v>
      </c>
      <c r="BW223" t="e">
        <f>AND(#REF!,"AAAAAH/+90o=")</f>
        <v>#REF!</v>
      </c>
      <c r="BX223" t="e">
        <f>AND(#REF!,"AAAAAH/+90s=")</f>
        <v>#REF!</v>
      </c>
      <c r="BY223" t="e">
        <f>AND(#REF!,"AAAAAH/+90w=")</f>
        <v>#REF!</v>
      </c>
      <c r="BZ223" t="e">
        <f>AND(#REF!,"AAAAAH/+900=")</f>
        <v>#REF!</v>
      </c>
      <c r="CA223" t="e">
        <f>AND(#REF!,"AAAAAH/+904=")</f>
        <v>#REF!</v>
      </c>
      <c r="CB223" t="e">
        <f>AND(#REF!,"AAAAAH/+908=")</f>
        <v>#REF!</v>
      </c>
      <c r="CC223" t="e">
        <f>AND(#REF!,"AAAAAH/+91A=")</f>
        <v>#REF!</v>
      </c>
      <c r="CD223" t="e">
        <f>AND(#REF!,"AAAAAH/+91E=")</f>
        <v>#REF!</v>
      </c>
      <c r="CE223" t="e">
        <f>AND(#REF!,"AAAAAH/+91I=")</f>
        <v>#REF!</v>
      </c>
      <c r="CF223" t="e">
        <f>AND(#REF!,"AAAAAH/+91M=")</f>
        <v>#REF!</v>
      </c>
      <c r="CG223" t="e">
        <f>AND(#REF!,"AAAAAH/+91Q=")</f>
        <v>#REF!</v>
      </c>
      <c r="CH223" t="e">
        <f>AND(#REF!,"AAAAAH/+91U=")</f>
        <v>#REF!</v>
      </c>
      <c r="CI223" t="e">
        <f>AND(#REF!,"AAAAAH/+91Y=")</f>
        <v>#REF!</v>
      </c>
      <c r="CJ223" t="e">
        <f>AND(#REF!,"AAAAAH/+91c=")</f>
        <v>#REF!</v>
      </c>
      <c r="CK223" t="e">
        <f>AND(#REF!,"AAAAAH/+91g=")</f>
        <v>#REF!</v>
      </c>
      <c r="CL223" t="e">
        <f>AND(#REF!,"AAAAAH/+91k=")</f>
        <v>#REF!</v>
      </c>
      <c r="CM223" t="e">
        <f>AND(#REF!,"AAAAAH/+91o=")</f>
        <v>#REF!</v>
      </c>
      <c r="CN223" t="e">
        <f>AND(#REF!,"AAAAAH/+91s=")</f>
        <v>#REF!</v>
      </c>
      <c r="CO223" t="e">
        <f>AND(#REF!,"AAAAAH/+91w=")</f>
        <v>#REF!</v>
      </c>
      <c r="CP223" t="e">
        <f>AND(#REF!,"AAAAAH/+910=")</f>
        <v>#REF!</v>
      </c>
      <c r="CQ223" t="e">
        <f>AND(#REF!,"AAAAAH/+914=")</f>
        <v>#REF!</v>
      </c>
      <c r="CR223" t="e">
        <f>AND(#REF!,"AAAAAH/+918=")</f>
        <v>#REF!</v>
      </c>
      <c r="CS223" t="e">
        <f>AND(#REF!,"AAAAAH/+92A=")</f>
        <v>#REF!</v>
      </c>
      <c r="CT223" t="e">
        <f>AND(#REF!,"AAAAAH/+92E=")</f>
        <v>#REF!</v>
      </c>
      <c r="CU223" t="e">
        <f>AND(#REF!,"AAAAAH/+92I=")</f>
        <v>#REF!</v>
      </c>
      <c r="CV223" t="e">
        <f>AND(#REF!,"AAAAAH/+92M=")</f>
        <v>#REF!</v>
      </c>
      <c r="CW223" t="e">
        <f>AND(#REF!,"AAAAAH/+92Q=")</f>
        <v>#REF!</v>
      </c>
      <c r="CX223" t="e">
        <f>AND(#REF!,"AAAAAH/+92U=")</f>
        <v>#REF!</v>
      </c>
      <c r="CY223" t="e">
        <f>AND(#REF!,"AAAAAH/+92Y=")</f>
        <v>#REF!</v>
      </c>
      <c r="CZ223" t="e">
        <f>AND(#REF!,"AAAAAH/+92c=")</f>
        <v>#REF!</v>
      </c>
      <c r="DA223" t="e">
        <f>AND(#REF!,"AAAAAH/+92g=")</f>
        <v>#REF!</v>
      </c>
      <c r="DB223" t="e">
        <f>IF(#REF!,"AAAAAH/+92k=",0)</f>
        <v>#REF!</v>
      </c>
      <c r="DC223" t="e">
        <f>AND(#REF!,"AAAAAH/+92o=")</f>
        <v>#REF!</v>
      </c>
      <c r="DD223" t="e">
        <f>AND(#REF!,"AAAAAH/+92s=")</f>
        <v>#REF!</v>
      </c>
      <c r="DE223" t="e">
        <f>AND(#REF!,"AAAAAH/+92w=")</f>
        <v>#REF!</v>
      </c>
      <c r="DF223" t="e">
        <f>AND(#REF!,"AAAAAH/+920=")</f>
        <v>#REF!</v>
      </c>
      <c r="DG223" t="e">
        <f>AND(#REF!,"AAAAAH/+924=")</f>
        <v>#REF!</v>
      </c>
      <c r="DH223" t="e">
        <f>AND(#REF!,"AAAAAH/+928=")</f>
        <v>#REF!</v>
      </c>
      <c r="DI223" t="e">
        <f>AND(#REF!,"AAAAAH/+93A=")</f>
        <v>#REF!</v>
      </c>
      <c r="DJ223" t="e">
        <f>AND(#REF!,"AAAAAH/+93E=")</f>
        <v>#REF!</v>
      </c>
      <c r="DK223" t="e">
        <f>AND(#REF!,"AAAAAH/+93I=")</f>
        <v>#REF!</v>
      </c>
      <c r="DL223" t="e">
        <f>AND(#REF!,"AAAAAH/+93M=")</f>
        <v>#REF!</v>
      </c>
      <c r="DM223" t="e">
        <f>AND(#REF!,"AAAAAH/+93Q=")</f>
        <v>#REF!</v>
      </c>
      <c r="DN223" t="e">
        <f>AND(#REF!,"AAAAAH/+93U=")</f>
        <v>#REF!</v>
      </c>
      <c r="DO223" t="e">
        <f>AND(#REF!,"AAAAAH/+93Y=")</f>
        <v>#REF!</v>
      </c>
      <c r="DP223" t="e">
        <f>AND(#REF!,"AAAAAH/+93c=")</f>
        <v>#REF!</v>
      </c>
      <c r="DQ223" t="e">
        <f>AND(#REF!,"AAAAAH/+93g=")</f>
        <v>#REF!</v>
      </c>
      <c r="DR223" t="e">
        <f>AND(#REF!,"AAAAAH/+93k=")</f>
        <v>#REF!</v>
      </c>
      <c r="DS223" t="e">
        <f>AND(#REF!,"AAAAAH/+93o=")</f>
        <v>#REF!</v>
      </c>
      <c r="DT223" t="e">
        <f>AND(#REF!,"AAAAAH/+93s=")</f>
        <v>#REF!</v>
      </c>
      <c r="DU223" t="e">
        <f>AND(#REF!,"AAAAAH/+93w=")</f>
        <v>#REF!</v>
      </c>
      <c r="DV223" t="e">
        <f>AND(#REF!,"AAAAAH/+930=")</f>
        <v>#REF!</v>
      </c>
      <c r="DW223" t="e">
        <f>AND(#REF!,"AAAAAH/+934=")</f>
        <v>#REF!</v>
      </c>
      <c r="DX223" t="e">
        <f>AND(#REF!,"AAAAAH/+938=")</f>
        <v>#REF!</v>
      </c>
      <c r="DY223" t="e">
        <f>AND(#REF!,"AAAAAH/+94A=")</f>
        <v>#REF!</v>
      </c>
      <c r="DZ223" t="e">
        <f>AND(#REF!,"AAAAAH/+94E=")</f>
        <v>#REF!</v>
      </c>
      <c r="EA223" t="e">
        <f>AND(#REF!,"AAAAAH/+94I=")</f>
        <v>#REF!</v>
      </c>
      <c r="EB223" t="e">
        <f>AND(#REF!,"AAAAAH/+94M=")</f>
        <v>#REF!</v>
      </c>
      <c r="EC223" t="e">
        <f>AND(#REF!,"AAAAAH/+94Q=")</f>
        <v>#REF!</v>
      </c>
      <c r="ED223" t="e">
        <f>AND(#REF!,"AAAAAH/+94U=")</f>
        <v>#REF!</v>
      </c>
      <c r="EE223" t="e">
        <f>AND(#REF!,"AAAAAH/+94Y=")</f>
        <v>#REF!</v>
      </c>
      <c r="EF223" t="e">
        <f>AND(#REF!,"AAAAAH/+94c=")</f>
        <v>#REF!</v>
      </c>
      <c r="EG223" t="e">
        <f>AND(#REF!,"AAAAAH/+94g=")</f>
        <v>#REF!</v>
      </c>
      <c r="EH223" t="e">
        <f>AND(#REF!,"AAAAAH/+94k=")</f>
        <v>#REF!</v>
      </c>
      <c r="EI223" t="e">
        <f>AND(#REF!,"AAAAAH/+94o=")</f>
        <v>#REF!</v>
      </c>
      <c r="EJ223" t="e">
        <f>IF(#REF!,"AAAAAH/+94s=",0)</f>
        <v>#REF!</v>
      </c>
      <c r="EK223" t="e">
        <f>AND(#REF!,"AAAAAH/+94w=")</f>
        <v>#REF!</v>
      </c>
      <c r="EL223" t="e">
        <f>AND(#REF!,"AAAAAH/+940=")</f>
        <v>#REF!</v>
      </c>
      <c r="EM223" t="e">
        <f>AND(#REF!,"AAAAAH/+944=")</f>
        <v>#REF!</v>
      </c>
      <c r="EN223" t="e">
        <f>AND(#REF!,"AAAAAH/+948=")</f>
        <v>#REF!</v>
      </c>
      <c r="EO223" t="e">
        <f>AND(#REF!,"AAAAAH/+95A=")</f>
        <v>#REF!</v>
      </c>
      <c r="EP223" t="e">
        <f>AND(#REF!,"AAAAAH/+95E=")</f>
        <v>#REF!</v>
      </c>
      <c r="EQ223" t="e">
        <f>AND(#REF!,"AAAAAH/+95I=")</f>
        <v>#REF!</v>
      </c>
      <c r="ER223" t="e">
        <f>AND(#REF!,"AAAAAH/+95M=")</f>
        <v>#REF!</v>
      </c>
      <c r="ES223" t="e">
        <f>AND(#REF!,"AAAAAH/+95Q=")</f>
        <v>#REF!</v>
      </c>
      <c r="ET223" t="e">
        <f>AND(#REF!,"AAAAAH/+95U=")</f>
        <v>#REF!</v>
      </c>
      <c r="EU223" t="e">
        <f>AND(#REF!,"AAAAAH/+95Y=")</f>
        <v>#REF!</v>
      </c>
      <c r="EV223" t="e">
        <f>AND(#REF!,"AAAAAH/+95c=")</f>
        <v>#REF!</v>
      </c>
      <c r="EW223" t="e">
        <f>AND(#REF!,"AAAAAH/+95g=")</f>
        <v>#REF!</v>
      </c>
      <c r="EX223" t="e">
        <f>AND(#REF!,"AAAAAH/+95k=")</f>
        <v>#REF!</v>
      </c>
      <c r="EY223" t="e">
        <f>AND(#REF!,"AAAAAH/+95o=")</f>
        <v>#REF!</v>
      </c>
      <c r="EZ223" t="e">
        <f>AND(#REF!,"AAAAAH/+95s=")</f>
        <v>#REF!</v>
      </c>
      <c r="FA223" t="e">
        <f>AND(#REF!,"AAAAAH/+95w=")</f>
        <v>#REF!</v>
      </c>
      <c r="FB223" t="e">
        <f>AND(#REF!,"AAAAAH/+950=")</f>
        <v>#REF!</v>
      </c>
      <c r="FC223" t="e">
        <f>AND(#REF!,"AAAAAH/+954=")</f>
        <v>#REF!</v>
      </c>
      <c r="FD223" t="e">
        <f>AND(#REF!,"AAAAAH/+958=")</f>
        <v>#REF!</v>
      </c>
      <c r="FE223" t="e">
        <f>AND(#REF!,"AAAAAH/+96A=")</f>
        <v>#REF!</v>
      </c>
      <c r="FF223" t="e">
        <f>AND(#REF!,"AAAAAH/+96E=")</f>
        <v>#REF!</v>
      </c>
      <c r="FG223" t="e">
        <f>AND(#REF!,"AAAAAH/+96I=")</f>
        <v>#REF!</v>
      </c>
      <c r="FH223" t="e">
        <f>AND(#REF!,"AAAAAH/+96M=")</f>
        <v>#REF!</v>
      </c>
      <c r="FI223" t="e">
        <f>AND(#REF!,"AAAAAH/+96Q=")</f>
        <v>#REF!</v>
      </c>
      <c r="FJ223" t="e">
        <f>AND(#REF!,"AAAAAH/+96U=")</f>
        <v>#REF!</v>
      </c>
      <c r="FK223" t="e">
        <f>AND(#REF!,"AAAAAH/+96Y=")</f>
        <v>#REF!</v>
      </c>
      <c r="FL223" t="e">
        <f>AND(#REF!,"AAAAAH/+96c=")</f>
        <v>#REF!</v>
      </c>
      <c r="FM223" t="e">
        <f>AND(#REF!,"AAAAAH/+96g=")</f>
        <v>#REF!</v>
      </c>
      <c r="FN223" t="e">
        <f>AND(#REF!,"AAAAAH/+96k=")</f>
        <v>#REF!</v>
      </c>
      <c r="FO223" t="e">
        <f>AND(#REF!,"AAAAAH/+96o=")</f>
        <v>#REF!</v>
      </c>
      <c r="FP223" t="e">
        <f>AND(#REF!,"AAAAAH/+96s=")</f>
        <v>#REF!</v>
      </c>
      <c r="FQ223" t="e">
        <f>AND(#REF!,"AAAAAH/+96w=")</f>
        <v>#REF!</v>
      </c>
      <c r="FR223" t="e">
        <f>IF(#REF!,"AAAAAH/+960=",0)</f>
        <v>#REF!</v>
      </c>
      <c r="FS223" t="e">
        <f>AND(#REF!,"AAAAAH/+964=")</f>
        <v>#REF!</v>
      </c>
      <c r="FT223" t="e">
        <f>AND(#REF!,"AAAAAH/+968=")</f>
        <v>#REF!</v>
      </c>
      <c r="FU223" t="e">
        <f>AND(#REF!,"AAAAAH/+97A=")</f>
        <v>#REF!</v>
      </c>
      <c r="FV223" t="e">
        <f>AND(#REF!,"AAAAAH/+97E=")</f>
        <v>#REF!</v>
      </c>
      <c r="FW223" t="e">
        <f>AND(#REF!,"AAAAAH/+97I=")</f>
        <v>#REF!</v>
      </c>
      <c r="FX223" t="e">
        <f>AND(#REF!,"AAAAAH/+97M=")</f>
        <v>#REF!</v>
      </c>
      <c r="FY223" t="e">
        <f>AND(#REF!,"AAAAAH/+97Q=")</f>
        <v>#REF!</v>
      </c>
      <c r="FZ223" t="e">
        <f>AND(#REF!,"AAAAAH/+97U=")</f>
        <v>#REF!</v>
      </c>
      <c r="GA223" t="e">
        <f>AND(#REF!,"AAAAAH/+97Y=")</f>
        <v>#REF!</v>
      </c>
      <c r="GB223" t="e">
        <f>AND(#REF!,"AAAAAH/+97c=")</f>
        <v>#REF!</v>
      </c>
      <c r="GC223" t="e">
        <f>AND(#REF!,"AAAAAH/+97g=")</f>
        <v>#REF!</v>
      </c>
      <c r="GD223" t="e">
        <f>AND(#REF!,"AAAAAH/+97k=")</f>
        <v>#REF!</v>
      </c>
      <c r="GE223" t="e">
        <f>AND(#REF!,"AAAAAH/+97o=")</f>
        <v>#REF!</v>
      </c>
      <c r="GF223" t="e">
        <f>AND(#REF!,"AAAAAH/+97s=")</f>
        <v>#REF!</v>
      </c>
      <c r="GG223" t="e">
        <f>AND(#REF!,"AAAAAH/+97w=")</f>
        <v>#REF!</v>
      </c>
      <c r="GH223" t="e">
        <f>AND(#REF!,"AAAAAH/+970=")</f>
        <v>#REF!</v>
      </c>
      <c r="GI223" t="e">
        <f>AND(#REF!,"AAAAAH/+974=")</f>
        <v>#REF!</v>
      </c>
      <c r="GJ223" t="e">
        <f>AND(#REF!,"AAAAAH/+978=")</f>
        <v>#REF!</v>
      </c>
      <c r="GK223" t="e">
        <f>AND(#REF!,"AAAAAH/+98A=")</f>
        <v>#REF!</v>
      </c>
      <c r="GL223" t="e">
        <f>AND(#REF!,"AAAAAH/+98E=")</f>
        <v>#REF!</v>
      </c>
      <c r="GM223" t="e">
        <f>AND(#REF!,"AAAAAH/+98I=")</f>
        <v>#REF!</v>
      </c>
      <c r="GN223" t="e">
        <f>AND(#REF!,"AAAAAH/+98M=")</f>
        <v>#REF!</v>
      </c>
      <c r="GO223" t="e">
        <f>AND(#REF!,"AAAAAH/+98Q=")</f>
        <v>#REF!</v>
      </c>
      <c r="GP223" t="e">
        <f>AND(#REF!,"AAAAAH/+98U=")</f>
        <v>#REF!</v>
      </c>
      <c r="GQ223" t="e">
        <f>AND(#REF!,"AAAAAH/+98Y=")</f>
        <v>#REF!</v>
      </c>
      <c r="GR223" t="e">
        <f>AND(#REF!,"AAAAAH/+98c=")</f>
        <v>#REF!</v>
      </c>
      <c r="GS223" t="e">
        <f>AND(#REF!,"AAAAAH/+98g=")</f>
        <v>#REF!</v>
      </c>
      <c r="GT223" t="e">
        <f>AND(#REF!,"AAAAAH/+98k=")</f>
        <v>#REF!</v>
      </c>
      <c r="GU223" t="e">
        <f>AND(#REF!,"AAAAAH/+98o=")</f>
        <v>#REF!</v>
      </c>
      <c r="GV223" t="e">
        <f>AND(#REF!,"AAAAAH/+98s=")</f>
        <v>#REF!</v>
      </c>
      <c r="GW223" t="e">
        <f>AND(#REF!,"AAAAAH/+98w=")</f>
        <v>#REF!</v>
      </c>
      <c r="GX223" t="e">
        <f>AND(#REF!,"AAAAAH/+980=")</f>
        <v>#REF!</v>
      </c>
      <c r="GY223" t="e">
        <f>AND(#REF!,"AAAAAH/+984=")</f>
        <v>#REF!</v>
      </c>
      <c r="GZ223" t="e">
        <f>IF(#REF!,"AAAAAH/+988=",0)</f>
        <v>#REF!</v>
      </c>
      <c r="HA223" t="e">
        <f>AND(#REF!,"AAAAAH/+99A=")</f>
        <v>#REF!</v>
      </c>
      <c r="HB223" t="e">
        <f>AND(#REF!,"AAAAAH/+99E=")</f>
        <v>#REF!</v>
      </c>
      <c r="HC223" t="e">
        <f>AND(#REF!,"AAAAAH/+99I=")</f>
        <v>#REF!</v>
      </c>
      <c r="HD223" t="e">
        <f>AND(#REF!,"AAAAAH/+99M=")</f>
        <v>#REF!</v>
      </c>
      <c r="HE223" t="e">
        <f>AND(#REF!,"AAAAAH/+99Q=")</f>
        <v>#REF!</v>
      </c>
      <c r="HF223" t="e">
        <f>AND(#REF!,"AAAAAH/+99U=")</f>
        <v>#REF!</v>
      </c>
      <c r="HG223" t="e">
        <f>AND(#REF!,"AAAAAH/+99Y=")</f>
        <v>#REF!</v>
      </c>
      <c r="HH223" t="e">
        <f>AND(#REF!,"AAAAAH/+99c=")</f>
        <v>#REF!</v>
      </c>
      <c r="HI223" t="e">
        <f>AND(#REF!,"AAAAAH/+99g=")</f>
        <v>#REF!</v>
      </c>
      <c r="HJ223" t="e">
        <f>AND(#REF!,"AAAAAH/+99k=")</f>
        <v>#REF!</v>
      </c>
      <c r="HK223" t="e">
        <f>AND(#REF!,"AAAAAH/+99o=")</f>
        <v>#REF!</v>
      </c>
      <c r="HL223" t="e">
        <f>AND(#REF!,"AAAAAH/+99s=")</f>
        <v>#REF!</v>
      </c>
      <c r="HM223" t="e">
        <f>AND(#REF!,"AAAAAH/+99w=")</f>
        <v>#REF!</v>
      </c>
      <c r="HN223" t="e">
        <f>AND(#REF!,"AAAAAH/+990=")</f>
        <v>#REF!</v>
      </c>
      <c r="HO223" t="e">
        <f>AND(#REF!,"AAAAAH/+994=")</f>
        <v>#REF!</v>
      </c>
      <c r="HP223" t="e">
        <f>AND(#REF!,"AAAAAH/+998=")</f>
        <v>#REF!</v>
      </c>
      <c r="HQ223" t="e">
        <f>AND(#REF!,"AAAAAH/+9+A=")</f>
        <v>#REF!</v>
      </c>
      <c r="HR223" t="e">
        <f>AND(#REF!,"AAAAAH/+9+E=")</f>
        <v>#REF!</v>
      </c>
      <c r="HS223" t="e">
        <f>AND(#REF!,"AAAAAH/+9+I=")</f>
        <v>#REF!</v>
      </c>
      <c r="HT223" t="e">
        <f>AND(#REF!,"AAAAAH/+9+M=")</f>
        <v>#REF!</v>
      </c>
      <c r="HU223" t="e">
        <f>AND(#REF!,"AAAAAH/+9+Q=")</f>
        <v>#REF!</v>
      </c>
      <c r="HV223" t="e">
        <f>AND(#REF!,"AAAAAH/+9+U=")</f>
        <v>#REF!</v>
      </c>
      <c r="HW223" t="e">
        <f>AND(#REF!,"AAAAAH/+9+Y=")</f>
        <v>#REF!</v>
      </c>
      <c r="HX223" t="e">
        <f>AND(#REF!,"AAAAAH/+9+c=")</f>
        <v>#REF!</v>
      </c>
      <c r="HY223" t="e">
        <f>AND(#REF!,"AAAAAH/+9+g=")</f>
        <v>#REF!</v>
      </c>
      <c r="HZ223" t="e">
        <f>AND(#REF!,"AAAAAH/+9+k=")</f>
        <v>#REF!</v>
      </c>
      <c r="IA223" t="e">
        <f>AND(#REF!,"AAAAAH/+9+o=")</f>
        <v>#REF!</v>
      </c>
      <c r="IB223" t="e">
        <f>AND(#REF!,"AAAAAH/+9+s=")</f>
        <v>#REF!</v>
      </c>
      <c r="IC223" t="e">
        <f>AND(#REF!,"AAAAAH/+9+w=")</f>
        <v>#REF!</v>
      </c>
      <c r="ID223" t="e">
        <f>AND(#REF!,"AAAAAH/+9+0=")</f>
        <v>#REF!</v>
      </c>
      <c r="IE223" t="e">
        <f>AND(#REF!,"AAAAAH/+9+4=")</f>
        <v>#REF!</v>
      </c>
      <c r="IF223" t="e">
        <f>AND(#REF!,"AAAAAH/+9+8=")</f>
        <v>#REF!</v>
      </c>
      <c r="IG223" t="e">
        <f>AND(#REF!,"AAAAAH/+9/A=")</f>
        <v>#REF!</v>
      </c>
      <c r="IH223" t="e">
        <f>IF(#REF!,"AAAAAH/+9/E=",0)</f>
        <v>#REF!</v>
      </c>
      <c r="II223" t="e">
        <f>AND(#REF!,"AAAAAH/+9/I=")</f>
        <v>#REF!</v>
      </c>
      <c r="IJ223" t="e">
        <f>AND(#REF!,"AAAAAH/+9/M=")</f>
        <v>#REF!</v>
      </c>
      <c r="IK223" t="e">
        <f>AND(#REF!,"AAAAAH/+9/Q=")</f>
        <v>#REF!</v>
      </c>
      <c r="IL223" t="e">
        <f>AND(#REF!,"AAAAAH/+9/U=")</f>
        <v>#REF!</v>
      </c>
      <c r="IM223" t="e">
        <f>AND(#REF!,"AAAAAH/+9/Y=")</f>
        <v>#REF!</v>
      </c>
      <c r="IN223" t="e">
        <f>AND(#REF!,"AAAAAH/+9/c=")</f>
        <v>#REF!</v>
      </c>
      <c r="IO223" t="e">
        <f>AND(#REF!,"AAAAAH/+9/g=")</f>
        <v>#REF!</v>
      </c>
      <c r="IP223" t="e">
        <f>AND(#REF!,"AAAAAH/+9/k=")</f>
        <v>#REF!</v>
      </c>
      <c r="IQ223" t="e">
        <f>AND(#REF!,"AAAAAH/+9/o=")</f>
        <v>#REF!</v>
      </c>
      <c r="IR223" t="e">
        <f>AND(#REF!,"AAAAAH/+9/s=")</f>
        <v>#REF!</v>
      </c>
      <c r="IS223" t="e">
        <f>AND(#REF!,"AAAAAH/+9/w=")</f>
        <v>#REF!</v>
      </c>
      <c r="IT223" t="e">
        <f>AND(#REF!,"AAAAAH/+9/0=")</f>
        <v>#REF!</v>
      </c>
      <c r="IU223" t="e">
        <f>AND(#REF!,"AAAAAH/+9/4=")</f>
        <v>#REF!</v>
      </c>
      <c r="IV223" t="e">
        <f>AND(#REF!,"AAAAAH/+9/8=")</f>
        <v>#REF!</v>
      </c>
    </row>
    <row r="224" spans="1:256" x14ac:dyDescent="0.2">
      <c r="A224" t="e">
        <f>AND(#REF!,"AAAAAD4/VwA=")</f>
        <v>#REF!</v>
      </c>
      <c r="B224" t="e">
        <f>AND(#REF!,"AAAAAD4/VwE=")</f>
        <v>#REF!</v>
      </c>
      <c r="C224" t="e">
        <f>AND(#REF!,"AAAAAD4/VwI=")</f>
        <v>#REF!</v>
      </c>
      <c r="D224" t="e">
        <f>AND(#REF!,"AAAAAD4/VwM=")</f>
        <v>#REF!</v>
      </c>
      <c r="E224" t="e">
        <f>AND(#REF!,"AAAAAD4/VwQ=")</f>
        <v>#REF!</v>
      </c>
      <c r="F224" t="e">
        <f>AND(#REF!,"AAAAAD4/VwU=")</f>
        <v>#REF!</v>
      </c>
      <c r="G224" t="e">
        <f>AND(#REF!,"AAAAAD4/VwY=")</f>
        <v>#REF!</v>
      </c>
      <c r="H224" t="e">
        <f>AND(#REF!,"AAAAAD4/Vwc=")</f>
        <v>#REF!</v>
      </c>
      <c r="I224" t="e">
        <f>AND(#REF!,"AAAAAD4/Vwg=")</f>
        <v>#REF!</v>
      </c>
      <c r="J224" t="e">
        <f>AND(#REF!,"AAAAAD4/Vwk=")</f>
        <v>#REF!</v>
      </c>
      <c r="K224" t="e">
        <f>AND(#REF!,"AAAAAD4/Vwo=")</f>
        <v>#REF!</v>
      </c>
      <c r="L224" t="e">
        <f>AND(#REF!,"AAAAAD4/Vws=")</f>
        <v>#REF!</v>
      </c>
      <c r="M224" t="e">
        <f>AND(#REF!,"AAAAAD4/Vww=")</f>
        <v>#REF!</v>
      </c>
      <c r="N224" t="e">
        <f>AND(#REF!,"AAAAAD4/Vw0=")</f>
        <v>#REF!</v>
      </c>
      <c r="O224" t="e">
        <f>AND(#REF!,"AAAAAD4/Vw4=")</f>
        <v>#REF!</v>
      </c>
      <c r="P224" t="e">
        <f>AND(#REF!,"AAAAAD4/Vw8=")</f>
        <v>#REF!</v>
      </c>
      <c r="Q224" t="e">
        <f>AND(#REF!,"AAAAAD4/VxA=")</f>
        <v>#REF!</v>
      </c>
      <c r="R224" t="e">
        <f>AND(#REF!,"AAAAAD4/VxE=")</f>
        <v>#REF!</v>
      </c>
      <c r="S224" t="e">
        <f>AND(#REF!,"AAAAAD4/VxI=")</f>
        <v>#REF!</v>
      </c>
      <c r="T224" t="e">
        <f>IF(#REF!,"AAAAAD4/VxM=",0)</f>
        <v>#REF!</v>
      </c>
      <c r="U224" t="e">
        <f>AND(#REF!,"AAAAAD4/VxQ=")</f>
        <v>#REF!</v>
      </c>
      <c r="V224" t="e">
        <f>AND(#REF!,"AAAAAD4/VxU=")</f>
        <v>#REF!</v>
      </c>
      <c r="W224" t="e">
        <f>AND(#REF!,"AAAAAD4/VxY=")</f>
        <v>#REF!</v>
      </c>
      <c r="X224" t="e">
        <f>AND(#REF!,"AAAAAD4/Vxc=")</f>
        <v>#REF!</v>
      </c>
      <c r="Y224" t="e">
        <f>AND(#REF!,"AAAAAD4/Vxg=")</f>
        <v>#REF!</v>
      </c>
      <c r="Z224" t="e">
        <f>AND(#REF!,"AAAAAD4/Vxk=")</f>
        <v>#REF!</v>
      </c>
      <c r="AA224" t="e">
        <f>AND(#REF!,"AAAAAD4/Vxo=")</f>
        <v>#REF!</v>
      </c>
      <c r="AB224" t="e">
        <f>AND(#REF!,"AAAAAD4/Vxs=")</f>
        <v>#REF!</v>
      </c>
      <c r="AC224" t="e">
        <f>AND(#REF!,"AAAAAD4/Vxw=")</f>
        <v>#REF!</v>
      </c>
      <c r="AD224" t="e">
        <f>AND(#REF!,"AAAAAD4/Vx0=")</f>
        <v>#REF!</v>
      </c>
      <c r="AE224" t="e">
        <f>AND(#REF!,"AAAAAD4/Vx4=")</f>
        <v>#REF!</v>
      </c>
      <c r="AF224" t="e">
        <f>AND(#REF!,"AAAAAD4/Vx8=")</f>
        <v>#REF!</v>
      </c>
      <c r="AG224" t="e">
        <f>AND(#REF!,"AAAAAD4/VyA=")</f>
        <v>#REF!</v>
      </c>
      <c r="AH224" t="e">
        <f>AND(#REF!,"AAAAAD4/VyE=")</f>
        <v>#REF!</v>
      </c>
      <c r="AI224" t="e">
        <f>AND(#REF!,"AAAAAD4/VyI=")</f>
        <v>#REF!</v>
      </c>
      <c r="AJ224" t="e">
        <f>AND(#REF!,"AAAAAD4/VyM=")</f>
        <v>#REF!</v>
      </c>
      <c r="AK224" t="e">
        <f>AND(#REF!,"AAAAAD4/VyQ=")</f>
        <v>#REF!</v>
      </c>
      <c r="AL224" t="e">
        <f>AND(#REF!,"AAAAAD4/VyU=")</f>
        <v>#REF!</v>
      </c>
      <c r="AM224" t="e">
        <f>AND(#REF!,"AAAAAD4/VyY=")</f>
        <v>#REF!</v>
      </c>
      <c r="AN224" t="e">
        <f>AND(#REF!,"AAAAAD4/Vyc=")</f>
        <v>#REF!</v>
      </c>
      <c r="AO224" t="e">
        <f>AND(#REF!,"AAAAAD4/Vyg=")</f>
        <v>#REF!</v>
      </c>
      <c r="AP224" t="e">
        <f>AND(#REF!,"AAAAAD4/Vyk=")</f>
        <v>#REF!</v>
      </c>
      <c r="AQ224" t="e">
        <f>AND(#REF!,"AAAAAD4/Vyo=")</f>
        <v>#REF!</v>
      </c>
      <c r="AR224" t="e">
        <f>AND(#REF!,"AAAAAD4/Vys=")</f>
        <v>#REF!</v>
      </c>
      <c r="AS224" t="e">
        <f>AND(#REF!,"AAAAAD4/Vyw=")</f>
        <v>#REF!</v>
      </c>
      <c r="AT224" t="e">
        <f>AND(#REF!,"AAAAAD4/Vy0=")</f>
        <v>#REF!</v>
      </c>
      <c r="AU224" t="e">
        <f>AND(#REF!,"AAAAAD4/Vy4=")</f>
        <v>#REF!</v>
      </c>
      <c r="AV224" t="e">
        <f>AND(#REF!,"AAAAAD4/Vy8=")</f>
        <v>#REF!</v>
      </c>
      <c r="AW224" t="e">
        <f>AND(#REF!,"AAAAAD4/VzA=")</f>
        <v>#REF!</v>
      </c>
      <c r="AX224" t="e">
        <f>AND(#REF!,"AAAAAD4/VzE=")</f>
        <v>#REF!</v>
      </c>
      <c r="AY224" t="e">
        <f>AND(#REF!,"AAAAAD4/VzI=")</f>
        <v>#REF!</v>
      </c>
      <c r="AZ224" t="e">
        <f>AND(#REF!,"AAAAAD4/VzM=")</f>
        <v>#REF!</v>
      </c>
      <c r="BA224" t="e">
        <f>AND(#REF!,"AAAAAD4/VzQ=")</f>
        <v>#REF!</v>
      </c>
      <c r="BB224" t="e">
        <f>IF(#REF!,"AAAAAD4/VzU=",0)</f>
        <v>#REF!</v>
      </c>
      <c r="BC224" t="e">
        <f>AND(#REF!,"AAAAAD4/VzY=")</f>
        <v>#REF!</v>
      </c>
      <c r="BD224" t="e">
        <f>AND(#REF!,"AAAAAD4/Vzc=")</f>
        <v>#REF!</v>
      </c>
      <c r="BE224" t="e">
        <f>AND(#REF!,"AAAAAD4/Vzg=")</f>
        <v>#REF!</v>
      </c>
      <c r="BF224" t="e">
        <f>AND(#REF!,"AAAAAD4/Vzk=")</f>
        <v>#REF!</v>
      </c>
      <c r="BG224" t="e">
        <f>AND(#REF!,"AAAAAD4/Vzo=")</f>
        <v>#REF!</v>
      </c>
      <c r="BH224" t="e">
        <f>AND(#REF!,"AAAAAD4/Vzs=")</f>
        <v>#REF!</v>
      </c>
      <c r="BI224" t="e">
        <f>AND(#REF!,"AAAAAD4/Vzw=")</f>
        <v>#REF!</v>
      </c>
      <c r="BJ224" t="e">
        <f>AND(#REF!,"AAAAAD4/Vz0=")</f>
        <v>#REF!</v>
      </c>
      <c r="BK224" t="e">
        <f>AND(#REF!,"AAAAAD4/Vz4=")</f>
        <v>#REF!</v>
      </c>
      <c r="BL224" t="e">
        <f>AND(#REF!,"AAAAAD4/Vz8=")</f>
        <v>#REF!</v>
      </c>
      <c r="BM224" t="e">
        <f>AND(#REF!,"AAAAAD4/V0A=")</f>
        <v>#REF!</v>
      </c>
      <c r="BN224" t="e">
        <f>AND(#REF!,"AAAAAD4/V0E=")</f>
        <v>#REF!</v>
      </c>
      <c r="BO224" t="e">
        <f>AND(#REF!,"AAAAAD4/V0I=")</f>
        <v>#REF!</v>
      </c>
      <c r="BP224" t="e">
        <f>AND(#REF!,"AAAAAD4/V0M=")</f>
        <v>#REF!</v>
      </c>
      <c r="BQ224" t="e">
        <f>AND(#REF!,"AAAAAD4/V0Q=")</f>
        <v>#REF!</v>
      </c>
      <c r="BR224" t="e">
        <f>AND(#REF!,"AAAAAD4/V0U=")</f>
        <v>#REF!</v>
      </c>
      <c r="BS224" t="e">
        <f>AND(#REF!,"AAAAAD4/V0Y=")</f>
        <v>#REF!</v>
      </c>
      <c r="BT224" t="e">
        <f>AND(#REF!,"AAAAAD4/V0c=")</f>
        <v>#REF!</v>
      </c>
      <c r="BU224" t="e">
        <f>AND(#REF!,"AAAAAD4/V0g=")</f>
        <v>#REF!</v>
      </c>
      <c r="BV224" t="e">
        <f>AND(#REF!,"AAAAAD4/V0k=")</f>
        <v>#REF!</v>
      </c>
      <c r="BW224" t="e">
        <f>AND(#REF!,"AAAAAD4/V0o=")</f>
        <v>#REF!</v>
      </c>
      <c r="BX224" t="e">
        <f>AND(#REF!,"AAAAAD4/V0s=")</f>
        <v>#REF!</v>
      </c>
      <c r="BY224" t="e">
        <f>AND(#REF!,"AAAAAD4/V0w=")</f>
        <v>#REF!</v>
      </c>
      <c r="BZ224" t="e">
        <f>AND(#REF!,"AAAAAD4/V00=")</f>
        <v>#REF!</v>
      </c>
      <c r="CA224" t="e">
        <f>AND(#REF!,"AAAAAD4/V04=")</f>
        <v>#REF!</v>
      </c>
      <c r="CB224" t="e">
        <f>AND(#REF!,"AAAAAD4/V08=")</f>
        <v>#REF!</v>
      </c>
      <c r="CC224" t="e">
        <f>AND(#REF!,"AAAAAD4/V1A=")</f>
        <v>#REF!</v>
      </c>
      <c r="CD224" t="e">
        <f>AND(#REF!,"AAAAAD4/V1E=")</f>
        <v>#REF!</v>
      </c>
      <c r="CE224" t="e">
        <f>AND(#REF!,"AAAAAD4/V1I=")</f>
        <v>#REF!</v>
      </c>
      <c r="CF224" t="e">
        <f>AND(#REF!,"AAAAAD4/V1M=")</f>
        <v>#REF!</v>
      </c>
      <c r="CG224" t="e">
        <f>AND(#REF!,"AAAAAD4/V1Q=")</f>
        <v>#REF!</v>
      </c>
      <c r="CH224" t="e">
        <f>AND(#REF!,"AAAAAD4/V1U=")</f>
        <v>#REF!</v>
      </c>
      <c r="CI224" t="e">
        <f>AND(#REF!,"AAAAAD4/V1Y=")</f>
        <v>#REF!</v>
      </c>
      <c r="CJ224" t="e">
        <f>IF(#REF!,"AAAAAD4/V1c=",0)</f>
        <v>#REF!</v>
      </c>
      <c r="CK224" t="e">
        <f>AND(#REF!,"AAAAAD4/V1g=")</f>
        <v>#REF!</v>
      </c>
      <c r="CL224" t="e">
        <f>AND(#REF!,"AAAAAD4/V1k=")</f>
        <v>#REF!</v>
      </c>
      <c r="CM224" t="e">
        <f>AND(#REF!,"AAAAAD4/V1o=")</f>
        <v>#REF!</v>
      </c>
      <c r="CN224" t="e">
        <f>AND(#REF!,"AAAAAD4/V1s=")</f>
        <v>#REF!</v>
      </c>
      <c r="CO224" t="e">
        <f>AND(#REF!,"AAAAAD4/V1w=")</f>
        <v>#REF!</v>
      </c>
      <c r="CP224" t="e">
        <f>AND(#REF!,"AAAAAD4/V10=")</f>
        <v>#REF!</v>
      </c>
      <c r="CQ224" t="e">
        <f>AND(#REF!,"AAAAAD4/V14=")</f>
        <v>#REF!</v>
      </c>
      <c r="CR224" t="e">
        <f>AND(#REF!,"AAAAAD4/V18=")</f>
        <v>#REF!</v>
      </c>
      <c r="CS224" t="e">
        <f>AND(#REF!,"AAAAAD4/V2A=")</f>
        <v>#REF!</v>
      </c>
      <c r="CT224" t="e">
        <f>AND(#REF!,"AAAAAD4/V2E=")</f>
        <v>#REF!</v>
      </c>
      <c r="CU224" t="e">
        <f>AND(#REF!,"AAAAAD4/V2I=")</f>
        <v>#REF!</v>
      </c>
      <c r="CV224" t="e">
        <f>AND(#REF!,"AAAAAD4/V2M=")</f>
        <v>#REF!</v>
      </c>
      <c r="CW224" t="e">
        <f>AND(#REF!,"AAAAAD4/V2Q=")</f>
        <v>#REF!</v>
      </c>
      <c r="CX224" t="e">
        <f>AND(#REF!,"AAAAAD4/V2U=")</f>
        <v>#REF!</v>
      </c>
      <c r="CY224" t="e">
        <f>AND(#REF!,"AAAAAD4/V2Y=")</f>
        <v>#REF!</v>
      </c>
      <c r="CZ224" t="e">
        <f>AND(#REF!,"AAAAAD4/V2c=")</f>
        <v>#REF!</v>
      </c>
      <c r="DA224" t="e">
        <f>AND(#REF!,"AAAAAD4/V2g=")</f>
        <v>#REF!</v>
      </c>
      <c r="DB224" t="e">
        <f>AND(#REF!,"AAAAAD4/V2k=")</f>
        <v>#REF!</v>
      </c>
      <c r="DC224" t="e">
        <f>AND(#REF!,"AAAAAD4/V2o=")</f>
        <v>#REF!</v>
      </c>
      <c r="DD224" t="e">
        <f>AND(#REF!,"AAAAAD4/V2s=")</f>
        <v>#REF!</v>
      </c>
      <c r="DE224" t="e">
        <f>AND(#REF!,"AAAAAD4/V2w=")</f>
        <v>#REF!</v>
      </c>
      <c r="DF224" t="e">
        <f>AND(#REF!,"AAAAAD4/V20=")</f>
        <v>#REF!</v>
      </c>
      <c r="DG224" t="e">
        <f>AND(#REF!,"AAAAAD4/V24=")</f>
        <v>#REF!</v>
      </c>
      <c r="DH224" t="e">
        <f>AND(#REF!,"AAAAAD4/V28=")</f>
        <v>#REF!</v>
      </c>
      <c r="DI224" t="e">
        <f>AND(#REF!,"AAAAAD4/V3A=")</f>
        <v>#REF!</v>
      </c>
      <c r="DJ224" t="e">
        <f>AND(#REF!,"AAAAAD4/V3E=")</f>
        <v>#REF!</v>
      </c>
      <c r="DK224" t="e">
        <f>AND(#REF!,"AAAAAD4/V3I=")</f>
        <v>#REF!</v>
      </c>
      <c r="DL224" t="e">
        <f>AND(#REF!,"AAAAAD4/V3M=")</f>
        <v>#REF!</v>
      </c>
      <c r="DM224" t="e">
        <f>AND(#REF!,"AAAAAD4/V3Q=")</f>
        <v>#REF!</v>
      </c>
      <c r="DN224" t="e">
        <f>AND(#REF!,"AAAAAD4/V3U=")</f>
        <v>#REF!</v>
      </c>
      <c r="DO224" t="e">
        <f>AND(#REF!,"AAAAAD4/V3Y=")</f>
        <v>#REF!</v>
      </c>
      <c r="DP224" t="e">
        <f>AND(#REF!,"AAAAAD4/V3c=")</f>
        <v>#REF!</v>
      </c>
      <c r="DQ224" t="e">
        <f>AND(#REF!,"AAAAAD4/V3g=")</f>
        <v>#REF!</v>
      </c>
      <c r="DR224" t="e">
        <f>IF(#REF!,"AAAAAD4/V3k=",0)</f>
        <v>#REF!</v>
      </c>
      <c r="DS224" t="e">
        <f>AND(#REF!,"AAAAAD4/V3o=")</f>
        <v>#REF!</v>
      </c>
      <c r="DT224" t="e">
        <f>AND(#REF!,"AAAAAD4/V3s=")</f>
        <v>#REF!</v>
      </c>
      <c r="DU224" t="e">
        <f>AND(#REF!,"AAAAAD4/V3w=")</f>
        <v>#REF!</v>
      </c>
      <c r="DV224" t="e">
        <f>AND(#REF!,"AAAAAD4/V30=")</f>
        <v>#REF!</v>
      </c>
      <c r="DW224" t="e">
        <f>AND(#REF!,"AAAAAD4/V34=")</f>
        <v>#REF!</v>
      </c>
      <c r="DX224" t="e">
        <f>AND(#REF!,"AAAAAD4/V38=")</f>
        <v>#REF!</v>
      </c>
      <c r="DY224" t="e">
        <f>AND(#REF!,"AAAAAD4/V4A=")</f>
        <v>#REF!</v>
      </c>
      <c r="DZ224" t="e">
        <f>AND(#REF!,"AAAAAD4/V4E=")</f>
        <v>#REF!</v>
      </c>
      <c r="EA224" t="e">
        <f>AND(#REF!,"AAAAAD4/V4I=")</f>
        <v>#REF!</v>
      </c>
      <c r="EB224" t="e">
        <f>AND(#REF!,"AAAAAD4/V4M=")</f>
        <v>#REF!</v>
      </c>
      <c r="EC224" t="e">
        <f>AND(#REF!,"AAAAAD4/V4Q=")</f>
        <v>#REF!</v>
      </c>
      <c r="ED224" t="e">
        <f>AND(#REF!,"AAAAAD4/V4U=")</f>
        <v>#REF!</v>
      </c>
      <c r="EE224" t="e">
        <f>AND(#REF!,"AAAAAD4/V4Y=")</f>
        <v>#REF!</v>
      </c>
      <c r="EF224" t="e">
        <f>AND(#REF!,"AAAAAD4/V4c=")</f>
        <v>#REF!</v>
      </c>
      <c r="EG224" t="e">
        <f>AND(#REF!,"AAAAAD4/V4g=")</f>
        <v>#REF!</v>
      </c>
      <c r="EH224" t="e">
        <f>AND(#REF!,"AAAAAD4/V4k=")</f>
        <v>#REF!</v>
      </c>
      <c r="EI224" t="e">
        <f>AND(#REF!,"AAAAAD4/V4o=")</f>
        <v>#REF!</v>
      </c>
      <c r="EJ224" t="e">
        <f>AND(#REF!,"AAAAAD4/V4s=")</f>
        <v>#REF!</v>
      </c>
      <c r="EK224" t="e">
        <f>AND(#REF!,"AAAAAD4/V4w=")</f>
        <v>#REF!</v>
      </c>
      <c r="EL224" t="e">
        <f>AND(#REF!,"AAAAAD4/V40=")</f>
        <v>#REF!</v>
      </c>
      <c r="EM224" t="e">
        <f>AND(#REF!,"AAAAAD4/V44=")</f>
        <v>#REF!</v>
      </c>
      <c r="EN224" t="e">
        <f>AND(#REF!,"AAAAAD4/V48=")</f>
        <v>#REF!</v>
      </c>
      <c r="EO224" t="e">
        <f>AND(#REF!,"AAAAAD4/V5A=")</f>
        <v>#REF!</v>
      </c>
      <c r="EP224" t="e">
        <f>AND(#REF!,"AAAAAD4/V5E=")</f>
        <v>#REF!</v>
      </c>
      <c r="EQ224" t="e">
        <f>AND(#REF!,"AAAAAD4/V5I=")</f>
        <v>#REF!</v>
      </c>
      <c r="ER224" t="e">
        <f>AND(#REF!,"AAAAAD4/V5M=")</f>
        <v>#REF!</v>
      </c>
      <c r="ES224" t="e">
        <f>AND(#REF!,"AAAAAD4/V5Q=")</f>
        <v>#REF!</v>
      </c>
      <c r="ET224" t="e">
        <f>AND(#REF!,"AAAAAD4/V5U=")</f>
        <v>#REF!</v>
      </c>
      <c r="EU224" t="e">
        <f>AND(#REF!,"AAAAAD4/V5Y=")</f>
        <v>#REF!</v>
      </c>
      <c r="EV224" t="e">
        <f>AND(#REF!,"AAAAAD4/V5c=")</f>
        <v>#REF!</v>
      </c>
      <c r="EW224" t="e">
        <f>AND(#REF!,"AAAAAD4/V5g=")</f>
        <v>#REF!</v>
      </c>
      <c r="EX224" t="e">
        <f>AND(#REF!,"AAAAAD4/V5k=")</f>
        <v>#REF!</v>
      </c>
      <c r="EY224" t="e">
        <f>AND(#REF!,"AAAAAD4/V5o=")</f>
        <v>#REF!</v>
      </c>
      <c r="EZ224" t="e">
        <f>IF(#REF!,"AAAAAD4/V5s=",0)</f>
        <v>#REF!</v>
      </c>
      <c r="FA224" t="e">
        <f>AND(#REF!,"AAAAAD4/V5w=")</f>
        <v>#REF!</v>
      </c>
      <c r="FB224" t="e">
        <f>AND(#REF!,"AAAAAD4/V50=")</f>
        <v>#REF!</v>
      </c>
      <c r="FC224" t="e">
        <f>AND(#REF!,"AAAAAD4/V54=")</f>
        <v>#REF!</v>
      </c>
      <c r="FD224" t="e">
        <f>AND(#REF!,"AAAAAD4/V58=")</f>
        <v>#REF!</v>
      </c>
      <c r="FE224" t="e">
        <f>AND(#REF!,"AAAAAD4/V6A=")</f>
        <v>#REF!</v>
      </c>
      <c r="FF224" t="e">
        <f>AND(#REF!,"AAAAAD4/V6E=")</f>
        <v>#REF!</v>
      </c>
      <c r="FG224" t="e">
        <f>AND(#REF!,"AAAAAD4/V6I=")</f>
        <v>#REF!</v>
      </c>
      <c r="FH224" t="e">
        <f>AND(#REF!,"AAAAAD4/V6M=")</f>
        <v>#REF!</v>
      </c>
      <c r="FI224" t="e">
        <f>AND(#REF!,"AAAAAD4/V6Q=")</f>
        <v>#REF!</v>
      </c>
      <c r="FJ224" t="e">
        <f>AND(#REF!,"AAAAAD4/V6U=")</f>
        <v>#REF!</v>
      </c>
      <c r="FK224" t="e">
        <f>AND(#REF!,"AAAAAD4/V6Y=")</f>
        <v>#REF!</v>
      </c>
      <c r="FL224" t="e">
        <f>AND(#REF!,"AAAAAD4/V6c=")</f>
        <v>#REF!</v>
      </c>
      <c r="FM224" t="e">
        <f>AND(#REF!,"AAAAAD4/V6g=")</f>
        <v>#REF!</v>
      </c>
      <c r="FN224" t="e">
        <f>AND(#REF!,"AAAAAD4/V6k=")</f>
        <v>#REF!</v>
      </c>
      <c r="FO224" t="e">
        <f>AND(#REF!,"AAAAAD4/V6o=")</f>
        <v>#REF!</v>
      </c>
      <c r="FP224" t="e">
        <f>AND(#REF!,"AAAAAD4/V6s=")</f>
        <v>#REF!</v>
      </c>
      <c r="FQ224" t="e">
        <f>AND(#REF!,"AAAAAD4/V6w=")</f>
        <v>#REF!</v>
      </c>
      <c r="FR224" t="e">
        <f>AND(#REF!,"AAAAAD4/V60=")</f>
        <v>#REF!</v>
      </c>
      <c r="FS224" t="e">
        <f>AND(#REF!,"AAAAAD4/V64=")</f>
        <v>#REF!</v>
      </c>
      <c r="FT224" t="e">
        <f>AND(#REF!,"AAAAAD4/V68=")</f>
        <v>#REF!</v>
      </c>
      <c r="FU224" t="e">
        <f>AND(#REF!,"AAAAAD4/V7A=")</f>
        <v>#REF!</v>
      </c>
      <c r="FV224" t="e">
        <f>AND(#REF!,"AAAAAD4/V7E=")</f>
        <v>#REF!</v>
      </c>
      <c r="FW224" t="e">
        <f>AND(#REF!,"AAAAAD4/V7I=")</f>
        <v>#REF!</v>
      </c>
      <c r="FX224" t="e">
        <f>AND(#REF!,"AAAAAD4/V7M=")</f>
        <v>#REF!</v>
      </c>
      <c r="FY224" t="e">
        <f>AND(#REF!,"AAAAAD4/V7Q=")</f>
        <v>#REF!</v>
      </c>
      <c r="FZ224" t="e">
        <f>AND(#REF!,"AAAAAD4/V7U=")</f>
        <v>#REF!</v>
      </c>
      <c r="GA224" t="e">
        <f>AND(#REF!,"AAAAAD4/V7Y=")</f>
        <v>#REF!</v>
      </c>
      <c r="GB224" t="e">
        <f>AND(#REF!,"AAAAAD4/V7c=")</f>
        <v>#REF!</v>
      </c>
      <c r="GC224" t="e">
        <f>AND(#REF!,"AAAAAD4/V7g=")</f>
        <v>#REF!</v>
      </c>
      <c r="GD224" t="e">
        <f>AND(#REF!,"AAAAAD4/V7k=")</f>
        <v>#REF!</v>
      </c>
      <c r="GE224" t="e">
        <f>AND(#REF!,"AAAAAD4/V7o=")</f>
        <v>#REF!</v>
      </c>
      <c r="GF224" t="e">
        <f>AND(#REF!,"AAAAAD4/V7s=")</f>
        <v>#REF!</v>
      </c>
      <c r="GG224" t="e">
        <f>AND(#REF!,"AAAAAD4/V7w=")</f>
        <v>#REF!</v>
      </c>
      <c r="GH224" t="e">
        <f>IF(#REF!,"AAAAAD4/V70=",0)</f>
        <v>#REF!</v>
      </c>
      <c r="GI224" t="e">
        <f>AND(#REF!,"AAAAAD4/V74=")</f>
        <v>#REF!</v>
      </c>
      <c r="GJ224" t="e">
        <f>AND(#REF!,"AAAAAD4/V78=")</f>
        <v>#REF!</v>
      </c>
      <c r="GK224" t="e">
        <f>AND(#REF!,"AAAAAD4/V8A=")</f>
        <v>#REF!</v>
      </c>
      <c r="GL224" t="e">
        <f>AND(#REF!,"AAAAAD4/V8E=")</f>
        <v>#REF!</v>
      </c>
      <c r="GM224" t="e">
        <f>AND(#REF!,"AAAAAD4/V8I=")</f>
        <v>#REF!</v>
      </c>
      <c r="GN224" t="e">
        <f>AND(#REF!,"AAAAAD4/V8M=")</f>
        <v>#REF!</v>
      </c>
      <c r="GO224" t="e">
        <f>AND(#REF!,"AAAAAD4/V8Q=")</f>
        <v>#REF!</v>
      </c>
      <c r="GP224" t="e">
        <f>AND(#REF!,"AAAAAD4/V8U=")</f>
        <v>#REF!</v>
      </c>
      <c r="GQ224" t="e">
        <f>AND(#REF!,"AAAAAD4/V8Y=")</f>
        <v>#REF!</v>
      </c>
      <c r="GR224" t="e">
        <f>AND(#REF!,"AAAAAD4/V8c=")</f>
        <v>#REF!</v>
      </c>
      <c r="GS224" t="e">
        <f>AND(#REF!,"AAAAAD4/V8g=")</f>
        <v>#REF!</v>
      </c>
      <c r="GT224" t="e">
        <f>AND(#REF!,"AAAAAD4/V8k=")</f>
        <v>#REF!</v>
      </c>
      <c r="GU224" t="e">
        <f>AND(#REF!,"AAAAAD4/V8o=")</f>
        <v>#REF!</v>
      </c>
      <c r="GV224" t="e">
        <f>AND(#REF!,"AAAAAD4/V8s=")</f>
        <v>#REF!</v>
      </c>
      <c r="GW224" t="e">
        <f>AND(#REF!,"AAAAAD4/V8w=")</f>
        <v>#REF!</v>
      </c>
      <c r="GX224" t="e">
        <f>AND(#REF!,"AAAAAD4/V80=")</f>
        <v>#REF!</v>
      </c>
      <c r="GY224" t="e">
        <f>AND(#REF!,"AAAAAD4/V84=")</f>
        <v>#REF!</v>
      </c>
      <c r="GZ224" t="e">
        <f>AND(#REF!,"AAAAAD4/V88=")</f>
        <v>#REF!</v>
      </c>
      <c r="HA224" t="e">
        <f>AND(#REF!,"AAAAAD4/V9A=")</f>
        <v>#REF!</v>
      </c>
      <c r="HB224" t="e">
        <f>AND(#REF!,"AAAAAD4/V9E=")</f>
        <v>#REF!</v>
      </c>
      <c r="HC224" t="e">
        <f>AND(#REF!,"AAAAAD4/V9I=")</f>
        <v>#REF!</v>
      </c>
      <c r="HD224" t="e">
        <f>AND(#REF!,"AAAAAD4/V9M=")</f>
        <v>#REF!</v>
      </c>
      <c r="HE224" t="e">
        <f>AND(#REF!,"AAAAAD4/V9Q=")</f>
        <v>#REF!</v>
      </c>
      <c r="HF224" t="e">
        <f>AND(#REF!,"AAAAAD4/V9U=")</f>
        <v>#REF!</v>
      </c>
      <c r="HG224" t="e">
        <f>AND(#REF!,"AAAAAD4/V9Y=")</f>
        <v>#REF!</v>
      </c>
      <c r="HH224" t="e">
        <f>AND(#REF!,"AAAAAD4/V9c=")</f>
        <v>#REF!</v>
      </c>
      <c r="HI224" t="e">
        <f>AND(#REF!,"AAAAAD4/V9g=")</f>
        <v>#REF!</v>
      </c>
      <c r="HJ224" t="e">
        <f>AND(#REF!,"AAAAAD4/V9k=")</f>
        <v>#REF!</v>
      </c>
      <c r="HK224" t="e">
        <f>AND(#REF!,"AAAAAD4/V9o=")</f>
        <v>#REF!</v>
      </c>
      <c r="HL224" t="e">
        <f>AND(#REF!,"AAAAAD4/V9s=")</f>
        <v>#REF!</v>
      </c>
      <c r="HM224" t="e">
        <f>AND(#REF!,"AAAAAD4/V9w=")</f>
        <v>#REF!</v>
      </c>
      <c r="HN224" t="e">
        <f>AND(#REF!,"AAAAAD4/V90=")</f>
        <v>#REF!</v>
      </c>
      <c r="HO224" t="e">
        <f>AND(#REF!,"AAAAAD4/V94=")</f>
        <v>#REF!</v>
      </c>
      <c r="HP224" t="e">
        <f>IF(#REF!,"AAAAAD4/V98=",0)</f>
        <v>#REF!</v>
      </c>
      <c r="HQ224" t="e">
        <f>AND(#REF!,"AAAAAD4/V+A=")</f>
        <v>#REF!</v>
      </c>
      <c r="HR224" t="e">
        <f>AND(#REF!,"AAAAAD4/V+E=")</f>
        <v>#REF!</v>
      </c>
      <c r="HS224" t="e">
        <f>AND(#REF!,"AAAAAD4/V+I=")</f>
        <v>#REF!</v>
      </c>
      <c r="HT224" t="e">
        <f>AND(#REF!,"AAAAAD4/V+M=")</f>
        <v>#REF!</v>
      </c>
      <c r="HU224" t="e">
        <f>AND(#REF!,"AAAAAD4/V+Q=")</f>
        <v>#REF!</v>
      </c>
      <c r="HV224" t="e">
        <f>AND(#REF!,"AAAAAD4/V+U=")</f>
        <v>#REF!</v>
      </c>
      <c r="HW224" t="e">
        <f>AND(#REF!,"AAAAAD4/V+Y=")</f>
        <v>#REF!</v>
      </c>
      <c r="HX224" t="e">
        <f>AND(#REF!,"AAAAAD4/V+c=")</f>
        <v>#REF!</v>
      </c>
      <c r="HY224" t="e">
        <f>AND(#REF!,"AAAAAD4/V+g=")</f>
        <v>#REF!</v>
      </c>
      <c r="HZ224" t="e">
        <f>AND(#REF!,"AAAAAD4/V+k=")</f>
        <v>#REF!</v>
      </c>
      <c r="IA224" t="e">
        <f>AND(#REF!,"AAAAAD4/V+o=")</f>
        <v>#REF!</v>
      </c>
      <c r="IB224" t="e">
        <f>AND(#REF!,"AAAAAD4/V+s=")</f>
        <v>#REF!</v>
      </c>
      <c r="IC224" t="e">
        <f>AND(#REF!,"AAAAAD4/V+w=")</f>
        <v>#REF!</v>
      </c>
      <c r="ID224" t="e">
        <f>AND(#REF!,"AAAAAD4/V+0=")</f>
        <v>#REF!</v>
      </c>
      <c r="IE224" t="e">
        <f>AND(#REF!,"AAAAAD4/V+4=")</f>
        <v>#REF!</v>
      </c>
      <c r="IF224" t="e">
        <f>AND(#REF!,"AAAAAD4/V+8=")</f>
        <v>#REF!</v>
      </c>
      <c r="IG224" t="e">
        <f>AND(#REF!,"AAAAAD4/V/A=")</f>
        <v>#REF!</v>
      </c>
      <c r="IH224" t="e">
        <f>AND(#REF!,"AAAAAD4/V/E=")</f>
        <v>#REF!</v>
      </c>
      <c r="II224" t="e">
        <f>AND(#REF!,"AAAAAD4/V/I=")</f>
        <v>#REF!</v>
      </c>
      <c r="IJ224" t="e">
        <f>AND(#REF!,"AAAAAD4/V/M=")</f>
        <v>#REF!</v>
      </c>
      <c r="IK224" t="e">
        <f>AND(#REF!,"AAAAAD4/V/Q=")</f>
        <v>#REF!</v>
      </c>
      <c r="IL224" t="e">
        <f>AND(#REF!,"AAAAAD4/V/U=")</f>
        <v>#REF!</v>
      </c>
      <c r="IM224" t="e">
        <f>AND(#REF!,"AAAAAD4/V/Y=")</f>
        <v>#REF!</v>
      </c>
      <c r="IN224" t="e">
        <f>AND(#REF!,"AAAAAD4/V/c=")</f>
        <v>#REF!</v>
      </c>
      <c r="IO224" t="e">
        <f>AND(#REF!,"AAAAAD4/V/g=")</f>
        <v>#REF!</v>
      </c>
      <c r="IP224" t="e">
        <f>AND(#REF!,"AAAAAD4/V/k=")</f>
        <v>#REF!</v>
      </c>
      <c r="IQ224" t="e">
        <f>AND(#REF!,"AAAAAD4/V/o=")</f>
        <v>#REF!</v>
      </c>
      <c r="IR224" t="e">
        <f>AND(#REF!,"AAAAAD4/V/s=")</f>
        <v>#REF!</v>
      </c>
      <c r="IS224" t="e">
        <f>AND(#REF!,"AAAAAD4/V/w=")</f>
        <v>#REF!</v>
      </c>
      <c r="IT224" t="e">
        <f>AND(#REF!,"AAAAAD4/V/0=")</f>
        <v>#REF!</v>
      </c>
      <c r="IU224" t="e">
        <f>AND(#REF!,"AAAAAD4/V/4=")</f>
        <v>#REF!</v>
      </c>
      <c r="IV224" t="e">
        <f>AND(#REF!,"AAAAAD4/V/8=")</f>
        <v>#REF!</v>
      </c>
    </row>
    <row r="225" spans="1:256" x14ac:dyDescent="0.2">
      <c r="A225" t="e">
        <f>AND(#REF!,"AAAAAG99/wA=")</f>
        <v>#REF!</v>
      </c>
      <c r="B225" t="e">
        <f>IF(#REF!,"AAAAAG99/wE=",0)</f>
        <v>#REF!</v>
      </c>
      <c r="C225" t="e">
        <f>AND(#REF!,"AAAAAG99/wI=")</f>
        <v>#REF!</v>
      </c>
      <c r="D225" t="e">
        <f>AND(#REF!,"AAAAAG99/wM=")</f>
        <v>#REF!</v>
      </c>
      <c r="E225" t="e">
        <f>AND(#REF!,"AAAAAG99/wQ=")</f>
        <v>#REF!</v>
      </c>
      <c r="F225" t="e">
        <f>AND(#REF!,"AAAAAG99/wU=")</f>
        <v>#REF!</v>
      </c>
      <c r="G225" t="e">
        <f>AND(#REF!,"AAAAAG99/wY=")</f>
        <v>#REF!</v>
      </c>
      <c r="H225" t="e">
        <f>AND(#REF!,"AAAAAG99/wc=")</f>
        <v>#REF!</v>
      </c>
      <c r="I225" t="e">
        <f>AND(#REF!,"AAAAAG99/wg=")</f>
        <v>#REF!</v>
      </c>
      <c r="J225" t="e">
        <f>AND(#REF!,"AAAAAG99/wk=")</f>
        <v>#REF!</v>
      </c>
      <c r="K225" t="e">
        <f>AND(#REF!,"AAAAAG99/wo=")</f>
        <v>#REF!</v>
      </c>
      <c r="L225" t="e">
        <f>AND(#REF!,"AAAAAG99/ws=")</f>
        <v>#REF!</v>
      </c>
      <c r="M225" t="e">
        <f>AND(#REF!,"AAAAAG99/ww=")</f>
        <v>#REF!</v>
      </c>
      <c r="N225" t="e">
        <f>AND(#REF!,"AAAAAG99/w0=")</f>
        <v>#REF!</v>
      </c>
      <c r="O225" t="e">
        <f>AND(#REF!,"AAAAAG99/w4=")</f>
        <v>#REF!</v>
      </c>
      <c r="P225" t="e">
        <f>AND(#REF!,"AAAAAG99/w8=")</f>
        <v>#REF!</v>
      </c>
      <c r="Q225" t="e">
        <f>AND(#REF!,"AAAAAG99/xA=")</f>
        <v>#REF!</v>
      </c>
      <c r="R225" t="e">
        <f>AND(#REF!,"AAAAAG99/xE=")</f>
        <v>#REF!</v>
      </c>
      <c r="S225" t="e">
        <f>AND(#REF!,"AAAAAG99/xI=")</f>
        <v>#REF!</v>
      </c>
      <c r="T225" t="e">
        <f>AND(#REF!,"AAAAAG99/xM=")</f>
        <v>#REF!</v>
      </c>
      <c r="U225" t="e">
        <f>AND(#REF!,"AAAAAG99/xQ=")</f>
        <v>#REF!</v>
      </c>
      <c r="V225" t="e">
        <f>AND(#REF!,"AAAAAG99/xU=")</f>
        <v>#REF!</v>
      </c>
      <c r="W225" t="e">
        <f>AND(#REF!,"AAAAAG99/xY=")</f>
        <v>#REF!</v>
      </c>
      <c r="X225" t="e">
        <f>AND(#REF!,"AAAAAG99/xc=")</f>
        <v>#REF!</v>
      </c>
      <c r="Y225" t="e">
        <f>AND(#REF!,"AAAAAG99/xg=")</f>
        <v>#REF!</v>
      </c>
      <c r="Z225" t="e">
        <f>AND(#REF!,"AAAAAG99/xk=")</f>
        <v>#REF!</v>
      </c>
      <c r="AA225" t="e">
        <f>AND(#REF!,"AAAAAG99/xo=")</f>
        <v>#REF!</v>
      </c>
      <c r="AB225" t="e">
        <f>AND(#REF!,"AAAAAG99/xs=")</f>
        <v>#REF!</v>
      </c>
      <c r="AC225" t="e">
        <f>AND(#REF!,"AAAAAG99/xw=")</f>
        <v>#REF!</v>
      </c>
      <c r="AD225" t="e">
        <f>AND(#REF!,"AAAAAG99/x0=")</f>
        <v>#REF!</v>
      </c>
      <c r="AE225" t="e">
        <f>AND(#REF!,"AAAAAG99/x4=")</f>
        <v>#REF!</v>
      </c>
      <c r="AF225" t="e">
        <f>AND(#REF!,"AAAAAG99/x8=")</f>
        <v>#REF!</v>
      </c>
      <c r="AG225" t="e">
        <f>AND(#REF!,"AAAAAG99/yA=")</f>
        <v>#REF!</v>
      </c>
      <c r="AH225" t="e">
        <f>AND(#REF!,"AAAAAG99/yE=")</f>
        <v>#REF!</v>
      </c>
      <c r="AI225" t="e">
        <f>AND(#REF!,"AAAAAG99/yI=")</f>
        <v>#REF!</v>
      </c>
      <c r="AJ225" t="e">
        <f>IF(#REF!,"AAAAAG99/yM=",0)</f>
        <v>#REF!</v>
      </c>
      <c r="AK225" t="e">
        <f>AND(#REF!,"AAAAAG99/yQ=")</f>
        <v>#REF!</v>
      </c>
      <c r="AL225" t="e">
        <f>AND(#REF!,"AAAAAG99/yU=")</f>
        <v>#REF!</v>
      </c>
      <c r="AM225" t="e">
        <f>AND(#REF!,"AAAAAG99/yY=")</f>
        <v>#REF!</v>
      </c>
      <c r="AN225" t="e">
        <f>AND(#REF!,"AAAAAG99/yc=")</f>
        <v>#REF!</v>
      </c>
      <c r="AO225" t="e">
        <f>AND(#REF!,"AAAAAG99/yg=")</f>
        <v>#REF!</v>
      </c>
      <c r="AP225" t="e">
        <f>AND(#REF!,"AAAAAG99/yk=")</f>
        <v>#REF!</v>
      </c>
      <c r="AQ225" t="e">
        <f>AND(#REF!,"AAAAAG99/yo=")</f>
        <v>#REF!</v>
      </c>
      <c r="AR225" t="e">
        <f>AND(#REF!,"AAAAAG99/ys=")</f>
        <v>#REF!</v>
      </c>
      <c r="AS225" t="e">
        <f>AND(#REF!,"AAAAAG99/yw=")</f>
        <v>#REF!</v>
      </c>
      <c r="AT225" t="e">
        <f>AND(#REF!,"AAAAAG99/y0=")</f>
        <v>#REF!</v>
      </c>
      <c r="AU225" t="e">
        <f>AND(#REF!,"AAAAAG99/y4=")</f>
        <v>#REF!</v>
      </c>
      <c r="AV225" t="e">
        <f>AND(#REF!,"AAAAAG99/y8=")</f>
        <v>#REF!</v>
      </c>
      <c r="AW225" t="e">
        <f>AND(#REF!,"AAAAAG99/zA=")</f>
        <v>#REF!</v>
      </c>
      <c r="AX225" t="e">
        <f>AND(#REF!,"AAAAAG99/zE=")</f>
        <v>#REF!</v>
      </c>
      <c r="AY225" t="e">
        <f>AND(#REF!,"AAAAAG99/zI=")</f>
        <v>#REF!</v>
      </c>
      <c r="AZ225" t="e">
        <f>AND(#REF!,"AAAAAG99/zM=")</f>
        <v>#REF!</v>
      </c>
      <c r="BA225" t="e">
        <f>AND(#REF!,"AAAAAG99/zQ=")</f>
        <v>#REF!</v>
      </c>
      <c r="BB225" t="e">
        <f>AND(#REF!,"AAAAAG99/zU=")</f>
        <v>#REF!</v>
      </c>
      <c r="BC225" t="e">
        <f>AND(#REF!,"AAAAAG99/zY=")</f>
        <v>#REF!</v>
      </c>
      <c r="BD225" t="e">
        <f>AND(#REF!,"AAAAAG99/zc=")</f>
        <v>#REF!</v>
      </c>
      <c r="BE225" t="e">
        <f>AND(#REF!,"AAAAAG99/zg=")</f>
        <v>#REF!</v>
      </c>
      <c r="BF225" t="e">
        <f>AND(#REF!,"AAAAAG99/zk=")</f>
        <v>#REF!</v>
      </c>
      <c r="BG225" t="e">
        <f>AND(#REF!,"AAAAAG99/zo=")</f>
        <v>#REF!</v>
      </c>
      <c r="BH225" t="e">
        <f>AND(#REF!,"AAAAAG99/zs=")</f>
        <v>#REF!</v>
      </c>
      <c r="BI225" t="e">
        <f>AND(#REF!,"AAAAAG99/zw=")</f>
        <v>#REF!</v>
      </c>
      <c r="BJ225" t="e">
        <f>AND(#REF!,"AAAAAG99/z0=")</f>
        <v>#REF!</v>
      </c>
      <c r="BK225" t="e">
        <f>AND(#REF!,"AAAAAG99/z4=")</f>
        <v>#REF!</v>
      </c>
      <c r="BL225" t="e">
        <f>AND(#REF!,"AAAAAG99/z8=")</f>
        <v>#REF!</v>
      </c>
      <c r="BM225" t="e">
        <f>AND(#REF!,"AAAAAG99/0A=")</f>
        <v>#REF!</v>
      </c>
      <c r="BN225" t="e">
        <f>AND(#REF!,"AAAAAG99/0E=")</f>
        <v>#REF!</v>
      </c>
      <c r="BO225" t="e">
        <f>AND(#REF!,"AAAAAG99/0I=")</f>
        <v>#REF!</v>
      </c>
      <c r="BP225" t="e">
        <f>AND(#REF!,"AAAAAG99/0M=")</f>
        <v>#REF!</v>
      </c>
      <c r="BQ225" t="e">
        <f>AND(#REF!,"AAAAAG99/0Q=")</f>
        <v>#REF!</v>
      </c>
      <c r="BR225" t="e">
        <f>IF(#REF!,"AAAAAG99/0U=",0)</f>
        <v>#REF!</v>
      </c>
      <c r="BS225" t="e">
        <f>AND(#REF!,"AAAAAG99/0Y=")</f>
        <v>#REF!</v>
      </c>
      <c r="BT225" t="e">
        <f>AND(#REF!,"AAAAAG99/0c=")</f>
        <v>#REF!</v>
      </c>
      <c r="BU225" t="e">
        <f>AND(#REF!,"AAAAAG99/0g=")</f>
        <v>#REF!</v>
      </c>
      <c r="BV225" t="e">
        <f>AND(#REF!,"AAAAAG99/0k=")</f>
        <v>#REF!</v>
      </c>
      <c r="BW225" t="e">
        <f>AND(#REF!,"AAAAAG99/0o=")</f>
        <v>#REF!</v>
      </c>
      <c r="BX225" t="e">
        <f>AND(#REF!,"AAAAAG99/0s=")</f>
        <v>#REF!</v>
      </c>
      <c r="BY225" t="e">
        <f>AND(#REF!,"AAAAAG99/0w=")</f>
        <v>#REF!</v>
      </c>
      <c r="BZ225" t="e">
        <f>AND(#REF!,"AAAAAG99/00=")</f>
        <v>#REF!</v>
      </c>
      <c r="CA225" t="e">
        <f>AND(#REF!,"AAAAAG99/04=")</f>
        <v>#REF!</v>
      </c>
      <c r="CB225" t="e">
        <f>AND(#REF!,"AAAAAG99/08=")</f>
        <v>#REF!</v>
      </c>
      <c r="CC225" t="e">
        <f>AND(#REF!,"AAAAAG99/1A=")</f>
        <v>#REF!</v>
      </c>
      <c r="CD225" t="e">
        <f>AND(#REF!,"AAAAAG99/1E=")</f>
        <v>#REF!</v>
      </c>
      <c r="CE225" t="e">
        <f>AND(#REF!,"AAAAAG99/1I=")</f>
        <v>#REF!</v>
      </c>
      <c r="CF225" t="e">
        <f>AND(#REF!,"AAAAAG99/1M=")</f>
        <v>#REF!</v>
      </c>
      <c r="CG225" t="e">
        <f>AND(#REF!,"AAAAAG99/1Q=")</f>
        <v>#REF!</v>
      </c>
      <c r="CH225" t="e">
        <f>AND(#REF!,"AAAAAG99/1U=")</f>
        <v>#REF!</v>
      </c>
      <c r="CI225" t="e">
        <f>AND(#REF!,"AAAAAG99/1Y=")</f>
        <v>#REF!</v>
      </c>
      <c r="CJ225" t="e">
        <f>AND(#REF!,"AAAAAG99/1c=")</f>
        <v>#REF!</v>
      </c>
      <c r="CK225" t="e">
        <f>AND(#REF!,"AAAAAG99/1g=")</f>
        <v>#REF!</v>
      </c>
      <c r="CL225" t="e">
        <f>AND(#REF!,"AAAAAG99/1k=")</f>
        <v>#REF!</v>
      </c>
      <c r="CM225" t="e">
        <f>AND(#REF!,"AAAAAG99/1o=")</f>
        <v>#REF!</v>
      </c>
      <c r="CN225" t="e">
        <f>AND(#REF!,"AAAAAG99/1s=")</f>
        <v>#REF!</v>
      </c>
      <c r="CO225" t="e">
        <f>AND(#REF!,"AAAAAG99/1w=")</f>
        <v>#REF!</v>
      </c>
      <c r="CP225" t="e">
        <f>AND(#REF!,"AAAAAG99/10=")</f>
        <v>#REF!</v>
      </c>
      <c r="CQ225" t="e">
        <f>AND(#REF!,"AAAAAG99/14=")</f>
        <v>#REF!</v>
      </c>
      <c r="CR225" t="e">
        <f>AND(#REF!,"AAAAAG99/18=")</f>
        <v>#REF!</v>
      </c>
      <c r="CS225" t="e">
        <f>AND(#REF!,"AAAAAG99/2A=")</f>
        <v>#REF!</v>
      </c>
      <c r="CT225" t="e">
        <f>AND(#REF!,"AAAAAG99/2E=")</f>
        <v>#REF!</v>
      </c>
      <c r="CU225" t="e">
        <f>AND(#REF!,"AAAAAG99/2I=")</f>
        <v>#REF!</v>
      </c>
      <c r="CV225" t="e">
        <f>AND(#REF!,"AAAAAG99/2M=")</f>
        <v>#REF!</v>
      </c>
      <c r="CW225" t="e">
        <f>AND(#REF!,"AAAAAG99/2Q=")</f>
        <v>#REF!</v>
      </c>
      <c r="CX225" t="e">
        <f>AND(#REF!,"AAAAAG99/2U=")</f>
        <v>#REF!</v>
      </c>
      <c r="CY225" t="e">
        <f>AND(#REF!,"AAAAAG99/2Y=")</f>
        <v>#REF!</v>
      </c>
      <c r="CZ225" t="e">
        <f>IF(#REF!,"AAAAAG99/2c=",0)</f>
        <v>#REF!</v>
      </c>
      <c r="DA225" t="e">
        <f>AND(#REF!,"AAAAAG99/2g=")</f>
        <v>#REF!</v>
      </c>
      <c r="DB225" t="e">
        <f>AND(#REF!,"AAAAAG99/2k=")</f>
        <v>#REF!</v>
      </c>
      <c r="DC225" t="e">
        <f>AND(#REF!,"AAAAAG99/2o=")</f>
        <v>#REF!</v>
      </c>
      <c r="DD225" t="e">
        <f>AND(#REF!,"AAAAAG99/2s=")</f>
        <v>#REF!</v>
      </c>
      <c r="DE225" t="e">
        <f>AND(#REF!,"AAAAAG99/2w=")</f>
        <v>#REF!</v>
      </c>
      <c r="DF225" t="e">
        <f>AND(#REF!,"AAAAAG99/20=")</f>
        <v>#REF!</v>
      </c>
      <c r="DG225" t="e">
        <f>AND(#REF!,"AAAAAG99/24=")</f>
        <v>#REF!</v>
      </c>
      <c r="DH225" t="e">
        <f>AND(#REF!,"AAAAAG99/28=")</f>
        <v>#REF!</v>
      </c>
      <c r="DI225" t="e">
        <f>AND(#REF!,"AAAAAG99/3A=")</f>
        <v>#REF!</v>
      </c>
      <c r="DJ225" t="e">
        <f>AND(#REF!,"AAAAAG99/3E=")</f>
        <v>#REF!</v>
      </c>
      <c r="DK225" t="e">
        <f>AND(#REF!,"AAAAAG99/3I=")</f>
        <v>#REF!</v>
      </c>
      <c r="DL225" t="e">
        <f>AND(#REF!,"AAAAAG99/3M=")</f>
        <v>#REF!</v>
      </c>
      <c r="DM225" t="e">
        <f>AND(#REF!,"AAAAAG99/3Q=")</f>
        <v>#REF!</v>
      </c>
      <c r="DN225" t="e">
        <f>AND(#REF!,"AAAAAG99/3U=")</f>
        <v>#REF!</v>
      </c>
      <c r="DO225" t="e">
        <f>AND(#REF!,"AAAAAG99/3Y=")</f>
        <v>#REF!</v>
      </c>
      <c r="DP225" t="e">
        <f>AND(#REF!,"AAAAAG99/3c=")</f>
        <v>#REF!</v>
      </c>
      <c r="DQ225" t="e">
        <f>AND(#REF!,"AAAAAG99/3g=")</f>
        <v>#REF!</v>
      </c>
      <c r="DR225" t="e">
        <f>AND(#REF!,"AAAAAG99/3k=")</f>
        <v>#REF!</v>
      </c>
      <c r="DS225" t="e">
        <f>AND(#REF!,"AAAAAG99/3o=")</f>
        <v>#REF!</v>
      </c>
      <c r="DT225" t="e">
        <f>AND(#REF!,"AAAAAG99/3s=")</f>
        <v>#REF!</v>
      </c>
      <c r="DU225" t="e">
        <f>AND(#REF!,"AAAAAG99/3w=")</f>
        <v>#REF!</v>
      </c>
      <c r="DV225" t="e">
        <f>AND(#REF!,"AAAAAG99/30=")</f>
        <v>#REF!</v>
      </c>
      <c r="DW225" t="e">
        <f>AND(#REF!,"AAAAAG99/34=")</f>
        <v>#REF!</v>
      </c>
      <c r="DX225" t="e">
        <f>AND(#REF!,"AAAAAG99/38=")</f>
        <v>#REF!</v>
      </c>
      <c r="DY225" t="e">
        <f>AND(#REF!,"AAAAAG99/4A=")</f>
        <v>#REF!</v>
      </c>
      <c r="DZ225" t="e">
        <f>AND(#REF!,"AAAAAG99/4E=")</f>
        <v>#REF!</v>
      </c>
      <c r="EA225" t="e">
        <f>AND(#REF!,"AAAAAG99/4I=")</f>
        <v>#REF!</v>
      </c>
      <c r="EB225" t="e">
        <f>AND(#REF!,"AAAAAG99/4M=")</f>
        <v>#REF!</v>
      </c>
      <c r="EC225" t="e">
        <f>AND(#REF!,"AAAAAG99/4Q=")</f>
        <v>#REF!</v>
      </c>
      <c r="ED225" t="e">
        <f>AND(#REF!,"AAAAAG99/4U=")</f>
        <v>#REF!</v>
      </c>
      <c r="EE225" t="e">
        <f>AND(#REF!,"AAAAAG99/4Y=")</f>
        <v>#REF!</v>
      </c>
      <c r="EF225" t="e">
        <f>AND(#REF!,"AAAAAG99/4c=")</f>
        <v>#REF!</v>
      </c>
      <c r="EG225" t="e">
        <f>AND(#REF!,"AAAAAG99/4g=")</f>
        <v>#REF!</v>
      </c>
      <c r="EH225" t="e">
        <f>IF(#REF!,"AAAAAG99/4k=",0)</f>
        <v>#REF!</v>
      </c>
      <c r="EI225" t="e">
        <f>AND(#REF!,"AAAAAG99/4o=")</f>
        <v>#REF!</v>
      </c>
      <c r="EJ225" t="e">
        <f>AND(#REF!,"AAAAAG99/4s=")</f>
        <v>#REF!</v>
      </c>
      <c r="EK225" t="e">
        <f>AND(#REF!,"AAAAAG99/4w=")</f>
        <v>#REF!</v>
      </c>
      <c r="EL225" t="e">
        <f>AND(#REF!,"AAAAAG99/40=")</f>
        <v>#REF!</v>
      </c>
      <c r="EM225" t="e">
        <f>AND(#REF!,"AAAAAG99/44=")</f>
        <v>#REF!</v>
      </c>
      <c r="EN225" t="e">
        <f>AND(#REF!,"AAAAAG99/48=")</f>
        <v>#REF!</v>
      </c>
      <c r="EO225" t="e">
        <f>AND(#REF!,"AAAAAG99/5A=")</f>
        <v>#REF!</v>
      </c>
      <c r="EP225" t="e">
        <f>AND(#REF!,"AAAAAG99/5E=")</f>
        <v>#REF!</v>
      </c>
      <c r="EQ225" t="e">
        <f>AND(#REF!,"AAAAAG99/5I=")</f>
        <v>#REF!</v>
      </c>
      <c r="ER225" t="e">
        <f>AND(#REF!,"AAAAAG99/5M=")</f>
        <v>#REF!</v>
      </c>
      <c r="ES225" t="e">
        <f>AND(#REF!,"AAAAAG99/5Q=")</f>
        <v>#REF!</v>
      </c>
      <c r="ET225" t="e">
        <f>AND(#REF!,"AAAAAG99/5U=")</f>
        <v>#REF!</v>
      </c>
      <c r="EU225" t="e">
        <f>AND(#REF!,"AAAAAG99/5Y=")</f>
        <v>#REF!</v>
      </c>
      <c r="EV225" t="e">
        <f>AND(#REF!,"AAAAAG99/5c=")</f>
        <v>#REF!</v>
      </c>
      <c r="EW225" t="e">
        <f>AND(#REF!,"AAAAAG99/5g=")</f>
        <v>#REF!</v>
      </c>
      <c r="EX225" t="e">
        <f>AND(#REF!,"AAAAAG99/5k=")</f>
        <v>#REF!</v>
      </c>
      <c r="EY225" t="e">
        <f>AND(#REF!,"AAAAAG99/5o=")</f>
        <v>#REF!</v>
      </c>
      <c r="EZ225" t="e">
        <f>AND(#REF!,"AAAAAG99/5s=")</f>
        <v>#REF!</v>
      </c>
      <c r="FA225" t="e">
        <f>AND(#REF!,"AAAAAG99/5w=")</f>
        <v>#REF!</v>
      </c>
      <c r="FB225" t="e">
        <f>AND(#REF!,"AAAAAG99/50=")</f>
        <v>#REF!</v>
      </c>
      <c r="FC225" t="e">
        <f>AND(#REF!,"AAAAAG99/54=")</f>
        <v>#REF!</v>
      </c>
      <c r="FD225" t="e">
        <f>AND(#REF!,"AAAAAG99/58=")</f>
        <v>#REF!</v>
      </c>
      <c r="FE225" t="e">
        <f>AND(#REF!,"AAAAAG99/6A=")</f>
        <v>#REF!</v>
      </c>
      <c r="FF225" t="e">
        <f>AND(#REF!,"AAAAAG99/6E=")</f>
        <v>#REF!</v>
      </c>
      <c r="FG225" t="e">
        <f>AND(#REF!,"AAAAAG99/6I=")</f>
        <v>#REF!</v>
      </c>
      <c r="FH225" t="e">
        <f>AND(#REF!,"AAAAAG99/6M=")</f>
        <v>#REF!</v>
      </c>
      <c r="FI225" t="e">
        <f>AND(#REF!,"AAAAAG99/6Q=")</f>
        <v>#REF!</v>
      </c>
      <c r="FJ225" t="e">
        <f>AND(#REF!,"AAAAAG99/6U=")</f>
        <v>#REF!</v>
      </c>
      <c r="FK225" t="e">
        <f>AND(#REF!,"AAAAAG99/6Y=")</f>
        <v>#REF!</v>
      </c>
      <c r="FL225" t="e">
        <f>AND(#REF!,"AAAAAG99/6c=")</f>
        <v>#REF!</v>
      </c>
      <c r="FM225" t="e">
        <f>AND(#REF!,"AAAAAG99/6g=")</f>
        <v>#REF!</v>
      </c>
      <c r="FN225" t="e">
        <f>AND(#REF!,"AAAAAG99/6k=")</f>
        <v>#REF!</v>
      </c>
      <c r="FO225" t="e">
        <f>AND(#REF!,"AAAAAG99/6o=")</f>
        <v>#REF!</v>
      </c>
      <c r="FP225" t="e">
        <f>IF(#REF!,"AAAAAG99/6s=",0)</f>
        <v>#REF!</v>
      </c>
      <c r="FQ225" t="e">
        <f>AND(#REF!,"AAAAAG99/6w=")</f>
        <v>#REF!</v>
      </c>
      <c r="FR225" t="e">
        <f>AND(#REF!,"AAAAAG99/60=")</f>
        <v>#REF!</v>
      </c>
      <c r="FS225" t="e">
        <f>AND(#REF!,"AAAAAG99/64=")</f>
        <v>#REF!</v>
      </c>
      <c r="FT225" t="e">
        <f>AND(#REF!,"AAAAAG99/68=")</f>
        <v>#REF!</v>
      </c>
      <c r="FU225" t="e">
        <f>AND(#REF!,"AAAAAG99/7A=")</f>
        <v>#REF!</v>
      </c>
      <c r="FV225" t="e">
        <f>AND(#REF!,"AAAAAG99/7E=")</f>
        <v>#REF!</v>
      </c>
      <c r="FW225" t="e">
        <f>AND(#REF!,"AAAAAG99/7I=")</f>
        <v>#REF!</v>
      </c>
      <c r="FX225" t="e">
        <f>AND(#REF!,"AAAAAG99/7M=")</f>
        <v>#REF!</v>
      </c>
      <c r="FY225" t="e">
        <f>AND(#REF!,"AAAAAG99/7Q=")</f>
        <v>#REF!</v>
      </c>
      <c r="FZ225" t="e">
        <f>AND(#REF!,"AAAAAG99/7U=")</f>
        <v>#REF!</v>
      </c>
      <c r="GA225" t="e">
        <f>AND(#REF!,"AAAAAG99/7Y=")</f>
        <v>#REF!</v>
      </c>
      <c r="GB225" t="e">
        <f>AND(#REF!,"AAAAAG99/7c=")</f>
        <v>#REF!</v>
      </c>
      <c r="GC225" t="e">
        <f>AND(#REF!,"AAAAAG99/7g=")</f>
        <v>#REF!</v>
      </c>
      <c r="GD225" t="e">
        <f>AND(#REF!,"AAAAAG99/7k=")</f>
        <v>#REF!</v>
      </c>
      <c r="GE225" t="e">
        <f>AND(#REF!,"AAAAAG99/7o=")</f>
        <v>#REF!</v>
      </c>
      <c r="GF225" t="e">
        <f>AND(#REF!,"AAAAAG99/7s=")</f>
        <v>#REF!</v>
      </c>
      <c r="GG225" t="e">
        <f>AND(#REF!,"AAAAAG99/7w=")</f>
        <v>#REF!</v>
      </c>
      <c r="GH225" t="e">
        <f>AND(#REF!,"AAAAAG99/70=")</f>
        <v>#REF!</v>
      </c>
      <c r="GI225" t="e">
        <f>AND(#REF!,"AAAAAG99/74=")</f>
        <v>#REF!</v>
      </c>
      <c r="GJ225" t="e">
        <f>AND(#REF!,"AAAAAG99/78=")</f>
        <v>#REF!</v>
      </c>
      <c r="GK225" t="e">
        <f>AND(#REF!,"AAAAAG99/8A=")</f>
        <v>#REF!</v>
      </c>
      <c r="GL225" t="e">
        <f>AND(#REF!,"AAAAAG99/8E=")</f>
        <v>#REF!</v>
      </c>
      <c r="GM225" t="e">
        <f>AND(#REF!,"AAAAAG99/8I=")</f>
        <v>#REF!</v>
      </c>
      <c r="GN225" t="e">
        <f>AND(#REF!,"AAAAAG99/8M=")</f>
        <v>#REF!</v>
      </c>
      <c r="GO225" t="e">
        <f>AND(#REF!,"AAAAAG99/8Q=")</f>
        <v>#REF!</v>
      </c>
      <c r="GP225" t="e">
        <f>AND(#REF!,"AAAAAG99/8U=")</f>
        <v>#REF!</v>
      </c>
      <c r="GQ225" t="e">
        <f>AND(#REF!,"AAAAAG99/8Y=")</f>
        <v>#REF!</v>
      </c>
      <c r="GR225" t="e">
        <f>AND(#REF!,"AAAAAG99/8c=")</f>
        <v>#REF!</v>
      </c>
      <c r="GS225" t="e">
        <f>AND(#REF!,"AAAAAG99/8g=")</f>
        <v>#REF!</v>
      </c>
      <c r="GT225" t="e">
        <f>AND(#REF!,"AAAAAG99/8k=")</f>
        <v>#REF!</v>
      </c>
      <c r="GU225" t="e">
        <f>AND(#REF!,"AAAAAG99/8o=")</f>
        <v>#REF!</v>
      </c>
      <c r="GV225" t="e">
        <f>AND(#REF!,"AAAAAG99/8s=")</f>
        <v>#REF!</v>
      </c>
      <c r="GW225" t="e">
        <f>AND(#REF!,"AAAAAG99/8w=")</f>
        <v>#REF!</v>
      </c>
      <c r="GX225" t="e">
        <f>IF(#REF!,"AAAAAG99/80=",0)</f>
        <v>#REF!</v>
      </c>
      <c r="GY225" t="e">
        <f>AND(#REF!,"AAAAAG99/84=")</f>
        <v>#REF!</v>
      </c>
      <c r="GZ225" t="e">
        <f>AND(#REF!,"AAAAAG99/88=")</f>
        <v>#REF!</v>
      </c>
      <c r="HA225" t="e">
        <f>AND(#REF!,"AAAAAG99/9A=")</f>
        <v>#REF!</v>
      </c>
      <c r="HB225" t="e">
        <f>AND(#REF!,"AAAAAG99/9E=")</f>
        <v>#REF!</v>
      </c>
      <c r="HC225" t="e">
        <f>AND(#REF!,"AAAAAG99/9I=")</f>
        <v>#REF!</v>
      </c>
      <c r="HD225" t="e">
        <f>AND(#REF!,"AAAAAG99/9M=")</f>
        <v>#REF!</v>
      </c>
      <c r="HE225" t="e">
        <f>AND(#REF!,"AAAAAG99/9Q=")</f>
        <v>#REF!</v>
      </c>
      <c r="HF225" t="e">
        <f>AND(#REF!,"AAAAAG99/9U=")</f>
        <v>#REF!</v>
      </c>
      <c r="HG225" t="e">
        <f>AND(#REF!,"AAAAAG99/9Y=")</f>
        <v>#REF!</v>
      </c>
      <c r="HH225" t="e">
        <f>AND(#REF!,"AAAAAG99/9c=")</f>
        <v>#REF!</v>
      </c>
      <c r="HI225" t="e">
        <f>AND(#REF!,"AAAAAG99/9g=")</f>
        <v>#REF!</v>
      </c>
      <c r="HJ225" t="e">
        <f>AND(#REF!,"AAAAAG99/9k=")</f>
        <v>#REF!</v>
      </c>
      <c r="HK225" t="e">
        <f>AND(#REF!,"AAAAAG99/9o=")</f>
        <v>#REF!</v>
      </c>
      <c r="HL225" t="e">
        <f>AND(#REF!,"AAAAAG99/9s=")</f>
        <v>#REF!</v>
      </c>
      <c r="HM225" t="e">
        <f>AND(#REF!,"AAAAAG99/9w=")</f>
        <v>#REF!</v>
      </c>
      <c r="HN225" t="e">
        <f>AND(#REF!,"AAAAAG99/90=")</f>
        <v>#REF!</v>
      </c>
      <c r="HO225" t="e">
        <f>AND(#REF!,"AAAAAG99/94=")</f>
        <v>#REF!</v>
      </c>
      <c r="HP225" t="e">
        <f>AND(#REF!,"AAAAAG99/98=")</f>
        <v>#REF!</v>
      </c>
      <c r="HQ225" t="e">
        <f>AND(#REF!,"AAAAAG99/+A=")</f>
        <v>#REF!</v>
      </c>
      <c r="HR225" t="e">
        <f>AND(#REF!,"AAAAAG99/+E=")</f>
        <v>#REF!</v>
      </c>
      <c r="HS225" t="e">
        <f>AND(#REF!,"AAAAAG99/+I=")</f>
        <v>#REF!</v>
      </c>
      <c r="HT225" t="e">
        <f>AND(#REF!,"AAAAAG99/+M=")</f>
        <v>#REF!</v>
      </c>
      <c r="HU225" t="e">
        <f>AND(#REF!,"AAAAAG99/+Q=")</f>
        <v>#REF!</v>
      </c>
      <c r="HV225" t="e">
        <f>AND(#REF!,"AAAAAG99/+U=")</f>
        <v>#REF!</v>
      </c>
      <c r="HW225" t="e">
        <f>AND(#REF!,"AAAAAG99/+Y=")</f>
        <v>#REF!</v>
      </c>
      <c r="HX225" t="e">
        <f>AND(#REF!,"AAAAAG99/+c=")</f>
        <v>#REF!</v>
      </c>
      <c r="HY225" t="e">
        <f>AND(#REF!,"AAAAAG99/+g=")</f>
        <v>#REF!</v>
      </c>
      <c r="HZ225" t="e">
        <f>AND(#REF!,"AAAAAG99/+k=")</f>
        <v>#REF!</v>
      </c>
      <c r="IA225" t="e">
        <f>AND(#REF!,"AAAAAG99/+o=")</f>
        <v>#REF!</v>
      </c>
      <c r="IB225" t="e">
        <f>AND(#REF!,"AAAAAG99/+s=")</f>
        <v>#REF!</v>
      </c>
      <c r="IC225" t="e">
        <f>AND(#REF!,"AAAAAG99/+w=")</f>
        <v>#REF!</v>
      </c>
      <c r="ID225" t="e">
        <f>AND(#REF!,"AAAAAG99/+0=")</f>
        <v>#REF!</v>
      </c>
      <c r="IE225" t="e">
        <f>AND(#REF!,"AAAAAG99/+4=")</f>
        <v>#REF!</v>
      </c>
      <c r="IF225" t="e">
        <f>IF(#REF!,"AAAAAG99/+8=",0)</f>
        <v>#REF!</v>
      </c>
      <c r="IG225" t="e">
        <f>AND(#REF!,"AAAAAG99//A=")</f>
        <v>#REF!</v>
      </c>
      <c r="IH225" t="e">
        <f>AND(#REF!,"AAAAAG99//E=")</f>
        <v>#REF!</v>
      </c>
      <c r="II225" t="e">
        <f>AND(#REF!,"AAAAAG99//I=")</f>
        <v>#REF!</v>
      </c>
      <c r="IJ225" t="e">
        <f>AND(#REF!,"AAAAAG99//M=")</f>
        <v>#REF!</v>
      </c>
      <c r="IK225" t="e">
        <f>AND(#REF!,"AAAAAG99//Q=")</f>
        <v>#REF!</v>
      </c>
      <c r="IL225" t="e">
        <f>AND(#REF!,"AAAAAG99//U=")</f>
        <v>#REF!</v>
      </c>
      <c r="IM225" t="e">
        <f>AND(#REF!,"AAAAAG99//Y=")</f>
        <v>#REF!</v>
      </c>
      <c r="IN225" t="e">
        <f>AND(#REF!,"AAAAAG99//c=")</f>
        <v>#REF!</v>
      </c>
      <c r="IO225" t="e">
        <f>AND(#REF!,"AAAAAG99//g=")</f>
        <v>#REF!</v>
      </c>
      <c r="IP225" t="e">
        <f>AND(#REF!,"AAAAAG99//k=")</f>
        <v>#REF!</v>
      </c>
      <c r="IQ225" t="e">
        <f>AND(#REF!,"AAAAAG99//o=")</f>
        <v>#REF!</v>
      </c>
      <c r="IR225" t="e">
        <f>AND(#REF!,"AAAAAG99//s=")</f>
        <v>#REF!</v>
      </c>
      <c r="IS225" t="e">
        <f>AND(#REF!,"AAAAAG99//w=")</f>
        <v>#REF!</v>
      </c>
      <c r="IT225" t="e">
        <f>AND(#REF!,"AAAAAG99//0=")</f>
        <v>#REF!</v>
      </c>
      <c r="IU225" t="e">
        <f>AND(#REF!,"AAAAAG99//4=")</f>
        <v>#REF!</v>
      </c>
      <c r="IV225" t="e">
        <f>AND(#REF!,"AAAAAG99//8=")</f>
        <v>#REF!</v>
      </c>
    </row>
    <row r="226" spans="1:256" x14ac:dyDescent="0.2">
      <c r="A226" t="e">
        <f>AND(#REF!,"AAAAAH63+wA=")</f>
        <v>#REF!</v>
      </c>
      <c r="B226" t="e">
        <f>AND(#REF!,"AAAAAH63+wE=")</f>
        <v>#REF!</v>
      </c>
      <c r="C226" t="e">
        <f>AND(#REF!,"AAAAAH63+wI=")</f>
        <v>#REF!</v>
      </c>
      <c r="D226" t="e">
        <f>AND(#REF!,"AAAAAH63+wM=")</f>
        <v>#REF!</v>
      </c>
      <c r="E226" t="e">
        <f>AND(#REF!,"AAAAAH63+wQ=")</f>
        <v>#REF!</v>
      </c>
      <c r="F226" t="e">
        <f>AND(#REF!,"AAAAAH63+wU=")</f>
        <v>#REF!</v>
      </c>
      <c r="G226" t="e">
        <f>AND(#REF!,"AAAAAH63+wY=")</f>
        <v>#REF!</v>
      </c>
      <c r="H226" t="e">
        <f>AND(#REF!,"AAAAAH63+wc=")</f>
        <v>#REF!</v>
      </c>
      <c r="I226" t="e">
        <f>AND(#REF!,"AAAAAH63+wg=")</f>
        <v>#REF!</v>
      </c>
      <c r="J226" t="e">
        <f>AND(#REF!,"AAAAAH63+wk=")</f>
        <v>#REF!</v>
      </c>
      <c r="K226" t="e">
        <f>AND(#REF!,"AAAAAH63+wo=")</f>
        <v>#REF!</v>
      </c>
      <c r="L226" t="e">
        <f>AND(#REF!,"AAAAAH63+ws=")</f>
        <v>#REF!</v>
      </c>
      <c r="M226" t="e">
        <f>AND(#REF!,"AAAAAH63+ww=")</f>
        <v>#REF!</v>
      </c>
      <c r="N226" t="e">
        <f>AND(#REF!,"AAAAAH63+w0=")</f>
        <v>#REF!</v>
      </c>
      <c r="O226" t="e">
        <f>AND(#REF!,"AAAAAH63+w4=")</f>
        <v>#REF!</v>
      </c>
      <c r="P226" t="e">
        <f>AND(#REF!,"AAAAAH63+w8=")</f>
        <v>#REF!</v>
      </c>
      <c r="Q226" t="e">
        <f>AND(#REF!,"AAAAAH63+xA=")</f>
        <v>#REF!</v>
      </c>
      <c r="R226" t="e">
        <f>IF(#REF!,"AAAAAH63+xE=",0)</f>
        <v>#REF!</v>
      </c>
      <c r="S226" t="e">
        <f>AND(#REF!,"AAAAAH63+xI=")</f>
        <v>#REF!</v>
      </c>
      <c r="T226" t="e">
        <f>AND(#REF!,"AAAAAH63+xM=")</f>
        <v>#REF!</v>
      </c>
      <c r="U226" t="e">
        <f>AND(#REF!,"AAAAAH63+xQ=")</f>
        <v>#REF!</v>
      </c>
      <c r="V226" t="e">
        <f>AND(#REF!,"AAAAAH63+xU=")</f>
        <v>#REF!</v>
      </c>
      <c r="W226" t="e">
        <f>AND(#REF!,"AAAAAH63+xY=")</f>
        <v>#REF!</v>
      </c>
      <c r="X226" t="e">
        <f>AND(#REF!,"AAAAAH63+xc=")</f>
        <v>#REF!</v>
      </c>
      <c r="Y226" t="e">
        <f>AND(#REF!,"AAAAAH63+xg=")</f>
        <v>#REF!</v>
      </c>
      <c r="Z226" t="e">
        <f>AND(#REF!,"AAAAAH63+xk=")</f>
        <v>#REF!</v>
      </c>
      <c r="AA226" t="e">
        <f>AND(#REF!,"AAAAAH63+xo=")</f>
        <v>#REF!</v>
      </c>
      <c r="AB226" t="e">
        <f>AND(#REF!,"AAAAAH63+xs=")</f>
        <v>#REF!</v>
      </c>
      <c r="AC226" t="e">
        <f>AND(#REF!,"AAAAAH63+xw=")</f>
        <v>#REF!</v>
      </c>
      <c r="AD226" t="e">
        <f>AND(#REF!,"AAAAAH63+x0=")</f>
        <v>#REF!</v>
      </c>
      <c r="AE226" t="e">
        <f>AND(#REF!,"AAAAAH63+x4=")</f>
        <v>#REF!</v>
      </c>
      <c r="AF226" t="e">
        <f>AND(#REF!,"AAAAAH63+x8=")</f>
        <v>#REF!</v>
      </c>
      <c r="AG226" t="e">
        <f>AND(#REF!,"AAAAAH63+yA=")</f>
        <v>#REF!</v>
      </c>
      <c r="AH226" t="e">
        <f>AND(#REF!,"AAAAAH63+yE=")</f>
        <v>#REF!</v>
      </c>
      <c r="AI226" t="e">
        <f>AND(#REF!,"AAAAAH63+yI=")</f>
        <v>#REF!</v>
      </c>
      <c r="AJ226" t="e">
        <f>AND(#REF!,"AAAAAH63+yM=")</f>
        <v>#REF!</v>
      </c>
      <c r="AK226" t="e">
        <f>AND(#REF!,"AAAAAH63+yQ=")</f>
        <v>#REF!</v>
      </c>
      <c r="AL226" t="e">
        <f>AND(#REF!,"AAAAAH63+yU=")</f>
        <v>#REF!</v>
      </c>
      <c r="AM226" t="e">
        <f>AND(#REF!,"AAAAAH63+yY=")</f>
        <v>#REF!</v>
      </c>
      <c r="AN226" t="e">
        <f>AND(#REF!,"AAAAAH63+yc=")</f>
        <v>#REF!</v>
      </c>
      <c r="AO226" t="e">
        <f>AND(#REF!,"AAAAAH63+yg=")</f>
        <v>#REF!</v>
      </c>
      <c r="AP226" t="e">
        <f>AND(#REF!,"AAAAAH63+yk=")</f>
        <v>#REF!</v>
      </c>
      <c r="AQ226" t="e">
        <f>AND(#REF!,"AAAAAH63+yo=")</f>
        <v>#REF!</v>
      </c>
      <c r="AR226" t="e">
        <f>AND(#REF!,"AAAAAH63+ys=")</f>
        <v>#REF!</v>
      </c>
      <c r="AS226" t="e">
        <f>AND(#REF!,"AAAAAH63+yw=")</f>
        <v>#REF!</v>
      </c>
      <c r="AT226" t="e">
        <f>AND(#REF!,"AAAAAH63+y0=")</f>
        <v>#REF!</v>
      </c>
      <c r="AU226" t="e">
        <f>AND(#REF!,"AAAAAH63+y4=")</f>
        <v>#REF!</v>
      </c>
      <c r="AV226" t="e">
        <f>AND(#REF!,"AAAAAH63+y8=")</f>
        <v>#REF!</v>
      </c>
      <c r="AW226" t="e">
        <f>AND(#REF!,"AAAAAH63+zA=")</f>
        <v>#REF!</v>
      </c>
      <c r="AX226" t="e">
        <f>AND(#REF!,"AAAAAH63+zE=")</f>
        <v>#REF!</v>
      </c>
      <c r="AY226" t="e">
        <f>AND(#REF!,"AAAAAH63+zI=")</f>
        <v>#REF!</v>
      </c>
      <c r="AZ226" t="e">
        <f>IF(#REF!,"AAAAAH63+zM=",0)</f>
        <v>#REF!</v>
      </c>
      <c r="BA226" t="e">
        <f>AND(#REF!,"AAAAAH63+zQ=")</f>
        <v>#REF!</v>
      </c>
      <c r="BB226" t="e">
        <f>AND(#REF!,"AAAAAH63+zU=")</f>
        <v>#REF!</v>
      </c>
      <c r="BC226" t="e">
        <f>AND(#REF!,"AAAAAH63+zY=")</f>
        <v>#REF!</v>
      </c>
      <c r="BD226" t="e">
        <f>AND(#REF!,"AAAAAH63+zc=")</f>
        <v>#REF!</v>
      </c>
      <c r="BE226" t="e">
        <f>AND(#REF!,"AAAAAH63+zg=")</f>
        <v>#REF!</v>
      </c>
      <c r="BF226" t="e">
        <f>AND(#REF!,"AAAAAH63+zk=")</f>
        <v>#REF!</v>
      </c>
      <c r="BG226" t="e">
        <f>AND(#REF!,"AAAAAH63+zo=")</f>
        <v>#REF!</v>
      </c>
      <c r="BH226" t="e">
        <f>AND(#REF!,"AAAAAH63+zs=")</f>
        <v>#REF!</v>
      </c>
      <c r="BI226" t="e">
        <f>AND(#REF!,"AAAAAH63+zw=")</f>
        <v>#REF!</v>
      </c>
      <c r="BJ226" t="e">
        <f>AND(#REF!,"AAAAAH63+z0=")</f>
        <v>#REF!</v>
      </c>
      <c r="BK226" t="e">
        <f>AND(#REF!,"AAAAAH63+z4=")</f>
        <v>#REF!</v>
      </c>
      <c r="BL226" t="e">
        <f>AND(#REF!,"AAAAAH63+z8=")</f>
        <v>#REF!</v>
      </c>
      <c r="BM226" t="e">
        <f>AND(#REF!,"AAAAAH63+0A=")</f>
        <v>#REF!</v>
      </c>
      <c r="BN226" t="e">
        <f>AND(#REF!,"AAAAAH63+0E=")</f>
        <v>#REF!</v>
      </c>
      <c r="BO226" t="e">
        <f>AND(#REF!,"AAAAAH63+0I=")</f>
        <v>#REF!</v>
      </c>
      <c r="BP226" t="e">
        <f>AND(#REF!,"AAAAAH63+0M=")</f>
        <v>#REF!</v>
      </c>
      <c r="BQ226" t="e">
        <f>AND(#REF!,"AAAAAH63+0Q=")</f>
        <v>#REF!</v>
      </c>
      <c r="BR226" t="e">
        <f>AND(#REF!,"AAAAAH63+0U=")</f>
        <v>#REF!</v>
      </c>
      <c r="BS226" t="e">
        <f>AND(#REF!,"AAAAAH63+0Y=")</f>
        <v>#REF!</v>
      </c>
      <c r="BT226" t="e">
        <f>AND(#REF!,"AAAAAH63+0c=")</f>
        <v>#REF!</v>
      </c>
      <c r="BU226" t="e">
        <f>AND(#REF!,"AAAAAH63+0g=")</f>
        <v>#REF!</v>
      </c>
      <c r="BV226" t="e">
        <f>AND(#REF!,"AAAAAH63+0k=")</f>
        <v>#REF!</v>
      </c>
      <c r="BW226" t="e">
        <f>AND(#REF!,"AAAAAH63+0o=")</f>
        <v>#REF!</v>
      </c>
      <c r="BX226" t="e">
        <f>AND(#REF!,"AAAAAH63+0s=")</f>
        <v>#REF!</v>
      </c>
      <c r="BY226" t="e">
        <f>AND(#REF!,"AAAAAH63+0w=")</f>
        <v>#REF!</v>
      </c>
      <c r="BZ226" t="e">
        <f>AND(#REF!,"AAAAAH63+00=")</f>
        <v>#REF!</v>
      </c>
      <c r="CA226" t="e">
        <f>AND(#REF!,"AAAAAH63+04=")</f>
        <v>#REF!</v>
      </c>
      <c r="CB226" t="e">
        <f>AND(#REF!,"AAAAAH63+08=")</f>
        <v>#REF!</v>
      </c>
      <c r="CC226" t="e">
        <f>AND(#REF!,"AAAAAH63+1A=")</f>
        <v>#REF!</v>
      </c>
      <c r="CD226" t="e">
        <f>AND(#REF!,"AAAAAH63+1E=")</f>
        <v>#REF!</v>
      </c>
      <c r="CE226" t="e">
        <f>AND(#REF!,"AAAAAH63+1I=")</f>
        <v>#REF!</v>
      </c>
      <c r="CF226" t="e">
        <f>AND(#REF!,"AAAAAH63+1M=")</f>
        <v>#REF!</v>
      </c>
      <c r="CG226" t="e">
        <f>AND(#REF!,"AAAAAH63+1Q=")</f>
        <v>#REF!</v>
      </c>
      <c r="CH226" t="e">
        <f>IF(#REF!,"AAAAAH63+1U=",0)</f>
        <v>#REF!</v>
      </c>
      <c r="CI226" t="e">
        <f>AND(#REF!,"AAAAAH63+1Y=")</f>
        <v>#REF!</v>
      </c>
      <c r="CJ226" t="e">
        <f>AND(#REF!,"AAAAAH63+1c=")</f>
        <v>#REF!</v>
      </c>
      <c r="CK226" t="e">
        <f>AND(#REF!,"AAAAAH63+1g=")</f>
        <v>#REF!</v>
      </c>
      <c r="CL226" t="e">
        <f>AND(#REF!,"AAAAAH63+1k=")</f>
        <v>#REF!</v>
      </c>
      <c r="CM226" t="e">
        <f>AND(#REF!,"AAAAAH63+1o=")</f>
        <v>#REF!</v>
      </c>
      <c r="CN226" t="e">
        <f>AND(#REF!,"AAAAAH63+1s=")</f>
        <v>#REF!</v>
      </c>
      <c r="CO226" t="e">
        <f>AND(#REF!,"AAAAAH63+1w=")</f>
        <v>#REF!</v>
      </c>
      <c r="CP226" t="e">
        <f>AND(#REF!,"AAAAAH63+10=")</f>
        <v>#REF!</v>
      </c>
      <c r="CQ226" t="e">
        <f>AND(#REF!,"AAAAAH63+14=")</f>
        <v>#REF!</v>
      </c>
      <c r="CR226" t="e">
        <f>AND(#REF!,"AAAAAH63+18=")</f>
        <v>#REF!</v>
      </c>
      <c r="CS226" t="e">
        <f>AND(#REF!,"AAAAAH63+2A=")</f>
        <v>#REF!</v>
      </c>
      <c r="CT226" t="e">
        <f>AND(#REF!,"AAAAAH63+2E=")</f>
        <v>#REF!</v>
      </c>
      <c r="CU226" t="e">
        <f>AND(#REF!,"AAAAAH63+2I=")</f>
        <v>#REF!</v>
      </c>
      <c r="CV226" t="e">
        <f>AND(#REF!,"AAAAAH63+2M=")</f>
        <v>#REF!</v>
      </c>
      <c r="CW226" t="e">
        <f>AND(#REF!,"AAAAAH63+2Q=")</f>
        <v>#REF!</v>
      </c>
      <c r="CX226" t="e">
        <f>AND(#REF!,"AAAAAH63+2U=")</f>
        <v>#REF!</v>
      </c>
      <c r="CY226" t="e">
        <f>AND(#REF!,"AAAAAH63+2Y=")</f>
        <v>#REF!</v>
      </c>
      <c r="CZ226" t="e">
        <f>AND(#REF!,"AAAAAH63+2c=")</f>
        <v>#REF!</v>
      </c>
      <c r="DA226" t="e">
        <f>AND(#REF!,"AAAAAH63+2g=")</f>
        <v>#REF!</v>
      </c>
      <c r="DB226" t="e">
        <f>AND(#REF!,"AAAAAH63+2k=")</f>
        <v>#REF!</v>
      </c>
      <c r="DC226" t="e">
        <f>AND(#REF!,"AAAAAH63+2o=")</f>
        <v>#REF!</v>
      </c>
      <c r="DD226" t="e">
        <f>AND(#REF!,"AAAAAH63+2s=")</f>
        <v>#REF!</v>
      </c>
      <c r="DE226" t="e">
        <f>AND(#REF!,"AAAAAH63+2w=")</f>
        <v>#REF!</v>
      </c>
      <c r="DF226" t="e">
        <f>AND(#REF!,"AAAAAH63+20=")</f>
        <v>#REF!</v>
      </c>
      <c r="DG226" t="e">
        <f>AND(#REF!,"AAAAAH63+24=")</f>
        <v>#REF!</v>
      </c>
      <c r="DH226" t="e">
        <f>AND(#REF!,"AAAAAH63+28=")</f>
        <v>#REF!</v>
      </c>
      <c r="DI226" t="e">
        <f>AND(#REF!,"AAAAAH63+3A=")</f>
        <v>#REF!</v>
      </c>
      <c r="DJ226" t="e">
        <f>AND(#REF!,"AAAAAH63+3E=")</f>
        <v>#REF!</v>
      </c>
      <c r="DK226" t="e">
        <f>AND(#REF!,"AAAAAH63+3I=")</f>
        <v>#REF!</v>
      </c>
      <c r="DL226" t="e">
        <f>AND(#REF!,"AAAAAH63+3M=")</f>
        <v>#REF!</v>
      </c>
      <c r="DM226" t="e">
        <f>AND(#REF!,"AAAAAH63+3Q=")</f>
        <v>#REF!</v>
      </c>
      <c r="DN226" t="e">
        <f>AND(#REF!,"AAAAAH63+3U=")</f>
        <v>#REF!</v>
      </c>
      <c r="DO226" t="e">
        <f>AND(#REF!,"AAAAAH63+3Y=")</f>
        <v>#REF!</v>
      </c>
      <c r="DP226" t="e">
        <f>IF(#REF!,"AAAAAH63+3c=",0)</f>
        <v>#REF!</v>
      </c>
      <c r="DQ226" t="e">
        <f>AND(#REF!,"AAAAAH63+3g=")</f>
        <v>#REF!</v>
      </c>
      <c r="DR226" t="e">
        <f>AND(#REF!,"AAAAAH63+3k=")</f>
        <v>#REF!</v>
      </c>
      <c r="DS226" t="e">
        <f>AND(#REF!,"AAAAAH63+3o=")</f>
        <v>#REF!</v>
      </c>
      <c r="DT226" t="e">
        <f>AND(#REF!,"AAAAAH63+3s=")</f>
        <v>#REF!</v>
      </c>
      <c r="DU226" t="e">
        <f>AND(#REF!,"AAAAAH63+3w=")</f>
        <v>#REF!</v>
      </c>
      <c r="DV226" t="e">
        <f>AND(#REF!,"AAAAAH63+30=")</f>
        <v>#REF!</v>
      </c>
      <c r="DW226" t="e">
        <f>AND(#REF!,"AAAAAH63+34=")</f>
        <v>#REF!</v>
      </c>
      <c r="DX226" t="e">
        <f>AND(#REF!,"AAAAAH63+38=")</f>
        <v>#REF!</v>
      </c>
      <c r="DY226" t="e">
        <f>AND(#REF!,"AAAAAH63+4A=")</f>
        <v>#REF!</v>
      </c>
      <c r="DZ226" t="e">
        <f>AND(#REF!,"AAAAAH63+4E=")</f>
        <v>#REF!</v>
      </c>
      <c r="EA226" t="e">
        <f>AND(#REF!,"AAAAAH63+4I=")</f>
        <v>#REF!</v>
      </c>
      <c r="EB226" t="e">
        <f>AND(#REF!,"AAAAAH63+4M=")</f>
        <v>#REF!</v>
      </c>
      <c r="EC226" t="e">
        <f>AND(#REF!,"AAAAAH63+4Q=")</f>
        <v>#REF!</v>
      </c>
      <c r="ED226" t="e">
        <f>AND(#REF!,"AAAAAH63+4U=")</f>
        <v>#REF!</v>
      </c>
      <c r="EE226" t="e">
        <f>AND(#REF!,"AAAAAH63+4Y=")</f>
        <v>#REF!</v>
      </c>
      <c r="EF226" t="e">
        <f>AND(#REF!,"AAAAAH63+4c=")</f>
        <v>#REF!</v>
      </c>
      <c r="EG226" t="e">
        <f>AND(#REF!,"AAAAAH63+4g=")</f>
        <v>#REF!</v>
      </c>
      <c r="EH226" t="e">
        <f>AND(#REF!,"AAAAAH63+4k=")</f>
        <v>#REF!</v>
      </c>
      <c r="EI226" t="e">
        <f>AND(#REF!,"AAAAAH63+4o=")</f>
        <v>#REF!</v>
      </c>
      <c r="EJ226" t="e">
        <f>AND(#REF!,"AAAAAH63+4s=")</f>
        <v>#REF!</v>
      </c>
      <c r="EK226" t="e">
        <f>AND(#REF!,"AAAAAH63+4w=")</f>
        <v>#REF!</v>
      </c>
      <c r="EL226" t="e">
        <f>AND(#REF!,"AAAAAH63+40=")</f>
        <v>#REF!</v>
      </c>
      <c r="EM226" t="e">
        <f>AND(#REF!,"AAAAAH63+44=")</f>
        <v>#REF!</v>
      </c>
      <c r="EN226" t="e">
        <f>AND(#REF!,"AAAAAH63+48=")</f>
        <v>#REF!</v>
      </c>
      <c r="EO226" t="e">
        <f>AND(#REF!,"AAAAAH63+5A=")</f>
        <v>#REF!</v>
      </c>
      <c r="EP226" t="e">
        <f>AND(#REF!,"AAAAAH63+5E=")</f>
        <v>#REF!</v>
      </c>
      <c r="EQ226" t="e">
        <f>AND(#REF!,"AAAAAH63+5I=")</f>
        <v>#REF!</v>
      </c>
      <c r="ER226" t="e">
        <f>AND(#REF!,"AAAAAH63+5M=")</f>
        <v>#REF!</v>
      </c>
      <c r="ES226" t="e">
        <f>AND(#REF!,"AAAAAH63+5Q=")</f>
        <v>#REF!</v>
      </c>
      <c r="ET226" t="e">
        <f>AND(#REF!,"AAAAAH63+5U=")</f>
        <v>#REF!</v>
      </c>
      <c r="EU226" t="e">
        <f>AND(#REF!,"AAAAAH63+5Y=")</f>
        <v>#REF!</v>
      </c>
      <c r="EV226" t="e">
        <f>AND(#REF!,"AAAAAH63+5c=")</f>
        <v>#REF!</v>
      </c>
      <c r="EW226" t="e">
        <f>AND(#REF!,"AAAAAH63+5g=")</f>
        <v>#REF!</v>
      </c>
      <c r="EX226" t="e">
        <f>IF(#REF!,"AAAAAH63+5k=",0)</f>
        <v>#REF!</v>
      </c>
      <c r="EY226" t="e">
        <f>AND(#REF!,"AAAAAH63+5o=")</f>
        <v>#REF!</v>
      </c>
      <c r="EZ226" t="e">
        <f>AND(#REF!,"AAAAAH63+5s=")</f>
        <v>#REF!</v>
      </c>
      <c r="FA226" t="e">
        <f>AND(#REF!,"AAAAAH63+5w=")</f>
        <v>#REF!</v>
      </c>
      <c r="FB226" t="e">
        <f>AND(#REF!,"AAAAAH63+50=")</f>
        <v>#REF!</v>
      </c>
      <c r="FC226" t="e">
        <f>AND(#REF!,"AAAAAH63+54=")</f>
        <v>#REF!</v>
      </c>
      <c r="FD226" t="e">
        <f>AND(#REF!,"AAAAAH63+58=")</f>
        <v>#REF!</v>
      </c>
      <c r="FE226" t="e">
        <f>AND(#REF!,"AAAAAH63+6A=")</f>
        <v>#REF!</v>
      </c>
      <c r="FF226" t="e">
        <f>AND(#REF!,"AAAAAH63+6E=")</f>
        <v>#REF!</v>
      </c>
      <c r="FG226" t="e">
        <f>AND(#REF!,"AAAAAH63+6I=")</f>
        <v>#REF!</v>
      </c>
      <c r="FH226" t="e">
        <f>AND(#REF!,"AAAAAH63+6M=")</f>
        <v>#REF!</v>
      </c>
      <c r="FI226" t="e">
        <f>AND(#REF!,"AAAAAH63+6Q=")</f>
        <v>#REF!</v>
      </c>
      <c r="FJ226" t="e">
        <f>AND(#REF!,"AAAAAH63+6U=")</f>
        <v>#REF!</v>
      </c>
      <c r="FK226" t="e">
        <f>AND(#REF!,"AAAAAH63+6Y=")</f>
        <v>#REF!</v>
      </c>
      <c r="FL226" t="e">
        <f>AND(#REF!,"AAAAAH63+6c=")</f>
        <v>#REF!</v>
      </c>
      <c r="FM226" t="e">
        <f>AND(#REF!,"AAAAAH63+6g=")</f>
        <v>#REF!</v>
      </c>
      <c r="FN226" t="e">
        <f>AND(#REF!,"AAAAAH63+6k=")</f>
        <v>#REF!</v>
      </c>
      <c r="FO226" t="e">
        <f>AND(#REF!,"AAAAAH63+6o=")</f>
        <v>#REF!</v>
      </c>
      <c r="FP226" t="e">
        <f>AND(#REF!,"AAAAAH63+6s=")</f>
        <v>#REF!</v>
      </c>
      <c r="FQ226" t="e">
        <f>AND(#REF!,"AAAAAH63+6w=")</f>
        <v>#REF!</v>
      </c>
      <c r="FR226" t="e">
        <f>AND(#REF!,"AAAAAH63+60=")</f>
        <v>#REF!</v>
      </c>
      <c r="FS226" t="e">
        <f>AND(#REF!,"AAAAAH63+64=")</f>
        <v>#REF!</v>
      </c>
      <c r="FT226" t="e">
        <f>AND(#REF!,"AAAAAH63+68=")</f>
        <v>#REF!</v>
      </c>
      <c r="FU226" t="e">
        <f>AND(#REF!,"AAAAAH63+7A=")</f>
        <v>#REF!</v>
      </c>
      <c r="FV226" t="e">
        <f>AND(#REF!,"AAAAAH63+7E=")</f>
        <v>#REF!</v>
      </c>
      <c r="FW226" t="e">
        <f>AND(#REF!,"AAAAAH63+7I=")</f>
        <v>#REF!</v>
      </c>
      <c r="FX226" t="e">
        <f>AND(#REF!,"AAAAAH63+7M=")</f>
        <v>#REF!</v>
      </c>
      <c r="FY226" t="e">
        <f>AND(#REF!,"AAAAAH63+7Q=")</f>
        <v>#REF!</v>
      </c>
      <c r="FZ226" t="e">
        <f>AND(#REF!,"AAAAAH63+7U=")</f>
        <v>#REF!</v>
      </c>
      <c r="GA226" t="e">
        <f>AND(#REF!,"AAAAAH63+7Y=")</f>
        <v>#REF!</v>
      </c>
      <c r="GB226" t="e">
        <f>AND(#REF!,"AAAAAH63+7c=")</f>
        <v>#REF!</v>
      </c>
      <c r="GC226" t="e">
        <f>AND(#REF!,"AAAAAH63+7g=")</f>
        <v>#REF!</v>
      </c>
      <c r="GD226" t="e">
        <f>AND(#REF!,"AAAAAH63+7k=")</f>
        <v>#REF!</v>
      </c>
      <c r="GE226" t="e">
        <f>AND(#REF!,"AAAAAH63+7o=")</f>
        <v>#REF!</v>
      </c>
      <c r="GF226" t="e">
        <f>IF(#REF!,"AAAAAH63+7s=",0)</f>
        <v>#REF!</v>
      </c>
      <c r="GG226" t="e">
        <f>AND(#REF!,"AAAAAH63+7w=")</f>
        <v>#REF!</v>
      </c>
      <c r="GH226" t="e">
        <f>AND(#REF!,"AAAAAH63+70=")</f>
        <v>#REF!</v>
      </c>
      <c r="GI226" t="e">
        <f>AND(#REF!,"AAAAAH63+74=")</f>
        <v>#REF!</v>
      </c>
      <c r="GJ226" t="e">
        <f>AND(#REF!,"AAAAAH63+78=")</f>
        <v>#REF!</v>
      </c>
      <c r="GK226" t="e">
        <f>AND(#REF!,"AAAAAH63+8A=")</f>
        <v>#REF!</v>
      </c>
      <c r="GL226" t="e">
        <f>AND(#REF!,"AAAAAH63+8E=")</f>
        <v>#REF!</v>
      </c>
      <c r="GM226" t="e">
        <f>AND(#REF!,"AAAAAH63+8I=")</f>
        <v>#REF!</v>
      </c>
      <c r="GN226" t="e">
        <f>AND(#REF!,"AAAAAH63+8M=")</f>
        <v>#REF!</v>
      </c>
      <c r="GO226" t="e">
        <f>AND(#REF!,"AAAAAH63+8Q=")</f>
        <v>#REF!</v>
      </c>
      <c r="GP226" t="e">
        <f>AND(#REF!,"AAAAAH63+8U=")</f>
        <v>#REF!</v>
      </c>
      <c r="GQ226" t="e">
        <f>AND(#REF!,"AAAAAH63+8Y=")</f>
        <v>#REF!</v>
      </c>
      <c r="GR226" t="e">
        <f>AND(#REF!,"AAAAAH63+8c=")</f>
        <v>#REF!</v>
      </c>
      <c r="GS226" t="e">
        <f>AND(#REF!,"AAAAAH63+8g=")</f>
        <v>#REF!</v>
      </c>
      <c r="GT226" t="e">
        <f>AND(#REF!,"AAAAAH63+8k=")</f>
        <v>#REF!</v>
      </c>
      <c r="GU226" t="e">
        <f>AND(#REF!,"AAAAAH63+8o=")</f>
        <v>#REF!</v>
      </c>
      <c r="GV226" t="e">
        <f>AND(#REF!,"AAAAAH63+8s=")</f>
        <v>#REF!</v>
      </c>
      <c r="GW226" t="e">
        <f>AND(#REF!,"AAAAAH63+8w=")</f>
        <v>#REF!</v>
      </c>
      <c r="GX226" t="e">
        <f>AND(#REF!,"AAAAAH63+80=")</f>
        <v>#REF!</v>
      </c>
      <c r="GY226" t="e">
        <f>AND(#REF!,"AAAAAH63+84=")</f>
        <v>#REF!</v>
      </c>
      <c r="GZ226" t="e">
        <f>AND(#REF!,"AAAAAH63+88=")</f>
        <v>#REF!</v>
      </c>
      <c r="HA226" t="e">
        <f>AND(#REF!,"AAAAAH63+9A=")</f>
        <v>#REF!</v>
      </c>
      <c r="HB226" t="e">
        <f>AND(#REF!,"AAAAAH63+9E=")</f>
        <v>#REF!</v>
      </c>
      <c r="HC226" t="e">
        <f>AND(#REF!,"AAAAAH63+9I=")</f>
        <v>#REF!</v>
      </c>
      <c r="HD226" t="e">
        <f>AND(#REF!,"AAAAAH63+9M=")</f>
        <v>#REF!</v>
      </c>
      <c r="HE226" t="e">
        <f>AND(#REF!,"AAAAAH63+9Q=")</f>
        <v>#REF!</v>
      </c>
      <c r="HF226" t="e">
        <f>AND(#REF!,"AAAAAH63+9U=")</f>
        <v>#REF!</v>
      </c>
      <c r="HG226" t="e">
        <f>AND(#REF!,"AAAAAH63+9Y=")</f>
        <v>#REF!</v>
      </c>
      <c r="HH226" t="e">
        <f>AND(#REF!,"AAAAAH63+9c=")</f>
        <v>#REF!</v>
      </c>
      <c r="HI226" t="e">
        <f>AND(#REF!,"AAAAAH63+9g=")</f>
        <v>#REF!</v>
      </c>
      <c r="HJ226" t="e">
        <f>AND(#REF!,"AAAAAH63+9k=")</f>
        <v>#REF!</v>
      </c>
      <c r="HK226" t="e">
        <f>AND(#REF!,"AAAAAH63+9o=")</f>
        <v>#REF!</v>
      </c>
      <c r="HL226" t="e">
        <f>AND(#REF!,"AAAAAH63+9s=")</f>
        <v>#REF!</v>
      </c>
      <c r="HM226" t="e">
        <f>AND(#REF!,"AAAAAH63+9w=")</f>
        <v>#REF!</v>
      </c>
      <c r="HN226" t="e">
        <f>IF(#REF!,"AAAAAH63+90=",0)</f>
        <v>#REF!</v>
      </c>
      <c r="HO226" t="e">
        <f>AND(#REF!,"AAAAAH63+94=")</f>
        <v>#REF!</v>
      </c>
      <c r="HP226" t="e">
        <f>AND(#REF!,"AAAAAH63+98=")</f>
        <v>#REF!</v>
      </c>
      <c r="HQ226" t="e">
        <f>AND(#REF!,"AAAAAH63++A=")</f>
        <v>#REF!</v>
      </c>
      <c r="HR226" t="e">
        <f>AND(#REF!,"AAAAAH63++E=")</f>
        <v>#REF!</v>
      </c>
      <c r="HS226" t="e">
        <f>AND(#REF!,"AAAAAH63++I=")</f>
        <v>#REF!</v>
      </c>
      <c r="HT226" t="e">
        <f>AND(#REF!,"AAAAAH63++M=")</f>
        <v>#REF!</v>
      </c>
      <c r="HU226" t="e">
        <f>AND(#REF!,"AAAAAH63++Q=")</f>
        <v>#REF!</v>
      </c>
      <c r="HV226" t="e">
        <f>AND(#REF!,"AAAAAH63++U=")</f>
        <v>#REF!</v>
      </c>
      <c r="HW226" t="e">
        <f>AND(#REF!,"AAAAAH63++Y=")</f>
        <v>#REF!</v>
      </c>
      <c r="HX226" t="e">
        <f>AND(#REF!,"AAAAAH63++c=")</f>
        <v>#REF!</v>
      </c>
      <c r="HY226" t="e">
        <f>AND(#REF!,"AAAAAH63++g=")</f>
        <v>#REF!</v>
      </c>
      <c r="HZ226" t="e">
        <f>AND(#REF!,"AAAAAH63++k=")</f>
        <v>#REF!</v>
      </c>
      <c r="IA226" t="e">
        <f>AND(#REF!,"AAAAAH63++o=")</f>
        <v>#REF!</v>
      </c>
      <c r="IB226" t="e">
        <f>AND(#REF!,"AAAAAH63++s=")</f>
        <v>#REF!</v>
      </c>
      <c r="IC226" t="e">
        <f>IF(#REF!,"AAAAAH63++w=",0)</f>
        <v>#REF!</v>
      </c>
      <c r="ID226" t="e">
        <f>AND(#REF!,"AAAAAH63++0=")</f>
        <v>#REF!</v>
      </c>
      <c r="IE226" t="e">
        <f>AND(#REF!,"AAAAAH63++4=")</f>
        <v>#REF!</v>
      </c>
      <c r="IF226" t="e">
        <f>AND(#REF!,"AAAAAH63++8=")</f>
        <v>#REF!</v>
      </c>
      <c r="IG226" t="e">
        <f>AND(#REF!,"AAAAAH63+/A=")</f>
        <v>#REF!</v>
      </c>
      <c r="IH226" t="e">
        <f>AND(#REF!,"AAAAAH63+/E=")</f>
        <v>#REF!</v>
      </c>
      <c r="II226" t="e">
        <f>AND(#REF!,"AAAAAH63+/I=")</f>
        <v>#REF!</v>
      </c>
      <c r="IJ226" t="e">
        <f>AND(#REF!,"AAAAAH63+/M=")</f>
        <v>#REF!</v>
      </c>
      <c r="IK226" t="e">
        <f>AND(#REF!,"AAAAAH63+/Q=")</f>
        <v>#REF!</v>
      </c>
      <c r="IL226" t="e">
        <f>AND(#REF!,"AAAAAH63+/U=")</f>
        <v>#REF!</v>
      </c>
      <c r="IM226" t="e">
        <f>AND(#REF!,"AAAAAH63+/Y=")</f>
        <v>#REF!</v>
      </c>
      <c r="IN226" t="e">
        <f>AND(#REF!,"AAAAAH63+/c=")</f>
        <v>#REF!</v>
      </c>
      <c r="IO226" t="e">
        <f>AND(#REF!,"AAAAAH63+/g=")</f>
        <v>#REF!</v>
      </c>
      <c r="IP226" t="e">
        <f>AND(#REF!,"AAAAAH63+/k=")</f>
        <v>#REF!</v>
      </c>
      <c r="IQ226" t="e">
        <f>AND(#REF!,"AAAAAH63+/o=")</f>
        <v>#REF!</v>
      </c>
      <c r="IR226" t="e">
        <f>IF(#REF!,"AAAAAH63+/s=",0)</f>
        <v>#REF!</v>
      </c>
      <c r="IS226" t="e">
        <f>AND(#REF!,"AAAAAH63+/w=")</f>
        <v>#REF!</v>
      </c>
      <c r="IT226" t="e">
        <f>AND(#REF!,"AAAAAH63+/0=")</f>
        <v>#REF!</v>
      </c>
      <c r="IU226" t="e">
        <f>AND(#REF!,"AAAAAH63+/4=")</f>
        <v>#REF!</v>
      </c>
      <c r="IV226" t="e">
        <f>AND(#REF!,"AAAAAH63+/8=")</f>
        <v>#REF!</v>
      </c>
    </row>
    <row r="227" spans="1:256" x14ac:dyDescent="0.2">
      <c r="A227" t="e">
        <f>AND(#REF!,"AAAAADdF+QA=")</f>
        <v>#REF!</v>
      </c>
      <c r="B227" t="e">
        <f>AND(#REF!,"AAAAADdF+QE=")</f>
        <v>#REF!</v>
      </c>
      <c r="C227" t="e">
        <f>AND(#REF!,"AAAAADdF+QI=")</f>
        <v>#REF!</v>
      </c>
      <c r="D227" t="e">
        <f>AND(#REF!,"AAAAADdF+QM=")</f>
        <v>#REF!</v>
      </c>
      <c r="E227" t="e">
        <f>AND(#REF!,"AAAAADdF+QQ=")</f>
        <v>#REF!</v>
      </c>
      <c r="F227" t="e">
        <f>AND(#REF!,"AAAAADdF+QU=")</f>
        <v>#REF!</v>
      </c>
      <c r="G227" t="e">
        <f>AND(#REF!,"AAAAADdF+QY=")</f>
        <v>#REF!</v>
      </c>
      <c r="H227" t="e">
        <f>AND(#REF!,"AAAAADdF+Qc=")</f>
        <v>#REF!</v>
      </c>
      <c r="I227" t="e">
        <f>AND(#REF!,"AAAAADdF+Qg=")</f>
        <v>#REF!</v>
      </c>
      <c r="J227" t="e">
        <f>AND(#REF!,"AAAAADdF+Qk=")</f>
        <v>#REF!</v>
      </c>
      <c r="K227" t="e">
        <f>IF(#REF!,"AAAAADdF+Qo=",0)</f>
        <v>#REF!</v>
      </c>
      <c r="L227" t="e">
        <f>AND(#REF!,"AAAAADdF+Qs=")</f>
        <v>#REF!</v>
      </c>
      <c r="M227" t="e">
        <f>AND(#REF!,"AAAAADdF+Qw=")</f>
        <v>#REF!</v>
      </c>
      <c r="N227" t="e">
        <f>AND(#REF!,"AAAAADdF+Q0=")</f>
        <v>#REF!</v>
      </c>
      <c r="O227" t="e">
        <f>AND(#REF!,"AAAAADdF+Q4=")</f>
        <v>#REF!</v>
      </c>
      <c r="P227" t="e">
        <f>AND(#REF!,"AAAAADdF+Q8=")</f>
        <v>#REF!</v>
      </c>
      <c r="Q227" t="e">
        <f>AND(#REF!,"AAAAADdF+RA=")</f>
        <v>#REF!</v>
      </c>
      <c r="R227" t="e">
        <f>AND(#REF!,"AAAAADdF+RE=")</f>
        <v>#REF!</v>
      </c>
      <c r="S227" t="e">
        <f>AND(#REF!,"AAAAADdF+RI=")</f>
        <v>#REF!</v>
      </c>
      <c r="T227" t="e">
        <f>AND(#REF!,"AAAAADdF+RM=")</f>
        <v>#REF!</v>
      </c>
      <c r="U227" t="e">
        <f>AND(#REF!,"AAAAADdF+RQ=")</f>
        <v>#REF!</v>
      </c>
      <c r="V227" t="e">
        <f>AND(#REF!,"AAAAADdF+RU=")</f>
        <v>#REF!</v>
      </c>
      <c r="W227" t="e">
        <f>AND(#REF!,"AAAAADdF+RY=")</f>
        <v>#REF!</v>
      </c>
      <c r="X227" t="e">
        <f>AND(#REF!,"AAAAADdF+Rc=")</f>
        <v>#REF!</v>
      </c>
      <c r="Y227" t="e">
        <f>AND(#REF!,"AAAAADdF+Rg=")</f>
        <v>#REF!</v>
      </c>
      <c r="Z227" t="e">
        <f>IF(#REF!,"AAAAADdF+Rk=",0)</f>
        <v>#REF!</v>
      </c>
      <c r="AA227" t="e">
        <f>AND(#REF!,"AAAAADdF+Ro=")</f>
        <v>#REF!</v>
      </c>
      <c r="AB227" t="e">
        <f>AND(#REF!,"AAAAADdF+Rs=")</f>
        <v>#REF!</v>
      </c>
      <c r="AC227" t="e">
        <f>AND(#REF!,"AAAAADdF+Rw=")</f>
        <v>#REF!</v>
      </c>
      <c r="AD227" t="e">
        <f>AND(#REF!,"AAAAADdF+R0=")</f>
        <v>#REF!</v>
      </c>
      <c r="AE227" t="e">
        <f>AND(#REF!,"AAAAADdF+R4=")</f>
        <v>#REF!</v>
      </c>
      <c r="AF227" t="e">
        <f>AND(#REF!,"AAAAADdF+R8=")</f>
        <v>#REF!</v>
      </c>
      <c r="AG227" t="e">
        <f>AND(#REF!,"AAAAADdF+SA=")</f>
        <v>#REF!</v>
      </c>
      <c r="AH227" t="e">
        <f>AND(#REF!,"AAAAADdF+SE=")</f>
        <v>#REF!</v>
      </c>
      <c r="AI227" t="e">
        <f>AND(#REF!,"AAAAADdF+SI=")</f>
        <v>#REF!</v>
      </c>
      <c r="AJ227" t="e">
        <f>AND(#REF!,"AAAAADdF+SM=")</f>
        <v>#REF!</v>
      </c>
      <c r="AK227" t="e">
        <f>AND(#REF!,"AAAAADdF+SQ=")</f>
        <v>#REF!</v>
      </c>
      <c r="AL227" t="e">
        <f>AND(#REF!,"AAAAADdF+SU=")</f>
        <v>#REF!</v>
      </c>
      <c r="AM227" t="e">
        <f>AND(#REF!,"AAAAADdF+SY=")</f>
        <v>#REF!</v>
      </c>
      <c r="AN227" t="e">
        <f>AND(#REF!,"AAAAADdF+Sc=")</f>
        <v>#REF!</v>
      </c>
      <c r="AO227" t="e">
        <f>IF(#REF!,"AAAAADdF+Sg=",0)</f>
        <v>#REF!</v>
      </c>
      <c r="AP227" t="e">
        <f>AND(#REF!,"AAAAADdF+Sk=")</f>
        <v>#REF!</v>
      </c>
      <c r="AQ227" t="e">
        <f>AND(#REF!,"AAAAADdF+So=")</f>
        <v>#REF!</v>
      </c>
      <c r="AR227" t="e">
        <f>AND(#REF!,"AAAAADdF+Ss=")</f>
        <v>#REF!</v>
      </c>
      <c r="AS227" t="e">
        <f>AND(#REF!,"AAAAADdF+Sw=")</f>
        <v>#REF!</v>
      </c>
      <c r="AT227" t="e">
        <f>AND(#REF!,"AAAAADdF+S0=")</f>
        <v>#REF!</v>
      </c>
      <c r="AU227" t="e">
        <f>AND(#REF!,"AAAAADdF+S4=")</f>
        <v>#REF!</v>
      </c>
      <c r="AV227" t="e">
        <f>AND(#REF!,"AAAAADdF+S8=")</f>
        <v>#REF!</v>
      </c>
      <c r="AW227" t="e">
        <f>AND(#REF!,"AAAAADdF+TA=")</f>
        <v>#REF!</v>
      </c>
      <c r="AX227" t="e">
        <f>AND(#REF!,"AAAAADdF+TE=")</f>
        <v>#REF!</v>
      </c>
      <c r="AY227" t="e">
        <f>AND(#REF!,"AAAAADdF+TI=")</f>
        <v>#REF!</v>
      </c>
      <c r="AZ227" t="e">
        <f>AND(#REF!,"AAAAADdF+TM=")</f>
        <v>#REF!</v>
      </c>
      <c r="BA227" t="e">
        <f>AND(#REF!,"AAAAADdF+TQ=")</f>
        <v>#REF!</v>
      </c>
      <c r="BB227" t="e">
        <f>AND(#REF!,"AAAAADdF+TU=")</f>
        <v>#REF!</v>
      </c>
      <c r="BC227" t="e">
        <f>AND(#REF!,"AAAAADdF+TY=")</f>
        <v>#REF!</v>
      </c>
      <c r="BD227" t="e">
        <f>IF(#REF!,"AAAAADdF+Tc=",0)</f>
        <v>#REF!</v>
      </c>
      <c r="BE227" t="e">
        <f>IF(#REF!,"AAAAADdF+Tg=",0)</f>
        <v>#REF!</v>
      </c>
      <c r="BF227" t="e">
        <f>IF(#REF!,"AAAAADdF+Tk=",0)</f>
        <v>#REF!</v>
      </c>
      <c r="BG227" t="e">
        <f>IF(#REF!,"AAAAADdF+To=",0)</f>
        <v>#REF!</v>
      </c>
      <c r="BH227" t="e">
        <f>IF(#REF!,"AAAAADdF+Ts=",0)</f>
        <v>#REF!</v>
      </c>
      <c r="BI227" t="e">
        <f>IF(#REF!,"AAAAADdF+Tw=",0)</f>
        <v>#REF!</v>
      </c>
      <c r="BJ227" t="e">
        <f>IF(#REF!,"AAAAADdF+T0=",0)</f>
        <v>#REF!</v>
      </c>
      <c r="BK227" t="e">
        <f>IF(#REF!,"AAAAADdF+T4=",0)</f>
        <v>#REF!</v>
      </c>
      <c r="BL227" t="e">
        <f>IF(#REF!,"AAAAADdF+T8=",0)</f>
        <v>#REF!</v>
      </c>
      <c r="BM227" t="e">
        <f>IF(#REF!,"AAAAADdF+UA=",0)</f>
        <v>#REF!</v>
      </c>
      <c r="BN227" t="e">
        <f>IF(#REF!,"AAAAADdF+UE=",0)</f>
        <v>#REF!</v>
      </c>
      <c r="BO227" t="e">
        <f>IF(#REF!,"AAAAADdF+UI=",0)</f>
        <v>#REF!</v>
      </c>
      <c r="BP227" t="e">
        <f>IF(#REF!,"AAAAADdF+UM=",0)</f>
        <v>#REF!</v>
      </c>
      <c r="BQ227" t="e">
        <f>IF(#REF!,"AAAAADdF+UQ=",0)</f>
        <v>#REF!</v>
      </c>
      <c r="BR227" t="e">
        <f>IF(#REF!,"AAAAADdF+UU=",0)</f>
        <v>#REF!</v>
      </c>
      <c r="BS227" t="e">
        <f>IF(#REF!,"AAAAADdF+UY=",0)</f>
        <v>#REF!</v>
      </c>
      <c r="BT227" t="e">
        <f>IF(#REF!,"AAAAADdF+Uc=",0)</f>
        <v>#REF!</v>
      </c>
      <c r="BU227" t="e">
        <f>IF(#REF!,"AAAAADdF+Ug=",0)</f>
        <v>#REF!</v>
      </c>
      <c r="BV227" t="e">
        <f>IF(#REF!,"AAAAADdF+Uk=",0)</f>
        <v>#REF!</v>
      </c>
      <c r="BW227" t="e">
        <f>IF(#REF!,"AAAAADdF+Uo=",0)</f>
        <v>#REF!</v>
      </c>
      <c r="BX227" t="e">
        <f>IF(#REF!,"AAAAADdF+Us=",0)</f>
        <v>#REF!</v>
      </c>
      <c r="BY227" t="e">
        <f>IF(#REF!,"AAAAADdF+Uw=",0)</f>
        <v>#REF!</v>
      </c>
      <c r="BZ227" t="e">
        <f>IF(#REF!,"AAAAADdF+U0=",0)</f>
        <v>#REF!</v>
      </c>
      <c r="CA227" t="e">
        <f>IF(#REF!,"AAAAADdF+U4=",0)</f>
        <v>#REF!</v>
      </c>
      <c r="CB227" t="e">
        <f>IF(#REF!,"AAAAADdF+U8=",0)</f>
        <v>#REF!</v>
      </c>
      <c r="CC227" t="e">
        <f>IF(#REF!,"AAAAADdF+VA=",0)</f>
        <v>#REF!</v>
      </c>
      <c r="CD227" t="e">
        <f>IF(#REF!,"AAAAADdF+VE=",0)</f>
        <v>#REF!</v>
      </c>
      <c r="CE227" t="e">
        <f>IF(#REF!,"AAAAADdF+VI=",0)</f>
        <v>#REF!</v>
      </c>
      <c r="CF227" t="e">
        <f>IF(#REF!,"AAAAADdF+VM=",0)</f>
        <v>#REF!</v>
      </c>
      <c r="CG227" t="e">
        <f>IF(#REF!,"AAAAADdF+VQ=",0)</f>
        <v>#REF!</v>
      </c>
      <c r="CH227" t="e">
        <f>IF(#REF!,"AAAAADdF+VU=",0)</f>
        <v>#REF!</v>
      </c>
      <c r="CI227" t="e">
        <f>IF(#REF!,"AAAAADdF+VY=",0)</f>
        <v>#REF!</v>
      </c>
      <c r="CJ227" t="e">
        <f>IF(#REF!,"AAAAADdF+Vc=",0)</f>
        <v>#REF!</v>
      </c>
      <c r="CK227" t="s">
        <v>399</v>
      </c>
      <c r="CL227" t="s">
        <v>400</v>
      </c>
      <c r="CM227" t="s">
        <v>401</v>
      </c>
      <c r="CN227" t="e">
        <f>IF("N",'OTRAS ACCIONES'!_xlnm._FilterDatabase,"AAAAADdF+Vs=")</f>
        <v>#VALUE!</v>
      </c>
      <c r="CO227" t="e">
        <f>IF("N",'POTENCIAL HORAS'!_xlnm._FilterDatabase,"AAAAADdF+Vw=")</f>
        <v>#VALUE!</v>
      </c>
      <c r="CP227" t="e">
        <f>IF("N",[0]!_xlnm._FilterDatabase,"AAAAADdF+V0=")</f>
        <v>#VALUE!</v>
      </c>
      <c r="CQ227" t="e">
        <f>IF("N",'PROG FORMACIÓN TITULADA'!_xlnm._FilterDatabase,"AAAAADdF+V4=")</f>
        <v>#VALUE!</v>
      </c>
      <c r="CR227" t="e">
        <f>IF("N",[0]!_xlnm.Print_Area,"AAAAADdF+V8=")</f>
        <v>#VALUE!</v>
      </c>
    </row>
    <row r="228" spans="1:256" x14ac:dyDescent="0.2">
      <c r="A228" t="e">
        <f>IF('POTENCIAL HORAS'!13:13,"AAAAAH++zwA=",0)</f>
        <v>#VALUE!</v>
      </c>
      <c r="B228" t="e">
        <f>AND('POTENCIAL HORAS'!A13,"AAAAAH++zwE=")</f>
        <v>#VALUE!</v>
      </c>
      <c r="C228" t="e">
        <f>AND('POTENCIAL HORAS'!B13,"AAAAAH++zwI=")</f>
        <v>#VALUE!</v>
      </c>
      <c r="D228" t="e">
        <f>AND('POTENCIAL HORAS'!C13,"AAAAAH++zwM=")</f>
        <v>#VALUE!</v>
      </c>
      <c r="E228" t="e">
        <f>AND('POTENCIAL HORAS'!D13,"AAAAAH++zwQ=")</f>
        <v>#VALUE!</v>
      </c>
      <c r="F228" t="e">
        <f>AND('POTENCIAL HORAS'!E13,"AAAAAH++zwU=")</f>
        <v>#VALUE!</v>
      </c>
      <c r="G228" t="e">
        <f>AND('POTENCIAL HORAS'!F13,"AAAAAH++zwY=")</f>
        <v>#VALUE!</v>
      </c>
      <c r="H228" t="e">
        <f>AND('POTENCIAL HORAS'!G13,"AAAAAH++zwc=")</f>
        <v>#VALUE!</v>
      </c>
      <c r="I228" t="e">
        <f>AND('POTENCIAL HORAS'!H13,"AAAAAH++zwg=")</f>
        <v>#VALUE!</v>
      </c>
      <c r="J228" t="e">
        <f>AND('POTENCIAL HORAS'!I13,"AAAAAH++zwk=")</f>
        <v>#VALUE!</v>
      </c>
      <c r="K228" t="e">
        <f>AND('POTENCIAL HORAS'!J13,"AAAAAH++zwo=")</f>
        <v>#VALUE!</v>
      </c>
      <c r="L228" t="e">
        <f>AND('POTENCIAL HORAS'!K13,"AAAAAH++zws=")</f>
        <v>#VALUE!</v>
      </c>
      <c r="M228" t="e">
        <f>AND('POTENCIAL HORAS'!L13,"AAAAAH++zww=")</f>
        <v>#VALUE!</v>
      </c>
      <c r="N228" t="e">
        <f>AND('POTENCIAL HORAS'!M13,"AAAAAH++zw0=")</f>
        <v>#VALUE!</v>
      </c>
      <c r="O228" t="e">
        <f>AND('POTENCIAL HORAS'!N13,"AAAAAH++zw4=")</f>
        <v>#VALUE!</v>
      </c>
      <c r="P228" t="e">
        <f>AND('POTENCIAL HORAS'!O13,"AAAAAH++zw8=")</f>
        <v>#VALUE!</v>
      </c>
      <c r="Q228" t="e">
        <f>AND('POTENCIAL HORAS'!P13,"AAAAAH++zxA=")</f>
        <v>#VALUE!</v>
      </c>
      <c r="R228" t="e">
        <f>AND('POTENCIAL HORAS'!#REF!,"AAAAAH++zxE=")</f>
        <v>#REF!</v>
      </c>
      <c r="S228" t="e">
        <f>AND('POTENCIAL HORAS'!#REF!,"AAAAAH++zxI=")</f>
        <v>#REF!</v>
      </c>
      <c r="T228" t="e">
        <f>AND('POTENCIAL HORAS'!#REF!,"AAAAAH++zxM=")</f>
        <v>#REF!</v>
      </c>
      <c r="U228" t="e">
        <f>AND('POTENCIAL HORAS'!#REF!,"AAAAAH++zxQ=")</f>
        <v>#REF!</v>
      </c>
      <c r="V228" t="e">
        <f>AND('POTENCIAL HORAS'!#REF!,"AAAAAH++zxU=")</f>
        <v>#REF!</v>
      </c>
      <c r="W228" t="e">
        <f>AND('POTENCIAL HORAS'!#REF!,"AAAAAH++zxY=")</f>
        <v>#REF!</v>
      </c>
      <c r="X228" t="e">
        <f>AND('POTENCIAL HORAS'!#REF!,"AAAAAH++zxc=")</f>
        <v>#REF!</v>
      </c>
      <c r="Y228" t="e">
        <f>AND('POTENCIAL HORAS'!#REF!,"AAAAAH++zxg=")</f>
        <v>#REF!</v>
      </c>
      <c r="Z228" t="e">
        <f>AND('POTENCIAL HORAS'!#REF!,"AAAAAH++zxk=")</f>
        <v>#REF!</v>
      </c>
      <c r="AA228" t="e">
        <f>AND('POTENCIAL HORAS'!#REF!,"AAAAAH++zxo=")</f>
        <v>#REF!</v>
      </c>
      <c r="AB228" t="e">
        <f>AND('POTENCIAL HORAS'!#REF!,"AAAAAH++zxs=")</f>
        <v>#REF!</v>
      </c>
      <c r="AC228" t="e">
        <f>AND('POTENCIAL HORAS'!#REF!,"AAAAAH++zxw=")</f>
        <v>#REF!</v>
      </c>
      <c r="AD228" t="e">
        <f>AND('POTENCIAL HORAS'!#REF!,"AAAAAH++zx0=")</f>
        <v>#REF!</v>
      </c>
      <c r="AE228" t="e">
        <f>AND('POTENCIAL HORAS'!#REF!,"AAAAAH++zx4=")</f>
        <v>#REF!</v>
      </c>
      <c r="AF228" t="e">
        <f>AND('POTENCIAL HORAS'!#REF!,"AAAAAH++zx8=")</f>
        <v>#REF!</v>
      </c>
      <c r="AG228" t="e">
        <f>AND('POTENCIAL HORAS'!#REF!,"AAAAAH++zyA=")</f>
        <v>#REF!</v>
      </c>
      <c r="AH228" t="e">
        <f>AND('POTENCIAL HORAS'!#REF!,"AAAAAH++zyE=")</f>
        <v>#REF!</v>
      </c>
      <c r="AI228" t="e">
        <f>AND('POTENCIAL HORAS'!#REF!,"AAAAAH++zyI=")</f>
        <v>#REF!</v>
      </c>
      <c r="AJ228" t="e">
        <f>AND('POTENCIAL HORAS'!#REF!,"AAAAAH++zyM=")</f>
        <v>#REF!</v>
      </c>
      <c r="AK228" t="e">
        <f>AND('POTENCIAL HORAS'!#REF!,"AAAAAH++zyQ=")</f>
        <v>#REF!</v>
      </c>
      <c r="AL228" t="e">
        <f>AND('POTENCIAL HORAS'!Q13,"AAAAAH++zyU=")</f>
        <v>#VALUE!</v>
      </c>
      <c r="AM228" t="e">
        <f>AND('POTENCIAL HORAS'!R13,"AAAAAH++zyY=")</f>
        <v>#VALUE!</v>
      </c>
      <c r="AN228">
        <f>IF('POTENCIAL HORAS'!15:15,"AAAAAH++zyc=",0)</f>
        <v>0</v>
      </c>
      <c r="AO228" t="e">
        <f>AND('POTENCIAL HORAS'!A15,"AAAAAH++zyg=")</f>
        <v>#VALUE!</v>
      </c>
      <c r="AP228" t="e">
        <f>AND('POTENCIAL HORAS'!B15,"AAAAAH++zyk=")</f>
        <v>#VALUE!</v>
      </c>
      <c r="AQ228" t="e">
        <f>AND('POTENCIAL HORAS'!C15,"AAAAAH++zyo=")</f>
        <v>#VALUE!</v>
      </c>
      <c r="AR228" t="e">
        <f>AND('POTENCIAL HORAS'!D15,"AAAAAH++zys=")</f>
        <v>#VALUE!</v>
      </c>
      <c r="AS228" t="e">
        <f>AND('POTENCIAL HORAS'!E15,"AAAAAH++zyw=")</f>
        <v>#VALUE!</v>
      </c>
      <c r="AT228" t="e">
        <f>AND('POTENCIAL HORAS'!F15,"AAAAAH++zy0=")</f>
        <v>#VALUE!</v>
      </c>
      <c r="AU228" t="e">
        <f>AND('POTENCIAL HORAS'!G15,"AAAAAH++zy4=")</f>
        <v>#VALUE!</v>
      </c>
      <c r="AV228" t="e">
        <f>AND('POTENCIAL HORAS'!H15,"AAAAAH++zy8=")</f>
        <v>#VALUE!</v>
      </c>
      <c r="AW228" t="e">
        <f>AND('POTENCIAL HORAS'!I15,"AAAAAH++zzA=")</f>
        <v>#VALUE!</v>
      </c>
      <c r="AX228" t="e">
        <f>AND('POTENCIAL HORAS'!J15,"AAAAAH++zzE=")</f>
        <v>#VALUE!</v>
      </c>
      <c r="AY228" t="e">
        <f>AND('POTENCIAL HORAS'!K15,"AAAAAH++zzI=")</f>
        <v>#VALUE!</v>
      </c>
      <c r="AZ228" t="e">
        <f>AND('POTENCIAL HORAS'!L15,"AAAAAH++zzM=")</f>
        <v>#VALUE!</v>
      </c>
      <c r="BA228" t="e">
        <f>AND('POTENCIAL HORAS'!M15,"AAAAAH++zzQ=")</f>
        <v>#VALUE!</v>
      </c>
      <c r="BB228" t="e">
        <f>AND('POTENCIAL HORAS'!N15,"AAAAAH++zzU=")</f>
        <v>#VALUE!</v>
      </c>
      <c r="BC228" t="e">
        <f>AND('POTENCIAL HORAS'!O15,"AAAAAH++zzY=")</f>
        <v>#VALUE!</v>
      </c>
      <c r="BD228" t="e">
        <f>AND('POTENCIAL HORAS'!P15,"AAAAAH++zzc=")</f>
        <v>#VALUE!</v>
      </c>
      <c r="BE228" t="e">
        <f>AND('POTENCIAL HORAS'!#REF!,"AAAAAH++zzg=")</f>
        <v>#REF!</v>
      </c>
      <c r="BF228" t="e">
        <f>AND('POTENCIAL HORAS'!#REF!,"AAAAAH++zzk=")</f>
        <v>#REF!</v>
      </c>
      <c r="BG228" t="e">
        <f>AND('POTENCIAL HORAS'!#REF!,"AAAAAH++zzo=")</f>
        <v>#REF!</v>
      </c>
      <c r="BH228" t="e">
        <f>AND('POTENCIAL HORAS'!#REF!,"AAAAAH++zzs=")</f>
        <v>#REF!</v>
      </c>
      <c r="BI228" t="e">
        <f>AND('POTENCIAL HORAS'!#REF!,"AAAAAH++zzw=")</f>
        <v>#REF!</v>
      </c>
      <c r="BJ228" t="e">
        <f>AND('POTENCIAL HORAS'!#REF!,"AAAAAH++zz0=")</f>
        <v>#REF!</v>
      </c>
      <c r="BK228" t="e">
        <f>AND('POTENCIAL HORAS'!#REF!,"AAAAAH++zz4=")</f>
        <v>#REF!</v>
      </c>
      <c r="BL228" t="e">
        <f>AND('POTENCIAL HORAS'!#REF!,"AAAAAH++zz8=")</f>
        <v>#REF!</v>
      </c>
      <c r="BM228" t="e">
        <f>AND('POTENCIAL HORAS'!#REF!,"AAAAAH++z0A=")</f>
        <v>#REF!</v>
      </c>
      <c r="BN228" t="e">
        <f>AND('POTENCIAL HORAS'!#REF!,"AAAAAH++z0E=")</f>
        <v>#REF!</v>
      </c>
      <c r="BO228" t="e">
        <f>AND('POTENCIAL HORAS'!#REF!,"AAAAAH++z0I=")</f>
        <v>#REF!</v>
      </c>
      <c r="BP228" t="e">
        <f>AND('POTENCIAL HORAS'!#REF!,"AAAAAH++z0M=")</f>
        <v>#REF!</v>
      </c>
      <c r="BQ228" t="e">
        <f>AND('POTENCIAL HORAS'!#REF!,"AAAAAH++z0Q=")</f>
        <v>#REF!</v>
      </c>
      <c r="BR228" t="e">
        <f>AND('POTENCIAL HORAS'!#REF!,"AAAAAH++z0U=")</f>
        <v>#REF!</v>
      </c>
      <c r="BS228" t="e">
        <f>AND('POTENCIAL HORAS'!#REF!,"AAAAAH++z0Y=")</f>
        <v>#REF!</v>
      </c>
      <c r="BT228" t="e">
        <f>AND('POTENCIAL HORAS'!#REF!,"AAAAAH++z0c=")</f>
        <v>#REF!</v>
      </c>
      <c r="BU228" t="e">
        <f>AND('POTENCIAL HORAS'!#REF!,"AAAAAH++z0g=")</f>
        <v>#REF!</v>
      </c>
      <c r="BV228" t="e">
        <f>AND('POTENCIAL HORAS'!#REF!,"AAAAAH++z0k=")</f>
        <v>#REF!</v>
      </c>
      <c r="BW228" t="e">
        <f>AND('POTENCIAL HORAS'!#REF!,"AAAAAH++z0o=")</f>
        <v>#REF!</v>
      </c>
      <c r="BX228" t="e">
        <f>AND('POTENCIAL HORAS'!#REF!,"AAAAAH++z0s=")</f>
        <v>#REF!</v>
      </c>
      <c r="BY228" t="e">
        <f>AND('POTENCIAL HORAS'!Q15,"AAAAAH++z0w=")</f>
        <v>#VALUE!</v>
      </c>
      <c r="BZ228" t="e">
        <f>AND('POTENCIAL HORAS'!R15,"AAAAAH++z00=")</f>
        <v>#VALUE!</v>
      </c>
      <c r="CA228">
        <f>IF('POTENCIAL HORAS'!39:39,"AAAAAH++z04=",0)</f>
        <v>0</v>
      </c>
      <c r="CB228" t="e">
        <f>AND('POTENCIAL HORAS'!A39,"AAAAAH++z08=")</f>
        <v>#VALUE!</v>
      </c>
      <c r="CC228" t="e">
        <f>AND('POTENCIAL HORAS'!B39,"AAAAAH++z1A=")</f>
        <v>#VALUE!</v>
      </c>
      <c r="CD228" t="e">
        <f>AND('POTENCIAL HORAS'!C39,"AAAAAH++z1E=")</f>
        <v>#VALUE!</v>
      </c>
      <c r="CE228" t="e">
        <f>AND('POTENCIAL HORAS'!D39,"AAAAAH++z1I=")</f>
        <v>#VALUE!</v>
      </c>
      <c r="CF228" t="e">
        <f>AND('POTENCIAL HORAS'!E39,"AAAAAH++z1M=")</f>
        <v>#VALUE!</v>
      </c>
      <c r="CG228" t="e">
        <f>AND('POTENCIAL HORAS'!F39,"AAAAAH++z1Q=")</f>
        <v>#VALUE!</v>
      </c>
      <c r="CH228" t="e">
        <f>AND('POTENCIAL HORAS'!G39,"AAAAAH++z1U=")</f>
        <v>#VALUE!</v>
      </c>
      <c r="CI228" t="e">
        <f>AND('POTENCIAL HORAS'!H39,"AAAAAH++z1Y=")</f>
        <v>#VALUE!</v>
      </c>
      <c r="CJ228" t="e">
        <f>AND('POTENCIAL HORAS'!I39,"AAAAAH++z1c=")</f>
        <v>#VALUE!</v>
      </c>
      <c r="CK228" t="e">
        <f>AND('POTENCIAL HORAS'!J39,"AAAAAH++z1g=")</f>
        <v>#VALUE!</v>
      </c>
      <c r="CL228" t="e">
        <f>AND('POTENCIAL HORAS'!K39,"AAAAAH++z1k=")</f>
        <v>#VALUE!</v>
      </c>
      <c r="CM228" t="e">
        <f>AND('POTENCIAL HORAS'!L39,"AAAAAH++z1o=")</f>
        <v>#VALUE!</v>
      </c>
      <c r="CN228" t="e">
        <f>AND('POTENCIAL HORAS'!M39,"AAAAAH++z1s=")</f>
        <v>#VALUE!</v>
      </c>
      <c r="CO228" t="e">
        <f>AND('POTENCIAL HORAS'!N39,"AAAAAH++z1w=")</f>
        <v>#VALUE!</v>
      </c>
      <c r="CP228" t="e">
        <f>AND('POTENCIAL HORAS'!O39,"AAAAAH++z10=")</f>
        <v>#VALUE!</v>
      </c>
      <c r="CQ228" t="e">
        <f>AND('POTENCIAL HORAS'!P39,"AAAAAH++z14=")</f>
        <v>#VALUE!</v>
      </c>
      <c r="CR228" t="e">
        <f>AND('POTENCIAL HORAS'!#REF!,"AAAAAH++z18=")</f>
        <v>#REF!</v>
      </c>
      <c r="CS228" t="e">
        <f>AND('POTENCIAL HORAS'!#REF!,"AAAAAH++z2A=")</f>
        <v>#REF!</v>
      </c>
      <c r="CT228" t="e">
        <f>AND('POTENCIAL HORAS'!#REF!,"AAAAAH++z2E=")</f>
        <v>#REF!</v>
      </c>
      <c r="CU228" t="e">
        <f>AND('POTENCIAL HORAS'!#REF!,"AAAAAH++z2I=")</f>
        <v>#REF!</v>
      </c>
      <c r="CV228" t="e">
        <f>AND('POTENCIAL HORAS'!#REF!,"AAAAAH++z2M=")</f>
        <v>#REF!</v>
      </c>
      <c r="CW228" t="e">
        <f>AND('POTENCIAL HORAS'!#REF!,"AAAAAH++z2Q=")</f>
        <v>#REF!</v>
      </c>
      <c r="CX228" t="e">
        <f>AND('POTENCIAL HORAS'!#REF!,"AAAAAH++z2U=")</f>
        <v>#REF!</v>
      </c>
      <c r="CY228" t="e">
        <f>AND('POTENCIAL HORAS'!#REF!,"AAAAAH++z2Y=")</f>
        <v>#REF!</v>
      </c>
      <c r="CZ228" t="e">
        <f>AND('POTENCIAL HORAS'!#REF!,"AAAAAH++z2c=")</f>
        <v>#REF!</v>
      </c>
      <c r="DA228" t="e">
        <f>AND('POTENCIAL HORAS'!#REF!,"AAAAAH++z2g=")</f>
        <v>#REF!</v>
      </c>
      <c r="DB228" t="e">
        <f>AND('POTENCIAL HORAS'!#REF!,"AAAAAH++z2k=")</f>
        <v>#REF!</v>
      </c>
      <c r="DC228" t="e">
        <f>AND('POTENCIAL HORAS'!#REF!,"AAAAAH++z2o=")</f>
        <v>#REF!</v>
      </c>
      <c r="DD228" t="e">
        <f>AND('POTENCIAL HORAS'!#REF!,"AAAAAH++z2s=")</f>
        <v>#REF!</v>
      </c>
      <c r="DE228" t="e">
        <f>AND('POTENCIAL HORAS'!#REF!,"AAAAAH++z2w=")</f>
        <v>#REF!</v>
      </c>
      <c r="DF228" t="e">
        <f>AND('POTENCIAL HORAS'!#REF!,"AAAAAH++z20=")</f>
        <v>#REF!</v>
      </c>
      <c r="DG228" t="e">
        <f>AND('POTENCIAL HORAS'!#REF!,"AAAAAH++z24=")</f>
        <v>#REF!</v>
      </c>
      <c r="DH228" t="e">
        <f>AND('POTENCIAL HORAS'!#REF!,"AAAAAH++z28=")</f>
        <v>#REF!</v>
      </c>
      <c r="DI228" t="e">
        <f>AND('POTENCIAL HORAS'!#REF!,"AAAAAH++z3A=")</f>
        <v>#REF!</v>
      </c>
      <c r="DJ228" t="e">
        <f>AND('POTENCIAL HORAS'!#REF!,"AAAAAH++z3E=")</f>
        <v>#REF!</v>
      </c>
      <c r="DK228" t="e">
        <f>AND('POTENCIAL HORAS'!#REF!,"AAAAAH++z3I=")</f>
        <v>#REF!</v>
      </c>
      <c r="DL228" t="e">
        <f>AND('POTENCIAL HORAS'!Q39,"AAAAAH++z3M=")</f>
        <v>#VALUE!</v>
      </c>
      <c r="DM228" t="e">
        <f>AND('POTENCIAL HORAS'!R39,"AAAAAH++z3Q=")</f>
        <v>#VALUE!</v>
      </c>
      <c r="DN228">
        <f>IF('POTENCIAL HORAS'!52:52,"AAAAAH++z3U=",0)</f>
        <v>0</v>
      </c>
      <c r="DO228" t="e">
        <f>AND('POTENCIAL HORAS'!A52,"AAAAAH++z3Y=")</f>
        <v>#VALUE!</v>
      </c>
      <c r="DP228" t="e">
        <f>AND('POTENCIAL HORAS'!B52,"AAAAAH++z3c=")</f>
        <v>#VALUE!</v>
      </c>
      <c r="DQ228" t="e">
        <f>AND('POTENCIAL HORAS'!C52,"AAAAAH++z3g=")</f>
        <v>#VALUE!</v>
      </c>
      <c r="DR228" t="e">
        <f>AND('POTENCIAL HORAS'!D52,"AAAAAH++z3k=")</f>
        <v>#VALUE!</v>
      </c>
      <c r="DS228" t="e">
        <f>AND('POTENCIAL HORAS'!E52,"AAAAAH++z3o=")</f>
        <v>#VALUE!</v>
      </c>
      <c r="DT228" t="e">
        <f>AND('POTENCIAL HORAS'!F52,"AAAAAH++z3s=")</f>
        <v>#VALUE!</v>
      </c>
      <c r="DU228" t="e">
        <f>AND('POTENCIAL HORAS'!G52,"AAAAAH++z3w=")</f>
        <v>#VALUE!</v>
      </c>
      <c r="DV228" t="e">
        <f>AND('POTENCIAL HORAS'!H52,"AAAAAH++z30=")</f>
        <v>#VALUE!</v>
      </c>
      <c r="DW228" t="e">
        <f>AND('POTENCIAL HORAS'!I52,"AAAAAH++z34=")</f>
        <v>#VALUE!</v>
      </c>
      <c r="DX228" t="e">
        <f>AND('POTENCIAL HORAS'!J52,"AAAAAH++z38=")</f>
        <v>#VALUE!</v>
      </c>
      <c r="DY228" t="e">
        <f>AND('POTENCIAL HORAS'!K52,"AAAAAH++z4A=")</f>
        <v>#VALUE!</v>
      </c>
      <c r="DZ228" t="e">
        <f>AND('POTENCIAL HORAS'!L52,"AAAAAH++z4E=")</f>
        <v>#VALUE!</v>
      </c>
      <c r="EA228" t="e">
        <f>AND('POTENCIAL HORAS'!M52,"AAAAAH++z4I=")</f>
        <v>#VALUE!</v>
      </c>
      <c r="EB228" t="e">
        <f>AND('POTENCIAL HORAS'!N52,"AAAAAH++z4M=")</f>
        <v>#VALUE!</v>
      </c>
      <c r="EC228" t="e">
        <f>AND('POTENCIAL HORAS'!O52,"AAAAAH++z4Q=")</f>
        <v>#VALUE!</v>
      </c>
      <c r="ED228" t="e">
        <f>AND('POTENCIAL HORAS'!P52,"AAAAAH++z4U=")</f>
        <v>#VALUE!</v>
      </c>
      <c r="EE228" t="e">
        <f>AND('POTENCIAL HORAS'!#REF!,"AAAAAH++z4Y=")</f>
        <v>#REF!</v>
      </c>
      <c r="EF228" t="e">
        <f>AND('POTENCIAL HORAS'!#REF!,"AAAAAH++z4c=")</f>
        <v>#REF!</v>
      </c>
      <c r="EG228" t="e">
        <f>AND('POTENCIAL HORAS'!#REF!,"AAAAAH++z4g=")</f>
        <v>#REF!</v>
      </c>
      <c r="EH228" t="e">
        <f>AND('POTENCIAL HORAS'!#REF!,"AAAAAH++z4k=")</f>
        <v>#REF!</v>
      </c>
      <c r="EI228" t="e">
        <f>AND('POTENCIAL HORAS'!#REF!,"AAAAAH++z4o=")</f>
        <v>#REF!</v>
      </c>
      <c r="EJ228" t="e">
        <f>AND('POTENCIAL HORAS'!#REF!,"AAAAAH++z4s=")</f>
        <v>#REF!</v>
      </c>
      <c r="EK228" t="e">
        <f>AND('POTENCIAL HORAS'!#REF!,"AAAAAH++z4w=")</f>
        <v>#REF!</v>
      </c>
      <c r="EL228" t="e">
        <f>AND('POTENCIAL HORAS'!#REF!,"AAAAAH++z40=")</f>
        <v>#REF!</v>
      </c>
      <c r="EM228" t="e">
        <f>AND('POTENCIAL HORAS'!#REF!,"AAAAAH++z44=")</f>
        <v>#REF!</v>
      </c>
      <c r="EN228" t="e">
        <f>AND('POTENCIAL HORAS'!#REF!,"AAAAAH++z48=")</f>
        <v>#REF!</v>
      </c>
      <c r="EO228" t="e">
        <f>AND('POTENCIAL HORAS'!#REF!,"AAAAAH++z5A=")</f>
        <v>#REF!</v>
      </c>
      <c r="EP228" t="e">
        <f>AND('POTENCIAL HORAS'!#REF!,"AAAAAH++z5E=")</f>
        <v>#REF!</v>
      </c>
      <c r="EQ228" t="e">
        <f>AND('POTENCIAL HORAS'!#REF!,"AAAAAH++z5I=")</f>
        <v>#REF!</v>
      </c>
      <c r="ER228" t="e">
        <f>AND('POTENCIAL HORAS'!#REF!,"AAAAAH++z5M=")</f>
        <v>#REF!</v>
      </c>
      <c r="ES228" t="e">
        <f>AND('POTENCIAL HORAS'!#REF!,"AAAAAH++z5Q=")</f>
        <v>#REF!</v>
      </c>
      <c r="ET228" t="e">
        <f>AND('POTENCIAL HORAS'!#REF!,"AAAAAH++z5U=")</f>
        <v>#REF!</v>
      </c>
      <c r="EU228" t="e">
        <f>AND('POTENCIAL HORAS'!#REF!,"AAAAAH++z5Y=")</f>
        <v>#REF!</v>
      </c>
      <c r="EV228" t="e">
        <f>AND('POTENCIAL HORAS'!#REF!,"AAAAAH++z5c=")</f>
        <v>#REF!</v>
      </c>
      <c r="EW228" t="e">
        <f>AND('POTENCIAL HORAS'!#REF!,"AAAAAH++z5g=")</f>
        <v>#REF!</v>
      </c>
      <c r="EX228" t="e">
        <f>AND('POTENCIAL HORAS'!#REF!,"AAAAAH++z5k=")</f>
        <v>#REF!</v>
      </c>
      <c r="EY228" t="e">
        <f>AND('POTENCIAL HORAS'!Q52,"AAAAAH++z5o=")</f>
        <v>#VALUE!</v>
      </c>
      <c r="EZ228" t="e">
        <f>AND('POTENCIAL HORAS'!R52,"AAAAAH++z5s=")</f>
        <v>#VALUE!</v>
      </c>
      <c r="FA228">
        <f>IF('POTENCIAL HORAS'!63:63,"AAAAAH++z5w=",0)</f>
        <v>0</v>
      </c>
      <c r="FB228" t="e">
        <f>AND('POTENCIAL HORAS'!A63,"AAAAAH++z50=")</f>
        <v>#VALUE!</v>
      </c>
      <c r="FC228" t="e">
        <f>AND('POTENCIAL HORAS'!B63,"AAAAAH++z54=")</f>
        <v>#VALUE!</v>
      </c>
      <c r="FD228" t="e">
        <f>AND('POTENCIAL HORAS'!C63,"AAAAAH++z58=")</f>
        <v>#VALUE!</v>
      </c>
      <c r="FE228" t="e">
        <f>AND('POTENCIAL HORAS'!D63,"AAAAAH++z6A=")</f>
        <v>#VALUE!</v>
      </c>
      <c r="FF228" t="e">
        <f>AND('POTENCIAL HORAS'!E63,"AAAAAH++z6E=")</f>
        <v>#VALUE!</v>
      </c>
      <c r="FG228" t="e">
        <f>AND('POTENCIAL HORAS'!F63,"AAAAAH++z6I=")</f>
        <v>#VALUE!</v>
      </c>
      <c r="FH228" t="e">
        <f>AND('POTENCIAL HORAS'!G63,"AAAAAH++z6M=")</f>
        <v>#VALUE!</v>
      </c>
      <c r="FI228" t="e">
        <f>AND('POTENCIAL HORAS'!H63,"AAAAAH++z6Q=")</f>
        <v>#VALUE!</v>
      </c>
      <c r="FJ228" t="e">
        <f>AND('POTENCIAL HORAS'!I63,"AAAAAH++z6U=")</f>
        <v>#VALUE!</v>
      </c>
      <c r="FK228" t="e">
        <f>AND('POTENCIAL HORAS'!J63,"AAAAAH++z6Y=")</f>
        <v>#VALUE!</v>
      </c>
      <c r="FL228" t="e">
        <f>AND('POTENCIAL HORAS'!K63,"AAAAAH++z6c=")</f>
        <v>#VALUE!</v>
      </c>
      <c r="FM228" t="e">
        <f>AND('POTENCIAL HORAS'!L63,"AAAAAH++z6g=")</f>
        <v>#VALUE!</v>
      </c>
      <c r="FN228" t="e">
        <f>AND('POTENCIAL HORAS'!M63,"AAAAAH++z6k=")</f>
        <v>#VALUE!</v>
      </c>
      <c r="FO228" t="e">
        <f>AND('POTENCIAL HORAS'!N63,"AAAAAH++z6o=")</f>
        <v>#VALUE!</v>
      </c>
      <c r="FP228" t="e">
        <f>AND('POTENCIAL HORAS'!O63,"AAAAAH++z6s=")</f>
        <v>#VALUE!</v>
      </c>
      <c r="FQ228" t="e">
        <f>AND('POTENCIAL HORAS'!P63,"AAAAAH++z6w=")</f>
        <v>#VALUE!</v>
      </c>
      <c r="FR228" t="e">
        <f>AND('POTENCIAL HORAS'!#REF!,"AAAAAH++z60=")</f>
        <v>#REF!</v>
      </c>
      <c r="FS228" t="e">
        <f>AND('POTENCIAL HORAS'!#REF!,"AAAAAH++z64=")</f>
        <v>#REF!</v>
      </c>
      <c r="FT228" t="e">
        <f>AND('POTENCIAL HORAS'!#REF!,"AAAAAH++z68=")</f>
        <v>#REF!</v>
      </c>
      <c r="FU228" t="e">
        <f>AND('POTENCIAL HORAS'!#REF!,"AAAAAH++z7A=")</f>
        <v>#REF!</v>
      </c>
      <c r="FV228" t="e">
        <f>AND('POTENCIAL HORAS'!#REF!,"AAAAAH++z7E=")</f>
        <v>#REF!</v>
      </c>
      <c r="FW228" t="e">
        <f>AND('POTENCIAL HORAS'!#REF!,"AAAAAH++z7I=")</f>
        <v>#REF!</v>
      </c>
      <c r="FX228" t="e">
        <f>AND('POTENCIAL HORAS'!#REF!,"AAAAAH++z7M=")</f>
        <v>#REF!</v>
      </c>
      <c r="FY228" t="e">
        <f>AND('POTENCIAL HORAS'!#REF!,"AAAAAH++z7Q=")</f>
        <v>#REF!</v>
      </c>
      <c r="FZ228" t="e">
        <f>AND('POTENCIAL HORAS'!#REF!,"AAAAAH++z7U=")</f>
        <v>#REF!</v>
      </c>
      <c r="GA228" t="e">
        <f>AND('POTENCIAL HORAS'!#REF!,"AAAAAH++z7Y=")</f>
        <v>#REF!</v>
      </c>
      <c r="GB228" t="e">
        <f>AND('POTENCIAL HORAS'!#REF!,"AAAAAH++z7c=")</f>
        <v>#REF!</v>
      </c>
      <c r="GC228" t="e">
        <f>AND('POTENCIAL HORAS'!#REF!,"AAAAAH++z7g=")</f>
        <v>#REF!</v>
      </c>
      <c r="GD228" t="e">
        <f>AND('POTENCIAL HORAS'!#REF!,"AAAAAH++z7k=")</f>
        <v>#REF!</v>
      </c>
      <c r="GE228" t="e">
        <f>AND('POTENCIAL HORAS'!#REF!,"AAAAAH++z7o=")</f>
        <v>#REF!</v>
      </c>
      <c r="GF228" t="e">
        <f>AND('POTENCIAL HORAS'!#REF!,"AAAAAH++z7s=")</f>
        <v>#REF!</v>
      </c>
      <c r="GG228" t="e">
        <f>AND('POTENCIAL HORAS'!#REF!,"AAAAAH++z7w=")</f>
        <v>#REF!</v>
      </c>
      <c r="GH228" t="e">
        <f>AND('POTENCIAL HORAS'!#REF!,"AAAAAH++z70=")</f>
        <v>#REF!</v>
      </c>
      <c r="GI228" t="e">
        <f>AND('POTENCIAL HORAS'!#REF!,"AAAAAH++z74=")</f>
        <v>#REF!</v>
      </c>
      <c r="GJ228" t="e">
        <f>AND('POTENCIAL HORAS'!#REF!,"AAAAAH++z78=")</f>
        <v>#REF!</v>
      </c>
      <c r="GK228" t="e">
        <f>AND('POTENCIAL HORAS'!#REF!,"AAAAAH++z8A=")</f>
        <v>#REF!</v>
      </c>
      <c r="GL228" t="e">
        <f>AND('POTENCIAL HORAS'!Q63,"AAAAAH++z8E=")</f>
        <v>#VALUE!</v>
      </c>
      <c r="GM228" t="e">
        <f>AND('POTENCIAL HORAS'!R63,"AAAAAH++z8I=")</f>
        <v>#VALUE!</v>
      </c>
      <c r="GN228" t="s">
        <v>405</v>
      </c>
      <c r="GO228" t="s">
        <v>406</v>
      </c>
      <c r="GP228" t="e">
        <f>IF("N",[0]!_xlnm.Print_Area,"AAAAAH++z8U=")</f>
        <v>#VALUE!</v>
      </c>
    </row>
    <row r="229" spans="1:256" x14ac:dyDescent="0.2">
      <c r="A229" t="e">
        <f>AND('POTENCIAL HORAS'!B347,"AAAAAE/7+wA=")</f>
        <v>#VALUE!</v>
      </c>
      <c r="B229" t="s">
        <v>407</v>
      </c>
      <c r="C229" t="s">
        <v>408</v>
      </c>
      <c r="D229" t="e">
        <f>IF("N",[0]!_xlnm.Print_Area,"AAAAAE/7+wM=")</f>
        <v>#VALUE!</v>
      </c>
    </row>
    <row r="230" spans="1:256" x14ac:dyDescent="0.2">
      <c r="A230" t="s">
        <v>409</v>
      </c>
      <c r="B230" t="s">
        <v>410</v>
      </c>
      <c r="C230" t="e">
        <f>IF("N",[0]!_xlnm.Print_Area,"AAAAAD/92QI=")</f>
        <v>#VALUE!</v>
      </c>
      <c r="D230" t="e">
        <f>IF("N",INSTRUCTORES,"AAAAAD/92QM=")</f>
        <v>#VALUE!</v>
      </c>
    </row>
    <row r="231" spans="1:256" x14ac:dyDescent="0.2">
      <c r="A231" t="e">
        <f>IF('POTENCIAL HORAS'!10:10,"AAAAAHce+gA=",0)</f>
        <v>#VALUE!</v>
      </c>
      <c r="B231" t="e">
        <f>AND('POTENCIAL HORAS'!A10,"AAAAAHce+gE=")</f>
        <v>#VALUE!</v>
      </c>
      <c r="C231" t="e">
        <f>AND('POTENCIAL HORAS'!B10,"AAAAAHce+gI=")</f>
        <v>#VALUE!</v>
      </c>
      <c r="D231" t="e">
        <f>AND('POTENCIAL HORAS'!C10,"AAAAAHce+gM=")</f>
        <v>#VALUE!</v>
      </c>
      <c r="E231" t="e">
        <f>AND('POTENCIAL HORAS'!D10,"AAAAAHce+gQ=")</f>
        <v>#VALUE!</v>
      </c>
      <c r="F231" t="e">
        <f>AND('POTENCIAL HORAS'!E10,"AAAAAHce+gU=")</f>
        <v>#VALUE!</v>
      </c>
      <c r="G231" t="e">
        <f>AND('POTENCIAL HORAS'!F10,"AAAAAHce+gY=")</f>
        <v>#VALUE!</v>
      </c>
      <c r="H231" t="e">
        <f>AND('POTENCIAL HORAS'!G10,"AAAAAHce+gc=")</f>
        <v>#VALUE!</v>
      </c>
      <c r="I231" t="e">
        <f>AND('POTENCIAL HORAS'!H10,"AAAAAHce+gg=")</f>
        <v>#VALUE!</v>
      </c>
      <c r="J231" t="e">
        <f>AND('POTENCIAL HORAS'!I10,"AAAAAHce+gk=")</f>
        <v>#VALUE!</v>
      </c>
      <c r="K231" t="e">
        <f>AND('POTENCIAL HORAS'!J10,"AAAAAHce+go=")</f>
        <v>#VALUE!</v>
      </c>
      <c r="L231" t="e">
        <f>AND('POTENCIAL HORAS'!K10,"AAAAAHce+gs=")</f>
        <v>#VALUE!</v>
      </c>
      <c r="M231" t="e">
        <f>AND('POTENCIAL HORAS'!L10,"AAAAAHce+gw=")</f>
        <v>#VALUE!</v>
      </c>
      <c r="N231" t="e">
        <f>AND('POTENCIAL HORAS'!M10,"AAAAAHce+g0=")</f>
        <v>#VALUE!</v>
      </c>
      <c r="O231" t="e">
        <f>AND('POTENCIAL HORAS'!N10,"AAAAAHce+g4=")</f>
        <v>#VALUE!</v>
      </c>
      <c r="P231" t="e">
        <f>AND('POTENCIAL HORAS'!O10,"AAAAAHce+g8=")</f>
        <v>#VALUE!</v>
      </c>
      <c r="Q231" t="e">
        <f>AND('POTENCIAL HORAS'!P10,"AAAAAHce+hA=")</f>
        <v>#VALUE!</v>
      </c>
      <c r="R231" t="e">
        <f>AND('POTENCIAL HORAS'!#REF!,"AAAAAHce+hE=")</f>
        <v>#REF!</v>
      </c>
      <c r="S231" t="e">
        <f>AND('POTENCIAL HORAS'!#REF!,"AAAAAHce+hI=")</f>
        <v>#REF!</v>
      </c>
      <c r="T231" t="e">
        <f>AND('POTENCIAL HORAS'!#REF!,"AAAAAHce+hM=")</f>
        <v>#REF!</v>
      </c>
      <c r="U231" t="e">
        <f>AND('POTENCIAL HORAS'!#REF!,"AAAAAHce+hQ=")</f>
        <v>#REF!</v>
      </c>
      <c r="V231" t="e">
        <f>AND('POTENCIAL HORAS'!#REF!,"AAAAAHce+hU=")</f>
        <v>#REF!</v>
      </c>
      <c r="W231" t="e">
        <f>AND('POTENCIAL HORAS'!#REF!,"AAAAAHce+hY=")</f>
        <v>#REF!</v>
      </c>
      <c r="X231" t="e">
        <f>AND('POTENCIAL HORAS'!#REF!,"AAAAAHce+hc=")</f>
        <v>#REF!</v>
      </c>
      <c r="Y231" t="e">
        <f>AND('POTENCIAL HORAS'!#REF!,"AAAAAHce+hg=")</f>
        <v>#REF!</v>
      </c>
      <c r="Z231" t="e">
        <f>AND('POTENCIAL HORAS'!#REF!,"AAAAAHce+hk=")</f>
        <v>#REF!</v>
      </c>
      <c r="AA231" t="e">
        <f>AND('POTENCIAL HORAS'!#REF!,"AAAAAHce+ho=")</f>
        <v>#REF!</v>
      </c>
      <c r="AB231" t="e">
        <f>AND('POTENCIAL HORAS'!#REF!,"AAAAAHce+hs=")</f>
        <v>#REF!</v>
      </c>
      <c r="AC231" t="e">
        <f>AND('POTENCIAL HORAS'!#REF!,"AAAAAHce+hw=")</f>
        <v>#REF!</v>
      </c>
      <c r="AD231" t="e">
        <f>AND('POTENCIAL HORAS'!#REF!,"AAAAAHce+h0=")</f>
        <v>#REF!</v>
      </c>
      <c r="AE231" t="e">
        <f>AND('POTENCIAL HORAS'!#REF!,"AAAAAHce+h4=")</f>
        <v>#REF!</v>
      </c>
      <c r="AF231" t="e">
        <f>AND('POTENCIAL HORAS'!#REF!,"AAAAAHce+h8=")</f>
        <v>#REF!</v>
      </c>
      <c r="AG231" t="e">
        <f>AND('POTENCIAL HORAS'!#REF!,"AAAAAHce+iA=")</f>
        <v>#REF!</v>
      </c>
      <c r="AH231" t="e">
        <f>AND('POTENCIAL HORAS'!#REF!,"AAAAAHce+iE=")</f>
        <v>#REF!</v>
      </c>
      <c r="AI231" t="e">
        <f>AND('POTENCIAL HORAS'!#REF!,"AAAAAHce+iI=")</f>
        <v>#REF!</v>
      </c>
      <c r="AJ231" t="e">
        <f>AND('POTENCIAL HORAS'!#REF!,"AAAAAHce+iM=")</f>
        <v>#REF!</v>
      </c>
      <c r="AK231" t="e">
        <f>AND('POTENCIAL HORAS'!#REF!,"AAAAAHce+iQ=")</f>
        <v>#REF!</v>
      </c>
      <c r="AL231" t="e">
        <f>AND('POTENCIAL HORAS'!Q10,"AAAAAHce+iU=")</f>
        <v>#VALUE!</v>
      </c>
      <c r="AM231" t="e">
        <f>AND('POTENCIAL HORAS'!R10,"AAAAAHce+iY=")</f>
        <v>#VALUE!</v>
      </c>
      <c r="AN231" t="s">
        <v>411</v>
      </c>
      <c r="AO231" t="s">
        <v>412</v>
      </c>
      <c r="AP231" t="e">
        <f>IF("N",[0]!_xlnm.Print_Area,"AAAAAHce+ik=")</f>
        <v>#VALUE!</v>
      </c>
    </row>
    <row r="232" spans="1:256" x14ac:dyDescent="0.2">
      <c r="A232" t="s">
        <v>413</v>
      </c>
      <c r="B232" t="s">
        <v>414</v>
      </c>
      <c r="C232" t="e">
        <f>IF("N",[0]!_xlnm.Print_Area,"AAAAAGVdsQI=")</f>
        <v>#VALUE!</v>
      </c>
    </row>
    <row r="233" spans="1:256" x14ac:dyDescent="0.2">
      <c r="A233" t="e">
        <f>IF('PROG FORMACIÓN TITULADA'!#REF!,"AAAAADzk7wA=",0)</f>
        <v>#REF!</v>
      </c>
      <c r="B233" t="e">
        <f>AND('PROG FORMACIÓN TITULADA'!#REF!,"AAAAADzk7wE=")</f>
        <v>#REF!</v>
      </c>
      <c r="C233" t="e">
        <f>AND('PROG FORMACIÓN TITULADA'!#REF!,"AAAAADzk7wI=")</f>
        <v>#REF!</v>
      </c>
      <c r="D233" t="e">
        <f>AND('PROG FORMACIÓN TITULADA'!#REF!,"AAAAADzk7wM=")</f>
        <v>#REF!</v>
      </c>
      <c r="E233" t="e">
        <f>AND('PROG FORMACIÓN TITULADA'!#REF!,"AAAAADzk7wQ=")</f>
        <v>#REF!</v>
      </c>
      <c r="F233" t="e">
        <f>AND('PROG FORMACIÓN TITULADA'!#REF!,"AAAAADzk7wU=")</f>
        <v>#REF!</v>
      </c>
      <c r="G233" t="e">
        <f>AND('PROG FORMACIÓN TITULADA'!#REF!,"AAAAADzk7wY=")</f>
        <v>#REF!</v>
      </c>
      <c r="H233" t="e">
        <f>AND('PROG FORMACIÓN TITULADA'!#REF!,"AAAAADzk7wc=")</f>
        <v>#REF!</v>
      </c>
      <c r="I233" t="e">
        <f>AND('PROG FORMACIÓN TITULADA'!#REF!,"AAAAADzk7wg=")</f>
        <v>#REF!</v>
      </c>
      <c r="J233" t="e">
        <f>AND('PROG FORMACIÓN TITULADA'!#REF!,"AAAAADzk7wk=")</f>
        <v>#REF!</v>
      </c>
      <c r="K233" t="e">
        <f>AND('PROG FORMACIÓN TITULADA'!#REF!,"AAAAADzk7wo=")</f>
        <v>#REF!</v>
      </c>
      <c r="L233" t="e">
        <f>AND('PROG FORMACIÓN TITULADA'!#REF!,"AAAAADzk7ws=")</f>
        <v>#REF!</v>
      </c>
      <c r="M233" t="e">
        <f>AND('PROG FORMACIÓN TITULADA'!#REF!,"AAAAADzk7ww=")</f>
        <v>#REF!</v>
      </c>
      <c r="N233" t="e">
        <f>AND('PROG FORMACIÓN TITULADA'!#REF!,"AAAAADzk7w0=")</f>
        <v>#REF!</v>
      </c>
      <c r="O233" t="e">
        <f>AND('PROG FORMACIÓN TITULADA'!#REF!,"AAAAADzk7w4=")</f>
        <v>#REF!</v>
      </c>
      <c r="P233" t="e">
        <f>AND('PROG FORMACIÓN TITULADA'!#REF!,"AAAAADzk7w8=")</f>
        <v>#REF!</v>
      </c>
      <c r="Q233" t="e">
        <f>AND('PROG FORMACIÓN TITULADA'!#REF!,"AAAAADzk7xA=")</f>
        <v>#REF!</v>
      </c>
      <c r="R233" t="e">
        <f>AND('PROG FORMACIÓN TITULADA'!#REF!,"AAAAADzk7xE=")</f>
        <v>#REF!</v>
      </c>
      <c r="S233" t="e">
        <f>AND('PROG FORMACIÓN TITULADA'!#REF!,"AAAAADzk7xI=")</f>
        <v>#REF!</v>
      </c>
      <c r="T233" t="e">
        <f>AND('PROG FORMACIÓN TITULADA'!#REF!,"AAAAADzk7xM=")</f>
        <v>#REF!</v>
      </c>
      <c r="U233" t="e">
        <f>AND('PROG FORMACIÓN TITULADA'!#REF!,"AAAAADzk7xQ=")</f>
        <v>#REF!</v>
      </c>
      <c r="V233" t="e">
        <f>AND('PROG FORMACIÓN TITULADA'!#REF!,"AAAAADzk7xU=")</f>
        <v>#REF!</v>
      </c>
      <c r="W233" t="e">
        <f>AND('PROG FORMACIÓN TITULADA'!#REF!,"AAAAADzk7xY=")</f>
        <v>#REF!</v>
      </c>
      <c r="X233" t="e">
        <f>AND('PROG FORMACIÓN TITULADA'!#REF!,"AAAAADzk7xc=")</f>
        <v>#REF!</v>
      </c>
      <c r="Y233" t="e">
        <f>AND('PROG FORMACIÓN TITULADA'!#REF!,"AAAAADzk7xg=")</f>
        <v>#REF!</v>
      </c>
      <c r="Z233" t="e">
        <f>AND('PROG FORMACIÓN TITULADA'!#REF!,"AAAAADzk7xk=")</f>
        <v>#REF!</v>
      </c>
      <c r="AA233" t="e">
        <f>AND('PROG FORMACIÓN TITULADA'!#REF!,"AAAAADzk7xo=")</f>
        <v>#REF!</v>
      </c>
      <c r="AB233" t="e">
        <f>IF('PROG FORMACIÓN TITULADA'!#REF!,"AAAAADzk7xs=",0)</f>
        <v>#REF!</v>
      </c>
      <c r="AC233" t="e">
        <f>AND('PROG FORMACIÓN TITULADA'!#REF!,"AAAAADzk7xw=")</f>
        <v>#REF!</v>
      </c>
      <c r="AD233" t="e">
        <f>AND('PROG FORMACIÓN TITULADA'!#REF!,"AAAAADzk7x0=")</f>
        <v>#REF!</v>
      </c>
      <c r="AE233" t="e">
        <f>AND('PROG FORMACIÓN TITULADA'!#REF!,"AAAAADzk7x4=")</f>
        <v>#REF!</v>
      </c>
      <c r="AF233" t="e">
        <f>AND('PROG FORMACIÓN TITULADA'!#REF!,"AAAAADzk7x8=")</f>
        <v>#REF!</v>
      </c>
      <c r="AG233" t="e">
        <f>AND('PROG FORMACIÓN TITULADA'!#REF!,"AAAAADzk7yA=")</f>
        <v>#REF!</v>
      </c>
      <c r="AH233" t="e">
        <f>AND('PROG FORMACIÓN TITULADA'!#REF!,"AAAAADzk7yE=")</f>
        <v>#REF!</v>
      </c>
      <c r="AI233" t="e">
        <f>AND('PROG FORMACIÓN TITULADA'!#REF!,"AAAAADzk7yI=")</f>
        <v>#REF!</v>
      </c>
      <c r="AJ233" t="e">
        <f>AND('PROG FORMACIÓN TITULADA'!#REF!,"AAAAADzk7yM=")</f>
        <v>#REF!</v>
      </c>
      <c r="AK233" t="e">
        <f>AND('PROG FORMACIÓN TITULADA'!#REF!,"AAAAADzk7yQ=")</f>
        <v>#REF!</v>
      </c>
      <c r="AL233" t="e">
        <f>AND('PROG FORMACIÓN TITULADA'!#REF!,"AAAAADzk7yU=")</f>
        <v>#REF!</v>
      </c>
      <c r="AM233" t="e">
        <f>AND('PROG FORMACIÓN TITULADA'!#REF!,"AAAAADzk7yY=")</f>
        <v>#REF!</v>
      </c>
      <c r="AN233" t="e">
        <f>AND('PROG FORMACIÓN TITULADA'!#REF!,"AAAAADzk7yc=")</f>
        <v>#REF!</v>
      </c>
      <c r="AO233" t="e">
        <f>AND('PROG FORMACIÓN TITULADA'!#REF!,"AAAAADzk7yg=")</f>
        <v>#REF!</v>
      </c>
      <c r="AP233" t="e">
        <f>AND('PROG FORMACIÓN TITULADA'!#REF!,"AAAAADzk7yk=")</f>
        <v>#REF!</v>
      </c>
      <c r="AQ233" t="e">
        <f>AND('PROG FORMACIÓN TITULADA'!#REF!,"AAAAADzk7yo=")</f>
        <v>#REF!</v>
      </c>
      <c r="AR233" t="e">
        <f>AND('PROG FORMACIÓN TITULADA'!#REF!,"AAAAADzk7ys=")</f>
        <v>#REF!</v>
      </c>
      <c r="AS233" t="e">
        <f>AND('PROG FORMACIÓN TITULADA'!#REF!,"AAAAADzk7yw=")</f>
        <v>#REF!</v>
      </c>
      <c r="AT233" t="e">
        <f>AND('PROG FORMACIÓN TITULADA'!#REF!,"AAAAADzk7y0=")</f>
        <v>#REF!</v>
      </c>
      <c r="AU233" t="e">
        <f>AND('PROG FORMACIÓN TITULADA'!#REF!,"AAAAADzk7y4=")</f>
        <v>#REF!</v>
      </c>
      <c r="AV233" t="e">
        <f>AND('PROG FORMACIÓN TITULADA'!#REF!,"AAAAADzk7y8=")</f>
        <v>#REF!</v>
      </c>
      <c r="AW233" t="e">
        <f>AND('PROG FORMACIÓN TITULADA'!#REF!,"AAAAADzk7zA=")</f>
        <v>#REF!</v>
      </c>
      <c r="AX233" t="e">
        <f>AND('PROG FORMACIÓN TITULADA'!#REF!,"AAAAADzk7zE=")</f>
        <v>#REF!</v>
      </c>
      <c r="AY233" t="e">
        <f>AND('PROG FORMACIÓN TITULADA'!#REF!,"AAAAADzk7zI=")</f>
        <v>#REF!</v>
      </c>
      <c r="AZ233" t="e">
        <f>AND('PROG FORMACIÓN TITULADA'!#REF!,"AAAAADzk7zM=")</f>
        <v>#REF!</v>
      </c>
      <c r="BA233" t="e">
        <f>AND('PROG FORMACIÓN TITULADA'!#REF!,"AAAAADzk7zQ=")</f>
        <v>#REF!</v>
      </c>
      <c r="BB233" t="e">
        <f>AND('PROG FORMACIÓN TITULADA'!#REF!,"AAAAADzk7zU=")</f>
        <v>#REF!</v>
      </c>
      <c r="BC233" t="e">
        <f>IF('PROG FORMACIÓN TITULADA'!#REF!,"AAAAADzk7zY=",0)</f>
        <v>#REF!</v>
      </c>
      <c r="BD233" t="e">
        <f>AND('PROG FORMACIÓN TITULADA'!#REF!,"AAAAADzk7zc=")</f>
        <v>#REF!</v>
      </c>
      <c r="BE233" t="e">
        <f>AND('PROG FORMACIÓN TITULADA'!#REF!,"AAAAADzk7zg=")</f>
        <v>#REF!</v>
      </c>
      <c r="BF233" t="e">
        <f>AND('PROG FORMACIÓN TITULADA'!#REF!,"AAAAADzk7zk=")</f>
        <v>#REF!</v>
      </c>
      <c r="BG233" t="e">
        <f>AND('PROG FORMACIÓN TITULADA'!#REF!,"AAAAADzk7zo=")</f>
        <v>#REF!</v>
      </c>
      <c r="BH233" t="e">
        <f>AND('PROG FORMACIÓN TITULADA'!#REF!,"AAAAADzk7zs=")</f>
        <v>#REF!</v>
      </c>
      <c r="BI233" t="e">
        <f>AND('PROG FORMACIÓN TITULADA'!#REF!,"AAAAADzk7zw=")</f>
        <v>#REF!</v>
      </c>
      <c r="BJ233" t="e">
        <f>AND('PROG FORMACIÓN TITULADA'!#REF!,"AAAAADzk7z0=")</f>
        <v>#REF!</v>
      </c>
      <c r="BK233" t="e">
        <f>AND('PROG FORMACIÓN TITULADA'!#REF!,"AAAAADzk7z4=")</f>
        <v>#REF!</v>
      </c>
      <c r="BL233" t="e">
        <f>AND('PROG FORMACIÓN TITULADA'!#REF!,"AAAAADzk7z8=")</f>
        <v>#REF!</v>
      </c>
      <c r="BM233" t="e">
        <f>AND('PROG FORMACIÓN TITULADA'!#REF!,"AAAAADzk70A=")</f>
        <v>#REF!</v>
      </c>
      <c r="BN233" t="e">
        <f>AND('PROG FORMACIÓN TITULADA'!#REF!,"AAAAADzk70E=")</f>
        <v>#REF!</v>
      </c>
      <c r="BO233" t="e">
        <f>AND('PROG FORMACIÓN TITULADA'!#REF!,"AAAAADzk70I=")</f>
        <v>#REF!</v>
      </c>
      <c r="BP233" t="e">
        <f>AND('PROG FORMACIÓN TITULADA'!#REF!,"AAAAADzk70M=")</f>
        <v>#REF!</v>
      </c>
      <c r="BQ233" t="e">
        <f>AND('PROG FORMACIÓN TITULADA'!#REF!,"AAAAADzk70Q=")</f>
        <v>#REF!</v>
      </c>
      <c r="BR233" t="e">
        <f>AND('PROG FORMACIÓN TITULADA'!#REF!,"AAAAADzk70U=")</f>
        <v>#REF!</v>
      </c>
      <c r="BS233" t="e">
        <f>AND('PROG FORMACIÓN TITULADA'!#REF!,"AAAAADzk70Y=")</f>
        <v>#REF!</v>
      </c>
      <c r="BT233" t="e">
        <f>AND('PROG FORMACIÓN TITULADA'!#REF!,"AAAAADzk70c=")</f>
        <v>#REF!</v>
      </c>
      <c r="BU233" t="e">
        <f>AND('PROG FORMACIÓN TITULADA'!#REF!,"AAAAADzk70g=")</f>
        <v>#REF!</v>
      </c>
      <c r="BV233" t="e">
        <f>AND('PROG FORMACIÓN TITULADA'!#REF!,"AAAAADzk70k=")</f>
        <v>#REF!</v>
      </c>
      <c r="BW233" t="e">
        <f>AND('PROG FORMACIÓN TITULADA'!#REF!,"AAAAADzk70o=")</f>
        <v>#REF!</v>
      </c>
      <c r="BX233" t="e">
        <f>AND('PROG FORMACIÓN TITULADA'!#REF!,"AAAAADzk70s=")</f>
        <v>#REF!</v>
      </c>
      <c r="BY233" t="e">
        <f>AND('PROG FORMACIÓN TITULADA'!#REF!,"AAAAADzk70w=")</f>
        <v>#REF!</v>
      </c>
      <c r="BZ233" t="e">
        <f>AND('PROG FORMACIÓN TITULADA'!#REF!,"AAAAADzk700=")</f>
        <v>#REF!</v>
      </c>
      <c r="CA233" t="e">
        <f>AND('PROG FORMACIÓN TITULADA'!#REF!,"AAAAADzk704=")</f>
        <v>#REF!</v>
      </c>
      <c r="CB233" t="e">
        <f>AND('PROG FORMACIÓN TITULADA'!#REF!,"AAAAADzk708=")</f>
        <v>#REF!</v>
      </c>
      <c r="CC233" t="e">
        <f>AND('PROG FORMACIÓN TITULADA'!#REF!,"AAAAADzk71A=")</f>
        <v>#REF!</v>
      </c>
      <c r="CD233" t="e">
        <f>IF('PROG FORMACIÓN TITULADA'!#REF!,"AAAAADzk71E=",0)</f>
        <v>#REF!</v>
      </c>
      <c r="CE233" t="e">
        <f>AND('PROG FORMACIÓN TITULADA'!#REF!,"AAAAADzk71I=")</f>
        <v>#REF!</v>
      </c>
      <c r="CF233" t="e">
        <f>AND('PROG FORMACIÓN TITULADA'!#REF!,"AAAAADzk71M=")</f>
        <v>#REF!</v>
      </c>
      <c r="CG233" t="e">
        <f>AND('PROG FORMACIÓN TITULADA'!#REF!,"AAAAADzk71Q=")</f>
        <v>#REF!</v>
      </c>
      <c r="CH233" t="e">
        <f>AND('PROG FORMACIÓN TITULADA'!#REF!,"AAAAADzk71U=")</f>
        <v>#REF!</v>
      </c>
      <c r="CI233" t="e">
        <f>AND('PROG FORMACIÓN TITULADA'!#REF!,"AAAAADzk71Y=")</f>
        <v>#REF!</v>
      </c>
      <c r="CJ233" t="e">
        <f>AND('PROG FORMACIÓN TITULADA'!#REF!,"AAAAADzk71c=")</f>
        <v>#REF!</v>
      </c>
      <c r="CK233" t="e">
        <f>AND('PROG FORMACIÓN TITULADA'!#REF!,"AAAAADzk71g=")</f>
        <v>#REF!</v>
      </c>
      <c r="CL233" t="e">
        <f>AND('PROG FORMACIÓN TITULADA'!#REF!,"AAAAADzk71k=")</f>
        <v>#REF!</v>
      </c>
      <c r="CM233" t="e">
        <f>AND('PROG FORMACIÓN TITULADA'!#REF!,"AAAAADzk71o=")</f>
        <v>#REF!</v>
      </c>
      <c r="CN233" t="e">
        <f>AND('PROG FORMACIÓN TITULADA'!#REF!,"AAAAADzk71s=")</f>
        <v>#REF!</v>
      </c>
      <c r="CO233" t="e">
        <f>AND('PROG FORMACIÓN TITULADA'!#REF!,"AAAAADzk71w=")</f>
        <v>#REF!</v>
      </c>
      <c r="CP233" t="e">
        <f>AND('PROG FORMACIÓN TITULADA'!#REF!,"AAAAADzk710=")</f>
        <v>#REF!</v>
      </c>
      <c r="CQ233" t="e">
        <f>AND('PROG FORMACIÓN TITULADA'!#REF!,"AAAAADzk714=")</f>
        <v>#REF!</v>
      </c>
      <c r="CR233" t="e">
        <f>AND('PROG FORMACIÓN TITULADA'!#REF!,"AAAAADzk718=")</f>
        <v>#REF!</v>
      </c>
      <c r="CS233" t="e">
        <f>AND('PROG FORMACIÓN TITULADA'!#REF!,"AAAAADzk72A=")</f>
        <v>#REF!</v>
      </c>
      <c r="CT233" t="e">
        <f>AND('PROG FORMACIÓN TITULADA'!#REF!,"AAAAADzk72E=")</f>
        <v>#REF!</v>
      </c>
      <c r="CU233" t="e">
        <f>AND('PROG FORMACIÓN TITULADA'!#REF!,"AAAAADzk72I=")</f>
        <v>#REF!</v>
      </c>
      <c r="CV233" t="e">
        <f>AND('PROG FORMACIÓN TITULADA'!#REF!,"AAAAADzk72M=")</f>
        <v>#REF!</v>
      </c>
      <c r="CW233" t="e">
        <f>AND('PROG FORMACIÓN TITULADA'!#REF!,"AAAAADzk72Q=")</f>
        <v>#REF!</v>
      </c>
      <c r="CX233" t="e">
        <f>AND('PROG FORMACIÓN TITULADA'!#REF!,"AAAAADzk72U=")</f>
        <v>#REF!</v>
      </c>
      <c r="CY233" t="e">
        <f>AND('PROG FORMACIÓN TITULADA'!#REF!,"AAAAADzk72Y=")</f>
        <v>#REF!</v>
      </c>
      <c r="CZ233" t="e">
        <f>AND('PROG FORMACIÓN TITULADA'!#REF!,"AAAAADzk72c=")</f>
        <v>#REF!</v>
      </c>
      <c r="DA233" t="e">
        <f>AND('PROG FORMACIÓN TITULADA'!#REF!,"AAAAADzk72g=")</f>
        <v>#REF!</v>
      </c>
      <c r="DB233" t="e">
        <f>AND('PROG FORMACIÓN TITULADA'!#REF!,"AAAAADzk72k=")</f>
        <v>#REF!</v>
      </c>
      <c r="DC233" t="e">
        <f>AND('PROG FORMACIÓN TITULADA'!#REF!,"AAAAADzk72o=")</f>
        <v>#REF!</v>
      </c>
      <c r="DD233" t="e">
        <f>AND('PROG FORMACIÓN TITULADA'!#REF!,"AAAAADzk72s=")</f>
        <v>#REF!</v>
      </c>
      <c r="DE233" t="e">
        <f>IF('PROG FORMACIÓN TITULADA'!#REF!,"AAAAADzk72w=",0)</f>
        <v>#REF!</v>
      </c>
      <c r="DF233" t="e">
        <f>AND('PROG FORMACIÓN TITULADA'!#REF!,"AAAAADzk720=")</f>
        <v>#REF!</v>
      </c>
      <c r="DG233" t="e">
        <f>AND('PROG FORMACIÓN TITULADA'!#REF!,"AAAAADzk724=")</f>
        <v>#REF!</v>
      </c>
      <c r="DH233" t="e">
        <f>AND('PROG FORMACIÓN TITULADA'!#REF!,"AAAAADzk728=")</f>
        <v>#REF!</v>
      </c>
      <c r="DI233" t="e">
        <f>AND('PROG FORMACIÓN TITULADA'!#REF!,"AAAAADzk73A=")</f>
        <v>#REF!</v>
      </c>
      <c r="DJ233" t="e">
        <f>AND('PROG FORMACIÓN TITULADA'!#REF!,"AAAAADzk73E=")</f>
        <v>#REF!</v>
      </c>
      <c r="DK233" t="e">
        <f>AND('PROG FORMACIÓN TITULADA'!#REF!,"AAAAADzk73I=")</f>
        <v>#REF!</v>
      </c>
      <c r="DL233" t="e">
        <f>AND('PROG FORMACIÓN TITULADA'!#REF!,"AAAAADzk73M=")</f>
        <v>#REF!</v>
      </c>
      <c r="DM233" t="e">
        <f>AND('PROG FORMACIÓN TITULADA'!#REF!,"AAAAADzk73Q=")</f>
        <v>#REF!</v>
      </c>
      <c r="DN233" t="e">
        <f>AND('PROG FORMACIÓN TITULADA'!#REF!,"AAAAADzk73U=")</f>
        <v>#REF!</v>
      </c>
      <c r="DO233" t="e">
        <f>AND('PROG FORMACIÓN TITULADA'!#REF!,"AAAAADzk73Y=")</f>
        <v>#REF!</v>
      </c>
      <c r="DP233" t="e">
        <f>AND('PROG FORMACIÓN TITULADA'!#REF!,"AAAAADzk73c=")</f>
        <v>#REF!</v>
      </c>
      <c r="DQ233" t="e">
        <f>AND('PROG FORMACIÓN TITULADA'!#REF!,"AAAAADzk73g=")</f>
        <v>#REF!</v>
      </c>
      <c r="DR233" t="e">
        <f>AND('PROG FORMACIÓN TITULADA'!#REF!,"AAAAADzk73k=")</f>
        <v>#REF!</v>
      </c>
      <c r="DS233" t="e">
        <f>AND('PROG FORMACIÓN TITULADA'!#REF!,"AAAAADzk73o=")</f>
        <v>#REF!</v>
      </c>
      <c r="DT233" t="e">
        <f>AND('PROG FORMACIÓN TITULADA'!#REF!,"AAAAADzk73s=")</f>
        <v>#REF!</v>
      </c>
      <c r="DU233" t="e">
        <f>AND('PROG FORMACIÓN TITULADA'!#REF!,"AAAAADzk73w=")</f>
        <v>#REF!</v>
      </c>
      <c r="DV233" t="e">
        <f>AND('PROG FORMACIÓN TITULADA'!#REF!,"AAAAADzk730=")</f>
        <v>#REF!</v>
      </c>
      <c r="DW233" t="e">
        <f>AND('PROG FORMACIÓN TITULADA'!#REF!,"AAAAADzk734=")</f>
        <v>#REF!</v>
      </c>
      <c r="DX233" t="e">
        <f>AND('PROG FORMACIÓN TITULADA'!#REF!,"AAAAADzk738=")</f>
        <v>#REF!</v>
      </c>
      <c r="DY233" t="e">
        <f>AND('PROG FORMACIÓN TITULADA'!#REF!,"AAAAADzk74A=")</f>
        <v>#REF!</v>
      </c>
      <c r="DZ233" t="e">
        <f>AND('PROG FORMACIÓN TITULADA'!#REF!,"AAAAADzk74E=")</f>
        <v>#REF!</v>
      </c>
      <c r="EA233" t="e">
        <f>AND('PROG FORMACIÓN TITULADA'!#REF!,"AAAAADzk74I=")</f>
        <v>#REF!</v>
      </c>
      <c r="EB233" t="e">
        <f>AND('PROG FORMACIÓN TITULADA'!#REF!,"AAAAADzk74M=")</f>
        <v>#REF!</v>
      </c>
      <c r="EC233" t="e">
        <f>AND('PROG FORMACIÓN TITULADA'!#REF!,"AAAAADzk74Q=")</f>
        <v>#REF!</v>
      </c>
      <c r="ED233" t="e">
        <f>AND('PROG FORMACIÓN TITULADA'!#REF!,"AAAAADzk74U=")</f>
        <v>#REF!</v>
      </c>
      <c r="EE233" t="e">
        <f>AND('PROG FORMACIÓN TITULADA'!#REF!,"AAAAADzk74Y=")</f>
        <v>#REF!</v>
      </c>
      <c r="EF233" t="e">
        <f>IF('PROG FORMACIÓN TITULADA'!#REF!,"AAAAADzk74c=",0)</f>
        <v>#REF!</v>
      </c>
      <c r="EG233" t="e">
        <f>AND('PROG FORMACIÓN TITULADA'!#REF!,"AAAAADzk74g=")</f>
        <v>#REF!</v>
      </c>
      <c r="EH233" t="e">
        <f>AND('PROG FORMACIÓN TITULADA'!#REF!,"AAAAADzk74k=")</f>
        <v>#REF!</v>
      </c>
      <c r="EI233" t="e">
        <f>AND('PROG FORMACIÓN TITULADA'!#REF!,"AAAAADzk74o=")</f>
        <v>#REF!</v>
      </c>
      <c r="EJ233" t="e">
        <f>AND('PROG FORMACIÓN TITULADA'!#REF!,"AAAAADzk74s=")</f>
        <v>#REF!</v>
      </c>
      <c r="EK233" t="e">
        <f>AND('PROG FORMACIÓN TITULADA'!#REF!,"AAAAADzk74w=")</f>
        <v>#REF!</v>
      </c>
      <c r="EL233" t="e">
        <f>AND('PROG FORMACIÓN TITULADA'!#REF!,"AAAAADzk740=")</f>
        <v>#REF!</v>
      </c>
      <c r="EM233" t="e">
        <f>AND('PROG FORMACIÓN TITULADA'!#REF!,"AAAAADzk744=")</f>
        <v>#REF!</v>
      </c>
      <c r="EN233" t="e">
        <f>AND('PROG FORMACIÓN TITULADA'!#REF!,"AAAAADzk748=")</f>
        <v>#REF!</v>
      </c>
      <c r="EO233" t="e">
        <f>AND('PROG FORMACIÓN TITULADA'!#REF!,"AAAAADzk75A=")</f>
        <v>#REF!</v>
      </c>
      <c r="EP233" t="e">
        <f>AND('PROG FORMACIÓN TITULADA'!#REF!,"AAAAADzk75E=")</f>
        <v>#REF!</v>
      </c>
      <c r="EQ233" t="e">
        <f>AND('PROG FORMACIÓN TITULADA'!#REF!,"AAAAADzk75I=")</f>
        <v>#REF!</v>
      </c>
      <c r="ER233" t="e">
        <f>AND('PROG FORMACIÓN TITULADA'!#REF!,"AAAAADzk75M=")</f>
        <v>#REF!</v>
      </c>
      <c r="ES233" t="e">
        <f>AND('PROG FORMACIÓN TITULADA'!#REF!,"AAAAADzk75Q=")</f>
        <v>#REF!</v>
      </c>
      <c r="ET233" t="e">
        <f>AND('PROG FORMACIÓN TITULADA'!#REF!,"AAAAADzk75U=")</f>
        <v>#REF!</v>
      </c>
      <c r="EU233" t="e">
        <f>AND('PROG FORMACIÓN TITULADA'!#REF!,"AAAAADzk75Y=")</f>
        <v>#REF!</v>
      </c>
      <c r="EV233" t="e">
        <f>AND('PROG FORMACIÓN TITULADA'!#REF!,"AAAAADzk75c=")</f>
        <v>#REF!</v>
      </c>
      <c r="EW233" t="e">
        <f>AND('PROG FORMACIÓN TITULADA'!#REF!,"AAAAADzk75g=")</f>
        <v>#REF!</v>
      </c>
      <c r="EX233" t="e">
        <f>AND('PROG FORMACIÓN TITULADA'!#REF!,"AAAAADzk75k=")</f>
        <v>#REF!</v>
      </c>
      <c r="EY233" t="e">
        <f>AND('PROG FORMACIÓN TITULADA'!#REF!,"AAAAADzk75o=")</f>
        <v>#REF!</v>
      </c>
      <c r="EZ233" t="e">
        <f>AND('PROG FORMACIÓN TITULADA'!#REF!,"AAAAADzk75s=")</f>
        <v>#REF!</v>
      </c>
      <c r="FA233" t="e">
        <f>AND('PROG FORMACIÓN TITULADA'!#REF!,"AAAAADzk75w=")</f>
        <v>#REF!</v>
      </c>
      <c r="FB233" t="e">
        <f>AND('PROG FORMACIÓN TITULADA'!#REF!,"AAAAADzk750=")</f>
        <v>#REF!</v>
      </c>
      <c r="FC233" t="e">
        <f>AND('PROG FORMACIÓN TITULADA'!#REF!,"AAAAADzk754=")</f>
        <v>#REF!</v>
      </c>
      <c r="FD233" t="e">
        <f>AND('PROG FORMACIÓN TITULADA'!#REF!,"AAAAADzk758=")</f>
        <v>#REF!</v>
      </c>
      <c r="FE233" t="e">
        <f>AND('PROG FORMACIÓN TITULADA'!#REF!,"AAAAADzk76A=")</f>
        <v>#REF!</v>
      </c>
      <c r="FF233" t="e">
        <f>AND('PROG FORMACIÓN TITULADA'!#REF!,"AAAAADzk76E=")</f>
        <v>#REF!</v>
      </c>
      <c r="FG233" t="e">
        <f>IF('PROG FORMACIÓN TITULADA'!#REF!,"AAAAADzk76I=",0)</f>
        <v>#REF!</v>
      </c>
      <c r="FH233" t="e">
        <f>AND('PROG FORMACIÓN TITULADA'!#REF!,"AAAAADzk76M=")</f>
        <v>#REF!</v>
      </c>
      <c r="FI233" t="e">
        <f>AND('PROG FORMACIÓN TITULADA'!#REF!,"AAAAADzk76Q=")</f>
        <v>#REF!</v>
      </c>
      <c r="FJ233" t="e">
        <f>AND('PROG FORMACIÓN TITULADA'!#REF!,"AAAAADzk76U=")</f>
        <v>#REF!</v>
      </c>
      <c r="FK233" t="e">
        <f>AND('PROG FORMACIÓN TITULADA'!#REF!,"AAAAADzk76Y=")</f>
        <v>#REF!</v>
      </c>
      <c r="FL233" t="e">
        <f>AND('PROG FORMACIÓN TITULADA'!#REF!,"AAAAADzk76c=")</f>
        <v>#REF!</v>
      </c>
      <c r="FM233" t="e">
        <f>AND('PROG FORMACIÓN TITULADA'!#REF!,"AAAAADzk76g=")</f>
        <v>#REF!</v>
      </c>
      <c r="FN233" t="e">
        <f>AND('PROG FORMACIÓN TITULADA'!#REF!,"AAAAADzk76k=")</f>
        <v>#REF!</v>
      </c>
      <c r="FO233" t="e">
        <f>AND('PROG FORMACIÓN TITULADA'!#REF!,"AAAAADzk76o=")</f>
        <v>#REF!</v>
      </c>
      <c r="FP233" t="e">
        <f>AND('PROG FORMACIÓN TITULADA'!#REF!,"AAAAADzk76s=")</f>
        <v>#REF!</v>
      </c>
      <c r="FQ233" t="e">
        <f>AND('PROG FORMACIÓN TITULADA'!#REF!,"AAAAADzk76w=")</f>
        <v>#REF!</v>
      </c>
      <c r="FR233" t="e">
        <f>AND('PROG FORMACIÓN TITULADA'!#REF!,"AAAAADzk760=")</f>
        <v>#REF!</v>
      </c>
      <c r="FS233" t="e">
        <f>AND('PROG FORMACIÓN TITULADA'!#REF!,"AAAAADzk764=")</f>
        <v>#REF!</v>
      </c>
      <c r="FT233" t="e">
        <f>AND('PROG FORMACIÓN TITULADA'!#REF!,"AAAAADzk768=")</f>
        <v>#REF!</v>
      </c>
      <c r="FU233" t="e">
        <f>AND('PROG FORMACIÓN TITULADA'!#REF!,"AAAAADzk77A=")</f>
        <v>#REF!</v>
      </c>
      <c r="FV233" t="e">
        <f>AND('PROG FORMACIÓN TITULADA'!#REF!,"AAAAADzk77E=")</f>
        <v>#REF!</v>
      </c>
      <c r="FW233" t="e">
        <f>AND('PROG FORMACIÓN TITULADA'!#REF!,"AAAAADzk77I=")</f>
        <v>#REF!</v>
      </c>
      <c r="FX233" t="e">
        <f>AND('PROG FORMACIÓN TITULADA'!#REF!,"AAAAADzk77M=")</f>
        <v>#REF!</v>
      </c>
      <c r="FY233" t="e">
        <f>AND('PROG FORMACIÓN TITULADA'!#REF!,"AAAAADzk77Q=")</f>
        <v>#REF!</v>
      </c>
      <c r="FZ233" t="e">
        <f>AND('PROG FORMACIÓN TITULADA'!#REF!,"AAAAADzk77U=")</f>
        <v>#REF!</v>
      </c>
      <c r="GA233" t="e">
        <f>AND('PROG FORMACIÓN TITULADA'!#REF!,"AAAAADzk77Y=")</f>
        <v>#REF!</v>
      </c>
      <c r="GB233" t="e">
        <f>AND('PROG FORMACIÓN TITULADA'!#REF!,"AAAAADzk77c=")</f>
        <v>#REF!</v>
      </c>
      <c r="GC233" t="e">
        <f>AND('PROG FORMACIÓN TITULADA'!#REF!,"AAAAADzk77g=")</f>
        <v>#REF!</v>
      </c>
      <c r="GD233" t="e">
        <f>AND('PROG FORMACIÓN TITULADA'!#REF!,"AAAAADzk77k=")</f>
        <v>#REF!</v>
      </c>
      <c r="GE233" t="e">
        <f>AND('PROG FORMACIÓN TITULADA'!#REF!,"AAAAADzk77o=")</f>
        <v>#REF!</v>
      </c>
      <c r="GF233" t="e">
        <f>AND('PROG FORMACIÓN TITULADA'!#REF!,"AAAAADzk77s=")</f>
        <v>#REF!</v>
      </c>
      <c r="GG233" t="e">
        <f>AND('PROG FORMACIÓN TITULADA'!#REF!,"AAAAADzk77w=")</f>
        <v>#REF!</v>
      </c>
      <c r="GH233" t="e">
        <f>IF('PROG FORMACIÓN TITULADA'!#REF!,"AAAAADzk770=",0)</f>
        <v>#REF!</v>
      </c>
      <c r="GI233" t="e">
        <f>AND('PROG FORMACIÓN TITULADA'!#REF!,"AAAAADzk774=")</f>
        <v>#REF!</v>
      </c>
      <c r="GJ233" t="e">
        <f>AND('PROG FORMACIÓN TITULADA'!#REF!,"AAAAADzk778=")</f>
        <v>#REF!</v>
      </c>
      <c r="GK233" t="e">
        <f>AND('PROG FORMACIÓN TITULADA'!#REF!,"AAAAADzk78A=")</f>
        <v>#REF!</v>
      </c>
      <c r="GL233" t="e">
        <f>AND('PROG FORMACIÓN TITULADA'!#REF!,"AAAAADzk78E=")</f>
        <v>#REF!</v>
      </c>
      <c r="GM233" t="e">
        <f>AND('PROG FORMACIÓN TITULADA'!#REF!,"AAAAADzk78I=")</f>
        <v>#REF!</v>
      </c>
      <c r="GN233" t="e">
        <f>AND('PROG FORMACIÓN TITULADA'!#REF!,"AAAAADzk78M=")</f>
        <v>#REF!</v>
      </c>
      <c r="GO233" t="e">
        <f>AND('PROG FORMACIÓN TITULADA'!#REF!,"AAAAADzk78Q=")</f>
        <v>#REF!</v>
      </c>
      <c r="GP233" t="e">
        <f>AND('PROG FORMACIÓN TITULADA'!#REF!,"AAAAADzk78U=")</f>
        <v>#REF!</v>
      </c>
      <c r="GQ233" t="e">
        <f>AND('PROG FORMACIÓN TITULADA'!#REF!,"AAAAADzk78Y=")</f>
        <v>#REF!</v>
      </c>
      <c r="GR233" t="e">
        <f>AND('PROG FORMACIÓN TITULADA'!#REF!,"AAAAADzk78c=")</f>
        <v>#REF!</v>
      </c>
      <c r="GS233" t="e">
        <f>AND('PROG FORMACIÓN TITULADA'!#REF!,"AAAAADzk78g=")</f>
        <v>#REF!</v>
      </c>
      <c r="GT233" t="e">
        <f>AND('PROG FORMACIÓN TITULADA'!#REF!,"AAAAADzk78k=")</f>
        <v>#REF!</v>
      </c>
      <c r="GU233" t="e">
        <f>AND('PROG FORMACIÓN TITULADA'!#REF!,"AAAAADzk78o=")</f>
        <v>#REF!</v>
      </c>
      <c r="GV233" t="e">
        <f>AND('PROG FORMACIÓN TITULADA'!#REF!,"AAAAADzk78s=")</f>
        <v>#REF!</v>
      </c>
      <c r="GW233" t="e">
        <f>AND('PROG FORMACIÓN TITULADA'!#REF!,"AAAAADzk78w=")</f>
        <v>#REF!</v>
      </c>
      <c r="GX233" t="e">
        <f>AND('PROG FORMACIÓN TITULADA'!#REF!,"AAAAADzk780=")</f>
        <v>#REF!</v>
      </c>
      <c r="GY233" t="e">
        <f>AND('PROG FORMACIÓN TITULADA'!#REF!,"AAAAADzk784=")</f>
        <v>#REF!</v>
      </c>
      <c r="GZ233" t="e">
        <f>AND('PROG FORMACIÓN TITULADA'!#REF!,"AAAAADzk788=")</f>
        <v>#REF!</v>
      </c>
      <c r="HA233" t="e">
        <f>AND('PROG FORMACIÓN TITULADA'!#REF!,"AAAAADzk79A=")</f>
        <v>#REF!</v>
      </c>
      <c r="HB233" t="e">
        <f>AND('PROG FORMACIÓN TITULADA'!#REF!,"AAAAADzk79E=")</f>
        <v>#REF!</v>
      </c>
      <c r="HC233" t="e">
        <f>AND('PROG FORMACIÓN TITULADA'!#REF!,"AAAAADzk79I=")</f>
        <v>#REF!</v>
      </c>
      <c r="HD233" t="e">
        <f>AND('PROG FORMACIÓN TITULADA'!#REF!,"AAAAADzk79M=")</f>
        <v>#REF!</v>
      </c>
      <c r="HE233" t="e">
        <f>AND('PROG FORMACIÓN TITULADA'!#REF!,"AAAAADzk79Q=")</f>
        <v>#REF!</v>
      </c>
      <c r="HF233" t="e">
        <f>AND('PROG FORMACIÓN TITULADA'!#REF!,"AAAAADzk79U=")</f>
        <v>#REF!</v>
      </c>
      <c r="HG233" t="e">
        <f>AND('PROG FORMACIÓN TITULADA'!#REF!,"AAAAADzk79Y=")</f>
        <v>#REF!</v>
      </c>
      <c r="HH233" t="e">
        <f>AND('PROG FORMACIÓN TITULADA'!#REF!,"AAAAADzk79c=")</f>
        <v>#REF!</v>
      </c>
      <c r="HI233" t="e">
        <f>IF('PROG FORMACIÓN TITULADA'!#REF!,"AAAAADzk79g=",0)</f>
        <v>#REF!</v>
      </c>
      <c r="HJ233" t="e">
        <f>AND('PROG FORMACIÓN TITULADA'!#REF!,"AAAAADzk79k=")</f>
        <v>#REF!</v>
      </c>
      <c r="HK233" t="e">
        <f>AND('PROG FORMACIÓN TITULADA'!#REF!,"AAAAADzk79o=")</f>
        <v>#REF!</v>
      </c>
      <c r="HL233" t="e">
        <f>AND('PROG FORMACIÓN TITULADA'!#REF!,"AAAAADzk79s=")</f>
        <v>#REF!</v>
      </c>
      <c r="HM233" t="e">
        <f>AND('PROG FORMACIÓN TITULADA'!#REF!,"AAAAADzk79w=")</f>
        <v>#REF!</v>
      </c>
      <c r="HN233" t="e">
        <f>AND('PROG FORMACIÓN TITULADA'!#REF!,"AAAAADzk790=")</f>
        <v>#REF!</v>
      </c>
      <c r="HO233" t="e">
        <f>AND('PROG FORMACIÓN TITULADA'!#REF!,"AAAAADzk794=")</f>
        <v>#REF!</v>
      </c>
      <c r="HP233" t="e">
        <f>AND('PROG FORMACIÓN TITULADA'!#REF!,"AAAAADzk798=")</f>
        <v>#REF!</v>
      </c>
      <c r="HQ233" t="e">
        <f>AND('PROG FORMACIÓN TITULADA'!#REF!,"AAAAADzk7+A=")</f>
        <v>#REF!</v>
      </c>
      <c r="HR233" t="e">
        <f>AND('PROG FORMACIÓN TITULADA'!#REF!,"AAAAADzk7+E=")</f>
        <v>#REF!</v>
      </c>
      <c r="HS233" t="e">
        <f>AND('PROG FORMACIÓN TITULADA'!#REF!,"AAAAADzk7+I=")</f>
        <v>#REF!</v>
      </c>
      <c r="HT233" t="e">
        <f>AND('PROG FORMACIÓN TITULADA'!#REF!,"AAAAADzk7+M=")</f>
        <v>#REF!</v>
      </c>
      <c r="HU233" t="e">
        <f>AND('PROG FORMACIÓN TITULADA'!#REF!,"AAAAADzk7+Q=")</f>
        <v>#REF!</v>
      </c>
      <c r="HV233" t="e">
        <f>AND('PROG FORMACIÓN TITULADA'!#REF!,"AAAAADzk7+U=")</f>
        <v>#REF!</v>
      </c>
      <c r="HW233" t="e">
        <f>AND('PROG FORMACIÓN TITULADA'!#REF!,"AAAAADzk7+Y=")</f>
        <v>#REF!</v>
      </c>
      <c r="HX233" t="e">
        <f>AND('PROG FORMACIÓN TITULADA'!#REF!,"AAAAADzk7+c=")</f>
        <v>#REF!</v>
      </c>
      <c r="HY233" t="e">
        <f>AND('PROG FORMACIÓN TITULADA'!#REF!,"AAAAADzk7+g=")</f>
        <v>#REF!</v>
      </c>
      <c r="HZ233" t="e">
        <f>AND('PROG FORMACIÓN TITULADA'!#REF!,"AAAAADzk7+k=")</f>
        <v>#REF!</v>
      </c>
      <c r="IA233" t="e">
        <f>AND('PROG FORMACIÓN TITULADA'!#REF!,"AAAAADzk7+o=")</f>
        <v>#REF!</v>
      </c>
      <c r="IB233" t="e">
        <f>AND('PROG FORMACIÓN TITULADA'!#REF!,"AAAAADzk7+s=")</f>
        <v>#REF!</v>
      </c>
      <c r="IC233" t="e">
        <f>AND('PROG FORMACIÓN TITULADA'!#REF!,"AAAAADzk7+w=")</f>
        <v>#REF!</v>
      </c>
      <c r="ID233" t="e">
        <f>AND('PROG FORMACIÓN TITULADA'!#REF!,"AAAAADzk7+0=")</f>
        <v>#REF!</v>
      </c>
      <c r="IE233" t="e">
        <f>AND('PROG FORMACIÓN TITULADA'!#REF!,"AAAAADzk7+4=")</f>
        <v>#REF!</v>
      </c>
      <c r="IF233" t="e">
        <f>AND('PROG FORMACIÓN TITULADA'!#REF!,"AAAAADzk7+8=")</f>
        <v>#REF!</v>
      </c>
      <c r="IG233" t="e">
        <f>AND('PROG FORMACIÓN TITULADA'!#REF!,"AAAAADzk7/A=")</f>
        <v>#REF!</v>
      </c>
      <c r="IH233" t="e">
        <f>AND('PROG FORMACIÓN TITULADA'!#REF!,"AAAAADzk7/E=")</f>
        <v>#REF!</v>
      </c>
      <c r="II233" t="e">
        <f>AND('PROG FORMACIÓN TITULADA'!#REF!,"AAAAADzk7/I=")</f>
        <v>#REF!</v>
      </c>
      <c r="IJ233" t="e">
        <f>IF('PROG FORMACIÓN TITULADA'!#REF!,"AAAAADzk7/M=",0)</f>
        <v>#REF!</v>
      </c>
      <c r="IK233" t="e">
        <f>AND('PROG FORMACIÓN TITULADA'!#REF!,"AAAAADzk7/Q=")</f>
        <v>#REF!</v>
      </c>
      <c r="IL233" t="e">
        <f>AND('PROG FORMACIÓN TITULADA'!#REF!,"AAAAADzk7/U=")</f>
        <v>#REF!</v>
      </c>
      <c r="IM233" t="e">
        <f>AND('PROG FORMACIÓN TITULADA'!#REF!,"AAAAADzk7/Y=")</f>
        <v>#REF!</v>
      </c>
      <c r="IN233" t="e">
        <f>AND('PROG FORMACIÓN TITULADA'!#REF!,"AAAAADzk7/c=")</f>
        <v>#REF!</v>
      </c>
      <c r="IO233" t="e">
        <f>AND('PROG FORMACIÓN TITULADA'!#REF!,"AAAAADzk7/g=")</f>
        <v>#REF!</v>
      </c>
      <c r="IP233" t="e">
        <f>AND('PROG FORMACIÓN TITULADA'!#REF!,"AAAAADzk7/k=")</f>
        <v>#REF!</v>
      </c>
      <c r="IQ233" t="e">
        <f>AND('PROG FORMACIÓN TITULADA'!#REF!,"AAAAADzk7/o=")</f>
        <v>#REF!</v>
      </c>
      <c r="IR233" t="e">
        <f>AND('PROG FORMACIÓN TITULADA'!#REF!,"AAAAADzk7/s=")</f>
        <v>#REF!</v>
      </c>
      <c r="IS233" t="e">
        <f>AND('PROG FORMACIÓN TITULADA'!#REF!,"AAAAADzk7/w=")</f>
        <v>#REF!</v>
      </c>
      <c r="IT233" t="e">
        <f>AND('PROG FORMACIÓN TITULADA'!#REF!,"AAAAADzk7/0=")</f>
        <v>#REF!</v>
      </c>
      <c r="IU233" t="e">
        <f>AND('PROG FORMACIÓN TITULADA'!#REF!,"AAAAADzk7/4=")</f>
        <v>#REF!</v>
      </c>
      <c r="IV233" t="e">
        <f>AND('PROG FORMACIÓN TITULADA'!#REF!,"AAAAADzk7/8=")</f>
        <v>#REF!</v>
      </c>
    </row>
    <row r="234" spans="1:256" x14ac:dyDescent="0.2">
      <c r="A234" t="e">
        <f>AND('PROG FORMACIÓN TITULADA'!#REF!,"AAAAAHc/vwA=")</f>
        <v>#REF!</v>
      </c>
      <c r="B234" t="e">
        <f>AND('PROG FORMACIÓN TITULADA'!#REF!,"AAAAAHc/vwE=")</f>
        <v>#REF!</v>
      </c>
      <c r="C234" t="e">
        <f>AND('PROG FORMACIÓN TITULADA'!#REF!,"AAAAAHc/vwI=")</f>
        <v>#REF!</v>
      </c>
      <c r="D234" t="e">
        <f>AND('PROG FORMACIÓN TITULADA'!#REF!,"AAAAAHc/vwM=")</f>
        <v>#REF!</v>
      </c>
      <c r="E234" t="e">
        <f>AND('PROG FORMACIÓN TITULADA'!#REF!,"AAAAAHc/vwQ=")</f>
        <v>#REF!</v>
      </c>
      <c r="F234" t="e">
        <f>AND('PROG FORMACIÓN TITULADA'!#REF!,"AAAAAHc/vwU=")</f>
        <v>#REF!</v>
      </c>
      <c r="G234" t="e">
        <f>AND('PROG FORMACIÓN TITULADA'!#REF!,"AAAAAHc/vwY=")</f>
        <v>#REF!</v>
      </c>
      <c r="H234" t="e">
        <f>AND('PROG FORMACIÓN TITULADA'!#REF!,"AAAAAHc/vwc=")</f>
        <v>#REF!</v>
      </c>
      <c r="I234" t="e">
        <f>AND('PROG FORMACIÓN TITULADA'!#REF!,"AAAAAHc/vwg=")</f>
        <v>#REF!</v>
      </c>
      <c r="J234" t="e">
        <f>AND('PROG FORMACIÓN TITULADA'!#REF!,"AAAAAHc/vwk=")</f>
        <v>#REF!</v>
      </c>
      <c r="K234" t="e">
        <f>AND('PROG FORMACIÓN TITULADA'!#REF!,"AAAAAHc/vwo=")</f>
        <v>#REF!</v>
      </c>
      <c r="L234" t="e">
        <f>AND('PROG FORMACIÓN TITULADA'!#REF!,"AAAAAHc/vws=")</f>
        <v>#REF!</v>
      </c>
      <c r="M234" t="e">
        <f>AND('PROG FORMACIÓN TITULADA'!#REF!,"AAAAAHc/vww=")</f>
        <v>#REF!</v>
      </c>
      <c r="N234" t="e">
        <f>AND('PROG FORMACIÓN TITULADA'!#REF!,"AAAAAHc/vw0=")</f>
        <v>#REF!</v>
      </c>
      <c r="O234" t="e">
        <f>IF('PROG FORMACIÓN TITULADA'!#REF!,"AAAAAHc/vw4=",0)</f>
        <v>#REF!</v>
      </c>
      <c r="P234" t="e">
        <f>AND('PROG FORMACIÓN TITULADA'!#REF!,"AAAAAHc/vw8=")</f>
        <v>#REF!</v>
      </c>
      <c r="Q234" t="e">
        <f>AND('PROG FORMACIÓN TITULADA'!#REF!,"AAAAAHc/vxA=")</f>
        <v>#REF!</v>
      </c>
      <c r="R234" t="e">
        <f>AND('PROG FORMACIÓN TITULADA'!#REF!,"AAAAAHc/vxE=")</f>
        <v>#REF!</v>
      </c>
      <c r="S234" t="e">
        <f>AND('PROG FORMACIÓN TITULADA'!#REF!,"AAAAAHc/vxI=")</f>
        <v>#REF!</v>
      </c>
      <c r="T234" t="e">
        <f>AND('PROG FORMACIÓN TITULADA'!#REF!,"AAAAAHc/vxM=")</f>
        <v>#REF!</v>
      </c>
      <c r="U234" t="e">
        <f>AND('PROG FORMACIÓN TITULADA'!#REF!,"AAAAAHc/vxQ=")</f>
        <v>#REF!</v>
      </c>
      <c r="V234" t="e">
        <f>AND('PROG FORMACIÓN TITULADA'!#REF!,"AAAAAHc/vxU=")</f>
        <v>#REF!</v>
      </c>
      <c r="W234" t="e">
        <f>AND('PROG FORMACIÓN TITULADA'!#REF!,"AAAAAHc/vxY=")</f>
        <v>#REF!</v>
      </c>
      <c r="X234" t="e">
        <f>AND('PROG FORMACIÓN TITULADA'!#REF!,"AAAAAHc/vxc=")</f>
        <v>#REF!</v>
      </c>
      <c r="Y234" t="e">
        <f>AND('PROG FORMACIÓN TITULADA'!#REF!,"AAAAAHc/vxg=")</f>
        <v>#REF!</v>
      </c>
      <c r="Z234" t="e">
        <f>AND('PROG FORMACIÓN TITULADA'!#REF!,"AAAAAHc/vxk=")</f>
        <v>#REF!</v>
      </c>
      <c r="AA234" t="e">
        <f>AND('PROG FORMACIÓN TITULADA'!#REF!,"AAAAAHc/vxo=")</f>
        <v>#REF!</v>
      </c>
      <c r="AB234" t="e">
        <f>AND('PROG FORMACIÓN TITULADA'!#REF!,"AAAAAHc/vxs=")</f>
        <v>#REF!</v>
      </c>
      <c r="AC234" t="e">
        <f>AND('PROG FORMACIÓN TITULADA'!#REF!,"AAAAAHc/vxw=")</f>
        <v>#REF!</v>
      </c>
      <c r="AD234" t="e">
        <f>AND('PROG FORMACIÓN TITULADA'!#REF!,"AAAAAHc/vx0=")</f>
        <v>#REF!</v>
      </c>
      <c r="AE234" t="e">
        <f>AND('PROG FORMACIÓN TITULADA'!#REF!,"AAAAAHc/vx4=")</f>
        <v>#REF!</v>
      </c>
      <c r="AF234" t="e">
        <f>AND('PROG FORMACIÓN TITULADA'!#REF!,"AAAAAHc/vx8=")</f>
        <v>#REF!</v>
      </c>
      <c r="AG234" t="e">
        <f>AND('PROG FORMACIÓN TITULADA'!#REF!,"AAAAAHc/vyA=")</f>
        <v>#REF!</v>
      </c>
      <c r="AH234" t="e">
        <f>AND('PROG FORMACIÓN TITULADA'!#REF!,"AAAAAHc/vyE=")</f>
        <v>#REF!</v>
      </c>
      <c r="AI234" t="e">
        <f>AND('PROG FORMACIÓN TITULADA'!#REF!,"AAAAAHc/vyI=")</f>
        <v>#REF!</v>
      </c>
      <c r="AJ234" t="e">
        <f>AND('PROG FORMACIÓN TITULADA'!#REF!,"AAAAAHc/vyM=")</f>
        <v>#REF!</v>
      </c>
      <c r="AK234" t="e">
        <f>AND('PROG FORMACIÓN TITULADA'!#REF!,"AAAAAHc/vyQ=")</f>
        <v>#REF!</v>
      </c>
      <c r="AL234" t="e">
        <f>AND('PROG FORMACIÓN TITULADA'!#REF!,"AAAAAHc/vyU=")</f>
        <v>#REF!</v>
      </c>
      <c r="AM234" t="e">
        <f>AND('PROG FORMACIÓN TITULADA'!#REF!,"AAAAAHc/vyY=")</f>
        <v>#REF!</v>
      </c>
      <c r="AN234" t="e">
        <f>AND('PROG FORMACIÓN TITULADA'!#REF!,"AAAAAHc/vyc=")</f>
        <v>#REF!</v>
      </c>
      <c r="AO234" t="e">
        <f>AND('PROG FORMACIÓN TITULADA'!#REF!,"AAAAAHc/vyg=")</f>
        <v>#REF!</v>
      </c>
      <c r="AP234" t="e">
        <f>IF('PROG FORMACIÓN TITULADA'!#REF!,"AAAAAHc/vyk=",0)</f>
        <v>#REF!</v>
      </c>
      <c r="AQ234" t="e">
        <f>AND('PROG FORMACIÓN TITULADA'!#REF!,"AAAAAHc/vyo=")</f>
        <v>#REF!</v>
      </c>
      <c r="AR234" t="e">
        <f>AND('PROG FORMACIÓN TITULADA'!#REF!,"AAAAAHc/vys=")</f>
        <v>#REF!</v>
      </c>
      <c r="AS234" t="e">
        <f>AND('PROG FORMACIÓN TITULADA'!#REF!,"AAAAAHc/vyw=")</f>
        <v>#REF!</v>
      </c>
      <c r="AT234" t="e">
        <f>AND('PROG FORMACIÓN TITULADA'!#REF!,"AAAAAHc/vy0=")</f>
        <v>#REF!</v>
      </c>
      <c r="AU234" t="e">
        <f>AND('PROG FORMACIÓN TITULADA'!#REF!,"AAAAAHc/vy4=")</f>
        <v>#REF!</v>
      </c>
      <c r="AV234" t="e">
        <f>AND('PROG FORMACIÓN TITULADA'!#REF!,"AAAAAHc/vy8=")</f>
        <v>#REF!</v>
      </c>
      <c r="AW234" t="e">
        <f>AND('PROG FORMACIÓN TITULADA'!#REF!,"AAAAAHc/vzA=")</f>
        <v>#REF!</v>
      </c>
      <c r="AX234" t="e">
        <f>AND('PROG FORMACIÓN TITULADA'!#REF!,"AAAAAHc/vzE=")</f>
        <v>#REF!</v>
      </c>
      <c r="AY234" t="e">
        <f>AND('PROG FORMACIÓN TITULADA'!#REF!,"AAAAAHc/vzI=")</f>
        <v>#REF!</v>
      </c>
      <c r="AZ234" t="e">
        <f>AND('PROG FORMACIÓN TITULADA'!#REF!,"AAAAAHc/vzM=")</f>
        <v>#REF!</v>
      </c>
      <c r="BA234" t="e">
        <f>AND('PROG FORMACIÓN TITULADA'!#REF!,"AAAAAHc/vzQ=")</f>
        <v>#REF!</v>
      </c>
      <c r="BB234" t="e">
        <f>AND('PROG FORMACIÓN TITULADA'!#REF!,"AAAAAHc/vzU=")</f>
        <v>#REF!</v>
      </c>
      <c r="BC234" t="e">
        <f>AND('PROG FORMACIÓN TITULADA'!#REF!,"AAAAAHc/vzY=")</f>
        <v>#REF!</v>
      </c>
      <c r="BD234" t="e">
        <f>AND('PROG FORMACIÓN TITULADA'!#REF!,"AAAAAHc/vzc=")</f>
        <v>#REF!</v>
      </c>
      <c r="BE234" t="e">
        <f>AND('PROG FORMACIÓN TITULADA'!#REF!,"AAAAAHc/vzg=")</f>
        <v>#REF!</v>
      </c>
      <c r="BF234" t="e">
        <f>AND('PROG FORMACIÓN TITULADA'!#REF!,"AAAAAHc/vzk=")</f>
        <v>#REF!</v>
      </c>
      <c r="BG234" t="e">
        <f>AND('PROG FORMACIÓN TITULADA'!#REF!,"AAAAAHc/vzo=")</f>
        <v>#REF!</v>
      </c>
      <c r="BH234" t="e">
        <f>AND('PROG FORMACIÓN TITULADA'!#REF!,"AAAAAHc/vzs=")</f>
        <v>#REF!</v>
      </c>
      <c r="BI234" t="e">
        <f>AND('PROG FORMACIÓN TITULADA'!#REF!,"AAAAAHc/vzw=")</f>
        <v>#REF!</v>
      </c>
      <c r="BJ234" t="e">
        <f>AND('PROG FORMACIÓN TITULADA'!#REF!,"AAAAAHc/vz0=")</f>
        <v>#REF!</v>
      </c>
      <c r="BK234" t="e">
        <f>AND('PROG FORMACIÓN TITULADA'!#REF!,"AAAAAHc/vz4=")</f>
        <v>#REF!</v>
      </c>
      <c r="BL234" t="e">
        <f>AND('PROG FORMACIÓN TITULADA'!#REF!,"AAAAAHc/vz8=")</f>
        <v>#REF!</v>
      </c>
      <c r="BM234" t="e">
        <f>AND('PROG FORMACIÓN TITULADA'!#REF!,"AAAAAHc/v0A=")</f>
        <v>#REF!</v>
      </c>
      <c r="BN234" t="e">
        <f>AND('PROG FORMACIÓN TITULADA'!#REF!,"AAAAAHc/v0E=")</f>
        <v>#REF!</v>
      </c>
      <c r="BO234" t="e">
        <f>AND('PROG FORMACIÓN TITULADA'!#REF!,"AAAAAHc/v0I=")</f>
        <v>#REF!</v>
      </c>
      <c r="BP234" t="e">
        <f>AND('PROG FORMACIÓN TITULADA'!#REF!,"AAAAAHc/v0M=")</f>
        <v>#REF!</v>
      </c>
      <c r="BQ234" t="e">
        <f>IF('PROG FORMACIÓN TITULADA'!#REF!,"AAAAAHc/v0Q=",0)</f>
        <v>#REF!</v>
      </c>
      <c r="BR234" t="e">
        <f>AND('PROG FORMACIÓN TITULADA'!#REF!,"AAAAAHc/v0U=")</f>
        <v>#REF!</v>
      </c>
      <c r="BS234" t="e">
        <f>AND('PROG FORMACIÓN TITULADA'!#REF!,"AAAAAHc/v0Y=")</f>
        <v>#REF!</v>
      </c>
      <c r="BT234" t="e">
        <f>AND('PROG FORMACIÓN TITULADA'!#REF!,"AAAAAHc/v0c=")</f>
        <v>#REF!</v>
      </c>
      <c r="BU234" t="e">
        <f>AND('PROG FORMACIÓN TITULADA'!#REF!,"AAAAAHc/v0g=")</f>
        <v>#REF!</v>
      </c>
      <c r="BV234" t="e">
        <f>AND('PROG FORMACIÓN TITULADA'!#REF!,"AAAAAHc/v0k=")</f>
        <v>#REF!</v>
      </c>
      <c r="BW234" t="e">
        <f>AND('PROG FORMACIÓN TITULADA'!#REF!,"AAAAAHc/v0o=")</f>
        <v>#REF!</v>
      </c>
      <c r="BX234" t="e">
        <f>AND('PROG FORMACIÓN TITULADA'!#REF!,"AAAAAHc/v0s=")</f>
        <v>#REF!</v>
      </c>
      <c r="BY234" t="e">
        <f>AND('PROG FORMACIÓN TITULADA'!#REF!,"AAAAAHc/v0w=")</f>
        <v>#REF!</v>
      </c>
      <c r="BZ234" t="e">
        <f>AND('PROG FORMACIÓN TITULADA'!#REF!,"AAAAAHc/v00=")</f>
        <v>#REF!</v>
      </c>
      <c r="CA234" t="e">
        <f>AND('PROG FORMACIÓN TITULADA'!#REF!,"AAAAAHc/v04=")</f>
        <v>#REF!</v>
      </c>
      <c r="CB234" t="e">
        <f>AND('PROG FORMACIÓN TITULADA'!#REF!,"AAAAAHc/v08=")</f>
        <v>#REF!</v>
      </c>
      <c r="CC234" t="e">
        <f>AND('PROG FORMACIÓN TITULADA'!#REF!,"AAAAAHc/v1A=")</f>
        <v>#REF!</v>
      </c>
      <c r="CD234" t="e">
        <f>AND('PROG FORMACIÓN TITULADA'!#REF!,"AAAAAHc/v1E=")</f>
        <v>#REF!</v>
      </c>
      <c r="CE234" t="e">
        <f>AND('PROG FORMACIÓN TITULADA'!#REF!,"AAAAAHc/v1I=")</f>
        <v>#REF!</v>
      </c>
      <c r="CF234" t="e">
        <f>AND('PROG FORMACIÓN TITULADA'!#REF!,"AAAAAHc/v1M=")</f>
        <v>#REF!</v>
      </c>
      <c r="CG234" t="e">
        <f>AND('PROG FORMACIÓN TITULADA'!#REF!,"AAAAAHc/v1Q=")</f>
        <v>#REF!</v>
      </c>
      <c r="CH234" t="e">
        <f>AND('PROG FORMACIÓN TITULADA'!#REF!,"AAAAAHc/v1U=")</f>
        <v>#REF!</v>
      </c>
      <c r="CI234" t="e">
        <f>AND('PROG FORMACIÓN TITULADA'!#REF!,"AAAAAHc/v1Y=")</f>
        <v>#REF!</v>
      </c>
      <c r="CJ234" t="e">
        <f>AND('PROG FORMACIÓN TITULADA'!#REF!,"AAAAAHc/v1c=")</f>
        <v>#REF!</v>
      </c>
      <c r="CK234" t="e">
        <f>AND('PROG FORMACIÓN TITULADA'!#REF!,"AAAAAHc/v1g=")</f>
        <v>#REF!</v>
      </c>
      <c r="CL234" t="e">
        <f>AND('PROG FORMACIÓN TITULADA'!#REF!,"AAAAAHc/v1k=")</f>
        <v>#REF!</v>
      </c>
      <c r="CM234" t="e">
        <f>AND('PROG FORMACIÓN TITULADA'!#REF!,"AAAAAHc/v1o=")</f>
        <v>#REF!</v>
      </c>
      <c r="CN234" t="e">
        <f>AND('PROG FORMACIÓN TITULADA'!#REF!,"AAAAAHc/v1s=")</f>
        <v>#REF!</v>
      </c>
      <c r="CO234" t="e">
        <f>AND('PROG FORMACIÓN TITULADA'!#REF!,"AAAAAHc/v1w=")</f>
        <v>#REF!</v>
      </c>
      <c r="CP234" t="e">
        <f>AND('PROG FORMACIÓN TITULADA'!#REF!,"AAAAAHc/v10=")</f>
        <v>#REF!</v>
      </c>
      <c r="CQ234" t="e">
        <f>AND('PROG FORMACIÓN TITULADA'!#REF!,"AAAAAHc/v14=")</f>
        <v>#REF!</v>
      </c>
      <c r="CR234" t="e">
        <f>IF('PROG FORMACIÓN TITULADA'!#REF!,"AAAAAHc/v18=",0)</f>
        <v>#REF!</v>
      </c>
      <c r="CS234" t="e">
        <f>AND('PROG FORMACIÓN TITULADA'!#REF!,"AAAAAHc/v2A=")</f>
        <v>#REF!</v>
      </c>
      <c r="CT234" t="e">
        <f>AND('PROG FORMACIÓN TITULADA'!#REF!,"AAAAAHc/v2E=")</f>
        <v>#REF!</v>
      </c>
      <c r="CU234" t="e">
        <f>AND('PROG FORMACIÓN TITULADA'!#REF!,"AAAAAHc/v2I=")</f>
        <v>#REF!</v>
      </c>
      <c r="CV234" t="e">
        <f>AND('PROG FORMACIÓN TITULADA'!#REF!,"AAAAAHc/v2M=")</f>
        <v>#REF!</v>
      </c>
      <c r="CW234" t="e">
        <f>AND('PROG FORMACIÓN TITULADA'!#REF!,"AAAAAHc/v2Q=")</f>
        <v>#REF!</v>
      </c>
      <c r="CX234" t="e">
        <f>AND('PROG FORMACIÓN TITULADA'!#REF!,"AAAAAHc/v2U=")</f>
        <v>#REF!</v>
      </c>
      <c r="CY234" t="e">
        <f>AND('PROG FORMACIÓN TITULADA'!#REF!,"AAAAAHc/v2Y=")</f>
        <v>#REF!</v>
      </c>
      <c r="CZ234" t="e">
        <f>AND('PROG FORMACIÓN TITULADA'!#REF!,"AAAAAHc/v2c=")</f>
        <v>#REF!</v>
      </c>
      <c r="DA234" t="e">
        <f>AND('PROG FORMACIÓN TITULADA'!#REF!,"AAAAAHc/v2g=")</f>
        <v>#REF!</v>
      </c>
      <c r="DB234" t="e">
        <f>AND('PROG FORMACIÓN TITULADA'!#REF!,"AAAAAHc/v2k=")</f>
        <v>#REF!</v>
      </c>
      <c r="DC234" t="e">
        <f>AND('PROG FORMACIÓN TITULADA'!#REF!,"AAAAAHc/v2o=")</f>
        <v>#REF!</v>
      </c>
      <c r="DD234" t="e">
        <f>AND('PROG FORMACIÓN TITULADA'!#REF!,"AAAAAHc/v2s=")</f>
        <v>#REF!</v>
      </c>
      <c r="DE234" t="e">
        <f>AND('PROG FORMACIÓN TITULADA'!#REF!,"AAAAAHc/v2w=")</f>
        <v>#REF!</v>
      </c>
      <c r="DF234" t="e">
        <f>AND('PROG FORMACIÓN TITULADA'!#REF!,"AAAAAHc/v20=")</f>
        <v>#REF!</v>
      </c>
      <c r="DG234" t="e">
        <f>AND('PROG FORMACIÓN TITULADA'!#REF!,"AAAAAHc/v24=")</f>
        <v>#REF!</v>
      </c>
      <c r="DH234" t="e">
        <f>AND('PROG FORMACIÓN TITULADA'!#REF!,"AAAAAHc/v28=")</f>
        <v>#REF!</v>
      </c>
      <c r="DI234" t="e">
        <f>AND('PROG FORMACIÓN TITULADA'!#REF!,"AAAAAHc/v3A=")</f>
        <v>#REF!</v>
      </c>
      <c r="DJ234" t="e">
        <f>AND('PROG FORMACIÓN TITULADA'!#REF!,"AAAAAHc/v3E=")</f>
        <v>#REF!</v>
      </c>
      <c r="DK234" t="e">
        <f>AND('PROG FORMACIÓN TITULADA'!#REF!,"AAAAAHc/v3I=")</f>
        <v>#REF!</v>
      </c>
      <c r="DL234" t="e">
        <f>AND('PROG FORMACIÓN TITULADA'!#REF!,"AAAAAHc/v3M=")</f>
        <v>#REF!</v>
      </c>
      <c r="DM234" t="e">
        <f>AND('PROG FORMACIÓN TITULADA'!#REF!,"AAAAAHc/v3Q=")</f>
        <v>#REF!</v>
      </c>
      <c r="DN234" t="e">
        <f>AND('PROG FORMACIÓN TITULADA'!#REF!,"AAAAAHc/v3U=")</f>
        <v>#REF!</v>
      </c>
      <c r="DO234" t="e">
        <f>AND('PROG FORMACIÓN TITULADA'!#REF!,"AAAAAHc/v3Y=")</f>
        <v>#REF!</v>
      </c>
      <c r="DP234" t="e">
        <f>AND('PROG FORMACIÓN TITULADA'!#REF!,"AAAAAHc/v3c=")</f>
        <v>#REF!</v>
      </c>
      <c r="DQ234" t="e">
        <f>AND('PROG FORMACIÓN TITULADA'!#REF!,"AAAAAHc/v3g=")</f>
        <v>#REF!</v>
      </c>
      <c r="DR234" t="e">
        <f>AND('PROG FORMACIÓN TITULADA'!#REF!,"AAAAAHc/v3k=")</f>
        <v>#REF!</v>
      </c>
      <c r="DS234" t="e">
        <f>IF('PROG FORMACIÓN TITULADA'!#REF!,"AAAAAHc/v3o=",0)</f>
        <v>#REF!</v>
      </c>
      <c r="DT234" t="e">
        <f>AND('PROG FORMACIÓN TITULADA'!#REF!,"AAAAAHc/v3s=")</f>
        <v>#REF!</v>
      </c>
      <c r="DU234" t="e">
        <f>AND('PROG FORMACIÓN TITULADA'!#REF!,"AAAAAHc/v3w=")</f>
        <v>#REF!</v>
      </c>
      <c r="DV234" t="e">
        <f>AND('PROG FORMACIÓN TITULADA'!#REF!,"AAAAAHc/v30=")</f>
        <v>#REF!</v>
      </c>
      <c r="DW234" t="e">
        <f>AND('PROG FORMACIÓN TITULADA'!#REF!,"AAAAAHc/v34=")</f>
        <v>#REF!</v>
      </c>
      <c r="DX234" t="e">
        <f>AND('PROG FORMACIÓN TITULADA'!#REF!,"AAAAAHc/v38=")</f>
        <v>#REF!</v>
      </c>
      <c r="DY234" t="e">
        <f>AND('PROG FORMACIÓN TITULADA'!#REF!,"AAAAAHc/v4A=")</f>
        <v>#REF!</v>
      </c>
      <c r="DZ234" t="e">
        <f>AND('PROG FORMACIÓN TITULADA'!#REF!,"AAAAAHc/v4E=")</f>
        <v>#REF!</v>
      </c>
      <c r="EA234" t="e">
        <f>AND('PROG FORMACIÓN TITULADA'!#REF!,"AAAAAHc/v4I=")</f>
        <v>#REF!</v>
      </c>
      <c r="EB234" t="e">
        <f>AND('PROG FORMACIÓN TITULADA'!#REF!,"AAAAAHc/v4M=")</f>
        <v>#REF!</v>
      </c>
      <c r="EC234" t="e">
        <f>AND('PROG FORMACIÓN TITULADA'!#REF!,"AAAAAHc/v4Q=")</f>
        <v>#REF!</v>
      </c>
      <c r="ED234" t="e">
        <f>AND('PROG FORMACIÓN TITULADA'!#REF!,"AAAAAHc/v4U=")</f>
        <v>#REF!</v>
      </c>
      <c r="EE234" t="e">
        <f>AND('PROG FORMACIÓN TITULADA'!#REF!,"AAAAAHc/v4Y=")</f>
        <v>#REF!</v>
      </c>
      <c r="EF234" t="e">
        <f>AND('PROG FORMACIÓN TITULADA'!#REF!,"AAAAAHc/v4c=")</f>
        <v>#REF!</v>
      </c>
      <c r="EG234" t="e">
        <f>AND('PROG FORMACIÓN TITULADA'!#REF!,"AAAAAHc/v4g=")</f>
        <v>#REF!</v>
      </c>
      <c r="EH234" t="e">
        <f>AND('PROG FORMACIÓN TITULADA'!#REF!,"AAAAAHc/v4k=")</f>
        <v>#REF!</v>
      </c>
      <c r="EI234" t="e">
        <f>AND('PROG FORMACIÓN TITULADA'!#REF!,"AAAAAHc/v4o=")</f>
        <v>#REF!</v>
      </c>
      <c r="EJ234" t="e">
        <f>AND('PROG FORMACIÓN TITULADA'!#REF!,"AAAAAHc/v4s=")</f>
        <v>#REF!</v>
      </c>
      <c r="EK234" t="e">
        <f>AND('PROG FORMACIÓN TITULADA'!#REF!,"AAAAAHc/v4w=")</f>
        <v>#REF!</v>
      </c>
      <c r="EL234" t="e">
        <f>AND('PROG FORMACIÓN TITULADA'!#REF!,"AAAAAHc/v40=")</f>
        <v>#REF!</v>
      </c>
      <c r="EM234" t="e">
        <f>AND('PROG FORMACIÓN TITULADA'!#REF!,"AAAAAHc/v44=")</f>
        <v>#REF!</v>
      </c>
      <c r="EN234" t="e">
        <f>AND('PROG FORMACIÓN TITULADA'!#REF!,"AAAAAHc/v48=")</f>
        <v>#REF!</v>
      </c>
      <c r="EO234" t="e">
        <f>AND('PROG FORMACIÓN TITULADA'!#REF!,"AAAAAHc/v5A=")</f>
        <v>#REF!</v>
      </c>
      <c r="EP234" t="e">
        <f>AND('PROG FORMACIÓN TITULADA'!#REF!,"AAAAAHc/v5E=")</f>
        <v>#REF!</v>
      </c>
      <c r="EQ234" t="e">
        <f>AND('PROG FORMACIÓN TITULADA'!#REF!,"AAAAAHc/v5I=")</f>
        <v>#REF!</v>
      </c>
      <c r="ER234" t="e">
        <f>AND('PROG FORMACIÓN TITULADA'!#REF!,"AAAAAHc/v5M=")</f>
        <v>#REF!</v>
      </c>
      <c r="ES234" t="e">
        <f>AND('PROG FORMACIÓN TITULADA'!#REF!,"AAAAAHc/v5Q=")</f>
        <v>#REF!</v>
      </c>
      <c r="ET234" t="e">
        <f>IF('PROG FORMACIÓN TITULADA'!#REF!,"AAAAAHc/v5U=",0)</f>
        <v>#REF!</v>
      </c>
      <c r="EU234" t="e">
        <f>AND('PROG FORMACIÓN TITULADA'!#REF!,"AAAAAHc/v5Y=")</f>
        <v>#REF!</v>
      </c>
      <c r="EV234" t="e">
        <f>AND('PROG FORMACIÓN TITULADA'!#REF!,"AAAAAHc/v5c=")</f>
        <v>#REF!</v>
      </c>
      <c r="EW234" t="e">
        <f>AND('PROG FORMACIÓN TITULADA'!#REF!,"AAAAAHc/v5g=")</f>
        <v>#REF!</v>
      </c>
      <c r="EX234" t="e">
        <f>AND('PROG FORMACIÓN TITULADA'!#REF!,"AAAAAHc/v5k=")</f>
        <v>#REF!</v>
      </c>
      <c r="EY234" t="e">
        <f>AND('PROG FORMACIÓN TITULADA'!#REF!,"AAAAAHc/v5o=")</f>
        <v>#REF!</v>
      </c>
      <c r="EZ234" t="e">
        <f>AND('PROG FORMACIÓN TITULADA'!#REF!,"AAAAAHc/v5s=")</f>
        <v>#REF!</v>
      </c>
      <c r="FA234" t="e">
        <f>AND('PROG FORMACIÓN TITULADA'!#REF!,"AAAAAHc/v5w=")</f>
        <v>#REF!</v>
      </c>
      <c r="FB234" t="e">
        <f>AND('PROG FORMACIÓN TITULADA'!#REF!,"AAAAAHc/v50=")</f>
        <v>#REF!</v>
      </c>
      <c r="FC234" t="e">
        <f>AND('PROG FORMACIÓN TITULADA'!#REF!,"AAAAAHc/v54=")</f>
        <v>#REF!</v>
      </c>
      <c r="FD234" t="e">
        <f>AND('PROG FORMACIÓN TITULADA'!#REF!,"AAAAAHc/v58=")</f>
        <v>#REF!</v>
      </c>
      <c r="FE234" t="e">
        <f>AND('PROG FORMACIÓN TITULADA'!#REF!,"AAAAAHc/v6A=")</f>
        <v>#REF!</v>
      </c>
      <c r="FF234" t="e">
        <f>AND('PROG FORMACIÓN TITULADA'!#REF!,"AAAAAHc/v6E=")</f>
        <v>#REF!</v>
      </c>
      <c r="FG234" t="e">
        <f>AND('PROG FORMACIÓN TITULADA'!#REF!,"AAAAAHc/v6I=")</f>
        <v>#REF!</v>
      </c>
      <c r="FH234" t="e">
        <f>AND('PROG FORMACIÓN TITULADA'!#REF!,"AAAAAHc/v6M=")</f>
        <v>#REF!</v>
      </c>
      <c r="FI234" t="e">
        <f>AND('PROG FORMACIÓN TITULADA'!#REF!,"AAAAAHc/v6Q=")</f>
        <v>#REF!</v>
      </c>
      <c r="FJ234" t="e">
        <f>AND('PROG FORMACIÓN TITULADA'!#REF!,"AAAAAHc/v6U=")</f>
        <v>#REF!</v>
      </c>
      <c r="FK234" t="e">
        <f>AND('PROG FORMACIÓN TITULADA'!#REF!,"AAAAAHc/v6Y=")</f>
        <v>#REF!</v>
      </c>
      <c r="FL234" t="e">
        <f>AND('PROG FORMACIÓN TITULADA'!#REF!,"AAAAAHc/v6c=")</f>
        <v>#REF!</v>
      </c>
      <c r="FM234" t="e">
        <f>AND('PROG FORMACIÓN TITULADA'!#REF!,"AAAAAHc/v6g=")</f>
        <v>#REF!</v>
      </c>
      <c r="FN234" t="e">
        <f>AND('PROG FORMACIÓN TITULADA'!#REF!,"AAAAAHc/v6k=")</f>
        <v>#REF!</v>
      </c>
      <c r="FO234" t="e">
        <f>AND('PROG FORMACIÓN TITULADA'!#REF!,"AAAAAHc/v6o=")</f>
        <v>#REF!</v>
      </c>
      <c r="FP234" t="e">
        <f>AND('PROG FORMACIÓN TITULADA'!#REF!,"AAAAAHc/v6s=")</f>
        <v>#REF!</v>
      </c>
      <c r="FQ234" t="e">
        <f>AND('PROG FORMACIÓN TITULADA'!#REF!,"AAAAAHc/v6w=")</f>
        <v>#REF!</v>
      </c>
      <c r="FR234" t="e">
        <f>AND('PROG FORMACIÓN TITULADA'!#REF!,"AAAAAHc/v60=")</f>
        <v>#REF!</v>
      </c>
      <c r="FS234" t="e">
        <f>AND('PROG FORMACIÓN TITULADA'!#REF!,"AAAAAHc/v64=")</f>
        <v>#REF!</v>
      </c>
      <c r="FT234" t="e">
        <f>AND('PROG FORMACIÓN TITULADA'!#REF!,"AAAAAHc/v68=")</f>
        <v>#REF!</v>
      </c>
      <c r="FU234" t="e">
        <f>IF('PROG FORMACIÓN TITULADA'!#REF!,"AAAAAHc/v7A=",0)</f>
        <v>#REF!</v>
      </c>
      <c r="FV234" t="e">
        <f>AND('PROG FORMACIÓN TITULADA'!#REF!,"AAAAAHc/v7E=")</f>
        <v>#REF!</v>
      </c>
      <c r="FW234" t="e">
        <f>AND('PROG FORMACIÓN TITULADA'!#REF!,"AAAAAHc/v7I=")</f>
        <v>#REF!</v>
      </c>
      <c r="FX234" t="e">
        <f>AND('PROG FORMACIÓN TITULADA'!#REF!,"AAAAAHc/v7M=")</f>
        <v>#REF!</v>
      </c>
      <c r="FY234" t="e">
        <f>AND('PROG FORMACIÓN TITULADA'!#REF!,"AAAAAHc/v7Q=")</f>
        <v>#REF!</v>
      </c>
      <c r="FZ234" t="e">
        <f>AND('PROG FORMACIÓN TITULADA'!#REF!,"AAAAAHc/v7U=")</f>
        <v>#REF!</v>
      </c>
      <c r="GA234" t="e">
        <f>AND('PROG FORMACIÓN TITULADA'!#REF!,"AAAAAHc/v7Y=")</f>
        <v>#REF!</v>
      </c>
      <c r="GB234" t="e">
        <f>AND('PROG FORMACIÓN TITULADA'!#REF!,"AAAAAHc/v7c=")</f>
        <v>#REF!</v>
      </c>
      <c r="GC234" t="e">
        <f>AND('PROG FORMACIÓN TITULADA'!#REF!,"AAAAAHc/v7g=")</f>
        <v>#REF!</v>
      </c>
      <c r="GD234" t="e">
        <f>AND('PROG FORMACIÓN TITULADA'!#REF!,"AAAAAHc/v7k=")</f>
        <v>#REF!</v>
      </c>
      <c r="GE234" t="e">
        <f>AND('PROG FORMACIÓN TITULADA'!#REF!,"AAAAAHc/v7o=")</f>
        <v>#REF!</v>
      </c>
      <c r="GF234" t="e">
        <f>AND('PROG FORMACIÓN TITULADA'!#REF!,"AAAAAHc/v7s=")</f>
        <v>#REF!</v>
      </c>
      <c r="GG234" t="e">
        <f>AND('PROG FORMACIÓN TITULADA'!#REF!,"AAAAAHc/v7w=")</f>
        <v>#REF!</v>
      </c>
      <c r="GH234" t="e">
        <f>AND('PROG FORMACIÓN TITULADA'!#REF!,"AAAAAHc/v70=")</f>
        <v>#REF!</v>
      </c>
      <c r="GI234" t="e">
        <f>AND('PROG FORMACIÓN TITULADA'!#REF!,"AAAAAHc/v74=")</f>
        <v>#REF!</v>
      </c>
      <c r="GJ234" t="e">
        <f>AND('PROG FORMACIÓN TITULADA'!#REF!,"AAAAAHc/v78=")</f>
        <v>#REF!</v>
      </c>
      <c r="GK234" t="e">
        <f>AND('PROG FORMACIÓN TITULADA'!#REF!,"AAAAAHc/v8A=")</f>
        <v>#REF!</v>
      </c>
      <c r="GL234" t="e">
        <f>AND('PROG FORMACIÓN TITULADA'!#REF!,"AAAAAHc/v8E=")</f>
        <v>#REF!</v>
      </c>
      <c r="GM234" t="e">
        <f>AND('PROG FORMACIÓN TITULADA'!#REF!,"AAAAAHc/v8I=")</f>
        <v>#REF!</v>
      </c>
      <c r="GN234" t="e">
        <f>AND('PROG FORMACIÓN TITULADA'!#REF!,"AAAAAHc/v8M=")</f>
        <v>#REF!</v>
      </c>
      <c r="GO234" t="e">
        <f>AND('PROG FORMACIÓN TITULADA'!#REF!,"AAAAAHc/v8Q=")</f>
        <v>#REF!</v>
      </c>
      <c r="GP234" t="e">
        <f>AND('PROG FORMACIÓN TITULADA'!#REF!,"AAAAAHc/v8U=")</f>
        <v>#REF!</v>
      </c>
      <c r="GQ234" t="e">
        <f>AND('PROG FORMACIÓN TITULADA'!#REF!,"AAAAAHc/v8Y=")</f>
        <v>#REF!</v>
      </c>
      <c r="GR234" t="e">
        <f>AND('PROG FORMACIÓN TITULADA'!#REF!,"AAAAAHc/v8c=")</f>
        <v>#REF!</v>
      </c>
      <c r="GS234" t="e">
        <f>AND('PROG FORMACIÓN TITULADA'!#REF!,"AAAAAHc/v8g=")</f>
        <v>#REF!</v>
      </c>
      <c r="GT234" t="e">
        <f>AND('PROG FORMACIÓN TITULADA'!#REF!,"AAAAAHc/v8k=")</f>
        <v>#REF!</v>
      </c>
      <c r="GU234" t="e">
        <f>AND('PROG FORMACIÓN TITULADA'!#REF!,"AAAAAHc/v8o=")</f>
        <v>#REF!</v>
      </c>
      <c r="GV234" t="e">
        <f>IF('PROG FORMACIÓN TITULADA'!#REF!,"AAAAAHc/v8s=",0)</f>
        <v>#REF!</v>
      </c>
      <c r="GW234" t="e">
        <f>AND('PROG FORMACIÓN TITULADA'!#REF!,"AAAAAHc/v8w=")</f>
        <v>#REF!</v>
      </c>
      <c r="GX234" t="e">
        <f>AND('PROG FORMACIÓN TITULADA'!#REF!,"AAAAAHc/v80=")</f>
        <v>#REF!</v>
      </c>
      <c r="GY234" t="e">
        <f>AND('PROG FORMACIÓN TITULADA'!#REF!,"AAAAAHc/v84=")</f>
        <v>#REF!</v>
      </c>
      <c r="GZ234" t="e">
        <f>AND('PROG FORMACIÓN TITULADA'!#REF!,"AAAAAHc/v88=")</f>
        <v>#REF!</v>
      </c>
      <c r="HA234" t="e">
        <f>AND('PROG FORMACIÓN TITULADA'!#REF!,"AAAAAHc/v9A=")</f>
        <v>#REF!</v>
      </c>
      <c r="HB234" t="e">
        <f>AND('PROG FORMACIÓN TITULADA'!#REF!,"AAAAAHc/v9E=")</f>
        <v>#REF!</v>
      </c>
      <c r="HC234" t="e">
        <f>AND('PROG FORMACIÓN TITULADA'!#REF!,"AAAAAHc/v9I=")</f>
        <v>#REF!</v>
      </c>
      <c r="HD234" t="e">
        <f>AND('PROG FORMACIÓN TITULADA'!#REF!,"AAAAAHc/v9M=")</f>
        <v>#REF!</v>
      </c>
      <c r="HE234" t="e">
        <f>AND('PROG FORMACIÓN TITULADA'!#REF!,"AAAAAHc/v9Q=")</f>
        <v>#REF!</v>
      </c>
      <c r="HF234" t="e">
        <f>AND('PROG FORMACIÓN TITULADA'!#REF!,"AAAAAHc/v9U=")</f>
        <v>#REF!</v>
      </c>
      <c r="HG234" t="e">
        <f>AND('PROG FORMACIÓN TITULADA'!#REF!,"AAAAAHc/v9Y=")</f>
        <v>#REF!</v>
      </c>
      <c r="HH234" t="e">
        <f>AND('PROG FORMACIÓN TITULADA'!#REF!,"AAAAAHc/v9c=")</f>
        <v>#REF!</v>
      </c>
      <c r="HI234" t="e">
        <f>AND('PROG FORMACIÓN TITULADA'!#REF!,"AAAAAHc/v9g=")</f>
        <v>#REF!</v>
      </c>
      <c r="HJ234" t="e">
        <f>AND('PROG FORMACIÓN TITULADA'!#REF!,"AAAAAHc/v9k=")</f>
        <v>#REF!</v>
      </c>
      <c r="HK234" t="e">
        <f>AND('PROG FORMACIÓN TITULADA'!#REF!,"AAAAAHc/v9o=")</f>
        <v>#REF!</v>
      </c>
      <c r="HL234" t="e">
        <f>AND('PROG FORMACIÓN TITULADA'!#REF!,"AAAAAHc/v9s=")</f>
        <v>#REF!</v>
      </c>
      <c r="HM234" t="e">
        <f>AND('PROG FORMACIÓN TITULADA'!#REF!,"AAAAAHc/v9w=")</f>
        <v>#REF!</v>
      </c>
      <c r="HN234" t="e">
        <f>AND('PROG FORMACIÓN TITULADA'!#REF!,"AAAAAHc/v90=")</f>
        <v>#REF!</v>
      </c>
      <c r="HO234" t="e">
        <f>AND('PROG FORMACIÓN TITULADA'!#REF!,"AAAAAHc/v94=")</f>
        <v>#REF!</v>
      </c>
      <c r="HP234" t="e">
        <f>AND('PROG FORMACIÓN TITULADA'!#REF!,"AAAAAHc/v98=")</f>
        <v>#REF!</v>
      </c>
      <c r="HQ234" t="e">
        <f>AND('PROG FORMACIÓN TITULADA'!#REF!,"AAAAAHc/v+A=")</f>
        <v>#REF!</v>
      </c>
      <c r="HR234" t="e">
        <f>AND('PROG FORMACIÓN TITULADA'!#REF!,"AAAAAHc/v+E=")</f>
        <v>#REF!</v>
      </c>
      <c r="HS234" t="e">
        <f>AND('PROG FORMACIÓN TITULADA'!#REF!,"AAAAAHc/v+I=")</f>
        <v>#REF!</v>
      </c>
      <c r="HT234" t="e">
        <f>AND('PROG FORMACIÓN TITULADA'!#REF!,"AAAAAHc/v+M=")</f>
        <v>#REF!</v>
      </c>
      <c r="HU234" t="e">
        <f>AND('PROG FORMACIÓN TITULADA'!#REF!,"AAAAAHc/v+Q=")</f>
        <v>#REF!</v>
      </c>
      <c r="HV234" t="e">
        <f>AND('PROG FORMACIÓN TITULADA'!#REF!,"AAAAAHc/v+U=")</f>
        <v>#REF!</v>
      </c>
      <c r="HW234" t="e">
        <f>IF('PROG FORMACIÓN TITULADA'!#REF!,"AAAAAHc/v+Y=",0)</f>
        <v>#REF!</v>
      </c>
      <c r="HX234" t="e">
        <f>AND('PROG FORMACIÓN TITULADA'!#REF!,"AAAAAHc/v+c=")</f>
        <v>#REF!</v>
      </c>
      <c r="HY234" t="e">
        <f>AND('PROG FORMACIÓN TITULADA'!#REF!,"AAAAAHc/v+g=")</f>
        <v>#REF!</v>
      </c>
      <c r="HZ234" t="e">
        <f>AND('PROG FORMACIÓN TITULADA'!#REF!,"AAAAAHc/v+k=")</f>
        <v>#REF!</v>
      </c>
      <c r="IA234" t="e">
        <f>AND('PROG FORMACIÓN TITULADA'!#REF!,"AAAAAHc/v+o=")</f>
        <v>#REF!</v>
      </c>
      <c r="IB234" t="e">
        <f>AND('PROG FORMACIÓN TITULADA'!#REF!,"AAAAAHc/v+s=")</f>
        <v>#REF!</v>
      </c>
      <c r="IC234" t="e">
        <f>AND('PROG FORMACIÓN TITULADA'!#REF!,"AAAAAHc/v+w=")</f>
        <v>#REF!</v>
      </c>
      <c r="ID234" t="e">
        <f>AND('PROG FORMACIÓN TITULADA'!#REF!,"AAAAAHc/v+0=")</f>
        <v>#REF!</v>
      </c>
      <c r="IE234" t="e">
        <f>AND('PROG FORMACIÓN TITULADA'!#REF!,"AAAAAHc/v+4=")</f>
        <v>#REF!</v>
      </c>
      <c r="IF234" t="e">
        <f>AND('PROG FORMACIÓN TITULADA'!#REF!,"AAAAAHc/v+8=")</f>
        <v>#REF!</v>
      </c>
      <c r="IG234" t="e">
        <f>AND('PROG FORMACIÓN TITULADA'!#REF!,"AAAAAHc/v/A=")</f>
        <v>#REF!</v>
      </c>
      <c r="IH234" t="e">
        <f>AND('PROG FORMACIÓN TITULADA'!#REF!,"AAAAAHc/v/E=")</f>
        <v>#REF!</v>
      </c>
      <c r="II234" t="e">
        <f>AND('PROG FORMACIÓN TITULADA'!#REF!,"AAAAAHc/v/I=")</f>
        <v>#REF!</v>
      </c>
      <c r="IJ234" t="e">
        <f>AND('PROG FORMACIÓN TITULADA'!#REF!,"AAAAAHc/v/M=")</f>
        <v>#REF!</v>
      </c>
      <c r="IK234" t="e">
        <f>AND('PROG FORMACIÓN TITULADA'!#REF!,"AAAAAHc/v/Q=")</f>
        <v>#REF!</v>
      </c>
      <c r="IL234" t="e">
        <f>AND('PROG FORMACIÓN TITULADA'!#REF!,"AAAAAHc/v/U=")</f>
        <v>#REF!</v>
      </c>
      <c r="IM234" t="e">
        <f>AND('PROG FORMACIÓN TITULADA'!#REF!,"AAAAAHc/v/Y=")</f>
        <v>#REF!</v>
      </c>
      <c r="IN234" t="e">
        <f>AND('PROG FORMACIÓN TITULADA'!#REF!,"AAAAAHc/v/c=")</f>
        <v>#REF!</v>
      </c>
      <c r="IO234" t="e">
        <f>AND('PROG FORMACIÓN TITULADA'!#REF!,"AAAAAHc/v/g=")</f>
        <v>#REF!</v>
      </c>
      <c r="IP234" t="e">
        <f>AND('PROG FORMACIÓN TITULADA'!#REF!,"AAAAAHc/v/k=")</f>
        <v>#REF!</v>
      </c>
      <c r="IQ234" t="e">
        <f>AND('PROG FORMACIÓN TITULADA'!#REF!,"AAAAAHc/v/o=")</f>
        <v>#REF!</v>
      </c>
      <c r="IR234" t="e">
        <f>AND('PROG FORMACIÓN TITULADA'!#REF!,"AAAAAHc/v/s=")</f>
        <v>#REF!</v>
      </c>
      <c r="IS234" t="e">
        <f>AND('PROG FORMACIÓN TITULADA'!#REF!,"AAAAAHc/v/w=")</f>
        <v>#REF!</v>
      </c>
      <c r="IT234" t="e">
        <f>AND('PROG FORMACIÓN TITULADA'!#REF!,"AAAAAHc/v/0=")</f>
        <v>#REF!</v>
      </c>
      <c r="IU234" t="e">
        <f>AND('PROG FORMACIÓN TITULADA'!#REF!,"AAAAAHc/v/4=")</f>
        <v>#REF!</v>
      </c>
      <c r="IV234" t="e">
        <f>AND('PROG FORMACIÓN TITULADA'!#REF!,"AAAAAHc/v/8=")</f>
        <v>#REF!</v>
      </c>
    </row>
    <row r="235" spans="1:256" x14ac:dyDescent="0.2">
      <c r="A235" t="e">
        <f>AND('PROG FORMACIÓN TITULADA'!#REF!,"AAAAAHuvvwA=")</f>
        <v>#REF!</v>
      </c>
      <c r="B235" t="e">
        <f>IF('PROG FORMACIÓN TITULADA'!#REF!,"AAAAAHuvvwE=",0)</f>
        <v>#REF!</v>
      </c>
      <c r="C235" t="e">
        <f>AND('PROG FORMACIÓN TITULADA'!#REF!,"AAAAAHuvvwI=")</f>
        <v>#REF!</v>
      </c>
      <c r="D235" t="e">
        <f>AND('PROG FORMACIÓN TITULADA'!#REF!,"AAAAAHuvvwM=")</f>
        <v>#REF!</v>
      </c>
      <c r="E235" t="e">
        <f>AND('PROG FORMACIÓN TITULADA'!#REF!,"AAAAAHuvvwQ=")</f>
        <v>#REF!</v>
      </c>
      <c r="F235" t="e">
        <f>AND('PROG FORMACIÓN TITULADA'!#REF!,"AAAAAHuvvwU=")</f>
        <v>#REF!</v>
      </c>
      <c r="G235" t="e">
        <f>AND('PROG FORMACIÓN TITULADA'!#REF!,"AAAAAHuvvwY=")</f>
        <v>#REF!</v>
      </c>
      <c r="H235" t="e">
        <f>AND('PROG FORMACIÓN TITULADA'!#REF!,"AAAAAHuvvwc=")</f>
        <v>#REF!</v>
      </c>
      <c r="I235" t="e">
        <f>AND('PROG FORMACIÓN TITULADA'!#REF!,"AAAAAHuvvwg=")</f>
        <v>#REF!</v>
      </c>
      <c r="J235" t="e">
        <f>AND('PROG FORMACIÓN TITULADA'!#REF!,"AAAAAHuvvwk=")</f>
        <v>#REF!</v>
      </c>
      <c r="K235" t="e">
        <f>AND('PROG FORMACIÓN TITULADA'!#REF!,"AAAAAHuvvwo=")</f>
        <v>#REF!</v>
      </c>
      <c r="L235" t="e">
        <f>AND('PROG FORMACIÓN TITULADA'!#REF!,"AAAAAHuvvws=")</f>
        <v>#REF!</v>
      </c>
      <c r="M235" t="e">
        <f>AND('PROG FORMACIÓN TITULADA'!#REF!,"AAAAAHuvvww=")</f>
        <v>#REF!</v>
      </c>
      <c r="N235" t="e">
        <f>AND('PROG FORMACIÓN TITULADA'!#REF!,"AAAAAHuvvw0=")</f>
        <v>#REF!</v>
      </c>
      <c r="O235" t="e">
        <f>AND('PROG FORMACIÓN TITULADA'!#REF!,"AAAAAHuvvw4=")</f>
        <v>#REF!</v>
      </c>
      <c r="P235" t="e">
        <f>AND('PROG FORMACIÓN TITULADA'!#REF!,"AAAAAHuvvw8=")</f>
        <v>#REF!</v>
      </c>
      <c r="Q235" t="e">
        <f>AND('PROG FORMACIÓN TITULADA'!#REF!,"AAAAAHuvvxA=")</f>
        <v>#REF!</v>
      </c>
      <c r="R235" t="e">
        <f>AND('PROG FORMACIÓN TITULADA'!#REF!,"AAAAAHuvvxE=")</f>
        <v>#REF!</v>
      </c>
      <c r="S235" t="e">
        <f>AND('PROG FORMACIÓN TITULADA'!#REF!,"AAAAAHuvvxI=")</f>
        <v>#REF!</v>
      </c>
      <c r="T235" t="e">
        <f>AND('PROG FORMACIÓN TITULADA'!#REF!,"AAAAAHuvvxM=")</f>
        <v>#REF!</v>
      </c>
      <c r="U235" t="e">
        <f>AND('PROG FORMACIÓN TITULADA'!#REF!,"AAAAAHuvvxQ=")</f>
        <v>#REF!</v>
      </c>
      <c r="V235" t="e">
        <f>AND('PROG FORMACIÓN TITULADA'!#REF!,"AAAAAHuvvxU=")</f>
        <v>#REF!</v>
      </c>
      <c r="W235" t="e">
        <f>AND('PROG FORMACIÓN TITULADA'!#REF!,"AAAAAHuvvxY=")</f>
        <v>#REF!</v>
      </c>
      <c r="X235" t="e">
        <f>AND('PROG FORMACIÓN TITULADA'!#REF!,"AAAAAHuvvxc=")</f>
        <v>#REF!</v>
      </c>
      <c r="Y235" t="e">
        <f>AND('PROG FORMACIÓN TITULADA'!#REF!,"AAAAAHuvvxg=")</f>
        <v>#REF!</v>
      </c>
      <c r="Z235" t="e">
        <f>AND('PROG FORMACIÓN TITULADA'!#REF!,"AAAAAHuvvxk=")</f>
        <v>#REF!</v>
      </c>
      <c r="AA235" t="e">
        <f>AND('PROG FORMACIÓN TITULADA'!#REF!,"AAAAAHuvvxo=")</f>
        <v>#REF!</v>
      </c>
      <c r="AB235" t="e">
        <f>AND('PROG FORMACIÓN TITULADA'!#REF!,"AAAAAHuvvxs=")</f>
        <v>#REF!</v>
      </c>
      <c r="AC235" t="e">
        <f>IF('PROG FORMACIÓN TITULADA'!#REF!,"AAAAAHuvvxw=",0)</f>
        <v>#REF!</v>
      </c>
      <c r="AD235" t="e">
        <f>AND('PROG FORMACIÓN TITULADA'!#REF!,"AAAAAHuvvx0=")</f>
        <v>#REF!</v>
      </c>
      <c r="AE235" t="e">
        <f>AND('PROG FORMACIÓN TITULADA'!#REF!,"AAAAAHuvvx4=")</f>
        <v>#REF!</v>
      </c>
      <c r="AF235" t="e">
        <f>AND('PROG FORMACIÓN TITULADA'!#REF!,"AAAAAHuvvx8=")</f>
        <v>#REF!</v>
      </c>
      <c r="AG235" t="e">
        <f>AND('PROG FORMACIÓN TITULADA'!#REF!,"AAAAAHuvvyA=")</f>
        <v>#REF!</v>
      </c>
      <c r="AH235" t="e">
        <f>AND('PROG FORMACIÓN TITULADA'!#REF!,"AAAAAHuvvyE=")</f>
        <v>#REF!</v>
      </c>
      <c r="AI235" t="e">
        <f>AND('PROG FORMACIÓN TITULADA'!#REF!,"AAAAAHuvvyI=")</f>
        <v>#REF!</v>
      </c>
      <c r="AJ235" t="e">
        <f>AND('PROG FORMACIÓN TITULADA'!#REF!,"AAAAAHuvvyM=")</f>
        <v>#REF!</v>
      </c>
      <c r="AK235" t="e">
        <f>AND('PROG FORMACIÓN TITULADA'!#REF!,"AAAAAHuvvyQ=")</f>
        <v>#REF!</v>
      </c>
      <c r="AL235" t="e">
        <f>AND('PROG FORMACIÓN TITULADA'!#REF!,"AAAAAHuvvyU=")</f>
        <v>#REF!</v>
      </c>
      <c r="AM235" t="e">
        <f>AND('PROG FORMACIÓN TITULADA'!#REF!,"AAAAAHuvvyY=")</f>
        <v>#REF!</v>
      </c>
      <c r="AN235" t="e">
        <f>AND('PROG FORMACIÓN TITULADA'!#REF!,"AAAAAHuvvyc=")</f>
        <v>#REF!</v>
      </c>
      <c r="AO235" t="e">
        <f>AND('PROG FORMACIÓN TITULADA'!#REF!,"AAAAAHuvvyg=")</f>
        <v>#REF!</v>
      </c>
      <c r="AP235" t="e">
        <f>AND('PROG FORMACIÓN TITULADA'!#REF!,"AAAAAHuvvyk=")</f>
        <v>#REF!</v>
      </c>
      <c r="AQ235" t="e">
        <f>AND('PROG FORMACIÓN TITULADA'!#REF!,"AAAAAHuvvyo=")</f>
        <v>#REF!</v>
      </c>
      <c r="AR235" t="e">
        <f>AND('PROG FORMACIÓN TITULADA'!#REF!,"AAAAAHuvvys=")</f>
        <v>#REF!</v>
      </c>
      <c r="AS235" t="e">
        <f>AND('PROG FORMACIÓN TITULADA'!#REF!,"AAAAAHuvvyw=")</f>
        <v>#REF!</v>
      </c>
      <c r="AT235" t="e">
        <f>AND('PROG FORMACIÓN TITULADA'!#REF!,"AAAAAHuvvy0=")</f>
        <v>#REF!</v>
      </c>
      <c r="AU235" t="e">
        <f>AND('PROG FORMACIÓN TITULADA'!#REF!,"AAAAAHuvvy4=")</f>
        <v>#REF!</v>
      </c>
      <c r="AV235" t="e">
        <f>AND('PROG FORMACIÓN TITULADA'!#REF!,"AAAAAHuvvy8=")</f>
        <v>#REF!</v>
      </c>
      <c r="AW235" t="e">
        <f>AND('PROG FORMACIÓN TITULADA'!#REF!,"AAAAAHuvvzA=")</f>
        <v>#REF!</v>
      </c>
      <c r="AX235" t="e">
        <f>AND('PROG FORMACIÓN TITULADA'!#REF!,"AAAAAHuvvzE=")</f>
        <v>#REF!</v>
      </c>
      <c r="AY235" t="e">
        <f>AND('PROG FORMACIÓN TITULADA'!#REF!,"AAAAAHuvvzI=")</f>
        <v>#REF!</v>
      </c>
      <c r="AZ235" t="e">
        <f>AND('PROG FORMACIÓN TITULADA'!#REF!,"AAAAAHuvvzM=")</f>
        <v>#REF!</v>
      </c>
      <c r="BA235" t="e">
        <f>AND('PROG FORMACIÓN TITULADA'!#REF!,"AAAAAHuvvzQ=")</f>
        <v>#REF!</v>
      </c>
      <c r="BB235" t="e">
        <f>AND('PROG FORMACIÓN TITULADA'!#REF!,"AAAAAHuvvzU=")</f>
        <v>#REF!</v>
      </c>
      <c r="BC235" t="e">
        <f>AND('PROG FORMACIÓN TITULADA'!#REF!,"AAAAAHuvvzY=")</f>
        <v>#REF!</v>
      </c>
      <c r="BD235">
        <f>IF('Calendario Académico 2014'!1:1,"AAAAAHuvvzc=",0)</f>
        <v>0</v>
      </c>
      <c r="BE235" t="e">
        <f>AND('Calendario Académico 2014'!A1,"AAAAAHuvvzg=")</f>
        <v>#VALUE!</v>
      </c>
      <c r="BF235" t="e">
        <f>AND('Calendario Académico 2014'!B1,"AAAAAHuvvzk=")</f>
        <v>#VALUE!</v>
      </c>
      <c r="BG235" t="e">
        <f>AND('Calendario Académico 2014'!C1,"AAAAAHuvvzo=")</f>
        <v>#VALUE!</v>
      </c>
      <c r="BH235" t="e">
        <f>AND('Calendario Académico 2014'!D1,"AAAAAHuvvzs=")</f>
        <v>#VALUE!</v>
      </c>
      <c r="BI235" t="e">
        <f>AND('Calendario Académico 2014'!E1,"AAAAAHuvvzw=")</f>
        <v>#VALUE!</v>
      </c>
      <c r="BJ235" t="e">
        <f>AND('Calendario Académico 2014'!F1,"AAAAAHuvvz0=")</f>
        <v>#VALUE!</v>
      </c>
      <c r="BK235" t="e">
        <f>AND('Calendario Académico 2014'!G1,"AAAAAHuvvz4=")</f>
        <v>#VALUE!</v>
      </c>
      <c r="BL235" t="e">
        <f>AND('Calendario Académico 2014'!H1,"AAAAAHuvvz8=")</f>
        <v>#VALUE!</v>
      </c>
      <c r="BM235" t="e">
        <f>AND('Calendario Académico 2014'!I1,"AAAAAHuvv0A=")</f>
        <v>#VALUE!</v>
      </c>
      <c r="BN235" t="e">
        <f>AND('Calendario Académico 2014'!J1,"AAAAAHuvv0E=")</f>
        <v>#VALUE!</v>
      </c>
      <c r="BO235" t="e">
        <f>AND('Calendario Académico 2014'!K1,"AAAAAHuvv0I=")</f>
        <v>#VALUE!</v>
      </c>
      <c r="BP235" t="e">
        <f>AND('Calendario Académico 2014'!L1,"AAAAAHuvv0M=")</f>
        <v>#VALUE!</v>
      </c>
      <c r="BQ235" t="e">
        <f>AND('Calendario Académico 2014'!M1,"AAAAAHuvv0Q=")</f>
        <v>#VALUE!</v>
      </c>
      <c r="BR235" t="e">
        <f>AND('Calendario Académico 2014'!N1,"AAAAAHuvv0U=")</f>
        <v>#VALUE!</v>
      </c>
      <c r="BS235" t="e">
        <f>AND('Calendario Académico 2014'!O1,"AAAAAHuvv0Y=")</f>
        <v>#VALUE!</v>
      </c>
      <c r="BT235" t="e">
        <f>AND('Calendario Académico 2014'!P1,"AAAAAHuvv0c=")</f>
        <v>#VALUE!</v>
      </c>
      <c r="BU235" t="e">
        <f>AND('Calendario Académico 2014'!Q1,"AAAAAHuvv0g=")</f>
        <v>#VALUE!</v>
      </c>
      <c r="BV235" t="e">
        <f>AND('Calendario Académico 2014'!R1,"AAAAAHuvv0k=")</f>
        <v>#VALUE!</v>
      </c>
      <c r="BW235" t="e">
        <f>AND('Calendario Académico 2014'!S1,"AAAAAHuvv0o=")</f>
        <v>#VALUE!</v>
      </c>
      <c r="BX235" t="e">
        <f>AND('Calendario Académico 2014'!T1,"AAAAAHuvv0s=")</f>
        <v>#VALUE!</v>
      </c>
      <c r="BY235" t="e">
        <f>AND('Calendario Académico 2014'!U1,"AAAAAHuvv0w=")</f>
        <v>#VALUE!</v>
      </c>
      <c r="BZ235" t="e">
        <f>AND('Calendario Académico 2014'!V1,"AAAAAHuvv00=")</f>
        <v>#VALUE!</v>
      </c>
      <c r="CA235" t="e">
        <f>AND('Calendario Académico 2014'!W1,"AAAAAHuvv04=")</f>
        <v>#VALUE!</v>
      </c>
      <c r="CB235" t="e">
        <f>AND('Calendario Académico 2014'!X1,"AAAAAHuvv08=")</f>
        <v>#VALUE!</v>
      </c>
      <c r="CC235" t="e">
        <f>AND('Calendario Académico 2014'!Y1,"AAAAAHuvv1A=")</f>
        <v>#VALUE!</v>
      </c>
      <c r="CD235" t="e">
        <f>AND('Calendario Académico 2014'!Z1,"AAAAAHuvv1E=")</f>
        <v>#VALUE!</v>
      </c>
      <c r="CE235" t="e">
        <f>AND('Calendario Académico 2014'!AA1,"AAAAAHuvv1I=")</f>
        <v>#VALUE!</v>
      </c>
      <c r="CF235" t="e">
        <f>AND('Calendario Académico 2014'!AB1,"AAAAAHuvv1M=")</f>
        <v>#VALUE!</v>
      </c>
      <c r="CG235" t="e">
        <f>AND('Calendario Académico 2014'!AC1,"AAAAAHuvv1Q=")</f>
        <v>#VALUE!</v>
      </c>
      <c r="CH235" t="e">
        <f>AND('Calendario Académico 2014'!AD1,"AAAAAHuvv1U=")</f>
        <v>#VALUE!</v>
      </c>
      <c r="CI235" t="e">
        <f>AND('Calendario Académico 2014'!AE1,"AAAAAHuvv1Y=")</f>
        <v>#VALUE!</v>
      </c>
      <c r="CJ235" t="e">
        <f>AND('Calendario Académico 2014'!AF1,"AAAAAHuvv1c=")</f>
        <v>#VALUE!</v>
      </c>
      <c r="CK235" t="e">
        <f>AND('Calendario Académico 2014'!AG1,"AAAAAHuvv1g=")</f>
        <v>#VALUE!</v>
      </c>
      <c r="CL235" t="e">
        <f>AND('Calendario Académico 2014'!AH1,"AAAAAHuvv1k=")</f>
        <v>#VALUE!</v>
      </c>
      <c r="CM235">
        <f>IF('Calendario Académico 2014'!2:2,"AAAAAHuvv1o=",0)</f>
        <v>0</v>
      </c>
      <c r="CN235" t="e">
        <f>AND('Calendario Académico 2014'!A2,"AAAAAHuvv1s=")</f>
        <v>#VALUE!</v>
      </c>
      <c r="CO235" t="e">
        <f>AND('Calendario Académico 2014'!B2,"AAAAAHuvv1w=")</f>
        <v>#VALUE!</v>
      </c>
      <c r="CP235" t="e">
        <f>AND('Calendario Académico 2014'!C2,"AAAAAHuvv10=")</f>
        <v>#VALUE!</v>
      </c>
      <c r="CQ235" t="e">
        <f>AND('Calendario Académico 2014'!D2,"AAAAAHuvv14=")</f>
        <v>#VALUE!</v>
      </c>
      <c r="CR235" t="e">
        <f>AND('Calendario Académico 2014'!E2,"AAAAAHuvv18=")</f>
        <v>#VALUE!</v>
      </c>
      <c r="CS235" t="e">
        <f>AND('Calendario Académico 2014'!F2,"AAAAAHuvv2A=")</f>
        <v>#VALUE!</v>
      </c>
      <c r="CT235" t="e">
        <f>AND('Calendario Académico 2014'!G2,"AAAAAHuvv2E=")</f>
        <v>#VALUE!</v>
      </c>
      <c r="CU235" t="e">
        <f>AND('Calendario Académico 2014'!H2,"AAAAAHuvv2I=")</f>
        <v>#VALUE!</v>
      </c>
      <c r="CV235" t="e">
        <f>AND('Calendario Académico 2014'!I2,"AAAAAHuvv2M=")</f>
        <v>#VALUE!</v>
      </c>
      <c r="CW235" t="e">
        <f>AND('Calendario Académico 2014'!J2,"AAAAAHuvv2Q=")</f>
        <v>#VALUE!</v>
      </c>
      <c r="CX235" t="e">
        <f>AND('Calendario Académico 2014'!K2,"AAAAAHuvv2U=")</f>
        <v>#VALUE!</v>
      </c>
      <c r="CY235" t="e">
        <f>AND('Calendario Académico 2014'!L2,"AAAAAHuvv2Y=")</f>
        <v>#VALUE!</v>
      </c>
      <c r="CZ235" t="e">
        <f>AND('Calendario Académico 2014'!M2,"AAAAAHuvv2c=")</f>
        <v>#VALUE!</v>
      </c>
      <c r="DA235" t="e">
        <f>AND('Calendario Académico 2014'!N2,"AAAAAHuvv2g=")</f>
        <v>#VALUE!</v>
      </c>
      <c r="DB235" t="e">
        <f>AND('Calendario Académico 2014'!O2,"AAAAAHuvv2k=")</f>
        <v>#VALUE!</v>
      </c>
      <c r="DC235" t="e">
        <f>AND('Calendario Académico 2014'!P2,"AAAAAHuvv2o=")</f>
        <v>#VALUE!</v>
      </c>
      <c r="DD235" t="e">
        <f>AND('Calendario Académico 2014'!Q2,"AAAAAHuvv2s=")</f>
        <v>#VALUE!</v>
      </c>
      <c r="DE235" t="e">
        <f>AND('Calendario Académico 2014'!R2,"AAAAAHuvv2w=")</f>
        <v>#VALUE!</v>
      </c>
      <c r="DF235" t="e">
        <f>AND('Calendario Académico 2014'!S2,"AAAAAHuvv20=")</f>
        <v>#VALUE!</v>
      </c>
      <c r="DG235" t="e">
        <f>AND('Calendario Académico 2014'!T2,"AAAAAHuvv24=")</f>
        <v>#VALUE!</v>
      </c>
      <c r="DH235" t="e">
        <f>AND('Calendario Académico 2014'!U2,"AAAAAHuvv28=")</f>
        <v>#VALUE!</v>
      </c>
      <c r="DI235" t="e">
        <f>AND('Calendario Académico 2014'!V2,"AAAAAHuvv3A=")</f>
        <v>#VALUE!</v>
      </c>
      <c r="DJ235" t="e">
        <f>AND('Calendario Académico 2014'!W2,"AAAAAHuvv3E=")</f>
        <v>#VALUE!</v>
      </c>
      <c r="DK235" t="e">
        <f>AND('Calendario Académico 2014'!X2,"AAAAAHuvv3I=")</f>
        <v>#VALUE!</v>
      </c>
      <c r="DL235" t="e">
        <f>AND('Calendario Académico 2014'!Y2,"AAAAAHuvv3M=")</f>
        <v>#VALUE!</v>
      </c>
      <c r="DM235" t="e">
        <f>AND('Calendario Académico 2014'!Z2,"AAAAAHuvv3Q=")</f>
        <v>#VALUE!</v>
      </c>
      <c r="DN235" t="e">
        <f>AND('Calendario Académico 2014'!AA2,"AAAAAHuvv3U=")</f>
        <v>#VALUE!</v>
      </c>
      <c r="DO235" t="e">
        <f>AND('Calendario Académico 2014'!AB2,"AAAAAHuvv3Y=")</f>
        <v>#VALUE!</v>
      </c>
      <c r="DP235" t="e">
        <f>AND('Calendario Académico 2014'!AC2,"AAAAAHuvv3c=")</f>
        <v>#VALUE!</v>
      </c>
      <c r="DQ235" t="e">
        <f>AND('Calendario Académico 2014'!AD2,"AAAAAHuvv3g=")</f>
        <v>#VALUE!</v>
      </c>
      <c r="DR235" t="e">
        <f>AND('Calendario Académico 2014'!AE2,"AAAAAHuvv3k=")</f>
        <v>#VALUE!</v>
      </c>
      <c r="DS235" t="e">
        <f>AND('Calendario Académico 2014'!AF2,"AAAAAHuvv3o=")</f>
        <v>#VALUE!</v>
      </c>
      <c r="DT235" t="e">
        <f>AND('Calendario Académico 2014'!AG2,"AAAAAHuvv3s=")</f>
        <v>#VALUE!</v>
      </c>
      <c r="DU235" t="e">
        <f>AND('Calendario Académico 2014'!AH2,"AAAAAHuvv3w=")</f>
        <v>#VALUE!</v>
      </c>
      <c r="DV235">
        <f>IF('Calendario Académico 2014'!3:3,"AAAAAHuvv30=",0)</f>
        <v>0</v>
      </c>
      <c r="DW235" t="e">
        <f>AND('Calendario Académico 2014'!A3,"AAAAAHuvv34=")</f>
        <v>#VALUE!</v>
      </c>
      <c r="DX235" t="e">
        <f>AND('Calendario Académico 2014'!B3,"AAAAAHuvv38=")</f>
        <v>#VALUE!</v>
      </c>
      <c r="DY235" t="e">
        <f>AND('Calendario Académico 2014'!C3,"AAAAAHuvv4A=")</f>
        <v>#VALUE!</v>
      </c>
      <c r="DZ235" t="e">
        <f>AND('Calendario Académico 2014'!D3,"AAAAAHuvv4E=")</f>
        <v>#VALUE!</v>
      </c>
      <c r="EA235" t="e">
        <f>AND('Calendario Académico 2014'!E3,"AAAAAHuvv4I=")</f>
        <v>#VALUE!</v>
      </c>
      <c r="EB235" t="e">
        <f>AND('Calendario Académico 2014'!F3,"AAAAAHuvv4M=")</f>
        <v>#VALUE!</v>
      </c>
      <c r="EC235" t="e">
        <f>AND('Calendario Académico 2014'!G3,"AAAAAHuvv4Q=")</f>
        <v>#VALUE!</v>
      </c>
      <c r="ED235" t="e">
        <f>AND('Calendario Académico 2014'!H3,"AAAAAHuvv4U=")</f>
        <v>#VALUE!</v>
      </c>
      <c r="EE235" t="e">
        <f>AND('Calendario Académico 2014'!I3,"AAAAAHuvv4Y=")</f>
        <v>#VALUE!</v>
      </c>
      <c r="EF235" t="e">
        <f>AND('Calendario Académico 2014'!J3,"AAAAAHuvv4c=")</f>
        <v>#VALUE!</v>
      </c>
      <c r="EG235" t="e">
        <f>AND('Calendario Académico 2014'!K3,"AAAAAHuvv4g=")</f>
        <v>#VALUE!</v>
      </c>
      <c r="EH235" t="e">
        <f>AND('Calendario Académico 2014'!L3,"AAAAAHuvv4k=")</f>
        <v>#VALUE!</v>
      </c>
      <c r="EI235" t="e">
        <f>AND('Calendario Académico 2014'!M3,"AAAAAHuvv4o=")</f>
        <v>#VALUE!</v>
      </c>
      <c r="EJ235" t="e">
        <f>AND('Calendario Académico 2014'!N3,"AAAAAHuvv4s=")</f>
        <v>#VALUE!</v>
      </c>
      <c r="EK235" t="e">
        <f>AND('Calendario Académico 2014'!O3,"AAAAAHuvv4w=")</f>
        <v>#VALUE!</v>
      </c>
      <c r="EL235" t="e">
        <f>AND('Calendario Académico 2014'!P3,"AAAAAHuvv40=")</f>
        <v>#VALUE!</v>
      </c>
      <c r="EM235" t="e">
        <f>AND('Calendario Académico 2014'!Q3,"AAAAAHuvv44=")</f>
        <v>#VALUE!</v>
      </c>
      <c r="EN235" t="e">
        <f>AND('Calendario Académico 2014'!R3,"AAAAAHuvv48=")</f>
        <v>#VALUE!</v>
      </c>
      <c r="EO235" t="e">
        <f>AND('Calendario Académico 2014'!S3,"AAAAAHuvv5A=")</f>
        <v>#VALUE!</v>
      </c>
      <c r="EP235" t="e">
        <f>AND('Calendario Académico 2014'!T3,"AAAAAHuvv5E=")</f>
        <v>#VALUE!</v>
      </c>
      <c r="EQ235" t="e">
        <f>AND('Calendario Académico 2014'!U3,"AAAAAHuvv5I=")</f>
        <v>#VALUE!</v>
      </c>
      <c r="ER235" t="e">
        <f>AND('Calendario Académico 2014'!V3,"AAAAAHuvv5M=")</f>
        <v>#VALUE!</v>
      </c>
      <c r="ES235" t="e">
        <f>AND('Calendario Académico 2014'!W3,"AAAAAHuvv5Q=")</f>
        <v>#VALUE!</v>
      </c>
      <c r="ET235" t="e">
        <f>AND('Calendario Académico 2014'!X3,"AAAAAHuvv5U=")</f>
        <v>#VALUE!</v>
      </c>
      <c r="EU235" t="e">
        <f>AND('Calendario Académico 2014'!Y3,"AAAAAHuvv5Y=")</f>
        <v>#VALUE!</v>
      </c>
      <c r="EV235" t="e">
        <f>AND('Calendario Académico 2014'!Z3,"AAAAAHuvv5c=")</f>
        <v>#VALUE!</v>
      </c>
      <c r="EW235" t="e">
        <f>AND('Calendario Académico 2014'!AA3,"AAAAAHuvv5g=")</f>
        <v>#VALUE!</v>
      </c>
      <c r="EX235" t="e">
        <f>AND('Calendario Académico 2014'!AB3,"AAAAAHuvv5k=")</f>
        <v>#VALUE!</v>
      </c>
      <c r="EY235" t="e">
        <f>AND('Calendario Académico 2014'!AC3,"AAAAAHuvv5o=")</f>
        <v>#VALUE!</v>
      </c>
      <c r="EZ235" t="e">
        <f>AND('Calendario Académico 2014'!AD3,"AAAAAHuvv5s=")</f>
        <v>#VALUE!</v>
      </c>
      <c r="FA235" t="e">
        <f>AND('Calendario Académico 2014'!AE3,"AAAAAHuvv5w=")</f>
        <v>#VALUE!</v>
      </c>
      <c r="FB235" t="e">
        <f>AND('Calendario Académico 2014'!AF3,"AAAAAHuvv50=")</f>
        <v>#VALUE!</v>
      </c>
      <c r="FC235" t="e">
        <f>AND('Calendario Académico 2014'!AG3,"AAAAAHuvv54=")</f>
        <v>#VALUE!</v>
      </c>
      <c r="FD235" t="e">
        <f>AND('Calendario Académico 2014'!AH3,"AAAAAHuvv58=")</f>
        <v>#VALUE!</v>
      </c>
      <c r="FE235">
        <f>IF('Calendario Académico 2014'!4:4,"AAAAAHuvv6A=",0)</f>
        <v>0</v>
      </c>
      <c r="FF235" t="e">
        <f>AND('Calendario Académico 2014'!A4,"AAAAAHuvv6E=")</f>
        <v>#VALUE!</v>
      </c>
      <c r="FG235" t="e">
        <f>AND('Calendario Académico 2014'!B4,"AAAAAHuvv6I=")</f>
        <v>#VALUE!</v>
      </c>
      <c r="FH235" t="e">
        <f>AND('Calendario Académico 2014'!C4,"AAAAAHuvv6M=")</f>
        <v>#VALUE!</v>
      </c>
      <c r="FI235" t="e">
        <f>AND('Calendario Académico 2014'!D4,"AAAAAHuvv6Q=")</f>
        <v>#VALUE!</v>
      </c>
      <c r="FJ235" t="e">
        <f>AND('Calendario Académico 2014'!E4,"AAAAAHuvv6U=")</f>
        <v>#VALUE!</v>
      </c>
      <c r="FK235" t="e">
        <f>AND('Calendario Académico 2014'!F4,"AAAAAHuvv6Y=")</f>
        <v>#VALUE!</v>
      </c>
      <c r="FL235" t="e">
        <f>AND('Calendario Académico 2014'!G4,"AAAAAHuvv6c=")</f>
        <v>#VALUE!</v>
      </c>
      <c r="FM235" t="e">
        <f>AND('Calendario Académico 2014'!H4,"AAAAAHuvv6g=")</f>
        <v>#VALUE!</v>
      </c>
      <c r="FN235" t="e">
        <f>AND('Calendario Académico 2014'!I4,"AAAAAHuvv6k=")</f>
        <v>#VALUE!</v>
      </c>
      <c r="FO235" t="e">
        <f>AND('Calendario Académico 2014'!J4,"AAAAAHuvv6o=")</f>
        <v>#VALUE!</v>
      </c>
      <c r="FP235" t="e">
        <f>AND('Calendario Académico 2014'!K4,"AAAAAHuvv6s=")</f>
        <v>#VALUE!</v>
      </c>
      <c r="FQ235" t="e">
        <f>AND('Calendario Académico 2014'!L4,"AAAAAHuvv6w=")</f>
        <v>#VALUE!</v>
      </c>
      <c r="FR235" t="e">
        <f>AND('Calendario Académico 2014'!M4,"AAAAAHuvv60=")</f>
        <v>#VALUE!</v>
      </c>
      <c r="FS235" t="e">
        <f>AND('Calendario Académico 2014'!N4,"AAAAAHuvv64=")</f>
        <v>#VALUE!</v>
      </c>
      <c r="FT235" t="e">
        <f>AND('Calendario Académico 2014'!O4,"AAAAAHuvv68=")</f>
        <v>#VALUE!</v>
      </c>
      <c r="FU235" t="e">
        <f>AND('Calendario Académico 2014'!P4,"AAAAAHuvv7A=")</f>
        <v>#VALUE!</v>
      </c>
      <c r="FV235" t="e">
        <f>AND('Calendario Académico 2014'!Q4,"AAAAAHuvv7E=")</f>
        <v>#VALUE!</v>
      </c>
      <c r="FW235" t="e">
        <f>AND('Calendario Académico 2014'!R4,"AAAAAHuvv7I=")</f>
        <v>#VALUE!</v>
      </c>
      <c r="FX235" t="e">
        <f>AND('Calendario Académico 2014'!S4,"AAAAAHuvv7M=")</f>
        <v>#VALUE!</v>
      </c>
      <c r="FY235" t="e">
        <f>AND('Calendario Académico 2014'!T4,"AAAAAHuvv7Q=")</f>
        <v>#VALUE!</v>
      </c>
      <c r="FZ235" t="e">
        <f>AND('Calendario Académico 2014'!U4,"AAAAAHuvv7U=")</f>
        <v>#VALUE!</v>
      </c>
      <c r="GA235" t="e">
        <f>AND('Calendario Académico 2014'!V4,"AAAAAHuvv7Y=")</f>
        <v>#VALUE!</v>
      </c>
      <c r="GB235" t="e">
        <f>AND('Calendario Académico 2014'!W4,"AAAAAHuvv7c=")</f>
        <v>#VALUE!</v>
      </c>
      <c r="GC235" t="e">
        <f>AND('Calendario Académico 2014'!X4,"AAAAAHuvv7g=")</f>
        <v>#VALUE!</v>
      </c>
      <c r="GD235" t="e">
        <f>AND('Calendario Académico 2014'!Y4,"AAAAAHuvv7k=")</f>
        <v>#VALUE!</v>
      </c>
      <c r="GE235" t="e">
        <f>AND('Calendario Académico 2014'!Z4,"AAAAAHuvv7o=")</f>
        <v>#VALUE!</v>
      </c>
      <c r="GF235" t="e">
        <f>AND('Calendario Académico 2014'!AA4,"AAAAAHuvv7s=")</f>
        <v>#VALUE!</v>
      </c>
      <c r="GG235" t="e">
        <f>AND('Calendario Académico 2014'!AB4,"AAAAAHuvv7w=")</f>
        <v>#VALUE!</v>
      </c>
      <c r="GH235" t="e">
        <f>AND('Calendario Académico 2014'!AC4,"AAAAAHuvv70=")</f>
        <v>#VALUE!</v>
      </c>
      <c r="GI235" t="e">
        <f>AND('Calendario Académico 2014'!AD4,"AAAAAHuvv74=")</f>
        <v>#VALUE!</v>
      </c>
      <c r="GJ235" t="e">
        <f>AND('Calendario Académico 2014'!AE4,"AAAAAHuvv78=")</f>
        <v>#VALUE!</v>
      </c>
      <c r="GK235" t="e">
        <f>AND('Calendario Académico 2014'!AF4,"AAAAAHuvv8A=")</f>
        <v>#VALUE!</v>
      </c>
      <c r="GL235" t="e">
        <f>AND('Calendario Académico 2014'!AG4,"AAAAAHuvv8E=")</f>
        <v>#VALUE!</v>
      </c>
      <c r="GM235" t="e">
        <f>AND('Calendario Académico 2014'!AH4,"AAAAAHuvv8I=")</f>
        <v>#VALUE!</v>
      </c>
      <c r="GN235">
        <f>IF('Calendario Académico 2014'!5:5,"AAAAAHuvv8M=",0)</f>
        <v>0</v>
      </c>
      <c r="GO235" t="e">
        <f>AND('Calendario Académico 2014'!A5,"AAAAAHuvv8Q=")</f>
        <v>#VALUE!</v>
      </c>
      <c r="GP235" t="e">
        <f>AND('Calendario Académico 2014'!B5,"AAAAAHuvv8U=")</f>
        <v>#VALUE!</v>
      </c>
      <c r="GQ235" t="e">
        <f>AND('Calendario Académico 2014'!C5,"AAAAAHuvv8Y=")</f>
        <v>#VALUE!</v>
      </c>
      <c r="GR235" t="e">
        <f>AND('Calendario Académico 2014'!D5,"AAAAAHuvv8c=")</f>
        <v>#VALUE!</v>
      </c>
      <c r="GS235" t="e">
        <f>AND('Calendario Académico 2014'!E5,"AAAAAHuvv8g=")</f>
        <v>#VALUE!</v>
      </c>
      <c r="GT235" t="e">
        <f>AND('Calendario Académico 2014'!F5,"AAAAAHuvv8k=")</f>
        <v>#VALUE!</v>
      </c>
      <c r="GU235" t="e">
        <f>AND('Calendario Académico 2014'!G5,"AAAAAHuvv8o=")</f>
        <v>#VALUE!</v>
      </c>
      <c r="GV235" t="e">
        <f>AND('Calendario Académico 2014'!H5,"AAAAAHuvv8s=")</f>
        <v>#VALUE!</v>
      </c>
      <c r="GW235" t="e">
        <f>AND('Calendario Académico 2014'!I5,"AAAAAHuvv8w=")</f>
        <v>#VALUE!</v>
      </c>
      <c r="GX235" t="e">
        <f>AND('Calendario Académico 2014'!J5,"AAAAAHuvv80=")</f>
        <v>#VALUE!</v>
      </c>
      <c r="GY235" t="e">
        <f>AND('Calendario Académico 2014'!K5,"AAAAAHuvv84=")</f>
        <v>#VALUE!</v>
      </c>
      <c r="GZ235" t="e">
        <f>AND('Calendario Académico 2014'!L5,"AAAAAHuvv88=")</f>
        <v>#VALUE!</v>
      </c>
      <c r="HA235" t="e">
        <f>AND('Calendario Académico 2014'!M5,"AAAAAHuvv9A=")</f>
        <v>#VALUE!</v>
      </c>
      <c r="HB235" t="e">
        <f>AND('Calendario Académico 2014'!N5,"AAAAAHuvv9E=")</f>
        <v>#VALUE!</v>
      </c>
      <c r="HC235" t="e">
        <f>AND('Calendario Académico 2014'!O5,"AAAAAHuvv9I=")</f>
        <v>#VALUE!</v>
      </c>
      <c r="HD235" t="e">
        <f>AND('Calendario Académico 2014'!P5,"AAAAAHuvv9M=")</f>
        <v>#VALUE!</v>
      </c>
      <c r="HE235" t="e">
        <f>AND('Calendario Académico 2014'!Q5,"AAAAAHuvv9Q=")</f>
        <v>#VALUE!</v>
      </c>
      <c r="HF235" t="e">
        <f>AND('Calendario Académico 2014'!R5,"AAAAAHuvv9U=")</f>
        <v>#VALUE!</v>
      </c>
      <c r="HG235" t="e">
        <f>AND('Calendario Académico 2014'!S5,"AAAAAHuvv9Y=")</f>
        <v>#VALUE!</v>
      </c>
      <c r="HH235" t="e">
        <f>AND('Calendario Académico 2014'!T5,"AAAAAHuvv9c=")</f>
        <v>#VALUE!</v>
      </c>
      <c r="HI235" t="e">
        <f>AND('Calendario Académico 2014'!U5,"AAAAAHuvv9g=")</f>
        <v>#VALUE!</v>
      </c>
      <c r="HJ235" t="e">
        <f>AND('Calendario Académico 2014'!V5,"AAAAAHuvv9k=")</f>
        <v>#VALUE!</v>
      </c>
      <c r="HK235" t="e">
        <f>AND('Calendario Académico 2014'!W5,"AAAAAHuvv9o=")</f>
        <v>#VALUE!</v>
      </c>
      <c r="HL235" t="e">
        <f>AND('Calendario Académico 2014'!X5,"AAAAAHuvv9s=")</f>
        <v>#VALUE!</v>
      </c>
      <c r="HM235" t="e">
        <f>AND('Calendario Académico 2014'!Y5,"AAAAAHuvv9w=")</f>
        <v>#VALUE!</v>
      </c>
      <c r="HN235" t="e">
        <f>AND('Calendario Académico 2014'!Z5,"AAAAAHuvv90=")</f>
        <v>#VALUE!</v>
      </c>
      <c r="HO235" t="e">
        <f>AND('Calendario Académico 2014'!AA5,"AAAAAHuvv94=")</f>
        <v>#VALUE!</v>
      </c>
      <c r="HP235" t="e">
        <f>AND('Calendario Académico 2014'!AB5,"AAAAAHuvv98=")</f>
        <v>#VALUE!</v>
      </c>
      <c r="HQ235" t="e">
        <f>AND('Calendario Académico 2014'!AC5,"AAAAAHuvv+A=")</f>
        <v>#VALUE!</v>
      </c>
      <c r="HR235" t="e">
        <f>AND('Calendario Académico 2014'!AD5,"AAAAAHuvv+E=")</f>
        <v>#VALUE!</v>
      </c>
      <c r="HS235" t="e">
        <f>AND('Calendario Académico 2014'!AE5,"AAAAAHuvv+I=")</f>
        <v>#VALUE!</v>
      </c>
      <c r="HT235" t="e">
        <f>AND('Calendario Académico 2014'!AF5,"AAAAAHuvv+M=")</f>
        <v>#VALUE!</v>
      </c>
      <c r="HU235" t="e">
        <f>AND('Calendario Académico 2014'!AG5,"AAAAAHuvv+Q=")</f>
        <v>#VALUE!</v>
      </c>
      <c r="HV235" t="e">
        <f>AND('Calendario Académico 2014'!AH5,"AAAAAHuvv+U=")</f>
        <v>#VALUE!</v>
      </c>
      <c r="HW235">
        <f>IF('Calendario Académico 2014'!6:6,"AAAAAHuvv+Y=",0)</f>
        <v>0</v>
      </c>
      <c r="HX235" t="e">
        <f>AND('Calendario Académico 2014'!A6,"AAAAAHuvv+c=")</f>
        <v>#VALUE!</v>
      </c>
      <c r="HY235" t="e">
        <f>AND('Calendario Académico 2014'!B6,"AAAAAHuvv+g=")</f>
        <v>#VALUE!</v>
      </c>
      <c r="HZ235" t="e">
        <f>AND('Calendario Académico 2014'!C6,"AAAAAHuvv+k=")</f>
        <v>#VALUE!</v>
      </c>
      <c r="IA235" t="e">
        <f>AND('Calendario Académico 2014'!D6,"AAAAAHuvv+o=")</f>
        <v>#VALUE!</v>
      </c>
      <c r="IB235" t="e">
        <f>AND('Calendario Académico 2014'!E6,"AAAAAHuvv+s=")</f>
        <v>#VALUE!</v>
      </c>
      <c r="IC235" t="e">
        <f>AND('Calendario Académico 2014'!F6,"AAAAAHuvv+w=")</f>
        <v>#VALUE!</v>
      </c>
      <c r="ID235" t="e">
        <f>AND('Calendario Académico 2014'!G6,"AAAAAHuvv+0=")</f>
        <v>#VALUE!</v>
      </c>
      <c r="IE235" t="e">
        <f>AND('Calendario Académico 2014'!H6,"AAAAAHuvv+4=")</f>
        <v>#VALUE!</v>
      </c>
      <c r="IF235" t="e">
        <f>AND('Calendario Académico 2014'!I6,"AAAAAHuvv+8=")</f>
        <v>#VALUE!</v>
      </c>
      <c r="IG235" t="e">
        <f>AND('Calendario Académico 2014'!J6,"AAAAAHuvv/A=")</f>
        <v>#VALUE!</v>
      </c>
      <c r="IH235" t="e">
        <f>AND('Calendario Académico 2014'!K6,"AAAAAHuvv/E=")</f>
        <v>#VALUE!</v>
      </c>
      <c r="II235" t="e">
        <f>AND('Calendario Académico 2014'!L6,"AAAAAHuvv/I=")</f>
        <v>#VALUE!</v>
      </c>
      <c r="IJ235" t="e">
        <f>AND('Calendario Académico 2014'!M6,"AAAAAHuvv/M=")</f>
        <v>#VALUE!</v>
      </c>
      <c r="IK235" t="e">
        <f>AND('Calendario Académico 2014'!N6,"AAAAAHuvv/Q=")</f>
        <v>#VALUE!</v>
      </c>
      <c r="IL235" t="e">
        <f>AND('Calendario Académico 2014'!O6,"AAAAAHuvv/U=")</f>
        <v>#VALUE!</v>
      </c>
      <c r="IM235" t="e">
        <f>AND('Calendario Académico 2014'!P6,"AAAAAHuvv/Y=")</f>
        <v>#VALUE!</v>
      </c>
      <c r="IN235" t="e">
        <f>AND('Calendario Académico 2014'!Q6,"AAAAAHuvv/c=")</f>
        <v>#VALUE!</v>
      </c>
      <c r="IO235" t="e">
        <f>AND('Calendario Académico 2014'!R6,"AAAAAHuvv/g=")</f>
        <v>#VALUE!</v>
      </c>
      <c r="IP235" t="e">
        <f>AND('Calendario Académico 2014'!S6,"AAAAAHuvv/k=")</f>
        <v>#VALUE!</v>
      </c>
      <c r="IQ235" t="e">
        <f>AND('Calendario Académico 2014'!T6,"AAAAAHuvv/o=")</f>
        <v>#VALUE!</v>
      </c>
      <c r="IR235" t="e">
        <f>AND('Calendario Académico 2014'!U6,"AAAAAHuvv/s=")</f>
        <v>#VALUE!</v>
      </c>
      <c r="IS235" t="e">
        <f>AND('Calendario Académico 2014'!V6,"AAAAAHuvv/w=")</f>
        <v>#VALUE!</v>
      </c>
      <c r="IT235" t="e">
        <f>AND('Calendario Académico 2014'!W6,"AAAAAHuvv/0=")</f>
        <v>#VALUE!</v>
      </c>
      <c r="IU235" t="e">
        <f>AND('Calendario Académico 2014'!X6,"AAAAAHuvv/4=")</f>
        <v>#VALUE!</v>
      </c>
      <c r="IV235" t="e">
        <f>AND('Calendario Académico 2014'!Y6,"AAAAAHuvv/8=")</f>
        <v>#VALUE!</v>
      </c>
    </row>
    <row r="236" spans="1:256" x14ac:dyDescent="0.2">
      <c r="A236" t="e">
        <f>AND('Calendario Académico 2014'!Z6,"AAAAAH38/wA=")</f>
        <v>#VALUE!</v>
      </c>
      <c r="B236" t="e">
        <f>AND('Calendario Académico 2014'!AA6,"AAAAAH38/wE=")</f>
        <v>#VALUE!</v>
      </c>
      <c r="C236" t="e">
        <f>AND('Calendario Académico 2014'!AB6,"AAAAAH38/wI=")</f>
        <v>#VALUE!</v>
      </c>
      <c r="D236" t="e">
        <f>AND('Calendario Académico 2014'!AC6,"AAAAAH38/wM=")</f>
        <v>#VALUE!</v>
      </c>
      <c r="E236" t="e">
        <f>AND('Calendario Académico 2014'!AD6,"AAAAAH38/wQ=")</f>
        <v>#VALUE!</v>
      </c>
      <c r="F236" t="e">
        <f>AND('Calendario Académico 2014'!AE6,"AAAAAH38/wU=")</f>
        <v>#VALUE!</v>
      </c>
      <c r="G236" t="e">
        <f>AND('Calendario Académico 2014'!AF6,"AAAAAH38/wY=")</f>
        <v>#VALUE!</v>
      </c>
      <c r="H236" t="e">
        <f>AND('Calendario Académico 2014'!AG6,"AAAAAH38/wc=")</f>
        <v>#VALUE!</v>
      </c>
      <c r="I236" t="e">
        <f>AND('Calendario Académico 2014'!AH6,"AAAAAH38/wg=")</f>
        <v>#VALUE!</v>
      </c>
      <c r="J236" t="str">
        <f>IF('Calendario Académico 2014'!7:7,"AAAAAH38/wk=",0)</f>
        <v>AAAAAH38/wk=</v>
      </c>
      <c r="K236" t="e">
        <f>AND('Calendario Académico 2014'!A7,"AAAAAH38/wo=")</f>
        <v>#VALUE!</v>
      </c>
      <c r="L236" t="e">
        <f>AND('Calendario Académico 2014'!B7,"AAAAAH38/ws=")</f>
        <v>#VALUE!</v>
      </c>
      <c r="M236" t="e">
        <f>AND('Calendario Académico 2014'!C7,"AAAAAH38/ww=")</f>
        <v>#VALUE!</v>
      </c>
      <c r="N236" t="e">
        <f>AND('Calendario Académico 2014'!D7,"AAAAAH38/w0=")</f>
        <v>#VALUE!</v>
      </c>
      <c r="O236" t="e">
        <f>AND('Calendario Académico 2014'!E7,"AAAAAH38/w4=")</f>
        <v>#VALUE!</v>
      </c>
      <c r="P236" t="e">
        <f>AND('Calendario Académico 2014'!F7,"AAAAAH38/w8=")</f>
        <v>#VALUE!</v>
      </c>
      <c r="Q236" t="e">
        <f>AND('Calendario Académico 2014'!G7,"AAAAAH38/xA=")</f>
        <v>#VALUE!</v>
      </c>
      <c r="R236" t="e">
        <f>AND('Calendario Académico 2014'!H7,"AAAAAH38/xE=")</f>
        <v>#VALUE!</v>
      </c>
      <c r="S236" t="e">
        <f>AND('Calendario Académico 2014'!I7,"AAAAAH38/xI=")</f>
        <v>#VALUE!</v>
      </c>
      <c r="T236" t="e">
        <f>AND('Calendario Académico 2014'!J7,"AAAAAH38/xM=")</f>
        <v>#VALUE!</v>
      </c>
      <c r="U236" t="e">
        <f>AND('Calendario Académico 2014'!K7,"AAAAAH38/xQ=")</f>
        <v>#VALUE!</v>
      </c>
      <c r="V236" t="e">
        <f>AND('Calendario Académico 2014'!L7,"AAAAAH38/xU=")</f>
        <v>#VALUE!</v>
      </c>
      <c r="W236" t="e">
        <f>AND('Calendario Académico 2014'!M7,"AAAAAH38/xY=")</f>
        <v>#VALUE!</v>
      </c>
      <c r="X236" t="e">
        <f>AND('Calendario Académico 2014'!N7,"AAAAAH38/xc=")</f>
        <v>#VALUE!</v>
      </c>
      <c r="Y236" t="e">
        <f>AND('Calendario Académico 2014'!O7,"AAAAAH38/xg=")</f>
        <v>#VALUE!</v>
      </c>
      <c r="Z236" t="e">
        <f>AND('Calendario Académico 2014'!P7,"AAAAAH38/xk=")</f>
        <v>#VALUE!</v>
      </c>
      <c r="AA236" t="e">
        <f>AND('Calendario Académico 2014'!Q7,"AAAAAH38/xo=")</f>
        <v>#VALUE!</v>
      </c>
      <c r="AB236" t="e">
        <f>AND('Calendario Académico 2014'!R7,"AAAAAH38/xs=")</f>
        <v>#VALUE!</v>
      </c>
      <c r="AC236" t="e">
        <f>AND('Calendario Académico 2014'!S7,"AAAAAH38/xw=")</f>
        <v>#VALUE!</v>
      </c>
      <c r="AD236" t="e">
        <f>AND('Calendario Académico 2014'!T7,"AAAAAH38/x0=")</f>
        <v>#VALUE!</v>
      </c>
      <c r="AE236" t="e">
        <f>AND('Calendario Académico 2014'!U7,"AAAAAH38/x4=")</f>
        <v>#VALUE!</v>
      </c>
      <c r="AF236" t="e">
        <f>AND('Calendario Académico 2014'!V7,"AAAAAH38/x8=")</f>
        <v>#VALUE!</v>
      </c>
      <c r="AG236" t="e">
        <f>AND('Calendario Académico 2014'!W7,"AAAAAH38/yA=")</f>
        <v>#VALUE!</v>
      </c>
      <c r="AH236" t="e">
        <f>AND('Calendario Académico 2014'!X7,"AAAAAH38/yE=")</f>
        <v>#VALUE!</v>
      </c>
      <c r="AI236" t="e">
        <f>AND('Calendario Académico 2014'!Y7,"AAAAAH38/yI=")</f>
        <v>#VALUE!</v>
      </c>
      <c r="AJ236" t="e">
        <f>AND('Calendario Académico 2014'!Z7,"AAAAAH38/yM=")</f>
        <v>#VALUE!</v>
      </c>
      <c r="AK236" t="e">
        <f>AND('Calendario Académico 2014'!AA7,"AAAAAH38/yQ=")</f>
        <v>#VALUE!</v>
      </c>
      <c r="AL236" t="e">
        <f>AND('Calendario Académico 2014'!AB7,"AAAAAH38/yU=")</f>
        <v>#VALUE!</v>
      </c>
      <c r="AM236" t="e">
        <f>AND('Calendario Académico 2014'!AC7,"AAAAAH38/yY=")</f>
        <v>#VALUE!</v>
      </c>
      <c r="AN236" t="e">
        <f>AND('Calendario Académico 2014'!AD7,"AAAAAH38/yc=")</f>
        <v>#VALUE!</v>
      </c>
      <c r="AO236" t="e">
        <f>AND('Calendario Académico 2014'!AE7,"AAAAAH38/yg=")</f>
        <v>#VALUE!</v>
      </c>
      <c r="AP236" t="e">
        <f>AND('Calendario Académico 2014'!AF7,"AAAAAH38/yk=")</f>
        <v>#VALUE!</v>
      </c>
      <c r="AQ236" t="e">
        <f>AND('Calendario Académico 2014'!AG7,"AAAAAH38/yo=")</f>
        <v>#VALUE!</v>
      </c>
      <c r="AR236" t="e">
        <f>AND('Calendario Académico 2014'!AH7,"AAAAAH38/ys=")</f>
        <v>#VALUE!</v>
      </c>
      <c r="AS236">
        <f>IF('Calendario Académico 2014'!8:8,"AAAAAH38/yw=",0)</f>
        <v>0</v>
      </c>
      <c r="AT236" t="e">
        <f>AND('Calendario Académico 2014'!A8,"AAAAAH38/y0=")</f>
        <v>#VALUE!</v>
      </c>
      <c r="AU236" t="e">
        <f>AND('Calendario Académico 2014'!B8,"AAAAAH38/y4=")</f>
        <v>#VALUE!</v>
      </c>
      <c r="AV236" t="e">
        <f>AND('Calendario Académico 2014'!C8,"AAAAAH38/y8=")</f>
        <v>#VALUE!</v>
      </c>
      <c r="AW236" t="e">
        <f>AND('Calendario Académico 2014'!D8,"AAAAAH38/zA=")</f>
        <v>#VALUE!</v>
      </c>
      <c r="AX236" t="e">
        <f>AND('Calendario Académico 2014'!E8,"AAAAAH38/zE=")</f>
        <v>#VALUE!</v>
      </c>
      <c r="AY236" t="e">
        <f>AND('Calendario Académico 2014'!F8,"AAAAAH38/zI=")</f>
        <v>#VALUE!</v>
      </c>
      <c r="AZ236" t="e">
        <f>AND('Calendario Académico 2014'!G8,"AAAAAH38/zM=")</f>
        <v>#VALUE!</v>
      </c>
      <c r="BA236" t="e">
        <f>AND('Calendario Académico 2014'!H8,"AAAAAH38/zQ=")</f>
        <v>#VALUE!</v>
      </c>
      <c r="BB236" t="e">
        <f>AND('Calendario Académico 2014'!I8,"AAAAAH38/zU=")</f>
        <v>#VALUE!</v>
      </c>
      <c r="BC236" t="e">
        <f>AND('Calendario Académico 2014'!J8,"AAAAAH38/zY=")</f>
        <v>#VALUE!</v>
      </c>
      <c r="BD236" t="e">
        <f>AND('Calendario Académico 2014'!K8,"AAAAAH38/zc=")</f>
        <v>#VALUE!</v>
      </c>
      <c r="BE236" t="e">
        <f>AND('Calendario Académico 2014'!L8,"AAAAAH38/zg=")</f>
        <v>#VALUE!</v>
      </c>
      <c r="BF236" t="e">
        <f>AND('Calendario Académico 2014'!M8,"AAAAAH38/zk=")</f>
        <v>#VALUE!</v>
      </c>
      <c r="BG236" t="e">
        <f>AND('Calendario Académico 2014'!N8,"AAAAAH38/zo=")</f>
        <v>#VALUE!</v>
      </c>
      <c r="BH236" t="e">
        <f>AND('Calendario Académico 2014'!O8,"AAAAAH38/zs=")</f>
        <v>#VALUE!</v>
      </c>
      <c r="BI236" t="e">
        <f>AND('Calendario Académico 2014'!P8,"AAAAAH38/zw=")</f>
        <v>#VALUE!</v>
      </c>
      <c r="BJ236" t="e">
        <f>AND('Calendario Académico 2014'!Q8,"AAAAAH38/z0=")</f>
        <v>#VALUE!</v>
      </c>
      <c r="BK236" t="e">
        <f>AND('Calendario Académico 2014'!R8,"AAAAAH38/z4=")</f>
        <v>#VALUE!</v>
      </c>
      <c r="BL236" t="e">
        <f>AND('Calendario Académico 2014'!S8,"AAAAAH38/z8=")</f>
        <v>#VALUE!</v>
      </c>
      <c r="BM236" t="e">
        <f>AND('Calendario Académico 2014'!T8,"AAAAAH38/0A=")</f>
        <v>#VALUE!</v>
      </c>
      <c r="BN236" t="e">
        <f>AND('Calendario Académico 2014'!U8,"AAAAAH38/0E=")</f>
        <v>#VALUE!</v>
      </c>
      <c r="BO236" t="e">
        <f>AND('Calendario Académico 2014'!V8,"AAAAAH38/0I=")</f>
        <v>#VALUE!</v>
      </c>
      <c r="BP236" t="e">
        <f>AND('Calendario Académico 2014'!W8,"AAAAAH38/0M=")</f>
        <v>#VALUE!</v>
      </c>
      <c r="BQ236" t="e">
        <f>AND('Calendario Académico 2014'!X8,"AAAAAH38/0Q=")</f>
        <v>#VALUE!</v>
      </c>
      <c r="BR236" t="e">
        <f>AND('Calendario Académico 2014'!Y8,"AAAAAH38/0U=")</f>
        <v>#VALUE!</v>
      </c>
      <c r="BS236" t="e">
        <f>AND('Calendario Académico 2014'!Z8,"AAAAAH38/0Y=")</f>
        <v>#VALUE!</v>
      </c>
      <c r="BT236" t="e">
        <f>AND('Calendario Académico 2014'!AA8,"AAAAAH38/0c=")</f>
        <v>#VALUE!</v>
      </c>
      <c r="BU236" t="e">
        <f>AND('Calendario Académico 2014'!AB8,"AAAAAH38/0g=")</f>
        <v>#VALUE!</v>
      </c>
      <c r="BV236" t="e">
        <f>AND('Calendario Académico 2014'!AC8,"AAAAAH38/0k=")</f>
        <v>#VALUE!</v>
      </c>
      <c r="BW236" t="e">
        <f>AND('Calendario Académico 2014'!AD8,"AAAAAH38/0o=")</f>
        <v>#VALUE!</v>
      </c>
      <c r="BX236" t="e">
        <f>AND('Calendario Académico 2014'!AE8,"AAAAAH38/0s=")</f>
        <v>#VALUE!</v>
      </c>
      <c r="BY236" t="e">
        <f>AND('Calendario Académico 2014'!AF8,"AAAAAH38/0w=")</f>
        <v>#VALUE!</v>
      </c>
      <c r="BZ236" t="e">
        <f>AND('Calendario Académico 2014'!AG8,"AAAAAH38/00=")</f>
        <v>#VALUE!</v>
      </c>
      <c r="CA236" t="e">
        <f>AND('Calendario Académico 2014'!AH8,"AAAAAH38/04=")</f>
        <v>#VALUE!</v>
      </c>
      <c r="CB236">
        <f>IF('Calendario Académico 2014'!9:9,"AAAAAH38/08=",0)</f>
        <v>0</v>
      </c>
      <c r="CC236" t="e">
        <f>AND('Calendario Académico 2014'!A9,"AAAAAH38/1A=")</f>
        <v>#VALUE!</v>
      </c>
      <c r="CD236" t="e">
        <f>AND('Calendario Académico 2014'!B9,"AAAAAH38/1E=")</f>
        <v>#VALUE!</v>
      </c>
      <c r="CE236" t="e">
        <f>AND('Calendario Académico 2014'!C9,"AAAAAH38/1I=")</f>
        <v>#VALUE!</v>
      </c>
      <c r="CF236" t="e">
        <f>AND('Calendario Académico 2014'!D9,"AAAAAH38/1M=")</f>
        <v>#VALUE!</v>
      </c>
      <c r="CG236" t="e">
        <f>AND('Calendario Académico 2014'!E9,"AAAAAH38/1Q=")</f>
        <v>#VALUE!</v>
      </c>
      <c r="CH236" t="e">
        <f>AND('Calendario Académico 2014'!F9,"AAAAAH38/1U=")</f>
        <v>#VALUE!</v>
      </c>
      <c r="CI236" t="e">
        <f>AND('Calendario Académico 2014'!G9,"AAAAAH38/1Y=")</f>
        <v>#VALUE!</v>
      </c>
      <c r="CJ236" t="e">
        <f>AND('Calendario Académico 2014'!H9,"AAAAAH38/1c=")</f>
        <v>#VALUE!</v>
      </c>
      <c r="CK236" t="e">
        <f>AND('Calendario Académico 2014'!I9,"AAAAAH38/1g=")</f>
        <v>#VALUE!</v>
      </c>
      <c r="CL236" t="e">
        <f>AND('Calendario Académico 2014'!J9,"AAAAAH38/1k=")</f>
        <v>#VALUE!</v>
      </c>
      <c r="CM236" t="e">
        <f>AND('Calendario Académico 2014'!K9,"AAAAAH38/1o=")</f>
        <v>#VALUE!</v>
      </c>
      <c r="CN236" t="e">
        <f>AND('Calendario Académico 2014'!L9,"AAAAAH38/1s=")</f>
        <v>#VALUE!</v>
      </c>
      <c r="CO236" t="e">
        <f>AND('Calendario Académico 2014'!M9,"AAAAAH38/1w=")</f>
        <v>#VALUE!</v>
      </c>
      <c r="CP236" t="e">
        <f>AND('Calendario Académico 2014'!N9,"AAAAAH38/10=")</f>
        <v>#VALUE!</v>
      </c>
      <c r="CQ236" t="e">
        <f>AND('Calendario Académico 2014'!O9,"AAAAAH38/14=")</f>
        <v>#VALUE!</v>
      </c>
      <c r="CR236" t="e">
        <f>AND('Calendario Académico 2014'!P9,"AAAAAH38/18=")</f>
        <v>#VALUE!</v>
      </c>
      <c r="CS236" t="e">
        <f>AND('Calendario Académico 2014'!Q9,"AAAAAH38/2A=")</f>
        <v>#VALUE!</v>
      </c>
      <c r="CT236" t="e">
        <f>AND('Calendario Académico 2014'!R9,"AAAAAH38/2E=")</f>
        <v>#VALUE!</v>
      </c>
      <c r="CU236" t="e">
        <f>AND('Calendario Académico 2014'!S9,"AAAAAH38/2I=")</f>
        <v>#VALUE!</v>
      </c>
      <c r="CV236" t="e">
        <f>AND('Calendario Académico 2014'!T9,"AAAAAH38/2M=")</f>
        <v>#VALUE!</v>
      </c>
      <c r="CW236" t="e">
        <f>AND('Calendario Académico 2014'!U9,"AAAAAH38/2Q=")</f>
        <v>#VALUE!</v>
      </c>
      <c r="CX236" t="e">
        <f>AND('Calendario Académico 2014'!V9,"AAAAAH38/2U=")</f>
        <v>#VALUE!</v>
      </c>
      <c r="CY236" t="e">
        <f>AND('Calendario Académico 2014'!W9,"AAAAAH38/2Y=")</f>
        <v>#VALUE!</v>
      </c>
      <c r="CZ236" t="e">
        <f>AND('Calendario Académico 2014'!X9,"AAAAAH38/2c=")</f>
        <v>#VALUE!</v>
      </c>
      <c r="DA236" t="e">
        <f>AND('Calendario Académico 2014'!Y9,"AAAAAH38/2g=")</f>
        <v>#VALUE!</v>
      </c>
      <c r="DB236" t="e">
        <f>AND('Calendario Académico 2014'!Z9,"AAAAAH38/2k=")</f>
        <v>#VALUE!</v>
      </c>
      <c r="DC236" t="e">
        <f>AND('Calendario Académico 2014'!AA9,"AAAAAH38/2o=")</f>
        <v>#VALUE!</v>
      </c>
      <c r="DD236" t="e">
        <f>AND('Calendario Académico 2014'!AB9,"AAAAAH38/2s=")</f>
        <v>#VALUE!</v>
      </c>
      <c r="DE236" t="e">
        <f>AND('Calendario Académico 2014'!AC9,"AAAAAH38/2w=")</f>
        <v>#VALUE!</v>
      </c>
      <c r="DF236" t="e">
        <f>AND('Calendario Académico 2014'!AD9,"AAAAAH38/20=")</f>
        <v>#VALUE!</v>
      </c>
      <c r="DG236" t="e">
        <f>AND('Calendario Académico 2014'!AE9,"AAAAAH38/24=")</f>
        <v>#VALUE!</v>
      </c>
      <c r="DH236" t="e">
        <f>AND('Calendario Académico 2014'!AF9,"AAAAAH38/28=")</f>
        <v>#VALUE!</v>
      </c>
      <c r="DI236" t="e">
        <f>AND('Calendario Académico 2014'!AG9,"AAAAAH38/3A=")</f>
        <v>#VALUE!</v>
      </c>
      <c r="DJ236" t="e">
        <f>AND('Calendario Académico 2014'!AH9,"AAAAAH38/3E=")</f>
        <v>#VALUE!</v>
      </c>
      <c r="DK236">
        <f>IF('Calendario Académico 2014'!10:10,"AAAAAH38/3I=",0)</f>
        <v>0</v>
      </c>
      <c r="DL236" t="e">
        <f>AND('Calendario Académico 2014'!A10,"AAAAAH38/3M=")</f>
        <v>#VALUE!</v>
      </c>
      <c r="DM236" t="e">
        <f>AND('Calendario Académico 2014'!B10,"AAAAAH38/3Q=")</f>
        <v>#VALUE!</v>
      </c>
      <c r="DN236" t="e">
        <f>AND('Calendario Académico 2014'!C10,"AAAAAH38/3U=")</f>
        <v>#VALUE!</v>
      </c>
      <c r="DO236" t="e">
        <f>AND('Calendario Académico 2014'!D10,"AAAAAH38/3Y=")</f>
        <v>#VALUE!</v>
      </c>
      <c r="DP236" t="e">
        <f>AND('Calendario Académico 2014'!E10,"AAAAAH38/3c=")</f>
        <v>#VALUE!</v>
      </c>
      <c r="DQ236" t="e">
        <f>AND('Calendario Académico 2014'!F10,"AAAAAH38/3g=")</f>
        <v>#VALUE!</v>
      </c>
      <c r="DR236" t="e">
        <f>AND('Calendario Académico 2014'!G10,"AAAAAH38/3k=")</f>
        <v>#VALUE!</v>
      </c>
      <c r="DS236" t="e">
        <f>AND('Calendario Académico 2014'!H10,"AAAAAH38/3o=")</f>
        <v>#VALUE!</v>
      </c>
      <c r="DT236" t="e">
        <f>AND('Calendario Académico 2014'!I10,"AAAAAH38/3s=")</f>
        <v>#VALUE!</v>
      </c>
      <c r="DU236" t="e">
        <f>AND('Calendario Académico 2014'!J10,"AAAAAH38/3w=")</f>
        <v>#VALUE!</v>
      </c>
      <c r="DV236" t="e">
        <f>AND('Calendario Académico 2014'!K10,"AAAAAH38/30=")</f>
        <v>#VALUE!</v>
      </c>
      <c r="DW236" t="e">
        <f>AND('Calendario Académico 2014'!L10,"AAAAAH38/34=")</f>
        <v>#VALUE!</v>
      </c>
      <c r="DX236" t="e">
        <f>AND('Calendario Académico 2014'!M10,"AAAAAH38/38=")</f>
        <v>#VALUE!</v>
      </c>
      <c r="DY236" t="e">
        <f>AND('Calendario Académico 2014'!N10,"AAAAAH38/4A=")</f>
        <v>#VALUE!</v>
      </c>
      <c r="DZ236" t="e">
        <f>AND('Calendario Académico 2014'!O10,"AAAAAH38/4E=")</f>
        <v>#VALUE!</v>
      </c>
      <c r="EA236" t="e">
        <f>AND('Calendario Académico 2014'!P10,"AAAAAH38/4I=")</f>
        <v>#VALUE!</v>
      </c>
      <c r="EB236" t="e">
        <f>AND('Calendario Académico 2014'!Q10,"AAAAAH38/4M=")</f>
        <v>#VALUE!</v>
      </c>
      <c r="EC236" t="e">
        <f>AND('Calendario Académico 2014'!R10,"AAAAAH38/4Q=")</f>
        <v>#VALUE!</v>
      </c>
      <c r="ED236" t="e">
        <f>AND('Calendario Académico 2014'!S10,"AAAAAH38/4U=")</f>
        <v>#VALUE!</v>
      </c>
      <c r="EE236" t="e">
        <f>AND('Calendario Académico 2014'!T10,"AAAAAH38/4Y=")</f>
        <v>#VALUE!</v>
      </c>
      <c r="EF236" t="e">
        <f>AND('Calendario Académico 2014'!U10,"AAAAAH38/4c=")</f>
        <v>#VALUE!</v>
      </c>
      <c r="EG236" t="e">
        <f>AND('Calendario Académico 2014'!V10,"AAAAAH38/4g=")</f>
        <v>#VALUE!</v>
      </c>
      <c r="EH236" t="e">
        <f>AND('Calendario Académico 2014'!W10,"AAAAAH38/4k=")</f>
        <v>#VALUE!</v>
      </c>
      <c r="EI236" t="e">
        <f>AND('Calendario Académico 2014'!X10,"AAAAAH38/4o=")</f>
        <v>#VALUE!</v>
      </c>
      <c r="EJ236" t="e">
        <f>AND('Calendario Académico 2014'!Y10,"AAAAAH38/4s=")</f>
        <v>#VALUE!</v>
      </c>
      <c r="EK236" t="e">
        <f>AND('Calendario Académico 2014'!Z10,"AAAAAH38/4w=")</f>
        <v>#VALUE!</v>
      </c>
      <c r="EL236" t="e">
        <f>AND('Calendario Académico 2014'!AA10,"AAAAAH38/40=")</f>
        <v>#VALUE!</v>
      </c>
      <c r="EM236" t="e">
        <f>AND('Calendario Académico 2014'!AB10,"AAAAAH38/44=")</f>
        <v>#VALUE!</v>
      </c>
      <c r="EN236" t="e">
        <f>AND('Calendario Académico 2014'!AC10,"AAAAAH38/48=")</f>
        <v>#VALUE!</v>
      </c>
      <c r="EO236" t="e">
        <f>AND('Calendario Académico 2014'!AD10,"AAAAAH38/5A=")</f>
        <v>#VALUE!</v>
      </c>
      <c r="EP236" t="e">
        <f>AND('Calendario Académico 2014'!AE10,"AAAAAH38/5E=")</f>
        <v>#VALUE!</v>
      </c>
      <c r="EQ236" t="e">
        <f>AND('Calendario Académico 2014'!AF10,"AAAAAH38/5I=")</f>
        <v>#VALUE!</v>
      </c>
      <c r="ER236" t="e">
        <f>AND('Calendario Académico 2014'!AG10,"AAAAAH38/5M=")</f>
        <v>#VALUE!</v>
      </c>
      <c r="ES236" t="e">
        <f>AND('Calendario Académico 2014'!AH10,"AAAAAH38/5Q=")</f>
        <v>#VALUE!</v>
      </c>
      <c r="ET236">
        <f>IF('Calendario Académico 2014'!11:11,"AAAAAH38/5U=",0)</f>
        <v>0</v>
      </c>
      <c r="EU236" t="e">
        <f>AND('Calendario Académico 2014'!A11,"AAAAAH38/5Y=")</f>
        <v>#VALUE!</v>
      </c>
      <c r="EV236" t="e">
        <f>AND('Calendario Académico 2014'!B11,"AAAAAH38/5c=")</f>
        <v>#VALUE!</v>
      </c>
      <c r="EW236" t="e">
        <f>AND('Calendario Académico 2014'!C11,"AAAAAH38/5g=")</f>
        <v>#VALUE!</v>
      </c>
      <c r="EX236" t="e">
        <f>AND('Calendario Académico 2014'!D11,"AAAAAH38/5k=")</f>
        <v>#VALUE!</v>
      </c>
      <c r="EY236" t="e">
        <f>AND('Calendario Académico 2014'!E11,"AAAAAH38/5o=")</f>
        <v>#VALUE!</v>
      </c>
      <c r="EZ236" t="e">
        <f>AND('Calendario Académico 2014'!F11,"AAAAAH38/5s=")</f>
        <v>#VALUE!</v>
      </c>
      <c r="FA236" t="e">
        <f>AND('Calendario Académico 2014'!G11,"AAAAAH38/5w=")</f>
        <v>#VALUE!</v>
      </c>
      <c r="FB236" t="e">
        <f>AND('Calendario Académico 2014'!H11,"AAAAAH38/50=")</f>
        <v>#VALUE!</v>
      </c>
      <c r="FC236" t="e">
        <f>AND('Calendario Académico 2014'!I11,"AAAAAH38/54=")</f>
        <v>#VALUE!</v>
      </c>
      <c r="FD236" t="e">
        <f>AND('Calendario Académico 2014'!J11,"AAAAAH38/58=")</f>
        <v>#VALUE!</v>
      </c>
      <c r="FE236" t="e">
        <f>AND('Calendario Académico 2014'!K11,"AAAAAH38/6A=")</f>
        <v>#VALUE!</v>
      </c>
      <c r="FF236" t="e">
        <f>AND('Calendario Académico 2014'!L11,"AAAAAH38/6E=")</f>
        <v>#VALUE!</v>
      </c>
      <c r="FG236" t="e">
        <f>AND('Calendario Académico 2014'!M11,"AAAAAH38/6I=")</f>
        <v>#VALUE!</v>
      </c>
      <c r="FH236" t="e">
        <f>AND('Calendario Académico 2014'!N11,"AAAAAH38/6M=")</f>
        <v>#VALUE!</v>
      </c>
      <c r="FI236" t="e">
        <f>AND('Calendario Académico 2014'!O11,"AAAAAH38/6Q=")</f>
        <v>#VALUE!</v>
      </c>
      <c r="FJ236" t="e">
        <f>AND('Calendario Académico 2014'!P11,"AAAAAH38/6U=")</f>
        <v>#VALUE!</v>
      </c>
      <c r="FK236" t="e">
        <f>AND('Calendario Académico 2014'!Q11,"AAAAAH38/6Y=")</f>
        <v>#VALUE!</v>
      </c>
      <c r="FL236" t="e">
        <f>AND('Calendario Académico 2014'!R11,"AAAAAH38/6c=")</f>
        <v>#VALUE!</v>
      </c>
      <c r="FM236" t="e">
        <f>AND('Calendario Académico 2014'!S11,"AAAAAH38/6g=")</f>
        <v>#VALUE!</v>
      </c>
      <c r="FN236" t="e">
        <f>AND('Calendario Académico 2014'!T11,"AAAAAH38/6k=")</f>
        <v>#VALUE!</v>
      </c>
      <c r="FO236" t="e">
        <f>AND('Calendario Académico 2014'!U11,"AAAAAH38/6o=")</f>
        <v>#VALUE!</v>
      </c>
      <c r="FP236" t="e">
        <f>AND('Calendario Académico 2014'!V11,"AAAAAH38/6s=")</f>
        <v>#VALUE!</v>
      </c>
      <c r="FQ236" t="e">
        <f>AND('Calendario Académico 2014'!W11,"AAAAAH38/6w=")</f>
        <v>#VALUE!</v>
      </c>
      <c r="FR236" t="e">
        <f>AND('Calendario Académico 2014'!X11,"AAAAAH38/60=")</f>
        <v>#VALUE!</v>
      </c>
      <c r="FS236" t="e">
        <f>AND('Calendario Académico 2014'!Y11,"AAAAAH38/64=")</f>
        <v>#VALUE!</v>
      </c>
      <c r="FT236" t="e">
        <f>AND('Calendario Académico 2014'!Z11,"AAAAAH38/68=")</f>
        <v>#VALUE!</v>
      </c>
      <c r="FU236" t="e">
        <f>AND('Calendario Académico 2014'!AA11,"AAAAAH38/7A=")</f>
        <v>#VALUE!</v>
      </c>
      <c r="FV236" t="e">
        <f>AND('Calendario Académico 2014'!AB11,"AAAAAH38/7E=")</f>
        <v>#VALUE!</v>
      </c>
      <c r="FW236" t="e">
        <f>AND('Calendario Académico 2014'!AC11,"AAAAAH38/7I=")</f>
        <v>#VALUE!</v>
      </c>
      <c r="FX236" t="e">
        <f>AND('Calendario Académico 2014'!AD11,"AAAAAH38/7M=")</f>
        <v>#VALUE!</v>
      </c>
      <c r="FY236" t="e">
        <f>AND('Calendario Académico 2014'!AE11,"AAAAAH38/7Q=")</f>
        <v>#VALUE!</v>
      </c>
      <c r="FZ236" t="e">
        <f>AND('Calendario Académico 2014'!AF11,"AAAAAH38/7U=")</f>
        <v>#VALUE!</v>
      </c>
      <c r="GA236" t="e">
        <f>AND('Calendario Académico 2014'!AG11,"AAAAAH38/7Y=")</f>
        <v>#VALUE!</v>
      </c>
      <c r="GB236" t="e">
        <f>AND('Calendario Académico 2014'!AH11,"AAAAAH38/7c=")</f>
        <v>#VALUE!</v>
      </c>
      <c r="GC236">
        <f>IF('Calendario Académico 2014'!12:12,"AAAAAH38/7g=",0)</f>
        <v>0</v>
      </c>
      <c r="GD236" t="e">
        <f>AND('Calendario Académico 2014'!A12,"AAAAAH38/7k=")</f>
        <v>#VALUE!</v>
      </c>
      <c r="GE236" t="e">
        <f>AND('Calendario Académico 2014'!B12,"AAAAAH38/7o=")</f>
        <v>#VALUE!</v>
      </c>
      <c r="GF236" t="e">
        <f>AND('Calendario Académico 2014'!C12,"AAAAAH38/7s=")</f>
        <v>#VALUE!</v>
      </c>
      <c r="GG236" t="e">
        <f>AND('Calendario Académico 2014'!D12,"AAAAAH38/7w=")</f>
        <v>#VALUE!</v>
      </c>
      <c r="GH236" t="e">
        <f>AND('Calendario Académico 2014'!E12,"AAAAAH38/70=")</f>
        <v>#VALUE!</v>
      </c>
      <c r="GI236" t="e">
        <f>AND('Calendario Académico 2014'!F12,"AAAAAH38/74=")</f>
        <v>#VALUE!</v>
      </c>
      <c r="GJ236" t="e">
        <f>AND('Calendario Académico 2014'!G12,"AAAAAH38/78=")</f>
        <v>#VALUE!</v>
      </c>
      <c r="GK236" t="e">
        <f>AND('Calendario Académico 2014'!H12,"AAAAAH38/8A=")</f>
        <v>#VALUE!</v>
      </c>
      <c r="GL236" t="e">
        <f>AND('Calendario Académico 2014'!I12,"AAAAAH38/8E=")</f>
        <v>#VALUE!</v>
      </c>
      <c r="GM236" t="e">
        <f>AND('Calendario Académico 2014'!J12,"AAAAAH38/8I=")</f>
        <v>#VALUE!</v>
      </c>
      <c r="GN236" t="e">
        <f>AND('Calendario Académico 2014'!K12,"AAAAAH38/8M=")</f>
        <v>#VALUE!</v>
      </c>
      <c r="GO236" t="e">
        <f>AND('Calendario Académico 2014'!L12,"AAAAAH38/8Q=")</f>
        <v>#VALUE!</v>
      </c>
      <c r="GP236" t="e">
        <f>AND('Calendario Académico 2014'!M12,"AAAAAH38/8U=")</f>
        <v>#VALUE!</v>
      </c>
      <c r="GQ236" t="e">
        <f>AND('Calendario Académico 2014'!N12,"AAAAAH38/8Y=")</f>
        <v>#VALUE!</v>
      </c>
      <c r="GR236" t="e">
        <f>AND('Calendario Académico 2014'!O12,"AAAAAH38/8c=")</f>
        <v>#VALUE!</v>
      </c>
      <c r="GS236" t="e">
        <f>AND('Calendario Académico 2014'!P12,"AAAAAH38/8g=")</f>
        <v>#VALUE!</v>
      </c>
      <c r="GT236" t="e">
        <f>AND('Calendario Académico 2014'!Q12,"AAAAAH38/8k=")</f>
        <v>#VALUE!</v>
      </c>
      <c r="GU236" t="e">
        <f>AND('Calendario Académico 2014'!R12,"AAAAAH38/8o=")</f>
        <v>#VALUE!</v>
      </c>
      <c r="GV236" t="e">
        <f>AND('Calendario Académico 2014'!S12,"AAAAAH38/8s=")</f>
        <v>#VALUE!</v>
      </c>
      <c r="GW236" t="e">
        <f>AND('Calendario Académico 2014'!T12,"AAAAAH38/8w=")</f>
        <v>#VALUE!</v>
      </c>
      <c r="GX236" t="e">
        <f>AND('Calendario Académico 2014'!U12,"AAAAAH38/80=")</f>
        <v>#VALUE!</v>
      </c>
      <c r="GY236" t="e">
        <f>AND('Calendario Académico 2014'!V12,"AAAAAH38/84=")</f>
        <v>#VALUE!</v>
      </c>
      <c r="GZ236" t="e">
        <f>AND('Calendario Académico 2014'!W12,"AAAAAH38/88=")</f>
        <v>#VALUE!</v>
      </c>
      <c r="HA236" t="e">
        <f>AND('Calendario Académico 2014'!X12,"AAAAAH38/9A=")</f>
        <v>#VALUE!</v>
      </c>
      <c r="HB236" t="e">
        <f>AND('Calendario Académico 2014'!Y12,"AAAAAH38/9E=")</f>
        <v>#VALUE!</v>
      </c>
      <c r="HC236" t="e">
        <f>AND('Calendario Académico 2014'!Z12,"AAAAAH38/9I=")</f>
        <v>#VALUE!</v>
      </c>
      <c r="HD236" t="e">
        <f>AND('Calendario Académico 2014'!AA12,"AAAAAH38/9M=")</f>
        <v>#VALUE!</v>
      </c>
      <c r="HE236" t="e">
        <f>AND('Calendario Académico 2014'!AB12,"AAAAAH38/9Q=")</f>
        <v>#VALUE!</v>
      </c>
      <c r="HF236" t="e">
        <f>AND('Calendario Académico 2014'!AC12,"AAAAAH38/9U=")</f>
        <v>#VALUE!</v>
      </c>
      <c r="HG236" t="e">
        <f>AND('Calendario Académico 2014'!AD12,"AAAAAH38/9Y=")</f>
        <v>#VALUE!</v>
      </c>
      <c r="HH236" t="e">
        <f>AND('Calendario Académico 2014'!AE12,"AAAAAH38/9c=")</f>
        <v>#VALUE!</v>
      </c>
      <c r="HI236" t="e">
        <f>AND('Calendario Académico 2014'!AF12,"AAAAAH38/9g=")</f>
        <v>#VALUE!</v>
      </c>
      <c r="HJ236" t="e">
        <f>AND('Calendario Académico 2014'!AG12,"AAAAAH38/9k=")</f>
        <v>#VALUE!</v>
      </c>
      <c r="HK236" t="e">
        <f>AND('Calendario Académico 2014'!AH12,"AAAAAH38/9o=")</f>
        <v>#VALUE!</v>
      </c>
      <c r="HL236">
        <f>IF('Calendario Académico 2014'!13:13,"AAAAAH38/9s=",0)</f>
        <v>0</v>
      </c>
      <c r="HM236" t="e">
        <f>AND('Calendario Académico 2014'!A13,"AAAAAH38/9w=")</f>
        <v>#VALUE!</v>
      </c>
      <c r="HN236" t="e">
        <f>AND('Calendario Académico 2014'!B13,"AAAAAH38/90=")</f>
        <v>#VALUE!</v>
      </c>
      <c r="HO236" t="e">
        <f>AND('Calendario Académico 2014'!C13,"AAAAAH38/94=")</f>
        <v>#VALUE!</v>
      </c>
      <c r="HP236" t="e">
        <f>AND('Calendario Académico 2014'!D13,"AAAAAH38/98=")</f>
        <v>#VALUE!</v>
      </c>
      <c r="HQ236" t="e">
        <f>AND('Calendario Académico 2014'!E13,"AAAAAH38/+A=")</f>
        <v>#VALUE!</v>
      </c>
      <c r="HR236" t="e">
        <f>AND('Calendario Académico 2014'!F13,"AAAAAH38/+E=")</f>
        <v>#VALUE!</v>
      </c>
      <c r="HS236" t="e">
        <f>AND('Calendario Académico 2014'!G13,"AAAAAH38/+I=")</f>
        <v>#VALUE!</v>
      </c>
      <c r="HT236" t="e">
        <f>AND('Calendario Académico 2014'!H13,"AAAAAH38/+M=")</f>
        <v>#VALUE!</v>
      </c>
      <c r="HU236" t="e">
        <f>AND('Calendario Académico 2014'!I13,"AAAAAH38/+Q=")</f>
        <v>#VALUE!</v>
      </c>
      <c r="HV236" t="e">
        <f>AND('Calendario Académico 2014'!J13,"AAAAAH38/+U=")</f>
        <v>#VALUE!</v>
      </c>
      <c r="HW236" t="e">
        <f>AND('Calendario Académico 2014'!K13,"AAAAAH38/+Y=")</f>
        <v>#VALUE!</v>
      </c>
      <c r="HX236" t="e">
        <f>AND('Calendario Académico 2014'!L13,"AAAAAH38/+c=")</f>
        <v>#VALUE!</v>
      </c>
      <c r="HY236" t="e">
        <f>AND('Calendario Académico 2014'!M13,"AAAAAH38/+g=")</f>
        <v>#VALUE!</v>
      </c>
      <c r="HZ236" t="e">
        <f>AND('Calendario Académico 2014'!N13,"AAAAAH38/+k=")</f>
        <v>#VALUE!</v>
      </c>
      <c r="IA236" t="e">
        <f>AND('Calendario Académico 2014'!O13,"AAAAAH38/+o=")</f>
        <v>#VALUE!</v>
      </c>
      <c r="IB236" t="e">
        <f>AND('Calendario Académico 2014'!P13,"AAAAAH38/+s=")</f>
        <v>#VALUE!</v>
      </c>
      <c r="IC236" t="e">
        <f>AND('Calendario Académico 2014'!Q13,"AAAAAH38/+w=")</f>
        <v>#VALUE!</v>
      </c>
      <c r="ID236" t="e">
        <f>AND('Calendario Académico 2014'!R13,"AAAAAH38/+0=")</f>
        <v>#VALUE!</v>
      </c>
      <c r="IE236" t="e">
        <f>AND('Calendario Académico 2014'!S13,"AAAAAH38/+4=")</f>
        <v>#VALUE!</v>
      </c>
      <c r="IF236" t="e">
        <f>AND('Calendario Académico 2014'!T13,"AAAAAH38/+8=")</f>
        <v>#VALUE!</v>
      </c>
      <c r="IG236" t="e">
        <f>AND('Calendario Académico 2014'!U13,"AAAAAH38//A=")</f>
        <v>#VALUE!</v>
      </c>
      <c r="IH236" t="e">
        <f>AND('Calendario Académico 2014'!V13,"AAAAAH38//E=")</f>
        <v>#VALUE!</v>
      </c>
      <c r="II236" t="e">
        <f>AND('Calendario Académico 2014'!W13,"AAAAAH38//I=")</f>
        <v>#VALUE!</v>
      </c>
      <c r="IJ236" t="e">
        <f>AND('Calendario Académico 2014'!X13,"AAAAAH38//M=")</f>
        <v>#VALUE!</v>
      </c>
      <c r="IK236" t="e">
        <f>AND('Calendario Académico 2014'!Y13,"AAAAAH38//Q=")</f>
        <v>#VALUE!</v>
      </c>
      <c r="IL236" t="e">
        <f>AND('Calendario Académico 2014'!Z13,"AAAAAH38//U=")</f>
        <v>#VALUE!</v>
      </c>
      <c r="IM236" t="e">
        <f>AND('Calendario Académico 2014'!AA13,"AAAAAH38//Y=")</f>
        <v>#VALUE!</v>
      </c>
      <c r="IN236" t="e">
        <f>AND('Calendario Académico 2014'!AB13,"AAAAAH38//c=")</f>
        <v>#VALUE!</v>
      </c>
      <c r="IO236" t="e">
        <f>AND('Calendario Académico 2014'!AC13,"AAAAAH38//g=")</f>
        <v>#VALUE!</v>
      </c>
      <c r="IP236" t="e">
        <f>AND('Calendario Académico 2014'!AD13,"AAAAAH38//k=")</f>
        <v>#VALUE!</v>
      </c>
      <c r="IQ236" t="e">
        <f>AND('Calendario Académico 2014'!AE13,"AAAAAH38//o=")</f>
        <v>#VALUE!</v>
      </c>
      <c r="IR236" t="e">
        <f>AND('Calendario Académico 2014'!AF13,"AAAAAH38//s=")</f>
        <v>#VALUE!</v>
      </c>
      <c r="IS236" t="e">
        <f>AND('Calendario Académico 2014'!AG13,"AAAAAH38//w=")</f>
        <v>#VALUE!</v>
      </c>
      <c r="IT236" t="e">
        <f>AND('Calendario Académico 2014'!AH13,"AAAAAH38//0=")</f>
        <v>#VALUE!</v>
      </c>
      <c r="IU236">
        <f>IF('Calendario Académico 2014'!14:14,"AAAAAH38//4=",0)</f>
        <v>0</v>
      </c>
      <c r="IV236" t="e">
        <f>AND('Calendario Académico 2014'!A14,"AAAAAH38//8=")</f>
        <v>#VALUE!</v>
      </c>
    </row>
    <row r="237" spans="1:256" x14ac:dyDescent="0.2">
      <c r="A237" t="e">
        <f>AND('Calendario Académico 2014'!B14,"AAAAAHfX/gA=")</f>
        <v>#VALUE!</v>
      </c>
      <c r="B237" t="e">
        <f>AND('Calendario Académico 2014'!C14,"AAAAAHfX/gE=")</f>
        <v>#VALUE!</v>
      </c>
      <c r="C237" t="e">
        <f>AND('Calendario Académico 2014'!D14,"AAAAAHfX/gI=")</f>
        <v>#VALUE!</v>
      </c>
      <c r="D237" t="e">
        <f>AND('Calendario Académico 2014'!E14,"AAAAAHfX/gM=")</f>
        <v>#VALUE!</v>
      </c>
      <c r="E237" t="e">
        <f>AND('Calendario Académico 2014'!F14,"AAAAAHfX/gQ=")</f>
        <v>#VALUE!</v>
      </c>
      <c r="F237" t="e">
        <f>AND('Calendario Académico 2014'!G14,"AAAAAHfX/gU=")</f>
        <v>#VALUE!</v>
      </c>
      <c r="G237" t="e">
        <f>AND('Calendario Académico 2014'!H14,"AAAAAHfX/gY=")</f>
        <v>#VALUE!</v>
      </c>
      <c r="H237" t="e">
        <f>AND('Calendario Académico 2014'!I14,"AAAAAHfX/gc=")</f>
        <v>#VALUE!</v>
      </c>
      <c r="I237" t="e">
        <f>AND('Calendario Académico 2014'!J14,"AAAAAHfX/gg=")</f>
        <v>#VALUE!</v>
      </c>
      <c r="J237" t="e">
        <f>AND('Calendario Académico 2014'!K14,"AAAAAHfX/gk=")</f>
        <v>#VALUE!</v>
      </c>
      <c r="K237" t="e">
        <f>AND('Calendario Académico 2014'!L14,"AAAAAHfX/go=")</f>
        <v>#VALUE!</v>
      </c>
      <c r="L237" t="e">
        <f>AND('Calendario Académico 2014'!M14,"AAAAAHfX/gs=")</f>
        <v>#VALUE!</v>
      </c>
      <c r="M237" t="e">
        <f>AND('Calendario Académico 2014'!N14,"AAAAAHfX/gw=")</f>
        <v>#VALUE!</v>
      </c>
      <c r="N237" t="e">
        <f>AND('Calendario Académico 2014'!O14,"AAAAAHfX/g0=")</f>
        <v>#VALUE!</v>
      </c>
      <c r="O237" t="e">
        <f>AND('Calendario Académico 2014'!P14,"AAAAAHfX/g4=")</f>
        <v>#VALUE!</v>
      </c>
      <c r="P237" t="e">
        <f>AND('Calendario Académico 2014'!Q14,"AAAAAHfX/g8=")</f>
        <v>#VALUE!</v>
      </c>
      <c r="Q237" t="e">
        <f>AND('Calendario Académico 2014'!R14,"AAAAAHfX/hA=")</f>
        <v>#VALUE!</v>
      </c>
      <c r="R237" t="e">
        <f>AND('Calendario Académico 2014'!S14,"AAAAAHfX/hE=")</f>
        <v>#VALUE!</v>
      </c>
      <c r="S237" t="e">
        <f>AND('Calendario Académico 2014'!T14,"AAAAAHfX/hI=")</f>
        <v>#VALUE!</v>
      </c>
      <c r="T237" t="e">
        <f>AND('Calendario Académico 2014'!U14,"AAAAAHfX/hM=")</f>
        <v>#VALUE!</v>
      </c>
      <c r="U237" t="e">
        <f>AND('Calendario Académico 2014'!V14,"AAAAAHfX/hQ=")</f>
        <v>#VALUE!</v>
      </c>
      <c r="V237" t="e">
        <f>AND('Calendario Académico 2014'!W14,"AAAAAHfX/hU=")</f>
        <v>#VALUE!</v>
      </c>
      <c r="W237" t="e">
        <f>AND('Calendario Académico 2014'!X14,"AAAAAHfX/hY=")</f>
        <v>#VALUE!</v>
      </c>
      <c r="X237" t="e">
        <f>AND('Calendario Académico 2014'!Y14,"AAAAAHfX/hc=")</f>
        <v>#VALUE!</v>
      </c>
      <c r="Y237" t="e">
        <f>AND('Calendario Académico 2014'!Z14,"AAAAAHfX/hg=")</f>
        <v>#VALUE!</v>
      </c>
      <c r="Z237" t="e">
        <f>AND('Calendario Académico 2014'!AA14,"AAAAAHfX/hk=")</f>
        <v>#VALUE!</v>
      </c>
      <c r="AA237" t="e">
        <f>AND('Calendario Académico 2014'!AB14,"AAAAAHfX/ho=")</f>
        <v>#VALUE!</v>
      </c>
      <c r="AB237" t="e">
        <f>AND('Calendario Académico 2014'!AC14,"AAAAAHfX/hs=")</f>
        <v>#VALUE!</v>
      </c>
      <c r="AC237" t="e">
        <f>AND('Calendario Académico 2014'!AD14,"AAAAAHfX/hw=")</f>
        <v>#VALUE!</v>
      </c>
      <c r="AD237" t="e">
        <f>AND('Calendario Académico 2014'!AE14,"AAAAAHfX/h0=")</f>
        <v>#VALUE!</v>
      </c>
      <c r="AE237" t="e">
        <f>AND('Calendario Académico 2014'!AF14,"AAAAAHfX/h4=")</f>
        <v>#VALUE!</v>
      </c>
      <c r="AF237" t="e">
        <f>AND('Calendario Académico 2014'!AG14,"AAAAAHfX/h8=")</f>
        <v>#VALUE!</v>
      </c>
      <c r="AG237" t="e">
        <f>AND('Calendario Académico 2014'!AH14,"AAAAAHfX/iA=")</f>
        <v>#VALUE!</v>
      </c>
      <c r="AH237">
        <f>IF('Calendario Académico 2014'!15:15,"AAAAAHfX/iE=",0)</f>
        <v>0</v>
      </c>
      <c r="AI237" t="e">
        <f>AND('Calendario Académico 2014'!A15,"AAAAAHfX/iI=")</f>
        <v>#VALUE!</v>
      </c>
      <c r="AJ237" t="e">
        <f>AND('Calendario Académico 2014'!B15,"AAAAAHfX/iM=")</f>
        <v>#VALUE!</v>
      </c>
      <c r="AK237" t="e">
        <f>AND('Calendario Académico 2014'!C15,"AAAAAHfX/iQ=")</f>
        <v>#VALUE!</v>
      </c>
      <c r="AL237" t="e">
        <f>AND('Calendario Académico 2014'!D15,"AAAAAHfX/iU=")</f>
        <v>#VALUE!</v>
      </c>
      <c r="AM237" t="e">
        <f>AND('Calendario Académico 2014'!E15,"AAAAAHfX/iY=")</f>
        <v>#VALUE!</v>
      </c>
      <c r="AN237" t="e">
        <f>AND('Calendario Académico 2014'!F15,"AAAAAHfX/ic=")</f>
        <v>#VALUE!</v>
      </c>
      <c r="AO237" t="e">
        <f>AND('Calendario Académico 2014'!G15,"AAAAAHfX/ig=")</f>
        <v>#VALUE!</v>
      </c>
      <c r="AP237" t="e">
        <f>AND('Calendario Académico 2014'!H15,"AAAAAHfX/ik=")</f>
        <v>#VALUE!</v>
      </c>
      <c r="AQ237" t="e">
        <f>AND('Calendario Académico 2014'!I15,"AAAAAHfX/io=")</f>
        <v>#VALUE!</v>
      </c>
      <c r="AR237" t="e">
        <f>AND('Calendario Académico 2014'!J15,"AAAAAHfX/is=")</f>
        <v>#VALUE!</v>
      </c>
      <c r="AS237" t="e">
        <f>AND('Calendario Académico 2014'!K15,"AAAAAHfX/iw=")</f>
        <v>#VALUE!</v>
      </c>
      <c r="AT237" t="e">
        <f>AND('Calendario Académico 2014'!L15,"AAAAAHfX/i0=")</f>
        <v>#VALUE!</v>
      </c>
      <c r="AU237" t="e">
        <f>AND('Calendario Académico 2014'!M15,"AAAAAHfX/i4=")</f>
        <v>#VALUE!</v>
      </c>
      <c r="AV237" t="e">
        <f>AND('Calendario Académico 2014'!N15,"AAAAAHfX/i8=")</f>
        <v>#VALUE!</v>
      </c>
      <c r="AW237" t="e">
        <f>AND('Calendario Académico 2014'!O15,"AAAAAHfX/jA=")</f>
        <v>#VALUE!</v>
      </c>
      <c r="AX237" t="e">
        <f>AND('Calendario Académico 2014'!P15,"AAAAAHfX/jE=")</f>
        <v>#VALUE!</v>
      </c>
      <c r="AY237" t="e">
        <f>AND('Calendario Académico 2014'!Q15,"AAAAAHfX/jI=")</f>
        <v>#VALUE!</v>
      </c>
      <c r="AZ237" t="e">
        <f>AND('Calendario Académico 2014'!R15,"AAAAAHfX/jM=")</f>
        <v>#VALUE!</v>
      </c>
      <c r="BA237" t="e">
        <f>AND('Calendario Académico 2014'!S15,"AAAAAHfX/jQ=")</f>
        <v>#VALUE!</v>
      </c>
      <c r="BB237" t="e">
        <f>AND('Calendario Académico 2014'!T15,"AAAAAHfX/jU=")</f>
        <v>#VALUE!</v>
      </c>
      <c r="BC237" t="e">
        <f>AND('Calendario Académico 2014'!U15,"AAAAAHfX/jY=")</f>
        <v>#VALUE!</v>
      </c>
      <c r="BD237" t="e">
        <f>AND('Calendario Académico 2014'!V15,"AAAAAHfX/jc=")</f>
        <v>#VALUE!</v>
      </c>
      <c r="BE237" t="e">
        <f>AND('Calendario Académico 2014'!W15,"AAAAAHfX/jg=")</f>
        <v>#VALUE!</v>
      </c>
      <c r="BF237" t="e">
        <f>AND('Calendario Académico 2014'!X15,"AAAAAHfX/jk=")</f>
        <v>#VALUE!</v>
      </c>
      <c r="BG237" t="e">
        <f>AND('Calendario Académico 2014'!Y15,"AAAAAHfX/jo=")</f>
        <v>#VALUE!</v>
      </c>
      <c r="BH237" t="e">
        <f>AND('Calendario Académico 2014'!Z15,"AAAAAHfX/js=")</f>
        <v>#VALUE!</v>
      </c>
      <c r="BI237" t="e">
        <f>AND('Calendario Académico 2014'!AA15,"AAAAAHfX/jw=")</f>
        <v>#VALUE!</v>
      </c>
      <c r="BJ237" t="e">
        <f>AND('Calendario Académico 2014'!AB15,"AAAAAHfX/j0=")</f>
        <v>#VALUE!</v>
      </c>
      <c r="BK237" t="e">
        <f>AND('Calendario Académico 2014'!AC15,"AAAAAHfX/j4=")</f>
        <v>#VALUE!</v>
      </c>
      <c r="BL237" t="e">
        <f>AND('Calendario Académico 2014'!AD15,"AAAAAHfX/j8=")</f>
        <v>#VALUE!</v>
      </c>
      <c r="BM237" t="e">
        <f>AND('Calendario Académico 2014'!AE15,"AAAAAHfX/kA=")</f>
        <v>#VALUE!</v>
      </c>
      <c r="BN237" t="e">
        <f>AND('Calendario Académico 2014'!AF15,"AAAAAHfX/kE=")</f>
        <v>#VALUE!</v>
      </c>
      <c r="BO237" t="e">
        <f>AND('Calendario Académico 2014'!AG15,"AAAAAHfX/kI=")</f>
        <v>#VALUE!</v>
      </c>
      <c r="BP237" t="e">
        <f>AND('Calendario Académico 2014'!AH15,"AAAAAHfX/kM=")</f>
        <v>#VALUE!</v>
      </c>
      <c r="BQ237">
        <f>IF('Calendario Académico 2014'!16:16,"AAAAAHfX/kQ=",0)</f>
        <v>0</v>
      </c>
      <c r="BR237" t="e">
        <f>AND('Calendario Académico 2014'!A16,"AAAAAHfX/kU=")</f>
        <v>#VALUE!</v>
      </c>
      <c r="BS237" t="e">
        <f>AND('Calendario Académico 2014'!B16,"AAAAAHfX/kY=")</f>
        <v>#VALUE!</v>
      </c>
      <c r="BT237" t="e">
        <f>AND('Calendario Académico 2014'!C16,"AAAAAHfX/kc=")</f>
        <v>#VALUE!</v>
      </c>
      <c r="BU237" t="e">
        <f>AND('Calendario Académico 2014'!D16,"AAAAAHfX/kg=")</f>
        <v>#VALUE!</v>
      </c>
      <c r="BV237" t="e">
        <f>AND('Calendario Académico 2014'!E16,"AAAAAHfX/kk=")</f>
        <v>#VALUE!</v>
      </c>
      <c r="BW237" t="e">
        <f>AND('Calendario Académico 2014'!F16,"AAAAAHfX/ko=")</f>
        <v>#VALUE!</v>
      </c>
      <c r="BX237" t="e">
        <f>AND('Calendario Académico 2014'!G16,"AAAAAHfX/ks=")</f>
        <v>#VALUE!</v>
      </c>
      <c r="BY237" t="e">
        <f>AND('Calendario Académico 2014'!H16,"AAAAAHfX/kw=")</f>
        <v>#VALUE!</v>
      </c>
      <c r="BZ237" t="e">
        <f>AND('Calendario Académico 2014'!I16,"AAAAAHfX/k0=")</f>
        <v>#VALUE!</v>
      </c>
      <c r="CA237" t="e">
        <f>AND('Calendario Académico 2014'!J16,"AAAAAHfX/k4=")</f>
        <v>#VALUE!</v>
      </c>
      <c r="CB237" t="e">
        <f>AND('Calendario Académico 2014'!K16,"AAAAAHfX/k8=")</f>
        <v>#VALUE!</v>
      </c>
      <c r="CC237" t="e">
        <f>AND('Calendario Académico 2014'!L16,"AAAAAHfX/lA=")</f>
        <v>#VALUE!</v>
      </c>
      <c r="CD237" t="e">
        <f>AND('Calendario Académico 2014'!M16,"AAAAAHfX/lE=")</f>
        <v>#VALUE!</v>
      </c>
      <c r="CE237" t="e">
        <f>AND('Calendario Académico 2014'!N16,"AAAAAHfX/lI=")</f>
        <v>#VALUE!</v>
      </c>
      <c r="CF237" t="e">
        <f>AND('Calendario Académico 2014'!O16,"AAAAAHfX/lM=")</f>
        <v>#VALUE!</v>
      </c>
      <c r="CG237" t="e">
        <f>AND('Calendario Académico 2014'!P16,"AAAAAHfX/lQ=")</f>
        <v>#VALUE!</v>
      </c>
      <c r="CH237" t="e">
        <f>AND('Calendario Académico 2014'!Q16,"AAAAAHfX/lU=")</f>
        <v>#VALUE!</v>
      </c>
      <c r="CI237" t="e">
        <f>AND('Calendario Académico 2014'!R16,"AAAAAHfX/lY=")</f>
        <v>#VALUE!</v>
      </c>
      <c r="CJ237" t="e">
        <f>AND('Calendario Académico 2014'!S16,"AAAAAHfX/lc=")</f>
        <v>#VALUE!</v>
      </c>
      <c r="CK237" t="e">
        <f>AND('Calendario Académico 2014'!T16,"AAAAAHfX/lg=")</f>
        <v>#VALUE!</v>
      </c>
      <c r="CL237" t="e">
        <f>AND('Calendario Académico 2014'!U16,"AAAAAHfX/lk=")</f>
        <v>#VALUE!</v>
      </c>
      <c r="CM237" t="e">
        <f>AND('Calendario Académico 2014'!V16,"AAAAAHfX/lo=")</f>
        <v>#VALUE!</v>
      </c>
      <c r="CN237" t="e">
        <f>AND('Calendario Académico 2014'!W16,"AAAAAHfX/ls=")</f>
        <v>#VALUE!</v>
      </c>
      <c r="CO237" t="e">
        <f>AND('Calendario Académico 2014'!X16,"AAAAAHfX/lw=")</f>
        <v>#VALUE!</v>
      </c>
      <c r="CP237" t="e">
        <f>AND('Calendario Académico 2014'!Y16,"AAAAAHfX/l0=")</f>
        <v>#VALUE!</v>
      </c>
      <c r="CQ237" t="e">
        <f>AND('Calendario Académico 2014'!Z16,"AAAAAHfX/l4=")</f>
        <v>#VALUE!</v>
      </c>
      <c r="CR237" t="e">
        <f>AND('Calendario Académico 2014'!AA16,"AAAAAHfX/l8=")</f>
        <v>#VALUE!</v>
      </c>
      <c r="CS237" t="e">
        <f>AND('Calendario Académico 2014'!AB16,"AAAAAHfX/mA=")</f>
        <v>#VALUE!</v>
      </c>
      <c r="CT237" t="e">
        <f>AND('Calendario Académico 2014'!AC16,"AAAAAHfX/mE=")</f>
        <v>#VALUE!</v>
      </c>
      <c r="CU237" t="e">
        <f>AND('Calendario Académico 2014'!AD16,"AAAAAHfX/mI=")</f>
        <v>#VALUE!</v>
      </c>
      <c r="CV237" t="e">
        <f>AND('Calendario Académico 2014'!AE16,"AAAAAHfX/mM=")</f>
        <v>#VALUE!</v>
      </c>
      <c r="CW237" t="e">
        <f>AND('Calendario Académico 2014'!AF16,"AAAAAHfX/mQ=")</f>
        <v>#VALUE!</v>
      </c>
      <c r="CX237" t="e">
        <f>AND('Calendario Académico 2014'!AG16,"AAAAAHfX/mU=")</f>
        <v>#VALUE!</v>
      </c>
      <c r="CY237" t="e">
        <f>AND('Calendario Académico 2014'!AH16,"AAAAAHfX/mY=")</f>
        <v>#VALUE!</v>
      </c>
      <c r="CZ237">
        <f>IF('Calendario Académico 2014'!17:17,"AAAAAHfX/mc=",0)</f>
        <v>0</v>
      </c>
      <c r="DA237" t="e">
        <f>AND('Calendario Académico 2014'!A17,"AAAAAHfX/mg=")</f>
        <v>#VALUE!</v>
      </c>
      <c r="DB237" t="e">
        <f>AND('Calendario Académico 2014'!B17,"AAAAAHfX/mk=")</f>
        <v>#VALUE!</v>
      </c>
      <c r="DC237" t="e">
        <f>AND('Calendario Académico 2014'!C17,"AAAAAHfX/mo=")</f>
        <v>#VALUE!</v>
      </c>
      <c r="DD237" t="e">
        <f>AND('Calendario Académico 2014'!D17,"AAAAAHfX/ms=")</f>
        <v>#VALUE!</v>
      </c>
      <c r="DE237" t="e">
        <f>AND('Calendario Académico 2014'!E17,"AAAAAHfX/mw=")</f>
        <v>#VALUE!</v>
      </c>
      <c r="DF237" t="e">
        <f>AND('Calendario Académico 2014'!F17,"AAAAAHfX/m0=")</f>
        <v>#VALUE!</v>
      </c>
      <c r="DG237" t="e">
        <f>AND('Calendario Académico 2014'!G17,"AAAAAHfX/m4=")</f>
        <v>#VALUE!</v>
      </c>
      <c r="DH237" t="e">
        <f>AND('Calendario Académico 2014'!H17,"AAAAAHfX/m8=")</f>
        <v>#VALUE!</v>
      </c>
      <c r="DI237" t="e">
        <f>AND('Calendario Académico 2014'!I17,"AAAAAHfX/nA=")</f>
        <v>#VALUE!</v>
      </c>
      <c r="DJ237" t="e">
        <f>AND('Calendario Académico 2014'!J17,"AAAAAHfX/nE=")</f>
        <v>#VALUE!</v>
      </c>
      <c r="DK237" t="e">
        <f>AND('Calendario Académico 2014'!K17,"AAAAAHfX/nI=")</f>
        <v>#VALUE!</v>
      </c>
      <c r="DL237" t="e">
        <f>AND('Calendario Académico 2014'!L17,"AAAAAHfX/nM=")</f>
        <v>#VALUE!</v>
      </c>
      <c r="DM237" t="e">
        <f>AND('Calendario Académico 2014'!M17,"AAAAAHfX/nQ=")</f>
        <v>#VALUE!</v>
      </c>
      <c r="DN237" t="e">
        <f>AND('Calendario Académico 2014'!N17,"AAAAAHfX/nU=")</f>
        <v>#VALUE!</v>
      </c>
      <c r="DO237" t="e">
        <f>AND('Calendario Académico 2014'!O17,"AAAAAHfX/nY=")</f>
        <v>#VALUE!</v>
      </c>
      <c r="DP237" t="e">
        <f>AND('Calendario Académico 2014'!P17,"AAAAAHfX/nc=")</f>
        <v>#VALUE!</v>
      </c>
      <c r="DQ237" t="e">
        <f>AND('Calendario Académico 2014'!Q17,"AAAAAHfX/ng=")</f>
        <v>#VALUE!</v>
      </c>
      <c r="DR237" t="e">
        <f>AND('Calendario Académico 2014'!R17,"AAAAAHfX/nk=")</f>
        <v>#VALUE!</v>
      </c>
      <c r="DS237" t="e">
        <f>AND('Calendario Académico 2014'!S17,"AAAAAHfX/no=")</f>
        <v>#VALUE!</v>
      </c>
      <c r="DT237" t="e">
        <f>AND('Calendario Académico 2014'!T17,"AAAAAHfX/ns=")</f>
        <v>#VALUE!</v>
      </c>
      <c r="DU237" t="e">
        <f>AND('Calendario Académico 2014'!U17,"AAAAAHfX/nw=")</f>
        <v>#VALUE!</v>
      </c>
      <c r="DV237" t="e">
        <f>AND('Calendario Académico 2014'!V17,"AAAAAHfX/n0=")</f>
        <v>#VALUE!</v>
      </c>
      <c r="DW237" t="e">
        <f>AND('Calendario Académico 2014'!W17,"AAAAAHfX/n4=")</f>
        <v>#VALUE!</v>
      </c>
      <c r="DX237" t="e">
        <f>AND('Calendario Académico 2014'!X17,"AAAAAHfX/n8=")</f>
        <v>#VALUE!</v>
      </c>
      <c r="DY237" t="e">
        <f>AND('Calendario Académico 2014'!Y17,"AAAAAHfX/oA=")</f>
        <v>#VALUE!</v>
      </c>
      <c r="DZ237" t="e">
        <f>AND('Calendario Académico 2014'!Z17,"AAAAAHfX/oE=")</f>
        <v>#VALUE!</v>
      </c>
      <c r="EA237" t="e">
        <f>AND('Calendario Académico 2014'!AA17,"AAAAAHfX/oI=")</f>
        <v>#VALUE!</v>
      </c>
      <c r="EB237" t="e">
        <f>AND('Calendario Académico 2014'!AB17,"AAAAAHfX/oM=")</f>
        <v>#VALUE!</v>
      </c>
      <c r="EC237" t="e">
        <f>AND('Calendario Académico 2014'!AC17,"AAAAAHfX/oQ=")</f>
        <v>#VALUE!</v>
      </c>
      <c r="ED237" t="e">
        <f>AND('Calendario Académico 2014'!AD17,"AAAAAHfX/oU=")</f>
        <v>#VALUE!</v>
      </c>
      <c r="EE237" t="e">
        <f>AND('Calendario Académico 2014'!AE17,"AAAAAHfX/oY=")</f>
        <v>#VALUE!</v>
      </c>
      <c r="EF237" t="e">
        <f>AND('Calendario Académico 2014'!AF17,"AAAAAHfX/oc=")</f>
        <v>#VALUE!</v>
      </c>
      <c r="EG237" t="e">
        <f>AND('Calendario Académico 2014'!AG17,"AAAAAHfX/og=")</f>
        <v>#VALUE!</v>
      </c>
      <c r="EH237" t="e">
        <f>AND('Calendario Académico 2014'!AH17,"AAAAAHfX/ok=")</f>
        <v>#VALUE!</v>
      </c>
      <c r="EI237">
        <f>IF('Calendario Académico 2014'!18:18,"AAAAAHfX/oo=",0)</f>
        <v>0</v>
      </c>
      <c r="EJ237" t="e">
        <f>AND('Calendario Académico 2014'!A18,"AAAAAHfX/os=")</f>
        <v>#VALUE!</v>
      </c>
      <c r="EK237" t="e">
        <f>AND('Calendario Académico 2014'!B18,"AAAAAHfX/ow=")</f>
        <v>#VALUE!</v>
      </c>
      <c r="EL237" t="e">
        <f>AND('Calendario Académico 2014'!C18,"AAAAAHfX/o0=")</f>
        <v>#VALUE!</v>
      </c>
      <c r="EM237" t="e">
        <f>AND('Calendario Académico 2014'!D18,"AAAAAHfX/o4=")</f>
        <v>#VALUE!</v>
      </c>
      <c r="EN237" t="e">
        <f>AND('Calendario Académico 2014'!E18,"AAAAAHfX/o8=")</f>
        <v>#VALUE!</v>
      </c>
      <c r="EO237" t="e">
        <f>AND('Calendario Académico 2014'!F18,"AAAAAHfX/pA=")</f>
        <v>#VALUE!</v>
      </c>
      <c r="EP237" t="e">
        <f>AND('Calendario Académico 2014'!G18,"AAAAAHfX/pE=")</f>
        <v>#VALUE!</v>
      </c>
      <c r="EQ237" t="e">
        <f>AND('Calendario Académico 2014'!H18,"AAAAAHfX/pI=")</f>
        <v>#VALUE!</v>
      </c>
      <c r="ER237" t="e">
        <f>AND('Calendario Académico 2014'!I18,"AAAAAHfX/pM=")</f>
        <v>#VALUE!</v>
      </c>
      <c r="ES237" t="e">
        <f>AND('Calendario Académico 2014'!J18,"AAAAAHfX/pQ=")</f>
        <v>#VALUE!</v>
      </c>
      <c r="ET237" t="e">
        <f>AND('Calendario Académico 2014'!K18,"AAAAAHfX/pU=")</f>
        <v>#VALUE!</v>
      </c>
      <c r="EU237" t="e">
        <f>AND('Calendario Académico 2014'!L18,"AAAAAHfX/pY=")</f>
        <v>#VALUE!</v>
      </c>
      <c r="EV237" t="e">
        <f>AND('Calendario Académico 2014'!M18,"AAAAAHfX/pc=")</f>
        <v>#VALUE!</v>
      </c>
      <c r="EW237" t="e">
        <f>AND('Calendario Académico 2014'!N18,"AAAAAHfX/pg=")</f>
        <v>#VALUE!</v>
      </c>
      <c r="EX237" t="e">
        <f>AND('Calendario Académico 2014'!O18,"AAAAAHfX/pk=")</f>
        <v>#VALUE!</v>
      </c>
      <c r="EY237" t="e">
        <f>AND('Calendario Académico 2014'!P18,"AAAAAHfX/po=")</f>
        <v>#VALUE!</v>
      </c>
      <c r="EZ237" t="e">
        <f>AND('Calendario Académico 2014'!Q18,"AAAAAHfX/ps=")</f>
        <v>#VALUE!</v>
      </c>
      <c r="FA237" t="e">
        <f>AND('Calendario Académico 2014'!R18,"AAAAAHfX/pw=")</f>
        <v>#VALUE!</v>
      </c>
      <c r="FB237" t="e">
        <f>AND('Calendario Académico 2014'!S18,"AAAAAHfX/p0=")</f>
        <v>#VALUE!</v>
      </c>
      <c r="FC237" t="e">
        <f>AND('Calendario Académico 2014'!T18,"AAAAAHfX/p4=")</f>
        <v>#VALUE!</v>
      </c>
      <c r="FD237" t="e">
        <f>AND('Calendario Académico 2014'!U18,"AAAAAHfX/p8=")</f>
        <v>#VALUE!</v>
      </c>
      <c r="FE237" t="e">
        <f>AND('Calendario Académico 2014'!V18,"AAAAAHfX/qA=")</f>
        <v>#VALUE!</v>
      </c>
      <c r="FF237" t="e">
        <f>AND('Calendario Académico 2014'!W18,"AAAAAHfX/qE=")</f>
        <v>#VALUE!</v>
      </c>
      <c r="FG237" t="e">
        <f>AND('Calendario Académico 2014'!X18,"AAAAAHfX/qI=")</f>
        <v>#VALUE!</v>
      </c>
      <c r="FH237" t="e">
        <f>AND('Calendario Académico 2014'!Y18,"AAAAAHfX/qM=")</f>
        <v>#VALUE!</v>
      </c>
      <c r="FI237" t="e">
        <f>AND('Calendario Académico 2014'!Z18,"AAAAAHfX/qQ=")</f>
        <v>#VALUE!</v>
      </c>
      <c r="FJ237" t="e">
        <f>AND('Calendario Académico 2014'!AA18,"AAAAAHfX/qU=")</f>
        <v>#VALUE!</v>
      </c>
      <c r="FK237" t="e">
        <f>AND('Calendario Académico 2014'!AB18,"AAAAAHfX/qY=")</f>
        <v>#VALUE!</v>
      </c>
      <c r="FL237" t="e">
        <f>AND('Calendario Académico 2014'!AC18,"AAAAAHfX/qc=")</f>
        <v>#VALUE!</v>
      </c>
      <c r="FM237" t="e">
        <f>AND('Calendario Académico 2014'!AD18,"AAAAAHfX/qg=")</f>
        <v>#VALUE!</v>
      </c>
      <c r="FN237" t="e">
        <f>AND('Calendario Académico 2014'!AE18,"AAAAAHfX/qk=")</f>
        <v>#VALUE!</v>
      </c>
      <c r="FO237" t="e">
        <f>AND('Calendario Académico 2014'!AF18,"AAAAAHfX/qo=")</f>
        <v>#VALUE!</v>
      </c>
      <c r="FP237" t="e">
        <f>AND('Calendario Académico 2014'!AG18,"AAAAAHfX/qs=")</f>
        <v>#VALUE!</v>
      </c>
      <c r="FQ237" t="e">
        <f>AND('Calendario Académico 2014'!AH18,"AAAAAHfX/qw=")</f>
        <v>#VALUE!</v>
      </c>
      <c r="FR237">
        <f>IF('Calendario Académico 2014'!19:19,"AAAAAHfX/q0=",0)</f>
        <v>0</v>
      </c>
      <c r="FS237" t="e">
        <f>AND('Calendario Académico 2014'!A19,"AAAAAHfX/q4=")</f>
        <v>#VALUE!</v>
      </c>
      <c r="FT237" t="e">
        <f>AND('Calendario Académico 2014'!B19,"AAAAAHfX/q8=")</f>
        <v>#VALUE!</v>
      </c>
      <c r="FU237" t="e">
        <f>AND('Calendario Académico 2014'!C19,"AAAAAHfX/rA=")</f>
        <v>#VALUE!</v>
      </c>
      <c r="FV237" t="e">
        <f>AND('Calendario Académico 2014'!D19,"AAAAAHfX/rE=")</f>
        <v>#VALUE!</v>
      </c>
      <c r="FW237" t="e">
        <f>AND('Calendario Académico 2014'!E19,"AAAAAHfX/rI=")</f>
        <v>#VALUE!</v>
      </c>
      <c r="FX237" t="e">
        <f>AND('Calendario Académico 2014'!F19,"AAAAAHfX/rM=")</f>
        <v>#VALUE!</v>
      </c>
      <c r="FY237" t="e">
        <f>AND('Calendario Académico 2014'!G19,"AAAAAHfX/rQ=")</f>
        <v>#VALUE!</v>
      </c>
      <c r="FZ237" t="e">
        <f>AND('Calendario Académico 2014'!H19,"AAAAAHfX/rU=")</f>
        <v>#VALUE!</v>
      </c>
      <c r="GA237" t="e">
        <f>AND('Calendario Académico 2014'!I19,"AAAAAHfX/rY=")</f>
        <v>#VALUE!</v>
      </c>
      <c r="GB237" t="e">
        <f>AND('Calendario Académico 2014'!J19,"AAAAAHfX/rc=")</f>
        <v>#VALUE!</v>
      </c>
      <c r="GC237" t="e">
        <f>AND('Calendario Académico 2014'!K19,"AAAAAHfX/rg=")</f>
        <v>#VALUE!</v>
      </c>
      <c r="GD237" t="e">
        <f>AND('Calendario Académico 2014'!L19,"AAAAAHfX/rk=")</f>
        <v>#VALUE!</v>
      </c>
      <c r="GE237" t="e">
        <f>AND('Calendario Académico 2014'!M19,"AAAAAHfX/ro=")</f>
        <v>#VALUE!</v>
      </c>
      <c r="GF237" t="e">
        <f>AND('Calendario Académico 2014'!N19,"AAAAAHfX/rs=")</f>
        <v>#VALUE!</v>
      </c>
      <c r="GG237" t="e">
        <f>AND('Calendario Académico 2014'!O19,"AAAAAHfX/rw=")</f>
        <v>#VALUE!</v>
      </c>
      <c r="GH237" t="e">
        <f>AND('Calendario Académico 2014'!P19,"AAAAAHfX/r0=")</f>
        <v>#VALUE!</v>
      </c>
      <c r="GI237" t="e">
        <f>AND('Calendario Académico 2014'!Q19,"AAAAAHfX/r4=")</f>
        <v>#VALUE!</v>
      </c>
      <c r="GJ237" t="e">
        <f>AND('Calendario Académico 2014'!R19,"AAAAAHfX/r8=")</f>
        <v>#VALUE!</v>
      </c>
      <c r="GK237" t="e">
        <f>AND('Calendario Académico 2014'!S19,"AAAAAHfX/sA=")</f>
        <v>#VALUE!</v>
      </c>
      <c r="GL237" t="e">
        <f>AND('Calendario Académico 2014'!T19,"AAAAAHfX/sE=")</f>
        <v>#VALUE!</v>
      </c>
      <c r="GM237" t="e">
        <f>AND('Calendario Académico 2014'!U19,"AAAAAHfX/sI=")</f>
        <v>#VALUE!</v>
      </c>
      <c r="GN237" t="e">
        <f>AND('Calendario Académico 2014'!V19,"AAAAAHfX/sM=")</f>
        <v>#VALUE!</v>
      </c>
      <c r="GO237" t="e">
        <f>AND('Calendario Académico 2014'!W19,"AAAAAHfX/sQ=")</f>
        <v>#VALUE!</v>
      </c>
      <c r="GP237" t="e">
        <f>AND('Calendario Académico 2014'!X19,"AAAAAHfX/sU=")</f>
        <v>#VALUE!</v>
      </c>
      <c r="GQ237" t="e">
        <f>AND('Calendario Académico 2014'!Y19,"AAAAAHfX/sY=")</f>
        <v>#VALUE!</v>
      </c>
      <c r="GR237" t="e">
        <f>AND('Calendario Académico 2014'!Z19,"AAAAAHfX/sc=")</f>
        <v>#VALUE!</v>
      </c>
      <c r="GS237" t="e">
        <f>AND('Calendario Académico 2014'!AA19,"AAAAAHfX/sg=")</f>
        <v>#VALUE!</v>
      </c>
      <c r="GT237" t="e">
        <f>AND('Calendario Académico 2014'!AB19,"AAAAAHfX/sk=")</f>
        <v>#VALUE!</v>
      </c>
      <c r="GU237" t="e">
        <f>AND('Calendario Académico 2014'!AC19,"AAAAAHfX/so=")</f>
        <v>#VALUE!</v>
      </c>
      <c r="GV237" t="e">
        <f>AND('Calendario Académico 2014'!AD19,"AAAAAHfX/ss=")</f>
        <v>#VALUE!</v>
      </c>
      <c r="GW237" t="e">
        <f>AND('Calendario Académico 2014'!AE19,"AAAAAHfX/sw=")</f>
        <v>#VALUE!</v>
      </c>
      <c r="GX237" t="e">
        <f>AND('Calendario Académico 2014'!AF19,"AAAAAHfX/s0=")</f>
        <v>#VALUE!</v>
      </c>
      <c r="GY237" t="e">
        <f>AND('Calendario Académico 2014'!AG19,"AAAAAHfX/s4=")</f>
        <v>#VALUE!</v>
      </c>
      <c r="GZ237" t="e">
        <f>AND('Calendario Académico 2014'!AH19,"AAAAAHfX/s8=")</f>
        <v>#VALUE!</v>
      </c>
      <c r="HA237">
        <f>IF('Calendario Académico 2014'!20:20,"AAAAAHfX/tA=",0)</f>
        <v>0</v>
      </c>
      <c r="HB237" t="e">
        <f>AND('Calendario Académico 2014'!A20,"AAAAAHfX/tE=")</f>
        <v>#VALUE!</v>
      </c>
      <c r="HC237" t="e">
        <f>AND('Calendario Académico 2014'!B20,"AAAAAHfX/tI=")</f>
        <v>#VALUE!</v>
      </c>
      <c r="HD237" t="e">
        <f>AND('Calendario Académico 2014'!C20,"AAAAAHfX/tM=")</f>
        <v>#VALUE!</v>
      </c>
      <c r="HE237" t="e">
        <f>AND('Calendario Académico 2014'!D20,"AAAAAHfX/tQ=")</f>
        <v>#VALUE!</v>
      </c>
      <c r="HF237" t="e">
        <f>AND('Calendario Académico 2014'!E20,"AAAAAHfX/tU=")</f>
        <v>#VALUE!</v>
      </c>
      <c r="HG237" t="e">
        <f>AND('Calendario Académico 2014'!F20,"AAAAAHfX/tY=")</f>
        <v>#VALUE!</v>
      </c>
      <c r="HH237" t="e">
        <f>AND('Calendario Académico 2014'!G20,"AAAAAHfX/tc=")</f>
        <v>#VALUE!</v>
      </c>
      <c r="HI237" t="e">
        <f>AND('Calendario Académico 2014'!H20,"AAAAAHfX/tg=")</f>
        <v>#VALUE!</v>
      </c>
      <c r="HJ237" t="e">
        <f>AND('Calendario Académico 2014'!I20,"AAAAAHfX/tk=")</f>
        <v>#VALUE!</v>
      </c>
      <c r="HK237" t="e">
        <f>AND('Calendario Académico 2014'!J20,"AAAAAHfX/to=")</f>
        <v>#VALUE!</v>
      </c>
      <c r="HL237" t="e">
        <f>AND('Calendario Académico 2014'!K20,"AAAAAHfX/ts=")</f>
        <v>#VALUE!</v>
      </c>
      <c r="HM237" t="e">
        <f>AND('Calendario Académico 2014'!L20,"AAAAAHfX/tw=")</f>
        <v>#VALUE!</v>
      </c>
      <c r="HN237" t="e">
        <f>AND('Calendario Académico 2014'!M20,"AAAAAHfX/t0=")</f>
        <v>#VALUE!</v>
      </c>
      <c r="HO237" t="e">
        <f>AND('Calendario Académico 2014'!N20,"AAAAAHfX/t4=")</f>
        <v>#VALUE!</v>
      </c>
      <c r="HP237" t="e">
        <f>AND('Calendario Académico 2014'!O20,"AAAAAHfX/t8=")</f>
        <v>#VALUE!</v>
      </c>
      <c r="HQ237" t="e">
        <f>AND('Calendario Académico 2014'!P20,"AAAAAHfX/uA=")</f>
        <v>#VALUE!</v>
      </c>
      <c r="HR237" t="e">
        <f>AND('Calendario Académico 2014'!Q20,"AAAAAHfX/uE=")</f>
        <v>#VALUE!</v>
      </c>
      <c r="HS237" t="e">
        <f>AND('Calendario Académico 2014'!R20,"AAAAAHfX/uI=")</f>
        <v>#VALUE!</v>
      </c>
      <c r="HT237" t="e">
        <f>AND('Calendario Académico 2014'!S20,"AAAAAHfX/uM=")</f>
        <v>#VALUE!</v>
      </c>
      <c r="HU237" t="e">
        <f>AND('Calendario Académico 2014'!T20,"AAAAAHfX/uQ=")</f>
        <v>#VALUE!</v>
      </c>
      <c r="HV237" t="e">
        <f>AND('Calendario Académico 2014'!U20,"AAAAAHfX/uU=")</f>
        <v>#VALUE!</v>
      </c>
      <c r="HW237" t="e">
        <f>AND('Calendario Académico 2014'!V20,"AAAAAHfX/uY=")</f>
        <v>#VALUE!</v>
      </c>
      <c r="HX237" t="e">
        <f>AND('Calendario Académico 2014'!W20,"AAAAAHfX/uc=")</f>
        <v>#VALUE!</v>
      </c>
      <c r="HY237" t="e">
        <f>AND('Calendario Académico 2014'!X20,"AAAAAHfX/ug=")</f>
        <v>#VALUE!</v>
      </c>
      <c r="HZ237" t="e">
        <f>AND('Calendario Académico 2014'!Y20,"AAAAAHfX/uk=")</f>
        <v>#VALUE!</v>
      </c>
      <c r="IA237" t="e">
        <f>AND('Calendario Académico 2014'!Z20,"AAAAAHfX/uo=")</f>
        <v>#VALUE!</v>
      </c>
      <c r="IB237" t="e">
        <f>AND('Calendario Académico 2014'!AA20,"AAAAAHfX/us=")</f>
        <v>#VALUE!</v>
      </c>
      <c r="IC237" t="e">
        <f>AND('Calendario Académico 2014'!AB20,"AAAAAHfX/uw=")</f>
        <v>#VALUE!</v>
      </c>
      <c r="ID237" t="e">
        <f>AND('Calendario Académico 2014'!AC20,"AAAAAHfX/u0=")</f>
        <v>#VALUE!</v>
      </c>
      <c r="IE237" t="e">
        <f>AND('Calendario Académico 2014'!AD20,"AAAAAHfX/u4=")</f>
        <v>#VALUE!</v>
      </c>
      <c r="IF237" t="e">
        <f>AND('Calendario Académico 2014'!AE20,"AAAAAHfX/u8=")</f>
        <v>#VALUE!</v>
      </c>
      <c r="IG237" t="e">
        <f>AND('Calendario Académico 2014'!AF20,"AAAAAHfX/vA=")</f>
        <v>#VALUE!</v>
      </c>
      <c r="IH237" t="e">
        <f>AND('Calendario Académico 2014'!AG20,"AAAAAHfX/vE=")</f>
        <v>#VALUE!</v>
      </c>
      <c r="II237" t="e">
        <f>AND('Calendario Académico 2014'!AH20,"AAAAAHfX/vI=")</f>
        <v>#VALUE!</v>
      </c>
      <c r="IJ237">
        <f>IF('Calendario Académico 2014'!21:21,"AAAAAHfX/vM=",0)</f>
        <v>0</v>
      </c>
      <c r="IK237" t="e">
        <f>AND('Calendario Académico 2014'!A21,"AAAAAHfX/vQ=")</f>
        <v>#VALUE!</v>
      </c>
      <c r="IL237" t="e">
        <f>AND('Calendario Académico 2014'!B22,"AAAAAHfX/vU=")</f>
        <v>#VALUE!</v>
      </c>
      <c r="IM237" t="e">
        <f>AND('Calendario Académico 2014'!C21,"AAAAAHfX/vY=")</f>
        <v>#VALUE!</v>
      </c>
      <c r="IN237" t="e">
        <f>AND('Calendario Académico 2014'!D21,"AAAAAHfX/vc=")</f>
        <v>#VALUE!</v>
      </c>
      <c r="IO237" t="e">
        <f>AND('Calendario Académico 2014'!E21,"AAAAAHfX/vg=")</f>
        <v>#VALUE!</v>
      </c>
      <c r="IP237" t="e">
        <f>AND('Calendario Académico 2014'!F21,"AAAAAHfX/vk=")</f>
        <v>#VALUE!</v>
      </c>
      <c r="IQ237" t="e">
        <f>AND('Calendario Académico 2014'!G21,"AAAAAHfX/vo=")</f>
        <v>#VALUE!</v>
      </c>
      <c r="IR237" t="e">
        <f>AND('Calendario Académico 2014'!H21,"AAAAAHfX/vs=")</f>
        <v>#VALUE!</v>
      </c>
      <c r="IS237" t="e">
        <f>AND('Calendario Académico 2014'!I21,"AAAAAHfX/vw=")</f>
        <v>#VALUE!</v>
      </c>
      <c r="IT237" t="e">
        <f>AND('Calendario Académico 2014'!J21,"AAAAAHfX/v0=")</f>
        <v>#VALUE!</v>
      </c>
      <c r="IU237" t="e">
        <f>AND('Calendario Académico 2014'!K21,"AAAAAHfX/v4=")</f>
        <v>#VALUE!</v>
      </c>
      <c r="IV237" t="e">
        <f>AND('Calendario Académico 2014'!L21,"AAAAAHfX/v8=")</f>
        <v>#VALUE!</v>
      </c>
    </row>
    <row r="238" spans="1:256" x14ac:dyDescent="0.2">
      <c r="A238" t="e">
        <f>AND('Calendario Académico 2014'!M21,"AAAAAF/u/wA=")</f>
        <v>#VALUE!</v>
      </c>
      <c r="B238" t="e">
        <f>AND('Calendario Académico 2014'!N21,"AAAAAF/u/wE=")</f>
        <v>#VALUE!</v>
      </c>
      <c r="C238" t="e">
        <f>AND('Calendario Académico 2014'!O21,"AAAAAF/u/wI=")</f>
        <v>#VALUE!</v>
      </c>
      <c r="D238" t="e">
        <f>AND('Calendario Académico 2014'!P21,"AAAAAF/u/wM=")</f>
        <v>#VALUE!</v>
      </c>
      <c r="E238" t="e">
        <f>AND('Calendario Académico 2014'!Q21,"AAAAAF/u/wQ=")</f>
        <v>#VALUE!</v>
      </c>
      <c r="F238" t="e">
        <f>AND('Calendario Académico 2014'!R21,"AAAAAF/u/wU=")</f>
        <v>#VALUE!</v>
      </c>
      <c r="G238" t="e">
        <f>AND('Calendario Académico 2014'!S21,"AAAAAF/u/wY=")</f>
        <v>#VALUE!</v>
      </c>
      <c r="H238" t="e">
        <f>AND('Calendario Académico 2014'!T21,"AAAAAF/u/wc=")</f>
        <v>#VALUE!</v>
      </c>
      <c r="I238" t="e">
        <f>AND('Calendario Académico 2014'!U21,"AAAAAF/u/wg=")</f>
        <v>#VALUE!</v>
      </c>
      <c r="J238" t="e">
        <f>AND('Calendario Académico 2014'!V21,"AAAAAF/u/wk=")</f>
        <v>#VALUE!</v>
      </c>
      <c r="K238" t="e">
        <f>AND('Calendario Académico 2014'!W21,"AAAAAF/u/wo=")</f>
        <v>#VALUE!</v>
      </c>
      <c r="L238" t="e">
        <f>AND('Calendario Académico 2014'!X21,"AAAAAF/u/ws=")</f>
        <v>#VALUE!</v>
      </c>
      <c r="M238" t="e">
        <f>AND('Calendario Académico 2014'!Y21,"AAAAAF/u/ww=")</f>
        <v>#VALUE!</v>
      </c>
      <c r="N238" t="e">
        <f>AND('Calendario Académico 2014'!Z21,"AAAAAF/u/w0=")</f>
        <v>#VALUE!</v>
      </c>
      <c r="O238" t="e">
        <f>AND('Calendario Académico 2014'!AA21,"AAAAAF/u/w4=")</f>
        <v>#VALUE!</v>
      </c>
      <c r="P238" t="e">
        <f>AND('Calendario Académico 2014'!AB21,"AAAAAF/u/w8=")</f>
        <v>#VALUE!</v>
      </c>
      <c r="Q238" t="e">
        <f>AND('Calendario Académico 2014'!AC21,"AAAAAF/u/xA=")</f>
        <v>#VALUE!</v>
      </c>
      <c r="R238" t="e">
        <f>AND('Calendario Académico 2014'!AD21,"AAAAAF/u/xE=")</f>
        <v>#VALUE!</v>
      </c>
      <c r="S238" t="e">
        <f>AND('Calendario Académico 2014'!AE21,"AAAAAF/u/xI=")</f>
        <v>#VALUE!</v>
      </c>
      <c r="T238" t="e">
        <f>AND('Calendario Académico 2014'!AF21,"AAAAAF/u/xM=")</f>
        <v>#VALUE!</v>
      </c>
      <c r="U238" t="e">
        <f>AND('Calendario Académico 2014'!AG21,"AAAAAF/u/xQ=")</f>
        <v>#VALUE!</v>
      </c>
      <c r="V238" t="e">
        <f>AND('Calendario Académico 2014'!AH21,"AAAAAF/u/xU=")</f>
        <v>#VALUE!</v>
      </c>
      <c r="W238">
        <f>IF('Calendario Académico 2014'!23:23,"AAAAAF/u/xY=",0)</f>
        <v>0</v>
      </c>
      <c r="X238" t="e">
        <f>AND('Calendario Académico 2014'!A23,"AAAAAF/u/xc=")</f>
        <v>#VALUE!</v>
      </c>
      <c r="Y238" t="e">
        <f>AND('Calendario Académico 2014'!B23,"AAAAAF/u/xg=")</f>
        <v>#VALUE!</v>
      </c>
      <c r="Z238" t="e">
        <f>AND('Calendario Académico 2014'!C23,"AAAAAF/u/xk=")</f>
        <v>#VALUE!</v>
      </c>
      <c r="AA238" t="e">
        <f>AND('Calendario Académico 2014'!D23,"AAAAAF/u/xo=")</f>
        <v>#VALUE!</v>
      </c>
      <c r="AB238" t="e">
        <f>AND('Calendario Académico 2014'!E23,"AAAAAF/u/xs=")</f>
        <v>#VALUE!</v>
      </c>
      <c r="AC238" t="e">
        <f>AND('Calendario Académico 2014'!F23,"AAAAAF/u/xw=")</f>
        <v>#VALUE!</v>
      </c>
      <c r="AD238" t="e">
        <f>AND('Calendario Académico 2014'!G23,"AAAAAF/u/x0=")</f>
        <v>#VALUE!</v>
      </c>
      <c r="AE238" t="e">
        <f>AND('Calendario Académico 2014'!H23,"AAAAAF/u/x4=")</f>
        <v>#VALUE!</v>
      </c>
      <c r="AF238" t="e">
        <f>AND('Calendario Académico 2014'!I23,"AAAAAF/u/x8=")</f>
        <v>#VALUE!</v>
      </c>
      <c r="AG238" t="e">
        <f>AND('Calendario Académico 2014'!J23,"AAAAAF/u/yA=")</f>
        <v>#VALUE!</v>
      </c>
      <c r="AH238" t="e">
        <f>AND('Calendario Académico 2014'!K23,"AAAAAF/u/yE=")</f>
        <v>#VALUE!</v>
      </c>
      <c r="AI238" t="e">
        <f>AND('Calendario Académico 2014'!L23,"AAAAAF/u/yI=")</f>
        <v>#VALUE!</v>
      </c>
      <c r="AJ238" t="e">
        <f>AND('Calendario Académico 2014'!M23,"AAAAAF/u/yM=")</f>
        <v>#VALUE!</v>
      </c>
      <c r="AK238" t="e">
        <f>AND('Calendario Académico 2014'!N23,"AAAAAF/u/yQ=")</f>
        <v>#VALUE!</v>
      </c>
      <c r="AL238" t="e">
        <f>AND('Calendario Académico 2014'!O23,"AAAAAF/u/yU=")</f>
        <v>#VALUE!</v>
      </c>
      <c r="AM238" t="e">
        <f>AND('Calendario Académico 2014'!P23,"AAAAAF/u/yY=")</f>
        <v>#VALUE!</v>
      </c>
      <c r="AN238" t="e">
        <f>AND('Calendario Académico 2014'!Q23,"AAAAAF/u/yc=")</f>
        <v>#VALUE!</v>
      </c>
      <c r="AO238" t="e">
        <f>AND('Calendario Académico 2014'!R23,"AAAAAF/u/yg=")</f>
        <v>#VALUE!</v>
      </c>
      <c r="AP238" t="e">
        <f>AND('Calendario Académico 2014'!S23,"AAAAAF/u/yk=")</f>
        <v>#VALUE!</v>
      </c>
      <c r="AQ238" t="e">
        <f>AND('Calendario Académico 2014'!T23,"AAAAAF/u/yo=")</f>
        <v>#VALUE!</v>
      </c>
      <c r="AR238" t="e">
        <f>AND('Calendario Académico 2014'!U23,"AAAAAF/u/ys=")</f>
        <v>#VALUE!</v>
      </c>
      <c r="AS238" t="e">
        <f>AND('Calendario Académico 2014'!V23,"AAAAAF/u/yw=")</f>
        <v>#VALUE!</v>
      </c>
      <c r="AT238" t="e">
        <f>AND('Calendario Académico 2014'!W23,"AAAAAF/u/y0=")</f>
        <v>#VALUE!</v>
      </c>
      <c r="AU238" t="e">
        <f>AND('Calendario Académico 2014'!X23,"AAAAAF/u/y4=")</f>
        <v>#VALUE!</v>
      </c>
      <c r="AV238" t="e">
        <f>AND('Calendario Académico 2014'!Y23,"AAAAAF/u/y8=")</f>
        <v>#VALUE!</v>
      </c>
      <c r="AW238" t="e">
        <f>AND('Calendario Académico 2014'!Z23,"AAAAAF/u/zA=")</f>
        <v>#VALUE!</v>
      </c>
      <c r="AX238" t="e">
        <f>AND('Calendario Académico 2014'!AA23,"AAAAAF/u/zE=")</f>
        <v>#VALUE!</v>
      </c>
      <c r="AY238" t="e">
        <f>AND('Calendario Académico 2014'!AB23,"AAAAAF/u/zI=")</f>
        <v>#VALUE!</v>
      </c>
      <c r="AZ238" t="e">
        <f>AND('Calendario Académico 2014'!AC23,"AAAAAF/u/zM=")</f>
        <v>#VALUE!</v>
      </c>
      <c r="BA238" t="e">
        <f>AND('Calendario Académico 2014'!AD23,"AAAAAF/u/zQ=")</f>
        <v>#VALUE!</v>
      </c>
      <c r="BB238" t="e">
        <f>AND('Calendario Académico 2014'!AE23,"AAAAAF/u/zU=")</f>
        <v>#VALUE!</v>
      </c>
      <c r="BC238" t="e">
        <f>AND('Calendario Académico 2014'!AF23,"AAAAAF/u/zY=")</f>
        <v>#VALUE!</v>
      </c>
      <c r="BD238" t="e">
        <f>AND('Calendario Académico 2014'!AG23,"AAAAAF/u/zc=")</f>
        <v>#VALUE!</v>
      </c>
      <c r="BE238" t="e">
        <f>AND('Calendario Académico 2014'!AH23,"AAAAAF/u/zg=")</f>
        <v>#VALUE!</v>
      </c>
      <c r="BF238">
        <f>IF('Calendario Académico 2014'!24:24,"AAAAAF/u/zk=",0)</f>
        <v>0</v>
      </c>
      <c r="BG238" t="e">
        <f>AND('Calendario Académico 2014'!A24,"AAAAAF/u/zo=")</f>
        <v>#VALUE!</v>
      </c>
      <c r="BH238" t="e">
        <f>AND('Calendario Académico 2014'!B24,"AAAAAF/u/zs=")</f>
        <v>#VALUE!</v>
      </c>
      <c r="BI238" t="e">
        <f>AND('Calendario Académico 2014'!C24,"AAAAAF/u/zw=")</f>
        <v>#VALUE!</v>
      </c>
      <c r="BJ238" t="e">
        <f>AND('Calendario Académico 2014'!D24,"AAAAAF/u/z0=")</f>
        <v>#VALUE!</v>
      </c>
      <c r="BK238" t="e">
        <f>AND('Calendario Académico 2014'!E24,"AAAAAF/u/z4=")</f>
        <v>#VALUE!</v>
      </c>
      <c r="BL238" t="e">
        <f>AND('Calendario Académico 2014'!F24,"AAAAAF/u/z8=")</f>
        <v>#VALUE!</v>
      </c>
      <c r="BM238" t="e">
        <f>AND('Calendario Académico 2014'!G24,"AAAAAF/u/0A=")</f>
        <v>#VALUE!</v>
      </c>
      <c r="BN238" t="e">
        <f>AND('Calendario Académico 2014'!H24,"AAAAAF/u/0E=")</f>
        <v>#VALUE!</v>
      </c>
      <c r="BO238" t="e">
        <f>AND('Calendario Académico 2014'!I24,"AAAAAF/u/0I=")</f>
        <v>#VALUE!</v>
      </c>
      <c r="BP238" t="e">
        <f>AND('Calendario Académico 2014'!J24,"AAAAAF/u/0M=")</f>
        <v>#VALUE!</v>
      </c>
      <c r="BQ238" t="e">
        <f>AND('Calendario Académico 2014'!K24,"AAAAAF/u/0Q=")</f>
        <v>#VALUE!</v>
      </c>
      <c r="BR238" t="e">
        <f>AND('Calendario Académico 2014'!L24,"AAAAAF/u/0U=")</f>
        <v>#VALUE!</v>
      </c>
      <c r="BS238" t="e">
        <f>AND('Calendario Académico 2014'!M24,"AAAAAF/u/0Y=")</f>
        <v>#VALUE!</v>
      </c>
      <c r="BT238" t="e">
        <f>AND('Calendario Académico 2014'!N24,"AAAAAF/u/0c=")</f>
        <v>#VALUE!</v>
      </c>
      <c r="BU238" t="e">
        <f>AND('Calendario Académico 2014'!O24,"AAAAAF/u/0g=")</f>
        <v>#VALUE!</v>
      </c>
      <c r="BV238" t="e">
        <f>AND('Calendario Académico 2014'!P24,"AAAAAF/u/0k=")</f>
        <v>#VALUE!</v>
      </c>
      <c r="BW238" t="e">
        <f>AND('Calendario Académico 2014'!Q24,"AAAAAF/u/0o=")</f>
        <v>#VALUE!</v>
      </c>
      <c r="BX238" t="e">
        <f>AND('Calendario Académico 2014'!R24,"AAAAAF/u/0s=")</f>
        <v>#VALUE!</v>
      </c>
      <c r="BY238" t="e">
        <f>AND('Calendario Académico 2014'!S24,"AAAAAF/u/0w=")</f>
        <v>#VALUE!</v>
      </c>
      <c r="BZ238" t="e">
        <f>AND('Calendario Académico 2014'!T24,"AAAAAF/u/00=")</f>
        <v>#VALUE!</v>
      </c>
      <c r="CA238" t="e">
        <f>AND('Calendario Académico 2014'!U24,"AAAAAF/u/04=")</f>
        <v>#VALUE!</v>
      </c>
      <c r="CB238" t="e">
        <f>AND('Calendario Académico 2014'!V24,"AAAAAF/u/08=")</f>
        <v>#VALUE!</v>
      </c>
      <c r="CC238" t="e">
        <f>AND('Calendario Académico 2014'!W24,"AAAAAF/u/1A=")</f>
        <v>#VALUE!</v>
      </c>
      <c r="CD238" t="e">
        <f>AND('Calendario Académico 2014'!X24,"AAAAAF/u/1E=")</f>
        <v>#VALUE!</v>
      </c>
      <c r="CE238" t="e">
        <f>AND('Calendario Académico 2014'!Y24,"AAAAAF/u/1I=")</f>
        <v>#VALUE!</v>
      </c>
      <c r="CF238" t="e">
        <f>AND('Calendario Académico 2014'!Z24,"AAAAAF/u/1M=")</f>
        <v>#VALUE!</v>
      </c>
      <c r="CG238" t="e">
        <f>AND('Calendario Académico 2014'!AA24,"AAAAAF/u/1Q=")</f>
        <v>#VALUE!</v>
      </c>
      <c r="CH238" t="e">
        <f>AND('Calendario Académico 2014'!AB24,"AAAAAF/u/1U=")</f>
        <v>#VALUE!</v>
      </c>
      <c r="CI238" t="e">
        <f>AND('Calendario Académico 2014'!AC24,"AAAAAF/u/1Y=")</f>
        <v>#VALUE!</v>
      </c>
      <c r="CJ238" t="e">
        <f>AND('Calendario Académico 2014'!AD24,"AAAAAF/u/1c=")</f>
        <v>#VALUE!</v>
      </c>
      <c r="CK238" t="e">
        <f>AND('Calendario Académico 2014'!AE24,"AAAAAF/u/1g=")</f>
        <v>#VALUE!</v>
      </c>
      <c r="CL238" t="e">
        <f>AND('Calendario Académico 2014'!AF24,"AAAAAF/u/1k=")</f>
        <v>#VALUE!</v>
      </c>
      <c r="CM238" t="e">
        <f>AND('Calendario Académico 2014'!AG24,"AAAAAF/u/1o=")</f>
        <v>#VALUE!</v>
      </c>
      <c r="CN238" t="e">
        <f>AND('Calendario Académico 2014'!AH24,"AAAAAF/u/1s=")</f>
        <v>#VALUE!</v>
      </c>
      <c r="CO238">
        <f>IF('Calendario Académico 2014'!25:25,"AAAAAF/u/1w=",0)</f>
        <v>0</v>
      </c>
      <c r="CP238" t="e">
        <f>AND('Calendario Académico 2014'!A25,"AAAAAF/u/10=")</f>
        <v>#VALUE!</v>
      </c>
      <c r="CQ238" t="e">
        <f>AND('Calendario Académico 2014'!B25,"AAAAAF/u/14=")</f>
        <v>#VALUE!</v>
      </c>
      <c r="CR238" t="e">
        <f>AND('Calendario Académico 2014'!C25,"AAAAAF/u/18=")</f>
        <v>#VALUE!</v>
      </c>
      <c r="CS238" t="e">
        <f>AND('Calendario Académico 2014'!D25,"AAAAAF/u/2A=")</f>
        <v>#VALUE!</v>
      </c>
      <c r="CT238" t="e">
        <f>AND('Calendario Académico 2014'!E25,"AAAAAF/u/2E=")</f>
        <v>#VALUE!</v>
      </c>
      <c r="CU238" t="e">
        <f>AND('Calendario Académico 2014'!F25,"AAAAAF/u/2I=")</f>
        <v>#VALUE!</v>
      </c>
      <c r="CV238" t="e">
        <f>AND('Calendario Académico 2014'!G25,"AAAAAF/u/2M=")</f>
        <v>#VALUE!</v>
      </c>
      <c r="CW238" t="e">
        <f>AND('Calendario Académico 2014'!H25,"AAAAAF/u/2Q=")</f>
        <v>#VALUE!</v>
      </c>
      <c r="CX238" t="e">
        <f>AND('Calendario Académico 2014'!I25,"AAAAAF/u/2U=")</f>
        <v>#VALUE!</v>
      </c>
      <c r="CY238" t="e">
        <f>AND('Calendario Académico 2014'!J25,"AAAAAF/u/2Y=")</f>
        <v>#VALUE!</v>
      </c>
      <c r="CZ238" t="e">
        <f>AND('Calendario Académico 2014'!K25,"AAAAAF/u/2c=")</f>
        <v>#VALUE!</v>
      </c>
      <c r="DA238" t="e">
        <f>AND('Calendario Académico 2014'!L25,"AAAAAF/u/2g=")</f>
        <v>#VALUE!</v>
      </c>
      <c r="DB238" t="e">
        <f>AND('Calendario Académico 2014'!M25,"AAAAAF/u/2k=")</f>
        <v>#VALUE!</v>
      </c>
      <c r="DC238" t="e">
        <f>AND('Calendario Académico 2014'!N25,"AAAAAF/u/2o=")</f>
        <v>#VALUE!</v>
      </c>
      <c r="DD238" t="e">
        <f>AND('Calendario Académico 2014'!O25,"AAAAAF/u/2s=")</f>
        <v>#VALUE!</v>
      </c>
      <c r="DE238" t="e">
        <f>AND('Calendario Académico 2014'!P25,"AAAAAF/u/2w=")</f>
        <v>#VALUE!</v>
      </c>
      <c r="DF238" t="e">
        <f>AND('Calendario Académico 2014'!Q25,"AAAAAF/u/20=")</f>
        <v>#VALUE!</v>
      </c>
      <c r="DG238" t="e">
        <f>AND('Calendario Académico 2014'!R25,"AAAAAF/u/24=")</f>
        <v>#VALUE!</v>
      </c>
      <c r="DH238" t="e">
        <f>AND('Calendario Académico 2014'!S25,"AAAAAF/u/28=")</f>
        <v>#VALUE!</v>
      </c>
      <c r="DI238" t="e">
        <f>AND('Calendario Académico 2014'!T25,"AAAAAF/u/3A=")</f>
        <v>#VALUE!</v>
      </c>
      <c r="DJ238" t="e">
        <f>AND('Calendario Académico 2014'!U25,"AAAAAF/u/3E=")</f>
        <v>#VALUE!</v>
      </c>
      <c r="DK238" t="e">
        <f>AND('Calendario Académico 2014'!V25,"AAAAAF/u/3I=")</f>
        <v>#VALUE!</v>
      </c>
      <c r="DL238" t="e">
        <f>AND('Calendario Académico 2014'!W25,"AAAAAF/u/3M=")</f>
        <v>#VALUE!</v>
      </c>
      <c r="DM238" t="e">
        <f>AND('Calendario Académico 2014'!X25,"AAAAAF/u/3Q=")</f>
        <v>#VALUE!</v>
      </c>
      <c r="DN238" t="e">
        <f>AND('Calendario Académico 2014'!Y25,"AAAAAF/u/3U=")</f>
        <v>#VALUE!</v>
      </c>
      <c r="DO238" t="e">
        <f>AND('Calendario Académico 2014'!Z25,"AAAAAF/u/3Y=")</f>
        <v>#VALUE!</v>
      </c>
      <c r="DP238" t="e">
        <f>AND('Calendario Académico 2014'!AA25,"AAAAAF/u/3c=")</f>
        <v>#VALUE!</v>
      </c>
      <c r="DQ238" t="e">
        <f>AND('Calendario Académico 2014'!AB25,"AAAAAF/u/3g=")</f>
        <v>#VALUE!</v>
      </c>
      <c r="DR238" t="e">
        <f>AND('Calendario Académico 2014'!AC25,"AAAAAF/u/3k=")</f>
        <v>#VALUE!</v>
      </c>
      <c r="DS238" t="e">
        <f>AND('Calendario Académico 2014'!AD25,"AAAAAF/u/3o=")</f>
        <v>#VALUE!</v>
      </c>
      <c r="DT238" t="e">
        <f>AND('Calendario Académico 2014'!AE25,"AAAAAF/u/3s=")</f>
        <v>#VALUE!</v>
      </c>
      <c r="DU238" t="e">
        <f>AND('Calendario Académico 2014'!AF25,"AAAAAF/u/3w=")</f>
        <v>#VALUE!</v>
      </c>
      <c r="DV238" t="e">
        <f>AND('Calendario Académico 2014'!AG25,"AAAAAF/u/30=")</f>
        <v>#VALUE!</v>
      </c>
      <c r="DW238" t="e">
        <f>AND('Calendario Académico 2014'!AH25,"AAAAAF/u/34=")</f>
        <v>#VALUE!</v>
      </c>
      <c r="DX238">
        <f>IF('Calendario Académico 2014'!26:26,"AAAAAF/u/38=",0)</f>
        <v>0</v>
      </c>
      <c r="DY238" t="e">
        <f>AND('Calendario Académico 2014'!A26,"AAAAAF/u/4A=")</f>
        <v>#VALUE!</v>
      </c>
      <c r="DZ238" t="e">
        <f>AND('Calendario Académico 2014'!B26,"AAAAAF/u/4E=")</f>
        <v>#VALUE!</v>
      </c>
      <c r="EA238" t="e">
        <f>AND('Calendario Académico 2014'!C26,"AAAAAF/u/4I=")</f>
        <v>#VALUE!</v>
      </c>
      <c r="EB238" t="e">
        <f>AND('Calendario Académico 2014'!D26,"AAAAAF/u/4M=")</f>
        <v>#VALUE!</v>
      </c>
      <c r="EC238" t="e">
        <f>AND('Calendario Académico 2014'!E26,"AAAAAF/u/4Q=")</f>
        <v>#VALUE!</v>
      </c>
      <c r="ED238" t="e">
        <f>AND('Calendario Académico 2014'!F26,"AAAAAF/u/4U=")</f>
        <v>#VALUE!</v>
      </c>
      <c r="EE238" t="e">
        <f>AND('Calendario Académico 2014'!G26,"AAAAAF/u/4Y=")</f>
        <v>#VALUE!</v>
      </c>
      <c r="EF238" t="e">
        <f>AND('Calendario Académico 2014'!H26,"AAAAAF/u/4c=")</f>
        <v>#VALUE!</v>
      </c>
      <c r="EG238" t="e">
        <f>AND('Calendario Académico 2014'!I26,"AAAAAF/u/4g=")</f>
        <v>#VALUE!</v>
      </c>
      <c r="EH238" t="e">
        <f>AND('Calendario Académico 2014'!J26,"AAAAAF/u/4k=")</f>
        <v>#VALUE!</v>
      </c>
      <c r="EI238" t="e">
        <f>AND('Calendario Académico 2014'!K26,"AAAAAF/u/4o=")</f>
        <v>#VALUE!</v>
      </c>
      <c r="EJ238" t="e">
        <f>AND('Calendario Académico 2014'!L26,"AAAAAF/u/4s=")</f>
        <v>#VALUE!</v>
      </c>
      <c r="EK238" t="e">
        <f>AND('Calendario Académico 2014'!M26,"AAAAAF/u/4w=")</f>
        <v>#VALUE!</v>
      </c>
      <c r="EL238" t="e">
        <f>AND('Calendario Académico 2014'!N26,"AAAAAF/u/40=")</f>
        <v>#VALUE!</v>
      </c>
      <c r="EM238" t="e">
        <f>AND('Calendario Académico 2014'!O26,"AAAAAF/u/44=")</f>
        <v>#VALUE!</v>
      </c>
      <c r="EN238" t="e">
        <f>AND('Calendario Académico 2014'!P26,"AAAAAF/u/48=")</f>
        <v>#VALUE!</v>
      </c>
      <c r="EO238" t="e">
        <f>AND('Calendario Académico 2014'!Q26,"AAAAAF/u/5A=")</f>
        <v>#VALUE!</v>
      </c>
      <c r="EP238" t="e">
        <f>AND('Calendario Académico 2014'!R26,"AAAAAF/u/5E=")</f>
        <v>#VALUE!</v>
      </c>
      <c r="EQ238" t="e">
        <f>AND('Calendario Académico 2014'!S26,"AAAAAF/u/5I=")</f>
        <v>#VALUE!</v>
      </c>
      <c r="ER238" t="e">
        <f>AND('Calendario Académico 2014'!T26,"AAAAAF/u/5M=")</f>
        <v>#VALUE!</v>
      </c>
      <c r="ES238" t="e">
        <f>AND('Calendario Académico 2014'!U26,"AAAAAF/u/5Q=")</f>
        <v>#VALUE!</v>
      </c>
      <c r="ET238" t="e">
        <f>AND('Calendario Académico 2014'!V26,"AAAAAF/u/5U=")</f>
        <v>#VALUE!</v>
      </c>
      <c r="EU238" t="e">
        <f>AND('Calendario Académico 2014'!W26,"AAAAAF/u/5Y=")</f>
        <v>#VALUE!</v>
      </c>
      <c r="EV238" t="e">
        <f>AND('Calendario Académico 2014'!X26,"AAAAAF/u/5c=")</f>
        <v>#VALUE!</v>
      </c>
      <c r="EW238" t="e">
        <f>AND('Calendario Académico 2014'!Y26,"AAAAAF/u/5g=")</f>
        <v>#VALUE!</v>
      </c>
      <c r="EX238" t="e">
        <f>AND('Calendario Académico 2014'!Z26,"AAAAAF/u/5k=")</f>
        <v>#VALUE!</v>
      </c>
      <c r="EY238" t="e">
        <f>AND('Calendario Académico 2014'!AA26,"AAAAAF/u/5o=")</f>
        <v>#VALUE!</v>
      </c>
      <c r="EZ238" t="e">
        <f>AND('Calendario Académico 2014'!AB26,"AAAAAF/u/5s=")</f>
        <v>#VALUE!</v>
      </c>
      <c r="FA238" t="e">
        <f>AND('Calendario Académico 2014'!AC26,"AAAAAF/u/5w=")</f>
        <v>#VALUE!</v>
      </c>
      <c r="FB238" t="e">
        <f>AND('Calendario Académico 2014'!AD26,"AAAAAF/u/50=")</f>
        <v>#VALUE!</v>
      </c>
      <c r="FC238" t="e">
        <f>AND('Calendario Académico 2014'!AE26,"AAAAAF/u/54=")</f>
        <v>#VALUE!</v>
      </c>
      <c r="FD238" t="e">
        <f>AND('Calendario Académico 2014'!AF26,"AAAAAF/u/58=")</f>
        <v>#VALUE!</v>
      </c>
      <c r="FE238" t="e">
        <f>AND('Calendario Académico 2014'!AG26,"AAAAAF/u/6A=")</f>
        <v>#VALUE!</v>
      </c>
      <c r="FF238" t="e">
        <f>AND('Calendario Académico 2014'!AH26,"AAAAAF/u/6E=")</f>
        <v>#VALUE!</v>
      </c>
      <c r="FG238">
        <f>IF('Calendario Académico 2014'!27:27,"AAAAAF/u/6I=",0)</f>
        <v>0</v>
      </c>
      <c r="FH238" t="e">
        <f>AND('Calendario Académico 2014'!A27,"AAAAAF/u/6M=")</f>
        <v>#VALUE!</v>
      </c>
      <c r="FI238" t="e">
        <f>AND('Calendario Académico 2014'!B27,"AAAAAF/u/6Q=")</f>
        <v>#VALUE!</v>
      </c>
      <c r="FJ238" t="e">
        <f>AND('Calendario Académico 2014'!C27,"AAAAAF/u/6U=")</f>
        <v>#VALUE!</v>
      </c>
      <c r="FK238" t="e">
        <f>AND('Calendario Académico 2014'!D27,"AAAAAF/u/6Y=")</f>
        <v>#VALUE!</v>
      </c>
      <c r="FL238" t="e">
        <f>AND('Calendario Académico 2014'!E27,"AAAAAF/u/6c=")</f>
        <v>#VALUE!</v>
      </c>
      <c r="FM238" t="e">
        <f>AND('Calendario Académico 2014'!F27,"AAAAAF/u/6g=")</f>
        <v>#VALUE!</v>
      </c>
      <c r="FN238" t="e">
        <f>AND('Calendario Académico 2014'!G27,"AAAAAF/u/6k=")</f>
        <v>#VALUE!</v>
      </c>
      <c r="FO238" t="e">
        <f>AND('Calendario Académico 2014'!H27,"AAAAAF/u/6o=")</f>
        <v>#VALUE!</v>
      </c>
      <c r="FP238" t="e">
        <f>AND('Calendario Académico 2014'!I27,"AAAAAF/u/6s=")</f>
        <v>#VALUE!</v>
      </c>
      <c r="FQ238" t="e">
        <f>AND('Calendario Académico 2014'!J27,"AAAAAF/u/6w=")</f>
        <v>#VALUE!</v>
      </c>
      <c r="FR238" t="e">
        <f>AND('Calendario Académico 2014'!K27,"AAAAAF/u/60=")</f>
        <v>#VALUE!</v>
      </c>
      <c r="FS238" t="e">
        <f>AND('Calendario Académico 2014'!L27,"AAAAAF/u/64=")</f>
        <v>#VALUE!</v>
      </c>
      <c r="FT238" t="e">
        <f>AND('Calendario Académico 2014'!M27,"AAAAAF/u/68=")</f>
        <v>#VALUE!</v>
      </c>
      <c r="FU238" t="e">
        <f>AND('Calendario Académico 2014'!N27,"AAAAAF/u/7A=")</f>
        <v>#VALUE!</v>
      </c>
      <c r="FV238" t="e">
        <f>AND('Calendario Académico 2014'!O27,"AAAAAF/u/7E=")</f>
        <v>#VALUE!</v>
      </c>
      <c r="FW238" t="e">
        <f>AND('Calendario Académico 2014'!P27,"AAAAAF/u/7I=")</f>
        <v>#VALUE!</v>
      </c>
      <c r="FX238" t="e">
        <f>AND('Calendario Académico 2014'!Q27,"AAAAAF/u/7M=")</f>
        <v>#VALUE!</v>
      </c>
      <c r="FY238" t="e">
        <f>AND('Calendario Académico 2014'!R27,"AAAAAF/u/7Q=")</f>
        <v>#VALUE!</v>
      </c>
      <c r="FZ238" t="e">
        <f>AND('Calendario Académico 2014'!S27,"AAAAAF/u/7U=")</f>
        <v>#VALUE!</v>
      </c>
      <c r="GA238" t="e">
        <f>AND('Calendario Académico 2014'!T27,"AAAAAF/u/7Y=")</f>
        <v>#VALUE!</v>
      </c>
      <c r="GB238" t="e">
        <f>AND('Calendario Académico 2014'!U27,"AAAAAF/u/7c=")</f>
        <v>#VALUE!</v>
      </c>
      <c r="GC238" t="e">
        <f>AND('Calendario Académico 2014'!V27,"AAAAAF/u/7g=")</f>
        <v>#VALUE!</v>
      </c>
      <c r="GD238" t="e">
        <f>AND('Calendario Académico 2014'!W27,"AAAAAF/u/7k=")</f>
        <v>#VALUE!</v>
      </c>
      <c r="GE238" t="e">
        <f>AND('Calendario Académico 2014'!X27,"AAAAAF/u/7o=")</f>
        <v>#VALUE!</v>
      </c>
      <c r="GF238" t="e">
        <f>AND('Calendario Académico 2014'!Y27,"AAAAAF/u/7s=")</f>
        <v>#VALUE!</v>
      </c>
      <c r="GG238" t="e">
        <f>AND('Calendario Académico 2014'!Z27,"AAAAAF/u/7w=")</f>
        <v>#VALUE!</v>
      </c>
      <c r="GH238" t="e">
        <f>AND('Calendario Académico 2014'!AA27,"AAAAAF/u/70=")</f>
        <v>#VALUE!</v>
      </c>
      <c r="GI238" t="e">
        <f>AND('Calendario Académico 2014'!AB27,"AAAAAF/u/74=")</f>
        <v>#VALUE!</v>
      </c>
      <c r="GJ238" t="e">
        <f>AND('Calendario Académico 2014'!AC27,"AAAAAF/u/78=")</f>
        <v>#VALUE!</v>
      </c>
      <c r="GK238" t="e">
        <f>AND('Calendario Académico 2014'!AD27,"AAAAAF/u/8A=")</f>
        <v>#VALUE!</v>
      </c>
      <c r="GL238" t="e">
        <f>AND('Calendario Académico 2014'!AE27,"AAAAAF/u/8E=")</f>
        <v>#VALUE!</v>
      </c>
      <c r="GM238" t="e">
        <f>AND('Calendario Académico 2014'!AF27,"AAAAAF/u/8I=")</f>
        <v>#VALUE!</v>
      </c>
      <c r="GN238" t="e">
        <f>AND('Calendario Académico 2014'!AG27,"AAAAAF/u/8M=")</f>
        <v>#VALUE!</v>
      </c>
      <c r="GO238" t="e">
        <f>AND('Calendario Académico 2014'!AH27,"AAAAAF/u/8Q=")</f>
        <v>#VALUE!</v>
      </c>
      <c r="GP238">
        <f>IF('Calendario Académico 2014'!28:28,"AAAAAF/u/8U=",0)</f>
        <v>0</v>
      </c>
      <c r="GQ238" t="e">
        <f>AND('Calendario Académico 2014'!A28,"AAAAAF/u/8Y=")</f>
        <v>#VALUE!</v>
      </c>
      <c r="GR238" t="e">
        <f>AND('Calendario Académico 2014'!B28,"AAAAAF/u/8c=")</f>
        <v>#VALUE!</v>
      </c>
      <c r="GS238" t="e">
        <f>AND('Calendario Académico 2014'!C28,"AAAAAF/u/8g=")</f>
        <v>#VALUE!</v>
      </c>
      <c r="GT238" t="e">
        <f>AND('Calendario Académico 2014'!D28,"AAAAAF/u/8k=")</f>
        <v>#VALUE!</v>
      </c>
      <c r="GU238" t="e">
        <f>AND('Calendario Académico 2014'!E28,"AAAAAF/u/8o=")</f>
        <v>#VALUE!</v>
      </c>
      <c r="GV238" t="e">
        <f>AND('Calendario Académico 2014'!F28,"AAAAAF/u/8s=")</f>
        <v>#VALUE!</v>
      </c>
      <c r="GW238" t="e">
        <f>AND('Calendario Académico 2014'!G28,"AAAAAF/u/8w=")</f>
        <v>#VALUE!</v>
      </c>
      <c r="GX238" t="e">
        <f>AND('Calendario Académico 2014'!H28,"AAAAAF/u/80=")</f>
        <v>#VALUE!</v>
      </c>
      <c r="GY238" t="e">
        <f>AND('Calendario Académico 2014'!I28,"AAAAAF/u/84=")</f>
        <v>#VALUE!</v>
      </c>
      <c r="GZ238" t="e">
        <f>AND('Calendario Académico 2014'!J28,"AAAAAF/u/88=")</f>
        <v>#VALUE!</v>
      </c>
      <c r="HA238" t="e">
        <f>AND('Calendario Académico 2014'!K28,"AAAAAF/u/9A=")</f>
        <v>#VALUE!</v>
      </c>
      <c r="HB238" t="e">
        <f>AND('Calendario Académico 2014'!L28,"AAAAAF/u/9E=")</f>
        <v>#VALUE!</v>
      </c>
      <c r="HC238" t="e">
        <f>AND('Calendario Académico 2014'!M28,"AAAAAF/u/9I=")</f>
        <v>#VALUE!</v>
      </c>
      <c r="HD238" t="e">
        <f>AND('Calendario Académico 2014'!N28,"AAAAAF/u/9M=")</f>
        <v>#VALUE!</v>
      </c>
      <c r="HE238" t="e">
        <f>AND('Calendario Académico 2014'!O28,"AAAAAF/u/9Q=")</f>
        <v>#VALUE!</v>
      </c>
      <c r="HF238" t="e">
        <f>AND('Calendario Académico 2014'!P28,"AAAAAF/u/9U=")</f>
        <v>#VALUE!</v>
      </c>
      <c r="HG238" t="e">
        <f>AND('Calendario Académico 2014'!Q28,"AAAAAF/u/9Y=")</f>
        <v>#VALUE!</v>
      </c>
      <c r="HH238" t="e">
        <f>AND('Calendario Académico 2014'!R28,"AAAAAF/u/9c=")</f>
        <v>#VALUE!</v>
      </c>
      <c r="HI238" t="e">
        <f>AND('Calendario Académico 2014'!S28,"AAAAAF/u/9g=")</f>
        <v>#VALUE!</v>
      </c>
      <c r="HJ238" t="e">
        <f>AND('Calendario Académico 2014'!T28,"AAAAAF/u/9k=")</f>
        <v>#VALUE!</v>
      </c>
      <c r="HK238" t="e">
        <f>AND('Calendario Académico 2014'!U28,"AAAAAF/u/9o=")</f>
        <v>#VALUE!</v>
      </c>
      <c r="HL238" t="e">
        <f>AND('Calendario Académico 2014'!V28,"AAAAAF/u/9s=")</f>
        <v>#VALUE!</v>
      </c>
      <c r="HM238" t="e">
        <f>AND('Calendario Académico 2014'!W28,"AAAAAF/u/9w=")</f>
        <v>#VALUE!</v>
      </c>
      <c r="HN238" t="e">
        <f>AND('Calendario Académico 2014'!X28,"AAAAAF/u/90=")</f>
        <v>#VALUE!</v>
      </c>
      <c r="HO238" t="e">
        <f>AND('Calendario Académico 2014'!Y28,"AAAAAF/u/94=")</f>
        <v>#VALUE!</v>
      </c>
      <c r="HP238" t="e">
        <f>AND('Calendario Académico 2014'!Z28,"AAAAAF/u/98=")</f>
        <v>#VALUE!</v>
      </c>
      <c r="HQ238" t="e">
        <f>AND('Calendario Académico 2014'!AA28,"AAAAAF/u/+A=")</f>
        <v>#VALUE!</v>
      </c>
      <c r="HR238" t="e">
        <f>AND('Calendario Académico 2014'!AB28,"AAAAAF/u/+E=")</f>
        <v>#VALUE!</v>
      </c>
      <c r="HS238" t="e">
        <f>AND('Calendario Académico 2014'!AC28,"AAAAAF/u/+I=")</f>
        <v>#VALUE!</v>
      </c>
      <c r="HT238" t="e">
        <f>AND('Calendario Académico 2014'!AD28,"AAAAAF/u/+M=")</f>
        <v>#VALUE!</v>
      </c>
      <c r="HU238" t="e">
        <f>AND('Calendario Académico 2014'!AE28,"AAAAAF/u/+Q=")</f>
        <v>#VALUE!</v>
      </c>
      <c r="HV238" t="e">
        <f>AND('Calendario Académico 2014'!AF28,"AAAAAF/u/+U=")</f>
        <v>#VALUE!</v>
      </c>
      <c r="HW238" t="e">
        <f>AND('Calendario Académico 2014'!AG28,"AAAAAF/u/+Y=")</f>
        <v>#VALUE!</v>
      </c>
      <c r="HX238" t="e">
        <f>AND('Calendario Académico 2014'!AH28,"AAAAAF/u/+c=")</f>
        <v>#VALUE!</v>
      </c>
      <c r="HY238">
        <f>IF('Calendario Académico 2014'!29:29,"AAAAAF/u/+g=",0)</f>
        <v>0</v>
      </c>
      <c r="HZ238" t="e">
        <f>AND('Calendario Académico 2014'!A29,"AAAAAF/u/+k=")</f>
        <v>#VALUE!</v>
      </c>
      <c r="IA238" t="e">
        <f>AND('Calendario Académico 2014'!B29,"AAAAAF/u/+o=")</f>
        <v>#VALUE!</v>
      </c>
      <c r="IB238" t="e">
        <f>AND('Calendario Académico 2014'!C29,"AAAAAF/u/+s=")</f>
        <v>#VALUE!</v>
      </c>
      <c r="IC238" t="e">
        <f>AND('Calendario Académico 2014'!D29,"AAAAAF/u/+w=")</f>
        <v>#VALUE!</v>
      </c>
      <c r="ID238" t="e">
        <f>AND('Calendario Académico 2014'!E29,"AAAAAF/u/+0=")</f>
        <v>#VALUE!</v>
      </c>
      <c r="IE238" t="e">
        <f>AND('Calendario Académico 2014'!F29,"AAAAAF/u/+4=")</f>
        <v>#VALUE!</v>
      </c>
      <c r="IF238" t="e">
        <f>AND('Calendario Académico 2014'!G29,"AAAAAF/u/+8=")</f>
        <v>#VALUE!</v>
      </c>
      <c r="IG238" t="e">
        <f>AND('Calendario Académico 2014'!H29,"AAAAAF/u//A=")</f>
        <v>#VALUE!</v>
      </c>
      <c r="IH238" t="e">
        <f>AND('Calendario Académico 2014'!I29,"AAAAAF/u//E=")</f>
        <v>#VALUE!</v>
      </c>
      <c r="II238" t="e">
        <f>AND('Calendario Académico 2014'!J29,"AAAAAF/u//I=")</f>
        <v>#VALUE!</v>
      </c>
      <c r="IJ238" t="e">
        <f>AND('Calendario Académico 2014'!K29,"AAAAAF/u//M=")</f>
        <v>#VALUE!</v>
      </c>
      <c r="IK238" t="e">
        <f>AND('Calendario Académico 2014'!L29,"AAAAAF/u//Q=")</f>
        <v>#VALUE!</v>
      </c>
      <c r="IL238" t="e">
        <f>AND('Calendario Académico 2014'!M29,"AAAAAF/u//U=")</f>
        <v>#VALUE!</v>
      </c>
      <c r="IM238" t="e">
        <f>AND('Calendario Académico 2014'!N29,"AAAAAF/u//Y=")</f>
        <v>#VALUE!</v>
      </c>
      <c r="IN238" t="e">
        <f>AND('Calendario Académico 2014'!O29,"AAAAAF/u//c=")</f>
        <v>#VALUE!</v>
      </c>
      <c r="IO238" t="e">
        <f>AND('Calendario Académico 2014'!P29,"AAAAAF/u//g=")</f>
        <v>#VALUE!</v>
      </c>
      <c r="IP238" t="e">
        <f>AND('Calendario Académico 2014'!Q29,"AAAAAF/u//k=")</f>
        <v>#VALUE!</v>
      </c>
      <c r="IQ238" t="e">
        <f>AND('Calendario Académico 2014'!R29,"AAAAAF/u//o=")</f>
        <v>#VALUE!</v>
      </c>
      <c r="IR238" t="e">
        <f>AND('Calendario Académico 2014'!S29,"AAAAAF/u//s=")</f>
        <v>#VALUE!</v>
      </c>
      <c r="IS238" t="e">
        <f>AND('Calendario Académico 2014'!T29,"AAAAAF/u//w=")</f>
        <v>#VALUE!</v>
      </c>
      <c r="IT238" t="e">
        <f>AND('Calendario Académico 2014'!U29,"AAAAAF/u//0=")</f>
        <v>#VALUE!</v>
      </c>
      <c r="IU238" t="e">
        <f>AND('Calendario Académico 2014'!V29,"AAAAAF/u//4=")</f>
        <v>#VALUE!</v>
      </c>
      <c r="IV238" t="e">
        <f>AND('Calendario Académico 2014'!W29,"AAAAAF/u//8=")</f>
        <v>#VALUE!</v>
      </c>
    </row>
    <row r="239" spans="1:256" x14ac:dyDescent="0.2">
      <c r="A239" t="e">
        <f>AND('Calendario Académico 2014'!X29,"AAAAAA2v2QA=")</f>
        <v>#VALUE!</v>
      </c>
      <c r="B239" t="e">
        <f>AND('Calendario Académico 2014'!Y29,"AAAAAA2v2QE=")</f>
        <v>#VALUE!</v>
      </c>
      <c r="C239" t="e">
        <f>AND('Calendario Académico 2014'!Z29,"AAAAAA2v2QI=")</f>
        <v>#VALUE!</v>
      </c>
      <c r="D239" t="e">
        <f>AND('Calendario Académico 2014'!AA29,"AAAAAA2v2QM=")</f>
        <v>#VALUE!</v>
      </c>
      <c r="E239" t="e">
        <f>AND('Calendario Académico 2014'!AB29,"AAAAAA2v2QQ=")</f>
        <v>#VALUE!</v>
      </c>
      <c r="F239" t="e">
        <f>AND('Calendario Académico 2014'!AC29,"AAAAAA2v2QU=")</f>
        <v>#VALUE!</v>
      </c>
      <c r="G239" t="e">
        <f>AND('Calendario Académico 2014'!AD29,"AAAAAA2v2QY=")</f>
        <v>#VALUE!</v>
      </c>
      <c r="H239" t="e">
        <f>AND('Calendario Académico 2014'!AE29,"AAAAAA2v2Qc=")</f>
        <v>#VALUE!</v>
      </c>
      <c r="I239" t="e">
        <f>AND('Calendario Académico 2014'!AF29,"AAAAAA2v2Qg=")</f>
        <v>#VALUE!</v>
      </c>
      <c r="J239" t="e">
        <f>AND('Calendario Académico 2014'!AG29,"AAAAAA2v2Qk=")</f>
        <v>#VALUE!</v>
      </c>
      <c r="K239" t="e">
        <f>AND('Calendario Académico 2014'!AH29,"AAAAAA2v2Qo=")</f>
        <v>#VALUE!</v>
      </c>
      <c r="L239">
        <f>IF('Calendario Académico 2014'!30:30,"AAAAAA2v2Qs=",0)</f>
        <v>0</v>
      </c>
      <c r="M239" t="e">
        <f>AND('Calendario Académico 2014'!A30,"AAAAAA2v2Qw=")</f>
        <v>#VALUE!</v>
      </c>
      <c r="N239" t="e">
        <f>AND('Calendario Académico 2014'!B30,"AAAAAA2v2Q0=")</f>
        <v>#VALUE!</v>
      </c>
      <c r="O239" t="e">
        <f>AND('Calendario Académico 2014'!C30,"AAAAAA2v2Q4=")</f>
        <v>#VALUE!</v>
      </c>
      <c r="P239" t="e">
        <f>AND('Calendario Académico 2014'!D30,"AAAAAA2v2Q8=")</f>
        <v>#VALUE!</v>
      </c>
      <c r="Q239" t="e">
        <f>AND('Calendario Académico 2014'!E30,"AAAAAA2v2RA=")</f>
        <v>#VALUE!</v>
      </c>
      <c r="R239" t="e">
        <f>AND('Calendario Académico 2014'!F30,"AAAAAA2v2RE=")</f>
        <v>#VALUE!</v>
      </c>
      <c r="S239" t="e">
        <f>AND('Calendario Académico 2014'!G30,"AAAAAA2v2RI=")</f>
        <v>#VALUE!</v>
      </c>
      <c r="T239" t="e">
        <f>AND('Calendario Académico 2014'!H30,"AAAAAA2v2RM=")</f>
        <v>#VALUE!</v>
      </c>
      <c r="U239" t="e">
        <f>AND('Calendario Académico 2014'!I30,"AAAAAA2v2RQ=")</f>
        <v>#VALUE!</v>
      </c>
      <c r="V239" t="e">
        <f>AND('Calendario Académico 2014'!J30,"AAAAAA2v2RU=")</f>
        <v>#VALUE!</v>
      </c>
      <c r="W239" t="e">
        <f>AND('Calendario Académico 2014'!K30,"AAAAAA2v2RY=")</f>
        <v>#VALUE!</v>
      </c>
      <c r="X239" t="e">
        <f>AND('Calendario Académico 2014'!L30,"AAAAAA2v2Rc=")</f>
        <v>#VALUE!</v>
      </c>
      <c r="Y239" t="e">
        <f>AND('Calendario Académico 2014'!M30,"AAAAAA2v2Rg=")</f>
        <v>#VALUE!</v>
      </c>
      <c r="Z239" t="e">
        <f>AND('Calendario Académico 2014'!N30,"AAAAAA2v2Rk=")</f>
        <v>#VALUE!</v>
      </c>
      <c r="AA239" t="e">
        <f>AND('Calendario Académico 2014'!O30,"AAAAAA2v2Ro=")</f>
        <v>#VALUE!</v>
      </c>
      <c r="AB239" t="e">
        <f>AND('Calendario Académico 2014'!P30,"AAAAAA2v2Rs=")</f>
        <v>#VALUE!</v>
      </c>
      <c r="AC239" t="e">
        <f>AND('Calendario Académico 2014'!Q30,"AAAAAA2v2Rw=")</f>
        <v>#VALUE!</v>
      </c>
      <c r="AD239" t="e">
        <f>AND('Calendario Académico 2014'!R30,"AAAAAA2v2R0=")</f>
        <v>#VALUE!</v>
      </c>
      <c r="AE239" t="e">
        <f>AND('Calendario Académico 2014'!S30,"AAAAAA2v2R4=")</f>
        <v>#VALUE!</v>
      </c>
      <c r="AF239" t="e">
        <f>AND('Calendario Académico 2014'!T30,"AAAAAA2v2R8=")</f>
        <v>#VALUE!</v>
      </c>
      <c r="AG239" t="e">
        <f>AND('Calendario Académico 2014'!U30,"AAAAAA2v2SA=")</f>
        <v>#VALUE!</v>
      </c>
      <c r="AH239" t="e">
        <f>AND('Calendario Académico 2014'!V30,"AAAAAA2v2SE=")</f>
        <v>#VALUE!</v>
      </c>
      <c r="AI239" t="e">
        <f>AND('Calendario Académico 2014'!W30,"AAAAAA2v2SI=")</f>
        <v>#VALUE!</v>
      </c>
      <c r="AJ239" t="e">
        <f>AND('Calendario Académico 2014'!X30,"AAAAAA2v2SM=")</f>
        <v>#VALUE!</v>
      </c>
      <c r="AK239" t="e">
        <f>AND('Calendario Académico 2014'!Y30,"AAAAAA2v2SQ=")</f>
        <v>#VALUE!</v>
      </c>
      <c r="AL239" t="e">
        <f>AND('Calendario Académico 2014'!Z30,"AAAAAA2v2SU=")</f>
        <v>#VALUE!</v>
      </c>
      <c r="AM239" t="e">
        <f>AND('Calendario Académico 2014'!AA30,"AAAAAA2v2SY=")</f>
        <v>#VALUE!</v>
      </c>
      <c r="AN239" t="e">
        <f>AND('Calendario Académico 2014'!AB30,"AAAAAA2v2Sc=")</f>
        <v>#VALUE!</v>
      </c>
      <c r="AO239" t="e">
        <f>AND('Calendario Académico 2014'!AC30,"AAAAAA2v2Sg=")</f>
        <v>#VALUE!</v>
      </c>
      <c r="AP239" t="e">
        <f>AND('Calendario Académico 2014'!AD30,"AAAAAA2v2Sk=")</f>
        <v>#VALUE!</v>
      </c>
      <c r="AQ239" t="e">
        <f>AND('Calendario Académico 2014'!AE30,"AAAAAA2v2So=")</f>
        <v>#VALUE!</v>
      </c>
      <c r="AR239" t="e">
        <f>AND('Calendario Académico 2014'!AF30,"AAAAAA2v2Ss=")</f>
        <v>#VALUE!</v>
      </c>
      <c r="AS239" t="e">
        <f>AND('Calendario Académico 2014'!AG30,"AAAAAA2v2Sw=")</f>
        <v>#VALUE!</v>
      </c>
      <c r="AT239" t="e">
        <f>AND('Calendario Académico 2014'!AH30,"AAAAAA2v2S0=")</f>
        <v>#VALUE!</v>
      </c>
      <c r="AU239">
        <f>IF('Calendario Académico 2014'!31:31,"AAAAAA2v2S4=",0)</f>
        <v>0</v>
      </c>
      <c r="AV239" t="e">
        <f>AND('Calendario Académico 2014'!A31,"AAAAAA2v2S8=")</f>
        <v>#VALUE!</v>
      </c>
      <c r="AW239" t="e">
        <f>AND('Calendario Académico 2014'!B31,"AAAAAA2v2TA=")</f>
        <v>#VALUE!</v>
      </c>
      <c r="AX239" t="e">
        <f>AND('Calendario Académico 2014'!C31,"AAAAAA2v2TE=")</f>
        <v>#VALUE!</v>
      </c>
      <c r="AY239" t="e">
        <f>AND('Calendario Académico 2014'!D31,"AAAAAA2v2TI=")</f>
        <v>#VALUE!</v>
      </c>
      <c r="AZ239" t="e">
        <f>AND('Calendario Académico 2014'!E31,"AAAAAA2v2TM=")</f>
        <v>#VALUE!</v>
      </c>
      <c r="BA239" t="e">
        <f>AND('Calendario Académico 2014'!F31,"AAAAAA2v2TQ=")</f>
        <v>#VALUE!</v>
      </c>
      <c r="BB239" t="e">
        <f>AND('Calendario Académico 2014'!G31,"AAAAAA2v2TU=")</f>
        <v>#VALUE!</v>
      </c>
      <c r="BC239" t="e">
        <f>AND('Calendario Académico 2014'!H31,"AAAAAA2v2TY=")</f>
        <v>#VALUE!</v>
      </c>
      <c r="BD239" t="e">
        <f>AND('Calendario Académico 2014'!I31,"AAAAAA2v2Tc=")</f>
        <v>#VALUE!</v>
      </c>
      <c r="BE239" t="e">
        <f>AND('Calendario Académico 2014'!J31,"AAAAAA2v2Tg=")</f>
        <v>#VALUE!</v>
      </c>
      <c r="BF239" t="e">
        <f>AND('Calendario Académico 2014'!K31,"AAAAAA2v2Tk=")</f>
        <v>#VALUE!</v>
      </c>
      <c r="BG239" t="e">
        <f>AND('Calendario Académico 2014'!L31,"AAAAAA2v2To=")</f>
        <v>#VALUE!</v>
      </c>
      <c r="BH239" t="e">
        <f>AND('Calendario Académico 2014'!M31,"AAAAAA2v2Ts=")</f>
        <v>#VALUE!</v>
      </c>
      <c r="BI239" t="e">
        <f>AND('Calendario Académico 2014'!N31,"AAAAAA2v2Tw=")</f>
        <v>#VALUE!</v>
      </c>
      <c r="BJ239" t="e">
        <f>AND('Calendario Académico 2014'!O31,"AAAAAA2v2T0=")</f>
        <v>#VALUE!</v>
      </c>
      <c r="BK239" t="e">
        <f>AND('Calendario Académico 2014'!P31,"AAAAAA2v2T4=")</f>
        <v>#VALUE!</v>
      </c>
      <c r="BL239" t="e">
        <f>AND('Calendario Académico 2014'!Q31,"AAAAAA2v2T8=")</f>
        <v>#VALUE!</v>
      </c>
      <c r="BM239" t="e">
        <f>AND('Calendario Académico 2014'!R31,"AAAAAA2v2UA=")</f>
        <v>#VALUE!</v>
      </c>
      <c r="BN239" t="e">
        <f>AND('Calendario Académico 2014'!S31,"AAAAAA2v2UE=")</f>
        <v>#VALUE!</v>
      </c>
      <c r="BO239" t="e">
        <f>AND('Calendario Académico 2014'!T31,"AAAAAA2v2UI=")</f>
        <v>#VALUE!</v>
      </c>
      <c r="BP239" t="e">
        <f>AND('Calendario Académico 2014'!U31,"AAAAAA2v2UM=")</f>
        <v>#VALUE!</v>
      </c>
      <c r="BQ239" t="e">
        <f>AND('Calendario Académico 2014'!V31,"AAAAAA2v2UQ=")</f>
        <v>#VALUE!</v>
      </c>
      <c r="BR239" t="e">
        <f>AND('Calendario Académico 2014'!W31,"AAAAAA2v2UU=")</f>
        <v>#VALUE!</v>
      </c>
      <c r="BS239" t="e">
        <f>AND('Calendario Académico 2014'!X31,"AAAAAA2v2UY=")</f>
        <v>#VALUE!</v>
      </c>
      <c r="BT239" t="e">
        <f>AND('Calendario Académico 2014'!Y31,"AAAAAA2v2Uc=")</f>
        <v>#VALUE!</v>
      </c>
      <c r="BU239" t="e">
        <f>AND('Calendario Académico 2014'!Z31,"AAAAAA2v2Ug=")</f>
        <v>#VALUE!</v>
      </c>
      <c r="BV239" t="e">
        <f>AND('Calendario Académico 2014'!AA31,"AAAAAA2v2Uk=")</f>
        <v>#VALUE!</v>
      </c>
      <c r="BW239" t="e">
        <f>AND('Calendario Académico 2014'!AB31,"AAAAAA2v2Uo=")</f>
        <v>#VALUE!</v>
      </c>
      <c r="BX239" t="e">
        <f>AND('Calendario Académico 2014'!AC31,"AAAAAA2v2Us=")</f>
        <v>#VALUE!</v>
      </c>
      <c r="BY239" t="e">
        <f>AND('Calendario Académico 2014'!AD31,"AAAAAA2v2Uw=")</f>
        <v>#VALUE!</v>
      </c>
      <c r="BZ239" t="e">
        <f>AND('Calendario Académico 2014'!AE31,"AAAAAA2v2U0=")</f>
        <v>#VALUE!</v>
      </c>
      <c r="CA239" t="e">
        <f>AND('Calendario Académico 2014'!AF31,"AAAAAA2v2U4=")</f>
        <v>#VALUE!</v>
      </c>
      <c r="CB239" t="e">
        <f>AND('Calendario Académico 2014'!AG31,"AAAAAA2v2U8=")</f>
        <v>#VALUE!</v>
      </c>
      <c r="CC239" t="e">
        <f>AND('Calendario Académico 2014'!AH31,"AAAAAA2v2VA=")</f>
        <v>#VALUE!</v>
      </c>
      <c r="CD239">
        <f>IF('Calendario Académico 2014'!32:32,"AAAAAA2v2VE=",0)</f>
        <v>0</v>
      </c>
      <c r="CE239" t="e">
        <f>AND('Calendario Académico 2014'!A32,"AAAAAA2v2VI=")</f>
        <v>#VALUE!</v>
      </c>
      <c r="CF239" t="e">
        <f>AND('Calendario Académico 2014'!B32,"AAAAAA2v2VM=")</f>
        <v>#VALUE!</v>
      </c>
      <c r="CG239" t="e">
        <f>AND('Calendario Académico 2014'!C32,"AAAAAA2v2VQ=")</f>
        <v>#VALUE!</v>
      </c>
      <c r="CH239" t="e">
        <f>AND('Calendario Académico 2014'!D32,"AAAAAA2v2VU=")</f>
        <v>#VALUE!</v>
      </c>
      <c r="CI239" t="e">
        <f>AND('Calendario Académico 2014'!E32,"AAAAAA2v2VY=")</f>
        <v>#VALUE!</v>
      </c>
      <c r="CJ239" t="e">
        <f>AND('Calendario Académico 2014'!F32,"AAAAAA2v2Vc=")</f>
        <v>#VALUE!</v>
      </c>
      <c r="CK239" t="e">
        <f>AND('Calendario Académico 2014'!G32,"AAAAAA2v2Vg=")</f>
        <v>#VALUE!</v>
      </c>
      <c r="CL239" t="e">
        <f>AND('Calendario Académico 2014'!H32,"AAAAAA2v2Vk=")</f>
        <v>#VALUE!</v>
      </c>
      <c r="CM239" t="e">
        <f>AND('Calendario Académico 2014'!I32,"AAAAAA2v2Vo=")</f>
        <v>#VALUE!</v>
      </c>
      <c r="CN239" t="e">
        <f>AND('Calendario Académico 2014'!J32,"AAAAAA2v2Vs=")</f>
        <v>#VALUE!</v>
      </c>
      <c r="CO239" t="e">
        <f>AND('Calendario Académico 2014'!K32,"AAAAAA2v2Vw=")</f>
        <v>#VALUE!</v>
      </c>
      <c r="CP239" t="e">
        <f>AND('Calendario Académico 2014'!L32,"AAAAAA2v2V0=")</f>
        <v>#VALUE!</v>
      </c>
      <c r="CQ239" t="e">
        <f>AND('Calendario Académico 2014'!M32,"AAAAAA2v2V4=")</f>
        <v>#VALUE!</v>
      </c>
      <c r="CR239" t="e">
        <f>AND('Calendario Académico 2014'!N32,"AAAAAA2v2V8=")</f>
        <v>#VALUE!</v>
      </c>
      <c r="CS239" t="e">
        <f>AND('Calendario Académico 2014'!O32,"AAAAAA2v2WA=")</f>
        <v>#VALUE!</v>
      </c>
      <c r="CT239" t="e">
        <f>AND('Calendario Académico 2014'!P32,"AAAAAA2v2WE=")</f>
        <v>#VALUE!</v>
      </c>
      <c r="CU239" t="e">
        <f>AND('Calendario Académico 2014'!Q32,"AAAAAA2v2WI=")</f>
        <v>#VALUE!</v>
      </c>
      <c r="CV239" t="e">
        <f>AND('Calendario Académico 2014'!R32,"AAAAAA2v2WM=")</f>
        <v>#VALUE!</v>
      </c>
      <c r="CW239" t="e">
        <f>AND('Calendario Académico 2014'!S32,"AAAAAA2v2WQ=")</f>
        <v>#VALUE!</v>
      </c>
      <c r="CX239" t="e">
        <f>AND('Calendario Académico 2014'!T32,"AAAAAA2v2WU=")</f>
        <v>#VALUE!</v>
      </c>
      <c r="CY239" t="e">
        <f>AND('Calendario Académico 2014'!U32,"AAAAAA2v2WY=")</f>
        <v>#VALUE!</v>
      </c>
      <c r="CZ239" t="e">
        <f>AND('Calendario Académico 2014'!V32,"AAAAAA2v2Wc=")</f>
        <v>#VALUE!</v>
      </c>
      <c r="DA239" t="e">
        <f>AND('Calendario Académico 2014'!W32,"AAAAAA2v2Wg=")</f>
        <v>#VALUE!</v>
      </c>
      <c r="DB239" t="e">
        <f>AND('Calendario Académico 2014'!X32,"AAAAAA2v2Wk=")</f>
        <v>#VALUE!</v>
      </c>
      <c r="DC239" t="e">
        <f>AND('Calendario Académico 2014'!Y32,"AAAAAA2v2Wo=")</f>
        <v>#VALUE!</v>
      </c>
      <c r="DD239" t="e">
        <f>AND('Calendario Académico 2014'!Z32,"AAAAAA2v2Ws=")</f>
        <v>#VALUE!</v>
      </c>
      <c r="DE239" t="e">
        <f>AND('Calendario Académico 2014'!AA32,"AAAAAA2v2Ww=")</f>
        <v>#VALUE!</v>
      </c>
      <c r="DF239" t="e">
        <f>AND('Calendario Académico 2014'!AB32,"AAAAAA2v2W0=")</f>
        <v>#VALUE!</v>
      </c>
      <c r="DG239" t="e">
        <f>AND('Calendario Académico 2014'!AC32,"AAAAAA2v2W4=")</f>
        <v>#VALUE!</v>
      </c>
      <c r="DH239" t="e">
        <f>AND('Calendario Académico 2014'!AD32,"AAAAAA2v2W8=")</f>
        <v>#VALUE!</v>
      </c>
      <c r="DI239" t="e">
        <f>AND('Calendario Académico 2014'!AE32,"AAAAAA2v2XA=")</f>
        <v>#VALUE!</v>
      </c>
      <c r="DJ239" t="e">
        <f>AND('Calendario Académico 2014'!AF32,"AAAAAA2v2XE=")</f>
        <v>#VALUE!</v>
      </c>
      <c r="DK239" t="e">
        <f>AND('Calendario Académico 2014'!AG32,"AAAAAA2v2XI=")</f>
        <v>#VALUE!</v>
      </c>
      <c r="DL239" t="e">
        <f>AND('Calendario Académico 2014'!AH32,"AAAAAA2v2XM=")</f>
        <v>#VALUE!</v>
      </c>
      <c r="DM239">
        <f>IF('Calendario Académico 2014'!33:33,"AAAAAA2v2XQ=",0)</f>
        <v>0</v>
      </c>
      <c r="DN239" t="e">
        <f>AND('Calendario Académico 2014'!A33,"AAAAAA2v2XU=")</f>
        <v>#VALUE!</v>
      </c>
      <c r="DO239" t="e">
        <f>AND('Calendario Académico 2014'!B33,"AAAAAA2v2XY=")</f>
        <v>#VALUE!</v>
      </c>
      <c r="DP239" t="e">
        <f>AND('Calendario Académico 2014'!C33,"AAAAAA2v2Xc=")</f>
        <v>#VALUE!</v>
      </c>
      <c r="DQ239" t="e">
        <f>AND('Calendario Académico 2014'!D33,"AAAAAA2v2Xg=")</f>
        <v>#VALUE!</v>
      </c>
      <c r="DR239" t="e">
        <f>AND('Calendario Académico 2014'!E33,"AAAAAA2v2Xk=")</f>
        <v>#VALUE!</v>
      </c>
      <c r="DS239" t="e">
        <f>AND('Calendario Académico 2014'!F33,"AAAAAA2v2Xo=")</f>
        <v>#VALUE!</v>
      </c>
      <c r="DT239" t="e">
        <f>AND('Calendario Académico 2014'!G33,"AAAAAA2v2Xs=")</f>
        <v>#VALUE!</v>
      </c>
      <c r="DU239" t="e">
        <f>AND('Calendario Académico 2014'!H33,"AAAAAA2v2Xw=")</f>
        <v>#VALUE!</v>
      </c>
      <c r="DV239" t="e">
        <f>AND('Calendario Académico 2014'!I33,"AAAAAA2v2X0=")</f>
        <v>#VALUE!</v>
      </c>
      <c r="DW239" t="e">
        <f>AND('Calendario Académico 2014'!J33,"AAAAAA2v2X4=")</f>
        <v>#VALUE!</v>
      </c>
      <c r="DX239" t="e">
        <f>AND('Calendario Académico 2014'!K33,"AAAAAA2v2X8=")</f>
        <v>#VALUE!</v>
      </c>
      <c r="DY239" t="e">
        <f>AND('Calendario Académico 2014'!L33,"AAAAAA2v2YA=")</f>
        <v>#VALUE!</v>
      </c>
      <c r="DZ239" t="e">
        <f>AND('Calendario Académico 2014'!M33,"AAAAAA2v2YE=")</f>
        <v>#VALUE!</v>
      </c>
      <c r="EA239" t="e">
        <f>AND('Calendario Académico 2014'!N33,"AAAAAA2v2YI=")</f>
        <v>#VALUE!</v>
      </c>
      <c r="EB239" t="e">
        <f>AND('Calendario Académico 2014'!O33,"AAAAAA2v2YM=")</f>
        <v>#VALUE!</v>
      </c>
      <c r="EC239" t="e">
        <f>AND('Calendario Académico 2014'!P33,"AAAAAA2v2YQ=")</f>
        <v>#VALUE!</v>
      </c>
      <c r="ED239" t="e">
        <f>AND('Calendario Académico 2014'!Q33,"AAAAAA2v2YU=")</f>
        <v>#VALUE!</v>
      </c>
      <c r="EE239" t="e">
        <f>AND('Calendario Académico 2014'!R33,"AAAAAA2v2YY=")</f>
        <v>#VALUE!</v>
      </c>
      <c r="EF239" t="e">
        <f>AND('Calendario Académico 2014'!S33,"AAAAAA2v2Yc=")</f>
        <v>#VALUE!</v>
      </c>
      <c r="EG239" t="e">
        <f>AND('Calendario Académico 2014'!T33,"AAAAAA2v2Yg=")</f>
        <v>#VALUE!</v>
      </c>
      <c r="EH239" t="e">
        <f>AND('Calendario Académico 2014'!U33,"AAAAAA2v2Yk=")</f>
        <v>#VALUE!</v>
      </c>
      <c r="EI239" t="e">
        <f>AND('Calendario Académico 2014'!V33,"AAAAAA2v2Yo=")</f>
        <v>#VALUE!</v>
      </c>
      <c r="EJ239" t="e">
        <f>AND('Calendario Académico 2014'!W33,"AAAAAA2v2Ys=")</f>
        <v>#VALUE!</v>
      </c>
      <c r="EK239" t="e">
        <f>AND('Calendario Académico 2014'!X33,"AAAAAA2v2Yw=")</f>
        <v>#VALUE!</v>
      </c>
      <c r="EL239" t="e">
        <f>AND('Calendario Académico 2014'!Y33,"AAAAAA2v2Y0=")</f>
        <v>#VALUE!</v>
      </c>
      <c r="EM239" t="e">
        <f>AND('Calendario Académico 2014'!Z33,"AAAAAA2v2Y4=")</f>
        <v>#VALUE!</v>
      </c>
      <c r="EN239" t="e">
        <f>AND('Calendario Académico 2014'!AA33,"AAAAAA2v2Y8=")</f>
        <v>#VALUE!</v>
      </c>
      <c r="EO239" t="e">
        <f>AND('Calendario Académico 2014'!AB33,"AAAAAA2v2ZA=")</f>
        <v>#VALUE!</v>
      </c>
      <c r="EP239" t="e">
        <f>AND('Calendario Académico 2014'!AC33,"AAAAAA2v2ZE=")</f>
        <v>#VALUE!</v>
      </c>
      <c r="EQ239" t="e">
        <f>AND('Calendario Académico 2014'!AD33,"AAAAAA2v2ZI=")</f>
        <v>#VALUE!</v>
      </c>
      <c r="ER239" t="e">
        <f>AND('Calendario Académico 2014'!AE33,"AAAAAA2v2ZM=")</f>
        <v>#VALUE!</v>
      </c>
      <c r="ES239" t="e">
        <f>AND('Calendario Académico 2014'!AF33,"AAAAAA2v2ZQ=")</f>
        <v>#VALUE!</v>
      </c>
      <c r="ET239" t="e">
        <f>AND('Calendario Académico 2014'!AG33,"AAAAAA2v2ZU=")</f>
        <v>#VALUE!</v>
      </c>
      <c r="EU239" t="e">
        <f>AND('Calendario Académico 2014'!AH33,"AAAAAA2v2ZY=")</f>
        <v>#VALUE!</v>
      </c>
      <c r="EV239">
        <f>IF('Calendario Académico 2014'!34:34,"AAAAAA2v2Zc=",0)</f>
        <v>0</v>
      </c>
      <c r="EW239" t="e">
        <f>AND('Calendario Académico 2014'!A34,"AAAAAA2v2Zg=")</f>
        <v>#VALUE!</v>
      </c>
      <c r="EX239" t="e">
        <f>AND('Calendario Académico 2014'!B34,"AAAAAA2v2Zk=")</f>
        <v>#VALUE!</v>
      </c>
      <c r="EY239" t="e">
        <f>AND('Calendario Académico 2014'!C34,"AAAAAA2v2Zo=")</f>
        <v>#VALUE!</v>
      </c>
      <c r="EZ239" t="e">
        <f>AND('Calendario Académico 2014'!D34,"AAAAAA2v2Zs=")</f>
        <v>#VALUE!</v>
      </c>
      <c r="FA239" t="e">
        <f>AND('Calendario Académico 2014'!E34,"AAAAAA2v2Zw=")</f>
        <v>#VALUE!</v>
      </c>
      <c r="FB239" t="e">
        <f>AND('Calendario Académico 2014'!F34,"AAAAAA2v2Z0=")</f>
        <v>#VALUE!</v>
      </c>
      <c r="FC239" t="e">
        <f>AND('Calendario Académico 2014'!G34,"AAAAAA2v2Z4=")</f>
        <v>#VALUE!</v>
      </c>
      <c r="FD239" t="e">
        <f>AND('Calendario Académico 2014'!H34,"AAAAAA2v2Z8=")</f>
        <v>#VALUE!</v>
      </c>
      <c r="FE239" t="e">
        <f>AND('Calendario Académico 2014'!I34,"AAAAAA2v2aA=")</f>
        <v>#VALUE!</v>
      </c>
      <c r="FF239" t="e">
        <f>AND('Calendario Académico 2014'!J34,"AAAAAA2v2aE=")</f>
        <v>#VALUE!</v>
      </c>
      <c r="FG239" t="e">
        <f>AND('Calendario Académico 2014'!K34,"AAAAAA2v2aI=")</f>
        <v>#VALUE!</v>
      </c>
      <c r="FH239" t="e">
        <f>AND('Calendario Académico 2014'!L34,"AAAAAA2v2aM=")</f>
        <v>#VALUE!</v>
      </c>
      <c r="FI239" t="e">
        <f>AND('Calendario Académico 2014'!M34,"AAAAAA2v2aQ=")</f>
        <v>#VALUE!</v>
      </c>
      <c r="FJ239" t="e">
        <f>AND('Calendario Académico 2014'!N34,"AAAAAA2v2aU=")</f>
        <v>#VALUE!</v>
      </c>
      <c r="FK239" t="e">
        <f>AND('Calendario Académico 2014'!O34,"AAAAAA2v2aY=")</f>
        <v>#VALUE!</v>
      </c>
      <c r="FL239" t="e">
        <f>AND('Calendario Académico 2014'!P34,"AAAAAA2v2ac=")</f>
        <v>#VALUE!</v>
      </c>
      <c r="FM239" t="e">
        <f>AND('Calendario Académico 2014'!Q34,"AAAAAA2v2ag=")</f>
        <v>#VALUE!</v>
      </c>
      <c r="FN239" t="e">
        <f>AND('Calendario Académico 2014'!R34,"AAAAAA2v2ak=")</f>
        <v>#VALUE!</v>
      </c>
      <c r="FO239" t="e">
        <f>AND('Calendario Académico 2014'!S34,"AAAAAA2v2ao=")</f>
        <v>#VALUE!</v>
      </c>
      <c r="FP239" t="e">
        <f>AND('Calendario Académico 2014'!T34,"AAAAAA2v2as=")</f>
        <v>#VALUE!</v>
      </c>
      <c r="FQ239" t="e">
        <f>AND('Calendario Académico 2014'!U34,"AAAAAA2v2aw=")</f>
        <v>#VALUE!</v>
      </c>
      <c r="FR239" t="e">
        <f>AND('Calendario Académico 2014'!V34,"AAAAAA2v2a0=")</f>
        <v>#VALUE!</v>
      </c>
      <c r="FS239" t="e">
        <f>AND('Calendario Académico 2014'!W34,"AAAAAA2v2a4=")</f>
        <v>#VALUE!</v>
      </c>
      <c r="FT239" t="e">
        <f>AND('Calendario Académico 2014'!X34,"AAAAAA2v2a8=")</f>
        <v>#VALUE!</v>
      </c>
      <c r="FU239" t="e">
        <f>AND('Calendario Académico 2014'!Y34,"AAAAAA2v2bA=")</f>
        <v>#VALUE!</v>
      </c>
      <c r="FV239" t="e">
        <f>AND('Calendario Académico 2014'!Z34,"AAAAAA2v2bE=")</f>
        <v>#VALUE!</v>
      </c>
      <c r="FW239" t="e">
        <f>AND('Calendario Académico 2014'!AA34,"AAAAAA2v2bI=")</f>
        <v>#VALUE!</v>
      </c>
      <c r="FX239" t="e">
        <f>AND('Calendario Académico 2014'!AB34,"AAAAAA2v2bM=")</f>
        <v>#VALUE!</v>
      </c>
      <c r="FY239" t="e">
        <f>AND('Calendario Académico 2014'!AC34,"AAAAAA2v2bQ=")</f>
        <v>#VALUE!</v>
      </c>
      <c r="FZ239" t="e">
        <f>AND('Calendario Académico 2014'!AD34,"AAAAAA2v2bU=")</f>
        <v>#VALUE!</v>
      </c>
      <c r="GA239" t="e">
        <f>AND('Calendario Académico 2014'!AE34,"AAAAAA2v2bY=")</f>
        <v>#VALUE!</v>
      </c>
      <c r="GB239" t="e">
        <f>AND('Calendario Académico 2014'!AF34,"AAAAAA2v2bc=")</f>
        <v>#VALUE!</v>
      </c>
      <c r="GC239" t="e">
        <f>AND('Calendario Académico 2014'!AG34,"AAAAAA2v2bg=")</f>
        <v>#VALUE!</v>
      </c>
      <c r="GD239" t="e">
        <f>AND('Calendario Académico 2014'!AH34,"AAAAAA2v2bk=")</f>
        <v>#VALUE!</v>
      </c>
      <c r="GE239">
        <f>IF('Calendario Académico 2014'!35:35,"AAAAAA2v2bo=",0)</f>
        <v>0</v>
      </c>
      <c r="GF239" t="e">
        <f>AND('Calendario Académico 2014'!A35,"AAAAAA2v2bs=")</f>
        <v>#VALUE!</v>
      </c>
      <c r="GG239" t="e">
        <f>AND('Calendario Académico 2014'!B35,"AAAAAA2v2bw=")</f>
        <v>#VALUE!</v>
      </c>
      <c r="GH239" t="e">
        <f>AND('Calendario Académico 2014'!C35,"AAAAAA2v2b0=")</f>
        <v>#VALUE!</v>
      </c>
      <c r="GI239" t="e">
        <f>AND('Calendario Académico 2014'!D35,"AAAAAA2v2b4=")</f>
        <v>#VALUE!</v>
      </c>
      <c r="GJ239" t="e">
        <f>AND('Calendario Académico 2014'!E35,"AAAAAA2v2b8=")</f>
        <v>#VALUE!</v>
      </c>
      <c r="GK239" t="e">
        <f>AND('Calendario Académico 2014'!F35,"AAAAAA2v2cA=")</f>
        <v>#VALUE!</v>
      </c>
      <c r="GL239" t="e">
        <f>AND('Calendario Académico 2014'!G35,"AAAAAA2v2cE=")</f>
        <v>#VALUE!</v>
      </c>
      <c r="GM239" t="e">
        <f>AND('Calendario Académico 2014'!H35,"AAAAAA2v2cI=")</f>
        <v>#VALUE!</v>
      </c>
      <c r="GN239" t="e">
        <f>AND('Calendario Académico 2014'!I35,"AAAAAA2v2cM=")</f>
        <v>#VALUE!</v>
      </c>
      <c r="GO239" t="e">
        <f>AND('Calendario Académico 2014'!J35,"AAAAAA2v2cQ=")</f>
        <v>#VALUE!</v>
      </c>
      <c r="GP239" t="e">
        <f>AND('Calendario Académico 2014'!K35,"AAAAAA2v2cU=")</f>
        <v>#VALUE!</v>
      </c>
      <c r="GQ239" t="e">
        <f>AND('Calendario Académico 2014'!L35,"AAAAAA2v2cY=")</f>
        <v>#VALUE!</v>
      </c>
      <c r="GR239" t="e">
        <f>AND('Calendario Académico 2014'!M35,"AAAAAA2v2cc=")</f>
        <v>#VALUE!</v>
      </c>
      <c r="GS239" t="e">
        <f>AND('Calendario Académico 2014'!N35,"AAAAAA2v2cg=")</f>
        <v>#VALUE!</v>
      </c>
      <c r="GT239" t="e">
        <f>AND('Calendario Académico 2014'!O35,"AAAAAA2v2ck=")</f>
        <v>#VALUE!</v>
      </c>
      <c r="GU239" t="e">
        <f>AND('Calendario Académico 2014'!P35,"AAAAAA2v2co=")</f>
        <v>#VALUE!</v>
      </c>
      <c r="GV239" t="e">
        <f>AND('Calendario Académico 2014'!Q35,"AAAAAA2v2cs=")</f>
        <v>#VALUE!</v>
      </c>
      <c r="GW239" t="e">
        <f>AND('Calendario Académico 2014'!R35,"AAAAAA2v2cw=")</f>
        <v>#VALUE!</v>
      </c>
      <c r="GX239" t="e">
        <f>AND('Calendario Académico 2014'!S35,"AAAAAA2v2c0=")</f>
        <v>#VALUE!</v>
      </c>
      <c r="GY239" t="e">
        <f>AND('Calendario Académico 2014'!T35,"AAAAAA2v2c4=")</f>
        <v>#VALUE!</v>
      </c>
      <c r="GZ239" t="e">
        <f>AND('Calendario Académico 2014'!U35,"AAAAAA2v2c8=")</f>
        <v>#VALUE!</v>
      </c>
      <c r="HA239" t="e">
        <f>AND('Calendario Académico 2014'!V35,"AAAAAA2v2dA=")</f>
        <v>#VALUE!</v>
      </c>
      <c r="HB239" t="e">
        <f>AND('Calendario Académico 2014'!W35,"AAAAAA2v2dE=")</f>
        <v>#VALUE!</v>
      </c>
      <c r="HC239" t="e">
        <f>AND('Calendario Académico 2014'!X35,"AAAAAA2v2dI=")</f>
        <v>#VALUE!</v>
      </c>
      <c r="HD239" t="e">
        <f>AND('Calendario Académico 2014'!Y35,"AAAAAA2v2dM=")</f>
        <v>#VALUE!</v>
      </c>
      <c r="HE239" t="e">
        <f>AND('Calendario Académico 2014'!Z35,"AAAAAA2v2dQ=")</f>
        <v>#VALUE!</v>
      </c>
      <c r="HF239" t="e">
        <f>AND('Calendario Académico 2014'!AA35,"AAAAAA2v2dU=")</f>
        <v>#VALUE!</v>
      </c>
      <c r="HG239" t="e">
        <f>AND('Calendario Académico 2014'!AB35,"AAAAAA2v2dY=")</f>
        <v>#VALUE!</v>
      </c>
      <c r="HH239" t="e">
        <f>AND('Calendario Académico 2014'!AC35,"AAAAAA2v2dc=")</f>
        <v>#VALUE!</v>
      </c>
      <c r="HI239" t="e">
        <f>AND('Calendario Académico 2014'!AD35,"AAAAAA2v2dg=")</f>
        <v>#VALUE!</v>
      </c>
      <c r="HJ239" t="e">
        <f>AND('Calendario Académico 2014'!AE35,"AAAAAA2v2dk=")</f>
        <v>#VALUE!</v>
      </c>
      <c r="HK239" t="e">
        <f>AND('Calendario Académico 2014'!AF35,"AAAAAA2v2do=")</f>
        <v>#VALUE!</v>
      </c>
      <c r="HL239" t="e">
        <f>AND('Calendario Académico 2014'!AG35,"AAAAAA2v2ds=")</f>
        <v>#VALUE!</v>
      </c>
      <c r="HM239" t="e">
        <f>AND('Calendario Académico 2014'!AH35,"AAAAAA2v2dw=")</f>
        <v>#VALUE!</v>
      </c>
      <c r="HN239">
        <f>IF('Calendario Académico 2014'!36:36,"AAAAAA2v2d0=",0)</f>
        <v>0</v>
      </c>
      <c r="HO239" t="e">
        <f>AND('Calendario Académico 2014'!A36,"AAAAAA2v2d4=")</f>
        <v>#VALUE!</v>
      </c>
      <c r="HP239" t="e">
        <f>AND('Calendario Académico 2014'!B36,"AAAAAA2v2d8=")</f>
        <v>#VALUE!</v>
      </c>
      <c r="HQ239" t="e">
        <f>AND('Calendario Académico 2014'!C36,"AAAAAA2v2eA=")</f>
        <v>#VALUE!</v>
      </c>
      <c r="HR239" t="e">
        <f>AND('Calendario Académico 2014'!D36,"AAAAAA2v2eE=")</f>
        <v>#VALUE!</v>
      </c>
      <c r="HS239" t="e">
        <f>AND('Calendario Académico 2014'!E36,"AAAAAA2v2eI=")</f>
        <v>#VALUE!</v>
      </c>
      <c r="HT239" t="e">
        <f>AND('Calendario Académico 2014'!F36,"AAAAAA2v2eM=")</f>
        <v>#VALUE!</v>
      </c>
      <c r="HU239" t="e">
        <f>AND('Calendario Académico 2014'!G36,"AAAAAA2v2eQ=")</f>
        <v>#VALUE!</v>
      </c>
      <c r="HV239" t="e">
        <f>AND('Calendario Académico 2014'!H36,"AAAAAA2v2eU=")</f>
        <v>#VALUE!</v>
      </c>
      <c r="HW239" t="e">
        <f>AND('Calendario Académico 2014'!I36,"AAAAAA2v2eY=")</f>
        <v>#VALUE!</v>
      </c>
      <c r="HX239" t="e">
        <f>AND('Calendario Académico 2014'!J36,"AAAAAA2v2ec=")</f>
        <v>#VALUE!</v>
      </c>
      <c r="HY239" t="e">
        <f>AND('Calendario Académico 2014'!K36,"AAAAAA2v2eg=")</f>
        <v>#VALUE!</v>
      </c>
      <c r="HZ239" t="e">
        <f>AND('Calendario Académico 2014'!L36,"AAAAAA2v2ek=")</f>
        <v>#VALUE!</v>
      </c>
      <c r="IA239" t="e">
        <f>AND('Calendario Académico 2014'!M36,"AAAAAA2v2eo=")</f>
        <v>#VALUE!</v>
      </c>
      <c r="IB239" t="e">
        <f>AND('Calendario Académico 2014'!N36,"AAAAAA2v2es=")</f>
        <v>#VALUE!</v>
      </c>
      <c r="IC239" t="e">
        <f>AND('Calendario Académico 2014'!O36,"AAAAAA2v2ew=")</f>
        <v>#VALUE!</v>
      </c>
      <c r="ID239" t="e">
        <f>AND('Calendario Académico 2014'!P36,"AAAAAA2v2e0=")</f>
        <v>#VALUE!</v>
      </c>
      <c r="IE239" t="e">
        <f>AND('Calendario Académico 2014'!Q36,"AAAAAA2v2e4=")</f>
        <v>#VALUE!</v>
      </c>
      <c r="IF239" t="e">
        <f>AND('Calendario Académico 2014'!R36,"AAAAAA2v2e8=")</f>
        <v>#VALUE!</v>
      </c>
      <c r="IG239" t="e">
        <f>AND('Calendario Académico 2014'!S36,"AAAAAA2v2fA=")</f>
        <v>#VALUE!</v>
      </c>
      <c r="IH239" t="e">
        <f>AND('Calendario Académico 2014'!T36,"AAAAAA2v2fE=")</f>
        <v>#VALUE!</v>
      </c>
      <c r="II239" t="e">
        <f>AND('Calendario Académico 2014'!U36,"AAAAAA2v2fI=")</f>
        <v>#VALUE!</v>
      </c>
      <c r="IJ239" t="e">
        <f>AND('Calendario Académico 2014'!V36,"AAAAAA2v2fM=")</f>
        <v>#VALUE!</v>
      </c>
      <c r="IK239" t="e">
        <f>AND('Calendario Académico 2014'!W36,"AAAAAA2v2fQ=")</f>
        <v>#VALUE!</v>
      </c>
      <c r="IL239" t="e">
        <f>AND('Calendario Académico 2014'!X36,"AAAAAA2v2fU=")</f>
        <v>#VALUE!</v>
      </c>
      <c r="IM239" t="e">
        <f>AND('Calendario Académico 2014'!Y36,"AAAAAA2v2fY=")</f>
        <v>#VALUE!</v>
      </c>
      <c r="IN239" t="e">
        <f>AND('Calendario Académico 2014'!Z36,"AAAAAA2v2fc=")</f>
        <v>#VALUE!</v>
      </c>
      <c r="IO239" t="e">
        <f>AND('Calendario Académico 2014'!AA36,"AAAAAA2v2fg=")</f>
        <v>#VALUE!</v>
      </c>
      <c r="IP239" t="e">
        <f>AND('Calendario Académico 2014'!AB36,"AAAAAA2v2fk=")</f>
        <v>#VALUE!</v>
      </c>
      <c r="IQ239" t="e">
        <f>AND('Calendario Académico 2014'!AC36,"AAAAAA2v2fo=")</f>
        <v>#VALUE!</v>
      </c>
      <c r="IR239" t="e">
        <f>AND('Calendario Académico 2014'!AD36,"AAAAAA2v2fs=")</f>
        <v>#VALUE!</v>
      </c>
      <c r="IS239" t="e">
        <f>AND('Calendario Académico 2014'!AE36,"AAAAAA2v2fw=")</f>
        <v>#VALUE!</v>
      </c>
      <c r="IT239" t="e">
        <f>AND('Calendario Académico 2014'!AF36,"AAAAAA2v2f0=")</f>
        <v>#VALUE!</v>
      </c>
      <c r="IU239" t="e">
        <f>AND('Calendario Académico 2014'!AG36,"AAAAAA2v2f4=")</f>
        <v>#VALUE!</v>
      </c>
      <c r="IV239" t="e">
        <f>AND('Calendario Académico 2014'!AH36,"AAAAAA2v2f8=")</f>
        <v>#VALUE!</v>
      </c>
    </row>
    <row r="240" spans="1:256" x14ac:dyDescent="0.2">
      <c r="A240">
        <f>IF('Calendario Académico 2014'!37:37,"AAAAAFP7rgA=",0)</f>
        <v>0</v>
      </c>
      <c r="B240" t="e">
        <f>AND('Calendario Académico 2014'!A37,"AAAAAFP7rgE=")</f>
        <v>#VALUE!</v>
      </c>
      <c r="C240" t="e">
        <f>AND('Calendario Académico 2014'!B37,"AAAAAFP7rgI=")</f>
        <v>#VALUE!</v>
      </c>
      <c r="D240" t="e">
        <f>AND('Calendario Académico 2014'!C37,"AAAAAFP7rgM=")</f>
        <v>#VALUE!</v>
      </c>
      <c r="E240" t="e">
        <f>AND('Calendario Académico 2014'!D37,"AAAAAFP7rgQ=")</f>
        <v>#VALUE!</v>
      </c>
      <c r="F240" t="e">
        <f>AND('Calendario Académico 2014'!E37,"AAAAAFP7rgU=")</f>
        <v>#VALUE!</v>
      </c>
      <c r="G240" t="e">
        <f>AND('Calendario Académico 2014'!F37,"AAAAAFP7rgY=")</f>
        <v>#VALUE!</v>
      </c>
      <c r="H240" t="e">
        <f>AND('Calendario Académico 2014'!G37,"AAAAAFP7rgc=")</f>
        <v>#VALUE!</v>
      </c>
      <c r="I240" t="e">
        <f>AND('Calendario Académico 2014'!H37,"AAAAAFP7rgg=")</f>
        <v>#VALUE!</v>
      </c>
      <c r="J240" t="e">
        <f>AND('Calendario Académico 2014'!I37,"AAAAAFP7rgk=")</f>
        <v>#VALUE!</v>
      </c>
      <c r="K240" t="e">
        <f>AND('Calendario Académico 2014'!J37,"AAAAAFP7rgo=")</f>
        <v>#VALUE!</v>
      </c>
      <c r="L240" t="e">
        <f>AND('Calendario Académico 2014'!K37,"AAAAAFP7rgs=")</f>
        <v>#VALUE!</v>
      </c>
      <c r="M240" t="e">
        <f>AND('Calendario Académico 2014'!L37,"AAAAAFP7rgw=")</f>
        <v>#VALUE!</v>
      </c>
      <c r="N240" t="e">
        <f>AND('Calendario Académico 2014'!M37,"AAAAAFP7rg0=")</f>
        <v>#VALUE!</v>
      </c>
      <c r="O240" t="e">
        <f>AND('Calendario Académico 2014'!N37,"AAAAAFP7rg4=")</f>
        <v>#VALUE!</v>
      </c>
      <c r="P240" t="e">
        <f>AND('Calendario Académico 2014'!O37,"AAAAAFP7rg8=")</f>
        <v>#VALUE!</v>
      </c>
      <c r="Q240" t="e">
        <f>AND('Calendario Académico 2014'!P37,"AAAAAFP7rhA=")</f>
        <v>#VALUE!</v>
      </c>
      <c r="R240" t="e">
        <f>AND('Calendario Académico 2014'!Q37,"AAAAAFP7rhE=")</f>
        <v>#VALUE!</v>
      </c>
      <c r="S240" t="e">
        <f>AND('Calendario Académico 2014'!R37,"AAAAAFP7rhI=")</f>
        <v>#VALUE!</v>
      </c>
      <c r="T240" t="e">
        <f>AND('Calendario Académico 2014'!S37,"AAAAAFP7rhM=")</f>
        <v>#VALUE!</v>
      </c>
      <c r="U240" t="e">
        <f>AND('Calendario Académico 2014'!T37,"AAAAAFP7rhQ=")</f>
        <v>#VALUE!</v>
      </c>
      <c r="V240" t="e">
        <f>AND('Calendario Académico 2014'!U37,"AAAAAFP7rhU=")</f>
        <v>#VALUE!</v>
      </c>
      <c r="W240" t="e">
        <f>AND('Calendario Académico 2014'!V37,"AAAAAFP7rhY=")</f>
        <v>#VALUE!</v>
      </c>
      <c r="X240" t="e">
        <f>AND('Calendario Académico 2014'!W37,"AAAAAFP7rhc=")</f>
        <v>#VALUE!</v>
      </c>
      <c r="Y240" t="e">
        <f>AND('Calendario Académico 2014'!X37,"AAAAAFP7rhg=")</f>
        <v>#VALUE!</v>
      </c>
      <c r="Z240" t="e">
        <f>AND('Calendario Académico 2014'!Y37,"AAAAAFP7rhk=")</f>
        <v>#VALUE!</v>
      </c>
      <c r="AA240" t="e">
        <f>AND('Calendario Académico 2014'!Z37,"AAAAAFP7rho=")</f>
        <v>#VALUE!</v>
      </c>
      <c r="AB240" t="e">
        <f>AND('Calendario Académico 2014'!AA37,"AAAAAFP7rhs=")</f>
        <v>#VALUE!</v>
      </c>
      <c r="AC240" t="e">
        <f>AND('Calendario Académico 2014'!AB37,"AAAAAFP7rhw=")</f>
        <v>#VALUE!</v>
      </c>
      <c r="AD240" t="e">
        <f>AND('Calendario Académico 2014'!AC37,"AAAAAFP7rh0=")</f>
        <v>#VALUE!</v>
      </c>
      <c r="AE240" t="e">
        <f>AND('Calendario Académico 2014'!AD37,"AAAAAFP7rh4=")</f>
        <v>#VALUE!</v>
      </c>
      <c r="AF240" t="e">
        <f>AND('Calendario Académico 2014'!AE37,"AAAAAFP7rh8=")</f>
        <v>#VALUE!</v>
      </c>
      <c r="AG240" t="e">
        <f>AND('Calendario Académico 2014'!AF37,"AAAAAFP7riA=")</f>
        <v>#VALUE!</v>
      </c>
      <c r="AH240" t="e">
        <f>AND('Calendario Académico 2014'!AG37,"AAAAAFP7riE=")</f>
        <v>#VALUE!</v>
      </c>
      <c r="AI240" t="e">
        <f>AND('Calendario Académico 2014'!AH37,"AAAAAFP7riI=")</f>
        <v>#VALUE!</v>
      </c>
      <c r="AJ240">
        <f>IF('Calendario Académico 2014'!38:38,"AAAAAFP7riM=",0)</f>
        <v>0</v>
      </c>
      <c r="AK240" t="e">
        <f>AND('Calendario Académico 2014'!A38,"AAAAAFP7riQ=")</f>
        <v>#VALUE!</v>
      </c>
      <c r="AL240" t="e">
        <f>AND('Calendario Académico 2014'!B38,"AAAAAFP7riU=")</f>
        <v>#VALUE!</v>
      </c>
      <c r="AM240" t="e">
        <f>AND('Calendario Académico 2014'!C38,"AAAAAFP7riY=")</f>
        <v>#VALUE!</v>
      </c>
      <c r="AN240" t="e">
        <f>AND('Calendario Académico 2014'!D38,"AAAAAFP7ric=")</f>
        <v>#VALUE!</v>
      </c>
      <c r="AO240" t="e">
        <f>AND('Calendario Académico 2014'!E38,"AAAAAFP7rig=")</f>
        <v>#VALUE!</v>
      </c>
      <c r="AP240" t="e">
        <f>AND('Calendario Académico 2014'!F38,"AAAAAFP7rik=")</f>
        <v>#VALUE!</v>
      </c>
      <c r="AQ240" t="e">
        <f>AND('Calendario Académico 2014'!G38,"AAAAAFP7rio=")</f>
        <v>#VALUE!</v>
      </c>
      <c r="AR240" t="e">
        <f>AND('Calendario Académico 2014'!H38,"AAAAAFP7ris=")</f>
        <v>#VALUE!</v>
      </c>
      <c r="AS240" t="e">
        <f>AND('Calendario Académico 2014'!I38,"AAAAAFP7riw=")</f>
        <v>#VALUE!</v>
      </c>
      <c r="AT240" t="e">
        <f>AND('Calendario Académico 2014'!J38,"AAAAAFP7ri0=")</f>
        <v>#VALUE!</v>
      </c>
      <c r="AU240" t="e">
        <f>AND('Calendario Académico 2014'!K38,"AAAAAFP7ri4=")</f>
        <v>#VALUE!</v>
      </c>
      <c r="AV240" t="e">
        <f>AND('Calendario Académico 2014'!L38,"AAAAAFP7ri8=")</f>
        <v>#VALUE!</v>
      </c>
      <c r="AW240" t="e">
        <f>AND('Calendario Académico 2014'!M38,"AAAAAFP7rjA=")</f>
        <v>#VALUE!</v>
      </c>
      <c r="AX240" t="e">
        <f>AND('Calendario Académico 2014'!N38,"AAAAAFP7rjE=")</f>
        <v>#VALUE!</v>
      </c>
      <c r="AY240" t="e">
        <f>AND('Calendario Académico 2014'!O38,"AAAAAFP7rjI=")</f>
        <v>#VALUE!</v>
      </c>
      <c r="AZ240" t="e">
        <f>AND('Calendario Académico 2014'!P38,"AAAAAFP7rjM=")</f>
        <v>#VALUE!</v>
      </c>
      <c r="BA240" t="e">
        <f>AND('Calendario Académico 2014'!Q38,"AAAAAFP7rjQ=")</f>
        <v>#VALUE!</v>
      </c>
      <c r="BB240" t="e">
        <f>AND('Calendario Académico 2014'!R38,"AAAAAFP7rjU=")</f>
        <v>#VALUE!</v>
      </c>
      <c r="BC240" t="e">
        <f>AND('Calendario Académico 2014'!S38,"AAAAAFP7rjY=")</f>
        <v>#VALUE!</v>
      </c>
      <c r="BD240" t="e">
        <f>AND('Calendario Académico 2014'!T38,"AAAAAFP7rjc=")</f>
        <v>#VALUE!</v>
      </c>
      <c r="BE240" t="e">
        <f>AND('Calendario Académico 2014'!U38,"AAAAAFP7rjg=")</f>
        <v>#VALUE!</v>
      </c>
      <c r="BF240" t="e">
        <f>AND('Calendario Académico 2014'!V38,"AAAAAFP7rjk=")</f>
        <v>#VALUE!</v>
      </c>
      <c r="BG240" t="e">
        <f>AND('Calendario Académico 2014'!W38,"AAAAAFP7rjo=")</f>
        <v>#VALUE!</v>
      </c>
      <c r="BH240" t="e">
        <f>AND('Calendario Académico 2014'!X38,"AAAAAFP7rjs=")</f>
        <v>#VALUE!</v>
      </c>
      <c r="BI240" t="e">
        <f>AND('Calendario Académico 2014'!Y38,"AAAAAFP7rjw=")</f>
        <v>#VALUE!</v>
      </c>
      <c r="BJ240" t="e">
        <f>AND('Calendario Académico 2014'!Z38,"AAAAAFP7rj0=")</f>
        <v>#VALUE!</v>
      </c>
      <c r="BK240" t="e">
        <f>AND('Calendario Académico 2014'!AA38,"AAAAAFP7rj4=")</f>
        <v>#VALUE!</v>
      </c>
      <c r="BL240" t="e">
        <f>AND('Calendario Académico 2014'!AB38,"AAAAAFP7rj8=")</f>
        <v>#VALUE!</v>
      </c>
      <c r="BM240" t="e">
        <f>AND('Calendario Académico 2014'!AC38,"AAAAAFP7rkA=")</f>
        <v>#VALUE!</v>
      </c>
      <c r="BN240" t="e">
        <f>AND('Calendario Académico 2014'!AD38,"AAAAAFP7rkE=")</f>
        <v>#VALUE!</v>
      </c>
      <c r="BO240" t="e">
        <f>AND('Calendario Académico 2014'!AE38,"AAAAAFP7rkI=")</f>
        <v>#VALUE!</v>
      </c>
      <c r="BP240" t="e">
        <f>AND('Calendario Académico 2014'!AF38,"AAAAAFP7rkM=")</f>
        <v>#VALUE!</v>
      </c>
      <c r="BQ240" t="e">
        <f>AND('Calendario Académico 2014'!AG38,"AAAAAFP7rkQ=")</f>
        <v>#VALUE!</v>
      </c>
      <c r="BR240" t="e">
        <f>AND('Calendario Académico 2014'!AH38,"AAAAAFP7rkU=")</f>
        <v>#VALUE!</v>
      </c>
      <c r="BS240">
        <f>IF('Calendario Académico 2014'!39:39,"AAAAAFP7rkY=",0)</f>
        <v>0</v>
      </c>
      <c r="BT240" t="e">
        <f>AND('Calendario Académico 2014'!A39,"AAAAAFP7rkc=")</f>
        <v>#VALUE!</v>
      </c>
      <c r="BU240" t="e">
        <f>AND('Calendario Académico 2014'!B39,"AAAAAFP7rkg=")</f>
        <v>#VALUE!</v>
      </c>
      <c r="BV240" t="e">
        <f>AND('Calendario Académico 2014'!C39,"AAAAAFP7rkk=")</f>
        <v>#VALUE!</v>
      </c>
      <c r="BW240" t="e">
        <f>AND('Calendario Académico 2014'!D39,"AAAAAFP7rko=")</f>
        <v>#VALUE!</v>
      </c>
      <c r="BX240" t="e">
        <f>AND('Calendario Académico 2014'!E39,"AAAAAFP7rks=")</f>
        <v>#VALUE!</v>
      </c>
      <c r="BY240" t="e">
        <f>AND('Calendario Académico 2014'!F39,"AAAAAFP7rkw=")</f>
        <v>#VALUE!</v>
      </c>
      <c r="BZ240" t="e">
        <f>AND('Calendario Académico 2014'!G39,"AAAAAFP7rk0=")</f>
        <v>#VALUE!</v>
      </c>
      <c r="CA240" t="e">
        <f>AND('Calendario Académico 2014'!H39,"AAAAAFP7rk4=")</f>
        <v>#VALUE!</v>
      </c>
      <c r="CB240" t="e">
        <f>AND('Calendario Académico 2014'!I39,"AAAAAFP7rk8=")</f>
        <v>#VALUE!</v>
      </c>
      <c r="CC240" t="e">
        <f>AND('Calendario Académico 2014'!J39,"AAAAAFP7rlA=")</f>
        <v>#VALUE!</v>
      </c>
      <c r="CD240" t="e">
        <f>AND('Calendario Académico 2014'!K39,"AAAAAFP7rlE=")</f>
        <v>#VALUE!</v>
      </c>
      <c r="CE240" t="e">
        <f>AND('Calendario Académico 2014'!L39,"AAAAAFP7rlI=")</f>
        <v>#VALUE!</v>
      </c>
      <c r="CF240" t="e">
        <f>AND('Calendario Académico 2014'!M39,"AAAAAFP7rlM=")</f>
        <v>#VALUE!</v>
      </c>
      <c r="CG240" t="e">
        <f>AND('Calendario Académico 2014'!N39,"AAAAAFP7rlQ=")</f>
        <v>#VALUE!</v>
      </c>
      <c r="CH240" t="e">
        <f>AND('Calendario Académico 2014'!O39,"AAAAAFP7rlU=")</f>
        <v>#VALUE!</v>
      </c>
      <c r="CI240" t="e">
        <f>AND('Calendario Académico 2014'!P39,"AAAAAFP7rlY=")</f>
        <v>#VALUE!</v>
      </c>
      <c r="CJ240" t="e">
        <f>AND('Calendario Académico 2014'!Q39,"AAAAAFP7rlc=")</f>
        <v>#VALUE!</v>
      </c>
      <c r="CK240" t="e">
        <f>AND('Calendario Académico 2014'!R39,"AAAAAFP7rlg=")</f>
        <v>#VALUE!</v>
      </c>
      <c r="CL240" t="e">
        <f>AND('Calendario Académico 2014'!S39,"AAAAAFP7rlk=")</f>
        <v>#VALUE!</v>
      </c>
      <c r="CM240" t="e">
        <f>AND('Calendario Académico 2014'!T39,"AAAAAFP7rlo=")</f>
        <v>#VALUE!</v>
      </c>
      <c r="CN240" t="e">
        <f>AND('Calendario Académico 2014'!U39,"AAAAAFP7rls=")</f>
        <v>#VALUE!</v>
      </c>
      <c r="CO240" t="e">
        <f>AND('Calendario Académico 2014'!V39,"AAAAAFP7rlw=")</f>
        <v>#VALUE!</v>
      </c>
      <c r="CP240" t="e">
        <f>AND('Calendario Académico 2014'!W39,"AAAAAFP7rl0=")</f>
        <v>#VALUE!</v>
      </c>
      <c r="CQ240" t="e">
        <f>AND('Calendario Académico 2014'!X39,"AAAAAFP7rl4=")</f>
        <v>#VALUE!</v>
      </c>
      <c r="CR240" t="e">
        <f>AND('Calendario Académico 2014'!Y39,"AAAAAFP7rl8=")</f>
        <v>#VALUE!</v>
      </c>
      <c r="CS240" t="e">
        <f>AND('Calendario Académico 2014'!Z39,"AAAAAFP7rmA=")</f>
        <v>#VALUE!</v>
      </c>
      <c r="CT240" t="e">
        <f>AND('Calendario Académico 2014'!AA39,"AAAAAFP7rmE=")</f>
        <v>#VALUE!</v>
      </c>
      <c r="CU240" t="e">
        <f>AND('Calendario Académico 2014'!AB39,"AAAAAFP7rmI=")</f>
        <v>#VALUE!</v>
      </c>
      <c r="CV240" t="e">
        <f>AND('Calendario Académico 2014'!AC39,"AAAAAFP7rmM=")</f>
        <v>#VALUE!</v>
      </c>
      <c r="CW240" t="e">
        <f>AND('Calendario Académico 2014'!AD39,"AAAAAFP7rmQ=")</f>
        <v>#VALUE!</v>
      </c>
      <c r="CX240" t="e">
        <f>AND('Calendario Académico 2014'!AE39,"AAAAAFP7rmU=")</f>
        <v>#VALUE!</v>
      </c>
      <c r="CY240" t="e">
        <f>AND('Calendario Académico 2014'!AF39,"AAAAAFP7rmY=")</f>
        <v>#VALUE!</v>
      </c>
      <c r="CZ240" t="e">
        <f>AND('Calendario Académico 2014'!AG39,"AAAAAFP7rmc=")</f>
        <v>#VALUE!</v>
      </c>
      <c r="DA240" t="e">
        <f>AND('Calendario Académico 2014'!AH39,"AAAAAFP7rmg=")</f>
        <v>#VALUE!</v>
      </c>
      <c r="DB240">
        <f>IF('Calendario Académico 2014'!40:40,"AAAAAFP7rmk=",0)</f>
        <v>0</v>
      </c>
      <c r="DC240" t="e">
        <f>AND('Calendario Académico 2014'!A40,"AAAAAFP7rmo=")</f>
        <v>#VALUE!</v>
      </c>
      <c r="DD240" t="e">
        <f>AND('Calendario Académico 2014'!B40,"AAAAAFP7rms=")</f>
        <v>#VALUE!</v>
      </c>
      <c r="DE240" t="e">
        <f>AND('Calendario Académico 2014'!C40,"AAAAAFP7rmw=")</f>
        <v>#VALUE!</v>
      </c>
      <c r="DF240" t="e">
        <f>AND('Calendario Académico 2014'!D40,"AAAAAFP7rm0=")</f>
        <v>#VALUE!</v>
      </c>
      <c r="DG240" t="e">
        <f>AND('Calendario Académico 2014'!E40,"AAAAAFP7rm4=")</f>
        <v>#VALUE!</v>
      </c>
      <c r="DH240" t="e">
        <f>AND('Calendario Académico 2014'!F40,"AAAAAFP7rm8=")</f>
        <v>#VALUE!</v>
      </c>
      <c r="DI240" t="e">
        <f>AND('Calendario Académico 2014'!G40,"AAAAAFP7rnA=")</f>
        <v>#VALUE!</v>
      </c>
      <c r="DJ240" t="e">
        <f>AND('Calendario Académico 2014'!H40,"AAAAAFP7rnE=")</f>
        <v>#VALUE!</v>
      </c>
      <c r="DK240" t="e">
        <f>AND('Calendario Académico 2014'!I40,"AAAAAFP7rnI=")</f>
        <v>#VALUE!</v>
      </c>
      <c r="DL240" t="e">
        <f>AND('Calendario Académico 2014'!J40,"AAAAAFP7rnM=")</f>
        <v>#VALUE!</v>
      </c>
      <c r="DM240" t="e">
        <f>AND('Calendario Académico 2014'!K40,"AAAAAFP7rnQ=")</f>
        <v>#VALUE!</v>
      </c>
      <c r="DN240" t="e">
        <f>AND('Calendario Académico 2014'!L40,"AAAAAFP7rnU=")</f>
        <v>#VALUE!</v>
      </c>
      <c r="DO240" t="e">
        <f>AND('Calendario Académico 2014'!M40,"AAAAAFP7rnY=")</f>
        <v>#VALUE!</v>
      </c>
      <c r="DP240" t="e">
        <f>AND('Calendario Académico 2014'!N40,"AAAAAFP7rnc=")</f>
        <v>#VALUE!</v>
      </c>
      <c r="DQ240" t="e">
        <f>AND('Calendario Académico 2014'!O40,"AAAAAFP7rng=")</f>
        <v>#VALUE!</v>
      </c>
      <c r="DR240" t="e">
        <f>AND('Calendario Académico 2014'!P40,"AAAAAFP7rnk=")</f>
        <v>#VALUE!</v>
      </c>
      <c r="DS240" t="e">
        <f>AND('Calendario Académico 2014'!Q40,"AAAAAFP7rno=")</f>
        <v>#VALUE!</v>
      </c>
      <c r="DT240" t="e">
        <f>AND('Calendario Académico 2014'!R40,"AAAAAFP7rns=")</f>
        <v>#VALUE!</v>
      </c>
      <c r="DU240" t="e">
        <f>AND('Calendario Académico 2014'!S40,"AAAAAFP7rnw=")</f>
        <v>#VALUE!</v>
      </c>
      <c r="DV240" t="e">
        <f>AND('Calendario Académico 2014'!T40,"AAAAAFP7rn0=")</f>
        <v>#VALUE!</v>
      </c>
      <c r="DW240" t="e">
        <f>AND('Calendario Académico 2014'!U40,"AAAAAFP7rn4=")</f>
        <v>#VALUE!</v>
      </c>
      <c r="DX240" t="e">
        <f>AND('Calendario Académico 2014'!V40,"AAAAAFP7rn8=")</f>
        <v>#VALUE!</v>
      </c>
      <c r="DY240" t="e">
        <f>AND('Calendario Académico 2014'!W40,"AAAAAFP7roA=")</f>
        <v>#VALUE!</v>
      </c>
      <c r="DZ240" t="e">
        <f>AND('Calendario Académico 2014'!X40,"AAAAAFP7roE=")</f>
        <v>#VALUE!</v>
      </c>
      <c r="EA240" t="e">
        <f>AND('Calendario Académico 2014'!Y40,"AAAAAFP7roI=")</f>
        <v>#VALUE!</v>
      </c>
      <c r="EB240" t="e">
        <f>AND('Calendario Académico 2014'!Z40,"AAAAAFP7roM=")</f>
        <v>#VALUE!</v>
      </c>
      <c r="EC240" t="e">
        <f>AND('Calendario Académico 2014'!AA40,"AAAAAFP7roQ=")</f>
        <v>#VALUE!</v>
      </c>
      <c r="ED240" t="e">
        <f>AND('Calendario Académico 2014'!AB40,"AAAAAFP7roU=")</f>
        <v>#VALUE!</v>
      </c>
      <c r="EE240" t="e">
        <f>AND('Calendario Académico 2014'!AC40,"AAAAAFP7roY=")</f>
        <v>#VALUE!</v>
      </c>
      <c r="EF240" t="e">
        <f>AND('Calendario Académico 2014'!AD40,"AAAAAFP7roc=")</f>
        <v>#VALUE!</v>
      </c>
      <c r="EG240" t="e">
        <f>AND('Calendario Académico 2014'!AE40,"AAAAAFP7rog=")</f>
        <v>#VALUE!</v>
      </c>
      <c r="EH240" t="e">
        <f>AND('Calendario Académico 2014'!AF40,"AAAAAFP7rok=")</f>
        <v>#VALUE!</v>
      </c>
      <c r="EI240" t="e">
        <f>AND('Calendario Académico 2014'!AG40,"AAAAAFP7roo=")</f>
        <v>#VALUE!</v>
      </c>
      <c r="EJ240" t="e">
        <f>AND('Calendario Académico 2014'!AH40,"AAAAAFP7ros=")</f>
        <v>#VALUE!</v>
      </c>
      <c r="EK240">
        <f>IF('Calendario Académico 2014'!41:41,"AAAAAFP7row=",0)</f>
        <v>0</v>
      </c>
      <c r="EL240" t="e">
        <f>AND('Calendario Académico 2014'!A41,"AAAAAFP7ro0=")</f>
        <v>#VALUE!</v>
      </c>
      <c r="EM240" t="e">
        <f>AND('Calendario Académico 2014'!B41,"AAAAAFP7ro4=")</f>
        <v>#VALUE!</v>
      </c>
      <c r="EN240" t="e">
        <f>AND('Calendario Académico 2014'!C41,"AAAAAFP7ro8=")</f>
        <v>#VALUE!</v>
      </c>
      <c r="EO240" t="e">
        <f>AND('Calendario Académico 2014'!D41,"AAAAAFP7rpA=")</f>
        <v>#VALUE!</v>
      </c>
      <c r="EP240" t="e">
        <f>AND('Calendario Académico 2014'!E41,"AAAAAFP7rpE=")</f>
        <v>#VALUE!</v>
      </c>
      <c r="EQ240" t="e">
        <f>AND('Calendario Académico 2014'!F41,"AAAAAFP7rpI=")</f>
        <v>#VALUE!</v>
      </c>
      <c r="ER240" t="e">
        <f>AND('Calendario Académico 2014'!G41,"AAAAAFP7rpM=")</f>
        <v>#VALUE!</v>
      </c>
      <c r="ES240" t="e">
        <f>AND('Calendario Académico 2014'!H41,"AAAAAFP7rpQ=")</f>
        <v>#VALUE!</v>
      </c>
      <c r="ET240" t="e">
        <f>AND('Calendario Académico 2014'!I41,"AAAAAFP7rpU=")</f>
        <v>#VALUE!</v>
      </c>
      <c r="EU240" t="e">
        <f>AND('Calendario Académico 2014'!J41,"AAAAAFP7rpY=")</f>
        <v>#VALUE!</v>
      </c>
      <c r="EV240" t="e">
        <f>AND('Calendario Académico 2014'!K41,"AAAAAFP7rpc=")</f>
        <v>#VALUE!</v>
      </c>
      <c r="EW240" t="e">
        <f>AND('Calendario Académico 2014'!L41,"AAAAAFP7rpg=")</f>
        <v>#VALUE!</v>
      </c>
      <c r="EX240" t="e">
        <f>AND('Calendario Académico 2014'!M41,"AAAAAFP7rpk=")</f>
        <v>#VALUE!</v>
      </c>
      <c r="EY240" t="e">
        <f>AND('Calendario Académico 2014'!N41,"AAAAAFP7rpo=")</f>
        <v>#VALUE!</v>
      </c>
      <c r="EZ240" t="e">
        <f>AND('Calendario Académico 2014'!O41,"AAAAAFP7rps=")</f>
        <v>#VALUE!</v>
      </c>
      <c r="FA240" t="e">
        <f>AND('Calendario Académico 2014'!P41,"AAAAAFP7rpw=")</f>
        <v>#VALUE!</v>
      </c>
      <c r="FB240" t="e">
        <f>AND('Calendario Académico 2014'!Q41,"AAAAAFP7rp0=")</f>
        <v>#VALUE!</v>
      </c>
      <c r="FC240" t="e">
        <f>AND('Calendario Académico 2014'!R41,"AAAAAFP7rp4=")</f>
        <v>#VALUE!</v>
      </c>
      <c r="FD240" t="e">
        <f>AND('Calendario Académico 2014'!S41,"AAAAAFP7rp8=")</f>
        <v>#VALUE!</v>
      </c>
      <c r="FE240" t="e">
        <f>AND('Calendario Académico 2014'!T41,"AAAAAFP7rqA=")</f>
        <v>#VALUE!</v>
      </c>
      <c r="FF240" t="e">
        <f>AND('Calendario Académico 2014'!U41,"AAAAAFP7rqE=")</f>
        <v>#VALUE!</v>
      </c>
      <c r="FG240" t="e">
        <f>AND('Calendario Académico 2014'!V41,"AAAAAFP7rqI=")</f>
        <v>#VALUE!</v>
      </c>
      <c r="FH240" t="e">
        <f>AND('Calendario Académico 2014'!W41,"AAAAAFP7rqM=")</f>
        <v>#VALUE!</v>
      </c>
      <c r="FI240" t="e">
        <f>AND('Calendario Académico 2014'!X41,"AAAAAFP7rqQ=")</f>
        <v>#VALUE!</v>
      </c>
      <c r="FJ240" t="e">
        <f>AND('Calendario Académico 2014'!Y41,"AAAAAFP7rqU=")</f>
        <v>#VALUE!</v>
      </c>
      <c r="FK240" t="e">
        <f>AND('Calendario Académico 2014'!Z41,"AAAAAFP7rqY=")</f>
        <v>#VALUE!</v>
      </c>
      <c r="FL240" t="e">
        <f>AND('Calendario Académico 2014'!AA41,"AAAAAFP7rqc=")</f>
        <v>#VALUE!</v>
      </c>
      <c r="FM240" t="e">
        <f>AND('Calendario Académico 2014'!AB41,"AAAAAFP7rqg=")</f>
        <v>#VALUE!</v>
      </c>
      <c r="FN240" t="e">
        <f>AND('Calendario Académico 2014'!AC41,"AAAAAFP7rqk=")</f>
        <v>#VALUE!</v>
      </c>
      <c r="FO240" t="e">
        <f>AND('Calendario Académico 2014'!AD41,"AAAAAFP7rqo=")</f>
        <v>#VALUE!</v>
      </c>
      <c r="FP240" t="e">
        <f>AND('Calendario Académico 2014'!AE41,"AAAAAFP7rqs=")</f>
        <v>#VALUE!</v>
      </c>
      <c r="FQ240" t="e">
        <f>AND('Calendario Académico 2014'!AF41,"AAAAAFP7rqw=")</f>
        <v>#VALUE!</v>
      </c>
      <c r="FR240" t="e">
        <f>AND('Calendario Académico 2014'!AG41,"AAAAAFP7rq0=")</f>
        <v>#VALUE!</v>
      </c>
      <c r="FS240" t="e">
        <f>AND('Calendario Académico 2014'!AH41,"AAAAAFP7rq4=")</f>
        <v>#VALUE!</v>
      </c>
      <c r="FT240">
        <f>IF('Calendario Académico 2014'!42:42,"AAAAAFP7rq8=",0)</f>
        <v>0</v>
      </c>
      <c r="FU240" t="e">
        <f>AND('Calendario Académico 2014'!A42,"AAAAAFP7rrA=")</f>
        <v>#VALUE!</v>
      </c>
      <c r="FV240" t="e">
        <f>AND('Calendario Académico 2014'!B42,"AAAAAFP7rrE=")</f>
        <v>#VALUE!</v>
      </c>
      <c r="FW240" t="e">
        <f>AND('Calendario Académico 2014'!C42,"AAAAAFP7rrI=")</f>
        <v>#VALUE!</v>
      </c>
      <c r="FX240" t="e">
        <f>AND('Calendario Académico 2014'!D42,"AAAAAFP7rrM=")</f>
        <v>#VALUE!</v>
      </c>
      <c r="FY240" t="e">
        <f>AND('Calendario Académico 2014'!E42,"AAAAAFP7rrQ=")</f>
        <v>#VALUE!</v>
      </c>
      <c r="FZ240" t="e">
        <f>AND('Calendario Académico 2014'!F42,"AAAAAFP7rrU=")</f>
        <v>#VALUE!</v>
      </c>
      <c r="GA240" t="e">
        <f>AND('Calendario Académico 2014'!G42,"AAAAAFP7rrY=")</f>
        <v>#VALUE!</v>
      </c>
      <c r="GB240" t="e">
        <f>AND('Calendario Académico 2014'!H42,"AAAAAFP7rrc=")</f>
        <v>#VALUE!</v>
      </c>
      <c r="GC240" t="e">
        <f>AND('Calendario Académico 2014'!I42,"AAAAAFP7rrg=")</f>
        <v>#VALUE!</v>
      </c>
      <c r="GD240" t="e">
        <f>AND('Calendario Académico 2014'!J42,"AAAAAFP7rrk=")</f>
        <v>#VALUE!</v>
      </c>
      <c r="GE240" t="e">
        <f>AND('Calendario Académico 2014'!K42,"AAAAAFP7rro=")</f>
        <v>#VALUE!</v>
      </c>
      <c r="GF240" t="e">
        <f>AND('Calendario Académico 2014'!L42,"AAAAAFP7rrs=")</f>
        <v>#VALUE!</v>
      </c>
      <c r="GG240" t="e">
        <f>AND('Calendario Académico 2014'!M42,"AAAAAFP7rrw=")</f>
        <v>#VALUE!</v>
      </c>
      <c r="GH240" t="e">
        <f>AND('Calendario Académico 2014'!N42,"AAAAAFP7rr0=")</f>
        <v>#VALUE!</v>
      </c>
      <c r="GI240" t="e">
        <f>AND('Calendario Académico 2014'!O42,"AAAAAFP7rr4=")</f>
        <v>#VALUE!</v>
      </c>
      <c r="GJ240" t="e">
        <f>AND('Calendario Académico 2014'!P42,"AAAAAFP7rr8=")</f>
        <v>#VALUE!</v>
      </c>
      <c r="GK240" t="e">
        <f>AND('Calendario Académico 2014'!Q42,"AAAAAFP7rsA=")</f>
        <v>#VALUE!</v>
      </c>
      <c r="GL240" t="e">
        <f>AND('Calendario Académico 2014'!R42,"AAAAAFP7rsE=")</f>
        <v>#VALUE!</v>
      </c>
      <c r="GM240" t="e">
        <f>AND('Calendario Académico 2014'!S42,"AAAAAFP7rsI=")</f>
        <v>#VALUE!</v>
      </c>
      <c r="GN240" t="e">
        <f>AND('Calendario Académico 2014'!T42,"AAAAAFP7rsM=")</f>
        <v>#VALUE!</v>
      </c>
      <c r="GO240" t="e">
        <f>AND('Calendario Académico 2014'!U42,"AAAAAFP7rsQ=")</f>
        <v>#VALUE!</v>
      </c>
      <c r="GP240" t="e">
        <f>AND('Calendario Académico 2014'!V42,"AAAAAFP7rsU=")</f>
        <v>#VALUE!</v>
      </c>
      <c r="GQ240" t="e">
        <f>AND('Calendario Académico 2014'!W42,"AAAAAFP7rsY=")</f>
        <v>#VALUE!</v>
      </c>
      <c r="GR240" t="e">
        <f>AND('Calendario Académico 2014'!X42,"AAAAAFP7rsc=")</f>
        <v>#VALUE!</v>
      </c>
      <c r="GS240" t="e">
        <f>AND('Calendario Académico 2014'!Y42,"AAAAAFP7rsg=")</f>
        <v>#VALUE!</v>
      </c>
      <c r="GT240" t="e">
        <f>AND('Calendario Académico 2014'!Z42,"AAAAAFP7rsk=")</f>
        <v>#VALUE!</v>
      </c>
      <c r="GU240" t="e">
        <f>AND('Calendario Académico 2014'!AA42,"AAAAAFP7rso=")</f>
        <v>#VALUE!</v>
      </c>
      <c r="GV240" t="e">
        <f>AND('Calendario Académico 2014'!AB42,"AAAAAFP7rss=")</f>
        <v>#VALUE!</v>
      </c>
      <c r="GW240" t="e">
        <f>AND('Calendario Académico 2014'!AC42,"AAAAAFP7rsw=")</f>
        <v>#VALUE!</v>
      </c>
      <c r="GX240" t="e">
        <f>AND('Calendario Académico 2014'!AD42,"AAAAAFP7rs0=")</f>
        <v>#VALUE!</v>
      </c>
      <c r="GY240" t="e">
        <f>AND('Calendario Académico 2014'!AE42,"AAAAAFP7rs4=")</f>
        <v>#VALUE!</v>
      </c>
      <c r="GZ240" t="e">
        <f>AND('Calendario Académico 2014'!AF42,"AAAAAFP7rs8=")</f>
        <v>#VALUE!</v>
      </c>
      <c r="HA240" t="e">
        <f>AND('Calendario Académico 2014'!AG42,"AAAAAFP7rtA=")</f>
        <v>#VALUE!</v>
      </c>
      <c r="HB240" t="e">
        <f>AND('Calendario Académico 2014'!AH42,"AAAAAFP7rtE=")</f>
        <v>#VALUE!</v>
      </c>
      <c r="HC240">
        <f>IF('Calendario Académico 2014'!43:43,"AAAAAFP7rtI=",0)</f>
        <v>0</v>
      </c>
      <c r="HD240" t="e">
        <f>AND('Calendario Académico 2014'!A43,"AAAAAFP7rtM=")</f>
        <v>#VALUE!</v>
      </c>
      <c r="HE240" t="e">
        <f>AND('Calendario Académico 2014'!B43,"AAAAAFP7rtQ=")</f>
        <v>#VALUE!</v>
      </c>
      <c r="HF240" t="e">
        <f>AND('Calendario Académico 2014'!C43,"AAAAAFP7rtU=")</f>
        <v>#VALUE!</v>
      </c>
      <c r="HG240" t="e">
        <f>AND('Calendario Académico 2014'!D43,"AAAAAFP7rtY=")</f>
        <v>#VALUE!</v>
      </c>
      <c r="HH240" t="e">
        <f>AND('Calendario Académico 2014'!E43,"AAAAAFP7rtc=")</f>
        <v>#VALUE!</v>
      </c>
      <c r="HI240" t="e">
        <f>AND('Calendario Académico 2014'!F43,"AAAAAFP7rtg=")</f>
        <v>#VALUE!</v>
      </c>
      <c r="HJ240" t="e">
        <f>AND('Calendario Académico 2014'!G43,"AAAAAFP7rtk=")</f>
        <v>#VALUE!</v>
      </c>
      <c r="HK240" t="e">
        <f>AND('Calendario Académico 2014'!H43,"AAAAAFP7rto=")</f>
        <v>#VALUE!</v>
      </c>
      <c r="HL240" t="e">
        <f>AND('Calendario Académico 2014'!I43,"AAAAAFP7rts=")</f>
        <v>#VALUE!</v>
      </c>
      <c r="HM240" t="e">
        <f>AND('Calendario Académico 2014'!J43,"AAAAAFP7rtw=")</f>
        <v>#VALUE!</v>
      </c>
      <c r="HN240" t="e">
        <f>AND('Calendario Académico 2014'!K43,"AAAAAFP7rt0=")</f>
        <v>#VALUE!</v>
      </c>
      <c r="HO240" t="e">
        <f>AND('Calendario Académico 2014'!L43,"AAAAAFP7rt4=")</f>
        <v>#VALUE!</v>
      </c>
      <c r="HP240" t="e">
        <f>AND('Calendario Académico 2014'!M43,"AAAAAFP7rt8=")</f>
        <v>#VALUE!</v>
      </c>
      <c r="HQ240" t="e">
        <f>AND('Calendario Académico 2014'!N43,"AAAAAFP7ruA=")</f>
        <v>#VALUE!</v>
      </c>
      <c r="HR240" t="e">
        <f>AND('Calendario Académico 2014'!O43,"AAAAAFP7ruE=")</f>
        <v>#VALUE!</v>
      </c>
      <c r="HS240" t="e">
        <f>AND('Calendario Académico 2014'!P43,"AAAAAFP7ruI=")</f>
        <v>#VALUE!</v>
      </c>
      <c r="HT240" t="e">
        <f>AND('Calendario Académico 2014'!Q43,"AAAAAFP7ruM=")</f>
        <v>#VALUE!</v>
      </c>
      <c r="HU240" t="e">
        <f>AND('Calendario Académico 2014'!R43,"AAAAAFP7ruQ=")</f>
        <v>#VALUE!</v>
      </c>
      <c r="HV240" t="e">
        <f>AND('Calendario Académico 2014'!S43,"AAAAAFP7ruU=")</f>
        <v>#VALUE!</v>
      </c>
      <c r="HW240" t="e">
        <f>AND('Calendario Académico 2014'!T43,"AAAAAFP7ruY=")</f>
        <v>#VALUE!</v>
      </c>
      <c r="HX240" t="e">
        <f>AND('Calendario Académico 2014'!U43,"AAAAAFP7ruc=")</f>
        <v>#VALUE!</v>
      </c>
      <c r="HY240" t="e">
        <f>AND('Calendario Académico 2014'!V43,"AAAAAFP7rug=")</f>
        <v>#VALUE!</v>
      </c>
      <c r="HZ240" t="e">
        <f>AND('Calendario Académico 2014'!W43,"AAAAAFP7ruk=")</f>
        <v>#VALUE!</v>
      </c>
      <c r="IA240" t="e">
        <f>AND('Calendario Académico 2014'!X43,"AAAAAFP7ruo=")</f>
        <v>#VALUE!</v>
      </c>
      <c r="IB240" t="e">
        <f>AND('Calendario Académico 2014'!Y43,"AAAAAFP7rus=")</f>
        <v>#VALUE!</v>
      </c>
      <c r="IC240" t="e">
        <f>AND('Calendario Académico 2014'!Z43,"AAAAAFP7ruw=")</f>
        <v>#VALUE!</v>
      </c>
      <c r="ID240" t="e">
        <f>AND('Calendario Académico 2014'!AA43,"AAAAAFP7ru0=")</f>
        <v>#VALUE!</v>
      </c>
      <c r="IE240" t="e">
        <f>AND('Calendario Académico 2014'!AB43,"AAAAAFP7ru4=")</f>
        <v>#VALUE!</v>
      </c>
      <c r="IF240" t="e">
        <f>AND('Calendario Académico 2014'!AC43,"AAAAAFP7ru8=")</f>
        <v>#VALUE!</v>
      </c>
      <c r="IG240" t="e">
        <f>AND('Calendario Académico 2014'!AD43,"AAAAAFP7rvA=")</f>
        <v>#VALUE!</v>
      </c>
      <c r="IH240" t="e">
        <f>AND('Calendario Académico 2014'!AE43,"AAAAAFP7rvE=")</f>
        <v>#VALUE!</v>
      </c>
      <c r="II240" t="e">
        <f>AND('Calendario Académico 2014'!AF43,"AAAAAFP7rvI=")</f>
        <v>#VALUE!</v>
      </c>
      <c r="IJ240" t="e">
        <f>AND('Calendario Académico 2014'!AG43,"AAAAAFP7rvM=")</f>
        <v>#VALUE!</v>
      </c>
      <c r="IK240" t="e">
        <f>AND('Calendario Académico 2014'!AH43,"AAAAAFP7rvQ=")</f>
        <v>#VALUE!</v>
      </c>
      <c r="IL240">
        <f>IF('Calendario Académico 2014'!44:44,"AAAAAFP7rvU=",0)</f>
        <v>0</v>
      </c>
      <c r="IM240" t="e">
        <f>AND('Calendario Académico 2014'!A44,"AAAAAFP7rvY=")</f>
        <v>#VALUE!</v>
      </c>
      <c r="IN240" t="e">
        <f>AND('Calendario Académico 2014'!B44,"AAAAAFP7rvc=")</f>
        <v>#VALUE!</v>
      </c>
      <c r="IO240" t="e">
        <f>AND('Calendario Académico 2014'!C44,"AAAAAFP7rvg=")</f>
        <v>#VALUE!</v>
      </c>
      <c r="IP240" t="e">
        <f>AND('Calendario Académico 2014'!D44,"AAAAAFP7rvk=")</f>
        <v>#VALUE!</v>
      </c>
      <c r="IQ240" t="e">
        <f>AND('Calendario Académico 2014'!E44,"AAAAAFP7rvo=")</f>
        <v>#VALUE!</v>
      </c>
      <c r="IR240" t="e">
        <f>AND('Calendario Académico 2014'!F44,"AAAAAFP7rvs=")</f>
        <v>#VALUE!</v>
      </c>
      <c r="IS240" t="e">
        <f>AND('Calendario Académico 2014'!G44,"AAAAAFP7rvw=")</f>
        <v>#VALUE!</v>
      </c>
      <c r="IT240" t="e">
        <f>AND('Calendario Académico 2014'!H44,"AAAAAFP7rv0=")</f>
        <v>#VALUE!</v>
      </c>
      <c r="IU240" t="e">
        <f>AND('Calendario Académico 2014'!I44,"AAAAAFP7rv4=")</f>
        <v>#VALUE!</v>
      </c>
      <c r="IV240" t="e">
        <f>AND('Calendario Académico 2014'!J44,"AAAAAFP7rv8=")</f>
        <v>#VALUE!</v>
      </c>
    </row>
    <row r="241" spans="1:256" x14ac:dyDescent="0.2">
      <c r="A241" t="e">
        <f>AND('Calendario Académico 2014'!K44,"AAAAAD3/WwA=")</f>
        <v>#VALUE!</v>
      </c>
      <c r="B241" t="e">
        <f>AND('Calendario Académico 2014'!L44,"AAAAAD3/WwE=")</f>
        <v>#VALUE!</v>
      </c>
      <c r="C241" t="e">
        <f>AND('Calendario Académico 2014'!M44,"AAAAAD3/WwI=")</f>
        <v>#VALUE!</v>
      </c>
      <c r="D241" t="e">
        <f>AND('Calendario Académico 2014'!N44,"AAAAAD3/WwM=")</f>
        <v>#VALUE!</v>
      </c>
      <c r="E241" t="e">
        <f>AND('Calendario Académico 2014'!O44,"AAAAAD3/WwQ=")</f>
        <v>#VALUE!</v>
      </c>
      <c r="F241" t="e">
        <f>AND('Calendario Académico 2014'!P44,"AAAAAD3/WwU=")</f>
        <v>#VALUE!</v>
      </c>
      <c r="G241" t="e">
        <f>AND('Calendario Académico 2014'!Q44,"AAAAAD3/WwY=")</f>
        <v>#VALUE!</v>
      </c>
      <c r="H241" t="e">
        <f>AND('Calendario Académico 2014'!R44,"AAAAAD3/Wwc=")</f>
        <v>#VALUE!</v>
      </c>
      <c r="I241" t="e">
        <f>AND('Calendario Académico 2014'!S44,"AAAAAD3/Wwg=")</f>
        <v>#VALUE!</v>
      </c>
      <c r="J241" t="e">
        <f>AND('Calendario Académico 2014'!T44,"AAAAAD3/Wwk=")</f>
        <v>#VALUE!</v>
      </c>
      <c r="K241" t="e">
        <f>AND('Calendario Académico 2014'!U44,"AAAAAD3/Wwo=")</f>
        <v>#VALUE!</v>
      </c>
      <c r="L241" t="e">
        <f>AND('Calendario Académico 2014'!V44,"AAAAAD3/Wws=")</f>
        <v>#VALUE!</v>
      </c>
      <c r="M241" t="e">
        <f>AND('Calendario Académico 2014'!W44,"AAAAAD3/Www=")</f>
        <v>#VALUE!</v>
      </c>
      <c r="N241" t="e">
        <f>AND('Calendario Académico 2014'!X44,"AAAAAD3/Ww0=")</f>
        <v>#VALUE!</v>
      </c>
      <c r="O241" t="e">
        <f>AND('Calendario Académico 2014'!Y44,"AAAAAD3/Ww4=")</f>
        <v>#VALUE!</v>
      </c>
      <c r="P241" t="e">
        <f>AND('Calendario Académico 2014'!Z44,"AAAAAD3/Ww8=")</f>
        <v>#VALUE!</v>
      </c>
      <c r="Q241" t="e">
        <f>AND('Calendario Académico 2014'!AA44,"AAAAAD3/WxA=")</f>
        <v>#VALUE!</v>
      </c>
      <c r="R241" t="e">
        <f>AND('Calendario Académico 2014'!AB44,"AAAAAD3/WxE=")</f>
        <v>#VALUE!</v>
      </c>
      <c r="S241" t="e">
        <f>AND('Calendario Académico 2014'!AC44,"AAAAAD3/WxI=")</f>
        <v>#VALUE!</v>
      </c>
      <c r="T241" t="e">
        <f>AND('Calendario Académico 2014'!AD44,"AAAAAD3/WxM=")</f>
        <v>#VALUE!</v>
      </c>
      <c r="U241" t="e">
        <f>AND('Calendario Académico 2014'!AE44,"AAAAAD3/WxQ=")</f>
        <v>#VALUE!</v>
      </c>
      <c r="V241" t="e">
        <f>AND('Calendario Académico 2014'!AF44,"AAAAAD3/WxU=")</f>
        <v>#VALUE!</v>
      </c>
      <c r="W241" t="e">
        <f>AND('Calendario Académico 2014'!AG44,"AAAAAD3/WxY=")</f>
        <v>#VALUE!</v>
      </c>
      <c r="X241" t="e">
        <f>AND('Calendario Académico 2014'!AH44,"AAAAAD3/Wxc=")</f>
        <v>#VALUE!</v>
      </c>
      <c r="Y241">
        <f>IF('Calendario Académico 2014'!45:45,"AAAAAD3/Wxg=",0)</f>
        <v>0</v>
      </c>
      <c r="Z241" t="e">
        <f>AND('Calendario Académico 2014'!A45,"AAAAAD3/Wxk=")</f>
        <v>#VALUE!</v>
      </c>
      <c r="AA241" t="e">
        <f>AND('Calendario Académico 2014'!B45,"AAAAAD3/Wxo=")</f>
        <v>#VALUE!</v>
      </c>
      <c r="AB241" t="e">
        <f>AND('Calendario Académico 2014'!C45,"AAAAAD3/Wxs=")</f>
        <v>#VALUE!</v>
      </c>
      <c r="AC241" t="e">
        <f>AND('Calendario Académico 2014'!D45,"AAAAAD3/Wxw=")</f>
        <v>#VALUE!</v>
      </c>
      <c r="AD241" t="e">
        <f>AND('Calendario Académico 2014'!E45,"AAAAAD3/Wx0=")</f>
        <v>#VALUE!</v>
      </c>
      <c r="AE241" t="e">
        <f>AND('Calendario Académico 2014'!F45,"AAAAAD3/Wx4=")</f>
        <v>#VALUE!</v>
      </c>
      <c r="AF241" t="e">
        <f>AND('Calendario Académico 2014'!G45,"AAAAAD3/Wx8=")</f>
        <v>#VALUE!</v>
      </c>
      <c r="AG241" t="e">
        <f>AND('Calendario Académico 2014'!H45,"AAAAAD3/WyA=")</f>
        <v>#VALUE!</v>
      </c>
      <c r="AH241" t="e">
        <f>AND('Calendario Académico 2014'!I45,"AAAAAD3/WyE=")</f>
        <v>#VALUE!</v>
      </c>
      <c r="AI241" t="e">
        <f>AND('Calendario Académico 2014'!J45,"AAAAAD3/WyI=")</f>
        <v>#VALUE!</v>
      </c>
      <c r="AJ241" t="e">
        <f>AND('Calendario Académico 2014'!K45,"AAAAAD3/WyM=")</f>
        <v>#VALUE!</v>
      </c>
      <c r="AK241" t="e">
        <f>AND('Calendario Académico 2014'!L45,"AAAAAD3/WyQ=")</f>
        <v>#VALUE!</v>
      </c>
      <c r="AL241" t="e">
        <f>AND('Calendario Académico 2014'!M45,"AAAAAD3/WyU=")</f>
        <v>#VALUE!</v>
      </c>
      <c r="AM241" t="e">
        <f>AND('Calendario Académico 2014'!N45,"AAAAAD3/WyY=")</f>
        <v>#VALUE!</v>
      </c>
      <c r="AN241" t="e">
        <f>AND('Calendario Académico 2014'!O45,"AAAAAD3/Wyc=")</f>
        <v>#VALUE!</v>
      </c>
      <c r="AO241" t="e">
        <f>AND('Calendario Académico 2014'!P45,"AAAAAD3/Wyg=")</f>
        <v>#VALUE!</v>
      </c>
      <c r="AP241" t="e">
        <f>AND('Calendario Académico 2014'!Q45,"AAAAAD3/Wyk=")</f>
        <v>#VALUE!</v>
      </c>
      <c r="AQ241" t="e">
        <f>AND('Calendario Académico 2014'!R45,"AAAAAD3/Wyo=")</f>
        <v>#VALUE!</v>
      </c>
      <c r="AR241" t="e">
        <f>AND('Calendario Académico 2014'!S45,"AAAAAD3/Wys=")</f>
        <v>#VALUE!</v>
      </c>
      <c r="AS241" t="e">
        <f>AND('Calendario Académico 2014'!T45,"AAAAAD3/Wyw=")</f>
        <v>#VALUE!</v>
      </c>
      <c r="AT241" t="e">
        <f>AND('Calendario Académico 2014'!U45,"AAAAAD3/Wy0=")</f>
        <v>#VALUE!</v>
      </c>
      <c r="AU241" t="e">
        <f>AND('Calendario Académico 2014'!V45,"AAAAAD3/Wy4=")</f>
        <v>#VALUE!</v>
      </c>
      <c r="AV241" t="e">
        <f>AND('Calendario Académico 2014'!W45,"AAAAAD3/Wy8=")</f>
        <v>#VALUE!</v>
      </c>
      <c r="AW241" t="e">
        <f>AND('Calendario Académico 2014'!X45,"AAAAAD3/WzA=")</f>
        <v>#VALUE!</v>
      </c>
      <c r="AX241" t="e">
        <f>AND('Calendario Académico 2014'!Y45,"AAAAAD3/WzE=")</f>
        <v>#VALUE!</v>
      </c>
      <c r="AY241" t="e">
        <f>AND('Calendario Académico 2014'!Z45,"AAAAAD3/WzI=")</f>
        <v>#VALUE!</v>
      </c>
      <c r="AZ241" t="e">
        <f>AND('Calendario Académico 2014'!AA45,"AAAAAD3/WzM=")</f>
        <v>#VALUE!</v>
      </c>
      <c r="BA241" t="e">
        <f>AND('Calendario Académico 2014'!AB45,"AAAAAD3/WzQ=")</f>
        <v>#VALUE!</v>
      </c>
      <c r="BB241" t="e">
        <f>AND('Calendario Académico 2014'!AC45,"AAAAAD3/WzU=")</f>
        <v>#VALUE!</v>
      </c>
      <c r="BC241" t="e">
        <f>AND('Calendario Académico 2014'!AD45,"AAAAAD3/WzY=")</f>
        <v>#VALUE!</v>
      </c>
      <c r="BD241" t="e">
        <f>AND('Calendario Académico 2014'!AE45,"AAAAAD3/Wzc=")</f>
        <v>#VALUE!</v>
      </c>
      <c r="BE241" t="e">
        <f>AND('Calendario Académico 2014'!AF45,"AAAAAD3/Wzg=")</f>
        <v>#VALUE!</v>
      </c>
      <c r="BF241" t="e">
        <f>AND('Calendario Académico 2014'!AG45,"AAAAAD3/Wzk=")</f>
        <v>#VALUE!</v>
      </c>
      <c r="BG241" t="e">
        <f>AND('Calendario Académico 2014'!AH45,"AAAAAD3/Wzo=")</f>
        <v>#VALUE!</v>
      </c>
      <c r="BH241">
        <f>IF('Calendario Académico 2014'!46:46,"AAAAAD3/Wzs=",0)</f>
        <v>0</v>
      </c>
      <c r="BI241" t="e">
        <f>AND('Calendario Académico 2014'!A46,"AAAAAD3/Wzw=")</f>
        <v>#VALUE!</v>
      </c>
      <c r="BJ241" t="e">
        <f>AND('Calendario Académico 2014'!B46,"AAAAAD3/Wz0=")</f>
        <v>#VALUE!</v>
      </c>
      <c r="BK241" t="e">
        <f>AND('Calendario Académico 2014'!C46,"AAAAAD3/Wz4=")</f>
        <v>#VALUE!</v>
      </c>
      <c r="BL241" t="e">
        <f>AND('Calendario Académico 2014'!D46,"AAAAAD3/Wz8=")</f>
        <v>#VALUE!</v>
      </c>
      <c r="BM241" t="e">
        <f>AND('Calendario Académico 2014'!E46,"AAAAAD3/W0A=")</f>
        <v>#VALUE!</v>
      </c>
      <c r="BN241" t="e">
        <f>AND('Calendario Académico 2014'!F46,"AAAAAD3/W0E=")</f>
        <v>#VALUE!</v>
      </c>
      <c r="BO241" t="e">
        <f>AND('Calendario Académico 2014'!G46,"AAAAAD3/W0I=")</f>
        <v>#VALUE!</v>
      </c>
      <c r="BP241" t="e">
        <f>AND('Calendario Académico 2014'!H46,"AAAAAD3/W0M=")</f>
        <v>#VALUE!</v>
      </c>
      <c r="BQ241" t="e">
        <f>AND('Calendario Académico 2014'!I46,"AAAAAD3/W0Q=")</f>
        <v>#VALUE!</v>
      </c>
      <c r="BR241" t="e">
        <f>AND('Calendario Académico 2014'!J46,"AAAAAD3/W0U=")</f>
        <v>#VALUE!</v>
      </c>
      <c r="BS241" t="e">
        <f>AND('Calendario Académico 2014'!K46,"AAAAAD3/W0Y=")</f>
        <v>#VALUE!</v>
      </c>
      <c r="BT241" t="e">
        <f>AND('Calendario Académico 2014'!L46,"AAAAAD3/W0c=")</f>
        <v>#VALUE!</v>
      </c>
      <c r="BU241" t="e">
        <f>AND('Calendario Académico 2014'!M46,"AAAAAD3/W0g=")</f>
        <v>#VALUE!</v>
      </c>
      <c r="BV241" t="e">
        <f>AND('Calendario Académico 2014'!N46,"AAAAAD3/W0k=")</f>
        <v>#VALUE!</v>
      </c>
      <c r="BW241" t="e">
        <f>AND('Calendario Académico 2014'!O46,"AAAAAD3/W0o=")</f>
        <v>#VALUE!</v>
      </c>
      <c r="BX241" t="e">
        <f>AND('Calendario Académico 2014'!P46,"AAAAAD3/W0s=")</f>
        <v>#VALUE!</v>
      </c>
      <c r="BY241" t="e">
        <f>AND('Calendario Académico 2014'!Q46,"AAAAAD3/W0w=")</f>
        <v>#VALUE!</v>
      </c>
      <c r="BZ241" t="e">
        <f>AND('Calendario Académico 2014'!R46,"AAAAAD3/W00=")</f>
        <v>#VALUE!</v>
      </c>
      <c r="CA241" t="e">
        <f>AND('Calendario Académico 2014'!S46,"AAAAAD3/W04=")</f>
        <v>#VALUE!</v>
      </c>
      <c r="CB241" t="e">
        <f>AND('Calendario Académico 2014'!T46,"AAAAAD3/W08=")</f>
        <v>#VALUE!</v>
      </c>
      <c r="CC241" t="e">
        <f>AND('Calendario Académico 2014'!U46,"AAAAAD3/W1A=")</f>
        <v>#VALUE!</v>
      </c>
      <c r="CD241" t="e">
        <f>AND('Calendario Académico 2014'!V46,"AAAAAD3/W1E=")</f>
        <v>#VALUE!</v>
      </c>
      <c r="CE241" t="e">
        <f>AND('Calendario Académico 2014'!W46,"AAAAAD3/W1I=")</f>
        <v>#VALUE!</v>
      </c>
      <c r="CF241" t="e">
        <f>AND('Calendario Académico 2014'!X46,"AAAAAD3/W1M=")</f>
        <v>#VALUE!</v>
      </c>
      <c r="CG241" t="e">
        <f>AND('Calendario Académico 2014'!Y46,"AAAAAD3/W1Q=")</f>
        <v>#VALUE!</v>
      </c>
      <c r="CH241" t="e">
        <f>AND('Calendario Académico 2014'!Z46,"AAAAAD3/W1U=")</f>
        <v>#VALUE!</v>
      </c>
      <c r="CI241" t="e">
        <f>AND('Calendario Académico 2014'!AA46,"AAAAAD3/W1Y=")</f>
        <v>#VALUE!</v>
      </c>
      <c r="CJ241" t="e">
        <f>AND('Calendario Académico 2014'!AB46,"AAAAAD3/W1c=")</f>
        <v>#VALUE!</v>
      </c>
      <c r="CK241" t="e">
        <f>AND('Calendario Académico 2014'!AC46,"AAAAAD3/W1g=")</f>
        <v>#VALUE!</v>
      </c>
      <c r="CL241" t="e">
        <f>AND('Calendario Académico 2014'!AD46,"AAAAAD3/W1k=")</f>
        <v>#VALUE!</v>
      </c>
      <c r="CM241" t="e">
        <f>AND('Calendario Académico 2014'!AE46,"AAAAAD3/W1o=")</f>
        <v>#VALUE!</v>
      </c>
      <c r="CN241" t="e">
        <f>AND('Calendario Académico 2014'!AF46,"AAAAAD3/W1s=")</f>
        <v>#VALUE!</v>
      </c>
      <c r="CO241" t="e">
        <f>AND('Calendario Académico 2014'!AG46,"AAAAAD3/W1w=")</f>
        <v>#VALUE!</v>
      </c>
      <c r="CP241" t="e">
        <f>AND('Calendario Académico 2014'!AH46,"AAAAAD3/W10=")</f>
        <v>#VALUE!</v>
      </c>
      <c r="CQ241">
        <f>IF('Calendario Académico 2014'!47:47,"AAAAAD3/W14=",0)</f>
        <v>0</v>
      </c>
      <c r="CR241" t="e">
        <f>AND('Calendario Académico 2014'!A47,"AAAAAD3/W18=")</f>
        <v>#VALUE!</v>
      </c>
      <c r="CS241" t="e">
        <f>AND('Calendario Académico 2014'!B47,"AAAAAD3/W2A=")</f>
        <v>#VALUE!</v>
      </c>
      <c r="CT241" t="e">
        <f>AND('Calendario Académico 2014'!C47,"AAAAAD3/W2E=")</f>
        <v>#VALUE!</v>
      </c>
      <c r="CU241" t="e">
        <f>AND('Calendario Académico 2014'!D47,"AAAAAD3/W2I=")</f>
        <v>#VALUE!</v>
      </c>
      <c r="CV241" t="e">
        <f>AND('Calendario Académico 2014'!E47,"AAAAAD3/W2M=")</f>
        <v>#VALUE!</v>
      </c>
      <c r="CW241" t="e">
        <f>AND('Calendario Académico 2014'!F47,"AAAAAD3/W2Q=")</f>
        <v>#VALUE!</v>
      </c>
      <c r="CX241" t="e">
        <f>AND('Calendario Académico 2014'!G47,"AAAAAD3/W2U=")</f>
        <v>#VALUE!</v>
      </c>
      <c r="CY241" t="e">
        <f>AND('Calendario Académico 2014'!H47,"AAAAAD3/W2Y=")</f>
        <v>#VALUE!</v>
      </c>
      <c r="CZ241" t="e">
        <f>AND('Calendario Académico 2014'!I47,"AAAAAD3/W2c=")</f>
        <v>#VALUE!</v>
      </c>
      <c r="DA241" t="e">
        <f>AND('Calendario Académico 2014'!J47,"AAAAAD3/W2g=")</f>
        <v>#VALUE!</v>
      </c>
      <c r="DB241" t="e">
        <f>AND('Calendario Académico 2014'!K47,"AAAAAD3/W2k=")</f>
        <v>#VALUE!</v>
      </c>
      <c r="DC241" t="e">
        <f>AND('Calendario Académico 2014'!L47,"AAAAAD3/W2o=")</f>
        <v>#VALUE!</v>
      </c>
      <c r="DD241" t="e">
        <f>AND('Calendario Académico 2014'!M47,"AAAAAD3/W2s=")</f>
        <v>#VALUE!</v>
      </c>
      <c r="DE241" t="e">
        <f>AND('Calendario Académico 2014'!N47,"AAAAAD3/W2w=")</f>
        <v>#VALUE!</v>
      </c>
      <c r="DF241" t="e">
        <f>AND('Calendario Académico 2014'!O47,"AAAAAD3/W20=")</f>
        <v>#VALUE!</v>
      </c>
      <c r="DG241" t="e">
        <f>AND('Calendario Académico 2014'!P47,"AAAAAD3/W24=")</f>
        <v>#VALUE!</v>
      </c>
      <c r="DH241" t="e">
        <f>AND('Calendario Académico 2014'!Q47,"AAAAAD3/W28=")</f>
        <v>#VALUE!</v>
      </c>
      <c r="DI241" t="e">
        <f>AND('Calendario Académico 2014'!R47,"AAAAAD3/W3A=")</f>
        <v>#VALUE!</v>
      </c>
      <c r="DJ241" t="e">
        <f>AND('Calendario Académico 2014'!S47,"AAAAAD3/W3E=")</f>
        <v>#VALUE!</v>
      </c>
      <c r="DK241" t="e">
        <f>AND('Calendario Académico 2014'!T47,"AAAAAD3/W3I=")</f>
        <v>#VALUE!</v>
      </c>
      <c r="DL241" t="e">
        <f>AND('Calendario Académico 2014'!U47,"AAAAAD3/W3M=")</f>
        <v>#VALUE!</v>
      </c>
      <c r="DM241" t="e">
        <f>AND('Calendario Académico 2014'!V47,"AAAAAD3/W3Q=")</f>
        <v>#VALUE!</v>
      </c>
      <c r="DN241" t="e">
        <f>AND('Calendario Académico 2014'!W47,"AAAAAD3/W3U=")</f>
        <v>#VALUE!</v>
      </c>
      <c r="DO241" t="e">
        <f>AND('Calendario Académico 2014'!X47,"AAAAAD3/W3Y=")</f>
        <v>#VALUE!</v>
      </c>
      <c r="DP241" t="e">
        <f>AND('Calendario Académico 2014'!Y47,"AAAAAD3/W3c=")</f>
        <v>#VALUE!</v>
      </c>
      <c r="DQ241" t="e">
        <f>AND('Calendario Académico 2014'!Z47,"AAAAAD3/W3g=")</f>
        <v>#VALUE!</v>
      </c>
      <c r="DR241" t="e">
        <f>AND('Calendario Académico 2014'!AA47,"AAAAAD3/W3k=")</f>
        <v>#VALUE!</v>
      </c>
      <c r="DS241" t="e">
        <f>AND('Calendario Académico 2014'!AB47,"AAAAAD3/W3o=")</f>
        <v>#VALUE!</v>
      </c>
      <c r="DT241" t="e">
        <f>AND('Calendario Académico 2014'!AC47,"AAAAAD3/W3s=")</f>
        <v>#VALUE!</v>
      </c>
      <c r="DU241" t="e">
        <f>AND('Calendario Académico 2014'!AD47,"AAAAAD3/W3w=")</f>
        <v>#VALUE!</v>
      </c>
      <c r="DV241" t="e">
        <f>AND('Calendario Académico 2014'!AE47,"AAAAAD3/W30=")</f>
        <v>#VALUE!</v>
      </c>
      <c r="DW241" t="e">
        <f>AND('Calendario Académico 2014'!AF47,"AAAAAD3/W34=")</f>
        <v>#VALUE!</v>
      </c>
      <c r="DX241" t="e">
        <f>AND('Calendario Académico 2014'!AG47,"AAAAAD3/W38=")</f>
        <v>#VALUE!</v>
      </c>
      <c r="DY241" t="e">
        <f>AND('Calendario Académico 2014'!AH47,"AAAAAD3/W4A=")</f>
        <v>#VALUE!</v>
      </c>
      <c r="DZ241">
        <f>IF('Calendario Académico 2014'!48:48,"AAAAAD3/W4E=",0)</f>
        <v>0</v>
      </c>
      <c r="EA241" t="e">
        <f>AND('Calendario Académico 2014'!A48,"AAAAAD3/W4I=")</f>
        <v>#VALUE!</v>
      </c>
      <c r="EB241" t="e">
        <f>AND('Calendario Académico 2014'!B48,"AAAAAD3/W4M=")</f>
        <v>#VALUE!</v>
      </c>
      <c r="EC241" t="e">
        <f>AND('Calendario Académico 2014'!C48,"AAAAAD3/W4Q=")</f>
        <v>#VALUE!</v>
      </c>
      <c r="ED241" t="e">
        <f>AND('Calendario Académico 2014'!D48,"AAAAAD3/W4U=")</f>
        <v>#VALUE!</v>
      </c>
      <c r="EE241" t="e">
        <f>AND('Calendario Académico 2014'!E48,"AAAAAD3/W4Y=")</f>
        <v>#VALUE!</v>
      </c>
      <c r="EF241" t="e">
        <f>AND('Calendario Académico 2014'!F48,"AAAAAD3/W4c=")</f>
        <v>#VALUE!</v>
      </c>
      <c r="EG241" t="e">
        <f>AND('Calendario Académico 2014'!G48,"AAAAAD3/W4g=")</f>
        <v>#VALUE!</v>
      </c>
      <c r="EH241" t="e">
        <f>AND('Calendario Académico 2014'!H48,"AAAAAD3/W4k=")</f>
        <v>#VALUE!</v>
      </c>
      <c r="EI241" t="e">
        <f>AND('Calendario Académico 2014'!I48,"AAAAAD3/W4o=")</f>
        <v>#VALUE!</v>
      </c>
      <c r="EJ241" t="e">
        <f>AND('Calendario Académico 2014'!J48,"AAAAAD3/W4s=")</f>
        <v>#VALUE!</v>
      </c>
      <c r="EK241" t="e">
        <f>AND('Calendario Académico 2014'!K48,"AAAAAD3/W4w=")</f>
        <v>#VALUE!</v>
      </c>
      <c r="EL241" t="e">
        <f>AND('Calendario Académico 2014'!L48,"AAAAAD3/W40=")</f>
        <v>#VALUE!</v>
      </c>
      <c r="EM241" t="e">
        <f>AND('Calendario Académico 2014'!M48,"AAAAAD3/W44=")</f>
        <v>#VALUE!</v>
      </c>
      <c r="EN241" t="e">
        <f>AND('Calendario Académico 2014'!N48,"AAAAAD3/W48=")</f>
        <v>#VALUE!</v>
      </c>
      <c r="EO241" t="e">
        <f>AND('Calendario Académico 2014'!O48,"AAAAAD3/W5A=")</f>
        <v>#VALUE!</v>
      </c>
      <c r="EP241" t="e">
        <f>AND('Calendario Académico 2014'!P48,"AAAAAD3/W5E=")</f>
        <v>#VALUE!</v>
      </c>
      <c r="EQ241" t="e">
        <f>AND('Calendario Académico 2014'!Q48,"AAAAAD3/W5I=")</f>
        <v>#VALUE!</v>
      </c>
      <c r="ER241" t="e">
        <f>AND('Calendario Académico 2014'!R48,"AAAAAD3/W5M=")</f>
        <v>#VALUE!</v>
      </c>
      <c r="ES241" t="e">
        <f>AND('Calendario Académico 2014'!S48,"AAAAAD3/W5Q=")</f>
        <v>#VALUE!</v>
      </c>
      <c r="ET241" t="e">
        <f>AND('Calendario Académico 2014'!T48,"AAAAAD3/W5U=")</f>
        <v>#VALUE!</v>
      </c>
      <c r="EU241" t="e">
        <f>AND('Calendario Académico 2014'!U48,"AAAAAD3/W5Y=")</f>
        <v>#VALUE!</v>
      </c>
      <c r="EV241" t="e">
        <f>AND('Calendario Académico 2014'!V48,"AAAAAD3/W5c=")</f>
        <v>#VALUE!</v>
      </c>
      <c r="EW241" t="e">
        <f>AND('Calendario Académico 2014'!W48,"AAAAAD3/W5g=")</f>
        <v>#VALUE!</v>
      </c>
      <c r="EX241" t="e">
        <f>AND('Calendario Académico 2014'!X48,"AAAAAD3/W5k=")</f>
        <v>#VALUE!</v>
      </c>
      <c r="EY241" t="e">
        <f>AND('Calendario Académico 2014'!Y48,"AAAAAD3/W5o=")</f>
        <v>#VALUE!</v>
      </c>
      <c r="EZ241" t="e">
        <f>AND('Calendario Académico 2014'!Z48,"AAAAAD3/W5s=")</f>
        <v>#VALUE!</v>
      </c>
      <c r="FA241" t="e">
        <f>AND('Calendario Académico 2014'!AA48,"AAAAAD3/W5w=")</f>
        <v>#VALUE!</v>
      </c>
      <c r="FB241" t="e">
        <f>AND('Calendario Académico 2014'!AB48,"AAAAAD3/W50=")</f>
        <v>#VALUE!</v>
      </c>
      <c r="FC241" t="e">
        <f>AND('Calendario Académico 2014'!AC48,"AAAAAD3/W54=")</f>
        <v>#VALUE!</v>
      </c>
      <c r="FD241" t="e">
        <f>AND('Calendario Académico 2014'!AD48,"AAAAAD3/W58=")</f>
        <v>#VALUE!</v>
      </c>
      <c r="FE241" t="e">
        <f>AND('Calendario Académico 2014'!AE48,"AAAAAD3/W6A=")</f>
        <v>#VALUE!</v>
      </c>
      <c r="FF241" t="e">
        <f>AND('Calendario Académico 2014'!AF48,"AAAAAD3/W6E=")</f>
        <v>#VALUE!</v>
      </c>
      <c r="FG241" t="e">
        <f>AND('Calendario Académico 2014'!AG48,"AAAAAD3/W6I=")</f>
        <v>#VALUE!</v>
      </c>
      <c r="FH241" t="e">
        <f>AND('Calendario Académico 2014'!AH48,"AAAAAD3/W6M=")</f>
        <v>#VALUE!</v>
      </c>
      <c r="FI241">
        <f>IF('Calendario Académico 2014'!49:49,"AAAAAD3/W6Q=",0)</f>
        <v>0</v>
      </c>
      <c r="FJ241" t="e">
        <f>AND('Calendario Académico 2014'!A49,"AAAAAD3/W6U=")</f>
        <v>#VALUE!</v>
      </c>
      <c r="FK241" t="e">
        <f>AND('Calendario Académico 2014'!B49,"AAAAAD3/W6Y=")</f>
        <v>#VALUE!</v>
      </c>
      <c r="FL241" t="e">
        <f>AND('Calendario Académico 2014'!C49,"AAAAAD3/W6c=")</f>
        <v>#VALUE!</v>
      </c>
      <c r="FM241" t="e">
        <f>AND('Calendario Académico 2014'!D49,"AAAAAD3/W6g=")</f>
        <v>#VALUE!</v>
      </c>
      <c r="FN241" t="e">
        <f>AND('Calendario Académico 2014'!E49,"AAAAAD3/W6k=")</f>
        <v>#VALUE!</v>
      </c>
      <c r="FO241" t="e">
        <f>AND('Calendario Académico 2014'!F49,"AAAAAD3/W6o=")</f>
        <v>#VALUE!</v>
      </c>
      <c r="FP241" t="e">
        <f>AND('Calendario Académico 2014'!G49,"AAAAAD3/W6s=")</f>
        <v>#VALUE!</v>
      </c>
      <c r="FQ241" t="e">
        <f>AND('Calendario Académico 2014'!H49,"AAAAAD3/W6w=")</f>
        <v>#VALUE!</v>
      </c>
      <c r="FR241" t="e">
        <f>AND('Calendario Académico 2014'!I49,"AAAAAD3/W60=")</f>
        <v>#VALUE!</v>
      </c>
      <c r="FS241" t="e">
        <f>AND('Calendario Académico 2014'!J49,"AAAAAD3/W64=")</f>
        <v>#VALUE!</v>
      </c>
      <c r="FT241" t="e">
        <f>AND('Calendario Académico 2014'!K49,"AAAAAD3/W68=")</f>
        <v>#VALUE!</v>
      </c>
      <c r="FU241" t="e">
        <f>AND('Calendario Académico 2014'!L49,"AAAAAD3/W7A=")</f>
        <v>#VALUE!</v>
      </c>
      <c r="FV241" t="e">
        <f>AND('Calendario Académico 2014'!M49,"AAAAAD3/W7E=")</f>
        <v>#VALUE!</v>
      </c>
      <c r="FW241" t="e">
        <f>AND('Calendario Académico 2014'!N49,"AAAAAD3/W7I=")</f>
        <v>#VALUE!</v>
      </c>
      <c r="FX241" t="e">
        <f>AND('Calendario Académico 2014'!O49,"AAAAAD3/W7M=")</f>
        <v>#VALUE!</v>
      </c>
      <c r="FY241" t="e">
        <f>AND('Calendario Académico 2014'!P49,"AAAAAD3/W7Q=")</f>
        <v>#VALUE!</v>
      </c>
      <c r="FZ241" t="e">
        <f>AND('Calendario Académico 2014'!Q49,"AAAAAD3/W7U=")</f>
        <v>#VALUE!</v>
      </c>
      <c r="GA241" t="e">
        <f>AND('Calendario Académico 2014'!R49,"AAAAAD3/W7Y=")</f>
        <v>#VALUE!</v>
      </c>
      <c r="GB241" t="e">
        <f>AND('Calendario Académico 2014'!S49,"AAAAAD3/W7c=")</f>
        <v>#VALUE!</v>
      </c>
      <c r="GC241" t="e">
        <f>AND('Calendario Académico 2014'!T49,"AAAAAD3/W7g=")</f>
        <v>#VALUE!</v>
      </c>
      <c r="GD241" t="e">
        <f>AND('Calendario Académico 2014'!U49,"AAAAAD3/W7k=")</f>
        <v>#VALUE!</v>
      </c>
      <c r="GE241" t="e">
        <f>AND('Calendario Académico 2014'!V49,"AAAAAD3/W7o=")</f>
        <v>#VALUE!</v>
      </c>
      <c r="GF241" t="e">
        <f>AND('Calendario Académico 2014'!W49,"AAAAAD3/W7s=")</f>
        <v>#VALUE!</v>
      </c>
      <c r="GG241" t="e">
        <f>AND('Calendario Académico 2014'!X49,"AAAAAD3/W7w=")</f>
        <v>#VALUE!</v>
      </c>
      <c r="GH241" t="e">
        <f>AND('Calendario Académico 2014'!Y49,"AAAAAD3/W70=")</f>
        <v>#VALUE!</v>
      </c>
      <c r="GI241" t="e">
        <f>AND('Calendario Académico 2014'!Z49,"AAAAAD3/W74=")</f>
        <v>#VALUE!</v>
      </c>
      <c r="GJ241" t="e">
        <f>AND('Calendario Académico 2014'!AA49,"AAAAAD3/W78=")</f>
        <v>#VALUE!</v>
      </c>
      <c r="GK241" t="e">
        <f>AND('Calendario Académico 2014'!AB49,"AAAAAD3/W8A=")</f>
        <v>#VALUE!</v>
      </c>
      <c r="GL241" t="e">
        <f>AND('Calendario Académico 2014'!AC49,"AAAAAD3/W8E=")</f>
        <v>#VALUE!</v>
      </c>
      <c r="GM241" t="e">
        <f>AND('Calendario Académico 2014'!AD49,"AAAAAD3/W8I=")</f>
        <v>#VALUE!</v>
      </c>
      <c r="GN241" t="e">
        <f>AND('Calendario Académico 2014'!AE49,"AAAAAD3/W8M=")</f>
        <v>#VALUE!</v>
      </c>
      <c r="GO241" t="e">
        <f>AND('Calendario Académico 2014'!AF49,"AAAAAD3/W8Q=")</f>
        <v>#VALUE!</v>
      </c>
      <c r="GP241" t="e">
        <f>AND('Calendario Académico 2014'!AG49,"AAAAAD3/W8U=")</f>
        <v>#VALUE!</v>
      </c>
      <c r="GQ241" t="e">
        <f>AND('Calendario Académico 2014'!AH49,"AAAAAD3/W8Y=")</f>
        <v>#VALUE!</v>
      </c>
      <c r="GR241">
        <f>IF('Calendario Académico 2014'!50:50,"AAAAAD3/W8c=",0)</f>
        <v>0</v>
      </c>
      <c r="GS241" t="e">
        <f>AND('Calendario Académico 2014'!A50,"AAAAAD3/W8g=")</f>
        <v>#VALUE!</v>
      </c>
      <c r="GT241" t="e">
        <f>AND('Calendario Académico 2014'!B50,"AAAAAD3/W8k=")</f>
        <v>#VALUE!</v>
      </c>
      <c r="GU241" t="e">
        <f>AND('Calendario Académico 2014'!C50,"AAAAAD3/W8o=")</f>
        <v>#VALUE!</v>
      </c>
      <c r="GV241" t="e">
        <f>AND('Calendario Académico 2014'!D50,"AAAAAD3/W8s=")</f>
        <v>#VALUE!</v>
      </c>
      <c r="GW241" t="e">
        <f>AND('Calendario Académico 2014'!E50,"AAAAAD3/W8w=")</f>
        <v>#VALUE!</v>
      </c>
      <c r="GX241" t="e">
        <f>AND('Calendario Académico 2014'!F50,"AAAAAD3/W80=")</f>
        <v>#VALUE!</v>
      </c>
      <c r="GY241" t="e">
        <f>AND('Calendario Académico 2014'!G50,"AAAAAD3/W84=")</f>
        <v>#VALUE!</v>
      </c>
      <c r="GZ241" t="e">
        <f>AND('Calendario Académico 2014'!H50,"AAAAAD3/W88=")</f>
        <v>#VALUE!</v>
      </c>
      <c r="HA241" t="e">
        <f>AND('Calendario Académico 2014'!I50,"AAAAAD3/W9A=")</f>
        <v>#VALUE!</v>
      </c>
      <c r="HB241" t="e">
        <f>AND('Calendario Académico 2014'!J50,"AAAAAD3/W9E=")</f>
        <v>#VALUE!</v>
      </c>
      <c r="HC241" t="e">
        <f>AND('Calendario Académico 2014'!K50,"AAAAAD3/W9I=")</f>
        <v>#VALUE!</v>
      </c>
      <c r="HD241" t="e">
        <f>AND('Calendario Académico 2014'!L50,"AAAAAD3/W9M=")</f>
        <v>#VALUE!</v>
      </c>
      <c r="HE241" t="e">
        <f>AND('Calendario Académico 2014'!M50,"AAAAAD3/W9Q=")</f>
        <v>#VALUE!</v>
      </c>
      <c r="HF241" t="e">
        <f>AND('Calendario Académico 2014'!N50,"AAAAAD3/W9U=")</f>
        <v>#VALUE!</v>
      </c>
      <c r="HG241" t="e">
        <f>AND('Calendario Académico 2014'!O50,"AAAAAD3/W9Y=")</f>
        <v>#VALUE!</v>
      </c>
      <c r="HH241" t="e">
        <f>AND('Calendario Académico 2014'!P50,"AAAAAD3/W9c=")</f>
        <v>#VALUE!</v>
      </c>
      <c r="HI241" t="e">
        <f>AND('Calendario Académico 2014'!Q50,"AAAAAD3/W9g=")</f>
        <v>#VALUE!</v>
      </c>
      <c r="HJ241" t="e">
        <f>AND('Calendario Académico 2014'!R50,"AAAAAD3/W9k=")</f>
        <v>#VALUE!</v>
      </c>
      <c r="HK241" t="e">
        <f>AND('Calendario Académico 2014'!S50,"AAAAAD3/W9o=")</f>
        <v>#VALUE!</v>
      </c>
      <c r="HL241" t="e">
        <f>AND('Calendario Académico 2014'!T50,"AAAAAD3/W9s=")</f>
        <v>#VALUE!</v>
      </c>
      <c r="HM241" t="e">
        <f>AND('Calendario Académico 2014'!U50,"AAAAAD3/W9w=")</f>
        <v>#VALUE!</v>
      </c>
      <c r="HN241" t="e">
        <f>AND('Calendario Académico 2014'!V50,"AAAAAD3/W90=")</f>
        <v>#VALUE!</v>
      </c>
      <c r="HO241" t="e">
        <f>AND('Calendario Académico 2014'!W50,"AAAAAD3/W94=")</f>
        <v>#VALUE!</v>
      </c>
      <c r="HP241" t="e">
        <f>AND('Calendario Académico 2014'!X50,"AAAAAD3/W98=")</f>
        <v>#VALUE!</v>
      </c>
      <c r="HQ241" t="e">
        <f>AND('Calendario Académico 2014'!Y50,"AAAAAD3/W+A=")</f>
        <v>#VALUE!</v>
      </c>
      <c r="HR241" t="e">
        <f>AND('Calendario Académico 2014'!Z50,"AAAAAD3/W+E=")</f>
        <v>#VALUE!</v>
      </c>
      <c r="HS241" t="e">
        <f>AND('Calendario Académico 2014'!AA50,"AAAAAD3/W+I=")</f>
        <v>#VALUE!</v>
      </c>
      <c r="HT241" t="e">
        <f>AND('Calendario Académico 2014'!AB50,"AAAAAD3/W+M=")</f>
        <v>#VALUE!</v>
      </c>
      <c r="HU241" t="e">
        <f>AND('Calendario Académico 2014'!AC50,"AAAAAD3/W+Q=")</f>
        <v>#VALUE!</v>
      </c>
      <c r="HV241" t="e">
        <f>AND('Calendario Académico 2014'!AD50,"AAAAAD3/W+U=")</f>
        <v>#VALUE!</v>
      </c>
      <c r="HW241" t="e">
        <f>AND('Calendario Académico 2014'!AE50,"AAAAAD3/W+Y=")</f>
        <v>#VALUE!</v>
      </c>
      <c r="HX241" t="e">
        <f>AND('Calendario Académico 2014'!AF50,"AAAAAD3/W+c=")</f>
        <v>#VALUE!</v>
      </c>
      <c r="HY241" t="e">
        <f>AND('Calendario Académico 2014'!AG50,"AAAAAD3/W+g=")</f>
        <v>#VALUE!</v>
      </c>
      <c r="HZ241" t="e">
        <f>AND('Calendario Académico 2014'!AH50,"AAAAAD3/W+k=")</f>
        <v>#VALUE!</v>
      </c>
      <c r="IA241">
        <f>IF('Calendario Académico 2014'!51:51,"AAAAAD3/W+o=",0)</f>
        <v>0</v>
      </c>
      <c r="IB241" t="e">
        <f>AND('Calendario Académico 2014'!A51,"AAAAAD3/W+s=")</f>
        <v>#VALUE!</v>
      </c>
      <c r="IC241" t="e">
        <f>AND('Calendario Académico 2014'!B51,"AAAAAD3/W+w=")</f>
        <v>#VALUE!</v>
      </c>
      <c r="ID241" t="e">
        <f>AND('Calendario Académico 2014'!C51,"AAAAAD3/W+0=")</f>
        <v>#VALUE!</v>
      </c>
      <c r="IE241" t="e">
        <f>AND('Calendario Académico 2014'!D51,"AAAAAD3/W+4=")</f>
        <v>#VALUE!</v>
      </c>
      <c r="IF241" t="e">
        <f>AND('Calendario Académico 2014'!E51,"AAAAAD3/W+8=")</f>
        <v>#VALUE!</v>
      </c>
      <c r="IG241" t="e">
        <f>AND('Calendario Académico 2014'!F51,"AAAAAD3/W/A=")</f>
        <v>#VALUE!</v>
      </c>
      <c r="IH241" t="e">
        <f>AND('Calendario Académico 2014'!G51,"AAAAAD3/W/E=")</f>
        <v>#VALUE!</v>
      </c>
      <c r="II241" t="e">
        <f>AND('Calendario Académico 2014'!H51,"AAAAAD3/W/I=")</f>
        <v>#VALUE!</v>
      </c>
      <c r="IJ241" t="e">
        <f>AND('Calendario Académico 2014'!I51,"AAAAAD3/W/M=")</f>
        <v>#VALUE!</v>
      </c>
      <c r="IK241" t="e">
        <f>AND('Calendario Académico 2014'!J51,"AAAAAD3/W/Q=")</f>
        <v>#VALUE!</v>
      </c>
      <c r="IL241" t="e">
        <f>AND('Calendario Académico 2014'!K51,"AAAAAD3/W/U=")</f>
        <v>#VALUE!</v>
      </c>
      <c r="IM241" t="e">
        <f>AND('Calendario Académico 2014'!L51,"AAAAAD3/W/Y=")</f>
        <v>#VALUE!</v>
      </c>
      <c r="IN241" t="e">
        <f>AND('Calendario Académico 2014'!M51,"AAAAAD3/W/c=")</f>
        <v>#VALUE!</v>
      </c>
      <c r="IO241" t="e">
        <f>AND('Calendario Académico 2014'!N51,"AAAAAD3/W/g=")</f>
        <v>#VALUE!</v>
      </c>
      <c r="IP241" t="e">
        <f>AND('Calendario Académico 2014'!O51,"AAAAAD3/W/k=")</f>
        <v>#VALUE!</v>
      </c>
      <c r="IQ241" t="e">
        <f>AND('Calendario Académico 2014'!P51,"AAAAAD3/W/o=")</f>
        <v>#VALUE!</v>
      </c>
      <c r="IR241" t="e">
        <f>AND('Calendario Académico 2014'!Q51,"AAAAAD3/W/s=")</f>
        <v>#VALUE!</v>
      </c>
      <c r="IS241" t="e">
        <f>AND('Calendario Académico 2014'!R51,"AAAAAD3/W/w=")</f>
        <v>#VALUE!</v>
      </c>
      <c r="IT241" t="e">
        <f>AND('Calendario Académico 2014'!S51,"AAAAAD3/W/0=")</f>
        <v>#VALUE!</v>
      </c>
      <c r="IU241" t="e">
        <f>AND('Calendario Académico 2014'!T51,"AAAAAD3/W/4=")</f>
        <v>#VALUE!</v>
      </c>
      <c r="IV241" t="e">
        <f>AND('Calendario Académico 2014'!U51,"AAAAAD3/W/8=")</f>
        <v>#VALUE!</v>
      </c>
    </row>
    <row r="242" spans="1:256" x14ac:dyDescent="0.2">
      <c r="A242" t="e">
        <f>AND('Calendario Académico 2014'!V51,"AAAAAGv0nwA=")</f>
        <v>#VALUE!</v>
      </c>
      <c r="B242" t="e">
        <f>AND('Calendario Académico 2014'!W51,"AAAAAGv0nwE=")</f>
        <v>#VALUE!</v>
      </c>
      <c r="C242" t="e">
        <f>AND('Calendario Académico 2014'!X51,"AAAAAGv0nwI=")</f>
        <v>#VALUE!</v>
      </c>
      <c r="D242" t="e">
        <f>AND('Calendario Académico 2014'!Y51,"AAAAAGv0nwM=")</f>
        <v>#VALUE!</v>
      </c>
      <c r="E242" t="e">
        <f>AND('Calendario Académico 2014'!Z51,"AAAAAGv0nwQ=")</f>
        <v>#VALUE!</v>
      </c>
      <c r="F242" t="e">
        <f>AND('Calendario Académico 2014'!AA51,"AAAAAGv0nwU=")</f>
        <v>#VALUE!</v>
      </c>
      <c r="G242" t="e">
        <f>AND('Calendario Académico 2014'!AB51,"AAAAAGv0nwY=")</f>
        <v>#VALUE!</v>
      </c>
      <c r="H242" t="e">
        <f>AND('Calendario Académico 2014'!AC51,"AAAAAGv0nwc=")</f>
        <v>#VALUE!</v>
      </c>
      <c r="I242" t="e">
        <f>AND('Calendario Académico 2014'!AD51,"AAAAAGv0nwg=")</f>
        <v>#VALUE!</v>
      </c>
      <c r="J242" t="e">
        <f>AND('Calendario Académico 2014'!AE51,"AAAAAGv0nwk=")</f>
        <v>#VALUE!</v>
      </c>
      <c r="K242" t="e">
        <f>AND('Calendario Académico 2014'!AF51,"AAAAAGv0nwo=")</f>
        <v>#VALUE!</v>
      </c>
      <c r="L242" t="e">
        <f>AND('Calendario Académico 2014'!AG51,"AAAAAGv0nws=")</f>
        <v>#VALUE!</v>
      </c>
      <c r="M242" t="e">
        <f>AND('Calendario Académico 2014'!AH51,"AAAAAGv0nww=")</f>
        <v>#VALUE!</v>
      </c>
      <c r="N242">
        <f>IF('Calendario Académico 2014'!52:52,"AAAAAGv0nw0=",0)</f>
        <v>0</v>
      </c>
      <c r="O242" t="e">
        <f>AND('Calendario Académico 2014'!A52,"AAAAAGv0nw4=")</f>
        <v>#VALUE!</v>
      </c>
      <c r="P242" t="e">
        <f>AND('Calendario Académico 2014'!B53,"AAAAAGv0nw8=")</f>
        <v>#VALUE!</v>
      </c>
      <c r="Q242" t="e">
        <f>AND('Calendario Académico 2014'!C52,"AAAAAGv0nxA=")</f>
        <v>#VALUE!</v>
      </c>
      <c r="R242" t="e">
        <f>AND('Calendario Académico 2014'!D52,"AAAAAGv0nxE=")</f>
        <v>#VALUE!</v>
      </c>
      <c r="S242" t="e">
        <f>AND('Calendario Académico 2014'!E52,"AAAAAGv0nxI=")</f>
        <v>#VALUE!</v>
      </c>
      <c r="T242" t="e">
        <f>AND('Calendario Académico 2014'!F52,"AAAAAGv0nxM=")</f>
        <v>#VALUE!</v>
      </c>
      <c r="U242" t="e">
        <f>AND('Calendario Académico 2014'!G52,"AAAAAGv0nxQ=")</f>
        <v>#VALUE!</v>
      </c>
      <c r="V242" t="e">
        <f>AND('Calendario Académico 2014'!H52,"AAAAAGv0nxU=")</f>
        <v>#VALUE!</v>
      </c>
      <c r="W242" t="e">
        <f>AND('Calendario Académico 2014'!I52,"AAAAAGv0nxY=")</f>
        <v>#VALUE!</v>
      </c>
      <c r="X242" t="e">
        <f>AND('Calendario Académico 2014'!J52,"AAAAAGv0nxc=")</f>
        <v>#VALUE!</v>
      </c>
      <c r="Y242" t="e">
        <f>AND('Calendario Académico 2014'!K52,"AAAAAGv0nxg=")</f>
        <v>#VALUE!</v>
      </c>
      <c r="Z242" t="e">
        <f>AND('Calendario Académico 2014'!L52,"AAAAAGv0nxk=")</f>
        <v>#VALUE!</v>
      </c>
      <c r="AA242" t="e">
        <f>AND('Calendario Académico 2014'!M52,"AAAAAGv0nxo=")</f>
        <v>#VALUE!</v>
      </c>
      <c r="AB242" t="e">
        <f>AND('Calendario Académico 2014'!N52,"AAAAAGv0nxs=")</f>
        <v>#VALUE!</v>
      </c>
      <c r="AC242" t="e">
        <f>AND('Calendario Académico 2014'!O52,"AAAAAGv0nxw=")</f>
        <v>#VALUE!</v>
      </c>
      <c r="AD242" t="e">
        <f>AND('Calendario Académico 2014'!P52,"AAAAAGv0nx0=")</f>
        <v>#VALUE!</v>
      </c>
      <c r="AE242" t="e">
        <f>AND('Calendario Académico 2014'!Q52,"AAAAAGv0nx4=")</f>
        <v>#VALUE!</v>
      </c>
      <c r="AF242" t="e">
        <f>AND('Calendario Académico 2014'!R52,"AAAAAGv0nx8=")</f>
        <v>#VALUE!</v>
      </c>
      <c r="AG242" t="e">
        <f>AND('Calendario Académico 2014'!S52,"AAAAAGv0nyA=")</f>
        <v>#VALUE!</v>
      </c>
      <c r="AH242" t="e">
        <f>AND('Calendario Académico 2014'!T52,"AAAAAGv0nyE=")</f>
        <v>#VALUE!</v>
      </c>
      <c r="AI242" t="e">
        <f>AND('Calendario Académico 2014'!U52,"AAAAAGv0nyI=")</f>
        <v>#VALUE!</v>
      </c>
      <c r="AJ242" t="e">
        <f>AND('Calendario Académico 2014'!V52,"AAAAAGv0nyM=")</f>
        <v>#VALUE!</v>
      </c>
      <c r="AK242" t="e">
        <f>AND('Calendario Académico 2014'!W52,"AAAAAGv0nyQ=")</f>
        <v>#VALUE!</v>
      </c>
      <c r="AL242" t="e">
        <f>AND('Calendario Académico 2014'!X52,"AAAAAGv0nyU=")</f>
        <v>#VALUE!</v>
      </c>
      <c r="AM242" t="e">
        <f>AND('Calendario Académico 2014'!Y52,"AAAAAGv0nyY=")</f>
        <v>#VALUE!</v>
      </c>
      <c r="AN242" t="e">
        <f>AND('Calendario Académico 2014'!Z52,"AAAAAGv0nyc=")</f>
        <v>#VALUE!</v>
      </c>
      <c r="AO242" t="e">
        <f>AND('Calendario Académico 2014'!AA52,"AAAAAGv0nyg=")</f>
        <v>#VALUE!</v>
      </c>
      <c r="AP242" t="e">
        <f>AND('Calendario Académico 2014'!AB52,"AAAAAGv0nyk=")</f>
        <v>#VALUE!</v>
      </c>
      <c r="AQ242" t="e">
        <f>AND('Calendario Académico 2014'!AC52,"AAAAAGv0nyo=")</f>
        <v>#VALUE!</v>
      </c>
      <c r="AR242" t="e">
        <f>AND('Calendario Académico 2014'!AD52,"AAAAAGv0nys=")</f>
        <v>#VALUE!</v>
      </c>
      <c r="AS242" t="e">
        <f>AND('Calendario Académico 2014'!AE52,"AAAAAGv0nyw=")</f>
        <v>#VALUE!</v>
      </c>
      <c r="AT242" t="e">
        <f>AND('Calendario Académico 2014'!AF52,"AAAAAGv0ny0=")</f>
        <v>#VALUE!</v>
      </c>
      <c r="AU242" t="e">
        <f>AND('Calendario Académico 2014'!AG52,"AAAAAGv0ny4=")</f>
        <v>#VALUE!</v>
      </c>
      <c r="AV242" t="e">
        <f>AND('Calendario Académico 2014'!AH52,"AAAAAGv0ny8=")</f>
        <v>#VALUE!</v>
      </c>
      <c r="AW242">
        <f>IF('Calendario Académico 2014'!53:53,"AAAAAGv0nzA=",0)</f>
        <v>0</v>
      </c>
      <c r="AX242" t="e">
        <f>AND('Calendario Académico 2014'!A53,"AAAAAGv0nzE=")</f>
        <v>#VALUE!</v>
      </c>
      <c r="AY242" t="e">
        <f>AND('Calendario Académico 2014'!#REF!,"AAAAAGv0nzI=")</f>
        <v>#REF!</v>
      </c>
      <c r="AZ242" t="e">
        <f>AND('Calendario Académico 2014'!C53,"AAAAAGv0nzM=")</f>
        <v>#VALUE!</v>
      </c>
      <c r="BA242" t="e">
        <f>AND('Calendario Académico 2014'!D53,"AAAAAGv0nzQ=")</f>
        <v>#VALUE!</v>
      </c>
      <c r="BB242" t="e">
        <f>AND('Calendario Académico 2014'!E53,"AAAAAGv0nzU=")</f>
        <v>#VALUE!</v>
      </c>
      <c r="BC242" t="e">
        <f>AND('Calendario Académico 2014'!F53,"AAAAAGv0nzY=")</f>
        <v>#VALUE!</v>
      </c>
      <c r="BD242" t="e">
        <f>AND('Calendario Académico 2014'!G53,"AAAAAGv0nzc=")</f>
        <v>#VALUE!</v>
      </c>
      <c r="BE242" t="e">
        <f>AND('Calendario Académico 2014'!H53,"AAAAAGv0nzg=")</f>
        <v>#VALUE!</v>
      </c>
      <c r="BF242" t="e">
        <f>AND('Calendario Académico 2014'!I53,"AAAAAGv0nzk=")</f>
        <v>#VALUE!</v>
      </c>
      <c r="BG242" t="e">
        <f>AND('Calendario Académico 2014'!J53,"AAAAAGv0nzo=")</f>
        <v>#VALUE!</v>
      </c>
      <c r="BH242" t="e">
        <f>AND('Calendario Académico 2014'!K53,"AAAAAGv0nzs=")</f>
        <v>#VALUE!</v>
      </c>
      <c r="BI242" t="e">
        <f>AND('Calendario Académico 2014'!L53,"AAAAAGv0nzw=")</f>
        <v>#VALUE!</v>
      </c>
      <c r="BJ242" t="e">
        <f>AND('Calendario Académico 2014'!M53,"AAAAAGv0nz0=")</f>
        <v>#VALUE!</v>
      </c>
      <c r="BK242" t="e">
        <f>AND('Calendario Académico 2014'!N53,"AAAAAGv0nz4=")</f>
        <v>#VALUE!</v>
      </c>
      <c r="BL242" t="e">
        <f>AND('Calendario Académico 2014'!O53,"AAAAAGv0nz8=")</f>
        <v>#VALUE!</v>
      </c>
      <c r="BM242" t="e">
        <f>AND('Calendario Académico 2014'!P53,"AAAAAGv0n0A=")</f>
        <v>#VALUE!</v>
      </c>
      <c r="BN242" t="e">
        <f>AND('Calendario Académico 2014'!Q53,"AAAAAGv0n0E=")</f>
        <v>#VALUE!</v>
      </c>
      <c r="BO242" t="e">
        <f>AND('Calendario Académico 2014'!R53,"AAAAAGv0n0I=")</f>
        <v>#VALUE!</v>
      </c>
      <c r="BP242" t="e">
        <f>AND('Calendario Académico 2014'!S53,"AAAAAGv0n0M=")</f>
        <v>#VALUE!</v>
      </c>
      <c r="BQ242" t="e">
        <f>AND('Calendario Académico 2014'!T53,"AAAAAGv0n0Q=")</f>
        <v>#VALUE!</v>
      </c>
      <c r="BR242" t="e">
        <f>AND('Calendario Académico 2014'!U53,"AAAAAGv0n0U=")</f>
        <v>#VALUE!</v>
      </c>
      <c r="BS242" t="e">
        <f>AND('Calendario Académico 2014'!V53,"AAAAAGv0n0Y=")</f>
        <v>#VALUE!</v>
      </c>
      <c r="BT242" t="e">
        <f>AND('Calendario Académico 2014'!W53,"AAAAAGv0n0c=")</f>
        <v>#VALUE!</v>
      </c>
      <c r="BU242" t="e">
        <f>AND('Calendario Académico 2014'!X53,"AAAAAGv0n0g=")</f>
        <v>#VALUE!</v>
      </c>
      <c r="BV242" t="e">
        <f>AND('Calendario Académico 2014'!Y53,"AAAAAGv0n0k=")</f>
        <v>#VALUE!</v>
      </c>
      <c r="BW242" t="e">
        <f>AND('Calendario Académico 2014'!Z53,"AAAAAGv0n0o=")</f>
        <v>#VALUE!</v>
      </c>
      <c r="BX242" t="e">
        <f>AND('Calendario Académico 2014'!AA53,"AAAAAGv0n0s=")</f>
        <v>#VALUE!</v>
      </c>
      <c r="BY242" t="e">
        <f>AND('Calendario Académico 2014'!AB53,"AAAAAGv0n0w=")</f>
        <v>#VALUE!</v>
      </c>
      <c r="BZ242" t="e">
        <f>AND('Calendario Académico 2014'!AC53,"AAAAAGv0n00=")</f>
        <v>#VALUE!</v>
      </c>
      <c r="CA242" t="e">
        <f>AND('Calendario Académico 2014'!AD53,"AAAAAGv0n04=")</f>
        <v>#VALUE!</v>
      </c>
      <c r="CB242" t="e">
        <f>AND('Calendario Académico 2014'!AE53,"AAAAAGv0n08=")</f>
        <v>#VALUE!</v>
      </c>
      <c r="CC242" t="e">
        <f>AND('Calendario Académico 2014'!AF53,"AAAAAGv0n1A=")</f>
        <v>#VALUE!</v>
      </c>
      <c r="CD242" t="e">
        <f>AND('Calendario Académico 2014'!AG53,"AAAAAGv0n1E=")</f>
        <v>#VALUE!</v>
      </c>
      <c r="CE242" t="e">
        <f>AND('Calendario Académico 2014'!AH53,"AAAAAGv0n1I=")</f>
        <v>#VALUE!</v>
      </c>
      <c r="CF242">
        <f>IF('Calendario Académico 2014'!54:54,"AAAAAGv0n1M=",0)</f>
        <v>0</v>
      </c>
      <c r="CG242" t="e">
        <f>AND('Calendario Académico 2014'!A54,"AAAAAGv0n1Q=")</f>
        <v>#VALUE!</v>
      </c>
      <c r="CH242" t="e">
        <f>AND('Calendario Académico 2014'!B54,"AAAAAGv0n1U=")</f>
        <v>#VALUE!</v>
      </c>
      <c r="CI242" t="e">
        <f>AND('Calendario Académico 2014'!C54,"AAAAAGv0n1Y=")</f>
        <v>#VALUE!</v>
      </c>
      <c r="CJ242" t="e">
        <f>AND('Calendario Académico 2014'!D54,"AAAAAGv0n1c=")</f>
        <v>#VALUE!</v>
      </c>
      <c r="CK242" t="e">
        <f>AND('Calendario Académico 2014'!E54,"AAAAAGv0n1g=")</f>
        <v>#VALUE!</v>
      </c>
      <c r="CL242" t="e">
        <f>AND('Calendario Académico 2014'!F54,"AAAAAGv0n1k=")</f>
        <v>#VALUE!</v>
      </c>
      <c r="CM242" t="e">
        <f>AND('Calendario Académico 2014'!G54,"AAAAAGv0n1o=")</f>
        <v>#VALUE!</v>
      </c>
      <c r="CN242" t="e">
        <f>AND('Calendario Académico 2014'!H54,"AAAAAGv0n1s=")</f>
        <v>#VALUE!</v>
      </c>
      <c r="CO242" t="e">
        <f>AND('Calendario Académico 2014'!I54,"AAAAAGv0n1w=")</f>
        <v>#VALUE!</v>
      </c>
      <c r="CP242" t="e">
        <f>AND('Calendario Académico 2014'!J54,"AAAAAGv0n10=")</f>
        <v>#VALUE!</v>
      </c>
      <c r="CQ242" t="e">
        <f>AND('Calendario Académico 2014'!K54,"AAAAAGv0n14=")</f>
        <v>#VALUE!</v>
      </c>
      <c r="CR242" t="e">
        <f>AND('Calendario Académico 2014'!L54,"AAAAAGv0n18=")</f>
        <v>#VALUE!</v>
      </c>
      <c r="CS242" t="e">
        <f>AND('Calendario Académico 2014'!M54,"AAAAAGv0n2A=")</f>
        <v>#VALUE!</v>
      </c>
      <c r="CT242" t="e">
        <f>AND('Calendario Académico 2014'!N54,"AAAAAGv0n2E=")</f>
        <v>#VALUE!</v>
      </c>
      <c r="CU242" t="e">
        <f>AND('Calendario Académico 2014'!O54,"AAAAAGv0n2I=")</f>
        <v>#VALUE!</v>
      </c>
      <c r="CV242" t="e">
        <f>AND('Calendario Académico 2014'!P54,"AAAAAGv0n2M=")</f>
        <v>#VALUE!</v>
      </c>
      <c r="CW242" t="e">
        <f>AND('Calendario Académico 2014'!Q54,"AAAAAGv0n2Q=")</f>
        <v>#VALUE!</v>
      </c>
      <c r="CX242" t="e">
        <f>AND('Calendario Académico 2014'!R54,"AAAAAGv0n2U=")</f>
        <v>#VALUE!</v>
      </c>
      <c r="CY242" t="e">
        <f>AND('Calendario Académico 2014'!S54,"AAAAAGv0n2Y=")</f>
        <v>#VALUE!</v>
      </c>
      <c r="CZ242" t="e">
        <f>AND('Calendario Académico 2014'!T54,"AAAAAGv0n2c=")</f>
        <v>#VALUE!</v>
      </c>
      <c r="DA242" t="e">
        <f>AND('Calendario Académico 2014'!U54,"AAAAAGv0n2g=")</f>
        <v>#VALUE!</v>
      </c>
      <c r="DB242" t="e">
        <f>AND('Calendario Académico 2014'!V54,"AAAAAGv0n2k=")</f>
        <v>#VALUE!</v>
      </c>
      <c r="DC242" t="e">
        <f>AND('Calendario Académico 2014'!W54,"AAAAAGv0n2o=")</f>
        <v>#VALUE!</v>
      </c>
      <c r="DD242" t="e">
        <f>AND('Calendario Académico 2014'!X54,"AAAAAGv0n2s=")</f>
        <v>#VALUE!</v>
      </c>
      <c r="DE242" t="e">
        <f>AND('Calendario Académico 2014'!Y54,"AAAAAGv0n2w=")</f>
        <v>#VALUE!</v>
      </c>
      <c r="DF242" t="e">
        <f>AND('Calendario Académico 2014'!Z54,"AAAAAGv0n20=")</f>
        <v>#VALUE!</v>
      </c>
      <c r="DG242" t="e">
        <f>AND('Calendario Académico 2014'!AA54,"AAAAAGv0n24=")</f>
        <v>#VALUE!</v>
      </c>
      <c r="DH242" t="e">
        <f>AND('Calendario Académico 2014'!AB54,"AAAAAGv0n28=")</f>
        <v>#VALUE!</v>
      </c>
      <c r="DI242" t="e">
        <f>AND('Calendario Académico 2014'!AC54,"AAAAAGv0n3A=")</f>
        <v>#VALUE!</v>
      </c>
      <c r="DJ242" t="e">
        <f>AND('Calendario Académico 2014'!AD54,"AAAAAGv0n3E=")</f>
        <v>#VALUE!</v>
      </c>
      <c r="DK242" t="e">
        <f>AND('Calendario Académico 2014'!AE54,"AAAAAGv0n3I=")</f>
        <v>#VALUE!</v>
      </c>
      <c r="DL242" t="e">
        <f>AND('Calendario Académico 2014'!AF54,"AAAAAGv0n3M=")</f>
        <v>#VALUE!</v>
      </c>
      <c r="DM242" t="e">
        <f>AND('Calendario Académico 2014'!AG54,"AAAAAGv0n3Q=")</f>
        <v>#VALUE!</v>
      </c>
      <c r="DN242" t="e">
        <f>AND('Calendario Académico 2014'!AH54,"AAAAAGv0n3U=")</f>
        <v>#VALUE!</v>
      </c>
      <c r="DO242">
        <f>IF('Calendario Académico 2014'!55:55,"AAAAAGv0n3Y=",0)</f>
        <v>0</v>
      </c>
      <c r="DP242" t="e">
        <f>AND('Calendario Académico 2014'!A55,"AAAAAGv0n3c=")</f>
        <v>#VALUE!</v>
      </c>
      <c r="DQ242" t="e">
        <f>AND('Calendario Académico 2014'!B55,"AAAAAGv0n3g=")</f>
        <v>#VALUE!</v>
      </c>
      <c r="DR242" t="e">
        <f>AND('Calendario Académico 2014'!C55,"AAAAAGv0n3k=")</f>
        <v>#VALUE!</v>
      </c>
      <c r="DS242" t="e">
        <f>AND('Calendario Académico 2014'!D55,"AAAAAGv0n3o=")</f>
        <v>#VALUE!</v>
      </c>
      <c r="DT242" t="e">
        <f>AND('Calendario Académico 2014'!E55,"AAAAAGv0n3s=")</f>
        <v>#VALUE!</v>
      </c>
      <c r="DU242" t="e">
        <f>AND('Calendario Académico 2014'!F55,"AAAAAGv0n3w=")</f>
        <v>#VALUE!</v>
      </c>
      <c r="DV242" t="e">
        <f>AND('Calendario Académico 2014'!G55,"AAAAAGv0n30=")</f>
        <v>#VALUE!</v>
      </c>
      <c r="DW242" t="e">
        <f>AND('Calendario Académico 2014'!H55,"AAAAAGv0n34=")</f>
        <v>#VALUE!</v>
      </c>
      <c r="DX242" t="e">
        <f>AND('Calendario Académico 2014'!I55,"AAAAAGv0n38=")</f>
        <v>#VALUE!</v>
      </c>
      <c r="DY242" t="e">
        <f>AND('Calendario Académico 2014'!J55,"AAAAAGv0n4A=")</f>
        <v>#VALUE!</v>
      </c>
      <c r="DZ242" t="e">
        <f>AND('Calendario Académico 2014'!K55,"AAAAAGv0n4E=")</f>
        <v>#VALUE!</v>
      </c>
      <c r="EA242" t="e">
        <f>AND('Calendario Académico 2014'!L55,"AAAAAGv0n4I=")</f>
        <v>#VALUE!</v>
      </c>
      <c r="EB242" t="e">
        <f>AND('Calendario Académico 2014'!M55,"AAAAAGv0n4M=")</f>
        <v>#VALUE!</v>
      </c>
      <c r="EC242" t="e">
        <f>AND('Calendario Académico 2014'!N55,"AAAAAGv0n4Q=")</f>
        <v>#VALUE!</v>
      </c>
      <c r="ED242" t="e">
        <f>AND('Calendario Académico 2014'!O55,"AAAAAGv0n4U=")</f>
        <v>#VALUE!</v>
      </c>
      <c r="EE242" t="e">
        <f>AND('Calendario Académico 2014'!P55,"AAAAAGv0n4Y=")</f>
        <v>#VALUE!</v>
      </c>
      <c r="EF242" t="e">
        <f>AND('Calendario Académico 2014'!Q55,"AAAAAGv0n4c=")</f>
        <v>#VALUE!</v>
      </c>
      <c r="EG242" t="e">
        <f>AND('Calendario Académico 2014'!R55,"AAAAAGv0n4g=")</f>
        <v>#VALUE!</v>
      </c>
      <c r="EH242" t="e">
        <f>AND('Calendario Académico 2014'!S55,"AAAAAGv0n4k=")</f>
        <v>#VALUE!</v>
      </c>
      <c r="EI242" t="e">
        <f>AND('Calendario Académico 2014'!T55,"AAAAAGv0n4o=")</f>
        <v>#VALUE!</v>
      </c>
      <c r="EJ242" t="e">
        <f>AND('Calendario Académico 2014'!U55,"AAAAAGv0n4s=")</f>
        <v>#VALUE!</v>
      </c>
      <c r="EK242" t="e">
        <f>AND('Calendario Académico 2014'!V55,"AAAAAGv0n4w=")</f>
        <v>#VALUE!</v>
      </c>
      <c r="EL242" t="e">
        <f>AND('Calendario Académico 2014'!W55,"AAAAAGv0n40=")</f>
        <v>#VALUE!</v>
      </c>
      <c r="EM242" t="e">
        <f>AND('Calendario Académico 2014'!X55,"AAAAAGv0n44=")</f>
        <v>#VALUE!</v>
      </c>
      <c r="EN242" t="e">
        <f>AND('Calendario Académico 2014'!Y55,"AAAAAGv0n48=")</f>
        <v>#VALUE!</v>
      </c>
      <c r="EO242" t="e">
        <f>AND('Calendario Académico 2014'!Z55,"AAAAAGv0n5A=")</f>
        <v>#VALUE!</v>
      </c>
      <c r="EP242" t="e">
        <f>AND('Calendario Académico 2014'!AA55,"AAAAAGv0n5E=")</f>
        <v>#VALUE!</v>
      </c>
      <c r="EQ242" t="e">
        <f>AND('Calendario Académico 2014'!AB55,"AAAAAGv0n5I=")</f>
        <v>#VALUE!</v>
      </c>
      <c r="ER242" t="e">
        <f>AND('Calendario Académico 2014'!AC55,"AAAAAGv0n5M=")</f>
        <v>#VALUE!</v>
      </c>
      <c r="ES242" t="e">
        <f>AND('Calendario Académico 2014'!AD55,"AAAAAGv0n5Q=")</f>
        <v>#VALUE!</v>
      </c>
      <c r="ET242" t="e">
        <f>AND('Calendario Académico 2014'!AE55,"AAAAAGv0n5U=")</f>
        <v>#VALUE!</v>
      </c>
      <c r="EU242" t="e">
        <f>AND('Calendario Académico 2014'!AF55,"AAAAAGv0n5Y=")</f>
        <v>#VALUE!</v>
      </c>
      <c r="EV242" t="e">
        <f>AND('Calendario Académico 2014'!AG55,"AAAAAGv0n5c=")</f>
        <v>#VALUE!</v>
      </c>
      <c r="EW242" t="e">
        <f>AND('Calendario Académico 2014'!AH55,"AAAAAGv0n5g=")</f>
        <v>#VALUE!</v>
      </c>
      <c r="EX242">
        <f>IF('Calendario Académico 2014'!56:56,"AAAAAGv0n5k=",0)</f>
        <v>0</v>
      </c>
      <c r="EY242" t="e">
        <f>AND('Calendario Académico 2014'!A56,"AAAAAGv0n5o=")</f>
        <v>#VALUE!</v>
      </c>
      <c r="EZ242" t="e">
        <f>AND('Calendario Académico 2014'!B56,"AAAAAGv0n5s=")</f>
        <v>#VALUE!</v>
      </c>
      <c r="FA242" t="e">
        <f>AND('Calendario Académico 2014'!C56,"AAAAAGv0n5w=")</f>
        <v>#VALUE!</v>
      </c>
      <c r="FB242" t="e">
        <f>AND('Calendario Académico 2014'!D56,"AAAAAGv0n50=")</f>
        <v>#VALUE!</v>
      </c>
      <c r="FC242" t="e">
        <f>AND('Calendario Académico 2014'!E56,"AAAAAGv0n54=")</f>
        <v>#VALUE!</v>
      </c>
      <c r="FD242" t="e">
        <f>AND('Calendario Académico 2014'!F56,"AAAAAGv0n58=")</f>
        <v>#VALUE!</v>
      </c>
      <c r="FE242" t="e">
        <f>AND('Calendario Académico 2014'!G56,"AAAAAGv0n6A=")</f>
        <v>#VALUE!</v>
      </c>
      <c r="FF242" t="e">
        <f>AND('Calendario Académico 2014'!H56,"AAAAAGv0n6E=")</f>
        <v>#VALUE!</v>
      </c>
      <c r="FG242" t="e">
        <f>AND('Calendario Académico 2014'!I56,"AAAAAGv0n6I=")</f>
        <v>#VALUE!</v>
      </c>
      <c r="FH242" t="e">
        <f>AND('Calendario Académico 2014'!J56,"AAAAAGv0n6M=")</f>
        <v>#VALUE!</v>
      </c>
      <c r="FI242" t="e">
        <f>AND('Calendario Académico 2014'!K56,"AAAAAGv0n6Q=")</f>
        <v>#VALUE!</v>
      </c>
      <c r="FJ242" t="e">
        <f>AND('Calendario Académico 2014'!L56,"AAAAAGv0n6U=")</f>
        <v>#VALUE!</v>
      </c>
      <c r="FK242" t="e">
        <f>AND('Calendario Académico 2014'!M56,"AAAAAGv0n6Y=")</f>
        <v>#VALUE!</v>
      </c>
      <c r="FL242" t="e">
        <f>AND('Calendario Académico 2014'!N56,"AAAAAGv0n6c=")</f>
        <v>#VALUE!</v>
      </c>
      <c r="FM242" t="e">
        <f>AND('Calendario Académico 2014'!O56,"AAAAAGv0n6g=")</f>
        <v>#VALUE!</v>
      </c>
      <c r="FN242" t="e">
        <f>AND('Calendario Académico 2014'!P56,"AAAAAGv0n6k=")</f>
        <v>#VALUE!</v>
      </c>
      <c r="FO242" t="e">
        <f>AND('Calendario Académico 2014'!Q56,"AAAAAGv0n6o=")</f>
        <v>#VALUE!</v>
      </c>
      <c r="FP242" t="e">
        <f>AND('Calendario Académico 2014'!R56,"AAAAAGv0n6s=")</f>
        <v>#VALUE!</v>
      </c>
      <c r="FQ242" t="e">
        <f>AND('Calendario Académico 2014'!S56,"AAAAAGv0n6w=")</f>
        <v>#VALUE!</v>
      </c>
      <c r="FR242" t="e">
        <f>AND('Calendario Académico 2014'!T56,"AAAAAGv0n60=")</f>
        <v>#VALUE!</v>
      </c>
      <c r="FS242" t="e">
        <f>AND('Calendario Académico 2014'!U56,"AAAAAGv0n64=")</f>
        <v>#VALUE!</v>
      </c>
      <c r="FT242" t="e">
        <f>AND('Calendario Académico 2014'!V56,"AAAAAGv0n68=")</f>
        <v>#VALUE!</v>
      </c>
      <c r="FU242" t="e">
        <f>AND('Calendario Académico 2014'!W56,"AAAAAGv0n7A=")</f>
        <v>#VALUE!</v>
      </c>
      <c r="FV242" t="e">
        <f>AND('Calendario Académico 2014'!X56,"AAAAAGv0n7E=")</f>
        <v>#VALUE!</v>
      </c>
      <c r="FW242" t="e">
        <f>AND('Calendario Académico 2014'!Y56,"AAAAAGv0n7I=")</f>
        <v>#VALUE!</v>
      </c>
      <c r="FX242" t="e">
        <f>AND('Calendario Académico 2014'!Z56,"AAAAAGv0n7M=")</f>
        <v>#VALUE!</v>
      </c>
      <c r="FY242" t="e">
        <f>AND('Calendario Académico 2014'!AA56,"AAAAAGv0n7Q=")</f>
        <v>#VALUE!</v>
      </c>
      <c r="FZ242" t="e">
        <f>AND('Calendario Académico 2014'!AB56,"AAAAAGv0n7U=")</f>
        <v>#VALUE!</v>
      </c>
      <c r="GA242" t="e">
        <f>AND('Calendario Académico 2014'!AC56,"AAAAAGv0n7Y=")</f>
        <v>#VALUE!</v>
      </c>
      <c r="GB242" t="e">
        <f>AND('Calendario Académico 2014'!AD56,"AAAAAGv0n7c=")</f>
        <v>#VALUE!</v>
      </c>
      <c r="GC242" t="e">
        <f>AND('Calendario Académico 2014'!AE56,"AAAAAGv0n7g=")</f>
        <v>#VALUE!</v>
      </c>
      <c r="GD242" t="e">
        <f>AND('Calendario Académico 2014'!AF56,"AAAAAGv0n7k=")</f>
        <v>#VALUE!</v>
      </c>
      <c r="GE242" t="e">
        <f>AND('Calendario Académico 2014'!AG56,"AAAAAGv0n7o=")</f>
        <v>#VALUE!</v>
      </c>
      <c r="GF242" t="e">
        <f>AND('Calendario Académico 2014'!AH56,"AAAAAGv0n7s=")</f>
        <v>#VALUE!</v>
      </c>
      <c r="GG242">
        <f>IF('Calendario Académico 2014'!57:57,"AAAAAGv0n7w=",0)</f>
        <v>0</v>
      </c>
      <c r="GH242" t="e">
        <f>AND('Calendario Académico 2014'!A57,"AAAAAGv0n70=")</f>
        <v>#VALUE!</v>
      </c>
      <c r="GI242" t="e">
        <f>AND('Calendario Académico 2014'!B57,"AAAAAGv0n74=")</f>
        <v>#VALUE!</v>
      </c>
      <c r="GJ242" t="e">
        <f>AND('Calendario Académico 2014'!C57,"AAAAAGv0n78=")</f>
        <v>#VALUE!</v>
      </c>
      <c r="GK242" t="e">
        <f>AND('Calendario Académico 2014'!D57,"AAAAAGv0n8A=")</f>
        <v>#VALUE!</v>
      </c>
      <c r="GL242" t="e">
        <f>AND('Calendario Académico 2014'!E57,"AAAAAGv0n8E=")</f>
        <v>#VALUE!</v>
      </c>
      <c r="GM242" t="e">
        <f>AND('Calendario Académico 2014'!F57,"AAAAAGv0n8I=")</f>
        <v>#VALUE!</v>
      </c>
      <c r="GN242" t="e">
        <f>AND('Calendario Académico 2014'!G57,"AAAAAGv0n8M=")</f>
        <v>#VALUE!</v>
      </c>
      <c r="GO242" t="e">
        <f>AND('Calendario Académico 2014'!H57,"AAAAAGv0n8Q=")</f>
        <v>#VALUE!</v>
      </c>
      <c r="GP242" t="e">
        <f>AND('Calendario Académico 2014'!I57,"AAAAAGv0n8U=")</f>
        <v>#VALUE!</v>
      </c>
      <c r="GQ242" t="e">
        <f>AND('Calendario Académico 2014'!J57,"AAAAAGv0n8Y=")</f>
        <v>#VALUE!</v>
      </c>
      <c r="GR242" t="e">
        <f>AND('Calendario Académico 2014'!K57,"AAAAAGv0n8c=")</f>
        <v>#VALUE!</v>
      </c>
      <c r="GS242" t="e">
        <f>AND('Calendario Académico 2014'!L57,"AAAAAGv0n8g=")</f>
        <v>#VALUE!</v>
      </c>
      <c r="GT242" t="e">
        <f>AND('Calendario Académico 2014'!M57,"AAAAAGv0n8k=")</f>
        <v>#VALUE!</v>
      </c>
      <c r="GU242" t="e">
        <f>AND('Calendario Académico 2014'!N57,"AAAAAGv0n8o=")</f>
        <v>#VALUE!</v>
      </c>
      <c r="GV242" t="e">
        <f>AND('Calendario Académico 2014'!O57,"AAAAAGv0n8s=")</f>
        <v>#VALUE!</v>
      </c>
      <c r="GW242" t="e">
        <f>AND('Calendario Académico 2014'!P57,"AAAAAGv0n8w=")</f>
        <v>#VALUE!</v>
      </c>
      <c r="GX242" t="e">
        <f>AND('Calendario Académico 2014'!Q57,"AAAAAGv0n80=")</f>
        <v>#VALUE!</v>
      </c>
      <c r="GY242" t="e">
        <f>AND('Calendario Académico 2014'!R57,"AAAAAGv0n84=")</f>
        <v>#VALUE!</v>
      </c>
      <c r="GZ242" t="e">
        <f>AND('Calendario Académico 2014'!S57,"AAAAAGv0n88=")</f>
        <v>#VALUE!</v>
      </c>
      <c r="HA242" t="e">
        <f>AND('Calendario Académico 2014'!T57,"AAAAAGv0n9A=")</f>
        <v>#VALUE!</v>
      </c>
      <c r="HB242" t="e">
        <f>AND('Calendario Académico 2014'!U57,"AAAAAGv0n9E=")</f>
        <v>#VALUE!</v>
      </c>
      <c r="HC242" t="e">
        <f>AND('Calendario Académico 2014'!V57,"AAAAAGv0n9I=")</f>
        <v>#VALUE!</v>
      </c>
      <c r="HD242" t="e">
        <f>AND('Calendario Académico 2014'!W57,"AAAAAGv0n9M=")</f>
        <v>#VALUE!</v>
      </c>
      <c r="HE242" t="e">
        <f>AND('Calendario Académico 2014'!X57,"AAAAAGv0n9Q=")</f>
        <v>#VALUE!</v>
      </c>
      <c r="HF242" t="e">
        <f>AND('Calendario Académico 2014'!Y57,"AAAAAGv0n9U=")</f>
        <v>#VALUE!</v>
      </c>
      <c r="HG242" t="e">
        <f>AND('Calendario Académico 2014'!Z57,"AAAAAGv0n9Y=")</f>
        <v>#VALUE!</v>
      </c>
      <c r="HH242" t="e">
        <f>AND('Calendario Académico 2014'!AA57,"AAAAAGv0n9c=")</f>
        <v>#VALUE!</v>
      </c>
      <c r="HI242" t="e">
        <f>AND('Calendario Académico 2014'!AB57,"AAAAAGv0n9g=")</f>
        <v>#VALUE!</v>
      </c>
      <c r="HJ242" t="e">
        <f>AND('Calendario Académico 2014'!AC57,"AAAAAGv0n9k=")</f>
        <v>#VALUE!</v>
      </c>
      <c r="HK242" t="e">
        <f>AND('Calendario Académico 2014'!AD57,"AAAAAGv0n9o=")</f>
        <v>#VALUE!</v>
      </c>
      <c r="HL242" t="e">
        <f>AND('Calendario Académico 2014'!AE57,"AAAAAGv0n9s=")</f>
        <v>#VALUE!</v>
      </c>
      <c r="HM242" t="e">
        <f>AND('Calendario Académico 2014'!AF57,"AAAAAGv0n9w=")</f>
        <v>#VALUE!</v>
      </c>
      <c r="HN242" t="e">
        <f>AND('Calendario Académico 2014'!AG57,"AAAAAGv0n90=")</f>
        <v>#VALUE!</v>
      </c>
      <c r="HO242" t="e">
        <f>AND('Calendario Académico 2014'!AH57,"AAAAAGv0n94=")</f>
        <v>#VALUE!</v>
      </c>
      <c r="HP242">
        <f>IF('Calendario Académico 2014'!58:58,"AAAAAGv0n98=",0)</f>
        <v>0</v>
      </c>
      <c r="HQ242" t="e">
        <f>AND('Calendario Académico 2014'!A58,"AAAAAGv0n+A=")</f>
        <v>#VALUE!</v>
      </c>
      <c r="HR242" t="e">
        <f>AND('Calendario Académico 2014'!B58,"AAAAAGv0n+E=")</f>
        <v>#VALUE!</v>
      </c>
      <c r="HS242" t="e">
        <f>AND('Calendario Académico 2014'!C58,"AAAAAGv0n+I=")</f>
        <v>#VALUE!</v>
      </c>
      <c r="HT242" t="e">
        <f>AND('Calendario Académico 2014'!D58,"AAAAAGv0n+M=")</f>
        <v>#VALUE!</v>
      </c>
      <c r="HU242" t="e">
        <f>AND('Calendario Académico 2014'!E58,"AAAAAGv0n+Q=")</f>
        <v>#VALUE!</v>
      </c>
      <c r="HV242" t="e">
        <f>AND('Calendario Académico 2014'!F58,"AAAAAGv0n+U=")</f>
        <v>#VALUE!</v>
      </c>
      <c r="HW242" t="e">
        <f>AND('Calendario Académico 2014'!G58,"AAAAAGv0n+Y=")</f>
        <v>#VALUE!</v>
      </c>
      <c r="HX242" t="e">
        <f>AND('Calendario Académico 2014'!H58,"AAAAAGv0n+c=")</f>
        <v>#VALUE!</v>
      </c>
      <c r="HY242" t="e">
        <f>AND('Calendario Académico 2014'!I58,"AAAAAGv0n+g=")</f>
        <v>#VALUE!</v>
      </c>
      <c r="HZ242" t="e">
        <f>AND('Calendario Académico 2014'!J58,"AAAAAGv0n+k=")</f>
        <v>#VALUE!</v>
      </c>
      <c r="IA242" t="e">
        <f>AND('Calendario Académico 2014'!K58,"AAAAAGv0n+o=")</f>
        <v>#VALUE!</v>
      </c>
      <c r="IB242" t="e">
        <f>AND('Calendario Académico 2014'!L58,"AAAAAGv0n+s=")</f>
        <v>#VALUE!</v>
      </c>
      <c r="IC242" t="e">
        <f>AND('Calendario Académico 2014'!M58,"AAAAAGv0n+w=")</f>
        <v>#VALUE!</v>
      </c>
      <c r="ID242" t="e">
        <f>AND('Calendario Académico 2014'!N58,"AAAAAGv0n+0=")</f>
        <v>#VALUE!</v>
      </c>
      <c r="IE242" t="e">
        <f>AND('Calendario Académico 2014'!O58,"AAAAAGv0n+4=")</f>
        <v>#VALUE!</v>
      </c>
      <c r="IF242" t="e">
        <f>AND('Calendario Académico 2014'!P58,"AAAAAGv0n+8=")</f>
        <v>#VALUE!</v>
      </c>
      <c r="IG242" t="e">
        <f>AND('Calendario Académico 2014'!Q58,"AAAAAGv0n/A=")</f>
        <v>#VALUE!</v>
      </c>
      <c r="IH242" t="e">
        <f>AND('Calendario Académico 2014'!R58,"AAAAAGv0n/E=")</f>
        <v>#VALUE!</v>
      </c>
      <c r="II242" t="e">
        <f>AND('Calendario Académico 2014'!S58,"AAAAAGv0n/I=")</f>
        <v>#VALUE!</v>
      </c>
      <c r="IJ242" t="e">
        <f>AND('Calendario Académico 2014'!T58,"AAAAAGv0n/M=")</f>
        <v>#VALUE!</v>
      </c>
      <c r="IK242" t="e">
        <f>AND('Calendario Académico 2014'!U58,"AAAAAGv0n/Q=")</f>
        <v>#VALUE!</v>
      </c>
      <c r="IL242" t="e">
        <f>AND('Calendario Académico 2014'!V58,"AAAAAGv0n/U=")</f>
        <v>#VALUE!</v>
      </c>
      <c r="IM242" t="e">
        <f>AND('Calendario Académico 2014'!W58,"AAAAAGv0n/Y=")</f>
        <v>#VALUE!</v>
      </c>
      <c r="IN242" t="e">
        <f>AND('Calendario Académico 2014'!X58,"AAAAAGv0n/c=")</f>
        <v>#VALUE!</v>
      </c>
      <c r="IO242" t="e">
        <f>AND('Calendario Académico 2014'!Y58,"AAAAAGv0n/g=")</f>
        <v>#VALUE!</v>
      </c>
      <c r="IP242" t="e">
        <f>AND('Calendario Académico 2014'!Z58,"AAAAAGv0n/k=")</f>
        <v>#VALUE!</v>
      </c>
      <c r="IQ242" t="e">
        <f>AND('Calendario Académico 2014'!AA58,"AAAAAGv0n/o=")</f>
        <v>#VALUE!</v>
      </c>
      <c r="IR242" t="e">
        <f>AND('Calendario Académico 2014'!AB58,"AAAAAGv0n/s=")</f>
        <v>#VALUE!</v>
      </c>
      <c r="IS242" t="e">
        <f>AND('Calendario Académico 2014'!AC58,"AAAAAGv0n/w=")</f>
        <v>#VALUE!</v>
      </c>
      <c r="IT242" t="e">
        <f>AND('Calendario Académico 2014'!AD58,"AAAAAGv0n/0=")</f>
        <v>#VALUE!</v>
      </c>
      <c r="IU242" t="e">
        <f>AND('Calendario Académico 2014'!AE58,"AAAAAGv0n/4=")</f>
        <v>#VALUE!</v>
      </c>
      <c r="IV242" t="e">
        <f>AND('Calendario Académico 2014'!AF58,"AAAAAGv0n/8=")</f>
        <v>#VALUE!</v>
      </c>
    </row>
    <row r="243" spans="1:256" x14ac:dyDescent="0.2">
      <c r="A243" t="e">
        <f>AND('Calendario Académico 2014'!AG58,"AAAAABef9wA=")</f>
        <v>#VALUE!</v>
      </c>
      <c r="B243" t="e">
        <f>AND('Calendario Académico 2014'!AH58,"AAAAABef9wE=")</f>
        <v>#VALUE!</v>
      </c>
      <c r="C243" t="e">
        <f>IF('Calendario Académico 2014'!59:59,"AAAAABef9wI=",0)</f>
        <v>#VALUE!</v>
      </c>
      <c r="D243" t="e">
        <f>AND('Calendario Académico 2014'!A59,"AAAAABef9wM=")</f>
        <v>#VALUE!</v>
      </c>
      <c r="E243" t="e">
        <f>AND('Calendario Académico 2014'!B59,"AAAAABef9wQ=")</f>
        <v>#VALUE!</v>
      </c>
      <c r="F243" t="e">
        <f>AND('Calendario Académico 2014'!C59,"AAAAABef9wU=")</f>
        <v>#VALUE!</v>
      </c>
      <c r="G243" t="e">
        <f>AND('Calendario Académico 2014'!D59,"AAAAABef9wY=")</f>
        <v>#VALUE!</v>
      </c>
      <c r="H243" t="e">
        <f>AND('Calendario Académico 2014'!E59,"AAAAABef9wc=")</f>
        <v>#VALUE!</v>
      </c>
      <c r="I243" t="e">
        <f>AND('Calendario Académico 2014'!F59,"AAAAABef9wg=")</f>
        <v>#VALUE!</v>
      </c>
      <c r="J243" t="e">
        <f>AND('Calendario Académico 2014'!G59,"AAAAABef9wk=")</f>
        <v>#VALUE!</v>
      </c>
      <c r="K243" t="e">
        <f>AND('Calendario Académico 2014'!H59,"AAAAABef9wo=")</f>
        <v>#VALUE!</v>
      </c>
      <c r="L243" t="e">
        <f>AND('Calendario Académico 2014'!I59,"AAAAABef9ws=")</f>
        <v>#VALUE!</v>
      </c>
      <c r="M243" t="e">
        <f>AND('Calendario Académico 2014'!J59,"AAAAABef9ww=")</f>
        <v>#VALUE!</v>
      </c>
      <c r="N243" t="e">
        <f>AND('Calendario Académico 2014'!K59,"AAAAABef9w0=")</f>
        <v>#VALUE!</v>
      </c>
      <c r="O243" t="e">
        <f>AND('Calendario Académico 2014'!L59,"AAAAABef9w4=")</f>
        <v>#VALUE!</v>
      </c>
      <c r="P243" t="e">
        <f>AND('Calendario Académico 2014'!M59,"AAAAABef9w8=")</f>
        <v>#VALUE!</v>
      </c>
      <c r="Q243" t="e">
        <f>AND('Calendario Académico 2014'!N59,"AAAAABef9xA=")</f>
        <v>#VALUE!</v>
      </c>
      <c r="R243" t="e">
        <f>AND('Calendario Académico 2014'!O59,"AAAAABef9xE=")</f>
        <v>#VALUE!</v>
      </c>
      <c r="S243" t="e">
        <f>AND('Calendario Académico 2014'!P59,"AAAAABef9xI=")</f>
        <v>#VALUE!</v>
      </c>
      <c r="T243" t="e">
        <f>AND('Calendario Académico 2014'!Q59,"AAAAABef9xM=")</f>
        <v>#VALUE!</v>
      </c>
      <c r="U243" t="e">
        <f>AND('Calendario Académico 2014'!R59,"AAAAABef9xQ=")</f>
        <v>#VALUE!</v>
      </c>
      <c r="V243" t="e">
        <f>AND('Calendario Académico 2014'!S59,"AAAAABef9xU=")</f>
        <v>#VALUE!</v>
      </c>
      <c r="W243" t="e">
        <f>AND('Calendario Académico 2014'!T59,"AAAAABef9xY=")</f>
        <v>#VALUE!</v>
      </c>
      <c r="X243" t="e">
        <f>AND('Calendario Académico 2014'!U59,"AAAAABef9xc=")</f>
        <v>#VALUE!</v>
      </c>
      <c r="Y243" t="e">
        <f>AND('Calendario Académico 2014'!V59,"AAAAABef9xg=")</f>
        <v>#VALUE!</v>
      </c>
      <c r="Z243" t="e">
        <f>AND('Calendario Académico 2014'!W59,"AAAAABef9xk=")</f>
        <v>#VALUE!</v>
      </c>
      <c r="AA243" t="e">
        <f>AND('Calendario Académico 2014'!X59,"AAAAABef9xo=")</f>
        <v>#VALUE!</v>
      </c>
      <c r="AB243" t="e">
        <f>AND('Calendario Académico 2014'!Y59,"AAAAABef9xs=")</f>
        <v>#VALUE!</v>
      </c>
      <c r="AC243" t="e">
        <f>AND('Calendario Académico 2014'!Z59,"AAAAABef9xw=")</f>
        <v>#VALUE!</v>
      </c>
      <c r="AD243" t="e">
        <f>AND('Calendario Académico 2014'!AA59,"AAAAABef9x0=")</f>
        <v>#VALUE!</v>
      </c>
      <c r="AE243" t="e">
        <f>AND('Calendario Académico 2014'!AB59,"AAAAABef9x4=")</f>
        <v>#VALUE!</v>
      </c>
      <c r="AF243" t="e">
        <f>AND('Calendario Académico 2014'!AC59,"AAAAABef9x8=")</f>
        <v>#VALUE!</v>
      </c>
      <c r="AG243" t="e">
        <f>AND('Calendario Académico 2014'!AD59,"AAAAABef9yA=")</f>
        <v>#VALUE!</v>
      </c>
      <c r="AH243" t="e">
        <f>AND('Calendario Académico 2014'!AE59,"AAAAABef9yE=")</f>
        <v>#VALUE!</v>
      </c>
      <c r="AI243" t="e">
        <f>AND('Calendario Académico 2014'!AF59,"AAAAABef9yI=")</f>
        <v>#VALUE!</v>
      </c>
      <c r="AJ243" t="e">
        <f>AND('Calendario Académico 2014'!AG59,"AAAAABef9yM=")</f>
        <v>#VALUE!</v>
      </c>
      <c r="AK243" t="e">
        <f>AND('Calendario Académico 2014'!AH59,"AAAAABef9yQ=")</f>
        <v>#VALUE!</v>
      </c>
      <c r="AL243">
        <f>IF('Calendario Académico 2014'!60:60,"AAAAABef9yU=",0)</f>
        <v>0</v>
      </c>
      <c r="AM243" t="e">
        <f>AND('Calendario Académico 2014'!A60,"AAAAABef9yY=")</f>
        <v>#VALUE!</v>
      </c>
      <c r="AN243" t="e">
        <f>AND('Calendario Académico 2014'!B60,"AAAAABef9yc=")</f>
        <v>#VALUE!</v>
      </c>
      <c r="AO243" t="e">
        <f>AND('Calendario Académico 2014'!C60,"AAAAABef9yg=")</f>
        <v>#VALUE!</v>
      </c>
      <c r="AP243" t="e">
        <f>AND('Calendario Académico 2014'!D60,"AAAAABef9yk=")</f>
        <v>#VALUE!</v>
      </c>
      <c r="AQ243" t="e">
        <f>AND('Calendario Académico 2014'!E60,"AAAAABef9yo=")</f>
        <v>#VALUE!</v>
      </c>
      <c r="AR243" t="e">
        <f>AND('Calendario Académico 2014'!F60,"AAAAABef9ys=")</f>
        <v>#VALUE!</v>
      </c>
      <c r="AS243" t="e">
        <f>AND('Calendario Académico 2014'!G60,"AAAAABef9yw=")</f>
        <v>#VALUE!</v>
      </c>
      <c r="AT243" t="e">
        <f>AND('Calendario Académico 2014'!H60,"AAAAABef9y0=")</f>
        <v>#VALUE!</v>
      </c>
      <c r="AU243" t="e">
        <f>AND('Calendario Académico 2014'!I60,"AAAAABef9y4=")</f>
        <v>#VALUE!</v>
      </c>
      <c r="AV243" t="e">
        <f>AND('Calendario Académico 2014'!J60,"AAAAABef9y8=")</f>
        <v>#VALUE!</v>
      </c>
      <c r="AW243" t="e">
        <f>AND('Calendario Académico 2014'!K60,"AAAAABef9zA=")</f>
        <v>#VALUE!</v>
      </c>
      <c r="AX243" t="e">
        <f>AND('Calendario Académico 2014'!L60,"AAAAABef9zE=")</f>
        <v>#VALUE!</v>
      </c>
      <c r="AY243" t="e">
        <f>AND('Calendario Académico 2014'!M60,"AAAAABef9zI=")</f>
        <v>#VALUE!</v>
      </c>
      <c r="AZ243" t="e">
        <f>AND('Calendario Académico 2014'!N60,"AAAAABef9zM=")</f>
        <v>#VALUE!</v>
      </c>
      <c r="BA243" t="e">
        <f>AND('Calendario Académico 2014'!O60,"AAAAABef9zQ=")</f>
        <v>#VALUE!</v>
      </c>
      <c r="BB243" t="e">
        <f>AND('Calendario Académico 2014'!P60,"AAAAABef9zU=")</f>
        <v>#VALUE!</v>
      </c>
      <c r="BC243" t="e">
        <f>AND('Calendario Académico 2014'!Q60,"AAAAABef9zY=")</f>
        <v>#VALUE!</v>
      </c>
      <c r="BD243" t="e">
        <f>AND('Calendario Académico 2014'!R60,"AAAAABef9zc=")</f>
        <v>#VALUE!</v>
      </c>
      <c r="BE243" t="e">
        <f>AND('Calendario Académico 2014'!S60,"AAAAABef9zg=")</f>
        <v>#VALUE!</v>
      </c>
      <c r="BF243" t="e">
        <f>AND('Calendario Académico 2014'!T60,"AAAAABef9zk=")</f>
        <v>#VALUE!</v>
      </c>
      <c r="BG243" t="e">
        <f>AND('Calendario Académico 2014'!U60,"AAAAABef9zo=")</f>
        <v>#VALUE!</v>
      </c>
      <c r="BH243" t="e">
        <f>AND('Calendario Académico 2014'!V60,"AAAAABef9zs=")</f>
        <v>#VALUE!</v>
      </c>
      <c r="BI243" t="e">
        <f>AND('Calendario Académico 2014'!W60,"AAAAABef9zw=")</f>
        <v>#VALUE!</v>
      </c>
      <c r="BJ243" t="e">
        <f>AND('Calendario Académico 2014'!X60,"AAAAABef9z0=")</f>
        <v>#VALUE!</v>
      </c>
      <c r="BK243" t="e">
        <f>AND('Calendario Académico 2014'!Y60,"AAAAABef9z4=")</f>
        <v>#VALUE!</v>
      </c>
      <c r="BL243" t="e">
        <f>AND('Calendario Académico 2014'!Z60,"AAAAABef9z8=")</f>
        <v>#VALUE!</v>
      </c>
      <c r="BM243" t="e">
        <f>AND('Calendario Académico 2014'!AA60,"AAAAABef90A=")</f>
        <v>#VALUE!</v>
      </c>
      <c r="BN243" t="e">
        <f>AND('Calendario Académico 2014'!AB60,"AAAAABef90E=")</f>
        <v>#VALUE!</v>
      </c>
      <c r="BO243" t="e">
        <f>AND('Calendario Académico 2014'!AC60,"AAAAABef90I=")</f>
        <v>#VALUE!</v>
      </c>
      <c r="BP243" t="e">
        <f>AND('Calendario Académico 2014'!AD60,"AAAAABef90M=")</f>
        <v>#VALUE!</v>
      </c>
      <c r="BQ243" t="e">
        <f>AND('Calendario Académico 2014'!AE60,"AAAAABef90Q=")</f>
        <v>#VALUE!</v>
      </c>
      <c r="BR243" t="e">
        <f>AND('Calendario Académico 2014'!AF60,"AAAAABef90U=")</f>
        <v>#VALUE!</v>
      </c>
      <c r="BS243" t="e">
        <f>AND('Calendario Académico 2014'!AG60,"AAAAABef90Y=")</f>
        <v>#VALUE!</v>
      </c>
      <c r="BT243" t="e">
        <f>AND('Calendario Académico 2014'!AH60,"AAAAABef90c=")</f>
        <v>#VALUE!</v>
      </c>
      <c r="BU243">
        <f>IF('Calendario Académico 2014'!61:61,"AAAAABef90g=",0)</f>
        <v>0</v>
      </c>
      <c r="BV243" t="e">
        <f>AND('Calendario Académico 2014'!A61,"AAAAABef90k=")</f>
        <v>#VALUE!</v>
      </c>
      <c r="BW243" t="e">
        <f>AND('Calendario Académico 2014'!B61,"AAAAABef90o=")</f>
        <v>#VALUE!</v>
      </c>
      <c r="BX243" t="e">
        <f>AND('Calendario Académico 2014'!C61,"AAAAABef90s=")</f>
        <v>#VALUE!</v>
      </c>
      <c r="BY243" t="e">
        <f>AND('Calendario Académico 2014'!D61,"AAAAABef90w=")</f>
        <v>#VALUE!</v>
      </c>
      <c r="BZ243" t="e">
        <f>AND('Calendario Académico 2014'!E61,"AAAAABef900=")</f>
        <v>#VALUE!</v>
      </c>
      <c r="CA243" t="e">
        <f>AND('Calendario Académico 2014'!F61,"AAAAABef904=")</f>
        <v>#VALUE!</v>
      </c>
      <c r="CB243" t="e">
        <f>AND('Calendario Académico 2014'!G61,"AAAAABef908=")</f>
        <v>#VALUE!</v>
      </c>
      <c r="CC243" t="e">
        <f>AND('Calendario Académico 2014'!H61,"AAAAABef91A=")</f>
        <v>#VALUE!</v>
      </c>
      <c r="CD243" t="e">
        <f>AND('Calendario Académico 2014'!I61,"AAAAABef91E=")</f>
        <v>#VALUE!</v>
      </c>
      <c r="CE243" t="e">
        <f>AND('Calendario Académico 2014'!J61,"AAAAABef91I=")</f>
        <v>#VALUE!</v>
      </c>
      <c r="CF243" t="e">
        <f>AND('Calendario Académico 2014'!K61,"AAAAABef91M=")</f>
        <v>#VALUE!</v>
      </c>
      <c r="CG243" t="e">
        <f>AND('Calendario Académico 2014'!L61,"AAAAABef91Q=")</f>
        <v>#VALUE!</v>
      </c>
      <c r="CH243" t="e">
        <f>AND('Calendario Académico 2014'!M61,"AAAAABef91U=")</f>
        <v>#VALUE!</v>
      </c>
      <c r="CI243" t="e">
        <f>AND('Calendario Académico 2014'!N61,"AAAAABef91Y=")</f>
        <v>#VALUE!</v>
      </c>
      <c r="CJ243" t="e">
        <f>AND('Calendario Académico 2014'!O61,"AAAAABef91c=")</f>
        <v>#VALUE!</v>
      </c>
      <c r="CK243" t="e">
        <f>AND('Calendario Académico 2014'!P61,"AAAAABef91g=")</f>
        <v>#VALUE!</v>
      </c>
      <c r="CL243" t="e">
        <f>AND('Calendario Académico 2014'!Q61,"AAAAABef91k=")</f>
        <v>#VALUE!</v>
      </c>
      <c r="CM243" t="e">
        <f>AND('Calendario Académico 2014'!R61,"AAAAABef91o=")</f>
        <v>#VALUE!</v>
      </c>
      <c r="CN243" t="e">
        <f>AND('Calendario Académico 2014'!S61,"AAAAABef91s=")</f>
        <v>#VALUE!</v>
      </c>
      <c r="CO243" t="e">
        <f>AND('Calendario Académico 2014'!T61,"AAAAABef91w=")</f>
        <v>#VALUE!</v>
      </c>
      <c r="CP243" t="e">
        <f>AND('Calendario Académico 2014'!U61,"AAAAABef910=")</f>
        <v>#VALUE!</v>
      </c>
      <c r="CQ243" t="e">
        <f>AND('Calendario Académico 2014'!V61,"AAAAABef914=")</f>
        <v>#VALUE!</v>
      </c>
      <c r="CR243" t="e">
        <f>AND('Calendario Académico 2014'!W61,"AAAAABef918=")</f>
        <v>#VALUE!</v>
      </c>
      <c r="CS243" t="e">
        <f>AND('Calendario Académico 2014'!X61,"AAAAABef92A=")</f>
        <v>#VALUE!</v>
      </c>
      <c r="CT243" t="e">
        <f>AND('Calendario Académico 2014'!Y61,"AAAAABef92E=")</f>
        <v>#VALUE!</v>
      </c>
      <c r="CU243" t="e">
        <f>AND('Calendario Académico 2014'!Z61,"AAAAABef92I=")</f>
        <v>#VALUE!</v>
      </c>
      <c r="CV243" t="e">
        <f>AND('Calendario Académico 2014'!AA61,"AAAAABef92M=")</f>
        <v>#VALUE!</v>
      </c>
      <c r="CW243" t="e">
        <f>AND('Calendario Académico 2014'!AB61,"AAAAABef92Q=")</f>
        <v>#VALUE!</v>
      </c>
      <c r="CX243" t="e">
        <f>AND('Calendario Académico 2014'!AC61,"AAAAABef92U=")</f>
        <v>#VALUE!</v>
      </c>
      <c r="CY243" t="e">
        <f>AND('Calendario Académico 2014'!AD61,"AAAAABef92Y=")</f>
        <v>#VALUE!</v>
      </c>
      <c r="CZ243" t="e">
        <f>AND('Calendario Académico 2014'!AE61,"AAAAABef92c=")</f>
        <v>#VALUE!</v>
      </c>
      <c r="DA243" t="e">
        <f>AND('Calendario Académico 2014'!AF61,"AAAAABef92g=")</f>
        <v>#VALUE!</v>
      </c>
      <c r="DB243" t="e">
        <f>AND('Calendario Académico 2014'!AG61,"AAAAABef92k=")</f>
        <v>#VALUE!</v>
      </c>
      <c r="DC243" t="e">
        <f>AND('Calendario Académico 2014'!AH61,"AAAAABef92o=")</f>
        <v>#VALUE!</v>
      </c>
      <c r="DD243">
        <f>IF('Calendario Académico 2014'!62:62,"AAAAABef92s=",0)</f>
        <v>0</v>
      </c>
      <c r="DE243" t="e">
        <f>AND('Calendario Académico 2014'!A62,"AAAAABef92w=")</f>
        <v>#VALUE!</v>
      </c>
      <c r="DF243" t="e">
        <f>AND('Calendario Académico 2014'!B62,"AAAAABef920=")</f>
        <v>#VALUE!</v>
      </c>
      <c r="DG243" t="e">
        <f>AND('Calendario Académico 2014'!C62,"AAAAABef924=")</f>
        <v>#VALUE!</v>
      </c>
      <c r="DH243" t="e">
        <f>AND('Calendario Académico 2014'!D62,"AAAAABef928=")</f>
        <v>#VALUE!</v>
      </c>
      <c r="DI243" t="e">
        <f>AND('Calendario Académico 2014'!E62,"AAAAABef93A=")</f>
        <v>#VALUE!</v>
      </c>
      <c r="DJ243" t="e">
        <f>AND('Calendario Académico 2014'!F62,"AAAAABef93E=")</f>
        <v>#VALUE!</v>
      </c>
      <c r="DK243" t="e">
        <f>AND('Calendario Académico 2014'!G62,"AAAAABef93I=")</f>
        <v>#VALUE!</v>
      </c>
      <c r="DL243" t="e">
        <f>AND('Calendario Académico 2014'!H62,"AAAAABef93M=")</f>
        <v>#VALUE!</v>
      </c>
      <c r="DM243" t="e">
        <f>AND('Calendario Académico 2014'!I62,"AAAAABef93Q=")</f>
        <v>#VALUE!</v>
      </c>
      <c r="DN243" t="e">
        <f>AND('Calendario Académico 2014'!J62,"AAAAABef93U=")</f>
        <v>#VALUE!</v>
      </c>
      <c r="DO243" t="e">
        <f>AND('Calendario Académico 2014'!K62,"AAAAABef93Y=")</f>
        <v>#VALUE!</v>
      </c>
      <c r="DP243" t="e">
        <f>AND('Calendario Académico 2014'!L62,"AAAAABef93c=")</f>
        <v>#VALUE!</v>
      </c>
      <c r="DQ243" t="e">
        <f>AND('Calendario Académico 2014'!M62,"AAAAABef93g=")</f>
        <v>#VALUE!</v>
      </c>
      <c r="DR243" t="e">
        <f>AND('Calendario Académico 2014'!N62,"AAAAABef93k=")</f>
        <v>#VALUE!</v>
      </c>
      <c r="DS243" t="e">
        <f>AND('Calendario Académico 2014'!O62,"AAAAABef93o=")</f>
        <v>#VALUE!</v>
      </c>
      <c r="DT243" t="e">
        <f>AND('Calendario Académico 2014'!P62,"AAAAABef93s=")</f>
        <v>#VALUE!</v>
      </c>
      <c r="DU243" t="e">
        <f>AND('Calendario Académico 2014'!Q62,"AAAAABef93w=")</f>
        <v>#VALUE!</v>
      </c>
      <c r="DV243" t="e">
        <f>AND('Calendario Académico 2014'!R62,"AAAAABef930=")</f>
        <v>#VALUE!</v>
      </c>
      <c r="DW243" t="e">
        <f>AND('Calendario Académico 2014'!S62,"AAAAABef934=")</f>
        <v>#VALUE!</v>
      </c>
      <c r="DX243" t="e">
        <f>AND('Calendario Académico 2014'!T62,"AAAAABef938=")</f>
        <v>#VALUE!</v>
      </c>
      <c r="DY243" t="e">
        <f>AND('Calendario Académico 2014'!U62,"AAAAABef94A=")</f>
        <v>#VALUE!</v>
      </c>
      <c r="DZ243" t="e">
        <f>AND('Calendario Académico 2014'!V62,"AAAAABef94E=")</f>
        <v>#VALUE!</v>
      </c>
      <c r="EA243" t="e">
        <f>AND('Calendario Académico 2014'!W62,"AAAAABef94I=")</f>
        <v>#VALUE!</v>
      </c>
      <c r="EB243" t="e">
        <f>AND('Calendario Académico 2014'!X62,"AAAAABef94M=")</f>
        <v>#VALUE!</v>
      </c>
      <c r="EC243" t="e">
        <f>AND('Calendario Académico 2014'!Y62,"AAAAABef94Q=")</f>
        <v>#VALUE!</v>
      </c>
      <c r="ED243" t="e">
        <f>AND('Calendario Académico 2014'!Z62,"AAAAABef94U=")</f>
        <v>#VALUE!</v>
      </c>
      <c r="EE243" t="e">
        <f>AND('Calendario Académico 2014'!AA62,"AAAAABef94Y=")</f>
        <v>#VALUE!</v>
      </c>
      <c r="EF243" t="e">
        <f>AND('Calendario Académico 2014'!AB62,"AAAAABef94c=")</f>
        <v>#VALUE!</v>
      </c>
      <c r="EG243" t="e">
        <f>AND('Calendario Académico 2014'!AC62,"AAAAABef94g=")</f>
        <v>#VALUE!</v>
      </c>
      <c r="EH243" t="e">
        <f>AND('Calendario Académico 2014'!AD62,"AAAAABef94k=")</f>
        <v>#VALUE!</v>
      </c>
      <c r="EI243" t="e">
        <f>AND('Calendario Académico 2014'!AE62,"AAAAABef94o=")</f>
        <v>#VALUE!</v>
      </c>
      <c r="EJ243" t="e">
        <f>AND('Calendario Académico 2014'!AF62,"AAAAABef94s=")</f>
        <v>#VALUE!</v>
      </c>
      <c r="EK243" t="e">
        <f>AND('Calendario Académico 2014'!AG62,"AAAAABef94w=")</f>
        <v>#VALUE!</v>
      </c>
      <c r="EL243" t="e">
        <f>AND('Calendario Académico 2014'!AH62,"AAAAABef940=")</f>
        <v>#VALUE!</v>
      </c>
      <c r="EM243">
        <f>IF('Calendario Académico 2014'!63:63,"AAAAABef944=",0)</f>
        <v>0</v>
      </c>
      <c r="EN243" t="e">
        <f>AND('Calendario Académico 2014'!A63,"AAAAABef948=")</f>
        <v>#VALUE!</v>
      </c>
      <c r="EO243" t="e">
        <f>AND('Calendario Académico 2014'!B63,"AAAAABef95A=")</f>
        <v>#VALUE!</v>
      </c>
      <c r="EP243" t="e">
        <f>AND('Calendario Académico 2014'!C63,"AAAAABef95E=")</f>
        <v>#VALUE!</v>
      </c>
      <c r="EQ243" t="e">
        <f>AND('Calendario Académico 2014'!D63,"AAAAABef95I=")</f>
        <v>#VALUE!</v>
      </c>
      <c r="ER243" t="e">
        <f>AND('Calendario Académico 2014'!E63,"AAAAABef95M=")</f>
        <v>#VALUE!</v>
      </c>
      <c r="ES243" t="e">
        <f>AND('Calendario Académico 2014'!F63,"AAAAABef95Q=")</f>
        <v>#VALUE!</v>
      </c>
      <c r="ET243" t="e">
        <f>AND('Calendario Académico 2014'!G63,"AAAAABef95U=")</f>
        <v>#VALUE!</v>
      </c>
      <c r="EU243" t="e">
        <f>AND('Calendario Académico 2014'!H63,"AAAAABef95Y=")</f>
        <v>#VALUE!</v>
      </c>
      <c r="EV243" t="e">
        <f>AND('Calendario Académico 2014'!I63,"AAAAABef95c=")</f>
        <v>#VALUE!</v>
      </c>
      <c r="EW243" t="e">
        <f>AND('Calendario Académico 2014'!J63,"AAAAABef95g=")</f>
        <v>#VALUE!</v>
      </c>
      <c r="EX243" t="e">
        <f>AND('Calendario Académico 2014'!K63,"AAAAABef95k=")</f>
        <v>#VALUE!</v>
      </c>
      <c r="EY243" t="e">
        <f>AND('Calendario Académico 2014'!L63,"AAAAABef95o=")</f>
        <v>#VALUE!</v>
      </c>
      <c r="EZ243" t="e">
        <f>AND('Calendario Académico 2014'!M63,"AAAAABef95s=")</f>
        <v>#VALUE!</v>
      </c>
      <c r="FA243" t="e">
        <f>AND('Calendario Académico 2014'!N63,"AAAAABef95w=")</f>
        <v>#VALUE!</v>
      </c>
      <c r="FB243" t="e">
        <f>AND('Calendario Académico 2014'!O63,"AAAAABef950=")</f>
        <v>#VALUE!</v>
      </c>
      <c r="FC243" t="e">
        <f>AND('Calendario Académico 2014'!P63,"AAAAABef954=")</f>
        <v>#VALUE!</v>
      </c>
      <c r="FD243" t="e">
        <f>AND('Calendario Académico 2014'!Q63,"AAAAABef958=")</f>
        <v>#VALUE!</v>
      </c>
      <c r="FE243" t="e">
        <f>AND('Calendario Académico 2014'!R63,"AAAAABef96A=")</f>
        <v>#VALUE!</v>
      </c>
      <c r="FF243" t="e">
        <f>AND('Calendario Académico 2014'!S63,"AAAAABef96E=")</f>
        <v>#VALUE!</v>
      </c>
      <c r="FG243" t="e">
        <f>AND('Calendario Académico 2014'!T63,"AAAAABef96I=")</f>
        <v>#VALUE!</v>
      </c>
      <c r="FH243" t="e">
        <f>AND('Calendario Académico 2014'!U63,"AAAAABef96M=")</f>
        <v>#VALUE!</v>
      </c>
      <c r="FI243" t="e">
        <f>AND('Calendario Académico 2014'!V63,"AAAAABef96Q=")</f>
        <v>#VALUE!</v>
      </c>
      <c r="FJ243" t="e">
        <f>AND('Calendario Académico 2014'!W63,"AAAAABef96U=")</f>
        <v>#VALUE!</v>
      </c>
      <c r="FK243" t="e">
        <f>AND('Calendario Académico 2014'!X63,"AAAAABef96Y=")</f>
        <v>#VALUE!</v>
      </c>
      <c r="FL243" t="e">
        <f>AND('Calendario Académico 2014'!Y63,"AAAAABef96c=")</f>
        <v>#VALUE!</v>
      </c>
      <c r="FM243" t="e">
        <f>AND('Calendario Académico 2014'!Z63,"AAAAABef96g=")</f>
        <v>#VALUE!</v>
      </c>
      <c r="FN243" t="e">
        <f>AND('Calendario Académico 2014'!AA63,"AAAAABef96k=")</f>
        <v>#VALUE!</v>
      </c>
      <c r="FO243" t="e">
        <f>AND('Calendario Académico 2014'!AB63,"AAAAABef96o=")</f>
        <v>#VALUE!</v>
      </c>
      <c r="FP243" t="e">
        <f>AND('Calendario Académico 2014'!AC63,"AAAAABef96s=")</f>
        <v>#VALUE!</v>
      </c>
      <c r="FQ243" t="e">
        <f>AND('Calendario Académico 2014'!AD63,"AAAAABef96w=")</f>
        <v>#VALUE!</v>
      </c>
      <c r="FR243" t="e">
        <f>AND('Calendario Académico 2014'!AE63,"AAAAABef960=")</f>
        <v>#VALUE!</v>
      </c>
      <c r="FS243" t="e">
        <f>AND('Calendario Académico 2014'!AF63,"AAAAABef964=")</f>
        <v>#VALUE!</v>
      </c>
      <c r="FT243" t="e">
        <f>AND('Calendario Académico 2014'!AG63,"AAAAABef968=")</f>
        <v>#VALUE!</v>
      </c>
      <c r="FU243" t="e">
        <f>AND('Calendario Académico 2014'!AH63,"AAAAABef97A=")</f>
        <v>#VALUE!</v>
      </c>
      <c r="FV243">
        <f>IF('Calendario Académico 2014'!64:64,"AAAAABef97E=",0)</f>
        <v>0</v>
      </c>
      <c r="FW243" t="e">
        <f>AND('Calendario Académico 2014'!A64,"AAAAABef97I=")</f>
        <v>#VALUE!</v>
      </c>
      <c r="FX243" t="e">
        <f>AND('Calendario Académico 2014'!B64,"AAAAABef97M=")</f>
        <v>#VALUE!</v>
      </c>
      <c r="FY243" t="e">
        <f>AND('Calendario Académico 2014'!C64,"AAAAABef97Q=")</f>
        <v>#VALUE!</v>
      </c>
      <c r="FZ243" t="e">
        <f>AND('Calendario Académico 2014'!D64,"AAAAABef97U=")</f>
        <v>#VALUE!</v>
      </c>
      <c r="GA243" t="e">
        <f>AND('Calendario Académico 2014'!E64,"AAAAABef97Y=")</f>
        <v>#VALUE!</v>
      </c>
      <c r="GB243" t="e">
        <f>AND('Calendario Académico 2014'!F64,"AAAAABef97c=")</f>
        <v>#VALUE!</v>
      </c>
      <c r="GC243" t="e">
        <f>AND('Calendario Académico 2014'!G64,"AAAAABef97g=")</f>
        <v>#VALUE!</v>
      </c>
      <c r="GD243" t="e">
        <f>AND('Calendario Académico 2014'!H64,"AAAAABef97k=")</f>
        <v>#VALUE!</v>
      </c>
      <c r="GE243" t="e">
        <f>AND('Calendario Académico 2014'!I64,"AAAAABef97o=")</f>
        <v>#VALUE!</v>
      </c>
      <c r="GF243" t="e">
        <f>AND('Calendario Académico 2014'!J64,"AAAAABef97s=")</f>
        <v>#VALUE!</v>
      </c>
      <c r="GG243" t="e">
        <f>AND('Calendario Académico 2014'!K64,"AAAAABef97w=")</f>
        <v>#VALUE!</v>
      </c>
      <c r="GH243" t="e">
        <f>AND('Calendario Académico 2014'!L64,"AAAAABef970=")</f>
        <v>#VALUE!</v>
      </c>
      <c r="GI243" t="e">
        <f>AND('Calendario Académico 2014'!M64,"AAAAABef974=")</f>
        <v>#VALUE!</v>
      </c>
      <c r="GJ243" t="e">
        <f>AND('Calendario Académico 2014'!N64,"AAAAABef978=")</f>
        <v>#VALUE!</v>
      </c>
      <c r="GK243" t="e">
        <f>AND('Calendario Académico 2014'!O64,"AAAAABef98A=")</f>
        <v>#VALUE!</v>
      </c>
      <c r="GL243" t="e">
        <f>AND('Calendario Académico 2014'!P64,"AAAAABef98E=")</f>
        <v>#VALUE!</v>
      </c>
      <c r="GM243" t="e">
        <f>AND('Calendario Académico 2014'!Q64,"AAAAABef98I=")</f>
        <v>#VALUE!</v>
      </c>
      <c r="GN243" t="e">
        <f>AND('Calendario Académico 2014'!R64,"AAAAABef98M=")</f>
        <v>#VALUE!</v>
      </c>
      <c r="GO243" t="e">
        <f>AND('Calendario Académico 2014'!S64,"AAAAABef98Q=")</f>
        <v>#VALUE!</v>
      </c>
      <c r="GP243" t="e">
        <f>AND('Calendario Académico 2014'!T64,"AAAAABef98U=")</f>
        <v>#VALUE!</v>
      </c>
      <c r="GQ243" t="e">
        <f>AND('Calendario Académico 2014'!U64,"AAAAABef98Y=")</f>
        <v>#VALUE!</v>
      </c>
      <c r="GR243" t="e">
        <f>AND('Calendario Académico 2014'!V64,"AAAAABef98c=")</f>
        <v>#VALUE!</v>
      </c>
      <c r="GS243" t="e">
        <f>AND('Calendario Académico 2014'!W64,"AAAAABef98g=")</f>
        <v>#VALUE!</v>
      </c>
      <c r="GT243" t="e">
        <f>AND('Calendario Académico 2014'!X64,"AAAAABef98k=")</f>
        <v>#VALUE!</v>
      </c>
      <c r="GU243" t="e">
        <f>AND('Calendario Académico 2014'!Y64,"AAAAABef98o=")</f>
        <v>#VALUE!</v>
      </c>
      <c r="GV243" t="e">
        <f>AND('Calendario Académico 2014'!Z64,"AAAAABef98s=")</f>
        <v>#VALUE!</v>
      </c>
      <c r="GW243" t="e">
        <f>AND('Calendario Académico 2014'!AA64,"AAAAABef98w=")</f>
        <v>#VALUE!</v>
      </c>
      <c r="GX243" t="e">
        <f>AND('Calendario Académico 2014'!AB64,"AAAAABef980=")</f>
        <v>#VALUE!</v>
      </c>
      <c r="GY243" t="e">
        <f>AND('Calendario Académico 2014'!AC64,"AAAAABef984=")</f>
        <v>#VALUE!</v>
      </c>
      <c r="GZ243" t="e">
        <f>AND('Calendario Académico 2014'!AD64,"AAAAABef988=")</f>
        <v>#VALUE!</v>
      </c>
      <c r="HA243" t="e">
        <f>AND('Calendario Académico 2014'!AE64,"AAAAABef99A=")</f>
        <v>#VALUE!</v>
      </c>
      <c r="HB243" t="e">
        <f>AND('Calendario Académico 2014'!AF64,"AAAAABef99E=")</f>
        <v>#VALUE!</v>
      </c>
      <c r="HC243" t="e">
        <f>AND('Calendario Académico 2014'!AG64,"AAAAABef99I=")</f>
        <v>#VALUE!</v>
      </c>
      <c r="HD243" t="e">
        <f>AND('Calendario Académico 2014'!AH64,"AAAAABef99M=")</f>
        <v>#VALUE!</v>
      </c>
      <c r="HE243">
        <f>IF('Calendario Académico 2014'!65:65,"AAAAABef99Q=",0)</f>
        <v>0</v>
      </c>
      <c r="HF243" t="e">
        <f>AND('Calendario Académico 2014'!A65,"AAAAABef99U=")</f>
        <v>#VALUE!</v>
      </c>
      <c r="HG243" t="e">
        <f>AND('Calendario Académico 2014'!B65,"AAAAABef99Y=")</f>
        <v>#VALUE!</v>
      </c>
      <c r="HH243" t="e">
        <f>AND('Calendario Académico 2014'!C65,"AAAAABef99c=")</f>
        <v>#VALUE!</v>
      </c>
      <c r="HI243" t="e">
        <f>AND('Calendario Académico 2014'!D65,"AAAAABef99g=")</f>
        <v>#VALUE!</v>
      </c>
      <c r="HJ243" t="e">
        <f>AND('Calendario Académico 2014'!E65,"AAAAABef99k=")</f>
        <v>#VALUE!</v>
      </c>
      <c r="HK243" t="e">
        <f>AND('Calendario Académico 2014'!F65,"AAAAABef99o=")</f>
        <v>#VALUE!</v>
      </c>
      <c r="HL243" t="e">
        <f>AND('Calendario Académico 2014'!G65,"AAAAABef99s=")</f>
        <v>#VALUE!</v>
      </c>
      <c r="HM243" t="e">
        <f>AND('Calendario Académico 2014'!H65,"AAAAABef99w=")</f>
        <v>#VALUE!</v>
      </c>
      <c r="HN243" t="e">
        <f>AND('Calendario Académico 2014'!I65,"AAAAABef990=")</f>
        <v>#VALUE!</v>
      </c>
      <c r="HO243" t="e">
        <f>AND('Calendario Académico 2014'!J65,"AAAAABef994=")</f>
        <v>#VALUE!</v>
      </c>
      <c r="HP243" t="e">
        <f>AND('Calendario Académico 2014'!K65,"AAAAABef998=")</f>
        <v>#VALUE!</v>
      </c>
      <c r="HQ243" t="e">
        <f>AND('Calendario Académico 2014'!L65,"AAAAABef9+A=")</f>
        <v>#VALUE!</v>
      </c>
      <c r="HR243" t="e">
        <f>AND('Calendario Académico 2014'!M65,"AAAAABef9+E=")</f>
        <v>#VALUE!</v>
      </c>
      <c r="HS243" t="e">
        <f>AND('Calendario Académico 2014'!N65,"AAAAABef9+I=")</f>
        <v>#VALUE!</v>
      </c>
      <c r="HT243" t="e">
        <f>AND('Calendario Académico 2014'!O65,"AAAAABef9+M=")</f>
        <v>#VALUE!</v>
      </c>
      <c r="HU243" t="e">
        <f>AND('Calendario Académico 2014'!P65,"AAAAABef9+Q=")</f>
        <v>#VALUE!</v>
      </c>
      <c r="HV243" t="e">
        <f>AND('Calendario Académico 2014'!Q65,"AAAAABef9+U=")</f>
        <v>#VALUE!</v>
      </c>
      <c r="HW243" t="e">
        <f>AND('Calendario Académico 2014'!R65,"AAAAABef9+Y=")</f>
        <v>#VALUE!</v>
      </c>
      <c r="HX243" t="e">
        <f>AND('Calendario Académico 2014'!S65,"AAAAABef9+c=")</f>
        <v>#VALUE!</v>
      </c>
      <c r="HY243" t="e">
        <f>AND('Calendario Académico 2014'!T65,"AAAAABef9+g=")</f>
        <v>#VALUE!</v>
      </c>
      <c r="HZ243" t="e">
        <f>AND('Calendario Académico 2014'!U65,"AAAAABef9+k=")</f>
        <v>#VALUE!</v>
      </c>
      <c r="IA243" t="e">
        <f>AND('Calendario Académico 2014'!V65,"AAAAABef9+o=")</f>
        <v>#VALUE!</v>
      </c>
      <c r="IB243" t="e">
        <f>AND('Calendario Académico 2014'!W65,"AAAAABef9+s=")</f>
        <v>#VALUE!</v>
      </c>
      <c r="IC243" t="e">
        <f>AND('Calendario Académico 2014'!X65,"AAAAABef9+w=")</f>
        <v>#VALUE!</v>
      </c>
      <c r="ID243" t="e">
        <f>AND('Calendario Académico 2014'!Y65,"AAAAABef9+0=")</f>
        <v>#VALUE!</v>
      </c>
      <c r="IE243" t="e">
        <f>AND('Calendario Académico 2014'!Z65,"AAAAABef9+4=")</f>
        <v>#VALUE!</v>
      </c>
      <c r="IF243" t="e">
        <f>AND('Calendario Académico 2014'!AA65,"AAAAABef9+8=")</f>
        <v>#VALUE!</v>
      </c>
      <c r="IG243" t="e">
        <f>AND('Calendario Académico 2014'!AB65,"AAAAABef9/A=")</f>
        <v>#VALUE!</v>
      </c>
      <c r="IH243" t="e">
        <f>AND('Calendario Académico 2014'!AC65,"AAAAABef9/E=")</f>
        <v>#VALUE!</v>
      </c>
      <c r="II243" t="e">
        <f>AND('Calendario Académico 2014'!AD65,"AAAAABef9/I=")</f>
        <v>#VALUE!</v>
      </c>
      <c r="IJ243" t="e">
        <f>AND('Calendario Académico 2014'!AE65,"AAAAABef9/M=")</f>
        <v>#VALUE!</v>
      </c>
      <c r="IK243" t="e">
        <f>AND('Calendario Académico 2014'!AF65,"AAAAABef9/Q=")</f>
        <v>#VALUE!</v>
      </c>
      <c r="IL243" t="e">
        <f>AND('Calendario Académico 2014'!AG65,"AAAAABef9/U=")</f>
        <v>#VALUE!</v>
      </c>
      <c r="IM243" t="e">
        <f>AND('Calendario Académico 2014'!AH65,"AAAAABef9/Y=")</f>
        <v>#VALUE!</v>
      </c>
      <c r="IN243">
        <f>IF('Calendario Académico 2014'!66:66,"AAAAABef9/c=",0)</f>
        <v>0</v>
      </c>
      <c r="IO243" t="e">
        <f>AND('Calendario Académico 2014'!A66,"AAAAABef9/g=")</f>
        <v>#VALUE!</v>
      </c>
      <c r="IP243" t="e">
        <f>AND('Calendario Académico 2014'!B66,"AAAAABef9/k=")</f>
        <v>#VALUE!</v>
      </c>
      <c r="IQ243" t="e">
        <f>AND('Calendario Académico 2014'!C66,"AAAAABef9/o=")</f>
        <v>#VALUE!</v>
      </c>
      <c r="IR243" t="e">
        <f>AND('Calendario Académico 2014'!D66,"AAAAABef9/s=")</f>
        <v>#VALUE!</v>
      </c>
      <c r="IS243" t="e">
        <f>AND('Calendario Académico 2014'!E66,"AAAAABef9/w=")</f>
        <v>#VALUE!</v>
      </c>
      <c r="IT243" t="e">
        <f>AND('Calendario Académico 2014'!F66,"AAAAABef9/0=")</f>
        <v>#VALUE!</v>
      </c>
      <c r="IU243" t="e">
        <f>AND('Calendario Académico 2014'!G66,"AAAAABef9/4=")</f>
        <v>#VALUE!</v>
      </c>
      <c r="IV243" t="e">
        <f>AND('Calendario Académico 2014'!H66,"AAAAABef9/8=")</f>
        <v>#VALUE!</v>
      </c>
    </row>
    <row r="244" spans="1:256" x14ac:dyDescent="0.2">
      <c r="A244" t="e">
        <f>AND('Calendario Académico 2014'!I66,"AAAAAH96+gA=")</f>
        <v>#VALUE!</v>
      </c>
      <c r="B244" t="e">
        <f>AND('Calendario Académico 2014'!J66,"AAAAAH96+gE=")</f>
        <v>#VALUE!</v>
      </c>
      <c r="C244" t="e">
        <f>AND('Calendario Académico 2014'!K66,"AAAAAH96+gI=")</f>
        <v>#VALUE!</v>
      </c>
      <c r="D244" t="e">
        <f>AND('Calendario Académico 2014'!L66,"AAAAAH96+gM=")</f>
        <v>#VALUE!</v>
      </c>
      <c r="E244" t="e">
        <f>AND('Calendario Académico 2014'!M66,"AAAAAH96+gQ=")</f>
        <v>#VALUE!</v>
      </c>
      <c r="F244" t="e">
        <f>AND('Calendario Académico 2014'!N66,"AAAAAH96+gU=")</f>
        <v>#VALUE!</v>
      </c>
      <c r="G244" t="e">
        <f>AND('Calendario Académico 2014'!O66,"AAAAAH96+gY=")</f>
        <v>#VALUE!</v>
      </c>
      <c r="H244" t="e">
        <f>AND('Calendario Académico 2014'!P66,"AAAAAH96+gc=")</f>
        <v>#VALUE!</v>
      </c>
      <c r="I244" t="e">
        <f>AND('Calendario Académico 2014'!Q66,"AAAAAH96+gg=")</f>
        <v>#VALUE!</v>
      </c>
      <c r="J244" t="e">
        <f>AND('Calendario Académico 2014'!R66,"AAAAAH96+gk=")</f>
        <v>#VALUE!</v>
      </c>
      <c r="K244" t="e">
        <f>AND('Calendario Académico 2014'!S66,"AAAAAH96+go=")</f>
        <v>#VALUE!</v>
      </c>
      <c r="L244" t="e">
        <f>AND('Calendario Académico 2014'!T66,"AAAAAH96+gs=")</f>
        <v>#VALUE!</v>
      </c>
      <c r="M244" t="e">
        <f>AND('Calendario Académico 2014'!U66,"AAAAAH96+gw=")</f>
        <v>#VALUE!</v>
      </c>
      <c r="N244" t="e">
        <f>AND('Calendario Académico 2014'!V66,"AAAAAH96+g0=")</f>
        <v>#VALUE!</v>
      </c>
      <c r="O244" t="e">
        <f>AND('Calendario Académico 2014'!W66,"AAAAAH96+g4=")</f>
        <v>#VALUE!</v>
      </c>
      <c r="P244" t="e">
        <f>AND('Calendario Académico 2014'!X66,"AAAAAH96+g8=")</f>
        <v>#VALUE!</v>
      </c>
      <c r="Q244" t="e">
        <f>AND('Calendario Académico 2014'!Y66,"AAAAAH96+hA=")</f>
        <v>#VALUE!</v>
      </c>
      <c r="R244" t="e">
        <f>AND('Calendario Académico 2014'!Z66,"AAAAAH96+hE=")</f>
        <v>#VALUE!</v>
      </c>
      <c r="S244" t="e">
        <f>AND('Calendario Académico 2014'!AA66,"AAAAAH96+hI=")</f>
        <v>#VALUE!</v>
      </c>
      <c r="T244" t="e">
        <f>AND('Calendario Académico 2014'!AB66,"AAAAAH96+hM=")</f>
        <v>#VALUE!</v>
      </c>
      <c r="U244" t="e">
        <f>AND('Calendario Académico 2014'!AC66,"AAAAAH96+hQ=")</f>
        <v>#VALUE!</v>
      </c>
      <c r="V244" t="e">
        <f>AND('Calendario Académico 2014'!AD66,"AAAAAH96+hU=")</f>
        <v>#VALUE!</v>
      </c>
      <c r="W244" t="e">
        <f>AND('Calendario Académico 2014'!AE66,"AAAAAH96+hY=")</f>
        <v>#VALUE!</v>
      </c>
      <c r="X244" t="e">
        <f>AND('Calendario Académico 2014'!AF66,"AAAAAH96+hc=")</f>
        <v>#VALUE!</v>
      </c>
      <c r="Y244" t="e">
        <f>AND('Calendario Académico 2014'!AG66,"AAAAAH96+hg=")</f>
        <v>#VALUE!</v>
      </c>
      <c r="Z244" t="e">
        <f>AND('Calendario Académico 2014'!AH66,"AAAAAH96+hk=")</f>
        <v>#VALUE!</v>
      </c>
      <c r="AA244">
        <f>IF('Calendario Académico 2014'!67:67,"AAAAAH96+ho=",0)</f>
        <v>0</v>
      </c>
      <c r="AB244" t="e">
        <f>AND('Calendario Académico 2014'!A67,"AAAAAH96+hs=")</f>
        <v>#VALUE!</v>
      </c>
      <c r="AC244" t="e">
        <f>AND('Calendario Académico 2014'!B67,"AAAAAH96+hw=")</f>
        <v>#VALUE!</v>
      </c>
      <c r="AD244" t="e">
        <f>AND('Calendario Académico 2014'!C67,"AAAAAH96+h0=")</f>
        <v>#VALUE!</v>
      </c>
      <c r="AE244" t="e">
        <f>AND('Calendario Académico 2014'!D67,"AAAAAH96+h4=")</f>
        <v>#VALUE!</v>
      </c>
      <c r="AF244" t="e">
        <f>AND('Calendario Académico 2014'!E67,"AAAAAH96+h8=")</f>
        <v>#VALUE!</v>
      </c>
      <c r="AG244" t="e">
        <f>AND('Calendario Académico 2014'!F67,"AAAAAH96+iA=")</f>
        <v>#VALUE!</v>
      </c>
      <c r="AH244" t="e">
        <f>AND('Calendario Académico 2014'!G67,"AAAAAH96+iE=")</f>
        <v>#VALUE!</v>
      </c>
      <c r="AI244" t="e">
        <f>AND('Calendario Académico 2014'!H67,"AAAAAH96+iI=")</f>
        <v>#VALUE!</v>
      </c>
      <c r="AJ244" t="e">
        <f>AND('Calendario Académico 2014'!I67,"AAAAAH96+iM=")</f>
        <v>#VALUE!</v>
      </c>
      <c r="AK244" t="e">
        <f>AND('Calendario Académico 2014'!J67,"AAAAAH96+iQ=")</f>
        <v>#VALUE!</v>
      </c>
      <c r="AL244" t="e">
        <f>AND('Calendario Académico 2014'!K67,"AAAAAH96+iU=")</f>
        <v>#VALUE!</v>
      </c>
      <c r="AM244" t="e">
        <f>AND('Calendario Académico 2014'!L67,"AAAAAH96+iY=")</f>
        <v>#VALUE!</v>
      </c>
      <c r="AN244" t="e">
        <f>AND('Calendario Académico 2014'!M67,"AAAAAH96+ic=")</f>
        <v>#VALUE!</v>
      </c>
      <c r="AO244" t="e">
        <f>AND('Calendario Académico 2014'!N67,"AAAAAH96+ig=")</f>
        <v>#VALUE!</v>
      </c>
      <c r="AP244" t="e">
        <f>AND('Calendario Académico 2014'!O67,"AAAAAH96+ik=")</f>
        <v>#VALUE!</v>
      </c>
      <c r="AQ244" t="e">
        <f>AND('Calendario Académico 2014'!P67,"AAAAAH96+io=")</f>
        <v>#VALUE!</v>
      </c>
      <c r="AR244" t="e">
        <f>AND('Calendario Académico 2014'!Q67,"AAAAAH96+is=")</f>
        <v>#VALUE!</v>
      </c>
      <c r="AS244" t="e">
        <f>AND('Calendario Académico 2014'!R67,"AAAAAH96+iw=")</f>
        <v>#VALUE!</v>
      </c>
      <c r="AT244" t="e">
        <f>AND('Calendario Académico 2014'!S67,"AAAAAH96+i0=")</f>
        <v>#VALUE!</v>
      </c>
      <c r="AU244" t="e">
        <f>AND('Calendario Académico 2014'!T67,"AAAAAH96+i4=")</f>
        <v>#VALUE!</v>
      </c>
      <c r="AV244" t="e">
        <f>AND('Calendario Académico 2014'!U67,"AAAAAH96+i8=")</f>
        <v>#VALUE!</v>
      </c>
      <c r="AW244" t="e">
        <f>AND('Calendario Académico 2014'!V67,"AAAAAH96+jA=")</f>
        <v>#VALUE!</v>
      </c>
      <c r="AX244" t="e">
        <f>AND('Calendario Académico 2014'!W67,"AAAAAH96+jE=")</f>
        <v>#VALUE!</v>
      </c>
      <c r="AY244" t="e">
        <f>AND('Calendario Académico 2014'!X67,"AAAAAH96+jI=")</f>
        <v>#VALUE!</v>
      </c>
      <c r="AZ244" t="e">
        <f>AND('Calendario Académico 2014'!Y67,"AAAAAH96+jM=")</f>
        <v>#VALUE!</v>
      </c>
      <c r="BA244" t="e">
        <f>AND('Calendario Académico 2014'!Z67,"AAAAAH96+jQ=")</f>
        <v>#VALUE!</v>
      </c>
      <c r="BB244" t="e">
        <f>AND('Calendario Académico 2014'!AA67,"AAAAAH96+jU=")</f>
        <v>#VALUE!</v>
      </c>
      <c r="BC244" t="e">
        <f>AND('Calendario Académico 2014'!AB67,"AAAAAH96+jY=")</f>
        <v>#VALUE!</v>
      </c>
      <c r="BD244" t="e">
        <f>AND('Calendario Académico 2014'!AC67,"AAAAAH96+jc=")</f>
        <v>#VALUE!</v>
      </c>
      <c r="BE244" t="e">
        <f>AND('Calendario Académico 2014'!AD67,"AAAAAH96+jg=")</f>
        <v>#VALUE!</v>
      </c>
      <c r="BF244" t="e">
        <f>AND('Calendario Académico 2014'!AE67,"AAAAAH96+jk=")</f>
        <v>#VALUE!</v>
      </c>
      <c r="BG244" t="e">
        <f>AND('Calendario Académico 2014'!AF67,"AAAAAH96+jo=")</f>
        <v>#VALUE!</v>
      </c>
      <c r="BH244" t="e">
        <f>AND('Calendario Académico 2014'!AG67,"AAAAAH96+js=")</f>
        <v>#VALUE!</v>
      </c>
      <c r="BI244" t="e">
        <f>AND('Calendario Académico 2014'!AH67,"AAAAAH96+jw=")</f>
        <v>#VALUE!</v>
      </c>
      <c r="BJ244">
        <f>IF('Calendario Académico 2014'!68:68,"AAAAAH96+j0=",0)</f>
        <v>0</v>
      </c>
      <c r="BK244" t="e">
        <f>AND('Calendario Académico 2014'!A68,"AAAAAH96+j4=")</f>
        <v>#VALUE!</v>
      </c>
      <c r="BL244" t="e">
        <f>AND('Calendario Académico 2014'!B68,"AAAAAH96+j8=")</f>
        <v>#VALUE!</v>
      </c>
      <c r="BM244" t="e">
        <f>AND('Calendario Académico 2014'!C68,"AAAAAH96+kA=")</f>
        <v>#VALUE!</v>
      </c>
      <c r="BN244" t="e">
        <f>AND('Calendario Académico 2014'!D68,"AAAAAH96+kE=")</f>
        <v>#VALUE!</v>
      </c>
      <c r="BO244" t="e">
        <f>AND('Calendario Académico 2014'!E68,"AAAAAH96+kI=")</f>
        <v>#VALUE!</v>
      </c>
      <c r="BP244" t="e">
        <f>AND('Calendario Académico 2014'!F68,"AAAAAH96+kM=")</f>
        <v>#VALUE!</v>
      </c>
      <c r="BQ244" t="e">
        <f>AND('Calendario Académico 2014'!G68,"AAAAAH96+kQ=")</f>
        <v>#VALUE!</v>
      </c>
      <c r="BR244" t="e">
        <f>AND('Calendario Académico 2014'!H68,"AAAAAH96+kU=")</f>
        <v>#VALUE!</v>
      </c>
      <c r="BS244" t="e">
        <f>AND('Calendario Académico 2014'!I68,"AAAAAH96+kY=")</f>
        <v>#VALUE!</v>
      </c>
      <c r="BT244" t="e">
        <f>AND('Calendario Académico 2014'!J68,"AAAAAH96+kc=")</f>
        <v>#VALUE!</v>
      </c>
      <c r="BU244" t="e">
        <f>AND('Calendario Académico 2014'!K68,"AAAAAH96+kg=")</f>
        <v>#VALUE!</v>
      </c>
      <c r="BV244" t="e">
        <f>AND('Calendario Académico 2014'!L68,"AAAAAH96+kk=")</f>
        <v>#VALUE!</v>
      </c>
      <c r="BW244" t="e">
        <f>AND('Calendario Académico 2014'!M68,"AAAAAH96+ko=")</f>
        <v>#VALUE!</v>
      </c>
      <c r="BX244" t="e">
        <f>AND('Calendario Académico 2014'!N68,"AAAAAH96+ks=")</f>
        <v>#VALUE!</v>
      </c>
      <c r="BY244" t="e">
        <f>AND('Calendario Académico 2014'!O68,"AAAAAH96+kw=")</f>
        <v>#VALUE!</v>
      </c>
      <c r="BZ244" t="e">
        <f>AND('Calendario Académico 2014'!P68,"AAAAAH96+k0=")</f>
        <v>#VALUE!</v>
      </c>
      <c r="CA244" t="e">
        <f>AND('Calendario Académico 2014'!Q68,"AAAAAH96+k4=")</f>
        <v>#VALUE!</v>
      </c>
      <c r="CB244" t="e">
        <f>AND('Calendario Académico 2014'!R68,"AAAAAH96+k8=")</f>
        <v>#VALUE!</v>
      </c>
      <c r="CC244" t="e">
        <f>AND('Calendario Académico 2014'!S68,"AAAAAH96+lA=")</f>
        <v>#VALUE!</v>
      </c>
      <c r="CD244" t="e">
        <f>AND('Calendario Académico 2014'!T68,"AAAAAH96+lE=")</f>
        <v>#VALUE!</v>
      </c>
      <c r="CE244" t="e">
        <f>AND('Calendario Académico 2014'!U68,"AAAAAH96+lI=")</f>
        <v>#VALUE!</v>
      </c>
      <c r="CF244" t="e">
        <f>AND('Calendario Académico 2014'!V68,"AAAAAH96+lM=")</f>
        <v>#VALUE!</v>
      </c>
      <c r="CG244" t="e">
        <f>AND('Calendario Académico 2014'!W68,"AAAAAH96+lQ=")</f>
        <v>#VALUE!</v>
      </c>
      <c r="CH244" t="e">
        <f>AND('Calendario Académico 2014'!X68,"AAAAAH96+lU=")</f>
        <v>#VALUE!</v>
      </c>
      <c r="CI244" t="e">
        <f>AND('Calendario Académico 2014'!Y68,"AAAAAH96+lY=")</f>
        <v>#VALUE!</v>
      </c>
      <c r="CJ244" t="e">
        <f>AND('Calendario Académico 2014'!Z68,"AAAAAH96+lc=")</f>
        <v>#VALUE!</v>
      </c>
      <c r="CK244" t="e">
        <f>AND('Calendario Académico 2014'!AA68,"AAAAAH96+lg=")</f>
        <v>#VALUE!</v>
      </c>
      <c r="CL244" t="e">
        <f>AND('Calendario Académico 2014'!AB68,"AAAAAH96+lk=")</f>
        <v>#VALUE!</v>
      </c>
      <c r="CM244" t="e">
        <f>AND('Calendario Académico 2014'!AC68,"AAAAAH96+lo=")</f>
        <v>#VALUE!</v>
      </c>
      <c r="CN244" t="e">
        <f>AND('Calendario Académico 2014'!AD68,"AAAAAH96+ls=")</f>
        <v>#VALUE!</v>
      </c>
      <c r="CO244" t="e">
        <f>AND('Calendario Académico 2014'!AE68,"AAAAAH96+lw=")</f>
        <v>#VALUE!</v>
      </c>
      <c r="CP244" t="e">
        <f>AND('Calendario Académico 2014'!AF68,"AAAAAH96+l0=")</f>
        <v>#VALUE!</v>
      </c>
      <c r="CQ244" t="e">
        <f>AND('Calendario Académico 2014'!AG68,"AAAAAH96+l4=")</f>
        <v>#VALUE!</v>
      </c>
      <c r="CR244" t="e">
        <f>AND('Calendario Académico 2014'!AH68,"AAAAAH96+l8=")</f>
        <v>#VALUE!</v>
      </c>
      <c r="CS244">
        <f>IF('Calendario Académico 2014'!69:69,"AAAAAH96+mA=",0)</f>
        <v>0</v>
      </c>
      <c r="CT244" t="e">
        <f>AND('Calendario Académico 2014'!A69,"AAAAAH96+mE=")</f>
        <v>#VALUE!</v>
      </c>
      <c r="CU244" t="e">
        <f>AND('Calendario Académico 2014'!B69,"AAAAAH96+mI=")</f>
        <v>#VALUE!</v>
      </c>
      <c r="CV244" t="e">
        <f>AND('Calendario Académico 2014'!C69,"AAAAAH96+mM=")</f>
        <v>#VALUE!</v>
      </c>
      <c r="CW244" t="e">
        <f>AND('Calendario Académico 2014'!D69,"AAAAAH96+mQ=")</f>
        <v>#VALUE!</v>
      </c>
      <c r="CX244" t="e">
        <f>AND('Calendario Académico 2014'!E69,"AAAAAH96+mU=")</f>
        <v>#VALUE!</v>
      </c>
      <c r="CY244" t="e">
        <f>AND('Calendario Académico 2014'!F69,"AAAAAH96+mY=")</f>
        <v>#VALUE!</v>
      </c>
      <c r="CZ244" t="e">
        <f>AND('Calendario Académico 2014'!G69,"AAAAAH96+mc=")</f>
        <v>#VALUE!</v>
      </c>
      <c r="DA244" t="e">
        <f>AND('Calendario Académico 2014'!H69,"AAAAAH96+mg=")</f>
        <v>#VALUE!</v>
      </c>
      <c r="DB244" t="e">
        <f>AND('Calendario Académico 2014'!I69,"AAAAAH96+mk=")</f>
        <v>#VALUE!</v>
      </c>
      <c r="DC244" t="e">
        <f>AND('Calendario Académico 2014'!J69,"AAAAAH96+mo=")</f>
        <v>#VALUE!</v>
      </c>
      <c r="DD244" t="e">
        <f>AND('Calendario Académico 2014'!K69,"AAAAAH96+ms=")</f>
        <v>#VALUE!</v>
      </c>
      <c r="DE244" t="e">
        <f>AND('Calendario Académico 2014'!L69,"AAAAAH96+mw=")</f>
        <v>#VALUE!</v>
      </c>
      <c r="DF244" t="e">
        <f>AND('Calendario Académico 2014'!M69,"AAAAAH96+m0=")</f>
        <v>#VALUE!</v>
      </c>
      <c r="DG244" t="e">
        <f>AND('Calendario Académico 2014'!N69,"AAAAAH96+m4=")</f>
        <v>#VALUE!</v>
      </c>
      <c r="DH244" t="e">
        <f>AND('Calendario Académico 2014'!O69,"AAAAAH96+m8=")</f>
        <v>#VALUE!</v>
      </c>
      <c r="DI244" t="e">
        <f>AND('Calendario Académico 2014'!P69,"AAAAAH96+nA=")</f>
        <v>#VALUE!</v>
      </c>
      <c r="DJ244" t="e">
        <f>AND('Calendario Académico 2014'!Q69,"AAAAAH96+nE=")</f>
        <v>#VALUE!</v>
      </c>
      <c r="DK244" t="e">
        <f>AND('Calendario Académico 2014'!R69,"AAAAAH96+nI=")</f>
        <v>#VALUE!</v>
      </c>
      <c r="DL244" t="e">
        <f>AND('Calendario Académico 2014'!S69,"AAAAAH96+nM=")</f>
        <v>#VALUE!</v>
      </c>
      <c r="DM244" t="e">
        <f>AND('Calendario Académico 2014'!T69,"AAAAAH96+nQ=")</f>
        <v>#VALUE!</v>
      </c>
      <c r="DN244" t="e">
        <f>AND('Calendario Académico 2014'!U69,"AAAAAH96+nU=")</f>
        <v>#VALUE!</v>
      </c>
      <c r="DO244" t="e">
        <f>AND('Calendario Académico 2014'!V69,"AAAAAH96+nY=")</f>
        <v>#VALUE!</v>
      </c>
      <c r="DP244" t="e">
        <f>AND('Calendario Académico 2014'!W69,"AAAAAH96+nc=")</f>
        <v>#VALUE!</v>
      </c>
      <c r="DQ244" t="e">
        <f>AND('Calendario Académico 2014'!X69,"AAAAAH96+ng=")</f>
        <v>#VALUE!</v>
      </c>
      <c r="DR244" t="e">
        <f>AND('Calendario Académico 2014'!Y69,"AAAAAH96+nk=")</f>
        <v>#VALUE!</v>
      </c>
      <c r="DS244" t="e">
        <f>AND('Calendario Académico 2014'!Z69,"AAAAAH96+no=")</f>
        <v>#VALUE!</v>
      </c>
      <c r="DT244" t="e">
        <f>AND('Calendario Académico 2014'!AA69,"AAAAAH96+ns=")</f>
        <v>#VALUE!</v>
      </c>
      <c r="DU244" t="e">
        <f>AND('Calendario Académico 2014'!AB69,"AAAAAH96+nw=")</f>
        <v>#VALUE!</v>
      </c>
      <c r="DV244" t="e">
        <f>AND('Calendario Académico 2014'!AC69,"AAAAAH96+n0=")</f>
        <v>#VALUE!</v>
      </c>
      <c r="DW244" t="e">
        <f>AND('Calendario Académico 2014'!AD69,"AAAAAH96+n4=")</f>
        <v>#VALUE!</v>
      </c>
      <c r="DX244" t="e">
        <f>AND('Calendario Académico 2014'!AE69,"AAAAAH96+n8=")</f>
        <v>#VALUE!</v>
      </c>
      <c r="DY244" t="e">
        <f>AND('Calendario Académico 2014'!AF69,"AAAAAH96+oA=")</f>
        <v>#VALUE!</v>
      </c>
      <c r="DZ244" t="e">
        <f>AND('Calendario Académico 2014'!AG69,"AAAAAH96+oE=")</f>
        <v>#VALUE!</v>
      </c>
      <c r="EA244" t="e">
        <f>AND('Calendario Académico 2014'!AH69,"AAAAAH96+oI=")</f>
        <v>#VALUE!</v>
      </c>
      <c r="EB244">
        <f>IF('Calendario Académico 2014'!70:70,"AAAAAH96+oM=",0)</f>
        <v>0</v>
      </c>
      <c r="EC244" t="e">
        <f>AND('Calendario Académico 2014'!A70,"AAAAAH96+oQ=")</f>
        <v>#VALUE!</v>
      </c>
      <c r="ED244" t="e">
        <f>AND('Calendario Académico 2014'!B70,"AAAAAH96+oU=")</f>
        <v>#VALUE!</v>
      </c>
      <c r="EE244" t="e">
        <f>AND('Calendario Académico 2014'!C70,"AAAAAH96+oY=")</f>
        <v>#VALUE!</v>
      </c>
      <c r="EF244" t="e">
        <f>AND('Calendario Académico 2014'!D70,"AAAAAH96+oc=")</f>
        <v>#VALUE!</v>
      </c>
      <c r="EG244" t="e">
        <f>AND('Calendario Académico 2014'!E70,"AAAAAH96+og=")</f>
        <v>#VALUE!</v>
      </c>
      <c r="EH244" t="e">
        <f>AND('Calendario Académico 2014'!F70,"AAAAAH96+ok=")</f>
        <v>#VALUE!</v>
      </c>
      <c r="EI244" t="e">
        <f>AND('Calendario Académico 2014'!G70,"AAAAAH96+oo=")</f>
        <v>#VALUE!</v>
      </c>
      <c r="EJ244" t="e">
        <f>AND('Calendario Académico 2014'!H70,"AAAAAH96+os=")</f>
        <v>#VALUE!</v>
      </c>
      <c r="EK244" t="e">
        <f>AND('Calendario Académico 2014'!I70,"AAAAAH96+ow=")</f>
        <v>#VALUE!</v>
      </c>
      <c r="EL244" t="e">
        <f>AND('Calendario Académico 2014'!J70,"AAAAAH96+o0=")</f>
        <v>#VALUE!</v>
      </c>
      <c r="EM244" t="e">
        <f>AND('Calendario Académico 2014'!K70,"AAAAAH96+o4=")</f>
        <v>#VALUE!</v>
      </c>
      <c r="EN244" t="e">
        <f>AND('Calendario Académico 2014'!L70,"AAAAAH96+o8=")</f>
        <v>#VALUE!</v>
      </c>
      <c r="EO244" t="e">
        <f>AND('Calendario Académico 2014'!M70,"AAAAAH96+pA=")</f>
        <v>#VALUE!</v>
      </c>
      <c r="EP244" t="e">
        <f>AND('Calendario Académico 2014'!N70,"AAAAAH96+pE=")</f>
        <v>#VALUE!</v>
      </c>
      <c r="EQ244" t="e">
        <f>AND('Calendario Académico 2014'!O70,"AAAAAH96+pI=")</f>
        <v>#VALUE!</v>
      </c>
      <c r="ER244" t="e">
        <f>AND('Calendario Académico 2014'!P70,"AAAAAH96+pM=")</f>
        <v>#VALUE!</v>
      </c>
      <c r="ES244" t="e">
        <f>AND('Calendario Académico 2014'!Q70,"AAAAAH96+pQ=")</f>
        <v>#VALUE!</v>
      </c>
      <c r="ET244" t="e">
        <f>AND('Calendario Académico 2014'!R70,"AAAAAH96+pU=")</f>
        <v>#VALUE!</v>
      </c>
      <c r="EU244" t="e">
        <f>AND('Calendario Académico 2014'!S70,"AAAAAH96+pY=")</f>
        <v>#VALUE!</v>
      </c>
      <c r="EV244" t="e">
        <f>AND('Calendario Académico 2014'!T70,"AAAAAH96+pc=")</f>
        <v>#VALUE!</v>
      </c>
      <c r="EW244" t="e">
        <f>AND('Calendario Académico 2014'!U70,"AAAAAH96+pg=")</f>
        <v>#VALUE!</v>
      </c>
      <c r="EX244" t="e">
        <f>AND('Calendario Académico 2014'!V70,"AAAAAH96+pk=")</f>
        <v>#VALUE!</v>
      </c>
      <c r="EY244" t="e">
        <f>AND('Calendario Académico 2014'!W70,"AAAAAH96+po=")</f>
        <v>#VALUE!</v>
      </c>
      <c r="EZ244" t="e">
        <f>AND('Calendario Académico 2014'!X70,"AAAAAH96+ps=")</f>
        <v>#VALUE!</v>
      </c>
      <c r="FA244" t="e">
        <f>AND('Calendario Académico 2014'!Y70,"AAAAAH96+pw=")</f>
        <v>#VALUE!</v>
      </c>
      <c r="FB244" t="e">
        <f>AND('Calendario Académico 2014'!Z70,"AAAAAH96+p0=")</f>
        <v>#VALUE!</v>
      </c>
      <c r="FC244" t="e">
        <f>AND('Calendario Académico 2014'!AA70,"AAAAAH96+p4=")</f>
        <v>#VALUE!</v>
      </c>
      <c r="FD244" t="e">
        <f>AND('Calendario Académico 2014'!AB70,"AAAAAH96+p8=")</f>
        <v>#VALUE!</v>
      </c>
      <c r="FE244" t="e">
        <f>AND('Calendario Académico 2014'!AC70,"AAAAAH96+qA=")</f>
        <v>#VALUE!</v>
      </c>
      <c r="FF244" t="e">
        <f>AND('Calendario Académico 2014'!AD70,"AAAAAH96+qE=")</f>
        <v>#VALUE!</v>
      </c>
      <c r="FG244" t="e">
        <f>AND('Calendario Académico 2014'!AE70,"AAAAAH96+qI=")</f>
        <v>#VALUE!</v>
      </c>
      <c r="FH244" t="e">
        <f>AND('Calendario Académico 2014'!AF70,"AAAAAH96+qM=")</f>
        <v>#VALUE!</v>
      </c>
      <c r="FI244" t="e">
        <f>AND('Calendario Académico 2014'!AG70,"AAAAAH96+qQ=")</f>
        <v>#VALUE!</v>
      </c>
      <c r="FJ244" t="e">
        <f>AND('Calendario Académico 2014'!AH70,"AAAAAH96+qU=")</f>
        <v>#VALUE!</v>
      </c>
      <c r="FK244">
        <f>IF('Calendario Académico 2014'!71:71,"AAAAAH96+qY=",0)</f>
        <v>0</v>
      </c>
      <c r="FL244" t="e">
        <f>AND('Calendario Académico 2014'!A71,"AAAAAH96+qc=")</f>
        <v>#VALUE!</v>
      </c>
      <c r="FM244" t="e">
        <f>AND('Calendario Académico 2014'!B71,"AAAAAH96+qg=")</f>
        <v>#VALUE!</v>
      </c>
      <c r="FN244" t="e">
        <f>AND('Calendario Académico 2014'!C71,"AAAAAH96+qk=")</f>
        <v>#VALUE!</v>
      </c>
      <c r="FO244" t="e">
        <f>AND('Calendario Académico 2014'!D71,"AAAAAH96+qo=")</f>
        <v>#VALUE!</v>
      </c>
      <c r="FP244" t="e">
        <f>AND('Calendario Académico 2014'!E71,"AAAAAH96+qs=")</f>
        <v>#VALUE!</v>
      </c>
      <c r="FQ244" t="e">
        <f>AND('Calendario Académico 2014'!F71,"AAAAAH96+qw=")</f>
        <v>#VALUE!</v>
      </c>
      <c r="FR244" t="e">
        <f>AND('Calendario Académico 2014'!G71,"AAAAAH96+q0=")</f>
        <v>#VALUE!</v>
      </c>
      <c r="FS244" t="e">
        <f>AND('Calendario Académico 2014'!H71,"AAAAAH96+q4=")</f>
        <v>#VALUE!</v>
      </c>
      <c r="FT244" t="e">
        <f>AND('Calendario Académico 2014'!I71,"AAAAAH96+q8=")</f>
        <v>#VALUE!</v>
      </c>
      <c r="FU244" t="e">
        <f>AND('Calendario Académico 2014'!J71,"AAAAAH96+rA=")</f>
        <v>#VALUE!</v>
      </c>
      <c r="FV244" t="e">
        <f>AND('Calendario Académico 2014'!K71,"AAAAAH96+rE=")</f>
        <v>#VALUE!</v>
      </c>
      <c r="FW244" t="e">
        <f>AND('Calendario Académico 2014'!L71,"AAAAAH96+rI=")</f>
        <v>#VALUE!</v>
      </c>
      <c r="FX244" t="e">
        <f>AND('Calendario Académico 2014'!M71,"AAAAAH96+rM=")</f>
        <v>#VALUE!</v>
      </c>
      <c r="FY244" t="e">
        <f>AND('Calendario Académico 2014'!N71,"AAAAAH96+rQ=")</f>
        <v>#VALUE!</v>
      </c>
      <c r="FZ244" t="e">
        <f>AND('Calendario Académico 2014'!O71,"AAAAAH96+rU=")</f>
        <v>#VALUE!</v>
      </c>
      <c r="GA244" t="e">
        <f>AND('Calendario Académico 2014'!P71,"AAAAAH96+rY=")</f>
        <v>#VALUE!</v>
      </c>
      <c r="GB244" t="e">
        <f>AND('Calendario Académico 2014'!Q71,"AAAAAH96+rc=")</f>
        <v>#VALUE!</v>
      </c>
      <c r="GC244" t="e">
        <f>AND('Calendario Académico 2014'!R71,"AAAAAH96+rg=")</f>
        <v>#VALUE!</v>
      </c>
      <c r="GD244" t="e">
        <f>AND('Calendario Académico 2014'!S71,"AAAAAH96+rk=")</f>
        <v>#VALUE!</v>
      </c>
      <c r="GE244" t="e">
        <f>AND('Calendario Académico 2014'!T71,"AAAAAH96+ro=")</f>
        <v>#VALUE!</v>
      </c>
      <c r="GF244" t="e">
        <f>AND('Calendario Académico 2014'!U71,"AAAAAH96+rs=")</f>
        <v>#VALUE!</v>
      </c>
      <c r="GG244" t="e">
        <f>AND('Calendario Académico 2014'!V71,"AAAAAH96+rw=")</f>
        <v>#VALUE!</v>
      </c>
      <c r="GH244" t="e">
        <f>AND('Calendario Académico 2014'!W71,"AAAAAH96+r0=")</f>
        <v>#VALUE!</v>
      </c>
      <c r="GI244" t="e">
        <f>AND('Calendario Académico 2014'!X71,"AAAAAH96+r4=")</f>
        <v>#VALUE!</v>
      </c>
      <c r="GJ244" t="e">
        <f>AND('Calendario Académico 2014'!Y71,"AAAAAH96+r8=")</f>
        <v>#VALUE!</v>
      </c>
      <c r="GK244" t="e">
        <f>AND('Calendario Académico 2014'!Z71,"AAAAAH96+sA=")</f>
        <v>#VALUE!</v>
      </c>
      <c r="GL244" t="e">
        <f>AND('Calendario Académico 2014'!AA71,"AAAAAH96+sE=")</f>
        <v>#VALUE!</v>
      </c>
      <c r="GM244" t="e">
        <f>AND('Calendario Académico 2014'!AB71,"AAAAAH96+sI=")</f>
        <v>#VALUE!</v>
      </c>
      <c r="GN244" t="e">
        <f>AND('Calendario Académico 2014'!AC71,"AAAAAH96+sM=")</f>
        <v>#VALUE!</v>
      </c>
      <c r="GO244" t="e">
        <f>AND('Calendario Académico 2014'!AD71,"AAAAAH96+sQ=")</f>
        <v>#VALUE!</v>
      </c>
      <c r="GP244" t="e">
        <f>AND('Calendario Académico 2014'!AE71,"AAAAAH96+sU=")</f>
        <v>#VALUE!</v>
      </c>
      <c r="GQ244" t="e">
        <f>AND('Calendario Académico 2014'!AF71,"AAAAAH96+sY=")</f>
        <v>#VALUE!</v>
      </c>
      <c r="GR244" t="e">
        <f>AND('Calendario Académico 2014'!AG71,"AAAAAH96+sc=")</f>
        <v>#VALUE!</v>
      </c>
      <c r="GS244" t="e">
        <f>AND('Calendario Académico 2014'!AH71,"AAAAAH96+sg=")</f>
        <v>#VALUE!</v>
      </c>
      <c r="GT244">
        <f>IF('Calendario Académico 2014'!72:72,"AAAAAH96+sk=",0)</f>
        <v>0</v>
      </c>
      <c r="GU244" t="e">
        <f>AND('Calendario Académico 2014'!A72,"AAAAAH96+so=")</f>
        <v>#VALUE!</v>
      </c>
      <c r="GV244" t="e">
        <f>AND('Calendario Académico 2014'!B72,"AAAAAH96+ss=")</f>
        <v>#VALUE!</v>
      </c>
      <c r="GW244" t="e">
        <f>AND('Calendario Académico 2014'!C72,"AAAAAH96+sw=")</f>
        <v>#VALUE!</v>
      </c>
      <c r="GX244" t="e">
        <f>AND('Calendario Académico 2014'!D72,"AAAAAH96+s0=")</f>
        <v>#VALUE!</v>
      </c>
      <c r="GY244" t="e">
        <f>AND('Calendario Académico 2014'!E72,"AAAAAH96+s4=")</f>
        <v>#VALUE!</v>
      </c>
      <c r="GZ244" t="e">
        <f>AND('Calendario Académico 2014'!F72,"AAAAAH96+s8=")</f>
        <v>#VALUE!</v>
      </c>
      <c r="HA244" t="e">
        <f>AND('Calendario Académico 2014'!G72,"AAAAAH96+tA=")</f>
        <v>#VALUE!</v>
      </c>
      <c r="HB244" t="e">
        <f>AND('Calendario Académico 2014'!H72,"AAAAAH96+tE=")</f>
        <v>#VALUE!</v>
      </c>
      <c r="HC244" t="e">
        <f>AND('Calendario Académico 2014'!I72,"AAAAAH96+tI=")</f>
        <v>#VALUE!</v>
      </c>
      <c r="HD244" t="e">
        <f>AND('Calendario Académico 2014'!J72,"AAAAAH96+tM=")</f>
        <v>#VALUE!</v>
      </c>
      <c r="HE244" t="e">
        <f>AND('Calendario Académico 2014'!K72,"AAAAAH96+tQ=")</f>
        <v>#VALUE!</v>
      </c>
      <c r="HF244" t="e">
        <f>AND('Calendario Académico 2014'!L72,"AAAAAH96+tU=")</f>
        <v>#VALUE!</v>
      </c>
      <c r="HG244" t="e">
        <f>AND('Calendario Académico 2014'!M72,"AAAAAH96+tY=")</f>
        <v>#VALUE!</v>
      </c>
      <c r="HH244" t="e">
        <f>AND('Calendario Académico 2014'!N72,"AAAAAH96+tc=")</f>
        <v>#VALUE!</v>
      </c>
      <c r="HI244" t="e">
        <f>AND('Calendario Académico 2014'!O72,"AAAAAH96+tg=")</f>
        <v>#VALUE!</v>
      </c>
      <c r="HJ244" t="e">
        <f>AND('Calendario Académico 2014'!P72,"AAAAAH96+tk=")</f>
        <v>#VALUE!</v>
      </c>
      <c r="HK244" t="e">
        <f>AND('Calendario Académico 2014'!Q72,"AAAAAH96+to=")</f>
        <v>#VALUE!</v>
      </c>
      <c r="HL244" t="e">
        <f>AND('Calendario Académico 2014'!R72,"AAAAAH96+ts=")</f>
        <v>#VALUE!</v>
      </c>
      <c r="HM244" t="e">
        <f>AND('Calendario Académico 2014'!S72,"AAAAAH96+tw=")</f>
        <v>#VALUE!</v>
      </c>
      <c r="HN244" t="e">
        <f>AND('Calendario Académico 2014'!T72,"AAAAAH96+t0=")</f>
        <v>#VALUE!</v>
      </c>
      <c r="HO244" t="e">
        <f>AND('Calendario Académico 2014'!U72,"AAAAAH96+t4=")</f>
        <v>#VALUE!</v>
      </c>
      <c r="HP244" t="e">
        <f>AND('Calendario Académico 2014'!V72,"AAAAAH96+t8=")</f>
        <v>#VALUE!</v>
      </c>
      <c r="HQ244" t="e">
        <f>AND('Calendario Académico 2014'!W72,"AAAAAH96+uA=")</f>
        <v>#VALUE!</v>
      </c>
      <c r="HR244" t="e">
        <f>AND('Calendario Académico 2014'!X72,"AAAAAH96+uE=")</f>
        <v>#VALUE!</v>
      </c>
      <c r="HS244" t="e">
        <f>AND('Calendario Académico 2014'!Y72,"AAAAAH96+uI=")</f>
        <v>#VALUE!</v>
      </c>
      <c r="HT244" t="e">
        <f>AND('Calendario Académico 2014'!Z72,"AAAAAH96+uM=")</f>
        <v>#VALUE!</v>
      </c>
      <c r="HU244" t="e">
        <f>AND('Calendario Académico 2014'!AA72,"AAAAAH96+uQ=")</f>
        <v>#VALUE!</v>
      </c>
      <c r="HV244" t="e">
        <f>AND('Calendario Académico 2014'!AB72,"AAAAAH96+uU=")</f>
        <v>#VALUE!</v>
      </c>
      <c r="HW244" t="e">
        <f>AND('Calendario Académico 2014'!AC72,"AAAAAH96+uY=")</f>
        <v>#VALUE!</v>
      </c>
      <c r="HX244" t="e">
        <f>AND('Calendario Académico 2014'!AD72,"AAAAAH96+uc=")</f>
        <v>#VALUE!</v>
      </c>
      <c r="HY244" t="e">
        <f>AND('Calendario Académico 2014'!AE72,"AAAAAH96+ug=")</f>
        <v>#VALUE!</v>
      </c>
      <c r="HZ244" t="e">
        <f>AND('Calendario Académico 2014'!AF72,"AAAAAH96+uk=")</f>
        <v>#VALUE!</v>
      </c>
      <c r="IA244" t="e">
        <f>AND('Calendario Académico 2014'!AG72,"AAAAAH96+uo=")</f>
        <v>#VALUE!</v>
      </c>
      <c r="IB244" t="e">
        <f>AND('Calendario Académico 2014'!AH72,"AAAAAH96+us=")</f>
        <v>#VALUE!</v>
      </c>
      <c r="IC244">
        <f>IF('Calendario Académico 2014'!73:73,"AAAAAH96+uw=",0)</f>
        <v>0</v>
      </c>
      <c r="ID244" t="e">
        <f>AND('Calendario Académico 2014'!A73,"AAAAAH96+u0=")</f>
        <v>#VALUE!</v>
      </c>
      <c r="IE244" t="e">
        <f>AND('Calendario Académico 2014'!B73,"AAAAAH96+u4=")</f>
        <v>#VALUE!</v>
      </c>
      <c r="IF244" t="e">
        <f>AND('Calendario Académico 2014'!C73,"AAAAAH96+u8=")</f>
        <v>#VALUE!</v>
      </c>
      <c r="IG244" t="e">
        <f>AND('Calendario Académico 2014'!D73,"AAAAAH96+vA=")</f>
        <v>#VALUE!</v>
      </c>
      <c r="IH244" t="e">
        <f>AND('Calendario Académico 2014'!E73,"AAAAAH96+vE=")</f>
        <v>#VALUE!</v>
      </c>
      <c r="II244" t="e">
        <f>AND('Calendario Académico 2014'!F73,"AAAAAH96+vI=")</f>
        <v>#VALUE!</v>
      </c>
      <c r="IJ244" t="e">
        <f>AND('Calendario Académico 2014'!G73,"AAAAAH96+vM=")</f>
        <v>#VALUE!</v>
      </c>
      <c r="IK244" t="e">
        <f>AND('Calendario Académico 2014'!H73,"AAAAAH96+vQ=")</f>
        <v>#VALUE!</v>
      </c>
      <c r="IL244" t="e">
        <f>AND('Calendario Académico 2014'!I73,"AAAAAH96+vU=")</f>
        <v>#VALUE!</v>
      </c>
      <c r="IM244" t="e">
        <f>AND('Calendario Académico 2014'!J73,"AAAAAH96+vY=")</f>
        <v>#VALUE!</v>
      </c>
      <c r="IN244" t="e">
        <f>AND('Calendario Académico 2014'!K73,"AAAAAH96+vc=")</f>
        <v>#VALUE!</v>
      </c>
      <c r="IO244" t="e">
        <f>AND('Calendario Académico 2014'!L73,"AAAAAH96+vg=")</f>
        <v>#VALUE!</v>
      </c>
      <c r="IP244" t="e">
        <f>AND('Calendario Académico 2014'!M73,"AAAAAH96+vk=")</f>
        <v>#VALUE!</v>
      </c>
      <c r="IQ244" t="e">
        <f>AND('Calendario Académico 2014'!N73,"AAAAAH96+vo=")</f>
        <v>#VALUE!</v>
      </c>
      <c r="IR244" t="e">
        <f>AND('Calendario Académico 2014'!O73,"AAAAAH96+vs=")</f>
        <v>#VALUE!</v>
      </c>
      <c r="IS244" t="e">
        <f>AND('Calendario Académico 2014'!P73,"AAAAAH96+vw=")</f>
        <v>#VALUE!</v>
      </c>
      <c r="IT244" t="e">
        <f>AND('Calendario Académico 2014'!Q73,"AAAAAH96+v0=")</f>
        <v>#VALUE!</v>
      </c>
      <c r="IU244" t="e">
        <f>AND('Calendario Académico 2014'!R73,"AAAAAH96+v4=")</f>
        <v>#VALUE!</v>
      </c>
      <c r="IV244" t="e">
        <f>AND('Calendario Académico 2014'!S73,"AAAAAH96+v8=")</f>
        <v>#VALUE!</v>
      </c>
    </row>
    <row r="245" spans="1:256" x14ac:dyDescent="0.2">
      <c r="A245" t="e">
        <f>AND('Calendario Académico 2014'!T73,"AAAAAH9+9wA=")</f>
        <v>#VALUE!</v>
      </c>
      <c r="B245" t="e">
        <f>AND('Calendario Académico 2014'!U73,"AAAAAH9+9wE=")</f>
        <v>#VALUE!</v>
      </c>
      <c r="C245" t="e">
        <f>AND('Calendario Académico 2014'!V73,"AAAAAH9+9wI=")</f>
        <v>#VALUE!</v>
      </c>
      <c r="D245" t="e">
        <f>AND('Calendario Académico 2014'!W73,"AAAAAH9+9wM=")</f>
        <v>#VALUE!</v>
      </c>
      <c r="E245" t="e">
        <f>AND('Calendario Académico 2014'!X73,"AAAAAH9+9wQ=")</f>
        <v>#VALUE!</v>
      </c>
      <c r="F245" t="e">
        <f>AND('Calendario Académico 2014'!Y73,"AAAAAH9+9wU=")</f>
        <v>#VALUE!</v>
      </c>
      <c r="G245" t="e">
        <f>AND('Calendario Académico 2014'!Z73,"AAAAAH9+9wY=")</f>
        <v>#VALUE!</v>
      </c>
      <c r="H245" t="e">
        <f>AND('Calendario Académico 2014'!AA73,"AAAAAH9+9wc=")</f>
        <v>#VALUE!</v>
      </c>
      <c r="I245" t="e">
        <f>AND('Calendario Académico 2014'!AB73,"AAAAAH9+9wg=")</f>
        <v>#VALUE!</v>
      </c>
      <c r="J245" t="e">
        <f>AND('Calendario Académico 2014'!AC73,"AAAAAH9+9wk=")</f>
        <v>#VALUE!</v>
      </c>
      <c r="K245" t="e">
        <f>AND('Calendario Académico 2014'!AD73,"AAAAAH9+9wo=")</f>
        <v>#VALUE!</v>
      </c>
      <c r="L245" t="e">
        <f>AND('Calendario Académico 2014'!AE73,"AAAAAH9+9ws=")</f>
        <v>#VALUE!</v>
      </c>
      <c r="M245" t="e">
        <f>AND('Calendario Académico 2014'!AF73,"AAAAAH9+9ww=")</f>
        <v>#VALUE!</v>
      </c>
      <c r="N245" t="e">
        <f>AND('Calendario Académico 2014'!AG73,"AAAAAH9+9w0=")</f>
        <v>#VALUE!</v>
      </c>
      <c r="O245" t="e">
        <f>AND('Calendario Académico 2014'!AH73,"AAAAAH9+9w4=")</f>
        <v>#VALUE!</v>
      </c>
      <c r="P245">
        <f>IF('Calendario Académico 2014'!74:74,"AAAAAH9+9w8=",0)</f>
        <v>0</v>
      </c>
      <c r="Q245" t="e">
        <f>AND('Calendario Académico 2014'!A74,"AAAAAH9+9xA=")</f>
        <v>#VALUE!</v>
      </c>
      <c r="R245" t="e">
        <f>AND('Calendario Académico 2014'!B74,"AAAAAH9+9xE=")</f>
        <v>#VALUE!</v>
      </c>
      <c r="S245" t="e">
        <f>AND('Calendario Académico 2014'!C74,"AAAAAH9+9xI=")</f>
        <v>#VALUE!</v>
      </c>
      <c r="T245" t="e">
        <f>AND('Calendario Académico 2014'!D74,"AAAAAH9+9xM=")</f>
        <v>#VALUE!</v>
      </c>
      <c r="U245" t="e">
        <f>AND('Calendario Académico 2014'!E74,"AAAAAH9+9xQ=")</f>
        <v>#VALUE!</v>
      </c>
      <c r="V245" t="e">
        <f>AND('Calendario Académico 2014'!F74,"AAAAAH9+9xU=")</f>
        <v>#VALUE!</v>
      </c>
      <c r="W245" t="e">
        <f>AND('Calendario Académico 2014'!G74,"AAAAAH9+9xY=")</f>
        <v>#VALUE!</v>
      </c>
      <c r="X245" t="e">
        <f>AND('Calendario Académico 2014'!H74,"AAAAAH9+9xc=")</f>
        <v>#VALUE!</v>
      </c>
      <c r="Y245" t="e">
        <f>AND('Calendario Académico 2014'!I74,"AAAAAH9+9xg=")</f>
        <v>#VALUE!</v>
      </c>
      <c r="Z245" t="e">
        <f>AND('Calendario Académico 2014'!J74,"AAAAAH9+9xk=")</f>
        <v>#VALUE!</v>
      </c>
      <c r="AA245" t="e">
        <f>AND('Calendario Académico 2014'!K74,"AAAAAH9+9xo=")</f>
        <v>#VALUE!</v>
      </c>
      <c r="AB245" t="e">
        <f>AND('Calendario Académico 2014'!L74,"AAAAAH9+9xs=")</f>
        <v>#VALUE!</v>
      </c>
      <c r="AC245" t="e">
        <f>AND('Calendario Académico 2014'!M74,"AAAAAH9+9xw=")</f>
        <v>#VALUE!</v>
      </c>
      <c r="AD245" t="e">
        <f>AND('Calendario Académico 2014'!N74,"AAAAAH9+9x0=")</f>
        <v>#VALUE!</v>
      </c>
      <c r="AE245" t="e">
        <f>AND('Calendario Académico 2014'!O74,"AAAAAH9+9x4=")</f>
        <v>#VALUE!</v>
      </c>
      <c r="AF245" t="e">
        <f>AND('Calendario Académico 2014'!P74,"AAAAAH9+9x8=")</f>
        <v>#VALUE!</v>
      </c>
      <c r="AG245" t="e">
        <f>AND('Calendario Académico 2014'!Q74,"AAAAAH9+9yA=")</f>
        <v>#VALUE!</v>
      </c>
      <c r="AH245" t="e">
        <f>AND('Calendario Académico 2014'!R74,"AAAAAH9+9yE=")</f>
        <v>#VALUE!</v>
      </c>
      <c r="AI245" t="e">
        <f>AND('Calendario Académico 2014'!S74,"AAAAAH9+9yI=")</f>
        <v>#VALUE!</v>
      </c>
      <c r="AJ245" t="e">
        <f>AND('Calendario Académico 2014'!T74,"AAAAAH9+9yM=")</f>
        <v>#VALUE!</v>
      </c>
      <c r="AK245" t="e">
        <f>AND('Calendario Académico 2014'!U74,"AAAAAH9+9yQ=")</f>
        <v>#VALUE!</v>
      </c>
      <c r="AL245" t="e">
        <f>AND('Calendario Académico 2014'!V74,"AAAAAH9+9yU=")</f>
        <v>#VALUE!</v>
      </c>
      <c r="AM245" t="e">
        <f>AND('Calendario Académico 2014'!W74,"AAAAAH9+9yY=")</f>
        <v>#VALUE!</v>
      </c>
      <c r="AN245" t="e">
        <f>AND('Calendario Académico 2014'!X74,"AAAAAH9+9yc=")</f>
        <v>#VALUE!</v>
      </c>
      <c r="AO245" t="e">
        <f>AND('Calendario Académico 2014'!Y74,"AAAAAH9+9yg=")</f>
        <v>#VALUE!</v>
      </c>
      <c r="AP245" t="e">
        <f>AND('Calendario Académico 2014'!Z74,"AAAAAH9+9yk=")</f>
        <v>#VALUE!</v>
      </c>
      <c r="AQ245" t="e">
        <f>AND('Calendario Académico 2014'!AA74,"AAAAAH9+9yo=")</f>
        <v>#VALUE!</v>
      </c>
      <c r="AR245" t="e">
        <f>AND('Calendario Académico 2014'!AB74,"AAAAAH9+9ys=")</f>
        <v>#VALUE!</v>
      </c>
      <c r="AS245" t="e">
        <f>AND('Calendario Académico 2014'!AC74,"AAAAAH9+9yw=")</f>
        <v>#VALUE!</v>
      </c>
      <c r="AT245" t="e">
        <f>AND('Calendario Académico 2014'!AD74,"AAAAAH9+9y0=")</f>
        <v>#VALUE!</v>
      </c>
      <c r="AU245" t="e">
        <f>AND('Calendario Académico 2014'!AE74,"AAAAAH9+9y4=")</f>
        <v>#VALUE!</v>
      </c>
      <c r="AV245" t="e">
        <f>AND('Calendario Académico 2014'!AF74,"AAAAAH9+9y8=")</f>
        <v>#VALUE!</v>
      </c>
      <c r="AW245" t="e">
        <f>AND('Calendario Académico 2014'!AG74,"AAAAAH9+9zA=")</f>
        <v>#VALUE!</v>
      </c>
      <c r="AX245" t="e">
        <f>AND('Calendario Académico 2014'!AH74,"AAAAAH9+9zE=")</f>
        <v>#VALUE!</v>
      </c>
      <c r="AY245">
        <f>IF('Calendario Académico 2014'!75:75,"AAAAAH9+9zI=",0)</f>
        <v>0</v>
      </c>
      <c r="AZ245" t="e">
        <f>AND('Calendario Académico 2014'!A75,"AAAAAH9+9zM=")</f>
        <v>#VALUE!</v>
      </c>
      <c r="BA245" t="e">
        <f>AND('Calendario Académico 2014'!B75,"AAAAAH9+9zQ=")</f>
        <v>#VALUE!</v>
      </c>
      <c r="BB245" t="e">
        <f>AND('Calendario Académico 2014'!C75,"AAAAAH9+9zU=")</f>
        <v>#VALUE!</v>
      </c>
      <c r="BC245" t="e">
        <f>AND('Calendario Académico 2014'!D75,"AAAAAH9+9zY=")</f>
        <v>#VALUE!</v>
      </c>
      <c r="BD245" t="e">
        <f>AND('Calendario Académico 2014'!E75,"AAAAAH9+9zc=")</f>
        <v>#VALUE!</v>
      </c>
      <c r="BE245" t="e">
        <f>AND('Calendario Académico 2014'!F75,"AAAAAH9+9zg=")</f>
        <v>#VALUE!</v>
      </c>
      <c r="BF245" t="e">
        <f>AND('Calendario Académico 2014'!G75,"AAAAAH9+9zk=")</f>
        <v>#VALUE!</v>
      </c>
      <c r="BG245" t="e">
        <f>AND('Calendario Académico 2014'!H75,"AAAAAH9+9zo=")</f>
        <v>#VALUE!</v>
      </c>
      <c r="BH245" t="e">
        <f>AND('Calendario Académico 2014'!I75,"AAAAAH9+9zs=")</f>
        <v>#VALUE!</v>
      </c>
      <c r="BI245" t="e">
        <f>AND('Calendario Académico 2014'!J75,"AAAAAH9+9zw=")</f>
        <v>#VALUE!</v>
      </c>
      <c r="BJ245" t="e">
        <f>AND('Calendario Académico 2014'!K75,"AAAAAH9+9z0=")</f>
        <v>#VALUE!</v>
      </c>
      <c r="BK245" t="e">
        <f>AND('Calendario Académico 2014'!L75,"AAAAAH9+9z4=")</f>
        <v>#VALUE!</v>
      </c>
      <c r="BL245" t="e">
        <f>AND('Calendario Académico 2014'!M75,"AAAAAH9+9z8=")</f>
        <v>#VALUE!</v>
      </c>
      <c r="BM245" t="e">
        <f>AND('Calendario Académico 2014'!N75,"AAAAAH9+90A=")</f>
        <v>#VALUE!</v>
      </c>
      <c r="BN245" t="e">
        <f>AND('Calendario Académico 2014'!O75,"AAAAAH9+90E=")</f>
        <v>#VALUE!</v>
      </c>
      <c r="BO245" t="e">
        <f>AND('Calendario Académico 2014'!P75,"AAAAAH9+90I=")</f>
        <v>#VALUE!</v>
      </c>
      <c r="BP245" t="e">
        <f>AND('Calendario Académico 2014'!Q75,"AAAAAH9+90M=")</f>
        <v>#VALUE!</v>
      </c>
      <c r="BQ245" t="e">
        <f>AND('Calendario Académico 2014'!R75,"AAAAAH9+90Q=")</f>
        <v>#VALUE!</v>
      </c>
      <c r="BR245" t="e">
        <f>AND('Calendario Académico 2014'!S75,"AAAAAH9+90U=")</f>
        <v>#VALUE!</v>
      </c>
      <c r="BS245" t="e">
        <f>AND('Calendario Académico 2014'!T75,"AAAAAH9+90Y=")</f>
        <v>#VALUE!</v>
      </c>
      <c r="BT245" t="e">
        <f>AND('Calendario Académico 2014'!U75,"AAAAAH9+90c=")</f>
        <v>#VALUE!</v>
      </c>
      <c r="BU245" t="e">
        <f>AND('Calendario Académico 2014'!V75,"AAAAAH9+90g=")</f>
        <v>#VALUE!</v>
      </c>
      <c r="BV245" t="e">
        <f>AND('Calendario Académico 2014'!W75,"AAAAAH9+90k=")</f>
        <v>#VALUE!</v>
      </c>
      <c r="BW245" t="e">
        <f>AND('Calendario Académico 2014'!X75,"AAAAAH9+90o=")</f>
        <v>#VALUE!</v>
      </c>
      <c r="BX245" t="e">
        <f>AND('Calendario Académico 2014'!Y75,"AAAAAH9+90s=")</f>
        <v>#VALUE!</v>
      </c>
      <c r="BY245" t="e">
        <f>AND('Calendario Académico 2014'!Z75,"AAAAAH9+90w=")</f>
        <v>#VALUE!</v>
      </c>
      <c r="BZ245" t="e">
        <f>AND('Calendario Académico 2014'!AA75,"AAAAAH9+900=")</f>
        <v>#VALUE!</v>
      </c>
      <c r="CA245" t="e">
        <f>AND('Calendario Académico 2014'!AB75,"AAAAAH9+904=")</f>
        <v>#VALUE!</v>
      </c>
      <c r="CB245" t="e">
        <f>AND('Calendario Académico 2014'!AC75,"AAAAAH9+908=")</f>
        <v>#VALUE!</v>
      </c>
      <c r="CC245" t="e">
        <f>AND('Calendario Académico 2014'!AD75,"AAAAAH9+91A=")</f>
        <v>#VALUE!</v>
      </c>
      <c r="CD245" t="e">
        <f>AND('Calendario Académico 2014'!AE75,"AAAAAH9+91E=")</f>
        <v>#VALUE!</v>
      </c>
      <c r="CE245" t="e">
        <f>AND('Calendario Académico 2014'!AF75,"AAAAAH9+91I=")</f>
        <v>#VALUE!</v>
      </c>
      <c r="CF245" t="e">
        <f>AND('Calendario Académico 2014'!AG75,"AAAAAH9+91M=")</f>
        <v>#VALUE!</v>
      </c>
      <c r="CG245" t="e">
        <f>AND('Calendario Académico 2014'!AH75,"AAAAAH9+91Q=")</f>
        <v>#VALUE!</v>
      </c>
      <c r="CH245">
        <f>IF('Calendario Académico 2014'!76:76,"AAAAAH9+91U=",0)</f>
        <v>0</v>
      </c>
      <c r="CI245" t="e">
        <f>AND('Calendario Académico 2014'!A76,"AAAAAH9+91Y=")</f>
        <v>#VALUE!</v>
      </c>
      <c r="CJ245" t="e">
        <f>AND('Calendario Académico 2014'!B76,"AAAAAH9+91c=")</f>
        <v>#VALUE!</v>
      </c>
      <c r="CK245" t="e">
        <f>AND('Calendario Académico 2014'!C76,"AAAAAH9+91g=")</f>
        <v>#VALUE!</v>
      </c>
      <c r="CL245" t="e">
        <f>AND('Calendario Académico 2014'!D76,"AAAAAH9+91k=")</f>
        <v>#VALUE!</v>
      </c>
      <c r="CM245" t="e">
        <f>AND('Calendario Académico 2014'!E76,"AAAAAH9+91o=")</f>
        <v>#VALUE!</v>
      </c>
      <c r="CN245" t="e">
        <f>AND('Calendario Académico 2014'!F76,"AAAAAH9+91s=")</f>
        <v>#VALUE!</v>
      </c>
      <c r="CO245" t="e">
        <f>AND('Calendario Académico 2014'!G76,"AAAAAH9+91w=")</f>
        <v>#VALUE!</v>
      </c>
      <c r="CP245" t="e">
        <f>AND('Calendario Académico 2014'!H76,"AAAAAH9+910=")</f>
        <v>#VALUE!</v>
      </c>
      <c r="CQ245" t="e">
        <f>AND('Calendario Académico 2014'!I76,"AAAAAH9+914=")</f>
        <v>#VALUE!</v>
      </c>
      <c r="CR245" t="e">
        <f>AND('Calendario Académico 2014'!J76,"AAAAAH9+918=")</f>
        <v>#VALUE!</v>
      </c>
      <c r="CS245" t="e">
        <f>AND('Calendario Académico 2014'!K76,"AAAAAH9+92A=")</f>
        <v>#VALUE!</v>
      </c>
      <c r="CT245" t="e">
        <f>AND('Calendario Académico 2014'!L76,"AAAAAH9+92E=")</f>
        <v>#VALUE!</v>
      </c>
      <c r="CU245" t="e">
        <f>AND('Calendario Académico 2014'!M76,"AAAAAH9+92I=")</f>
        <v>#VALUE!</v>
      </c>
      <c r="CV245" t="e">
        <f>AND('Calendario Académico 2014'!N76,"AAAAAH9+92M=")</f>
        <v>#VALUE!</v>
      </c>
      <c r="CW245" t="e">
        <f>AND('Calendario Académico 2014'!O76,"AAAAAH9+92Q=")</f>
        <v>#VALUE!</v>
      </c>
      <c r="CX245" t="e">
        <f>AND('Calendario Académico 2014'!P76,"AAAAAH9+92U=")</f>
        <v>#VALUE!</v>
      </c>
      <c r="CY245" t="e">
        <f>AND('Calendario Académico 2014'!Q76,"AAAAAH9+92Y=")</f>
        <v>#VALUE!</v>
      </c>
      <c r="CZ245" t="e">
        <f>AND('Calendario Académico 2014'!R76,"AAAAAH9+92c=")</f>
        <v>#VALUE!</v>
      </c>
      <c r="DA245" t="e">
        <f>AND('Calendario Académico 2014'!S76,"AAAAAH9+92g=")</f>
        <v>#VALUE!</v>
      </c>
      <c r="DB245" t="e">
        <f>AND('Calendario Académico 2014'!T76,"AAAAAH9+92k=")</f>
        <v>#VALUE!</v>
      </c>
      <c r="DC245" t="e">
        <f>AND('Calendario Académico 2014'!U76,"AAAAAH9+92o=")</f>
        <v>#VALUE!</v>
      </c>
      <c r="DD245" t="e">
        <f>AND('Calendario Académico 2014'!V76,"AAAAAH9+92s=")</f>
        <v>#VALUE!</v>
      </c>
      <c r="DE245" t="e">
        <f>AND('Calendario Académico 2014'!W76,"AAAAAH9+92w=")</f>
        <v>#VALUE!</v>
      </c>
      <c r="DF245" t="e">
        <f>AND('Calendario Académico 2014'!X76,"AAAAAH9+920=")</f>
        <v>#VALUE!</v>
      </c>
      <c r="DG245" t="e">
        <f>AND('Calendario Académico 2014'!Y76,"AAAAAH9+924=")</f>
        <v>#VALUE!</v>
      </c>
      <c r="DH245" t="e">
        <f>AND('Calendario Académico 2014'!Z76,"AAAAAH9+928=")</f>
        <v>#VALUE!</v>
      </c>
      <c r="DI245" t="e">
        <f>AND('Calendario Académico 2014'!AA76,"AAAAAH9+93A=")</f>
        <v>#VALUE!</v>
      </c>
      <c r="DJ245" t="e">
        <f>AND('Calendario Académico 2014'!AB76,"AAAAAH9+93E=")</f>
        <v>#VALUE!</v>
      </c>
      <c r="DK245" t="e">
        <f>AND('Calendario Académico 2014'!AC76,"AAAAAH9+93I=")</f>
        <v>#VALUE!</v>
      </c>
      <c r="DL245" t="e">
        <f>AND('Calendario Académico 2014'!AD76,"AAAAAH9+93M=")</f>
        <v>#VALUE!</v>
      </c>
      <c r="DM245" t="e">
        <f>AND('Calendario Académico 2014'!AE76,"AAAAAH9+93Q=")</f>
        <v>#VALUE!</v>
      </c>
      <c r="DN245" t="e">
        <f>AND('Calendario Académico 2014'!AF76,"AAAAAH9+93U=")</f>
        <v>#VALUE!</v>
      </c>
      <c r="DO245" t="e">
        <f>AND('Calendario Académico 2014'!AG76,"AAAAAH9+93Y=")</f>
        <v>#VALUE!</v>
      </c>
      <c r="DP245" t="e">
        <f>AND('Calendario Académico 2014'!AH76,"AAAAAH9+93c=")</f>
        <v>#VALUE!</v>
      </c>
      <c r="DQ245" t="e">
        <f>IF('Calendario Académico 2014'!#REF!,"AAAAAH9+93g=",0)</f>
        <v>#REF!</v>
      </c>
      <c r="DR245" t="e">
        <f>AND('Calendario Académico 2014'!#REF!,"AAAAAH9+93k=")</f>
        <v>#REF!</v>
      </c>
      <c r="DS245" t="e">
        <f>AND('Calendario Académico 2014'!#REF!,"AAAAAH9+93o=")</f>
        <v>#REF!</v>
      </c>
      <c r="DT245" t="e">
        <f>AND('Calendario Académico 2014'!#REF!,"AAAAAH9+93s=")</f>
        <v>#REF!</v>
      </c>
      <c r="DU245" t="e">
        <f>AND('Calendario Académico 2014'!#REF!,"AAAAAH9+93w=")</f>
        <v>#REF!</v>
      </c>
      <c r="DV245" t="e">
        <f>AND('Calendario Académico 2014'!#REF!,"AAAAAH9+930=")</f>
        <v>#REF!</v>
      </c>
      <c r="DW245" t="e">
        <f>AND('Calendario Académico 2014'!#REF!,"AAAAAH9+934=")</f>
        <v>#REF!</v>
      </c>
      <c r="DX245" t="e">
        <f>AND('Calendario Académico 2014'!#REF!,"AAAAAH9+938=")</f>
        <v>#REF!</v>
      </c>
      <c r="DY245" t="e">
        <f>AND('Calendario Académico 2014'!#REF!,"AAAAAH9+94A=")</f>
        <v>#REF!</v>
      </c>
      <c r="DZ245" t="e">
        <f>AND('Calendario Académico 2014'!#REF!,"AAAAAH9+94E=")</f>
        <v>#REF!</v>
      </c>
      <c r="EA245" t="e">
        <f>AND('Calendario Académico 2014'!#REF!,"AAAAAH9+94I=")</f>
        <v>#REF!</v>
      </c>
      <c r="EB245" t="e">
        <f>AND('Calendario Académico 2014'!#REF!,"AAAAAH9+94M=")</f>
        <v>#REF!</v>
      </c>
      <c r="EC245" t="e">
        <f>AND('Calendario Académico 2014'!#REF!,"AAAAAH9+94Q=")</f>
        <v>#REF!</v>
      </c>
      <c r="ED245" t="e">
        <f>AND('Calendario Académico 2014'!#REF!,"AAAAAH9+94U=")</f>
        <v>#REF!</v>
      </c>
      <c r="EE245" t="e">
        <f>AND('Calendario Académico 2014'!#REF!,"AAAAAH9+94Y=")</f>
        <v>#REF!</v>
      </c>
      <c r="EF245" t="e">
        <f>AND('Calendario Académico 2014'!#REF!,"AAAAAH9+94c=")</f>
        <v>#REF!</v>
      </c>
      <c r="EG245" t="e">
        <f>AND('Calendario Académico 2014'!#REF!,"AAAAAH9+94g=")</f>
        <v>#REF!</v>
      </c>
      <c r="EH245" t="e">
        <f>AND('Calendario Académico 2014'!#REF!,"AAAAAH9+94k=")</f>
        <v>#REF!</v>
      </c>
      <c r="EI245" t="e">
        <f>AND('Calendario Académico 2014'!#REF!,"AAAAAH9+94o=")</f>
        <v>#REF!</v>
      </c>
      <c r="EJ245" t="e">
        <f>AND('Calendario Académico 2014'!#REF!,"AAAAAH9+94s=")</f>
        <v>#REF!</v>
      </c>
      <c r="EK245" t="e">
        <f>AND('Calendario Académico 2014'!#REF!,"AAAAAH9+94w=")</f>
        <v>#REF!</v>
      </c>
      <c r="EL245" t="e">
        <f>AND('Calendario Académico 2014'!#REF!,"AAAAAH9+940=")</f>
        <v>#REF!</v>
      </c>
      <c r="EM245" t="e">
        <f>AND('Calendario Académico 2014'!#REF!,"AAAAAH9+944=")</f>
        <v>#REF!</v>
      </c>
      <c r="EN245" t="e">
        <f>AND('Calendario Académico 2014'!#REF!,"AAAAAH9+948=")</f>
        <v>#REF!</v>
      </c>
      <c r="EO245" t="e">
        <f>AND('Calendario Académico 2014'!#REF!,"AAAAAH9+95A=")</f>
        <v>#REF!</v>
      </c>
      <c r="EP245" t="e">
        <f>AND('Calendario Académico 2014'!#REF!,"AAAAAH9+95E=")</f>
        <v>#REF!</v>
      </c>
      <c r="EQ245" t="e">
        <f>AND('Calendario Académico 2014'!#REF!,"AAAAAH9+95I=")</f>
        <v>#REF!</v>
      </c>
      <c r="ER245" t="e">
        <f>AND('Calendario Académico 2014'!#REF!,"AAAAAH9+95M=")</f>
        <v>#REF!</v>
      </c>
      <c r="ES245" t="e">
        <f>AND('Calendario Académico 2014'!#REF!,"AAAAAH9+95Q=")</f>
        <v>#REF!</v>
      </c>
      <c r="ET245" t="e">
        <f>AND('Calendario Académico 2014'!#REF!,"AAAAAH9+95U=")</f>
        <v>#REF!</v>
      </c>
      <c r="EU245" t="e">
        <f>AND('Calendario Académico 2014'!#REF!,"AAAAAH9+95Y=")</f>
        <v>#REF!</v>
      </c>
      <c r="EV245" t="e">
        <f>AND('Calendario Académico 2014'!#REF!,"AAAAAH9+95c=")</f>
        <v>#REF!</v>
      </c>
      <c r="EW245" t="e">
        <f>AND('Calendario Académico 2014'!#REF!,"AAAAAH9+95g=")</f>
        <v>#REF!</v>
      </c>
      <c r="EX245" t="e">
        <f>AND('Calendario Académico 2014'!#REF!,"AAAAAH9+95k=")</f>
        <v>#REF!</v>
      </c>
      <c r="EY245" t="e">
        <f>AND('Calendario Académico 2014'!#REF!,"AAAAAH9+95o=")</f>
        <v>#REF!</v>
      </c>
      <c r="EZ245">
        <f>IF('Calendario Académico 2014'!77:77,"AAAAAH9+95s=",0)</f>
        <v>0</v>
      </c>
      <c r="FA245">
        <f>IF('Calendario Académico 2014'!78:78,"AAAAAH9+95w=",0)</f>
        <v>0</v>
      </c>
      <c r="FB245">
        <f>IF('Calendario Académico 2014'!79:79,"AAAAAH9+950=",0)</f>
        <v>0</v>
      </c>
      <c r="FC245">
        <f>IF('Calendario Académico 2014'!A:A,"AAAAAH9+954=",0)</f>
        <v>0</v>
      </c>
      <c r="FD245">
        <f>IF('Calendario Académico 2014'!B:B,"AAAAAH9+958=",0)</f>
        <v>0</v>
      </c>
      <c r="FE245">
        <f>IF('Calendario Académico 2014'!C:C,"AAAAAH9+96A=",0)</f>
        <v>0</v>
      </c>
      <c r="FF245">
        <f>IF('Calendario Académico 2014'!D:D,"AAAAAH9+96E=",0)</f>
        <v>0</v>
      </c>
      <c r="FG245">
        <f>IF('Calendario Académico 2014'!E:E,"AAAAAH9+96I=",0)</f>
        <v>0</v>
      </c>
      <c r="FH245">
        <f>IF('Calendario Académico 2014'!F:F,"AAAAAH9+96M=",0)</f>
        <v>0</v>
      </c>
      <c r="FI245">
        <f>IF('Calendario Académico 2014'!G:G,"AAAAAH9+96Q=",0)</f>
        <v>0</v>
      </c>
      <c r="FJ245">
        <f>IF('Calendario Académico 2014'!H:H,"AAAAAH9+96U=",0)</f>
        <v>0</v>
      </c>
      <c r="FK245">
        <f>IF('Calendario Académico 2014'!I:I,"AAAAAH9+96Y=",0)</f>
        <v>0</v>
      </c>
      <c r="FL245">
        <f>IF('Calendario Académico 2014'!J:J,"AAAAAH9+96c=",0)</f>
        <v>0</v>
      </c>
      <c r="FM245">
        <f>IF('Calendario Académico 2014'!K:K,"AAAAAH9+96g=",0)</f>
        <v>0</v>
      </c>
      <c r="FN245">
        <f>IF('Calendario Académico 2014'!L:L,"AAAAAH9+96k=",0)</f>
        <v>0</v>
      </c>
      <c r="FO245">
        <f>IF('Calendario Académico 2014'!M:M,"AAAAAH9+96o=",0)</f>
        <v>0</v>
      </c>
      <c r="FP245">
        <f>IF('Calendario Académico 2014'!N:N,"AAAAAH9+96s=",0)</f>
        <v>0</v>
      </c>
      <c r="FQ245">
        <f>IF('Calendario Académico 2014'!O:O,"AAAAAH9+96w=",0)</f>
        <v>0</v>
      </c>
      <c r="FR245">
        <f>IF('Calendario Académico 2014'!P:P,"AAAAAH9+960=",0)</f>
        <v>0</v>
      </c>
      <c r="FS245">
        <f>IF('Calendario Académico 2014'!Q:Q,"AAAAAH9+964=",0)</f>
        <v>0</v>
      </c>
      <c r="FT245">
        <f>IF('Calendario Académico 2014'!R:R,"AAAAAH9+968=",0)</f>
        <v>0</v>
      </c>
      <c r="FU245">
        <f>IF('Calendario Académico 2014'!S:S,"AAAAAH9+97A=",0)</f>
        <v>0</v>
      </c>
      <c r="FV245">
        <f>IF('Calendario Académico 2014'!T:T,"AAAAAH9+97E=",0)</f>
        <v>0</v>
      </c>
      <c r="FW245">
        <f>IF('Calendario Académico 2014'!U:U,"AAAAAH9+97I=",0)</f>
        <v>0</v>
      </c>
      <c r="FX245">
        <f>IF('Calendario Académico 2014'!V:V,"AAAAAH9+97M=",0)</f>
        <v>0</v>
      </c>
      <c r="FY245">
        <f>IF('Calendario Académico 2014'!W:W,"AAAAAH9+97Q=",0)</f>
        <v>0</v>
      </c>
      <c r="FZ245">
        <f>IF('Calendario Académico 2014'!X:X,"AAAAAH9+97U=",0)</f>
        <v>0</v>
      </c>
      <c r="GA245">
        <f>IF('Calendario Académico 2014'!Y:Y,"AAAAAH9+97Y=",0)</f>
        <v>0</v>
      </c>
      <c r="GB245">
        <f>IF('Calendario Académico 2014'!Z:Z,"AAAAAH9+97c=",0)</f>
        <v>0</v>
      </c>
      <c r="GC245">
        <f>IF('Calendario Académico 2014'!AA:AA,"AAAAAH9+97g=",0)</f>
        <v>0</v>
      </c>
      <c r="GD245">
        <f>IF('Calendario Académico 2014'!AB:AB,"AAAAAH9+97k=",0)</f>
        <v>0</v>
      </c>
      <c r="GE245">
        <f>IF('Calendario Académico 2014'!AC:AC,"AAAAAH9+97o=",0)</f>
        <v>0</v>
      </c>
      <c r="GF245">
        <f>IF('Calendario Académico 2014'!AD:AD,"AAAAAH9+97s=",0)</f>
        <v>0</v>
      </c>
      <c r="GG245">
        <f>IF('Calendario Académico 2014'!AE:AE,"AAAAAH9+97w=",0)</f>
        <v>0</v>
      </c>
      <c r="GH245">
        <f>IF('Calendario Académico 2014'!AF:AF,"AAAAAH9+970=",0)</f>
        <v>0</v>
      </c>
      <c r="GI245">
        <f>IF('Calendario Académico 2014'!AG:AG,"AAAAAH9+974=",0)</f>
        <v>0</v>
      </c>
      <c r="GJ245">
        <f>IF('Calendario Académico 2014'!AH:AH,"AAAAAH9+978=",0)</f>
        <v>0</v>
      </c>
      <c r="GK245" t="s">
        <v>572</v>
      </c>
      <c r="GL245" t="s">
        <v>573</v>
      </c>
      <c r="GM245" s="226" t="s">
        <v>574</v>
      </c>
      <c r="GN245" s="227" t="s">
        <v>575</v>
      </c>
      <c r="GO245" s="228" t="s">
        <v>576</v>
      </c>
      <c r="GP245" t="e">
        <f>IF("N",'Calendario Académico 2014'!_xlnm.Print_Area,"AAAAAH9+98U=")</f>
        <v>#VALUE!</v>
      </c>
      <c r="GQ245" t="e">
        <f>IF("N",'PROG FORMACIÓN TITULADA'!_xlnm.Print_Area,"AAAAAH9+98Y=")</f>
        <v>#VALUE!</v>
      </c>
      <c r="GR245" t="e">
        <f>IF("N",_xlnm.Print_Area,"AAAAAH9+98c=")</f>
        <v>#VALUE!</v>
      </c>
    </row>
    <row r="246" spans="1:256" x14ac:dyDescent="0.2">
      <c r="A246" t="s">
        <v>577</v>
      </c>
      <c r="B246" t="s">
        <v>578</v>
      </c>
      <c r="C246" t="e">
        <f>IF("N",'Calendario Académico 2014'!_xlnm.Print_Area,"AAAAAHb//QI=")</f>
        <v>#VALUE!</v>
      </c>
      <c r="D246" t="e">
        <f>IF("N",'PROG FORMACIÓN TITULADA'!_xlnm.Print_Area,"AAAAAHb//QM=")</f>
        <v>#VALUE!</v>
      </c>
      <c r="E246" t="e">
        <f>IF("N",_xlnm.Print_Area,"AAAAAHb//QQ=")</f>
        <v>#VALUE!</v>
      </c>
    </row>
    <row r="247" spans="1:256" x14ac:dyDescent="0.2">
      <c r="A247" t="e">
        <f>IF('PROG FORMACIÓN TITULADA'!#REF!,"AAAAAE/nvAA=",0)</f>
        <v>#REF!</v>
      </c>
      <c r="B247" t="e">
        <f>AND('PROG FORMACIÓN TITULADA'!#REF!,"AAAAAE/nvAE=")</f>
        <v>#REF!</v>
      </c>
      <c r="C247" t="e">
        <f>AND('PROG FORMACIÓN TITULADA'!#REF!,"AAAAAE/nvAI=")</f>
        <v>#REF!</v>
      </c>
      <c r="D247" t="e">
        <f>AND('PROG FORMACIÓN TITULADA'!#REF!,"AAAAAE/nvAM=")</f>
        <v>#REF!</v>
      </c>
      <c r="E247" t="e">
        <f>AND('PROG FORMACIÓN TITULADA'!#REF!,"AAAAAE/nvAQ=")</f>
        <v>#REF!</v>
      </c>
      <c r="F247" t="e">
        <f>AND('PROG FORMACIÓN TITULADA'!#REF!,"AAAAAE/nvAU=")</f>
        <v>#REF!</v>
      </c>
      <c r="G247" t="e">
        <f>AND('PROG FORMACIÓN TITULADA'!#REF!,"AAAAAE/nvAY=")</f>
        <v>#REF!</v>
      </c>
      <c r="H247" t="e">
        <f>AND('PROG FORMACIÓN TITULADA'!#REF!,"AAAAAE/nvAc=")</f>
        <v>#REF!</v>
      </c>
      <c r="I247" t="e">
        <f>AND('PROG FORMACIÓN TITULADA'!#REF!,"AAAAAE/nvAg=")</f>
        <v>#REF!</v>
      </c>
      <c r="J247" t="e">
        <f>AND('PROG FORMACIÓN TITULADA'!#REF!,"AAAAAE/nvAk=")</f>
        <v>#REF!</v>
      </c>
      <c r="K247" t="e">
        <f>AND('PROG FORMACIÓN TITULADA'!#REF!,"AAAAAE/nvAo=")</f>
        <v>#REF!</v>
      </c>
      <c r="L247" t="e">
        <f>AND('PROG FORMACIÓN TITULADA'!#REF!,"AAAAAE/nvAs=")</f>
        <v>#REF!</v>
      </c>
      <c r="M247" t="e">
        <f>AND('PROG FORMACIÓN TITULADA'!#REF!,"AAAAAE/nvAw=")</f>
        <v>#REF!</v>
      </c>
      <c r="N247" t="e">
        <f>AND('PROG FORMACIÓN TITULADA'!#REF!,"AAAAAE/nvA0=")</f>
        <v>#REF!</v>
      </c>
      <c r="O247" t="e">
        <f>AND('PROG FORMACIÓN TITULADA'!#REF!,"AAAAAE/nvA4=")</f>
        <v>#REF!</v>
      </c>
      <c r="P247" t="e">
        <f>AND('PROG FORMACIÓN TITULADA'!#REF!,"AAAAAE/nvA8=")</f>
        <v>#REF!</v>
      </c>
      <c r="Q247" t="e">
        <f>AND('PROG FORMACIÓN TITULADA'!#REF!,"AAAAAE/nvBA=")</f>
        <v>#REF!</v>
      </c>
      <c r="R247" t="e">
        <f>AND('PROG FORMACIÓN TITULADA'!#REF!,"AAAAAE/nvBE=")</f>
        <v>#REF!</v>
      </c>
      <c r="S247" t="e">
        <f>AND('PROG FORMACIÓN TITULADA'!#REF!,"AAAAAE/nvBI=")</f>
        <v>#REF!</v>
      </c>
      <c r="T247" t="e">
        <f>AND('PROG FORMACIÓN TITULADA'!#REF!,"AAAAAE/nvBM=")</f>
        <v>#REF!</v>
      </c>
      <c r="U247" t="e">
        <f>AND('PROG FORMACIÓN TITULADA'!#REF!,"AAAAAE/nvBQ=")</f>
        <v>#REF!</v>
      </c>
      <c r="V247" t="e">
        <f>AND('PROG FORMACIÓN TITULADA'!#REF!,"AAAAAE/nvBU=")</f>
        <v>#REF!</v>
      </c>
      <c r="W247" t="e">
        <f>AND('PROG FORMACIÓN TITULADA'!#REF!,"AAAAAE/nvBY=")</f>
        <v>#REF!</v>
      </c>
      <c r="X247" t="e">
        <f>AND('PROG FORMACIÓN TITULADA'!#REF!,"AAAAAE/nvBc=")</f>
        <v>#REF!</v>
      </c>
      <c r="Y247" t="e">
        <f>AND('PROG FORMACIÓN TITULADA'!#REF!,"AAAAAE/nvBg=")</f>
        <v>#REF!</v>
      </c>
      <c r="Z247" t="e">
        <f>AND('PROG FORMACIÓN TITULADA'!#REF!,"AAAAAE/nvBk=")</f>
        <v>#REF!</v>
      </c>
      <c r="AA247" t="e">
        <f>AND('PROG FORMACIÓN TITULADA'!#REF!,"AAAAAE/nvBo=")</f>
        <v>#REF!</v>
      </c>
      <c r="AB247" t="e">
        <f>IF('PROG FORMACIÓN TITULADA'!#REF!,"AAAAAE/nvBs=",0)</f>
        <v>#REF!</v>
      </c>
      <c r="AC247" t="e">
        <f>AND('PROG FORMACIÓN TITULADA'!#REF!,"AAAAAE/nvBw=")</f>
        <v>#REF!</v>
      </c>
      <c r="AD247" t="e">
        <f>AND('PROG FORMACIÓN TITULADA'!#REF!,"AAAAAE/nvB0=")</f>
        <v>#REF!</v>
      </c>
      <c r="AE247" t="e">
        <f>AND('PROG FORMACIÓN TITULADA'!#REF!,"AAAAAE/nvB4=")</f>
        <v>#REF!</v>
      </c>
      <c r="AF247" t="e">
        <f>AND('PROG FORMACIÓN TITULADA'!#REF!,"AAAAAE/nvB8=")</f>
        <v>#REF!</v>
      </c>
      <c r="AG247" t="e">
        <f>AND('PROG FORMACIÓN TITULADA'!#REF!,"AAAAAE/nvCA=")</f>
        <v>#REF!</v>
      </c>
      <c r="AH247" t="e">
        <f>AND('PROG FORMACIÓN TITULADA'!#REF!,"AAAAAE/nvCE=")</f>
        <v>#REF!</v>
      </c>
      <c r="AI247" t="e">
        <f>AND('PROG FORMACIÓN TITULADA'!#REF!,"AAAAAE/nvCI=")</f>
        <v>#REF!</v>
      </c>
      <c r="AJ247" t="e">
        <f>AND('PROG FORMACIÓN TITULADA'!#REF!,"AAAAAE/nvCM=")</f>
        <v>#REF!</v>
      </c>
      <c r="AK247" t="e">
        <f>AND('PROG FORMACIÓN TITULADA'!#REF!,"AAAAAE/nvCQ=")</f>
        <v>#REF!</v>
      </c>
      <c r="AL247" t="e">
        <f>AND('PROG FORMACIÓN TITULADA'!#REF!,"AAAAAE/nvCU=")</f>
        <v>#REF!</v>
      </c>
      <c r="AM247" t="e">
        <f>AND('PROG FORMACIÓN TITULADA'!#REF!,"AAAAAE/nvCY=")</f>
        <v>#REF!</v>
      </c>
      <c r="AN247" t="e">
        <f>AND('PROG FORMACIÓN TITULADA'!#REF!,"AAAAAE/nvCc=")</f>
        <v>#REF!</v>
      </c>
      <c r="AO247" t="e">
        <f>AND('PROG FORMACIÓN TITULADA'!#REF!,"AAAAAE/nvCg=")</f>
        <v>#REF!</v>
      </c>
      <c r="AP247" t="e">
        <f>AND('PROG FORMACIÓN TITULADA'!#REF!,"AAAAAE/nvCk=")</f>
        <v>#REF!</v>
      </c>
      <c r="AQ247" t="e">
        <f>AND('PROG FORMACIÓN TITULADA'!#REF!,"AAAAAE/nvCo=")</f>
        <v>#REF!</v>
      </c>
      <c r="AR247" t="e">
        <f>AND('PROG FORMACIÓN TITULADA'!#REF!,"AAAAAE/nvCs=")</f>
        <v>#REF!</v>
      </c>
      <c r="AS247" t="e">
        <f>AND('PROG FORMACIÓN TITULADA'!#REF!,"AAAAAE/nvCw=")</f>
        <v>#REF!</v>
      </c>
      <c r="AT247" t="e">
        <f>AND('PROG FORMACIÓN TITULADA'!#REF!,"AAAAAE/nvC0=")</f>
        <v>#REF!</v>
      </c>
      <c r="AU247" t="e">
        <f>AND('PROG FORMACIÓN TITULADA'!#REF!,"AAAAAE/nvC4=")</f>
        <v>#REF!</v>
      </c>
      <c r="AV247" t="e">
        <f>AND('PROG FORMACIÓN TITULADA'!#REF!,"AAAAAE/nvC8=")</f>
        <v>#REF!</v>
      </c>
      <c r="AW247" t="e">
        <f>AND('PROG FORMACIÓN TITULADA'!#REF!,"AAAAAE/nvDA=")</f>
        <v>#REF!</v>
      </c>
      <c r="AX247" t="e">
        <f>AND('PROG FORMACIÓN TITULADA'!#REF!,"AAAAAE/nvDE=")</f>
        <v>#REF!</v>
      </c>
      <c r="AY247" t="e">
        <f>AND('PROG FORMACIÓN TITULADA'!#REF!,"AAAAAE/nvDI=")</f>
        <v>#REF!</v>
      </c>
      <c r="AZ247" t="e">
        <f>AND('PROG FORMACIÓN TITULADA'!#REF!,"AAAAAE/nvDM=")</f>
        <v>#REF!</v>
      </c>
      <c r="BA247" t="e">
        <f>AND('PROG FORMACIÓN TITULADA'!#REF!,"AAAAAE/nvDQ=")</f>
        <v>#REF!</v>
      </c>
      <c r="BB247" t="e">
        <f>AND('PROG FORMACIÓN TITULADA'!#REF!,"AAAAAE/nvDU=")</f>
        <v>#REF!</v>
      </c>
      <c r="BC247" t="e">
        <f>IF('PROG FORMACIÓN TITULADA'!#REF!,"AAAAAE/nvDY=",0)</f>
        <v>#REF!</v>
      </c>
      <c r="BD247" t="e">
        <f>AND('PROG FORMACIÓN TITULADA'!#REF!,"AAAAAE/nvDc=")</f>
        <v>#REF!</v>
      </c>
      <c r="BE247" t="e">
        <f>AND('PROG FORMACIÓN TITULADA'!#REF!,"AAAAAE/nvDg=")</f>
        <v>#REF!</v>
      </c>
      <c r="BF247" t="e">
        <f>AND('PROG FORMACIÓN TITULADA'!#REF!,"AAAAAE/nvDk=")</f>
        <v>#REF!</v>
      </c>
      <c r="BG247" t="e">
        <f>AND('PROG FORMACIÓN TITULADA'!#REF!,"AAAAAE/nvDo=")</f>
        <v>#REF!</v>
      </c>
      <c r="BH247" t="e">
        <f>AND('PROG FORMACIÓN TITULADA'!#REF!,"AAAAAE/nvDs=")</f>
        <v>#REF!</v>
      </c>
      <c r="BI247" t="e">
        <f>AND('PROG FORMACIÓN TITULADA'!#REF!,"AAAAAE/nvDw=")</f>
        <v>#REF!</v>
      </c>
      <c r="BJ247" t="e">
        <f>AND('PROG FORMACIÓN TITULADA'!#REF!,"AAAAAE/nvD0=")</f>
        <v>#REF!</v>
      </c>
      <c r="BK247" t="e">
        <f>AND('PROG FORMACIÓN TITULADA'!#REF!,"AAAAAE/nvD4=")</f>
        <v>#REF!</v>
      </c>
      <c r="BL247" t="e">
        <f>AND('PROG FORMACIÓN TITULADA'!#REF!,"AAAAAE/nvD8=")</f>
        <v>#REF!</v>
      </c>
      <c r="BM247" t="e">
        <f>AND('PROG FORMACIÓN TITULADA'!#REF!,"AAAAAE/nvEA=")</f>
        <v>#REF!</v>
      </c>
      <c r="BN247" t="e">
        <f>AND('PROG FORMACIÓN TITULADA'!#REF!,"AAAAAE/nvEE=")</f>
        <v>#REF!</v>
      </c>
      <c r="BO247" t="e">
        <f>AND('PROG FORMACIÓN TITULADA'!#REF!,"AAAAAE/nvEI=")</f>
        <v>#REF!</v>
      </c>
      <c r="BP247" t="e">
        <f>AND('PROG FORMACIÓN TITULADA'!#REF!,"AAAAAE/nvEM=")</f>
        <v>#REF!</v>
      </c>
      <c r="BQ247" t="e">
        <f>AND('PROG FORMACIÓN TITULADA'!#REF!,"AAAAAE/nvEQ=")</f>
        <v>#REF!</v>
      </c>
      <c r="BR247" t="e">
        <f>AND('PROG FORMACIÓN TITULADA'!#REF!,"AAAAAE/nvEU=")</f>
        <v>#REF!</v>
      </c>
      <c r="BS247" t="e">
        <f>AND('PROG FORMACIÓN TITULADA'!#REF!,"AAAAAE/nvEY=")</f>
        <v>#REF!</v>
      </c>
      <c r="BT247" t="e">
        <f>AND('PROG FORMACIÓN TITULADA'!#REF!,"AAAAAE/nvEc=")</f>
        <v>#REF!</v>
      </c>
      <c r="BU247" t="e">
        <f>AND('PROG FORMACIÓN TITULADA'!#REF!,"AAAAAE/nvEg=")</f>
        <v>#REF!</v>
      </c>
      <c r="BV247" t="e">
        <f>AND('PROG FORMACIÓN TITULADA'!#REF!,"AAAAAE/nvEk=")</f>
        <v>#REF!</v>
      </c>
      <c r="BW247" t="e">
        <f>AND('PROG FORMACIÓN TITULADA'!#REF!,"AAAAAE/nvEo=")</f>
        <v>#REF!</v>
      </c>
      <c r="BX247" t="e">
        <f>AND('PROG FORMACIÓN TITULADA'!#REF!,"AAAAAE/nvEs=")</f>
        <v>#REF!</v>
      </c>
      <c r="BY247" t="e">
        <f>AND('PROG FORMACIÓN TITULADA'!#REF!,"AAAAAE/nvEw=")</f>
        <v>#REF!</v>
      </c>
      <c r="BZ247" t="e">
        <f>AND('PROG FORMACIÓN TITULADA'!#REF!,"AAAAAE/nvE0=")</f>
        <v>#REF!</v>
      </c>
      <c r="CA247" t="e">
        <f>AND('PROG FORMACIÓN TITULADA'!#REF!,"AAAAAE/nvE4=")</f>
        <v>#REF!</v>
      </c>
      <c r="CB247" t="e">
        <f>AND('PROG FORMACIÓN TITULADA'!#REF!,"AAAAAE/nvE8=")</f>
        <v>#REF!</v>
      </c>
      <c r="CC247" t="e">
        <f>AND('PROG FORMACIÓN TITULADA'!#REF!,"AAAAAE/nvFA=")</f>
        <v>#REF!</v>
      </c>
      <c r="CD247" t="e">
        <f>IF('PROG FORMACIÓN TITULADA'!#REF!,"AAAAAE/nvFE=",0)</f>
        <v>#REF!</v>
      </c>
      <c r="CE247" t="e">
        <f>AND('PROG FORMACIÓN TITULADA'!#REF!,"AAAAAE/nvFI=")</f>
        <v>#REF!</v>
      </c>
      <c r="CF247" t="e">
        <f>AND('PROG FORMACIÓN TITULADA'!#REF!,"AAAAAE/nvFM=")</f>
        <v>#REF!</v>
      </c>
      <c r="CG247" t="e">
        <f>AND('PROG FORMACIÓN TITULADA'!#REF!,"AAAAAE/nvFQ=")</f>
        <v>#REF!</v>
      </c>
      <c r="CH247" t="e">
        <f>AND('PROG FORMACIÓN TITULADA'!#REF!,"AAAAAE/nvFU=")</f>
        <v>#REF!</v>
      </c>
      <c r="CI247" t="e">
        <f>AND('PROG FORMACIÓN TITULADA'!#REF!,"AAAAAE/nvFY=")</f>
        <v>#REF!</v>
      </c>
      <c r="CJ247" t="e">
        <f>AND('PROG FORMACIÓN TITULADA'!#REF!,"AAAAAE/nvFc=")</f>
        <v>#REF!</v>
      </c>
      <c r="CK247" t="e">
        <f>AND('PROG FORMACIÓN TITULADA'!#REF!,"AAAAAE/nvFg=")</f>
        <v>#REF!</v>
      </c>
      <c r="CL247" t="e">
        <f>AND('PROG FORMACIÓN TITULADA'!#REF!,"AAAAAE/nvFk=")</f>
        <v>#REF!</v>
      </c>
      <c r="CM247" t="e">
        <f>AND('PROG FORMACIÓN TITULADA'!#REF!,"AAAAAE/nvFo=")</f>
        <v>#REF!</v>
      </c>
      <c r="CN247" t="e">
        <f>AND('PROG FORMACIÓN TITULADA'!#REF!,"AAAAAE/nvFs=")</f>
        <v>#REF!</v>
      </c>
      <c r="CO247" t="e">
        <f>AND('PROG FORMACIÓN TITULADA'!#REF!,"AAAAAE/nvFw=")</f>
        <v>#REF!</v>
      </c>
      <c r="CP247" t="e">
        <f>AND('PROG FORMACIÓN TITULADA'!#REF!,"AAAAAE/nvF0=")</f>
        <v>#REF!</v>
      </c>
      <c r="CQ247" t="e">
        <f>AND('PROG FORMACIÓN TITULADA'!#REF!,"AAAAAE/nvF4=")</f>
        <v>#REF!</v>
      </c>
      <c r="CR247" t="e">
        <f>AND('PROG FORMACIÓN TITULADA'!#REF!,"AAAAAE/nvF8=")</f>
        <v>#REF!</v>
      </c>
      <c r="CS247" t="e">
        <f>AND('PROG FORMACIÓN TITULADA'!#REF!,"AAAAAE/nvGA=")</f>
        <v>#REF!</v>
      </c>
      <c r="CT247" t="e">
        <f>AND('PROG FORMACIÓN TITULADA'!#REF!,"AAAAAE/nvGE=")</f>
        <v>#REF!</v>
      </c>
      <c r="CU247" t="e">
        <f>AND('PROG FORMACIÓN TITULADA'!#REF!,"AAAAAE/nvGI=")</f>
        <v>#REF!</v>
      </c>
      <c r="CV247" t="e">
        <f>AND('PROG FORMACIÓN TITULADA'!#REF!,"AAAAAE/nvGM=")</f>
        <v>#REF!</v>
      </c>
      <c r="CW247" t="e">
        <f>AND('PROG FORMACIÓN TITULADA'!#REF!,"AAAAAE/nvGQ=")</f>
        <v>#REF!</v>
      </c>
      <c r="CX247" t="e">
        <f>AND('PROG FORMACIÓN TITULADA'!#REF!,"AAAAAE/nvGU=")</f>
        <v>#REF!</v>
      </c>
      <c r="CY247" t="e">
        <f>AND('PROG FORMACIÓN TITULADA'!#REF!,"AAAAAE/nvGY=")</f>
        <v>#REF!</v>
      </c>
      <c r="CZ247" t="e">
        <f>AND('PROG FORMACIÓN TITULADA'!#REF!,"AAAAAE/nvGc=")</f>
        <v>#REF!</v>
      </c>
      <c r="DA247" t="e">
        <f>AND('PROG FORMACIÓN TITULADA'!#REF!,"AAAAAE/nvGg=")</f>
        <v>#REF!</v>
      </c>
      <c r="DB247" t="e">
        <f>AND('PROG FORMACIÓN TITULADA'!#REF!,"AAAAAE/nvGk=")</f>
        <v>#REF!</v>
      </c>
      <c r="DC247" t="e">
        <f>AND('PROG FORMACIÓN TITULADA'!#REF!,"AAAAAE/nvGo=")</f>
        <v>#REF!</v>
      </c>
      <c r="DD247" t="e">
        <f>AND('PROG FORMACIÓN TITULADA'!#REF!,"AAAAAE/nvGs=")</f>
        <v>#REF!</v>
      </c>
      <c r="DE247" t="e">
        <f>IF('PROG FORMACIÓN TITULADA'!#REF!,"AAAAAE/nvGw=",0)</f>
        <v>#REF!</v>
      </c>
      <c r="DF247" t="e">
        <f>AND('PROG FORMACIÓN TITULADA'!#REF!,"AAAAAE/nvG0=")</f>
        <v>#REF!</v>
      </c>
      <c r="DG247" t="e">
        <f>AND('PROG FORMACIÓN TITULADA'!#REF!,"AAAAAE/nvG4=")</f>
        <v>#REF!</v>
      </c>
      <c r="DH247" t="e">
        <f>AND('PROG FORMACIÓN TITULADA'!#REF!,"AAAAAE/nvG8=")</f>
        <v>#REF!</v>
      </c>
      <c r="DI247" t="e">
        <f>AND('PROG FORMACIÓN TITULADA'!#REF!,"AAAAAE/nvHA=")</f>
        <v>#REF!</v>
      </c>
      <c r="DJ247" t="e">
        <f>AND('PROG FORMACIÓN TITULADA'!#REF!,"AAAAAE/nvHE=")</f>
        <v>#REF!</v>
      </c>
      <c r="DK247" t="e">
        <f>AND('PROG FORMACIÓN TITULADA'!#REF!,"AAAAAE/nvHI=")</f>
        <v>#REF!</v>
      </c>
      <c r="DL247" t="e">
        <f>AND('PROG FORMACIÓN TITULADA'!#REF!,"AAAAAE/nvHM=")</f>
        <v>#REF!</v>
      </c>
      <c r="DM247" t="e">
        <f>AND('PROG FORMACIÓN TITULADA'!#REF!,"AAAAAE/nvHQ=")</f>
        <v>#REF!</v>
      </c>
      <c r="DN247" t="e">
        <f>AND('PROG FORMACIÓN TITULADA'!#REF!,"AAAAAE/nvHU=")</f>
        <v>#REF!</v>
      </c>
      <c r="DO247" t="e">
        <f>AND('PROG FORMACIÓN TITULADA'!#REF!,"AAAAAE/nvHY=")</f>
        <v>#REF!</v>
      </c>
      <c r="DP247" t="e">
        <f>AND('PROG FORMACIÓN TITULADA'!#REF!,"AAAAAE/nvHc=")</f>
        <v>#REF!</v>
      </c>
      <c r="DQ247" t="e">
        <f>AND('PROG FORMACIÓN TITULADA'!#REF!,"AAAAAE/nvHg=")</f>
        <v>#REF!</v>
      </c>
      <c r="DR247" t="e">
        <f>AND('PROG FORMACIÓN TITULADA'!#REF!,"AAAAAE/nvHk=")</f>
        <v>#REF!</v>
      </c>
      <c r="DS247" t="e">
        <f>AND('PROG FORMACIÓN TITULADA'!#REF!,"AAAAAE/nvHo=")</f>
        <v>#REF!</v>
      </c>
      <c r="DT247" t="e">
        <f>AND('PROG FORMACIÓN TITULADA'!#REF!,"AAAAAE/nvHs=")</f>
        <v>#REF!</v>
      </c>
      <c r="DU247" t="e">
        <f>AND('PROG FORMACIÓN TITULADA'!#REF!,"AAAAAE/nvHw=")</f>
        <v>#REF!</v>
      </c>
      <c r="DV247" t="e">
        <f>AND('PROG FORMACIÓN TITULADA'!#REF!,"AAAAAE/nvH0=")</f>
        <v>#REF!</v>
      </c>
      <c r="DW247" t="e">
        <f>AND('PROG FORMACIÓN TITULADA'!#REF!,"AAAAAE/nvH4=")</f>
        <v>#REF!</v>
      </c>
      <c r="DX247" t="e">
        <f>AND('PROG FORMACIÓN TITULADA'!#REF!,"AAAAAE/nvH8=")</f>
        <v>#REF!</v>
      </c>
      <c r="DY247" t="e">
        <f>AND('PROG FORMACIÓN TITULADA'!#REF!,"AAAAAE/nvIA=")</f>
        <v>#REF!</v>
      </c>
      <c r="DZ247" t="e">
        <f>AND('PROG FORMACIÓN TITULADA'!#REF!,"AAAAAE/nvIE=")</f>
        <v>#REF!</v>
      </c>
      <c r="EA247" t="e">
        <f>AND('PROG FORMACIÓN TITULADA'!#REF!,"AAAAAE/nvII=")</f>
        <v>#REF!</v>
      </c>
      <c r="EB247" t="e">
        <f>AND('PROG FORMACIÓN TITULADA'!#REF!,"AAAAAE/nvIM=")</f>
        <v>#REF!</v>
      </c>
      <c r="EC247" t="e">
        <f>AND('PROG FORMACIÓN TITULADA'!#REF!,"AAAAAE/nvIQ=")</f>
        <v>#REF!</v>
      </c>
      <c r="ED247" t="e">
        <f>AND('PROG FORMACIÓN TITULADA'!#REF!,"AAAAAE/nvIU=")</f>
        <v>#REF!</v>
      </c>
      <c r="EE247" t="e">
        <f>AND('PROG FORMACIÓN TITULADA'!#REF!,"AAAAAE/nvIY=")</f>
        <v>#REF!</v>
      </c>
      <c r="EF247" t="e">
        <f>IF('PROG FORMACIÓN TITULADA'!#REF!,"AAAAAE/nvIc=",0)</f>
        <v>#REF!</v>
      </c>
      <c r="EG247" t="e">
        <f>AND('PROG FORMACIÓN TITULADA'!#REF!,"AAAAAE/nvIg=")</f>
        <v>#REF!</v>
      </c>
      <c r="EH247" t="e">
        <f>AND('PROG FORMACIÓN TITULADA'!#REF!,"AAAAAE/nvIk=")</f>
        <v>#REF!</v>
      </c>
      <c r="EI247" t="e">
        <f>AND('PROG FORMACIÓN TITULADA'!#REF!,"AAAAAE/nvIo=")</f>
        <v>#REF!</v>
      </c>
      <c r="EJ247" t="e">
        <f>AND('PROG FORMACIÓN TITULADA'!#REF!,"AAAAAE/nvIs=")</f>
        <v>#REF!</v>
      </c>
      <c r="EK247" t="e">
        <f>AND('PROG FORMACIÓN TITULADA'!#REF!,"AAAAAE/nvIw=")</f>
        <v>#REF!</v>
      </c>
      <c r="EL247" t="e">
        <f>AND('PROG FORMACIÓN TITULADA'!#REF!,"AAAAAE/nvI0=")</f>
        <v>#REF!</v>
      </c>
      <c r="EM247" t="e">
        <f>AND('PROG FORMACIÓN TITULADA'!#REF!,"AAAAAE/nvI4=")</f>
        <v>#REF!</v>
      </c>
      <c r="EN247" t="e">
        <f>AND('PROG FORMACIÓN TITULADA'!#REF!,"AAAAAE/nvI8=")</f>
        <v>#REF!</v>
      </c>
      <c r="EO247" t="e">
        <f>AND('PROG FORMACIÓN TITULADA'!#REF!,"AAAAAE/nvJA=")</f>
        <v>#REF!</v>
      </c>
      <c r="EP247" t="e">
        <f>AND('PROG FORMACIÓN TITULADA'!#REF!,"AAAAAE/nvJE=")</f>
        <v>#REF!</v>
      </c>
      <c r="EQ247" t="e">
        <f>AND('PROG FORMACIÓN TITULADA'!#REF!,"AAAAAE/nvJI=")</f>
        <v>#REF!</v>
      </c>
      <c r="ER247" t="e">
        <f>AND('PROG FORMACIÓN TITULADA'!#REF!,"AAAAAE/nvJM=")</f>
        <v>#REF!</v>
      </c>
      <c r="ES247" t="e">
        <f>AND('PROG FORMACIÓN TITULADA'!#REF!,"AAAAAE/nvJQ=")</f>
        <v>#REF!</v>
      </c>
      <c r="ET247" t="e">
        <f>AND('PROG FORMACIÓN TITULADA'!#REF!,"AAAAAE/nvJU=")</f>
        <v>#REF!</v>
      </c>
      <c r="EU247" t="e">
        <f>AND('PROG FORMACIÓN TITULADA'!#REF!,"AAAAAE/nvJY=")</f>
        <v>#REF!</v>
      </c>
      <c r="EV247" t="e">
        <f>AND('PROG FORMACIÓN TITULADA'!#REF!,"AAAAAE/nvJc=")</f>
        <v>#REF!</v>
      </c>
      <c r="EW247" t="e">
        <f>AND('PROG FORMACIÓN TITULADA'!#REF!,"AAAAAE/nvJg=")</f>
        <v>#REF!</v>
      </c>
      <c r="EX247" t="e">
        <f>AND('PROG FORMACIÓN TITULADA'!#REF!,"AAAAAE/nvJk=")</f>
        <v>#REF!</v>
      </c>
      <c r="EY247" t="e">
        <f>AND('PROG FORMACIÓN TITULADA'!#REF!,"AAAAAE/nvJo=")</f>
        <v>#REF!</v>
      </c>
      <c r="EZ247" t="e">
        <f>AND('PROG FORMACIÓN TITULADA'!#REF!,"AAAAAE/nvJs=")</f>
        <v>#REF!</v>
      </c>
      <c r="FA247" t="e">
        <f>AND('PROG FORMACIÓN TITULADA'!#REF!,"AAAAAE/nvJw=")</f>
        <v>#REF!</v>
      </c>
      <c r="FB247" t="e">
        <f>AND('PROG FORMACIÓN TITULADA'!#REF!,"AAAAAE/nvJ0=")</f>
        <v>#REF!</v>
      </c>
      <c r="FC247" t="e">
        <f>AND('PROG FORMACIÓN TITULADA'!#REF!,"AAAAAE/nvJ4=")</f>
        <v>#REF!</v>
      </c>
      <c r="FD247" t="e">
        <f>AND('PROG FORMACIÓN TITULADA'!#REF!,"AAAAAE/nvJ8=")</f>
        <v>#REF!</v>
      </c>
      <c r="FE247" t="e">
        <f>AND('PROG FORMACIÓN TITULADA'!#REF!,"AAAAAE/nvKA=")</f>
        <v>#REF!</v>
      </c>
      <c r="FF247" t="e">
        <f>AND('PROG FORMACIÓN TITULADA'!#REF!,"AAAAAE/nvKE=")</f>
        <v>#REF!</v>
      </c>
      <c r="FG247" t="e">
        <f>IF('PROG FORMACIÓN TITULADA'!#REF!,"AAAAAE/nvKI=",0)</f>
        <v>#REF!</v>
      </c>
      <c r="FH247" t="e">
        <f>AND('PROG FORMACIÓN TITULADA'!#REF!,"AAAAAE/nvKM=")</f>
        <v>#REF!</v>
      </c>
      <c r="FI247" t="e">
        <f>AND('PROG FORMACIÓN TITULADA'!#REF!,"AAAAAE/nvKQ=")</f>
        <v>#REF!</v>
      </c>
      <c r="FJ247" t="e">
        <f>AND('PROG FORMACIÓN TITULADA'!#REF!,"AAAAAE/nvKU=")</f>
        <v>#REF!</v>
      </c>
      <c r="FK247" t="e">
        <f>AND('PROG FORMACIÓN TITULADA'!#REF!,"AAAAAE/nvKY=")</f>
        <v>#REF!</v>
      </c>
      <c r="FL247" t="e">
        <f>AND('PROG FORMACIÓN TITULADA'!#REF!,"AAAAAE/nvKc=")</f>
        <v>#REF!</v>
      </c>
      <c r="FM247" t="e">
        <f>AND('PROG FORMACIÓN TITULADA'!#REF!,"AAAAAE/nvKg=")</f>
        <v>#REF!</v>
      </c>
      <c r="FN247" t="e">
        <f>AND('PROG FORMACIÓN TITULADA'!#REF!,"AAAAAE/nvKk=")</f>
        <v>#REF!</v>
      </c>
      <c r="FO247" t="e">
        <f>AND('PROG FORMACIÓN TITULADA'!#REF!,"AAAAAE/nvKo=")</f>
        <v>#REF!</v>
      </c>
      <c r="FP247" t="e">
        <f>AND('PROG FORMACIÓN TITULADA'!#REF!,"AAAAAE/nvKs=")</f>
        <v>#REF!</v>
      </c>
      <c r="FQ247" t="e">
        <f>AND('PROG FORMACIÓN TITULADA'!#REF!,"AAAAAE/nvKw=")</f>
        <v>#REF!</v>
      </c>
      <c r="FR247" t="e">
        <f>AND('PROG FORMACIÓN TITULADA'!#REF!,"AAAAAE/nvK0=")</f>
        <v>#REF!</v>
      </c>
      <c r="FS247" t="e">
        <f>AND('PROG FORMACIÓN TITULADA'!#REF!,"AAAAAE/nvK4=")</f>
        <v>#REF!</v>
      </c>
      <c r="FT247" t="e">
        <f>AND('PROG FORMACIÓN TITULADA'!#REF!,"AAAAAE/nvK8=")</f>
        <v>#REF!</v>
      </c>
      <c r="FU247" t="e">
        <f>AND('PROG FORMACIÓN TITULADA'!#REF!,"AAAAAE/nvLA=")</f>
        <v>#REF!</v>
      </c>
      <c r="FV247" t="e">
        <f>AND('PROG FORMACIÓN TITULADA'!#REF!,"AAAAAE/nvLE=")</f>
        <v>#REF!</v>
      </c>
      <c r="FW247" t="e">
        <f>AND('PROG FORMACIÓN TITULADA'!#REF!,"AAAAAE/nvLI=")</f>
        <v>#REF!</v>
      </c>
      <c r="FX247" t="e">
        <f>AND('PROG FORMACIÓN TITULADA'!#REF!,"AAAAAE/nvLM=")</f>
        <v>#REF!</v>
      </c>
      <c r="FY247" t="e">
        <f>AND('PROG FORMACIÓN TITULADA'!#REF!,"AAAAAE/nvLQ=")</f>
        <v>#REF!</v>
      </c>
      <c r="FZ247" t="e">
        <f>AND('PROG FORMACIÓN TITULADA'!#REF!,"AAAAAE/nvLU=")</f>
        <v>#REF!</v>
      </c>
      <c r="GA247" t="e">
        <f>AND('PROG FORMACIÓN TITULADA'!#REF!,"AAAAAE/nvLY=")</f>
        <v>#REF!</v>
      </c>
      <c r="GB247" t="e">
        <f>AND('PROG FORMACIÓN TITULADA'!#REF!,"AAAAAE/nvLc=")</f>
        <v>#REF!</v>
      </c>
      <c r="GC247" t="e">
        <f>AND('PROG FORMACIÓN TITULADA'!#REF!,"AAAAAE/nvLg=")</f>
        <v>#REF!</v>
      </c>
      <c r="GD247" t="e">
        <f>AND('PROG FORMACIÓN TITULADA'!#REF!,"AAAAAE/nvLk=")</f>
        <v>#REF!</v>
      </c>
      <c r="GE247" t="e">
        <f>AND('PROG FORMACIÓN TITULADA'!#REF!,"AAAAAE/nvLo=")</f>
        <v>#REF!</v>
      </c>
      <c r="GF247" t="e">
        <f>AND('PROG FORMACIÓN TITULADA'!#REF!,"AAAAAE/nvLs=")</f>
        <v>#REF!</v>
      </c>
      <c r="GG247" t="e">
        <f>AND('PROG FORMACIÓN TITULADA'!#REF!,"AAAAAE/nvLw=")</f>
        <v>#REF!</v>
      </c>
      <c r="GH247" t="e">
        <f>IF('PROG FORMACIÓN TITULADA'!#REF!,"AAAAAE/nvL0=",0)</f>
        <v>#REF!</v>
      </c>
      <c r="GI247" t="e">
        <f>AND('PROG FORMACIÓN TITULADA'!#REF!,"AAAAAE/nvL4=")</f>
        <v>#REF!</v>
      </c>
      <c r="GJ247" t="e">
        <f>AND('PROG FORMACIÓN TITULADA'!#REF!,"AAAAAE/nvL8=")</f>
        <v>#REF!</v>
      </c>
      <c r="GK247" t="e">
        <f>AND('PROG FORMACIÓN TITULADA'!#REF!,"AAAAAE/nvMA=")</f>
        <v>#REF!</v>
      </c>
      <c r="GL247" t="e">
        <f>AND('PROG FORMACIÓN TITULADA'!#REF!,"AAAAAE/nvME=")</f>
        <v>#REF!</v>
      </c>
      <c r="GM247" t="e">
        <f>AND('PROG FORMACIÓN TITULADA'!#REF!,"AAAAAE/nvMI=")</f>
        <v>#REF!</v>
      </c>
      <c r="GN247" t="e">
        <f>AND('PROG FORMACIÓN TITULADA'!#REF!,"AAAAAE/nvMM=")</f>
        <v>#REF!</v>
      </c>
      <c r="GO247" t="e">
        <f>AND('PROG FORMACIÓN TITULADA'!#REF!,"AAAAAE/nvMQ=")</f>
        <v>#REF!</v>
      </c>
      <c r="GP247" t="e">
        <f>AND('PROG FORMACIÓN TITULADA'!#REF!,"AAAAAE/nvMU=")</f>
        <v>#REF!</v>
      </c>
      <c r="GQ247" t="e">
        <f>AND('PROG FORMACIÓN TITULADA'!#REF!,"AAAAAE/nvMY=")</f>
        <v>#REF!</v>
      </c>
      <c r="GR247" t="e">
        <f>AND('PROG FORMACIÓN TITULADA'!#REF!,"AAAAAE/nvMc=")</f>
        <v>#REF!</v>
      </c>
      <c r="GS247" t="e">
        <f>AND('PROG FORMACIÓN TITULADA'!#REF!,"AAAAAE/nvMg=")</f>
        <v>#REF!</v>
      </c>
      <c r="GT247" t="e">
        <f>AND('PROG FORMACIÓN TITULADA'!#REF!,"AAAAAE/nvMk=")</f>
        <v>#REF!</v>
      </c>
      <c r="GU247" t="e">
        <f>AND('PROG FORMACIÓN TITULADA'!#REF!,"AAAAAE/nvMo=")</f>
        <v>#REF!</v>
      </c>
      <c r="GV247" t="e">
        <f>AND('PROG FORMACIÓN TITULADA'!#REF!,"AAAAAE/nvMs=")</f>
        <v>#REF!</v>
      </c>
      <c r="GW247" t="e">
        <f>AND('PROG FORMACIÓN TITULADA'!#REF!,"AAAAAE/nvMw=")</f>
        <v>#REF!</v>
      </c>
      <c r="GX247" t="e">
        <f>AND('PROG FORMACIÓN TITULADA'!#REF!,"AAAAAE/nvM0=")</f>
        <v>#REF!</v>
      </c>
      <c r="GY247" t="e">
        <f>AND('PROG FORMACIÓN TITULADA'!#REF!,"AAAAAE/nvM4=")</f>
        <v>#REF!</v>
      </c>
      <c r="GZ247" t="e">
        <f>AND('PROG FORMACIÓN TITULADA'!#REF!,"AAAAAE/nvM8=")</f>
        <v>#REF!</v>
      </c>
      <c r="HA247" t="e">
        <f>AND('PROG FORMACIÓN TITULADA'!#REF!,"AAAAAE/nvNA=")</f>
        <v>#REF!</v>
      </c>
      <c r="HB247" t="e">
        <f>AND('PROG FORMACIÓN TITULADA'!#REF!,"AAAAAE/nvNE=")</f>
        <v>#REF!</v>
      </c>
      <c r="HC247" t="e">
        <f>AND('PROG FORMACIÓN TITULADA'!#REF!,"AAAAAE/nvNI=")</f>
        <v>#REF!</v>
      </c>
      <c r="HD247" t="e">
        <f>AND('PROG FORMACIÓN TITULADA'!#REF!,"AAAAAE/nvNM=")</f>
        <v>#REF!</v>
      </c>
      <c r="HE247" t="e">
        <f>AND('PROG FORMACIÓN TITULADA'!#REF!,"AAAAAE/nvNQ=")</f>
        <v>#REF!</v>
      </c>
      <c r="HF247" t="e">
        <f>AND('PROG FORMACIÓN TITULADA'!#REF!,"AAAAAE/nvNU=")</f>
        <v>#REF!</v>
      </c>
      <c r="HG247" t="e">
        <f>AND('PROG FORMACIÓN TITULADA'!#REF!,"AAAAAE/nvNY=")</f>
        <v>#REF!</v>
      </c>
      <c r="HH247" t="e">
        <f>AND('PROG FORMACIÓN TITULADA'!#REF!,"AAAAAE/nvNc=")</f>
        <v>#REF!</v>
      </c>
      <c r="HI247" t="e">
        <f>IF('PROG FORMACIÓN TITULADA'!#REF!,"AAAAAE/nvNg=",0)</f>
        <v>#REF!</v>
      </c>
      <c r="HJ247" t="e">
        <f>AND('PROG FORMACIÓN TITULADA'!#REF!,"AAAAAE/nvNk=")</f>
        <v>#REF!</v>
      </c>
      <c r="HK247" t="e">
        <f>AND('PROG FORMACIÓN TITULADA'!#REF!,"AAAAAE/nvNo=")</f>
        <v>#REF!</v>
      </c>
      <c r="HL247" t="e">
        <f>AND('PROG FORMACIÓN TITULADA'!#REF!,"AAAAAE/nvNs=")</f>
        <v>#REF!</v>
      </c>
      <c r="HM247" t="e">
        <f>AND('PROG FORMACIÓN TITULADA'!#REF!,"AAAAAE/nvNw=")</f>
        <v>#REF!</v>
      </c>
      <c r="HN247" t="e">
        <f>AND('PROG FORMACIÓN TITULADA'!#REF!,"AAAAAE/nvN0=")</f>
        <v>#REF!</v>
      </c>
      <c r="HO247" t="e">
        <f>AND('PROG FORMACIÓN TITULADA'!#REF!,"AAAAAE/nvN4=")</f>
        <v>#REF!</v>
      </c>
      <c r="HP247" t="e">
        <f>AND('PROG FORMACIÓN TITULADA'!#REF!,"AAAAAE/nvN8=")</f>
        <v>#REF!</v>
      </c>
      <c r="HQ247" t="e">
        <f>AND('PROG FORMACIÓN TITULADA'!#REF!,"AAAAAE/nvOA=")</f>
        <v>#REF!</v>
      </c>
      <c r="HR247" t="e">
        <f>AND('PROG FORMACIÓN TITULADA'!#REF!,"AAAAAE/nvOE=")</f>
        <v>#REF!</v>
      </c>
      <c r="HS247" t="e">
        <f>AND('PROG FORMACIÓN TITULADA'!#REF!,"AAAAAE/nvOI=")</f>
        <v>#REF!</v>
      </c>
      <c r="HT247" t="e">
        <f>AND('PROG FORMACIÓN TITULADA'!#REF!,"AAAAAE/nvOM=")</f>
        <v>#REF!</v>
      </c>
      <c r="HU247" t="e">
        <f>AND('PROG FORMACIÓN TITULADA'!#REF!,"AAAAAE/nvOQ=")</f>
        <v>#REF!</v>
      </c>
      <c r="HV247" t="e">
        <f>AND('PROG FORMACIÓN TITULADA'!#REF!,"AAAAAE/nvOU=")</f>
        <v>#REF!</v>
      </c>
      <c r="HW247" t="e">
        <f>AND('PROG FORMACIÓN TITULADA'!#REF!,"AAAAAE/nvOY=")</f>
        <v>#REF!</v>
      </c>
      <c r="HX247" t="e">
        <f>AND('PROG FORMACIÓN TITULADA'!#REF!,"AAAAAE/nvOc=")</f>
        <v>#REF!</v>
      </c>
      <c r="HY247" t="e">
        <f>AND('PROG FORMACIÓN TITULADA'!#REF!,"AAAAAE/nvOg=")</f>
        <v>#REF!</v>
      </c>
      <c r="HZ247" t="e">
        <f>AND('PROG FORMACIÓN TITULADA'!#REF!,"AAAAAE/nvOk=")</f>
        <v>#REF!</v>
      </c>
      <c r="IA247" t="e">
        <f>AND('PROG FORMACIÓN TITULADA'!#REF!,"AAAAAE/nvOo=")</f>
        <v>#REF!</v>
      </c>
      <c r="IB247" t="e">
        <f>AND('PROG FORMACIÓN TITULADA'!#REF!,"AAAAAE/nvOs=")</f>
        <v>#REF!</v>
      </c>
      <c r="IC247" t="e">
        <f>AND('PROG FORMACIÓN TITULADA'!#REF!,"AAAAAE/nvOw=")</f>
        <v>#REF!</v>
      </c>
      <c r="ID247" t="e">
        <f>AND('PROG FORMACIÓN TITULADA'!#REF!,"AAAAAE/nvO0=")</f>
        <v>#REF!</v>
      </c>
      <c r="IE247" t="e">
        <f>AND('PROG FORMACIÓN TITULADA'!#REF!,"AAAAAE/nvO4=")</f>
        <v>#REF!</v>
      </c>
      <c r="IF247" t="e">
        <f>AND('PROG FORMACIÓN TITULADA'!#REF!,"AAAAAE/nvO8=")</f>
        <v>#REF!</v>
      </c>
      <c r="IG247" t="e">
        <f>AND('PROG FORMACIÓN TITULADA'!#REF!,"AAAAAE/nvPA=")</f>
        <v>#REF!</v>
      </c>
      <c r="IH247" t="e">
        <f>AND('PROG FORMACIÓN TITULADA'!#REF!,"AAAAAE/nvPE=")</f>
        <v>#REF!</v>
      </c>
      <c r="II247" t="e">
        <f>AND('PROG FORMACIÓN TITULADA'!#REF!,"AAAAAE/nvPI=")</f>
        <v>#REF!</v>
      </c>
      <c r="IJ247" t="e">
        <f>IF('PROG FORMACIÓN TITULADA'!#REF!,"AAAAAE/nvPM=",0)</f>
        <v>#REF!</v>
      </c>
      <c r="IK247" t="e">
        <f>AND('PROG FORMACIÓN TITULADA'!#REF!,"AAAAAE/nvPQ=")</f>
        <v>#REF!</v>
      </c>
      <c r="IL247" t="e">
        <f>AND('PROG FORMACIÓN TITULADA'!#REF!,"AAAAAE/nvPU=")</f>
        <v>#REF!</v>
      </c>
      <c r="IM247" t="e">
        <f>AND('PROG FORMACIÓN TITULADA'!#REF!,"AAAAAE/nvPY=")</f>
        <v>#REF!</v>
      </c>
      <c r="IN247" t="e">
        <f>AND('PROG FORMACIÓN TITULADA'!#REF!,"AAAAAE/nvPc=")</f>
        <v>#REF!</v>
      </c>
      <c r="IO247" t="e">
        <f>AND('PROG FORMACIÓN TITULADA'!#REF!,"AAAAAE/nvPg=")</f>
        <v>#REF!</v>
      </c>
      <c r="IP247" t="e">
        <f>AND('PROG FORMACIÓN TITULADA'!#REF!,"AAAAAE/nvPk=")</f>
        <v>#REF!</v>
      </c>
      <c r="IQ247" t="e">
        <f>AND('PROG FORMACIÓN TITULADA'!#REF!,"AAAAAE/nvPo=")</f>
        <v>#REF!</v>
      </c>
      <c r="IR247" t="e">
        <f>AND('PROG FORMACIÓN TITULADA'!#REF!,"AAAAAE/nvPs=")</f>
        <v>#REF!</v>
      </c>
      <c r="IS247" t="e">
        <f>AND('PROG FORMACIÓN TITULADA'!#REF!,"AAAAAE/nvPw=")</f>
        <v>#REF!</v>
      </c>
      <c r="IT247" t="e">
        <f>AND('PROG FORMACIÓN TITULADA'!#REF!,"AAAAAE/nvP0=")</f>
        <v>#REF!</v>
      </c>
      <c r="IU247" t="e">
        <f>AND('PROG FORMACIÓN TITULADA'!#REF!,"AAAAAE/nvP4=")</f>
        <v>#REF!</v>
      </c>
      <c r="IV247" t="e">
        <f>AND('PROG FORMACIÓN TITULADA'!#REF!,"AAAAAE/nvP8=")</f>
        <v>#REF!</v>
      </c>
    </row>
    <row r="248" spans="1:256" x14ac:dyDescent="0.2">
      <c r="A248" t="e">
        <f>AND('PROG FORMACIÓN TITULADA'!#REF!,"AAAAAGbrcwA=")</f>
        <v>#REF!</v>
      </c>
      <c r="B248" t="e">
        <f>AND('PROG FORMACIÓN TITULADA'!#REF!,"AAAAAGbrcwE=")</f>
        <v>#REF!</v>
      </c>
      <c r="C248" t="e">
        <f>AND('PROG FORMACIÓN TITULADA'!#REF!,"AAAAAGbrcwI=")</f>
        <v>#REF!</v>
      </c>
      <c r="D248" t="e">
        <f>AND('PROG FORMACIÓN TITULADA'!#REF!,"AAAAAGbrcwM=")</f>
        <v>#REF!</v>
      </c>
      <c r="E248" t="e">
        <f>AND('PROG FORMACIÓN TITULADA'!#REF!,"AAAAAGbrcwQ=")</f>
        <v>#REF!</v>
      </c>
      <c r="F248" t="e">
        <f>AND('PROG FORMACIÓN TITULADA'!#REF!,"AAAAAGbrcwU=")</f>
        <v>#REF!</v>
      </c>
      <c r="G248" t="e">
        <f>AND('PROG FORMACIÓN TITULADA'!#REF!,"AAAAAGbrcwY=")</f>
        <v>#REF!</v>
      </c>
      <c r="H248" t="e">
        <f>AND('PROG FORMACIÓN TITULADA'!#REF!,"AAAAAGbrcwc=")</f>
        <v>#REF!</v>
      </c>
      <c r="I248" t="e">
        <f>AND('PROG FORMACIÓN TITULADA'!#REF!,"AAAAAGbrcwg=")</f>
        <v>#REF!</v>
      </c>
      <c r="J248" t="e">
        <f>AND('PROG FORMACIÓN TITULADA'!#REF!,"AAAAAGbrcwk=")</f>
        <v>#REF!</v>
      </c>
      <c r="K248" t="e">
        <f>AND('PROG FORMACIÓN TITULADA'!#REF!,"AAAAAGbrcwo=")</f>
        <v>#REF!</v>
      </c>
      <c r="L248" t="e">
        <f>AND('PROG FORMACIÓN TITULADA'!#REF!,"AAAAAGbrcws=")</f>
        <v>#REF!</v>
      </c>
      <c r="M248" t="e">
        <f>AND('PROG FORMACIÓN TITULADA'!#REF!,"AAAAAGbrcww=")</f>
        <v>#REF!</v>
      </c>
      <c r="N248" t="e">
        <f>AND('PROG FORMACIÓN TITULADA'!#REF!,"AAAAAGbrcw0=")</f>
        <v>#REF!</v>
      </c>
      <c r="O248" t="e">
        <f>IF('PROG FORMACIÓN TITULADA'!#REF!,"AAAAAGbrcw4=",0)</f>
        <v>#REF!</v>
      </c>
      <c r="P248" t="e">
        <f>AND('PROG FORMACIÓN TITULADA'!#REF!,"AAAAAGbrcw8=")</f>
        <v>#REF!</v>
      </c>
      <c r="Q248" t="e">
        <f>AND('PROG FORMACIÓN TITULADA'!#REF!,"AAAAAGbrcxA=")</f>
        <v>#REF!</v>
      </c>
      <c r="R248" t="e">
        <f>AND('PROG FORMACIÓN TITULADA'!#REF!,"AAAAAGbrcxE=")</f>
        <v>#REF!</v>
      </c>
      <c r="S248" t="e">
        <f>AND('PROG FORMACIÓN TITULADA'!#REF!,"AAAAAGbrcxI=")</f>
        <v>#REF!</v>
      </c>
      <c r="T248" t="e">
        <f>AND('PROG FORMACIÓN TITULADA'!#REF!,"AAAAAGbrcxM=")</f>
        <v>#REF!</v>
      </c>
      <c r="U248" t="e">
        <f>AND('PROG FORMACIÓN TITULADA'!#REF!,"AAAAAGbrcxQ=")</f>
        <v>#REF!</v>
      </c>
      <c r="V248" t="e">
        <f>AND('PROG FORMACIÓN TITULADA'!#REF!,"AAAAAGbrcxU=")</f>
        <v>#REF!</v>
      </c>
      <c r="W248" t="e">
        <f>AND('PROG FORMACIÓN TITULADA'!#REF!,"AAAAAGbrcxY=")</f>
        <v>#REF!</v>
      </c>
      <c r="X248" t="e">
        <f>AND('PROG FORMACIÓN TITULADA'!#REF!,"AAAAAGbrcxc=")</f>
        <v>#REF!</v>
      </c>
      <c r="Y248" t="e">
        <f>AND('PROG FORMACIÓN TITULADA'!#REF!,"AAAAAGbrcxg=")</f>
        <v>#REF!</v>
      </c>
      <c r="Z248" t="e">
        <f>AND('PROG FORMACIÓN TITULADA'!#REF!,"AAAAAGbrcxk=")</f>
        <v>#REF!</v>
      </c>
      <c r="AA248" t="e">
        <f>AND('PROG FORMACIÓN TITULADA'!#REF!,"AAAAAGbrcxo=")</f>
        <v>#REF!</v>
      </c>
      <c r="AB248" t="e">
        <f>AND('PROG FORMACIÓN TITULADA'!#REF!,"AAAAAGbrcxs=")</f>
        <v>#REF!</v>
      </c>
      <c r="AC248" t="e">
        <f>AND('PROG FORMACIÓN TITULADA'!#REF!,"AAAAAGbrcxw=")</f>
        <v>#REF!</v>
      </c>
      <c r="AD248" t="e">
        <f>AND('PROG FORMACIÓN TITULADA'!#REF!,"AAAAAGbrcx0=")</f>
        <v>#REF!</v>
      </c>
      <c r="AE248" t="e">
        <f>AND('PROG FORMACIÓN TITULADA'!#REF!,"AAAAAGbrcx4=")</f>
        <v>#REF!</v>
      </c>
      <c r="AF248" t="e">
        <f>AND('PROG FORMACIÓN TITULADA'!#REF!,"AAAAAGbrcx8=")</f>
        <v>#REF!</v>
      </c>
      <c r="AG248" t="e">
        <f>AND('PROG FORMACIÓN TITULADA'!#REF!,"AAAAAGbrcyA=")</f>
        <v>#REF!</v>
      </c>
      <c r="AH248" t="e">
        <f>AND('PROG FORMACIÓN TITULADA'!#REF!,"AAAAAGbrcyE=")</f>
        <v>#REF!</v>
      </c>
      <c r="AI248" t="e">
        <f>AND('PROG FORMACIÓN TITULADA'!#REF!,"AAAAAGbrcyI=")</f>
        <v>#REF!</v>
      </c>
      <c r="AJ248" t="e">
        <f>AND('PROG FORMACIÓN TITULADA'!#REF!,"AAAAAGbrcyM=")</f>
        <v>#REF!</v>
      </c>
      <c r="AK248" t="e">
        <f>AND('PROG FORMACIÓN TITULADA'!#REF!,"AAAAAGbrcyQ=")</f>
        <v>#REF!</v>
      </c>
      <c r="AL248" t="e">
        <f>AND('PROG FORMACIÓN TITULADA'!#REF!,"AAAAAGbrcyU=")</f>
        <v>#REF!</v>
      </c>
      <c r="AM248" t="e">
        <f>AND('PROG FORMACIÓN TITULADA'!#REF!,"AAAAAGbrcyY=")</f>
        <v>#REF!</v>
      </c>
      <c r="AN248" t="e">
        <f>AND('PROG FORMACIÓN TITULADA'!#REF!,"AAAAAGbrcyc=")</f>
        <v>#REF!</v>
      </c>
      <c r="AO248" t="e">
        <f>AND('PROG FORMACIÓN TITULADA'!#REF!,"AAAAAGbrcyg=")</f>
        <v>#REF!</v>
      </c>
      <c r="AP248" t="e">
        <f>IF('PROG FORMACIÓN TITULADA'!#REF!,"AAAAAGbrcyk=",0)</f>
        <v>#REF!</v>
      </c>
      <c r="AQ248" t="e">
        <f>AND('PROG FORMACIÓN TITULADA'!#REF!,"AAAAAGbrcyo=")</f>
        <v>#REF!</v>
      </c>
      <c r="AR248" t="e">
        <f>AND('PROG FORMACIÓN TITULADA'!#REF!,"AAAAAGbrcys=")</f>
        <v>#REF!</v>
      </c>
      <c r="AS248" t="e">
        <f>AND('PROG FORMACIÓN TITULADA'!#REF!,"AAAAAGbrcyw=")</f>
        <v>#REF!</v>
      </c>
      <c r="AT248" t="e">
        <f>AND('PROG FORMACIÓN TITULADA'!#REF!,"AAAAAGbrcy0=")</f>
        <v>#REF!</v>
      </c>
      <c r="AU248" t="e">
        <f>AND('PROG FORMACIÓN TITULADA'!#REF!,"AAAAAGbrcy4=")</f>
        <v>#REF!</v>
      </c>
      <c r="AV248" t="e">
        <f>AND('PROG FORMACIÓN TITULADA'!#REF!,"AAAAAGbrcy8=")</f>
        <v>#REF!</v>
      </c>
      <c r="AW248" t="e">
        <f>AND('PROG FORMACIÓN TITULADA'!#REF!,"AAAAAGbrczA=")</f>
        <v>#REF!</v>
      </c>
      <c r="AX248" t="e">
        <f>AND('PROG FORMACIÓN TITULADA'!#REF!,"AAAAAGbrczE=")</f>
        <v>#REF!</v>
      </c>
      <c r="AY248" t="e">
        <f>AND('PROG FORMACIÓN TITULADA'!#REF!,"AAAAAGbrczI=")</f>
        <v>#REF!</v>
      </c>
      <c r="AZ248" t="e">
        <f>AND('PROG FORMACIÓN TITULADA'!#REF!,"AAAAAGbrczM=")</f>
        <v>#REF!</v>
      </c>
      <c r="BA248" t="e">
        <f>AND('PROG FORMACIÓN TITULADA'!#REF!,"AAAAAGbrczQ=")</f>
        <v>#REF!</v>
      </c>
      <c r="BB248" t="e">
        <f>AND('PROG FORMACIÓN TITULADA'!#REF!,"AAAAAGbrczU=")</f>
        <v>#REF!</v>
      </c>
      <c r="BC248" t="e">
        <f>AND('PROG FORMACIÓN TITULADA'!#REF!,"AAAAAGbrczY=")</f>
        <v>#REF!</v>
      </c>
      <c r="BD248" t="e">
        <f>AND('PROG FORMACIÓN TITULADA'!#REF!,"AAAAAGbrczc=")</f>
        <v>#REF!</v>
      </c>
      <c r="BE248" t="e">
        <f>AND('PROG FORMACIÓN TITULADA'!#REF!,"AAAAAGbrczg=")</f>
        <v>#REF!</v>
      </c>
      <c r="BF248" t="e">
        <f>AND('PROG FORMACIÓN TITULADA'!#REF!,"AAAAAGbrczk=")</f>
        <v>#REF!</v>
      </c>
      <c r="BG248" t="e">
        <f>AND('PROG FORMACIÓN TITULADA'!#REF!,"AAAAAGbrczo=")</f>
        <v>#REF!</v>
      </c>
      <c r="BH248" t="e">
        <f>AND('PROG FORMACIÓN TITULADA'!#REF!,"AAAAAGbrczs=")</f>
        <v>#REF!</v>
      </c>
      <c r="BI248" t="e">
        <f>AND('PROG FORMACIÓN TITULADA'!#REF!,"AAAAAGbrczw=")</f>
        <v>#REF!</v>
      </c>
      <c r="BJ248" t="e">
        <f>AND('PROG FORMACIÓN TITULADA'!#REF!,"AAAAAGbrcz0=")</f>
        <v>#REF!</v>
      </c>
      <c r="BK248" t="e">
        <f>AND('PROG FORMACIÓN TITULADA'!#REF!,"AAAAAGbrcz4=")</f>
        <v>#REF!</v>
      </c>
      <c r="BL248" t="e">
        <f>AND('PROG FORMACIÓN TITULADA'!#REF!,"AAAAAGbrcz8=")</f>
        <v>#REF!</v>
      </c>
      <c r="BM248" t="e">
        <f>AND('PROG FORMACIÓN TITULADA'!#REF!,"AAAAAGbrc0A=")</f>
        <v>#REF!</v>
      </c>
      <c r="BN248" t="e">
        <f>AND('PROG FORMACIÓN TITULADA'!#REF!,"AAAAAGbrc0E=")</f>
        <v>#REF!</v>
      </c>
      <c r="BO248" t="e">
        <f>AND('PROG FORMACIÓN TITULADA'!#REF!,"AAAAAGbrc0I=")</f>
        <v>#REF!</v>
      </c>
      <c r="BP248" t="e">
        <f>AND('PROG FORMACIÓN TITULADA'!#REF!,"AAAAAGbrc0M=")</f>
        <v>#REF!</v>
      </c>
      <c r="BQ248" t="e">
        <f>IF('PROG FORMACIÓN TITULADA'!#REF!,"AAAAAGbrc0Q=",0)</f>
        <v>#REF!</v>
      </c>
      <c r="BR248" t="e">
        <f>AND('PROG FORMACIÓN TITULADA'!#REF!,"AAAAAGbrc0U=")</f>
        <v>#REF!</v>
      </c>
      <c r="BS248" t="e">
        <f>AND('PROG FORMACIÓN TITULADA'!#REF!,"AAAAAGbrc0Y=")</f>
        <v>#REF!</v>
      </c>
      <c r="BT248" t="e">
        <f>AND('PROG FORMACIÓN TITULADA'!#REF!,"AAAAAGbrc0c=")</f>
        <v>#REF!</v>
      </c>
      <c r="BU248" t="e">
        <f>AND('PROG FORMACIÓN TITULADA'!#REF!,"AAAAAGbrc0g=")</f>
        <v>#REF!</v>
      </c>
      <c r="BV248" t="e">
        <f>AND('PROG FORMACIÓN TITULADA'!#REF!,"AAAAAGbrc0k=")</f>
        <v>#REF!</v>
      </c>
      <c r="BW248" t="e">
        <f>AND('PROG FORMACIÓN TITULADA'!#REF!,"AAAAAGbrc0o=")</f>
        <v>#REF!</v>
      </c>
      <c r="BX248" t="e">
        <f>AND('PROG FORMACIÓN TITULADA'!#REF!,"AAAAAGbrc0s=")</f>
        <v>#REF!</v>
      </c>
      <c r="BY248" t="e">
        <f>AND('PROG FORMACIÓN TITULADA'!#REF!,"AAAAAGbrc0w=")</f>
        <v>#REF!</v>
      </c>
      <c r="BZ248" t="e">
        <f>AND('PROG FORMACIÓN TITULADA'!#REF!,"AAAAAGbrc00=")</f>
        <v>#REF!</v>
      </c>
      <c r="CA248" t="e">
        <f>AND('PROG FORMACIÓN TITULADA'!#REF!,"AAAAAGbrc04=")</f>
        <v>#REF!</v>
      </c>
      <c r="CB248" t="e">
        <f>AND('PROG FORMACIÓN TITULADA'!#REF!,"AAAAAGbrc08=")</f>
        <v>#REF!</v>
      </c>
      <c r="CC248" t="e">
        <f>AND('PROG FORMACIÓN TITULADA'!#REF!,"AAAAAGbrc1A=")</f>
        <v>#REF!</v>
      </c>
      <c r="CD248" t="e">
        <f>AND('PROG FORMACIÓN TITULADA'!#REF!,"AAAAAGbrc1E=")</f>
        <v>#REF!</v>
      </c>
      <c r="CE248" t="e">
        <f>AND('PROG FORMACIÓN TITULADA'!#REF!,"AAAAAGbrc1I=")</f>
        <v>#REF!</v>
      </c>
      <c r="CF248" t="e">
        <f>AND('PROG FORMACIÓN TITULADA'!#REF!,"AAAAAGbrc1M=")</f>
        <v>#REF!</v>
      </c>
      <c r="CG248" t="e">
        <f>AND('PROG FORMACIÓN TITULADA'!#REF!,"AAAAAGbrc1Q=")</f>
        <v>#REF!</v>
      </c>
      <c r="CH248" t="e">
        <f>AND('PROG FORMACIÓN TITULADA'!#REF!,"AAAAAGbrc1U=")</f>
        <v>#REF!</v>
      </c>
      <c r="CI248" t="e">
        <f>AND('PROG FORMACIÓN TITULADA'!#REF!,"AAAAAGbrc1Y=")</f>
        <v>#REF!</v>
      </c>
      <c r="CJ248" t="e">
        <f>AND('PROG FORMACIÓN TITULADA'!#REF!,"AAAAAGbrc1c=")</f>
        <v>#REF!</v>
      </c>
      <c r="CK248" t="e">
        <f>AND('PROG FORMACIÓN TITULADA'!#REF!,"AAAAAGbrc1g=")</f>
        <v>#REF!</v>
      </c>
      <c r="CL248" t="e">
        <f>AND('PROG FORMACIÓN TITULADA'!#REF!,"AAAAAGbrc1k=")</f>
        <v>#REF!</v>
      </c>
      <c r="CM248" t="e">
        <f>AND('PROG FORMACIÓN TITULADA'!#REF!,"AAAAAGbrc1o=")</f>
        <v>#REF!</v>
      </c>
      <c r="CN248" t="e">
        <f>AND('PROG FORMACIÓN TITULADA'!#REF!,"AAAAAGbrc1s=")</f>
        <v>#REF!</v>
      </c>
      <c r="CO248" t="e">
        <f>AND('PROG FORMACIÓN TITULADA'!#REF!,"AAAAAGbrc1w=")</f>
        <v>#REF!</v>
      </c>
      <c r="CP248" t="e">
        <f>AND('PROG FORMACIÓN TITULADA'!#REF!,"AAAAAGbrc10=")</f>
        <v>#REF!</v>
      </c>
      <c r="CQ248" t="e">
        <f>AND('PROG FORMACIÓN TITULADA'!#REF!,"AAAAAGbrc14=")</f>
        <v>#REF!</v>
      </c>
      <c r="CR248" t="e">
        <f>IF('PROG FORMACIÓN TITULADA'!#REF!,"AAAAAGbrc18=",0)</f>
        <v>#REF!</v>
      </c>
      <c r="CS248" t="e">
        <f>AND('PROG FORMACIÓN TITULADA'!#REF!,"AAAAAGbrc2A=")</f>
        <v>#REF!</v>
      </c>
      <c r="CT248" t="e">
        <f>AND('PROG FORMACIÓN TITULADA'!#REF!,"AAAAAGbrc2E=")</f>
        <v>#REF!</v>
      </c>
      <c r="CU248" t="e">
        <f>AND('PROG FORMACIÓN TITULADA'!#REF!,"AAAAAGbrc2I=")</f>
        <v>#REF!</v>
      </c>
      <c r="CV248" t="e">
        <f>AND('PROG FORMACIÓN TITULADA'!#REF!,"AAAAAGbrc2M=")</f>
        <v>#REF!</v>
      </c>
      <c r="CW248" t="e">
        <f>AND('PROG FORMACIÓN TITULADA'!#REF!,"AAAAAGbrc2Q=")</f>
        <v>#REF!</v>
      </c>
      <c r="CX248" t="e">
        <f>AND('PROG FORMACIÓN TITULADA'!#REF!,"AAAAAGbrc2U=")</f>
        <v>#REF!</v>
      </c>
      <c r="CY248" t="e">
        <f>AND('PROG FORMACIÓN TITULADA'!#REF!,"AAAAAGbrc2Y=")</f>
        <v>#REF!</v>
      </c>
      <c r="CZ248" t="e">
        <f>AND('PROG FORMACIÓN TITULADA'!#REF!,"AAAAAGbrc2c=")</f>
        <v>#REF!</v>
      </c>
      <c r="DA248" t="e">
        <f>AND('PROG FORMACIÓN TITULADA'!#REF!,"AAAAAGbrc2g=")</f>
        <v>#REF!</v>
      </c>
      <c r="DB248" t="e">
        <f>AND('PROG FORMACIÓN TITULADA'!#REF!,"AAAAAGbrc2k=")</f>
        <v>#REF!</v>
      </c>
      <c r="DC248" t="e">
        <f>AND('PROG FORMACIÓN TITULADA'!#REF!,"AAAAAGbrc2o=")</f>
        <v>#REF!</v>
      </c>
      <c r="DD248" t="e">
        <f>AND('PROG FORMACIÓN TITULADA'!#REF!,"AAAAAGbrc2s=")</f>
        <v>#REF!</v>
      </c>
      <c r="DE248" t="e">
        <f>AND('PROG FORMACIÓN TITULADA'!#REF!,"AAAAAGbrc2w=")</f>
        <v>#REF!</v>
      </c>
      <c r="DF248" t="e">
        <f>AND('PROG FORMACIÓN TITULADA'!#REF!,"AAAAAGbrc20=")</f>
        <v>#REF!</v>
      </c>
      <c r="DG248" t="e">
        <f>AND('PROG FORMACIÓN TITULADA'!#REF!,"AAAAAGbrc24=")</f>
        <v>#REF!</v>
      </c>
      <c r="DH248" t="e">
        <f>AND('PROG FORMACIÓN TITULADA'!#REF!,"AAAAAGbrc28=")</f>
        <v>#REF!</v>
      </c>
      <c r="DI248" t="e">
        <f>AND('PROG FORMACIÓN TITULADA'!#REF!,"AAAAAGbrc3A=")</f>
        <v>#REF!</v>
      </c>
      <c r="DJ248" t="e">
        <f>AND('PROG FORMACIÓN TITULADA'!#REF!,"AAAAAGbrc3E=")</f>
        <v>#REF!</v>
      </c>
      <c r="DK248" t="e">
        <f>AND('PROG FORMACIÓN TITULADA'!#REF!,"AAAAAGbrc3I=")</f>
        <v>#REF!</v>
      </c>
      <c r="DL248" t="e">
        <f>AND('PROG FORMACIÓN TITULADA'!#REF!,"AAAAAGbrc3M=")</f>
        <v>#REF!</v>
      </c>
      <c r="DM248" t="e">
        <f>AND('PROG FORMACIÓN TITULADA'!#REF!,"AAAAAGbrc3Q=")</f>
        <v>#REF!</v>
      </c>
      <c r="DN248" t="e">
        <f>AND('PROG FORMACIÓN TITULADA'!#REF!,"AAAAAGbrc3U=")</f>
        <v>#REF!</v>
      </c>
      <c r="DO248" t="e">
        <f>AND('PROG FORMACIÓN TITULADA'!#REF!,"AAAAAGbrc3Y=")</f>
        <v>#REF!</v>
      </c>
      <c r="DP248" t="e">
        <f>AND('PROG FORMACIÓN TITULADA'!#REF!,"AAAAAGbrc3c=")</f>
        <v>#REF!</v>
      </c>
      <c r="DQ248" t="e">
        <f>AND('PROG FORMACIÓN TITULADA'!#REF!,"AAAAAGbrc3g=")</f>
        <v>#REF!</v>
      </c>
      <c r="DR248" t="e">
        <f>AND('PROG FORMACIÓN TITULADA'!#REF!,"AAAAAGbrc3k=")</f>
        <v>#REF!</v>
      </c>
      <c r="DS248" t="e">
        <f>AND('PROG FORMACIÓN TITULADA'!A449,"AAAAAGbrc3o=")</f>
        <v>#VALUE!</v>
      </c>
      <c r="DT248" t="s">
        <v>583</v>
      </c>
      <c r="DU248" t="s">
        <v>584</v>
      </c>
      <c r="DV248" t="e">
        <f>IF("N",'Calendario Académico 2014'!_xlnm.Print_Area,"AAAAAGbrc30=")</f>
        <v>#VALUE!</v>
      </c>
      <c r="DW248" t="e">
        <f>IF("N",'PROG FORMACIÓN TITULADA'!_xlnm.Print_Area,"AAAAAGbrc34=")</f>
        <v>#VALUE!</v>
      </c>
      <c r="DX248" t="e">
        <f>IF("N",_xlnm.Print_Area,"AAAAAGbrc38=")</f>
        <v>#VALUE!</v>
      </c>
    </row>
    <row r="249" spans="1:256" x14ac:dyDescent="0.2">
      <c r="A249" t="e">
        <f>IF('PROG FORMACIÓN TITULADA'!#REF!,"AAAAAHt63QA=",0)</f>
        <v>#REF!</v>
      </c>
      <c r="B249" t="e">
        <f>AND('PROG FORMACIÓN TITULADA'!#REF!,"AAAAAHt63QE=")</f>
        <v>#REF!</v>
      </c>
      <c r="C249" t="e">
        <f>AND('PROG FORMACIÓN TITULADA'!#REF!,"AAAAAHt63QI=")</f>
        <v>#REF!</v>
      </c>
      <c r="D249" t="e">
        <f>AND('PROG FORMACIÓN TITULADA'!#REF!,"AAAAAHt63QM=")</f>
        <v>#REF!</v>
      </c>
      <c r="E249" t="e">
        <f>AND('PROG FORMACIÓN TITULADA'!#REF!,"AAAAAHt63QQ=")</f>
        <v>#REF!</v>
      </c>
      <c r="F249" t="e">
        <f>AND('PROG FORMACIÓN TITULADA'!#REF!,"AAAAAHt63QU=")</f>
        <v>#REF!</v>
      </c>
      <c r="G249" t="e">
        <f>AND('PROG FORMACIÓN TITULADA'!#REF!,"AAAAAHt63QY=")</f>
        <v>#REF!</v>
      </c>
      <c r="H249" t="e">
        <f>AND('PROG FORMACIÓN TITULADA'!#REF!,"AAAAAHt63Qc=")</f>
        <v>#REF!</v>
      </c>
      <c r="I249" t="e">
        <f>AND('PROG FORMACIÓN TITULADA'!#REF!,"AAAAAHt63Qg=")</f>
        <v>#REF!</v>
      </c>
      <c r="J249" t="e">
        <f>AND('PROG FORMACIÓN TITULADA'!#REF!,"AAAAAHt63Qk=")</f>
        <v>#REF!</v>
      </c>
      <c r="K249" t="e">
        <f>AND('PROG FORMACIÓN TITULADA'!#REF!,"AAAAAHt63Qo=")</f>
        <v>#REF!</v>
      </c>
      <c r="L249" t="e">
        <f>AND('PROG FORMACIÓN TITULADA'!#REF!,"AAAAAHt63Qs=")</f>
        <v>#REF!</v>
      </c>
      <c r="M249" t="e">
        <f>AND('PROG FORMACIÓN TITULADA'!#REF!,"AAAAAHt63Qw=")</f>
        <v>#REF!</v>
      </c>
      <c r="N249" t="e">
        <f>AND('PROG FORMACIÓN TITULADA'!#REF!,"AAAAAHt63Q0=")</f>
        <v>#REF!</v>
      </c>
      <c r="O249" t="e">
        <f>AND('PROG FORMACIÓN TITULADA'!#REF!,"AAAAAHt63Q4=")</f>
        <v>#REF!</v>
      </c>
      <c r="P249" t="e">
        <f>AND('PROG FORMACIÓN TITULADA'!#REF!,"AAAAAHt63Q8=")</f>
        <v>#REF!</v>
      </c>
      <c r="Q249" t="e">
        <f>AND('PROG FORMACIÓN TITULADA'!#REF!,"AAAAAHt63RA=")</f>
        <v>#REF!</v>
      </c>
      <c r="R249" t="e">
        <f>AND('PROG FORMACIÓN TITULADA'!#REF!,"AAAAAHt63RE=")</f>
        <v>#REF!</v>
      </c>
      <c r="S249" t="e">
        <f>AND('PROG FORMACIÓN TITULADA'!#REF!,"AAAAAHt63RI=")</f>
        <v>#REF!</v>
      </c>
      <c r="T249" t="e">
        <f>AND('PROG FORMACIÓN TITULADA'!#REF!,"AAAAAHt63RM=")</f>
        <v>#REF!</v>
      </c>
      <c r="U249" t="e">
        <f>AND('PROG FORMACIÓN TITULADA'!#REF!,"AAAAAHt63RQ=")</f>
        <v>#REF!</v>
      </c>
      <c r="V249" t="e">
        <f>AND('PROG FORMACIÓN TITULADA'!#REF!,"AAAAAHt63RU=")</f>
        <v>#REF!</v>
      </c>
      <c r="W249" t="e">
        <f>AND('PROG FORMACIÓN TITULADA'!#REF!,"AAAAAHt63RY=")</f>
        <v>#REF!</v>
      </c>
      <c r="X249" t="e">
        <f>AND('PROG FORMACIÓN TITULADA'!#REF!,"AAAAAHt63Rc=")</f>
        <v>#REF!</v>
      </c>
      <c r="Y249" t="e">
        <f>AND('PROG FORMACIÓN TITULADA'!#REF!,"AAAAAHt63Rg=")</f>
        <v>#REF!</v>
      </c>
      <c r="Z249" t="e">
        <f>AND('PROG FORMACIÓN TITULADA'!#REF!,"AAAAAHt63Rk=")</f>
        <v>#REF!</v>
      </c>
      <c r="AA249" t="e">
        <f>AND('PROG FORMACIÓN TITULADA'!#REF!,"AAAAAHt63Ro=")</f>
        <v>#REF!</v>
      </c>
      <c r="AB249" t="e">
        <f>IF('PROG FORMACIÓN TITULADA'!#REF!,"AAAAAHt63Rs=",0)</f>
        <v>#REF!</v>
      </c>
      <c r="AC249" t="e">
        <f>AND('PROG FORMACIÓN TITULADA'!#REF!,"AAAAAHt63Rw=")</f>
        <v>#REF!</v>
      </c>
      <c r="AD249" t="e">
        <f>AND('PROG FORMACIÓN TITULADA'!#REF!,"AAAAAHt63R0=")</f>
        <v>#REF!</v>
      </c>
      <c r="AE249" t="e">
        <f>AND('PROG FORMACIÓN TITULADA'!#REF!,"AAAAAHt63R4=")</f>
        <v>#REF!</v>
      </c>
      <c r="AF249" t="e">
        <f>AND('PROG FORMACIÓN TITULADA'!#REF!,"AAAAAHt63R8=")</f>
        <v>#REF!</v>
      </c>
      <c r="AG249" t="e">
        <f>AND('PROG FORMACIÓN TITULADA'!#REF!,"AAAAAHt63SA=")</f>
        <v>#REF!</v>
      </c>
      <c r="AH249" t="e">
        <f>AND('PROG FORMACIÓN TITULADA'!#REF!,"AAAAAHt63SE=")</f>
        <v>#REF!</v>
      </c>
      <c r="AI249" t="e">
        <f>AND('PROG FORMACIÓN TITULADA'!#REF!,"AAAAAHt63SI=")</f>
        <v>#REF!</v>
      </c>
      <c r="AJ249" t="e">
        <f>AND('PROG FORMACIÓN TITULADA'!#REF!,"AAAAAHt63SM=")</f>
        <v>#REF!</v>
      </c>
      <c r="AK249" t="e">
        <f>AND('PROG FORMACIÓN TITULADA'!#REF!,"AAAAAHt63SQ=")</f>
        <v>#REF!</v>
      </c>
      <c r="AL249" t="e">
        <f>AND('PROG FORMACIÓN TITULADA'!#REF!,"AAAAAHt63SU=")</f>
        <v>#REF!</v>
      </c>
      <c r="AM249" t="e">
        <f>AND('PROG FORMACIÓN TITULADA'!#REF!,"AAAAAHt63SY=")</f>
        <v>#REF!</v>
      </c>
      <c r="AN249" t="e">
        <f>AND('PROG FORMACIÓN TITULADA'!#REF!,"AAAAAHt63Sc=")</f>
        <v>#REF!</v>
      </c>
      <c r="AO249" t="e">
        <f>AND('PROG FORMACIÓN TITULADA'!#REF!,"AAAAAHt63Sg=")</f>
        <v>#REF!</v>
      </c>
      <c r="AP249" t="e">
        <f>AND('PROG FORMACIÓN TITULADA'!#REF!,"AAAAAHt63Sk=")</f>
        <v>#REF!</v>
      </c>
      <c r="AQ249" t="e">
        <f>AND('PROG FORMACIÓN TITULADA'!#REF!,"AAAAAHt63So=")</f>
        <v>#REF!</v>
      </c>
      <c r="AR249" t="e">
        <f>AND('PROG FORMACIÓN TITULADA'!#REF!,"AAAAAHt63Ss=")</f>
        <v>#REF!</v>
      </c>
      <c r="AS249" t="e">
        <f>AND('PROG FORMACIÓN TITULADA'!#REF!,"AAAAAHt63Sw=")</f>
        <v>#REF!</v>
      </c>
      <c r="AT249" t="e">
        <f>AND('PROG FORMACIÓN TITULADA'!#REF!,"AAAAAHt63S0=")</f>
        <v>#REF!</v>
      </c>
      <c r="AU249" t="e">
        <f>AND('PROG FORMACIÓN TITULADA'!#REF!,"AAAAAHt63S4=")</f>
        <v>#REF!</v>
      </c>
      <c r="AV249" t="e">
        <f>AND('PROG FORMACIÓN TITULADA'!#REF!,"AAAAAHt63S8=")</f>
        <v>#REF!</v>
      </c>
      <c r="AW249" t="e">
        <f>AND('PROG FORMACIÓN TITULADA'!#REF!,"AAAAAHt63TA=")</f>
        <v>#REF!</v>
      </c>
      <c r="AX249" t="e">
        <f>AND('PROG FORMACIÓN TITULADA'!#REF!,"AAAAAHt63TE=")</f>
        <v>#REF!</v>
      </c>
      <c r="AY249" t="e">
        <f>AND('PROG FORMACIÓN TITULADA'!#REF!,"AAAAAHt63TI=")</f>
        <v>#REF!</v>
      </c>
      <c r="AZ249" t="e">
        <f>AND('PROG FORMACIÓN TITULADA'!#REF!,"AAAAAHt63TM=")</f>
        <v>#REF!</v>
      </c>
      <c r="BA249" t="e">
        <f>AND('PROG FORMACIÓN TITULADA'!#REF!,"AAAAAHt63TQ=")</f>
        <v>#REF!</v>
      </c>
      <c r="BB249" t="e">
        <f>AND('PROG FORMACIÓN TITULADA'!#REF!,"AAAAAHt63TU=")</f>
        <v>#REF!</v>
      </c>
      <c r="BC249" t="e">
        <f>IF('PROG FORMACIÓN TITULADA'!#REF!,"AAAAAHt63TY=",0)</f>
        <v>#REF!</v>
      </c>
      <c r="BD249" t="e">
        <f>AND('PROG FORMACIÓN TITULADA'!#REF!,"AAAAAHt63Tc=")</f>
        <v>#REF!</v>
      </c>
      <c r="BE249" t="e">
        <f>AND('PROG FORMACIÓN TITULADA'!#REF!,"AAAAAHt63Tg=")</f>
        <v>#REF!</v>
      </c>
      <c r="BF249" t="e">
        <f>AND('PROG FORMACIÓN TITULADA'!#REF!,"AAAAAHt63Tk=")</f>
        <v>#REF!</v>
      </c>
      <c r="BG249" t="e">
        <f>AND('PROG FORMACIÓN TITULADA'!#REF!,"AAAAAHt63To=")</f>
        <v>#REF!</v>
      </c>
      <c r="BH249" t="e">
        <f>AND('PROG FORMACIÓN TITULADA'!#REF!,"AAAAAHt63Ts=")</f>
        <v>#REF!</v>
      </c>
      <c r="BI249" t="e">
        <f>AND('PROG FORMACIÓN TITULADA'!#REF!,"AAAAAHt63Tw=")</f>
        <v>#REF!</v>
      </c>
      <c r="BJ249" t="e">
        <f>AND('PROG FORMACIÓN TITULADA'!#REF!,"AAAAAHt63T0=")</f>
        <v>#REF!</v>
      </c>
      <c r="BK249" t="e">
        <f>AND('PROG FORMACIÓN TITULADA'!#REF!,"AAAAAHt63T4=")</f>
        <v>#REF!</v>
      </c>
      <c r="BL249" t="e">
        <f>AND('PROG FORMACIÓN TITULADA'!#REF!,"AAAAAHt63T8=")</f>
        <v>#REF!</v>
      </c>
      <c r="BM249" t="e">
        <f>AND('PROG FORMACIÓN TITULADA'!#REF!,"AAAAAHt63UA=")</f>
        <v>#REF!</v>
      </c>
      <c r="BN249" t="e">
        <f>AND('PROG FORMACIÓN TITULADA'!#REF!,"AAAAAHt63UE=")</f>
        <v>#REF!</v>
      </c>
      <c r="BO249" t="e">
        <f>AND('PROG FORMACIÓN TITULADA'!#REF!,"AAAAAHt63UI=")</f>
        <v>#REF!</v>
      </c>
      <c r="BP249" t="e">
        <f>AND('PROG FORMACIÓN TITULADA'!#REF!,"AAAAAHt63UM=")</f>
        <v>#REF!</v>
      </c>
      <c r="BQ249" t="e">
        <f>AND('PROG FORMACIÓN TITULADA'!#REF!,"AAAAAHt63UQ=")</f>
        <v>#REF!</v>
      </c>
      <c r="BR249" t="e">
        <f>AND('PROG FORMACIÓN TITULADA'!#REF!,"AAAAAHt63UU=")</f>
        <v>#REF!</v>
      </c>
      <c r="BS249" t="e">
        <f>AND('PROG FORMACIÓN TITULADA'!#REF!,"AAAAAHt63UY=")</f>
        <v>#REF!</v>
      </c>
      <c r="BT249" t="e">
        <f>AND('PROG FORMACIÓN TITULADA'!#REF!,"AAAAAHt63Uc=")</f>
        <v>#REF!</v>
      </c>
      <c r="BU249" t="e">
        <f>AND('PROG FORMACIÓN TITULADA'!#REF!,"AAAAAHt63Ug=")</f>
        <v>#REF!</v>
      </c>
      <c r="BV249" t="e">
        <f>AND('PROG FORMACIÓN TITULADA'!#REF!,"AAAAAHt63Uk=")</f>
        <v>#REF!</v>
      </c>
      <c r="BW249" t="e">
        <f>AND('PROG FORMACIÓN TITULADA'!#REF!,"AAAAAHt63Uo=")</f>
        <v>#REF!</v>
      </c>
      <c r="BX249" t="e">
        <f>AND('PROG FORMACIÓN TITULADA'!#REF!,"AAAAAHt63Us=")</f>
        <v>#REF!</v>
      </c>
      <c r="BY249" t="e">
        <f>AND('PROG FORMACIÓN TITULADA'!#REF!,"AAAAAHt63Uw=")</f>
        <v>#REF!</v>
      </c>
      <c r="BZ249" t="e">
        <f>AND('PROG FORMACIÓN TITULADA'!#REF!,"AAAAAHt63U0=")</f>
        <v>#REF!</v>
      </c>
      <c r="CA249" t="e">
        <f>AND('PROG FORMACIÓN TITULADA'!#REF!,"AAAAAHt63U4=")</f>
        <v>#REF!</v>
      </c>
      <c r="CB249" t="e">
        <f>AND('PROG FORMACIÓN TITULADA'!#REF!,"AAAAAHt63U8=")</f>
        <v>#REF!</v>
      </c>
      <c r="CC249" t="e">
        <f>AND('PROG FORMACIÓN TITULADA'!#REF!,"AAAAAHt63VA=")</f>
        <v>#REF!</v>
      </c>
      <c r="CD249" t="e">
        <f>IF('PROG FORMACIÓN TITULADA'!#REF!,"AAAAAHt63VE=",0)</f>
        <v>#REF!</v>
      </c>
      <c r="CE249" t="e">
        <f>AND('PROG FORMACIÓN TITULADA'!#REF!,"AAAAAHt63VI=")</f>
        <v>#REF!</v>
      </c>
      <c r="CF249" t="e">
        <f>AND('PROG FORMACIÓN TITULADA'!#REF!,"AAAAAHt63VM=")</f>
        <v>#REF!</v>
      </c>
      <c r="CG249" t="e">
        <f>AND('PROG FORMACIÓN TITULADA'!#REF!,"AAAAAHt63VQ=")</f>
        <v>#REF!</v>
      </c>
      <c r="CH249" t="e">
        <f>AND('PROG FORMACIÓN TITULADA'!#REF!,"AAAAAHt63VU=")</f>
        <v>#REF!</v>
      </c>
      <c r="CI249" t="e">
        <f>AND('PROG FORMACIÓN TITULADA'!#REF!,"AAAAAHt63VY=")</f>
        <v>#REF!</v>
      </c>
      <c r="CJ249" t="e">
        <f>AND('PROG FORMACIÓN TITULADA'!#REF!,"AAAAAHt63Vc=")</f>
        <v>#REF!</v>
      </c>
      <c r="CK249" t="e">
        <f>AND('PROG FORMACIÓN TITULADA'!#REF!,"AAAAAHt63Vg=")</f>
        <v>#REF!</v>
      </c>
      <c r="CL249" t="e">
        <f>AND('PROG FORMACIÓN TITULADA'!#REF!,"AAAAAHt63Vk=")</f>
        <v>#REF!</v>
      </c>
      <c r="CM249" t="e">
        <f>AND('PROG FORMACIÓN TITULADA'!#REF!,"AAAAAHt63Vo=")</f>
        <v>#REF!</v>
      </c>
      <c r="CN249" t="e">
        <f>AND('PROG FORMACIÓN TITULADA'!#REF!,"AAAAAHt63Vs=")</f>
        <v>#REF!</v>
      </c>
      <c r="CO249" t="e">
        <f>AND('PROG FORMACIÓN TITULADA'!#REF!,"AAAAAHt63Vw=")</f>
        <v>#REF!</v>
      </c>
      <c r="CP249" t="e">
        <f>AND('PROG FORMACIÓN TITULADA'!#REF!,"AAAAAHt63V0=")</f>
        <v>#REF!</v>
      </c>
      <c r="CQ249" t="e">
        <f>AND('PROG FORMACIÓN TITULADA'!#REF!,"AAAAAHt63V4=")</f>
        <v>#REF!</v>
      </c>
      <c r="CR249" t="e">
        <f>AND('PROG FORMACIÓN TITULADA'!#REF!,"AAAAAHt63V8=")</f>
        <v>#REF!</v>
      </c>
      <c r="CS249" t="e">
        <f>AND('PROG FORMACIÓN TITULADA'!#REF!,"AAAAAHt63WA=")</f>
        <v>#REF!</v>
      </c>
      <c r="CT249" t="e">
        <f>AND('PROG FORMACIÓN TITULADA'!#REF!,"AAAAAHt63WE=")</f>
        <v>#REF!</v>
      </c>
      <c r="CU249" t="e">
        <f>AND('PROG FORMACIÓN TITULADA'!#REF!,"AAAAAHt63WI=")</f>
        <v>#REF!</v>
      </c>
      <c r="CV249" t="e">
        <f>AND('PROG FORMACIÓN TITULADA'!#REF!,"AAAAAHt63WM=")</f>
        <v>#REF!</v>
      </c>
      <c r="CW249" t="e">
        <f>AND('PROG FORMACIÓN TITULADA'!#REF!,"AAAAAHt63WQ=")</f>
        <v>#REF!</v>
      </c>
      <c r="CX249" t="e">
        <f>AND('PROG FORMACIÓN TITULADA'!#REF!,"AAAAAHt63WU=")</f>
        <v>#REF!</v>
      </c>
      <c r="CY249" t="e">
        <f>AND('PROG FORMACIÓN TITULADA'!#REF!,"AAAAAHt63WY=")</f>
        <v>#REF!</v>
      </c>
      <c r="CZ249" t="e">
        <f>AND('PROG FORMACIÓN TITULADA'!#REF!,"AAAAAHt63Wc=")</f>
        <v>#REF!</v>
      </c>
      <c r="DA249" t="e">
        <f>AND('PROG FORMACIÓN TITULADA'!#REF!,"AAAAAHt63Wg=")</f>
        <v>#REF!</v>
      </c>
      <c r="DB249" t="e">
        <f>AND('PROG FORMACIÓN TITULADA'!#REF!,"AAAAAHt63Wk=")</f>
        <v>#REF!</v>
      </c>
      <c r="DC249" t="e">
        <f>AND('PROG FORMACIÓN TITULADA'!#REF!,"AAAAAHt63Wo=")</f>
        <v>#REF!</v>
      </c>
      <c r="DD249" t="e">
        <f>AND('PROG FORMACIÓN TITULADA'!#REF!,"AAAAAHt63Ws=")</f>
        <v>#REF!</v>
      </c>
      <c r="DE249" t="e">
        <f>IF('PROG FORMACIÓN TITULADA'!#REF!,"AAAAAHt63Ww=",0)</f>
        <v>#REF!</v>
      </c>
      <c r="DF249" t="e">
        <f>AND('PROG FORMACIÓN TITULADA'!#REF!,"AAAAAHt63W0=")</f>
        <v>#REF!</v>
      </c>
      <c r="DG249" t="e">
        <f>AND('PROG FORMACIÓN TITULADA'!#REF!,"AAAAAHt63W4=")</f>
        <v>#REF!</v>
      </c>
      <c r="DH249" t="e">
        <f>AND('PROG FORMACIÓN TITULADA'!#REF!,"AAAAAHt63W8=")</f>
        <v>#REF!</v>
      </c>
      <c r="DI249" t="e">
        <f>AND('PROG FORMACIÓN TITULADA'!#REF!,"AAAAAHt63XA=")</f>
        <v>#REF!</v>
      </c>
      <c r="DJ249" t="e">
        <f>AND('PROG FORMACIÓN TITULADA'!#REF!,"AAAAAHt63XE=")</f>
        <v>#REF!</v>
      </c>
      <c r="DK249" t="e">
        <f>AND('PROG FORMACIÓN TITULADA'!#REF!,"AAAAAHt63XI=")</f>
        <v>#REF!</v>
      </c>
      <c r="DL249" t="e">
        <f>AND('PROG FORMACIÓN TITULADA'!#REF!,"AAAAAHt63XM=")</f>
        <v>#REF!</v>
      </c>
      <c r="DM249" t="e">
        <f>AND('PROG FORMACIÓN TITULADA'!#REF!,"AAAAAHt63XQ=")</f>
        <v>#REF!</v>
      </c>
      <c r="DN249" t="e">
        <f>AND('PROG FORMACIÓN TITULADA'!#REF!,"AAAAAHt63XU=")</f>
        <v>#REF!</v>
      </c>
      <c r="DO249" t="e">
        <f>AND('PROG FORMACIÓN TITULADA'!#REF!,"AAAAAHt63XY=")</f>
        <v>#REF!</v>
      </c>
      <c r="DP249" t="e">
        <f>AND('PROG FORMACIÓN TITULADA'!#REF!,"AAAAAHt63Xc=")</f>
        <v>#REF!</v>
      </c>
      <c r="DQ249" t="e">
        <f>AND('PROG FORMACIÓN TITULADA'!#REF!,"AAAAAHt63Xg=")</f>
        <v>#REF!</v>
      </c>
      <c r="DR249" t="e">
        <f>AND('PROG FORMACIÓN TITULADA'!#REF!,"AAAAAHt63Xk=")</f>
        <v>#REF!</v>
      </c>
      <c r="DS249" t="e">
        <f>AND('PROG FORMACIÓN TITULADA'!#REF!,"AAAAAHt63Xo=")</f>
        <v>#REF!</v>
      </c>
      <c r="DT249" t="e">
        <f>AND('PROG FORMACIÓN TITULADA'!#REF!,"AAAAAHt63Xs=")</f>
        <v>#REF!</v>
      </c>
      <c r="DU249" t="e">
        <f>AND('PROG FORMACIÓN TITULADA'!#REF!,"AAAAAHt63Xw=")</f>
        <v>#REF!</v>
      </c>
      <c r="DV249" t="e">
        <f>AND('PROG FORMACIÓN TITULADA'!#REF!,"AAAAAHt63X0=")</f>
        <v>#REF!</v>
      </c>
      <c r="DW249" t="e">
        <f>AND('PROG FORMACIÓN TITULADA'!#REF!,"AAAAAHt63X4=")</f>
        <v>#REF!</v>
      </c>
      <c r="DX249" t="e">
        <f>AND('PROG FORMACIÓN TITULADA'!#REF!,"AAAAAHt63X8=")</f>
        <v>#REF!</v>
      </c>
      <c r="DY249" t="e">
        <f>AND('PROG FORMACIÓN TITULADA'!#REF!,"AAAAAHt63YA=")</f>
        <v>#REF!</v>
      </c>
      <c r="DZ249" t="e">
        <f>AND('PROG FORMACIÓN TITULADA'!#REF!,"AAAAAHt63YE=")</f>
        <v>#REF!</v>
      </c>
      <c r="EA249" t="e">
        <f>AND('PROG FORMACIÓN TITULADA'!#REF!,"AAAAAHt63YI=")</f>
        <v>#REF!</v>
      </c>
      <c r="EB249" t="e">
        <f>AND('PROG FORMACIÓN TITULADA'!#REF!,"AAAAAHt63YM=")</f>
        <v>#REF!</v>
      </c>
      <c r="EC249" t="e">
        <f>AND('PROG FORMACIÓN TITULADA'!#REF!,"AAAAAHt63YQ=")</f>
        <v>#REF!</v>
      </c>
      <c r="ED249" t="e">
        <f>AND('PROG FORMACIÓN TITULADA'!#REF!,"AAAAAHt63YU=")</f>
        <v>#REF!</v>
      </c>
      <c r="EE249" t="e">
        <f>AND('PROG FORMACIÓN TITULADA'!#REF!,"AAAAAHt63YY=")</f>
        <v>#REF!</v>
      </c>
      <c r="EF249" t="e">
        <f>IF('PROG FORMACIÓN TITULADA'!#REF!,"AAAAAHt63Yc=",0)</f>
        <v>#REF!</v>
      </c>
      <c r="EG249" t="e">
        <f>AND('PROG FORMACIÓN TITULADA'!#REF!,"AAAAAHt63Yg=")</f>
        <v>#REF!</v>
      </c>
      <c r="EH249" t="e">
        <f>AND('PROG FORMACIÓN TITULADA'!#REF!,"AAAAAHt63Yk=")</f>
        <v>#REF!</v>
      </c>
      <c r="EI249" t="e">
        <f>AND('PROG FORMACIÓN TITULADA'!#REF!,"AAAAAHt63Yo=")</f>
        <v>#REF!</v>
      </c>
      <c r="EJ249" t="e">
        <f>AND('PROG FORMACIÓN TITULADA'!#REF!,"AAAAAHt63Ys=")</f>
        <v>#REF!</v>
      </c>
      <c r="EK249" t="e">
        <f>AND('PROG FORMACIÓN TITULADA'!#REF!,"AAAAAHt63Yw=")</f>
        <v>#REF!</v>
      </c>
      <c r="EL249" t="e">
        <f>AND('PROG FORMACIÓN TITULADA'!#REF!,"AAAAAHt63Y0=")</f>
        <v>#REF!</v>
      </c>
      <c r="EM249" t="e">
        <f>AND('PROG FORMACIÓN TITULADA'!#REF!,"AAAAAHt63Y4=")</f>
        <v>#REF!</v>
      </c>
      <c r="EN249" t="e">
        <f>AND('PROG FORMACIÓN TITULADA'!#REF!,"AAAAAHt63Y8=")</f>
        <v>#REF!</v>
      </c>
      <c r="EO249" t="e">
        <f>AND('PROG FORMACIÓN TITULADA'!#REF!,"AAAAAHt63ZA=")</f>
        <v>#REF!</v>
      </c>
      <c r="EP249" t="e">
        <f>AND('PROG FORMACIÓN TITULADA'!#REF!,"AAAAAHt63ZE=")</f>
        <v>#REF!</v>
      </c>
      <c r="EQ249" t="e">
        <f>AND('PROG FORMACIÓN TITULADA'!#REF!,"AAAAAHt63ZI=")</f>
        <v>#REF!</v>
      </c>
      <c r="ER249" t="e">
        <f>AND('PROG FORMACIÓN TITULADA'!#REF!,"AAAAAHt63ZM=")</f>
        <v>#REF!</v>
      </c>
      <c r="ES249" t="e">
        <f>AND('PROG FORMACIÓN TITULADA'!#REF!,"AAAAAHt63ZQ=")</f>
        <v>#REF!</v>
      </c>
      <c r="ET249" t="e">
        <f>AND('PROG FORMACIÓN TITULADA'!#REF!,"AAAAAHt63ZU=")</f>
        <v>#REF!</v>
      </c>
      <c r="EU249" t="e">
        <f>AND('PROG FORMACIÓN TITULADA'!#REF!,"AAAAAHt63ZY=")</f>
        <v>#REF!</v>
      </c>
      <c r="EV249" t="e">
        <f>AND('PROG FORMACIÓN TITULADA'!#REF!,"AAAAAHt63Zc=")</f>
        <v>#REF!</v>
      </c>
      <c r="EW249" t="e">
        <f>AND('PROG FORMACIÓN TITULADA'!#REF!,"AAAAAHt63Zg=")</f>
        <v>#REF!</v>
      </c>
      <c r="EX249" t="e">
        <f>AND('PROG FORMACIÓN TITULADA'!#REF!,"AAAAAHt63Zk=")</f>
        <v>#REF!</v>
      </c>
      <c r="EY249" t="e">
        <f>AND('PROG FORMACIÓN TITULADA'!#REF!,"AAAAAHt63Zo=")</f>
        <v>#REF!</v>
      </c>
      <c r="EZ249" t="e">
        <f>AND('PROG FORMACIÓN TITULADA'!#REF!,"AAAAAHt63Zs=")</f>
        <v>#REF!</v>
      </c>
      <c r="FA249" t="e">
        <f>AND('PROG FORMACIÓN TITULADA'!#REF!,"AAAAAHt63Zw=")</f>
        <v>#REF!</v>
      </c>
      <c r="FB249" t="e">
        <f>AND('PROG FORMACIÓN TITULADA'!#REF!,"AAAAAHt63Z0=")</f>
        <v>#REF!</v>
      </c>
      <c r="FC249" t="e">
        <f>AND('PROG FORMACIÓN TITULADA'!#REF!,"AAAAAHt63Z4=")</f>
        <v>#REF!</v>
      </c>
      <c r="FD249" t="e">
        <f>AND('PROG FORMACIÓN TITULADA'!#REF!,"AAAAAHt63Z8=")</f>
        <v>#REF!</v>
      </c>
      <c r="FE249" t="e">
        <f>AND('PROG FORMACIÓN TITULADA'!#REF!,"AAAAAHt63aA=")</f>
        <v>#REF!</v>
      </c>
      <c r="FF249" t="e">
        <f>AND('PROG FORMACIÓN TITULADA'!#REF!,"AAAAAHt63aE=")</f>
        <v>#REF!</v>
      </c>
      <c r="FG249" t="e">
        <f>IF('PROG FORMACIÓN TITULADA'!#REF!,"AAAAAHt63aI=",0)</f>
        <v>#REF!</v>
      </c>
      <c r="FH249" t="e">
        <f>AND('PROG FORMACIÓN TITULADA'!#REF!,"AAAAAHt63aM=")</f>
        <v>#REF!</v>
      </c>
      <c r="FI249" t="e">
        <f>AND('PROG FORMACIÓN TITULADA'!#REF!,"AAAAAHt63aQ=")</f>
        <v>#REF!</v>
      </c>
      <c r="FJ249" t="e">
        <f>AND('PROG FORMACIÓN TITULADA'!#REF!,"AAAAAHt63aU=")</f>
        <v>#REF!</v>
      </c>
      <c r="FK249" t="e">
        <f>AND('PROG FORMACIÓN TITULADA'!#REF!,"AAAAAHt63aY=")</f>
        <v>#REF!</v>
      </c>
      <c r="FL249" t="e">
        <f>AND('PROG FORMACIÓN TITULADA'!#REF!,"AAAAAHt63ac=")</f>
        <v>#REF!</v>
      </c>
      <c r="FM249" t="e">
        <f>AND('PROG FORMACIÓN TITULADA'!#REF!,"AAAAAHt63ag=")</f>
        <v>#REF!</v>
      </c>
      <c r="FN249" t="e">
        <f>AND('PROG FORMACIÓN TITULADA'!#REF!,"AAAAAHt63ak=")</f>
        <v>#REF!</v>
      </c>
      <c r="FO249" t="e">
        <f>AND('PROG FORMACIÓN TITULADA'!#REF!,"AAAAAHt63ao=")</f>
        <v>#REF!</v>
      </c>
      <c r="FP249" t="e">
        <f>AND('PROG FORMACIÓN TITULADA'!#REF!,"AAAAAHt63as=")</f>
        <v>#REF!</v>
      </c>
      <c r="FQ249" t="e">
        <f>AND('PROG FORMACIÓN TITULADA'!#REF!,"AAAAAHt63aw=")</f>
        <v>#REF!</v>
      </c>
      <c r="FR249" t="e">
        <f>AND('PROG FORMACIÓN TITULADA'!#REF!,"AAAAAHt63a0=")</f>
        <v>#REF!</v>
      </c>
      <c r="FS249" t="e">
        <f>AND('PROG FORMACIÓN TITULADA'!#REF!,"AAAAAHt63a4=")</f>
        <v>#REF!</v>
      </c>
      <c r="FT249" t="e">
        <f>AND('PROG FORMACIÓN TITULADA'!#REF!,"AAAAAHt63a8=")</f>
        <v>#REF!</v>
      </c>
      <c r="FU249" t="e">
        <f>AND('PROG FORMACIÓN TITULADA'!#REF!,"AAAAAHt63bA=")</f>
        <v>#REF!</v>
      </c>
      <c r="FV249" t="e">
        <f>AND('PROG FORMACIÓN TITULADA'!#REF!,"AAAAAHt63bE=")</f>
        <v>#REF!</v>
      </c>
      <c r="FW249" t="e">
        <f>AND('PROG FORMACIÓN TITULADA'!#REF!,"AAAAAHt63bI=")</f>
        <v>#REF!</v>
      </c>
      <c r="FX249" t="e">
        <f>AND('PROG FORMACIÓN TITULADA'!#REF!,"AAAAAHt63bM=")</f>
        <v>#REF!</v>
      </c>
      <c r="FY249" t="e">
        <f>AND('PROG FORMACIÓN TITULADA'!#REF!,"AAAAAHt63bQ=")</f>
        <v>#REF!</v>
      </c>
      <c r="FZ249" t="e">
        <f>AND('PROG FORMACIÓN TITULADA'!#REF!,"AAAAAHt63bU=")</f>
        <v>#REF!</v>
      </c>
      <c r="GA249" t="e">
        <f>AND('PROG FORMACIÓN TITULADA'!#REF!,"AAAAAHt63bY=")</f>
        <v>#REF!</v>
      </c>
      <c r="GB249" t="e">
        <f>AND('PROG FORMACIÓN TITULADA'!#REF!,"AAAAAHt63bc=")</f>
        <v>#REF!</v>
      </c>
      <c r="GC249" t="e">
        <f>AND('PROG FORMACIÓN TITULADA'!#REF!,"AAAAAHt63bg=")</f>
        <v>#REF!</v>
      </c>
      <c r="GD249" t="e">
        <f>AND('PROG FORMACIÓN TITULADA'!#REF!,"AAAAAHt63bk=")</f>
        <v>#REF!</v>
      </c>
      <c r="GE249" t="e">
        <f>AND('PROG FORMACIÓN TITULADA'!#REF!,"AAAAAHt63bo=")</f>
        <v>#REF!</v>
      </c>
      <c r="GF249" t="e">
        <f>AND('PROG FORMACIÓN TITULADA'!#REF!,"AAAAAHt63bs=")</f>
        <v>#REF!</v>
      </c>
      <c r="GG249" t="e">
        <f>AND('PROG FORMACIÓN TITULADA'!#REF!,"AAAAAHt63bw=")</f>
        <v>#REF!</v>
      </c>
      <c r="GH249" t="e">
        <f>IF('PROG FORMACIÓN TITULADA'!#REF!,"AAAAAHt63b0=",0)</f>
        <v>#REF!</v>
      </c>
      <c r="GI249" t="e">
        <f>AND('PROG FORMACIÓN TITULADA'!#REF!,"AAAAAHt63b4=")</f>
        <v>#REF!</v>
      </c>
      <c r="GJ249" t="e">
        <f>AND('PROG FORMACIÓN TITULADA'!#REF!,"AAAAAHt63b8=")</f>
        <v>#REF!</v>
      </c>
      <c r="GK249" t="e">
        <f>AND('PROG FORMACIÓN TITULADA'!#REF!,"AAAAAHt63cA=")</f>
        <v>#REF!</v>
      </c>
      <c r="GL249" t="e">
        <f>AND('PROG FORMACIÓN TITULADA'!#REF!,"AAAAAHt63cE=")</f>
        <v>#REF!</v>
      </c>
      <c r="GM249" t="e">
        <f>AND('PROG FORMACIÓN TITULADA'!#REF!,"AAAAAHt63cI=")</f>
        <v>#REF!</v>
      </c>
      <c r="GN249" t="e">
        <f>AND('PROG FORMACIÓN TITULADA'!#REF!,"AAAAAHt63cM=")</f>
        <v>#REF!</v>
      </c>
      <c r="GO249" t="e">
        <f>AND('PROG FORMACIÓN TITULADA'!#REF!,"AAAAAHt63cQ=")</f>
        <v>#REF!</v>
      </c>
      <c r="GP249" t="e">
        <f>AND('PROG FORMACIÓN TITULADA'!#REF!,"AAAAAHt63cU=")</f>
        <v>#REF!</v>
      </c>
      <c r="GQ249" t="e">
        <f>AND('PROG FORMACIÓN TITULADA'!#REF!,"AAAAAHt63cY=")</f>
        <v>#REF!</v>
      </c>
      <c r="GR249" t="e">
        <f>AND('PROG FORMACIÓN TITULADA'!#REF!,"AAAAAHt63cc=")</f>
        <v>#REF!</v>
      </c>
      <c r="GS249" t="e">
        <f>AND('PROG FORMACIÓN TITULADA'!#REF!,"AAAAAHt63cg=")</f>
        <v>#REF!</v>
      </c>
      <c r="GT249" t="e">
        <f>AND('PROG FORMACIÓN TITULADA'!#REF!,"AAAAAHt63ck=")</f>
        <v>#REF!</v>
      </c>
      <c r="GU249" t="e">
        <f>AND('PROG FORMACIÓN TITULADA'!#REF!,"AAAAAHt63co=")</f>
        <v>#REF!</v>
      </c>
      <c r="GV249" t="e">
        <f>AND('PROG FORMACIÓN TITULADA'!#REF!,"AAAAAHt63cs=")</f>
        <v>#REF!</v>
      </c>
      <c r="GW249" t="e">
        <f>AND('PROG FORMACIÓN TITULADA'!#REF!,"AAAAAHt63cw=")</f>
        <v>#REF!</v>
      </c>
      <c r="GX249" t="e">
        <f>AND('PROG FORMACIÓN TITULADA'!#REF!,"AAAAAHt63c0=")</f>
        <v>#REF!</v>
      </c>
      <c r="GY249" t="e">
        <f>AND('PROG FORMACIÓN TITULADA'!#REF!,"AAAAAHt63c4=")</f>
        <v>#REF!</v>
      </c>
      <c r="GZ249" t="e">
        <f>AND('PROG FORMACIÓN TITULADA'!#REF!,"AAAAAHt63c8=")</f>
        <v>#REF!</v>
      </c>
      <c r="HA249" t="e">
        <f>AND('PROG FORMACIÓN TITULADA'!#REF!,"AAAAAHt63dA=")</f>
        <v>#REF!</v>
      </c>
      <c r="HB249" t="e">
        <f>AND('PROG FORMACIÓN TITULADA'!#REF!,"AAAAAHt63dE=")</f>
        <v>#REF!</v>
      </c>
      <c r="HC249" t="e">
        <f>AND('PROG FORMACIÓN TITULADA'!#REF!,"AAAAAHt63dI=")</f>
        <v>#REF!</v>
      </c>
      <c r="HD249" t="e">
        <f>AND('PROG FORMACIÓN TITULADA'!#REF!,"AAAAAHt63dM=")</f>
        <v>#REF!</v>
      </c>
      <c r="HE249" t="e">
        <f>AND('PROG FORMACIÓN TITULADA'!#REF!,"AAAAAHt63dQ=")</f>
        <v>#REF!</v>
      </c>
      <c r="HF249" t="e">
        <f>AND('PROG FORMACIÓN TITULADA'!#REF!,"AAAAAHt63dU=")</f>
        <v>#REF!</v>
      </c>
      <c r="HG249" t="e">
        <f>AND('PROG FORMACIÓN TITULADA'!#REF!,"AAAAAHt63dY=")</f>
        <v>#REF!</v>
      </c>
      <c r="HH249" t="e">
        <f>AND('PROG FORMACIÓN TITULADA'!#REF!,"AAAAAHt63dc=")</f>
        <v>#REF!</v>
      </c>
      <c r="HI249" t="e">
        <f>IF('PROG FORMACIÓN TITULADA'!#REF!,"AAAAAHt63dg=",0)</f>
        <v>#REF!</v>
      </c>
      <c r="HJ249" t="e">
        <f>AND('PROG FORMACIÓN TITULADA'!#REF!,"AAAAAHt63dk=")</f>
        <v>#REF!</v>
      </c>
      <c r="HK249" t="e">
        <f>AND('PROG FORMACIÓN TITULADA'!#REF!,"AAAAAHt63do=")</f>
        <v>#REF!</v>
      </c>
      <c r="HL249" t="e">
        <f>AND('PROG FORMACIÓN TITULADA'!#REF!,"AAAAAHt63ds=")</f>
        <v>#REF!</v>
      </c>
      <c r="HM249" t="e">
        <f>AND('PROG FORMACIÓN TITULADA'!#REF!,"AAAAAHt63dw=")</f>
        <v>#REF!</v>
      </c>
      <c r="HN249" t="e">
        <f>AND('PROG FORMACIÓN TITULADA'!#REF!,"AAAAAHt63d0=")</f>
        <v>#REF!</v>
      </c>
      <c r="HO249" t="e">
        <f>AND('PROG FORMACIÓN TITULADA'!#REF!,"AAAAAHt63d4=")</f>
        <v>#REF!</v>
      </c>
      <c r="HP249" t="e">
        <f>AND('PROG FORMACIÓN TITULADA'!#REF!,"AAAAAHt63d8=")</f>
        <v>#REF!</v>
      </c>
      <c r="HQ249" t="e">
        <f>AND('PROG FORMACIÓN TITULADA'!#REF!,"AAAAAHt63eA=")</f>
        <v>#REF!</v>
      </c>
      <c r="HR249" t="e">
        <f>AND('PROG FORMACIÓN TITULADA'!#REF!,"AAAAAHt63eE=")</f>
        <v>#REF!</v>
      </c>
      <c r="HS249" t="e">
        <f>AND('PROG FORMACIÓN TITULADA'!#REF!,"AAAAAHt63eI=")</f>
        <v>#REF!</v>
      </c>
      <c r="HT249" t="e">
        <f>AND('PROG FORMACIÓN TITULADA'!#REF!,"AAAAAHt63eM=")</f>
        <v>#REF!</v>
      </c>
      <c r="HU249" t="e">
        <f>AND('PROG FORMACIÓN TITULADA'!#REF!,"AAAAAHt63eQ=")</f>
        <v>#REF!</v>
      </c>
      <c r="HV249" t="e">
        <f>AND('PROG FORMACIÓN TITULADA'!#REF!,"AAAAAHt63eU=")</f>
        <v>#REF!</v>
      </c>
      <c r="HW249" t="e">
        <f>AND('PROG FORMACIÓN TITULADA'!#REF!,"AAAAAHt63eY=")</f>
        <v>#REF!</v>
      </c>
      <c r="HX249" t="e">
        <f>AND('PROG FORMACIÓN TITULADA'!#REF!,"AAAAAHt63ec=")</f>
        <v>#REF!</v>
      </c>
      <c r="HY249" t="e">
        <f>AND('PROG FORMACIÓN TITULADA'!#REF!,"AAAAAHt63eg=")</f>
        <v>#REF!</v>
      </c>
      <c r="HZ249" t="e">
        <f>AND('PROG FORMACIÓN TITULADA'!#REF!,"AAAAAHt63ek=")</f>
        <v>#REF!</v>
      </c>
      <c r="IA249" t="e">
        <f>AND('PROG FORMACIÓN TITULADA'!#REF!,"AAAAAHt63eo=")</f>
        <v>#REF!</v>
      </c>
      <c r="IB249" t="e">
        <f>AND('PROG FORMACIÓN TITULADA'!#REF!,"AAAAAHt63es=")</f>
        <v>#REF!</v>
      </c>
      <c r="IC249" t="e">
        <f>AND('PROG FORMACIÓN TITULADA'!#REF!,"AAAAAHt63ew=")</f>
        <v>#REF!</v>
      </c>
      <c r="ID249" t="e">
        <f>AND('PROG FORMACIÓN TITULADA'!#REF!,"AAAAAHt63e0=")</f>
        <v>#REF!</v>
      </c>
      <c r="IE249" t="e">
        <f>AND('PROG FORMACIÓN TITULADA'!#REF!,"AAAAAHt63e4=")</f>
        <v>#REF!</v>
      </c>
      <c r="IF249" t="e">
        <f>AND('PROG FORMACIÓN TITULADA'!#REF!,"AAAAAHt63e8=")</f>
        <v>#REF!</v>
      </c>
      <c r="IG249" t="e">
        <f>AND('PROG FORMACIÓN TITULADA'!#REF!,"AAAAAHt63fA=")</f>
        <v>#REF!</v>
      </c>
      <c r="IH249" t="e">
        <f>AND('PROG FORMACIÓN TITULADA'!#REF!,"AAAAAHt63fE=")</f>
        <v>#REF!</v>
      </c>
      <c r="II249" t="e">
        <f>AND('PROG FORMACIÓN TITULADA'!#REF!,"AAAAAHt63fI=")</f>
        <v>#REF!</v>
      </c>
      <c r="IJ249" t="e">
        <f>IF('PROG FORMACIÓN TITULADA'!#REF!,"AAAAAHt63fM=",0)</f>
        <v>#REF!</v>
      </c>
      <c r="IK249" t="e">
        <f>AND('PROG FORMACIÓN TITULADA'!#REF!,"AAAAAHt63fQ=")</f>
        <v>#REF!</v>
      </c>
      <c r="IL249" t="e">
        <f>AND('PROG FORMACIÓN TITULADA'!#REF!,"AAAAAHt63fU=")</f>
        <v>#REF!</v>
      </c>
      <c r="IM249" t="e">
        <f>AND('PROG FORMACIÓN TITULADA'!#REF!,"AAAAAHt63fY=")</f>
        <v>#REF!</v>
      </c>
      <c r="IN249" t="e">
        <f>AND('PROG FORMACIÓN TITULADA'!#REF!,"AAAAAHt63fc=")</f>
        <v>#REF!</v>
      </c>
      <c r="IO249" t="e">
        <f>AND('PROG FORMACIÓN TITULADA'!#REF!,"AAAAAHt63fg=")</f>
        <v>#REF!</v>
      </c>
      <c r="IP249" t="e">
        <f>AND('PROG FORMACIÓN TITULADA'!#REF!,"AAAAAHt63fk=")</f>
        <v>#REF!</v>
      </c>
      <c r="IQ249" t="e">
        <f>AND('PROG FORMACIÓN TITULADA'!#REF!,"AAAAAHt63fo=")</f>
        <v>#REF!</v>
      </c>
      <c r="IR249" t="e">
        <f>AND('PROG FORMACIÓN TITULADA'!#REF!,"AAAAAHt63fs=")</f>
        <v>#REF!</v>
      </c>
      <c r="IS249" t="e">
        <f>AND('PROG FORMACIÓN TITULADA'!#REF!,"AAAAAHt63fw=")</f>
        <v>#REF!</v>
      </c>
      <c r="IT249" t="e">
        <f>AND('PROG FORMACIÓN TITULADA'!#REF!,"AAAAAHt63f0=")</f>
        <v>#REF!</v>
      </c>
      <c r="IU249" t="e">
        <f>AND('PROG FORMACIÓN TITULADA'!#REF!,"AAAAAHt63f4=")</f>
        <v>#REF!</v>
      </c>
      <c r="IV249" t="e">
        <f>AND('PROG FORMACIÓN TITULADA'!#REF!,"AAAAAHt63f8=")</f>
        <v>#REF!</v>
      </c>
    </row>
    <row r="250" spans="1:256" x14ac:dyDescent="0.2">
      <c r="A250" t="e">
        <f>AND('PROG FORMACIÓN TITULADA'!#REF!,"AAAAAH//+wA=")</f>
        <v>#REF!</v>
      </c>
      <c r="B250" t="e">
        <f>AND('PROG FORMACIÓN TITULADA'!#REF!,"AAAAAH//+wE=")</f>
        <v>#REF!</v>
      </c>
      <c r="C250" t="e">
        <f>AND('PROG FORMACIÓN TITULADA'!#REF!,"AAAAAH//+wI=")</f>
        <v>#REF!</v>
      </c>
      <c r="D250" t="e">
        <f>AND('PROG FORMACIÓN TITULADA'!#REF!,"AAAAAH//+wM=")</f>
        <v>#REF!</v>
      </c>
      <c r="E250" t="e">
        <f>AND('PROG FORMACIÓN TITULADA'!#REF!,"AAAAAH//+wQ=")</f>
        <v>#REF!</v>
      </c>
      <c r="F250" t="e">
        <f>AND('PROG FORMACIÓN TITULADA'!#REF!,"AAAAAH//+wU=")</f>
        <v>#REF!</v>
      </c>
      <c r="G250" t="e">
        <f>AND('PROG FORMACIÓN TITULADA'!#REF!,"AAAAAH//+wY=")</f>
        <v>#REF!</v>
      </c>
      <c r="H250" t="e">
        <f>AND('PROG FORMACIÓN TITULADA'!#REF!,"AAAAAH//+wc=")</f>
        <v>#REF!</v>
      </c>
      <c r="I250" t="e">
        <f>AND('PROG FORMACIÓN TITULADA'!#REF!,"AAAAAH//+wg=")</f>
        <v>#REF!</v>
      </c>
      <c r="J250" t="e">
        <f>AND('PROG FORMACIÓN TITULADA'!#REF!,"AAAAAH//+wk=")</f>
        <v>#REF!</v>
      </c>
      <c r="K250" t="e">
        <f>AND('PROG FORMACIÓN TITULADA'!#REF!,"AAAAAH//+wo=")</f>
        <v>#REF!</v>
      </c>
      <c r="L250" t="e">
        <f>AND('PROG FORMACIÓN TITULADA'!#REF!,"AAAAAH//+ws=")</f>
        <v>#REF!</v>
      </c>
      <c r="M250" t="e">
        <f>AND('PROG FORMACIÓN TITULADA'!#REF!,"AAAAAH//+ww=")</f>
        <v>#REF!</v>
      </c>
      <c r="N250" t="e">
        <f>AND('PROG FORMACIÓN TITULADA'!#REF!,"AAAAAH//+w0=")</f>
        <v>#REF!</v>
      </c>
      <c r="O250" t="e">
        <f>IF('PROG FORMACIÓN TITULADA'!#REF!,"AAAAAH//+w4=",0)</f>
        <v>#REF!</v>
      </c>
      <c r="P250" t="e">
        <f>AND('PROG FORMACIÓN TITULADA'!#REF!,"AAAAAH//+w8=")</f>
        <v>#REF!</v>
      </c>
      <c r="Q250" t="e">
        <f>AND('PROG FORMACIÓN TITULADA'!#REF!,"AAAAAH//+xA=")</f>
        <v>#REF!</v>
      </c>
      <c r="R250" t="e">
        <f>AND('PROG FORMACIÓN TITULADA'!#REF!,"AAAAAH//+xE=")</f>
        <v>#REF!</v>
      </c>
      <c r="S250" t="e">
        <f>AND('PROG FORMACIÓN TITULADA'!#REF!,"AAAAAH//+xI=")</f>
        <v>#REF!</v>
      </c>
      <c r="T250" t="e">
        <f>AND('PROG FORMACIÓN TITULADA'!#REF!,"AAAAAH//+xM=")</f>
        <v>#REF!</v>
      </c>
      <c r="U250" t="e">
        <f>AND('PROG FORMACIÓN TITULADA'!#REF!,"AAAAAH//+xQ=")</f>
        <v>#REF!</v>
      </c>
      <c r="V250" t="e">
        <f>AND('PROG FORMACIÓN TITULADA'!#REF!,"AAAAAH//+xU=")</f>
        <v>#REF!</v>
      </c>
      <c r="W250" t="e">
        <f>AND('PROG FORMACIÓN TITULADA'!#REF!,"AAAAAH//+xY=")</f>
        <v>#REF!</v>
      </c>
      <c r="X250" t="e">
        <f>AND('PROG FORMACIÓN TITULADA'!#REF!,"AAAAAH//+xc=")</f>
        <v>#REF!</v>
      </c>
      <c r="Y250" t="e">
        <f>AND('PROG FORMACIÓN TITULADA'!#REF!,"AAAAAH//+xg=")</f>
        <v>#REF!</v>
      </c>
      <c r="Z250" t="e">
        <f>AND('PROG FORMACIÓN TITULADA'!#REF!,"AAAAAH//+xk=")</f>
        <v>#REF!</v>
      </c>
      <c r="AA250" t="e">
        <f>AND('PROG FORMACIÓN TITULADA'!#REF!,"AAAAAH//+xo=")</f>
        <v>#REF!</v>
      </c>
      <c r="AB250" t="e">
        <f>AND('PROG FORMACIÓN TITULADA'!#REF!,"AAAAAH//+xs=")</f>
        <v>#REF!</v>
      </c>
      <c r="AC250" t="e">
        <f>AND('PROG FORMACIÓN TITULADA'!#REF!,"AAAAAH//+xw=")</f>
        <v>#REF!</v>
      </c>
      <c r="AD250" t="e">
        <f>AND('PROG FORMACIÓN TITULADA'!#REF!,"AAAAAH//+x0=")</f>
        <v>#REF!</v>
      </c>
      <c r="AE250" t="e">
        <f>AND('PROG FORMACIÓN TITULADA'!#REF!,"AAAAAH//+x4=")</f>
        <v>#REF!</v>
      </c>
      <c r="AF250" t="e">
        <f>AND('PROG FORMACIÓN TITULADA'!#REF!,"AAAAAH//+x8=")</f>
        <v>#REF!</v>
      </c>
      <c r="AG250" t="e">
        <f>AND('PROG FORMACIÓN TITULADA'!#REF!,"AAAAAH//+yA=")</f>
        <v>#REF!</v>
      </c>
      <c r="AH250" t="e">
        <f>AND('PROG FORMACIÓN TITULADA'!#REF!,"AAAAAH//+yE=")</f>
        <v>#REF!</v>
      </c>
      <c r="AI250" t="e">
        <f>AND('PROG FORMACIÓN TITULADA'!#REF!,"AAAAAH//+yI=")</f>
        <v>#REF!</v>
      </c>
      <c r="AJ250" t="e">
        <f>AND('PROG FORMACIÓN TITULADA'!#REF!,"AAAAAH//+yM=")</f>
        <v>#REF!</v>
      </c>
      <c r="AK250" t="e">
        <f>AND('PROG FORMACIÓN TITULADA'!#REF!,"AAAAAH//+yQ=")</f>
        <v>#REF!</v>
      </c>
      <c r="AL250" t="e">
        <f>AND('PROG FORMACIÓN TITULADA'!#REF!,"AAAAAH//+yU=")</f>
        <v>#REF!</v>
      </c>
      <c r="AM250" t="e">
        <f>AND('PROG FORMACIÓN TITULADA'!#REF!,"AAAAAH//+yY=")</f>
        <v>#REF!</v>
      </c>
      <c r="AN250" t="e">
        <f>AND('PROG FORMACIÓN TITULADA'!#REF!,"AAAAAH//+yc=")</f>
        <v>#REF!</v>
      </c>
      <c r="AO250" t="e">
        <f>AND('PROG FORMACIÓN TITULADA'!#REF!,"AAAAAH//+yg=")</f>
        <v>#REF!</v>
      </c>
      <c r="AP250" t="e">
        <f>IF('PROG FORMACIÓN TITULADA'!#REF!,"AAAAAH//+yk=",0)</f>
        <v>#REF!</v>
      </c>
      <c r="AQ250" t="e">
        <f>AND('PROG FORMACIÓN TITULADA'!#REF!,"AAAAAH//+yo=")</f>
        <v>#REF!</v>
      </c>
      <c r="AR250" t="e">
        <f>AND('PROG FORMACIÓN TITULADA'!#REF!,"AAAAAH//+ys=")</f>
        <v>#REF!</v>
      </c>
      <c r="AS250" t="e">
        <f>AND('PROG FORMACIÓN TITULADA'!#REF!,"AAAAAH//+yw=")</f>
        <v>#REF!</v>
      </c>
      <c r="AT250" t="e">
        <f>AND('PROG FORMACIÓN TITULADA'!#REF!,"AAAAAH//+y0=")</f>
        <v>#REF!</v>
      </c>
      <c r="AU250" t="e">
        <f>AND('PROG FORMACIÓN TITULADA'!#REF!,"AAAAAH//+y4=")</f>
        <v>#REF!</v>
      </c>
      <c r="AV250" t="e">
        <f>AND('PROG FORMACIÓN TITULADA'!#REF!,"AAAAAH//+y8=")</f>
        <v>#REF!</v>
      </c>
      <c r="AW250" t="e">
        <f>AND('PROG FORMACIÓN TITULADA'!#REF!,"AAAAAH//+zA=")</f>
        <v>#REF!</v>
      </c>
      <c r="AX250" t="e">
        <f>AND('PROG FORMACIÓN TITULADA'!#REF!,"AAAAAH//+zE=")</f>
        <v>#REF!</v>
      </c>
      <c r="AY250" t="e">
        <f>AND('PROG FORMACIÓN TITULADA'!#REF!,"AAAAAH//+zI=")</f>
        <v>#REF!</v>
      </c>
      <c r="AZ250" t="e">
        <f>AND('PROG FORMACIÓN TITULADA'!#REF!,"AAAAAH//+zM=")</f>
        <v>#REF!</v>
      </c>
      <c r="BA250" t="e">
        <f>AND('PROG FORMACIÓN TITULADA'!#REF!,"AAAAAH//+zQ=")</f>
        <v>#REF!</v>
      </c>
      <c r="BB250" t="e">
        <f>AND('PROG FORMACIÓN TITULADA'!#REF!,"AAAAAH//+zU=")</f>
        <v>#REF!</v>
      </c>
      <c r="BC250" t="e">
        <f>AND('PROG FORMACIÓN TITULADA'!#REF!,"AAAAAH//+zY=")</f>
        <v>#REF!</v>
      </c>
      <c r="BD250" t="e">
        <f>AND('PROG FORMACIÓN TITULADA'!#REF!,"AAAAAH//+zc=")</f>
        <v>#REF!</v>
      </c>
      <c r="BE250" t="e">
        <f>AND('PROG FORMACIÓN TITULADA'!#REF!,"AAAAAH//+zg=")</f>
        <v>#REF!</v>
      </c>
      <c r="BF250" t="e">
        <f>AND('PROG FORMACIÓN TITULADA'!#REF!,"AAAAAH//+zk=")</f>
        <v>#REF!</v>
      </c>
      <c r="BG250" t="e">
        <f>AND('PROG FORMACIÓN TITULADA'!#REF!,"AAAAAH//+zo=")</f>
        <v>#REF!</v>
      </c>
      <c r="BH250" t="e">
        <f>AND('PROG FORMACIÓN TITULADA'!#REF!,"AAAAAH//+zs=")</f>
        <v>#REF!</v>
      </c>
      <c r="BI250" t="e">
        <f>AND('PROG FORMACIÓN TITULADA'!#REF!,"AAAAAH//+zw=")</f>
        <v>#REF!</v>
      </c>
      <c r="BJ250" t="e">
        <f>AND('PROG FORMACIÓN TITULADA'!#REF!,"AAAAAH//+z0=")</f>
        <v>#REF!</v>
      </c>
      <c r="BK250" t="e">
        <f>AND('PROG FORMACIÓN TITULADA'!#REF!,"AAAAAH//+z4=")</f>
        <v>#REF!</v>
      </c>
      <c r="BL250" t="e">
        <f>AND('PROG FORMACIÓN TITULADA'!#REF!,"AAAAAH//+z8=")</f>
        <v>#REF!</v>
      </c>
      <c r="BM250" t="e">
        <f>AND('PROG FORMACIÓN TITULADA'!#REF!,"AAAAAH//+0A=")</f>
        <v>#REF!</v>
      </c>
      <c r="BN250" t="e">
        <f>AND('PROG FORMACIÓN TITULADA'!#REF!,"AAAAAH//+0E=")</f>
        <v>#REF!</v>
      </c>
      <c r="BO250" t="e">
        <f>AND('PROG FORMACIÓN TITULADA'!#REF!,"AAAAAH//+0I=")</f>
        <v>#REF!</v>
      </c>
      <c r="BP250" t="e">
        <f>AND('PROG FORMACIÓN TITULADA'!#REF!,"AAAAAH//+0M=")</f>
        <v>#REF!</v>
      </c>
      <c r="BQ250" t="e">
        <f>IF('PROG FORMACIÓN TITULADA'!#REF!,"AAAAAH//+0Q=",0)</f>
        <v>#REF!</v>
      </c>
      <c r="BR250" t="e">
        <f>AND('PROG FORMACIÓN TITULADA'!#REF!,"AAAAAH//+0U=")</f>
        <v>#REF!</v>
      </c>
      <c r="BS250" t="e">
        <f>AND('PROG FORMACIÓN TITULADA'!#REF!,"AAAAAH//+0Y=")</f>
        <v>#REF!</v>
      </c>
      <c r="BT250" t="e">
        <f>AND('PROG FORMACIÓN TITULADA'!#REF!,"AAAAAH//+0c=")</f>
        <v>#REF!</v>
      </c>
      <c r="BU250" t="e">
        <f>AND('PROG FORMACIÓN TITULADA'!#REF!,"AAAAAH//+0g=")</f>
        <v>#REF!</v>
      </c>
      <c r="BV250" t="e">
        <f>AND('PROG FORMACIÓN TITULADA'!#REF!,"AAAAAH//+0k=")</f>
        <v>#REF!</v>
      </c>
      <c r="BW250" t="e">
        <f>AND('PROG FORMACIÓN TITULADA'!#REF!,"AAAAAH//+0o=")</f>
        <v>#REF!</v>
      </c>
      <c r="BX250" t="e">
        <f>AND('PROG FORMACIÓN TITULADA'!#REF!,"AAAAAH//+0s=")</f>
        <v>#REF!</v>
      </c>
      <c r="BY250" t="e">
        <f>AND('PROG FORMACIÓN TITULADA'!#REF!,"AAAAAH//+0w=")</f>
        <v>#REF!</v>
      </c>
      <c r="BZ250" t="e">
        <f>AND('PROG FORMACIÓN TITULADA'!#REF!,"AAAAAH//+00=")</f>
        <v>#REF!</v>
      </c>
      <c r="CA250" t="e">
        <f>AND('PROG FORMACIÓN TITULADA'!#REF!,"AAAAAH//+04=")</f>
        <v>#REF!</v>
      </c>
      <c r="CB250" t="e">
        <f>AND('PROG FORMACIÓN TITULADA'!#REF!,"AAAAAH//+08=")</f>
        <v>#REF!</v>
      </c>
      <c r="CC250" t="e">
        <f>AND('PROG FORMACIÓN TITULADA'!#REF!,"AAAAAH//+1A=")</f>
        <v>#REF!</v>
      </c>
      <c r="CD250" t="e">
        <f>AND('PROG FORMACIÓN TITULADA'!#REF!,"AAAAAH//+1E=")</f>
        <v>#REF!</v>
      </c>
      <c r="CE250" t="e">
        <f>AND('PROG FORMACIÓN TITULADA'!#REF!,"AAAAAH//+1I=")</f>
        <v>#REF!</v>
      </c>
      <c r="CF250" t="e">
        <f>AND('PROG FORMACIÓN TITULADA'!#REF!,"AAAAAH//+1M=")</f>
        <v>#REF!</v>
      </c>
      <c r="CG250" t="e">
        <f>AND('PROG FORMACIÓN TITULADA'!#REF!,"AAAAAH//+1Q=")</f>
        <v>#REF!</v>
      </c>
      <c r="CH250" t="e">
        <f>AND('PROG FORMACIÓN TITULADA'!#REF!,"AAAAAH//+1U=")</f>
        <v>#REF!</v>
      </c>
      <c r="CI250" t="e">
        <f>AND('PROG FORMACIÓN TITULADA'!#REF!,"AAAAAH//+1Y=")</f>
        <v>#REF!</v>
      </c>
      <c r="CJ250" t="e">
        <f>AND('PROG FORMACIÓN TITULADA'!#REF!,"AAAAAH//+1c=")</f>
        <v>#REF!</v>
      </c>
      <c r="CK250" t="e">
        <f>AND('PROG FORMACIÓN TITULADA'!#REF!,"AAAAAH//+1g=")</f>
        <v>#REF!</v>
      </c>
      <c r="CL250" t="e">
        <f>AND('PROG FORMACIÓN TITULADA'!#REF!,"AAAAAH//+1k=")</f>
        <v>#REF!</v>
      </c>
      <c r="CM250" t="e">
        <f>AND('PROG FORMACIÓN TITULADA'!#REF!,"AAAAAH//+1o=")</f>
        <v>#REF!</v>
      </c>
      <c r="CN250" t="e">
        <f>AND('PROG FORMACIÓN TITULADA'!#REF!,"AAAAAH//+1s=")</f>
        <v>#REF!</v>
      </c>
      <c r="CO250" t="e">
        <f>AND('PROG FORMACIÓN TITULADA'!#REF!,"AAAAAH//+1w=")</f>
        <v>#REF!</v>
      </c>
      <c r="CP250" t="e">
        <f>AND('PROG FORMACIÓN TITULADA'!#REF!,"AAAAAH//+10=")</f>
        <v>#REF!</v>
      </c>
      <c r="CQ250" t="e">
        <f>AND('PROG FORMACIÓN TITULADA'!#REF!,"AAAAAH//+14=")</f>
        <v>#REF!</v>
      </c>
      <c r="CR250" t="e">
        <f>IF('PROG FORMACIÓN TITULADA'!#REF!,"AAAAAH//+18=",0)</f>
        <v>#REF!</v>
      </c>
      <c r="CS250" t="e">
        <f>AND('PROG FORMACIÓN TITULADA'!#REF!,"AAAAAH//+2A=")</f>
        <v>#REF!</v>
      </c>
      <c r="CT250" t="e">
        <f>AND('PROG FORMACIÓN TITULADA'!#REF!,"AAAAAH//+2E=")</f>
        <v>#REF!</v>
      </c>
      <c r="CU250" t="e">
        <f>AND('PROG FORMACIÓN TITULADA'!#REF!,"AAAAAH//+2I=")</f>
        <v>#REF!</v>
      </c>
      <c r="CV250" t="e">
        <f>AND('PROG FORMACIÓN TITULADA'!#REF!,"AAAAAH//+2M=")</f>
        <v>#REF!</v>
      </c>
      <c r="CW250" t="e">
        <f>AND('PROG FORMACIÓN TITULADA'!#REF!,"AAAAAH//+2Q=")</f>
        <v>#REF!</v>
      </c>
      <c r="CX250" t="e">
        <f>AND('PROG FORMACIÓN TITULADA'!#REF!,"AAAAAH//+2U=")</f>
        <v>#REF!</v>
      </c>
      <c r="CY250" t="e">
        <f>AND('PROG FORMACIÓN TITULADA'!#REF!,"AAAAAH//+2Y=")</f>
        <v>#REF!</v>
      </c>
      <c r="CZ250" t="e">
        <f>AND('PROG FORMACIÓN TITULADA'!#REF!,"AAAAAH//+2c=")</f>
        <v>#REF!</v>
      </c>
      <c r="DA250" t="e">
        <f>AND('PROG FORMACIÓN TITULADA'!#REF!,"AAAAAH//+2g=")</f>
        <v>#REF!</v>
      </c>
      <c r="DB250" t="e">
        <f>AND('PROG FORMACIÓN TITULADA'!#REF!,"AAAAAH//+2k=")</f>
        <v>#REF!</v>
      </c>
      <c r="DC250" t="e">
        <f>AND('PROG FORMACIÓN TITULADA'!#REF!,"AAAAAH//+2o=")</f>
        <v>#REF!</v>
      </c>
      <c r="DD250" t="e">
        <f>AND('PROG FORMACIÓN TITULADA'!#REF!,"AAAAAH//+2s=")</f>
        <v>#REF!</v>
      </c>
      <c r="DE250" t="e">
        <f>AND('PROG FORMACIÓN TITULADA'!#REF!,"AAAAAH//+2w=")</f>
        <v>#REF!</v>
      </c>
      <c r="DF250" t="e">
        <f>AND('PROG FORMACIÓN TITULADA'!#REF!,"AAAAAH//+20=")</f>
        <v>#REF!</v>
      </c>
      <c r="DG250" t="e">
        <f>AND('PROG FORMACIÓN TITULADA'!#REF!,"AAAAAH//+24=")</f>
        <v>#REF!</v>
      </c>
      <c r="DH250" t="e">
        <f>AND('PROG FORMACIÓN TITULADA'!#REF!,"AAAAAH//+28=")</f>
        <v>#REF!</v>
      </c>
      <c r="DI250" t="e">
        <f>AND('PROG FORMACIÓN TITULADA'!#REF!,"AAAAAH//+3A=")</f>
        <v>#REF!</v>
      </c>
      <c r="DJ250" t="e">
        <f>AND('PROG FORMACIÓN TITULADA'!#REF!,"AAAAAH//+3E=")</f>
        <v>#REF!</v>
      </c>
      <c r="DK250" t="e">
        <f>AND('PROG FORMACIÓN TITULADA'!#REF!,"AAAAAH//+3I=")</f>
        <v>#REF!</v>
      </c>
      <c r="DL250" t="e">
        <f>AND('PROG FORMACIÓN TITULADA'!#REF!,"AAAAAH//+3M=")</f>
        <v>#REF!</v>
      </c>
      <c r="DM250" t="e">
        <f>AND('PROG FORMACIÓN TITULADA'!#REF!,"AAAAAH//+3Q=")</f>
        <v>#REF!</v>
      </c>
      <c r="DN250" t="e">
        <f>AND('PROG FORMACIÓN TITULADA'!#REF!,"AAAAAH//+3U=")</f>
        <v>#REF!</v>
      </c>
      <c r="DO250" t="e">
        <f>AND('PROG FORMACIÓN TITULADA'!#REF!,"AAAAAH//+3Y=")</f>
        <v>#REF!</v>
      </c>
      <c r="DP250" t="e">
        <f>AND('PROG FORMACIÓN TITULADA'!#REF!,"AAAAAH//+3c=")</f>
        <v>#REF!</v>
      </c>
      <c r="DQ250" t="e">
        <f>AND('PROG FORMACIÓN TITULADA'!#REF!,"AAAAAH//+3g=")</f>
        <v>#REF!</v>
      </c>
      <c r="DR250" t="e">
        <f>AND('PROG FORMACIÓN TITULADA'!#REF!,"AAAAAH//+3k=")</f>
        <v>#REF!</v>
      </c>
      <c r="DS250" t="e">
        <f>AND('PROG FORMACIÓN TITULADA'!#REF!,"AAAAAH//+3o=")</f>
        <v>#REF!</v>
      </c>
      <c r="DT250" t="e">
        <f>IF('PROG FORMACIÓN TITULADA'!#REF!,"AAAAAH//+3s=",0)</f>
        <v>#REF!</v>
      </c>
      <c r="DU250" t="e">
        <f>AND('PROG FORMACIÓN TITULADA'!#REF!,"AAAAAH//+3w=")</f>
        <v>#REF!</v>
      </c>
      <c r="DV250" t="e">
        <f>AND('PROG FORMACIÓN TITULADA'!#REF!,"AAAAAH//+30=")</f>
        <v>#REF!</v>
      </c>
      <c r="DW250" t="e">
        <f>AND('PROG FORMACIÓN TITULADA'!#REF!,"AAAAAH//+34=")</f>
        <v>#REF!</v>
      </c>
      <c r="DX250" t="e">
        <f>AND('PROG FORMACIÓN TITULADA'!#REF!,"AAAAAH//+38=")</f>
        <v>#REF!</v>
      </c>
      <c r="DY250" t="e">
        <f>AND('PROG FORMACIÓN TITULADA'!#REF!,"AAAAAH//+4A=")</f>
        <v>#REF!</v>
      </c>
      <c r="DZ250" t="e">
        <f>AND('PROG FORMACIÓN TITULADA'!#REF!,"AAAAAH//+4E=")</f>
        <v>#REF!</v>
      </c>
      <c r="EA250" t="e">
        <f>AND('PROG FORMACIÓN TITULADA'!#REF!,"AAAAAH//+4I=")</f>
        <v>#REF!</v>
      </c>
      <c r="EB250" t="e">
        <f>AND('PROG FORMACIÓN TITULADA'!#REF!,"AAAAAH//+4M=")</f>
        <v>#REF!</v>
      </c>
      <c r="EC250" t="e">
        <f>AND('PROG FORMACIÓN TITULADA'!#REF!,"AAAAAH//+4Q=")</f>
        <v>#REF!</v>
      </c>
      <c r="ED250" t="e">
        <f>AND('PROG FORMACIÓN TITULADA'!#REF!,"AAAAAH//+4U=")</f>
        <v>#REF!</v>
      </c>
      <c r="EE250" t="e">
        <f>AND('PROG FORMACIÓN TITULADA'!#REF!,"AAAAAH//+4Y=")</f>
        <v>#REF!</v>
      </c>
      <c r="EF250" t="e">
        <f>AND('PROG FORMACIÓN TITULADA'!#REF!,"AAAAAH//+4c=")</f>
        <v>#REF!</v>
      </c>
      <c r="EG250" t="e">
        <f>AND('PROG FORMACIÓN TITULADA'!#REF!,"AAAAAH//+4g=")</f>
        <v>#REF!</v>
      </c>
      <c r="EH250" t="e">
        <f>AND('PROG FORMACIÓN TITULADA'!#REF!,"AAAAAH//+4k=")</f>
        <v>#REF!</v>
      </c>
      <c r="EI250" t="e">
        <f>AND('PROG FORMACIÓN TITULADA'!#REF!,"AAAAAH//+4o=")</f>
        <v>#REF!</v>
      </c>
      <c r="EJ250" t="e">
        <f>AND('PROG FORMACIÓN TITULADA'!#REF!,"AAAAAH//+4s=")</f>
        <v>#REF!</v>
      </c>
      <c r="EK250" t="e">
        <f>AND('PROG FORMACIÓN TITULADA'!#REF!,"AAAAAH//+4w=")</f>
        <v>#REF!</v>
      </c>
      <c r="EL250" t="e">
        <f>AND('PROG FORMACIÓN TITULADA'!#REF!,"AAAAAH//+40=")</f>
        <v>#REF!</v>
      </c>
      <c r="EM250" t="e">
        <f>AND('PROG FORMACIÓN TITULADA'!#REF!,"AAAAAH//+44=")</f>
        <v>#REF!</v>
      </c>
      <c r="EN250" t="e">
        <f>AND('PROG FORMACIÓN TITULADA'!#REF!,"AAAAAH//+48=")</f>
        <v>#REF!</v>
      </c>
      <c r="EO250" t="e">
        <f>AND('PROG FORMACIÓN TITULADA'!#REF!,"AAAAAH//+5A=")</f>
        <v>#REF!</v>
      </c>
      <c r="EP250" t="e">
        <f>AND('PROG FORMACIÓN TITULADA'!#REF!,"AAAAAH//+5E=")</f>
        <v>#REF!</v>
      </c>
      <c r="EQ250" t="e">
        <f>AND('PROG FORMACIÓN TITULADA'!#REF!,"AAAAAH//+5I=")</f>
        <v>#REF!</v>
      </c>
      <c r="ER250" t="e">
        <f>AND('PROG FORMACIÓN TITULADA'!#REF!,"AAAAAH//+5M=")</f>
        <v>#REF!</v>
      </c>
      <c r="ES250" t="e">
        <f>AND('PROG FORMACIÓN TITULADA'!#REF!,"AAAAAH//+5Q=")</f>
        <v>#REF!</v>
      </c>
      <c r="ET250" t="e">
        <f>AND('PROG FORMACIÓN TITULADA'!#REF!,"AAAAAH//+5U=")</f>
        <v>#REF!</v>
      </c>
      <c r="EU250" t="e">
        <f>IF('PROG FORMACIÓN TITULADA'!#REF!,"AAAAAH//+5Y=",0)</f>
        <v>#REF!</v>
      </c>
      <c r="EV250" t="e">
        <f>AND('PROG FORMACIÓN TITULADA'!#REF!,"AAAAAH//+5c=")</f>
        <v>#REF!</v>
      </c>
      <c r="EW250" t="e">
        <f>AND('PROG FORMACIÓN TITULADA'!#REF!,"AAAAAH//+5g=")</f>
        <v>#REF!</v>
      </c>
      <c r="EX250" t="e">
        <f>AND('PROG FORMACIÓN TITULADA'!#REF!,"AAAAAH//+5k=")</f>
        <v>#REF!</v>
      </c>
      <c r="EY250" t="e">
        <f>AND('PROG FORMACIÓN TITULADA'!#REF!,"AAAAAH//+5o=")</f>
        <v>#REF!</v>
      </c>
      <c r="EZ250" t="e">
        <f>AND('PROG FORMACIÓN TITULADA'!#REF!,"AAAAAH//+5s=")</f>
        <v>#REF!</v>
      </c>
      <c r="FA250" t="e">
        <f>AND('PROG FORMACIÓN TITULADA'!#REF!,"AAAAAH//+5w=")</f>
        <v>#REF!</v>
      </c>
      <c r="FB250" t="e">
        <f>AND('PROG FORMACIÓN TITULADA'!#REF!,"AAAAAH//+50=")</f>
        <v>#REF!</v>
      </c>
      <c r="FC250" t="e">
        <f>AND('PROG FORMACIÓN TITULADA'!#REF!,"AAAAAH//+54=")</f>
        <v>#REF!</v>
      </c>
      <c r="FD250" t="e">
        <f>AND('PROG FORMACIÓN TITULADA'!#REF!,"AAAAAH//+58=")</f>
        <v>#REF!</v>
      </c>
      <c r="FE250" t="e">
        <f>AND('PROG FORMACIÓN TITULADA'!#REF!,"AAAAAH//+6A=")</f>
        <v>#REF!</v>
      </c>
      <c r="FF250" t="e">
        <f>AND('PROG FORMACIÓN TITULADA'!#REF!,"AAAAAH//+6E=")</f>
        <v>#REF!</v>
      </c>
      <c r="FG250" t="e">
        <f>AND('PROG FORMACIÓN TITULADA'!#REF!,"AAAAAH//+6I=")</f>
        <v>#REF!</v>
      </c>
      <c r="FH250" t="e">
        <f>AND('PROG FORMACIÓN TITULADA'!#REF!,"AAAAAH//+6M=")</f>
        <v>#REF!</v>
      </c>
      <c r="FI250" t="e">
        <f>AND('PROG FORMACIÓN TITULADA'!#REF!,"AAAAAH//+6Q=")</f>
        <v>#REF!</v>
      </c>
      <c r="FJ250" t="e">
        <f>AND('PROG FORMACIÓN TITULADA'!#REF!,"AAAAAH//+6U=")</f>
        <v>#REF!</v>
      </c>
      <c r="FK250" t="e">
        <f>AND('PROG FORMACIÓN TITULADA'!#REF!,"AAAAAH//+6Y=")</f>
        <v>#REF!</v>
      </c>
      <c r="FL250" t="e">
        <f>AND('PROG FORMACIÓN TITULADA'!#REF!,"AAAAAH//+6c=")</f>
        <v>#REF!</v>
      </c>
      <c r="FM250" t="e">
        <f>AND('PROG FORMACIÓN TITULADA'!#REF!,"AAAAAH//+6g=")</f>
        <v>#REF!</v>
      </c>
      <c r="FN250" t="e">
        <f>AND('PROG FORMACIÓN TITULADA'!#REF!,"AAAAAH//+6k=")</f>
        <v>#REF!</v>
      </c>
      <c r="FO250" t="e">
        <f>AND('PROG FORMACIÓN TITULADA'!#REF!,"AAAAAH//+6o=")</f>
        <v>#REF!</v>
      </c>
      <c r="FP250" t="e">
        <f>AND('PROG FORMACIÓN TITULADA'!#REF!,"AAAAAH//+6s=")</f>
        <v>#REF!</v>
      </c>
      <c r="FQ250" t="e">
        <f>AND('PROG FORMACIÓN TITULADA'!#REF!,"AAAAAH//+6w=")</f>
        <v>#REF!</v>
      </c>
      <c r="FR250" t="e">
        <f>AND('PROG FORMACIÓN TITULADA'!#REF!,"AAAAAH//+60=")</f>
        <v>#REF!</v>
      </c>
      <c r="FS250" t="e">
        <f>AND('PROG FORMACIÓN TITULADA'!#REF!,"AAAAAH//+64=")</f>
        <v>#REF!</v>
      </c>
      <c r="FT250" t="e">
        <f>AND('PROG FORMACIÓN TITULADA'!#REF!,"AAAAAH//+68=")</f>
        <v>#REF!</v>
      </c>
      <c r="FU250" t="e">
        <f>AND('PROG FORMACIÓN TITULADA'!#REF!,"AAAAAH//+7A=")</f>
        <v>#REF!</v>
      </c>
      <c r="FV250" t="e">
        <f>IF('PROG FORMACIÓN TITULADA'!#REF!,"AAAAAH//+7E=",0)</f>
        <v>#REF!</v>
      </c>
      <c r="FW250" t="e">
        <f>AND('PROG FORMACIÓN TITULADA'!#REF!,"AAAAAH//+7I=")</f>
        <v>#REF!</v>
      </c>
      <c r="FX250" t="e">
        <f>AND('PROG FORMACIÓN TITULADA'!#REF!,"AAAAAH//+7M=")</f>
        <v>#REF!</v>
      </c>
      <c r="FY250" t="e">
        <f>AND('PROG FORMACIÓN TITULADA'!#REF!,"AAAAAH//+7Q=")</f>
        <v>#REF!</v>
      </c>
      <c r="FZ250" t="e">
        <f>AND('PROG FORMACIÓN TITULADA'!#REF!,"AAAAAH//+7U=")</f>
        <v>#REF!</v>
      </c>
      <c r="GA250" t="e">
        <f>AND('PROG FORMACIÓN TITULADA'!#REF!,"AAAAAH//+7Y=")</f>
        <v>#REF!</v>
      </c>
      <c r="GB250" t="e">
        <f>AND('PROG FORMACIÓN TITULADA'!#REF!,"AAAAAH//+7c=")</f>
        <v>#REF!</v>
      </c>
      <c r="GC250" t="e">
        <f>AND('PROG FORMACIÓN TITULADA'!#REF!,"AAAAAH//+7g=")</f>
        <v>#REF!</v>
      </c>
      <c r="GD250" t="e">
        <f>AND('PROG FORMACIÓN TITULADA'!#REF!,"AAAAAH//+7k=")</f>
        <v>#REF!</v>
      </c>
      <c r="GE250" t="e">
        <f>AND('PROG FORMACIÓN TITULADA'!#REF!,"AAAAAH//+7o=")</f>
        <v>#REF!</v>
      </c>
      <c r="GF250" t="e">
        <f>AND('PROG FORMACIÓN TITULADA'!#REF!,"AAAAAH//+7s=")</f>
        <v>#REF!</v>
      </c>
      <c r="GG250" t="e">
        <f>AND('PROG FORMACIÓN TITULADA'!#REF!,"AAAAAH//+7w=")</f>
        <v>#REF!</v>
      </c>
      <c r="GH250" t="e">
        <f>AND('PROG FORMACIÓN TITULADA'!#REF!,"AAAAAH//+70=")</f>
        <v>#REF!</v>
      </c>
      <c r="GI250" t="e">
        <f>AND('PROG FORMACIÓN TITULADA'!#REF!,"AAAAAH//+74=")</f>
        <v>#REF!</v>
      </c>
      <c r="GJ250" t="e">
        <f>AND('PROG FORMACIÓN TITULADA'!#REF!,"AAAAAH//+78=")</f>
        <v>#REF!</v>
      </c>
      <c r="GK250" t="e">
        <f>AND('PROG FORMACIÓN TITULADA'!#REF!,"AAAAAH//+8A=")</f>
        <v>#REF!</v>
      </c>
      <c r="GL250" t="e">
        <f>AND('PROG FORMACIÓN TITULADA'!#REF!,"AAAAAH//+8E=")</f>
        <v>#REF!</v>
      </c>
      <c r="GM250" t="e">
        <f>AND('PROG FORMACIÓN TITULADA'!#REF!,"AAAAAH//+8I=")</f>
        <v>#REF!</v>
      </c>
      <c r="GN250" t="e">
        <f>AND('PROG FORMACIÓN TITULADA'!#REF!,"AAAAAH//+8M=")</f>
        <v>#REF!</v>
      </c>
      <c r="GO250" t="e">
        <f>AND('PROG FORMACIÓN TITULADA'!#REF!,"AAAAAH//+8Q=")</f>
        <v>#REF!</v>
      </c>
      <c r="GP250" t="e">
        <f>AND('PROG FORMACIÓN TITULADA'!#REF!,"AAAAAH//+8U=")</f>
        <v>#REF!</v>
      </c>
      <c r="GQ250" t="e">
        <f>AND('PROG FORMACIÓN TITULADA'!#REF!,"AAAAAH//+8Y=")</f>
        <v>#REF!</v>
      </c>
      <c r="GR250" t="e">
        <f>AND('PROG FORMACIÓN TITULADA'!#REF!,"AAAAAH//+8c=")</f>
        <v>#REF!</v>
      </c>
      <c r="GS250" t="e">
        <f>AND('PROG FORMACIÓN TITULADA'!#REF!,"AAAAAH//+8g=")</f>
        <v>#REF!</v>
      </c>
      <c r="GT250" t="e">
        <f>AND('PROG FORMACIÓN TITULADA'!#REF!,"AAAAAH//+8k=")</f>
        <v>#REF!</v>
      </c>
      <c r="GU250" t="e">
        <f>AND('PROG FORMACIÓN TITULADA'!#REF!,"AAAAAH//+8o=")</f>
        <v>#REF!</v>
      </c>
      <c r="GV250" t="e">
        <f>AND('PROG FORMACIÓN TITULADA'!#REF!,"AAAAAH//+8s=")</f>
        <v>#REF!</v>
      </c>
      <c r="GW250" t="e">
        <f>IF('PROG FORMACIÓN TITULADA'!#REF!,"AAAAAH//+8w=",0)</f>
        <v>#REF!</v>
      </c>
      <c r="GX250" t="e">
        <f>AND('PROG FORMACIÓN TITULADA'!#REF!,"AAAAAH//+80=")</f>
        <v>#REF!</v>
      </c>
      <c r="GY250" t="e">
        <f>AND('PROG FORMACIÓN TITULADA'!#REF!,"AAAAAH//+84=")</f>
        <v>#REF!</v>
      </c>
      <c r="GZ250" t="e">
        <f>AND('PROG FORMACIÓN TITULADA'!#REF!,"AAAAAH//+88=")</f>
        <v>#REF!</v>
      </c>
      <c r="HA250" t="e">
        <f>AND('PROG FORMACIÓN TITULADA'!#REF!,"AAAAAH//+9A=")</f>
        <v>#REF!</v>
      </c>
      <c r="HB250" t="e">
        <f>AND('PROG FORMACIÓN TITULADA'!#REF!,"AAAAAH//+9E=")</f>
        <v>#REF!</v>
      </c>
      <c r="HC250" t="e">
        <f>AND('PROG FORMACIÓN TITULADA'!#REF!,"AAAAAH//+9I=")</f>
        <v>#REF!</v>
      </c>
      <c r="HD250" t="e">
        <f>AND('PROG FORMACIÓN TITULADA'!#REF!,"AAAAAH//+9M=")</f>
        <v>#REF!</v>
      </c>
      <c r="HE250" t="e">
        <f>AND('PROG FORMACIÓN TITULADA'!#REF!,"AAAAAH//+9Q=")</f>
        <v>#REF!</v>
      </c>
      <c r="HF250" t="e">
        <f>AND('PROG FORMACIÓN TITULADA'!#REF!,"AAAAAH//+9U=")</f>
        <v>#REF!</v>
      </c>
      <c r="HG250" t="e">
        <f>AND('PROG FORMACIÓN TITULADA'!#REF!,"AAAAAH//+9Y=")</f>
        <v>#REF!</v>
      </c>
      <c r="HH250" t="e">
        <f>AND('PROG FORMACIÓN TITULADA'!#REF!,"AAAAAH//+9c=")</f>
        <v>#REF!</v>
      </c>
      <c r="HI250" t="e">
        <f>AND('PROG FORMACIÓN TITULADA'!#REF!,"AAAAAH//+9g=")</f>
        <v>#REF!</v>
      </c>
      <c r="HJ250" t="e">
        <f>AND('PROG FORMACIÓN TITULADA'!#REF!,"AAAAAH//+9k=")</f>
        <v>#REF!</v>
      </c>
      <c r="HK250" t="e">
        <f>AND('PROG FORMACIÓN TITULADA'!#REF!,"AAAAAH//+9o=")</f>
        <v>#REF!</v>
      </c>
      <c r="HL250" t="e">
        <f>AND('PROG FORMACIÓN TITULADA'!#REF!,"AAAAAH//+9s=")</f>
        <v>#REF!</v>
      </c>
      <c r="HM250" t="e">
        <f>AND('PROG FORMACIÓN TITULADA'!#REF!,"AAAAAH//+9w=")</f>
        <v>#REF!</v>
      </c>
      <c r="HN250" t="e">
        <f>AND('PROG FORMACIÓN TITULADA'!#REF!,"AAAAAH//+90=")</f>
        <v>#REF!</v>
      </c>
      <c r="HO250" t="e">
        <f>AND('PROG FORMACIÓN TITULADA'!#REF!,"AAAAAH//+94=")</f>
        <v>#REF!</v>
      </c>
      <c r="HP250" t="e">
        <f>AND('PROG FORMACIÓN TITULADA'!#REF!,"AAAAAH//+98=")</f>
        <v>#REF!</v>
      </c>
      <c r="HQ250" t="e">
        <f>AND('PROG FORMACIÓN TITULADA'!#REF!,"AAAAAH//++A=")</f>
        <v>#REF!</v>
      </c>
      <c r="HR250" t="e">
        <f>AND('PROG FORMACIÓN TITULADA'!#REF!,"AAAAAH//++E=")</f>
        <v>#REF!</v>
      </c>
      <c r="HS250" t="e">
        <f>AND('PROG FORMACIÓN TITULADA'!#REF!,"AAAAAH//++I=")</f>
        <v>#REF!</v>
      </c>
      <c r="HT250" t="e">
        <f>AND('PROG FORMACIÓN TITULADA'!#REF!,"AAAAAH//++M=")</f>
        <v>#REF!</v>
      </c>
      <c r="HU250" t="e">
        <f>AND('PROG FORMACIÓN TITULADA'!#REF!,"AAAAAH//++Q=")</f>
        <v>#REF!</v>
      </c>
      <c r="HV250" t="e">
        <f>AND('PROG FORMACIÓN TITULADA'!#REF!,"AAAAAH//++U=")</f>
        <v>#REF!</v>
      </c>
      <c r="HW250" t="e">
        <f>AND('PROG FORMACIÓN TITULADA'!#REF!,"AAAAAH//++Y=")</f>
        <v>#REF!</v>
      </c>
      <c r="HX250" t="e">
        <f>IF('PROG FORMACIÓN TITULADA'!#REF!,"AAAAAH//++c=",0)</f>
        <v>#REF!</v>
      </c>
      <c r="HY250" t="e">
        <f>AND('PROG FORMACIÓN TITULADA'!#REF!,"AAAAAH//++g=")</f>
        <v>#REF!</v>
      </c>
      <c r="HZ250" t="e">
        <f>AND('PROG FORMACIÓN TITULADA'!#REF!,"AAAAAH//++k=")</f>
        <v>#REF!</v>
      </c>
      <c r="IA250" t="e">
        <f>AND('PROG FORMACIÓN TITULADA'!#REF!,"AAAAAH//++o=")</f>
        <v>#REF!</v>
      </c>
      <c r="IB250" t="e">
        <f>AND('PROG FORMACIÓN TITULADA'!#REF!,"AAAAAH//++s=")</f>
        <v>#REF!</v>
      </c>
      <c r="IC250" t="e">
        <f>AND('PROG FORMACIÓN TITULADA'!#REF!,"AAAAAH//++w=")</f>
        <v>#REF!</v>
      </c>
      <c r="ID250" t="e">
        <f>AND('PROG FORMACIÓN TITULADA'!#REF!,"AAAAAH//++0=")</f>
        <v>#REF!</v>
      </c>
      <c r="IE250" t="e">
        <f>AND('PROG FORMACIÓN TITULADA'!#REF!,"AAAAAH//++4=")</f>
        <v>#REF!</v>
      </c>
      <c r="IF250" t="e">
        <f>AND('PROG FORMACIÓN TITULADA'!#REF!,"AAAAAH//++8=")</f>
        <v>#REF!</v>
      </c>
      <c r="IG250" t="e">
        <f>AND('PROG FORMACIÓN TITULADA'!#REF!,"AAAAAH//+/A=")</f>
        <v>#REF!</v>
      </c>
      <c r="IH250" t="e">
        <f>AND('PROG FORMACIÓN TITULADA'!#REF!,"AAAAAH//+/E=")</f>
        <v>#REF!</v>
      </c>
      <c r="II250" t="e">
        <f>AND('PROG FORMACIÓN TITULADA'!#REF!,"AAAAAH//+/I=")</f>
        <v>#REF!</v>
      </c>
      <c r="IJ250" t="e">
        <f>AND('PROG FORMACIÓN TITULADA'!#REF!,"AAAAAH//+/M=")</f>
        <v>#REF!</v>
      </c>
      <c r="IK250" t="e">
        <f>AND('PROG FORMACIÓN TITULADA'!#REF!,"AAAAAH//+/Q=")</f>
        <v>#REF!</v>
      </c>
      <c r="IL250" t="e">
        <f>AND('PROG FORMACIÓN TITULADA'!#REF!,"AAAAAH//+/U=")</f>
        <v>#REF!</v>
      </c>
      <c r="IM250" t="e">
        <f>AND('PROG FORMACIÓN TITULADA'!#REF!,"AAAAAH//+/Y=")</f>
        <v>#REF!</v>
      </c>
      <c r="IN250" t="e">
        <f>AND('PROG FORMACIÓN TITULADA'!#REF!,"AAAAAH//+/c=")</f>
        <v>#REF!</v>
      </c>
      <c r="IO250" t="e">
        <f>AND('PROG FORMACIÓN TITULADA'!#REF!,"AAAAAH//+/g=")</f>
        <v>#REF!</v>
      </c>
      <c r="IP250" t="e">
        <f>AND('PROG FORMACIÓN TITULADA'!#REF!,"AAAAAH//+/k=")</f>
        <v>#REF!</v>
      </c>
      <c r="IQ250" t="e">
        <f>AND('PROG FORMACIÓN TITULADA'!#REF!,"AAAAAH//+/o=")</f>
        <v>#REF!</v>
      </c>
      <c r="IR250" t="e">
        <f>AND('PROG FORMACIÓN TITULADA'!#REF!,"AAAAAH//+/s=")</f>
        <v>#REF!</v>
      </c>
      <c r="IS250" t="e">
        <f>AND('PROG FORMACIÓN TITULADA'!#REF!,"AAAAAH//+/w=")</f>
        <v>#REF!</v>
      </c>
      <c r="IT250" t="e">
        <f>AND('PROG FORMACIÓN TITULADA'!#REF!,"AAAAAH//+/0=")</f>
        <v>#REF!</v>
      </c>
      <c r="IU250" t="e">
        <f>AND('PROG FORMACIÓN TITULADA'!#REF!,"AAAAAH//+/4=")</f>
        <v>#REF!</v>
      </c>
      <c r="IV250" t="e">
        <f>AND('PROG FORMACIÓN TITULADA'!#REF!,"AAAAAH//+/8=")</f>
        <v>#REF!</v>
      </c>
    </row>
    <row r="251" spans="1:256" x14ac:dyDescent="0.2">
      <c r="A251" t="e">
        <f>AND('PROG FORMACIÓN TITULADA'!#REF!,"AAAAAFu2fgA=")</f>
        <v>#REF!</v>
      </c>
      <c r="B251" t="e">
        <f>AND('PROG FORMACIÓN TITULADA'!#REF!,"AAAAAFu2fgE=")</f>
        <v>#REF!</v>
      </c>
      <c r="C251" t="e">
        <f>IF('PROG FORMACIÓN TITULADA'!#REF!,"AAAAAFu2fgI=",0)</f>
        <v>#REF!</v>
      </c>
      <c r="D251" t="e">
        <f>AND('PROG FORMACIÓN TITULADA'!#REF!,"AAAAAFu2fgM=")</f>
        <v>#REF!</v>
      </c>
      <c r="E251" t="e">
        <f>AND('PROG FORMACIÓN TITULADA'!#REF!,"AAAAAFu2fgQ=")</f>
        <v>#REF!</v>
      </c>
      <c r="F251" t="e">
        <f>AND('PROG FORMACIÓN TITULADA'!#REF!,"AAAAAFu2fgU=")</f>
        <v>#REF!</v>
      </c>
      <c r="G251" t="e">
        <f>AND('PROG FORMACIÓN TITULADA'!#REF!,"AAAAAFu2fgY=")</f>
        <v>#REF!</v>
      </c>
      <c r="H251" t="e">
        <f>AND('PROG FORMACIÓN TITULADA'!#REF!,"AAAAAFu2fgc=")</f>
        <v>#REF!</v>
      </c>
      <c r="I251" t="e">
        <f>AND('PROG FORMACIÓN TITULADA'!#REF!,"AAAAAFu2fgg=")</f>
        <v>#REF!</v>
      </c>
      <c r="J251" t="e">
        <f>AND('PROG FORMACIÓN TITULADA'!#REF!,"AAAAAFu2fgk=")</f>
        <v>#REF!</v>
      </c>
      <c r="K251" t="e">
        <f>AND('PROG FORMACIÓN TITULADA'!#REF!,"AAAAAFu2fgo=")</f>
        <v>#REF!</v>
      </c>
      <c r="L251" t="e">
        <f>AND('PROG FORMACIÓN TITULADA'!#REF!,"AAAAAFu2fgs=")</f>
        <v>#REF!</v>
      </c>
      <c r="M251" t="e">
        <f>AND('PROG FORMACIÓN TITULADA'!#REF!,"AAAAAFu2fgw=")</f>
        <v>#REF!</v>
      </c>
      <c r="N251" t="e">
        <f>AND('PROG FORMACIÓN TITULADA'!#REF!,"AAAAAFu2fg0=")</f>
        <v>#REF!</v>
      </c>
      <c r="O251" t="e">
        <f>AND('PROG FORMACIÓN TITULADA'!#REF!,"AAAAAFu2fg4=")</f>
        <v>#REF!</v>
      </c>
      <c r="P251" t="e">
        <f>AND('PROG FORMACIÓN TITULADA'!#REF!,"AAAAAFu2fg8=")</f>
        <v>#REF!</v>
      </c>
      <c r="Q251" t="e">
        <f>AND('PROG FORMACIÓN TITULADA'!#REF!,"AAAAAFu2fhA=")</f>
        <v>#REF!</v>
      </c>
      <c r="R251" t="e">
        <f>AND('PROG FORMACIÓN TITULADA'!#REF!,"AAAAAFu2fhE=")</f>
        <v>#REF!</v>
      </c>
      <c r="S251" t="e">
        <f>AND('PROG FORMACIÓN TITULADA'!#REF!,"AAAAAFu2fhI=")</f>
        <v>#REF!</v>
      </c>
      <c r="T251" t="e">
        <f>AND('PROG FORMACIÓN TITULADA'!#REF!,"AAAAAFu2fhM=")</f>
        <v>#REF!</v>
      </c>
      <c r="U251" t="e">
        <f>AND('PROG FORMACIÓN TITULADA'!#REF!,"AAAAAFu2fhQ=")</f>
        <v>#REF!</v>
      </c>
      <c r="V251" t="e">
        <f>AND('PROG FORMACIÓN TITULADA'!#REF!,"AAAAAFu2fhU=")</f>
        <v>#REF!</v>
      </c>
      <c r="W251" t="e">
        <f>AND('PROG FORMACIÓN TITULADA'!#REF!,"AAAAAFu2fhY=")</f>
        <v>#REF!</v>
      </c>
      <c r="X251" t="e">
        <f>AND('PROG FORMACIÓN TITULADA'!#REF!,"AAAAAFu2fhc=")</f>
        <v>#REF!</v>
      </c>
      <c r="Y251" t="e">
        <f>AND('PROG FORMACIÓN TITULADA'!#REF!,"AAAAAFu2fhg=")</f>
        <v>#REF!</v>
      </c>
      <c r="Z251" t="e">
        <f>AND('PROG FORMACIÓN TITULADA'!#REF!,"AAAAAFu2fhk=")</f>
        <v>#REF!</v>
      </c>
      <c r="AA251" t="e">
        <f>AND('PROG FORMACIÓN TITULADA'!#REF!,"AAAAAFu2fho=")</f>
        <v>#REF!</v>
      </c>
      <c r="AB251" t="e">
        <f>AND('PROG FORMACIÓN TITULADA'!#REF!,"AAAAAFu2fhs=")</f>
        <v>#REF!</v>
      </c>
      <c r="AC251" t="e">
        <f>AND('PROG FORMACIÓN TITULADA'!#REF!,"AAAAAFu2fhw=")</f>
        <v>#REF!</v>
      </c>
      <c r="AD251" t="e">
        <f>IF('PROG FORMACIÓN TITULADA'!#REF!,"AAAAAFu2fh0=",0)</f>
        <v>#REF!</v>
      </c>
      <c r="AE251" t="e">
        <f>AND('PROG FORMACIÓN TITULADA'!#REF!,"AAAAAFu2fh4=")</f>
        <v>#REF!</v>
      </c>
      <c r="AF251" t="e">
        <f>AND('PROG FORMACIÓN TITULADA'!#REF!,"AAAAAFu2fh8=")</f>
        <v>#REF!</v>
      </c>
      <c r="AG251" t="e">
        <f>AND('PROG FORMACIÓN TITULADA'!#REF!,"AAAAAFu2fiA=")</f>
        <v>#REF!</v>
      </c>
      <c r="AH251" t="e">
        <f>AND('PROG FORMACIÓN TITULADA'!#REF!,"AAAAAFu2fiE=")</f>
        <v>#REF!</v>
      </c>
      <c r="AI251" t="e">
        <f>AND('PROG FORMACIÓN TITULADA'!#REF!,"AAAAAFu2fiI=")</f>
        <v>#REF!</v>
      </c>
      <c r="AJ251" t="e">
        <f>AND('PROG FORMACIÓN TITULADA'!#REF!,"AAAAAFu2fiM=")</f>
        <v>#REF!</v>
      </c>
      <c r="AK251" t="e">
        <f>AND('PROG FORMACIÓN TITULADA'!#REF!,"AAAAAFu2fiQ=")</f>
        <v>#REF!</v>
      </c>
      <c r="AL251" t="e">
        <f>AND('PROG FORMACIÓN TITULADA'!#REF!,"AAAAAFu2fiU=")</f>
        <v>#REF!</v>
      </c>
      <c r="AM251" t="e">
        <f>AND('PROG FORMACIÓN TITULADA'!#REF!,"AAAAAFu2fiY=")</f>
        <v>#REF!</v>
      </c>
      <c r="AN251" t="e">
        <f>AND('PROG FORMACIÓN TITULADA'!#REF!,"AAAAAFu2fic=")</f>
        <v>#REF!</v>
      </c>
      <c r="AO251" t="e">
        <f>AND('PROG FORMACIÓN TITULADA'!#REF!,"AAAAAFu2fig=")</f>
        <v>#REF!</v>
      </c>
      <c r="AP251" t="e">
        <f>AND('PROG FORMACIÓN TITULADA'!#REF!,"AAAAAFu2fik=")</f>
        <v>#REF!</v>
      </c>
      <c r="AQ251" t="e">
        <f>AND('PROG FORMACIÓN TITULADA'!#REF!,"AAAAAFu2fio=")</f>
        <v>#REF!</v>
      </c>
      <c r="AR251" t="e">
        <f>AND('PROG FORMACIÓN TITULADA'!#REF!,"AAAAAFu2fis=")</f>
        <v>#REF!</v>
      </c>
      <c r="AS251" t="e">
        <f>AND('PROG FORMACIÓN TITULADA'!#REF!,"AAAAAFu2fiw=")</f>
        <v>#REF!</v>
      </c>
      <c r="AT251" t="e">
        <f>AND('PROG FORMACIÓN TITULADA'!#REF!,"AAAAAFu2fi0=")</f>
        <v>#REF!</v>
      </c>
      <c r="AU251" t="e">
        <f>AND('PROG FORMACIÓN TITULADA'!#REF!,"AAAAAFu2fi4=")</f>
        <v>#REF!</v>
      </c>
      <c r="AV251" t="e">
        <f>AND('PROG FORMACIÓN TITULADA'!#REF!,"AAAAAFu2fi8=")</f>
        <v>#REF!</v>
      </c>
      <c r="AW251" t="e">
        <f>AND('PROG FORMACIÓN TITULADA'!#REF!,"AAAAAFu2fjA=")</f>
        <v>#REF!</v>
      </c>
      <c r="AX251" t="e">
        <f>AND('PROG FORMACIÓN TITULADA'!#REF!,"AAAAAFu2fjE=")</f>
        <v>#REF!</v>
      </c>
      <c r="AY251" t="e">
        <f>AND('PROG FORMACIÓN TITULADA'!#REF!,"AAAAAFu2fjI=")</f>
        <v>#REF!</v>
      </c>
      <c r="AZ251" t="e">
        <f>AND('PROG FORMACIÓN TITULADA'!#REF!,"AAAAAFu2fjM=")</f>
        <v>#REF!</v>
      </c>
      <c r="BA251" t="e">
        <f>AND('PROG FORMACIÓN TITULADA'!#REF!,"AAAAAFu2fjQ=")</f>
        <v>#REF!</v>
      </c>
      <c r="BB251" t="e">
        <f>AND('PROG FORMACIÓN TITULADA'!#REF!,"AAAAAFu2fjU=")</f>
        <v>#REF!</v>
      </c>
      <c r="BC251" t="e">
        <f>AND('PROG FORMACIÓN TITULADA'!#REF!,"AAAAAFu2fjY=")</f>
        <v>#REF!</v>
      </c>
      <c r="BD251" t="e">
        <f>AND('PROG FORMACIÓN TITULADA'!#REF!,"AAAAAFu2fjc=")</f>
        <v>#REF!</v>
      </c>
      <c r="BE251" t="e">
        <f>IF('PROG FORMACIÓN TITULADA'!#REF!,"AAAAAFu2fjg=",0)</f>
        <v>#REF!</v>
      </c>
      <c r="BF251" t="e">
        <f>AND('PROG FORMACIÓN TITULADA'!#REF!,"AAAAAFu2fjk=")</f>
        <v>#REF!</v>
      </c>
      <c r="BG251" t="e">
        <f>AND('PROG FORMACIÓN TITULADA'!#REF!,"AAAAAFu2fjo=")</f>
        <v>#REF!</v>
      </c>
      <c r="BH251" t="e">
        <f>AND('PROG FORMACIÓN TITULADA'!#REF!,"AAAAAFu2fjs=")</f>
        <v>#REF!</v>
      </c>
      <c r="BI251" t="e">
        <f>AND('PROG FORMACIÓN TITULADA'!#REF!,"AAAAAFu2fjw=")</f>
        <v>#REF!</v>
      </c>
      <c r="BJ251" t="e">
        <f>AND('PROG FORMACIÓN TITULADA'!#REF!,"AAAAAFu2fj0=")</f>
        <v>#REF!</v>
      </c>
      <c r="BK251" t="e">
        <f>AND('PROG FORMACIÓN TITULADA'!#REF!,"AAAAAFu2fj4=")</f>
        <v>#REF!</v>
      </c>
      <c r="BL251" t="e">
        <f>AND('PROG FORMACIÓN TITULADA'!#REF!,"AAAAAFu2fj8=")</f>
        <v>#REF!</v>
      </c>
      <c r="BM251" t="e">
        <f>AND('PROG FORMACIÓN TITULADA'!#REF!,"AAAAAFu2fkA=")</f>
        <v>#REF!</v>
      </c>
      <c r="BN251" t="e">
        <f>AND('PROG FORMACIÓN TITULADA'!#REF!,"AAAAAFu2fkE=")</f>
        <v>#REF!</v>
      </c>
      <c r="BO251" t="e">
        <f>AND('PROG FORMACIÓN TITULADA'!#REF!,"AAAAAFu2fkI=")</f>
        <v>#REF!</v>
      </c>
      <c r="BP251" t="e">
        <f>AND('PROG FORMACIÓN TITULADA'!#REF!,"AAAAAFu2fkM=")</f>
        <v>#REF!</v>
      </c>
      <c r="BQ251" t="e">
        <f>AND('PROG FORMACIÓN TITULADA'!#REF!,"AAAAAFu2fkQ=")</f>
        <v>#REF!</v>
      </c>
      <c r="BR251" t="e">
        <f>AND('PROG FORMACIÓN TITULADA'!#REF!,"AAAAAFu2fkU=")</f>
        <v>#REF!</v>
      </c>
      <c r="BS251" t="e">
        <f>AND('PROG FORMACIÓN TITULADA'!#REF!,"AAAAAFu2fkY=")</f>
        <v>#REF!</v>
      </c>
      <c r="BT251" t="e">
        <f>AND('PROG FORMACIÓN TITULADA'!#REF!,"AAAAAFu2fkc=")</f>
        <v>#REF!</v>
      </c>
      <c r="BU251" t="e">
        <f>AND('PROG FORMACIÓN TITULADA'!#REF!,"AAAAAFu2fkg=")</f>
        <v>#REF!</v>
      </c>
      <c r="BV251" t="e">
        <f>AND('PROG FORMACIÓN TITULADA'!#REF!,"AAAAAFu2fkk=")</f>
        <v>#REF!</v>
      </c>
      <c r="BW251" t="e">
        <f>AND('PROG FORMACIÓN TITULADA'!#REF!,"AAAAAFu2fko=")</f>
        <v>#REF!</v>
      </c>
      <c r="BX251" t="e">
        <f>AND('PROG FORMACIÓN TITULADA'!#REF!,"AAAAAFu2fks=")</f>
        <v>#REF!</v>
      </c>
      <c r="BY251" t="e">
        <f>AND('PROG FORMACIÓN TITULADA'!#REF!,"AAAAAFu2fkw=")</f>
        <v>#REF!</v>
      </c>
      <c r="BZ251" t="e">
        <f>AND('PROG FORMACIÓN TITULADA'!#REF!,"AAAAAFu2fk0=")</f>
        <v>#REF!</v>
      </c>
      <c r="CA251" t="e">
        <f>AND('PROG FORMACIÓN TITULADA'!#REF!,"AAAAAFu2fk4=")</f>
        <v>#REF!</v>
      </c>
      <c r="CB251" t="e">
        <f>AND('PROG FORMACIÓN TITULADA'!#REF!,"AAAAAFu2fk8=")</f>
        <v>#REF!</v>
      </c>
      <c r="CC251" t="e">
        <f>AND('PROG FORMACIÓN TITULADA'!#REF!,"AAAAAFu2flA=")</f>
        <v>#REF!</v>
      </c>
      <c r="CD251" t="e">
        <f>AND('PROG FORMACIÓN TITULADA'!#REF!,"AAAAAFu2flE=")</f>
        <v>#REF!</v>
      </c>
      <c r="CE251" t="e">
        <f>AND('PROG FORMACIÓN TITULADA'!#REF!,"AAAAAFu2flI=")</f>
        <v>#REF!</v>
      </c>
      <c r="CF251" t="e">
        <f>IF('PROG FORMACIÓN TITULADA'!#REF!,"AAAAAFu2flM=",0)</f>
        <v>#REF!</v>
      </c>
      <c r="CG251" t="e">
        <f>AND('PROG FORMACIÓN TITULADA'!#REF!,"AAAAAFu2flQ=")</f>
        <v>#REF!</v>
      </c>
      <c r="CH251" t="e">
        <f>AND('PROG FORMACIÓN TITULADA'!#REF!,"AAAAAFu2flU=")</f>
        <v>#REF!</v>
      </c>
      <c r="CI251" t="e">
        <f>AND('PROG FORMACIÓN TITULADA'!#REF!,"AAAAAFu2flY=")</f>
        <v>#REF!</v>
      </c>
      <c r="CJ251" t="e">
        <f>AND('PROG FORMACIÓN TITULADA'!#REF!,"AAAAAFu2flc=")</f>
        <v>#REF!</v>
      </c>
      <c r="CK251" t="e">
        <f>AND('PROG FORMACIÓN TITULADA'!#REF!,"AAAAAFu2flg=")</f>
        <v>#REF!</v>
      </c>
      <c r="CL251" t="e">
        <f>AND('PROG FORMACIÓN TITULADA'!#REF!,"AAAAAFu2flk=")</f>
        <v>#REF!</v>
      </c>
      <c r="CM251" t="e">
        <f>AND('PROG FORMACIÓN TITULADA'!#REF!,"AAAAAFu2flo=")</f>
        <v>#REF!</v>
      </c>
      <c r="CN251" t="e">
        <f>AND('PROG FORMACIÓN TITULADA'!#REF!,"AAAAAFu2fls=")</f>
        <v>#REF!</v>
      </c>
      <c r="CO251" t="e">
        <f>AND('PROG FORMACIÓN TITULADA'!#REF!,"AAAAAFu2flw=")</f>
        <v>#REF!</v>
      </c>
      <c r="CP251" t="e">
        <f>AND('PROG FORMACIÓN TITULADA'!#REF!,"AAAAAFu2fl0=")</f>
        <v>#REF!</v>
      </c>
      <c r="CQ251" t="e">
        <f>AND('PROG FORMACIÓN TITULADA'!#REF!,"AAAAAFu2fl4=")</f>
        <v>#REF!</v>
      </c>
      <c r="CR251" t="e">
        <f>AND('PROG FORMACIÓN TITULADA'!#REF!,"AAAAAFu2fl8=")</f>
        <v>#REF!</v>
      </c>
      <c r="CS251" t="e">
        <f>AND('PROG FORMACIÓN TITULADA'!#REF!,"AAAAAFu2fmA=")</f>
        <v>#REF!</v>
      </c>
      <c r="CT251" t="e">
        <f>AND('PROG FORMACIÓN TITULADA'!#REF!,"AAAAAFu2fmE=")</f>
        <v>#REF!</v>
      </c>
      <c r="CU251" t="e">
        <f>AND('PROG FORMACIÓN TITULADA'!#REF!,"AAAAAFu2fmI=")</f>
        <v>#REF!</v>
      </c>
      <c r="CV251" t="e">
        <f>AND('PROG FORMACIÓN TITULADA'!#REF!,"AAAAAFu2fmM=")</f>
        <v>#REF!</v>
      </c>
      <c r="CW251" t="e">
        <f>AND('PROG FORMACIÓN TITULADA'!#REF!,"AAAAAFu2fmQ=")</f>
        <v>#REF!</v>
      </c>
      <c r="CX251" t="e">
        <f>AND('PROG FORMACIÓN TITULADA'!#REF!,"AAAAAFu2fmU=")</f>
        <v>#REF!</v>
      </c>
      <c r="CY251" t="e">
        <f>AND('PROG FORMACIÓN TITULADA'!#REF!,"AAAAAFu2fmY=")</f>
        <v>#REF!</v>
      </c>
      <c r="CZ251" t="e">
        <f>AND('PROG FORMACIÓN TITULADA'!#REF!,"AAAAAFu2fmc=")</f>
        <v>#REF!</v>
      </c>
      <c r="DA251" t="e">
        <f>AND('PROG FORMACIÓN TITULADA'!#REF!,"AAAAAFu2fmg=")</f>
        <v>#REF!</v>
      </c>
      <c r="DB251" t="e">
        <f>AND('PROG FORMACIÓN TITULADA'!#REF!,"AAAAAFu2fmk=")</f>
        <v>#REF!</v>
      </c>
      <c r="DC251" t="e">
        <f>AND('PROG FORMACIÓN TITULADA'!#REF!,"AAAAAFu2fmo=")</f>
        <v>#REF!</v>
      </c>
      <c r="DD251" t="e">
        <f>AND('PROG FORMACIÓN TITULADA'!#REF!,"AAAAAFu2fms=")</f>
        <v>#REF!</v>
      </c>
      <c r="DE251" t="e">
        <f>AND('PROG FORMACIÓN TITULADA'!#REF!,"AAAAAFu2fmw=")</f>
        <v>#REF!</v>
      </c>
      <c r="DF251" t="e">
        <f>AND('PROG FORMACIÓN TITULADA'!#REF!,"AAAAAFu2fm0=")</f>
        <v>#REF!</v>
      </c>
      <c r="DG251" t="e">
        <f>IF('PROG FORMACIÓN TITULADA'!#REF!,"AAAAAFu2fm4=",0)</f>
        <v>#REF!</v>
      </c>
      <c r="DH251" t="e">
        <f>AND('PROG FORMACIÓN TITULADA'!#REF!,"AAAAAFu2fm8=")</f>
        <v>#REF!</v>
      </c>
      <c r="DI251" t="e">
        <f>AND('PROG FORMACIÓN TITULADA'!#REF!,"AAAAAFu2fnA=")</f>
        <v>#REF!</v>
      </c>
      <c r="DJ251" t="e">
        <f>AND('PROG FORMACIÓN TITULADA'!#REF!,"AAAAAFu2fnE=")</f>
        <v>#REF!</v>
      </c>
      <c r="DK251" t="e">
        <f>AND('PROG FORMACIÓN TITULADA'!#REF!,"AAAAAFu2fnI=")</f>
        <v>#REF!</v>
      </c>
      <c r="DL251" t="e">
        <f>AND('PROG FORMACIÓN TITULADA'!#REF!,"AAAAAFu2fnM=")</f>
        <v>#REF!</v>
      </c>
      <c r="DM251" t="e">
        <f>AND('PROG FORMACIÓN TITULADA'!#REF!,"AAAAAFu2fnQ=")</f>
        <v>#REF!</v>
      </c>
      <c r="DN251" t="e">
        <f>AND('PROG FORMACIÓN TITULADA'!#REF!,"AAAAAFu2fnU=")</f>
        <v>#REF!</v>
      </c>
      <c r="DO251" t="e">
        <f>AND('PROG FORMACIÓN TITULADA'!#REF!,"AAAAAFu2fnY=")</f>
        <v>#REF!</v>
      </c>
      <c r="DP251" t="e">
        <f>AND('PROG FORMACIÓN TITULADA'!#REF!,"AAAAAFu2fnc=")</f>
        <v>#REF!</v>
      </c>
      <c r="DQ251" t="e">
        <f>AND('PROG FORMACIÓN TITULADA'!#REF!,"AAAAAFu2fng=")</f>
        <v>#REF!</v>
      </c>
      <c r="DR251" t="e">
        <f>AND('PROG FORMACIÓN TITULADA'!#REF!,"AAAAAFu2fnk=")</f>
        <v>#REF!</v>
      </c>
      <c r="DS251" t="e">
        <f>AND('PROG FORMACIÓN TITULADA'!#REF!,"AAAAAFu2fno=")</f>
        <v>#REF!</v>
      </c>
      <c r="DT251" t="e">
        <f>AND('PROG FORMACIÓN TITULADA'!#REF!,"AAAAAFu2fns=")</f>
        <v>#REF!</v>
      </c>
      <c r="DU251" t="e">
        <f>AND('PROG FORMACIÓN TITULADA'!#REF!,"AAAAAFu2fnw=")</f>
        <v>#REF!</v>
      </c>
      <c r="DV251" t="e">
        <f>AND('PROG FORMACIÓN TITULADA'!#REF!,"AAAAAFu2fn0=")</f>
        <v>#REF!</v>
      </c>
      <c r="DW251" t="e">
        <f>AND('PROG FORMACIÓN TITULADA'!#REF!,"AAAAAFu2fn4=")</f>
        <v>#REF!</v>
      </c>
      <c r="DX251" t="e">
        <f>AND('PROG FORMACIÓN TITULADA'!#REF!,"AAAAAFu2fn8=")</f>
        <v>#REF!</v>
      </c>
      <c r="DY251" t="e">
        <f>AND('PROG FORMACIÓN TITULADA'!#REF!,"AAAAAFu2foA=")</f>
        <v>#REF!</v>
      </c>
      <c r="DZ251" t="e">
        <f>AND('PROG FORMACIÓN TITULADA'!#REF!,"AAAAAFu2foE=")</f>
        <v>#REF!</v>
      </c>
      <c r="EA251" t="e">
        <f>AND('PROG FORMACIÓN TITULADA'!#REF!,"AAAAAFu2foI=")</f>
        <v>#REF!</v>
      </c>
      <c r="EB251" t="e">
        <f>AND('PROG FORMACIÓN TITULADA'!#REF!,"AAAAAFu2foM=")</f>
        <v>#REF!</v>
      </c>
      <c r="EC251" t="e">
        <f>AND('PROG FORMACIÓN TITULADA'!#REF!,"AAAAAFu2foQ=")</f>
        <v>#REF!</v>
      </c>
      <c r="ED251" t="e">
        <f>AND('PROG FORMACIÓN TITULADA'!#REF!,"AAAAAFu2foU=")</f>
        <v>#REF!</v>
      </c>
      <c r="EE251" t="e">
        <f>AND('PROG FORMACIÓN TITULADA'!#REF!,"AAAAAFu2foY=")</f>
        <v>#REF!</v>
      </c>
      <c r="EF251" t="e">
        <f>AND('PROG FORMACIÓN TITULADA'!#REF!,"AAAAAFu2foc=")</f>
        <v>#REF!</v>
      </c>
      <c r="EG251" t="e">
        <f>AND('PROG FORMACIÓN TITULADA'!#REF!,"AAAAAFu2fog=")</f>
        <v>#REF!</v>
      </c>
      <c r="EH251" t="s">
        <v>586</v>
      </c>
      <c r="EI251" t="s">
        <v>587</v>
      </c>
      <c r="EJ251" t="e">
        <f>IF("N",'Calendario Académico 2014'!_xlnm.Print_Area,"AAAAAFu2fos=")</f>
        <v>#VALUE!</v>
      </c>
      <c r="EK251" t="e">
        <f>IF("N",'PROG FORMACIÓN TITULADA'!_xlnm.Print_Area,"AAAAAFu2fow=")</f>
        <v>#VALUE!</v>
      </c>
      <c r="EL251" t="e">
        <f>IF("N",_xlnm.Print_Area,"AAAAAFu2fo0=")</f>
        <v>#VALUE!</v>
      </c>
    </row>
    <row r="252" spans="1:256" x14ac:dyDescent="0.2">
      <c r="A252" t="e">
        <f>IF('POTENCIAL HORAS'!#REF!,"AAAAAAv+OwA=",0)</f>
        <v>#REF!</v>
      </c>
      <c r="B252" t="e">
        <f>AND('POTENCIAL HORAS'!#REF!,"AAAAAAv+OwE=")</f>
        <v>#REF!</v>
      </c>
      <c r="C252" t="e">
        <f>AND('POTENCIAL HORAS'!#REF!,"AAAAAAv+OwI=")</f>
        <v>#REF!</v>
      </c>
      <c r="D252" t="e">
        <f>AND('POTENCIAL HORAS'!#REF!,"AAAAAAv+OwM=")</f>
        <v>#REF!</v>
      </c>
      <c r="E252" t="e">
        <f>AND('POTENCIAL HORAS'!#REF!,"AAAAAAv+OwQ=")</f>
        <v>#REF!</v>
      </c>
      <c r="F252" t="e">
        <f>AND('POTENCIAL HORAS'!#REF!,"AAAAAAv+OwU=")</f>
        <v>#REF!</v>
      </c>
      <c r="G252" t="e">
        <f>AND('POTENCIAL HORAS'!#REF!,"AAAAAAv+OwY=")</f>
        <v>#REF!</v>
      </c>
      <c r="H252" t="e">
        <f>AND('POTENCIAL HORAS'!#REF!,"AAAAAAv+Owc=")</f>
        <v>#REF!</v>
      </c>
      <c r="I252" t="e">
        <f>AND('POTENCIAL HORAS'!#REF!,"AAAAAAv+Owg=")</f>
        <v>#REF!</v>
      </c>
      <c r="J252" t="e">
        <f>AND('POTENCIAL HORAS'!#REF!,"AAAAAAv+Owk=")</f>
        <v>#REF!</v>
      </c>
      <c r="K252" t="e">
        <f>AND('POTENCIAL HORAS'!#REF!,"AAAAAAv+Owo=")</f>
        <v>#REF!</v>
      </c>
      <c r="L252" t="e">
        <f>AND('POTENCIAL HORAS'!#REF!,"AAAAAAv+Ows=")</f>
        <v>#REF!</v>
      </c>
      <c r="M252" t="e">
        <f>AND('POTENCIAL HORAS'!#REF!,"AAAAAAv+Oww=")</f>
        <v>#REF!</v>
      </c>
      <c r="N252" t="e">
        <f>AND('POTENCIAL HORAS'!#REF!,"AAAAAAv+Ow0=")</f>
        <v>#REF!</v>
      </c>
      <c r="O252" t="e">
        <f>AND('POTENCIAL HORAS'!#REF!,"AAAAAAv+Ow4=")</f>
        <v>#REF!</v>
      </c>
      <c r="P252" t="e">
        <f>AND('POTENCIAL HORAS'!#REF!,"AAAAAAv+Ow8=")</f>
        <v>#REF!</v>
      </c>
      <c r="Q252" t="e">
        <f>AND('POTENCIAL HORAS'!#REF!,"AAAAAAv+OxA=")</f>
        <v>#REF!</v>
      </c>
      <c r="R252" t="e">
        <f>AND('POTENCIAL HORAS'!#REF!,"AAAAAAv+OxE=")</f>
        <v>#REF!</v>
      </c>
      <c r="S252" t="e">
        <f>AND('POTENCIAL HORAS'!#REF!,"AAAAAAv+OxI=")</f>
        <v>#REF!</v>
      </c>
      <c r="T252" t="e">
        <f>AND('POTENCIAL HORAS'!#REF!,"AAAAAAv+OxM=")</f>
        <v>#REF!</v>
      </c>
      <c r="U252" t="e">
        <f>AND('POTENCIAL HORAS'!#REF!,"AAAAAAv+OxQ=")</f>
        <v>#REF!</v>
      </c>
      <c r="V252" t="e">
        <f>AND('POTENCIAL HORAS'!#REF!,"AAAAAAv+OxU=")</f>
        <v>#REF!</v>
      </c>
      <c r="W252" t="e">
        <f>AND('POTENCIAL HORAS'!#REF!,"AAAAAAv+OxY=")</f>
        <v>#REF!</v>
      </c>
      <c r="X252" t="e">
        <f>AND('POTENCIAL HORAS'!#REF!,"AAAAAAv+Oxc=")</f>
        <v>#REF!</v>
      </c>
      <c r="Y252" t="e">
        <f>AND('POTENCIAL HORAS'!#REF!,"AAAAAAv+Oxg=")</f>
        <v>#REF!</v>
      </c>
      <c r="Z252" t="e">
        <f>AND('POTENCIAL HORAS'!#REF!,"AAAAAAv+Oxk=")</f>
        <v>#REF!</v>
      </c>
      <c r="AA252" t="e">
        <f>AND('POTENCIAL HORAS'!#REF!,"AAAAAAv+Oxo=")</f>
        <v>#REF!</v>
      </c>
      <c r="AB252" t="e">
        <f>AND('POTENCIAL HORAS'!#REF!,"AAAAAAv+Oxs=")</f>
        <v>#REF!</v>
      </c>
      <c r="AC252" t="e">
        <f>AND('POTENCIAL HORAS'!#REF!,"AAAAAAv+Oxw=")</f>
        <v>#REF!</v>
      </c>
      <c r="AD252" t="e">
        <f>AND('POTENCIAL HORAS'!#REF!,"AAAAAAv+Ox0=")</f>
        <v>#REF!</v>
      </c>
      <c r="AE252" t="e">
        <f>AND('POTENCIAL HORAS'!#REF!,"AAAAAAv+Ox4=")</f>
        <v>#REF!</v>
      </c>
      <c r="AF252" t="e">
        <f>AND('POTENCIAL HORAS'!#REF!,"AAAAAAv+Ox8=")</f>
        <v>#REF!</v>
      </c>
      <c r="AG252" t="e">
        <f>AND('POTENCIAL HORAS'!#REF!,"AAAAAAv+OyA=")</f>
        <v>#REF!</v>
      </c>
      <c r="AH252" t="e">
        <f>AND('POTENCIAL HORAS'!#REF!,"AAAAAAv+OyE=")</f>
        <v>#REF!</v>
      </c>
      <c r="AI252" t="e">
        <f>AND('POTENCIAL HORAS'!#REF!,"AAAAAAv+OyI=")</f>
        <v>#REF!</v>
      </c>
      <c r="AJ252" t="e">
        <f>AND('POTENCIAL HORAS'!#REF!,"AAAAAAv+OyM=")</f>
        <v>#REF!</v>
      </c>
      <c r="AK252" t="e">
        <f>AND('POTENCIAL HORAS'!#REF!,"AAAAAAv+OyQ=")</f>
        <v>#REF!</v>
      </c>
      <c r="AL252" t="e">
        <f>AND('POTENCIAL HORAS'!#REF!,"AAAAAAv+OyU=")</f>
        <v>#REF!</v>
      </c>
      <c r="AM252" t="e">
        <f>AND('POTENCIAL HORAS'!#REF!,"AAAAAAv+OyY=")</f>
        <v>#REF!</v>
      </c>
      <c r="AN252" t="e">
        <f>IF('POTENCIAL HORAS'!#REF!,"AAAAAAv+Oyc=",0)</f>
        <v>#REF!</v>
      </c>
      <c r="AO252" t="e">
        <f>AND('POTENCIAL HORAS'!#REF!,"AAAAAAv+Oyg=")</f>
        <v>#REF!</v>
      </c>
      <c r="AP252" t="e">
        <f>AND('POTENCIAL HORAS'!#REF!,"AAAAAAv+Oyk=")</f>
        <v>#REF!</v>
      </c>
      <c r="AQ252" t="e">
        <f>AND('POTENCIAL HORAS'!#REF!,"AAAAAAv+Oyo=")</f>
        <v>#REF!</v>
      </c>
      <c r="AR252" t="e">
        <f>AND('POTENCIAL HORAS'!#REF!,"AAAAAAv+Oys=")</f>
        <v>#REF!</v>
      </c>
      <c r="AS252" t="e">
        <f>AND('POTENCIAL HORAS'!#REF!,"AAAAAAv+Oyw=")</f>
        <v>#REF!</v>
      </c>
      <c r="AT252" t="e">
        <f>AND('POTENCIAL HORAS'!#REF!,"AAAAAAv+Oy0=")</f>
        <v>#REF!</v>
      </c>
      <c r="AU252" t="e">
        <f>AND('POTENCIAL HORAS'!#REF!,"AAAAAAv+Oy4=")</f>
        <v>#REF!</v>
      </c>
      <c r="AV252" t="e">
        <f>AND('POTENCIAL HORAS'!#REF!,"AAAAAAv+Oy8=")</f>
        <v>#REF!</v>
      </c>
      <c r="AW252" t="e">
        <f>AND('POTENCIAL HORAS'!#REF!,"AAAAAAv+OzA=")</f>
        <v>#REF!</v>
      </c>
      <c r="AX252" t="e">
        <f>AND('POTENCIAL HORAS'!#REF!,"AAAAAAv+OzE=")</f>
        <v>#REF!</v>
      </c>
      <c r="AY252" t="e">
        <f>AND('POTENCIAL HORAS'!#REF!,"AAAAAAv+OzI=")</f>
        <v>#REF!</v>
      </c>
      <c r="AZ252" t="e">
        <f>AND('POTENCIAL HORAS'!#REF!,"AAAAAAv+OzM=")</f>
        <v>#REF!</v>
      </c>
      <c r="BA252" t="e">
        <f>AND('POTENCIAL HORAS'!#REF!,"AAAAAAv+OzQ=")</f>
        <v>#REF!</v>
      </c>
      <c r="BB252" t="e">
        <f>AND('POTENCIAL HORAS'!#REF!,"AAAAAAv+OzU=")</f>
        <v>#REF!</v>
      </c>
      <c r="BC252" t="e">
        <f>AND('POTENCIAL HORAS'!#REF!,"AAAAAAv+OzY=")</f>
        <v>#REF!</v>
      </c>
      <c r="BD252" t="e">
        <f>AND('POTENCIAL HORAS'!#REF!,"AAAAAAv+Ozc=")</f>
        <v>#REF!</v>
      </c>
      <c r="BE252" t="e">
        <f>AND('POTENCIAL HORAS'!#REF!,"AAAAAAv+Ozg=")</f>
        <v>#REF!</v>
      </c>
      <c r="BF252" t="e">
        <f>AND('POTENCIAL HORAS'!#REF!,"AAAAAAv+Ozk=")</f>
        <v>#REF!</v>
      </c>
      <c r="BG252" t="e">
        <f>AND('POTENCIAL HORAS'!#REF!,"AAAAAAv+Ozo=")</f>
        <v>#REF!</v>
      </c>
      <c r="BH252" t="e">
        <f>AND('POTENCIAL HORAS'!#REF!,"AAAAAAv+Ozs=")</f>
        <v>#REF!</v>
      </c>
      <c r="BI252" t="e">
        <f>AND('POTENCIAL HORAS'!#REF!,"AAAAAAv+Ozw=")</f>
        <v>#REF!</v>
      </c>
      <c r="BJ252" t="e">
        <f>AND('POTENCIAL HORAS'!#REF!,"AAAAAAv+Oz0=")</f>
        <v>#REF!</v>
      </c>
      <c r="BK252" t="e">
        <f>AND('POTENCIAL HORAS'!#REF!,"AAAAAAv+Oz4=")</f>
        <v>#REF!</v>
      </c>
      <c r="BL252" t="e">
        <f>AND('POTENCIAL HORAS'!#REF!,"AAAAAAv+Oz8=")</f>
        <v>#REF!</v>
      </c>
      <c r="BM252" t="e">
        <f>AND('POTENCIAL HORAS'!#REF!,"AAAAAAv+O0A=")</f>
        <v>#REF!</v>
      </c>
      <c r="BN252" t="e">
        <f>AND('POTENCIAL HORAS'!#REF!,"AAAAAAv+O0E=")</f>
        <v>#REF!</v>
      </c>
      <c r="BO252" t="e">
        <f>AND('POTENCIAL HORAS'!#REF!,"AAAAAAv+O0I=")</f>
        <v>#REF!</v>
      </c>
      <c r="BP252" t="e">
        <f>AND('POTENCIAL HORAS'!#REF!,"AAAAAAv+O0M=")</f>
        <v>#REF!</v>
      </c>
      <c r="BQ252" t="e">
        <f>AND('POTENCIAL HORAS'!#REF!,"AAAAAAv+O0Q=")</f>
        <v>#REF!</v>
      </c>
      <c r="BR252" t="e">
        <f>AND('POTENCIAL HORAS'!#REF!,"AAAAAAv+O0U=")</f>
        <v>#REF!</v>
      </c>
      <c r="BS252" t="e">
        <f>AND('POTENCIAL HORAS'!#REF!,"AAAAAAv+O0Y=")</f>
        <v>#REF!</v>
      </c>
      <c r="BT252" t="e">
        <f>AND('POTENCIAL HORAS'!#REF!,"AAAAAAv+O0c=")</f>
        <v>#REF!</v>
      </c>
      <c r="BU252" t="e">
        <f>AND('POTENCIAL HORAS'!#REF!,"AAAAAAv+O0g=")</f>
        <v>#REF!</v>
      </c>
      <c r="BV252" t="e">
        <f>AND('POTENCIAL HORAS'!#REF!,"AAAAAAv+O0k=")</f>
        <v>#REF!</v>
      </c>
      <c r="BW252" t="e">
        <f>AND('POTENCIAL HORAS'!#REF!,"AAAAAAv+O0o=")</f>
        <v>#REF!</v>
      </c>
      <c r="BX252" t="e">
        <f>AND('POTENCIAL HORAS'!#REF!,"AAAAAAv+O0s=")</f>
        <v>#REF!</v>
      </c>
      <c r="BY252" t="e">
        <f>AND('POTENCIAL HORAS'!#REF!,"AAAAAAv+O0w=")</f>
        <v>#REF!</v>
      </c>
      <c r="BZ252" t="e">
        <f>AND('POTENCIAL HORAS'!#REF!,"AAAAAAv+O00=")</f>
        <v>#REF!</v>
      </c>
      <c r="CA252" t="e">
        <f>IF('POTENCIAL HORAS'!#REF!,"AAAAAAv+O04=",0)</f>
        <v>#REF!</v>
      </c>
      <c r="CB252" t="e">
        <f>AND('POTENCIAL HORAS'!#REF!,"AAAAAAv+O08=")</f>
        <v>#REF!</v>
      </c>
      <c r="CC252" t="e">
        <f>AND('POTENCIAL HORAS'!#REF!,"AAAAAAv+O1A=")</f>
        <v>#REF!</v>
      </c>
      <c r="CD252" t="e">
        <f>AND('POTENCIAL HORAS'!#REF!,"AAAAAAv+O1E=")</f>
        <v>#REF!</v>
      </c>
      <c r="CE252" t="e">
        <f>AND('POTENCIAL HORAS'!#REF!,"AAAAAAv+O1I=")</f>
        <v>#REF!</v>
      </c>
      <c r="CF252" t="e">
        <f>AND('POTENCIAL HORAS'!#REF!,"AAAAAAv+O1M=")</f>
        <v>#REF!</v>
      </c>
      <c r="CG252" t="e">
        <f>AND('POTENCIAL HORAS'!#REF!,"AAAAAAv+O1Q=")</f>
        <v>#REF!</v>
      </c>
      <c r="CH252" t="e">
        <f>AND('POTENCIAL HORAS'!#REF!,"AAAAAAv+O1U=")</f>
        <v>#REF!</v>
      </c>
      <c r="CI252" t="e">
        <f>AND('POTENCIAL HORAS'!#REF!,"AAAAAAv+O1Y=")</f>
        <v>#REF!</v>
      </c>
      <c r="CJ252" t="e">
        <f>AND('POTENCIAL HORAS'!#REF!,"AAAAAAv+O1c=")</f>
        <v>#REF!</v>
      </c>
      <c r="CK252" t="e">
        <f>AND('POTENCIAL HORAS'!#REF!,"AAAAAAv+O1g=")</f>
        <v>#REF!</v>
      </c>
      <c r="CL252" t="e">
        <f>AND('POTENCIAL HORAS'!#REF!,"AAAAAAv+O1k=")</f>
        <v>#REF!</v>
      </c>
      <c r="CM252" t="e">
        <f>AND('POTENCIAL HORAS'!#REF!,"AAAAAAv+O1o=")</f>
        <v>#REF!</v>
      </c>
      <c r="CN252" t="e">
        <f>AND('POTENCIAL HORAS'!#REF!,"AAAAAAv+O1s=")</f>
        <v>#REF!</v>
      </c>
      <c r="CO252" t="e">
        <f>AND('POTENCIAL HORAS'!#REF!,"AAAAAAv+O1w=")</f>
        <v>#REF!</v>
      </c>
      <c r="CP252" t="e">
        <f>AND('POTENCIAL HORAS'!#REF!,"AAAAAAv+O10=")</f>
        <v>#REF!</v>
      </c>
      <c r="CQ252" t="e">
        <f>AND('POTENCIAL HORAS'!#REF!,"AAAAAAv+O14=")</f>
        <v>#REF!</v>
      </c>
      <c r="CR252" t="e">
        <f>AND('POTENCIAL HORAS'!#REF!,"AAAAAAv+O18=")</f>
        <v>#REF!</v>
      </c>
      <c r="CS252" t="e">
        <f>AND('POTENCIAL HORAS'!#REF!,"AAAAAAv+O2A=")</f>
        <v>#REF!</v>
      </c>
      <c r="CT252" t="e">
        <f>AND('POTENCIAL HORAS'!#REF!,"AAAAAAv+O2E=")</f>
        <v>#REF!</v>
      </c>
      <c r="CU252" t="e">
        <f>AND('POTENCIAL HORAS'!#REF!,"AAAAAAv+O2I=")</f>
        <v>#REF!</v>
      </c>
      <c r="CV252" t="e">
        <f>AND('POTENCIAL HORAS'!#REF!,"AAAAAAv+O2M=")</f>
        <v>#REF!</v>
      </c>
      <c r="CW252" t="e">
        <f>AND('POTENCIAL HORAS'!#REF!,"AAAAAAv+O2Q=")</f>
        <v>#REF!</v>
      </c>
      <c r="CX252" t="e">
        <f>AND('POTENCIAL HORAS'!#REF!,"AAAAAAv+O2U=")</f>
        <v>#REF!</v>
      </c>
      <c r="CY252" t="e">
        <f>AND('POTENCIAL HORAS'!#REF!,"AAAAAAv+O2Y=")</f>
        <v>#REF!</v>
      </c>
      <c r="CZ252" t="e">
        <f>AND('POTENCIAL HORAS'!#REF!,"AAAAAAv+O2c=")</f>
        <v>#REF!</v>
      </c>
      <c r="DA252" t="e">
        <f>AND('POTENCIAL HORAS'!#REF!,"AAAAAAv+O2g=")</f>
        <v>#REF!</v>
      </c>
      <c r="DB252" t="e">
        <f>AND('POTENCIAL HORAS'!#REF!,"AAAAAAv+O2k=")</f>
        <v>#REF!</v>
      </c>
      <c r="DC252" t="e">
        <f>AND('POTENCIAL HORAS'!#REF!,"AAAAAAv+O2o=")</f>
        <v>#REF!</v>
      </c>
      <c r="DD252" t="e">
        <f>AND('POTENCIAL HORAS'!#REF!,"AAAAAAv+O2s=")</f>
        <v>#REF!</v>
      </c>
      <c r="DE252" t="e">
        <f>AND('POTENCIAL HORAS'!#REF!,"AAAAAAv+O2w=")</f>
        <v>#REF!</v>
      </c>
      <c r="DF252" t="e">
        <f>AND('POTENCIAL HORAS'!#REF!,"AAAAAAv+O20=")</f>
        <v>#REF!</v>
      </c>
      <c r="DG252" t="e">
        <f>AND('POTENCIAL HORAS'!#REF!,"AAAAAAv+O24=")</f>
        <v>#REF!</v>
      </c>
      <c r="DH252" t="e">
        <f>AND('POTENCIAL HORAS'!#REF!,"AAAAAAv+O28=")</f>
        <v>#REF!</v>
      </c>
      <c r="DI252" t="e">
        <f>AND('POTENCIAL HORAS'!#REF!,"AAAAAAv+O3A=")</f>
        <v>#REF!</v>
      </c>
      <c r="DJ252" t="e">
        <f>AND('POTENCIAL HORAS'!#REF!,"AAAAAAv+O3E=")</f>
        <v>#REF!</v>
      </c>
      <c r="DK252" t="e">
        <f>AND('POTENCIAL HORAS'!#REF!,"AAAAAAv+O3I=")</f>
        <v>#REF!</v>
      </c>
      <c r="DL252" t="e">
        <f>AND('POTENCIAL HORAS'!#REF!,"AAAAAAv+O3M=")</f>
        <v>#REF!</v>
      </c>
      <c r="DM252" t="e">
        <f>AND('POTENCIAL HORAS'!#REF!,"AAAAAAv+O3Q=")</f>
        <v>#REF!</v>
      </c>
      <c r="DN252" t="e">
        <f>IF('POTENCIAL HORAS'!#REF!,"AAAAAAv+O3U=",0)</f>
        <v>#REF!</v>
      </c>
      <c r="DO252" t="e">
        <f>AND('POTENCIAL HORAS'!#REF!,"AAAAAAv+O3Y=")</f>
        <v>#REF!</v>
      </c>
      <c r="DP252" t="e">
        <f>AND('POTENCIAL HORAS'!#REF!,"AAAAAAv+O3c=")</f>
        <v>#REF!</v>
      </c>
      <c r="DQ252" t="e">
        <f>AND('POTENCIAL HORAS'!#REF!,"AAAAAAv+O3g=")</f>
        <v>#REF!</v>
      </c>
      <c r="DR252" t="e">
        <f>AND('POTENCIAL HORAS'!#REF!,"AAAAAAv+O3k=")</f>
        <v>#REF!</v>
      </c>
      <c r="DS252" t="e">
        <f>AND('POTENCIAL HORAS'!#REF!,"AAAAAAv+O3o=")</f>
        <v>#REF!</v>
      </c>
      <c r="DT252" t="e">
        <f>AND('POTENCIAL HORAS'!#REF!,"AAAAAAv+O3s=")</f>
        <v>#REF!</v>
      </c>
      <c r="DU252" t="e">
        <f>AND('POTENCIAL HORAS'!#REF!,"AAAAAAv+O3w=")</f>
        <v>#REF!</v>
      </c>
      <c r="DV252" t="e">
        <f>AND('POTENCIAL HORAS'!#REF!,"AAAAAAv+O30=")</f>
        <v>#REF!</v>
      </c>
      <c r="DW252" t="e">
        <f>AND('POTENCIAL HORAS'!#REF!,"AAAAAAv+O34=")</f>
        <v>#REF!</v>
      </c>
      <c r="DX252" t="e">
        <f>AND('POTENCIAL HORAS'!#REF!,"AAAAAAv+O38=")</f>
        <v>#REF!</v>
      </c>
      <c r="DY252" t="e">
        <f>AND('POTENCIAL HORAS'!#REF!,"AAAAAAv+O4A=")</f>
        <v>#REF!</v>
      </c>
      <c r="DZ252" t="e">
        <f>AND('POTENCIAL HORAS'!#REF!,"AAAAAAv+O4E=")</f>
        <v>#REF!</v>
      </c>
      <c r="EA252" t="e">
        <f>AND('POTENCIAL HORAS'!#REF!,"AAAAAAv+O4I=")</f>
        <v>#REF!</v>
      </c>
      <c r="EB252" t="e">
        <f>AND('POTENCIAL HORAS'!#REF!,"AAAAAAv+O4M=")</f>
        <v>#REF!</v>
      </c>
      <c r="EC252" t="e">
        <f>AND('POTENCIAL HORAS'!#REF!,"AAAAAAv+O4Q=")</f>
        <v>#REF!</v>
      </c>
      <c r="ED252" t="e">
        <f>AND('POTENCIAL HORAS'!#REF!,"AAAAAAv+O4U=")</f>
        <v>#REF!</v>
      </c>
      <c r="EE252" t="e">
        <f>AND('POTENCIAL HORAS'!#REF!,"AAAAAAv+O4Y=")</f>
        <v>#REF!</v>
      </c>
      <c r="EF252" t="e">
        <f>AND('POTENCIAL HORAS'!#REF!,"AAAAAAv+O4c=")</f>
        <v>#REF!</v>
      </c>
      <c r="EG252" t="e">
        <f>AND('POTENCIAL HORAS'!#REF!,"AAAAAAv+O4g=")</f>
        <v>#REF!</v>
      </c>
      <c r="EH252" t="e">
        <f>AND('POTENCIAL HORAS'!#REF!,"AAAAAAv+O4k=")</f>
        <v>#REF!</v>
      </c>
      <c r="EI252" t="e">
        <f>AND('POTENCIAL HORAS'!#REF!,"AAAAAAv+O4o=")</f>
        <v>#REF!</v>
      </c>
      <c r="EJ252" t="e">
        <f>AND('POTENCIAL HORAS'!#REF!,"AAAAAAv+O4s=")</f>
        <v>#REF!</v>
      </c>
      <c r="EK252" t="e">
        <f>AND('POTENCIAL HORAS'!#REF!,"AAAAAAv+O4w=")</f>
        <v>#REF!</v>
      </c>
      <c r="EL252" t="e">
        <f>AND('POTENCIAL HORAS'!#REF!,"AAAAAAv+O40=")</f>
        <v>#REF!</v>
      </c>
      <c r="EM252" t="e">
        <f>AND('POTENCIAL HORAS'!#REF!,"AAAAAAv+O44=")</f>
        <v>#REF!</v>
      </c>
      <c r="EN252" t="e">
        <f>AND('POTENCIAL HORAS'!#REF!,"AAAAAAv+O48=")</f>
        <v>#REF!</v>
      </c>
      <c r="EO252" t="e">
        <f>AND('POTENCIAL HORAS'!#REF!,"AAAAAAv+O5A=")</f>
        <v>#REF!</v>
      </c>
      <c r="EP252" t="e">
        <f>AND('POTENCIAL HORAS'!#REF!,"AAAAAAv+O5E=")</f>
        <v>#REF!</v>
      </c>
      <c r="EQ252" t="e">
        <f>AND('POTENCIAL HORAS'!#REF!,"AAAAAAv+O5I=")</f>
        <v>#REF!</v>
      </c>
      <c r="ER252" t="e">
        <f>AND('POTENCIAL HORAS'!#REF!,"AAAAAAv+O5M=")</f>
        <v>#REF!</v>
      </c>
      <c r="ES252" t="e">
        <f>AND('POTENCIAL HORAS'!#REF!,"AAAAAAv+O5Q=")</f>
        <v>#REF!</v>
      </c>
      <c r="ET252" t="e">
        <f>AND('POTENCIAL HORAS'!#REF!,"AAAAAAv+O5U=")</f>
        <v>#REF!</v>
      </c>
      <c r="EU252" t="e">
        <f>AND('POTENCIAL HORAS'!#REF!,"AAAAAAv+O5Y=")</f>
        <v>#REF!</v>
      </c>
      <c r="EV252" t="e">
        <f>AND('POTENCIAL HORAS'!#REF!,"AAAAAAv+O5c=")</f>
        <v>#REF!</v>
      </c>
      <c r="EW252" t="e">
        <f>AND('POTENCIAL HORAS'!#REF!,"AAAAAAv+O5g=")</f>
        <v>#REF!</v>
      </c>
      <c r="EX252" t="e">
        <f>AND('POTENCIAL HORAS'!#REF!,"AAAAAAv+O5k=")</f>
        <v>#REF!</v>
      </c>
      <c r="EY252" t="e">
        <f>AND('POTENCIAL HORAS'!#REF!,"AAAAAAv+O5o=")</f>
        <v>#REF!</v>
      </c>
      <c r="EZ252" t="e">
        <f>AND('POTENCIAL HORAS'!#REF!,"AAAAAAv+O5s=")</f>
        <v>#REF!</v>
      </c>
      <c r="FA252" t="e">
        <f>IF('PROG FORMACIÓN TITULADA'!#REF!,"AAAAAAv+O5w=",0)</f>
        <v>#REF!</v>
      </c>
      <c r="FB252" t="e">
        <f>AND('PROG FORMACIÓN TITULADA'!#REF!,"AAAAAAv+O50=")</f>
        <v>#REF!</v>
      </c>
      <c r="FC252" t="e">
        <f>AND('PROG FORMACIÓN TITULADA'!#REF!,"AAAAAAv+O54=")</f>
        <v>#REF!</v>
      </c>
      <c r="FD252" t="e">
        <f>AND('PROG FORMACIÓN TITULADA'!#REF!,"AAAAAAv+O58=")</f>
        <v>#REF!</v>
      </c>
      <c r="FE252" t="e">
        <f>AND('PROG FORMACIÓN TITULADA'!#REF!,"AAAAAAv+O6A=")</f>
        <v>#REF!</v>
      </c>
      <c r="FF252" t="e">
        <f>AND('PROG FORMACIÓN TITULADA'!#REF!,"AAAAAAv+O6E=")</f>
        <v>#REF!</v>
      </c>
      <c r="FG252" t="e">
        <f>AND('PROG FORMACIÓN TITULADA'!#REF!,"AAAAAAv+O6I=")</f>
        <v>#REF!</v>
      </c>
      <c r="FH252" t="e">
        <f>AND('PROG FORMACIÓN TITULADA'!#REF!,"AAAAAAv+O6M=")</f>
        <v>#REF!</v>
      </c>
      <c r="FI252" t="e">
        <f>AND('PROG FORMACIÓN TITULADA'!#REF!,"AAAAAAv+O6Q=")</f>
        <v>#REF!</v>
      </c>
      <c r="FJ252" t="e">
        <f>AND('PROG FORMACIÓN TITULADA'!#REF!,"AAAAAAv+O6U=")</f>
        <v>#REF!</v>
      </c>
      <c r="FK252" t="e">
        <f>AND('PROG FORMACIÓN TITULADA'!#REF!,"AAAAAAv+O6Y=")</f>
        <v>#REF!</v>
      </c>
      <c r="FL252" t="e">
        <f>AND('PROG FORMACIÓN TITULADA'!#REF!,"AAAAAAv+O6c=")</f>
        <v>#REF!</v>
      </c>
      <c r="FM252" t="e">
        <f>AND('PROG FORMACIÓN TITULADA'!#REF!,"AAAAAAv+O6g=")</f>
        <v>#REF!</v>
      </c>
      <c r="FN252" t="e">
        <f>AND('PROG FORMACIÓN TITULADA'!#REF!,"AAAAAAv+O6k=")</f>
        <v>#REF!</v>
      </c>
      <c r="FO252" t="e">
        <f>AND('PROG FORMACIÓN TITULADA'!#REF!,"AAAAAAv+O6o=")</f>
        <v>#REF!</v>
      </c>
      <c r="FP252" t="e">
        <f>AND('PROG FORMACIÓN TITULADA'!#REF!,"AAAAAAv+O6s=")</f>
        <v>#REF!</v>
      </c>
      <c r="FQ252" t="e">
        <f>AND('PROG FORMACIÓN TITULADA'!#REF!,"AAAAAAv+O6w=")</f>
        <v>#REF!</v>
      </c>
      <c r="FR252" t="e">
        <f>AND('PROG FORMACIÓN TITULADA'!#REF!,"AAAAAAv+O60=")</f>
        <v>#REF!</v>
      </c>
      <c r="FS252" t="e">
        <f>AND('PROG FORMACIÓN TITULADA'!#REF!,"AAAAAAv+O64=")</f>
        <v>#REF!</v>
      </c>
      <c r="FT252" t="e">
        <f>AND('PROG FORMACIÓN TITULADA'!#REF!,"AAAAAAv+O68=")</f>
        <v>#REF!</v>
      </c>
      <c r="FU252" t="e">
        <f>AND('PROG FORMACIÓN TITULADA'!#REF!,"AAAAAAv+O7A=")</f>
        <v>#REF!</v>
      </c>
      <c r="FV252" t="e">
        <f>AND('PROG FORMACIÓN TITULADA'!#REF!,"AAAAAAv+O7E=")</f>
        <v>#REF!</v>
      </c>
      <c r="FW252" t="e">
        <f>AND('PROG FORMACIÓN TITULADA'!#REF!,"AAAAAAv+O7I=")</f>
        <v>#REF!</v>
      </c>
      <c r="FX252" t="e">
        <f>AND('PROG FORMACIÓN TITULADA'!#REF!,"AAAAAAv+O7M=")</f>
        <v>#REF!</v>
      </c>
      <c r="FY252" t="e">
        <f>AND('PROG FORMACIÓN TITULADA'!#REF!,"AAAAAAv+O7Q=")</f>
        <v>#REF!</v>
      </c>
      <c r="FZ252" t="e">
        <f>AND('PROG FORMACIÓN TITULADA'!#REF!,"AAAAAAv+O7U=")</f>
        <v>#REF!</v>
      </c>
      <c r="GA252" t="e">
        <f>AND('PROG FORMACIÓN TITULADA'!#REF!,"AAAAAAv+O7Y=")</f>
        <v>#REF!</v>
      </c>
      <c r="GB252" t="e">
        <f>IF('PROG FORMACIÓN TITULADA'!#REF!,"AAAAAAv+O7c=",0)</f>
        <v>#REF!</v>
      </c>
      <c r="GC252" t="e">
        <f>AND('PROG FORMACIÓN TITULADA'!#REF!,"AAAAAAv+O7g=")</f>
        <v>#REF!</v>
      </c>
      <c r="GD252" t="e">
        <f>AND('PROG FORMACIÓN TITULADA'!#REF!,"AAAAAAv+O7k=")</f>
        <v>#REF!</v>
      </c>
      <c r="GE252" t="e">
        <f>AND('PROG FORMACIÓN TITULADA'!#REF!,"AAAAAAv+O7o=")</f>
        <v>#REF!</v>
      </c>
      <c r="GF252" t="e">
        <f>AND('PROG FORMACIÓN TITULADA'!#REF!,"AAAAAAv+O7s=")</f>
        <v>#REF!</v>
      </c>
      <c r="GG252" t="e">
        <f>AND('PROG FORMACIÓN TITULADA'!#REF!,"AAAAAAv+O7w=")</f>
        <v>#REF!</v>
      </c>
      <c r="GH252" t="e">
        <f>AND('PROG FORMACIÓN TITULADA'!#REF!,"AAAAAAv+O70=")</f>
        <v>#REF!</v>
      </c>
      <c r="GI252" t="e">
        <f>AND('PROG FORMACIÓN TITULADA'!#REF!,"AAAAAAv+O74=")</f>
        <v>#REF!</v>
      </c>
      <c r="GJ252" t="e">
        <f>AND('PROG FORMACIÓN TITULADA'!#REF!,"AAAAAAv+O78=")</f>
        <v>#REF!</v>
      </c>
      <c r="GK252" t="e">
        <f>AND('PROG FORMACIÓN TITULADA'!#REF!,"AAAAAAv+O8A=")</f>
        <v>#REF!</v>
      </c>
      <c r="GL252" t="e">
        <f>AND('PROG FORMACIÓN TITULADA'!#REF!,"AAAAAAv+O8E=")</f>
        <v>#REF!</v>
      </c>
      <c r="GM252" t="e">
        <f>AND('PROG FORMACIÓN TITULADA'!#REF!,"AAAAAAv+O8I=")</f>
        <v>#REF!</v>
      </c>
      <c r="GN252" t="e">
        <f>AND('PROG FORMACIÓN TITULADA'!#REF!,"AAAAAAv+O8M=")</f>
        <v>#REF!</v>
      </c>
      <c r="GO252" t="e">
        <f>AND('PROG FORMACIÓN TITULADA'!#REF!,"AAAAAAv+O8Q=")</f>
        <v>#REF!</v>
      </c>
      <c r="GP252" t="e">
        <f>AND('PROG FORMACIÓN TITULADA'!#REF!,"AAAAAAv+O8U=")</f>
        <v>#REF!</v>
      </c>
      <c r="GQ252" t="e">
        <f>AND('PROG FORMACIÓN TITULADA'!#REF!,"AAAAAAv+O8Y=")</f>
        <v>#REF!</v>
      </c>
      <c r="GR252" t="e">
        <f>AND('PROG FORMACIÓN TITULADA'!#REF!,"AAAAAAv+O8c=")</f>
        <v>#REF!</v>
      </c>
      <c r="GS252" t="e">
        <f>AND('PROG FORMACIÓN TITULADA'!#REF!,"AAAAAAv+O8g=")</f>
        <v>#REF!</v>
      </c>
      <c r="GT252" t="e">
        <f>AND('PROG FORMACIÓN TITULADA'!#REF!,"AAAAAAv+O8k=")</f>
        <v>#REF!</v>
      </c>
      <c r="GU252" t="e">
        <f>AND('PROG FORMACIÓN TITULADA'!#REF!,"AAAAAAv+O8o=")</f>
        <v>#REF!</v>
      </c>
      <c r="GV252" t="e">
        <f>AND('PROG FORMACIÓN TITULADA'!#REF!,"AAAAAAv+O8s=")</f>
        <v>#REF!</v>
      </c>
      <c r="GW252" t="e">
        <f>AND('PROG FORMACIÓN TITULADA'!#REF!,"AAAAAAv+O8w=")</f>
        <v>#REF!</v>
      </c>
      <c r="GX252" t="e">
        <f>AND('PROG FORMACIÓN TITULADA'!#REF!,"AAAAAAv+O80=")</f>
        <v>#REF!</v>
      </c>
      <c r="GY252" t="e">
        <f>AND('PROG FORMACIÓN TITULADA'!#REF!,"AAAAAAv+O84=")</f>
        <v>#REF!</v>
      </c>
      <c r="GZ252" t="e">
        <f>AND('PROG FORMACIÓN TITULADA'!#REF!,"AAAAAAv+O88=")</f>
        <v>#REF!</v>
      </c>
      <c r="HA252" t="e">
        <f>AND('PROG FORMACIÓN TITULADA'!#REF!,"AAAAAAv+O9A=")</f>
        <v>#REF!</v>
      </c>
      <c r="HB252" t="e">
        <f>AND('PROG FORMACIÓN TITULADA'!#REF!,"AAAAAAv+O9E=")</f>
        <v>#REF!</v>
      </c>
      <c r="HC252" t="e">
        <f>IF('PROG FORMACIÓN TITULADA'!#REF!,"AAAAAAv+O9I=",0)</f>
        <v>#REF!</v>
      </c>
      <c r="HD252" t="e">
        <f>AND('PROG FORMACIÓN TITULADA'!#REF!,"AAAAAAv+O9M=")</f>
        <v>#REF!</v>
      </c>
      <c r="HE252" t="e">
        <f>AND('PROG FORMACIÓN TITULADA'!#REF!,"AAAAAAv+O9Q=")</f>
        <v>#REF!</v>
      </c>
      <c r="HF252" t="e">
        <f>AND('PROG FORMACIÓN TITULADA'!#REF!,"AAAAAAv+O9U=")</f>
        <v>#REF!</v>
      </c>
      <c r="HG252" t="e">
        <f>AND('PROG FORMACIÓN TITULADA'!#REF!,"AAAAAAv+O9Y=")</f>
        <v>#REF!</v>
      </c>
      <c r="HH252" t="e">
        <f>AND('PROG FORMACIÓN TITULADA'!#REF!,"AAAAAAv+O9c=")</f>
        <v>#REF!</v>
      </c>
      <c r="HI252" t="e">
        <f>AND('PROG FORMACIÓN TITULADA'!#REF!,"AAAAAAv+O9g=")</f>
        <v>#REF!</v>
      </c>
      <c r="HJ252" t="e">
        <f>AND('PROG FORMACIÓN TITULADA'!#REF!,"AAAAAAv+O9k=")</f>
        <v>#REF!</v>
      </c>
      <c r="HK252" t="e">
        <f>AND('PROG FORMACIÓN TITULADA'!#REF!,"AAAAAAv+O9o=")</f>
        <v>#REF!</v>
      </c>
      <c r="HL252" t="e">
        <f>AND('PROG FORMACIÓN TITULADA'!#REF!,"AAAAAAv+O9s=")</f>
        <v>#REF!</v>
      </c>
      <c r="HM252" t="e">
        <f>AND('PROG FORMACIÓN TITULADA'!#REF!,"AAAAAAv+O9w=")</f>
        <v>#REF!</v>
      </c>
      <c r="HN252" t="e">
        <f>AND('PROG FORMACIÓN TITULADA'!#REF!,"AAAAAAv+O90=")</f>
        <v>#REF!</v>
      </c>
      <c r="HO252" t="e">
        <f>AND('PROG FORMACIÓN TITULADA'!#REF!,"AAAAAAv+O94=")</f>
        <v>#REF!</v>
      </c>
      <c r="HP252" t="e">
        <f>AND('PROG FORMACIÓN TITULADA'!#REF!,"AAAAAAv+O98=")</f>
        <v>#REF!</v>
      </c>
      <c r="HQ252" t="e">
        <f>AND('PROG FORMACIÓN TITULADA'!#REF!,"AAAAAAv+O+A=")</f>
        <v>#REF!</v>
      </c>
      <c r="HR252" t="e">
        <f>AND('PROG FORMACIÓN TITULADA'!#REF!,"AAAAAAv+O+E=")</f>
        <v>#REF!</v>
      </c>
      <c r="HS252" t="e">
        <f>AND('PROG FORMACIÓN TITULADA'!#REF!,"AAAAAAv+O+I=")</f>
        <v>#REF!</v>
      </c>
      <c r="HT252" t="e">
        <f>AND('PROG FORMACIÓN TITULADA'!#REF!,"AAAAAAv+O+M=")</f>
        <v>#REF!</v>
      </c>
      <c r="HU252" t="e">
        <f>AND('PROG FORMACIÓN TITULADA'!#REF!,"AAAAAAv+O+Q=")</f>
        <v>#REF!</v>
      </c>
      <c r="HV252" t="e">
        <f>AND('PROG FORMACIÓN TITULADA'!#REF!,"AAAAAAv+O+U=")</f>
        <v>#REF!</v>
      </c>
      <c r="HW252" t="e">
        <f>AND('PROG FORMACIÓN TITULADA'!#REF!,"AAAAAAv+O+Y=")</f>
        <v>#REF!</v>
      </c>
      <c r="HX252" t="e">
        <f>AND('PROG FORMACIÓN TITULADA'!#REF!,"AAAAAAv+O+c=")</f>
        <v>#REF!</v>
      </c>
      <c r="HY252" t="e">
        <f>AND('PROG FORMACIÓN TITULADA'!#REF!,"AAAAAAv+O+g=")</f>
        <v>#REF!</v>
      </c>
      <c r="HZ252" t="e">
        <f>AND('PROG FORMACIÓN TITULADA'!#REF!,"AAAAAAv+O+k=")</f>
        <v>#REF!</v>
      </c>
      <c r="IA252" t="e">
        <f>AND('PROG FORMACIÓN TITULADA'!#REF!,"AAAAAAv+O+o=")</f>
        <v>#REF!</v>
      </c>
      <c r="IB252" t="e">
        <f>AND('PROG FORMACIÓN TITULADA'!#REF!,"AAAAAAv+O+s=")</f>
        <v>#REF!</v>
      </c>
      <c r="IC252" t="e">
        <f>AND('PROG FORMACIÓN TITULADA'!#REF!,"AAAAAAv+O+w=")</f>
        <v>#REF!</v>
      </c>
      <c r="ID252" t="e">
        <f>IF('PROG FORMACIÓN TITULADA'!#REF!,"AAAAAAv+O+0=",0)</f>
        <v>#REF!</v>
      </c>
      <c r="IE252" t="e">
        <f>AND('PROG FORMACIÓN TITULADA'!#REF!,"AAAAAAv+O+4=")</f>
        <v>#REF!</v>
      </c>
      <c r="IF252" t="e">
        <f>AND('PROG FORMACIÓN TITULADA'!#REF!,"AAAAAAv+O+8=")</f>
        <v>#REF!</v>
      </c>
      <c r="IG252" t="e">
        <f>AND('PROG FORMACIÓN TITULADA'!#REF!,"AAAAAAv+O/A=")</f>
        <v>#REF!</v>
      </c>
      <c r="IH252" t="e">
        <f>AND('PROG FORMACIÓN TITULADA'!#REF!,"AAAAAAv+O/E=")</f>
        <v>#REF!</v>
      </c>
      <c r="II252" t="e">
        <f>AND('PROG FORMACIÓN TITULADA'!#REF!,"AAAAAAv+O/I=")</f>
        <v>#REF!</v>
      </c>
      <c r="IJ252" t="e">
        <f>AND('PROG FORMACIÓN TITULADA'!#REF!,"AAAAAAv+O/M=")</f>
        <v>#REF!</v>
      </c>
      <c r="IK252" t="e">
        <f>AND('PROG FORMACIÓN TITULADA'!#REF!,"AAAAAAv+O/Q=")</f>
        <v>#REF!</v>
      </c>
      <c r="IL252" t="e">
        <f>AND('PROG FORMACIÓN TITULADA'!#REF!,"AAAAAAv+O/U=")</f>
        <v>#REF!</v>
      </c>
      <c r="IM252" t="e">
        <f>AND('PROG FORMACIÓN TITULADA'!#REF!,"AAAAAAv+O/Y=")</f>
        <v>#REF!</v>
      </c>
      <c r="IN252" t="e">
        <f>AND('PROG FORMACIÓN TITULADA'!#REF!,"AAAAAAv+O/c=")</f>
        <v>#REF!</v>
      </c>
      <c r="IO252" t="e">
        <f>AND('PROG FORMACIÓN TITULADA'!#REF!,"AAAAAAv+O/g=")</f>
        <v>#REF!</v>
      </c>
      <c r="IP252" t="e">
        <f>AND('PROG FORMACIÓN TITULADA'!#REF!,"AAAAAAv+O/k=")</f>
        <v>#REF!</v>
      </c>
      <c r="IQ252" t="e">
        <f>AND('PROG FORMACIÓN TITULADA'!#REF!,"AAAAAAv+O/o=")</f>
        <v>#REF!</v>
      </c>
      <c r="IR252" t="e">
        <f>AND('PROG FORMACIÓN TITULADA'!#REF!,"AAAAAAv+O/s=")</f>
        <v>#REF!</v>
      </c>
      <c r="IS252" t="e">
        <f>AND('PROG FORMACIÓN TITULADA'!#REF!,"AAAAAAv+O/w=")</f>
        <v>#REF!</v>
      </c>
      <c r="IT252" t="e">
        <f>AND('PROG FORMACIÓN TITULADA'!#REF!,"AAAAAAv+O/0=")</f>
        <v>#REF!</v>
      </c>
      <c r="IU252" t="e">
        <f>AND('PROG FORMACIÓN TITULADA'!#REF!,"AAAAAAv+O/4=")</f>
        <v>#REF!</v>
      </c>
      <c r="IV252" t="e">
        <f>AND('PROG FORMACIÓN TITULADA'!#REF!,"AAAAAAv+O/8=")</f>
        <v>#REF!</v>
      </c>
    </row>
    <row r="253" spans="1:256" x14ac:dyDescent="0.2">
      <c r="A253" t="e">
        <f>AND('PROG FORMACIÓN TITULADA'!#REF!,"AAAAAHp+3gA=")</f>
        <v>#REF!</v>
      </c>
      <c r="B253" t="e">
        <f>AND('PROG FORMACIÓN TITULADA'!#REF!,"AAAAAHp+3gE=")</f>
        <v>#REF!</v>
      </c>
      <c r="C253" t="e">
        <f>AND('PROG FORMACIÓN TITULADA'!#REF!,"AAAAAHp+3gI=")</f>
        <v>#REF!</v>
      </c>
      <c r="D253" t="e">
        <f>AND('PROG FORMACIÓN TITULADA'!#REF!,"AAAAAHp+3gM=")</f>
        <v>#REF!</v>
      </c>
      <c r="E253" t="e">
        <f>AND('PROG FORMACIÓN TITULADA'!#REF!,"AAAAAHp+3gQ=")</f>
        <v>#REF!</v>
      </c>
      <c r="F253" t="e">
        <f>AND('PROG FORMACIÓN TITULADA'!#REF!,"AAAAAHp+3gU=")</f>
        <v>#REF!</v>
      </c>
      <c r="G253" t="e">
        <f>AND('PROG FORMACIÓN TITULADA'!#REF!,"AAAAAHp+3gY=")</f>
        <v>#REF!</v>
      </c>
      <c r="H253" t="e">
        <f>AND('PROG FORMACIÓN TITULADA'!#REF!,"AAAAAHp+3gc=")</f>
        <v>#REF!</v>
      </c>
      <c r="I253" t="e">
        <f>IF('PROG FORMACIÓN TITULADA'!#REF!,"AAAAAHp+3gg=",0)</f>
        <v>#REF!</v>
      </c>
      <c r="J253" t="e">
        <f>AND('PROG FORMACIÓN TITULADA'!#REF!,"AAAAAHp+3gk=")</f>
        <v>#REF!</v>
      </c>
      <c r="K253" t="e">
        <f>AND('PROG FORMACIÓN TITULADA'!#REF!,"AAAAAHp+3go=")</f>
        <v>#REF!</v>
      </c>
      <c r="L253" t="e">
        <f>AND('PROG FORMACIÓN TITULADA'!#REF!,"AAAAAHp+3gs=")</f>
        <v>#REF!</v>
      </c>
      <c r="M253" t="e">
        <f>AND('PROG FORMACIÓN TITULADA'!#REF!,"AAAAAHp+3gw=")</f>
        <v>#REF!</v>
      </c>
      <c r="N253" t="e">
        <f>AND('PROG FORMACIÓN TITULADA'!#REF!,"AAAAAHp+3g0=")</f>
        <v>#REF!</v>
      </c>
      <c r="O253" t="e">
        <f>AND('PROG FORMACIÓN TITULADA'!#REF!,"AAAAAHp+3g4=")</f>
        <v>#REF!</v>
      </c>
      <c r="P253" t="e">
        <f>AND('PROG FORMACIÓN TITULADA'!#REF!,"AAAAAHp+3g8=")</f>
        <v>#REF!</v>
      </c>
      <c r="Q253" t="e">
        <f>AND('PROG FORMACIÓN TITULADA'!#REF!,"AAAAAHp+3hA=")</f>
        <v>#REF!</v>
      </c>
      <c r="R253" t="e">
        <f>AND('PROG FORMACIÓN TITULADA'!#REF!,"AAAAAHp+3hE=")</f>
        <v>#REF!</v>
      </c>
      <c r="S253" t="e">
        <f>AND('PROG FORMACIÓN TITULADA'!#REF!,"AAAAAHp+3hI=")</f>
        <v>#REF!</v>
      </c>
      <c r="T253" t="e">
        <f>AND('PROG FORMACIÓN TITULADA'!#REF!,"AAAAAHp+3hM=")</f>
        <v>#REF!</v>
      </c>
      <c r="U253" t="e">
        <f>AND('PROG FORMACIÓN TITULADA'!#REF!,"AAAAAHp+3hQ=")</f>
        <v>#REF!</v>
      </c>
      <c r="V253" t="e">
        <f>AND('PROG FORMACIÓN TITULADA'!#REF!,"AAAAAHp+3hU=")</f>
        <v>#REF!</v>
      </c>
      <c r="W253" t="e">
        <f>AND('PROG FORMACIÓN TITULADA'!#REF!,"AAAAAHp+3hY=")</f>
        <v>#REF!</v>
      </c>
      <c r="X253" t="e">
        <f>AND('PROG FORMACIÓN TITULADA'!#REF!,"AAAAAHp+3hc=")</f>
        <v>#REF!</v>
      </c>
      <c r="Y253" t="e">
        <f>AND('PROG FORMACIÓN TITULADA'!#REF!,"AAAAAHp+3hg=")</f>
        <v>#REF!</v>
      </c>
      <c r="Z253" t="e">
        <f>AND('PROG FORMACIÓN TITULADA'!#REF!,"AAAAAHp+3hk=")</f>
        <v>#REF!</v>
      </c>
      <c r="AA253" t="e">
        <f>AND('PROG FORMACIÓN TITULADA'!#REF!,"AAAAAHp+3ho=")</f>
        <v>#REF!</v>
      </c>
      <c r="AB253" t="e">
        <f>AND('PROG FORMACIÓN TITULADA'!#REF!,"AAAAAHp+3hs=")</f>
        <v>#REF!</v>
      </c>
      <c r="AC253" t="e">
        <f>AND('PROG FORMACIÓN TITULADA'!#REF!,"AAAAAHp+3hw=")</f>
        <v>#REF!</v>
      </c>
      <c r="AD253" t="e">
        <f>AND('PROG FORMACIÓN TITULADA'!#REF!,"AAAAAHp+3h0=")</f>
        <v>#REF!</v>
      </c>
      <c r="AE253" t="e">
        <f>AND('PROG FORMACIÓN TITULADA'!#REF!,"AAAAAHp+3h4=")</f>
        <v>#REF!</v>
      </c>
      <c r="AF253" t="e">
        <f>AND('PROG FORMACIÓN TITULADA'!#REF!,"AAAAAHp+3h8=")</f>
        <v>#REF!</v>
      </c>
      <c r="AG253" t="e">
        <f>AND('PROG FORMACIÓN TITULADA'!#REF!,"AAAAAHp+3iA=")</f>
        <v>#REF!</v>
      </c>
      <c r="AH253" t="e">
        <f>AND('PROG FORMACIÓN TITULADA'!#REF!,"AAAAAHp+3iE=")</f>
        <v>#REF!</v>
      </c>
      <c r="AI253" t="e">
        <f>AND('PROG FORMACIÓN TITULADA'!#REF!,"AAAAAHp+3iI=")</f>
        <v>#REF!</v>
      </c>
      <c r="AJ253" t="e">
        <f>IF('PROG FORMACIÓN TITULADA'!#REF!,"AAAAAHp+3iM=",0)</f>
        <v>#REF!</v>
      </c>
      <c r="AK253" t="e">
        <f>AND('PROG FORMACIÓN TITULADA'!#REF!,"AAAAAHp+3iQ=")</f>
        <v>#REF!</v>
      </c>
      <c r="AL253" t="e">
        <f>AND('PROG FORMACIÓN TITULADA'!#REF!,"AAAAAHp+3iU=")</f>
        <v>#REF!</v>
      </c>
      <c r="AM253" t="e">
        <f>AND('PROG FORMACIÓN TITULADA'!#REF!,"AAAAAHp+3iY=")</f>
        <v>#REF!</v>
      </c>
      <c r="AN253" t="e">
        <f>AND('PROG FORMACIÓN TITULADA'!#REF!,"AAAAAHp+3ic=")</f>
        <v>#REF!</v>
      </c>
      <c r="AO253" t="e">
        <f>AND('PROG FORMACIÓN TITULADA'!#REF!,"AAAAAHp+3ig=")</f>
        <v>#REF!</v>
      </c>
      <c r="AP253" t="e">
        <f>AND('PROG FORMACIÓN TITULADA'!#REF!,"AAAAAHp+3ik=")</f>
        <v>#REF!</v>
      </c>
      <c r="AQ253" t="e">
        <f>AND('PROG FORMACIÓN TITULADA'!#REF!,"AAAAAHp+3io=")</f>
        <v>#REF!</v>
      </c>
      <c r="AR253" t="e">
        <f>AND('PROG FORMACIÓN TITULADA'!#REF!,"AAAAAHp+3is=")</f>
        <v>#REF!</v>
      </c>
      <c r="AS253" t="e">
        <f>AND('PROG FORMACIÓN TITULADA'!#REF!,"AAAAAHp+3iw=")</f>
        <v>#REF!</v>
      </c>
      <c r="AT253" t="e">
        <f>AND('PROG FORMACIÓN TITULADA'!#REF!,"AAAAAHp+3i0=")</f>
        <v>#REF!</v>
      </c>
      <c r="AU253" t="e">
        <f>AND('PROG FORMACIÓN TITULADA'!#REF!,"AAAAAHp+3i4=")</f>
        <v>#REF!</v>
      </c>
      <c r="AV253" t="e">
        <f>AND('PROG FORMACIÓN TITULADA'!#REF!,"AAAAAHp+3i8=")</f>
        <v>#REF!</v>
      </c>
      <c r="AW253" t="e">
        <f>AND('PROG FORMACIÓN TITULADA'!#REF!,"AAAAAHp+3jA=")</f>
        <v>#REF!</v>
      </c>
      <c r="AX253" t="e">
        <f>AND('PROG FORMACIÓN TITULADA'!#REF!,"AAAAAHp+3jE=")</f>
        <v>#REF!</v>
      </c>
      <c r="AY253" t="e">
        <f>AND('PROG FORMACIÓN TITULADA'!#REF!,"AAAAAHp+3jI=")</f>
        <v>#REF!</v>
      </c>
      <c r="AZ253" t="e">
        <f>AND('PROG FORMACIÓN TITULADA'!#REF!,"AAAAAHp+3jM=")</f>
        <v>#REF!</v>
      </c>
      <c r="BA253" t="e">
        <f>AND('PROG FORMACIÓN TITULADA'!#REF!,"AAAAAHp+3jQ=")</f>
        <v>#REF!</v>
      </c>
      <c r="BB253" t="e">
        <f>AND('PROG FORMACIÓN TITULADA'!#REF!,"AAAAAHp+3jU=")</f>
        <v>#REF!</v>
      </c>
      <c r="BC253" t="e">
        <f>AND('PROG FORMACIÓN TITULADA'!#REF!,"AAAAAHp+3jY=")</f>
        <v>#REF!</v>
      </c>
      <c r="BD253" t="e">
        <f>AND('PROG FORMACIÓN TITULADA'!#REF!,"AAAAAHp+3jc=")</f>
        <v>#REF!</v>
      </c>
      <c r="BE253" t="e">
        <f>AND('PROG FORMACIÓN TITULADA'!#REF!,"AAAAAHp+3jg=")</f>
        <v>#REF!</v>
      </c>
      <c r="BF253" t="e">
        <f>AND('PROG FORMACIÓN TITULADA'!#REF!,"AAAAAHp+3jk=")</f>
        <v>#REF!</v>
      </c>
      <c r="BG253" t="e">
        <f>AND('PROG FORMACIÓN TITULADA'!#REF!,"AAAAAHp+3jo=")</f>
        <v>#REF!</v>
      </c>
      <c r="BH253" t="e">
        <f>AND('PROG FORMACIÓN TITULADA'!#REF!,"AAAAAHp+3js=")</f>
        <v>#REF!</v>
      </c>
      <c r="BI253" t="e">
        <f>AND('PROG FORMACIÓN TITULADA'!#REF!,"AAAAAHp+3jw=")</f>
        <v>#REF!</v>
      </c>
      <c r="BJ253" t="e">
        <f>AND('PROG FORMACIÓN TITULADA'!#REF!,"AAAAAHp+3j0=")</f>
        <v>#REF!</v>
      </c>
      <c r="BK253" t="e">
        <f>IF('PROG FORMACIÓN TITULADA'!#REF!,"AAAAAHp+3j4=",0)</f>
        <v>#REF!</v>
      </c>
      <c r="BL253" t="e">
        <f>AND('PROG FORMACIÓN TITULADA'!#REF!,"AAAAAHp+3j8=")</f>
        <v>#REF!</v>
      </c>
      <c r="BM253" t="e">
        <f>AND('PROG FORMACIÓN TITULADA'!#REF!,"AAAAAHp+3kA=")</f>
        <v>#REF!</v>
      </c>
      <c r="BN253" t="e">
        <f>AND('PROG FORMACIÓN TITULADA'!#REF!,"AAAAAHp+3kE=")</f>
        <v>#REF!</v>
      </c>
      <c r="BO253" t="e">
        <f>AND('PROG FORMACIÓN TITULADA'!#REF!,"AAAAAHp+3kI=")</f>
        <v>#REF!</v>
      </c>
      <c r="BP253" t="e">
        <f>AND('PROG FORMACIÓN TITULADA'!#REF!,"AAAAAHp+3kM=")</f>
        <v>#REF!</v>
      </c>
      <c r="BQ253" t="e">
        <f>AND('PROG FORMACIÓN TITULADA'!#REF!,"AAAAAHp+3kQ=")</f>
        <v>#REF!</v>
      </c>
      <c r="BR253" t="e">
        <f>AND('PROG FORMACIÓN TITULADA'!#REF!,"AAAAAHp+3kU=")</f>
        <v>#REF!</v>
      </c>
      <c r="BS253" t="e">
        <f>AND('PROG FORMACIÓN TITULADA'!#REF!,"AAAAAHp+3kY=")</f>
        <v>#REF!</v>
      </c>
      <c r="BT253" t="e">
        <f>AND('PROG FORMACIÓN TITULADA'!#REF!,"AAAAAHp+3kc=")</f>
        <v>#REF!</v>
      </c>
      <c r="BU253" t="e">
        <f>AND('PROG FORMACIÓN TITULADA'!#REF!,"AAAAAHp+3kg=")</f>
        <v>#REF!</v>
      </c>
      <c r="BV253" t="e">
        <f>AND('PROG FORMACIÓN TITULADA'!#REF!,"AAAAAHp+3kk=")</f>
        <v>#REF!</v>
      </c>
      <c r="BW253" t="e">
        <f>AND('PROG FORMACIÓN TITULADA'!#REF!,"AAAAAHp+3ko=")</f>
        <v>#REF!</v>
      </c>
      <c r="BX253" t="e">
        <f>AND('PROG FORMACIÓN TITULADA'!#REF!,"AAAAAHp+3ks=")</f>
        <v>#REF!</v>
      </c>
      <c r="BY253" t="e">
        <f>AND('PROG FORMACIÓN TITULADA'!#REF!,"AAAAAHp+3kw=")</f>
        <v>#REF!</v>
      </c>
      <c r="BZ253" t="e">
        <f>AND('PROG FORMACIÓN TITULADA'!#REF!,"AAAAAHp+3k0=")</f>
        <v>#REF!</v>
      </c>
      <c r="CA253" t="e">
        <f>AND('PROG FORMACIÓN TITULADA'!#REF!,"AAAAAHp+3k4=")</f>
        <v>#REF!</v>
      </c>
      <c r="CB253" t="e">
        <f>AND('PROG FORMACIÓN TITULADA'!#REF!,"AAAAAHp+3k8=")</f>
        <v>#REF!</v>
      </c>
      <c r="CC253" t="e">
        <f>AND('PROG FORMACIÓN TITULADA'!#REF!,"AAAAAHp+3lA=")</f>
        <v>#REF!</v>
      </c>
      <c r="CD253" t="e">
        <f>AND('PROG FORMACIÓN TITULADA'!#REF!,"AAAAAHp+3lE=")</f>
        <v>#REF!</v>
      </c>
      <c r="CE253" t="e">
        <f>AND('PROG FORMACIÓN TITULADA'!#REF!,"AAAAAHp+3lI=")</f>
        <v>#REF!</v>
      </c>
      <c r="CF253" t="e">
        <f>AND('PROG FORMACIÓN TITULADA'!#REF!,"AAAAAHp+3lM=")</f>
        <v>#REF!</v>
      </c>
      <c r="CG253" t="e">
        <f>AND('PROG FORMACIÓN TITULADA'!#REF!,"AAAAAHp+3lQ=")</f>
        <v>#REF!</v>
      </c>
      <c r="CH253" t="e">
        <f>AND('PROG FORMACIÓN TITULADA'!#REF!,"AAAAAHp+3lU=")</f>
        <v>#REF!</v>
      </c>
      <c r="CI253" t="e">
        <f>AND('PROG FORMACIÓN TITULADA'!#REF!,"AAAAAHp+3lY=")</f>
        <v>#REF!</v>
      </c>
      <c r="CJ253" t="e">
        <f>AND('PROG FORMACIÓN TITULADA'!#REF!,"AAAAAHp+3lc=")</f>
        <v>#REF!</v>
      </c>
      <c r="CK253" t="e">
        <f>AND('PROG FORMACIÓN TITULADA'!#REF!,"AAAAAHp+3lg=")</f>
        <v>#REF!</v>
      </c>
      <c r="CL253" t="e">
        <f>IF('PROG FORMACIÓN TITULADA'!#REF!,"AAAAAHp+3lk=",0)</f>
        <v>#REF!</v>
      </c>
      <c r="CM253" t="e">
        <f>AND('PROG FORMACIÓN TITULADA'!#REF!,"AAAAAHp+3lo=")</f>
        <v>#REF!</v>
      </c>
      <c r="CN253" t="e">
        <f>AND('PROG FORMACIÓN TITULADA'!#REF!,"AAAAAHp+3ls=")</f>
        <v>#REF!</v>
      </c>
      <c r="CO253" t="e">
        <f>AND('PROG FORMACIÓN TITULADA'!#REF!,"AAAAAHp+3lw=")</f>
        <v>#REF!</v>
      </c>
      <c r="CP253" t="e">
        <f>AND('PROG FORMACIÓN TITULADA'!#REF!,"AAAAAHp+3l0=")</f>
        <v>#REF!</v>
      </c>
      <c r="CQ253" t="e">
        <f>AND('PROG FORMACIÓN TITULADA'!#REF!,"AAAAAHp+3l4=")</f>
        <v>#REF!</v>
      </c>
      <c r="CR253" t="e">
        <f>AND('PROG FORMACIÓN TITULADA'!#REF!,"AAAAAHp+3l8=")</f>
        <v>#REF!</v>
      </c>
      <c r="CS253" t="e">
        <f>AND('PROG FORMACIÓN TITULADA'!#REF!,"AAAAAHp+3mA=")</f>
        <v>#REF!</v>
      </c>
      <c r="CT253" t="e">
        <f>AND('PROG FORMACIÓN TITULADA'!#REF!,"AAAAAHp+3mE=")</f>
        <v>#REF!</v>
      </c>
      <c r="CU253" t="e">
        <f>AND('PROG FORMACIÓN TITULADA'!#REF!,"AAAAAHp+3mI=")</f>
        <v>#REF!</v>
      </c>
      <c r="CV253" t="e">
        <f>AND('PROG FORMACIÓN TITULADA'!#REF!,"AAAAAHp+3mM=")</f>
        <v>#REF!</v>
      </c>
      <c r="CW253" t="e">
        <f>AND('PROG FORMACIÓN TITULADA'!#REF!,"AAAAAHp+3mQ=")</f>
        <v>#REF!</v>
      </c>
      <c r="CX253" t="e">
        <f>AND('PROG FORMACIÓN TITULADA'!#REF!,"AAAAAHp+3mU=")</f>
        <v>#REF!</v>
      </c>
      <c r="CY253" t="e">
        <f>AND('PROG FORMACIÓN TITULADA'!#REF!,"AAAAAHp+3mY=")</f>
        <v>#REF!</v>
      </c>
      <c r="CZ253" t="e">
        <f>AND('PROG FORMACIÓN TITULADA'!#REF!,"AAAAAHp+3mc=")</f>
        <v>#REF!</v>
      </c>
      <c r="DA253" t="e">
        <f>AND('PROG FORMACIÓN TITULADA'!#REF!,"AAAAAHp+3mg=")</f>
        <v>#REF!</v>
      </c>
      <c r="DB253" t="e">
        <f>AND('PROG FORMACIÓN TITULADA'!#REF!,"AAAAAHp+3mk=")</f>
        <v>#REF!</v>
      </c>
      <c r="DC253" t="e">
        <f>AND('PROG FORMACIÓN TITULADA'!#REF!,"AAAAAHp+3mo=")</f>
        <v>#REF!</v>
      </c>
      <c r="DD253" t="e">
        <f>AND('PROG FORMACIÓN TITULADA'!#REF!,"AAAAAHp+3ms=")</f>
        <v>#REF!</v>
      </c>
      <c r="DE253" t="e">
        <f>AND('PROG FORMACIÓN TITULADA'!#REF!,"AAAAAHp+3mw=")</f>
        <v>#REF!</v>
      </c>
      <c r="DF253" t="e">
        <f>AND('PROG FORMACIÓN TITULADA'!#REF!,"AAAAAHp+3m0=")</f>
        <v>#REF!</v>
      </c>
      <c r="DG253" t="e">
        <f>AND('PROG FORMACIÓN TITULADA'!#REF!,"AAAAAHp+3m4=")</f>
        <v>#REF!</v>
      </c>
      <c r="DH253" t="e">
        <f>AND('PROG FORMACIÓN TITULADA'!#REF!,"AAAAAHp+3m8=")</f>
        <v>#REF!</v>
      </c>
      <c r="DI253" t="e">
        <f>AND('PROG FORMACIÓN TITULADA'!#REF!,"AAAAAHp+3nA=")</f>
        <v>#REF!</v>
      </c>
      <c r="DJ253" t="e">
        <f>AND('PROG FORMACIÓN TITULADA'!#REF!,"AAAAAHp+3nE=")</f>
        <v>#REF!</v>
      </c>
      <c r="DK253" t="e">
        <f>AND('PROG FORMACIÓN TITULADA'!#REF!,"AAAAAHp+3nI=")</f>
        <v>#REF!</v>
      </c>
      <c r="DL253" t="e">
        <f>AND('PROG FORMACIÓN TITULADA'!#REF!,"AAAAAHp+3nM=")</f>
        <v>#REF!</v>
      </c>
      <c r="DM253" t="e">
        <f>IF('PROG FORMACIÓN TITULADA'!#REF!,"AAAAAHp+3nQ=",0)</f>
        <v>#REF!</v>
      </c>
      <c r="DN253" t="e">
        <f>AND('PROG FORMACIÓN TITULADA'!#REF!,"AAAAAHp+3nU=")</f>
        <v>#REF!</v>
      </c>
      <c r="DO253" t="e">
        <f>AND('PROG FORMACIÓN TITULADA'!#REF!,"AAAAAHp+3nY=")</f>
        <v>#REF!</v>
      </c>
      <c r="DP253" t="e">
        <f>AND('PROG FORMACIÓN TITULADA'!#REF!,"AAAAAHp+3nc=")</f>
        <v>#REF!</v>
      </c>
      <c r="DQ253" t="e">
        <f>AND('PROG FORMACIÓN TITULADA'!#REF!,"AAAAAHp+3ng=")</f>
        <v>#REF!</v>
      </c>
      <c r="DR253" t="e">
        <f>AND('PROG FORMACIÓN TITULADA'!#REF!,"AAAAAHp+3nk=")</f>
        <v>#REF!</v>
      </c>
      <c r="DS253" t="e">
        <f>AND('PROG FORMACIÓN TITULADA'!#REF!,"AAAAAHp+3no=")</f>
        <v>#REF!</v>
      </c>
      <c r="DT253" t="e">
        <f>AND('PROG FORMACIÓN TITULADA'!#REF!,"AAAAAHp+3ns=")</f>
        <v>#REF!</v>
      </c>
      <c r="DU253" t="e">
        <f>AND('PROG FORMACIÓN TITULADA'!#REF!,"AAAAAHp+3nw=")</f>
        <v>#REF!</v>
      </c>
      <c r="DV253" t="e">
        <f>AND('PROG FORMACIÓN TITULADA'!#REF!,"AAAAAHp+3n0=")</f>
        <v>#REF!</v>
      </c>
      <c r="DW253" t="e">
        <f>AND('PROG FORMACIÓN TITULADA'!#REF!,"AAAAAHp+3n4=")</f>
        <v>#REF!</v>
      </c>
      <c r="DX253" t="e">
        <f>AND('PROG FORMACIÓN TITULADA'!#REF!,"AAAAAHp+3n8=")</f>
        <v>#REF!</v>
      </c>
      <c r="DY253" t="e">
        <f>AND('PROG FORMACIÓN TITULADA'!#REF!,"AAAAAHp+3oA=")</f>
        <v>#REF!</v>
      </c>
      <c r="DZ253" t="e">
        <f>AND('PROG FORMACIÓN TITULADA'!#REF!,"AAAAAHp+3oE=")</f>
        <v>#REF!</v>
      </c>
      <c r="EA253" t="e">
        <f>AND('PROG FORMACIÓN TITULADA'!#REF!,"AAAAAHp+3oI=")</f>
        <v>#REF!</v>
      </c>
      <c r="EB253" t="e">
        <f>AND('PROG FORMACIÓN TITULADA'!#REF!,"AAAAAHp+3oM=")</f>
        <v>#REF!</v>
      </c>
      <c r="EC253" t="e">
        <f>AND('PROG FORMACIÓN TITULADA'!#REF!,"AAAAAHp+3oQ=")</f>
        <v>#REF!</v>
      </c>
      <c r="ED253" t="e">
        <f>AND('PROG FORMACIÓN TITULADA'!#REF!,"AAAAAHp+3oU=")</f>
        <v>#REF!</v>
      </c>
      <c r="EE253" t="e">
        <f>AND('PROG FORMACIÓN TITULADA'!#REF!,"AAAAAHp+3oY=")</f>
        <v>#REF!</v>
      </c>
      <c r="EF253" t="e">
        <f>AND('PROG FORMACIÓN TITULADA'!#REF!,"AAAAAHp+3oc=")</f>
        <v>#REF!</v>
      </c>
      <c r="EG253" t="e">
        <f>AND('PROG FORMACIÓN TITULADA'!#REF!,"AAAAAHp+3og=")</f>
        <v>#REF!</v>
      </c>
      <c r="EH253" t="e">
        <f>AND('PROG FORMACIÓN TITULADA'!#REF!,"AAAAAHp+3ok=")</f>
        <v>#REF!</v>
      </c>
      <c r="EI253" t="e">
        <f>AND('PROG FORMACIÓN TITULADA'!#REF!,"AAAAAHp+3oo=")</f>
        <v>#REF!</v>
      </c>
      <c r="EJ253" t="e">
        <f>AND('PROG FORMACIÓN TITULADA'!#REF!,"AAAAAHp+3os=")</f>
        <v>#REF!</v>
      </c>
      <c r="EK253" t="e">
        <f>AND('PROG FORMACIÓN TITULADA'!#REF!,"AAAAAHp+3ow=")</f>
        <v>#REF!</v>
      </c>
      <c r="EL253" t="e">
        <f>AND('PROG FORMACIÓN TITULADA'!#REF!,"AAAAAHp+3o0=")</f>
        <v>#REF!</v>
      </c>
      <c r="EM253" t="e">
        <f>AND('PROG FORMACIÓN TITULADA'!#REF!,"AAAAAHp+3o4=")</f>
        <v>#REF!</v>
      </c>
      <c r="EN253" t="e">
        <f>IF('PROG FORMACIÓN TITULADA'!#REF!,"AAAAAHp+3o8=",0)</f>
        <v>#REF!</v>
      </c>
      <c r="EO253" t="e">
        <f>AND('PROG FORMACIÓN TITULADA'!#REF!,"AAAAAHp+3pA=")</f>
        <v>#REF!</v>
      </c>
      <c r="EP253" t="e">
        <f>AND('PROG FORMACIÓN TITULADA'!#REF!,"AAAAAHp+3pE=")</f>
        <v>#REF!</v>
      </c>
      <c r="EQ253" t="e">
        <f>AND('PROG FORMACIÓN TITULADA'!#REF!,"AAAAAHp+3pI=")</f>
        <v>#REF!</v>
      </c>
      <c r="ER253" t="e">
        <f>AND('PROG FORMACIÓN TITULADA'!#REF!,"AAAAAHp+3pM=")</f>
        <v>#REF!</v>
      </c>
      <c r="ES253" t="e">
        <f>AND('PROG FORMACIÓN TITULADA'!#REF!,"AAAAAHp+3pQ=")</f>
        <v>#REF!</v>
      </c>
      <c r="ET253" t="e">
        <f>AND('PROG FORMACIÓN TITULADA'!#REF!,"AAAAAHp+3pU=")</f>
        <v>#REF!</v>
      </c>
      <c r="EU253" t="e">
        <f>AND('PROG FORMACIÓN TITULADA'!#REF!,"AAAAAHp+3pY=")</f>
        <v>#REF!</v>
      </c>
      <c r="EV253" t="e">
        <f>AND('PROG FORMACIÓN TITULADA'!#REF!,"AAAAAHp+3pc=")</f>
        <v>#REF!</v>
      </c>
      <c r="EW253" t="e">
        <f>AND('PROG FORMACIÓN TITULADA'!#REF!,"AAAAAHp+3pg=")</f>
        <v>#REF!</v>
      </c>
      <c r="EX253" t="e">
        <f>AND('PROG FORMACIÓN TITULADA'!#REF!,"AAAAAHp+3pk=")</f>
        <v>#REF!</v>
      </c>
      <c r="EY253" t="e">
        <f>AND('PROG FORMACIÓN TITULADA'!#REF!,"AAAAAHp+3po=")</f>
        <v>#REF!</v>
      </c>
      <c r="EZ253" t="e">
        <f>AND('PROG FORMACIÓN TITULADA'!#REF!,"AAAAAHp+3ps=")</f>
        <v>#REF!</v>
      </c>
      <c r="FA253" t="e">
        <f>AND('PROG FORMACIÓN TITULADA'!#REF!,"AAAAAHp+3pw=")</f>
        <v>#REF!</v>
      </c>
      <c r="FB253" t="e">
        <f>AND('PROG FORMACIÓN TITULADA'!#REF!,"AAAAAHp+3p0=")</f>
        <v>#REF!</v>
      </c>
      <c r="FC253" t="e">
        <f>AND('PROG FORMACIÓN TITULADA'!#REF!,"AAAAAHp+3p4=")</f>
        <v>#REF!</v>
      </c>
      <c r="FD253" t="e">
        <f>AND('PROG FORMACIÓN TITULADA'!#REF!,"AAAAAHp+3p8=")</f>
        <v>#REF!</v>
      </c>
      <c r="FE253" t="e">
        <f>AND('PROG FORMACIÓN TITULADA'!#REF!,"AAAAAHp+3qA=")</f>
        <v>#REF!</v>
      </c>
      <c r="FF253" t="e">
        <f>AND('PROG FORMACIÓN TITULADA'!#REF!,"AAAAAHp+3qE=")</f>
        <v>#REF!</v>
      </c>
      <c r="FG253" t="e">
        <f>AND('PROG FORMACIÓN TITULADA'!#REF!,"AAAAAHp+3qI=")</f>
        <v>#REF!</v>
      </c>
      <c r="FH253" t="e">
        <f>AND('PROG FORMACIÓN TITULADA'!#REF!,"AAAAAHp+3qM=")</f>
        <v>#REF!</v>
      </c>
      <c r="FI253" t="e">
        <f>AND('PROG FORMACIÓN TITULADA'!#REF!,"AAAAAHp+3qQ=")</f>
        <v>#REF!</v>
      </c>
      <c r="FJ253" t="e">
        <f>AND('PROG FORMACIÓN TITULADA'!#REF!,"AAAAAHp+3qU=")</f>
        <v>#REF!</v>
      </c>
      <c r="FK253" t="e">
        <f>AND('PROG FORMACIÓN TITULADA'!#REF!,"AAAAAHp+3qY=")</f>
        <v>#REF!</v>
      </c>
      <c r="FL253" t="e">
        <f>AND('PROG FORMACIÓN TITULADA'!#REF!,"AAAAAHp+3qc=")</f>
        <v>#REF!</v>
      </c>
      <c r="FM253" t="e">
        <f>AND('PROG FORMACIÓN TITULADA'!#REF!,"AAAAAHp+3qg=")</f>
        <v>#REF!</v>
      </c>
      <c r="FN253" t="e">
        <f>AND('PROG FORMACIÓN TITULADA'!#REF!,"AAAAAHp+3qk=")</f>
        <v>#REF!</v>
      </c>
      <c r="FO253" t="e">
        <f>IF('PROG FORMACIÓN TITULADA'!#REF!,"AAAAAHp+3qo=",0)</f>
        <v>#REF!</v>
      </c>
      <c r="FP253" t="e">
        <f>AND('PROG FORMACIÓN TITULADA'!#REF!,"AAAAAHp+3qs=")</f>
        <v>#REF!</v>
      </c>
      <c r="FQ253" t="e">
        <f>AND('PROG FORMACIÓN TITULADA'!#REF!,"AAAAAHp+3qw=")</f>
        <v>#REF!</v>
      </c>
      <c r="FR253" t="e">
        <f>AND('PROG FORMACIÓN TITULADA'!#REF!,"AAAAAHp+3q0=")</f>
        <v>#REF!</v>
      </c>
      <c r="FS253" t="e">
        <f>AND('PROG FORMACIÓN TITULADA'!#REF!,"AAAAAHp+3q4=")</f>
        <v>#REF!</v>
      </c>
      <c r="FT253" t="e">
        <f>AND('PROG FORMACIÓN TITULADA'!#REF!,"AAAAAHp+3q8=")</f>
        <v>#REF!</v>
      </c>
      <c r="FU253" t="e">
        <f>AND('PROG FORMACIÓN TITULADA'!#REF!,"AAAAAHp+3rA=")</f>
        <v>#REF!</v>
      </c>
      <c r="FV253" t="e">
        <f>AND('PROG FORMACIÓN TITULADA'!#REF!,"AAAAAHp+3rE=")</f>
        <v>#REF!</v>
      </c>
      <c r="FW253" t="e">
        <f>AND('PROG FORMACIÓN TITULADA'!#REF!,"AAAAAHp+3rI=")</f>
        <v>#REF!</v>
      </c>
      <c r="FX253" t="e">
        <f>AND('PROG FORMACIÓN TITULADA'!#REF!,"AAAAAHp+3rM=")</f>
        <v>#REF!</v>
      </c>
      <c r="FY253" t="e">
        <f>AND('PROG FORMACIÓN TITULADA'!#REF!,"AAAAAHp+3rQ=")</f>
        <v>#REF!</v>
      </c>
      <c r="FZ253" t="e">
        <f>AND('PROG FORMACIÓN TITULADA'!#REF!,"AAAAAHp+3rU=")</f>
        <v>#REF!</v>
      </c>
      <c r="GA253" t="e">
        <f>AND('PROG FORMACIÓN TITULADA'!#REF!,"AAAAAHp+3rY=")</f>
        <v>#REF!</v>
      </c>
      <c r="GB253" t="e">
        <f>AND('PROG FORMACIÓN TITULADA'!#REF!,"AAAAAHp+3rc=")</f>
        <v>#REF!</v>
      </c>
      <c r="GC253" t="e">
        <f>AND('PROG FORMACIÓN TITULADA'!#REF!,"AAAAAHp+3rg=")</f>
        <v>#REF!</v>
      </c>
      <c r="GD253" t="e">
        <f>AND('PROG FORMACIÓN TITULADA'!#REF!,"AAAAAHp+3rk=")</f>
        <v>#REF!</v>
      </c>
      <c r="GE253" t="e">
        <f>AND('PROG FORMACIÓN TITULADA'!#REF!,"AAAAAHp+3ro=")</f>
        <v>#REF!</v>
      </c>
      <c r="GF253" t="e">
        <f>AND('PROG FORMACIÓN TITULADA'!#REF!,"AAAAAHp+3rs=")</f>
        <v>#REF!</v>
      </c>
      <c r="GG253" t="e">
        <f>AND('PROG FORMACIÓN TITULADA'!#REF!,"AAAAAHp+3rw=")</f>
        <v>#REF!</v>
      </c>
      <c r="GH253" t="e">
        <f>AND('PROG FORMACIÓN TITULADA'!#REF!,"AAAAAHp+3r0=")</f>
        <v>#REF!</v>
      </c>
      <c r="GI253" t="e">
        <f>AND('PROG FORMACIÓN TITULADA'!#REF!,"AAAAAHp+3r4=")</f>
        <v>#REF!</v>
      </c>
      <c r="GJ253" t="e">
        <f>AND('PROG FORMACIÓN TITULADA'!#REF!,"AAAAAHp+3r8=")</f>
        <v>#REF!</v>
      </c>
      <c r="GK253" t="e">
        <f>AND('PROG FORMACIÓN TITULADA'!#REF!,"AAAAAHp+3sA=")</f>
        <v>#REF!</v>
      </c>
      <c r="GL253" t="e">
        <f>AND('PROG FORMACIÓN TITULADA'!#REF!,"AAAAAHp+3sE=")</f>
        <v>#REF!</v>
      </c>
      <c r="GM253" t="e">
        <f>AND('PROG FORMACIÓN TITULADA'!#REF!,"AAAAAHp+3sI=")</f>
        <v>#REF!</v>
      </c>
      <c r="GN253" t="e">
        <f>AND('PROG FORMACIÓN TITULADA'!#REF!,"AAAAAHp+3sM=")</f>
        <v>#REF!</v>
      </c>
      <c r="GO253" t="e">
        <f>AND('PROG FORMACIÓN TITULADA'!#REF!,"AAAAAHp+3sQ=")</f>
        <v>#REF!</v>
      </c>
      <c r="GP253" t="e">
        <f>IF('PROG FORMACIÓN TITULADA'!#REF!,"AAAAAHp+3sU=",0)</f>
        <v>#REF!</v>
      </c>
      <c r="GQ253" t="e">
        <f>AND('PROG FORMACIÓN TITULADA'!#REF!,"AAAAAHp+3sY=")</f>
        <v>#REF!</v>
      </c>
      <c r="GR253" t="e">
        <f>AND('PROG FORMACIÓN TITULADA'!#REF!,"AAAAAHp+3sc=")</f>
        <v>#REF!</v>
      </c>
      <c r="GS253" t="e">
        <f>AND('PROG FORMACIÓN TITULADA'!#REF!,"AAAAAHp+3sg=")</f>
        <v>#REF!</v>
      </c>
      <c r="GT253" t="e">
        <f>AND('PROG FORMACIÓN TITULADA'!#REF!,"AAAAAHp+3sk=")</f>
        <v>#REF!</v>
      </c>
      <c r="GU253" t="e">
        <f>AND('PROG FORMACIÓN TITULADA'!#REF!,"AAAAAHp+3so=")</f>
        <v>#REF!</v>
      </c>
      <c r="GV253" t="e">
        <f>AND('PROG FORMACIÓN TITULADA'!#REF!,"AAAAAHp+3ss=")</f>
        <v>#REF!</v>
      </c>
      <c r="GW253" t="e">
        <f>AND('PROG FORMACIÓN TITULADA'!#REF!,"AAAAAHp+3sw=")</f>
        <v>#REF!</v>
      </c>
      <c r="GX253" t="e">
        <f>AND('PROG FORMACIÓN TITULADA'!#REF!,"AAAAAHp+3s0=")</f>
        <v>#REF!</v>
      </c>
      <c r="GY253" t="e">
        <f>AND('PROG FORMACIÓN TITULADA'!#REF!,"AAAAAHp+3s4=")</f>
        <v>#REF!</v>
      </c>
      <c r="GZ253" t="e">
        <f>AND('PROG FORMACIÓN TITULADA'!#REF!,"AAAAAHp+3s8=")</f>
        <v>#REF!</v>
      </c>
      <c r="HA253" t="e">
        <f>AND('PROG FORMACIÓN TITULADA'!#REF!,"AAAAAHp+3tA=")</f>
        <v>#REF!</v>
      </c>
      <c r="HB253" t="e">
        <f>AND('PROG FORMACIÓN TITULADA'!#REF!,"AAAAAHp+3tE=")</f>
        <v>#REF!</v>
      </c>
      <c r="HC253" t="e">
        <f>AND('PROG FORMACIÓN TITULADA'!#REF!,"AAAAAHp+3tI=")</f>
        <v>#REF!</v>
      </c>
      <c r="HD253" t="e">
        <f>AND('PROG FORMACIÓN TITULADA'!#REF!,"AAAAAHp+3tM=")</f>
        <v>#REF!</v>
      </c>
      <c r="HE253" t="e">
        <f>AND('PROG FORMACIÓN TITULADA'!#REF!,"AAAAAHp+3tQ=")</f>
        <v>#REF!</v>
      </c>
      <c r="HF253" t="e">
        <f>AND('PROG FORMACIÓN TITULADA'!#REF!,"AAAAAHp+3tU=")</f>
        <v>#REF!</v>
      </c>
      <c r="HG253" t="e">
        <f>AND('PROG FORMACIÓN TITULADA'!#REF!,"AAAAAHp+3tY=")</f>
        <v>#REF!</v>
      </c>
      <c r="HH253" t="e">
        <f>AND('PROG FORMACIÓN TITULADA'!#REF!,"AAAAAHp+3tc=")</f>
        <v>#REF!</v>
      </c>
      <c r="HI253" t="e">
        <f>AND('PROG FORMACIÓN TITULADA'!#REF!,"AAAAAHp+3tg=")</f>
        <v>#REF!</v>
      </c>
      <c r="HJ253" t="e">
        <f>AND('PROG FORMACIÓN TITULADA'!#REF!,"AAAAAHp+3tk=")</f>
        <v>#REF!</v>
      </c>
      <c r="HK253" t="e">
        <f>AND('PROG FORMACIÓN TITULADA'!#REF!,"AAAAAHp+3to=")</f>
        <v>#REF!</v>
      </c>
      <c r="HL253" t="e">
        <f>AND('PROG FORMACIÓN TITULADA'!#REF!,"AAAAAHp+3ts=")</f>
        <v>#REF!</v>
      </c>
      <c r="HM253" t="e">
        <f>AND('PROG FORMACIÓN TITULADA'!#REF!,"AAAAAHp+3tw=")</f>
        <v>#REF!</v>
      </c>
      <c r="HN253" t="e">
        <f>AND('PROG FORMACIÓN TITULADA'!#REF!,"AAAAAHp+3t0=")</f>
        <v>#REF!</v>
      </c>
      <c r="HO253" t="e">
        <f>AND('PROG FORMACIÓN TITULADA'!#REF!,"AAAAAHp+3t4=")</f>
        <v>#REF!</v>
      </c>
      <c r="HP253" t="e">
        <f>AND('PROG FORMACIÓN TITULADA'!#REF!,"AAAAAHp+3t8=")</f>
        <v>#REF!</v>
      </c>
      <c r="HQ253" t="e">
        <f>IF('PROG FORMACIÓN TITULADA'!#REF!,"AAAAAHp+3uA=",0)</f>
        <v>#REF!</v>
      </c>
      <c r="HR253" t="e">
        <f>AND('PROG FORMACIÓN TITULADA'!#REF!,"AAAAAHp+3uE=")</f>
        <v>#REF!</v>
      </c>
      <c r="HS253" t="e">
        <f>AND('PROG FORMACIÓN TITULADA'!#REF!,"AAAAAHp+3uI=")</f>
        <v>#REF!</v>
      </c>
      <c r="HT253" t="e">
        <f>AND('PROG FORMACIÓN TITULADA'!#REF!,"AAAAAHp+3uM=")</f>
        <v>#REF!</v>
      </c>
      <c r="HU253" t="e">
        <f>AND('PROG FORMACIÓN TITULADA'!#REF!,"AAAAAHp+3uQ=")</f>
        <v>#REF!</v>
      </c>
      <c r="HV253" t="e">
        <f>AND('PROG FORMACIÓN TITULADA'!#REF!,"AAAAAHp+3uU=")</f>
        <v>#REF!</v>
      </c>
      <c r="HW253" t="e">
        <f>AND('PROG FORMACIÓN TITULADA'!#REF!,"AAAAAHp+3uY=")</f>
        <v>#REF!</v>
      </c>
      <c r="HX253" t="e">
        <f>AND('PROG FORMACIÓN TITULADA'!#REF!,"AAAAAHp+3uc=")</f>
        <v>#REF!</v>
      </c>
      <c r="HY253" t="e">
        <f>AND('PROG FORMACIÓN TITULADA'!#REF!,"AAAAAHp+3ug=")</f>
        <v>#REF!</v>
      </c>
      <c r="HZ253" t="e">
        <f>AND('PROG FORMACIÓN TITULADA'!#REF!,"AAAAAHp+3uk=")</f>
        <v>#REF!</v>
      </c>
      <c r="IA253" t="e">
        <f>AND('PROG FORMACIÓN TITULADA'!#REF!,"AAAAAHp+3uo=")</f>
        <v>#REF!</v>
      </c>
      <c r="IB253" t="e">
        <f>AND('PROG FORMACIÓN TITULADA'!#REF!,"AAAAAHp+3us=")</f>
        <v>#REF!</v>
      </c>
      <c r="IC253" t="e">
        <f>AND('PROG FORMACIÓN TITULADA'!#REF!,"AAAAAHp+3uw=")</f>
        <v>#REF!</v>
      </c>
      <c r="ID253" t="e">
        <f>AND('PROG FORMACIÓN TITULADA'!#REF!,"AAAAAHp+3u0=")</f>
        <v>#REF!</v>
      </c>
      <c r="IE253" t="e">
        <f>AND('PROG FORMACIÓN TITULADA'!#REF!,"AAAAAHp+3u4=")</f>
        <v>#REF!</v>
      </c>
      <c r="IF253" t="e">
        <f>AND('PROG FORMACIÓN TITULADA'!#REF!,"AAAAAHp+3u8=")</f>
        <v>#REF!</v>
      </c>
      <c r="IG253" t="e">
        <f>AND('PROG FORMACIÓN TITULADA'!#REF!,"AAAAAHp+3vA=")</f>
        <v>#REF!</v>
      </c>
      <c r="IH253" t="e">
        <f>AND('PROG FORMACIÓN TITULADA'!#REF!,"AAAAAHp+3vE=")</f>
        <v>#REF!</v>
      </c>
      <c r="II253" t="e">
        <f>AND('PROG FORMACIÓN TITULADA'!#REF!,"AAAAAHp+3vI=")</f>
        <v>#REF!</v>
      </c>
      <c r="IJ253" t="e">
        <f>AND('PROG FORMACIÓN TITULADA'!#REF!,"AAAAAHp+3vM=")</f>
        <v>#REF!</v>
      </c>
      <c r="IK253" t="e">
        <f>AND('PROG FORMACIÓN TITULADA'!#REF!,"AAAAAHp+3vQ=")</f>
        <v>#REF!</v>
      </c>
      <c r="IL253" t="e">
        <f>AND('PROG FORMACIÓN TITULADA'!#REF!,"AAAAAHp+3vU=")</f>
        <v>#REF!</v>
      </c>
      <c r="IM253" t="e">
        <f>AND('PROG FORMACIÓN TITULADA'!#REF!,"AAAAAHp+3vY=")</f>
        <v>#REF!</v>
      </c>
      <c r="IN253" t="e">
        <f>AND('PROG FORMACIÓN TITULADA'!#REF!,"AAAAAHp+3vc=")</f>
        <v>#REF!</v>
      </c>
      <c r="IO253" t="e">
        <f>AND('PROG FORMACIÓN TITULADA'!#REF!,"AAAAAHp+3vg=")</f>
        <v>#REF!</v>
      </c>
      <c r="IP253" t="e">
        <f>AND('PROG FORMACIÓN TITULADA'!#REF!,"AAAAAHp+3vk=")</f>
        <v>#REF!</v>
      </c>
      <c r="IQ253" t="e">
        <f>AND('PROG FORMACIÓN TITULADA'!#REF!,"AAAAAHp+3vo=")</f>
        <v>#REF!</v>
      </c>
      <c r="IR253">
        <f>IF('PROG FORM COMPLEM'!1:1,"AAAAAHp+3vs=",0)</f>
        <v>0</v>
      </c>
      <c r="IS253" t="e">
        <f>AND('PROG FORM COMPLEM'!B1,"AAAAAHp+3vw=")</f>
        <v>#VALUE!</v>
      </c>
      <c r="IT253" t="e">
        <f>AND('PROG FORM COMPLEM'!C1,"AAAAAHp+3v0=")</f>
        <v>#VALUE!</v>
      </c>
      <c r="IU253" t="e">
        <f>AND('PROG FORM COMPLEM'!D1,"AAAAAHp+3v4=")</f>
        <v>#VALUE!</v>
      </c>
      <c r="IV253" t="e">
        <f>AND('PROG FORM COMPLEM'!E1,"AAAAAHp+3v8=")</f>
        <v>#VALUE!</v>
      </c>
    </row>
    <row r="254" spans="1:256" x14ac:dyDescent="0.2">
      <c r="A254" t="e">
        <f>AND('PROG FORM COMPLEM'!F1,"AAAAAHz+fwA=")</f>
        <v>#VALUE!</v>
      </c>
      <c r="B254" t="e">
        <f>AND('PROG FORM COMPLEM'!G1,"AAAAAHz+fwE=")</f>
        <v>#VALUE!</v>
      </c>
      <c r="C254" t="e">
        <f>AND('PROG FORM COMPLEM'!H1,"AAAAAHz+fwI=")</f>
        <v>#VALUE!</v>
      </c>
      <c r="D254" t="e">
        <f>AND('PROG FORM COMPLEM'!I1,"AAAAAHz+fwM=")</f>
        <v>#VALUE!</v>
      </c>
      <c r="E254" t="e">
        <f>AND('PROG FORM COMPLEM'!J1,"AAAAAHz+fwQ=")</f>
        <v>#VALUE!</v>
      </c>
      <c r="F254" t="e">
        <f>AND('PROG FORM COMPLEM'!K1,"AAAAAHz+fwU=")</f>
        <v>#VALUE!</v>
      </c>
      <c r="G254" t="e">
        <f>AND('PROG FORM COMPLEM'!L1,"AAAAAHz+fwY=")</f>
        <v>#VALUE!</v>
      </c>
      <c r="H254" t="e">
        <f>AND('PROG FORM COMPLEM'!M1,"AAAAAHz+fwc=")</f>
        <v>#VALUE!</v>
      </c>
      <c r="I254" t="e">
        <f>AND('PROG FORM COMPLEM'!N1,"AAAAAHz+fwg=")</f>
        <v>#VALUE!</v>
      </c>
      <c r="J254" t="e">
        <f>AND('PROG FORM COMPLEM'!O1,"AAAAAHz+fwk=")</f>
        <v>#VALUE!</v>
      </c>
      <c r="K254" t="e">
        <f>AND('PROG FORM COMPLEM'!P1,"AAAAAHz+fwo=")</f>
        <v>#VALUE!</v>
      </c>
      <c r="L254" t="e">
        <f>AND('PROG FORM COMPLEM'!Q1,"AAAAAHz+fws=")</f>
        <v>#VALUE!</v>
      </c>
      <c r="M254" t="e">
        <f>AND('PROG FORM COMPLEM'!R1,"AAAAAHz+fww=")</f>
        <v>#VALUE!</v>
      </c>
      <c r="N254" t="e">
        <f>AND('PROG FORM COMPLEM'!S1,"AAAAAHz+fw0=")</f>
        <v>#VALUE!</v>
      </c>
      <c r="O254" t="e">
        <f>AND('PROG FORM COMPLEM'!T1,"AAAAAHz+fw4=")</f>
        <v>#VALUE!</v>
      </c>
      <c r="P254" t="e">
        <f>AND('PROG FORM COMPLEM'!U1,"AAAAAHz+fw8=")</f>
        <v>#VALUE!</v>
      </c>
      <c r="Q254" t="e">
        <f>AND('PROG FORM COMPLEM'!V1,"AAAAAHz+fxA=")</f>
        <v>#VALUE!</v>
      </c>
      <c r="R254" t="e">
        <f>AND('PROG FORM COMPLEM'!W1,"AAAAAHz+fxE=")</f>
        <v>#VALUE!</v>
      </c>
      <c r="S254">
        <f>IF('PROG FORM COMPLEM'!2:2,"AAAAAHz+fxI=",0)</f>
        <v>0</v>
      </c>
      <c r="T254" t="e">
        <f>AND('PROG FORM COMPLEM'!B2,"AAAAAHz+fxM=")</f>
        <v>#VALUE!</v>
      </c>
      <c r="U254" t="e">
        <f>AND('PROG FORM COMPLEM'!C2,"AAAAAHz+fxQ=")</f>
        <v>#VALUE!</v>
      </c>
      <c r="V254" t="e">
        <f>AND('PROG FORM COMPLEM'!D2,"AAAAAHz+fxU=")</f>
        <v>#VALUE!</v>
      </c>
      <c r="W254" t="e">
        <f>AND('PROG FORM COMPLEM'!E2,"AAAAAHz+fxY=")</f>
        <v>#VALUE!</v>
      </c>
      <c r="X254" t="e">
        <f>AND('PROG FORM COMPLEM'!F2,"AAAAAHz+fxc=")</f>
        <v>#VALUE!</v>
      </c>
      <c r="Y254" t="e">
        <f>AND('PROG FORM COMPLEM'!G2,"AAAAAHz+fxg=")</f>
        <v>#VALUE!</v>
      </c>
      <c r="Z254" t="e">
        <f>AND('PROG FORM COMPLEM'!H2,"AAAAAHz+fxk=")</f>
        <v>#VALUE!</v>
      </c>
      <c r="AA254" t="e">
        <f>AND('PROG FORM COMPLEM'!I2,"AAAAAHz+fxo=")</f>
        <v>#VALUE!</v>
      </c>
      <c r="AB254" t="e">
        <f>AND('PROG FORM COMPLEM'!J2,"AAAAAHz+fxs=")</f>
        <v>#VALUE!</v>
      </c>
      <c r="AC254" t="e">
        <f>AND('PROG FORM COMPLEM'!K2,"AAAAAHz+fxw=")</f>
        <v>#VALUE!</v>
      </c>
      <c r="AD254" t="e">
        <f>AND('PROG FORM COMPLEM'!L2,"AAAAAHz+fx0=")</f>
        <v>#VALUE!</v>
      </c>
      <c r="AE254" t="e">
        <f>AND('PROG FORM COMPLEM'!M2,"AAAAAHz+fx4=")</f>
        <v>#VALUE!</v>
      </c>
      <c r="AF254" t="e">
        <f>AND('PROG FORM COMPLEM'!N2,"AAAAAHz+fx8=")</f>
        <v>#VALUE!</v>
      </c>
      <c r="AG254" t="e">
        <f>AND('PROG FORM COMPLEM'!O2,"AAAAAHz+fyA=")</f>
        <v>#VALUE!</v>
      </c>
      <c r="AH254" t="e">
        <f>AND('PROG FORM COMPLEM'!P2,"AAAAAHz+fyE=")</f>
        <v>#VALUE!</v>
      </c>
      <c r="AI254" t="e">
        <f>AND('PROG FORM COMPLEM'!Q2,"AAAAAHz+fyI=")</f>
        <v>#VALUE!</v>
      </c>
      <c r="AJ254" t="e">
        <f>AND('PROG FORM COMPLEM'!R2,"AAAAAHz+fyM=")</f>
        <v>#VALUE!</v>
      </c>
      <c r="AK254" t="e">
        <f>AND('PROG FORM COMPLEM'!S2,"AAAAAHz+fyQ=")</f>
        <v>#VALUE!</v>
      </c>
      <c r="AL254" t="e">
        <f>AND('PROG FORM COMPLEM'!T2,"AAAAAHz+fyU=")</f>
        <v>#VALUE!</v>
      </c>
      <c r="AM254" t="e">
        <f>AND('PROG FORM COMPLEM'!U2,"AAAAAHz+fyY=")</f>
        <v>#VALUE!</v>
      </c>
      <c r="AN254" t="e">
        <f>AND('PROG FORM COMPLEM'!V2,"AAAAAHz+fyc=")</f>
        <v>#VALUE!</v>
      </c>
      <c r="AO254" t="e">
        <f>AND('PROG FORM COMPLEM'!W2,"AAAAAHz+fyg=")</f>
        <v>#VALUE!</v>
      </c>
      <c r="AP254">
        <f>IF('PROG FORM COMPLEM'!3:3,"AAAAAHz+fyk=",0)</f>
        <v>0</v>
      </c>
      <c r="AQ254" t="e">
        <f>AND('PROG FORM COMPLEM'!B3,"AAAAAHz+fyo=")</f>
        <v>#VALUE!</v>
      </c>
      <c r="AR254" t="e">
        <f>AND('PROG FORM COMPLEM'!C3,"AAAAAHz+fys=")</f>
        <v>#VALUE!</v>
      </c>
      <c r="AS254" t="e">
        <f>AND('PROG FORM COMPLEM'!D3,"AAAAAHz+fyw=")</f>
        <v>#VALUE!</v>
      </c>
      <c r="AT254" t="e">
        <f>AND('PROG FORM COMPLEM'!E3,"AAAAAHz+fy0=")</f>
        <v>#VALUE!</v>
      </c>
      <c r="AU254" t="e">
        <f>AND('PROG FORM COMPLEM'!F3,"AAAAAHz+fy4=")</f>
        <v>#VALUE!</v>
      </c>
      <c r="AV254" t="e">
        <f>AND('PROG FORM COMPLEM'!G3,"AAAAAHz+fy8=")</f>
        <v>#VALUE!</v>
      </c>
      <c r="AW254" t="e">
        <f>AND('PROG FORM COMPLEM'!H3,"AAAAAHz+fzA=")</f>
        <v>#VALUE!</v>
      </c>
      <c r="AX254" t="e">
        <f>AND('PROG FORM COMPLEM'!I3,"AAAAAHz+fzE=")</f>
        <v>#VALUE!</v>
      </c>
      <c r="AY254" t="e">
        <f>AND('PROG FORM COMPLEM'!J3,"AAAAAHz+fzI=")</f>
        <v>#VALUE!</v>
      </c>
      <c r="AZ254" t="e">
        <f>AND('PROG FORM COMPLEM'!K3,"AAAAAHz+fzM=")</f>
        <v>#VALUE!</v>
      </c>
      <c r="BA254" t="e">
        <f>AND('PROG FORM COMPLEM'!L3,"AAAAAHz+fzQ=")</f>
        <v>#VALUE!</v>
      </c>
      <c r="BB254" t="e">
        <f>AND('PROG FORM COMPLEM'!M3,"AAAAAHz+fzU=")</f>
        <v>#VALUE!</v>
      </c>
      <c r="BC254" t="e">
        <f>AND('PROG FORM COMPLEM'!N3,"AAAAAHz+fzY=")</f>
        <v>#VALUE!</v>
      </c>
      <c r="BD254" t="e">
        <f>AND('PROG FORM COMPLEM'!O3,"AAAAAHz+fzc=")</f>
        <v>#VALUE!</v>
      </c>
      <c r="BE254" t="e">
        <f>AND('PROG FORM COMPLEM'!P3,"AAAAAHz+fzg=")</f>
        <v>#VALUE!</v>
      </c>
      <c r="BF254" t="e">
        <f>AND('PROG FORM COMPLEM'!Q3,"AAAAAHz+fzk=")</f>
        <v>#VALUE!</v>
      </c>
      <c r="BG254" t="e">
        <f>AND('PROG FORM COMPLEM'!R3,"AAAAAHz+fzo=")</f>
        <v>#VALUE!</v>
      </c>
      <c r="BH254" t="e">
        <f>AND('PROG FORM COMPLEM'!S3,"AAAAAHz+fzs=")</f>
        <v>#VALUE!</v>
      </c>
      <c r="BI254" t="e">
        <f>AND('PROG FORM COMPLEM'!T3,"AAAAAHz+fzw=")</f>
        <v>#VALUE!</v>
      </c>
      <c r="BJ254" t="e">
        <f>AND('PROG FORM COMPLEM'!U3,"AAAAAHz+fz0=")</f>
        <v>#VALUE!</v>
      </c>
      <c r="BK254" t="e">
        <f>AND('PROG FORM COMPLEM'!V3,"AAAAAHz+fz4=")</f>
        <v>#VALUE!</v>
      </c>
      <c r="BL254" t="e">
        <f>AND('PROG FORM COMPLEM'!W3,"AAAAAHz+fz8=")</f>
        <v>#VALUE!</v>
      </c>
      <c r="BM254">
        <f>IF('PROG FORM COMPLEM'!4:4,"AAAAAHz+f0A=",0)</f>
        <v>0</v>
      </c>
      <c r="BN254" t="e">
        <f>AND('PROG FORM COMPLEM'!B4,"AAAAAHz+f0E=")</f>
        <v>#VALUE!</v>
      </c>
      <c r="BO254" t="e">
        <f>AND('PROG FORM COMPLEM'!C4,"AAAAAHz+f0I=")</f>
        <v>#VALUE!</v>
      </c>
      <c r="BP254" t="e">
        <f>AND('PROG FORM COMPLEM'!D4,"AAAAAHz+f0M=")</f>
        <v>#VALUE!</v>
      </c>
      <c r="BQ254" t="e">
        <f>AND('PROG FORM COMPLEM'!E4,"AAAAAHz+f0Q=")</f>
        <v>#VALUE!</v>
      </c>
      <c r="BR254" t="e">
        <f>AND('PROG FORM COMPLEM'!F4,"AAAAAHz+f0U=")</f>
        <v>#VALUE!</v>
      </c>
      <c r="BS254" t="e">
        <f>AND('PROG FORM COMPLEM'!G4,"AAAAAHz+f0Y=")</f>
        <v>#VALUE!</v>
      </c>
      <c r="BT254" t="e">
        <f>AND('PROG FORM COMPLEM'!H4,"AAAAAHz+f0c=")</f>
        <v>#VALUE!</v>
      </c>
      <c r="BU254" t="e">
        <f>AND('PROG FORM COMPLEM'!I4,"AAAAAHz+f0g=")</f>
        <v>#VALUE!</v>
      </c>
      <c r="BV254" t="e">
        <f>AND('PROG FORM COMPLEM'!J4,"AAAAAHz+f0k=")</f>
        <v>#VALUE!</v>
      </c>
      <c r="BW254" t="e">
        <f>AND('PROG FORM COMPLEM'!K4,"AAAAAHz+f0o=")</f>
        <v>#VALUE!</v>
      </c>
      <c r="BX254" t="e">
        <f>AND('PROG FORM COMPLEM'!L4,"AAAAAHz+f0s=")</f>
        <v>#VALUE!</v>
      </c>
      <c r="BY254" t="e">
        <f>AND('PROG FORM COMPLEM'!M4,"AAAAAHz+f0w=")</f>
        <v>#VALUE!</v>
      </c>
      <c r="BZ254" t="e">
        <f>AND('PROG FORM COMPLEM'!N4,"AAAAAHz+f00=")</f>
        <v>#VALUE!</v>
      </c>
      <c r="CA254" t="e">
        <f>AND('PROG FORM COMPLEM'!O4,"AAAAAHz+f04=")</f>
        <v>#VALUE!</v>
      </c>
      <c r="CB254" t="e">
        <f>AND('PROG FORM COMPLEM'!P4,"AAAAAHz+f08=")</f>
        <v>#VALUE!</v>
      </c>
      <c r="CC254" t="e">
        <f>AND('PROG FORM COMPLEM'!Q4,"AAAAAHz+f1A=")</f>
        <v>#VALUE!</v>
      </c>
      <c r="CD254" t="e">
        <f>AND('PROG FORM COMPLEM'!R4,"AAAAAHz+f1E=")</f>
        <v>#VALUE!</v>
      </c>
      <c r="CE254" t="e">
        <f>AND('PROG FORM COMPLEM'!S4,"AAAAAHz+f1I=")</f>
        <v>#VALUE!</v>
      </c>
      <c r="CF254" t="e">
        <f>AND('PROG FORM COMPLEM'!T4,"AAAAAHz+f1M=")</f>
        <v>#VALUE!</v>
      </c>
      <c r="CG254" t="e">
        <f>AND('PROG FORM COMPLEM'!U4,"AAAAAHz+f1Q=")</f>
        <v>#VALUE!</v>
      </c>
      <c r="CH254" t="e">
        <f>AND('PROG FORM COMPLEM'!V4,"AAAAAHz+f1U=")</f>
        <v>#VALUE!</v>
      </c>
      <c r="CI254" t="e">
        <f>AND('PROG FORM COMPLEM'!W4,"AAAAAHz+f1Y=")</f>
        <v>#VALUE!</v>
      </c>
      <c r="CJ254">
        <f>IF('PROG FORM COMPLEM'!5:5,"AAAAAHz+f1c=",0)</f>
        <v>0</v>
      </c>
      <c r="CK254" t="e">
        <f>AND('PROG FORM COMPLEM'!B5,"AAAAAHz+f1g=")</f>
        <v>#VALUE!</v>
      </c>
      <c r="CL254" t="e">
        <f>AND('PROG FORM COMPLEM'!C5,"AAAAAHz+f1k=")</f>
        <v>#VALUE!</v>
      </c>
      <c r="CM254" t="e">
        <f>AND('PROG FORM COMPLEM'!D5,"AAAAAHz+f1o=")</f>
        <v>#VALUE!</v>
      </c>
      <c r="CN254" t="e">
        <f>AND('PROG FORM COMPLEM'!E5,"AAAAAHz+f1s=")</f>
        <v>#VALUE!</v>
      </c>
      <c r="CO254" t="e">
        <f>AND('PROG FORM COMPLEM'!F5,"AAAAAHz+f1w=")</f>
        <v>#VALUE!</v>
      </c>
      <c r="CP254" t="e">
        <f>AND('PROG FORM COMPLEM'!G5,"AAAAAHz+f10=")</f>
        <v>#VALUE!</v>
      </c>
      <c r="CQ254" t="e">
        <f>AND('PROG FORM COMPLEM'!H5,"AAAAAHz+f14=")</f>
        <v>#VALUE!</v>
      </c>
      <c r="CR254" t="e">
        <f>AND('PROG FORM COMPLEM'!I5,"AAAAAHz+f18=")</f>
        <v>#VALUE!</v>
      </c>
      <c r="CS254" t="e">
        <f>AND('PROG FORM COMPLEM'!J5,"AAAAAHz+f2A=")</f>
        <v>#VALUE!</v>
      </c>
      <c r="CT254" t="e">
        <f>AND('PROG FORM COMPLEM'!K5,"AAAAAHz+f2E=")</f>
        <v>#VALUE!</v>
      </c>
      <c r="CU254" t="e">
        <f>AND('PROG FORM COMPLEM'!L5,"AAAAAHz+f2I=")</f>
        <v>#VALUE!</v>
      </c>
      <c r="CV254" t="e">
        <f>AND('PROG FORM COMPLEM'!M5,"AAAAAHz+f2M=")</f>
        <v>#VALUE!</v>
      </c>
      <c r="CW254" t="e">
        <f>AND('PROG FORM COMPLEM'!N5,"AAAAAHz+f2Q=")</f>
        <v>#VALUE!</v>
      </c>
      <c r="CX254" t="e">
        <f>AND('PROG FORM COMPLEM'!O5,"AAAAAHz+f2U=")</f>
        <v>#VALUE!</v>
      </c>
      <c r="CY254" t="e">
        <f>AND('PROG FORM COMPLEM'!P5,"AAAAAHz+f2Y=")</f>
        <v>#VALUE!</v>
      </c>
      <c r="CZ254" t="e">
        <f>AND('PROG FORM COMPLEM'!Q5,"AAAAAHz+f2c=")</f>
        <v>#VALUE!</v>
      </c>
      <c r="DA254" t="e">
        <f>AND('PROG FORM COMPLEM'!R5,"AAAAAHz+f2g=")</f>
        <v>#VALUE!</v>
      </c>
      <c r="DB254" t="e">
        <f>AND('PROG FORM COMPLEM'!S5,"AAAAAHz+f2k=")</f>
        <v>#VALUE!</v>
      </c>
      <c r="DC254" t="e">
        <f>AND('PROG FORM COMPLEM'!T5,"AAAAAHz+f2o=")</f>
        <v>#VALUE!</v>
      </c>
      <c r="DD254" t="e">
        <f>AND('PROG FORM COMPLEM'!U5,"AAAAAHz+f2s=")</f>
        <v>#VALUE!</v>
      </c>
      <c r="DE254" t="e">
        <f>AND('PROG FORM COMPLEM'!V5,"AAAAAHz+f2w=")</f>
        <v>#VALUE!</v>
      </c>
      <c r="DF254" t="e">
        <f>AND('PROG FORM COMPLEM'!W5,"AAAAAHz+f20=")</f>
        <v>#VALUE!</v>
      </c>
      <c r="DG254">
        <f>IF('PROG FORM COMPLEM'!6:6,"AAAAAHz+f24=",0)</f>
        <v>0</v>
      </c>
      <c r="DH254" t="e">
        <f>AND('PROG FORM COMPLEM'!B6,"AAAAAHz+f28=")</f>
        <v>#VALUE!</v>
      </c>
      <c r="DI254" t="e">
        <f>AND('PROG FORM COMPLEM'!C6,"AAAAAHz+f3A=")</f>
        <v>#VALUE!</v>
      </c>
      <c r="DJ254" t="e">
        <f>AND('PROG FORM COMPLEM'!D6,"AAAAAHz+f3E=")</f>
        <v>#VALUE!</v>
      </c>
      <c r="DK254" t="e">
        <f>AND('PROG FORM COMPLEM'!E6,"AAAAAHz+f3I=")</f>
        <v>#VALUE!</v>
      </c>
      <c r="DL254" t="e">
        <f>AND('PROG FORM COMPLEM'!F6,"AAAAAHz+f3M=")</f>
        <v>#VALUE!</v>
      </c>
      <c r="DM254" t="e">
        <f>AND('PROG FORM COMPLEM'!G6,"AAAAAHz+f3Q=")</f>
        <v>#VALUE!</v>
      </c>
      <c r="DN254" t="e">
        <f>AND('PROG FORM COMPLEM'!H6,"AAAAAHz+f3U=")</f>
        <v>#VALUE!</v>
      </c>
      <c r="DO254" t="e">
        <f>AND('PROG FORM COMPLEM'!I6,"AAAAAHz+f3Y=")</f>
        <v>#VALUE!</v>
      </c>
      <c r="DP254" t="e">
        <f>AND('PROG FORM COMPLEM'!J6,"AAAAAHz+f3c=")</f>
        <v>#VALUE!</v>
      </c>
      <c r="DQ254" t="e">
        <f>AND('PROG FORM COMPLEM'!K6,"AAAAAHz+f3g=")</f>
        <v>#VALUE!</v>
      </c>
      <c r="DR254" t="e">
        <f>AND('PROG FORM COMPLEM'!L6,"AAAAAHz+f3k=")</f>
        <v>#VALUE!</v>
      </c>
      <c r="DS254" t="e">
        <f>AND('PROG FORM COMPLEM'!M6,"AAAAAHz+f3o=")</f>
        <v>#VALUE!</v>
      </c>
      <c r="DT254" t="e">
        <f>AND('PROG FORM COMPLEM'!N6,"AAAAAHz+f3s=")</f>
        <v>#VALUE!</v>
      </c>
      <c r="DU254" t="e">
        <f>AND('PROG FORM COMPLEM'!O6,"AAAAAHz+f3w=")</f>
        <v>#VALUE!</v>
      </c>
      <c r="DV254" t="e">
        <f>AND('PROG FORM COMPLEM'!P6,"AAAAAHz+f30=")</f>
        <v>#VALUE!</v>
      </c>
      <c r="DW254" t="e">
        <f>AND('PROG FORM COMPLEM'!Q6,"AAAAAHz+f34=")</f>
        <v>#VALUE!</v>
      </c>
      <c r="DX254" t="e">
        <f>AND('PROG FORM COMPLEM'!R6,"AAAAAHz+f38=")</f>
        <v>#VALUE!</v>
      </c>
      <c r="DY254" t="e">
        <f>AND('PROG FORM COMPLEM'!S6,"AAAAAHz+f4A=")</f>
        <v>#VALUE!</v>
      </c>
      <c r="DZ254" t="e">
        <f>AND('PROG FORM COMPLEM'!T6,"AAAAAHz+f4E=")</f>
        <v>#VALUE!</v>
      </c>
      <c r="EA254" t="e">
        <f>AND('PROG FORM COMPLEM'!U6,"AAAAAHz+f4I=")</f>
        <v>#VALUE!</v>
      </c>
      <c r="EB254" t="e">
        <f>AND('PROG FORM COMPLEM'!V6,"AAAAAHz+f4M=")</f>
        <v>#VALUE!</v>
      </c>
      <c r="EC254" t="e">
        <f>AND('PROG FORM COMPLEM'!W6,"AAAAAHz+f4Q=")</f>
        <v>#VALUE!</v>
      </c>
      <c r="ED254">
        <f>IF('PROG FORM COMPLEM'!7:7,"AAAAAHz+f4U=",0)</f>
        <v>0</v>
      </c>
      <c r="EE254" t="e">
        <f>AND('PROG FORM COMPLEM'!B7,"AAAAAHz+f4Y=")</f>
        <v>#VALUE!</v>
      </c>
      <c r="EF254" t="e">
        <f>AND('PROG FORM COMPLEM'!C7,"AAAAAHz+f4c=")</f>
        <v>#VALUE!</v>
      </c>
      <c r="EG254" t="e">
        <f>AND('PROG FORM COMPLEM'!D7,"AAAAAHz+f4g=")</f>
        <v>#VALUE!</v>
      </c>
      <c r="EH254" t="e">
        <f>AND('PROG FORM COMPLEM'!E7,"AAAAAHz+f4k=")</f>
        <v>#VALUE!</v>
      </c>
      <c r="EI254" t="e">
        <f>AND('PROG FORM COMPLEM'!F7,"AAAAAHz+f4o=")</f>
        <v>#VALUE!</v>
      </c>
      <c r="EJ254" t="e">
        <f>AND('PROG FORM COMPLEM'!G7,"AAAAAHz+f4s=")</f>
        <v>#VALUE!</v>
      </c>
      <c r="EK254" t="e">
        <f>AND('PROG FORM COMPLEM'!H7,"AAAAAHz+f4w=")</f>
        <v>#VALUE!</v>
      </c>
      <c r="EL254" t="e">
        <f>AND('PROG FORM COMPLEM'!I7,"AAAAAHz+f40=")</f>
        <v>#VALUE!</v>
      </c>
      <c r="EM254" t="e">
        <f>AND('PROG FORM COMPLEM'!J7,"AAAAAHz+f44=")</f>
        <v>#VALUE!</v>
      </c>
      <c r="EN254" t="e">
        <f>AND('PROG FORM COMPLEM'!K7,"AAAAAHz+f48=")</f>
        <v>#VALUE!</v>
      </c>
      <c r="EO254" t="e">
        <f>AND('PROG FORM COMPLEM'!L7,"AAAAAHz+f5A=")</f>
        <v>#VALUE!</v>
      </c>
      <c r="EP254" t="e">
        <f>AND('PROG FORM COMPLEM'!M7,"AAAAAHz+f5E=")</f>
        <v>#VALUE!</v>
      </c>
      <c r="EQ254" t="e">
        <f>AND('PROG FORM COMPLEM'!N7,"AAAAAHz+f5I=")</f>
        <v>#VALUE!</v>
      </c>
      <c r="ER254" t="e">
        <f>AND('PROG FORM COMPLEM'!O7,"AAAAAHz+f5M=")</f>
        <v>#VALUE!</v>
      </c>
      <c r="ES254" t="e">
        <f>AND('PROG FORM COMPLEM'!P7,"AAAAAHz+f5Q=")</f>
        <v>#VALUE!</v>
      </c>
      <c r="ET254" t="e">
        <f>AND('PROG FORM COMPLEM'!Q7,"AAAAAHz+f5U=")</f>
        <v>#VALUE!</v>
      </c>
      <c r="EU254" t="e">
        <f>AND('PROG FORM COMPLEM'!R7,"AAAAAHz+f5Y=")</f>
        <v>#VALUE!</v>
      </c>
      <c r="EV254" t="e">
        <f>AND('PROG FORM COMPLEM'!S7,"AAAAAHz+f5c=")</f>
        <v>#VALUE!</v>
      </c>
      <c r="EW254" t="e">
        <f>AND('PROG FORM COMPLEM'!T7,"AAAAAHz+f5g=")</f>
        <v>#VALUE!</v>
      </c>
      <c r="EX254" t="e">
        <f>AND('PROG FORM COMPLEM'!U7,"AAAAAHz+f5k=")</f>
        <v>#VALUE!</v>
      </c>
      <c r="EY254" t="e">
        <f>AND('PROG FORM COMPLEM'!V7,"AAAAAHz+f5o=")</f>
        <v>#VALUE!</v>
      </c>
      <c r="EZ254" t="e">
        <f>AND('PROG FORM COMPLEM'!W7,"AAAAAHz+f5s=")</f>
        <v>#VALUE!</v>
      </c>
      <c r="FA254">
        <f>IF('PROG FORM COMPLEM'!8:8,"AAAAAHz+f5w=",0)</f>
        <v>0</v>
      </c>
      <c r="FB254" t="e">
        <f>AND('PROG FORM COMPLEM'!B8,"AAAAAHz+f50=")</f>
        <v>#VALUE!</v>
      </c>
      <c r="FC254" t="e">
        <f>AND('PROG FORM COMPLEM'!C8,"AAAAAHz+f54=")</f>
        <v>#VALUE!</v>
      </c>
      <c r="FD254" t="e">
        <f>AND('PROG FORM COMPLEM'!D8,"AAAAAHz+f58=")</f>
        <v>#VALUE!</v>
      </c>
      <c r="FE254" t="e">
        <f>AND('PROG FORM COMPLEM'!E8,"AAAAAHz+f6A=")</f>
        <v>#VALUE!</v>
      </c>
      <c r="FF254" t="e">
        <f>AND('PROG FORM COMPLEM'!F8,"AAAAAHz+f6E=")</f>
        <v>#VALUE!</v>
      </c>
      <c r="FG254" t="e">
        <f>AND('PROG FORM COMPLEM'!G8,"AAAAAHz+f6I=")</f>
        <v>#VALUE!</v>
      </c>
      <c r="FH254" t="e">
        <f>AND('PROG FORM COMPLEM'!H8,"AAAAAHz+f6M=")</f>
        <v>#VALUE!</v>
      </c>
      <c r="FI254" t="e">
        <f>AND('PROG FORM COMPLEM'!I8,"AAAAAHz+f6Q=")</f>
        <v>#VALUE!</v>
      </c>
      <c r="FJ254" t="e">
        <f>AND('PROG FORM COMPLEM'!J8,"AAAAAHz+f6U=")</f>
        <v>#VALUE!</v>
      </c>
      <c r="FK254" t="e">
        <f>AND('PROG FORM COMPLEM'!K8,"AAAAAHz+f6Y=")</f>
        <v>#VALUE!</v>
      </c>
      <c r="FL254" t="e">
        <f>AND('PROG FORM COMPLEM'!L8,"AAAAAHz+f6c=")</f>
        <v>#VALUE!</v>
      </c>
      <c r="FM254" t="e">
        <f>AND('PROG FORM COMPLEM'!M8,"AAAAAHz+f6g=")</f>
        <v>#VALUE!</v>
      </c>
      <c r="FN254" t="e">
        <f>AND('PROG FORM COMPLEM'!N8,"AAAAAHz+f6k=")</f>
        <v>#VALUE!</v>
      </c>
      <c r="FO254" t="e">
        <f>AND('PROG FORM COMPLEM'!O8,"AAAAAHz+f6o=")</f>
        <v>#VALUE!</v>
      </c>
      <c r="FP254" t="e">
        <f>AND('PROG FORM COMPLEM'!P8,"AAAAAHz+f6s=")</f>
        <v>#VALUE!</v>
      </c>
      <c r="FQ254" t="e">
        <f>AND('PROG FORM COMPLEM'!Q8,"AAAAAHz+f6w=")</f>
        <v>#VALUE!</v>
      </c>
      <c r="FR254" t="e">
        <f>AND('PROG FORM COMPLEM'!R8,"AAAAAHz+f60=")</f>
        <v>#VALUE!</v>
      </c>
      <c r="FS254" t="e">
        <f>AND('PROG FORM COMPLEM'!S8,"AAAAAHz+f64=")</f>
        <v>#VALUE!</v>
      </c>
      <c r="FT254" t="e">
        <f>AND('PROG FORM COMPLEM'!T8,"AAAAAHz+f68=")</f>
        <v>#VALUE!</v>
      </c>
      <c r="FU254" t="e">
        <f>AND('PROG FORM COMPLEM'!U8,"AAAAAHz+f7A=")</f>
        <v>#VALUE!</v>
      </c>
      <c r="FV254" t="e">
        <f>AND('PROG FORM COMPLEM'!V8,"AAAAAHz+f7E=")</f>
        <v>#VALUE!</v>
      </c>
      <c r="FW254" t="e">
        <f>AND('PROG FORM COMPLEM'!W8,"AAAAAHz+f7I=")</f>
        <v>#VALUE!</v>
      </c>
      <c r="FX254">
        <f>IF('PROG FORM COMPLEM'!9:9,"AAAAAHz+f7M=",0)</f>
        <v>0</v>
      </c>
      <c r="FY254" t="e">
        <f>AND('PROG FORM COMPLEM'!B9,"AAAAAHz+f7Q=")</f>
        <v>#VALUE!</v>
      </c>
      <c r="FZ254" t="e">
        <f>AND('PROG FORM COMPLEM'!C9,"AAAAAHz+f7U=")</f>
        <v>#VALUE!</v>
      </c>
      <c r="GA254" t="e">
        <f>AND('PROG FORM COMPLEM'!D9,"AAAAAHz+f7Y=")</f>
        <v>#VALUE!</v>
      </c>
      <c r="GB254" t="e">
        <f>AND('PROG FORM COMPLEM'!E9,"AAAAAHz+f7c=")</f>
        <v>#VALUE!</v>
      </c>
      <c r="GC254" t="e">
        <f>AND('PROG FORM COMPLEM'!F9,"AAAAAHz+f7g=")</f>
        <v>#VALUE!</v>
      </c>
      <c r="GD254" t="e">
        <f>AND('PROG FORM COMPLEM'!G9,"AAAAAHz+f7k=")</f>
        <v>#VALUE!</v>
      </c>
      <c r="GE254" t="e">
        <f>AND('PROG FORM COMPLEM'!H9,"AAAAAHz+f7o=")</f>
        <v>#VALUE!</v>
      </c>
      <c r="GF254" t="e">
        <f>AND('PROG FORM COMPLEM'!I9,"AAAAAHz+f7s=")</f>
        <v>#VALUE!</v>
      </c>
      <c r="GG254" t="e">
        <f>AND('PROG FORM COMPLEM'!J9,"AAAAAHz+f7w=")</f>
        <v>#VALUE!</v>
      </c>
      <c r="GH254" t="e">
        <f>AND('PROG FORM COMPLEM'!K9,"AAAAAHz+f70=")</f>
        <v>#VALUE!</v>
      </c>
      <c r="GI254" t="e">
        <f>AND('PROG FORM COMPLEM'!L9,"AAAAAHz+f74=")</f>
        <v>#VALUE!</v>
      </c>
      <c r="GJ254" t="e">
        <f>AND('PROG FORM COMPLEM'!M9,"AAAAAHz+f78=")</f>
        <v>#VALUE!</v>
      </c>
      <c r="GK254" t="e">
        <f>AND('PROG FORM COMPLEM'!N9,"AAAAAHz+f8A=")</f>
        <v>#VALUE!</v>
      </c>
      <c r="GL254" t="e">
        <f>AND('PROG FORM COMPLEM'!O9,"AAAAAHz+f8E=")</f>
        <v>#VALUE!</v>
      </c>
      <c r="GM254" t="e">
        <f>AND('PROG FORM COMPLEM'!P9,"AAAAAHz+f8I=")</f>
        <v>#VALUE!</v>
      </c>
      <c r="GN254" t="e">
        <f>AND('PROG FORM COMPLEM'!Q9,"AAAAAHz+f8M=")</f>
        <v>#VALUE!</v>
      </c>
      <c r="GO254" t="e">
        <f>AND('PROG FORM COMPLEM'!R9,"AAAAAHz+f8Q=")</f>
        <v>#VALUE!</v>
      </c>
      <c r="GP254" t="e">
        <f>AND('PROG FORM COMPLEM'!S9,"AAAAAHz+f8U=")</f>
        <v>#VALUE!</v>
      </c>
      <c r="GQ254" t="e">
        <f>AND('PROG FORM COMPLEM'!T9,"AAAAAHz+f8Y=")</f>
        <v>#VALUE!</v>
      </c>
      <c r="GR254" t="e">
        <f>AND('PROG FORM COMPLEM'!U9,"AAAAAHz+f8c=")</f>
        <v>#VALUE!</v>
      </c>
      <c r="GS254" t="e">
        <f>AND('PROG FORM COMPLEM'!V9,"AAAAAHz+f8g=")</f>
        <v>#VALUE!</v>
      </c>
      <c r="GT254" t="e">
        <f>AND('PROG FORM COMPLEM'!W9,"AAAAAHz+f8k=")</f>
        <v>#VALUE!</v>
      </c>
      <c r="GU254" t="e">
        <f>IF('PROG FORM COMPLEM'!#REF!,"AAAAAHz+f8o=",0)</f>
        <v>#REF!</v>
      </c>
      <c r="GV254" t="e">
        <f>AND('PROG FORM COMPLEM'!#REF!,"AAAAAHz+f8s=")</f>
        <v>#REF!</v>
      </c>
      <c r="GW254" t="e">
        <f>AND('PROG FORM COMPLEM'!#REF!,"AAAAAHz+f8w=")</f>
        <v>#REF!</v>
      </c>
      <c r="GX254" t="e">
        <f>AND('PROG FORM COMPLEM'!#REF!,"AAAAAHz+f80=")</f>
        <v>#REF!</v>
      </c>
      <c r="GY254" t="e">
        <f>AND('PROG FORM COMPLEM'!#REF!,"AAAAAHz+f84=")</f>
        <v>#REF!</v>
      </c>
      <c r="GZ254" t="e">
        <f>AND('PROG FORM COMPLEM'!#REF!,"AAAAAHz+f88=")</f>
        <v>#REF!</v>
      </c>
      <c r="HA254" t="e">
        <f>AND('PROG FORM COMPLEM'!#REF!,"AAAAAHz+f9A=")</f>
        <v>#REF!</v>
      </c>
      <c r="HB254" t="e">
        <f>AND('PROG FORM COMPLEM'!#REF!,"AAAAAHz+f9E=")</f>
        <v>#REF!</v>
      </c>
      <c r="HC254" t="e">
        <f>AND('PROG FORM COMPLEM'!#REF!,"AAAAAHz+f9I=")</f>
        <v>#REF!</v>
      </c>
      <c r="HD254" t="e">
        <f>AND('PROG FORM COMPLEM'!#REF!,"AAAAAHz+f9M=")</f>
        <v>#REF!</v>
      </c>
      <c r="HE254" t="e">
        <f>AND('PROG FORM COMPLEM'!#REF!,"AAAAAHz+f9Q=")</f>
        <v>#REF!</v>
      </c>
      <c r="HF254" t="e">
        <f>AND('PROG FORM COMPLEM'!#REF!,"AAAAAHz+f9U=")</f>
        <v>#REF!</v>
      </c>
      <c r="HG254" t="e">
        <f>AND('PROG FORM COMPLEM'!#REF!,"AAAAAHz+f9Y=")</f>
        <v>#REF!</v>
      </c>
      <c r="HH254" t="e">
        <f>AND('PROG FORM COMPLEM'!#REF!,"AAAAAHz+f9c=")</f>
        <v>#REF!</v>
      </c>
      <c r="HI254" t="e">
        <f>AND('PROG FORM COMPLEM'!#REF!,"AAAAAHz+f9g=")</f>
        <v>#REF!</v>
      </c>
      <c r="HJ254" t="e">
        <f>AND('PROG FORM COMPLEM'!#REF!,"AAAAAHz+f9k=")</f>
        <v>#REF!</v>
      </c>
      <c r="HK254" t="e">
        <f>AND('PROG FORM COMPLEM'!#REF!,"AAAAAHz+f9o=")</f>
        <v>#REF!</v>
      </c>
      <c r="HL254" t="e">
        <f>AND('PROG FORM COMPLEM'!#REF!,"AAAAAHz+f9s=")</f>
        <v>#REF!</v>
      </c>
      <c r="HM254" t="e">
        <f>AND('PROG FORM COMPLEM'!#REF!,"AAAAAHz+f9w=")</f>
        <v>#REF!</v>
      </c>
      <c r="HN254" t="e">
        <f>AND('PROG FORM COMPLEM'!#REF!,"AAAAAHz+f90=")</f>
        <v>#REF!</v>
      </c>
      <c r="HO254" t="e">
        <f>AND('PROG FORM COMPLEM'!#REF!,"AAAAAHz+f94=")</f>
        <v>#REF!</v>
      </c>
      <c r="HP254" t="e">
        <f>AND('PROG FORM COMPLEM'!#REF!,"AAAAAHz+f98=")</f>
        <v>#REF!</v>
      </c>
      <c r="HQ254" t="e">
        <f>AND('PROG FORM COMPLEM'!#REF!,"AAAAAHz+f+A=")</f>
        <v>#REF!</v>
      </c>
      <c r="HR254">
        <f>IF('PROG FORM COMPLEM'!35:35,"AAAAAHz+f+E=",0)</f>
        <v>0</v>
      </c>
      <c r="HS254" t="e">
        <f>AND('PROG FORM COMPLEM'!B35,"AAAAAHz+f+I=")</f>
        <v>#VALUE!</v>
      </c>
      <c r="HT254" t="e">
        <f>AND('PROG FORM COMPLEM'!C35,"AAAAAHz+f+M=")</f>
        <v>#VALUE!</v>
      </c>
      <c r="HU254" t="e">
        <f>AND('PROG FORM COMPLEM'!D35,"AAAAAHz+f+Q=")</f>
        <v>#VALUE!</v>
      </c>
      <c r="HV254" t="e">
        <f>AND('PROG FORM COMPLEM'!E35,"AAAAAHz+f+U=")</f>
        <v>#VALUE!</v>
      </c>
      <c r="HW254" t="e">
        <f>AND('PROG FORM COMPLEM'!F35,"AAAAAHz+f+Y=")</f>
        <v>#VALUE!</v>
      </c>
      <c r="HX254" t="e">
        <f>AND('PROG FORM COMPLEM'!G35,"AAAAAHz+f+c=")</f>
        <v>#VALUE!</v>
      </c>
      <c r="HY254" t="e">
        <f>AND('PROG FORM COMPLEM'!H35,"AAAAAHz+f+g=")</f>
        <v>#VALUE!</v>
      </c>
      <c r="HZ254" t="e">
        <f>AND('PROG FORM COMPLEM'!I35,"AAAAAHz+f+k=")</f>
        <v>#VALUE!</v>
      </c>
      <c r="IA254" t="e">
        <f>AND('PROG FORM COMPLEM'!J35,"AAAAAHz+f+o=")</f>
        <v>#VALUE!</v>
      </c>
      <c r="IB254" t="e">
        <f>AND('PROG FORM COMPLEM'!K35,"AAAAAHz+f+s=")</f>
        <v>#VALUE!</v>
      </c>
      <c r="IC254" t="e">
        <f>AND('PROG FORM COMPLEM'!L35,"AAAAAHz+f+w=")</f>
        <v>#VALUE!</v>
      </c>
      <c r="ID254" t="e">
        <f>AND('PROG FORM COMPLEM'!M35,"AAAAAHz+f+0=")</f>
        <v>#VALUE!</v>
      </c>
      <c r="IE254" t="e">
        <f>AND('PROG FORM COMPLEM'!N35,"AAAAAHz+f+4=")</f>
        <v>#VALUE!</v>
      </c>
      <c r="IF254" t="e">
        <f>AND('PROG FORM COMPLEM'!O35,"AAAAAHz+f+8=")</f>
        <v>#VALUE!</v>
      </c>
      <c r="IG254" t="e">
        <f>AND('PROG FORM COMPLEM'!P35,"AAAAAHz+f/A=")</f>
        <v>#VALUE!</v>
      </c>
      <c r="IH254" t="e">
        <f>AND('PROG FORM COMPLEM'!Q35,"AAAAAHz+f/E=")</f>
        <v>#VALUE!</v>
      </c>
      <c r="II254" t="e">
        <f>AND('PROG FORM COMPLEM'!R35,"AAAAAHz+f/I=")</f>
        <v>#VALUE!</v>
      </c>
      <c r="IJ254" t="e">
        <f>AND('PROG FORM COMPLEM'!S35,"AAAAAHz+f/M=")</f>
        <v>#VALUE!</v>
      </c>
      <c r="IK254" t="e">
        <f>AND('PROG FORM COMPLEM'!T35,"AAAAAHz+f/Q=")</f>
        <v>#VALUE!</v>
      </c>
      <c r="IL254" t="e">
        <f>AND('PROG FORM COMPLEM'!U35,"AAAAAHz+f/U=")</f>
        <v>#VALUE!</v>
      </c>
      <c r="IM254" t="e">
        <f>AND('PROG FORM COMPLEM'!V35,"AAAAAHz+f/Y=")</f>
        <v>#VALUE!</v>
      </c>
      <c r="IN254" t="e">
        <f>AND('PROG FORM COMPLEM'!W35,"AAAAAHz+f/c=")</f>
        <v>#VALUE!</v>
      </c>
      <c r="IO254">
        <f>IF('PROG FORM COMPLEM'!36:36,"AAAAAHz+f/g=",0)</f>
        <v>0</v>
      </c>
      <c r="IP254" t="e">
        <f>AND('PROG FORM COMPLEM'!B36,"AAAAAHz+f/k=")</f>
        <v>#VALUE!</v>
      </c>
      <c r="IQ254" t="e">
        <f>AND('PROG FORM COMPLEM'!C36,"AAAAAHz+f/o=")</f>
        <v>#VALUE!</v>
      </c>
      <c r="IR254" t="e">
        <f>AND('PROG FORM COMPLEM'!D36,"AAAAAHz+f/s=")</f>
        <v>#VALUE!</v>
      </c>
      <c r="IS254" t="e">
        <f>AND('PROG FORM COMPLEM'!E36,"AAAAAHz+f/w=")</f>
        <v>#VALUE!</v>
      </c>
      <c r="IT254" t="e">
        <f>AND('PROG FORM COMPLEM'!F36,"AAAAAHz+f/0=")</f>
        <v>#VALUE!</v>
      </c>
      <c r="IU254" t="e">
        <f>AND('PROG FORM COMPLEM'!G36,"AAAAAHz+f/4=")</f>
        <v>#VALUE!</v>
      </c>
      <c r="IV254" t="e">
        <f>AND('PROG FORM COMPLEM'!H36,"AAAAAHz+f/8=")</f>
        <v>#VALUE!</v>
      </c>
    </row>
    <row r="255" spans="1:256" x14ac:dyDescent="0.2">
      <c r="A255" t="e">
        <f>AND('PROG FORM COMPLEM'!I36,"AAAAAD763wA=")</f>
        <v>#VALUE!</v>
      </c>
      <c r="B255" t="e">
        <f>AND('PROG FORM COMPLEM'!J36,"AAAAAD763wE=")</f>
        <v>#VALUE!</v>
      </c>
      <c r="C255" t="e">
        <f>AND('PROG FORM COMPLEM'!K36,"AAAAAD763wI=")</f>
        <v>#VALUE!</v>
      </c>
      <c r="D255" t="e">
        <f>AND('PROG FORM COMPLEM'!L36,"AAAAAD763wM=")</f>
        <v>#VALUE!</v>
      </c>
      <c r="E255" t="e">
        <f>AND('PROG FORM COMPLEM'!M36,"AAAAAD763wQ=")</f>
        <v>#VALUE!</v>
      </c>
      <c r="F255" t="e">
        <f>AND('PROG FORM COMPLEM'!N36,"AAAAAD763wU=")</f>
        <v>#VALUE!</v>
      </c>
      <c r="G255" t="e">
        <f>AND('PROG FORM COMPLEM'!O36,"AAAAAD763wY=")</f>
        <v>#VALUE!</v>
      </c>
      <c r="H255" t="e">
        <f>AND('PROG FORM COMPLEM'!P36,"AAAAAD763wc=")</f>
        <v>#VALUE!</v>
      </c>
      <c r="I255" t="e">
        <f>AND('PROG FORM COMPLEM'!Q36,"AAAAAD763wg=")</f>
        <v>#VALUE!</v>
      </c>
      <c r="J255" t="e">
        <f>AND('PROG FORM COMPLEM'!R36,"AAAAAD763wk=")</f>
        <v>#VALUE!</v>
      </c>
      <c r="K255" t="e">
        <f>AND('PROG FORM COMPLEM'!S36,"AAAAAD763wo=")</f>
        <v>#VALUE!</v>
      </c>
      <c r="L255" t="e">
        <f>AND('PROG FORM COMPLEM'!T36,"AAAAAD763ws=")</f>
        <v>#VALUE!</v>
      </c>
      <c r="M255" t="e">
        <f>AND('PROG FORM COMPLEM'!U36,"AAAAAD763ww=")</f>
        <v>#VALUE!</v>
      </c>
      <c r="N255" t="e">
        <f>AND('PROG FORM COMPLEM'!V36,"AAAAAD763w0=")</f>
        <v>#VALUE!</v>
      </c>
      <c r="O255" t="e">
        <f>AND('PROG FORM COMPLEM'!W36,"AAAAAD763w4=")</f>
        <v>#VALUE!</v>
      </c>
      <c r="P255" t="e">
        <f>IF('PROG FORM COMPLEM'!#REF!,"AAAAAD763w8=",0)</f>
        <v>#REF!</v>
      </c>
      <c r="Q255" t="e">
        <f>AND('PROG FORM COMPLEM'!#REF!,"AAAAAD763xA=")</f>
        <v>#REF!</v>
      </c>
      <c r="R255" t="e">
        <f>AND('PROG FORM COMPLEM'!#REF!,"AAAAAD763xE=")</f>
        <v>#REF!</v>
      </c>
      <c r="S255" t="e">
        <f>AND('PROG FORM COMPLEM'!#REF!,"AAAAAD763xI=")</f>
        <v>#REF!</v>
      </c>
      <c r="T255" t="e">
        <f>AND('PROG FORM COMPLEM'!#REF!,"AAAAAD763xM=")</f>
        <v>#REF!</v>
      </c>
      <c r="U255" t="e">
        <f>AND('PROG FORM COMPLEM'!#REF!,"AAAAAD763xQ=")</f>
        <v>#REF!</v>
      </c>
      <c r="V255" t="e">
        <f>AND('PROG FORM COMPLEM'!#REF!,"AAAAAD763xU=")</f>
        <v>#REF!</v>
      </c>
      <c r="W255" t="e">
        <f>AND('PROG FORM COMPLEM'!#REF!,"AAAAAD763xY=")</f>
        <v>#REF!</v>
      </c>
      <c r="X255" t="e">
        <f>AND('PROG FORM COMPLEM'!#REF!,"AAAAAD763xc=")</f>
        <v>#REF!</v>
      </c>
      <c r="Y255" t="e">
        <f>AND('PROG FORM COMPLEM'!#REF!,"AAAAAD763xg=")</f>
        <v>#REF!</v>
      </c>
      <c r="Z255" t="e">
        <f>AND('PROG FORM COMPLEM'!#REF!,"AAAAAD763xk=")</f>
        <v>#REF!</v>
      </c>
      <c r="AA255" t="e">
        <f>AND('PROG FORM COMPLEM'!#REF!,"AAAAAD763xo=")</f>
        <v>#REF!</v>
      </c>
      <c r="AB255" t="e">
        <f>AND('PROG FORM COMPLEM'!#REF!,"AAAAAD763xs=")</f>
        <v>#REF!</v>
      </c>
      <c r="AC255" t="e">
        <f>AND('PROG FORM COMPLEM'!#REF!,"AAAAAD763xw=")</f>
        <v>#REF!</v>
      </c>
      <c r="AD255" t="e">
        <f>AND('PROG FORM COMPLEM'!#REF!,"AAAAAD763x0=")</f>
        <v>#REF!</v>
      </c>
      <c r="AE255" t="e">
        <f>AND('PROG FORM COMPLEM'!#REF!,"AAAAAD763x4=")</f>
        <v>#REF!</v>
      </c>
      <c r="AF255" t="e">
        <f>AND('PROG FORM COMPLEM'!#REF!,"AAAAAD763x8=")</f>
        <v>#REF!</v>
      </c>
      <c r="AG255" t="e">
        <f>AND('PROG FORM COMPLEM'!#REF!,"AAAAAD763yA=")</f>
        <v>#REF!</v>
      </c>
      <c r="AH255" t="e">
        <f>AND('PROG FORM COMPLEM'!#REF!,"AAAAAD763yE=")</f>
        <v>#REF!</v>
      </c>
      <c r="AI255" t="e">
        <f>AND('PROG FORM COMPLEM'!#REF!,"AAAAAD763yI=")</f>
        <v>#REF!</v>
      </c>
      <c r="AJ255" t="e">
        <f>AND('PROG FORM COMPLEM'!#REF!,"AAAAAD763yM=")</f>
        <v>#REF!</v>
      </c>
      <c r="AK255" t="e">
        <f>AND('PROG FORM COMPLEM'!#REF!,"AAAAAD763yQ=")</f>
        <v>#REF!</v>
      </c>
      <c r="AL255" t="e">
        <f>AND('PROG FORM COMPLEM'!#REF!,"AAAAAD763yU=")</f>
        <v>#REF!</v>
      </c>
      <c r="AM255" t="e">
        <f>IF('PROG FORM COMPLEM'!#REF!,"AAAAAD763yY=",0)</f>
        <v>#REF!</v>
      </c>
      <c r="AN255" t="e">
        <f>AND('PROG FORM COMPLEM'!#REF!,"AAAAAD763yc=")</f>
        <v>#REF!</v>
      </c>
      <c r="AO255" t="e">
        <f>AND('PROG FORM COMPLEM'!#REF!,"AAAAAD763yg=")</f>
        <v>#REF!</v>
      </c>
      <c r="AP255" t="e">
        <f>AND('PROG FORM COMPLEM'!#REF!,"AAAAAD763yk=")</f>
        <v>#REF!</v>
      </c>
      <c r="AQ255" t="e">
        <f>AND('PROG FORM COMPLEM'!#REF!,"AAAAAD763yo=")</f>
        <v>#REF!</v>
      </c>
      <c r="AR255" t="e">
        <f>AND('PROG FORM COMPLEM'!#REF!,"AAAAAD763ys=")</f>
        <v>#REF!</v>
      </c>
      <c r="AS255" t="e">
        <f>AND('PROG FORM COMPLEM'!#REF!,"AAAAAD763yw=")</f>
        <v>#REF!</v>
      </c>
      <c r="AT255" t="e">
        <f>AND('PROG FORM COMPLEM'!#REF!,"AAAAAD763y0=")</f>
        <v>#REF!</v>
      </c>
      <c r="AU255" t="e">
        <f>AND('PROG FORM COMPLEM'!#REF!,"AAAAAD763y4=")</f>
        <v>#REF!</v>
      </c>
      <c r="AV255" t="e">
        <f>AND('PROG FORM COMPLEM'!#REF!,"AAAAAD763y8=")</f>
        <v>#REF!</v>
      </c>
      <c r="AW255" t="e">
        <f>AND('PROG FORM COMPLEM'!#REF!,"AAAAAD763zA=")</f>
        <v>#REF!</v>
      </c>
      <c r="AX255" t="e">
        <f>AND('PROG FORM COMPLEM'!#REF!,"AAAAAD763zE=")</f>
        <v>#REF!</v>
      </c>
      <c r="AY255" t="e">
        <f>AND('PROG FORM COMPLEM'!#REF!,"AAAAAD763zI=")</f>
        <v>#REF!</v>
      </c>
      <c r="AZ255" t="e">
        <f>AND('PROG FORM COMPLEM'!#REF!,"AAAAAD763zM=")</f>
        <v>#REF!</v>
      </c>
      <c r="BA255" t="e">
        <f>AND('PROG FORM COMPLEM'!#REF!,"AAAAAD763zQ=")</f>
        <v>#REF!</v>
      </c>
      <c r="BB255" t="e">
        <f>AND('PROG FORM COMPLEM'!#REF!,"AAAAAD763zU=")</f>
        <v>#REF!</v>
      </c>
      <c r="BC255" t="e">
        <f>AND('PROG FORM COMPLEM'!#REF!,"AAAAAD763zY=")</f>
        <v>#REF!</v>
      </c>
      <c r="BD255" t="e">
        <f>AND('PROG FORM COMPLEM'!#REF!,"AAAAAD763zc=")</f>
        <v>#REF!</v>
      </c>
      <c r="BE255" t="e">
        <f>AND('PROG FORM COMPLEM'!#REF!,"AAAAAD763zg=")</f>
        <v>#REF!</v>
      </c>
      <c r="BF255" t="e">
        <f>AND('PROG FORM COMPLEM'!#REF!,"AAAAAD763zk=")</f>
        <v>#REF!</v>
      </c>
      <c r="BG255" t="e">
        <f>AND('PROG FORM COMPLEM'!#REF!,"AAAAAD763zo=")</f>
        <v>#REF!</v>
      </c>
      <c r="BH255" t="e">
        <f>AND('PROG FORM COMPLEM'!#REF!,"AAAAAD763zs=")</f>
        <v>#REF!</v>
      </c>
      <c r="BI255" t="e">
        <f>AND('PROG FORM COMPLEM'!#REF!,"AAAAAD763zw=")</f>
        <v>#REF!</v>
      </c>
      <c r="BJ255">
        <f>IF('PROG FORM COMPLEM'!38:38,"AAAAAD763z0=",0)</f>
        <v>0</v>
      </c>
      <c r="BK255" t="e">
        <f>AND('PROG FORM COMPLEM'!B38,"AAAAAD763z4=")</f>
        <v>#VALUE!</v>
      </c>
      <c r="BL255" t="e">
        <f>AND('PROG FORM COMPLEM'!C38,"AAAAAD763z8=")</f>
        <v>#VALUE!</v>
      </c>
      <c r="BM255" t="e">
        <f>AND('PROG FORM COMPLEM'!D38,"AAAAAD7630A=")</f>
        <v>#VALUE!</v>
      </c>
      <c r="BN255" t="e">
        <f>AND('PROG FORM COMPLEM'!E38,"AAAAAD7630E=")</f>
        <v>#VALUE!</v>
      </c>
      <c r="BO255" t="e">
        <f>AND('PROG FORM COMPLEM'!F38,"AAAAAD7630I=")</f>
        <v>#VALUE!</v>
      </c>
      <c r="BP255" t="e">
        <f>AND('PROG FORM COMPLEM'!G38,"AAAAAD7630M=")</f>
        <v>#VALUE!</v>
      </c>
      <c r="BQ255" t="e">
        <f>AND('PROG FORM COMPLEM'!H38,"AAAAAD7630Q=")</f>
        <v>#VALUE!</v>
      </c>
      <c r="BR255" t="e">
        <f>AND('PROG FORM COMPLEM'!I38,"AAAAAD7630U=")</f>
        <v>#VALUE!</v>
      </c>
      <c r="BS255" t="e">
        <f>AND('PROG FORM COMPLEM'!J38,"AAAAAD7630Y=")</f>
        <v>#VALUE!</v>
      </c>
      <c r="BT255" t="e">
        <f>AND('PROG FORM COMPLEM'!K38,"AAAAAD7630c=")</f>
        <v>#VALUE!</v>
      </c>
      <c r="BU255" t="e">
        <f>AND('PROG FORM COMPLEM'!L38,"AAAAAD7630g=")</f>
        <v>#VALUE!</v>
      </c>
      <c r="BV255" t="e">
        <f>AND('PROG FORM COMPLEM'!M38,"AAAAAD7630k=")</f>
        <v>#VALUE!</v>
      </c>
      <c r="BW255" t="e">
        <f>AND('PROG FORM COMPLEM'!N38,"AAAAAD7630o=")</f>
        <v>#VALUE!</v>
      </c>
      <c r="BX255" t="e">
        <f>AND('PROG FORM COMPLEM'!O38,"AAAAAD7630s=")</f>
        <v>#VALUE!</v>
      </c>
      <c r="BY255" t="e">
        <f>AND('PROG FORM COMPLEM'!P38,"AAAAAD7630w=")</f>
        <v>#VALUE!</v>
      </c>
      <c r="BZ255" t="e">
        <f>AND('PROG FORM COMPLEM'!Q38,"AAAAAD76300=")</f>
        <v>#VALUE!</v>
      </c>
      <c r="CA255" t="e">
        <f>AND('PROG FORM COMPLEM'!R38,"AAAAAD76304=")</f>
        <v>#VALUE!</v>
      </c>
      <c r="CB255" t="e">
        <f>AND('PROG FORM COMPLEM'!S38,"AAAAAD76308=")</f>
        <v>#VALUE!</v>
      </c>
      <c r="CC255" t="e">
        <f>AND('PROG FORM COMPLEM'!T38,"AAAAAD7631A=")</f>
        <v>#VALUE!</v>
      </c>
      <c r="CD255" t="e">
        <f>AND('PROG FORM COMPLEM'!U38,"AAAAAD7631E=")</f>
        <v>#VALUE!</v>
      </c>
      <c r="CE255" t="e">
        <f>AND('PROG FORM COMPLEM'!V38,"AAAAAD7631I=")</f>
        <v>#VALUE!</v>
      </c>
      <c r="CF255" t="e">
        <f>AND('PROG FORM COMPLEM'!W38,"AAAAAD7631M=")</f>
        <v>#VALUE!</v>
      </c>
      <c r="CG255">
        <f>IF('PROG FORM COMPLEM'!39:39,"AAAAAD7631Q=",0)</f>
        <v>0</v>
      </c>
      <c r="CH255" t="e">
        <f>AND('PROG FORM COMPLEM'!B39,"AAAAAD7631U=")</f>
        <v>#VALUE!</v>
      </c>
      <c r="CI255" t="e">
        <f>AND('PROG FORM COMPLEM'!C39,"AAAAAD7631Y=")</f>
        <v>#VALUE!</v>
      </c>
      <c r="CJ255" t="e">
        <f>AND('PROG FORM COMPLEM'!D39,"AAAAAD7631c=")</f>
        <v>#VALUE!</v>
      </c>
      <c r="CK255" t="e">
        <f>AND('PROG FORM COMPLEM'!E39,"AAAAAD7631g=")</f>
        <v>#VALUE!</v>
      </c>
      <c r="CL255" t="e">
        <f>AND('PROG FORM COMPLEM'!F39,"AAAAAD7631k=")</f>
        <v>#VALUE!</v>
      </c>
      <c r="CM255" t="e">
        <f>AND('PROG FORM COMPLEM'!G39,"AAAAAD7631o=")</f>
        <v>#VALUE!</v>
      </c>
      <c r="CN255" t="e">
        <f>AND('PROG FORM COMPLEM'!H39,"AAAAAD7631s=")</f>
        <v>#VALUE!</v>
      </c>
      <c r="CO255" t="e">
        <f>AND('PROG FORM COMPLEM'!I39,"AAAAAD7631w=")</f>
        <v>#VALUE!</v>
      </c>
      <c r="CP255" t="e">
        <f>AND('PROG FORM COMPLEM'!J39,"AAAAAD76310=")</f>
        <v>#VALUE!</v>
      </c>
      <c r="CQ255" t="e">
        <f>AND('PROG FORM COMPLEM'!K39,"AAAAAD76314=")</f>
        <v>#VALUE!</v>
      </c>
      <c r="CR255" t="e">
        <f>AND('PROG FORM COMPLEM'!L39,"AAAAAD76318=")</f>
        <v>#VALUE!</v>
      </c>
      <c r="CS255" t="e">
        <f>AND('PROG FORM COMPLEM'!M39,"AAAAAD7632A=")</f>
        <v>#VALUE!</v>
      </c>
      <c r="CT255" t="e">
        <f>AND('PROG FORM COMPLEM'!N39,"AAAAAD7632E=")</f>
        <v>#VALUE!</v>
      </c>
      <c r="CU255" t="e">
        <f>AND('PROG FORM COMPLEM'!O39,"AAAAAD7632I=")</f>
        <v>#VALUE!</v>
      </c>
      <c r="CV255" t="e">
        <f>AND('PROG FORM COMPLEM'!P39,"AAAAAD7632M=")</f>
        <v>#VALUE!</v>
      </c>
      <c r="CW255" t="e">
        <f>AND('PROG FORM COMPLEM'!Q39,"AAAAAD7632Q=")</f>
        <v>#VALUE!</v>
      </c>
      <c r="CX255" t="e">
        <f>AND('PROG FORM COMPLEM'!R39,"AAAAAD7632U=")</f>
        <v>#VALUE!</v>
      </c>
      <c r="CY255" t="e">
        <f>AND('PROG FORM COMPLEM'!S39,"AAAAAD7632Y=")</f>
        <v>#VALUE!</v>
      </c>
      <c r="CZ255" t="e">
        <f>AND('PROG FORM COMPLEM'!T39,"AAAAAD7632c=")</f>
        <v>#VALUE!</v>
      </c>
      <c r="DA255" t="e">
        <f>AND('PROG FORM COMPLEM'!U39,"AAAAAD7632g=")</f>
        <v>#VALUE!</v>
      </c>
      <c r="DB255" t="e">
        <f>AND('PROG FORM COMPLEM'!V39,"AAAAAD7632k=")</f>
        <v>#VALUE!</v>
      </c>
      <c r="DC255" t="e">
        <f>AND('PROG FORM COMPLEM'!W39,"AAAAAD7632o=")</f>
        <v>#VALUE!</v>
      </c>
      <c r="DD255">
        <f>IF('PROG FORM COMPLEM'!40:40,"AAAAAD7632s=",0)</f>
        <v>0</v>
      </c>
      <c r="DE255" t="e">
        <f>AND('PROG FORM COMPLEM'!B40,"AAAAAD7632w=")</f>
        <v>#VALUE!</v>
      </c>
      <c r="DF255" t="e">
        <f>AND('PROG FORM COMPLEM'!C40,"AAAAAD76320=")</f>
        <v>#VALUE!</v>
      </c>
      <c r="DG255" t="e">
        <f>AND('PROG FORM COMPLEM'!D40,"AAAAAD76324=")</f>
        <v>#VALUE!</v>
      </c>
      <c r="DH255" t="e">
        <f>AND('PROG FORM COMPLEM'!E40,"AAAAAD76328=")</f>
        <v>#VALUE!</v>
      </c>
      <c r="DI255" t="e">
        <f>AND('PROG FORM COMPLEM'!F40,"AAAAAD7633A=")</f>
        <v>#VALUE!</v>
      </c>
      <c r="DJ255" t="e">
        <f>AND('PROG FORM COMPLEM'!G40,"AAAAAD7633E=")</f>
        <v>#VALUE!</v>
      </c>
      <c r="DK255" t="e">
        <f>AND('PROG FORM COMPLEM'!H40,"AAAAAD7633I=")</f>
        <v>#VALUE!</v>
      </c>
      <c r="DL255" t="e">
        <f>AND('PROG FORM COMPLEM'!I40,"AAAAAD7633M=")</f>
        <v>#VALUE!</v>
      </c>
      <c r="DM255" t="e">
        <f>AND('PROG FORM COMPLEM'!J40,"AAAAAD7633Q=")</f>
        <v>#VALUE!</v>
      </c>
      <c r="DN255" t="e">
        <f>AND('PROG FORM COMPLEM'!K40,"AAAAAD7633U=")</f>
        <v>#VALUE!</v>
      </c>
      <c r="DO255" t="e">
        <f>AND('PROG FORM COMPLEM'!L40,"AAAAAD7633Y=")</f>
        <v>#VALUE!</v>
      </c>
      <c r="DP255" t="e">
        <f>AND('PROG FORM COMPLEM'!M40,"AAAAAD7633c=")</f>
        <v>#VALUE!</v>
      </c>
      <c r="DQ255" t="e">
        <f>AND('PROG FORM COMPLEM'!N40,"AAAAAD7633g=")</f>
        <v>#VALUE!</v>
      </c>
      <c r="DR255" t="e">
        <f>AND('PROG FORM COMPLEM'!O40,"AAAAAD7633k=")</f>
        <v>#VALUE!</v>
      </c>
      <c r="DS255" t="e">
        <f>AND('PROG FORM COMPLEM'!P40,"AAAAAD7633o=")</f>
        <v>#VALUE!</v>
      </c>
      <c r="DT255" t="e">
        <f>AND('PROG FORM COMPLEM'!Q40,"AAAAAD7633s=")</f>
        <v>#VALUE!</v>
      </c>
      <c r="DU255" t="e">
        <f>AND('PROG FORM COMPLEM'!R40,"AAAAAD7633w=")</f>
        <v>#VALUE!</v>
      </c>
      <c r="DV255" t="e">
        <f>AND('PROG FORM COMPLEM'!S40,"AAAAAD76330=")</f>
        <v>#VALUE!</v>
      </c>
      <c r="DW255" t="e">
        <f>AND('PROG FORM COMPLEM'!T40,"AAAAAD76334=")</f>
        <v>#VALUE!</v>
      </c>
      <c r="DX255" t="e">
        <f>AND('PROG FORM COMPLEM'!U40,"AAAAAD76338=")</f>
        <v>#VALUE!</v>
      </c>
      <c r="DY255" t="e">
        <f>AND('PROG FORM COMPLEM'!V40,"AAAAAD7634A=")</f>
        <v>#VALUE!</v>
      </c>
      <c r="DZ255" t="e">
        <f>AND('PROG FORM COMPLEM'!W40,"AAAAAD7634E=")</f>
        <v>#VALUE!</v>
      </c>
      <c r="EA255" t="e">
        <f>IF('PROG FORM COMPLEM'!#REF!,"AAAAAD7634I=",0)</f>
        <v>#REF!</v>
      </c>
      <c r="EB255" t="e">
        <f>AND('PROG FORM COMPLEM'!#REF!,"AAAAAD7634M=")</f>
        <v>#REF!</v>
      </c>
      <c r="EC255" t="e">
        <f>AND('PROG FORM COMPLEM'!#REF!,"AAAAAD7634Q=")</f>
        <v>#REF!</v>
      </c>
      <c r="ED255" t="e">
        <f>AND('PROG FORM COMPLEM'!#REF!,"AAAAAD7634U=")</f>
        <v>#REF!</v>
      </c>
      <c r="EE255" t="e">
        <f>AND('PROG FORM COMPLEM'!#REF!,"AAAAAD7634Y=")</f>
        <v>#REF!</v>
      </c>
      <c r="EF255" t="e">
        <f>AND('PROG FORM COMPLEM'!#REF!,"AAAAAD7634c=")</f>
        <v>#REF!</v>
      </c>
      <c r="EG255" t="e">
        <f>AND('PROG FORM COMPLEM'!#REF!,"AAAAAD7634g=")</f>
        <v>#REF!</v>
      </c>
      <c r="EH255" t="e">
        <f>AND('PROG FORM COMPLEM'!#REF!,"AAAAAD7634k=")</f>
        <v>#REF!</v>
      </c>
      <c r="EI255" t="e">
        <f>AND('PROG FORM COMPLEM'!#REF!,"AAAAAD7634o=")</f>
        <v>#REF!</v>
      </c>
      <c r="EJ255" t="e">
        <f>AND('PROG FORM COMPLEM'!#REF!,"AAAAAD7634s=")</f>
        <v>#REF!</v>
      </c>
      <c r="EK255" t="e">
        <f>AND('PROG FORM COMPLEM'!#REF!,"AAAAAD7634w=")</f>
        <v>#REF!</v>
      </c>
      <c r="EL255" t="e">
        <f>AND('PROG FORM COMPLEM'!#REF!,"AAAAAD76340=")</f>
        <v>#REF!</v>
      </c>
      <c r="EM255" t="e">
        <f>AND('PROG FORM COMPLEM'!#REF!,"AAAAAD76344=")</f>
        <v>#REF!</v>
      </c>
      <c r="EN255" t="e">
        <f>AND('PROG FORM COMPLEM'!#REF!,"AAAAAD76348=")</f>
        <v>#REF!</v>
      </c>
      <c r="EO255" t="e">
        <f>AND('PROG FORM COMPLEM'!#REF!,"AAAAAD7635A=")</f>
        <v>#REF!</v>
      </c>
      <c r="EP255" t="e">
        <f>AND('PROG FORM COMPLEM'!#REF!,"AAAAAD7635E=")</f>
        <v>#REF!</v>
      </c>
      <c r="EQ255" t="e">
        <f>AND('PROG FORM COMPLEM'!#REF!,"AAAAAD7635I=")</f>
        <v>#REF!</v>
      </c>
      <c r="ER255" t="e">
        <f>AND('PROG FORM COMPLEM'!#REF!,"AAAAAD7635M=")</f>
        <v>#REF!</v>
      </c>
      <c r="ES255" t="e">
        <f>AND('PROG FORM COMPLEM'!#REF!,"AAAAAD7635Q=")</f>
        <v>#REF!</v>
      </c>
      <c r="ET255" t="e">
        <f>AND('PROG FORM COMPLEM'!#REF!,"AAAAAD7635U=")</f>
        <v>#REF!</v>
      </c>
      <c r="EU255" t="e">
        <f>AND('PROG FORM COMPLEM'!#REF!,"AAAAAD7635Y=")</f>
        <v>#REF!</v>
      </c>
      <c r="EV255" t="e">
        <f>AND('PROG FORM COMPLEM'!#REF!,"AAAAAD7635c=")</f>
        <v>#REF!</v>
      </c>
      <c r="EW255" t="e">
        <f>AND('PROG FORM COMPLEM'!#REF!,"AAAAAD7635g=")</f>
        <v>#REF!</v>
      </c>
      <c r="EX255" t="e">
        <f>IF('PROG FORM COMPLEM'!#REF!,"AAAAAD7635k=",0)</f>
        <v>#REF!</v>
      </c>
      <c r="EY255" t="e">
        <f>AND('PROG FORM COMPLEM'!#REF!,"AAAAAD7635o=")</f>
        <v>#REF!</v>
      </c>
      <c r="EZ255" t="e">
        <f>AND('PROG FORM COMPLEM'!#REF!,"AAAAAD7635s=")</f>
        <v>#REF!</v>
      </c>
      <c r="FA255" t="e">
        <f>AND('PROG FORM COMPLEM'!#REF!,"AAAAAD7635w=")</f>
        <v>#REF!</v>
      </c>
      <c r="FB255" t="e">
        <f>AND('PROG FORM COMPLEM'!#REF!,"AAAAAD76350=")</f>
        <v>#REF!</v>
      </c>
      <c r="FC255" t="e">
        <f>AND('PROG FORM COMPLEM'!#REF!,"AAAAAD76354=")</f>
        <v>#REF!</v>
      </c>
      <c r="FD255" t="e">
        <f>AND('PROG FORM COMPLEM'!#REF!,"AAAAAD76358=")</f>
        <v>#REF!</v>
      </c>
      <c r="FE255" t="e">
        <f>AND('PROG FORM COMPLEM'!#REF!,"AAAAAD7636A=")</f>
        <v>#REF!</v>
      </c>
      <c r="FF255" t="e">
        <f>AND('PROG FORM COMPLEM'!#REF!,"AAAAAD7636E=")</f>
        <v>#REF!</v>
      </c>
      <c r="FG255" t="e">
        <f>AND('PROG FORM COMPLEM'!#REF!,"AAAAAD7636I=")</f>
        <v>#REF!</v>
      </c>
      <c r="FH255" t="e">
        <f>AND('PROG FORM COMPLEM'!#REF!,"AAAAAD7636M=")</f>
        <v>#REF!</v>
      </c>
      <c r="FI255" t="e">
        <f>AND('PROG FORM COMPLEM'!#REF!,"AAAAAD7636Q=")</f>
        <v>#REF!</v>
      </c>
      <c r="FJ255" t="e">
        <f>AND('PROG FORM COMPLEM'!#REF!,"AAAAAD7636U=")</f>
        <v>#REF!</v>
      </c>
      <c r="FK255" t="e">
        <f>AND('PROG FORM COMPLEM'!#REF!,"AAAAAD7636Y=")</f>
        <v>#REF!</v>
      </c>
      <c r="FL255" t="e">
        <f>AND('PROG FORM COMPLEM'!#REF!,"AAAAAD7636c=")</f>
        <v>#REF!</v>
      </c>
      <c r="FM255" t="e">
        <f>AND('PROG FORM COMPLEM'!#REF!,"AAAAAD7636g=")</f>
        <v>#REF!</v>
      </c>
      <c r="FN255" t="e">
        <f>AND('PROG FORM COMPLEM'!#REF!,"AAAAAD7636k=")</f>
        <v>#REF!</v>
      </c>
      <c r="FO255" t="e">
        <f>AND('PROG FORM COMPLEM'!#REF!,"AAAAAD7636o=")</f>
        <v>#REF!</v>
      </c>
      <c r="FP255" t="e">
        <f>AND('PROG FORM COMPLEM'!#REF!,"AAAAAD7636s=")</f>
        <v>#REF!</v>
      </c>
      <c r="FQ255" t="e">
        <f>AND('PROG FORM COMPLEM'!#REF!,"AAAAAD7636w=")</f>
        <v>#REF!</v>
      </c>
      <c r="FR255" t="e">
        <f>AND('PROG FORM COMPLEM'!#REF!,"AAAAAD76360=")</f>
        <v>#REF!</v>
      </c>
      <c r="FS255" t="e">
        <f>AND('PROG FORM COMPLEM'!#REF!,"AAAAAD76364=")</f>
        <v>#REF!</v>
      </c>
      <c r="FT255" t="e">
        <f>AND('PROG FORM COMPLEM'!#REF!,"AAAAAD76368=")</f>
        <v>#REF!</v>
      </c>
      <c r="FU255">
        <f>IF('PROG FORM COMPLEM'!41:41,"AAAAAD7637A=",0)</f>
        <v>0</v>
      </c>
      <c r="FV255" t="e">
        <f>AND('PROG FORM COMPLEM'!B41,"AAAAAD7637E=")</f>
        <v>#VALUE!</v>
      </c>
      <c r="FW255" t="e">
        <f>AND('PROG FORM COMPLEM'!C41,"AAAAAD7637I=")</f>
        <v>#VALUE!</v>
      </c>
      <c r="FX255" t="e">
        <f>AND('PROG FORM COMPLEM'!D41,"AAAAAD7637M=")</f>
        <v>#VALUE!</v>
      </c>
      <c r="FY255" t="e">
        <f>AND('PROG FORM COMPLEM'!E41,"AAAAAD7637Q=")</f>
        <v>#VALUE!</v>
      </c>
      <c r="FZ255" t="e">
        <f>AND('PROG FORM COMPLEM'!F41,"AAAAAD7637U=")</f>
        <v>#VALUE!</v>
      </c>
      <c r="GA255" t="e">
        <f>AND('PROG FORM COMPLEM'!G41,"AAAAAD7637Y=")</f>
        <v>#VALUE!</v>
      </c>
      <c r="GB255" t="e">
        <f>AND('PROG FORM COMPLEM'!H41,"AAAAAD7637c=")</f>
        <v>#VALUE!</v>
      </c>
      <c r="GC255" t="e">
        <f>AND('PROG FORM COMPLEM'!I41,"AAAAAD7637g=")</f>
        <v>#VALUE!</v>
      </c>
      <c r="GD255" t="e">
        <f>AND('PROG FORM COMPLEM'!J41,"AAAAAD7637k=")</f>
        <v>#VALUE!</v>
      </c>
      <c r="GE255" t="e">
        <f>AND('PROG FORM COMPLEM'!K41,"AAAAAD7637o=")</f>
        <v>#VALUE!</v>
      </c>
      <c r="GF255" t="e">
        <f>AND('PROG FORM COMPLEM'!L41,"AAAAAD7637s=")</f>
        <v>#VALUE!</v>
      </c>
      <c r="GG255" t="e">
        <f>AND('PROG FORM COMPLEM'!M41,"AAAAAD7637w=")</f>
        <v>#VALUE!</v>
      </c>
      <c r="GH255" t="e">
        <f>AND('PROG FORM COMPLEM'!N41,"AAAAAD76370=")</f>
        <v>#VALUE!</v>
      </c>
      <c r="GI255" t="e">
        <f>AND('PROG FORM COMPLEM'!O41,"AAAAAD76374=")</f>
        <v>#VALUE!</v>
      </c>
      <c r="GJ255" t="e">
        <f>AND('PROG FORM COMPLEM'!P41,"AAAAAD76378=")</f>
        <v>#VALUE!</v>
      </c>
      <c r="GK255" t="e">
        <f>AND('PROG FORM COMPLEM'!Q41,"AAAAAD7638A=")</f>
        <v>#VALUE!</v>
      </c>
      <c r="GL255" t="e">
        <f>AND('PROG FORM COMPLEM'!R41,"AAAAAD7638E=")</f>
        <v>#VALUE!</v>
      </c>
      <c r="GM255" t="e">
        <f>AND('PROG FORM COMPLEM'!S41,"AAAAAD7638I=")</f>
        <v>#VALUE!</v>
      </c>
      <c r="GN255" t="e">
        <f>AND('PROG FORM COMPLEM'!T41,"AAAAAD7638M=")</f>
        <v>#VALUE!</v>
      </c>
      <c r="GO255" t="e">
        <f>AND('PROG FORM COMPLEM'!U41,"AAAAAD7638Q=")</f>
        <v>#VALUE!</v>
      </c>
      <c r="GP255" t="e">
        <f>AND('PROG FORM COMPLEM'!V41,"AAAAAD7638U=")</f>
        <v>#VALUE!</v>
      </c>
      <c r="GQ255" t="e">
        <f>AND('PROG FORM COMPLEM'!W41,"AAAAAD7638Y=")</f>
        <v>#VALUE!</v>
      </c>
      <c r="GR255">
        <f>IF('PROG FORM COMPLEM'!42:42,"AAAAAD7638c=",0)</f>
        <v>0</v>
      </c>
      <c r="GS255" t="e">
        <f>AND('PROG FORM COMPLEM'!B42,"AAAAAD7638g=")</f>
        <v>#VALUE!</v>
      </c>
      <c r="GT255" t="e">
        <f>AND('PROG FORM COMPLEM'!C42,"AAAAAD7638k=")</f>
        <v>#VALUE!</v>
      </c>
      <c r="GU255" t="e">
        <f>AND('PROG FORM COMPLEM'!D42,"AAAAAD7638o=")</f>
        <v>#VALUE!</v>
      </c>
      <c r="GV255" t="e">
        <f>AND('PROG FORM COMPLEM'!E42,"AAAAAD7638s=")</f>
        <v>#VALUE!</v>
      </c>
      <c r="GW255" t="e">
        <f>AND('PROG FORM COMPLEM'!F42,"AAAAAD7638w=")</f>
        <v>#VALUE!</v>
      </c>
      <c r="GX255" t="e">
        <f>AND('PROG FORM COMPLEM'!G42,"AAAAAD76380=")</f>
        <v>#VALUE!</v>
      </c>
      <c r="GY255" t="e">
        <f>AND('PROG FORM COMPLEM'!H42,"AAAAAD76384=")</f>
        <v>#VALUE!</v>
      </c>
      <c r="GZ255" t="e">
        <f>AND('PROG FORM COMPLEM'!I42,"AAAAAD76388=")</f>
        <v>#VALUE!</v>
      </c>
      <c r="HA255" t="e">
        <f>AND('PROG FORM COMPLEM'!J42,"AAAAAD7639A=")</f>
        <v>#VALUE!</v>
      </c>
      <c r="HB255" t="e">
        <f>AND('PROG FORM COMPLEM'!K42,"AAAAAD7639E=")</f>
        <v>#VALUE!</v>
      </c>
      <c r="HC255" t="e">
        <f>AND('PROG FORM COMPLEM'!L42,"AAAAAD7639I=")</f>
        <v>#VALUE!</v>
      </c>
      <c r="HD255" t="e">
        <f>AND('PROG FORM COMPLEM'!M42,"AAAAAD7639M=")</f>
        <v>#VALUE!</v>
      </c>
      <c r="HE255" t="e">
        <f>AND('PROG FORM COMPLEM'!N42,"AAAAAD7639Q=")</f>
        <v>#VALUE!</v>
      </c>
      <c r="HF255" t="e">
        <f>AND('PROG FORM COMPLEM'!O42,"AAAAAD7639U=")</f>
        <v>#VALUE!</v>
      </c>
      <c r="HG255" t="e">
        <f>AND('PROG FORM COMPLEM'!P42,"AAAAAD7639Y=")</f>
        <v>#VALUE!</v>
      </c>
      <c r="HH255" t="e">
        <f>AND('PROG FORM COMPLEM'!Q42,"AAAAAD7639c=")</f>
        <v>#VALUE!</v>
      </c>
      <c r="HI255" t="e">
        <f>AND('PROG FORM COMPLEM'!R42,"AAAAAD7639g=")</f>
        <v>#VALUE!</v>
      </c>
      <c r="HJ255" t="e">
        <f>AND('PROG FORM COMPLEM'!S42,"AAAAAD7639k=")</f>
        <v>#VALUE!</v>
      </c>
      <c r="HK255" t="e">
        <f>AND('PROG FORM COMPLEM'!T42,"AAAAAD7639o=")</f>
        <v>#VALUE!</v>
      </c>
      <c r="HL255" t="e">
        <f>AND('PROG FORM COMPLEM'!U42,"AAAAAD7639s=")</f>
        <v>#VALUE!</v>
      </c>
      <c r="HM255" t="e">
        <f>AND('PROG FORM COMPLEM'!V42,"AAAAAD7639w=")</f>
        <v>#VALUE!</v>
      </c>
      <c r="HN255" t="e">
        <f>AND('PROG FORM COMPLEM'!W42,"AAAAAD76390=")</f>
        <v>#VALUE!</v>
      </c>
      <c r="HO255">
        <f>IF('PROG FORM COMPLEM'!43:43,"AAAAAD76394=",0)</f>
        <v>0</v>
      </c>
      <c r="HP255" t="e">
        <f>AND('PROG FORM COMPLEM'!B43,"AAAAAD76398=")</f>
        <v>#VALUE!</v>
      </c>
      <c r="HQ255" t="e">
        <f>AND('PROG FORM COMPLEM'!C43,"AAAAAD763+A=")</f>
        <v>#VALUE!</v>
      </c>
      <c r="HR255" t="e">
        <f>AND('PROG FORM COMPLEM'!D43,"AAAAAD763+E=")</f>
        <v>#VALUE!</v>
      </c>
      <c r="HS255" t="e">
        <f>AND('PROG FORM COMPLEM'!E43,"AAAAAD763+I=")</f>
        <v>#VALUE!</v>
      </c>
      <c r="HT255" t="e">
        <f>AND('PROG FORM COMPLEM'!F43,"AAAAAD763+M=")</f>
        <v>#VALUE!</v>
      </c>
      <c r="HU255" t="e">
        <f>AND('PROG FORM COMPLEM'!G43,"AAAAAD763+Q=")</f>
        <v>#VALUE!</v>
      </c>
      <c r="HV255" t="e">
        <f>AND('PROG FORM COMPLEM'!H43,"AAAAAD763+U=")</f>
        <v>#VALUE!</v>
      </c>
      <c r="HW255" t="e">
        <f>AND('PROG FORM COMPLEM'!I43,"AAAAAD763+Y=")</f>
        <v>#VALUE!</v>
      </c>
      <c r="HX255" t="e">
        <f>AND('PROG FORM COMPLEM'!J43,"AAAAAD763+c=")</f>
        <v>#VALUE!</v>
      </c>
      <c r="HY255" t="e">
        <f>AND('PROG FORM COMPLEM'!K43,"AAAAAD763+g=")</f>
        <v>#VALUE!</v>
      </c>
      <c r="HZ255" t="e">
        <f>AND('PROG FORM COMPLEM'!L43,"AAAAAD763+k=")</f>
        <v>#VALUE!</v>
      </c>
      <c r="IA255" t="e">
        <f>AND('PROG FORM COMPLEM'!M43,"AAAAAD763+o=")</f>
        <v>#VALUE!</v>
      </c>
      <c r="IB255" t="e">
        <f>AND('PROG FORM COMPLEM'!N43,"AAAAAD763+s=")</f>
        <v>#VALUE!</v>
      </c>
      <c r="IC255" t="e">
        <f>AND('PROG FORM COMPLEM'!O43,"AAAAAD763+w=")</f>
        <v>#VALUE!</v>
      </c>
      <c r="ID255" t="e">
        <f>AND('PROG FORM COMPLEM'!P43,"AAAAAD763+0=")</f>
        <v>#VALUE!</v>
      </c>
      <c r="IE255" t="e">
        <f>AND('PROG FORM COMPLEM'!Q43,"AAAAAD763+4=")</f>
        <v>#VALUE!</v>
      </c>
      <c r="IF255" t="e">
        <f>AND('PROG FORM COMPLEM'!R43,"AAAAAD763+8=")</f>
        <v>#VALUE!</v>
      </c>
      <c r="IG255" t="e">
        <f>AND('PROG FORM COMPLEM'!S43,"AAAAAD763/A=")</f>
        <v>#VALUE!</v>
      </c>
      <c r="IH255" t="e">
        <f>AND('PROG FORM COMPLEM'!T43,"AAAAAD763/E=")</f>
        <v>#VALUE!</v>
      </c>
      <c r="II255" t="e">
        <f>AND('PROG FORM COMPLEM'!U43,"AAAAAD763/I=")</f>
        <v>#VALUE!</v>
      </c>
      <c r="IJ255" t="e">
        <f>AND('PROG FORM COMPLEM'!V43,"AAAAAD763/M=")</f>
        <v>#VALUE!</v>
      </c>
      <c r="IK255" t="e">
        <f>AND('PROG FORM COMPLEM'!W43,"AAAAAD763/Q=")</f>
        <v>#VALUE!</v>
      </c>
      <c r="IL255">
        <f>IF('PROG FORM COMPLEM'!44:44,"AAAAAD763/U=",0)</f>
        <v>0</v>
      </c>
      <c r="IM255" t="e">
        <f>AND('PROG FORM COMPLEM'!B44,"AAAAAD763/Y=")</f>
        <v>#VALUE!</v>
      </c>
      <c r="IN255" t="e">
        <f>AND('PROG FORM COMPLEM'!C44,"AAAAAD763/c=")</f>
        <v>#VALUE!</v>
      </c>
      <c r="IO255" t="e">
        <f>AND('PROG FORM COMPLEM'!D44,"AAAAAD763/g=")</f>
        <v>#VALUE!</v>
      </c>
      <c r="IP255" t="e">
        <f>AND('PROG FORM COMPLEM'!E44,"AAAAAD763/k=")</f>
        <v>#VALUE!</v>
      </c>
      <c r="IQ255" t="e">
        <f>AND('PROG FORM COMPLEM'!F44,"AAAAAD763/o=")</f>
        <v>#VALUE!</v>
      </c>
      <c r="IR255" t="e">
        <f>AND('PROG FORM COMPLEM'!G44,"AAAAAD763/s=")</f>
        <v>#VALUE!</v>
      </c>
      <c r="IS255" t="e">
        <f>AND('PROG FORM COMPLEM'!H44,"AAAAAD763/w=")</f>
        <v>#VALUE!</v>
      </c>
      <c r="IT255" t="e">
        <f>AND('PROG FORM COMPLEM'!I44,"AAAAAD763/0=")</f>
        <v>#VALUE!</v>
      </c>
      <c r="IU255" t="e">
        <f>AND('PROG FORM COMPLEM'!J44,"AAAAAD763/4=")</f>
        <v>#VALUE!</v>
      </c>
      <c r="IV255" t="e">
        <f>AND('PROG FORM COMPLEM'!K44,"AAAAAD763/8=")</f>
        <v>#VALUE!</v>
      </c>
    </row>
    <row r="256" spans="1:256" x14ac:dyDescent="0.2">
      <c r="A256" t="e">
        <f>AND('PROG FORM COMPLEM'!L44,"AAAAAH/v9gA=")</f>
        <v>#VALUE!</v>
      </c>
      <c r="B256" t="e">
        <f>AND('PROG FORM COMPLEM'!M44,"AAAAAH/v9gE=")</f>
        <v>#VALUE!</v>
      </c>
      <c r="C256" t="e">
        <f>AND('PROG FORM COMPLEM'!N44,"AAAAAH/v9gI=")</f>
        <v>#VALUE!</v>
      </c>
      <c r="D256" t="e">
        <f>AND('PROG FORM COMPLEM'!O44,"AAAAAH/v9gM=")</f>
        <v>#VALUE!</v>
      </c>
      <c r="E256" t="e">
        <f>AND('PROG FORM COMPLEM'!P44,"AAAAAH/v9gQ=")</f>
        <v>#VALUE!</v>
      </c>
      <c r="F256" t="e">
        <f>AND('PROG FORM COMPLEM'!Q44,"AAAAAH/v9gU=")</f>
        <v>#VALUE!</v>
      </c>
      <c r="G256" t="e">
        <f>AND('PROG FORM COMPLEM'!R44,"AAAAAH/v9gY=")</f>
        <v>#VALUE!</v>
      </c>
      <c r="H256" t="e">
        <f>AND('PROG FORM COMPLEM'!S44,"AAAAAH/v9gc=")</f>
        <v>#VALUE!</v>
      </c>
      <c r="I256" t="e">
        <f>AND('PROG FORM COMPLEM'!T44,"AAAAAH/v9gg=")</f>
        <v>#VALUE!</v>
      </c>
      <c r="J256" t="e">
        <f>AND('PROG FORM COMPLEM'!U44,"AAAAAH/v9gk=")</f>
        <v>#VALUE!</v>
      </c>
      <c r="K256" t="e">
        <f>AND('PROG FORM COMPLEM'!V44,"AAAAAH/v9go=")</f>
        <v>#VALUE!</v>
      </c>
      <c r="L256" t="e">
        <f>AND('PROG FORM COMPLEM'!W44,"AAAAAH/v9gs=")</f>
        <v>#VALUE!</v>
      </c>
      <c r="M256" t="e">
        <f>IF('PROG FORM COMPLEM'!#REF!,"AAAAAH/v9gw=",0)</f>
        <v>#REF!</v>
      </c>
      <c r="N256" t="e">
        <f>AND('PROG FORM COMPLEM'!#REF!,"AAAAAH/v9g0=")</f>
        <v>#REF!</v>
      </c>
      <c r="O256" t="e">
        <f>AND('PROG FORM COMPLEM'!#REF!,"AAAAAH/v9g4=")</f>
        <v>#REF!</v>
      </c>
      <c r="P256" t="e">
        <f>AND('PROG FORM COMPLEM'!#REF!,"AAAAAH/v9g8=")</f>
        <v>#REF!</v>
      </c>
      <c r="Q256" t="e">
        <f>AND('PROG FORM COMPLEM'!#REF!,"AAAAAH/v9hA=")</f>
        <v>#REF!</v>
      </c>
      <c r="R256" t="e">
        <f>AND('PROG FORM COMPLEM'!#REF!,"AAAAAH/v9hE=")</f>
        <v>#REF!</v>
      </c>
      <c r="S256" t="e">
        <f>AND('PROG FORM COMPLEM'!#REF!,"AAAAAH/v9hI=")</f>
        <v>#REF!</v>
      </c>
      <c r="T256" t="e">
        <f>AND('PROG FORM COMPLEM'!#REF!,"AAAAAH/v9hM=")</f>
        <v>#REF!</v>
      </c>
      <c r="U256" t="e">
        <f>AND('PROG FORM COMPLEM'!#REF!,"AAAAAH/v9hQ=")</f>
        <v>#REF!</v>
      </c>
      <c r="V256" t="e">
        <f>AND('PROG FORM COMPLEM'!#REF!,"AAAAAH/v9hU=")</f>
        <v>#REF!</v>
      </c>
      <c r="W256" t="e">
        <f>AND('PROG FORM COMPLEM'!#REF!,"AAAAAH/v9hY=")</f>
        <v>#REF!</v>
      </c>
      <c r="X256" t="e">
        <f>AND('PROG FORM COMPLEM'!#REF!,"AAAAAH/v9hc=")</f>
        <v>#REF!</v>
      </c>
      <c r="Y256" t="e">
        <f>AND('PROG FORM COMPLEM'!#REF!,"AAAAAH/v9hg=")</f>
        <v>#REF!</v>
      </c>
      <c r="Z256" t="e">
        <f>AND('PROG FORM COMPLEM'!#REF!,"AAAAAH/v9hk=")</f>
        <v>#REF!</v>
      </c>
      <c r="AA256" t="e">
        <f>AND('PROG FORM COMPLEM'!#REF!,"AAAAAH/v9ho=")</f>
        <v>#REF!</v>
      </c>
      <c r="AB256" t="e">
        <f>AND('PROG FORM COMPLEM'!#REF!,"AAAAAH/v9hs=")</f>
        <v>#REF!</v>
      </c>
      <c r="AC256" t="e">
        <f>AND('PROG FORM COMPLEM'!#REF!,"AAAAAH/v9hw=")</f>
        <v>#REF!</v>
      </c>
      <c r="AD256" t="e">
        <f>AND('PROG FORM COMPLEM'!#REF!,"AAAAAH/v9h0=")</f>
        <v>#REF!</v>
      </c>
      <c r="AE256" t="e">
        <f>AND('PROG FORM COMPLEM'!#REF!,"AAAAAH/v9h4=")</f>
        <v>#REF!</v>
      </c>
      <c r="AF256" t="e">
        <f>AND('PROG FORM COMPLEM'!#REF!,"AAAAAH/v9h8=")</f>
        <v>#REF!</v>
      </c>
      <c r="AG256" t="e">
        <f>AND('PROG FORM COMPLEM'!#REF!,"AAAAAH/v9iA=")</f>
        <v>#REF!</v>
      </c>
      <c r="AH256" t="e">
        <f>AND('PROG FORM COMPLEM'!#REF!,"AAAAAH/v9iE=")</f>
        <v>#REF!</v>
      </c>
      <c r="AI256" t="e">
        <f>AND('PROG FORM COMPLEM'!#REF!,"AAAAAH/v9iI=")</f>
        <v>#REF!</v>
      </c>
      <c r="AJ256">
        <f>IF('PROG FORM COMPLEM'!47:47,"AAAAAH/v9iM=",0)</f>
        <v>0</v>
      </c>
      <c r="AK256" t="e">
        <f>AND('PROG FORM COMPLEM'!B47,"AAAAAH/v9iQ=")</f>
        <v>#VALUE!</v>
      </c>
      <c r="AL256" t="e">
        <f>AND('PROG FORM COMPLEM'!C47,"AAAAAH/v9iU=")</f>
        <v>#VALUE!</v>
      </c>
      <c r="AM256" t="e">
        <f>AND('PROG FORM COMPLEM'!D47,"AAAAAH/v9iY=")</f>
        <v>#VALUE!</v>
      </c>
      <c r="AN256" t="e">
        <f>AND('PROG FORM COMPLEM'!E47,"AAAAAH/v9ic=")</f>
        <v>#VALUE!</v>
      </c>
      <c r="AO256" t="e">
        <f>AND('PROG FORM COMPLEM'!F47,"AAAAAH/v9ig=")</f>
        <v>#VALUE!</v>
      </c>
      <c r="AP256" t="e">
        <f>AND('PROG FORM COMPLEM'!G47,"AAAAAH/v9ik=")</f>
        <v>#VALUE!</v>
      </c>
      <c r="AQ256" t="e">
        <f>AND('PROG FORM COMPLEM'!H47,"AAAAAH/v9io=")</f>
        <v>#VALUE!</v>
      </c>
      <c r="AR256" t="e">
        <f>AND('PROG FORM COMPLEM'!I47,"AAAAAH/v9is=")</f>
        <v>#VALUE!</v>
      </c>
      <c r="AS256" t="e">
        <f>AND('PROG FORM COMPLEM'!J47,"AAAAAH/v9iw=")</f>
        <v>#VALUE!</v>
      </c>
      <c r="AT256" t="e">
        <f>AND('PROG FORM COMPLEM'!K47,"AAAAAH/v9i0=")</f>
        <v>#VALUE!</v>
      </c>
      <c r="AU256" t="e">
        <f>AND('PROG FORM COMPLEM'!L47,"AAAAAH/v9i4=")</f>
        <v>#VALUE!</v>
      </c>
      <c r="AV256" t="e">
        <f>AND('PROG FORM COMPLEM'!M47,"AAAAAH/v9i8=")</f>
        <v>#VALUE!</v>
      </c>
      <c r="AW256" t="e">
        <f>AND('PROG FORM COMPLEM'!N47,"AAAAAH/v9jA=")</f>
        <v>#VALUE!</v>
      </c>
      <c r="AX256" t="e">
        <f>AND('PROG FORM COMPLEM'!O47,"AAAAAH/v9jE=")</f>
        <v>#VALUE!</v>
      </c>
      <c r="AY256" t="e">
        <f>AND('PROG FORM COMPLEM'!P47,"AAAAAH/v9jI=")</f>
        <v>#VALUE!</v>
      </c>
      <c r="AZ256" t="e">
        <f>AND('PROG FORM COMPLEM'!Q47,"AAAAAH/v9jM=")</f>
        <v>#VALUE!</v>
      </c>
      <c r="BA256" t="e">
        <f>AND('PROG FORM COMPLEM'!R47,"AAAAAH/v9jQ=")</f>
        <v>#VALUE!</v>
      </c>
      <c r="BB256" t="e">
        <f>AND('PROG FORM COMPLEM'!S47,"AAAAAH/v9jU=")</f>
        <v>#VALUE!</v>
      </c>
      <c r="BC256" t="e">
        <f>AND('PROG FORM COMPLEM'!T47,"AAAAAH/v9jY=")</f>
        <v>#VALUE!</v>
      </c>
      <c r="BD256" t="e">
        <f>AND('PROG FORM COMPLEM'!U47,"AAAAAH/v9jc=")</f>
        <v>#VALUE!</v>
      </c>
      <c r="BE256" t="e">
        <f>AND('PROG FORM COMPLEM'!V47,"AAAAAH/v9jg=")</f>
        <v>#VALUE!</v>
      </c>
      <c r="BF256" t="e">
        <f>AND('PROG FORM COMPLEM'!W47,"AAAAAH/v9jk=")</f>
        <v>#VALUE!</v>
      </c>
      <c r="BG256">
        <f>IF('PROG FORM COMPLEM'!48:48,"AAAAAH/v9jo=",0)</f>
        <v>0</v>
      </c>
      <c r="BH256" t="e">
        <f>AND('PROG FORM COMPLEM'!B48,"AAAAAH/v9js=")</f>
        <v>#VALUE!</v>
      </c>
      <c r="BI256" t="e">
        <f>AND('PROG FORM COMPLEM'!C48,"AAAAAH/v9jw=")</f>
        <v>#VALUE!</v>
      </c>
      <c r="BJ256" t="e">
        <f>AND('PROG FORM COMPLEM'!D48,"AAAAAH/v9j0=")</f>
        <v>#VALUE!</v>
      </c>
      <c r="BK256" t="e">
        <f>AND('PROG FORM COMPLEM'!E48,"AAAAAH/v9j4=")</f>
        <v>#VALUE!</v>
      </c>
      <c r="BL256" t="e">
        <f>AND('PROG FORM COMPLEM'!F48,"AAAAAH/v9j8=")</f>
        <v>#VALUE!</v>
      </c>
      <c r="BM256" t="e">
        <f>AND('PROG FORM COMPLEM'!G48,"AAAAAH/v9kA=")</f>
        <v>#VALUE!</v>
      </c>
      <c r="BN256" t="e">
        <f>AND('PROG FORM COMPLEM'!H48,"AAAAAH/v9kE=")</f>
        <v>#VALUE!</v>
      </c>
      <c r="BO256" t="e">
        <f>AND('PROG FORM COMPLEM'!I48,"AAAAAH/v9kI=")</f>
        <v>#VALUE!</v>
      </c>
      <c r="BP256" t="e">
        <f>AND('PROG FORM COMPLEM'!J48,"AAAAAH/v9kM=")</f>
        <v>#VALUE!</v>
      </c>
      <c r="BQ256" t="e">
        <f>AND('PROG FORM COMPLEM'!K48,"AAAAAH/v9kQ=")</f>
        <v>#VALUE!</v>
      </c>
      <c r="BR256" t="e">
        <f>AND('PROG FORM COMPLEM'!L48,"AAAAAH/v9kU=")</f>
        <v>#VALUE!</v>
      </c>
      <c r="BS256" t="e">
        <f>AND('PROG FORM COMPLEM'!M48,"AAAAAH/v9kY=")</f>
        <v>#VALUE!</v>
      </c>
      <c r="BT256" t="e">
        <f>AND('PROG FORM COMPLEM'!N48,"AAAAAH/v9kc=")</f>
        <v>#VALUE!</v>
      </c>
      <c r="BU256" t="e">
        <f>AND('PROG FORM COMPLEM'!O48,"AAAAAH/v9kg=")</f>
        <v>#VALUE!</v>
      </c>
      <c r="BV256" t="e">
        <f>AND('PROG FORM COMPLEM'!P48,"AAAAAH/v9kk=")</f>
        <v>#VALUE!</v>
      </c>
      <c r="BW256" t="e">
        <f>AND('PROG FORM COMPLEM'!Q48,"AAAAAH/v9ko=")</f>
        <v>#VALUE!</v>
      </c>
      <c r="BX256" t="e">
        <f>AND('PROG FORM COMPLEM'!R48,"AAAAAH/v9ks=")</f>
        <v>#VALUE!</v>
      </c>
      <c r="BY256" t="e">
        <f>AND('PROG FORM COMPLEM'!S48,"AAAAAH/v9kw=")</f>
        <v>#VALUE!</v>
      </c>
      <c r="BZ256" t="e">
        <f>AND('PROG FORM COMPLEM'!T48,"AAAAAH/v9k0=")</f>
        <v>#VALUE!</v>
      </c>
      <c r="CA256" t="e">
        <f>AND('PROG FORM COMPLEM'!U48,"AAAAAH/v9k4=")</f>
        <v>#VALUE!</v>
      </c>
      <c r="CB256" t="e">
        <f>AND('PROG FORM COMPLEM'!V48,"AAAAAH/v9k8=")</f>
        <v>#VALUE!</v>
      </c>
      <c r="CC256" t="e">
        <f>AND('PROG FORM COMPLEM'!W48,"AAAAAH/v9lA=")</f>
        <v>#VALUE!</v>
      </c>
      <c r="CD256" t="e">
        <f>IF('PROG FORM COMPLEM'!#REF!,"AAAAAH/v9lE=",0)</f>
        <v>#REF!</v>
      </c>
      <c r="CE256" t="e">
        <f>AND('PROG FORM COMPLEM'!#REF!,"AAAAAH/v9lI=")</f>
        <v>#REF!</v>
      </c>
      <c r="CF256" t="e">
        <f>AND('PROG FORM COMPLEM'!#REF!,"AAAAAH/v9lM=")</f>
        <v>#REF!</v>
      </c>
      <c r="CG256" t="e">
        <f>AND('PROG FORM COMPLEM'!#REF!,"AAAAAH/v9lQ=")</f>
        <v>#REF!</v>
      </c>
      <c r="CH256" t="e">
        <f>AND('PROG FORM COMPLEM'!#REF!,"AAAAAH/v9lU=")</f>
        <v>#REF!</v>
      </c>
      <c r="CI256" t="e">
        <f>AND('PROG FORM COMPLEM'!#REF!,"AAAAAH/v9lY=")</f>
        <v>#REF!</v>
      </c>
      <c r="CJ256" t="e">
        <f>AND('PROG FORM COMPLEM'!#REF!,"AAAAAH/v9lc=")</f>
        <v>#REF!</v>
      </c>
      <c r="CK256" t="e">
        <f>AND('PROG FORM COMPLEM'!#REF!,"AAAAAH/v9lg=")</f>
        <v>#REF!</v>
      </c>
      <c r="CL256" t="e">
        <f>AND('PROG FORM COMPLEM'!#REF!,"AAAAAH/v9lk=")</f>
        <v>#REF!</v>
      </c>
      <c r="CM256" t="e">
        <f>AND('PROG FORM COMPLEM'!#REF!,"AAAAAH/v9lo=")</f>
        <v>#REF!</v>
      </c>
      <c r="CN256" t="e">
        <f>AND('PROG FORM COMPLEM'!#REF!,"AAAAAH/v9ls=")</f>
        <v>#REF!</v>
      </c>
      <c r="CO256" t="e">
        <f>AND('PROG FORM COMPLEM'!#REF!,"AAAAAH/v9lw=")</f>
        <v>#REF!</v>
      </c>
      <c r="CP256" t="e">
        <f>AND('PROG FORM COMPLEM'!#REF!,"AAAAAH/v9l0=")</f>
        <v>#REF!</v>
      </c>
      <c r="CQ256" t="e">
        <f>AND('PROG FORM COMPLEM'!#REF!,"AAAAAH/v9l4=")</f>
        <v>#REF!</v>
      </c>
      <c r="CR256" t="e">
        <f>AND('PROG FORM COMPLEM'!#REF!,"AAAAAH/v9l8=")</f>
        <v>#REF!</v>
      </c>
      <c r="CS256" t="e">
        <f>AND('PROG FORM COMPLEM'!#REF!,"AAAAAH/v9mA=")</f>
        <v>#REF!</v>
      </c>
      <c r="CT256" t="e">
        <f>AND('PROG FORM COMPLEM'!#REF!,"AAAAAH/v9mE=")</f>
        <v>#REF!</v>
      </c>
      <c r="CU256" t="e">
        <f>AND('PROG FORM COMPLEM'!#REF!,"AAAAAH/v9mI=")</f>
        <v>#REF!</v>
      </c>
      <c r="CV256" t="e">
        <f>AND('PROG FORM COMPLEM'!#REF!,"AAAAAH/v9mM=")</f>
        <v>#REF!</v>
      </c>
      <c r="CW256" t="e">
        <f>AND('PROG FORM COMPLEM'!#REF!,"AAAAAH/v9mQ=")</f>
        <v>#REF!</v>
      </c>
      <c r="CX256" t="e">
        <f>AND('PROG FORM COMPLEM'!#REF!,"AAAAAH/v9mU=")</f>
        <v>#REF!</v>
      </c>
      <c r="CY256" t="e">
        <f>AND('PROG FORM COMPLEM'!#REF!,"AAAAAH/v9mY=")</f>
        <v>#REF!</v>
      </c>
      <c r="CZ256" t="e">
        <f>AND('PROG FORM COMPLEM'!#REF!,"AAAAAH/v9mc=")</f>
        <v>#REF!</v>
      </c>
      <c r="DA256">
        <f>IF('PROG FORM COMPLEM'!49:49,"AAAAAH/v9mg=",0)</f>
        <v>0</v>
      </c>
      <c r="DB256" t="e">
        <f>AND('PROG FORM COMPLEM'!B49,"AAAAAH/v9mk=")</f>
        <v>#VALUE!</v>
      </c>
      <c r="DC256" t="e">
        <f>AND('PROG FORM COMPLEM'!C49,"AAAAAH/v9mo=")</f>
        <v>#VALUE!</v>
      </c>
      <c r="DD256" t="e">
        <f>AND('PROG FORM COMPLEM'!D49,"AAAAAH/v9ms=")</f>
        <v>#VALUE!</v>
      </c>
      <c r="DE256" t="e">
        <f>AND('PROG FORM COMPLEM'!E49,"AAAAAH/v9mw=")</f>
        <v>#VALUE!</v>
      </c>
      <c r="DF256" t="e">
        <f>AND('PROG FORM COMPLEM'!F49,"AAAAAH/v9m0=")</f>
        <v>#VALUE!</v>
      </c>
      <c r="DG256" t="e">
        <f>AND('PROG FORM COMPLEM'!G49,"AAAAAH/v9m4=")</f>
        <v>#VALUE!</v>
      </c>
      <c r="DH256" t="e">
        <f>AND('PROG FORM COMPLEM'!H49,"AAAAAH/v9m8=")</f>
        <v>#VALUE!</v>
      </c>
      <c r="DI256" t="e">
        <f>AND('PROG FORM COMPLEM'!I49,"AAAAAH/v9nA=")</f>
        <v>#VALUE!</v>
      </c>
      <c r="DJ256" t="e">
        <f>AND('PROG FORM COMPLEM'!J49,"AAAAAH/v9nE=")</f>
        <v>#VALUE!</v>
      </c>
      <c r="DK256" t="e">
        <f>AND('PROG FORM COMPLEM'!K49,"AAAAAH/v9nI=")</f>
        <v>#VALUE!</v>
      </c>
      <c r="DL256" t="e">
        <f>AND('PROG FORM COMPLEM'!L49,"AAAAAH/v9nM=")</f>
        <v>#VALUE!</v>
      </c>
      <c r="DM256" t="e">
        <f>AND('PROG FORM COMPLEM'!M49,"AAAAAH/v9nQ=")</f>
        <v>#VALUE!</v>
      </c>
      <c r="DN256" t="e">
        <f>AND('PROG FORM COMPLEM'!N49,"AAAAAH/v9nU=")</f>
        <v>#VALUE!</v>
      </c>
      <c r="DO256" t="e">
        <f>AND('PROG FORM COMPLEM'!O49,"AAAAAH/v9nY=")</f>
        <v>#VALUE!</v>
      </c>
      <c r="DP256" t="e">
        <f>AND('PROG FORM COMPLEM'!P49,"AAAAAH/v9nc=")</f>
        <v>#VALUE!</v>
      </c>
      <c r="DQ256" t="e">
        <f>AND('PROG FORM COMPLEM'!Q49,"AAAAAH/v9ng=")</f>
        <v>#VALUE!</v>
      </c>
      <c r="DR256" t="e">
        <f>AND('PROG FORM COMPLEM'!R49,"AAAAAH/v9nk=")</f>
        <v>#VALUE!</v>
      </c>
      <c r="DS256" t="e">
        <f>AND('PROG FORM COMPLEM'!S49,"AAAAAH/v9no=")</f>
        <v>#VALUE!</v>
      </c>
      <c r="DT256" t="e">
        <f>AND('PROG FORM COMPLEM'!T49,"AAAAAH/v9ns=")</f>
        <v>#VALUE!</v>
      </c>
      <c r="DU256" t="e">
        <f>AND('PROG FORM COMPLEM'!U49,"AAAAAH/v9nw=")</f>
        <v>#VALUE!</v>
      </c>
      <c r="DV256" t="e">
        <f>AND('PROG FORM COMPLEM'!V49,"AAAAAH/v9n0=")</f>
        <v>#VALUE!</v>
      </c>
      <c r="DW256" t="e">
        <f>AND('PROG FORM COMPLEM'!W49,"AAAAAH/v9n4=")</f>
        <v>#VALUE!</v>
      </c>
      <c r="DX256" t="e">
        <f>IF('PROG FORM COMPLEM'!#REF!,"AAAAAH/v9n8=",0)</f>
        <v>#REF!</v>
      </c>
      <c r="DY256" t="e">
        <f>AND('PROG FORM COMPLEM'!#REF!,"AAAAAH/v9oA=")</f>
        <v>#REF!</v>
      </c>
      <c r="DZ256" t="e">
        <f>AND('PROG FORM COMPLEM'!#REF!,"AAAAAH/v9oE=")</f>
        <v>#REF!</v>
      </c>
      <c r="EA256" t="e">
        <f>AND('PROG FORM COMPLEM'!#REF!,"AAAAAH/v9oI=")</f>
        <v>#REF!</v>
      </c>
      <c r="EB256" t="e">
        <f>AND('PROG FORM COMPLEM'!#REF!,"AAAAAH/v9oM=")</f>
        <v>#REF!</v>
      </c>
      <c r="EC256" t="e">
        <f>AND('PROG FORM COMPLEM'!#REF!,"AAAAAH/v9oQ=")</f>
        <v>#REF!</v>
      </c>
      <c r="ED256" t="e">
        <f>AND('PROG FORM COMPLEM'!#REF!,"AAAAAH/v9oU=")</f>
        <v>#REF!</v>
      </c>
      <c r="EE256" t="e">
        <f>AND('PROG FORM COMPLEM'!#REF!,"AAAAAH/v9oY=")</f>
        <v>#REF!</v>
      </c>
      <c r="EF256" t="e">
        <f>AND('PROG FORM COMPLEM'!#REF!,"AAAAAH/v9oc=")</f>
        <v>#REF!</v>
      </c>
      <c r="EG256" t="e">
        <f>AND('PROG FORM COMPLEM'!#REF!,"AAAAAH/v9og=")</f>
        <v>#REF!</v>
      </c>
      <c r="EH256" t="e">
        <f>AND('PROG FORM COMPLEM'!#REF!,"AAAAAH/v9ok=")</f>
        <v>#REF!</v>
      </c>
      <c r="EI256" t="e">
        <f>AND('PROG FORM COMPLEM'!#REF!,"AAAAAH/v9oo=")</f>
        <v>#REF!</v>
      </c>
      <c r="EJ256" t="e">
        <f>AND('PROG FORM COMPLEM'!#REF!,"AAAAAH/v9os=")</f>
        <v>#REF!</v>
      </c>
      <c r="EK256" t="e">
        <f>AND('PROG FORM COMPLEM'!#REF!,"AAAAAH/v9ow=")</f>
        <v>#REF!</v>
      </c>
      <c r="EL256" t="e">
        <f>AND('PROG FORM COMPLEM'!#REF!,"AAAAAH/v9o0=")</f>
        <v>#REF!</v>
      </c>
      <c r="EM256" t="e">
        <f>AND('PROG FORM COMPLEM'!#REF!,"AAAAAH/v9o4=")</f>
        <v>#REF!</v>
      </c>
      <c r="EN256" t="e">
        <f>AND('PROG FORM COMPLEM'!#REF!,"AAAAAH/v9o8=")</f>
        <v>#REF!</v>
      </c>
      <c r="EO256" t="e">
        <f>AND('PROG FORM COMPLEM'!#REF!,"AAAAAH/v9pA=")</f>
        <v>#REF!</v>
      </c>
      <c r="EP256" t="e">
        <f>AND('PROG FORM COMPLEM'!#REF!,"AAAAAH/v9pE=")</f>
        <v>#REF!</v>
      </c>
      <c r="EQ256" t="e">
        <f>AND('PROG FORM COMPLEM'!#REF!,"AAAAAH/v9pI=")</f>
        <v>#REF!</v>
      </c>
      <c r="ER256" t="e">
        <f>AND('PROG FORM COMPLEM'!#REF!,"AAAAAH/v9pM=")</f>
        <v>#REF!</v>
      </c>
      <c r="ES256" t="e">
        <f>AND('PROG FORM COMPLEM'!#REF!,"AAAAAH/v9pQ=")</f>
        <v>#REF!</v>
      </c>
      <c r="ET256" t="e">
        <f>AND('PROG FORM COMPLEM'!#REF!,"AAAAAH/v9pU=")</f>
        <v>#REF!</v>
      </c>
      <c r="EU256" t="e">
        <f>IF('PROG FORM COMPLEM'!#REF!,"AAAAAH/v9pY=",0)</f>
        <v>#REF!</v>
      </c>
      <c r="EV256" t="e">
        <f>AND('PROG FORM COMPLEM'!#REF!,"AAAAAH/v9pc=")</f>
        <v>#REF!</v>
      </c>
      <c r="EW256" t="e">
        <f>AND('PROG FORM COMPLEM'!#REF!,"AAAAAH/v9pg=")</f>
        <v>#REF!</v>
      </c>
      <c r="EX256" t="e">
        <f>AND('PROG FORM COMPLEM'!#REF!,"AAAAAH/v9pk=")</f>
        <v>#REF!</v>
      </c>
      <c r="EY256" t="e">
        <f>AND('PROG FORM COMPLEM'!#REF!,"AAAAAH/v9po=")</f>
        <v>#REF!</v>
      </c>
      <c r="EZ256" t="e">
        <f>AND('PROG FORM COMPLEM'!#REF!,"AAAAAH/v9ps=")</f>
        <v>#REF!</v>
      </c>
      <c r="FA256" t="e">
        <f>AND('PROG FORM COMPLEM'!#REF!,"AAAAAH/v9pw=")</f>
        <v>#REF!</v>
      </c>
      <c r="FB256" t="e">
        <f>AND('PROG FORM COMPLEM'!#REF!,"AAAAAH/v9p0=")</f>
        <v>#REF!</v>
      </c>
      <c r="FC256" t="e">
        <f>AND('PROG FORM COMPLEM'!#REF!,"AAAAAH/v9p4=")</f>
        <v>#REF!</v>
      </c>
      <c r="FD256" t="e">
        <f>AND('PROG FORM COMPLEM'!#REF!,"AAAAAH/v9p8=")</f>
        <v>#REF!</v>
      </c>
      <c r="FE256" t="e">
        <f>AND('PROG FORM COMPLEM'!#REF!,"AAAAAH/v9qA=")</f>
        <v>#REF!</v>
      </c>
      <c r="FF256" t="e">
        <f>AND('PROG FORM COMPLEM'!#REF!,"AAAAAH/v9qE=")</f>
        <v>#REF!</v>
      </c>
      <c r="FG256" t="e">
        <f>AND('PROG FORM COMPLEM'!#REF!,"AAAAAH/v9qI=")</f>
        <v>#REF!</v>
      </c>
      <c r="FH256" t="e">
        <f>AND('PROG FORM COMPLEM'!#REF!,"AAAAAH/v9qM=")</f>
        <v>#REF!</v>
      </c>
      <c r="FI256" t="e">
        <f>AND('PROG FORM COMPLEM'!#REF!,"AAAAAH/v9qQ=")</f>
        <v>#REF!</v>
      </c>
      <c r="FJ256" t="e">
        <f>AND('PROG FORM COMPLEM'!#REF!,"AAAAAH/v9qU=")</f>
        <v>#REF!</v>
      </c>
      <c r="FK256" t="e">
        <f>AND('PROG FORM COMPLEM'!#REF!,"AAAAAH/v9qY=")</f>
        <v>#REF!</v>
      </c>
      <c r="FL256" t="e">
        <f>AND('PROG FORM COMPLEM'!#REF!,"AAAAAH/v9qc=")</f>
        <v>#REF!</v>
      </c>
      <c r="FM256" t="e">
        <f>AND('PROG FORM COMPLEM'!#REF!,"AAAAAH/v9qg=")</f>
        <v>#REF!</v>
      </c>
      <c r="FN256" t="e">
        <f>AND('PROG FORM COMPLEM'!#REF!,"AAAAAH/v9qk=")</f>
        <v>#REF!</v>
      </c>
      <c r="FO256" t="e">
        <f>AND('PROG FORM COMPLEM'!#REF!,"AAAAAH/v9qo=")</f>
        <v>#REF!</v>
      </c>
      <c r="FP256" t="e">
        <f>AND('PROG FORM COMPLEM'!#REF!,"AAAAAH/v9qs=")</f>
        <v>#REF!</v>
      </c>
      <c r="FQ256" t="e">
        <f>AND('PROG FORM COMPLEM'!#REF!,"AAAAAH/v9qw=")</f>
        <v>#REF!</v>
      </c>
      <c r="FR256" t="e">
        <f>IF('PROG FORM COMPLEM'!#REF!,"AAAAAH/v9q0=",0)</f>
        <v>#REF!</v>
      </c>
      <c r="FS256" t="e">
        <f>AND('PROG FORM COMPLEM'!#REF!,"AAAAAH/v9q4=")</f>
        <v>#REF!</v>
      </c>
      <c r="FT256" t="e">
        <f>AND('PROG FORM COMPLEM'!#REF!,"AAAAAH/v9q8=")</f>
        <v>#REF!</v>
      </c>
      <c r="FU256" t="e">
        <f>AND('PROG FORM COMPLEM'!#REF!,"AAAAAH/v9rA=")</f>
        <v>#REF!</v>
      </c>
      <c r="FV256" t="e">
        <f>AND('PROG FORM COMPLEM'!#REF!,"AAAAAH/v9rE=")</f>
        <v>#REF!</v>
      </c>
      <c r="FW256" t="e">
        <f>AND('PROG FORM COMPLEM'!#REF!,"AAAAAH/v9rI=")</f>
        <v>#REF!</v>
      </c>
      <c r="FX256" t="e">
        <f>AND('PROG FORM COMPLEM'!#REF!,"AAAAAH/v9rM=")</f>
        <v>#REF!</v>
      </c>
      <c r="FY256" t="e">
        <f>AND('PROG FORM COMPLEM'!#REF!,"AAAAAH/v9rQ=")</f>
        <v>#REF!</v>
      </c>
      <c r="FZ256" t="e">
        <f>AND('PROG FORM COMPLEM'!#REF!,"AAAAAH/v9rU=")</f>
        <v>#REF!</v>
      </c>
      <c r="GA256" t="e">
        <f>AND('PROG FORM COMPLEM'!#REF!,"AAAAAH/v9rY=")</f>
        <v>#REF!</v>
      </c>
      <c r="GB256" t="e">
        <f>AND('PROG FORM COMPLEM'!#REF!,"AAAAAH/v9rc=")</f>
        <v>#REF!</v>
      </c>
      <c r="GC256" t="e">
        <f>AND('PROG FORM COMPLEM'!#REF!,"AAAAAH/v9rg=")</f>
        <v>#REF!</v>
      </c>
      <c r="GD256" t="e">
        <f>AND('PROG FORM COMPLEM'!#REF!,"AAAAAH/v9rk=")</f>
        <v>#REF!</v>
      </c>
      <c r="GE256" t="e">
        <f>AND('PROG FORM COMPLEM'!#REF!,"AAAAAH/v9ro=")</f>
        <v>#REF!</v>
      </c>
      <c r="GF256" t="e">
        <f>AND('PROG FORM COMPLEM'!#REF!,"AAAAAH/v9rs=")</f>
        <v>#REF!</v>
      </c>
      <c r="GG256" t="e">
        <f>AND('PROG FORM COMPLEM'!#REF!,"AAAAAH/v9rw=")</f>
        <v>#REF!</v>
      </c>
      <c r="GH256" t="e">
        <f>AND('PROG FORM COMPLEM'!#REF!,"AAAAAH/v9r0=")</f>
        <v>#REF!</v>
      </c>
      <c r="GI256" t="e">
        <f>AND('PROG FORM COMPLEM'!#REF!,"AAAAAH/v9r4=")</f>
        <v>#REF!</v>
      </c>
      <c r="GJ256" t="e">
        <f>AND('PROG FORM COMPLEM'!#REF!,"AAAAAH/v9r8=")</f>
        <v>#REF!</v>
      </c>
      <c r="GK256" t="e">
        <f>AND('PROG FORM COMPLEM'!#REF!,"AAAAAH/v9sA=")</f>
        <v>#REF!</v>
      </c>
      <c r="GL256" t="e">
        <f>AND('PROG FORM COMPLEM'!#REF!,"AAAAAH/v9sE=")</f>
        <v>#REF!</v>
      </c>
      <c r="GM256" t="e">
        <f>AND('PROG FORM COMPLEM'!#REF!,"AAAAAH/v9sI=")</f>
        <v>#REF!</v>
      </c>
      <c r="GN256" t="e">
        <f>AND('PROG FORM COMPLEM'!#REF!,"AAAAAH/v9sM=")</f>
        <v>#REF!</v>
      </c>
      <c r="GO256" t="e">
        <f>IF('PROG FORM COMPLEM'!#REF!,"AAAAAH/v9sQ=",0)</f>
        <v>#REF!</v>
      </c>
      <c r="GP256" t="e">
        <f>AND('PROG FORM COMPLEM'!#REF!,"AAAAAH/v9sU=")</f>
        <v>#REF!</v>
      </c>
      <c r="GQ256" t="e">
        <f>AND('PROG FORM COMPLEM'!#REF!,"AAAAAH/v9sY=")</f>
        <v>#REF!</v>
      </c>
      <c r="GR256" t="e">
        <f>AND('PROG FORM COMPLEM'!#REF!,"AAAAAH/v9sc=")</f>
        <v>#REF!</v>
      </c>
      <c r="GS256" t="e">
        <f>AND('PROG FORM COMPLEM'!#REF!,"AAAAAH/v9sg=")</f>
        <v>#REF!</v>
      </c>
      <c r="GT256" t="e">
        <f>AND('PROG FORM COMPLEM'!#REF!,"AAAAAH/v9sk=")</f>
        <v>#REF!</v>
      </c>
      <c r="GU256" t="e">
        <f>AND('PROG FORM COMPLEM'!#REF!,"AAAAAH/v9so=")</f>
        <v>#REF!</v>
      </c>
      <c r="GV256" t="e">
        <f>AND('PROG FORM COMPLEM'!#REF!,"AAAAAH/v9ss=")</f>
        <v>#REF!</v>
      </c>
      <c r="GW256" t="e">
        <f>AND('PROG FORM COMPLEM'!#REF!,"AAAAAH/v9sw=")</f>
        <v>#REF!</v>
      </c>
      <c r="GX256" t="e">
        <f>AND('PROG FORM COMPLEM'!#REF!,"AAAAAH/v9s0=")</f>
        <v>#REF!</v>
      </c>
      <c r="GY256" t="e">
        <f>AND('PROG FORM COMPLEM'!#REF!,"AAAAAH/v9s4=")</f>
        <v>#REF!</v>
      </c>
      <c r="GZ256" t="e">
        <f>AND('PROG FORM COMPLEM'!#REF!,"AAAAAH/v9s8=")</f>
        <v>#REF!</v>
      </c>
      <c r="HA256" t="e">
        <f>AND('PROG FORM COMPLEM'!#REF!,"AAAAAH/v9tA=")</f>
        <v>#REF!</v>
      </c>
      <c r="HB256" t="e">
        <f>AND('PROG FORM COMPLEM'!#REF!,"AAAAAH/v9tE=")</f>
        <v>#REF!</v>
      </c>
      <c r="HC256" t="e">
        <f>AND('PROG FORM COMPLEM'!#REF!,"AAAAAH/v9tI=")</f>
        <v>#REF!</v>
      </c>
      <c r="HD256" t="e">
        <f>AND('PROG FORM COMPLEM'!#REF!,"AAAAAH/v9tM=")</f>
        <v>#REF!</v>
      </c>
      <c r="HE256" t="e">
        <f>AND('PROG FORM COMPLEM'!#REF!,"AAAAAH/v9tQ=")</f>
        <v>#REF!</v>
      </c>
      <c r="HF256" t="e">
        <f>AND('PROG FORM COMPLEM'!#REF!,"AAAAAH/v9tU=")</f>
        <v>#REF!</v>
      </c>
      <c r="HG256" t="e">
        <f>AND('PROG FORM COMPLEM'!#REF!,"AAAAAH/v9tY=")</f>
        <v>#REF!</v>
      </c>
      <c r="HH256" t="e">
        <f>AND('PROG FORM COMPLEM'!#REF!,"AAAAAH/v9tc=")</f>
        <v>#REF!</v>
      </c>
      <c r="HI256" t="e">
        <f>AND('PROG FORM COMPLEM'!#REF!,"AAAAAH/v9tg=")</f>
        <v>#REF!</v>
      </c>
      <c r="HJ256" t="e">
        <f>AND('PROG FORM COMPLEM'!#REF!,"AAAAAH/v9tk=")</f>
        <v>#REF!</v>
      </c>
      <c r="HK256" t="e">
        <f>AND('PROG FORM COMPLEM'!#REF!,"AAAAAH/v9to=")</f>
        <v>#REF!</v>
      </c>
      <c r="HL256" t="e">
        <f>IF('PROG FORM COMPLEM'!#REF!,"AAAAAH/v9ts=",0)</f>
        <v>#REF!</v>
      </c>
      <c r="HM256" t="e">
        <f>AND('PROG FORM COMPLEM'!#REF!,"AAAAAH/v9tw=")</f>
        <v>#REF!</v>
      </c>
      <c r="HN256" t="e">
        <f>AND('PROG FORM COMPLEM'!#REF!,"AAAAAH/v9t0=")</f>
        <v>#REF!</v>
      </c>
      <c r="HO256" t="e">
        <f>AND('PROG FORM COMPLEM'!#REF!,"AAAAAH/v9t4=")</f>
        <v>#REF!</v>
      </c>
      <c r="HP256" t="e">
        <f>AND('PROG FORM COMPLEM'!#REF!,"AAAAAH/v9t8=")</f>
        <v>#REF!</v>
      </c>
      <c r="HQ256" t="e">
        <f>AND('PROG FORM COMPLEM'!#REF!,"AAAAAH/v9uA=")</f>
        <v>#REF!</v>
      </c>
      <c r="HR256" t="e">
        <f>AND('PROG FORM COMPLEM'!#REF!,"AAAAAH/v9uE=")</f>
        <v>#REF!</v>
      </c>
      <c r="HS256" t="e">
        <f>AND('PROG FORM COMPLEM'!#REF!,"AAAAAH/v9uI=")</f>
        <v>#REF!</v>
      </c>
      <c r="HT256" t="e">
        <f>AND('PROG FORM COMPLEM'!#REF!,"AAAAAH/v9uM=")</f>
        <v>#REF!</v>
      </c>
      <c r="HU256" t="e">
        <f>AND('PROG FORM COMPLEM'!#REF!,"AAAAAH/v9uQ=")</f>
        <v>#REF!</v>
      </c>
      <c r="HV256" t="e">
        <f>AND('PROG FORM COMPLEM'!#REF!,"AAAAAH/v9uU=")</f>
        <v>#REF!</v>
      </c>
      <c r="HW256" t="e">
        <f>AND('PROG FORM COMPLEM'!#REF!,"AAAAAH/v9uY=")</f>
        <v>#REF!</v>
      </c>
      <c r="HX256" t="e">
        <f>AND('PROG FORM COMPLEM'!#REF!,"AAAAAH/v9uc=")</f>
        <v>#REF!</v>
      </c>
      <c r="HY256" t="e">
        <f>AND('PROG FORM COMPLEM'!#REF!,"AAAAAH/v9ug=")</f>
        <v>#REF!</v>
      </c>
      <c r="HZ256" t="e">
        <f>AND('PROG FORM COMPLEM'!#REF!,"AAAAAH/v9uk=")</f>
        <v>#REF!</v>
      </c>
      <c r="IA256" t="e">
        <f>AND('PROG FORM COMPLEM'!#REF!,"AAAAAH/v9uo=")</f>
        <v>#REF!</v>
      </c>
      <c r="IB256" t="e">
        <f>AND('PROG FORM COMPLEM'!#REF!,"AAAAAH/v9us=")</f>
        <v>#REF!</v>
      </c>
      <c r="IC256" t="e">
        <f>AND('PROG FORM COMPLEM'!#REF!,"AAAAAH/v9uw=")</f>
        <v>#REF!</v>
      </c>
      <c r="ID256" t="e">
        <f>AND('PROG FORM COMPLEM'!#REF!,"AAAAAH/v9u0=")</f>
        <v>#REF!</v>
      </c>
      <c r="IE256" t="e">
        <f>AND('PROG FORM COMPLEM'!#REF!,"AAAAAH/v9u4=")</f>
        <v>#REF!</v>
      </c>
      <c r="IF256" t="e">
        <f>AND('PROG FORM COMPLEM'!#REF!,"AAAAAH/v9u8=")</f>
        <v>#REF!</v>
      </c>
      <c r="IG256" t="e">
        <f>AND('PROG FORM COMPLEM'!#REF!,"AAAAAH/v9vA=")</f>
        <v>#REF!</v>
      </c>
      <c r="IH256" t="e">
        <f>AND('PROG FORM COMPLEM'!#REF!,"AAAAAH/v9vE=")</f>
        <v>#REF!</v>
      </c>
      <c r="II256">
        <f>IF('PROG FORM COMPLEM'!50:50,"AAAAAH/v9vI=",0)</f>
        <v>0</v>
      </c>
      <c r="IJ256" t="e">
        <f>AND('PROG FORM COMPLEM'!B50,"AAAAAH/v9vM=")</f>
        <v>#VALUE!</v>
      </c>
      <c r="IK256" t="e">
        <f>AND('PROG FORM COMPLEM'!C50,"AAAAAH/v9vQ=")</f>
        <v>#VALUE!</v>
      </c>
      <c r="IL256" t="e">
        <f>AND('PROG FORM COMPLEM'!D50,"AAAAAH/v9vU=")</f>
        <v>#VALUE!</v>
      </c>
      <c r="IM256" t="e">
        <f>AND('PROG FORM COMPLEM'!E50,"AAAAAH/v9vY=")</f>
        <v>#VALUE!</v>
      </c>
      <c r="IN256" t="e">
        <f>AND('PROG FORM COMPLEM'!F50,"AAAAAH/v9vc=")</f>
        <v>#VALUE!</v>
      </c>
      <c r="IO256" t="e">
        <f>AND('PROG FORM COMPLEM'!G50,"AAAAAH/v9vg=")</f>
        <v>#VALUE!</v>
      </c>
      <c r="IP256" t="e">
        <f>AND('PROG FORM COMPLEM'!H50,"AAAAAH/v9vk=")</f>
        <v>#VALUE!</v>
      </c>
      <c r="IQ256" t="e">
        <f>AND('PROG FORM COMPLEM'!I50,"AAAAAH/v9vo=")</f>
        <v>#VALUE!</v>
      </c>
      <c r="IR256" t="e">
        <f>AND('PROG FORM COMPLEM'!J50,"AAAAAH/v9vs=")</f>
        <v>#VALUE!</v>
      </c>
      <c r="IS256" t="e">
        <f>AND('PROG FORM COMPLEM'!K50,"AAAAAH/v9vw=")</f>
        <v>#VALUE!</v>
      </c>
      <c r="IT256" t="e">
        <f>AND('PROG FORM COMPLEM'!L50,"AAAAAH/v9v0=")</f>
        <v>#VALUE!</v>
      </c>
      <c r="IU256" t="e">
        <f>AND('PROG FORM COMPLEM'!M50,"AAAAAH/v9v4=")</f>
        <v>#VALUE!</v>
      </c>
      <c r="IV256" t="e">
        <f>AND('PROG FORM COMPLEM'!N50,"AAAAAH/v9v8=")</f>
        <v>#VALUE!</v>
      </c>
    </row>
    <row r="257" spans="1:256" x14ac:dyDescent="0.2">
      <c r="A257" t="e">
        <f>AND('PROG FORM COMPLEM'!O50,"AAAAAGLzbwA=")</f>
        <v>#VALUE!</v>
      </c>
      <c r="B257" t="e">
        <f>AND('PROG FORM COMPLEM'!P50,"AAAAAGLzbwE=")</f>
        <v>#VALUE!</v>
      </c>
      <c r="C257" t="e">
        <f>AND('PROG FORM COMPLEM'!Q50,"AAAAAGLzbwI=")</f>
        <v>#VALUE!</v>
      </c>
      <c r="D257" t="e">
        <f>AND('PROG FORM COMPLEM'!R50,"AAAAAGLzbwM=")</f>
        <v>#VALUE!</v>
      </c>
      <c r="E257" t="e">
        <f>AND('PROG FORM COMPLEM'!S50,"AAAAAGLzbwQ=")</f>
        <v>#VALUE!</v>
      </c>
      <c r="F257" t="e">
        <f>AND('PROG FORM COMPLEM'!T50,"AAAAAGLzbwU=")</f>
        <v>#VALUE!</v>
      </c>
      <c r="G257" t="e">
        <f>AND('PROG FORM COMPLEM'!U50,"AAAAAGLzbwY=")</f>
        <v>#VALUE!</v>
      </c>
      <c r="H257" t="e">
        <f>AND('PROG FORM COMPLEM'!V50,"AAAAAGLzbwc=")</f>
        <v>#VALUE!</v>
      </c>
      <c r="I257" t="e">
        <f>AND('PROG FORM COMPLEM'!W50,"AAAAAGLzbwg=")</f>
        <v>#VALUE!</v>
      </c>
      <c r="J257" t="str">
        <f>IF('PROG FORM COMPLEM'!51:51,"AAAAAGLzbwk=",0)</f>
        <v>AAAAAGLzbwk=</v>
      </c>
      <c r="K257" t="e">
        <f>AND('PROG FORM COMPLEM'!B51,"AAAAAGLzbwo=")</f>
        <v>#VALUE!</v>
      </c>
      <c r="L257" t="e">
        <f>AND('PROG FORM COMPLEM'!C51,"AAAAAGLzbws=")</f>
        <v>#VALUE!</v>
      </c>
      <c r="M257" t="e">
        <f>AND('PROG FORM COMPLEM'!D51,"AAAAAGLzbww=")</f>
        <v>#VALUE!</v>
      </c>
      <c r="N257" t="e">
        <f>AND('PROG FORM COMPLEM'!E51,"AAAAAGLzbw0=")</f>
        <v>#VALUE!</v>
      </c>
      <c r="O257" t="e">
        <f>AND('PROG FORM COMPLEM'!F51,"AAAAAGLzbw4=")</f>
        <v>#VALUE!</v>
      </c>
      <c r="P257" t="e">
        <f>AND('PROG FORM COMPLEM'!G51,"AAAAAGLzbw8=")</f>
        <v>#VALUE!</v>
      </c>
      <c r="Q257" t="e">
        <f>AND('PROG FORM COMPLEM'!H51,"AAAAAGLzbxA=")</f>
        <v>#VALUE!</v>
      </c>
      <c r="R257" t="e">
        <f>AND('PROG FORM COMPLEM'!I51,"AAAAAGLzbxE=")</f>
        <v>#VALUE!</v>
      </c>
      <c r="S257" t="e">
        <f>AND('PROG FORM COMPLEM'!J51,"AAAAAGLzbxI=")</f>
        <v>#VALUE!</v>
      </c>
      <c r="T257" t="e">
        <f>AND('PROG FORM COMPLEM'!K51,"AAAAAGLzbxM=")</f>
        <v>#VALUE!</v>
      </c>
      <c r="U257" t="e">
        <f>AND('PROG FORM COMPLEM'!L51,"AAAAAGLzbxQ=")</f>
        <v>#VALUE!</v>
      </c>
      <c r="V257" t="e">
        <f>AND('PROG FORM COMPLEM'!M51,"AAAAAGLzbxU=")</f>
        <v>#VALUE!</v>
      </c>
      <c r="W257" t="e">
        <f>AND('PROG FORM COMPLEM'!N51,"AAAAAGLzbxY=")</f>
        <v>#VALUE!</v>
      </c>
      <c r="X257" t="e">
        <f>AND('PROG FORM COMPLEM'!O51,"AAAAAGLzbxc=")</f>
        <v>#VALUE!</v>
      </c>
      <c r="Y257" t="e">
        <f>AND('PROG FORM COMPLEM'!P51,"AAAAAGLzbxg=")</f>
        <v>#VALUE!</v>
      </c>
      <c r="Z257" t="e">
        <f>AND('PROG FORM COMPLEM'!Q51,"AAAAAGLzbxk=")</f>
        <v>#VALUE!</v>
      </c>
      <c r="AA257" t="e">
        <f>AND('PROG FORM COMPLEM'!R51,"AAAAAGLzbxo=")</f>
        <v>#VALUE!</v>
      </c>
      <c r="AB257" t="e">
        <f>AND('PROG FORM COMPLEM'!S51,"AAAAAGLzbxs=")</f>
        <v>#VALUE!</v>
      </c>
      <c r="AC257" t="e">
        <f>AND('PROG FORM COMPLEM'!T51,"AAAAAGLzbxw=")</f>
        <v>#VALUE!</v>
      </c>
      <c r="AD257" t="e">
        <f>AND('PROG FORM COMPLEM'!U51,"AAAAAGLzbx0=")</f>
        <v>#VALUE!</v>
      </c>
      <c r="AE257" t="e">
        <f>AND('PROG FORM COMPLEM'!V51,"AAAAAGLzbx4=")</f>
        <v>#VALUE!</v>
      </c>
      <c r="AF257" t="e">
        <f>AND('PROG FORM COMPLEM'!W51,"AAAAAGLzbx8=")</f>
        <v>#VALUE!</v>
      </c>
      <c r="AG257">
        <f>IF('PROG FORM COMPLEM'!54:54,"AAAAAGLzbyA=",0)</f>
        <v>0</v>
      </c>
      <c r="AH257" t="e">
        <f>AND('PROG FORM COMPLEM'!B54,"AAAAAGLzbyE=")</f>
        <v>#VALUE!</v>
      </c>
      <c r="AI257" t="e">
        <f>AND('PROG FORM COMPLEM'!C54,"AAAAAGLzbyI=")</f>
        <v>#VALUE!</v>
      </c>
      <c r="AJ257" t="e">
        <f>AND('PROG FORM COMPLEM'!D54,"AAAAAGLzbyM=")</f>
        <v>#VALUE!</v>
      </c>
      <c r="AK257" t="e">
        <f>AND('PROG FORM COMPLEM'!E54,"AAAAAGLzbyQ=")</f>
        <v>#VALUE!</v>
      </c>
      <c r="AL257" t="e">
        <f>AND('PROG FORM COMPLEM'!F54,"AAAAAGLzbyU=")</f>
        <v>#VALUE!</v>
      </c>
      <c r="AM257" t="e">
        <f>AND('PROG FORM COMPLEM'!G54,"AAAAAGLzbyY=")</f>
        <v>#VALUE!</v>
      </c>
      <c r="AN257" t="e">
        <f>AND('PROG FORM COMPLEM'!H54,"AAAAAGLzbyc=")</f>
        <v>#VALUE!</v>
      </c>
      <c r="AO257" t="e">
        <f>AND('PROG FORM COMPLEM'!I54,"AAAAAGLzbyg=")</f>
        <v>#VALUE!</v>
      </c>
      <c r="AP257" t="e">
        <f>AND('PROG FORM COMPLEM'!J54,"AAAAAGLzbyk=")</f>
        <v>#VALUE!</v>
      </c>
      <c r="AQ257" t="e">
        <f>AND('PROG FORM COMPLEM'!K54,"AAAAAGLzbyo=")</f>
        <v>#VALUE!</v>
      </c>
      <c r="AR257" t="e">
        <f>AND('PROG FORM COMPLEM'!L54,"AAAAAGLzbys=")</f>
        <v>#VALUE!</v>
      </c>
      <c r="AS257" t="e">
        <f>AND('PROG FORM COMPLEM'!M54,"AAAAAGLzbyw=")</f>
        <v>#VALUE!</v>
      </c>
      <c r="AT257" t="e">
        <f>AND('PROG FORM COMPLEM'!N54,"AAAAAGLzby0=")</f>
        <v>#VALUE!</v>
      </c>
      <c r="AU257" t="e">
        <f>AND('PROG FORM COMPLEM'!O54,"AAAAAGLzby4=")</f>
        <v>#VALUE!</v>
      </c>
      <c r="AV257" t="e">
        <f>AND('PROG FORM COMPLEM'!P54,"AAAAAGLzby8=")</f>
        <v>#VALUE!</v>
      </c>
      <c r="AW257" t="e">
        <f>AND('PROG FORM COMPLEM'!Q54,"AAAAAGLzbzA=")</f>
        <v>#VALUE!</v>
      </c>
      <c r="AX257" t="e">
        <f>AND('PROG FORM COMPLEM'!R54,"AAAAAGLzbzE=")</f>
        <v>#VALUE!</v>
      </c>
      <c r="AY257" t="e">
        <f>AND('PROG FORM COMPLEM'!S54,"AAAAAGLzbzI=")</f>
        <v>#VALUE!</v>
      </c>
      <c r="AZ257" t="e">
        <f>AND('PROG FORM COMPLEM'!T54,"AAAAAGLzbzM=")</f>
        <v>#VALUE!</v>
      </c>
      <c r="BA257" t="e">
        <f>AND('PROG FORM COMPLEM'!U54,"AAAAAGLzbzQ=")</f>
        <v>#VALUE!</v>
      </c>
      <c r="BB257" t="e">
        <f>AND('PROG FORM COMPLEM'!V54,"AAAAAGLzbzU=")</f>
        <v>#VALUE!</v>
      </c>
      <c r="BC257" t="e">
        <f>AND('PROG FORM COMPLEM'!W54,"AAAAAGLzbzY=")</f>
        <v>#VALUE!</v>
      </c>
      <c r="BD257">
        <f>IF('PROG FORM COMPLEM'!56:56,"AAAAAGLzbzc=",0)</f>
        <v>0</v>
      </c>
      <c r="BE257" t="e">
        <f>AND('PROG FORM COMPLEM'!B56,"AAAAAGLzbzg=")</f>
        <v>#VALUE!</v>
      </c>
      <c r="BF257" t="e">
        <f>AND('PROG FORM COMPLEM'!C56,"AAAAAGLzbzk=")</f>
        <v>#VALUE!</v>
      </c>
      <c r="BG257" t="e">
        <f>AND('PROG FORM COMPLEM'!D56,"AAAAAGLzbzo=")</f>
        <v>#VALUE!</v>
      </c>
      <c r="BH257" t="e">
        <f>AND('PROG FORM COMPLEM'!E56,"AAAAAGLzbzs=")</f>
        <v>#VALUE!</v>
      </c>
      <c r="BI257" t="e">
        <f>AND('PROG FORM COMPLEM'!F56,"AAAAAGLzbzw=")</f>
        <v>#VALUE!</v>
      </c>
      <c r="BJ257" t="e">
        <f>AND('PROG FORM COMPLEM'!G56,"AAAAAGLzbz0=")</f>
        <v>#VALUE!</v>
      </c>
      <c r="BK257" t="e">
        <f>AND('PROG FORM COMPLEM'!H56,"AAAAAGLzbz4=")</f>
        <v>#VALUE!</v>
      </c>
      <c r="BL257" t="e">
        <f>AND('PROG FORM COMPLEM'!I56,"AAAAAGLzbz8=")</f>
        <v>#VALUE!</v>
      </c>
      <c r="BM257" t="e">
        <f>AND('PROG FORM COMPLEM'!J56,"AAAAAGLzb0A=")</f>
        <v>#VALUE!</v>
      </c>
      <c r="BN257" t="e">
        <f>AND('PROG FORM COMPLEM'!K56,"AAAAAGLzb0E=")</f>
        <v>#VALUE!</v>
      </c>
      <c r="BO257" t="e">
        <f>AND('PROG FORM COMPLEM'!L56,"AAAAAGLzb0I=")</f>
        <v>#VALUE!</v>
      </c>
      <c r="BP257" t="e">
        <f>AND('PROG FORM COMPLEM'!M56,"AAAAAGLzb0M=")</f>
        <v>#VALUE!</v>
      </c>
      <c r="BQ257" t="e">
        <f>AND('PROG FORM COMPLEM'!N56,"AAAAAGLzb0Q=")</f>
        <v>#VALUE!</v>
      </c>
      <c r="BR257" t="e">
        <f>AND('PROG FORM COMPLEM'!O56,"AAAAAGLzb0U=")</f>
        <v>#VALUE!</v>
      </c>
      <c r="BS257" t="e">
        <f>AND('PROG FORM COMPLEM'!P56,"AAAAAGLzb0Y=")</f>
        <v>#VALUE!</v>
      </c>
      <c r="BT257" t="e">
        <f>AND('PROG FORM COMPLEM'!Q56,"AAAAAGLzb0c=")</f>
        <v>#VALUE!</v>
      </c>
      <c r="BU257" t="e">
        <f>AND('PROG FORM COMPLEM'!R56,"AAAAAGLzb0g=")</f>
        <v>#VALUE!</v>
      </c>
      <c r="BV257" t="e">
        <f>AND('PROG FORM COMPLEM'!S56,"AAAAAGLzb0k=")</f>
        <v>#VALUE!</v>
      </c>
      <c r="BW257" t="e">
        <f>AND('PROG FORM COMPLEM'!T56,"AAAAAGLzb0o=")</f>
        <v>#VALUE!</v>
      </c>
      <c r="BX257" t="e">
        <f>AND('PROG FORM COMPLEM'!U56,"AAAAAGLzb0s=")</f>
        <v>#VALUE!</v>
      </c>
      <c r="BY257" t="e">
        <f>AND('PROG FORM COMPLEM'!V56,"AAAAAGLzb0w=")</f>
        <v>#VALUE!</v>
      </c>
      <c r="BZ257" t="e">
        <f>AND('PROG FORM COMPLEM'!W56,"AAAAAGLzb00=")</f>
        <v>#VALUE!</v>
      </c>
      <c r="CA257" t="e">
        <f>IF('PROG FORM COMPLEM'!#REF!,"AAAAAGLzb04=",0)</f>
        <v>#REF!</v>
      </c>
      <c r="CB257" t="e">
        <f>AND('PROG FORM COMPLEM'!#REF!,"AAAAAGLzb08=")</f>
        <v>#REF!</v>
      </c>
      <c r="CC257" t="e">
        <f>AND('PROG FORM COMPLEM'!#REF!,"AAAAAGLzb1A=")</f>
        <v>#REF!</v>
      </c>
      <c r="CD257" t="e">
        <f>AND('PROG FORM COMPLEM'!#REF!,"AAAAAGLzb1E=")</f>
        <v>#REF!</v>
      </c>
      <c r="CE257" t="e">
        <f>AND('PROG FORM COMPLEM'!#REF!,"AAAAAGLzb1I=")</f>
        <v>#REF!</v>
      </c>
      <c r="CF257" t="e">
        <f>AND('PROG FORM COMPLEM'!#REF!,"AAAAAGLzb1M=")</f>
        <v>#REF!</v>
      </c>
      <c r="CG257" t="e">
        <f>AND('PROG FORM COMPLEM'!#REF!,"AAAAAGLzb1Q=")</f>
        <v>#REF!</v>
      </c>
      <c r="CH257" t="e">
        <f>AND('PROG FORM COMPLEM'!#REF!,"AAAAAGLzb1U=")</f>
        <v>#REF!</v>
      </c>
      <c r="CI257" t="e">
        <f>AND('PROG FORM COMPLEM'!#REF!,"AAAAAGLzb1Y=")</f>
        <v>#REF!</v>
      </c>
      <c r="CJ257" t="e">
        <f>AND('PROG FORM COMPLEM'!#REF!,"AAAAAGLzb1c=")</f>
        <v>#REF!</v>
      </c>
      <c r="CK257" t="e">
        <f>AND('PROG FORM COMPLEM'!#REF!,"AAAAAGLzb1g=")</f>
        <v>#REF!</v>
      </c>
      <c r="CL257" t="e">
        <f>AND('PROG FORM COMPLEM'!#REF!,"AAAAAGLzb1k=")</f>
        <v>#REF!</v>
      </c>
      <c r="CM257" t="e">
        <f>AND('PROG FORM COMPLEM'!#REF!,"AAAAAGLzb1o=")</f>
        <v>#REF!</v>
      </c>
      <c r="CN257" t="e">
        <f>AND('PROG FORM COMPLEM'!#REF!,"AAAAAGLzb1s=")</f>
        <v>#REF!</v>
      </c>
      <c r="CO257" t="e">
        <f>AND('PROG FORM COMPLEM'!#REF!,"AAAAAGLzb1w=")</f>
        <v>#REF!</v>
      </c>
      <c r="CP257" t="e">
        <f>AND('PROG FORM COMPLEM'!#REF!,"AAAAAGLzb10=")</f>
        <v>#REF!</v>
      </c>
      <c r="CQ257" t="e">
        <f>AND('PROG FORM COMPLEM'!#REF!,"AAAAAGLzb14=")</f>
        <v>#REF!</v>
      </c>
      <c r="CR257" t="e">
        <f>AND('PROG FORM COMPLEM'!#REF!,"AAAAAGLzb18=")</f>
        <v>#REF!</v>
      </c>
      <c r="CS257" t="e">
        <f>AND('PROG FORM COMPLEM'!#REF!,"AAAAAGLzb2A=")</f>
        <v>#REF!</v>
      </c>
      <c r="CT257" t="e">
        <f>AND('PROG FORM COMPLEM'!#REF!,"AAAAAGLzb2E=")</f>
        <v>#REF!</v>
      </c>
      <c r="CU257" t="e">
        <f>AND('PROG FORM COMPLEM'!#REF!,"AAAAAGLzb2I=")</f>
        <v>#REF!</v>
      </c>
      <c r="CV257" t="e">
        <f>AND('PROG FORM COMPLEM'!#REF!,"AAAAAGLzb2M=")</f>
        <v>#REF!</v>
      </c>
      <c r="CW257" t="e">
        <f>AND('PROG FORM COMPLEM'!#REF!,"AAAAAGLzb2Q=")</f>
        <v>#REF!</v>
      </c>
      <c r="CX257">
        <f>IF('PROG FORM COMPLEM'!57:57,"AAAAAGLzb2U=",0)</f>
        <v>0</v>
      </c>
      <c r="CY257" t="e">
        <f>AND('PROG FORM COMPLEM'!B57,"AAAAAGLzb2Y=")</f>
        <v>#VALUE!</v>
      </c>
      <c r="CZ257" t="e">
        <f>AND('PROG FORM COMPLEM'!C57,"AAAAAGLzb2c=")</f>
        <v>#VALUE!</v>
      </c>
      <c r="DA257" t="e">
        <f>AND('PROG FORM COMPLEM'!D57,"AAAAAGLzb2g=")</f>
        <v>#VALUE!</v>
      </c>
      <c r="DB257" t="e">
        <f>AND('PROG FORM COMPLEM'!E57,"AAAAAGLzb2k=")</f>
        <v>#VALUE!</v>
      </c>
      <c r="DC257" t="e">
        <f>AND('PROG FORM COMPLEM'!F57,"AAAAAGLzb2o=")</f>
        <v>#VALUE!</v>
      </c>
      <c r="DD257" t="e">
        <f>AND('PROG FORM COMPLEM'!G57,"AAAAAGLzb2s=")</f>
        <v>#VALUE!</v>
      </c>
      <c r="DE257" t="e">
        <f>AND('PROG FORM COMPLEM'!H57,"AAAAAGLzb2w=")</f>
        <v>#VALUE!</v>
      </c>
      <c r="DF257" t="e">
        <f>AND('PROG FORM COMPLEM'!I57,"AAAAAGLzb20=")</f>
        <v>#VALUE!</v>
      </c>
      <c r="DG257" t="e">
        <f>AND('PROG FORM COMPLEM'!J57,"AAAAAGLzb24=")</f>
        <v>#VALUE!</v>
      </c>
      <c r="DH257" t="e">
        <f>AND('PROG FORM COMPLEM'!K57,"AAAAAGLzb28=")</f>
        <v>#VALUE!</v>
      </c>
      <c r="DI257" t="e">
        <f>AND('PROG FORM COMPLEM'!L57,"AAAAAGLzb3A=")</f>
        <v>#VALUE!</v>
      </c>
      <c r="DJ257" t="e">
        <f>AND('PROG FORM COMPLEM'!M57,"AAAAAGLzb3E=")</f>
        <v>#VALUE!</v>
      </c>
      <c r="DK257" t="e">
        <f>AND('PROG FORM COMPLEM'!N57,"AAAAAGLzb3I=")</f>
        <v>#VALUE!</v>
      </c>
      <c r="DL257" t="e">
        <f>AND('PROG FORM COMPLEM'!O57,"AAAAAGLzb3M=")</f>
        <v>#VALUE!</v>
      </c>
      <c r="DM257" t="e">
        <f>AND('PROG FORM COMPLEM'!P57,"AAAAAGLzb3Q=")</f>
        <v>#VALUE!</v>
      </c>
      <c r="DN257" t="e">
        <f>AND('PROG FORM COMPLEM'!Q57,"AAAAAGLzb3U=")</f>
        <v>#VALUE!</v>
      </c>
      <c r="DO257" t="e">
        <f>AND('PROG FORM COMPLEM'!R57,"AAAAAGLzb3Y=")</f>
        <v>#VALUE!</v>
      </c>
      <c r="DP257" t="e">
        <f>AND('PROG FORM COMPLEM'!S57,"AAAAAGLzb3c=")</f>
        <v>#VALUE!</v>
      </c>
      <c r="DQ257" t="e">
        <f>AND('PROG FORM COMPLEM'!T57,"AAAAAGLzb3g=")</f>
        <v>#VALUE!</v>
      </c>
      <c r="DR257" t="e">
        <f>AND('PROG FORM COMPLEM'!U57,"AAAAAGLzb3k=")</f>
        <v>#VALUE!</v>
      </c>
      <c r="DS257" t="e">
        <f>AND('PROG FORM COMPLEM'!V57,"AAAAAGLzb3o=")</f>
        <v>#VALUE!</v>
      </c>
      <c r="DT257" t="e">
        <f>AND('PROG FORM COMPLEM'!W57,"AAAAAGLzb3s=")</f>
        <v>#VALUE!</v>
      </c>
      <c r="DU257" t="e">
        <f>IF('PROG FORM COMPLEM'!#REF!,"AAAAAGLzb3w=",0)</f>
        <v>#REF!</v>
      </c>
      <c r="DV257" t="e">
        <f>AND('PROG FORM COMPLEM'!#REF!,"AAAAAGLzb30=")</f>
        <v>#REF!</v>
      </c>
      <c r="DW257" t="e">
        <f>AND('PROG FORM COMPLEM'!#REF!,"AAAAAGLzb34=")</f>
        <v>#REF!</v>
      </c>
      <c r="DX257" t="e">
        <f>AND('PROG FORM COMPLEM'!#REF!,"AAAAAGLzb38=")</f>
        <v>#REF!</v>
      </c>
      <c r="DY257" t="e">
        <f>AND('PROG FORM COMPLEM'!#REF!,"AAAAAGLzb4A=")</f>
        <v>#REF!</v>
      </c>
      <c r="DZ257" t="e">
        <f>AND('PROG FORM COMPLEM'!#REF!,"AAAAAGLzb4E=")</f>
        <v>#REF!</v>
      </c>
      <c r="EA257" t="e">
        <f>AND('PROG FORM COMPLEM'!#REF!,"AAAAAGLzb4I=")</f>
        <v>#REF!</v>
      </c>
      <c r="EB257" t="e">
        <f>AND('PROG FORM COMPLEM'!#REF!,"AAAAAGLzb4M=")</f>
        <v>#REF!</v>
      </c>
      <c r="EC257" t="e">
        <f>AND('PROG FORM COMPLEM'!#REF!,"AAAAAGLzb4Q=")</f>
        <v>#REF!</v>
      </c>
      <c r="ED257" t="e">
        <f>AND('PROG FORM COMPLEM'!#REF!,"AAAAAGLzb4U=")</f>
        <v>#REF!</v>
      </c>
      <c r="EE257" t="e">
        <f>AND('PROG FORM COMPLEM'!#REF!,"AAAAAGLzb4Y=")</f>
        <v>#REF!</v>
      </c>
      <c r="EF257" t="e">
        <f>AND('PROG FORM COMPLEM'!#REF!,"AAAAAGLzb4c=")</f>
        <v>#REF!</v>
      </c>
      <c r="EG257" t="e">
        <f>AND('PROG FORM COMPLEM'!#REF!,"AAAAAGLzb4g=")</f>
        <v>#REF!</v>
      </c>
      <c r="EH257" t="e">
        <f>AND('PROG FORM COMPLEM'!#REF!,"AAAAAGLzb4k=")</f>
        <v>#REF!</v>
      </c>
      <c r="EI257" t="e">
        <f>AND('PROG FORM COMPLEM'!#REF!,"AAAAAGLzb4o=")</f>
        <v>#REF!</v>
      </c>
      <c r="EJ257" t="e">
        <f>AND('PROG FORM COMPLEM'!#REF!,"AAAAAGLzb4s=")</f>
        <v>#REF!</v>
      </c>
      <c r="EK257" t="e">
        <f>AND('PROG FORM COMPLEM'!#REF!,"AAAAAGLzb4w=")</f>
        <v>#REF!</v>
      </c>
      <c r="EL257" t="e">
        <f>AND('PROG FORM COMPLEM'!#REF!,"AAAAAGLzb40=")</f>
        <v>#REF!</v>
      </c>
      <c r="EM257" t="e">
        <f>AND('PROG FORM COMPLEM'!#REF!,"AAAAAGLzb44=")</f>
        <v>#REF!</v>
      </c>
      <c r="EN257" t="e">
        <f>AND('PROG FORM COMPLEM'!#REF!,"AAAAAGLzb48=")</f>
        <v>#REF!</v>
      </c>
      <c r="EO257" t="e">
        <f>AND('PROG FORM COMPLEM'!#REF!,"AAAAAGLzb5A=")</f>
        <v>#REF!</v>
      </c>
      <c r="EP257" t="e">
        <f>AND('PROG FORM COMPLEM'!#REF!,"AAAAAGLzb5E=")</f>
        <v>#REF!</v>
      </c>
      <c r="EQ257" t="e">
        <f>AND('PROG FORM COMPLEM'!#REF!,"AAAAAGLzb5I=")</f>
        <v>#REF!</v>
      </c>
      <c r="ER257">
        <f>IF('PROG FORM COMPLEM'!58:58,"AAAAAGLzb5M=",0)</f>
        <v>0</v>
      </c>
      <c r="ES257" t="e">
        <f>AND('PROG FORM COMPLEM'!B58,"AAAAAGLzb5Q=")</f>
        <v>#VALUE!</v>
      </c>
      <c r="ET257" t="e">
        <f>AND('PROG FORM COMPLEM'!C58,"AAAAAGLzb5U=")</f>
        <v>#VALUE!</v>
      </c>
      <c r="EU257" t="e">
        <f>AND('PROG FORM COMPLEM'!D58,"AAAAAGLzb5Y=")</f>
        <v>#VALUE!</v>
      </c>
      <c r="EV257" t="e">
        <f>AND('PROG FORM COMPLEM'!E58,"AAAAAGLzb5c=")</f>
        <v>#VALUE!</v>
      </c>
      <c r="EW257" t="e">
        <f>AND('PROG FORM COMPLEM'!F58,"AAAAAGLzb5g=")</f>
        <v>#VALUE!</v>
      </c>
      <c r="EX257" t="e">
        <f>AND('PROG FORM COMPLEM'!G58,"AAAAAGLzb5k=")</f>
        <v>#VALUE!</v>
      </c>
      <c r="EY257" t="e">
        <f>AND('PROG FORM COMPLEM'!H58,"AAAAAGLzb5o=")</f>
        <v>#VALUE!</v>
      </c>
      <c r="EZ257" t="e">
        <f>AND('PROG FORM COMPLEM'!I58,"AAAAAGLzb5s=")</f>
        <v>#VALUE!</v>
      </c>
      <c r="FA257" t="e">
        <f>AND('PROG FORM COMPLEM'!J58,"AAAAAGLzb5w=")</f>
        <v>#VALUE!</v>
      </c>
      <c r="FB257" t="e">
        <f>AND('PROG FORM COMPLEM'!K58,"AAAAAGLzb50=")</f>
        <v>#VALUE!</v>
      </c>
      <c r="FC257" t="e">
        <f>AND('PROG FORM COMPLEM'!L58,"AAAAAGLzb54=")</f>
        <v>#VALUE!</v>
      </c>
      <c r="FD257" t="e">
        <f>AND('PROG FORM COMPLEM'!M58,"AAAAAGLzb58=")</f>
        <v>#VALUE!</v>
      </c>
      <c r="FE257" t="e">
        <f>AND('PROG FORM COMPLEM'!N58,"AAAAAGLzb6A=")</f>
        <v>#VALUE!</v>
      </c>
      <c r="FF257" t="e">
        <f>AND('PROG FORM COMPLEM'!O58,"AAAAAGLzb6E=")</f>
        <v>#VALUE!</v>
      </c>
      <c r="FG257" t="e">
        <f>AND('PROG FORM COMPLEM'!P58,"AAAAAGLzb6I=")</f>
        <v>#VALUE!</v>
      </c>
      <c r="FH257" t="e">
        <f>AND('PROG FORM COMPLEM'!Q58,"AAAAAGLzb6M=")</f>
        <v>#VALUE!</v>
      </c>
      <c r="FI257" t="e">
        <f>AND('PROG FORM COMPLEM'!R58,"AAAAAGLzb6Q=")</f>
        <v>#VALUE!</v>
      </c>
      <c r="FJ257" t="e">
        <f>AND('PROG FORM COMPLEM'!S58,"AAAAAGLzb6U=")</f>
        <v>#VALUE!</v>
      </c>
      <c r="FK257" t="e">
        <f>AND('PROG FORM COMPLEM'!T58,"AAAAAGLzb6Y=")</f>
        <v>#VALUE!</v>
      </c>
      <c r="FL257" t="e">
        <f>AND('PROG FORM COMPLEM'!U58,"AAAAAGLzb6c=")</f>
        <v>#VALUE!</v>
      </c>
      <c r="FM257" t="e">
        <f>AND('PROG FORM COMPLEM'!V58,"AAAAAGLzb6g=")</f>
        <v>#VALUE!</v>
      </c>
      <c r="FN257" t="e">
        <f>AND('PROG FORM COMPLEM'!W58,"AAAAAGLzb6k=")</f>
        <v>#VALUE!</v>
      </c>
      <c r="FO257">
        <f>IF('PROG FORM COMPLEM'!60:60,"AAAAAGLzb6o=",0)</f>
        <v>0</v>
      </c>
      <c r="FP257" t="e">
        <f>AND('PROG FORM COMPLEM'!B60,"AAAAAGLzb6s=")</f>
        <v>#VALUE!</v>
      </c>
      <c r="FQ257" t="e">
        <f>AND('PROG FORM COMPLEM'!C60,"AAAAAGLzb6w=")</f>
        <v>#VALUE!</v>
      </c>
      <c r="FR257" t="e">
        <f>AND('PROG FORM COMPLEM'!D60,"AAAAAGLzb60=")</f>
        <v>#VALUE!</v>
      </c>
      <c r="FS257" t="e">
        <f>AND('PROG FORM COMPLEM'!E60,"AAAAAGLzb64=")</f>
        <v>#VALUE!</v>
      </c>
      <c r="FT257" t="e">
        <f>AND('PROG FORM COMPLEM'!F60,"AAAAAGLzb68=")</f>
        <v>#VALUE!</v>
      </c>
      <c r="FU257" t="e">
        <f>AND('PROG FORM COMPLEM'!G60,"AAAAAGLzb7A=")</f>
        <v>#VALUE!</v>
      </c>
      <c r="FV257" t="e">
        <f>AND('PROG FORM COMPLEM'!H60,"AAAAAGLzb7E=")</f>
        <v>#VALUE!</v>
      </c>
      <c r="FW257" t="e">
        <f>AND('PROG FORM COMPLEM'!I60,"AAAAAGLzb7I=")</f>
        <v>#VALUE!</v>
      </c>
      <c r="FX257" t="e">
        <f>AND('PROG FORM COMPLEM'!J60,"AAAAAGLzb7M=")</f>
        <v>#VALUE!</v>
      </c>
      <c r="FY257" t="e">
        <f>AND('PROG FORM COMPLEM'!K60,"AAAAAGLzb7Q=")</f>
        <v>#VALUE!</v>
      </c>
      <c r="FZ257" t="e">
        <f>AND('PROG FORM COMPLEM'!L60,"AAAAAGLzb7U=")</f>
        <v>#VALUE!</v>
      </c>
      <c r="GA257" t="e">
        <f>AND('PROG FORM COMPLEM'!M60,"AAAAAGLzb7Y=")</f>
        <v>#VALUE!</v>
      </c>
      <c r="GB257" t="e">
        <f>AND('PROG FORM COMPLEM'!N60,"AAAAAGLzb7c=")</f>
        <v>#VALUE!</v>
      </c>
      <c r="GC257" t="e">
        <f>AND('PROG FORM COMPLEM'!O60,"AAAAAGLzb7g=")</f>
        <v>#VALUE!</v>
      </c>
      <c r="GD257" t="e">
        <f>AND('PROG FORM COMPLEM'!P60,"AAAAAGLzb7k=")</f>
        <v>#VALUE!</v>
      </c>
      <c r="GE257" t="e">
        <f>AND('PROG FORM COMPLEM'!Q60,"AAAAAGLzb7o=")</f>
        <v>#VALUE!</v>
      </c>
      <c r="GF257" t="e">
        <f>AND('PROG FORM COMPLEM'!R60,"AAAAAGLzb7s=")</f>
        <v>#VALUE!</v>
      </c>
      <c r="GG257" t="e">
        <f>AND('PROG FORM COMPLEM'!S60,"AAAAAGLzb7w=")</f>
        <v>#VALUE!</v>
      </c>
      <c r="GH257" t="e">
        <f>AND('PROG FORM COMPLEM'!T60,"AAAAAGLzb70=")</f>
        <v>#VALUE!</v>
      </c>
      <c r="GI257" t="e">
        <f>AND('PROG FORM COMPLEM'!U60,"AAAAAGLzb74=")</f>
        <v>#VALUE!</v>
      </c>
      <c r="GJ257" t="e">
        <f>AND('PROG FORM COMPLEM'!V60,"AAAAAGLzb78=")</f>
        <v>#VALUE!</v>
      </c>
      <c r="GK257" t="e">
        <f>AND('PROG FORM COMPLEM'!W60,"AAAAAGLzb8A=")</f>
        <v>#VALUE!</v>
      </c>
      <c r="GL257">
        <f>IF('PROG FORM COMPLEM'!61:61,"AAAAAGLzb8E=",0)</f>
        <v>0</v>
      </c>
      <c r="GM257" t="e">
        <f>AND('PROG FORM COMPLEM'!B61,"AAAAAGLzb8I=")</f>
        <v>#VALUE!</v>
      </c>
      <c r="GN257" t="e">
        <f>AND('PROG FORM COMPLEM'!C61,"AAAAAGLzb8M=")</f>
        <v>#VALUE!</v>
      </c>
      <c r="GO257" t="e">
        <f>AND('PROG FORM COMPLEM'!D61,"AAAAAGLzb8Q=")</f>
        <v>#VALUE!</v>
      </c>
      <c r="GP257" t="e">
        <f>AND('PROG FORM COMPLEM'!E61,"AAAAAGLzb8U=")</f>
        <v>#VALUE!</v>
      </c>
      <c r="GQ257" t="e">
        <f>AND('PROG FORM COMPLEM'!F61,"AAAAAGLzb8Y=")</f>
        <v>#VALUE!</v>
      </c>
      <c r="GR257" t="e">
        <f>AND('PROG FORM COMPLEM'!G61,"AAAAAGLzb8c=")</f>
        <v>#VALUE!</v>
      </c>
      <c r="GS257" t="e">
        <f>AND('PROG FORM COMPLEM'!H61,"AAAAAGLzb8g=")</f>
        <v>#VALUE!</v>
      </c>
      <c r="GT257" t="e">
        <f>AND('PROG FORM COMPLEM'!I61,"AAAAAGLzb8k=")</f>
        <v>#VALUE!</v>
      </c>
      <c r="GU257" t="e">
        <f>AND('PROG FORM COMPLEM'!J61,"AAAAAGLzb8o=")</f>
        <v>#VALUE!</v>
      </c>
      <c r="GV257" t="e">
        <f>AND('PROG FORM COMPLEM'!K61,"AAAAAGLzb8s=")</f>
        <v>#VALUE!</v>
      </c>
      <c r="GW257" t="e">
        <f>AND('PROG FORM COMPLEM'!L61,"AAAAAGLzb8w=")</f>
        <v>#VALUE!</v>
      </c>
      <c r="GX257" t="e">
        <f>AND('PROG FORM COMPLEM'!M61,"AAAAAGLzb80=")</f>
        <v>#VALUE!</v>
      </c>
      <c r="GY257" t="e">
        <f>AND('PROG FORM COMPLEM'!N61,"AAAAAGLzb84=")</f>
        <v>#VALUE!</v>
      </c>
      <c r="GZ257" t="e">
        <f>AND('PROG FORM COMPLEM'!O61,"AAAAAGLzb88=")</f>
        <v>#VALUE!</v>
      </c>
      <c r="HA257" t="e">
        <f>AND('PROG FORM COMPLEM'!P61,"AAAAAGLzb9A=")</f>
        <v>#VALUE!</v>
      </c>
      <c r="HB257" t="e">
        <f>AND('PROG FORM COMPLEM'!Q61,"AAAAAGLzb9E=")</f>
        <v>#VALUE!</v>
      </c>
      <c r="HC257" t="e">
        <f>AND('PROG FORM COMPLEM'!R61,"AAAAAGLzb9I=")</f>
        <v>#VALUE!</v>
      </c>
      <c r="HD257" t="e">
        <f>AND('PROG FORM COMPLEM'!S61,"AAAAAGLzb9M=")</f>
        <v>#VALUE!</v>
      </c>
      <c r="HE257" t="e">
        <f>AND('PROG FORM COMPLEM'!T61,"AAAAAGLzb9Q=")</f>
        <v>#VALUE!</v>
      </c>
      <c r="HF257" t="e">
        <f>AND('PROG FORM COMPLEM'!U61,"AAAAAGLzb9U=")</f>
        <v>#VALUE!</v>
      </c>
      <c r="HG257" t="e">
        <f>AND('PROG FORM COMPLEM'!V61,"AAAAAGLzb9Y=")</f>
        <v>#VALUE!</v>
      </c>
      <c r="HH257" t="e">
        <f>AND('PROG FORM COMPLEM'!W61,"AAAAAGLzb9c=")</f>
        <v>#VALUE!</v>
      </c>
      <c r="HI257" t="e">
        <f>IF('PROG FORM COMPLEM'!#REF!,"AAAAAGLzb9g=",0)</f>
        <v>#REF!</v>
      </c>
      <c r="HJ257" t="e">
        <f>AND('PROG FORM COMPLEM'!#REF!,"AAAAAGLzb9k=")</f>
        <v>#REF!</v>
      </c>
      <c r="HK257" t="e">
        <f>AND('PROG FORM COMPLEM'!#REF!,"AAAAAGLzb9o=")</f>
        <v>#REF!</v>
      </c>
      <c r="HL257" t="e">
        <f>AND('PROG FORM COMPLEM'!#REF!,"AAAAAGLzb9s=")</f>
        <v>#REF!</v>
      </c>
      <c r="HM257" t="e">
        <f>AND('PROG FORM COMPLEM'!#REF!,"AAAAAGLzb9w=")</f>
        <v>#REF!</v>
      </c>
      <c r="HN257" t="e">
        <f>AND('PROG FORM COMPLEM'!#REF!,"AAAAAGLzb90=")</f>
        <v>#REF!</v>
      </c>
      <c r="HO257" t="e">
        <f>AND('PROG FORM COMPLEM'!#REF!,"AAAAAGLzb94=")</f>
        <v>#REF!</v>
      </c>
      <c r="HP257" t="e">
        <f>AND('PROG FORM COMPLEM'!#REF!,"AAAAAGLzb98=")</f>
        <v>#REF!</v>
      </c>
      <c r="HQ257" t="e">
        <f>AND('PROG FORM COMPLEM'!#REF!,"AAAAAGLzb+A=")</f>
        <v>#REF!</v>
      </c>
      <c r="HR257" t="e">
        <f>AND('PROG FORM COMPLEM'!#REF!,"AAAAAGLzb+E=")</f>
        <v>#REF!</v>
      </c>
      <c r="HS257" t="e">
        <f>AND('PROG FORM COMPLEM'!#REF!,"AAAAAGLzb+I=")</f>
        <v>#REF!</v>
      </c>
      <c r="HT257" t="e">
        <f>AND('PROG FORM COMPLEM'!#REF!,"AAAAAGLzb+M=")</f>
        <v>#REF!</v>
      </c>
      <c r="HU257" t="e">
        <f>AND('PROG FORM COMPLEM'!#REF!,"AAAAAGLzb+Q=")</f>
        <v>#REF!</v>
      </c>
      <c r="HV257" t="e">
        <f>AND('PROG FORM COMPLEM'!#REF!,"AAAAAGLzb+U=")</f>
        <v>#REF!</v>
      </c>
      <c r="HW257" t="e">
        <f>AND('PROG FORM COMPLEM'!#REF!,"AAAAAGLzb+Y=")</f>
        <v>#REF!</v>
      </c>
      <c r="HX257" t="e">
        <f>AND('PROG FORM COMPLEM'!#REF!,"AAAAAGLzb+c=")</f>
        <v>#REF!</v>
      </c>
      <c r="HY257" t="e">
        <f>AND('PROG FORM COMPLEM'!#REF!,"AAAAAGLzb+g=")</f>
        <v>#REF!</v>
      </c>
      <c r="HZ257" t="e">
        <f>AND('PROG FORM COMPLEM'!#REF!,"AAAAAGLzb+k=")</f>
        <v>#REF!</v>
      </c>
      <c r="IA257" t="e">
        <f>AND('PROG FORM COMPLEM'!#REF!,"AAAAAGLzb+o=")</f>
        <v>#REF!</v>
      </c>
      <c r="IB257" t="e">
        <f>AND('PROG FORM COMPLEM'!#REF!,"AAAAAGLzb+s=")</f>
        <v>#REF!</v>
      </c>
      <c r="IC257" t="e">
        <f>AND('PROG FORM COMPLEM'!#REF!,"AAAAAGLzb+w=")</f>
        <v>#REF!</v>
      </c>
      <c r="ID257" t="e">
        <f>AND('PROG FORM COMPLEM'!#REF!,"AAAAAGLzb+0=")</f>
        <v>#REF!</v>
      </c>
      <c r="IE257" t="e">
        <f>AND('PROG FORM COMPLEM'!#REF!,"AAAAAGLzb+4=")</f>
        <v>#REF!</v>
      </c>
      <c r="IF257">
        <f>IF('PROG FORM COMPLEM'!65:65,"AAAAAGLzb+8=",0)</f>
        <v>0</v>
      </c>
      <c r="IG257" t="e">
        <f>AND('PROG FORM COMPLEM'!B65,"AAAAAGLzb/A=")</f>
        <v>#VALUE!</v>
      </c>
      <c r="IH257" t="e">
        <f>AND('PROG FORM COMPLEM'!C65,"AAAAAGLzb/E=")</f>
        <v>#VALUE!</v>
      </c>
      <c r="II257" t="e">
        <f>AND('PROG FORM COMPLEM'!D65,"AAAAAGLzb/I=")</f>
        <v>#VALUE!</v>
      </c>
      <c r="IJ257" t="e">
        <f>AND('PROG FORM COMPLEM'!E65,"AAAAAGLzb/M=")</f>
        <v>#VALUE!</v>
      </c>
      <c r="IK257" t="e">
        <f>AND('PROG FORM COMPLEM'!F65,"AAAAAGLzb/Q=")</f>
        <v>#VALUE!</v>
      </c>
      <c r="IL257" t="e">
        <f>AND('PROG FORM COMPLEM'!G65,"AAAAAGLzb/U=")</f>
        <v>#VALUE!</v>
      </c>
      <c r="IM257" t="e">
        <f>AND('PROG FORM COMPLEM'!H65,"AAAAAGLzb/Y=")</f>
        <v>#VALUE!</v>
      </c>
      <c r="IN257" t="e">
        <f>AND('PROG FORM COMPLEM'!I65,"AAAAAGLzb/c=")</f>
        <v>#VALUE!</v>
      </c>
      <c r="IO257" t="e">
        <f>AND('PROG FORM COMPLEM'!J65,"AAAAAGLzb/g=")</f>
        <v>#VALUE!</v>
      </c>
      <c r="IP257" t="e">
        <f>AND('PROG FORM COMPLEM'!K65,"AAAAAGLzb/k=")</f>
        <v>#VALUE!</v>
      </c>
      <c r="IQ257" t="e">
        <f>AND('PROG FORM COMPLEM'!L65,"AAAAAGLzb/o=")</f>
        <v>#VALUE!</v>
      </c>
      <c r="IR257" t="e">
        <f>AND('PROG FORM COMPLEM'!M65,"AAAAAGLzb/s=")</f>
        <v>#VALUE!</v>
      </c>
      <c r="IS257" t="e">
        <f>AND('PROG FORM COMPLEM'!N65,"AAAAAGLzb/w=")</f>
        <v>#VALUE!</v>
      </c>
      <c r="IT257" t="e">
        <f>AND('PROG FORM COMPLEM'!O65,"AAAAAGLzb/0=")</f>
        <v>#VALUE!</v>
      </c>
      <c r="IU257" t="e">
        <f>AND('PROG FORM COMPLEM'!P65,"AAAAAGLzb/4=")</f>
        <v>#VALUE!</v>
      </c>
      <c r="IV257" t="e">
        <f>AND('PROG FORM COMPLEM'!Q65,"AAAAAGLzb/8=")</f>
        <v>#VALUE!</v>
      </c>
    </row>
    <row r="258" spans="1:256" x14ac:dyDescent="0.2">
      <c r="A258" t="e">
        <f>AND('PROG FORM COMPLEM'!R65,"AAAAAHnKvwA=")</f>
        <v>#VALUE!</v>
      </c>
      <c r="B258" t="e">
        <f>AND('PROG FORM COMPLEM'!S65,"AAAAAHnKvwE=")</f>
        <v>#VALUE!</v>
      </c>
      <c r="C258" t="e">
        <f>AND('PROG FORM COMPLEM'!T65,"AAAAAHnKvwI=")</f>
        <v>#VALUE!</v>
      </c>
      <c r="D258" t="e">
        <f>AND('PROG FORM COMPLEM'!U65,"AAAAAHnKvwM=")</f>
        <v>#VALUE!</v>
      </c>
      <c r="E258" t="e">
        <f>AND('PROG FORM COMPLEM'!V65,"AAAAAHnKvwQ=")</f>
        <v>#VALUE!</v>
      </c>
      <c r="F258" t="e">
        <f>AND('PROG FORM COMPLEM'!W65,"AAAAAHnKvwU=")</f>
        <v>#VALUE!</v>
      </c>
      <c r="G258" t="e">
        <f>IF('PROG FORM COMPLEM'!66:66,"AAAAAHnKvwY=",0)</f>
        <v>#VALUE!</v>
      </c>
      <c r="H258" t="e">
        <f>AND('PROG FORM COMPLEM'!B66,"AAAAAHnKvwc=")</f>
        <v>#VALUE!</v>
      </c>
      <c r="I258" t="e">
        <f>AND('PROG FORM COMPLEM'!C66,"AAAAAHnKvwg=")</f>
        <v>#VALUE!</v>
      </c>
      <c r="J258" t="e">
        <f>AND('PROG FORM COMPLEM'!D66,"AAAAAHnKvwk=")</f>
        <v>#VALUE!</v>
      </c>
      <c r="K258" t="e">
        <f>AND('PROG FORM COMPLEM'!E66,"AAAAAHnKvwo=")</f>
        <v>#VALUE!</v>
      </c>
      <c r="L258" t="e">
        <f>AND('PROG FORM COMPLEM'!F66,"AAAAAHnKvws=")</f>
        <v>#VALUE!</v>
      </c>
      <c r="M258" t="e">
        <f>AND('PROG FORM COMPLEM'!G66,"AAAAAHnKvww=")</f>
        <v>#VALUE!</v>
      </c>
      <c r="N258" t="e">
        <f>AND('PROG FORM COMPLEM'!H66,"AAAAAHnKvw0=")</f>
        <v>#VALUE!</v>
      </c>
      <c r="O258" t="e">
        <f>AND('PROG FORM COMPLEM'!I66,"AAAAAHnKvw4=")</f>
        <v>#VALUE!</v>
      </c>
      <c r="P258" t="e">
        <f>AND('PROG FORM COMPLEM'!J66,"AAAAAHnKvw8=")</f>
        <v>#VALUE!</v>
      </c>
      <c r="Q258" t="e">
        <f>AND('PROG FORM COMPLEM'!K66,"AAAAAHnKvxA=")</f>
        <v>#VALUE!</v>
      </c>
      <c r="R258" t="e">
        <f>AND('PROG FORM COMPLEM'!L66,"AAAAAHnKvxE=")</f>
        <v>#VALUE!</v>
      </c>
      <c r="S258" t="e">
        <f>AND('PROG FORM COMPLEM'!M66,"AAAAAHnKvxI=")</f>
        <v>#VALUE!</v>
      </c>
      <c r="T258" t="e">
        <f>AND('PROG FORM COMPLEM'!N66,"AAAAAHnKvxM=")</f>
        <v>#VALUE!</v>
      </c>
      <c r="U258" t="e">
        <f>AND('PROG FORM COMPLEM'!O66,"AAAAAHnKvxQ=")</f>
        <v>#VALUE!</v>
      </c>
      <c r="V258" t="e">
        <f>AND('PROG FORM COMPLEM'!P66,"AAAAAHnKvxU=")</f>
        <v>#VALUE!</v>
      </c>
      <c r="W258" t="e">
        <f>AND('PROG FORM COMPLEM'!Q66,"AAAAAHnKvxY=")</f>
        <v>#VALUE!</v>
      </c>
      <c r="X258" t="e">
        <f>AND('PROG FORM COMPLEM'!R66,"AAAAAHnKvxc=")</f>
        <v>#VALUE!</v>
      </c>
      <c r="Y258" t="e">
        <f>AND('PROG FORM COMPLEM'!S66,"AAAAAHnKvxg=")</f>
        <v>#VALUE!</v>
      </c>
      <c r="Z258" t="e">
        <f>AND('PROG FORM COMPLEM'!T66,"AAAAAHnKvxk=")</f>
        <v>#VALUE!</v>
      </c>
      <c r="AA258" t="e">
        <f>AND('PROG FORM COMPLEM'!U66,"AAAAAHnKvxo=")</f>
        <v>#VALUE!</v>
      </c>
      <c r="AB258" t="e">
        <f>AND('PROG FORM COMPLEM'!V66,"AAAAAHnKvxs=")</f>
        <v>#VALUE!</v>
      </c>
      <c r="AC258" t="e">
        <f>AND('PROG FORM COMPLEM'!W66,"AAAAAHnKvxw=")</f>
        <v>#VALUE!</v>
      </c>
      <c r="AD258" t="e">
        <f>IF('PROG FORM COMPLEM'!#REF!,"AAAAAHnKvx0=",0)</f>
        <v>#REF!</v>
      </c>
      <c r="AE258" t="e">
        <f>AND('PROG FORM COMPLEM'!#REF!,"AAAAAHnKvx4=")</f>
        <v>#REF!</v>
      </c>
      <c r="AF258" t="e">
        <f>AND('PROG FORM COMPLEM'!#REF!,"AAAAAHnKvx8=")</f>
        <v>#REF!</v>
      </c>
      <c r="AG258" t="e">
        <f>AND('PROG FORM COMPLEM'!#REF!,"AAAAAHnKvyA=")</f>
        <v>#REF!</v>
      </c>
      <c r="AH258" t="e">
        <f>AND('PROG FORM COMPLEM'!#REF!,"AAAAAHnKvyE=")</f>
        <v>#REF!</v>
      </c>
      <c r="AI258" t="e">
        <f>AND('PROG FORM COMPLEM'!#REF!,"AAAAAHnKvyI=")</f>
        <v>#REF!</v>
      </c>
      <c r="AJ258" t="e">
        <f>AND('PROG FORM COMPLEM'!#REF!,"AAAAAHnKvyM=")</f>
        <v>#REF!</v>
      </c>
      <c r="AK258" t="e">
        <f>AND('PROG FORM COMPLEM'!#REF!,"AAAAAHnKvyQ=")</f>
        <v>#REF!</v>
      </c>
      <c r="AL258" t="e">
        <f>AND('PROG FORM COMPLEM'!#REF!,"AAAAAHnKvyU=")</f>
        <v>#REF!</v>
      </c>
      <c r="AM258" t="e">
        <f>AND('PROG FORM COMPLEM'!#REF!,"AAAAAHnKvyY=")</f>
        <v>#REF!</v>
      </c>
      <c r="AN258" t="e">
        <f>AND('PROG FORM COMPLEM'!#REF!,"AAAAAHnKvyc=")</f>
        <v>#REF!</v>
      </c>
      <c r="AO258" t="e">
        <f>AND('PROG FORM COMPLEM'!#REF!,"AAAAAHnKvyg=")</f>
        <v>#REF!</v>
      </c>
      <c r="AP258" t="e">
        <f>AND('PROG FORM COMPLEM'!#REF!,"AAAAAHnKvyk=")</f>
        <v>#REF!</v>
      </c>
      <c r="AQ258" t="e">
        <f>AND('PROG FORM COMPLEM'!#REF!,"AAAAAHnKvyo=")</f>
        <v>#REF!</v>
      </c>
      <c r="AR258" t="e">
        <f>AND('PROG FORM COMPLEM'!#REF!,"AAAAAHnKvys=")</f>
        <v>#REF!</v>
      </c>
      <c r="AS258" t="e">
        <f>AND('PROG FORM COMPLEM'!#REF!,"AAAAAHnKvyw=")</f>
        <v>#REF!</v>
      </c>
      <c r="AT258" t="e">
        <f>AND('PROG FORM COMPLEM'!#REF!,"AAAAAHnKvy0=")</f>
        <v>#REF!</v>
      </c>
      <c r="AU258" t="e">
        <f>AND('PROG FORM COMPLEM'!#REF!,"AAAAAHnKvy4=")</f>
        <v>#REF!</v>
      </c>
      <c r="AV258" t="e">
        <f>AND('PROG FORM COMPLEM'!#REF!,"AAAAAHnKvy8=")</f>
        <v>#REF!</v>
      </c>
      <c r="AW258" t="e">
        <f>AND('PROG FORM COMPLEM'!#REF!,"AAAAAHnKvzA=")</f>
        <v>#REF!</v>
      </c>
      <c r="AX258" t="e">
        <f>AND('PROG FORM COMPLEM'!#REF!,"AAAAAHnKvzE=")</f>
        <v>#REF!</v>
      </c>
      <c r="AY258" t="e">
        <f>AND('PROG FORM COMPLEM'!#REF!,"AAAAAHnKvzI=")</f>
        <v>#REF!</v>
      </c>
      <c r="AZ258" t="e">
        <f>AND('PROG FORM COMPLEM'!#REF!,"AAAAAHnKvzM=")</f>
        <v>#REF!</v>
      </c>
      <c r="BA258">
        <f>IF('PROG FORM COMPLEM'!69:69,"AAAAAHnKvzQ=",0)</f>
        <v>0</v>
      </c>
      <c r="BB258" t="e">
        <f>AND('PROG FORM COMPLEM'!B69,"AAAAAHnKvzU=")</f>
        <v>#VALUE!</v>
      </c>
      <c r="BC258" t="e">
        <f>AND('PROG FORM COMPLEM'!C69,"AAAAAHnKvzY=")</f>
        <v>#VALUE!</v>
      </c>
      <c r="BD258" t="e">
        <f>AND('PROG FORM COMPLEM'!D69,"AAAAAHnKvzc=")</f>
        <v>#VALUE!</v>
      </c>
      <c r="BE258" t="e">
        <f>AND('PROG FORM COMPLEM'!E69,"AAAAAHnKvzg=")</f>
        <v>#VALUE!</v>
      </c>
      <c r="BF258" t="e">
        <f>AND('PROG FORM COMPLEM'!F69,"AAAAAHnKvzk=")</f>
        <v>#VALUE!</v>
      </c>
      <c r="BG258" t="e">
        <f>AND('PROG FORM COMPLEM'!G69,"AAAAAHnKvzo=")</f>
        <v>#VALUE!</v>
      </c>
      <c r="BH258" t="e">
        <f>AND('PROG FORM COMPLEM'!H69,"AAAAAHnKvzs=")</f>
        <v>#VALUE!</v>
      </c>
      <c r="BI258" t="e">
        <f>AND('PROG FORM COMPLEM'!I69,"AAAAAHnKvzw=")</f>
        <v>#VALUE!</v>
      </c>
      <c r="BJ258" t="e">
        <f>AND('PROG FORM COMPLEM'!J69,"AAAAAHnKvz0=")</f>
        <v>#VALUE!</v>
      </c>
      <c r="BK258" t="e">
        <f>AND('PROG FORM COMPLEM'!K69,"AAAAAHnKvz4=")</f>
        <v>#VALUE!</v>
      </c>
      <c r="BL258" t="e">
        <f>AND('PROG FORM COMPLEM'!L69,"AAAAAHnKvz8=")</f>
        <v>#VALUE!</v>
      </c>
      <c r="BM258" t="e">
        <f>AND('PROG FORM COMPLEM'!M69,"AAAAAHnKv0A=")</f>
        <v>#VALUE!</v>
      </c>
      <c r="BN258" t="e">
        <f>AND('PROG FORM COMPLEM'!N69,"AAAAAHnKv0E=")</f>
        <v>#VALUE!</v>
      </c>
      <c r="BO258" t="e">
        <f>AND('PROG FORM COMPLEM'!O69,"AAAAAHnKv0I=")</f>
        <v>#VALUE!</v>
      </c>
      <c r="BP258" t="e">
        <f>AND('PROG FORM COMPLEM'!P69,"AAAAAHnKv0M=")</f>
        <v>#VALUE!</v>
      </c>
      <c r="BQ258" t="e">
        <f>AND('PROG FORM COMPLEM'!Q69,"AAAAAHnKv0Q=")</f>
        <v>#VALUE!</v>
      </c>
      <c r="BR258" t="e">
        <f>AND('PROG FORM COMPLEM'!R69,"AAAAAHnKv0U=")</f>
        <v>#VALUE!</v>
      </c>
      <c r="BS258" t="e">
        <f>AND('PROG FORM COMPLEM'!S69,"AAAAAHnKv0Y=")</f>
        <v>#VALUE!</v>
      </c>
      <c r="BT258" t="e">
        <f>AND('PROG FORM COMPLEM'!T69,"AAAAAHnKv0c=")</f>
        <v>#VALUE!</v>
      </c>
      <c r="BU258" t="e">
        <f>AND('PROG FORM COMPLEM'!U69,"AAAAAHnKv0g=")</f>
        <v>#VALUE!</v>
      </c>
      <c r="BV258" t="e">
        <f>AND('PROG FORM COMPLEM'!V69,"AAAAAHnKv0k=")</f>
        <v>#VALUE!</v>
      </c>
      <c r="BW258" t="e">
        <f>AND('PROG FORM COMPLEM'!W69,"AAAAAHnKv0o=")</f>
        <v>#VALUE!</v>
      </c>
      <c r="BX258">
        <f>IF('PROG FORM COMPLEM'!73:73,"AAAAAHnKv0s=",0)</f>
        <v>0</v>
      </c>
      <c r="BY258" t="e">
        <f>AND('PROG FORM COMPLEM'!B73,"AAAAAHnKv0w=")</f>
        <v>#VALUE!</v>
      </c>
      <c r="BZ258" t="e">
        <f>AND('PROG FORM COMPLEM'!C73,"AAAAAHnKv00=")</f>
        <v>#VALUE!</v>
      </c>
      <c r="CA258" t="e">
        <f>AND('PROG FORM COMPLEM'!D73,"AAAAAHnKv04=")</f>
        <v>#VALUE!</v>
      </c>
      <c r="CB258" t="e">
        <f>AND('PROG FORM COMPLEM'!E73,"AAAAAHnKv08=")</f>
        <v>#VALUE!</v>
      </c>
      <c r="CC258" t="e">
        <f>AND('PROG FORM COMPLEM'!F73,"AAAAAHnKv1A=")</f>
        <v>#VALUE!</v>
      </c>
      <c r="CD258" t="e">
        <f>AND('PROG FORM COMPLEM'!G73,"AAAAAHnKv1E=")</f>
        <v>#VALUE!</v>
      </c>
      <c r="CE258" t="e">
        <f>AND('PROG FORM COMPLEM'!H73,"AAAAAHnKv1I=")</f>
        <v>#VALUE!</v>
      </c>
      <c r="CF258" t="e">
        <f>AND('PROG FORM COMPLEM'!I73,"AAAAAHnKv1M=")</f>
        <v>#VALUE!</v>
      </c>
      <c r="CG258" t="e">
        <f>AND('PROG FORM COMPLEM'!J73,"AAAAAHnKv1Q=")</f>
        <v>#VALUE!</v>
      </c>
      <c r="CH258" t="e">
        <f>AND('PROG FORM COMPLEM'!K73,"AAAAAHnKv1U=")</f>
        <v>#VALUE!</v>
      </c>
      <c r="CI258" t="e">
        <f>AND('PROG FORM COMPLEM'!L73,"AAAAAHnKv1Y=")</f>
        <v>#VALUE!</v>
      </c>
      <c r="CJ258" t="e">
        <f>AND('PROG FORM COMPLEM'!M73,"AAAAAHnKv1c=")</f>
        <v>#VALUE!</v>
      </c>
      <c r="CK258" t="e">
        <f>AND('PROG FORM COMPLEM'!N73,"AAAAAHnKv1g=")</f>
        <v>#VALUE!</v>
      </c>
      <c r="CL258" t="e">
        <f>AND('PROG FORM COMPLEM'!O73,"AAAAAHnKv1k=")</f>
        <v>#VALUE!</v>
      </c>
      <c r="CM258" t="e">
        <f>AND('PROG FORM COMPLEM'!P73,"AAAAAHnKv1o=")</f>
        <v>#VALUE!</v>
      </c>
      <c r="CN258" t="e">
        <f>AND('PROG FORM COMPLEM'!Q73,"AAAAAHnKv1s=")</f>
        <v>#VALUE!</v>
      </c>
      <c r="CO258" t="e">
        <f>AND('PROG FORM COMPLEM'!R73,"AAAAAHnKv1w=")</f>
        <v>#VALUE!</v>
      </c>
      <c r="CP258" t="e">
        <f>AND('PROG FORM COMPLEM'!S73,"AAAAAHnKv10=")</f>
        <v>#VALUE!</v>
      </c>
      <c r="CQ258" t="e">
        <f>AND('PROG FORM COMPLEM'!T73,"AAAAAHnKv14=")</f>
        <v>#VALUE!</v>
      </c>
      <c r="CR258" t="e">
        <f>AND('PROG FORM COMPLEM'!U73,"AAAAAHnKv18=")</f>
        <v>#VALUE!</v>
      </c>
      <c r="CS258" t="e">
        <f>AND('PROG FORM COMPLEM'!V73,"AAAAAHnKv2A=")</f>
        <v>#VALUE!</v>
      </c>
      <c r="CT258" t="e">
        <f>AND('PROG FORM COMPLEM'!W73,"AAAAAHnKv2E=")</f>
        <v>#VALUE!</v>
      </c>
      <c r="CU258">
        <f>IF('PROG FORM COMPLEM'!74:74,"AAAAAHnKv2I=",0)</f>
        <v>0</v>
      </c>
      <c r="CV258" t="e">
        <f>AND('PROG FORM COMPLEM'!B74,"AAAAAHnKv2M=")</f>
        <v>#VALUE!</v>
      </c>
      <c r="CW258" t="e">
        <f>AND('PROG FORM COMPLEM'!C74,"AAAAAHnKv2Q=")</f>
        <v>#VALUE!</v>
      </c>
      <c r="CX258" t="e">
        <f>AND('PROG FORM COMPLEM'!D74,"AAAAAHnKv2U=")</f>
        <v>#VALUE!</v>
      </c>
      <c r="CY258" t="e">
        <f>AND('PROG FORM COMPLEM'!E74,"AAAAAHnKv2Y=")</f>
        <v>#VALUE!</v>
      </c>
      <c r="CZ258" t="e">
        <f>AND('PROG FORM COMPLEM'!F74,"AAAAAHnKv2c=")</f>
        <v>#VALUE!</v>
      </c>
      <c r="DA258" t="e">
        <f>AND('PROG FORM COMPLEM'!G74,"AAAAAHnKv2g=")</f>
        <v>#VALUE!</v>
      </c>
      <c r="DB258" t="e">
        <f>AND('PROG FORM COMPLEM'!H74,"AAAAAHnKv2k=")</f>
        <v>#VALUE!</v>
      </c>
      <c r="DC258" t="e">
        <f>AND('PROG FORM COMPLEM'!I74,"AAAAAHnKv2o=")</f>
        <v>#VALUE!</v>
      </c>
      <c r="DD258" t="e">
        <f>AND('PROG FORM COMPLEM'!J74,"AAAAAHnKv2s=")</f>
        <v>#VALUE!</v>
      </c>
      <c r="DE258" t="e">
        <f>AND('PROG FORM COMPLEM'!K74,"AAAAAHnKv2w=")</f>
        <v>#VALUE!</v>
      </c>
      <c r="DF258" t="e">
        <f>AND('PROG FORM COMPLEM'!L74,"AAAAAHnKv20=")</f>
        <v>#VALUE!</v>
      </c>
      <c r="DG258" t="e">
        <f>AND('PROG FORM COMPLEM'!M74,"AAAAAHnKv24=")</f>
        <v>#VALUE!</v>
      </c>
      <c r="DH258" t="e">
        <f>AND('PROG FORM COMPLEM'!N74,"AAAAAHnKv28=")</f>
        <v>#VALUE!</v>
      </c>
      <c r="DI258" t="e">
        <f>AND('PROG FORM COMPLEM'!O74,"AAAAAHnKv3A=")</f>
        <v>#VALUE!</v>
      </c>
      <c r="DJ258" t="e">
        <f>AND('PROG FORM COMPLEM'!P74,"AAAAAHnKv3E=")</f>
        <v>#VALUE!</v>
      </c>
      <c r="DK258" t="e">
        <f>AND('PROG FORM COMPLEM'!Q74,"AAAAAHnKv3I=")</f>
        <v>#VALUE!</v>
      </c>
      <c r="DL258" t="e">
        <f>AND('PROG FORM COMPLEM'!R74,"AAAAAHnKv3M=")</f>
        <v>#VALUE!</v>
      </c>
      <c r="DM258" t="e">
        <f>AND('PROG FORM COMPLEM'!S74,"AAAAAHnKv3Q=")</f>
        <v>#VALUE!</v>
      </c>
      <c r="DN258" t="e">
        <f>AND('PROG FORM COMPLEM'!T74,"AAAAAHnKv3U=")</f>
        <v>#VALUE!</v>
      </c>
      <c r="DO258" t="e">
        <f>AND('PROG FORM COMPLEM'!U74,"AAAAAHnKv3Y=")</f>
        <v>#VALUE!</v>
      </c>
      <c r="DP258" t="e">
        <f>AND('PROG FORM COMPLEM'!V74,"AAAAAHnKv3c=")</f>
        <v>#VALUE!</v>
      </c>
      <c r="DQ258" t="e">
        <f>AND('PROG FORM COMPLEM'!W74,"AAAAAHnKv3g=")</f>
        <v>#VALUE!</v>
      </c>
      <c r="DR258">
        <f>IF('PROG FORM COMPLEM'!75:75,"AAAAAHnKv3k=",0)</f>
        <v>0</v>
      </c>
      <c r="DS258" t="e">
        <f>AND('PROG FORM COMPLEM'!B75,"AAAAAHnKv3o=")</f>
        <v>#VALUE!</v>
      </c>
      <c r="DT258" t="e">
        <f>AND('PROG FORM COMPLEM'!C75,"AAAAAHnKv3s=")</f>
        <v>#VALUE!</v>
      </c>
      <c r="DU258" t="e">
        <f>AND('PROG FORM COMPLEM'!D75,"AAAAAHnKv3w=")</f>
        <v>#VALUE!</v>
      </c>
      <c r="DV258" t="e">
        <f>AND('PROG FORM COMPLEM'!E75,"AAAAAHnKv30=")</f>
        <v>#VALUE!</v>
      </c>
      <c r="DW258" t="e">
        <f>AND('PROG FORM COMPLEM'!F75,"AAAAAHnKv34=")</f>
        <v>#VALUE!</v>
      </c>
      <c r="DX258" t="e">
        <f>AND('PROG FORM COMPLEM'!G75,"AAAAAHnKv38=")</f>
        <v>#VALUE!</v>
      </c>
      <c r="DY258" t="e">
        <f>AND('PROG FORM COMPLEM'!H75,"AAAAAHnKv4A=")</f>
        <v>#VALUE!</v>
      </c>
      <c r="DZ258" t="e">
        <f>AND('PROG FORM COMPLEM'!I75,"AAAAAHnKv4E=")</f>
        <v>#VALUE!</v>
      </c>
      <c r="EA258" t="e">
        <f>AND('PROG FORM COMPLEM'!J75,"AAAAAHnKv4I=")</f>
        <v>#VALUE!</v>
      </c>
      <c r="EB258" t="e">
        <f>AND('PROG FORM COMPLEM'!K75,"AAAAAHnKv4M=")</f>
        <v>#VALUE!</v>
      </c>
      <c r="EC258" t="e">
        <f>AND('PROG FORM COMPLEM'!L75,"AAAAAHnKv4Q=")</f>
        <v>#VALUE!</v>
      </c>
      <c r="ED258" t="e">
        <f>AND('PROG FORM COMPLEM'!M75,"AAAAAHnKv4U=")</f>
        <v>#VALUE!</v>
      </c>
      <c r="EE258" t="e">
        <f>AND('PROG FORM COMPLEM'!N75,"AAAAAHnKv4Y=")</f>
        <v>#VALUE!</v>
      </c>
      <c r="EF258" t="e">
        <f>AND('PROG FORM COMPLEM'!O75,"AAAAAHnKv4c=")</f>
        <v>#VALUE!</v>
      </c>
      <c r="EG258" t="e">
        <f>AND('PROG FORM COMPLEM'!P75,"AAAAAHnKv4g=")</f>
        <v>#VALUE!</v>
      </c>
      <c r="EH258" t="e">
        <f>AND('PROG FORM COMPLEM'!Q75,"AAAAAHnKv4k=")</f>
        <v>#VALUE!</v>
      </c>
      <c r="EI258" t="e">
        <f>AND('PROG FORM COMPLEM'!R75,"AAAAAHnKv4o=")</f>
        <v>#VALUE!</v>
      </c>
      <c r="EJ258" t="e">
        <f>AND('PROG FORM COMPLEM'!S75,"AAAAAHnKv4s=")</f>
        <v>#VALUE!</v>
      </c>
      <c r="EK258" t="e">
        <f>AND('PROG FORM COMPLEM'!T75,"AAAAAHnKv4w=")</f>
        <v>#VALUE!</v>
      </c>
      <c r="EL258" t="e">
        <f>AND('PROG FORM COMPLEM'!U75,"AAAAAHnKv40=")</f>
        <v>#VALUE!</v>
      </c>
      <c r="EM258" t="e">
        <f>AND('PROG FORM COMPLEM'!V75,"AAAAAHnKv44=")</f>
        <v>#VALUE!</v>
      </c>
      <c r="EN258" t="e">
        <f>AND('PROG FORM COMPLEM'!W75,"AAAAAHnKv48=")</f>
        <v>#VALUE!</v>
      </c>
      <c r="EO258">
        <f>IF('PROG FORM COMPLEM'!76:76,"AAAAAHnKv5A=",0)</f>
        <v>0</v>
      </c>
      <c r="EP258" t="e">
        <f>AND('PROG FORM COMPLEM'!B76,"AAAAAHnKv5E=")</f>
        <v>#VALUE!</v>
      </c>
      <c r="EQ258" t="e">
        <f>AND('PROG FORM COMPLEM'!C76,"AAAAAHnKv5I=")</f>
        <v>#VALUE!</v>
      </c>
      <c r="ER258" t="e">
        <f>AND('PROG FORM COMPLEM'!D76,"AAAAAHnKv5M=")</f>
        <v>#VALUE!</v>
      </c>
      <c r="ES258" t="e">
        <f>AND('PROG FORM COMPLEM'!E76,"AAAAAHnKv5Q=")</f>
        <v>#VALUE!</v>
      </c>
      <c r="ET258" t="e">
        <f>AND('PROG FORM COMPLEM'!F76,"AAAAAHnKv5U=")</f>
        <v>#VALUE!</v>
      </c>
      <c r="EU258" t="e">
        <f>AND('PROG FORM COMPLEM'!G76,"AAAAAHnKv5Y=")</f>
        <v>#VALUE!</v>
      </c>
      <c r="EV258" t="e">
        <f>AND('PROG FORM COMPLEM'!H76,"AAAAAHnKv5c=")</f>
        <v>#VALUE!</v>
      </c>
      <c r="EW258" t="e">
        <f>AND('PROG FORM COMPLEM'!I76,"AAAAAHnKv5g=")</f>
        <v>#VALUE!</v>
      </c>
      <c r="EX258" t="e">
        <f>AND('PROG FORM COMPLEM'!J76,"AAAAAHnKv5k=")</f>
        <v>#VALUE!</v>
      </c>
      <c r="EY258" t="e">
        <f>AND('PROG FORM COMPLEM'!K76,"AAAAAHnKv5o=")</f>
        <v>#VALUE!</v>
      </c>
      <c r="EZ258" t="e">
        <f>AND('PROG FORM COMPLEM'!L76,"AAAAAHnKv5s=")</f>
        <v>#VALUE!</v>
      </c>
      <c r="FA258" t="e">
        <f>AND('PROG FORM COMPLEM'!M76,"AAAAAHnKv5w=")</f>
        <v>#VALUE!</v>
      </c>
      <c r="FB258" t="e">
        <f>AND('PROG FORM COMPLEM'!N76,"AAAAAHnKv50=")</f>
        <v>#VALUE!</v>
      </c>
      <c r="FC258" t="e">
        <f>AND('PROG FORM COMPLEM'!O76,"AAAAAHnKv54=")</f>
        <v>#VALUE!</v>
      </c>
      <c r="FD258" t="e">
        <f>AND('PROG FORM COMPLEM'!P76,"AAAAAHnKv58=")</f>
        <v>#VALUE!</v>
      </c>
      <c r="FE258" t="e">
        <f>AND('PROG FORM COMPLEM'!Q76,"AAAAAHnKv6A=")</f>
        <v>#VALUE!</v>
      </c>
      <c r="FF258" t="e">
        <f>AND('PROG FORM COMPLEM'!R76,"AAAAAHnKv6E=")</f>
        <v>#VALUE!</v>
      </c>
      <c r="FG258" t="e">
        <f>AND('PROG FORM COMPLEM'!S76,"AAAAAHnKv6I=")</f>
        <v>#VALUE!</v>
      </c>
      <c r="FH258" t="e">
        <f>AND('PROG FORM COMPLEM'!T76,"AAAAAHnKv6M=")</f>
        <v>#VALUE!</v>
      </c>
      <c r="FI258" t="e">
        <f>AND('PROG FORM COMPLEM'!U76,"AAAAAHnKv6Q=")</f>
        <v>#VALUE!</v>
      </c>
      <c r="FJ258" t="e">
        <f>AND('PROG FORM COMPLEM'!V76,"AAAAAHnKv6U=")</f>
        <v>#VALUE!</v>
      </c>
      <c r="FK258" t="e">
        <f>AND('PROG FORM COMPLEM'!W76,"AAAAAHnKv6Y=")</f>
        <v>#VALUE!</v>
      </c>
      <c r="FL258">
        <f>IF('PROG FORM COMPLEM'!77:77,"AAAAAHnKv6c=",0)</f>
        <v>0</v>
      </c>
      <c r="FM258" t="e">
        <f>AND('PROG FORM COMPLEM'!B77,"AAAAAHnKv6g=")</f>
        <v>#VALUE!</v>
      </c>
      <c r="FN258" t="e">
        <f>AND('PROG FORM COMPLEM'!C77,"AAAAAHnKv6k=")</f>
        <v>#VALUE!</v>
      </c>
      <c r="FO258" t="e">
        <f>AND('PROG FORM COMPLEM'!D77,"AAAAAHnKv6o=")</f>
        <v>#VALUE!</v>
      </c>
      <c r="FP258" t="e">
        <f>AND('PROG FORM COMPLEM'!E77,"AAAAAHnKv6s=")</f>
        <v>#VALUE!</v>
      </c>
      <c r="FQ258" t="e">
        <f>AND('PROG FORM COMPLEM'!F77,"AAAAAHnKv6w=")</f>
        <v>#VALUE!</v>
      </c>
      <c r="FR258" t="e">
        <f>AND('PROG FORM COMPLEM'!G77,"AAAAAHnKv60=")</f>
        <v>#VALUE!</v>
      </c>
      <c r="FS258" t="e">
        <f>AND('PROG FORM COMPLEM'!H77,"AAAAAHnKv64=")</f>
        <v>#VALUE!</v>
      </c>
      <c r="FT258" t="e">
        <f>AND('PROG FORM COMPLEM'!I77,"AAAAAHnKv68=")</f>
        <v>#VALUE!</v>
      </c>
      <c r="FU258" t="e">
        <f>AND('PROG FORM COMPLEM'!J77,"AAAAAHnKv7A=")</f>
        <v>#VALUE!</v>
      </c>
      <c r="FV258" t="e">
        <f>AND('PROG FORM COMPLEM'!K77,"AAAAAHnKv7E=")</f>
        <v>#VALUE!</v>
      </c>
      <c r="FW258" t="e">
        <f>AND('PROG FORM COMPLEM'!L77,"AAAAAHnKv7I=")</f>
        <v>#VALUE!</v>
      </c>
      <c r="FX258" t="e">
        <f>AND('PROG FORM COMPLEM'!M77,"AAAAAHnKv7M=")</f>
        <v>#VALUE!</v>
      </c>
      <c r="FY258" t="e">
        <f>AND('PROG FORM COMPLEM'!N77,"AAAAAHnKv7Q=")</f>
        <v>#VALUE!</v>
      </c>
      <c r="FZ258" t="e">
        <f>AND('PROG FORM COMPLEM'!O77,"AAAAAHnKv7U=")</f>
        <v>#VALUE!</v>
      </c>
      <c r="GA258" t="e">
        <f>AND('PROG FORM COMPLEM'!P77,"AAAAAHnKv7Y=")</f>
        <v>#VALUE!</v>
      </c>
      <c r="GB258" t="e">
        <f>AND('PROG FORM COMPLEM'!Q77,"AAAAAHnKv7c=")</f>
        <v>#VALUE!</v>
      </c>
      <c r="GC258" t="e">
        <f>AND('PROG FORM COMPLEM'!R77,"AAAAAHnKv7g=")</f>
        <v>#VALUE!</v>
      </c>
      <c r="GD258" t="e">
        <f>AND('PROG FORM COMPLEM'!S77,"AAAAAHnKv7k=")</f>
        <v>#VALUE!</v>
      </c>
      <c r="GE258" t="e">
        <f>AND('PROG FORM COMPLEM'!T77,"AAAAAHnKv7o=")</f>
        <v>#VALUE!</v>
      </c>
      <c r="GF258" t="e">
        <f>AND('PROG FORM COMPLEM'!U77,"AAAAAHnKv7s=")</f>
        <v>#VALUE!</v>
      </c>
      <c r="GG258" t="e">
        <f>AND('PROG FORM COMPLEM'!V77,"AAAAAHnKv7w=")</f>
        <v>#VALUE!</v>
      </c>
      <c r="GH258" t="e">
        <f>AND('PROG FORM COMPLEM'!W77,"AAAAAHnKv70=")</f>
        <v>#VALUE!</v>
      </c>
      <c r="GI258">
        <f>IF('PROG FORM COMPLEM'!78:78,"AAAAAHnKv74=",0)</f>
        <v>0</v>
      </c>
      <c r="GJ258" t="e">
        <f>AND('PROG FORM COMPLEM'!B78,"AAAAAHnKv78=")</f>
        <v>#VALUE!</v>
      </c>
      <c r="GK258" t="e">
        <f>AND('PROG FORM COMPLEM'!C78,"AAAAAHnKv8A=")</f>
        <v>#VALUE!</v>
      </c>
      <c r="GL258" t="e">
        <f>AND('PROG FORM COMPLEM'!D78,"AAAAAHnKv8E=")</f>
        <v>#VALUE!</v>
      </c>
      <c r="GM258" t="e">
        <f>AND('PROG FORM COMPLEM'!E78,"AAAAAHnKv8I=")</f>
        <v>#VALUE!</v>
      </c>
      <c r="GN258" t="e">
        <f>AND('PROG FORM COMPLEM'!F78,"AAAAAHnKv8M=")</f>
        <v>#VALUE!</v>
      </c>
      <c r="GO258" t="e">
        <f>AND('PROG FORM COMPLEM'!G78,"AAAAAHnKv8Q=")</f>
        <v>#VALUE!</v>
      </c>
      <c r="GP258" t="e">
        <f>AND('PROG FORM COMPLEM'!H78,"AAAAAHnKv8U=")</f>
        <v>#VALUE!</v>
      </c>
      <c r="GQ258" t="e">
        <f>AND('PROG FORM COMPLEM'!I78,"AAAAAHnKv8Y=")</f>
        <v>#VALUE!</v>
      </c>
      <c r="GR258" t="e">
        <f>AND('PROG FORM COMPLEM'!J78,"AAAAAHnKv8c=")</f>
        <v>#VALUE!</v>
      </c>
      <c r="GS258" t="e">
        <f>AND('PROG FORM COMPLEM'!K78,"AAAAAHnKv8g=")</f>
        <v>#VALUE!</v>
      </c>
      <c r="GT258" t="e">
        <f>AND('PROG FORM COMPLEM'!L78,"AAAAAHnKv8k=")</f>
        <v>#VALUE!</v>
      </c>
      <c r="GU258" t="e">
        <f>AND('PROG FORM COMPLEM'!M78,"AAAAAHnKv8o=")</f>
        <v>#VALUE!</v>
      </c>
      <c r="GV258" t="e">
        <f>AND('PROG FORM COMPLEM'!N78,"AAAAAHnKv8s=")</f>
        <v>#VALUE!</v>
      </c>
      <c r="GW258" t="e">
        <f>AND('PROG FORM COMPLEM'!O78,"AAAAAHnKv8w=")</f>
        <v>#VALUE!</v>
      </c>
      <c r="GX258" t="e">
        <f>AND('PROG FORM COMPLEM'!P78,"AAAAAHnKv80=")</f>
        <v>#VALUE!</v>
      </c>
      <c r="GY258" t="e">
        <f>AND('PROG FORM COMPLEM'!Q78,"AAAAAHnKv84=")</f>
        <v>#VALUE!</v>
      </c>
      <c r="GZ258" t="e">
        <f>AND('PROG FORM COMPLEM'!R78,"AAAAAHnKv88=")</f>
        <v>#VALUE!</v>
      </c>
      <c r="HA258" t="e">
        <f>AND('PROG FORM COMPLEM'!S78,"AAAAAHnKv9A=")</f>
        <v>#VALUE!</v>
      </c>
      <c r="HB258" t="e">
        <f>AND('PROG FORM COMPLEM'!T78,"AAAAAHnKv9E=")</f>
        <v>#VALUE!</v>
      </c>
      <c r="HC258" t="e">
        <f>AND('PROG FORM COMPLEM'!U78,"AAAAAHnKv9I=")</f>
        <v>#VALUE!</v>
      </c>
      <c r="HD258" t="e">
        <f>AND('PROG FORM COMPLEM'!V78,"AAAAAHnKv9M=")</f>
        <v>#VALUE!</v>
      </c>
      <c r="HE258" t="e">
        <f>AND('PROG FORM COMPLEM'!W78,"AAAAAHnKv9Q=")</f>
        <v>#VALUE!</v>
      </c>
      <c r="HF258">
        <f>IF('PROG FORM COMPLEM'!79:79,"AAAAAHnKv9U=",0)</f>
        <v>0</v>
      </c>
      <c r="HG258" t="e">
        <f>AND('PROG FORM COMPLEM'!B79,"AAAAAHnKv9Y=")</f>
        <v>#VALUE!</v>
      </c>
      <c r="HH258" t="e">
        <f>AND('PROG FORM COMPLEM'!C79,"AAAAAHnKv9c=")</f>
        <v>#VALUE!</v>
      </c>
      <c r="HI258" t="e">
        <f>AND('PROG FORM COMPLEM'!D79,"AAAAAHnKv9g=")</f>
        <v>#VALUE!</v>
      </c>
      <c r="HJ258" t="e">
        <f>AND('PROG FORM COMPLEM'!E79,"AAAAAHnKv9k=")</f>
        <v>#VALUE!</v>
      </c>
      <c r="HK258" t="e">
        <f>AND('PROG FORM COMPLEM'!F79,"AAAAAHnKv9o=")</f>
        <v>#VALUE!</v>
      </c>
      <c r="HL258" t="e">
        <f>AND('PROG FORM COMPLEM'!G79,"AAAAAHnKv9s=")</f>
        <v>#VALUE!</v>
      </c>
      <c r="HM258" t="e">
        <f>AND('PROG FORM COMPLEM'!H79,"AAAAAHnKv9w=")</f>
        <v>#VALUE!</v>
      </c>
      <c r="HN258" t="e">
        <f>AND('PROG FORM COMPLEM'!I79,"AAAAAHnKv90=")</f>
        <v>#VALUE!</v>
      </c>
      <c r="HO258" t="e">
        <f>AND('PROG FORM COMPLEM'!J79,"AAAAAHnKv94=")</f>
        <v>#VALUE!</v>
      </c>
      <c r="HP258" t="e">
        <f>AND('PROG FORM COMPLEM'!K79,"AAAAAHnKv98=")</f>
        <v>#VALUE!</v>
      </c>
      <c r="HQ258" t="e">
        <f>AND('PROG FORM COMPLEM'!L79,"AAAAAHnKv+A=")</f>
        <v>#VALUE!</v>
      </c>
      <c r="HR258" t="e">
        <f>AND('PROG FORM COMPLEM'!M79,"AAAAAHnKv+E=")</f>
        <v>#VALUE!</v>
      </c>
      <c r="HS258" t="e">
        <f>AND('PROG FORM COMPLEM'!N79,"AAAAAHnKv+I=")</f>
        <v>#VALUE!</v>
      </c>
      <c r="HT258" t="e">
        <f>AND('PROG FORM COMPLEM'!O79,"AAAAAHnKv+M=")</f>
        <v>#VALUE!</v>
      </c>
      <c r="HU258" t="e">
        <f>AND('PROG FORM COMPLEM'!P79,"AAAAAHnKv+Q=")</f>
        <v>#VALUE!</v>
      </c>
      <c r="HV258" t="e">
        <f>AND('PROG FORM COMPLEM'!Q79,"AAAAAHnKv+U=")</f>
        <v>#VALUE!</v>
      </c>
      <c r="HW258" t="e">
        <f>AND('PROG FORM COMPLEM'!R79,"AAAAAHnKv+Y=")</f>
        <v>#VALUE!</v>
      </c>
      <c r="HX258" t="e">
        <f>AND('PROG FORM COMPLEM'!S79,"AAAAAHnKv+c=")</f>
        <v>#VALUE!</v>
      </c>
      <c r="HY258" t="e">
        <f>AND('PROG FORM COMPLEM'!T79,"AAAAAHnKv+g=")</f>
        <v>#VALUE!</v>
      </c>
      <c r="HZ258" t="e">
        <f>AND('PROG FORM COMPLEM'!U79,"AAAAAHnKv+k=")</f>
        <v>#VALUE!</v>
      </c>
      <c r="IA258" t="e">
        <f>AND('PROG FORM COMPLEM'!V79,"AAAAAHnKv+o=")</f>
        <v>#VALUE!</v>
      </c>
      <c r="IB258" t="e">
        <f>AND('PROG FORM COMPLEM'!W79,"AAAAAHnKv+s=")</f>
        <v>#VALUE!</v>
      </c>
      <c r="IC258" t="e">
        <f>IF('PROG FORM COMPLEM'!#REF!,"AAAAAHnKv+w=",0)</f>
        <v>#REF!</v>
      </c>
      <c r="ID258" t="e">
        <f>AND('PROG FORM COMPLEM'!#REF!,"AAAAAHnKv+0=")</f>
        <v>#REF!</v>
      </c>
      <c r="IE258" t="e">
        <f>AND('PROG FORM COMPLEM'!#REF!,"AAAAAHnKv+4=")</f>
        <v>#REF!</v>
      </c>
      <c r="IF258" t="e">
        <f>AND('PROG FORM COMPLEM'!#REF!,"AAAAAHnKv+8=")</f>
        <v>#REF!</v>
      </c>
      <c r="IG258" t="e">
        <f>AND('PROG FORM COMPLEM'!#REF!,"AAAAAHnKv/A=")</f>
        <v>#REF!</v>
      </c>
      <c r="IH258" t="e">
        <f>AND('PROG FORM COMPLEM'!#REF!,"AAAAAHnKv/E=")</f>
        <v>#REF!</v>
      </c>
      <c r="II258" t="e">
        <f>AND('PROG FORM COMPLEM'!#REF!,"AAAAAHnKv/I=")</f>
        <v>#REF!</v>
      </c>
      <c r="IJ258" t="e">
        <f>AND('PROG FORM COMPLEM'!#REF!,"AAAAAHnKv/M=")</f>
        <v>#REF!</v>
      </c>
      <c r="IK258" t="e">
        <f>AND('PROG FORM COMPLEM'!#REF!,"AAAAAHnKv/Q=")</f>
        <v>#REF!</v>
      </c>
      <c r="IL258" t="e">
        <f>AND('PROG FORM COMPLEM'!#REF!,"AAAAAHnKv/U=")</f>
        <v>#REF!</v>
      </c>
      <c r="IM258" t="e">
        <f>AND('PROG FORM COMPLEM'!#REF!,"AAAAAHnKv/Y=")</f>
        <v>#REF!</v>
      </c>
      <c r="IN258" t="e">
        <f>AND('PROG FORM COMPLEM'!#REF!,"AAAAAHnKv/c=")</f>
        <v>#REF!</v>
      </c>
      <c r="IO258" t="e">
        <f>AND('PROG FORM COMPLEM'!#REF!,"AAAAAHnKv/g=")</f>
        <v>#REF!</v>
      </c>
      <c r="IP258" t="e">
        <f>AND('PROG FORM COMPLEM'!#REF!,"AAAAAHnKv/k=")</f>
        <v>#REF!</v>
      </c>
      <c r="IQ258" t="e">
        <f>AND('PROG FORM COMPLEM'!#REF!,"AAAAAHnKv/o=")</f>
        <v>#REF!</v>
      </c>
      <c r="IR258" t="e">
        <f>AND('PROG FORM COMPLEM'!#REF!,"AAAAAHnKv/s=")</f>
        <v>#REF!</v>
      </c>
      <c r="IS258" t="e">
        <f>AND('PROG FORM COMPLEM'!#REF!,"AAAAAHnKv/w=")</f>
        <v>#REF!</v>
      </c>
      <c r="IT258" t="e">
        <f>AND('PROG FORM COMPLEM'!#REF!,"AAAAAHnKv/0=")</f>
        <v>#REF!</v>
      </c>
      <c r="IU258" t="e">
        <f>AND('PROG FORM COMPLEM'!#REF!,"AAAAAHnKv/4=")</f>
        <v>#REF!</v>
      </c>
      <c r="IV258" t="e">
        <f>AND('PROG FORM COMPLEM'!#REF!,"AAAAAHnKv/8=")</f>
        <v>#REF!</v>
      </c>
    </row>
    <row r="259" spans="1:256" x14ac:dyDescent="0.2">
      <c r="A259" t="e">
        <f>AND('PROG FORM COMPLEM'!#REF!,"AAAAAH//fgA=")</f>
        <v>#REF!</v>
      </c>
      <c r="B259" t="e">
        <f>AND('PROG FORM COMPLEM'!#REF!,"AAAAAH//fgE=")</f>
        <v>#REF!</v>
      </c>
      <c r="C259" t="e">
        <f>AND('PROG FORM COMPLEM'!#REF!,"AAAAAH//fgI=")</f>
        <v>#REF!</v>
      </c>
      <c r="D259" t="e">
        <f>IF('PROG FORM COMPLEM'!80:80,"AAAAAH//fgM=",0)</f>
        <v>#VALUE!</v>
      </c>
      <c r="E259" t="e">
        <f>AND('PROG FORM COMPLEM'!B80,"AAAAAH//fgQ=")</f>
        <v>#VALUE!</v>
      </c>
      <c r="F259" t="e">
        <f>AND('PROG FORM COMPLEM'!C80,"AAAAAH//fgU=")</f>
        <v>#VALUE!</v>
      </c>
      <c r="G259" t="e">
        <f>AND('PROG FORM COMPLEM'!D80,"AAAAAH//fgY=")</f>
        <v>#VALUE!</v>
      </c>
      <c r="H259" t="e">
        <f>AND('PROG FORM COMPLEM'!E80,"AAAAAH//fgc=")</f>
        <v>#VALUE!</v>
      </c>
      <c r="I259" t="e">
        <f>AND('PROG FORM COMPLEM'!F80,"AAAAAH//fgg=")</f>
        <v>#VALUE!</v>
      </c>
      <c r="J259" t="e">
        <f>AND('PROG FORM COMPLEM'!G80,"AAAAAH//fgk=")</f>
        <v>#VALUE!</v>
      </c>
      <c r="K259" t="e">
        <f>AND('PROG FORM COMPLEM'!H80,"AAAAAH//fgo=")</f>
        <v>#VALUE!</v>
      </c>
      <c r="L259" t="e">
        <f>AND('PROG FORM COMPLEM'!I80,"AAAAAH//fgs=")</f>
        <v>#VALUE!</v>
      </c>
      <c r="M259" t="e">
        <f>AND('PROG FORM COMPLEM'!J80,"AAAAAH//fgw=")</f>
        <v>#VALUE!</v>
      </c>
      <c r="N259" t="e">
        <f>AND('PROG FORM COMPLEM'!K80,"AAAAAH//fg0=")</f>
        <v>#VALUE!</v>
      </c>
      <c r="O259" t="e">
        <f>AND('PROG FORM COMPLEM'!L80,"AAAAAH//fg4=")</f>
        <v>#VALUE!</v>
      </c>
      <c r="P259" t="e">
        <f>AND('PROG FORM COMPLEM'!M80,"AAAAAH//fg8=")</f>
        <v>#VALUE!</v>
      </c>
      <c r="Q259" t="e">
        <f>AND('PROG FORM COMPLEM'!N80,"AAAAAH//fhA=")</f>
        <v>#VALUE!</v>
      </c>
      <c r="R259" t="e">
        <f>AND('PROG FORM COMPLEM'!O80,"AAAAAH//fhE=")</f>
        <v>#VALUE!</v>
      </c>
      <c r="S259" t="e">
        <f>AND('PROG FORM COMPLEM'!P80,"AAAAAH//fhI=")</f>
        <v>#VALUE!</v>
      </c>
      <c r="T259" t="e">
        <f>AND('PROG FORM COMPLEM'!Q80,"AAAAAH//fhM=")</f>
        <v>#VALUE!</v>
      </c>
      <c r="U259" t="e">
        <f>AND('PROG FORM COMPLEM'!R80,"AAAAAH//fhQ=")</f>
        <v>#VALUE!</v>
      </c>
      <c r="V259" t="e">
        <f>AND('PROG FORM COMPLEM'!S80,"AAAAAH//fhU=")</f>
        <v>#VALUE!</v>
      </c>
      <c r="W259" t="e">
        <f>AND('PROG FORM COMPLEM'!T80,"AAAAAH//fhY=")</f>
        <v>#VALUE!</v>
      </c>
      <c r="X259" t="e">
        <f>AND('PROG FORM COMPLEM'!U80,"AAAAAH//fhc=")</f>
        <v>#VALUE!</v>
      </c>
      <c r="Y259" t="e">
        <f>AND('PROG FORM COMPLEM'!V80,"AAAAAH//fhg=")</f>
        <v>#VALUE!</v>
      </c>
      <c r="Z259" t="e">
        <f>AND('PROG FORM COMPLEM'!W80,"AAAAAH//fhk=")</f>
        <v>#VALUE!</v>
      </c>
      <c r="AA259" t="e">
        <f>IF('PROG FORM COMPLEM'!#REF!,"AAAAAH//fho=",0)</f>
        <v>#REF!</v>
      </c>
      <c r="AB259" t="e">
        <f>AND('PROG FORM COMPLEM'!#REF!,"AAAAAH//fhs=")</f>
        <v>#REF!</v>
      </c>
      <c r="AC259" t="e">
        <f>AND('PROG FORM COMPLEM'!#REF!,"AAAAAH//fhw=")</f>
        <v>#REF!</v>
      </c>
      <c r="AD259" t="e">
        <f>AND('PROG FORM COMPLEM'!#REF!,"AAAAAH//fh0=")</f>
        <v>#REF!</v>
      </c>
      <c r="AE259" t="e">
        <f>AND('PROG FORM COMPLEM'!#REF!,"AAAAAH//fh4=")</f>
        <v>#REF!</v>
      </c>
      <c r="AF259" t="e">
        <f>AND('PROG FORM COMPLEM'!#REF!,"AAAAAH//fh8=")</f>
        <v>#REF!</v>
      </c>
      <c r="AG259" t="e">
        <f>AND('PROG FORM COMPLEM'!#REF!,"AAAAAH//fiA=")</f>
        <v>#REF!</v>
      </c>
      <c r="AH259" t="e">
        <f>AND('PROG FORM COMPLEM'!#REF!,"AAAAAH//fiE=")</f>
        <v>#REF!</v>
      </c>
      <c r="AI259" t="e">
        <f>AND('PROG FORM COMPLEM'!#REF!,"AAAAAH//fiI=")</f>
        <v>#REF!</v>
      </c>
      <c r="AJ259" t="e">
        <f>AND('PROG FORM COMPLEM'!#REF!,"AAAAAH//fiM=")</f>
        <v>#REF!</v>
      </c>
      <c r="AK259" t="e">
        <f>AND('PROG FORM COMPLEM'!#REF!,"AAAAAH//fiQ=")</f>
        <v>#REF!</v>
      </c>
      <c r="AL259" t="e">
        <f>AND('PROG FORM COMPLEM'!#REF!,"AAAAAH//fiU=")</f>
        <v>#REF!</v>
      </c>
      <c r="AM259" t="e">
        <f>AND('PROG FORM COMPLEM'!#REF!,"AAAAAH//fiY=")</f>
        <v>#REF!</v>
      </c>
      <c r="AN259" t="e">
        <f>AND('PROG FORM COMPLEM'!#REF!,"AAAAAH//fic=")</f>
        <v>#REF!</v>
      </c>
      <c r="AO259" t="e">
        <f>AND('PROG FORM COMPLEM'!#REF!,"AAAAAH//fig=")</f>
        <v>#REF!</v>
      </c>
      <c r="AP259" t="e">
        <f>AND('PROG FORM COMPLEM'!#REF!,"AAAAAH//fik=")</f>
        <v>#REF!</v>
      </c>
      <c r="AQ259" t="e">
        <f>AND('PROG FORM COMPLEM'!#REF!,"AAAAAH//fio=")</f>
        <v>#REF!</v>
      </c>
      <c r="AR259" t="e">
        <f>AND('PROG FORM COMPLEM'!#REF!,"AAAAAH//fis=")</f>
        <v>#REF!</v>
      </c>
      <c r="AS259" t="e">
        <f>AND('PROG FORM COMPLEM'!#REF!,"AAAAAH//fiw=")</f>
        <v>#REF!</v>
      </c>
      <c r="AT259" t="e">
        <f>AND('PROG FORM COMPLEM'!#REF!,"AAAAAH//fi0=")</f>
        <v>#REF!</v>
      </c>
      <c r="AU259" t="e">
        <f>AND('PROG FORM COMPLEM'!#REF!,"AAAAAH//fi4=")</f>
        <v>#REF!</v>
      </c>
      <c r="AV259" t="e">
        <f>AND('PROG FORM COMPLEM'!#REF!,"AAAAAH//fi8=")</f>
        <v>#REF!</v>
      </c>
      <c r="AW259" t="e">
        <f>AND('PROG FORM COMPLEM'!#REF!,"AAAAAH//fjA=")</f>
        <v>#REF!</v>
      </c>
      <c r="AX259" t="e">
        <f>IF('PROG FORM COMPLEM'!#REF!,"AAAAAH//fjE=",0)</f>
        <v>#REF!</v>
      </c>
      <c r="AY259" t="e">
        <f>AND('PROG FORM COMPLEM'!#REF!,"AAAAAH//fjI=")</f>
        <v>#REF!</v>
      </c>
      <c r="AZ259" t="e">
        <f>AND('PROG FORM COMPLEM'!#REF!,"AAAAAH//fjM=")</f>
        <v>#REF!</v>
      </c>
      <c r="BA259" t="e">
        <f>AND('PROG FORM COMPLEM'!#REF!,"AAAAAH//fjQ=")</f>
        <v>#REF!</v>
      </c>
      <c r="BB259" t="e">
        <f>AND('PROG FORM COMPLEM'!#REF!,"AAAAAH//fjU=")</f>
        <v>#REF!</v>
      </c>
      <c r="BC259" t="e">
        <f>AND('PROG FORM COMPLEM'!#REF!,"AAAAAH//fjY=")</f>
        <v>#REF!</v>
      </c>
      <c r="BD259" t="e">
        <f>AND('PROG FORM COMPLEM'!#REF!,"AAAAAH//fjc=")</f>
        <v>#REF!</v>
      </c>
      <c r="BE259" t="e">
        <f>AND('PROG FORM COMPLEM'!#REF!,"AAAAAH//fjg=")</f>
        <v>#REF!</v>
      </c>
      <c r="BF259" t="e">
        <f>AND('PROG FORM COMPLEM'!#REF!,"AAAAAH//fjk=")</f>
        <v>#REF!</v>
      </c>
      <c r="BG259" t="e">
        <f>AND('PROG FORM COMPLEM'!#REF!,"AAAAAH//fjo=")</f>
        <v>#REF!</v>
      </c>
      <c r="BH259" t="e">
        <f>AND('PROG FORM COMPLEM'!#REF!,"AAAAAH//fjs=")</f>
        <v>#REF!</v>
      </c>
      <c r="BI259" t="e">
        <f>AND('PROG FORM COMPLEM'!#REF!,"AAAAAH//fjw=")</f>
        <v>#REF!</v>
      </c>
      <c r="BJ259" t="e">
        <f>AND('PROG FORM COMPLEM'!#REF!,"AAAAAH//fj0=")</f>
        <v>#REF!</v>
      </c>
      <c r="BK259" t="e">
        <f>AND('PROG FORM COMPLEM'!#REF!,"AAAAAH//fj4=")</f>
        <v>#REF!</v>
      </c>
      <c r="BL259" t="e">
        <f>AND('PROG FORM COMPLEM'!#REF!,"AAAAAH//fj8=")</f>
        <v>#REF!</v>
      </c>
      <c r="BM259" t="e">
        <f>AND('PROG FORM COMPLEM'!#REF!,"AAAAAH//fkA=")</f>
        <v>#REF!</v>
      </c>
      <c r="BN259" t="e">
        <f>AND('PROG FORM COMPLEM'!#REF!,"AAAAAH//fkE=")</f>
        <v>#REF!</v>
      </c>
      <c r="BO259" t="e">
        <f>AND('PROG FORM COMPLEM'!#REF!,"AAAAAH//fkI=")</f>
        <v>#REF!</v>
      </c>
      <c r="BP259" t="e">
        <f>AND('PROG FORM COMPLEM'!#REF!,"AAAAAH//fkM=")</f>
        <v>#REF!</v>
      </c>
      <c r="BQ259" t="e">
        <f>AND('PROG FORM COMPLEM'!#REF!,"AAAAAH//fkQ=")</f>
        <v>#REF!</v>
      </c>
      <c r="BR259" t="e">
        <f>AND('PROG FORM COMPLEM'!#REF!,"AAAAAH//fkU=")</f>
        <v>#REF!</v>
      </c>
      <c r="BS259" t="e">
        <f>AND('PROG FORM COMPLEM'!#REF!,"AAAAAH//fkY=")</f>
        <v>#REF!</v>
      </c>
      <c r="BT259" t="e">
        <f>AND('PROG FORM COMPLEM'!#REF!,"AAAAAH//fkc=")</f>
        <v>#REF!</v>
      </c>
      <c r="BU259" t="e">
        <f>IF('PROG FORM COMPLEM'!#REF!,"AAAAAH//fkg=",0)</f>
        <v>#REF!</v>
      </c>
      <c r="BV259" t="e">
        <f>AND('PROG FORM COMPLEM'!#REF!,"AAAAAH//fkk=")</f>
        <v>#REF!</v>
      </c>
      <c r="BW259" t="e">
        <f>AND('PROG FORM COMPLEM'!#REF!,"AAAAAH//fko=")</f>
        <v>#REF!</v>
      </c>
      <c r="BX259" t="e">
        <f>AND('PROG FORM COMPLEM'!#REF!,"AAAAAH//fks=")</f>
        <v>#REF!</v>
      </c>
      <c r="BY259" t="e">
        <f>AND('PROG FORM COMPLEM'!#REF!,"AAAAAH//fkw=")</f>
        <v>#REF!</v>
      </c>
      <c r="BZ259" t="e">
        <f>AND('PROG FORM COMPLEM'!#REF!,"AAAAAH//fk0=")</f>
        <v>#REF!</v>
      </c>
      <c r="CA259" t="e">
        <f>AND('PROG FORM COMPLEM'!#REF!,"AAAAAH//fk4=")</f>
        <v>#REF!</v>
      </c>
      <c r="CB259" t="e">
        <f>AND('PROG FORM COMPLEM'!#REF!,"AAAAAH//fk8=")</f>
        <v>#REF!</v>
      </c>
      <c r="CC259" t="e">
        <f>AND('PROG FORM COMPLEM'!#REF!,"AAAAAH//flA=")</f>
        <v>#REF!</v>
      </c>
      <c r="CD259" t="e">
        <f>AND('PROG FORM COMPLEM'!#REF!,"AAAAAH//flE=")</f>
        <v>#REF!</v>
      </c>
      <c r="CE259" t="e">
        <f>AND('PROG FORM COMPLEM'!#REF!,"AAAAAH//flI=")</f>
        <v>#REF!</v>
      </c>
      <c r="CF259" t="e">
        <f>AND('PROG FORM COMPLEM'!#REF!,"AAAAAH//flM=")</f>
        <v>#REF!</v>
      </c>
      <c r="CG259" t="e">
        <f>AND('PROG FORM COMPLEM'!#REF!,"AAAAAH//flQ=")</f>
        <v>#REF!</v>
      </c>
      <c r="CH259" t="e">
        <f>AND('PROG FORM COMPLEM'!#REF!,"AAAAAH//flU=")</f>
        <v>#REF!</v>
      </c>
      <c r="CI259" t="e">
        <f>AND('PROG FORM COMPLEM'!#REF!,"AAAAAH//flY=")</f>
        <v>#REF!</v>
      </c>
      <c r="CJ259" t="e">
        <f>AND('PROG FORM COMPLEM'!#REF!,"AAAAAH//flc=")</f>
        <v>#REF!</v>
      </c>
      <c r="CK259" t="e">
        <f>AND('PROG FORM COMPLEM'!#REF!,"AAAAAH//flg=")</f>
        <v>#REF!</v>
      </c>
      <c r="CL259" t="e">
        <f>AND('PROG FORM COMPLEM'!#REF!,"AAAAAH//flk=")</f>
        <v>#REF!</v>
      </c>
      <c r="CM259" t="e">
        <f>AND('PROG FORM COMPLEM'!#REF!,"AAAAAH//flo=")</f>
        <v>#REF!</v>
      </c>
      <c r="CN259" t="e">
        <f>AND('PROG FORM COMPLEM'!#REF!,"AAAAAH//fls=")</f>
        <v>#REF!</v>
      </c>
      <c r="CO259" t="e">
        <f>AND('PROG FORM COMPLEM'!#REF!,"AAAAAH//flw=")</f>
        <v>#REF!</v>
      </c>
      <c r="CP259" t="e">
        <f>AND('PROG FORM COMPLEM'!#REF!,"AAAAAH//fl0=")</f>
        <v>#REF!</v>
      </c>
      <c r="CQ259" t="e">
        <f>AND('PROG FORM COMPLEM'!#REF!,"AAAAAH//fl4=")</f>
        <v>#REF!</v>
      </c>
      <c r="CR259" t="e">
        <f>IF('PROG FORM COMPLEM'!#REF!,"AAAAAH//fl8=",0)</f>
        <v>#REF!</v>
      </c>
      <c r="CS259" t="e">
        <f>AND('PROG FORM COMPLEM'!#REF!,"AAAAAH//fmA=")</f>
        <v>#REF!</v>
      </c>
      <c r="CT259" t="e">
        <f>AND('PROG FORM COMPLEM'!#REF!,"AAAAAH//fmE=")</f>
        <v>#REF!</v>
      </c>
      <c r="CU259" t="e">
        <f>AND('PROG FORM COMPLEM'!#REF!,"AAAAAH//fmI=")</f>
        <v>#REF!</v>
      </c>
      <c r="CV259" t="e">
        <f>AND('PROG FORM COMPLEM'!#REF!,"AAAAAH//fmM=")</f>
        <v>#REF!</v>
      </c>
      <c r="CW259" t="e">
        <f>AND('PROG FORM COMPLEM'!#REF!,"AAAAAH//fmQ=")</f>
        <v>#REF!</v>
      </c>
      <c r="CX259" t="e">
        <f>AND('PROG FORM COMPLEM'!#REF!,"AAAAAH//fmU=")</f>
        <v>#REF!</v>
      </c>
      <c r="CY259" t="e">
        <f>AND('PROG FORM COMPLEM'!#REF!,"AAAAAH//fmY=")</f>
        <v>#REF!</v>
      </c>
      <c r="CZ259" t="e">
        <f>AND('PROG FORM COMPLEM'!#REF!,"AAAAAH//fmc=")</f>
        <v>#REF!</v>
      </c>
      <c r="DA259" t="e">
        <f>AND('PROG FORM COMPLEM'!#REF!,"AAAAAH//fmg=")</f>
        <v>#REF!</v>
      </c>
      <c r="DB259" t="e">
        <f>AND('PROG FORM COMPLEM'!#REF!,"AAAAAH//fmk=")</f>
        <v>#REF!</v>
      </c>
      <c r="DC259" t="e">
        <f>AND('PROG FORM COMPLEM'!#REF!,"AAAAAH//fmo=")</f>
        <v>#REF!</v>
      </c>
      <c r="DD259" t="e">
        <f>AND('PROG FORM COMPLEM'!#REF!,"AAAAAH//fms=")</f>
        <v>#REF!</v>
      </c>
      <c r="DE259" t="e">
        <f>AND('PROG FORM COMPLEM'!#REF!,"AAAAAH//fmw=")</f>
        <v>#REF!</v>
      </c>
      <c r="DF259" t="e">
        <f>AND('PROG FORM COMPLEM'!#REF!,"AAAAAH//fm0=")</f>
        <v>#REF!</v>
      </c>
      <c r="DG259" t="e">
        <f>AND('PROG FORM COMPLEM'!#REF!,"AAAAAH//fm4=")</f>
        <v>#REF!</v>
      </c>
      <c r="DH259" t="e">
        <f>AND('PROG FORM COMPLEM'!#REF!,"AAAAAH//fm8=")</f>
        <v>#REF!</v>
      </c>
      <c r="DI259" t="e">
        <f>AND('PROG FORM COMPLEM'!#REF!,"AAAAAH//fnA=")</f>
        <v>#REF!</v>
      </c>
      <c r="DJ259" t="e">
        <f>AND('PROG FORM COMPLEM'!#REF!,"AAAAAH//fnE=")</f>
        <v>#REF!</v>
      </c>
      <c r="DK259" t="e">
        <f>AND('PROG FORM COMPLEM'!#REF!,"AAAAAH//fnI=")</f>
        <v>#REF!</v>
      </c>
      <c r="DL259" t="e">
        <f>AND('PROG FORM COMPLEM'!#REF!,"AAAAAH//fnM=")</f>
        <v>#REF!</v>
      </c>
      <c r="DM259" t="e">
        <f>AND('PROG FORM COMPLEM'!#REF!,"AAAAAH//fnQ=")</f>
        <v>#REF!</v>
      </c>
      <c r="DN259" t="e">
        <f>AND('PROG FORM COMPLEM'!#REF!,"AAAAAH//fnU=")</f>
        <v>#REF!</v>
      </c>
      <c r="DO259" t="e">
        <f>IF('PROG FORM COMPLEM'!#REF!,"AAAAAH//fnY=",0)</f>
        <v>#REF!</v>
      </c>
      <c r="DP259" t="e">
        <f>AND('PROG FORM COMPLEM'!#REF!,"AAAAAH//fnc=")</f>
        <v>#REF!</v>
      </c>
      <c r="DQ259" t="e">
        <f>AND('PROG FORM COMPLEM'!#REF!,"AAAAAH//fng=")</f>
        <v>#REF!</v>
      </c>
      <c r="DR259" t="e">
        <f>AND('PROG FORM COMPLEM'!#REF!,"AAAAAH//fnk=")</f>
        <v>#REF!</v>
      </c>
      <c r="DS259" t="e">
        <f>AND('PROG FORM COMPLEM'!#REF!,"AAAAAH//fno=")</f>
        <v>#REF!</v>
      </c>
      <c r="DT259" t="e">
        <f>AND('PROG FORM COMPLEM'!#REF!,"AAAAAH//fns=")</f>
        <v>#REF!</v>
      </c>
      <c r="DU259" t="e">
        <f>AND('PROG FORM COMPLEM'!#REF!,"AAAAAH//fnw=")</f>
        <v>#REF!</v>
      </c>
      <c r="DV259" t="e">
        <f>AND('PROG FORM COMPLEM'!#REF!,"AAAAAH//fn0=")</f>
        <v>#REF!</v>
      </c>
      <c r="DW259" t="e">
        <f>AND('PROG FORM COMPLEM'!#REF!,"AAAAAH//fn4=")</f>
        <v>#REF!</v>
      </c>
      <c r="DX259" t="e">
        <f>AND('PROG FORM COMPLEM'!#REF!,"AAAAAH//fn8=")</f>
        <v>#REF!</v>
      </c>
      <c r="DY259" t="e">
        <f>AND('PROG FORM COMPLEM'!#REF!,"AAAAAH//foA=")</f>
        <v>#REF!</v>
      </c>
      <c r="DZ259" t="e">
        <f>AND('PROG FORM COMPLEM'!#REF!,"AAAAAH//foE=")</f>
        <v>#REF!</v>
      </c>
      <c r="EA259" t="e">
        <f>AND('PROG FORM COMPLEM'!#REF!,"AAAAAH//foI=")</f>
        <v>#REF!</v>
      </c>
      <c r="EB259" t="e">
        <f>AND('PROG FORM COMPLEM'!#REF!,"AAAAAH//foM=")</f>
        <v>#REF!</v>
      </c>
      <c r="EC259" t="e">
        <f>AND('PROG FORM COMPLEM'!#REF!,"AAAAAH//foQ=")</f>
        <v>#REF!</v>
      </c>
      <c r="ED259" t="e">
        <f>AND('PROG FORM COMPLEM'!#REF!,"AAAAAH//foU=")</f>
        <v>#REF!</v>
      </c>
      <c r="EE259" t="e">
        <f>AND('PROG FORM COMPLEM'!#REF!,"AAAAAH//foY=")</f>
        <v>#REF!</v>
      </c>
      <c r="EF259" t="e">
        <f>AND('PROG FORM COMPLEM'!#REF!,"AAAAAH//foc=")</f>
        <v>#REF!</v>
      </c>
      <c r="EG259" t="e">
        <f>AND('PROG FORM COMPLEM'!#REF!,"AAAAAH//fog=")</f>
        <v>#REF!</v>
      </c>
      <c r="EH259" t="e">
        <f>AND('PROG FORM COMPLEM'!#REF!,"AAAAAH//fok=")</f>
        <v>#REF!</v>
      </c>
      <c r="EI259" t="e">
        <f>AND('PROG FORM COMPLEM'!#REF!,"AAAAAH//foo=")</f>
        <v>#REF!</v>
      </c>
      <c r="EJ259" t="e">
        <f>AND('PROG FORM COMPLEM'!#REF!,"AAAAAH//fos=")</f>
        <v>#REF!</v>
      </c>
      <c r="EK259" t="e">
        <f>AND('PROG FORM COMPLEM'!#REF!,"AAAAAH//fow=")</f>
        <v>#REF!</v>
      </c>
      <c r="EL259" t="e">
        <f>IF('PROG FORM COMPLEM'!#REF!,"AAAAAH//fo0=",0)</f>
        <v>#REF!</v>
      </c>
      <c r="EM259" t="e">
        <f>AND('PROG FORM COMPLEM'!#REF!,"AAAAAH//fo4=")</f>
        <v>#REF!</v>
      </c>
      <c r="EN259" t="e">
        <f>AND('PROG FORM COMPLEM'!#REF!,"AAAAAH//fo8=")</f>
        <v>#REF!</v>
      </c>
      <c r="EO259" t="e">
        <f>AND('PROG FORM COMPLEM'!#REF!,"AAAAAH//fpA=")</f>
        <v>#REF!</v>
      </c>
      <c r="EP259" t="e">
        <f>AND('PROG FORM COMPLEM'!#REF!,"AAAAAH//fpE=")</f>
        <v>#REF!</v>
      </c>
      <c r="EQ259" t="e">
        <f>AND('PROG FORM COMPLEM'!#REF!,"AAAAAH//fpI=")</f>
        <v>#REF!</v>
      </c>
      <c r="ER259" t="e">
        <f>AND('PROG FORM COMPLEM'!#REF!,"AAAAAH//fpM=")</f>
        <v>#REF!</v>
      </c>
      <c r="ES259" t="e">
        <f>AND('PROG FORM COMPLEM'!#REF!,"AAAAAH//fpQ=")</f>
        <v>#REF!</v>
      </c>
      <c r="ET259" t="e">
        <f>AND('PROG FORM COMPLEM'!#REF!,"AAAAAH//fpU=")</f>
        <v>#REF!</v>
      </c>
      <c r="EU259" t="e">
        <f>AND('PROG FORM COMPLEM'!#REF!,"AAAAAH//fpY=")</f>
        <v>#REF!</v>
      </c>
      <c r="EV259" t="e">
        <f>AND('PROG FORM COMPLEM'!#REF!,"AAAAAH//fpc=")</f>
        <v>#REF!</v>
      </c>
      <c r="EW259" t="e">
        <f>AND('PROG FORM COMPLEM'!#REF!,"AAAAAH//fpg=")</f>
        <v>#REF!</v>
      </c>
      <c r="EX259" t="e">
        <f>AND('PROG FORM COMPLEM'!#REF!,"AAAAAH//fpk=")</f>
        <v>#REF!</v>
      </c>
      <c r="EY259" t="e">
        <f>AND('PROG FORM COMPLEM'!#REF!,"AAAAAH//fpo=")</f>
        <v>#REF!</v>
      </c>
      <c r="EZ259" t="e">
        <f>AND('PROG FORM COMPLEM'!#REF!,"AAAAAH//fps=")</f>
        <v>#REF!</v>
      </c>
      <c r="FA259" t="e">
        <f>AND('PROG FORM COMPLEM'!#REF!,"AAAAAH//fpw=")</f>
        <v>#REF!</v>
      </c>
      <c r="FB259" t="e">
        <f>AND('PROG FORM COMPLEM'!#REF!,"AAAAAH//fp0=")</f>
        <v>#REF!</v>
      </c>
      <c r="FC259" t="e">
        <f>AND('PROG FORM COMPLEM'!#REF!,"AAAAAH//fp4=")</f>
        <v>#REF!</v>
      </c>
      <c r="FD259" t="e">
        <f>AND('PROG FORM COMPLEM'!#REF!,"AAAAAH//fp8=")</f>
        <v>#REF!</v>
      </c>
      <c r="FE259" t="e">
        <f>AND('PROG FORM COMPLEM'!#REF!,"AAAAAH//fqA=")</f>
        <v>#REF!</v>
      </c>
      <c r="FF259" t="e">
        <f>AND('PROG FORM COMPLEM'!#REF!,"AAAAAH//fqE=")</f>
        <v>#REF!</v>
      </c>
      <c r="FG259" t="e">
        <f>AND('PROG FORM COMPLEM'!#REF!,"AAAAAH//fqI=")</f>
        <v>#REF!</v>
      </c>
      <c r="FH259" t="e">
        <f>AND('PROG FORM COMPLEM'!#REF!,"AAAAAH//fqM=")</f>
        <v>#REF!</v>
      </c>
      <c r="FI259" t="e">
        <f>IF('PROG FORM COMPLEM'!#REF!,"AAAAAH//fqQ=",0)</f>
        <v>#REF!</v>
      </c>
      <c r="FJ259" t="e">
        <f>AND('PROG FORM COMPLEM'!#REF!,"AAAAAH//fqU=")</f>
        <v>#REF!</v>
      </c>
      <c r="FK259" t="e">
        <f>AND('PROG FORM COMPLEM'!#REF!,"AAAAAH//fqY=")</f>
        <v>#REF!</v>
      </c>
      <c r="FL259" t="e">
        <f>AND('PROG FORM COMPLEM'!#REF!,"AAAAAH//fqc=")</f>
        <v>#REF!</v>
      </c>
      <c r="FM259" t="e">
        <f>AND('PROG FORM COMPLEM'!#REF!,"AAAAAH//fqg=")</f>
        <v>#REF!</v>
      </c>
      <c r="FN259" t="e">
        <f>AND('PROG FORM COMPLEM'!#REF!,"AAAAAH//fqk=")</f>
        <v>#REF!</v>
      </c>
      <c r="FO259" t="e">
        <f>AND('PROG FORM COMPLEM'!#REF!,"AAAAAH//fqo=")</f>
        <v>#REF!</v>
      </c>
      <c r="FP259" t="e">
        <f>AND('PROG FORM COMPLEM'!#REF!,"AAAAAH//fqs=")</f>
        <v>#REF!</v>
      </c>
      <c r="FQ259" t="e">
        <f>AND('PROG FORM COMPLEM'!#REF!,"AAAAAH//fqw=")</f>
        <v>#REF!</v>
      </c>
      <c r="FR259" t="e">
        <f>AND('PROG FORM COMPLEM'!#REF!,"AAAAAH//fq0=")</f>
        <v>#REF!</v>
      </c>
      <c r="FS259" t="e">
        <f>AND('PROG FORM COMPLEM'!#REF!,"AAAAAH//fq4=")</f>
        <v>#REF!</v>
      </c>
      <c r="FT259" t="e">
        <f>AND('PROG FORM COMPLEM'!#REF!,"AAAAAH//fq8=")</f>
        <v>#REF!</v>
      </c>
      <c r="FU259" t="e">
        <f>AND('PROG FORM COMPLEM'!#REF!,"AAAAAH//frA=")</f>
        <v>#REF!</v>
      </c>
      <c r="FV259" t="e">
        <f>AND('PROG FORM COMPLEM'!#REF!,"AAAAAH//frE=")</f>
        <v>#REF!</v>
      </c>
      <c r="FW259" t="e">
        <f>AND('PROG FORM COMPLEM'!#REF!,"AAAAAH//frI=")</f>
        <v>#REF!</v>
      </c>
      <c r="FX259" t="e">
        <f>AND('PROG FORM COMPLEM'!#REF!,"AAAAAH//frM=")</f>
        <v>#REF!</v>
      </c>
      <c r="FY259" t="e">
        <f>AND('PROG FORM COMPLEM'!#REF!,"AAAAAH//frQ=")</f>
        <v>#REF!</v>
      </c>
      <c r="FZ259" t="e">
        <f>AND('PROG FORM COMPLEM'!#REF!,"AAAAAH//frU=")</f>
        <v>#REF!</v>
      </c>
      <c r="GA259" t="e">
        <f>AND('PROG FORM COMPLEM'!#REF!,"AAAAAH//frY=")</f>
        <v>#REF!</v>
      </c>
      <c r="GB259" t="e">
        <f>AND('PROG FORM COMPLEM'!#REF!,"AAAAAH//frc=")</f>
        <v>#REF!</v>
      </c>
      <c r="GC259" t="e">
        <f>AND('PROG FORM COMPLEM'!#REF!,"AAAAAH//frg=")</f>
        <v>#REF!</v>
      </c>
      <c r="GD259" t="e">
        <f>AND('PROG FORM COMPLEM'!#REF!,"AAAAAH//frk=")</f>
        <v>#REF!</v>
      </c>
      <c r="GE259" t="e">
        <f>AND('PROG FORM COMPLEM'!#REF!,"AAAAAH//fro=")</f>
        <v>#REF!</v>
      </c>
      <c r="GF259" t="e">
        <f>IF('PROG FORM COMPLEM'!#REF!,"AAAAAH//frs=",0)</f>
        <v>#REF!</v>
      </c>
      <c r="GG259" t="e">
        <f>AND('PROG FORM COMPLEM'!#REF!,"AAAAAH//frw=")</f>
        <v>#REF!</v>
      </c>
      <c r="GH259" t="e">
        <f>AND('PROG FORM COMPLEM'!#REF!,"AAAAAH//fr0=")</f>
        <v>#REF!</v>
      </c>
      <c r="GI259" t="e">
        <f>AND('PROG FORM COMPLEM'!#REF!,"AAAAAH//fr4=")</f>
        <v>#REF!</v>
      </c>
      <c r="GJ259" t="e">
        <f>AND('PROG FORM COMPLEM'!#REF!,"AAAAAH//fr8=")</f>
        <v>#REF!</v>
      </c>
      <c r="GK259" t="e">
        <f>AND('PROG FORM COMPLEM'!#REF!,"AAAAAH//fsA=")</f>
        <v>#REF!</v>
      </c>
      <c r="GL259" t="e">
        <f>AND('PROG FORM COMPLEM'!#REF!,"AAAAAH//fsE=")</f>
        <v>#REF!</v>
      </c>
      <c r="GM259" t="e">
        <f>AND('PROG FORM COMPLEM'!#REF!,"AAAAAH//fsI=")</f>
        <v>#REF!</v>
      </c>
      <c r="GN259" t="e">
        <f>AND('PROG FORM COMPLEM'!#REF!,"AAAAAH//fsM=")</f>
        <v>#REF!</v>
      </c>
      <c r="GO259" t="e">
        <f>AND('PROG FORM COMPLEM'!#REF!,"AAAAAH//fsQ=")</f>
        <v>#REF!</v>
      </c>
      <c r="GP259" t="e">
        <f>AND('PROG FORM COMPLEM'!#REF!,"AAAAAH//fsU=")</f>
        <v>#REF!</v>
      </c>
      <c r="GQ259" t="e">
        <f>AND('PROG FORM COMPLEM'!#REF!,"AAAAAH//fsY=")</f>
        <v>#REF!</v>
      </c>
      <c r="GR259" t="e">
        <f>AND('PROG FORM COMPLEM'!#REF!,"AAAAAH//fsc=")</f>
        <v>#REF!</v>
      </c>
      <c r="GS259" t="e">
        <f>AND('PROG FORM COMPLEM'!#REF!,"AAAAAH//fsg=")</f>
        <v>#REF!</v>
      </c>
      <c r="GT259" t="e">
        <f>AND('PROG FORM COMPLEM'!#REF!,"AAAAAH//fsk=")</f>
        <v>#REF!</v>
      </c>
      <c r="GU259" t="e">
        <f>AND('PROG FORM COMPLEM'!#REF!,"AAAAAH//fso=")</f>
        <v>#REF!</v>
      </c>
      <c r="GV259" t="e">
        <f>AND('PROG FORM COMPLEM'!#REF!,"AAAAAH//fss=")</f>
        <v>#REF!</v>
      </c>
      <c r="GW259" t="e">
        <f>AND('PROG FORM COMPLEM'!#REF!,"AAAAAH//fsw=")</f>
        <v>#REF!</v>
      </c>
      <c r="GX259" t="e">
        <f>AND('PROG FORM COMPLEM'!#REF!,"AAAAAH//fs0=")</f>
        <v>#REF!</v>
      </c>
      <c r="GY259" t="e">
        <f>AND('PROG FORM COMPLEM'!#REF!,"AAAAAH//fs4=")</f>
        <v>#REF!</v>
      </c>
      <c r="GZ259" t="e">
        <f>AND('PROG FORM COMPLEM'!#REF!,"AAAAAH//fs8=")</f>
        <v>#REF!</v>
      </c>
      <c r="HA259" t="e">
        <f>AND('PROG FORM COMPLEM'!#REF!,"AAAAAH//ftA=")</f>
        <v>#REF!</v>
      </c>
      <c r="HB259" t="e">
        <f>AND('PROG FORM COMPLEM'!#REF!,"AAAAAH//ftE=")</f>
        <v>#REF!</v>
      </c>
      <c r="HC259" t="e">
        <f>IF('PROG FORM COMPLEM'!#REF!,"AAAAAH//ftI=",0)</f>
        <v>#REF!</v>
      </c>
      <c r="HD259" t="e">
        <f>AND('PROG FORM COMPLEM'!#REF!,"AAAAAH//ftM=")</f>
        <v>#REF!</v>
      </c>
      <c r="HE259" t="e">
        <f>AND('PROG FORM COMPLEM'!#REF!,"AAAAAH//ftQ=")</f>
        <v>#REF!</v>
      </c>
      <c r="HF259" t="e">
        <f>AND('PROG FORM COMPLEM'!#REF!,"AAAAAH//ftU=")</f>
        <v>#REF!</v>
      </c>
      <c r="HG259" t="e">
        <f>AND('PROG FORM COMPLEM'!#REF!,"AAAAAH//ftY=")</f>
        <v>#REF!</v>
      </c>
      <c r="HH259" t="e">
        <f>AND('PROG FORM COMPLEM'!#REF!,"AAAAAH//ftc=")</f>
        <v>#REF!</v>
      </c>
      <c r="HI259" t="e">
        <f>AND('PROG FORM COMPLEM'!#REF!,"AAAAAH//ftg=")</f>
        <v>#REF!</v>
      </c>
      <c r="HJ259" t="e">
        <f>AND('PROG FORM COMPLEM'!#REF!,"AAAAAH//ftk=")</f>
        <v>#REF!</v>
      </c>
      <c r="HK259" t="e">
        <f>AND('PROG FORM COMPLEM'!#REF!,"AAAAAH//fto=")</f>
        <v>#REF!</v>
      </c>
      <c r="HL259" t="e">
        <f>AND('PROG FORM COMPLEM'!#REF!,"AAAAAH//fts=")</f>
        <v>#REF!</v>
      </c>
      <c r="HM259" t="e">
        <f>AND('PROG FORM COMPLEM'!#REF!,"AAAAAH//ftw=")</f>
        <v>#REF!</v>
      </c>
      <c r="HN259" t="e">
        <f>AND('PROG FORM COMPLEM'!#REF!,"AAAAAH//ft0=")</f>
        <v>#REF!</v>
      </c>
      <c r="HO259" t="e">
        <f>AND('PROG FORM COMPLEM'!#REF!,"AAAAAH//ft4=")</f>
        <v>#REF!</v>
      </c>
      <c r="HP259" t="e">
        <f>AND('PROG FORM COMPLEM'!#REF!,"AAAAAH//ft8=")</f>
        <v>#REF!</v>
      </c>
      <c r="HQ259" t="e">
        <f>AND('PROG FORM COMPLEM'!#REF!,"AAAAAH//fuA=")</f>
        <v>#REF!</v>
      </c>
      <c r="HR259" t="e">
        <f>AND('PROG FORM COMPLEM'!#REF!,"AAAAAH//fuE=")</f>
        <v>#REF!</v>
      </c>
      <c r="HS259" t="e">
        <f>AND('PROG FORM COMPLEM'!#REF!,"AAAAAH//fuI=")</f>
        <v>#REF!</v>
      </c>
      <c r="HT259" t="e">
        <f>AND('PROG FORM COMPLEM'!#REF!,"AAAAAH//fuM=")</f>
        <v>#REF!</v>
      </c>
      <c r="HU259" t="e">
        <f>AND('PROG FORM COMPLEM'!#REF!,"AAAAAH//fuQ=")</f>
        <v>#REF!</v>
      </c>
      <c r="HV259" t="e">
        <f>AND('PROG FORM COMPLEM'!#REF!,"AAAAAH//fuU=")</f>
        <v>#REF!</v>
      </c>
      <c r="HW259" t="e">
        <f>AND('PROG FORM COMPLEM'!#REF!,"AAAAAH//fuY=")</f>
        <v>#REF!</v>
      </c>
      <c r="HX259" t="e">
        <f>AND('PROG FORM COMPLEM'!#REF!,"AAAAAH//fuc=")</f>
        <v>#REF!</v>
      </c>
      <c r="HY259" t="e">
        <f>AND('PROG FORM COMPLEM'!#REF!,"AAAAAH//fug=")</f>
        <v>#REF!</v>
      </c>
      <c r="HZ259" t="e">
        <f>IF('PROG FORM COMPLEM'!#REF!,"AAAAAH//fuk=",0)</f>
        <v>#REF!</v>
      </c>
      <c r="IA259" t="e">
        <f>AND('PROG FORM COMPLEM'!#REF!,"AAAAAH//fuo=")</f>
        <v>#REF!</v>
      </c>
      <c r="IB259" t="e">
        <f>AND('PROG FORM COMPLEM'!#REF!,"AAAAAH//fus=")</f>
        <v>#REF!</v>
      </c>
      <c r="IC259" t="e">
        <f>AND('PROG FORM COMPLEM'!#REF!,"AAAAAH//fuw=")</f>
        <v>#REF!</v>
      </c>
      <c r="ID259" t="e">
        <f>AND('PROG FORM COMPLEM'!#REF!,"AAAAAH//fu0=")</f>
        <v>#REF!</v>
      </c>
      <c r="IE259" t="e">
        <f>AND('PROG FORM COMPLEM'!#REF!,"AAAAAH//fu4=")</f>
        <v>#REF!</v>
      </c>
      <c r="IF259" t="e">
        <f>AND('PROG FORM COMPLEM'!#REF!,"AAAAAH//fu8=")</f>
        <v>#REF!</v>
      </c>
      <c r="IG259" t="e">
        <f>AND('PROG FORM COMPLEM'!#REF!,"AAAAAH//fvA=")</f>
        <v>#REF!</v>
      </c>
      <c r="IH259" t="e">
        <f>AND('PROG FORM COMPLEM'!#REF!,"AAAAAH//fvE=")</f>
        <v>#REF!</v>
      </c>
      <c r="II259" t="e">
        <f>AND('PROG FORM COMPLEM'!#REF!,"AAAAAH//fvI=")</f>
        <v>#REF!</v>
      </c>
      <c r="IJ259" t="e">
        <f>AND('PROG FORM COMPLEM'!#REF!,"AAAAAH//fvM=")</f>
        <v>#REF!</v>
      </c>
      <c r="IK259" t="e">
        <f>AND('PROG FORM COMPLEM'!#REF!,"AAAAAH//fvQ=")</f>
        <v>#REF!</v>
      </c>
      <c r="IL259" t="e">
        <f>AND('PROG FORM COMPLEM'!#REF!,"AAAAAH//fvU=")</f>
        <v>#REF!</v>
      </c>
      <c r="IM259" t="e">
        <f>AND('PROG FORM COMPLEM'!#REF!,"AAAAAH//fvY=")</f>
        <v>#REF!</v>
      </c>
      <c r="IN259" t="e">
        <f>AND('PROG FORM COMPLEM'!#REF!,"AAAAAH//fvc=")</f>
        <v>#REF!</v>
      </c>
      <c r="IO259" t="e">
        <f>AND('PROG FORM COMPLEM'!#REF!,"AAAAAH//fvg=")</f>
        <v>#REF!</v>
      </c>
      <c r="IP259" t="e">
        <f>AND('PROG FORM COMPLEM'!#REF!,"AAAAAH//fvk=")</f>
        <v>#REF!</v>
      </c>
      <c r="IQ259" t="e">
        <f>AND('PROG FORM COMPLEM'!#REF!,"AAAAAH//fvo=")</f>
        <v>#REF!</v>
      </c>
      <c r="IR259" t="e">
        <f>AND('PROG FORM COMPLEM'!#REF!,"AAAAAH//fvs=")</f>
        <v>#REF!</v>
      </c>
      <c r="IS259" t="e">
        <f>AND('PROG FORM COMPLEM'!#REF!,"AAAAAH//fvw=")</f>
        <v>#REF!</v>
      </c>
      <c r="IT259" t="e">
        <f>AND('PROG FORM COMPLEM'!#REF!,"AAAAAH//fv0=")</f>
        <v>#REF!</v>
      </c>
      <c r="IU259" t="e">
        <f>AND('PROG FORM COMPLEM'!#REF!,"AAAAAH//fv4=")</f>
        <v>#REF!</v>
      </c>
      <c r="IV259" t="e">
        <f>AND('PROG FORM COMPLEM'!#REF!,"AAAAAH//fv8=")</f>
        <v>#REF!</v>
      </c>
    </row>
    <row r="260" spans="1:256" x14ac:dyDescent="0.2">
      <c r="A260" t="e">
        <f>IF('PROG FORM COMPLEM'!#REF!,"AAAAAE5q9wA=",0)</f>
        <v>#REF!</v>
      </c>
      <c r="B260" t="e">
        <f>AND('PROG FORM COMPLEM'!#REF!,"AAAAAE5q9wE=")</f>
        <v>#REF!</v>
      </c>
      <c r="C260" t="e">
        <f>AND('PROG FORM COMPLEM'!#REF!,"AAAAAE5q9wI=")</f>
        <v>#REF!</v>
      </c>
      <c r="D260" t="e">
        <f>AND('PROG FORM COMPLEM'!#REF!,"AAAAAE5q9wM=")</f>
        <v>#REF!</v>
      </c>
      <c r="E260" t="e">
        <f>AND('PROG FORM COMPLEM'!#REF!,"AAAAAE5q9wQ=")</f>
        <v>#REF!</v>
      </c>
      <c r="F260" t="e">
        <f>AND('PROG FORM COMPLEM'!#REF!,"AAAAAE5q9wU=")</f>
        <v>#REF!</v>
      </c>
      <c r="G260" t="e">
        <f>AND('PROG FORM COMPLEM'!#REF!,"AAAAAE5q9wY=")</f>
        <v>#REF!</v>
      </c>
      <c r="H260" t="e">
        <f>AND('PROG FORM COMPLEM'!#REF!,"AAAAAE5q9wc=")</f>
        <v>#REF!</v>
      </c>
      <c r="I260" t="e">
        <f>AND('PROG FORM COMPLEM'!#REF!,"AAAAAE5q9wg=")</f>
        <v>#REF!</v>
      </c>
      <c r="J260" t="e">
        <f>AND('PROG FORM COMPLEM'!#REF!,"AAAAAE5q9wk=")</f>
        <v>#REF!</v>
      </c>
      <c r="K260" t="e">
        <f>AND('PROG FORM COMPLEM'!#REF!,"AAAAAE5q9wo=")</f>
        <v>#REF!</v>
      </c>
      <c r="L260" t="e">
        <f>AND('PROG FORM COMPLEM'!#REF!,"AAAAAE5q9ws=")</f>
        <v>#REF!</v>
      </c>
      <c r="M260" t="e">
        <f>AND('PROG FORM COMPLEM'!#REF!,"AAAAAE5q9ww=")</f>
        <v>#REF!</v>
      </c>
      <c r="N260" t="e">
        <f>AND('PROG FORM COMPLEM'!#REF!,"AAAAAE5q9w0=")</f>
        <v>#REF!</v>
      </c>
      <c r="O260" t="e">
        <f>AND('PROG FORM COMPLEM'!#REF!,"AAAAAE5q9w4=")</f>
        <v>#REF!</v>
      </c>
      <c r="P260" t="e">
        <f>AND('PROG FORM COMPLEM'!#REF!,"AAAAAE5q9w8=")</f>
        <v>#REF!</v>
      </c>
      <c r="Q260" t="e">
        <f>AND('PROG FORM COMPLEM'!#REF!,"AAAAAE5q9xA=")</f>
        <v>#REF!</v>
      </c>
      <c r="R260" t="e">
        <f>AND('PROG FORM COMPLEM'!#REF!,"AAAAAE5q9xE=")</f>
        <v>#REF!</v>
      </c>
      <c r="S260" t="e">
        <f>AND('PROG FORM COMPLEM'!#REF!,"AAAAAE5q9xI=")</f>
        <v>#REF!</v>
      </c>
      <c r="T260" t="e">
        <f>AND('PROG FORM COMPLEM'!#REF!,"AAAAAE5q9xM=")</f>
        <v>#REF!</v>
      </c>
      <c r="U260" t="e">
        <f>AND('PROG FORM COMPLEM'!#REF!,"AAAAAE5q9xQ=")</f>
        <v>#REF!</v>
      </c>
      <c r="V260" t="e">
        <f>AND('PROG FORM COMPLEM'!#REF!,"AAAAAE5q9xU=")</f>
        <v>#REF!</v>
      </c>
      <c r="W260" t="e">
        <f>AND('PROG FORM COMPLEM'!#REF!,"AAAAAE5q9xY=")</f>
        <v>#REF!</v>
      </c>
      <c r="X260" t="e">
        <f>IF('PROG FORM COMPLEM'!#REF!,"AAAAAE5q9xc=",0)</f>
        <v>#REF!</v>
      </c>
      <c r="Y260" t="e">
        <f>AND('PROG FORM COMPLEM'!#REF!,"AAAAAE5q9xg=")</f>
        <v>#REF!</v>
      </c>
      <c r="Z260" t="e">
        <f>AND('PROG FORM COMPLEM'!#REF!,"AAAAAE5q9xk=")</f>
        <v>#REF!</v>
      </c>
      <c r="AA260" t="e">
        <f>AND('PROG FORM COMPLEM'!#REF!,"AAAAAE5q9xo=")</f>
        <v>#REF!</v>
      </c>
      <c r="AB260" t="e">
        <f>AND('PROG FORM COMPLEM'!#REF!,"AAAAAE5q9xs=")</f>
        <v>#REF!</v>
      </c>
      <c r="AC260" t="e">
        <f>AND('PROG FORM COMPLEM'!#REF!,"AAAAAE5q9xw=")</f>
        <v>#REF!</v>
      </c>
      <c r="AD260" t="e">
        <f>AND('PROG FORM COMPLEM'!#REF!,"AAAAAE5q9x0=")</f>
        <v>#REF!</v>
      </c>
      <c r="AE260" t="e">
        <f>AND('PROG FORM COMPLEM'!#REF!,"AAAAAE5q9x4=")</f>
        <v>#REF!</v>
      </c>
      <c r="AF260" t="e">
        <f>AND('PROG FORM COMPLEM'!#REF!,"AAAAAE5q9x8=")</f>
        <v>#REF!</v>
      </c>
      <c r="AG260" t="e">
        <f>AND('PROG FORM COMPLEM'!#REF!,"AAAAAE5q9yA=")</f>
        <v>#REF!</v>
      </c>
      <c r="AH260" t="e">
        <f>AND('PROG FORM COMPLEM'!#REF!,"AAAAAE5q9yE=")</f>
        <v>#REF!</v>
      </c>
      <c r="AI260" t="e">
        <f>AND('PROG FORM COMPLEM'!#REF!,"AAAAAE5q9yI=")</f>
        <v>#REF!</v>
      </c>
      <c r="AJ260" t="e">
        <f>AND('PROG FORM COMPLEM'!#REF!,"AAAAAE5q9yM=")</f>
        <v>#REF!</v>
      </c>
      <c r="AK260" t="e">
        <f>AND('PROG FORM COMPLEM'!#REF!,"AAAAAE5q9yQ=")</f>
        <v>#REF!</v>
      </c>
      <c r="AL260" t="e">
        <f>AND('PROG FORM COMPLEM'!#REF!,"AAAAAE5q9yU=")</f>
        <v>#REF!</v>
      </c>
      <c r="AM260" t="e">
        <f>AND('PROG FORM COMPLEM'!#REF!,"AAAAAE5q9yY=")</f>
        <v>#REF!</v>
      </c>
      <c r="AN260" t="e">
        <f>AND('PROG FORM COMPLEM'!#REF!,"AAAAAE5q9yc=")</f>
        <v>#REF!</v>
      </c>
      <c r="AO260" t="e">
        <f>AND('PROG FORM COMPLEM'!#REF!,"AAAAAE5q9yg=")</f>
        <v>#REF!</v>
      </c>
      <c r="AP260" t="e">
        <f>AND('PROG FORM COMPLEM'!#REF!,"AAAAAE5q9yk=")</f>
        <v>#REF!</v>
      </c>
      <c r="AQ260" t="e">
        <f>AND('PROG FORM COMPLEM'!#REF!,"AAAAAE5q9yo=")</f>
        <v>#REF!</v>
      </c>
      <c r="AR260" t="e">
        <f>AND('PROG FORM COMPLEM'!#REF!,"AAAAAE5q9ys=")</f>
        <v>#REF!</v>
      </c>
      <c r="AS260" t="e">
        <f>AND('PROG FORM COMPLEM'!#REF!,"AAAAAE5q9yw=")</f>
        <v>#REF!</v>
      </c>
      <c r="AT260" t="e">
        <f>AND('PROG FORM COMPLEM'!#REF!,"AAAAAE5q9y0=")</f>
        <v>#REF!</v>
      </c>
      <c r="AU260" t="e">
        <f>IF('PROG FORM COMPLEM'!#REF!,"AAAAAE5q9y4=",0)</f>
        <v>#REF!</v>
      </c>
      <c r="AV260" t="e">
        <f>AND('PROG FORM COMPLEM'!#REF!,"AAAAAE5q9y8=")</f>
        <v>#REF!</v>
      </c>
      <c r="AW260" t="e">
        <f>AND('PROG FORM COMPLEM'!#REF!,"AAAAAE5q9zA=")</f>
        <v>#REF!</v>
      </c>
      <c r="AX260" t="e">
        <f>AND('PROG FORM COMPLEM'!#REF!,"AAAAAE5q9zE=")</f>
        <v>#REF!</v>
      </c>
      <c r="AY260" t="e">
        <f>AND('PROG FORM COMPLEM'!#REF!,"AAAAAE5q9zI=")</f>
        <v>#REF!</v>
      </c>
      <c r="AZ260" t="e">
        <f>AND('PROG FORM COMPLEM'!#REF!,"AAAAAE5q9zM=")</f>
        <v>#REF!</v>
      </c>
      <c r="BA260" t="e">
        <f>AND('PROG FORM COMPLEM'!#REF!,"AAAAAE5q9zQ=")</f>
        <v>#REF!</v>
      </c>
      <c r="BB260" t="e">
        <f>AND('PROG FORM COMPLEM'!#REF!,"AAAAAE5q9zU=")</f>
        <v>#REF!</v>
      </c>
      <c r="BC260" t="e">
        <f>AND('PROG FORM COMPLEM'!#REF!,"AAAAAE5q9zY=")</f>
        <v>#REF!</v>
      </c>
      <c r="BD260" t="e">
        <f>AND('PROG FORM COMPLEM'!#REF!,"AAAAAE5q9zc=")</f>
        <v>#REF!</v>
      </c>
      <c r="BE260" t="e">
        <f>AND('PROG FORM COMPLEM'!#REF!,"AAAAAE5q9zg=")</f>
        <v>#REF!</v>
      </c>
      <c r="BF260" t="e">
        <f>AND('PROG FORM COMPLEM'!#REF!,"AAAAAE5q9zk=")</f>
        <v>#REF!</v>
      </c>
      <c r="BG260" t="e">
        <f>AND('PROG FORM COMPLEM'!#REF!,"AAAAAE5q9zo=")</f>
        <v>#REF!</v>
      </c>
      <c r="BH260" t="e">
        <f>AND('PROG FORM COMPLEM'!#REF!,"AAAAAE5q9zs=")</f>
        <v>#REF!</v>
      </c>
      <c r="BI260" t="e">
        <f>AND('PROG FORM COMPLEM'!#REF!,"AAAAAE5q9zw=")</f>
        <v>#REF!</v>
      </c>
      <c r="BJ260" t="e">
        <f>AND('PROG FORM COMPLEM'!#REF!,"AAAAAE5q9z0=")</f>
        <v>#REF!</v>
      </c>
      <c r="BK260" t="e">
        <f>AND('PROG FORM COMPLEM'!#REF!,"AAAAAE5q9z4=")</f>
        <v>#REF!</v>
      </c>
      <c r="BL260" t="e">
        <f>AND('PROG FORM COMPLEM'!#REF!,"AAAAAE5q9z8=")</f>
        <v>#REF!</v>
      </c>
      <c r="BM260" t="e">
        <f>AND('PROG FORM COMPLEM'!#REF!,"AAAAAE5q90A=")</f>
        <v>#REF!</v>
      </c>
      <c r="BN260" t="e">
        <f>AND('PROG FORM COMPLEM'!#REF!,"AAAAAE5q90E=")</f>
        <v>#REF!</v>
      </c>
      <c r="BO260" t="e">
        <f>AND('PROG FORM COMPLEM'!#REF!,"AAAAAE5q90I=")</f>
        <v>#REF!</v>
      </c>
      <c r="BP260" t="e">
        <f>AND('PROG FORM COMPLEM'!#REF!,"AAAAAE5q90M=")</f>
        <v>#REF!</v>
      </c>
      <c r="BQ260" t="e">
        <f>AND('PROG FORM COMPLEM'!#REF!,"AAAAAE5q90Q=")</f>
        <v>#REF!</v>
      </c>
      <c r="BR260">
        <f>IF('PROG FORM COMPLEM'!81:81,"AAAAAE5q90U=",0)</f>
        <v>0</v>
      </c>
      <c r="BS260" t="e">
        <f>AND('PROG FORM COMPLEM'!B81,"AAAAAE5q90Y=")</f>
        <v>#VALUE!</v>
      </c>
      <c r="BT260" t="e">
        <f>AND('PROG FORM COMPLEM'!C81,"AAAAAE5q90c=")</f>
        <v>#VALUE!</v>
      </c>
      <c r="BU260" t="e">
        <f>AND('PROG FORM COMPLEM'!D81,"AAAAAE5q90g=")</f>
        <v>#VALUE!</v>
      </c>
      <c r="BV260" t="e">
        <f>AND('PROG FORM COMPLEM'!E81,"AAAAAE5q90k=")</f>
        <v>#VALUE!</v>
      </c>
      <c r="BW260" t="e">
        <f>AND('PROG FORM COMPLEM'!F81,"AAAAAE5q90o=")</f>
        <v>#VALUE!</v>
      </c>
      <c r="BX260" t="e">
        <f>AND('PROG FORM COMPLEM'!G81,"AAAAAE5q90s=")</f>
        <v>#VALUE!</v>
      </c>
      <c r="BY260" t="e">
        <f>AND('PROG FORM COMPLEM'!H81,"AAAAAE5q90w=")</f>
        <v>#VALUE!</v>
      </c>
      <c r="BZ260" t="e">
        <f>AND('PROG FORM COMPLEM'!I81,"AAAAAE5q900=")</f>
        <v>#VALUE!</v>
      </c>
      <c r="CA260" t="e">
        <f>AND('PROG FORM COMPLEM'!J81,"AAAAAE5q904=")</f>
        <v>#VALUE!</v>
      </c>
      <c r="CB260" t="e">
        <f>AND('PROG FORM COMPLEM'!K81,"AAAAAE5q908=")</f>
        <v>#VALUE!</v>
      </c>
      <c r="CC260" t="e">
        <f>AND('PROG FORM COMPLEM'!L81,"AAAAAE5q91A=")</f>
        <v>#VALUE!</v>
      </c>
      <c r="CD260" t="e">
        <f>AND('PROG FORM COMPLEM'!M81,"AAAAAE5q91E=")</f>
        <v>#VALUE!</v>
      </c>
      <c r="CE260" t="e">
        <f>AND('PROG FORM COMPLEM'!N81,"AAAAAE5q91I=")</f>
        <v>#VALUE!</v>
      </c>
      <c r="CF260" t="e">
        <f>AND('PROG FORM COMPLEM'!O81,"AAAAAE5q91M=")</f>
        <v>#VALUE!</v>
      </c>
      <c r="CG260" t="e">
        <f>AND('PROG FORM COMPLEM'!P81,"AAAAAE5q91Q=")</f>
        <v>#VALUE!</v>
      </c>
      <c r="CH260" t="e">
        <f>AND('PROG FORM COMPLEM'!Q81,"AAAAAE5q91U=")</f>
        <v>#VALUE!</v>
      </c>
      <c r="CI260" t="e">
        <f>AND('PROG FORM COMPLEM'!R81,"AAAAAE5q91Y=")</f>
        <v>#VALUE!</v>
      </c>
      <c r="CJ260" t="e">
        <f>AND('PROG FORM COMPLEM'!S81,"AAAAAE5q91c=")</f>
        <v>#VALUE!</v>
      </c>
      <c r="CK260" t="e">
        <f>AND('PROG FORM COMPLEM'!T81,"AAAAAE5q91g=")</f>
        <v>#VALUE!</v>
      </c>
      <c r="CL260" t="e">
        <f>AND('PROG FORM COMPLEM'!U81,"AAAAAE5q91k=")</f>
        <v>#VALUE!</v>
      </c>
      <c r="CM260" t="e">
        <f>AND('PROG FORM COMPLEM'!V81,"AAAAAE5q91o=")</f>
        <v>#VALUE!</v>
      </c>
      <c r="CN260" t="e">
        <f>AND('PROG FORM COMPLEM'!W81,"AAAAAE5q91s=")</f>
        <v>#VALUE!</v>
      </c>
      <c r="CO260" t="e">
        <f>IF('PROG FORM COMPLEM'!#REF!,"AAAAAE5q91w=",0)</f>
        <v>#REF!</v>
      </c>
      <c r="CP260" t="e">
        <f>AND('PROG FORM COMPLEM'!#REF!,"AAAAAE5q910=")</f>
        <v>#REF!</v>
      </c>
      <c r="CQ260" t="e">
        <f>AND('PROG FORM COMPLEM'!#REF!,"AAAAAE5q914=")</f>
        <v>#REF!</v>
      </c>
      <c r="CR260" t="e">
        <f>AND('PROG FORM COMPLEM'!#REF!,"AAAAAE5q918=")</f>
        <v>#REF!</v>
      </c>
      <c r="CS260" t="e">
        <f>AND('PROG FORM COMPLEM'!#REF!,"AAAAAE5q92A=")</f>
        <v>#REF!</v>
      </c>
      <c r="CT260" t="e">
        <f>AND('PROG FORM COMPLEM'!#REF!,"AAAAAE5q92E=")</f>
        <v>#REF!</v>
      </c>
      <c r="CU260" t="e">
        <f>AND('PROG FORM COMPLEM'!#REF!,"AAAAAE5q92I=")</f>
        <v>#REF!</v>
      </c>
      <c r="CV260" t="e">
        <f>AND('PROG FORM COMPLEM'!#REF!,"AAAAAE5q92M=")</f>
        <v>#REF!</v>
      </c>
      <c r="CW260" t="e">
        <f>AND('PROG FORM COMPLEM'!#REF!,"AAAAAE5q92Q=")</f>
        <v>#REF!</v>
      </c>
      <c r="CX260" t="e">
        <f>AND('PROG FORM COMPLEM'!#REF!,"AAAAAE5q92U=")</f>
        <v>#REF!</v>
      </c>
      <c r="CY260" t="e">
        <f>AND('PROG FORM COMPLEM'!#REF!,"AAAAAE5q92Y=")</f>
        <v>#REF!</v>
      </c>
      <c r="CZ260" t="e">
        <f>AND('PROG FORM COMPLEM'!#REF!,"AAAAAE5q92c=")</f>
        <v>#REF!</v>
      </c>
      <c r="DA260" t="e">
        <f>AND('PROG FORM COMPLEM'!#REF!,"AAAAAE5q92g=")</f>
        <v>#REF!</v>
      </c>
      <c r="DB260" t="e">
        <f>AND('PROG FORM COMPLEM'!#REF!,"AAAAAE5q92k=")</f>
        <v>#REF!</v>
      </c>
      <c r="DC260" t="e">
        <f>AND('PROG FORM COMPLEM'!#REF!,"AAAAAE5q92o=")</f>
        <v>#REF!</v>
      </c>
      <c r="DD260" t="e">
        <f>AND('PROG FORM COMPLEM'!#REF!,"AAAAAE5q92s=")</f>
        <v>#REF!</v>
      </c>
      <c r="DE260" t="e">
        <f>AND('PROG FORM COMPLEM'!#REF!,"AAAAAE5q92w=")</f>
        <v>#REF!</v>
      </c>
      <c r="DF260" t="e">
        <f>AND('PROG FORM COMPLEM'!#REF!,"AAAAAE5q920=")</f>
        <v>#REF!</v>
      </c>
      <c r="DG260" t="e">
        <f>AND('PROG FORM COMPLEM'!#REF!,"AAAAAE5q924=")</f>
        <v>#REF!</v>
      </c>
      <c r="DH260" t="e">
        <f>AND('PROG FORM COMPLEM'!#REF!,"AAAAAE5q928=")</f>
        <v>#REF!</v>
      </c>
      <c r="DI260" t="e">
        <f>AND('PROG FORM COMPLEM'!#REF!,"AAAAAE5q93A=")</f>
        <v>#REF!</v>
      </c>
      <c r="DJ260" t="e">
        <f>AND('PROG FORM COMPLEM'!#REF!,"AAAAAE5q93E=")</f>
        <v>#REF!</v>
      </c>
      <c r="DK260" t="e">
        <f>AND('PROG FORM COMPLEM'!#REF!,"AAAAAE5q93I=")</f>
        <v>#REF!</v>
      </c>
      <c r="DL260" t="e">
        <f>IF('PROG FORM COMPLEM'!#REF!,"AAAAAE5q93M=",0)</f>
        <v>#REF!</v>
      </c>
      <c r="DM260" t="e">
        <f>AND('PROG FORM COMPLEM'!#REF!,"AAAAAE5q93Q=")</f>
        <v>#REF!</v>
      </c>
      <c r="DN260" t="e">
        <f>AND('PROG FORM COMPLEM'!#REF!,"AAAAAE5q93U=")</f>
        <v>#REF!</v>
      </c>
      <c r="DO260" t="e">
        <f>AND('PROG FORM COMPLEM'!#REF!,"AAAAAE5q93Y=")</f>
        <v>#REF!</v>
      </c>
      <c r="DP260" t="e">
        <f>AND('PROG FORM COMPLEM'!#REF!,"AAAAAE5q93c=")</f>
        <v>#REF!</v>
      </c>
      <c r="DQ260" t="e">
        <f>AND('PROG FORM COMPLEM'!#REF!,"AAAAAE5q93g=")</f>
        <v>#REF!</v>
      </c>
      <c r="DR260" t="e">
        <f>AND('PROG FORM COMPLEM'!#REF!,"AAAAAE5q93k=")</f>
        <v>#REF!</v>
      </c>
      <c r="DS260" t="e">
        <f>AND('PROG FORM COMPLEM'!#REF!,"AAAAAE5q93o=")</f>
        <v>#REF!</v>
      </c>
      <c r="DT260" t="e">
        <f>AND('PROG FORM COMPLEM'!#REF!,"AAAAAE5q93s=")</f>
        <v>#REF!</v>
      </c>
      <c r="DU260" t="e">
        <f>AND('PROG FORM COMPLEM'!#REF!,"AAAAAE5q93w=")</f>
        <v>#REF!</v>
      </c>
      <c r="DV260" t="e">
        <f>AND('PROG FORM COMPLEM'!#REF!,"AAAAAE5q930=")</f>
        <v>#REF!</v>
      </c>
      <c r="DW260" t="e">
        <f>AND('PROG FORM COMPLEM'!#REF!,"AAAAAE5q934=")</f>
        <v>#REF!</v>
      </c>
      <c r="DX260" t="e">
        <f>AND('PROG FORM COMPLEM'!#REF!,"AAAAAE5q938=")</f>
        <v>#REF!</v>
      </c>
      <c r="DY260" t="e">
        <f>AND('PROG FORM COMPLEM'!#REF!,"AAAAAE5q94A=")</f>
        <v>#REF!</v>
      </c>
      <c r="DZ260" t="e">
        <f>AND('PROG FORM COMPLEM'!#REF!,"AAAAAE5q94E=")</f>
        <v>#REF!</v>
      </c>
      <c r="EA260" t="e">
        <f>AND('PROG FORM COMPLEM'!#REF!,"AAAAAE5q94I=")</f>
        <v>#REF!</v>
      </c>
      <c r="EB260" t="e">
        <f>AND('PROG FORM COMPLEM'!#REF!,"AAAAAE5q94M=")</f>
        <v>#REF!</v>
      </c>
      <c r="EC260" t="e">
        <f>AND('PROG FORM COMPLEM'!#REF!,"AAAAAE5q94Q=")</f>
        <v>#REF!</v>
      </c>
      <c r="ED260" t="e">
        <f>AND('PROG FORM COMPLEM'!#REF!,"AAAAAE5q94U=")</f>
        <v>#REF!</v>
      </c>
      <c r="EE260" t="e">
        <f>AND('PROG FORM COMPLEM'!#REF!,"AAAAAE5q94Y=")</f>
        <v>#REF!</v>
      </c>
      <c r="EF260" t="e">
        <f>AND('PROG FORM COMPLEM'!#REF!,"AAAAAE5q94c=")</f>
        <v>#REF!</v>
      </c>
      <c r="EG260" t="e">
        <f>AND('PROG FORM COMPLEM'!#REF!,"AAAAAE5q94g=")</f>
        <v>#REF!</v>
      </c>
      <c r="EH260" t="e">
        <f>AND('PROG FORM COMPLEM'!#REF!,"AAAAAE5q94k=")</f>
        <v>#REF!</v>
      </c>
      <c r="EI260">
        <f>IF('PROG FORM COMPLEM'!82:82,"AAAAAE5q94o=",0)</f>
        <v>0</v>
      </c>
      <c r="EJ260" t="e">
        <f>AND('PROG FORM COMPLEM'!B82,"AAAAAE5q94s=")</f>
        <v>#VALUE!</v>
      </c>
      <c r="EK260" t="e">
        <f>AND('PROG FORM COMPLEM'!C82,"AAAAAE5q94w=")</f>
        <v>#VALUE!</v>
      </c>
      <c r="EL260" t="e">
        <f>AND('PROG FORM COMPLEM'!D82,"AAAAAE5q940=")</f>
        <v>#VALUE!</v>
      </c>
      <c r="EM260" t="e">
        <f>AND('PROG FORM COMPLEM'!E82,"AAAAAE5q944=")</f>
        <v>#VALUE!</v>
      </c>
      <c r="EN260" t="e">
        <f>AND('PROG FORM COMPLEM'!F82,"AAAAAE5q948=")</f>
        <v>#VALUE!</v>
      </c>
      <c r="EO260" t="e">
        <f>AND('PROG FORM COMPLEM'!G82,"AAAAAE5q95A=")</f>
        <v>#VALUE!</v>
      </c>
      <c r="EP260" t="e">
        <f>AND('PROG FORM COMPLEM'!H82,"AAAAAE5q95E=")</f>
        <v>#VALUE!</v>
      </c>
      <c r="EQ260" t="e">
        <f>AND('PROG FORM COMPLEM'!I82,"AAAAAE5q95I=")</f>
        <v>#VALUE!</v>
      </c>
      <c r="ER260" t="e">
        <f>AND('PROG FORM COMPLEM'!J82,"AAAAAE5q95M=")</f>
        <v>#VALUE!</v>
      </c>
      <c r="ES260" t="e">
        <f>AND('PROG FORM COMPLEM'!K82,"AAAAAE5q95Q=")</f>
        <v>#VALUE!</v>
      </c>
      <c r="ET260" t="e">
        <f>AND('PROG FORM COMPLEM'!L82,"AAAAAE5q95U=")</f>
        <v>#VALUE!</v>
      </c>
      <c r="EU260" t="e">
        <f>AND('PROG FORM COMPLEM'!M82,"AAAAAE5q95Y=")</f>
        <v>#VALUE!</v>
      </c>
      <c r="EV260" t="e">
        <f>AND('PROG FORM COMPLEM'!N82,"AAAAAE5q95c=")</f>
        <v>#VALUE!</v>
      </c>
      <c r="EW260" t="e">
        <f>AND('PROG FORM COMPLEM'!O82,"AAAAAE5q95g=")</f>
        <v>#VALUE!</v>
      </c>
      <c r="EX260" t="e">
        <f>AND('PROG FORM COMPLEM'!P82,"AAAAAE5q95k=")</f>
        <v>#VALUE!</v>
      </c>
      <c r="EY260" t="e">
        <f>AND('PROG FORM COMPLEM'!Q82,"AAAAAE5q95o=")</f>
        <v>#VALUE!</v>
      </c>
      <c r="EZ260" t="e">
        <f>AND('PROG FORM COMPLEM'!R82,"AAAAAE5q95s=")</f>
        <v>#VALUE!</v>
      </c>
      <c r="FA260" t="e">
        <f>AND('PROG FORM COMPLEM'!S82,"AAAAAE5q95w=")</f>
        <v>#VALUE!</v>
      </c>
      <c r="FB260" t="e">
        <f>AND('PROG FORM COMPLEM'!T82,"AAAAAE5q950=")</f>
        <v>#VALUE!</v>
      </c>
      <c r="FC260" t="e">
        <f>AND('PROG FORM COMPLEM'!U82,"AAAAAE5q954=")</f>
        <v>#VALUE!</v>
      </c>
      <c r="FD260" t="e">
        <f>AND('PROG FORM COMPLEM'!V82,"AAAAAE5q958=")</f>
        <v>#VALUE!</v>
      </c>
      <c r="FE260" t="e">
        <f>AND('PROG FORM COMPLEM'!W82,"AAAAAE5q96A=")</f>
        <v>#VALUE!</v>
      </c>
      <c r="FF260" t="e">
        <f>IF('PROG FORM COMPLEM'!#REF!,"AAAAAE5q96E=",0)</f>
        <v>#REF!</v>
      </c>
      <c r="FG260" t="e">
        <f>AND('PROG FORM COMPLEM'!#REF!,"AAAAAE5q96I=")</f>
        <v>#REF!</v>
      </c>
      <c r="FH260" t="e">
        <f>AND('PROG FORM COMPLEM'!#REF!,"AAAAAE5q96M=")</f>
        <v>#REF!</v>
      </c>
      <c r="FI260" t="e">
        <f>AND('PROG FORM COMPLEM'!#REF!,"AAAAAE5q96Q=")</f>
        <v>#REF!</v>
      </c>
      <c r="FJ260" t="e">
        <f>AND('PROG FORM COMPLEM'!#REF!,"AAAAAE5q96U=")</f>
        <v>#REF!</v>
      </c>
      <c r="FK260" t="e">
        <f>AND('PROG FORM COMPLEM'!#REF!,"AAAAAE5q96Y=")</f>
        <v>#REF!</v>
      </c>
      <c r="FL260" t="e">
        <f>AND('PROG FORM COMPLEM'!#REF!,"AAAAAE5q96c=")</f>
        <v>#REF!</v>
      </c>
      <c r="FM260" t="e">
        <f>AND('PROG FORM COMPLEM'!#REF!,"AAAAAE5q96g=")</f>
        <v>#REF!</v>
      </c>
      <c r="FN260" t="e">
        <f>AND('PROG FORM COMPLEM'!#REF!,"AAAAAE5q96k=")</f>
        <v>#REF!</v>
      </c>
      <c r="FO260" t="e">
        <f>AND('PROG FORM COMPLEM'!#REF!,"AAAAAE5q96o=")</f>
        <v>#REF!</v>
      </c>
      <c r="FP260" t="e">
        <f>AND('PROG FORM COMPLEM'!#REF!,"AAAAAE5q96s=")</f>
        <v>#REF!</v>
      </c>
      <c r="FQ260" t="e">
        <f>AND('PROG FORM COMPLEM'!#REF!,"AAAAAE5q96w=")</f>
        <v>#REF!</v>
      </c>
      <c r="FR260" t="e">
        <f>AND('PROG FORM COMPLEM'!#REF!,"AAAAAE5q960=")</f>
        <v>#REF!</v>
      </c>
      <c r="FS260" t="e">
        <f>AND('PROG FORM COMPLEM'!#REF!,"AAAAAE5q964=")</f>
        <v>#REF!</v>
      </c>
      <c r="FT260" t="e">
        <f>AND('PROG FORM COMPLEM'!#REF!,"AAAAAE5q968=")</f>
        <v>#REF!</v>
      </c>
      <c r="FU260" t="e">
        <f>AND('PROG FORM COMPLEM'!#REF!,"AAAAAE5q97A=")</f>
        <v>#REF!</v>
      </c>
      <c r="FV260" t="e">
        <f>AND('PROG FORM COMPLEM'!#REF!,"AAAAAE5q97E=")</f>
        <v>#REF!</v>
      </c>
      <c r="FW260" t="e">
        <f>AND('PROG FORM COMPLEM'!#REF!,"AAAAAE5q97I=")</f>
        <v>#REF!</v>
      </c>
      <c r="FX260" t="e">
        <f>AND('PROG FORM COMPLEM'!#REF!,"AAAAAE5q97M=")</f>
        <v>#REF!</v>
      </c>
      <c r="FY260" t="e">
        <f>AND('PROG FORM COMPLEM'!#REF!,"AAAAAE5q97Q=")</f>
        <v>#REF!</v>
      </c>
      <c r="FZ260" t="e">
        <f>AND('PROG FORM COMPLEM'!#REF!,"AAAAAE5q97U=")</f>
        <v>#REF!</v>
      </c>
      <c r="GA260" t="e">
        <f>AND('PROG FORM COMPLEM'!#REF!,"AAAAAE5q97Y=")</f>
        <v>#REF!</v>
      </c>
      <c r="GB260" t="e">
        <f>AND('PROG FORM COMPLEM'!#REF!,"AAAAAE5q97c=")</f>
        <v>#REF!</v>
      </c>
      <c r="GC260" t="e">
        <f>IF('PROG FORM COMPLEM'!#REF!,"AAAAAE5q97g=",0)</f>
        <v>#REF!</v>
      </c>
      <c r="GD260" t="e">
        <f>AND('PROG FORM COMPLEM'!#REF!,"AAAAAE5q97k=")</f>
        <v>#REF!</v>
      </c>
      <c r="GE260" t="e">
        <f>AND('PROG FORM COMPLEM'!#REF!,"AAAAAE5q97o=")</f>
        <v>#REF!</v>
      </c>
      <c r="GF260" t="e">
        <f>AND('PROG FORM COMPLEM'!#REF!,"AAAAAE5q97s=")</f>
        <v>#REF!</v>
      </c>
      <c r="GG260" t="e">
        <f>AND('PROG FORM COMPLEM'!#REF!,"AAAAAE5q97w=")</f>
        <v>#REF!</v>
      </c>
      <c r="GH260" t="e">
        <f>AND('PROG FORM COMPLEM'!#REF!,"AAAAAE5q970=")</f>
        <v>#REF!</v>
      </c>
      <c r="GI260" t="e">
        <f>AND('PROG FORM COMPLEM'!#REF!,"AAAAAE5q974=")</f>
        <v>#REF!</v>
      </c>
      <c r="GJ260" t="e">
        <f>AND('PROG FORM COMPLEM'!#REF!,"AAAAAE5q978=")</f>
        <v>#REF!</v>
      </c>
      <c r="GK260" t="e">
        <f>AND('PROG FORM COMPLEM'!#REF!,"AAAAAE5q98A=")</f>
        <v>#REF!</v>
      </c>
      <c r="GL260" t="e">
        <f>AND('PROG FORM COMPLEM'!#REF!,"AAAAAE5q98E=")</f>
        <v>#REF!</v>
      </c>
      <c r="GM260" t="e">
        <f>AND('PROG FORM COMPLEM'!#REF!,"AAAAAE5q98I=")</f>
        <v>#REF!</v>
      </c>
      <c r="GN260" t="e">
        <f>AND('PROG FORM COMPLEM'!#REF!,"AAAAAE5q98M=")</f>
        <v>#REF!</v>
      </c>
      <c r="GO260" t="e">
        <f>AND('PROG FORM COMPLEM'!#REF!,"AAAAAE5q98Q=")</f>
        <v>#REF!</v>
      </c>
      <c r="GP260" t="e">
        <f>AND('PROG FORM COMPLEM'!#REF!,"AAAAAE5q98U=")</f>
        <v>#REF!</v>
      </c>
      <c r="GQ260" t="e">
        <f>AND('PROG FORM COMPLEM'!#REF!,"AAAAAE5q98Y=")</f>
        <v>#REF!</v>
      </c>
      <c r="GR260" t="e">
        <f>AND('PROG FORM COMPLEM'!#REF!,"AAAAAE5q98c=")</f>
        <v>#REF!</v>
      </c>
      <c r="GS260" t="e">
        <f>AND('PROG FORM COMPLEM'!#REF!,"AAAAAE5q98g=")</f>
        <v>#REF!</v>
      </c>
      <c r="GT260" t="e">
        <f>AND('PROG FORM COMPLEM'!#REF!,"AAAAAE5q98k=")</f>
        <v>#REF!</v>
      </c>
      <c r="GU260" t="e">
        <f>AND('PROG FORM COMPLEM'!#REF!,"AAAAAE5q98o=")</f>
        <v>#REF!</v>
      </c>
      <c r="GV260" t="e">
        <f>AND('PROG FORM COMPLEM'!#REF!,"AAAAAE5q98s=")</f>
        <v>#REF!</v>
      </c>
      <c r="GW260" t="e">
        <f>AND('PROG FORM COMPLEM'!#REF!,"AAAAAE5q98w=")</f>
        <v>#REF!</v>
      </c>
      <c r="GX260" t="e">
        <f>AND('PROG FORM COMPLEM'!#REF!,"AAAAAE5q980=")</f>
        <v>#REF!</v>
      </c>
      <c r="GY260" t="e">
        <f>AND('PROG FORM COMPLEM'!#REF!,"AAAAAE5q984=")</f>
        <v>#REF!</v>
      </c>
      <c r="GZ260">
        <f>IF('PROG FORM COMPLEM'!83:83,"AAAAAE5q988=",0)</f>
        <v>0</v>
      </c>
      <c r="HA260" t="e">
        <f>AND('PROG FORM COMPLEM'!B83,"AAAAAE5q99A=")</f>
        <v>#VALUE!</v>
      </c>
      <c r="HB260" t="e">
        <f>AND('PROG FORM COMPLEM'!C83,"AAAAAE5q99E=")</f>
        <v>#VALUE!</v>
      </c>
      <c r="HC260" t="e">
        <f>AND('PROG FORM COMPLEM'!D83,"AAAAAE5q99I=")</f>
        <v>#VALUE!</v>
      </c>
      <c r="HD260" t="e">
        <f>AND('PROG FORM COMPLEM'!E83,"AAAAAE5q99M=")</f>
        <v>#VALUE!</v>
      </c>
      <c r="HE260" t="e">
        <f>AND('PROG FORM COMPLEM'!F83,"AAAAAE5q99Q=")</f>
        <v>#VALUE!</v>
      </c>
      <c r="HF260" t="e">
        <f>AND('PROG FORM COMPLEM'!G83,"AAAAAE5q99U=")</f>
        <v>#VALUE!</v>
      </c>
      <c r="HG260" t="e">
        <f>AND('PROG FORM COMPLEM'!H83,"AAAAAE5q99Y=")</f>
        <v>#VALUE!</v>
      </c>
      <c r="HH260" t="e">
        <f>AND('PROG FORM COMPLEM'!I83,"AAAAAE5q99c=")</f>
        <v>#VALUE!</v>
      </c>
      <c r="HI260" t="e">
        <f>AND('PROG FORM COMPLEM'!J83,"AAAAAE5q99g=")</f>
        <v>#VALUE!</v>
      </c>
      <c r="HJ260" t="e">
        <f>AND('PROG FORM COMPLEM'!K83,"AAAAAE5q99k=")</f>
        <v>#VALUE!</v>
      </c>
      <c r="HK260" t="e">
        <f>AND('PROG FORM COMPLEM'!L83,"AAAAAE5q99o=")</f>
        <v>#VALUE!</v>
      </c>
      <c r="HL260" t="e">
        <f>AND('PROG FORM COMPLEM'!M83,"AAAAAE5q99s=")</f>
        <v>#VALUE!</v>
      </c>
      <c r="HM260" t="e">
        <f>AND('PROG FORM COMPLEM'!N83,"AAAAAE5q99w=")</f>
        <v>#VALUE!</v>
      </c>
      <c r="HN260" t="e">
        <f>AND('PROG FORM COMPLEM'!O83,"AAAAAE5q990=")</f>
        <v>#VALUE!</v>
      </c>
      <c r="HO260" t="e">
        <f>AND('PROG FORM COMPLEM'!P83,"AAAAAE5q994=")</f>
        <v>#VALUE!</v>
      </c>
      <c r="HP260" t="e">
        <f>AND('PROG FORM COMPLEM'!Q83,"AAAAAE5q998=")</f>
        <v>#VALUE!</v>
      </c>
      <c r="HQ260" t="e">
        <f>AND('PROG FORM COMPLEM'!R83,"AAAAAE5q9+A=")</f>
        <v>#VALUE!</v>
      </c>
      <c r="HR260" t="e">
        <f>AND('PROG FORM COMPLEM'!S83,"AAAAAE5q9+E=")</f>
        <v>#VALUE!</v>
      </c>
      <c r="HS260" t="e">
        <f>AND('PROG FORM COMPLEM'!T83,"AAAAAE5q9+I=")</f>
        <v>#VALUE!</v>
      </c>
      <c r="HT260" t="e">
        <f>AND('PROG FORM COMPLEM'!U83,"AAAAAE5q9+M=")</f>
        <v>#VALUE!</v>
      </c>
      <c r="HU260" t="e">
        <f>AND('PROG FORM COMPLEM'!V83,"AAAAAE5q9+Q=")</f>
        <v>#VALUE!</v>
      </c>
      <c r="HV260" t="e">
        <f>AND('PROG FORM COMPLEM'!W83,"AAAAAE5q9+U=")</f>
        <v>#VALUE!</v>
      </c>
      <c r="HW260">
        <f>IF('PROG FORM COMPLEM'!85:85,"AAAAAE5q9+Y=",0)</f>
        <v>0</v>
      </c>
      <c r="HX260" t="e">
        <f>AND('PROG FORM COMPLEM'!B85,"AAAAAE5q9+c=")</f>
        <v>#VALUE!</v>
      </c>
      <c r="HY260" t="e">
        <f>AND('PROG FORM COMPLEM'!C85,"AAAAAE5q9+g=")</f>
        <v>#VALUE!</v>
      </c>
      <c r="HZ260" t="e">
        <f>AND('PROG FORM COMPLEM'!D85,"AAAAAE5q9+k=")</f>
        <v>#VALUE!</v>
      </c>
      <c r="IA260" t="e">
        <f>AND('PROG FORM COMPLEM'!E85,"AAAAAE5q9+o=")</f>
        <v>#VALUE!</v>
      </c>
      <c r="IB260" t="e">
        <f>AND('PROG FORM COMPLEM'!F85,"AAAAAE5q9+s=")</f>
        <v>#VALUE!</v>
      </c>
      <c r="IC260" t="e">
        <f>AND('PROG FORM COMPLEM'!G85,"AAAAAE5q9+w=")</f>
        <v>#VALUE!</v>
      </c>
      <c r="ID260" t="e">
        <f>AND('PROG FORM COMPLEM'!H85,"AAAAAE5q9+0=")</f>
        <v>#VALUE!</v>
      </c>
      <c r="IE260" t="e">
        <f>AND('PROG FORM COMPLEM'!I85,"AAAAAE5q9+4=")</f>
        <v>#VALUE!</v>
      </c>
      <c r="IF260" t="e">
        <f>AND('PROG FORM COMPLEM'!J85,"AAAAAE5q9+8=")</f>
        <v>#VALUE!</v>
      </c>
      <c r="IG260" t="e">
        <f>AND('PROG FORM COMPLEM'!K85,"AAAAAE5q9/A=")</f>
        <v>#VALUE!</v>
      </c>
      <c r="IH260" t="e">
        <f>AND('PROG FORM COMPLEM'!L85,"AAAAAE5q9/E=")</f>
        <v>#VALUE!</v>
      </c>
      <c r="II260" t="e">
        <f>AND('PROG FORM COMPLEM'!M85,"AAAAAE5q9/I=")</f>
        <v>#VALUE!</v>
      </c>
      <c r="IJ260" t="e">
        <f>AND('PROG FORM COMPLEM'!N85,"AAAAAE5q9/M=")</f>
        <v>#VALUE!</v>
      </c>
      <c r="IK260" t="e">
        <f>AND('PROG FORM COMPLEM'!O85,"AAAAAE5q9/Q=")</f>
        <v>#VALUE!</v>
      </c>
      <c r="IL260" t="e">
        <f>AND('PROG FORM COMPLEM'!P85,"AAAAAE5q9/U=")</f>
        <v>#VALUE!</v>
      </c>
      <c r="IM260" t="e">
        <f>AND('PROG FORM COMPLEM'!Q85,"AAAAAE5q9/Y=")</f>
        <v>#VALUE!</v>
      </c>
      <c r="IN260" t="e">
        <f>AND('PROG FORM COMPLEM'!R85,"AAAAAE5q9/c=")</f>
        <v>#VALUE!</v>
      </c>
      <c r="IO260" t="e">
        <f>AND('PROG FORM COMPLEM'!S85,"AAAAAE5q9/g=")</f>
        <v>#VALUE!</v>
      </c>
      <c r="IP260" t="e">
        <f>AND('PROG FORM COMPLEM'!T85,"AAAAAE5q9/k=")</f>
        <v>#VALUE!</v>
      </c>
      <c r="IQ260" t="e">
        <f>AND('PROG FORM COMPLEM'!U85,"AAAAAE5q9/o=")</f>
        <v>#VALUE!</v>
      </c>
      <c r="IR260" t="e">
        <f>AND('PROG FORM COMPLEM'!V85,"AAAAAE5q9/s=")</f>
        <v>#VALUE!</v>
      </c>
      <c r="IS260" t="e">
        <f>AND('PROG FORM COMPLEM'!W85,"AAAAAE5q9/w=")</f>
        <v>#VALUE!</v>
      </c>
      <c r="IT260" t="e">
        <f>IF('PROG FORM COMPLEM'!#REF!,"AAAAAE5q9/0=",0)</f>
        <v>#REF!</v>
      </c>
      <c r="IU260" t="e">
        <f>AND('PROG FORM COMPLEM'!#REF!,"AAAAAE5q9/4=")</f>
        <v>#REF!</v>
      </c>
      <c r="IV260" t="e">
        <f>AND('PROG FORM COMPLEM'!#REF!,"AAAAAE5q9/8=")</f>
        <v>#REF!</v>
      </c>
    </row>
    <row r="261" spans="1:256" x14ac:dyDescent="0.2">
      <c r="A261" t="e">
        <f>AND('PROG FORM COMPLEM'!#REF!,"AAAAAF437wA=")</f>
        <v>#REF!</v>
      </c>
      <c r="B261" t="e">
        <f>AND('PROG FORM COMPLEM'!#REF!,"AAAAAF437wE=")</f>
        <v>#REF!</v>
      </c>
      <c r="C261" t="e">
        <f>AND('PROG FORM COMPLEM'!#REF!,"AAAAAF437wI=")</f>
        <v>#REF!</v>
      </c>
      <c r="D261" t="e">
        <f>AND('PROG FORM COMPLEM'!#REF!,"AAAAAF437wM=")</f>
        <v>#REF!</v>
      </c>
      <c r="E261" t="e">
        <f>AND('PROG FORM COMPLEM'!#REF!,"AAAAAF437wQ=")</f>
        <v>#REF!</v>
      </c>
      <c r="F261" t="e">
        <f>AND('PROG FORM COMPLEM'!#REF!,"AAAAAF437wU=")</f>
        <v>#REF!</v>
      </c>
      <c r="G261" t="e">
        <f>AND('PROG FORM COMPLEM'!#REF!,"AAAAAF437wY=")</f>
        <v>#REF!</v>
      </c>
      <c r="H261" t="e">
        <f>AND('PROG FORM COMPLEM'!#REF!,"AAAAAF437wc=")</f>
        <v>#REF!</v>
      </c>
      <c r="I261" t="e">
        <f>AND('PROG FORM COMPLEM'!#REF!,"AAAAAF437wg=")</f>
        <v>#REF!</v>
      </c>
      <c r="J261" t="e">
        <f>AND('PROG FORM COMPLEM'!#REF!,"AAAAAF437wk=")</f>
        <v>#REF!</v>
      </c>
      <c r="K261" t="e">
        <f>AND('PROG FORM COMPLEM'!#REF!,"AAAAAF437wo=")</f>
        <v>#REF!</v>
      </c>
      <c r="L261" t="e">
        <f>AND('PROG FORM COMPLEM'!#REF!,"AAAAAF437ws=")</f>
        <v>#REF!</v>
      </c>
      <c r="M261" t="e">
        <f>AND('PROG FORM COMPLEM'!#REF!,"AAAAAF437ww=")</f>
        <v>#REF!</v>
      </c>
      <c r="N261" t="e">
        <f>AND('PROG FORM COMPLEM'!#REF!,"AAAAAF437w0=")</f>
        <v>#REF!</v>
      </c>
      <c r="O261" t="e">
        <f>AND('PROG FORM COMPLEM'!#REF!,"AAAAAF437w4=")</f>
        <v>#REF!</v>
      </c>
      <c r="P261" t="e">
        <f>AND('PROG FORM COMPLEM'!#REF!,"AAAAAF437w8=")</f>
        <v>#REF!</v>
      </c>
      <c r="Q261" t="e">
        <f>AND('PROG FORM COMPLEM'!#REF!,"AAAAAF437xA=")</f>
        <v>#REF!</v>
      </c>
      <c r="R261" t="e">
        <f>AND('PROG FORM COMPLEM'!#REF!,"AAAAAF437xE=")</f>
        <v>#REF!</v>
      </c>
      <c r="S261" t="e">
        <f>AND('PROG FORM COMPLEM'!#REF!,"AAAAAF437xI=")</f>
        <v>#REF!</v>
      </c>
      <c r="T261" t="e">
        <f>AND('PROG FORM COMPLEM'!#REF!,"AAAAAF437xM=")</f>
        <v>#REF!</v>
      </c>
      <c r="U261">
        <f>IF('PROG FORM COMPLEM'!88:88,"AAAAAF437xQ=",0)</f>
        <v>0</v>
      </c>
      <c r="V261" t="e">
        <f>AND('PROG FORM COMPLEM'!B88,"AAAAAF437xU=")</f>
        <v>#VALUE!</v>
      </c>
      <c r="W261" t="e">
        <f>AND('PROG FORM COMPLEM'!C88,"AAAAAF437xY=")</f>
        <v>#VALUE!</v>
      </c>
      <c r="X261" t="e">
        <f>AND('PROG FORM COMPLEM'!D88,"AAAAAF437xc=")</f>
        <v>#VALUE!</v>
      </c>
      <c r="Y261" t="e">
        <f>AND('PROG FORM COMPLEM'!E88,"AAAAAF437xg=")</f>
        <v>#VALUE!</v>
      </c>
      <c r="Z261" t="e">
        <f>AND('PROG FORM COMPLEM'!F88,"AAAAAF437xk=")</f>
        <v>#VALUE!</v>
      </c>
      <c r="AA261" t="e">
        <f>AND('PROG FORM COMPLEM'!G88,"AAAAAF437xo=")</f>
        <v>#VALUE!</v>
      </c>
      <c r="AB261" t="e">
        <f>AND('PROG FORM COMPLEM'!H88,"AAAAAF437xs=")</f>
        <v>#VALUE!</v>
      </c>
      <c r="AC261" t="e">
        <f>AND('PROG FORM COMPLEM'!I88,"AAAAAF437xw=")</f>
        <v>#VALUE!</v>
      </c>
      <c r="AD261" t="e">
        <f>AND('PROG FORM COMPLEM'!J88,"AAAAAF437x0=")</f>
        <v>#VALUE!</v>
      </c>
      <c r="AE261" t="e">
        <f>AND('PROG FORM COMPLEM'!K88,"AAAAAF437x4=")</f>
        <v>#VALUE!</v>
      </c>
      <c r="AF261" t="e">
        <f>AND('PROG FORM COMPLEM'!L88,"AAAAAF437x8=")</f>
        <v>#VALUE!</v>
      </c>
      <c r="AG261" t="e">
        <f>AND('PROG FORM COMPLEM'!M88,"AAAAAF437yA=")</f>
        <v>#VALUE!</v>
      </c>
      <c r="AH261" t="e">
        <f>AND('PROG FORM COMPLEM'!N88,"AAAAAF437yE=")</f>
        <v>#VALUE!</v>
      </c>
      <c r="AI261" t="e">
        <f>AND('PROG FORM COMPLEM'!O88,"AAAAAF437yI=")</f>
        <v>#VALUE!</v>
      </c>
      <c r="AJ261" t="e">
        <f>AND('PROG FORM COMPLEM'!P88,"AAAAAF437yM=")</f>
        <v>#VALUE!</v>
      </c>
      <c r="AK261" t="e">
        <f>AND('PROG FORM COMPLEM'!Q88,"AAAAAF437yQ=")</f>
        <v>#VALUE!</v>
      </c>
      <c r="AL261" t="e">
        <f>AND('PROG FORM COMPLEM'!R88,"AAAAAF437yU=")</f>
        <v>#VALUE!</v>
      </c>
      <c r="AM261" t="e">
        <f>AND('PROG FORM COMPLEM'!S88,"AAAAAF437yY=")</f>
        <v>#VALUE!</v>
      </c>
      <c r="AN261" t="e">
        <f>AND('PROG FORM COMPLEM'!T88,"AAAAAF437yc=")</f>
        <v>#VALUE!</v>
      </c>
      <c r="AO261" t="e">
        <f>AND('PROG FORM COMPLEM'!U88,"AAAAAF437yg=")</f>
        <v>#VALUE!</v>
      </c>
      <c r="AP261" t="e">
        <f>AND('PROG FORM COMPLEM'!V88,"AAAAAF437yk=")</f>
        <v>#VALUE!</v>
      </c>
      <c r="AQ261" t="e">
        <f>AND('PROG FORM COMPLEM'!W88,"AAAAAF437yo=")</f>
        <v>#VALUE!</v>
      </c>
      <c r="AR261" t="e">
        <f>IF('PROG FORM COMPLEM'!#REF!,"AAAAAF437ys=",0)</f>
        <v>#REF!</v>
      </c>
      <c r="AS261" t="e">
        <f>AND('PROG FORM COMPLEM'!#REF!,"AAAAAF437yw=")</f>
        <v>#REF!</v>
      </c>
      <c r="AT261" t="e">
        <f>AND('PROG FORM COMPLEM'!#REF!,"AAAAAF437y0=")</f>
        <v>#REF!</v>
      </c>
      <c r="AU261" t="e">
        <f>AND('PROG FORM COMPLEM'!#REF!,"AAAAAF437y4=")</f>
        <v>#REF!</v>
      </c>
      <c r="AV261" t="e">
        <f>AND('PROG FORM COMPLEM'!#REF!,"AAAAAF437y8=")</f>
        <v>#REF!</v>
      </c>
      <c r="AW261" t="e">
        <f>AND('PROG FORM COMPLEM'!#REF!,"AAAAAF437zA=")</f>
        <v>#REF!</v>
      </c>
      <c r="AX261" t="e">
        <f>AND('PROG FORM COMPLEM'!#REF!,"AAAAAF437zE=")</f>
        <v>#REF!</v>
      </c>
      <c r="AY261" t="e">
        <f>AND('PROG FORM COMPLEM'!#REF!,"AAAAAF437zI=")</f>
        <v>#REF!</v>
      </c>
      <c r="AZ261" t="e">
        <f>AND('PROG FORM COMPLEM'!#REF!,"AAAAAF437zM=")</f>
        <v>#REF!</v>
      </c>
      <c r="BA261" t="e">
        <f>AND('PROG FORM COMPLEM'!#REF!,"AAAAAF437zQ=")</f>
        <v>#REF!</v>
      </c>
      <c r="BB261" t="e">
        <f>AND('PROG FORM COMPLEM'!#REF!,"AAAAAF437zU=")</f>
        <v>#REF!</v>
      </c>
      <c r="BC261" t="e">
        <f>AND('PROG FORM COMPLEM'!#REF!,"AAAAAF437zY=")</f>
        <v>#REF!</v>
      </c>
      <c r="BD261" t="e">
        <f>AND('PROG FORM COMPLEM'!#REF!,"AAAAAF437zc=")</f>
        <v>#REF!</v>
      </c>
      <c r="BE261" t="e">
        <f>AND('PROG FORM COMPLEM'!#REF!,"AAAAAF437zg=")</f>
        <v>#REF!</v>
      </c>
      <c r="BF261" t="e">
        <f>AND('PROG FORM COMPLEM'!#REF!,"AAAAAF437zk=")</f>
        <v>#REF!</v>
      </c>
      <c r="BG261" t="e">
        <f>AND('PROG FORM COMPLEM'!#REF!,"AAAAAF437zo=")</f>
        <v>#REF!</v>
      </c>
      <c r="BH261" t="e">
        <f>AND('PROG FORM COMPLEM'!#REF!,"AAAAAF437zs=")</f>
        <v>#REF!</v>
      </c>
      <c r="BI261" t="e">
        <f>AND('PROG FORM COMPLEM'!#REF!,"AAAAAF437zw=")</f>
        <v>#REF!</v>
      </c>
      <c r="BJ261" t="e">
        <f>AND('PROG FORM COMPLEM'!#REF!,"AAAAAF437z0=")</f>
        <v>#REF!</v>
      </c>
      <c r="BK261" t="e">
        <f>AND('PROG FORM COMPLEM'!#REF!,"AAAAAF437z4=")</f>
        <v>#REF!</v>
      </c>
      <c r="BL261" t="e">
        <f>AND('PROG FORM COMPLEM'!#REF!,"AAAAAF437z8=")</f>
        <v>#REF!</v>
      </c>
      <c r="BM261" t="e">
        <f>AND('PROG FORM COMPLEM'!#REF!,"AAAAAF4370A=")</f>
        <v>#REF!</v>
      </c>
      <c r="BN261" t="e">
        <f>AND('PROG FORM COMPLEM'!#REF!,"AAAAAF4370E=")</f>
        <v>#REF!</v>
      </c>
      <c r="BO261" t="e">
        <f>IF('PROG FORM COMPLEM'!#REF!,"AAAAAF4370I=",0)</f>
        <v>#REF!</v>
      </c>
      <c r="BP261" t="e">
        <f>AND('PROG FORM COMPLEM'!#REF!,"AAAAAF4370M=")</f>
        <v>#REF!</v>
      </c>
      <c r="BQ261" t="e">
        <f>AND('PROG FORM COMPLEM'!#REF!,"AAAAAF4370Q=")</f>
        <v>#REF!</v>
      </c>
      <c r="BR261" t="e">
        <f>AND('PROG FORM COMPLEM'!#REF!,"AAAAAF4370U=")</f>
        <v>#REF!</v>
      </c>
      <c r="BS261" t="e">
        <f>AND('PROG FORM COMPLEM'!#REF!,"AAAAAF4370Y=")</f>
        <v>#REF!</v>
      </c>
      <c r="BT261" t="e">
        <f>AND('PROG FORM COMPLEM'!#REF!,"AAAAAF4370c=")</f>
        <v>#REF!</v>
      </c>
      <c r="BU261" t="e">
        <f>AND('PROG FORM COMPLEM'!#REF!,"AAAAAF4370g=")</f>
        <v>#REF!</v>
      </c>
      <c r="BV261" t="e">
        <f>AND('PROG FORM COMPLEM'!#REF!,"AAAAAF4370k=")</f>
        <v>#REF!</v>
      </c>
      <c r="BW261" t="e">
        <f>AND('PROG FORM COMPLEM'!#REF!,"AAAAAF4370o=")</f>
        <v>#REF!</v>
      </c>
      <c r="BX261" t="e">
        <f>AND('PROG FORM COMPLEM'!#REF!,"AAAAAF4370s=")</f>
        <v>#REF!</v>
      </c>
      <c r="BY261" t="e">
        <f>AND('PROG FORM COMPLEM'!#REF!,"AAAAAF4370w=")</f>
        <v>#REF!</v>
      </c>
      <c r="BZ261" t="e">
        <f>AND('PROG FORM COMPLEM'!#REF!,"AAAAAF43700=")</f>
        <v>#REF!</v>
      </c>
      <c r="CA261" t="e">
        <f>AND('PROG FORM COMPLEM'!#REF!,"AAAAAF43704=")</f>
        <v>#REF!</v>
      </c>
      <c r="CB261" t="e">
        <f>AND('PROG FORM COMPLEM'!#REF!,"AAAAAF43708=")</f>
        <v>#REF!</v>
      </c>
      <c r="CC261" t="e">
        <f>AND('PROG FORM COMPLEM'!#REF!,"AAAAAF4371A=")</f>
        <v>#REF!</v>
      </c>
      <c r="CD261" t="e">
        <f>AND('PROG FORM COMPLEM'!#REF!,"AAAAAF4371E=")</f>
        <v>#REF!</v>
      </c>
      <c r="CE261" t="e">
        <f>AND('PROG FORM COMPLEM'!#REF!,"AAAAAF4371I=")</f>
        <v>#REF!</v>
      </c>
      <c r="CF261" t="e">
        <f>AND('PROG FORM COMPLEM'!#REF!,"AAAAAF4371M=")</f>
        <v>#REF!</v>
      </c>
      <c r="CG261" t="e">
        <f>AND('PROG FORM COMPLEM'!#REF!,"AAAAAF4371Q=")</f>
        <v>#REF!</v>
      </c>
      <c r="CH261" t="e">
        <f>AND('PROG FORM COMPLEM'!#REF!,"AAAAAF4371U=")</f>
        <v>#REF!</v>
      </c>
      <c r="CI261" t="e">
        <f>AND('PROG FORM COMPLEM'!#REF!,"AAAAAF4371Y=")</f>
        <v>#REF!</v>
      </c>
      <c r="CJ261" t="e">
        <f>AND('PROG FORM COMPLEM'!#REF!,"AAAAAF4371c=")</f>
        <v>#REF!</v>
      </c>
      <c r="CK261" t="e">
        <f>AND('PROG FORM COMPLEM'!#REF!,"AAAAAF4371g=")</f>
        <v>#REF!</v>
      </c>
      <c r="CL261" t="e">
        <f>IF('PROG FORM COMPLEM'!#REF!,"AAAAAF4371k=",0)</f>
        <v>#REF!</v>
      </c>
      <c r="CM261" t="e">
        <f>AND('PROG FORM COMPLEM'!#REF!,"AAAAAF4371o=")</f>
        <v>#REF!</v>
      </c>
      <c r="CN261" t="e">
        <f>AND('PROG FORM COMPLEM'!#REF!,"AAAAAF4371s=")</f>
        <v>#REF!</v>
      </c>
      <c r="CO261" t="e">
        <f>AND('PROG FORM COMPLEM'!#REF!,"AAAAAF4371w=")</f>
        <v>#REF!</v>
      </c>
      <c r="CP261" t="e">
        <f>AND('PROG FORM COMPLEM'!#REF!,"AAAAAF43710=")</f>
        <v>#REF!</v>
      </c>
      <c r="CQ261" t="e">
        <f>AND('PROG FORM COMPLEM'!#REF!,"AAAAAF43714=")</f>
        <v>#REF!</v>
      </c>
      <c r="CR261" t="e">
        <f>AND('PROG FORM COMPLEM'!#REF!,"AAAAAF43718=")</f>
        <v>#REF!</v>
      </c>
      <c r="CS261" t="e">
        <f>AND('PROG FORM COMPLEM'!#REF!,"AAAAAF4372A=")</f>
        <v>#REF!</v>
      </c>
      <c r="CT261" t="e">
        <f>AND('PROG FORM COMPLEM'!#REF!,"AAAAAF4372E=")</f>
        <v>#REF!</v>
      </c>
      <c r="CU261" t="e">
        <f>AND('PROG FORM COMPLEM'!#REF!,"AAAAAF4372I=")</f>
        <v>#REF!</v>
      </c>
      <c r="CV261" t="e">
        <f>AND('PROG FORM COMPLEM'!#REF!,"AAAAAF4372M=")</f>
        <v>#REF!</v>
      </c>
      <c r="CW261" t="e">
        <f>AND('PROG FORM COMPLEM'!#REF!,"AAAAAF4372Q=")</f>
        <v>#REF!</v>
      </c>
      <c r="CX261" t="e">
        <f>AND('PROG FORM COMPLEM'!#REF!,"AAAAAF4372U=")</f>
        <v>#REF!</v>
      </c>
      <c r="CY261" t="e">
        <f>AND('PROG FORM COMPLEM'!#REF!,"AAAAAF4372Y=")</f>
        <v>#REF!</v>
      </c>
      <c r="CZ261" t="e">
        <f>AND('PROG FORM COMPLEM'!#REF!,"AAAAAF4372c=")</f>
        <v>#REF!</v>
      </c>
      <c r="DA261" t="e">
        <f>AND('PROG FORM COMPLEM'!#REF!,"AAAAAF4372g=")</f>
        <v>#REF!</v>
      </c>
      <c r="DB261" t="e">
        <f>AND('PROG FORM COMPLEM'!#REF!,"AAAAAF4372k=")</f>
        <v>#REF!</v>
      </c>
      <c r="DC261" t="e">
        <f>AND('PROG FORM COMPLEM'!#REF!,"AAAAAF4372o=")</f>
        <v>#REF!</v>
      </c>
      <c r="DD261" t="e">
        <f>AND('PROG FORM COMPLEM'!#REF!,"AAAAAF4372s=")</f>
        <v>#REF!</v>
      </c>
      <c r="DE261" t="e">
        <f>AND('PROG FORM COMPLEM'!#REF!,"AAAAAF4372w=")</f>
        <v>#REF!</v>
      </c>
      <c r="DF261" t="e">
        <f>AND('PROG FORM COMPLEM'!#REF!,"AAAAAF43720=")</f>
        <v>#REF!</v>
      </c>
      <c r="DG261" t="e">
        <f>AND('PROG FORM COMPLEM'!#REF!,"AAAAAF43724=")</f>
        <v>#REF!</v>
      </c>
      <c r="DH261" t="e">
        <f>AND('PROG FORM COMPLEM'!#REF!,"AAAAAF43728=")</f>
        <v>#REF!</v>
      </c>
      <c r="DI261" t="e">
        <f>IF('PROG FORM COMPLEM'!#REF!,"AAAAAF4373A=",0)</f>
        <v>#REF!</v>
      </c>
      <c r="DJ261" t="e">
        <f>AND('PROG FORM COMPLEM'!#REF!,"AAAAAF4373E=")</f>
        <v>#REF!</v>
      </c>
      <c r="DK261" t="e">
        <f>AND('PROG FORM COMPLEM'!#REF!,"AAAAAF4373I=")</f>
        <v>#REF!</v>
      </c>
      <c r="DL261" t="e">
        <f>AND('PROG FORM COMPLEM'!#REF!,"AAAAAF4373M=")</f>
        <v>#REF!</v>
      </c>
      <c r="DM261" t="e">
        <f>AND('PROG FORM COMPLEM'!#REF!,"AAAAAF4373Q=")</f>
        <v>#REF!</v>
      </c>
      <c r="DN261" t="e">
        <f>AND('PROG FORM COMPLEM'!#REF!,"AAAAAF4373U=")</f>
        <v>#REF!</v>
      </c>
      <c r="DO261" t="e">
        <f>AND('PROG FORM COMPLEM'!#REF!,"AAAAAF4373Y=")</f>
        <v>#REF!</v>
      </c>
      <c r="DP261" t="e">
        <f>AND('PROG FORM COMPLEM'!#REF!,"AAAAAF4373c=")</f>
        <v>#REF!</v>
      </c>
      <c r="DQ261" t="e">
        <f>AND('PROG FORM COMPLEM'!#REF!,"AAAAAF4373g=")</f>
        <v>#REF!</v>
      </c>
      <c r="DR261" t="e">
        <f>AND('PROG FORM COMPLEM'!#REF!,"AAAAAF4373k=")</f>
        <v>#REF!</v>
      </c>
      <c r="DS261" t="e">
        <f>AND('PROG FORM COMPLEM'!#REF!,"AAAAAF4373o=")</f>
        <v>#REF!</v>
      </c>
      <c r="DT261" t="e">
        <f>AND('PROG FORM COMPLEM'!#REF!,"AAAAAF4373s=")</f>
        <v>#REF!</v>
      </c>
      <c r="DU261" t="e">
        <f>AND('PROG FORM COMPLEM'!#REF!,"AAAAAF4373w=")</f>
        <v>#REF!</v>
      </c>
      <c r="DV261" t="e">
        <f>AND('PROG FORM COMPLEM'!#REF!,"AAAAAF43730=")</f>
        <v>#REF!</v>
      </c>
      <c r="DW261" t="e">
        <f>AND('PROG FORM COMPLEM'!#REF!,"AAAAAF43734=")</f>
        <v>#REF!</v>
      </c>
      <c r="DX261" t="e">
        <f>AND('PROG FORM COMPLEM'!#REF!,"AAAAAF43738=")</f>
        <v>#REF!</v>
      </c>
      <c r="DY261" t="e">
        <f>AND('PROG FORM COMPLEM'!#REF!,"AAAAAF4374A=")</f>
        <v>#REF!</v>
      </c>
      <c r="DZ261" t="e">
        <f>AND('PROG FORM COMPLEM'!#REF!,"AAAAAF4374E=")</f>
        <v>#REF!</v>
      </c>
      <c r="EA261" t="e">
        <f>AND('PROG FORM COMPLEM'!#REF!,"AAAAAF4374I=")</f>
        <v>#REF!</v>
      </c>
      <c r="EB261" t="e">
        <f>AND('PROG FORM COMPLEM'!#REF!,"AAAAAF4374M=")</f>
        <v>#REF!</v>
      </c>
      <c r="EC261" t="e">
        <f>AND('PROG FORM COMPLEM'!#REF!,"AAAAAF4374Q=")</f>
        <v>#REF!</v>
      </c>
      <c r="ED261" t="e">
        <f>AND('PROG FORM COMPLEM'!#REF!,"AAAAAF4374U=")</f>
        <v>#REF!</v>
      </c>
      <c r="EE261" t="e">
        <f>AND('PROG FORM COMPLEM'!#REF!,"AAAAAF4374Y=")</f>
        <v>#REF!</v>
      </c>
      <c r="EF261">
        <f>IF('PROG FORM COMPLEM'!89:89,"AAAAAF4374c=",0)</f>
        <v>0</v>
      </c>
      <c r="EG261" t="e">
        <f>AND('PROG FORM COMPLEM'!B89,"AAAAAF4374g=")</f>
        <v>#VALUE!</v>
      </c>
      <c r="EH261" t="e">
        <f>AND('PROG FORM COMPLEM'!C89,"AAAAAF4374k=")</f>
        <v>#VALUE!</v>
      </c>
      <c r="EI261" t="e">
        <f>AND('PROG FORM COMPLEM'!D89,"AAAAAF4374o=")</f>
        <v>#VALUE!</v>
      </c>
      <c r="EJ261" t="e">
        <f>AND('PROG FORM COMPLEM'!E89,"AAAAAF4374s=")</f>
        <v>#VALUE!</v>
      </c>
      <c r="EK261" t="e">
        <f>AND('PROG FORM COMPLEM'!F89,"AAAAAF4374w=")</f>
        <v>#VALUE!</v>
      </c>
      <c r="EL261" t="e">
        <f>AND('PROG FORM COMPLEM'!G89,"AAAAAF43740=")</f>
        <v>#VALUE!</v>
      </c>
      <c r="EM261" t="e">
        <f>AND('PROG FORM COMPLEM'!H89,"AAAAAF43744=")</f>
        <v>#VALUE!</v>
      </c>
      <c r="EN261" t="e">
        <f>AND('PROG FORM COMPLEM'!I89,"AAAAAF43748=")</f>
        <v>#VALUE!</v>
      </c>
      <c r="EO261" t="e">
        <f>AND('PROG FORM COMPLEM'!J89,"AAAAAF4375A=")</f>
        <v>#VALUE!</v>
      </c>
      <c r="EP261" t="e">
        <f>AND('PROG FORM COMPLEM'!K89,"AAAAAF4375E=")</f>
        <v>#VALUE!</v>
      </c>
      <c r="EQ261" t="e">
        <f>AND('PROG FORM COMPLEM'!L89,"AAAAAF4375I=")</f>
        <v>#VALUE!</v>
      </c>
      <c r="ER261" t="e">
        <f>AND('PROG FORM COMPLEM'!M89,"AAAAAF4375M=")</f>
        <v>#VALUE!</v>
      </c>
      <c r="ES261" t="e">
        <f>AND('PROG FORM COMPLEM'!N89,"AAAAAF4375Q=")</f>
        <v>#VALUE!</v>
      </c>
      <c r="ET261" t="e">
        <f>AND('PROG FORM COMPLEM'!O89,"AAAAAF4375U=")</f>
        <v>#VALUE!</v>
      </c>
      <c r="EU261" t="e">
        <f>AND('PROG FORM COMPLEM'!P89,"AAAAAF4375Y=")</f>
        <v>#VALUE!</v>
      </c>
      <c r="EV261" t="e">
        <f>AND('PROG FORM COMPLEM'!Q89,"AAAAAF4375c=")</f>
        <v>#VALUE!</v>
      </c>
      <c r="EW261" t="e">
        <f>AND('PROG FORM COMPLEM'!R89,"AAAAAF4375g=")</f>
        <v>#VALUE!</v>
      </c>
      <c r="EX261" t="e">
        <f>AND('PROG FORM COMPLEM'!S89,"AAAAAF4375k=")</f>
        <v>#VALUE!</v>
      </c>
      <c r="EY261" t="e">
        <f>AND('PROG FORM COMPLEM'!T89,"AAAAAF4375o=")</f>
        <v>#VALUE!</v>
      </c>
      <c r="EZ261" t="e">
        <f>AND('PROG FORM COMPLEM'!U89,"AAAAAF4375s=")</f>
        <v>#VALUE!</v>
      </c>
      <c r="FA261" t="e">
        <f>AND('PROG FORM COMPLEM'!V89,"AAAAAF4375w=")</f>
        <v>#VALUE!</v>
      </c>
      <c r="FB261" t="e">
        <f>AND('PROG FORM COMPLEM'!W89,"AAAAAF43750=")</f>
        <v>#VALUE!</v>
      </c>
      <c r="FC261">
        <f>IF('PROG FORM COMPLEM'!95:95,"AAAAAF43754=",0)</f>
        <v>0</v>
      </c>
      <c r="FD261" t="e">
        <f>AND('PROG FORM COMPLEM'!B95,"AAAAAF43758=")</f>
        <v>#VALUE!</v>
      </c>
      <c r="FE261" t="e">
        <f>AND('PROG FORM COMPLEM'!C95,"AAAAAF4376A=")</f>
        <v>#VALUE!</v>
      </c>
      <c r="FF261" t="e">
        <f>AND('PROG FORM COMPLEM'!D95,"AAAAAF4376E=")</f>
        <v>#VALUE!</v>
      </c>
      <c r="FG261" t="e">
        <f>AND('PROG FORM COMPLEM'!E95,"AAAAAF4376I=")</f>
        <v>#VALUE!</v>
      </c>
      <c r="FH261" t="e">
        <f>AND('PROG FORM COMPLEM'!F95,"AAAAAF4376M=")</f>
        <v>#VALUE!</v>
      </c>
      <c r="FI261" t="e">
        <f>AND('PROG FORM COMPLEM'!G95,"AAAAAF4376Q=")</f>
        <v>#VALUE!</v>
      </c>
      <c r="FJ261" t="e">
        <f>AND('PROG FORM COMPLEM'!H95,"AAAAAF4376U=")</f>
        <v>#VALUE!</v>
      </c>
      <c r="FK261" t="e">
        <f>AND('PROG FORM COMPLEM'!I95,"AAAAAF4376Y=")</f>
        <v>#VALUE!</v>
      </c>
      <c r="FL261" t="e">
        <f>AND('PROG FORM COMPLEM'!J95,"AAAAAF4376c=")</f>
        <v>#VALUE!</v>
      </c>
      <c r="FM261" t="e">
        <f>AND('PROG FORM COMPLEM'!K95,"AAAAAF4376g=")</f>
        <v>#VALUE!</v>
      </c>
      <c r="FN261" t="e">
        <f>AND('PROG FORM COMPLEM'!L95,"AAAAAF4376k=")</f>
        <v>#VALUE!</v>
      </c>
      <c r="FO261" t="e">
        <f>AND('PROG FORM COMPLEM'!M95,"AAAAAF4376o=")</f>
        <v>#VALUE!</v>
      </c>
      <c r="FP261" t="e">
        <f>AND('PROG FORM COMPLEM'!N95,"AAAAAF4376s=")</f>
        <v>#VALUE!</v>
      </c>
      <c r="FQ261" t="e">
        <f>AND('PROG FORM COMPLEM'!O95,"AAAAAF4376w=")</f>
        <v>#VALUE!</v>
      </c>
      <c r="FR261" t="e">
        <f>AND('PROG FORM COMPLEM'!P95,"AAAAAF43760=")</f>
        <v>#VALUE!</v>
      </c>
      <c r="FS261" t="e">
        <f>AND('PROG FORM COMPLEM'!Q95,"AAAAAF43764=")</f>
        <v>#VALUE!</v>
      </c>
      <c r="FT261" t="e">
        <f>AND('PROG FORM COMPLEM'!R95,"AAAAAF43768=")</f>
        <v>#VALUE!</v>
      </c>
      <c r="FU261" t="e">
        <f>AND('PROG FORM COMPLEM'!S95,"AAAAAF4377A=")</f>
        <v>#VALUE!</v>
      </c>
      <c r="FV261" t="e">
        <f>AND('PROG FORM COMPLEM'!T95,"AAAAAF4377E=")</f>
        <v>#VALUE!</v>
      </c>
      <c r="FW261" t="e">
        <f>AND('PROG FORM COMPLEM'!U95,"AAAAAF4377I=")</f>
        <v>#VALUE!</v>
      </c>
      <c r="FX261" t="e">
        <f>AND('PROG FORM COMPLEM'!V95,"AAAAAF4377M=")</f>
        <v>#VALUE!</v>
      </c>
      <c r="FY261" t="e">
        <f>AND('PROG FORM COMPLEM'!W95,"AAAAAF4377Q=")</f>
        <v>#VALUE!</v>
      </c>
      <c r="FZ261">
        <f>IF('PROG FORM COMPLEM'!96:96,"AAAAAF4377U=",0)</f>
        <v>0</v>
      </c>
      <c r="GA261" t="e">
        <f>AND('PROG FORM COMPLEM'!B96,"AAAAAF4377Y=")</f>
        <v>#VALUE!</v>
      </c>
      <c r="GB261" t="e">
        <f>AND('PROG FORM COMPLEM'!C96,"AAAAAF4377c=")</f>
        <v>#VALUE!</v>
      </c>
      <c r="GC261" t="e">
        <f>AND('PROG FORM COMPLEM'!D96,"AAAAAF4377g=")</f>
        <v>#VALUE!</v>
      </c>
      <c r="GD261" t="e">
        <f>AND('PROG FORM COMPLEM'!E96,"AAAAAF4377k=")</f>
        <v>#VALUE!</v>
      </c>
      <c r="GE261" t="e">
        <f>AND('PROG FORM COMPLEM'!F96,"AAAAAF4377o=")</f>
        <v>#VALUE!</v>
      </c>
      <c r="GF261" t="e">
        <f>AND('PROG FORM COMPLEM'!G96,"AAAAAF4377s=")</f>
        <v>#VALUE!</v>
      </c>
      <c r="GG261" t="e">
        <f>AND('PROG FORM COMPLEM'!H96,"AAAAAF4377w=")</f>
        <v>#VALUE!</v>
      </c>
      <c r="GH261" t="e">
        <f>AND('PROG FORM COMPLEM'!I96,"AAAAAF43770=")</f>
        <v>#VALUE!</v>
      </c>
      <c r="GI261" t="e">
        <f>AND('PROG FORM COMPLEM'!J96,"AAAAAF43774=")</f>
        <v>#VALUE!</v>
      </c>
      <c r="GJ261" t="e">
        <f>AND('PROG FORM COMPLEM'!K96,"AAAAAF43778=")</f>
        <v>#VALUE!</v>
      </c>
      <c r="GK261" t="e">
        <f>AND('PROG FORM COMPLEM'!L96,"AAAAAF4378A=")</f>
        <v>#VALUE!</v>
      </c>
      <c r="GL261" t="e">
        <f>AND('PROG FORM COMPLEM'!M96,"AAAAAF4378E=")</f>
        <v>#VALUE!</v>
      </c>
      <c r="GM261" t="e">
        <f>AND('PROG FORM COMPLEM'!N96,"AAAAAF4378I=")</f>
        <v>#VALUE!</v>
      </c>
      <c r="GN261" t="e">
        <f>AND('PROG FORM COMPLEM'!O96,"AAAAAF4378M=")</f>
        <v>#VALUE!</v>
      </c>
      <c r="GO261" t="e">
        <f>AND('PROG FORM COMPLEM'!P96,"AAAAAF4378Q=")</f>
        <v>#VALUE!</v>
      </c>
      <c r="GP261" t="e">
        <f>AND('PROG FORM COMPLEM'!Q96,"AAAAAF4378U=")</f>
        <v>#VALUE!</v>
      </c>
      <c r="GQ261" t="e">
        <f>AND('PROG FORM COMPLEM'!R96,"AAAAAF4378Y=")</f>
        <v>#VALUE!</v>
      </c>
      <c r="GR261" t="e">
        <f>AND('PROG FORM COMPLEM'!S96,"AAAAAF4378c=")</f>
        <v>#VALUE!</v>
      </c>
      <c r="GS261" t="e">
        <f>AND('PROG FORM COMPLEM'!T96,"AAAAAF4378g=")</f>
        <v>#VALUE!</v>
      </c>
      <c r="GT261" t="e">
        <f>AND('PROG FORM COMPLEM'!U96,"AAAAAF4378k=")</f>
        <v>#VALUE!</v>
      </c>
      <c r="GU261" t="e">
        <f>AND('PROG FORM COMPLEM'!V96,"AAAAAF4378o=")</f>
        <v>#VALUE!</v>
      </c>
      <c r="GV261" t="e">
        <f>AND('PROG FORM COMPLEM'!W96,"AAAAAF4378s=")</f>
        <v>#VALUE!</v>
      </c>
      <c r="GW261">
        <f>IF('PROG FORM COMPLEM'!100:100,"AAAAAF4378w=",0)</f>
        <v>0</v>
      </c>
      <c r="GX261" t="e">
        <f>AND('PROG FORM COMPLEM'!B100,"AAAAAF43780=")</f>
        <v>#VALUE!</v>
      </c>
      <c r="GY261" t="e">
        <f>AND('PROG FORM COMPLEM'!C100,"AAAAAF43784=")</f>
        <v>#VALUE!</v>
      </c>
      <c r="GZ261" t="e">
        <f>AND('PROG FORM COMPLEM'!D100,"AAAAAF43788=")</f>
        <v>#VALUE!</v>
      </c>
      <c r="HA261" t="e">
        <f>AND('PROG FORM COMPLEM'!E100,"AAAAAF4379A=")</f>
        <v>#VALUE!</v>
      </c>
      <c r="HB261" t="e">
        <f>AND('PROG FORM COMPLEM'!F100,"AAAAAF4379E=")</f>
        <v>#VALUE!</v>
      </c>
      <c r="HC261" t="e">
        <f>AND('PROG FORM COMPLEM'!G100,"AAAAAF4379I=")</f>
        <v>#VALUE!</v>
      </c>
      <c r="HD261" t="e">
        <f>AND('PROG FORM COMPLEM'!H100,"AAAAAF4379M=")</f>
        <v>#VALUE!</v>
      </c>
      <c r="HE261" t="e">
        <f>AND('PROG FORM COMPLEM'!I100,"AAAAAF4379Q=")</f>
        <v>#VALUE!</v>
      </c>
      <c r="HF261" t="e">
        <f>AND('PROG FORM COMPLEM'!J100,"AAAAAF4379U=")</f>
        <v>#VALUE!</v>
      </c>
      <c r="HG261" t="e">
        <f>AND('PROG FORM COMPLEM'!K100,"AAAAAF4379Y=")</f>
        <v>#VALUE!</v>
      </c>
      <c r="HH261" t="e">
        <f>AND('PROG FORM COMPLEM'!L100,"AAAAAF4379c=")</f>
        <v>#VALUE!</v>
      </c>
      <c r="HI261" t="e">
        <f>AND('PROG FORM COMPLEM'!M100,"AAAAAF4379g=")</f>
        <v>#VALUE!</v>
      </c>
      <c r="HJ261" t="e">
        <f>AND('PROG FORM COMPLEM'!N100,"AAAAAF4379k=")</f>
        <v>#VALUE!</v>
      </c>
      <c r="HK261" t="e">
        <f>AND('PROG FORM COMPLEM'!O100,"AAAAAF4379o=")</f>
        <v>#VALUE!</v>
      </c>
      <c r="HL261" t="e">
        <f>AND('PROG FORM COMPLEM'!P100,"AAAAAF4379s=")</f>
        <v>#VALUE!</v>
      </c>
      <c r="HM261" t="e">
        <f>AND('PROG FORM COMPLEM'!Q100,"AAAAAF4379w=")</f>
        <v>#VALUE!</v>
      </c>
      <c r="HN261" t="e">
        <f>AND('PROG FORM COMPLEM'!R100,"AAAAAF43790=")</f>
        <v>#VALUE!</v>
      </c>
      <c r="HO261" t="e">
        <f>AND('PROG FORM COMPLEM'!S100,"AAAAAF43794=")</f>
        <v>#VALUE!</v>
      </c>
      <c r="HP261" t="e">
        <f>AND('PROG FORM COMPLEM'!T100,"AAAAAF43798=")</f>
        <v>#VALUE!</v>
      </c>
      <c r="HQ261" t="e">
        <f>AND('PROG FORM COMPLEM'!U100,"AAAAAF437+A=")</f>
        <v>#VALUE!</v>
      </c>
      <c r="HR261" t="e">
        <f>AND('PROG FORM COMPLEM'!V100,"AAAAAF437+E=")</f>
        <v>#VALUE!</v>
      </c>
      <c r="HS261" t="e">
        <f>AND('PROG FORM COMPLEM'!W100,"AAAAAF437+I=")</f>
        <v>#VALUE!</v>
      </c>
      <c r="HT261">
        <f>IF('PROG FORM COMPLEM'!101:101,"AAAAAF437+M=",0)</f>
        <v>0</v>
      </c>
      <c r="HU261" t="e">
        <f>AND('PROG FORM COMPLEM'!B101,"AAAAAF437+Q=")</f>
        <v>#VALUE!</v>
      </c>
      <c r="HV261" t="e">
        <f>AND('PROG FORM COMPLEM'!C101,"AAAAAF437+U=")</f>
        <v>#VALUE!</v>
      </c>
      <c r="HW261" t="e">
        <f>AND('PROG FORM COMPLEM'!D101,"AAAAAF437+Y=")</f>
        <v>#VALUE!</v>
      </c>
      <c r="HX261" t="e">
        <f>AND('PROG FORM COMPLEM'!E101,"AAAAAF437+c=")</f>
        <v>#VALUE!</v>
      </c>
      <c r="HY261" t="e">
        <f>AND('PROG FORM COMPLEM'!F101,"AAAAAF437+g=")</f>
        <v>#VALUE!</v>
      </c>
      <c r="HZ261" t="e">
        <f>AND('PROG FORM COMPLEM'!G101,"AAAAAF437+k=")</f>
        <v>#VALUE!</v>
      </c>
      <c r="IA261" t="e">
        <f>AND('PROG FORM COMPLEM'!H101,"AAAAAF437+o=")</f>
        <v>#VALUE!</v>
      </c>
      <c r="IB261" t="e">
        <f>AND('PROG FORM COMPLEM'!I101,"AAAAAF437+s=")</f>
        <v>#VALUE!</v>
      </c>
      <c r="IC261" t="e">
        <f>AND('PROG FORM COMPLEM'!J101,"AAAAAF437+w=")</f>
        <v>#VALUE!</v>
      </c>
      <c r="ID261" t="e">
        <f>AND('PROG FORM COMPLEM'!K101,"AAAAAF437+0=")</f>
        <v>#VALUE!</v>
      </c>
      <c r="IE261" t="e">
        <f>AND('PROG FORM COMPLEM'!L101,"AAAAAF437+4=")</f>
        <v>#VALUE!</v>
      </c>
      <c r="IF261" t="e">
        <f>AND('PROG FORM COMPLEM'!M101,"AAAAAF437+8=")</f>
        <v>#VALUE!</v>
      </c>
      <c r="IG261" t="e">
        <f>AND('PROG FORM COMPLEM'!N101,"AAAAAF437/A=")</f>
        <v>#VALUE!</v>
      </c>
      <c r="IH261" t="e">
        <f>AND('PROG FORM COMPLEM'!O101,"AAAAAF437/E=")</f>
        <v>#VALUE!</v>
      </c>
      <c r="II261" t="e">
        <f>AND('PROG FORM COMPLEM'!P101,"AAAAAF437/I=")</f>
        <v>#VALUE!</v>
      </c>
      <c r="IJ261" t="e">
        <f>AND('PROG FORM COMPLEM'!Q101,"AAAAAF437/M=")</f>
        <v>#VALUE!</v>
      </c>
      <c r="IK261" t="e">
        <f>AND('PROG FORM COMPLEM'!R101,"AAAAAF437/Q=")</f>
        <v>#VALUE!</v>
      </c>
      <c r="IL261" t="e">
        <f>AND('PROG FORM COMPLEM'!S101,"AAAAAF437/U=")</f>
        <v>#VALUE!</v>
      </c>
      <c r="IM261" t="e">
        <f>AND('PROG FORM COMPLEM'!T101,"AAAAAF437/Y=")</f>
        <v>#VALUE!</v>
      </c>
      <c r="IN261" t="e">
        <f>AND('PROG FORM COMPLEM'!U101,"AAAAAF437/c=")</f>
        <v>#VALUE!</v>
      </c>
      <c r="IO261" t="e">
        <f>AND('PROG FORM COMPLEM'!V101,"AAAAAF437/g=")</f>
        <v>#VALUE!</v>
      </c>
      <c r="IP261" t="e">
        <f>AND('PROG FORM COMPLEM'!W101,"AAAAAF437/k=")</f>
        <v>#VALUE!</v>
      </c>
      <c r="IQ261">
        <f>IF('PROG FORM COMPLEM'!102:102,"AAAAAF437/o=",0)</f>
        <v>0</v>
      </c>
      <c r="IR261" t="e">
        <f>AND('PROG FORM COMPLEM'!B102,"AAAAAF437/s=")</f>
        <v>#VALUE!</v>
      </c>
      <c r="IS261" t="e">
        <f>AND('PROG FORM COMPLEM'!C102,"AAAAAF437/w=")</f>
        <v>#VALUE!</v>
      </c>
      <c r="IT261" t="e">
        <f>AND('PROG FORM COMPLEM'!D102,"AAAAAF437/0=")</f>
        <v>#VALUE!</v>
      </c>
      <c r="IU261" t="e">
        <f>AND('PROG FORM COMPLEM'!E102,"AAAAAF437/4=")</f>
        <v>#VALUE!</v>
      </c>
      <c r="IV261" t="e">
        <f>AND('PROG FORM COMPLEM'!F102,"AAAAAF437/8=")</f>
        <v>#VALUE!</v>
      </c>
    </row>
    <row r="262" spans="1:256" x14ac:dyDescent="0.2">
      <c r="A262" t="e">
        <f>AND('PROG FORM COMPLEM'!G102,"AAAAAGL/zQA=")</f>
        <v>#VALUE!</v>
      </c>
      <c r="B262" t="e">
        <f>AND('PROG FORM COMPLEM'!H102,"AAAAAGL/zQE=")</f>
        <v>#VALUE!</v>
      </c>
      <c r="C262" t="e">
        <f>AND('PROG FORM COMPLEM'!I102,"AAAAAGL/zQI=")</f>
        <v>#VALUE!</v>
      </c>
      <c r="D262" t="e">
        <f>AND('PROG FORM COMPLEM'!J102,"AAAAAGL/zQM=")</f>
        <v>#VALUE!</v>
      </c>
      <c r="E262" t="e">
        <f>AND('PROG FORM COMPLEM'!K102,"AAAAAGL/zQQ=")</f>
        <v>#VALUE!</v>
      </c>
      <c r="F262" t="e">
        <f>AND('PROG FORM COMPLEM'!L102,"AAAAAGL/zQU=")</f>
        <v>#VALUE!</v>
      </c>
      <c r="G262" t="e">
        <f>AND('PROG FORM COMPLEM'!M102,"AAAAAGL/zQY=")</f>
        <v>#VALUE!</v>
      </c>
      <c r="H262" t="e">
        <f>AND('PROG FORM COMPLEM'!N102,"AAAAAGL/zQc=")</f>
        <v>#VALUE!</v>
      </c>
      <c r="I262" t="e">
        <f>AND('PROG FORM COMPLEM'!O102,"AAAAAGL/zQg=")</f>
        <v>#VALUE!</v>
      </c>
      <c r="J262" t="e">
        <f>AND('PROG FORM COMPLEM'!P102,"AAAAAGL/zQk=")</f>
        <v>#VALUE!</v>
      </c>
      <c r="K262" t="e">
        <f>AND('PROG FORM COMPLEM'!Q102,"AAAAAGL/zQo=")</f>
        <v>#VALUE!</v>
      </c>
      <c r="L262" t="e">
        <f>AND('PROG FORM COMPLEM'!R102,"AAAAAGL/zQs=")</f>
        <v>#VALUE!</v>
      </c>
      <c r="M262" t="e">
        <f>AND('PROG FORM COMPLEM'!S102,"AAAAAGL/zQw=")</f>
        <v>#VALUE!</v>
      </c>
      <c r="N262" t="e">
        <f>AND('PROG FORM COMPLEM'!T102,"AAAAAGL/zQ0=")</f>
        <v>#VALUE!</v>
      </c>
      <c r="O262" t="e">
        <f>AND('PROG FORM COMPLEM'!U102,"AAAAAGL/zQ4=")</f>
        <v>#VALUE!</v>
      </c>
      <c r="P262" t="e">
        <f>AND('PROG FORM COMPLEM'!V102,"AAAAAGL/zQ8=")</f>
        <v>#VALUE!</v>
      </c>
      <c r="Q262" t="e">
        <f>AND('PROG FORM COMPLEM'!W102,"AAAAAGL/zRA=")</f>
        <v>#VALUE!</v>
      </c>
      <c r="R262">
        <f>IF('PROG FORM COMPLEM'!103:103,"AAAAAGL/zRE=",0)</f>
        <v>0</v>
      </c>
      <c r="S262" t="e">
        <f>AND('PROG FORM COMPLEM'!B103,"AAAAAGL/zRI=")</f>
        <v>#VALUE!</v>
      </c>
      <c r="T262" t="e">
        <f>AND('PROG FORM COMPLEM'!C103,"AAAAAGL/zRM=")</f>
        <v>#VALUE!</v>
      </c>
      <c r="U262" t="e">
        <f>AND('PROG FORM COMPLEM'!D103,"AAAAAGL/zRQ=")</f>
        <v>#VALUE!</v>
      </c>
      <c r="V262" t="e">
        <f>AND('PROG FORM COMPLEM'!E103,"AAAAAGL/zRU=")</f>
        <v>#VALUE!</v>
      </c>
      <c r="W262" t="e">
        <f>AND('PROG FORM COMPLEM'!F103,"AAAAAGL/zRY=")</f>
        <v>#VALUE!</v>
      </c>
      <c r="X262" t="e">
        <f>AND('PROG FORM COMPLEM'!G103,"AAAAAGL/zRc=")</f>
        <v>#VALUE!</v>
      </c>
      <c r="Y262" t="e">
        <f>AND('PROG FORM COMPLEM'!H103,"AAAAAGL/zRg=")</f>
        <v>#VALUE!</v>
      </c>
      <c r="Z262" t="e">
        <f>AND('PROG FORM COMPLEM'!I103,"AAAAAGL/zRk=")</f>
        <v>#VALUE!</v>
      </c>
      <c r="AA262" t="e">
        <f>AND('PROG FORM COMPLEM'!J103,"AAAAAGL/zRo=")</f>
        <v>#VALUE!</v>
      </c>
      <c r="AB262" t="e">
        <f>AND('PROG FORM COMPLEM'!K103,"AAAAAGL/zRs=")</f>
        <v>#VALUE!</v>
      </c>
      <c r="AC262" t="e">
        <f>AND('PROG FORM COMPLEM'!L103,"AAAAAGL/zRw=")</f>
        <v>#VALUE!</v>
      </c>
      <c r="AD262" t="e">
        <f>AND('PROG FORM COMPLEM'!M103,"AAAAAGL/zR0=")</f>
        <v>#VALUE!</v>
      </c>
      <c r="AE262" t="e">
        <f>AND('PROG FORM COMPLEM'!N103,"AAAAAGL/zR4=")</f>
        <v>#VALUE!</v>
      </c>
      <c r="AF262" t="e">
        <f>AND('PROG FORM COMPLEM'!O103,"AAAAAGL/zR8=")</f>
        <v>#VALUE!</v>
      </c>
      <c r="AG262" t="e">
        <f>AND('PROG FORM COMPLEM'!P103,"AAAAAGL/zSA=")</f>
        <v>#VALUE!</v>
      </c>
      <c r="AH262" t="e">
        <f>AND('PROG FORM COMPLEM'!Q103,"AAAAAGL/zSE=")</f>
        <v>#VALUE!</v>
      </c>
      <c r="AI262" t="e">
        <f>AND('PROG FORM COMPLEM'!R103,"AAAAAGL/zSI=")</f>
        <v>#VALUE!</v>
      </c>
      <c r="AJ262" t="e">
        <f>AND('PROG FORM COMPLEM'!S103,"AAAAAGL/zSM=")</f>
        <v>#VALUE!</v>
      </c>
      <c r="AK262" t="e">
        <f>AND('PROG FORM COMPLEM'!T103,"AAAAAGL/zSQ=")</f>
        <v>#VALUE!</v>
      </c>
      <c r="AL262" t="e">
        <f>AND('PROG FORM COMPLEM'!U103,"AAAAAGL/zSU=")</f>
        <v>#VALUE!</v>
      </c>
      <c r="AM262" t="e">
        <f>AND('PROG FORM COMPLEM'!V103,"AAAAAGL/zSY=")</f>
        <v>#VALUE!</v>
      </c>
      <c r="AN262" t="e">
        <f>AND('PROG FORM COMPLEM'!W103,"AAAAAGL/zSc=")</f>
        <v>#VALUE!</v>
      </c>
      <c r="AO262">
        <f>IF('PROG FORM COMPLEM'!104:104,"AAAAAGL/zSg=",0)</f>
        <v>0</v>
      </c>
      <c r="AP262" t="e">
        <f>AND('PROG FORM COMPLEM'!B104,"AAAAAGL/zSk=")</f>
        <v>#VALUE!</v>
      </c>
      <c r="AQ262" t="e">
        <f>AND('PROG FORM COMPLEM'!C104,"AAAAAGL/zSo=")</f>
        <v>#VALUE!</v>
      </c>
      <c r="AR262" t="e">
        <f>AND('PROG FORM COMPLEM'!D104,"AAAAAGL/zSs=")</f>
        <v>#VALUE!</v>
      </c>
      <c r="AS262" t="e">
        <f>AND('PROG FORM COMPLEM'!E104,"AAAAAGL/zSw=")</f>
        <v>#VALUE!</v>
      </c>
      <c r="AT262" t="e">
        <f>AND('PROG FORM COMPLEM'!F104,"AAAAAGL/zS0=")</f>
        <v>#VALUE!</v>
      </c>
      <c r="AU262" t="e">
        <f>AND('PROG FORM COMPLEM'!G104,"AAAAAGL/zS4=")</f>
        <v>#VALUE!</v>
      </c>
      <c r="AV262" t="e">
        <f>AND('PROG FORM COMPLEM'!H104,"AAAAAGL/zS8=")</f>
        <v>#VALUE!</v>
      </c>
      <c r="AW262" t="e">
        <f>AND('PROG FORM COMPLEM'!I104,"AAAAAGL/zTA=")</f>
        <v>#VALUE!</v>
      </c>
      <c r="AX262" t="e">
        <f>AND('PROG FORM COMPLEM'!J104,"AAAAAGL/zTE=")</f>
        <v>#VALUE!</v>
      </c>
      <c r="AY262" t="e">
        <f>AND('PROG FORM COMPLEM'!K104,"AAAAAGL/zTI=")</f>
        <v>#VALUE!</v>
      </c>
      <c r="AZ262" t="e">
        <f>AND('PROG FORM COMPLEM'!L104,"AAAAAGL/zTM=")</f>
        <v>#VALUE!</v>
      </c>
      <c r="BA262" t="e">
        <f>AND('PROG FORM COMPLEM'!M104,"AAAAAGL/zTQ=")</f>
        <v>#VALUE!</v>
      </c>
      <c r="BB262" t="e">
        <f>AND('PROG FORM COMPLEM'!N104,"AAAAAGL/zTU=")</f>
        <v>#VALUE!</v>
      </c>
      <c r="BC262" t="e">
        <f>AND('PROG FORM COMPLEM'!O104,"AAAAAGL/zTY=")</f>
        <v>#VALUE!</v>
      </c>
      <c r="BD262" t="e">
        <f>AND('PROG FORM COMPLEM'!P104,"AAAAAGL/zTc=")</f>
        <v>#VALUE!</v>
      </c>
      <c r="BE262" t="e">
        <f>AND('PROG FORM COMPLEM'!Q104,"AAAAAGL/zTg=")</f>
        <v>#VALUE!</v>
      </c>
      <c r="BF262" t="e">
        <f>AND('PROG FORM COMPLEM'!R104,"AAAAAGL/zTk=")</f>
        <v>#VALUE!</v>
      </c>
      <c r="BG262" t="e">
        <f>AND('PROG FORM COMPLEM'!S104,"AAAAAGL/zTo=")</f>
        <v>#VALUE!</v>
      </c>
      <c r="BH262" t="e">
        <f>AND('PROG FORM COMPLEM'!T104,"AAAAAGL/zTs=")</f>
        <v>#VALUE!</v>
      </c>
      <c r="BI262" t="e">
        <f>AND('PROG FORM COMPLEM'!U104,"AAAAAGL/zTw=")</f>
        <v>#VALUE!</v>
      </c>
      <c r="BJ262" t="e">
        <f>AND('PROG FORM COMPLEM'!V104,"AAAAAGL/zT0=")</f>
        <v>#VALUE!</v>
      </c>
      <c r="BK262" t="e">
        <f>AND('PROG FORM COMPLEM'!W104,"AAAAAGL/zT4=")</f>
        <v>#VALUE!</v>
      </c>
      <c r="BL262" t="e">
        <f>IF('PROG FORM COMPLEM'!#REF!,"AAAAAGL/zT8=",0)</f>
        <v>#REF!</v>
      </c>
      <c r="BM262" t="e">
        <f>AND('PROG FORM COMPLEM'!#REF!,"AAAAAGL/zUA=")</f>
        <v>#REF!</v>
      </c>
      <c r="BN262" t="e">
        <f>AND('PROG FORM COMPLEM'!#REF!,"AAAAAGL/zUE=")</f>
        <v>#REF!</v>
      </c>
      <c r="BO262" t="e">
        <f>AND('PROG FORM COMPLEM'!#REF!,"AAAAAGL/zUI=")</f>
        <v>#REF!</v>
      </c>
      <c r="BP262" t="e">
        <f>AND('PROG FORM COMPLEM'!#REF!,"AAAAAGL/zUM=")</f>
        <v>#REF!</v>
      </c>
      <c r="BQ262" t="e">
        <f>AND('PROG FORM COMPLEM'!#REF!,"AAAAAGL/zUQ=")</f>
        <v>#REF!</v>
      </c>
      <c r="BR262" t="e">
        <f>AND('PROG FORM COMPLEM'!#REF!,"AAAAAGL/zUU=")</f>
        <v>#REF!</v>
      </c>
      <c r="BS262" t="e">
        <f>AND('PROG FORM COMPLEM'!#REF!,"AAAAAGL/zUY=")</f>
        <v>#REF!</v>
      </c>
      <c r="BT262" t="e">
        <f>AND('PROG FORM COMPLEM'!#REF!,"AAAAAGL/zUc=")</f>
        <v>#REF!</v>
      </c>
      <c r="BU262" t="e">
        <f>AND('PROG FORM COMPLEM'!#REF!,"AAAAAGL/zUg=")</f>
        <v>#REF!</v>
      </c>
      <c r="BV262" t="e">
        <f>AND('PROG FORM COMPLEM'!#REF!,"AAAAAGL/zUk=")</f>
        <v>#REF!</v>
      </c>
      <c r="BW262" t="e">
        <f>AND('PROG FORM COMPLEM'!#REF!,"AAAAAGL/zUo=")</f>
        <v>#REF!</v>
      </c>
      <c r="BX262" t="e">
        <f>AND('PROG FORM COMPLEM'!#REF!,"AAAAAGL/zUs=")</f>
        <v>#REF!</v>
      </c>
      <c r="BY262" t="e">
        <f>AND('PROG FORM COMPLEM'!#REF!,"AAAAAGL/zUw=")</f>
        <v>#REF!</v>
      </c>
      <c r="BZ262" t="e">
        <f>AND('PROG FORM COMPLEM'!#REF!,"AAAAAGL/zU0=")</f>
        <v>#REF!</v>
      </c>
      <c r="CA262" t="e">
        <f>AND('PROG FORM COMPLEM'!#REF!,"AAAAAGL/zU4=")</f>
        <v>#REF!</v>
      </c>
      <c r="CB262" t="e">
        <f>AND('PROG FORM COMPLEM'!#REF!,"AAAAAGL/zU8=")</f>
        <v>#REF!</v>
      </c>
      <c r="CC262" t="e">
        <f>AND('PROG FORM COMPLEM'!#REF!,"AAAAAGL/zVA=")</f>
        <v>#REF!</v>
      </c>
      <c r="CD262" t="e">
        <f>AND('PROG FORM COMPLEM'!#REF!,"AAAAAGL/zVE=")</f>
        <v>#REF!</v>
      </c>
      <c r="CE262" t="e">
        <f>AND('PROG FORM COMPLEM'!#REF!,"AAAAAGL/zVI=")</f>
        <v>#REF!</v>
      </c>
      <c r="CF262" t="e">
        <f>AND('PROG FORM COMPLEM'!#REF!,"AAAAAGL/zVM=")</f>
        <v>#REF!</v>
      </c>
      <c r="CG262" t="e">
        <f>AND('PROG FORM COMPLEM'!#REF!,"AAAAAGL/zVQ=")</f>
        <v>#REF!</v>
      </c>
      <c r="CH262" t="e">
        <f>AND('PROG FORM COMPLEM'!#REF!,"AAAAAGL/zVU=")</f>
        <v>#REF!</v>
      </c>
      <c r="CI262" t="e">
        <f>IF('PROG FORM COMPLEM'!#REF!,"AAAAAGL/zVY=",0)</f>
        <v>#REF!</v>
      </c>
      <c r="CJ262" t="e">
        <f>AND('PROG FORM COMPLEM'!#REF!,"AAAAAGL/zVc=")</f>
        <v>#REF!</v>
      </c>
      <c r="CK262" t="e">
        <f>AND('PROG FORM COMPLEM'!#REF!,"AAAAAGL/zVg=")</f>
        <v>#REF!</v>
      </c>
      <c r="CL262" t="e">
        <f>AND('PROG FORM COMPLEM'!#REF!,"AAAAAGL/zVk=")</f>
        <v>#REF!</v>
      </c>
      <c r="CM262" t="e">
        <f>AND('PROG FORM COMPLEM'!#REF!,"AAAAAGL/zVo=")</f>
        <v>#REF!</v>
      </c>
      <c r="CN262" t="e">
        <f>AND('PROG FORM COMPLEM'!#REF!,"AAAAAGL/zVs=")</f>
        <v>#REF!</v>
      </c>
      <c r="CO262" t="e">
        <f>AND('PROG FORM COMPLEM'!#REF!,"AAAAAGL/zVw=")</f>
        <v>#REF!</v>
      </c>
      <c r="CP262" t="e">
        <f>AND('PROG FORM COMPLEM'!#REF!,"AAAAAGL/zV0=")</f>
        <v>#REF!</v>
      </c>
      <c r="CQ262" t="e">
        <f>AND('PROG FORM COMPLEM'!#REF!,"AAAAAGL/zV4=")</f>
        <v>#REF!</v>
      </c>
      <c r="CR262" t="e">
        <f>AND('PROG FORM COMPLEM'!#REF!,"AAAAAGL/zV8=")</f>
        <v>#REF!</v>
      </c>
      <c r="CS262" t="e">
        <f>AND('PROG FORM COMPLEM'!#REF!,"AAAAAGL/zWA=")</f>
        <v>#REF!</v>
      </c>
      <c r="CT262" t="e">
        <f>AND('PROG FORM COMPLEM'!#REF!,"AAAAAGL/zWE=")</f>
        <v>#REF!</v>
      </c>
      <c r="CU262" t="e">
        <f>AND('PROG FORM COMPLEM'!#REF!,"AAAAAGL/zWI=")</f>
        <v>#REF!</v>
      </c>
      <c r="CV262" t="e">
        <f>AND('PROG FORM COMPLEM'!#REF!,"AAAAAGL/zWM=")</f>
        <v>#REF!</v>
      </c>
      <c r="CW262" t="e">
        <f>AND('PROG FORM COMPLEM'!#REF!,"AAAAAGL/zWQ=")</f>
        <v>#REF!</v>
      </c>
      <c r="CX262" t="e">
        <f>AND('PROG FORM COMPLEM'!#REF!,"AAAAAGL/zWU=")</f>
        <v>#REF!</v>
      </c>
      <c r="CY262" t="e">
        <f>AND('PROG FORM COMPLEM'!#REF!,"AAAAAGL/zWY=")</f>
        <v>#REF!</v>
      </c>
      <c r="CZ262" t="e">
        <f>AND('PROG FORM COMPLEM'!#REF!,"AAAAAGL/zWc=")</f>
        <v>#REF!</v>
      </c>
      <c r="DA262" t="e">
        <f>AND('PROG FORM COMPLEM'!#REF!,"AAAAAGL/zWg=")</f>
        <v>#REF!</v>
      </c>
      <c r="DB262" t="e">
        <f>AND('PROG FORM COMPLEM'!#REF!,"AAAAAGL/zWk=")</f>
        <v>#REF!</v>
      </c>
      <c r="DC262" t="e">
        <f>AND('PROG FORM COMPLEM'!#REF!,"AAAAAGL/zWo=")</f>
        <v>#REF!</v>
      </c>
      <c r="DD262" t="e">
        <f>AND('PROG FORM COMPLEM'!#REF!,"AAAAAGL/zWs=")</f>
        <v>#REF!</v>
      </c>
      <c r="DE262" t="e">
        <f>AND('PROG FORM COMPLEM'!#REF!,"AAAAAGL/zWw=")</f>
        <v>#REF!</v>
      </c>
      <c r="DF262" t="e">
        <f>IF('PROG FORM COMPLEM'!#REF!,"AAAAAGL/zW0=",0)</f>
        <v>#REF!</v>
      </c>
      <c r="DG262" t="e">
        <f>AND('PROG FORM COMPLEM'!#REF!,"AAAAAGL/zW4=")</f>
        <v>#REF!</v>
      </c>
      <c r="DH262" t="e">
        <f>AND('PROG FORM COMPLEM'!#REF!,"AAAAAGL/zW8=")</f>
        <v>#REF!</v>
      </c>
      <c r="DI262" t="e">
        <f>AND('PROG FORM COMPLEM'!#REF!,"AAAAAGL/zXA=")</f>
        <v>#REF!</v>
      </c>
      <c r="DJ262" t="e">
        <f>AND('PROG FORM COMPLEM'!#REF!,"AAAAAGL/zXE=")</f>
        <v>#REF!</v>
      </c>
      <c r="DK262" t="e">
        <f>AND('PROG FORM COMPLEM'!#REF!,"AAAAAGL/zXI=")</f>
        <v>#REF!</v>
      </c>
      <c r="DL262" t="e">
        <f>AND('PROG FORM COMPLEM'!#REF!,"AAAAAGL/zXM=")</f>
        <v>#REF!</v>
      </c>
      <c r="DM262" t="e">
        <f>AND('PROG FORM COMPLEM'!#REF!,"AAAAAGL/zXQ=")</f>
        <v>#REF!</v>
      </c>
      <c r="DN262" t="e">
        <f>AND('PROG FORM COMPLEM'!#REF!,"AAAAAGL/zXU=")</f>
        <v>#REF!</v>
      </c>
      <c r="DO262" t="e">
        <f>AND('PROG FORM COMPLEM'!#REF!,"AAAAAGL/zXY=")</f>
        <v>#REF!</v>
      </c>
      <c r="DP262" t="e">
        <f>AND('PROG FORM COMPLEM'!#REF!,"AAAAAGL/zXc=")</f>
        <v>#REF!</v>
      </c>
      <c r="DQ262" t="e">
        <f>AND('PROG FORM COMPLEM'!#REF!,"AAAAAGL/zXg=")</f>
        <v>#REF!</v>
      </c>
      <c r="DR262" t="e">
        <f>AND('PROG FORM COMPLEM'!#REF!,"AAAAAGL/zXk=")</f>
        <v>#REF!</v>
      </c>
      <c r="DS262" t="e">
        <f>AND('PROG FORM COMPLEM'!#REF!,"AAAAAGL/zXo=")</f>
        <v>#REF!</v>
      </c>
      <c r="DT262" t="e">
        <f>AND('PROG FORM COMPLEM'!#REF!,"AAAAAGL/zXs=")</f>
        <v>#REF!</v>
      </c>
      <c r="DU262" t="e">
        <f>AND('PROG FORM COMPLEM'!#REF!,"AAAAAGL/zXw=")</f>
        <v>#REF!</v>
      </c>
      <c r="DV262" t="e">
        <f>AND('PROG FORM COMPLEM'!#REF!,"AAAAAGL/zX0=")</f>
        <v>#REF!</v>
      </c>
      <c r="DW262" t="e">
        <f>AND('PROG FORM COMPLEM'!#REF!,"AAAAAGL/zX4=")</f>
        <v>#REF!</v>
      </c>
      <c r="DX262" t="e">
        <f>AND('PROG FORM COMPLEM'!#REF!,"AAAAAGL/zX8=")</f>
        <v>#REF!</v>
      </c>
      <c r="DY262" t="e">
        <f>AND('PROG FORM COMPLEM'!#REF!,"AAAAAGL/zYA=")</f>
        <v>#REF!</v>
      </c>
      <c r="DZ262" t="e">
        <f>AND('PROG FORM COMPLEM'!#REF!,"AAAAAGL/zYE=")</f>
        <v>#REF!</v>
      </c>
      <c r="EA262" t="e">
        <f>AND('PROG FORM COMPLEM'!#REF!,"AAAAAGL/zYI=")</f>
        <v>#REF!</v>
      </c>
      <c r="EB262" t="e">
        <f>AND('PROG FORM COMPLEM'!#REF!,"AAAAAGL/zYM=")</f>
        <v>#REF!</v>
      </c>
      <c r="EC262">
        <f>IF('PROG FORM COMPLEM'!105:105,"AAAAAGL/zYQ=",0)</f>
        <v>0</v>
      </c>
      <c r="ED262" t="e">
        <f>AND('PROG FORM COMPLEM'!B105,"AAAAAGL/zYU=")</f>
        <v>#VALUE!</v>
      </c>
      <c r="EE262" t="e">
        <f>AND('PROG FORM COMPLEM'!C105,"AAAAAGL/zYY=")</f>
        <v>#VALUE!</v>
      </c>
      <c r="EF262" t="e">
        <f>AND('PROG FORM COMPLEM'!D105,"AAAAAGL/zYc=")</f>
        <v>#VALUE!</v>
      </c>
      <c r="EG262" t="e">
        <f>AND('PROG FORM COMPLEM'!E105,"AAAAAGL/zYg=")</f>
        <v>#VALUE!</v>
      </c>
      <c r="EH262" t="e">
        <f>AND('PROG FORM COMPLEM'!F105,"AAAAAGL/zYk=")</f>
        <v>#VALUE!</v>
      </c>
      <c r="EI262" t="e">
        <f>AND('PROG FORM COMPLEM'!G105,"AAAAAGL/zYo=")</f>
        <v>#VALUE!</v>
      </c>
      <c r="EJ262" t="e">
        <f>AND('PROG FORM COMPLEM'!H105,"AAAAAGL/zYs=")</f>
        <v>#VALUE!</v>
      </c>
      <c r="EK262" t="e">
        <f>AND('PROG FORM COMPLEM'!I105,"AAAAAGL/zYw=")</f>
        <v>#VALUE!</v>
      </c>
      <c r="EL262" t="e">
        <f>AND('PROG FORM COMPLEM'!J105,"AAAAAGL/zY0=")</f>
        <v>#VALUE!</v>
      </c>
      <c r="EM262" t="e">
        <f>AND('PROG FORM COMPLEM'!K105,"AAAAAGL/zY4=")</f>
        <v>#VALUE!</v>
      </c>
      <c r="EN262" t="e">
        <f>AND('PROG FORM COMPLEM'!L105,"AAAAAGL/zY8=")</f>
        <v>#VALUE!</v>
      </c>
      <c r="EO262" t="e">
        <f>AND('PROG FORM COMPLEM'!M105,"AAAAAGL/zZA=")</f>
        <v>#VALUE!</v>
      </c>
      <c r="EP262" t="e">
        <f>AND('PROG FORM COMPLEM'!N105,"AAAAAGL/zZE=")</f>
        <v>#VALUE!</v>
      </c>
      <c r="EQ262" t="e">
        <f>AND('PROG FORM COMPLEM'!O105,"AAAAAGL/zZI=")</f>
        <v>#VALUE!</v>
      </c>
      <c r="ER262" t="e">
        <f>AND('PROG FORM COMPLEM'!P105,"AAAAAGL/zZM=")</f>
        <v>#VALUE!</v>
      </c>
      <c r="ES262" t="e">
        <f>AND('PROG FORM COMPLEM'!Q105,"AAAAAGL/zZQ=")</f>
        <v>#VALUE!</v>
      </c>
      <c r="ET262" t="e">
        <f>AND('PROG FORM COMPLEM'!R105,"AAAAAGL/zZU=")</f>
        <v>#VALUE!</v>
      </c>
      <c r="EU262" t="e">
        <f>AND('PROG FORM COMPLEM'!S105,"AAAAAGL/zZY=")</f>
        <v>#VALUE!</v>
      </c>
      <c r="EV262" t="e">
        <f>AND('PROG FORM COMPLEM'!T105,"AAAAAGL/zZc=")</f>
        <v>#VALUE!</v>
      </c>
      <c r="EW262" t="e">
        <f>AND('PROG FORM COMPLEM'!U105,"AAAAAGL/zZg=")</f>
        <v>#VALUE!</v>
      </c>
      <c r="EX262" t="e">
        <f>AND('PROG FORM COMPLEM'!V105,"AAAAAGL/zZk=")</f>
        <v>#VALUE!</v>
      </c>
      <c r="EY262" t="e">
        <f>AND('PROG FORM COMPLEM'!W105,"AAAAAGL/zZo=")</f>
        <v>#VALUE!</v>
      </c>
      <c r="EZ262" t="e">
        <f>IF('PROG FORM COMPLEM'!#REF!,"AAAAAGL/zZs=",0)</f>
        <v>#REF!</v>
      </c>
      <c r="FA262" t="e">
        <f>AND('PROG FORM COMPLEM'!#REF!,"AAAAAGL/zZw=")</f>
        <v>#REF!</v>
      </c>
      <c r="FB262" t="e">
        <f>AND('PROG FORM COMPLEM'!#REF!,"AAAAAGL/zZ0=")</f>
        <v>#REF!</v>
      </c>
      <c r="FC262" t="e">
        <f>AND('PROG FORM COMPLEM'!#REF!,"AAAAAGL/zZ4=")</f>
        <v>#REF!</v>
      </c>
      <c r="FD262" t="e">
        <f>AND('PROG FORM COMPLEM'!#REF!,"AAAAAGL/zZ8=")</f>
        <v>#REF!</v>
      </c>
      <c r="FE262" t="e">
        <f>AND('PROG FORM COMPLEM'!#REF!,"AAAAAGL/zaA=")</f>
        <v>#REF!</v>
      </c>
      <c r="FF262" t="e">
        <f>AND('PROG FORM COMPLEM'!#REF!,"AAAAAGL/zaE=")</f>
        <v>#REF!</v>
      </c>
      <c r="FG262" t="e">
        <f>AND('PROG FORM COMPLEM'!#REF!,"AAAAAGL/zaI=")</f>
        <v>#REF!</v>
      </c>
      <c r="FH262" t="e">
        <f>AND('PROG FORM COMPLEM'!#REF!,"AAAAAGL/zaM=")</f>
        <v>#REF!</v>
      </c>
      <c r="FI262" t="e">
        <f>AND('PROG FORM COMPLEM'!#REF!,"AAAAAGL/zaQ=")</f>
        <v>#REF!</v>
      </c>
      <c r="FJ262" t="e">
        <f>AND('PROG FORM COMPLEM'!#REF!,"AAAAAGL/zaU=")</f>
        <v>#REF!</v>
      </c>
      <c r="FK262" t="e">
        <f>AND('PROG FORM COMPLEM'!#REF!,"AAAAAGL/zaY=")</f>
        <v>#REF!</v>
      </c>
      <c r="FL262" t="e">
        <f>AND('PROG FORM COMPLEM'!#REF!,"AAAAAGL/zac=")</f>
        <v>#REF!</v>
      </c>
      <c r="FM262" t="e">
        <f>AND('PROG FORM COMPLEM'!#REF!,"AAAAAGL/zag=")</f>
        <v>#REF!</v>
      </c>
      <c r="FN262" t="e">
        <f>AND('PROG FORM COMPLEM'!#REF!,"AAAAAGL/zak=")</f>
        <v>#REF!</v>
      </c>
      <c r="FO262" t="e">
        <f>AND('PROG FORM COMPLEM'!#REF!,"AAAAAGL/zao=")</f>
        <v>#REF!</v>
      </c>
      <c r="FP262" t="e">
        <f>AND('PROG FORM COMPLEM'!#REF!,"AAAAAGL/zas=")</f>
        <v>#REF!</v>
      </c>
      <c r="FQ262" t="e">
        <f>AND('PROG FORM COMPLEM'!#REF!,"AAAAAGL/zaw=")</f>
        <v>#REF!</v>
      </c>
      <c r="FR262" t="e">
        <f>AND('PROG FORM COMPLEM'!#REF!,"AAAAAGL/za0=")</f>
        <v>#REF!</v>
      </c>
      <c r="FS262" t="e">
        <f>AND('PROG FORM COMPLEM'!#REF!,"AAAAAGL/za4=")</f>
        <v>#REF!</v>
      </c>
      <c r="FT262" t="e">
        <f>AND('PROG FORM COMPLEM'!#REF!,"AAAAAGL/za8=")</f>
        <v>#REF!</v>
      </c>
      <c r="FU262" t="e">
        <f>AND('PROG FORM COMPLEM'!#REF!,"AAAAAGL/zbA=")</f>
        <v>#REF!</v>
      </c>
      <c r="FV262" t="e">
        <f>AND('PROG FORM COMPLEM'!#REF!,"AAAAAGL/zbE=")</f>
        <v>#REF!</v>
      </c>
      <c r="FW262">
        <f>IF('PROG FORM COMPLEM'!106:106,"AAAAAGL/zbI=",0)</f>
        <v>0</v>
      </c>
      <c r="FX262" t="e">
        <f>AND('PROG FORM COMPLEM'!B106,"AAAAAGL/zbM=")</f>
        <v>#VALUE!</v>
      </c>
      <c r="FY262" t="e">
        <f>AND('PROG FORM COMPLEM'!C106,"AAAAAGL/zbQ=")</f>
        <v>#VALUE!</v>
      </c>
      <c r="FZ262" t="e">
        <f>AND('PROG FORM COMPLEM'!D106,"AAAAAGL/zbU=")</f>
        <v>#VALUE!</v>
      </c>
      <c r="GA262" t="e">
        <f>AND('PROG FORM COMPLEM'!E106,"AAAAAGL/zbY=")</f>
        <v>#VALUE!</v>
      </c>
      <c r="GB262" t="e">
        <f>AND('PROG FORM COMPLEM'!F106,"AAAAAGL/zbc=")</f>
        <v>#VALUE!</v>
      </c>
      <c r="GC262" t="e">
        <f>AND('PROG FORM COMPLEM'!G106,"AAAAAGL/zbg=")</f>
        <v>#VALUE!</v>
      </c>
      <c r="GD262" t="e">
        <f>AND('PROG FORM COMPLEM'!H106,"AAAAAGL/zbk=")</f>
        <v>#VALUE!</v>
      </c>
      <c r="GE262" t="e">
        <f>AND('PROG FORM COMPLEM'!I106,"AAAAAGL/zbo=")</f>
        <v>#VALUE!</v>
      </c>
      <c r="GF262" t="e">
        <f>AND('PROG FORM COMPLEM'!J106,"AAAAAGL/zbs=")</f>
        <v>#VALUE!</v>
      </c>
      <c r="GG262" t="e">
        <f>AND('PROG FORM COMPLEM'!K106,"AAAAAGL/zbw=")</f>
        <v>#VALUE!</v>
      </c>
      <c r="GH262" t="e">
        <f>AND('PROG FORM COMPLEM'!L106,"AAAAAGL/zb0=")</f>
        <v>#VALUE!</v>
      </c>
      <c r="GI262" t="e">
        <f>AND('PROG FORM COMPLEM'!M106,"AAAAAGL/zb4=")</f>
        <v>#VALUE!</v>
      </c>
      <c r="GJ262" t="e">
        <f>AND('PROG FORM COMPLEM'!N106,"AAAAAGL/zb8=")</f>
        <v>#VALUE!</v>
      </c>
      <c r="GK262" t="e">
        <f>AND('PROG FORM COMPLEM'!O106,"AAAAAGL/zcA=")</f>
        <v>#VALUE!</v>
      </c>
      <c r="GL262" t="e">
        <f>AND('PROG FORM COMPLEM'!P106,"AAAAAGL/zcE=")</f>
        <v>#VALUE!</v>
      </c>
      <c r="GM262" t="e">
        <f>AND('PROG FORM COMPLEM'!Q106,"AAAAAGL/zcI=")</f>
        <v>#VALUE!</v>
      </c>
      <c r="GN262" t="e">
        <f>AND('PROG FORM COMPLEM'!R106,"AAAAAGL/zcM=")</f>
        <v>#VALUE!</v>
      </c>
      <c r="GO262" t="e">
        <f>AND('PROG FORM COMPLEM'!S106,"AAAAAGL/zcQ=")</f>
        <v>#VALUE!</v>
      </c>
      <c r="GP262" t="e">
        <f>AND('PROG FORM COMPLEM'!T106,"AAAAAGL/zcU=")</f>
        <v>#VALUE!</v>
      </c>
      <c r="GQ262" t="e">
        <f>AND('PROG FORM COMPLEM'!U106,"AAAAAGL/zcY=")</f>
        <v>#VALUE!</v>
      </c>
      <c r="GR262" t="e">
        <f>AND('PROG FORM COMPLEM'!V106,"AAAAAGL/zcc=")</f>
        <v>#VALUE!</v>
      </c>
      <c r="GS262" t="e">
        <f>AND('PROG FORM COMPLEM'!W106,"AAAAAGL/zcg=")</f>
        <v>#VALUE!</v>
      </c>
      <c r="GT262">
        <f>IF('PROG FORM COMPLEM'!108:108,"AAAAAGL/zck=",0)</f>
        <v>0</v>
      </c>
      <c r="GU262" t="e">
        <f>AND('PROG FORM COMPLEM'!B108,"AAAAAGL/zco=")</f>
        <v>#VALUE!</v>
      </c>
      <c r="GV262" t="e">
        <f>AND('PROG FORM COMPLEM'!C108,"AAAAAGL/zcs=")</f>
        <v>#VALUE!</v>
      </c>
      <c r="GW262" t="e">
        <f>AND('PROG FORM COMPLEM'!D108,"AAAAAGL/zcw=")</f>
        <v>#VALUE!</v>
      </c>
      <c r="GX262" t="e">
        <f>AND('PROG FORM COMPLEM'!E108,"AAAAAGL/zc0=")</f>
        <v>#VALUE!</v>
      </c>
      <c r="GY262" t="e">
        <f>AND('PROG FORM COMPLEM'!F108,"AAAAAGL/zc4=")</f>
        <v>#VALUE!</v>
      </c>
      <c r="GZ262" t="e">
        <f>AND('PROG FORM COMPLEM'!G108,"AAAAAGL/zc8=")</f>
        <v>#VALUE!</v>
      </c>
      <c r="HA262" t="e">
        <f>AND('PROG FORM COMPLEM'!H108,"AAAAAGL/zdA=")</f>
        <v>#VALUE!</v>
      </c>
      <c r="HB262" t="e">
        <f>AND('PROG FORM COMPLEM'!I108,"AAAAAGL/zdE=")</f>
        <v>#VALUE!</v>
      </c>
      <c r="HC262" t="e">
        <f>AND('PROG FORM COMPLEM'!J108,"AAAAAGL/zdI=")</f>
        <v>#VALUE!</v>
      </c>
      <c r="HD262" t="e">
        <f>AND('PROG FORM COMPLEM'!K108,"AAAAAGL/zdM=")</f>
        <v>#VALUE!</v>
      </c>
      <c r="HE262" t="e">
        <f>AND('PROG FORM COMPLEM'!L108,"AAAAAGL/zdQ=")</f>
        <v>#VALUE!</v>
      </c>
      <c r="HF262" t="e">
        <f>AND('PROG FORM COMPLEM'!M108,"AAAAAGL/zdU=")</f>
        <v>#VALUE!</v>
      </c>
      <c r="HG262" t="e">
        <f>AND('PROG FORM COMPLEM'!N108,"AAAAAGL/zdY=")</f>
        <v>#VALUE!</v>
      </c>
      <c r="HH262" t="e">
        <f>AND('PROG FORM COMPLEM'!O108,"AAAAAGL/zdc=")</f>
        <v>#VALUE!</v>
      </c>
      <c r="HI262" t="e">
        <f>AND('PROG FORM COMPLEM'!P108,"AAAAAGL/zdg=")</f>
        <v>#VALUE!</v>
      </c>
      <c r="HJ262" t="e">
        <f>AND('PROG FORM COMPLEM'!Q108,"AAAAAGL/zdk=")</f>
        <v>#VALUE!</v>
      </c>
      <c r="HK262" t="e">
        <f>AND('PROG FORM COMPLEM'!R108,"AAAAAGL/zdo=")</f>
        <v>#VALUE!</v>
      </c>
      <c r="HL262" t="e">
        <f>AND('PROG FORM COMPLEM'!S108,"AAAAAGL/zds=")</f>
        <v>#VALUE!</v>
      </c>
      <c r="HM262" t="e">
        <f>AND('PROG FORM COMPLEM'!T108,"AAAAAGL/zdw=")</f>
        <v>#VALUE!</v>
      </c>
      <c r="HN262" t="e">
        <f>AND('PROG FORM COMPLEM'!U108,"AAAAAGL/zd0=")</f>
        <v>#VALUE!</v>
      </c>
      <c r="HO262" t="e">
        <f>AND('PROG FORM COMPLEM'!V108,"AAAAAGL/zd4=")</f>
        <v>#VALUE!</v>
      </c>
      <c r="HP262" t="e">
        <f>AND('PROG FORM COMPLEM'!W108,"AAAAAGL/zd8=")</f>
        <v>#VALUE!</v>
      </c>
      <c r="HQ262">
        <f>IF('PROG FORM COMPLEM'!111:111,"AAAAAGL/zeA=",0)</f>
        <v>0</v>
      </c>
      <c r="HR262" t="e">
        <f>AND('PROG FORM COMPLEM'!B111,"AAAAAGL/zeE=")</f>
        <v>#VALUE!</v>
      </c>
      <c r="HS262" t="e">
        <f>AND('PROG FORM COMPLEM'!C111,"AAAAAGL/zeI=")</f>
        <v>#VALUE!</v>
      </c>
      <c r="HT262" t="e">
        <f>AND('PROG FORM COMPLEM'!D111,"AAAAAGL/zeM=")</f>
        <v>#VALUE!</v>
      </c>
      <c r="HU262" t="e">
        <f>AND('PROG FORM COMPLEM'!E111,"AAAAAGL/zeQ=")</f>
        <v>#VALUE!</v>
      </c>
      <c r="HV262" t="e">
        <f>AND('PROG FORM COMPLEM'!F111,"AAAAAGL/zeU=")</f>
        <v>#VALUE!</v>
      </c>
      <c r="HW262" t="e">
        <f>AND('PROG FORM COMPLEM'!G111,"AAAAAGL/zeY=")</f>
        <v>#VALUE!</v>
      </c>
      <c r="HX262" t="e">
        <f>AND('PROG FORM COMPLEM'!H111,"AAAAAGL/zec=")</f>
        <v>#VALUE!</v>
      </c>
      <c r="HY262" t="e">
        <f>AND('PROG FORM COMPLEM'!I111,"AAAAAGL/zeg=")</f>
        <v>#VALUE!</v>
      </c>
      <c r="HZ262" t="e">
        <f>AND('PROG FORM COMPLEM'!J111,"AAAAAGL/zek=")</f>
        <v>#VALUE!</v>
      </c>
      <c r="IA262" t="e">
        <f>AND('PROG FORM COMPLEM'!K111,"AAAAAGL/zeo=")</f>
        <v>#VALUE!</v>
      </c>
      <c r="IB262" t="e">
        <f>AND('PROG FORM COMPLEM'!L111,"AAAAAGL/zes=")</f>
        <v>#VALUE!</v>
      </c>
      <c r="IC262" t="e">
        <f>AND('PROG FORM COMPLEM'!M111,"AAAAAGL/zew=")</f>
        <v>#VALUE!</v>
      </c>
      <c r="ID262" t="e">
        <f>AND('PROG FORM COMPLEM'!N111,"AAAAAGL/ze0=")</f>
        <v>#VALUE!</v>
      </c>
      <c r="IE262" t="e">
        <f>AND('PROG FORM COMPLEM'!O111,"AAAAAGL/ze4=")</f>
        <v>#VALUE!</v>
      </c>
      <c r="IF262" t="e">
        <f>AND('PROG FORM COMPLEM'!P111,"AAAAAGL/ze8=")</f>
        <v>#VALUE!</v>
      </c>
      <c r="IG262" t="e">
        <f>AND('PROG FORM COMPLEM'!Q111,"AAAAAGL/zfA=")</f>
        <v>#VALUE!</v>
      </c>
      <c r="IH262" t="e">
        <f>AND('PROG FORM COMPLEM'!R111,"AAAAAGL/zfE=")</f>
        <v>#VALUE!</v>
      </c>
      <c r="II262" t="e">
        <f>AND('PROG FORM COMPLEM'!S111,"AAAAAGL/zfI=")</f>
        <v>#VALUE!</v>
      </c>
      <c r="IJ262" t="e">
        <f>AND('PROG FORM COMPLEM'!T111,"AAAAAGL/zfM=")</f>
        <v>#VALUE!</v>
      </c>
      <c r="IK262" t="e">
        <f>AND('PROG FORM COMPLEM'!U111,"AAAAAGL/zfQ=")</f>
        <v>#VALUE!</v>
      </c>
      <c r="IL262" t="e">
        <f>AND('PROG FORM COMPLEM'!V111,"AAAAAGL/zfU=")</f>
        <v>#VALUE!</v>
      </c>
      <c r="IM262" t="e">
        <f>AND('PROG FORM COMPLEM'!W111,"AAAAAGL/zfY=")</f>
        <v>#VALUE!</v>
      </c>
      <c r="IN262">
        <f>IF('PROG FORM COMPLEM'!112:112,"AAAAAGL/zfc=",0)</f>
        <v>0</v>
      </c>
      <c r="IO262" t="e">
        <f>AND('PROG FORM COMPLEM'!B112,"AAAAAGL/zfg=")</f>
        <v>#VALUE!</v>
      </c>
      <c r="IP262" t="e">
        <f>AND('PROG FORM COMPLEM'!C112,"AAAAAGL/zfk=")</f>
        <v>#VALUE!</v>
      </c>
      <c r="IQ262" t="e">
        <f>AND('PROG FORM COMPLEM'!D112,"AAAAAGL/zfo=")</f>
        <v>#VALUE!</v>
      </c>
      <c r="IR262" t="e">
        <f>AND('PROG FORM COMPLEM'!E112,"AAAAAGL/zfs=")</f>
        <v>#VALUE!</v>
      </c>
      <c r="IS262" t="e">
        <f>AND('PROG FORM COMPLEM'!F112,"AAAAAGL/zfw=")</f>
        <v>#VALUE!</v>
      </c>
      <c r="IT262" t="e">
        <f>AND('PROG FORM COMPLEM'!G112,"AAAAAGL/zf0=")</f>
        <v>#VALUE!</v>
      </c>
      <c r="IU262" t="e">
        <f>AND('PROG FORM COMPLEM'!H112,"AAAAAGL/zf4=")</f>
        <v>#VALUE!</v>
      </c>
      <c r="IV262" t="e">
        <f>AND('PROG FORM COMPLEM'!I112,"AAAAAGL/zf8=")</f>
        <v>#VALUE!</v>
      </c>
    </row>
    <row r="263" spans="1:256" x14ac:dyDescent="0.2">
      <c r="A263" t="e">
        <f>AND('PROG FORM COMPLEM'!J112,"AAAAAD6/7AA=")</f>
        <v>#VALUE!</v>
      </c>
      <c r="B263" t="e">
        <f>AND('PROG FORM COMPLEM'!K112,"AAAAAD6/7AE=")</f>
        <v>#VALUE!</v>
      </c>
      <c r="C263" t="e">
        <f>AND('PROG FORM COMPLEM'!L112,"AAAAAD6/7AI=")</f>
        <v>#VALUE!</v>
      </c>
      <c r="D263" t="e">
        <f>AND('PROG FORM COMPLEM'!M112,"AAAAAD6/7AM=")</f>
        <v>#VALUE!</v>
      </c>
      <c r="E263" t="e">
        <f>AND('PROG FORM COMPLEM'!N112,"AAAAAD6/7AQ=")</f>
        <v>#VALUE!</v>
      </c>
      <c r="F263" t="e">
        <f>AND('PROG FORM COMPLEM'!O112,"AAAAAD6/7AU=")</f>
        <v>#VALUE!</v>
      </c>
      <c r="G263" t="e">
        <f>AND('PROG FORM COMPLEM'!P112,"AAAAAD6/7AY=")</f>
        <v>#VALUE!</v>
      </c>
      <c r="H263" t="e">
        <f>AND('PROG FORM COMPLEM'!Q112,"AAAAAD6/7Ac=")</f>
        <v>#VALUE!</v>
      </c>
      <c r="I263" t="e">
        <f>AND('PROG FORM COMPLEM'!R112,"AAAAAD6/7Ag=")</f>
        <v>#VALUE!</v>
      </c>
      <c r="J263" t="e">
        <f>AND('PROG FORM COMPLEM'!S112,"AAAAAD6/7Ak=")</f>
        <v>#VALUE!</v>
      </c>
      <c r="K263" t="e">
        <f>AND('PROG FORM COMPLEM'!T112,"AAAAAD6/7Ao=")</f>
        <v>#VALUE!</v>
      </c>
      <c r="L263" t="e">
        <f>AND('PROG FORM COMPLEM'!U112,"AAAAAD6/7As=")</f>
        <v>#VALUE!</v>
      </c>
      <c r="M263" t="e">
        <f>AND('PROG FORM COMPLEM'!V112,"AAAAAD6/7Aw=")</f>
        <v>#VALUE!</v>
      </c>
      <c r="N263" t="e">
        <f>AND('PROG FORM COMPLEM'!W112,"AAAAAD6/7A0=")</f>
        <v>#VALUE!</v>
      </c>
      <c r="O263">
        <f>IF('PROG FORM COMPLEM'!113:113,"AAAAAD6/7A4=",0)</f>
        <v>0</v>
      </c>
      <c r="P263" t="e">
        <f>AND('PROG FORM COMPLEM'!B113,"AAAAAD6/7A8=")</f>
        <v>#VALUE!</v>
      </c>
      <c r="Q263" t="e">
        <f>AND('PROG FORM COMPLEM'!C113,"AAAAAD6/7BA=")</f>
        <v>#VALUE!</v>
      </c>
      <c r="R263" t="e">
        <f>AND('PROG FORM COMPLEM'!D113,"AAAAAD6/7BE=")</f>
        <v>#VALUE!</v>
      </c>
      <c r="S263" t="e">
        <f>AND('PROG FORM COMPLEM'!E113,"AAAAAD6/7BI=")</f>
        <v>#VALUE!</v>
      </c>
      <c r="T263" t="e">
        <f>AND('PROG FORM COMPLEM'!F113,"AAAAAD6/7BM=")</f>
        <v>#VALUE!</v>
      </c>
      <c r="U263" t="e">
        <f>AND('PROG FORM COMPLEM'!G113,"AAAAAD6/7BQ=")</f>
        <v>#VALUE!</v>
      </c>
      <c r="V263" t="e">
        <f>AND('PROG FORM COMPLEM'!H113,"AAAAAD6/7BU=")</f>
        <v>#VALUE!</v>
      </c>
      <c r="W263" t="e">
        <f>AND('PROG FORM COMPLEM'!I113,"AAAAAD6/7BY=")</f>
        <v>#VALUE!</v>
      </c>
      <c r="X263" t="e">
        <f>AND('PROG FORM COMPLEM'!J113,"AAAAAD6/7Bc=")</f>
        <v>#VALUE!</v>
      </c>
      <c r="Y263" t="e">
        <f>AND('PROG FORM COMPLEM'!K113,"AAAAAD6/7Bg=")</f>
        <v>#VALUE!</v>
      </c>
      <c r="Z263" t="e">
        <f>AND('PROG FORM COMPLEM'!L113,"AAAAAD6/7Bk=")</f>
        <v>#VALUE!</v>
      </c>
      <c r="AA263" t="e">
        <f>AND('PROG FORM COMPLEM'!M113,"AAAAAD6/7Bo=")</f>
        <v>#VALUE!</v>
      </c>
      <c r="AB263" t="e">
        <f>AND('PROG FORM COMPLEM'!N113,"AAAAAD6/7Bs=")</f>
        <v>#VALUE!</v>
      </c>
      <c r="AC263" t="e">
        <f>AND('PROG FORM COMPLEM'!O113,"AAAAAD6/7Bw=")</f>
        <v>#VALUE!</v>
      </c>
      <c r="AD263" t="e">
        <f>AND('PROG FORM COMPLEM'!P113,"AAAAAD6/7B0=")</f>
        <v>#VALUE!</v>
      </c>
      <c r="AE263" t="e">
        <f>AND('PROG FORM COMPLEM'!Q113,"AAAAAD6/7B4=")</f>
        <v>#VALUE!</v>
      </c>
      <c r="AF263" t="e">
        <f>AND('PROG FORM COMPLEM'!R113,"AAAAAD6/7B8=")</f>
        <v>#VALUE!</v>
      </c>
      <c r="AG263" t="e">
        <f>AND('PROG FORM COMPLEM'!S113,"AAAAAD6/7CA=")</f>
        <v>#VALUE!</v>
      </c>
      <c r="AH263" t="e">
        <f>AND('PROG FORM COMPLEM'!T113,"AAAAAD6/7CE=")</f>
        <v>#VALUE!</v>
      </c>
      <c r="AI263" t="e">
        <f>AND('PROG FORM COMPLEM'!U113,"AAAAAD6/7CI=")</f>
        <v>#VALUE!</v>
      </c>
      <c r="AJ263" t="e">
        <f>AND('PROG FORM COMPLEM'!V113,"AAAAAD6/7CM=")</f>
        <v>#VALUE!</v>
      </c>
      <c r="AK263" t="e">
        <f>AND('PROG FORM COMPLEM'!W113,"AAAAAD6/7CQ=")</f>
        <v>#VALUE!</v>
      </c>
      <c r="AL263">
        <f>IF('PROG FORM COMPLEM'!115:115,"AAAAAD6/7CU=",0)</f>
        <v>0</v>
      </c>
      <c r="AM263" t="e">
        <f>AND('PROG FORM COMPLEM'!B115,"AAAAAD6/7CY=")</f>
        <v>#VALUE!</v>
      </c>
      <c r="AN263" t="e">
        <f>AND('PROG FORM COMPLEM'!C115,"AAAAAD6/7Cc=")</f>
        <v>#VALUE!</v>
      </c>
      <c r="AO263" t="e">
        <f>AND('PROG FORM COMPLEM'!D115,"AAAAAD6/7Cg=")</f>
        <v>#VALUE!</v>
      </c>
      <c r="AP263" t="e">
        <f>AND('PROG FORM COMPLEM'!E115,"AAAAAD6/7Ck=")</f>
        <v>#VALUE!</v>
      </c>
      <c r="AQ263" t="e">
        <f>AND('PROG FORM COMPLEM'!F115,"AAAAAD6/7Co=")</f>
        <v>#VALUE!</v>
      </c>
      <c r="AR263" t="e">
        <f>AND('PROG FORM COMPLEM'!G115,"AAAAAD6/7Cs=")</f>
        <v>#VALUE!</v>
      </c>
      <c r="AS263" t="e">
        <f>AND('PROG FORM COMPLEM'!H115,"AAAAAD6/7Cw=")</f>
        <v>#VALUE!</v>
      </c>
      <c r="AT263" t="e">
        <f>AND('PROG FORM COMPLEM'!I115,"AAAAAD6/7C0=")</f>
        <v>#VALUE!</v>
      </c>
      <c r="AU263" t="e">
        <f>AND('PROG FORM COMPLEM'!J115,"AAAAAD6/7C4=")</f>
        <v>#VALUE!</v>
      </c>
      <c r="AV263" t="e">
        <f>AND('PROG FORM COMPLEM'!K115,"AAAAAD6/7C8=")</f>
        <v>#VALUE!</v>
      </c>
      <c r="AW263" t="e">
        <f>AND('PROG FORM COMPLEM'!L115,"AAAAAD6/7DA=")</f>
        <v>#VALUE!</v>
      </c>
      <c r="AX263" t="e">
        <f>AND('PROG FORM COMPLEM'!M115,"AAAAAD6/7DE=")</f>
        <v>#VALUE!</v>
      </c>
      <c r="AY263" t="e">
        <f>AND('PROG FORM COMPLEM'!N115,"AAAAAD6/7DI=")</f>
        <v>#VALUE!</v>
      </c>
      <c r="AZ263" t="e">
        <f>AND('PROG FORM COMPLEM'!O115,"AAAAAD6/7DM=")</f>
        <v>#VALUE!</v>
      </c>
      <c r="BA263" t="e">
        <f>AND('PROG FORM COMPLEM'!P115,"AAAAAD6/7DQ=")</f>
        <v>#VALUE!</v>
      </c>
      <c r="BB263" t="e">
        <f>AND('PROG FORM COMPLEM'!Q115,"AAAAAD6/7DU=")</f>
        <v>#VALUE!</v>
      </c>
      <c r="BC263" t="e">
        <f>AND('PROG FORM COMPLEM'!R115,"AAAAAD6/7DY=")</f>
        <v>#VALUE!</v>
      </c>
      <c r="BD263" t="e">
        <f>AND('PROG FORM COMPLEM'!S115,"AAAAAD6/7Dc=")</f>
        <v>#VALUE!</v>
      </c>
      <c r="BE263" t="e">
        <f>AND('PROG FORM COMPLEM'!T115,"AAAAAD6/7Dg=")</f>
        <v>#VALUE!</v>
      </c>
      <c r="BF263" t="e">
        <f>AND('PROG FORM COMPLEM'!U115,"AAAAAD6/7Dk=")</f>
        <v>#VALUE!</v>
      </c>
      <c r="BG263" t="e">
        <f>AND('PROG FORM COMPLEM'!V115,"AAAAAD6/7Do=")</f>
        <v>#VALUE!</v>
      </c>
      <c r="BH263" t="e">
        <f>AND('PROG FORM COMPLEM'!W115,"AAAAAD6/7Ds=")</f>
        <v>#VALUE!</v>
      </c>
      <c r="BI263">
        <f>IF('PROG FORM COMPLEM'!119:119,"AAAAAD6/7Dw=",0)</f>
        <v>0</v>
      </c>
      <c r="BJ263" t="e">
        <f>AND('PROG FORM COMPLEM'!B119,"AAAAAD6/7D0=")</f>
        <v>#VALUE!</v>
      </c>
      <c r="BK263" t="e">
        <f>AND('PROG FORM COMPLEM'!C119,"AAAAAD6/7D4=")</f>
        <v>#VALUE!</v>
      </c>
      <c r="BL263" t="e">
        <f>AND('PROG FORM COMPLEM'!D119,"AAAAAD6/7D8=")</f>
        <v>#VALUE!</v>
      </c>
      <c r="BM263" t="e">
        <f>AND('PROG FORM COMPLEM'!E119,"AAAAAD6/7EA=")</f>
        <v>#VALUE!</v>
      </c>
      <c r="BN263" t="e">
        <f>AND('PROG FORM COMPLEM'!F119,"AAAAAD6/7EE=")</f>
        <v>#VALUE!</v>
      </c>
      <c r="BO263" t="e">
        <f>AND('PROG FORM COMPLEM'!G119,"AAAAAD6/7EI=")</f>
        <v>#VALUE!</v>
      </c>
      <c r="BP263" t="e">
        <f>AND('PROG FORM COMPLEM'!H119,"AAAAAD6/7EM=")</f>
        <v>#VALUE!</v>
      </c>
      <c r="BQ263" t="e">
        <f>AND('PROG FORM COMPLEM'!I119,"AAAAAD6/7EQ=")</f>
        <v>#VALUE!</v>
      </c>
      <c r="BR263" t="e">
        <f>AND('PROG FORM COMPLEM'!J119,"AAAAAD6/7EU=")</f>
        <v>#VALUE!</v>
      </c>
      <c r="BS263" t="e">
        <f>AND('PROG FORM COMPLEM'!K119,"AAAAAD6/7EY=")</f>
        <v>#VALUE!</v>
      </c>
      <c r="BT263" t="e">
        <f>AND('PROG FORM COMPLEM'!L119,"AAAAAD6/7Ec=")</f>
        <v>#VALUE!</v>
      </c>
      <c r="BU263" t="e">
        <f>AND('PROG FORM COMPLEM'!M119,"AAAAAD6/7Eg=")</f>
        <v>#VALUE!</v>
      </c>
      <c r="BV263" t="e">
        <f>AND('PROG FORM COMPLEM'!N119,"AAAAAD6/7Ek=")</f>
        <v>#VALUE!</v>
      </c>
      <c r="BW263" t="e">
        <f>AND('PROG FORM COMPLEM'!O119,"AAAAAD6/7Eo=")</f>
        <v>#VALUE!</v>
      </c>
      <c r="BX263" t="e">
        <f>AND('PROG FORM COMPLEM'!P119,"AAAAAD6/7Es=")</f>
        <v>#VALUE!</v>
      </c>
      <c r="BY263" t="e">
        <f>AND('PROG FORM COMPLEM'!Q119,"AAAAAD6/7Ew=")</f>
        <v>#VALUE!</v>
      </c>
      <c r="BZ263" t="e">
        <f>AND('PROG FORM COMPLEM'!R119,"AAAAAD6/7E0=")</f>
        <v>#VALUE!</v>
      </c>
      <c r="CA263" t="e">
        <f>AND('PROG FORM COMPLEM'!S119,"AAAAAD6/7E4=")</f>
        <v>#VALUE!</v>
      </c>
      <c r="CB263" t="e">
        <f>AND('PROG FORM COMPLEM'!T119,"AAAAAD6/7E8=")</f>
        <v>#VALUE!</v>
      </c>
      <c r="CC263" t="e">
        <f>AND('PROG FORM COMPLEM'!U119,"AAAAAD6/7FA=")</f>
        <v>#VALUE!</v>
      </c>
      <c r="CD263" t="e">
        <f>AND('PROG FORM COMPLEM'!V119,"AAAAAD6/7FE=")</f>
        <v>#VALUE!</v>
      </c>
      <c r="CE263" t="e">
        <f>AND('PROG FORM COMPLEM'!W119,"AAAAAD6/7FI=")</f>
        <v>#VALUE!</v>
      </c>
      <c r="CF263">
        <f>IF('PROG FORM COMPLEM'!120:120,"AAAAAD6/7FM=",0)</f>
        <v>0</v>
      </c>
      <c r="CG263" t="e">
        <f>AND('PROG FORM COMPLEM'!B120,"AAAAAD6/7FQ=")</f>
        <v>#VALUE!</v>
      </c>
      <c r="CH263" t="e">
        <f>AND('PROG FORM COMPLEM'!C120,"AAAAAD6/7FU=")</f>
        <v>#VALUE!</v>
      </c>
      <c r="CI263" t="e">
        <f>AND('PROG FORM COMPLEM'!D120,"AAAAAD6/7FY=")</f>
        <v>#VALUE!</v>
      </c>
      <c r="CJ263" t="e">
        <f>AND('PROG FORM COMPLEM'!E120,"AAAAAD6/7Fc=")</f>
        <v>#VALUE!</v>
      </c>
      <c r="CK263" t="e">
        <f>AND('PROG FORM COMPLEM'!F120,"AAAAAD6/7Fg=")</f>
        <v>#VALUE!</v>
      </c>
      <c r="CL263" t="e">
        <f>AND('PROG FORM COMPLEM'!G120,"AAAAAD6/7Fk=")</f>
        <v>#VALUE!</v>
      </c>
      <c r="CM263" t="e">
        <f>AND('PROG FORM COMPLEM'!H120,"AAAAAD6/7Fo=")</f>
        <v>#VALUE!</v>
      </c>
      <c r="CN263" t="e">
        <f>AND('PROG FORM COMPLEM'!I120,"AAAAAD6/7Fs=")</f>
        <v>#VALUE!</v>
      </c>
      <c r="CO263" t="e">
        <f>AND('PROG FORM COMPLEM'!J120,"AAAAAD6/7Fw=")</f>
        <v>#VALUE!</v>
      </c>
      <c r="CP263" t="e">
        <f>AND('PROG FORM COMPLEM'!K120,"AAAAAD6/7F0=")</f>
        <v>#VALUE!</v>
      </c>
      <c r="CQ263" t="e">
        <f>AND('PROG FORM COMPLEM'!L120,"AAAAAD6/7F4=")</f>
        <v>#VALUE!</v>
      </c>
      <c r="CR263" t="e">
        <f>AND('PROG FORM COMPLEM'!M120,"AAAAAD6/7F8=")</f>
        <v>#VALUE!</v>
      </c>
      <c r="CS263" t="e">
        <f>AND('PROG FORM COMPLEM'!N120,"AAAAAD6/7GA=")</f>
        <v>#VALUE!</v>
      </c>
      <c r="CT263" t="e">
        <f>AND('PROG FORM COMPLEM'!O120,"AAAAAD6/7GE=")</f>
        <v>#VALUE!</v>
      </c>
      <c r="CU263" t="e">
        <f>AND('PROG FORM COMPLEM'!P120,"AAAAAD6/7GI=")</f>
        <v>#VALUE!</v>
      </c>
      <c r="CV263" t="e">
        <f>AND('PROG FORM COMPLEM'!Q120,"AAAAAD6/7GM=")</f>
        <v>#VALUE!</v>
      </c>
      <c r="CW263" t="e">
        <f>AND('PROG FORM COMPLEM'!R120,"AAAAAD6/7GQ=")</f>
        <v>#VALUE!</v>
      </c>
      <c r="CX263" t="e">
        <f>AND('PROG FORM COMPLEM'!S120,"AAAAAD6/7GU=")</f>
        <v>#VALUE!</v>
      </c>
      <c r="CY263" t="e">
        <f>AND('PROG FORM COMPLEM'!T120,"AAAAAD6/7GY=")</f>
        <v>#VALUE!</v>
      </c>
      <c r="CZ263" t="e">
        <f>AND('PROG FORM COMPLEM'!U120,"AAAAAD6/7Gc=")</f>
        <v>#VALUE!</v>
      </c>
      <c r="DA263" t="e">
        <f>AND('PROG FORM COMPLEM'!V120,"AAAAAD6/7Gg=")</f>
        <v>#VALUE!</v>
      </c>
      <c r="DB263" t="e">
        <f>AND('PROG FORM COMPLEM'!W120,"AAAAAD6/7Gk=")</f>
        <v>#VALUE!</v>
      </c>
      <c r="DC263">
        <f>IF('PROG FORM COMPLEM'!121:121,"AAAAAD6/7Go=",0)</f>
        <v>0</v>
      </c>
      <c r="DD263" t="e">
        <f>AND('PROG FORM COMPLEM'!B121,"AAAAAD6/7Gs=")</f>
        <v>#VALUE!</v>
      </c>
      <c r="DE263" t="e">
        <f>AND('PROG FORM COMPLEM'!C121,"AAAAAD6/7Gw=")</f>
        <v>#VALUE!</v>
      </c>
      <c r="DF263" t="e">
        <f>AND('PROG FORM COMPLEM'!D121,"AAAAAD6/7G0=")</f>
        <v>#VALUE!</v>
      </c>
      <c r="DG263" t="e">
        <f>AND('PROG FORM COMPLEM'!E121,"AAAAAD6/7G4=")</f>
        <v>#VALUE!</v>
      </c>
      <c r="DH263" t="e">
        <f>AND('PROG FORM COMPLEM'!F121,"AAAAAD6/7G8=")</f>
        <v>#VALUE!</v>
      </c>
      <c r="DI263" t="e">
        <f>AND('PROG FORM COMPLEM'!G121,"AAAAAD6/7HA=")</f>
        <v>#VALUE!</v>
      </c>
      <c r="DJ263" t="e">
        <f>AND('PROG FORM COMPLEM'!H121,"AAAAAD6/7HE=")</f>
        <v>#VALUE!</v>
      </c>
      <c r="DK263" t="e">
        <f>AND('PROG FORM COMPLEM'!I121,"AAAAAD6/7HI=")</f>
        <v>#VALUE!</v>
      </c>
      <c r="DL263" t="e">
        <f>AND('PROG FORM COMPLEM'!J121,"AAAAAD6/7HM=")</f>
        <v>#VALUE!</v>
      </c>
      <c r="DM263" t="e">
        <f>AND('PROG FORM COMPLEM'!K121,"AAAAAD6/7HQ=")</f>
        <v>#VALUE!</v>
      </c>
      <c r="DN263" t="e">
        <f>AND('PROG FORM COMPLEM'!L121,"AAAAAD6/7HU=")</f>
        <v>#VALUE!</v>
      </c>
      <c r="DO263" t="e">
        <f>AND('PROG FORM COMPLEM'!M121,"AAAAAD6/7HY=")</f>
        <v>#VALUE!</v>
      </c>
      <c r="DP263" t="e">
        <f>AND('PROG FORM COMPLEM'!N121,"AAAAAD6/7Hc=")</f>
        <v>#VALUE!</v>
      </c>
      <c r="DQ263" t="e">
        <f>AND('PROG FORM COMPLEM'!O121,"AAAAAD6/7Hg=")</f>
        <v>#VALUE!</v>
      </c>
      <c r="DR263" t="e">
        <f>AND('PROG FORM COMPLEM'!P121,"AAAAAD6/7Hk=")</f>
        <v>#VALUE!</v>
      </c>
      <c r="DS263" t="e">
        <f>AND('PROG FORM COMPLEM'!Q121,"AAAAAD6/7Ho=")</f>
        <v>#VALUE!</v>
      </c>
      <c r="DT263" t="e">
        <f>AND('PROG FORM COMPLEM'!R121,"AAAAAD6/7Hs=")</f>
        <v>#VALUE!</v>
      </c>
      <c r="DU263" t="e">
        <f>AND('PROG FORM COMPLEM'!S121,"AAAAAD6/7Hw=")</f>
        <v>#VALUE!</v>
      </c>
      <c r="DV263" t="e">
        <f>AND('PROG FORM COMPLEM'!T121,"AAAAAD6/7H0=")</f>
        <v>#VALUE!</v>
      </c>
      <c r="DW263" t="e">
        <f>AND('PROG FORM COMPLEM'!U121,"AAAAAD6/7H4=")</f>
        <v>#VALUE!</v>
      </c>
      <c r="DX263" t="e">
        <f>AND('PROG FORM COMPLEM'!V121,"AAAAAD6/7H8=")</f>
        <v>#VALUE!</v>
      </c>
      <c r="DY263" t="e">
        <f>AND('PROG FORM COMPLEM'!W121,"AAAAAD6/7IA=")</f>
        <v>#VALUE!</v>
      </c>
      <c r="DZ263" t="e">
        <f>IF('PROG FORM COMPLEM'!#REF!,"AAAAAD6/7IE=",0)</f>
        <v>#REF!</v>
      </c>
      <c r="EA263" t="e">
        <f>AND('PROG FORM COMPLEM'!#REF!,"AAAAAD6/7II=")</f>
        <v>#REF!</v>
      </c>
      <c r="EB263" t="e">
        <f>AND('PROG FORM COMPLEM'!#REF!,"AAAAAD6/7IM=")</f>
        <v>#REF!</v>
      </c>
      <c r="EC263" t="e">
        <f>AND('PROG FORM COMPLEM'!#REF!,"AAAAAD6/7IQ=")</f>
        <v>#REF!</v>
      </c>
      <c r="ED263" t="e">
        <f>AND('PROG FORM COMPLEM'!#REF!,"AAAAAD6/7IU=")</f>
        <v>#REF!</v>
      </c>
      <c r="EE263" t="e">
        <f>AND('PROG FORM COMPLEM'!#REF!,"AAAAAD6/7IY=")</f>
        <v>#REF!</v>
      </c>
      <c r="EF263" t="e">
        <f>AND('PROG FORM COMPLEM'!#REF!,"AAAAAD6/7Ic=")</f>
        <v>#REF!</v>
      </c>
      <c r="EG263" t="e">
        <f>AND('PROG FORM COMPLEM'!#REF!,"AAAAAD6/7Ig=")</f>
        <v>#REF!</v>
      </c>
      <c r="EH263" t="e">
        <f>AND('PROG FORM COMPLEM'!#REF!,"AAAAAD6/7Ik=")</f>
        <v>#REF!</v>
      </c>
      <c r="EI263" t="e">
        <f>AND('PROG FORM COMPLEM'!#REF!,"AAAAAD6/7Io=")</f>
        <v>#REF!</v>
      </c>
      <c r="EJ263" t="e">
        <f>AND('PROG FORM COMPLEM'!#REF!,"AAAAAD6/7Is=")</f>
        <v>#REF!</v>
      </c>
      <c r="EK263" t="e">
        <f>AND('PROG FORM COMPLEM'!#REF!,"AAAAAD6/7Iw=")</f>
        <v>#REF!</v>
      </c>
      <c r="EL263" t="e">
        <f>AND('PROG FORM COMPLEM'!#REF!,"AAAAAD6/7I0=")</f>
        <v>#REF!</v>
      </c>
      <c r="EM263" t="e">
        <f>AND('PROG FORM COMPLEM'!#REF!,"AAAAAD6/7I4=")</f>
        <v>#REF!</v>
      </c>
      <c r="EN263" t="e">
        <f>AND('PROG FORM COMPLEM'!#REF!,"AAAAAD6/7I8=")</f>
        <v>#REF!</v>
      </c>
      <c r="EO263" t="e">
        <f>AND('PROG FORM COMPLEM'!#REF!,"AAAAAD6/7JA=")</f>
        <v>#REF!</v>
      </c>
      <c r="EP263" t="e">
        <f>AND('PROG FORM COMPLEM'!#REF!,"AAAAAD6/7JE=")</f>
        <v>#REF!</v>
      </c>
      <c r="EQ263" t="e">
        <f>AND('PROG FORM COMPLEM'!#REF!,"AAAAAD6/7JI=")</f>
        <v>#REF!</v>
      </c>
      <c r="ER263" t="e">
        <f>AND('PROG FORM COMPLEM'!#REF!,"AAAAAD6/7JM=")</f>
        <v>#REF!</v>
      </c>
      <c r="ES263" t="e">
        <f>AND('PROG FORM COMPLEM'!#REF!,"AAAAAD6/7JQ=")</f>
        <v>#REF!</v>
      </c>
      <c r="ET263" t="e">
        <f>AND('PROG FORM COMPLEM'!#REF!,"AAAAAD6/7JU=")</f>
        <v>#REF!</v>
      </c>
      <c r="EU263" t="e">
        <f>AND('PROG FORM COMPLEM'!#REF!,"AAAAAD6/7JY=")</f>
        <v>#REF!</v>
      </c>
      <c r="EV263" t="e">
        <f>AND('PROG FORM COMPLEM'!#REF!,"AAAAAD6/7Jc=")</f>
        <v>#REF!</v>
      </c>
      <c r="EW263">
        <f>IF('PROG FORM COMPLEM'!122:122,"AAAAAD6/7Jg=",0)</f>
        <v>0</v>
      </c>
      <c r="EX263" t="e">
        <f>AND('PROG FORM COMPLEM'!B122,"AAAAAD6/7Jk=")</f>
        <v>#VALUE!</v>
      </c>
      <c r="EY263" t="e">
        <f>AND('PROG FORM COMPLEM'!C122,"AAAAAD6/7Jo=")</f>
        <v>#VALUE!</v>
      </c>
      <c r="EZ263" t="e">
        <f>AND('PROG FORM COMPLEM'!D122,"AAAAAD6/7Js=")</f>
        <v>#VALUE!</v>
      </c>
      <c r="FA263" t="e">
        <f>AND('PROG FORM COMPLEM'!E122,"AAAAAD6/7Jw=")</f>
        <v>#VALUE!</v>
      </c>
      <c r="FB263" t="e">
        <f>AND('PROG FORM COMPLEM'!F122,"AAAAAD6/7J0=")</f>
        <v>#VALUE!</v>
      </c>
      <c r="FC263" t="e">
        <f>AND('PROG FORM COMPLEM'!G122,"AAAAAD6/7J4=")</f>
        <v>#VALUE!</v>
      </c>
      <c r="FD263" t="e">
        <f>AND('PROG FORM COMPLEM'!H122,"AAAAAD6/7J8=")</f>
        <v>#VALUE!</v>
      </c>
      <c r="FE263" t="e">
        <f>AND('PROG FORM COMPLEM'!I122,"AAAAAD6/7KA=")</f>
        <v>#VALUE!</v>
      </c>
      <c r="FF263" t="e">
        <f>AND('PROG FORM COMPLEM'!J122,"AAAAAD6/7KE=")</f>
        <v>#VALUE!</v>
      </c>
      <c r="FG263" t="e">
        <f>AND('PROG FORM COMPLEM'!K122,"AAAAAD6/7KI=")</f>
        <v>#VALUE!</v>
      </c>
      <c r="FH263" t="e">
        <f>AND('PROG FORM COMPLEM'!L122,"AAAAAD6/7KM=")</f>
        <v>#VALUE!</v>
      </c>
      <c r="FI263" t="e">
        <f>AND('PROG FORM COMPLEM'!M122,"AAAAAD6/7KQ=")</f>
        <v>#VALUE!</v>
      </c>
      <c r="FJ263" t="e">
        <f>AND('PROG FORM COMPLEM'!N122,"AAAAAD6/7KU=")</f>
        <v>#VALUE!</v>
      </c>
      <c r="FK263" t="e">
        <f>AND('PROG FORM COMPLEM'!O122,"AAAAAD6/7KY=")</f>
        <v>#VALUE!</v>
      </c>
      <c r="FL263" t="e">
        <f>AND('PROG FORM COMPLEM'!P122,"AAAAAD6/7Kc=")</f>
        <v>#VALUE!</v>
      </c>
      <c r="FM263" t="e">
        <f>AND('PROG FORM COMPLEM'!Q122,"AAAAAD6/7Kg=")</f>
        <v>#VALUE!</v>
      </c>
      <c r="FN263" t="e">
        <f>AND('PROG FORM COMPLEM'!R122,"AAAAAD6/7Kk=")</f>
        <v>#VALUE!</v>
      </c>
      <c r="FO263" t="e">
        <f>AND('PROG FORM COMPLEM'!S122,"AAAAAD6/7Ko=")</f>
        <v>#VALUE!</v>
      </c>
      <c r="FP263" t="e">
        <f>AND('PROG FORM COMPLEM'!T122,"AAAAAD6/7Ks=")</f>
        <v>#VALUE!</v>
      </c>
      <c r="FQ263" t="e">
        <f>AND('PROG FORM COMPLEM'!U122,"AAAAAD6/7Kw=")</f>
        <v>#VALUE!</v>
      </c>
      <c r="FR263" t="e">
        <f>AND('PROG FORM COMPLEM'!V122,"AAAAAD6/7K0=")</f>
        <v>#VALUE!</v>
      </c>
      <c r="FS263" t="e">
        <f>AND('PROG FORM COMPLEM'!W122,"AAAAAD6/7K4=")</f>
        <v>#VALUE!</v>
      </c>
      <c r="FT263">
        <f>IF('PROG FORM COMPLEM'!123:123,"AAAAAD6/7K8=",0)</f>
        <v>0</v>
      </c>
      <c r="FU263" t="e">
        <f>AND('PROG FORM COMPLEM'!B123,"AAAAAD6/7LA=")</f>
        <v>#VALUE!</v>
      </c>
      <c r="FV263" t="e">
        <f>AND('PROG FORM COMPLEM'!C123,"AAAAAD6/7LE=")</f>
        <v>#VALUE!</v>
      </c>
      <c r="FW263" t="e">
        <f>AND('PROG FORM COMPLEM'!D123,"AAAAAD6/7LI=")</f>
        <v>#VALUE!</v>
      </c>
      <c r="FX263" t="e">
        <f>AND('PROG FORM COMPLEM'!E123,"AAAAAD6/7LM=")</f>
        <v>#VALUE!</v>
      </c>
      <c r="FY263" t="e">
        <f>AND('PROG FORM COMPLEM'!F123,"AAAAAD6/7LQ=")</f>
        <v>#VALUE!</v>
      </c>
      <c r="FZ263" t="e">
        <f>AND('PROG FORM COMPLEM'!G123,"AAAAAD6/7LU=")</f>
        <v>#VALUE!</v>
      </c>
      <c r="GA263" t="e">
        <f>AND('PROG FORM COMPLEM'!H123,"AAAAAD6/7LY=")</f>
        <v>#VALUE!</v>
      </c>
      <c r="GB263" t="e">
        <f>AND('PROG FORM COMPLEM'!I123,"AAAAAD6/7Lc=")</f>
        <v>#VALUE!</v>
      </c>
      <c r="GC263" t="e">
        <f>AND('PROG FORM COMPLEM'!J123,"AAAAAD6/7Lg=")</f>
        <v>#VALUE!</v>
      </c>
      <c r="GD263" t="e">
        <f>AND('PROG FORM COMPLEM'!K123,"AAAAAD6/7Lk=")</f>
        <v>#VALUE!</v>
      </c>
      <c r="GE263" t="e">
        <f>AND('PROG FORM COMPLEM'!L123,"AAAAAD6/7Lo=")</f>
        <v>#VALUE!</v>
      </c>
      <c r="GF263" t="e">
        <f>AND('PROG FORM COMPLEM'!M123,"AAAAAD6/7Ls=")</f>
        <v>#VALUE!</v>
      </c>
      <c r="GG263" t="e">
        <f>AND('PROG FORM COMPLEM'!N123,"AAAAAD6/7Lw=")</f>
        <v>#VALUE!</v>
      </c>
      <c r="GH263" t="e">
        <f>AND('PROG FORM COMPLEM'!O123,"AAAAAD6/7L0=")</f>
        <v>#VALUE!</v>
      </c>
      <c r="GI263" t="e">
        <f>AND('PROG FORM COMPLEM'!P123,"AAAAAD6/7L4=")</f>
        <v>#VALUE!</v>
      </c>
      <c r="GJ263" t="e">
        <f>AND('PROG FORM COMPLEM'!Q123,"AAAAAD6/7L8=")</f>
        <v>#VALUE!</v>
      </c>
      <c r="GK263" t="e">
        <f>AND('PROG FORM COMPLEM'!R123,"AAAAAD6/7MA=")</f>
        <v>#VALUE!</v>
      </c>
      <c r="GL263" t="e">
        <f>AND('PROG FORM COMPLEM'!S123,"AAAAAD6/7ME=")</f>
        <v>#VALUE!</v>
      </c>
      <c r="GM263" t="e">
        <f>AND('PROG FORM COMPLEM'!T123,"AAAAAD6/7MI=")</f>
        <v>#VALUE!</v>
      </c>
      <c r="GN263" t="e">
        <f>AND('PROG FORM COMPLEM'!U123,"AAAAAD6/7MM=")</f>
        <v>#VALUE!</v>
      </c>
      <c r="GO263" t="e">
        <f>AND('PROG FORM COMPLEM'!V123,"AAAAAD6/7MQ=")</f>
        <v>#VALUE!</v>
      </c>
      <c r="GP263" t="e">
        <f>AND('PROG FORM COMPLEM'!W123,"AAAAAD6/7MU=")</f>
        <v>#VALUE!</v>
      </c>
      <c r="GQ263">
        <f>IF('PROG FORM COMPLEM'!124:124,"AAAAAD6/7MY=",0)</f>
        <v>0</v>
      </c>
      <c r="GR263" t="e">
        <f>AND('PROG FORM COMPLEM'!B124,"AAAAAD6/7Mc=")</f>
        <v>#VALUE!</v>
      </c>
      <c r="GS263" t="e">
        <f>AND('PROG FORM COMPLEM'!C124,"AAAAAD6/7Mg=")</f>
        <v>#VALUE!</v>
      </c>
      <c r="GT263" t="e">
        <f>AND('PROG FORM COMPLEM'!D124,"AAAAAD6/7Mk=")</f>
        <v>#VALUE!</v>
      </c>
      <c r="GU263" t="e">
        <f>AND('PROG FORM COMPLEM'!E124,"AAAAAD6/7Mo=")</f>
        <v>#VALUE!</v>
      </c>
      <c r="GV263" t="e">
        <f>AND('PROG FORM COMPLEM'!F124,"AAAAAD6/7Ms=")</f>
        <v>#VALUE!</v>
      </c>
      <c r="GW263" t="e">
        <f>AND('PROG FORM COMPLEM'!G124,"AAAAAD6/7Mw=")</f>
        <v>#VALUE!</v>
      </c>
      <c r="GX263" t="e">
        <f>AND('PROG FORM COMPLEM'!H124,"AAAAAD6/7M0=")</f>
        <v>#VALUE!</v>
      </c>
      <c r="GY263" t="e">
        <f>AND('PROG FORM COMPLEM'!I124,"AAAAAD6/7M4=")</f>
        <v>#VALUE!</v>
      </c>
      <c r="GZ263" t="e">
        <f>AND('PROG FORM COMPLEM'!J124,"AAAAAD6/7M8=")</f>
        <v>#VALUE!</v>
      </c>
      <c r="HA263" t="e">
        <f>AND('PROG FORM COMPLEM'!K124,"AAAAAD6/7NA=")</f>
        <v>#VALUE!</v>
      </c>
      <c r="HB263" t="e">
        <f>AND('PROG FORM COMPLEM'!L124,"AAAAAD6/7NE=")</f>
        <v>#VALUE!</v>
      </c>
      <c r="HC263" t="e">
        <f>AND('PROG FORM COMPLEM'!M124,"AAAAAD6/7NI=")</f>
        <v>#VALUE!</v>
      </c>
      <c r="HD263" t="e">
        <f>AND('PROG FORM COMPLEM'!N124,"AAAAAD6/7NM=")</f>
        <v>#VALUE!</v>
      </c>
      <c r="HE263" t="e">
        <f>AND('PROG FORM COMPLEM'!O124,"AAAAAD6/7NQ=")</f>
        <v>#VALUE!</v>
      </c>
      <c r="HF263" t="e">
        <f>AND('PROG FORM COMPLEM'!P124,"AAAAAD6/7NU=")</f>
        <v>#VALUE!</v>
      </c>
      <c r="HG263" t="e">
        <f>AND('PROG FORM COMPLEM'!Q124,"AAAAAD6/7NY=")</f>
        <v>#VALUE!</v>
      </c>
      <c r="HH263" t="e">
        <f>AND('PROG FORM COMPLEM'!R124,"AAAAAD6/7Nc=")</f>
        <v>#VALUE!</v>
      </c>
      <c r="HI263" t="e">
        <f>AND('PROG FORM COMPLEM'!S124,"AAAAAD6/7Ng=")</f>
        <v>#VALUE!</v>
      </c>
      <c r="HJ263" t="e">
        <f>AND('PROG FORM COMPLEM'!T124,"AAAAAD6/7Nk=")</f>
        <v>#VALUE!</v>
      </c>
      <c r="HK263" t="e">
        <f>AND('PROG FORM COMPLEM'!U124,"AAAAAD6/7No=")</f>
        <v>#VALUE!</v>
      </c>
      <c r="HL263" t="e">
        <f>AND('PROG FORM COMPLEM'!V124,"AAAAAD6/7Ns=")</f>
        <v>#VALUE!</v>
      </c>
      <c r="HM263" t="e">
        <f>AND('PROG FORM COMPLEM'!W124,"AAAAAD6/7Nw=")</f>
        <v>#VALUE!</v>
      </c>
      <c r="HN263">
        <f>IF('PROG FORM COMPLEM'!126:126,"AAAAAD6/7N0=",0)</f>
        <v>0</v>
      </c>
      <c r="HO263" t="e">
        <f>AND('PROG FORM COMPLEM'!B126,"AAAAAD6/7N4=")</f>
        <v>#VALUE!</v>
      </c>
      <c r="HP263" t="e">
        <f>AND('PROG FORM COMPLEM'!C126,"AAAAAD6/7N8=")</f>
        <v>#VALUE!</v>
      </c>
      <c r="HQ263" t="e">
        <f>AND('PROG FORM COMPLEM'!D126,"AAAAAD6/7OA=")</f>
        <v>#VALUE!</v>
      </c>
      <c r="HR263" t="e">
        <f>AND('PROG FORM COMPLEM'!E126,"AAAAAD6/7OE=")</f>
        <v>#VALUE!</v>
      </c>
      <c r="HS263" t="e">
        <f>AND('PROG FORM COMPLEM'!F126,"AAAAAD6/7OI=")</f>
        <v>#VALUE!</v>
      </c>
      <c r="HT263" t="e">
        <f>AND('PROG FORM COMPLEM'!G126,"AAAAAD6/7OM=")</f>
        <v>#VALUE!</v>
      </c>
      <c r="HU263" t="e">
        <f>AND('PROG FORM COMPLEM'!H126,"AAAAAD6/7OQ=")</f>
        <v>#VALUE!</v>
      </c>
      <c r="HV263" t="e">
        <f>AND('PROG FORM COMPLEM'!I126,"AAAAAD6/7OU=")</f>
        <v>#VALUE!</v>
      </c>
      <c r="HW263" t="e">
        <f>AND('PROG FORM COMPLEM'!J126,"AAAAAD6/7OY=")</f>
        <v>#VALUE!</v>
      </c>
      <c r="HX263" t="e">
        <f>AND('PROG FORM COMPLEM'!K126,"AAAAAD6/7Oc=")</f>
        <v>#VALUE!</v>
      </c>
      <c r="HY263" t="e">
        <f>AND('PROG FORM COMPLEM'!L126,"AAAAAD6/7Og=")</f>
        <v>#VALUE!</v>
      </c>
      <c r="HZ263" t="e">
        <f>AND('PROG FORM COMPLEM'!M126,"AAAAAD6/7Ok=")</f>
        <v>#VALUE!</v>
      </c>
      <c r="IA263" t="e">
        <f>AND('PROG FORM COMPLEM'!N126,"AAAAAD6/7Oo=")</f>
        <v>#VALUE!</v>
      </c>
      <c r="IB263" t="e">
        <f>AND('PROG FORM COMPLEM'!O126,"AAAAAD6/7Os=")</f>
        <v>#VALUE!</v>
      </c>
      <c r="IC263" t="e">
        <f>AND('PROG FORM COMPLEM'!P126,"AAAAAD6/7Ow=")</f>
        <v>#VALUE!</v>
      </c>
      <c r="ID263" t="e">
        <f>AND('PROG FORM COMPLEM'!Q126,"AAAAAD6/7O0=")</f>
        <v>#VALUE!</v>
      </c>
      <c r="IE263" t="e">
        <f>AND('PROG FORM COMPLEM'!R126,"AAAAAD6/7O4=")</f>
        <v>#VALUE!</v>
      </c>
      <c r="IF263" t="e">
        <f>AND('PROG FORM COMPLEM'!S126,"AAAAAD6/7O8=")</f>
        <v>#VALUE!</v>
      </c>
      <c r="IG263" t="e">
        <f>AND('PROG FORM COMPLEM'!T126,"AAAAAD6/7PA=")</f>
        <v>#VALUE!</v>
      </c>
      <c r="IH263" t="e">
        <f>AND('PROG FORM COMPLEM'!U126,"AAAAAD6/7PE=")</f>
        <v>#VALUE!</v>
      </c>
      <c r="II263" t="e">
        <f>AND('PROG FORM COMPLEM'!V126,"AAAAAD6/7PI=")</f>
        <v>#VALUE!</v>
      </c>
      <c r="IJ263" t="e">
        <f>AND('PROG FORM COMPLEM'!W126,"AAAAAD6/7PM=")</f>
        <v>#VALUE!</v>
      </c>
      <c r="IK263" t="e">
        <f>IF('PROG FORM COMPLEM'!#REF!,"AAAAAD6/7PQ=",0)</f>
        <v>#REF!</v>
      </c>
      <c r="IL263" t="e">
        <f>AND('PROG FORM COMPLEM'!#REF!,"AAAAAD6/7PU=")</f>
        <v>#REF!</v>
      </c>
      <c r="IM263" t="e">
        <f>AND('PROG FORM COMPLEM'!#REF!,"AAAAAD6/7PY=")</f>
        <v>#REF!</v>
      </c>
      <c r="IN263" t="e">
        <f>AND('PROG FORM COMPLEM'!#REF!,"AAAAAD6/7Pc=")</f>
        <v>#REF!</v>
      </c>
      <c r="IO263" t="e">
        <f>AND('PROG FORM COMPLEM'!#REF!,"AAAAAD6/7Pg=")</f>
        <v>#REF!</v>
      </c>
      <c r="IP263" t="e">
        <f>AND('PROG FORM COMPLEM'!#REF!,"AAAAAD6/7Pk=")</f>
        <v>#REF!</v>
      </c>
      <c r="IQ263" t="e">
        <f>AND('PROG FORM COMPLEM'!#REF!,"AAAAAD6/7Po=")</f>
        <v>#REF!</v>
      </c>
      <c r="IR263" t="e">
        <f>AND('PROG FORM COMPLEM'!#REF!,"AAAAAD6/7Ps=")</f>
        <v>#REF!</v>
      </c>
      <c r="IS263" t="e">
        <f>AND('PROG FORM COMPLEM'!#REF!,"AAAAAD6/7Pw=")</f>
        <v>#REF!</v>
      </c>
      <c r="IT263" t="e">
        <f>AND('PROG FORM COMPLEM'!#REF!,"AAAAAD6/7P0=")</f>
        <v>#REF!</v>
      </c>
      <c r="IU263" t="e">
        <f>AND('PROG FORM COMPLEM'!#REF!,"AAAAAD6/7P4=")</f>
        <v>#REF!</v>
      </c>
      <c r="IV263" t="e">
        <f>AND('PROG FORM COMPLEM'!#REF!,"AAAAAD6/7P8=")</f>
        <v>#REF!</v>
      </c>
    </row>
    <row r="264" spans="1:256" x14ac:dyDescent="0.2">
      <c r="A264" t="e">
        <f>AND('PROG FORM COMPLEM'!#REF!,"AAAAAHvyrQA=")</f>
        <v>#REF!</v>
      </c>
      <c r="B264" t="e">
        <f>AND('PROG FORM COMPLEM'!#REF!,"AAAAAHvyrQE=")</f>
        <v>#REF!</v>
      </c>
      <c r="C264" t="e">
        <f>AND('PROG FORM COMPLEM'!#REF!,"AAAAAHvyrQI=")</f>
        <v>#REF!</v>
      </c>
      <c r="D264" t="e">
        <f>AND('PROG FORM COMPLEM'!#REF!,"AAAAAHvyrQM=")</f>
        <v>#REF!</v>
      </c>
      <c r="E264" t="e">
        <f>AND('PROG FORM COMPLEM'!#REF!,"AAAAAHvyrQQ=")</f>
        <v>#REF!</v>
      </c>
      <c r="F264" t="e">
        <f>AND('PROG FORM COMPLEM'!#REF!,"AAAAAHvyrQU=")</f>
        <v>#REF!</v>
      </c>
      <c r="G264" t="e">
        <f>AND('PROG FORM COMPLEM'!#REF!,"AAAAAHvyrQY=")</f>
        <v>#REF!</v>
      </c>
      <c r="H264" t="e">
        <f>AND('PROG FORM COMPLEM'!#REF!,"AAAAAHvyrQc=")</f>
        <v>#REF!</v>
      </c>
      <c r="I264" t="e">
        <f>AND('PROG FORM COMPLEM'!#REF!,"AAAAAHvyrQg=")</f>
        <v>#REF!</v>
      </c>
      <c r="J264" t="e">
        <f>AND('PROG FORM COMPLEM'!#REF!,"AAAAAHvyrQk=")</f>
        <v>#REF!</v>
      </c>
      <c r="K264" t="e">
        <f>AND('PROG FORM COMPLEM'!#REF!,"AAAAAHvyrQo=")</f>
        <v>#REF!</v>
      </c>
      <c r="L264" t="str">
        <f>IF('PROG FORM COMPLEM'!128:128,"AAAAAHvyrQs=",0)</f>
        <v>AAAAAHvyrQs=</v>
      </c>
      <c r="M264" t="e">
        <f>AND('PROG FORM COMPLEM'!B128,"AAAAAHvyrQw=")</f>
        <v>#VALUE!</v>
      </c>
      <c r="N264" t="e">
        <f>AND('PROG FORM COMPLEM'!C128,"AAAAAHvyrQ0=")</f>
        <v>#VALUE!</v>
      </c>
      <c r="O264" t="e">
        <f>AND('PROG FORM COMPLEM'!D128,"AAAAAHvyrQ4=")</f>
        <v>#VALUE!</v>
      </c>
      <c r="P264" t="e">
        <f>AND('PROG FORM COMPLEM'!E128,"AAAAAHvyrQ8=")</f>
        <v>#VALUE!</v>
      </c>
      <c r="Q264" t="e">
        <f>AND('PROG FORM COMPLEM'!F128,"AAAAAHvyrRA=")</f>
        <v>#VALUE!</v>
      </c>
      <c r="R264" t="e">
        <f>AND('PROG FORM COMPLEM'!G128,"AAAAAHvyrRE=")</f>
        <v>#VALUE!</v>
      </c>
      <c r="S264" t="e">
        <f>AND('PROG FORM COMPLEM'!H128,"AAAAAHvyrRI=")</f>
        <v>#VALUE!</v>
      </c>
      <c r="T264" t="e">
        <f>AND('PROG FORM COMPLEM'!I128,"AAAAAHvyrRM=")</f>
        <v>#VALUE!</v>
      </c>
      <c r="U264" t="e">
        <f>AND('PROG FORM COMPLEM'!J128,"AAAAAHvyrRQ=")</f>
        <v>#VALUE!</v>
      </c>
      <c r="V264" t="e">
        <f>AND('PROG FORM COMPLEM'!K128,"AAAAAHvyrRU=")</f>
        <v>#VALUE!</v>
      </c>
      <c r="W264" t="e">
        <f>AND('PROG FORM COMPLEM'!L128,"AAAAAHvyrRY=")</f>
        <v>#VALUE!</v>
      </c>
      <c r="X264" t="e">
        <f>AND('PROG FORM COMPLEM'!M128,"AAAAAHvyrRc=")</f>
        <v>#VALUE!</v>
      </c>
      <c r="Y264" t="e">
        <f>AND('PROG FORM COMPLEM'!N128,"AAAAAHvyrRg=")</f>
        <v>#VALUE!</v>
      </c>
      <c r="Z264" t="e">
        <f>AND('PROG FORM COMPLEM'!O128,"AAAAAHvyrRk=")</f>
        <v>#VALUE!</v>
      </c>
      <c r="AA264" t="e">
        <f>AND('PROG FORM COMPLEM'!P128,"AAAAAHvyrRo=")</f>
        <v>#VALUE!</v>
      </c>
      <c r="AB264" t="e">
        <f>AND('PROG FORM COMPLEM'!Q128,"AAAAAHvyrRs=")</f>
        <v>#VALUE!</v>
      </c>
      <c r="AC264" t="e">
        <f>AND('PROG FORM COMPLEM'!R128,"AAAAAHvyrRw=")</f>
        <v>#VALUE!</v>
      </c>
      <c r="AD264" t="e">
        <f>AND('PROG FORM COMPLEM'!S128,"AAAAAHvyrR0=")</f>
        <v>#VALUE!</v>
      </c>
      <c r="AE264" t="e">
        <f>AND('PROG FORM COMPLEM'!T128,"AAAAAHvyrR4=")</f>
        <v>#VALUE!</v>
      </c>
      <c r="AF264" t="e">
        <f>AND('PROG FORM COMPLEM'!U128,"AAAAAHvyrR8=")</f>
        <v>#VALUE!</v>
      </c>
      <c r="AG264" t="e">
        <f>AND('PROG FORM COMPLEM'!V128,"AAAAAHvyrSA=")</f>
        <v>#VALUE!</v>
      </c>
      <c r="AH264" t="e">
        <f>AND('PROG FORM COMPLEM'!W128,"AAAAAHvyrSE=")</f>
        <v>#VALUE!</v>
      </c>
      <c r="AI264">
        <f>IF('PROG FORM COMPLEM'!134:134,"AAAAAHvyrSI=",0)</f>
        <v>0</v>
      </c>
      <c r="AJ264" t="e">
        <f>AND('PROG FORM COMPLEM'!B134,"AAAAAHvyrSM=")</f>
        <v>#VALUE!</v>
      </c>
      <c r="AK264" t="e">
        <f>AND('PROG FORM COMPLEM'!C134,"AAAAAHvyrSQ=")</f>
        <v>#VALUE!</v>
      </c>
      <c r="AL264" t="e">
        <f>AND('PROG FORM COMPLEM'!D134,"AAAAAHvyrSU=")</f>
        <v>#VALUE!</v>
      </c>
      <c r="AM264" t="e">
        <f>AND('PROG FORM COMPLEM'!E134,"AAAAAHvyrSY=")</f>
        <v>#VALUE!</v>
      </c>
      <c r="AN264" t="e">
        <f>AND('PROG FORM COMPLEM'!F134,"AAAAAHvyrSc=")</f>
        <v>#VALUE!</v>
      </c>
      <c r="AO264" t="e">
        <f>AND('PROG FORM COMPLEM'!G134,"AAAAAHvyrSg=")</f>
        <v>#VALUE!</v>
      </c>
      <c r="AP264" t="e">
        <f>AND('PROG FORM COMPLEM'!H134,"AAAAAHvyrSk=")</f>
        <v>#VALUE!</v>
      </c>
      <c r="AQ264" t="e">
        <f>AND('PROG FORM COMPLEM'!I134,"AAAAAHvyrSo=")</f>
        <v>#VALUE!</v>
      </c>
      <c r="AR264" t="e">
        <f>AND('PROG FORM COMPLEM'!J134,"AAAAAHvyrSs=")</f>
        <v>#VALUE!</v>
      </c>
      <c r="AS264" t="e">
        <f>AND('PROG FORM COMPLEM'!K134,"AAAAAHvyrSw=")</f>
        <v>#VALUE!</v>
      </c>
      <c r="AT264" t="e">
        <f>AND('PROG FORM COMPLEM'!L134,"AAAAAHvyrS0=")</f>
        <v>#VALUE!</v>
      </c>
      <c r="AU264" t="e">
        <f>AND('PROG FORM COMPLEM'!M134,"AAAAAHvyrS4=")</f>
        <v>#VALUE!</v>
      </c>
      <c r="AV264" t="e">
        <f>AND('PROG FORM COMPLEM'!N134,"AAAAAHvyrS8=")</f>
        <v>#VALUE!</v>
      </c>
      <c r="AW264" t="e">
        <f>AND('PROG FORM COMPLEM'!O134,"AAAAAHvyrTA=")</f>
        <v>#VALUE!</v>
      </c>
      <c r="AX264" t="e">
        <f>AND('PROG FORM COMPLEM'!P134,"AAAAAHvyrTE=")</f>
        <v>#VALUE!</v>
      </c>
      <c r="AY264" t="e">
        <f>AND('PROG FORM COMPLEM'!Q134,"AAAAAHvyrTI=")</f>
        <v>#VALUE!</v>
      </c>
      <c r="AZ264" t="e">
        <f>AND('PROG FORM COMPLEM'!R134,"AAAAAHvyrTM=")</f>
        <v>#VALUE!</v>
      </c>
      <c r="BA264" t="e">
        <f>AND('PROG FORM COMPLEM'!S134,"AAAAAHvyrTQ=")</f>
        <v>#VALUE!</v>
      </c>
      <c r="BB264" t="e">
        <f>AND('PROG FORM COMPLEM'!T134,"AAAAAHvyrTU=")</f>
        <v>#VALUE!</v>
      </c>
      <c r="BC264" t="e">
        <f>AND('PROG FORM COMPLEM'!U134,"AAAAAHvyrTY=")</f>
        <v>#VALUE!</v>
      </c>
      <c r="BD264" t="e">
        <f>AND('PROG FORM COMPLEM'!V134,"AAAAAHvyrTc=")</f>
        <v>#VALUE!</v>
      </c>
      <c r="BE264" t="e">
        <f>AND('PROG FORM COMPLEM'!W134,"AAAAAHvyrTg=")</f>
        <v>#VALUE!</v>
      </c>
      <c r="BF264">
        <f>IF('PROG FORM COMPLEM'!135:135,"AAAAAHvyrTk=",0)</f>
        <v>0</v>
      </c>
      <c r="BG264" t="e">
        <f>AND('PROG FORM COMPLEM'!B135,"AAAAAHvyrTo=")</f>
        <v>#VALUE!</v>
      </c>
      <c r="BH264" t="e">
        <f>AND('PROG FORM COMPLEM'!C135,"AAAAAHvyrTs=")</f>
        <v>#VALUE!</v>
      </c>
      <c r="BI264" t="e">
        <f>AND('PROG FORM COMPLEM'!D135,"AAAAAHvyrTw=")</f>
        <v>#VALUE!</v>
      </c>
      <c r="BJ264" t="e">
        <f>AND('PROG FORM COMPLEM'!E135,"AAAAAHvyrT0=")</f>
        <v>#VALUE!</v>
      </c>
      <c r="BK264" t="e">
        <f>AND('PROG FORM COMPLEM'!F135,"AAAAAHvyrT4=")</f>
        <v>#VALUE!</v>
      </c>
      <c r="BL264" t="e">
        <f>AND('PROG FORM COMPLEM'!G135,"AAAAAHvyrT8=")</f>
        <v>#VALUE!</v>
      </c>
      <c r="BM264" t="e">
        <f>AND('PROG FORM COMPLEM'!H135,"AAAAAHvyrUA=")</f>
        <v>#VALUE!</v>
      </c>
      <c r="BN264" t="e">
        <f>AND('PROG FORM COMPLEM'!I135,"AAAAAHvyrUE=")</f>
        <v>#VALUE!</v>
      </c>
      <c r="BO264" t="e">
        <f>AND('PROG FORM COMPLEM'!J135,"AAAAAHvyrUI=")</f>
        <v>#VALUE!</v>
      </c>
      <c r="BP264" t="e">
        <f>AND('PROG FORM COMPLEM'!K135,"AAAAAHvyrUM=")</f>
        <v>#VALUE!</v>
      </c>
      <c r="BQ264" t="e">
        <f>AND('PROG FORM COMPLEM'!L135,"AAAAAHvyrUQ=")</f>
        <v>#VALUE!</v>
      </c>
      <c r="BR264" t="e">
        <f>AND('PROG FORM COMPLEM'!M135,"AAAAAHvyrUU=")</f>
        <v>#VALUE!</v>
      </c>
      <c r="BS264" t="e">
        <f>AND('PROG FORM COMPLEM'!N135,"AAAAAHvyrUY=")</f>
        <v>#VALUE!</v>
      </c>
      <c r="BT264" t="e">
        <f>AND('PROG FORM COMPLEM'!O135,"AAAAAHvyrUc=")</f>
        <v>#VALUE!</v>
      </c>
      <c r="BU264" t="e">
        <f>AND('PROG FORM COMPLEM'!P135,"AAAAAHvyrUg=")</f>
        <v>#VALUE!</v>
      </c>
      <c r="BV264" t="e">
        <f>AND('PROG FORM COMPLEM'!Q135,"AAAAAHvyrUk=")</f>
        <v>#VALUE!</v>
      </c>
      <c r="BW264" t="e">
        <f>AND('PROG FORM COMPLEM'!R135,"AAAAAHvyrUo=")</f>
        <v>#VALUE!</v>
      </c>
      <c r="BX264" t="e">
        <f>AND('PROG FORM COMPLEM'!S135,"AAAAAHvyrUs=")</f>
        <v>#VALUE!</v>
      </c>
      <c r="BY264" t="e">
        <f>AND('PROG FORM COMPLEM'!T135,"AAAAAHvyrUw=")</f>
        <v>#VALUE!</v>
      </c>
      <c r="BZ264" t="e">
        <f>AND('PROG FORM COMPLEM'!U135,"AAAAAHvyrU0=")</f>
        <v>#VALUE!</v>
      </c>
      <c r="CA264" t="e">
        <f>AND('PROG FORM COMPLEM'!V135,"AAAAAHvyrU4=")</f>
        <v>#VALUE!</v>
      </c>
      <c r="CB264" t="e">
        <f>AND('PROG FORM COMPLEM'!W135,"AAAAAHvyrU8=")</f>
        <v>#VALUE!</v>
      </c>
      <c r="CC264">
        <f>IF('PROG FORM COMPLEM'!138:138,"AAAAAHvyrVA=",0)</f>
        <v>0</v>
      </c>
      <c r="CD264" t="e">
        <f>AND('PROG FORM COMPLEM'!B138,"AAAAAHvyrVE=")</f>
        <v>#VALUE!</v>
      </c>
      <c r="CE264" t="e">
        <f>AND('PROG FORM COMPLEM'!C138,"AAAAAHvyrVI=")</f>
        <v>#VALUE!</v>
      </c>
      <c r="CF264" t="e">
        <f>AND('PROG FORM COMPLEM'!D138,"AAAAAHvyrVM=")</f>
        <v>#VALUE!</v>
      </c>
      <c r="CG264" t="e">
        <f>AND('PROG FORM COMPLEM'!E138,"AAAAAHvyrVQ=")</f>
        <v>#VALUE!</v>
      </c>
      <c r="CH264" t="e">
        <f>AND('PROG FORM COMPLEM'!F138,"AAAAAHvyrVU=")</f>
        <v>#VALUE!</v>
      </c>
      <c r="CI264" t="e">
        <f>AND('PROG FORM COMPLEM'!G138,"AAAAAHvyrVY=")</f>
        <v>#VALUE!</v>
      </c>
      <c r="CJ264" t="e">
        <f>AND('PROG FORM COMPLEM'!H138,"AAAAAHvyrVc=")</f>
        <v>#VALUE!</v>
      </c>
      <c r="CK264" t="e">
        <f>AND('PROG FORM COMPLEM'!I138,"AAAAAHvyrVg=")</f>
        <v>#VALUE!</v>
      </c>
      <c r="CL264" t="e">
        <f>AND('PROG FORM COMPLEM'!J138,"AAAAAHvyrVk=")</f>
        <v>#VALUE!</v>
      </c>
      <c r="CM264" t="e">
        <f>AND('PROG FORM COMPLEM'!K138,"AAAAAHvyrVo=")</f>
        <v>#VALUE!</v>
      </c>
      <c r="CN264" t="e">
        <f>AND('PROG FORM COMPLEM'!L138,"AAAAAHvyrVs=")</f>
        <v>#VALUE!</v>
      </c>
      <c r="CO264" t="e">
        <f>AND('PROG FORM COMPLEM'!M138,"AAAAAHvyrVw=")</f>
        <v>#VALUE!</v>
      </c>
      <c r="CP264" t="e">
        <f>AND('PROG FORM COMPLEM'!N138,"AAAAAHvyrV0=")</f>
        <v>#VALUE!</v>
      </c>
      <c r="CQ264" t="e">
        <f>AND('PROG FORM COMPLEM'!O138,"AAAAAHvyrV4=")</f>
        <v>#VALUE!</v>
      </c>
      <c r="CR264" t="e">
        <f>AND('PROG FORM COMPLEM'!P138,"AAAAAHvyrV8=")</f>
        <v>#VALUE!</v>
      </c>
      <c r="CS264" t="e">
        <f>AND('PROG FORM COMPLEM'!Q138,"AAAAAHvyrWA=")</f>
        <v>#VALUE!</v>
      </c>
      <c r="CT264" t="e">
        <f>AND('PROG FORM COMPLEM'!R138,"AAAAAHvyrWE=")</f>
        <v>#VALUE!</v>
      </c>
      <c r="CU264" t="e">
        <f>AND('PROG FORM COMPLEM'!S138,"AAAAAHvyrWI=")</f>
        <v>#VALUE!</v>
      </c>
      <c r="CV264" t="e">
        <f>AND('PROG FORM COMPLEM'!T138,"AAAAAHvyrWM=")</f>
        <v>#VALUE!</v>
      </c>
      <c r="CW264" t="e">
        <f>AND('PROG FORM COMPLEM'!U138,"AAAAAHvyrWQ=")</f>
        <v>#VALUE!</v>
      </c>
      <c r="CX264" t="e">
        <f>AND('PROG FORM COMPLEM'!V138,"AAAAAHvyrWU=")</f>
        <v>#VALUE!</v>
      </c>
      <c r="CY264" t="e">
        <f>AND('PROG FORM COMPLEM'!W138,"AAAAAHvyrWY=")</f>
        <v>#VALUE!</v>
      </c>
      <c r="CZ264">
        <f>IF('PROG FORM COMPLEM'!139:139,"AAAAAHvyrWc=",0)</f>
        <v>0</v>
      </c>
      <c r="DA264" t="e">
        <f>AND('PROG FORM COMPLEM'!B139,"AAAAAHvyrWg=")</f>
        <v>#VALUE!</v>
      </c>
      <c r="DB264" t="e">
        <f>AND('PROG FORM COMPLEM'!C139,"AAAAAHvyrWk=")</f>
        <v>#VALUE!</v>
      </c>
      <c r="DC264" t="e">
        <f>AND('PROG FORM COMPLEM'!D139,"AAAAAHvyrWo=")</f>
        <v>#VALUE!</v>
      </c>
      <c r="DD264" t="e">
        <f>AND('PROG FORM COMPLEM'!E139,"AAAAAHvyrWs=")</f>
        <v>#VALUE!</v>
      </c>
      <c r="DE264" t="e">
        <f>AND('PROG FORM COMPLEM'!F139,"AAAAAHvyrWw=")</f>
        <v>#VALUE!</v>
      </c>
      <c r="DF264" t="e">
        <f>AND('PROG FORM COMPLEM'!G139,"AAAAAHvyrW0=")</f>
        <v>#VALUE!</v>
      </c>
      <c r="DG264" t="e">
        <f>AND('PROG FORM COMPLEM'!H139,"AAAAAHvyrW4=")</f>
        <v>#VALUE!</v>
      </c>
      <c r="DH264" t="e">
        <f>AND('PROG FORM COMPLEM'!I139,"AAAAAHvyrW8=")</f>
        <v>#VALUE!</v>
      </c>
      <c r="DI264" t="e">
        <f>AND('PROG FORM COMPLEM'!J139,"AAAAAHvyrXA=")</f>
        <v>#VALUE!</v>
      </c>
      <c r="DJ264" t="e">
        <f>AND('PROG FORM COMPLEM'!K139,"AAAAAHvyrXE=")</f>
        <v>#VALUE!</v>
      </c>
      <c r="DK264" t="e">
        <f>AND('PROG FORM COMPLEM'!L139,"AAAAAHvyrXI=")</f>
        <v>#VALUE!</v>
      </c>
      <c r="DL264" t="e">
        <f>AND('PROG FORM COMPLEM'!M139,"AAAAAHvyrXM=")</f>
        <v>#VALUE!</v>
      </c>
      <c r="DM264" t="e">
        <f>AND('PROG FORM COMPLEM'!N139,"AAAAAHvyrXQ=")</f>
        <v>#VALUE!</v>
      </c>
      <c r="DN264" t="e">
        <f>AND('PROG FORM COMPLEM'!O139,"AAAAAHvyrXU=")</f>
        <v>#VALUE!</v>
      </c>
      <c r="DO264" t="e">
        <f>AND('PROG FORM COMPLEM'!P139,"AAAAAHvyrXY=")</f>
        <v>#VALUE!</v>
      </c>
      <c r="DP264" t="e">
        <f>AND('PROG FORM COMPLEM'!Q139,"AAAAAHvyrXc=")</f>
        <v>#VALUE!</v>
      </c>
      <c r="DQ264" t="e">
        <f>AND('PROG FORM COMPLEM'!R139,"AAAAAHvyrXg=")</f>
        <v>#VALUE!</v>
      </c>
      <c r="DR264" t="e">
        <f>AND('PROG FORM COMPLEM'!S139,"AAAAAHvyrXk=")</f>
        <v>#VALUE!</v>
      </c>
      <c r="DS264" t="e">
        <f>AND('PROG FORM COMPLEM'!T139,"AAAAAHvyrXo=")</f>
        <v>#VALUE!</v>
      </c>
      <c r="DT264" t="e">
        <f>AND('PROG FORM COMPLEM'!U139,"AAAAAHvyrXs=")</f>
        <v>#VALUE!</v>
      </c>
      <c r="DU264" t="e">
        <f>AND('PROG FORM COMPLEM'!V139,"AAAAAHvyrXw=")</f>
        <v>#VALUE!</v>
      </c>
      <c r="DV264" t="e">
        <f>AND('PROG FORM COMPLEM'!W139,"AAAAAHvyrX0=")</f>
        <v>#VALUE!</v>
      </c>
      <c r="DW264">
        <f>IF('PROG FORM COMPLEM'!141:141,"AAAAAHvyrX4=",0)</f>
        <v>0</v>
      </c>
      <c r="DX264" t="e">
        <f>AND('PROG FORM COMPLEM'!B141,"AAAAAHvyrX8=")</f>
        <v>#VALUE!</v>
      </c>
      <c r="DY264" t="e">
        <f>AND('PROG FORM COMPLEM'!C141,"AAAAAHvyrYA=")</f>
        <v>#VALUE!</v>
      </c>
      <c r="DZ264" t="e">
        <f>AND('PROG FORM COMPLEM'!D141,"AAAAAHvyrYE=")</f>
        <v>#VALUE!</v>
      </c>
      <c r="EA264" t="e">
        <f>AND('PROG FORM COMPLEM'!E141,"AAAAAHvyrYI=")</f>
        <v>#VALUE!</v>
      </c>
      <c r="EB264" t="e">
        <f>AND('PROG FORM COMPLEM'!F141,"AAAAAHvyrYM=")</f>
        <v>#VALUE!</v>
      </c>
      <c r="EC264" t="e">
        <f>AND('PROG FORM COMPLEM'!G141,"AAAAAHvyrYQ=")</f>
        <v>#VALUE!</v>
      </c>
      <c r="ED264" t="e">
        <f>AND('PROG FORM COMPLEM'!H141,"AAAAAHvyrYU=")</f>
        <v>#VALUE!</v>
      </c>
      <c r="EE264" t="e">
        <f>AND('PROG FORM COMPLEM'!I141,"AAAAAHvyrYY=")</f>
        <v>#VALUE!</v>
      </c>
      <c r="EF264" t="e">
        <f>AND('PROG FORM COMPLEM'!J141,"AAAAAHvyrYc=")</f>
        <v>#VALUE!</v>
      </c>
      <c r="EG264" t="e">
        <f>AND('PROG FORM COMPLEM'!K141,"AAAAAHvyrYg=")</f>
        <v>#VALUE!</v>
      </c>
      <c r="EH264" t="e">
        <f>AND('PROG FORM COMPLEM'!L141,"AAAAAHvyrYk=")</f>
        <v>#VALUE!</v>
      </c>
      <c r="EI264" t="e">
        <f>AND('PROG FORM COMPLEM'!M141,"AAAAAHvyrYo=")</f>
        <v>#VALUE!</v>
      </c>
      <c r="EJ264" t="e">
        <f>AND('PROG FORM COMPLEM'!N141,"AAAAAHvyrYs=")</f>
        <v>#VALUE!</v>
      </c>
      <c r="EK264" t="e">
        <f>AND('PROG FORM COMPLEM'!O141,"AAAAAHvyrYw=")</f>
        <v>#VALUE!</v>
      </c>
      <c r="EL264" t="e">
        <f>AND('PROG FORM COMPLEM'!P141,"AAAAAHvyrY0=")</f>
        <v>#VALUE!</v>
      </c>
      <c r="EM264" t="e">
        <f>AND('PROG FORM COMPLEM'!Q141,"AAAAAHvyrY4=")</f>
        <v>#VALUE!</v>
      </c>
      <c r="EN264" t="e">
        <f>AND('PROG FORM COMPLEM'!R141,"AAAAAHvyrY8=")</f>
        <v>#VALUE!</v>
      </c>
      <c r="EO264" t="e">
        <f>AND('PROG FORM COMPLEM'!S141,"AAAAAHvyrZA=")</f>
        <v>#VALUE!</v>
      </c>
      <c r="EP264" t="e">
        <f>AND('PROG FORM COMPLEM'!T141,"AAAAAHvyrZE=")</f>
        <v>#VALUE!</v>
      </c>
      <c r="EQ264" t="e">
        <f>AND('PROG FORM COMPLEM'!U141,"AAAAAHvyrZI=")</f>
        <v>#VALUE!</v>
      </c>
      <c r="ER264" t="e">
        <f>AND('PROG FORM COMPLEM'!V141,"AAAAAHvyrZM=")</f>
        <v>#VALUE!</v>
      </c>
      <c r="ES264" t="e">
        <f>AND('PROG FORM COMPLEM'!W141,"AAAAAHvyrZQ=")</f>
        <v>#VALUE!</v>
      </c>
      <c r="ET264" t="e">
        <f>IF('PROG FORM COMPLEM'!#REF!,"AAAAAHvyrZU=",0)</f>
        <v>#REF!</v>
      </c>
      <c r="EU264" t="e">
        <f>AND('PROG FORM COMPLEM'!#REF!,"AAAAAHvyrZY=")</f>
        <v>#REF!</v>
      </c>
      <c r="EV264" t="e">
        <f>AND('PROG FORM COMPLEM'!#REF!,"AAAAAHvyrZc=")</f>
        <v>#REF!</v>
      </c>
      <c r="EW264" t="e">
        <f>AND('PROG FORM COMPLEM'!#REF!,"AAAAAHvyrZg=")</f>
        <v>#REF!</v>
      </c>
      <c r="EX264" t="e">
        <f>AND('PROG FORM COMPLEM'!#REF!,"AAAAAHvyrZk=")</f>
        <v>#REF!</v>
      </c>
      <c r="EY264" t="e">
        <f>AND('PROG FORM COMPLEM'!#REF!,"AAAAAHvyrZo=")</f>
        <v>#REF!</v>
      </c>
      <c r="EZ264" t="e">
        <f>AND('PROG FORM COMPLEM'!#REF!,"AAAAAHvyrZs=")</f>
        <v>#REF!</v>
      </c>
      <c r="FA264" t="e">
        <f>AND('PROG FORM COMPLEM'!#REF!,"AAAAAHvyrZw=")</f>
        <v>#REF!</v>
      </c>
      <c r="FB264" t="e">
        <f>AND('PROG FORM COMPLEM'!#REF!,"AAAAAHvyrZ0=")</f>
        <v>#REF!</v>
      </c>
      <c r="FC264" t="e">
        <f>AND('PROG FORM COMPLEM'!#REF!,"AAAAAHvyrZ4=")</f>
        <v>#REF!</v>
      </c>
      <c r="FD264" t="e">
        <f>AND('PROG FORM COMPLEM'!#REF!,"AAAAAHvyrZ8=")</f>
        <v>#REF!</v>
      </c>
      <c r="FE264" t="e">
        <f>AND('PROG FORM COMPLEM'!#REF!,"AAAAAHvyraA=")</f>
        <v>#REF!</v>
      </c>
      <c r="FF264" t="e">
        <f>AND('PROG FORM COMPLEM'!#REF!,"AAAAAHvyraE=")</f>
        <v>#REF!</v>
      </c>
      <c r="FG264" t="e">
        <f>AND('PROG FORM COMPLEM'!#REF!,"AAAAAHvyraI=")</f>
        <v>#REF!</v>
      </c>
      <c r="FH264" t="e">
        <f>AND('PROG FORM COMPLEM'!#REF!,"AAAAAHvyraM=")</f>
        <v>#REF!</v>
      </c>
      <c r="FI264" t="e">
        <f>AND('PROG FORM COMPLEM'!#REF!,"AAAAAHvyraQ=")</f>
        <v>#REF!</v>
      </c>
      <c r="FJ264" t="e">
        <f>AND('PROG FORM COMPLEM'!#REF!,"AAAAAHvyraU=")</f>
        <v>#REF!</v>
      </c>
      <c r="FK264" t="e">
        <f>AND('PROG FORM COMPLEM'!#REF!,"AAAAAHvyraY=")</f>
        <v>#REF!</v>
      </c>
      <c r="FL264" t="e">
        <f>AND('PROG FORM COMPLEM'!#REF!,"AAAAAHvyrac=")</f>
        <v>#REF!</v>
      </c>
      <c r="FM264" t="e">
        <f>AND('PROG FORM COMPLEM'!#REF!,"AAAAAHvyrag=")</f>
        <v>#REF!</v>
      </c>
      <c r="FN264" t="e">
        <f>AND('PROG FORM COMPLEM'!#REF!,"AAAAAHvyrak=")</f>
        <v>#REF!</v>
      </c>
      <c r="FO264" t="e">
        <f>AND('PROG FORM COMPLEM'!#REF!,"AAAAAHvyrao=")</f>
        <v>#REF!</v>
      </c>
      <c r="FP264" t="e">
        <f>AND('PROG FORM COMPLEM'!#REF!,"AAAAAHvyras=")</f>
        <v>#REF!</v>
      </c>
      <c r="FQ264" t="e">
        <f>IF('PROG FORM COMPLEM'!#REF!,"AAAAAHvyraw=",0)</f>
        <v>#REF!</v>
      </c>
      <c r="FR264" t="e">
        <f>AND('PROG FORM COMPLEM'!#REF!,"AAAAAHvyra0=")</f>
        <v>#REF!</v>
      </c>
      <c r="FS264" t="e">
        <f>AND('PROG FORM COMPLEM'!#REF!,"AAAAAHvyra4=")</f>
        <v>#REF!</v>
      </c>
      <c r="FT264" t="e">
        <f>AND('PROG FORM COMPLEM'!#REF!,"AAAAAHvyra8=")</f>
        <v>#REF!</v>
      </c>
      <c r="FU264" t="e">
        <f>AND('PROG FORM COMPLEM'!#REF!,"AAAAAHvyrbA=")</f>
        <v>#REF!</v>
      </c>
      <c r="FV264" t="e">
        <f>AND('PROG FORM COMPLEM'!#REF!,"AAAAAHvyrbE=")</f>
        <v>#REF!</v>
      </c>
      <c r="FW264" t="e">
        <f>AND('PROG FORM COMPLEM'!#REF!,"AAAAAHvyrbI=")</f>
        <v>#REF!</v>
      </c>
      <c r="FX264" t="e">
        <f>AND('PROG FORM COMPLEM'!#REF!,"AAAAAHvyrbM=")</f>
        <v>#REF!</v>
      </c>
      <c r="FY264" t="e">
        <f>AND('PROG FORM COMPLEM'!#REF!,"AAAAAHvyrbQ=")</f>
        <v>#REF!</v>
      </c>
      <c r="FZ264" t="e">
        <f>AND('PROG FORM COMPLEM'!#REF!,"AAAAAHvyrbU=")</f>
        <v>#REF!</v>
      </c>
      <c r="GA264" t="e">
        <f>AND('PROG FORM COMPLEM'!#REF!,"AAAAAHvyrbY=")</f>
        <v>#REF!</v>
      </c>
      <c r="GB264" t="e">
        <f>AND('PROG FORM COMPLEM'!#REF!,"AAAAAHvyrbc=")</f>
        <v>#REF!</v>
      </c>
      <c r="GC264" t="e">
        <f>AND('PROG FORM COMPLEM'!#REF!,"AAAAAHvyrbg=")</f>
        <v>#REF!</v>
      </c>
      <c r="GD264" t="e">
        <f>AND('PROG FORM COMPLEM'!#REF!,"AAAAAHvyrbk=")</f>
        <v>#REF!</v>
      </c>
      <c r="GE264" t="e">
        <f>AND('PROG FORM COMPLEM'!#REF!,"AAAAAHvyrbo=")</f>
        <v>#REF!</v>
      </c>
      <c r="GF264" t="e">
        <f>AND('PROG FORM COMPLEM'!#REF!,"AAAAAHvyrbs=")</f>
        <v>#REF!</v>
      </c>
      <c r="GG264" t="e">
        <f>AND('PROG FORM COMPLEM'!#REF!,"AAAAAHvyrbw=")</f>
        <v>#REF!</v>
      </c>
      <c r="GH264" t="e">
        <f>AND('PROG FORM COMPLEM'!#REF!,"AAAAAHvyrb0=")</f>
        <v>#REF!</v>
      </c>
      <c r="GI264" t="e">
        <f>AND('PROG FORM COMPLEM'!#REF!,"AAAAAHvyrb4=")</f>
        <v>#REF!</v>
      </c>
      <c r="GJ264" t="e">
        <f>AND('PROG FORM COMPLEM'!#REF!,"AAAAAHvyrb8=")</f>
        <v>#REF!</v>
      </c>
      <c r="GK264" t="e">
        <f>AND('PROG FORM COMPLEM'!#REF!,"AAAAAHvyrcA=")</f>
        <v>#REF!</v>
      </c>
      <c r="GL264" t="e">
        <f>AND('PROG FORM COMPLEM'!#REF!,"AAAAAHvyrcE=")</f>
        <v>#REF!</v>
      </c>
      <c r="GM264" t="e">
        <f>AND('PROG FORM COMPLEM'!#REF!,"AAAAAHvyrcI=")</f>
        <v>#REF!</v>
      </c>
      <c r="GN264" t="e">
        <f>IF('PROG FORM COMPLEM'!#REF!,"AAAAAHvyrcM=",0)</f>
        <v>#REF!</v>
      </c>
      <c r="GO264" t="e">
        <f>AND('PROG FORM COMPLEM'!#REF!,"AAAAAHvyrcQ=")</f>
        <v>#REF!</v>
      </c>
      <c r="GP264" t="e">
        <f>AND('PROG FORM COMPLEM'!#REF!,"AAAAAHvyrcU=")</f>
        <v>#REF!</v>
      </c>
      <c r="GQ264" t="e">
        <f>AND('PROG FORM COMPLEM'!#REF!,"AAAAAHvyrcY=")</f>
        <v>#REF!</v>
      </c>
      <c r="GR264" t="e">
        <f>AND('PROG FORM COMPLEM'!#REF!,"AAAAAHvyrcc=")</f>
        <v>#REF!</v>
      </c>
      <c r="GS264" t="e">
        <f>AND('PROG FORM COMPLEM'!#REF!,"AAAAAHvyrcg=")</f>
        <v>#REF!</v>
      </c>
      <c r="GT264" t="e">
        <f>AND('PROG FORM COMPLEM'!#REF!,"AAAAAHvyrck=")</f>
        <v>#REF!</v>
      </c>
      <c r="GU264" t="e">
        <f>AND('PROG FORM COMPLEM'!#REF!,"AAAAAHvyrco=")</f>
        <v>#REF!</v>
      </c>
      <c r="GV264" t="e">
        <f>AND('PROG FORM COMPLEM'!#REF!,"AAAAAHvyrcs=")</f>
        <v>#REF!</v>
      </c>
      <c r="GW264" t="e">
        <f>AND('PROG FORM COMPLEM'!#REF!,"AAAAAHvyrcw=")</f>
        <v>#REF!</v>
      </c>
      <c r="GX264" t="e">
        <f>AND('PROG FORM COMPLEM'!#REF!,"AAAAAHvyrc0=")</f>
        <v>#REF!</v>
      </c>
      <c r="GY264" t="e">
        <f>AND('PROG FORM COMPLEM'!#REF!,"AAAAAHvyrc4=")</f>
        <v>#REF!</v>
      </c>
      <c r="GZ264" t="e">
        <f>AND('PROG FORM COMPLEM'!#REF!,"AAAAAHvyrc8=")</f>
        <v>#REF!</v>
      </c>
      <c r="HA264" t="e">
        <f>AND('PROG FORM COMPLEM'!#REF!,"AAAAAHvyrdA=")</f>
        <v>#REF!</v>
      </c>
      <c r="HB264" t="e">
        <f>AND('PROG FORM COMPLEM'!#REF!,"AAAAAHvyrdE=")</f>
        <v>#REF!</v>
      </c>
      <c r="HC264" t="e">
        <f>AND('PROG FORM COMPLEM'!#REF!,"AAAAAHvyrdI=")</f>
        <v>#REF!</v>
      </c>
      <c r="HD264" t="e">
        <f>AND('PROG FORM COMPLEM'!#REF!,"AAAAAHvyrdM=")</f>
        <v>#REF!</v>
      </c>
      <c r="HE264" t="e">
        <f>AND('PROG FORM COMPLEM'!#REF!,"AAAAAHvyrdQ=")</f>
        <v>#REF!</v>
      </c>
      <c r="HF264" t="e">
        <f>AND('PROG FORM COMPLEM'!#REF!,"AAAAAHvyrdU=")</f>
        <v>#REF!</v>
      </c>
      <c r="HG264" t="e">
        <f>AND('PROG FORM COMPLEM'!#REF!,"AAAAAHvyrdY=")</f>
        <v>#REF!</v>
      </c>
      <c r="HH264" t="e">
        <f>AND('PROG FORM COMPLEM'!#REF!,"AAAAAHvyrdc=")</f>
        <v>#REF!</v>
      </c>
      <c r="HI264" t="e">
        <f>AND('PROG FORM COMPLEM'!#REF!,"AAAAAHvyrdg=")</f>
        <v>#REF!</v>
      </c>
      <c r="HJ264" t="e">
        <f>AND('PROG FORM COMPLEM'!#REF!,"AAAAAHvyrdk=")</f>
        <v>#REF!</v>
      </c>
      <c r="HK264">
        <f>IF('PROG FORM COMPLEM'!142:142,"AAAAAHvyrdo=",0)</f>
        <v>0</v>
      </c>
      <c r="HL264" t="e">
        <f>AND('PROG FORM COMPLEM'!B142,"AAAAAHvyrds=")</f>
        <v>#VALUE!</v>
      </c>
      <c r="HM264" t="e">
        <f>AND('PROG FORM COMPLEM'!C142,"AAAAAHvyrdw=")</f>
        <v>#VALUE!</v>
      </c>
      <c r="HN264" t="e">
        <f>AND('PROG FORM COMPLEM'!D142,"AAAAAHvyrd0=")</f>
        <v>#VALUE!</v>
      </c>
      <c r="HO264" t="e">
        <f>AND('PROG FORM COMPLEM'!E142,"AAAAAHvyrd4=")</f>
        <v>#VALUE!</v>
      </c>
      <c r="HP264" t="e">
        <f>AND('PROG FORM COMPLEM'!F142,"AAAAAHvyrd8=")</f>
        <v>#VALUE!</v>
      </c>
      <c r="HQ264" t="e">
        <f>AND('PROG FORM COMPLEM'!G142,"AAAAAHvyreA=")</f>
        <v>#VALUE!</v>
      </c>
      <c r="HR264" t="e">
        <f>AND('PROG FORM COMPLEM'!H142,"AAAAAHvyreE=")</f>
        <v>#VALUE!</v>
      </c>
      <c r="HS264" t="e">
        <f>AND('PROG FORM COMPLEM'!I142,"AAAAAHvyreI=")</f>
        <v>#VALUE!</v>
      </c>
      <c r="HT264" t="e">
        <f>AND('PROG FORM COMPLEM'!J142,"AAAAAHvyreM=")</f>
        <v>#VALUE!</v>
      </c>
      <c r="HU264" t="e">
        <f>AND('PROG FORM COMPLEM'!K142,"AAAAAHvyreQ=")</f>
        <v>#VALUE!</v>
      </c>
      <c r="HV264" t="e">
        <f>AND('PROG FORM COMPLEM'!L142,"AAAAAHvyreU=")</f>
        <v>#VALUE!</v>
      </c>
      <c r="HW264" t="e">
        <f>AND('PROG FORM COMPLEM'!M142,"AAAAAHvyreY=")</f>
        <v>#VALUE!</v>
      </c>
      <c r="HX264" t="e">
        <f>AND('PROG FORM COMPLEM'!N142,"AAAAAHvyrec=")</f>
        <v>#VALUE!</v>
      </c>
      <c r="HY264" t="e">
        <f>AND('PROG FORM COMPLEM'!O142,"AAAAAHvyreg=")</f>
        <v>#VALUE!</v>
      </c>
      <c r="HZ264" t="e">
        <f>AND('PROG FORM COMPLEM'!P142,"AAAAAHvyrek=")</f>
        <v>#VALUE!</v>
      </c>
      <c r="IA264" t="e">
        <f>AND('PROG FORM COMPLEM'!Q142,"AAAAAHvyreo=")</f>
        <v>#VALUE!</v>
      </c>
      <c r="IB264" t="e">
        <f>AND('PROG FORM COMPLEM'!R142,"AAAAAHvyres=")</f>
        <v>#VALUE!</v>
      </c>
      <c r="IC264" t="e">
        <f>AND('PROG FORM COMPLEM'!S142,"AAAAAHvyrew=")</f>
        <v>#VALUE!</v>
      </c>
      <c r="ID264" t="e">
        <f>AND('PROG FORM COMPLEM'!T142,"AAAAAHvyre0=")</f>
        <v>#VALUE!</v>
      </c>
      <c r="IE264" t="e">
        <f>AND('PROG FORM COMPLEM'!U142,"AAAAAHvyre4=")</f>
        <v>#VALUE!</v>
      </c>
      <c r="IF264" t="e">
        <f>AND('PROG FORM COMPLEM'!V142,"AAAAAHvyre8=")</f>
        <v>#VALUE!</v>
      </c>
      <c r="IG264" t="e">
        <f>AND('PROG FORM COMPLEM'!W142,"AAAAAHvyrfA=")</f>
        <v>#VALUE!</v>
      </c>
      <c r="IH264">
        <f>IF('PROG FORM COMPLEM'!143:143,"AAAAAHvyrfE=",0)</f>
        <v>0</v>
      </c>
      <c r="II264" t="e">
        <f>AND('PROG FORM COMPLEM'!B143,"AAAAAHvyrfI=")</f>
        <v>#VALUE!</v>
      </c>
      <c r="IJ264" t="e">
        <f>AND('PROG FORM COMPLEM'!C143,"AAAAAHvyrfM=")</f>
        <v>#VALUE!</v>
      </c>
      <c r="IK264" t="e">
        <f>AND('PROG FORM COMPLEM'!D143,"AAAAAHvyrfQ=")</f>
        <v>#VALUE!</v>
      </c>
      <c r="IL264" t="e">
        <f>AND('PROG FORM COMPLEM'!E143,"AAAAAHvyrfU=")</f>
        <v>#VALUE!</v>
      </c>
      <c r="IM264" t="e">
        <f>AND('PROG FORM COMPLEM'!F143,"AAAAAHvyrfY=")</f>
        <v>#VALUE!</v>
      </c>
      <c r="IN264" t="e">
        <f>AND('PROG FORM COMPLEM'!G143,"AAAAAHvyrfc=")</f>
        <v>#VALUE!</v>
      </c>
      <c r="IO264" t="e">
        <f>AND('PROG FORM COMPLEM'!H143,"AAAAAHvyrfg=")</f>
        <v>#VALUE!</v>
      </c>
      <c r="IP264" t="e">
        <f>AND('PROG FORM COMPLEM'!I143,"AAAAAHvyrfk=")</f>
        <v>#VALUE!</v>
      </c>
      <c r="IQ264" t="e">
        <f>AND('PROG FORM COMPLEM'!J143,"AAAAAHvyrfo=")</f>
        <v>#VALUE!</v>
      </c>
      <c r="IR264" t="e">
        <f>AND('PROG FORM COMPLEM'!K143,"AAAAAHvyrfs=")</f>
        <v>#VALUE!</v>
      </c>
      <c r="IS264" t="e">
        <f>AND('PROG FORM COMPLEM'!L143,"AAAAAHvyrfw=")</f>
        <v>#VALUE!</v>
      </c>
      <c r="IT264" t="e">
        <f>AND('PROG FORM COMPLEM'!M143,"AAAAAHvyrf0=")</f>
        <v>#VALUE!</v>
      </c>
      <c r="IU264" t="e">
        <f>AND('PROG FORM COMPLEM'!N143,"AAAAAHvyrf4=")</f>
        <v>#VALUE!</v>
      </c>
      <c r="IV264" t="e">
        <f>AND('PROG FORM COMPLEM'!O143,"AAAAAHvyrf8=")</f>
        <v>#VALUE!</v>
      </c>
    </row>
    <row r="265" spans="1:256" x14ac:dyDescent="0.2">
      <c r="A265" t="e">
        <f>AND('PROG FORM COMPLEM'!P143,"AAAAAGM9vwA=")</f>
        <v>#VALUE!</v>
      </c>
      <c r="B265" t="e">
        <f>AND('PROG FORM COMPLEM'!Q143,"AAAAAGM9vwE=")</f>
        <v>#VALUE!</v>
      </c>
      <c r="C265" t="e">
        <f>AND('PROG FORM COMPLEM'!R143,"AAAAAGM9vwI=")</f>
        <v>#VALUE!</v>
      </c>
      <c r="D265" t="e">
        <f>AND('PROG FORM COMPLEM'!S143,"AAAAAGM9vwM=")</f>
        <v>#VALUE!</v>
      </c>
      <c r="E265" t="e">
        <f>AND('PROG FORM COMPLEM'!T143,"AAAAAGM9vwQ=")</f>
        <v>#VALUE!</v>
      </c>
      <c r="F265" t="e">
        <f>AND('PROG FORM COMPLEM'!U143,"AAAAAGM9vwU=")</f>
        <v>#VALUE!</v>
      </c>
      <c r="G265" t="e">
        <f>AND('PROG FORM COMPLEM'!V143,"AAAAAGM9vwY=")</f>
        <v>#VALUE!</v>
      </c>
      <c r="H265" t="e">
        <f>AND('PROG FORM COMPLEM'!W143,"AAAAAGM9vwc=")</f>
        <v>#VALUE!</v>
      </c>
      <c r="I265" t="e">
        <f>IF('PROG FORM COMPLEM'!#REF!,"AAAAAGM9vwg=",0)</f>
        <v>#REF!</v>
      </c>
      <c r="J265" t="e">
        <f>AND('PROG FORM COMPLEM'!#REF!,"AAAAAGM9vwk=")</f>
        <v>#REF!</v>
      </c>
      <c r="K265" t="e">
        <f>AND('PROG FORM COMPLEM'!#REF!,"AAAAAGM9vwo=")</f>
        <v>#REF!</v>
      </c>
      <c r="L265" t="e">
        <f>AND('PROG FORM COMPLEM'!#REF!,"AAAAAGM9vws=")</f>
        <v>#REF!</v>
      </c>
      <c r="M265" t="e">
        <f>AND('PROG FORM COMPLEM'!#REF!,"AAAAAGM9vww=")</f>
        <v>#REF!</v>
      </c>
      <c r="N265" t="e">
        <f>AND('PROG FORM COMPLEM'!#REF!,"AAAAAGM9vw0=")</f>
        <v>#REF!</v>
      </c>
      <c r="O265" t="e">
        <f>AND('PROG FORM COMPLEM'!#REF!,"AAAAAGM9vw4=")</f>
        <v>#REF!</v>
      </c>
      <c r="P265" t="e">
        <f>AND('PROG FORM COMPLEM'!#REF!,"AAAAAGM9vw8=")</f>
        <v>#REF!</v>
      </c>
      <c r="Q265" t="e">
        <f>AND('PROG FORM COMPLEM'!#REF!,"AAAAAGM9vxA=")</f>
        <v>#REF!</v>
      </c>
      <c r="R265" t="e">
        <f>AND('PROG FORM COMPLEM'!#REF!,"AAAAAGM9vxE=")</f>
        <v>#REF!</v>
      </c>
      <c r="S265" t="e">
        <f>AND('PROG FORM COMPLEM'!#REF!,"AAAAAGM9vxI=")</f>
        <v>#REF!</v>
      </c>
      <c r="T265" t="e">
        <f>AND('PROG FORM COMPLEM'!#REF!,"AAAAAGM9vxM=")</f>
        <v>#REF!</v>
      </c>
      <c r="U265" t="e">
        <f>AND('PROG FORM COMPLEM'!#REF!,"AAAAAGM9vxQ=")</f>
        <v>#REF!</v>
      </c>
      <c r="V265" t="e">
        <f>AND('PROG FORM COMPLEM'!#REF!,"AAAAAGM9vxU=")</f>
        <v>#REF!</v>
      </c>
      <c r="W265" t="e">
        <f>AND('PROG FORM COMPLEM'!#REF!,"AAAAAGM9vxY=")</f>
        <v>#REF!</v>
      </c>
      <c r="X265" t="e">
        <f>AND('PROG FORM COMPLEM'!#REF!,"AAAAAGM9vxc=")</f>
        <v>#REF!</v>
      </c>
      <c r="Y265" t="e">
        <f>AND('PROG FORM COMPLEM'!#REF!,"AAAAAGM9vxg=")</f>
        <v>#REF!</v>
      </c>
      <c r="Z265" t="e">
        <f>AND('PROG FORM COMPLEM'!#REF!,"AAAAAGM9vxk=")</f>
        <v>#REF!</v>
      </c>
      <c r="AA265" t="e">
        <f>AND('PROG FORM COMPLEM'!#REF!,"AAAAAGM9vxo=")</f>
        <v>#REF!</v>
      </c>
      <c r="AB265" t="e">
        <f>AND('PROG FORM COMPLEM'!#REF!,"AAAAAGM9vxs=")</f>
        <v>#REF!</v>
      </c>
      <c r="AC265" t="e">
        <f>AND('PROG FORM COMPLEM'!#REF!,"AAAAAGM9vxw=")</f>
        <v>#REF!</v>
      </c>
      <c r="AD265" t="e">
        <f>AND('PROG FORM COMPLEM'!#REF!,"AAAAAGM9vx0=")</f>
        <v>#REF!</v>
      </c>
      <c r="AE265" t="e">
        <f>AND('PROG FORM COMPLEM'!#REF!,"AAAAAGM9vx4=")</f>
        <v>#REF!</v>
      </c>
      <c r="AF265">
        <f>IF('PROG FORM COMPLEM'!144:144,"AAAAAGM9vx8=",0)</f>
        <v>0</v>
      </c>
      <c r="AG265" t="e">
        <f>AND('PROG FORM COMPLEM'!B144,"AAAAAGM9vyA=")</f>
        <v>#VALUE!</v>
      </c>
      <c r="AH265" t="e">
        <f>AND('PROG FORM COMPLEM'!C144,"AAAAAGM9vyE=")</f>
        <v>#VALUE!</v>
      </c>
      <c r="AI265" t="e">
        <f>AND('PROG FORM COMPLEM'!D144,"AAAAAGM9vyI=")</f>
        <v>#VALUE!</v>
      </c>
      <c r="AJ265" t="e">
        <f>AND('PROG FORM COMPLEM'!E144,"AAAAAGM9vyM=")</f>
        <v>#VALUE!</v>
      </c>
      <c r="AK265" t="e">
        <f>AND('PROG FORM COMPLEM'!F144,"AAAAAGM9vyQ=")</f>
        <v>#VALUE!</v>
      </c>
      <c r="AL265" t="e">
        <f>AND('PROG FORM COMPLEM'!G144,"AAAAAGM9vyU=")</f>
        <v>#VALUE!</v>
      </c>
      <c r="AM265" t="e">
        <f>AND('PROG FORM COMPLEM'!H144,"AAAAAGM9vyY=")</f>
        <v>#VALUE!</v>
      </c>
      <c r="AN265" t="e">
        <f>AND('PROG FORM COMPLEM'!I144,"AAAAAGM9vyc=")</f>
        <v>#VALUE!</v>
      </c>
      <c r="AO265" t="e">
        <f>AND('PROG FORM COMPLEM'!J144,"AAAAAGM9vyg=")</f>
        <v>#VALUE!</v>
      </c>
      <c r="AP265" t="e">
        <f>AND('PROG FORM COMPLEM'!K144,"AAAAAGM9vyk=")</f>
        <v>#VALUE!</v>
      </c>
      <c r="AQ265" t="e">
        <f>AND('PROG FORM COMPLEM'!L144,"AAAAAGM9vyo=")</f>
        <v>#VALUE!</v>
      </c>
      <c r="AR265" t="e">
        <f>AND('PROG FORM COMPLEM'!M144,"AAAAAGM9vys=")</f>
        <v>#VALUE!</v>
      </c>
      <c r="AS265" t="e">
        <f>AND('PROG FORM COMPLEM'!N144,"AAAAAGM9vyw=")</f>
        <v>#VALUE!</v>
      </c>
      <c r="AT265" t="e">
        <f>AND('PROG FORM COMPLEM'!O144,"AAAAAGM9vy0=")</f>
        <v>#VALUE!</v>
      </c>
      <c r="AU265" t="e">
        <f>AND('PROG FORM COMPLEM'!P144,"AAAAAGM9vy4=")</f>
        <v>#VALUE!</v>
      </c>
      <c r="AV265" t="e">
        <f>AND('PROG FORM COMPLEM'!Q144,"AAAAAGM9vy8=")</f>
        <v>#VALUE!</v>
      </c>
      <c r="AW265" t="e">
        <f>AND('PROG FORM COMPLEM'!R144,"AAAAAGM9vzA=")</f>
        <v>#VALUE!</v>
      </c>
      <c r="AX265" t="e">
        <f>AND('PROG FORM COMPLEM'!S144,"AAAAAGM9vzE=")</f>
        <v>#VALUE!</v>
      </c>
      <c r="AY265" t="e">
        <f>AND('PROG FORM COMPLEM'!T144,"AAAAAGM9vzI=")</f>
        <v>#VALUE!</v>
      </c>
      <c r="AZ265" t="e">
        <f>AND('PROG FORM COMPLEM'!U144,"AAAAAGM9vzM=")</f>
        <v>#VALUE!</v>
      </c>
      <c r="BA265" t="e">
        <f>AND('PROG FORM COMPLEM'!V144,"AAAAAGM9vzQ=")</f>
        <v>#VALUE!</v>
      </c>
      <c r="BB265" t="e">
        <f>AND('PROG FORM COMPLEM'!W144,"AAAAAGM9vzU=")</f>
        <v>#VALUE!</v>
      </c>
      <c r="BC265" t="e">
        <f>IF('PROG FORM COMPLEM'!#REF!,"AAAAAGM9vzY=",0)</f>
        <v>#REF!</v>
      </c>
      <c r="BD265" t="e">
        <f>AND('PROG FORM COMPLEM'!#REF!,"AAAAAGM9vzc=")</f>
        <v>#REF!</v>
      </c>
      <c r="BE265" t="e">
        <f>AND('PROG FORM COMPLEM'!#REF!,"AAAAAGM9vzg=")</f>
        <v>#REF!</v>
      </c>
      <c r="BF265" t="e">
        <f>AND('PROG FORM COMPLEM'!#REF!,"AAAAAGM9vzk=")</f>
        <v>#REF!</v>
      </c>
      <c r="BG265" t="e">
        <f>AND('PROG FORM COMPLEM'!#REF!,"AAAAAGM9vzo=")</f>
        <v>#REF!</v>
      </c>
      <c r="BH265" t="e">
        <f>AND('PROG FORM COMPLEM'!#REF!,"AAAAAGM9vzs=")</f>
        <v>#REF!</v>
      </c>
      <c r="BI265" t="e">
        <f>AND('PROG FORM COMPLEM'!#REF!,"AAAAAGM9vzw=")</f>
        <v>#REF!</v>
      </c>
      <c r="BJ265" t="e">
        <f>AND('PROG FORM COMPLEM'!#REF!,"AAAAAGM9vz0=")</f>
        <v>#REF!</v>
      </c>
      <c r="BK265" t="e">
        <f>AND('PROG FORM COMPLEM'!#REF!,"AAAAAGM9vz4=")</f>
        <v>#REF!</v>
      </c>
      <c r="BL265" t="e">
        <f>AND('PROG FORM COMPLEM'!#REF!,"AAAAAGM9vz8=")</f>
        <v>#REF!</v>
      </c>
      <c r="BM265" t="e">
        <f>AND('PROG FORM COMPLEM'!#REF!,"AAAAAGM9v0A=")</f>
        <v>#REF!</v>
      </c>
      <c r="BN265" t="e">
        <f>AND('PROG FORM COMPLEM'!#REF!,"AAAAAGM9v0E=")</f>
        <v>#REF!</v>
      </c>
      <c r="BO265" t="e">
        <f>AND('PROG FORM COMPLEM'!#REF!,"AAAAAGM9v0I=")</f>
        <v>#REF!</v>
      </c>
      <c r="BP265" t="e">
        <f>AND('PROG FORM COMPLEM'!#REF!,"AAAAAGM9v0M=")</f>
        <v>#REF!</v>
      </c>
      <c r="BQ265" t="e">
        <f>AND('PROG FORM COMPLEM'!#REF!,"AAAAAGM9v0Q=")</f>
        <v>#REF!</v>
      </c>
      <c r="BR265" t="e">
        <f>AND('PROG FORM COMPLEM'!#REF!,"AAAAAGM9v0U=")</f>
        <v>#REF!</v>
      </c>
      <c r="BS265" t="e">
        <f>AND('PROG FORM COMPLEM'!#REF!,"AAAAAGM9v0Y=")</f>
        <v>#REF!</v>
      </c>
      <c r="BT265" t="e">
        <f>AND('PROG FORM COMPLEM'!#REF!,"AAAAAGM9v0c=")</f>
        <v>#REF!</v>
      </c>
      <c r="BU265" t="e">
        <f>AND('PROG FORM COMPLEM'!#REF!,"AAAAAGM9v0g=")</f>
        <v>#REF!</v>
      </c>
      <c r="BV265" t="e">
        <f>AND('PROG FORM COMPLEM'!#REF!,"AAAAAGM9v0k=")</f>
        <v>#REF!</v>
      </c>
      <c r="BW265" t="e">
        <f>AND('PROG FORM COMPLEM'!#REF!,"AAAAAGM9v0o=")</f>
        <v>#REF!</v>
      </c>
      <c r="BX265" t="e">
        <f>AND('PROG FORM COMPLEM'!#REF!,"AAAAAGM9v0s=")</f>
        <v>#REF!</v>
      </c>
      <c r="BY265" t="e">
        <f>AND('PROG FORM COMPLEM'!#REF!,"AAAAAGM9v0w=")</f>
        <v>#REF!</v>
      </c>
      <c r="BZ265">
        <f>IF('PROG FORM COMPLEM'!150:150,"AAAAAGM9v00=",0)</f>
        <v>0</v>
      </c>
      <c r="CA265" t="e">
        <f>AND('PROG FORM COMPLEM'!B150,"AAAAAGM9v04=")</f>
        <v>#VALUE!</v>
      </c>
      <c r="CB265" t="e">
        <f>AND('PROG FORM COMPLEM'!C150,"AAAAAGM9v08=")</f>
        <v>#VALUE!</v>
      </c>
      <c r="CC265" t="e">
        <f>AND('PROG FORM COMPLEM'!D150,"AAAAAGM9v1A=")</f>
        <v>#VALUE!</v>
      </c>
      <c r="CD265" t="e">
        <f>AND('PROG FORM COMPLEM'!E150,"AAAAAGM9v1E=")</f>
        <v>#VALUE!</v>
      </c>
      <c r="CE265" t="e">
        <f>AND('PROG FORM COMPLEM'!F150,"AAAAAGM9v1I=")</f>
        <v>#VALUE!</v>
      </c>
      <c r="CF265" t="e">
        <f>AND('PROG FORM COMPLEM'!G150,"AAAAAGM9v1M=")</f>
        <v>#VALUE!</v>
      </c>
      <c r="CG265" t="e">
        <f>AND('PROG FORM COMPLEM'!H150,"AAAAAGM9v1Q=")</f>
        <v>#VALUE!</v>
      </c>
      <c r="CH265" t="e">
        <f>AND('PROG FORM COMPLEM'!I150,"AAAAAGM9v1U=")</f>
        <v>#VALUE!</v>
      </c>
      <c r="CI265" t="e">
        <f>AND('PROG FORM COMPLEM'!J150,"AAAAAGM9v1Y=")</f>
        <v>#VALUE!</v>
      </c>
      <c r="CJ265" t="e">
        <f>AND('PROG FORM COMPLEM'!K150,"AAAAAGM9v1c=")</f>
        <v>#VALUE!</v>
      </c>
      <c r="CK265" t="e">
        <f>AND('PROG FORM COMPLEM'!L150,"AAAAAGM9v1g=")</f>
        <v>#VALUE!</v>
      </c>
      <c r="CL265" t="e">
        <f>AND('PROG FORM COMPLEM'!M150,"AAAAAGM9v1k=")</f>
        <v>#VALUE!</v>
      </c>
      <c r="CM265" t="e">
        <f>AND('PROG FORM COMPLEM'!N150,"AAAAAGM9v1o=")</f>
        <v>#VALUE!</v>
      </c>
      <c r="CN265" t="e">
        <f>AND('PROG FORM COMPLEM'!O150,"AAAAAGM9v1s=")</f>
        <v>#VALUE!</v>
      </c>
      <c r="CO265" t="e">
        <f>AND('PROG FORM COMPLEM'!P150,"AAAAAGM9v1w=")</f>
        <v>#VALUE!</v>
      </c>
      <c r="CP265" t="e">
        <f>AND('PROG FORM COMPLEM'!Q150,"AAAAAGM9v10=")</f>
        <v>#VALUE!</v>
      </c>
      <c r="CQ265" t="e">
        <f>AND('PROG FORM COMPLEM'!R150,"AAAAAGM9v14=")</f>
        <v>#VALUE!</v>
      </c>
      <c r="CR265" t="e">
        <f>AND('PROG FORM COMPLEM'!S150,"AAAAAGM9v18=")</f>
        <v>#VALUE!</v>
      </c>
      <c r="CS265" t="e">
        <f>AND('PROG FORM COMPLEM'!T150,"AAAAAGM9v2A=")</f>
        <v>#VALUE!</v>
      </c>
      <c r="CT265" t="e">
        <f>AND('PROG FORM COMPLEM'!U150,"AAAAAGM9v2E=")</f>
        <v>#VALUE!</v>
      </c>
      <c r="CU265" t="e">
        <f>AND('PROG FORM COMPLEM'!V150,"AAAAAGM9v2I=")</f>
        <v>#VALUE!</v>
      </c>
      <c r="CV265" t="e">
        <f>AND('PROG FORM COMPLEM'!W150,"AAAAAGM9v2M=")</f>
        <v>#VALUE!</v>
      </c>
      <c r="CW265">
        <f>IF('PROG FORM COMPLEM'!151:151,"AAAAAGM9v2Q=",0)</f>
        <v>0</v>
      </c>
      <c r="CX265" t="e">
        <f>AND('PROG FORM COMPLEM'!B151,"AAAAAGM9v2U=")</f>
        <v>#VALUE!</v>
      </c>
      <c r="CY265" t="e">
        <f>AND('PROG FORM COMPLEM'!C151,"AAAAAGM9v2Y=")</f>
        <v>#VALUE!</v>
      </c>
      <c r="CZ265" t="e">
        <f>AND('PROG FORM COMPLEM'!D151,"AAAAAGM9v2c=")</f>
        <v>#VALUE!</v>
      </c>
      <c r="DA265" t="e">
        <f>AND('PROG FORM COMPLEM'!E151,"AAAAAGM9v2g=")</f>
        <v>#VALUE!</v>
      </c>
      <c r="DB265" t="e">
        <f>AND('PROG FORM COMPLEM'!F151,"AAAAAGM9v2k=")</f>
        <v>#VALUE!</v>
      </c>
      <c r="DC265" t="e">
        <f>AND('PROG FORM COMPLEM'!G151,"AAAAAGM9v2o=")</f>
        <v>#VALUE!</v>
      </c>
      <c r="DD265" t="e">
        <f>AND('PROG FORM COMPLEM'!H151,"AAAAAGM9v2s=")</f>
        <v>#VALUE!</v>
      </c>
      <c r="DE265" t="e">
        <f>AND('PROG FORM COMPLEM'!I151,"AAAAAGM9v2w=")</f>
        <v>#VALUE!</v>
      </c>
      <c r="DF265" t="e">
        <f>AND('PROG FORM COMPLEM'!J151,"AAAAAGM9v20=")</f>
        <v>#VALUE!</v>
      </c>
      <c r="DG265" t="e">
        <f>AND('PROG FORM COMPLEM'!K151,"AAAAAGM9v24=")</f>
        <v>#VALUE!</v>
      </c>
      <c r="DH265" t="e">
        <f>AND('PROG FORM COMPLEM'!L151,"AAAAAGM9v28=")</f>
        <v>#VALUE!</v>
      </c>
      <c r="DI265" t="e">
        <f>AND('PROG FORM COMPLEM'!M151,"AAAAAGM9v3A=")</f>
        <v>#VALUE!</v>
      </c>
      <c r="DJ265" t="e">
        <f>AND('PROG FORM COMPLEM'!N151,"AAAAAGM9v3E=")</f>
        <v>#VALUE!</v>
      </c>
      <c r="DK265" t="e">
        <f>AND('PROG FORM COMPLEM'!O151,"AAAAAGM9v3I=")</f>
        <v>#VALUE!</v>
      </c>
      <c r="DL265" t="e">
        <f>AND('PROG FORM COMPLEM'!P151,"AAAAAGM9v3M=")</f>
        <v>#VALUE!</v>
      </c>
      <c r="DM265" t="e">
        <f>AND('PROG FORM COMPLEM'!Q151,"AAAAAGM9v3Q=")</f>
        <v>#VALUE!</v>
      </c>
      <c r="DN265" t="e">
        <f>AND('PROG FORM COMPLEM'!R151,"AAAAAGM9v3U=")</f>
        <v>#VALUE!</v>
      </c>
      <c r="DO265" t="e">
        <f>AND('PROG FORM COMPLEM'!S151,"AAAAAGM9v3Y=")</f>
        <v>#VALUE!</v>
      </c>
      <c r="DP265" t="e">
        <f>AND('PROG FORM COMPLEM'!T151,"AAAAAGM9v3c=")</f>
        <v>#VALUE!</v>
      </c>
      <c r="DQ265" t="e">
        <f>AND('PROG FORM COMPLEM'!U151,"AAAAAGM9v3g=")</f>
        <v>#VALUE!</v>
      </c>
      <c r="DR265" t="e">
        <f>AND('PROG FORM COMPLEM'!V151,"AAAAAGM9v3k=")</f>
        <v>#VALUE!</v>
      </c>
      <c r="DS265" t="e">
        <f>AND('PROG FORM COMPLEM'!W151,"AAAAAGM9v3o=")</f>
        <v>#VALUE!</v>
      </c>
      <c r="DT265">
        <f>IF('PROG FORM COMPLEM'!152:152,"AAAAAGM9v3s=",0)</f>
        <v>0</v>
      </c>
      <c r="DU265" t="e">
        <f>AND('PROG FORM COMPLEM'!B152,"AAAAAGM9v3w=")</f>
        <v>#VALUE!</v>
      </c>
      <c r="DV265" t="e">
        <f>AND('PROG FORM COMPLEM'!C152,"AAAAAGM9v30=")</f>
        <v>#VALUE!</v>
      </c>
      <c r="DW265" t="e">
        <f>AND('PROG FORM COMPLEM'!D152,"AAAAAGM9v34=")</f>
        <v>#VALUE!</v>
      </c>
      <c r="DX265" t="e">
        <f>AND('PROG FORM COMPLEM'!E152,"AAAAAGM9v38=")</f>
        <v>#VALUE!</v>
      </c>
      <c r="DY265" t="e">
        <f>AND('PROG FORM COMPLEM'!F152,"AAAAAGM9v4A=")</f>
        <v>#VALUE!</v>
      </c>
      <c r="DZ265" t="e">
        <f>AND('PROG FORM COMPLEM'!G152,"AAAAAGM9v4E=")</f>
        <v>#VALUE!</v>
      </c>
      <c r="EA265" t="e">
        <f>AND('PROG FORM COMPLEM'!H152,"AAAAAGM9v4I=")</f>
        <v>#VALUE!</v>
      </c>
      <c r="EB265" t="e">
        <f>AND('PROG FORM COMPLEM'!I152,"AAAAAGM9v4M=")</f>
        <v>#VALUE!</v>
      </c>
      <c r="EC265" t="e">
        <f>AND('PROG FORM COMPLEM'!J152,"AAAAAGM9v4Q=")</f>
        <v>#VALUE!</v>
      </c>
      <c r="ED265" t="e">
        <f>AND('PROG FORM COMPLEM'!K152,"AAAAAGM9v4U=")</f>
        <v>#VALUE!</v>
      </c>
      <c r="EE265" t="e">
        <f>AND('PROG FORM COMPLEM'!L152,"AAAAAGM9v4Y=")</f>
        <v>#VALUE!</v>
      </c>
      <c r="EF265" t="e">
        <f>AND('PROG FORM COMPLEM'!M152,"AAAAAGM9v4c=")</f>
        <v>#VALUE!</v>
      </c>
      <c r="EG265" t="e">
        <f>AND('PROG FORM COMPLEM'!N152,"AAAAAGM9v4g=")</f>
        <v>#VALUE!</v>
      </c>
      <c r="EH265" t="e">
        <f>AND('PROG FORM COMPLEM'!O152,"AAAAAGM9v4k=")</f>
        <v>#VALUE!</v>
      </c>
      <c r="EI265" t="e">
        <f>AND('PROG FORM COMPLEM'!P152,"AAAAAGM9v4o=")</f>
        <v>#VALUE!</v>
      </c>
      <c r="EJ265" t="e">
        <f>AND('PROG FORM COMPLEM'!Q152,"AAAAAGM9v4s=")</f>
        <v>#VALUE!</v>
      </c>
      <c r="EK265" t="e">
        <f>AND('PROG FORM COMPLEM'!R152,"AAAAAGM9v4w=")</f>
        <v>#VALUE!</v>
      </c>
      <c r="EL265" t="e">
        <f>AND('PROG FORM COMPLEM'!S152,"AAAAAGM9v40=")</f>
        <v>#VALUE!</v>
      </c>
      <c r="EM265" t="e">
        <f>AND('PROG FORM COMPLEM'!T152,"AAAAAGM9v44=")</f>
        <v>#VALUE!</v>
      </c>
      <c r="EN265" t="e">
        <f>AND('PROG FORM COMPLEM'!U152,"AAAAAGM9v48=")</f>
        <v>#VALUE!</v>
      </c>
      <c r="EO265" t="e">
        <f>AND('PROG FORM COMPLEM'!V152,"AAAAAGM9v5A=")</f>
        <v>#VALUE!</v>
      </c>
      <c r="EP265" t="e">
        <f>AND('PROG FORM COMPLEM'!W152,"AAAAAGM9v5E=")</f>
        <v>#VALUE!</v>
      </c>
      <c r="EQ265">
        <f>IF('PROG FORM COMPLEM'!153:153,"AAAAAGM9v5I=",0)</f>
        <v>0</v>
      </c>
      <c r="ER265" t="e">
        <f>AND('PROG FORM COMPLEM'!B153,"AAAAAGM9v5M=")</f>
        <v>#VALUE!</v>
      </c>
      <c r="ES265" t="e">
        <f>AND('PROG FORM COMPLEM'!C153,"AAAAAGM9v5Q=")</f>
        <v>#VALUE!</v>
      </c>
      <c r="ET265" t="e">
        <f>AND('PROG FORM COMPLEM'!D153,"AAAAAGM9v5U=")</f>
        <v>#VALUE!</v>
      </c>
      <c r="EU265" t="e">
        <f>AND('PROG FORM COMPLEM'!E153,"AAAAAGM9v5Y=")</f>
        <v>#VALUE!</v>
      </c>
      <c r="EV265" t="e">
        <f>AND('PROG FORM COMPLEM'!F153,"AAAAAGM9v5c=")</f>
        <v>#VALUE!</v>
      </c>
      <c r="EW265" t="e">
        <f>AND('PROG FORM COMPLEM'!G153,"AAAAAGM9v5g=")</f>
        <v>#VALUE!</v>
      </c>
      <c r="EX265" t="e">
        <f>AND('PROG FORM COMPLEM'!H153,"AAAAAGM9v5k=")</f>
        <v>#VALUE!</v>
      </c>
      <c r="EY265" t="e">
        <f>AND('PROG FORM COMPLEM'!I153,"AAAAAGM9v5o=")</f>
        <v>#VALUE!</v>
      </c>
      <c r="EZ265" t="e">
        <f>AND('PROG FORM COMPLEM'!J153,"AAAAAGM9v5s=")</f>
        <v>#VALUE!</v>
      </c>
      <c r="FA265" t="e">
        <f>AND('PROG FORM COMPLEM'!K153,"AAAAAGM9v5w=")</f>
        <v>#VALUE!</v>
      </c>
      <c r="FB265" t="e">
        <f>AND('PROG FORM COMPLEM'!L153,"AAAAAGM9v50=")</f>
        <v>#VALUE!</v>
      </c>
      <c r="FC265" t="e">
        <f>AND('PROG FORM COMPLEM'!M153,"AAAAAGM9v54=")</f>
        <v>#VALUE!</v>
      </c>
      <c r="FD265" t="e">
        <f>AND('PROG FORM COMPLEM'!N153,"AAAAAGM9v58=")</f>
        <v>#VALUE!</v>
      </c>
      <c r="FE265" t="e">
        <f>AND('PROG FORM COMPLEM'!O153,"AAAAAGM9v6A=")</f>
        <v>#VALUE!</v>
      </c>
      <c r="FF265" t="e">
        <f>AND('PROG FORM COMPLEM'!P153,"AAAAAGM9v6E=")</f>
        <v>#VALUE!</v>
      </c>
      <c r="FG265" t="e">
        <f>AND('PROG FORM COMPLEM'!Q153,"AAAAAGM9v6I=")</f>
        <v>#VALUE!</v>
      </c>
      <c r="FH265" t="e">
        <f>AND('PROG FORM COMPLEM'!R153,"AAAAAGM9v6M=")</f>
        <v>#VALUE!</v>
      </c>
      <c r="FI265" t="e">
        <f>AND('PROG FORM COMPLEM'!S153,"AAAAAGM9v6Q=")</f>
        <v>#VALUE!</v>
      </c>
      <c r="FJ265" t="e">
        <f>AND('PROG FORM COMPLEM'!T153,"AAAAAGM9v6U=")</f>
        <v>#VALUE!</v>
      </c>
      <c r="FK265" t="e">
        <f>AND('PROG FORM COMPLEM'!U153,"AAAAAGM9v6Y=")</f>
        <v>#VALUE!</v>
      </c>
      <c r="FL265" t="e">
        <f>AND('PROG FORM COMPLEM'!V153,"AAAAAGM9v6c=")</f>
        <v>#VALUE!</v>
      </c>
      <c r="FM265" t="e">
        <f>AND('PROG FORM COMPLEM'!W153,"AAAAAGM9v6g=")</f>
        <v>#VALUE!</v>
      </c>
      <c r="FN265">
        <f>IF('PROG FORM COMPLEM'!155:155,"AAAAAGM9v6k=",0)</f>
        <v>0</v>
      </c>
      <c r="FO265" t="e">
        <f>AND('PROG FORM COMPLEM'!B155,"AAAAAGM9v6o=")</f>
        <v>#VALUE!</v>
      </c>
      <c r="FP265" t="e">
        <f>AND('PROG FORM COMPLEM'!C155,"AAAAAGM9v6s=")</f>
        <v>#VALUE!</v>
      </c>
      <c r="FQ265" t="e">
        <f>AND('PROG FORM COMPLEM'!D155,"AAAAAGM9v6w=")</f>
        <v>#VALUE!</v>
      </c>
      <c r="FR265" t="e">
        <f>AND('PROG FORM COMPLEM'!E155,"AAAAAGM9v60=")</f>
        <v>#VALUE!</v>
      </c>
      <c r="FS265" t="e">
        <f>AND('PROG FORM COMPLEM'!F155,"AAAAAGM9v64=")</f>
        <v>#VALUE!</v>
      </c>
      <c r="FT265" t="e">
        <f>AND('PROG FORM COMPLEM'!G155,"AAAAAGM9v68=")</f>
        <v>#VALUE!</v>
      </c>
      <c r="FU265" t="e">
        <f>AND('PROG FORM COMPLEM'!H155,"AAAAAGM9v7A=")</f>
        <v>#VALUE!</v>
      </c>
      <c r="FV265" t="e">
        <f>AND('PROG FORM COMPLEM'!I155,"AAAAAGM9v7E=")</f>
        <v>#VALUE!</v>
      </c>
      <c r="FW265" t="e">
        <f>AND('PROG FORM COMPLEM'!J155,"AAAAAGM9v7I=")</f>
        <v>#VALUE!</v>
      </c>
      <c r="FX265" t="e">
        <f>AND('PROG FORM COMPLEM'!K155,"AAAAAGM9v7M=")</f>
        <v>#VALUE!</v>
      </c>
      <c r="FY265" t="e">
        <f>AND('PROG FORM COMPLEM'!L155,"AAAAAGM9v7Q=")</f>
        <v>#VALUE!</v>
      </c>
      <c r="FZ265" t="e">
        <f>AND('PROG FORM COMPLEM'!M155,"AAAAAGM9v7U=")</f>
        <v>#VALUE!</v>
      </c>
      <c r="GA265" t="e">
        <f>AND('PROG FORM COMPLEM'!N155,"AAAAAGM9v7Y=")</f>
        <v>#VALUE!</v>
      </c>
      <c r="GB265" t="e">
        <f>AND('PROG FORM COMPLEM'!O155,"AAAAAGM9v7c=")</f>
        <v>#VALUE!</v>
      </c>
      <c r="GC265" t="e">
        <f>AND('PROG FORM COMPLEM'!P155,"AAAAAGM9v7g=")</f>
        <v>#VALUE!</v>
      </c>
      <c r="GD265" t="e">
        <f>AND('PROG FORM COMPLEM'!Q155,"AAAAAGM9v7k=")</f>
        <v>#VALUE!</v>
      </c>
      <c r="GE265" t="e">
        <f>AND('PROG FORM COMPLEM'!R155,"AAAAAGM9v7o=")</f>
        <v>#VALUE!</v>
      </c>
      <c r="GF265" t="e">
        <f>AND('PROG FORM COMPLEM'!S155,"AAAAAGM9v7s=")</f>
        <v>#VALUE!</v>
      </c>
      <c r="GG265" t="e">
        <f>AND('PROG FORM COMPLEM'!T155,"AAAAAGM9v7w=")</f>
        <v>#VALUE!</v>
      </c>
      <c r="GH265" t="e">
        <f>AND('PROG FORM COMPLEM'!U155,"AAAAAGM9v70=")</f>
        <v>#VALUE!</v>
      </c>
      <c r="GI265" t="e">
        <f>AND('PROG FORM COMPLEM'!V155,"AAAAAGM9v74=")</f>
        <v>#VALUE!</v>
      </c>
      <c r="GJ265" t="e">
        <f>AND('PROG FORM COMPLEM'!W155,"AAAAAGM9v78=")</f>
        <v>#VALUE!</v>
      </c>
      <c r="GK265">
        <f>IF('PROG FORM COMPLEM'!156:156,"AAAAAGM9v8A=",0)</f>
        <v>0</v>
      </c>
      <c r="GL265" t="e">
        <f>AND('PROG FORM COMPLEM'!B156,"AAAAAGM9v8E=")</f>
        <v>#VALUE!</v>
      </c>
      <c r="GM265" t="e">
        <f>AND('PROG FORM COMPLEM'!C156,"AAAAAGM9v8I=")</f>
        <v>#VALUE!</v>
      </c>
      <c r="GN265" t="e">
        <f>AND('PROG FORM COMPLEM'!D156,"AAAAAGM9v8M=")</f>
        <v>#VALUE!</v>
      </c>
      <c r="GO265" t="e">
        <f>AND('PROG FORM COMPLEM'!E156,"AAAAAGM9v8Q=")</f>
        <v>#VALUE!</v>
      </c>
      <c r="GP265" t="e">
        <f>AND('PROG FORM COMPLEM'!F156,"AAAAAGM9v8U=")</f>
        <v>#VALUE!</v>
      </c>
      <c r="GQ265" t="e">
        <f>AND('PROG FORM COMPLEM'!G156,"AAAAAGM9v8Y=")</f>
        <v>#VALUE!</v>
      </c>
      <c r="GR265" t="e">
        <f>AND('PROG FORM COMPLEM'!H156,"AAAAAGM9v8c=")</f>
        <v>#VALUE!</v>
      </c>
      <c r="GS265" t="e">
        <f>AND('PROG FORM COMPLEM'!I156,"AAAAAGM9v8g=")</f>
        <v>#VALUE!</v>
      </c>
      <c r="GT265" t="e">
        <f>AND('PROG FORM COMPLEM'!J156,"AAAAAGM9v8k=")</f>
        <v>#VALUE!</v>
      </c>
      <c r="GU265" t="e">
        <f>AND('PROG FORM COMPLEM'!K156,"AAAAAGM9v8o=")</f>
        <v>#VALUE!</v>
      </c>
      <c r="GV265" t="e">
        <f>AND('PROG FORM COMPLEM'!L156,"AAAAAGM9v8s=")</f>
        <v>#VALUE!</v>
      </c>
      <c r="GW265" t="e">
        <f>AND('PROG FORM COMPLEM'!M156,"AAAAAGM9v8w=")</f>
        <v>#VALUE!</v>
      </c>
      <c r="GX265" t="e">
        <f>AND('PROG FORM COMPLEM'!N156,"AAAAAGM9v80=")</f>
        <v>#VALUE!</v>
      </c>
      <c r="GY265" t="e">
        <f>AND('PROG FORM COMPLEM'!O156,"AAAAAGM9v84=")</f>
        <v>#VALUE!</v>
      </c>
      <c r="GZ265" t="e">
        <f>AND('PROG FORM COMPLEM'!P156,"AAAAAGM9v88=")</f>
        <v>#VALUE!</v>
      </c>
      <c r="HA265" t="e">
        <f>AND('PROG FORM COMPLEM'!Q156,"AAAAAGM9v9A=")</f>
        <v>#VALUE!</v>
      </c>
      <c r="HB265" t="e">
        <f>AND('PROG FORM COMPLEM'!R156,"AAAAAGM9v9E=")</f>
        <v>#VALUE!</v>
      </c>
      <c r="HC265" t="e">
        <f>AND('PROG FORM COMPLEM'!S156,"AAAAAGM9v9I=")</f>
        <v>#VALUE!</v>
      </c>
      <c r="HD265" t="e">
        <f>AND('PROG FORM COMPLEM'!T156,"AAAAAGM9v9M=")</f>
        <v>#VALUE!</v>
      </c>
      <c r="HE265" t="e">
        <f>AND('PROG FORM COMPLEM'!U156,"AAAAAGM9v9Q=")</f>
        <v>#VALUE!</v>
      </c>
      <c r="HF265" t="e">
        <f>AND('PROG FORM COMPLEM'!V156,"AAAAAGM9v9U=")</f>
        <v>#VALUE!</v>
      </c>
      <c r="HG265" t="e">
        <f>AND('PROG FORM COMPLEM'!W156,"AAAAAGM9v9Y=")</f>
        <v>#VALUE!</v>
      </c>
      <c r="HH265">
        <f>IF('PROG FORM COMPLEM'!157:157,"AAAAAGM9v9c=",0)</f>
        <v>0</v>
      </c>
      <c r="HI265" t="e">
        <f>AND('PROG FORM COMPLEM'!B157,"AAAAAGM9v9g=")</f>
        <v>#VALUE!</v>
      </c>
      <c r="HJ265" t="e">
        <f>AND('PROG FORM COMPLEM'!C157,"AAAAAGM9v9k=")</f>
        <v>#VALUE!</v>
      </c>
      <c r="HK265" t="e">
        <f>AND('PROG FORM COMPLEM'!D157,"AAAAAGM9v9o=")</f>
        <v>#VALUE!</v>
      </c>
      <c r="HL265" t="e">
        <f>AND('PROG FORM COMPLEM'!E157,"AAAAAGM9v9s=")</f>
        <v>#VALUE!</v>
      </c>
      <c r="HM265" t="e">
        <f>AND('PROG FORM COMPLEM'!F157,"AAAAAGM9v9w=")</f>
        <v>#VALUE!</v>
      </c>
      <c r="HN265" t="e">
        <f>AND('PROG FORM COMPLEM'!G157,"AAAAAGM9v90=")</f>
        <v>#VALUE!</v>
      </c>
      <c r="HO265" t="e">
        <f>AND('PROG FORM COMPLEM'!H157,"AAAAAGM9v94=")</f>
        <v>#VALUE!</v>
      </c>
      <c r="HP265" t="e">
        <f>AND('PROG FORM COMPLEM'!I157,"AAAAAGM9v98=")</f>
        <v>#VALUE!</v>
      </c>
      <c r="HQ265" t="e">
        <f>AND('PROG FORM COMPLEM'!J157,"AAAAAGM9v+A=")</f>
        <v>#VALUE!</v>
      </c>
      <c r="HR265" t="e">
        <f>AND('PROG FORM COMPLEM'!K157,"AAAAAGM9v+E=")</f>
        <v>#VALUE!</v>
      </c>
      <c r="HS265" t="e">
        <f>AND('PROG FORM COMPLEM'!L157,"AAAAAGM9v+I=")</f>
        <v>#VALUE!</v>
      </c>
      <c r="HT265" t="e">
        <f>AND('PROG FORM COMPLEM'!M157,"AAAAAGM9v+M=")</f>
        <v>#VALUE!</v>
      </c>
      <c r="HU265" t="e">
        <f>AND('PROG FORM COMPLEM'!N157,"AAAAAGM9v+Q=")</f>
        <v>#VALUE!</v>
      </c>
      <c r="HV265" t="e">
        <f>AND('PROG FORM COMPLEM'!O157,"AAAAAGM9v+U=")</f>
        <v>#VALUE!</v>
      </c>
      <c r="HW265" t="e">
        <f>AND('PROG FORM COMPLEM'!P157,"AAAAAGM9v+Y=")</f>
        <v>#VALUE!</v>
      </c>
      <c r="HX265" t="e">
        <f>AND('PROG FORM COMPLEM'!Q157,"AAAAAGM9v+c=")</f>
        <v>#VALUE!</v>
      </c>
      <c r="HY265" t="e">
        <f>AND('PROG FORM COMPLEM'!R157,"AAAAAGM9v+g=")</f>
        <v>#VALUE!</v>
      </c>
      <c r="HZ265" t="e">
        <f>AND('PROG FORM COMPLEM'!S157,"AAAAAGM9v+k=")</f>
        <v>#VALUE!</v>
      </c>
      <c r="IA265" t="e">
        <f>AND('PROG FORM COMPLEM'!T157,"AAAAAGM9v+o=")</f>
        <v>#VALUE!</v>
      </c>
      <c r="IB265" t="e">
        <f>AND('PROG FORM COMPLEM'!U157,"AAAAAGM9v+s=")</f>
        <v>#VALUE!</v>
      </c>
      <c r="IC265" t="e">
        <f>AND('PROG FORM COMPLEM'!V157,"AAAAAGM9v+w=")</f>
        <v>#VALUE!</v>
      </c>
      <c r="ID265" t="e">
        <f>AND('PROG FORM COMPLEM'!W157,"AAAAAGM9v+0=")</f>
        <v>#VALUE!</v>
      </c>
      <c r="IE265">
        <f>IF('PROG FORM COMPLEM'!158:158,"AAAAAGM9v+4=",0)</f>
        <v>0</v>
      </c>
      <c r="IF265" t="e">
        <f>AND('PROG FORM COMPLEM'!B158,"AAAAAGM9v+8=")</f>
        <v>#VALUE!</v>
      </c>
      <c r="IG265" t="e">
        <f>AND('PROG FORM COMPLEM'!C158,"AAAAAGM9v/A=")</f>
        <v>#VALUE!</v>
      </c>
      <c r="IH265" t="e">
        <f>AND('PROG FORM COMPLEM'!D158,"AAAAAGM9v/E=")</f>
        <v>#VALUE!</v>
      </c>
      <c r="II265" t="e">
        <f>AND('PROG FORM COMPLEM'!E158,"AAAAAGM9v/I=")</f>
        <v>#VALUE!</v>
      </c>
      <c r="IJ265" t="e">
        <f>AND('PROG FORM COMPLEM'!F158,"AAAAAGM9v/M=")</f>
        <v>#VALUE!</v>
      </c>
      <c r="IK265" t="e">
        <f>AND('PROG FORM COMPLEM'!G158,"AAAAAGM9v/Q=")</f>
        <v>#VALUE!</v>
      </c>
      <c r="IL265" t="e">
        <f>AND('PROG FORM COMPLEM'!H158,"AAAAAGM9v/U=")</f>
        <v>#VALUE!</v>
      </c>
      <c r="IM265" t="e">
        <f>AND('PROG FORM COMPLEM'!I158,"AAAAAGM9v/Y=")</f>
        <v>#VALUE!</v>
      </c>
      <c r="IN265" t="e">
        <f>AND('PROG FORM COMPLEM'!J158,"AAAAAGM9v/c=")</f>
        <v>#VALUE!</v>
      </c>
      <c r="IO265" t="e">
        <f>AND('PROG FORM COMPLEM'!K158,"AAAAAGM9v/g=")</f>
        <v>#VALUE!</v>
      </c>
      <c r="IP265" t="e">
        <f>AND('PROG FORM COMPLEM'!L158,"AAAAAGM9v/k=")</f>
        <v>#VALUE!</v>
      </c>
      <c r="IQ265" t="e">
        <f>AND('PROG FORM COMPLEM'!M158,"AAAAAGM9v/o=")</f>
        <v>#VALUE!</v>
      </c>
      <c r="IR265" t="e">
        <f>AND('PROG FORM COMPLEM'!N158,"AAAAAGM9v/s=")</f>
        <v>#VALUE!</v>
      </c>
      <c r="IS265" t="e">
        <f>AND('PROG FORM COMPLEM'!O158,"AAAAAGM9v/w=")</f>
        <v>#VALUE!</v>
      </c>
      <c r="IT265" t="e">
        <f>AND('PROG FORM COMPLEM'!P158,"AAAAAGM9v/0=")</f>
        <v>#VALUE!</v>
      </c>
      <c r="IU265" t="e">
        <f>AND('PROG FORM COMPLEM'!Q158,"AAAAAGM9v/4=")</f>
        <v>#VALUE!</v>
      </c>
      <c r="IV265" t="e">
        <f>AND('PROG FORM COMPLEM'!R158,"AAAAAGM9v/8=")</f>
        <v>#VALUE!</v>
      </c>
    </row>
    <row r="266" spans="1:256" x14ac:dyDescent="0.2">
      <c r="A266" t="e">
        <f>AND('PROG FORM COMPLEM'!S158,"AAAAAHn/9gA=")</f>
        <v>#VALUE!</v>
      </c>
      <c r="B266" t="e">
        <f>AND('PROG FORM COMPLEM'!T158,"AAAAAHn/9gE=")</f>
        <v>#VALUE!</v>
      </c>
      <c r="C266" t="e">
        <f>AND('PROG FORM COMPLEM'!U158,"AAAAAHn/9gI=")</f>
        <v>#VALUE!</v>
      </c>
      <c r="D266" t="e">
        <f>AND('PROG FORM COMPLEM'!V158,"AAAAAHn/9gM=")</f>
        <v>#VALUE!</v>
      </c>
      <c r="E266" t="e">
        <f>AND('PROG FORM COMPLEM'!W158,"AAAAAHn/9gQ=")</f>
        <v>#VALUE!</v>
      </c>
      <c r="F266" t="str">
        <f>IF('PROG FORM COMPLEM'!160:160,"AAAAAHn/9gU=",0)</f>
        <v>AAAAAHn/9gU=</v>
      </c>
      <c r="G266" t="e">
        <f>AND('PROG FORM COMPLEM'!B160,"AAAAAHn/9gY=")</f>
        <v>#VALUE!</v>
      </c>
      <c r="H266" t="e">
        <f>AND('PROG FORM COMPLEM'!C160,"AAAAAHn/9gc=")</f>
        <v>#VALUE!</v>
      </c>
      <c r="I266" t="e">
        <f>AND('PROG FORM COMPLEM'!D160,"AAAAAHn/9gg=")</f>
        <v>#VALUE!</v>
      </c>
      <c r="J266" t="e">
        <f>AND('PROG FORM COMPLEM'!E160,"AAAAAHn/9gk=")</f>
        <v>#VALUE!</v>
      </c>
      <c r="K266" t="e">
        <f>AND('PROG FORM COMPLEM'!F160,"AAAAAHn/9go=")</f>
        <v>#VALUE!</v>
      </c>
      <c r="L266" t="e">
        <f>AND('PROG FORM COMPLEM'!G160,"AAAAAHn/9gs=")</f>
        <v>#VALUE!</v>
      </c>
      <c r="M266" t="e">
        <f>AND('PROG FORM COMPLEM'!H160,"AAAAAHn/9gw=")</f>
        <v>#VALUE!</v>
      </c>
      <c r="N266" t="e">
        <f>AND('PROG FORM COMPLEM'!I160,"AAAAAHn/9g0=")</f>
        <v>#VALUE!</v>
      </c>
      <c r="O266" t="e">
        <f>AND('PROG FORM COMPLEM'!J160,"AAAAAHn/9g4=")</f>
        <v>#VALUE!</v>
      </c>
      <c r="P266" t="e">
        <f>AND('PROG FORM COMPLEM'!K160,"AAAAAHn/9g8=")</f>
        <v>#VALUE!</v>
      </c>
      <c r="Q266" t="e">
        <f>AND('PROG FORM COMPLEM'!L160,"AAAAAHn/9hA=")</f>
        <v>#VALUE!</v>
      </c>
      <c r="R266" t="e">
        <f>AND('PROG FORM COMPLEM'!M160,"AAAAAHn/9hE=")</f>
        <v>#VALUE!</v>
      </c>
      <c r="S266" t="e">
        <f>AND('PROG FORM COMPLEM'!N160,"AAAAAHn/9hI=")</f>
        <v>#VALUE!</v>
      </c>
      <c r="T266" t="e">
        <f>AND('PROG FORM COMPLEM'!O160,"AAAAAHn/9hM=")</f>
        <v>#VALUE!</v>
      </c>
      <c r="U266" t="e">
        <f>AND('PROG FORM COMPLEM'!P160,"AAAAAHn/9hQ=")</f>
        <v>#VALUE!</v>
      </c>
      <c r="V266" t="e">
        <f>AND('PROG FORM COMPLEM'!Q160,"AAAAAHn/9hU=")</f>
        <v>#VALUE!</v>
      </c>
      <c r="W266" t="e">
        <f>AND('PROG FORM COMPLEM'!R160,"AAAAAHn/9hY=")</f>
        <v>#VALUE!</v>
      </c>
      <c r="X266" t="e">
        <f>AND('PROG FORM COMPLEM'!S160,"AAAAAHn/9hc=")</f>
        <v>#VALUE!</v>
      </c>
      <c r="Y266" t="e">
        <f>AND('PROG FORM COMPLEM'!T160,"AAAAAHn/9hg=")</f>
        <v>#VALUE!</v>
      </c>
      <c r="Z266" t="e">
        <f>AND('PROG FORM COMPLEM'!U160,"AAAAAHn/9hk=")</f>
        <v>#VALUE!</v>
      </c>
      <c r="AA266" t="e">
        <f>AND('PROG FORM COMPLEM'!V160,"AAAAAHn/9ho=")</f>
        <v>#VALUE!</v>
      </c>
      <c r="AB266" t="e">
        <f>AND('PROG FORM COMPLEM'!W160,"AAAAAHn/9hs=")</f>
        <v>#VALUE!</v>
      </c>
      <c r="AC266" t="e">
        <f>IF('PROG FORM COMPLEM'!#REF!,"AAAAAHn/9hw=",0)</f>
        <v>#REF!</v>
      </c>
      <c r="AD266" t="e">
        <f>AND('PROG FORM COMPLEM'!#REF!,"AAAAAHn/9h0=")</f>
        <v>#REF!</v>
      </c>
      <c r="AE266" t="e">
        <f>AND('PROG FORM COMPLEM'!#REF!,"AAAAAHn/9h4=")</f>
        <v>#REF!</v>
      </c>
      <c r="AF266" t="e">
        <f>AND('PROG FORM COMPLEM'!#REF!,"AAAAAHn/9h8=")</f>
        <v>#REF!</v>
      </c>
      <c r="AG266" t="e">
        <f>AND('PROG FORM COMPLEM'!#REF!,"AAAAAHn/9iA=")</f>
        <v>#REF!</v>
      </c>
      <c r="AH266" t="e">
        <f>AND('PROG FORM COMPLEM'!#REF!,"AAAAAHn/9iE=")</f>
        <v>#REF!</v>
      </c>
      <c r="AI266" t="e">
        <f>AND('PROG FORM COMPLEM'!#REF!,"AAAAAHn/9iI=")</f>
        <v>#REF!</v>
      </c>
      <c r="AJ266" t="e">
        <f>AND('PROG FORM COMPLEM'!#REF!,"AAAAAHn/9iM=")</f>
        <v>#REF!</v>
      </c>
      <c r="AK266" t="e">
        <f>AND('PROG FORM COMPLEM'!#REF!,"AAAAAHn/9iQ=")</f>
        <v>#REF!</v>
      </c>
      <c r="AL266" t="e">
        <f>AND('PROG FORM COMPLEM'!#REF!,"AAAAAHn/9iU=")</f>
        <v>#REF!</v>
      </c>
      <c r="AM266" t="e">
        <f>AND('PROG FORM COMPLEM'!#REF!,"AAAAAHn/9iY=")</f>
        <v>#REF!</v>
      </c>
      <c r="AN266" t="e">
        <f>AND('PROG FORM COMPLEM'!#REF!,"AAAAAHn/9ic=")</f>
        <v>#REF!</v>
      </c>
      <c r="AO266" t="e">
        <f>AND('PROG FORM COMPLEM'!#REF!,"AAAAAHn/9ig=")</f>
        <v>#REF!</v>
      </c>
      <c r="AP266" t="e">
        <f>AND('PROG FORM COMPLEM'!#REF!,"AAAAAHn/9ik=")</f>
        <v>#REF!</v>
      </c>
      <c r="AQ266" t="e">
        <f>AND('PROG FORM COMPLEM'!#REF!,"AAAAAHn/9io=")</f>
        <v>#REF!</v>
      </c>
      <c r="AR266" t="e">
        <f>AND('PROG FORM COMPLEM'!#REF!,"AAAAAHn/9is=")</f>
        <v>#REF!</v>
      </c>
      <c r="AS266" t="e">
        <f>AND('PROG FORM COMPLEM'!#REF!,"AAAAAHn/9iw=")</f>
        <v>#REF!</v>
      </c>
      <c r="AT266" t="e">
        <f>AND('PROG FORM COMPLEM'!#REF!,"AAAAAHn/9i0=")</f>
        <v>#REF!</v>
      </c>
      <c r="AU266" t="e">
        <f>AND('PROG FORM COMPLEM'!#REF!,"AAAAAHn/9i4=")</f>
        <v>#REF!</v>
      </c>
      <c r="AV266" t="e">
        <f>AND('PROG FORM COMPLEM'!#REF!,"AAAAAHn/9i8=")</f>
        <v>#REF!</v>
      </c>
      <c r="AW266" t="e">
        <f>AND('PROG FORM COMPLEM'!#REF!,"AAAAAHn/9jA=")</f>
        <v>#REF!</v>
      </c>
      <c r="AX266" t="e">
        <f>AND('PROG FORM COMPLEM'!#REF!,"AAAAAHn/9jE=")</f>
        <v>#REF!</v>
      </c>
      <c r="AY266" t="e">
        <f>AND('PROG FORM COMPLEM'!#REF!,"AAAAAHn/9jI=")</f>
        <v>#REF!</v>
      </c>
      <c r="AZ266">
        <f>IF('PROG FORM COMPLEM'!161:161,"AAAAAHn/9jM=",0)</f>
        <v>0</v>
      </c>
      <c r="BA266" t="e">
        <f>AND('PROG FORM COMPLEM'!B161,"AAAAAHn/9jQ=")</f>
        <v>#VALUE!</v>
      </c>
      <c r="BB266" t="e">
        <f>AND('PROG FORM COMPLEM'!C161,"AAAAAHn/9jU=")</f>
        <v>#VALUE!</v>
      </c>
      <c r="BC266" t="e">
        <f>AND('PROG FORM COMPLEM'!D161,"AAAAAHn/9jY=")</f>
        <v>#VALUE!</v>
      </c>
      <c r="BD266" t="e">
        <f>AND('PROG FORM COMPLEM'!E161,"AAAAAHn/9jc=")</f>
        <v>#VALUE!</v>
      </c>
      <c r="BE266" t="e">
        <f>AND('PROG FORM COMPLEM'!F161,"AAAAAHn/9jg=")</f>
        <v>#VALUE!</v>
      </c>
      <c r="BF266" t="e">
        <f>AND('PROG FORM COMPLEM'!G161,"AAAAAHn/9jk=")</f>
        <v>#VALUE!</v>
      </c>
      <c r="BG266" t="e">
        <f>AND('PROG FORM COMPLEM'!H161,"AAAAAHn/9jo=")</f>
        <v>#VALUE!</v>
      </c>
      <c r="BH266" t="e">
        <f>AND('PROG FORM COMPLEM'!I161,"AAAAAHn/9js=")</f>
        <v>#VALUE!</v>
      </c>
      <c r="BI266" t="e">
        <f>AND('PROG FORM COMPLEM'!J161,"AAAAAHn/9jw=")</f>
        <v>#VALUE!</v>
      </c>
      <c r="BJ266" t="e">
        <f>AND('PROG FORM COMPLEM'!K161,"AAAAAHn/9j0=")</f>
        <v>#VALUE!</v>
      </c>
      <c r="BK266" t="e">
        <f>AND('PROG FORM COMPLEM'!L161,"AAAAAHn/9j4=")</f>
        <v>#VALUE!</v>
      </c>
      <c r="BL266" t="e">
        <f>AND('PROG FORM COMPLEM'!M161,"AAAAAHn/9j8=")</f>
        <v>#VALUE!</v>
      </c>
      <c r="BM266" t="e">
        <f>AND('PROG FORM COMPLEM'!N161,"AAAAAHn/9kA=")</f>
        <v>#VALUE!</v>
      </c>
      <c r="BN266" t="e">
        <f>AND('PROG FORM COMPLEM'!O161,"AAAAAHn/9kE=")</f>
        <v>#VALUE!</v>
      </c>
      <c r="BO266" t="e">
        <f>AND('PROG FORM COMPLEM'!P161,"AAAAAHn/9kI=")</f>
        <v>#VALUE!</v>
      </c>
      <c r="BP266" t="e">
        <f>AND('PROG FORM COMPLEM'!Q161,"AAAAAHn/9kM=")</f>
        <v>#VALUE!</v>
      </c>
      <c r="BQ266" t="e">
        <f>AND('PROG FORM COMPLEM'!R161,"AAAAAHn/9kQ=")</f>
        <v>#VALUE!</v>
      </c>
      <c r="BR266" t="e">
        <f>AND('PROG FORM COMPLEM'!S161,"AAAAAHn/9kU=")</f>
        <v>#VALUE!</v>
      </c>
      <c r="BS266" t="e">
        <f>AND('PROG FORM COMPLEM'!T161,"AAAAAHn/9kY=")</f>
        <v>#VALUE!</v>
      </c>
      <c r="BT266" t="e">
        <f>AND('PROG FORM COMPLEM'!U161,"AAAAAHn/9kc=")</f>
        <v>#VALUE!</v>
      </c>
      <c r="BU266" t="e">
        <f>AND('PROG FORM COMPLEM'!V161,"AAAAAHn/9kg=")</f>
        <v>#VALUE!</v>
      </c>
      <c r="BV266" t="e">
        <f>AND('PROG FORM COMPLEM'!W161,"AAAAAHn/9kk=")</f>
        <v>#VALUE!</v>
      </c>
      <c r="BW266">
        <f>IF('PROG FORM COMPLEM'!162:162,"AAAAAHn/9ko=",0)</f>
        <v>0</v>
      </c>
      <c r="BX266" t="e">
        <f>AND('PROG FORM COMPLEM'!B162,"AAAAAHn/9ks=")</f>
        <v>#VALUE!</v>
      </c>
      <c r="BY266" t="e">
        <f>AND('PROG FORM COMPLEM'!C162,"AAAAAHn/9kw=")</f>
        <v>#VALUE!</v>
      </c>
      <c r="BZ266" t="e">
        <f>AND('PROG FORM COMPLEM'!D162,"AAAAAHn/9k0=")</f>
        <v>#VALUE!</v>
      </c>
      <c r="CA266" t="e">
        <f>AND('PROG FORM COMPLEM'!E162,"AAAAAHn/9k4=")</f>
        <v>#VALUE!</v>
      </c>
      <c r="CB266" t="e">
        <f>AND('PROG FORM COMPLEM'!F162,"AAAAAHn/9k8=")</f>
        <v>#VALUE!</v>
      </c>
      <c r="CC266" t="e">
        <f>AND('PROG FORM COMPLEM'!G162,"AAAAAHn/9lA=")</f>
        <v>#VALUE!</v>
      </c>
      <c r="CD266" t="e">
        <f>AND('PROG FORM COMPLEM'!H162,"AAAAAHn/9lE=")</f>
        <v>#VALUE!</v>
      </c>
      <c r="CE266" t="e">
        <f>AND('PROG FORM COMPLEM'!I162,"AAAAAHn/9lI=")</f>
        <v>#VALUE!</v>
      </c>
      <c r="CF266" t="e">
        <f>AND('PROG FORM COMPLEM'!J162,"AAAAAHn/9lM=")</f>
        <v>#VALUE!</v>
      </c>
      <c r="CG266" t="e">
        <f>AND('PROG FORM COMPLEM'!K162,"AAAAAHn/9lQ=")</f>
        <v>#VALUE!</v>
      </c>
      <c r="CH266" t="e">
        <f>AND('PROG FORM COMPLEM'!L162,"AAAAAHn/9lU=")</f>
        <v>#VALUE!</v>
      </c>
      <c r="CI266" t="e">
        <f>AND('PROG FORM COMPLEM'!M162,"AAAAAHn/9lY=")</f>
        <v>#VALUE!</v>
      </c>
      <c r="CJ266" t="e">
        <f>AND('PROG FORM COMPLEM'!N162,"AAAAAHn/9lc=")</f>
        <v>#VALUE!</v>
      </c>
      <c r="CK266" t="e">
        <f>AND('PROG FORM COMPLEM'!O162,"AAAAAHn/9lg=")</f>
        <v>#VALUE!</v>
      </c>
      <c r="CL266" t="e">
        <f>AND('PROG FORM COMPLEM'!P162,"AAAAAHn/9lk=")</f>
        <v>#VALUE!</v>
      </c>
      <c r="CM266" t="e">
        <f>AND('PROG FORM COMPLEM'!Q162,"AAAAAHn/9lo=")</f>
        <v>#VALUE!</v>
      </c>
      <c r="CN266" t="e">
        <f>AND('PROG FORM COMPLEM'!R162,"AAAAAHn/9ls=")</f>
        <v>#VALUE!</v>
      </c>
      <c r="CO266" t="e">
        <f>AND('PROG FORM COMPLEM'!S162,"AAAAAHn/9lw=")</f>
        <v>#VALUE!</v>
      </c>
      <c r="CP266" t="e">
        <f>AND('PROG FORM COMPLEM'!T162,"AAAAAHn/9l0=")</f>
        <v>#VALUE!</v>
      </c>
      <c r="CQ266" t="e">
        <f>AND('PROG FORM COMPLEM'!U162,"AAAAAHn/9l4=")</f>
        <v>#VALUE!</v>
      </c>
      <c r="CR266" t="e">
        <f>AND('PROG FORM COMPLEM'!V162,"AAAAAHn/9l8=")</f>
        <v>#VALUE!</v>
      </c>
      <c r="CS266" t="e">
        <f>AND('PROG FORM COMPLEM'!W162,"AAAAAHn/9mA=")</f>
        <v>#VALUE!</v>
      </c>
      <c r="CT266" t="e">
        <f>IF('PROG FORM COMPLEM'!#REF!,"AAAAAHn/9mE=",0)</f>
        <v>#REF!</v>
      </c>
      <c r="CU266" t="e">
        <f>AND('PROG FORM COMPLEM'!#REF!,"AAAAAHn/9mI=")</f>
        <v>#REF!</v>
      </c>
      <c r="CV266" t="e">
        <f>AND('PROG FORM COMPLEM'!#REF!,"AAAAAHn/9mM=")</f>
        <v>#REF!</v>
      </c>
      <c r="CW266" t="e">
        <f>AND('PROG FORM COMPLEM'!#REF!,"AAAAAHn/9mQ=")</f>
        <v>#REF!</v>
      </c>
      <c r="CX266" t="e">
        <f>AND('PROG FORM COMPLEM'!#REF!,"AAAAAHn/9mU=")</f>
        <v>#REF!</v>
      </c>
      <c r="CY266" t="e">
        <f>AND('PROG FORM COMPLEM'!#REF!,"AAAAAHn/9mY=")</f>
        <v>#REF!</v>
      </c>
      <c r="CZ266" t="e">
        <f>AND('PROG FORM COMPLEM'!#REF!,"AAAAAHn/9mc=")</f>
        <v>#REF!</v>
      </c>
      <c r="DA266" t="e">
        <f>AND('PROG FORM COMPLEM'!#REF!,"AAAAAHn/9mg=")</f>
        <v>#REF!</v>
      </c>
      <c r="DB266" t="e">
        <f>AND('PROG FORM COMPLEM'!#REF!,"AAAAAHn/9mk=")</f>
        <v>#REF!</v>
      </c>
      <c r="DC266" t="e">
        <f>AND('PROG FORM COMPLEM'!#REF!,"AAAAAHn/9mo=")</f>
        <v>#REF!</v>
      </c>
      <c r="DD266" t="e">
        <f>AND('PROG FORM COMPLEM'!#REF!,"AAAAAHn/9ms=")</f>
        <v>#REF!</v>
      </c>
      <c r="DE266" t="e">
        <f>AND('PROG FORM COMPLEM'!#REF!,"AAAAAHn/9mw=")</f>
        <v>#REF!</v>
      </c>
      <c r="DF266" t="e">
        <f>AND('PROG FORM COMPLEM'!#REF!,"AAAAAHn/9m0=")</f>
        <v>#REF!</v>
      </c>
      <c r="DG266" t="e">
        <f>AND('PROG FORM COMPLEM'!#REF!,"AAAAAHn/9m4=")</f>
        <v>#REF!</v>
      </c>
      <c r="DH266" t="e">
        <f>AND('PROG FORM COMPLEM'!#REF!,"AAAAAHn/9m8=")</f>
        <v>#REF!</v>
      </c>
      <c r="DI266" t="e">
        <f>AND('PROG FORM COMPLEM'!#REF!,"AAAAAHn/9nA=")</f>
        <v>#REF!</v>
      </c>
      <c r="DJ266" t="e">
        <f>AND('PROG FORM COMPLEM'!#REF!,"AAAAAHn/9nE=")</f>
        <v>#REF!</v>
      </c>
      <c r="DK266" t="e">
        <f>AND('PROG FORM COMPLEM'!#REF!,"AAAAAHn/9nI=")</f>
        <v>#REF!</v>
      </c>
      <c r="DL266" t="e">
        <f>AND('PROG FORM COMPLEM'!#REF!,"AAAAAHn/9nM=")</f>
        <v>#REF!</v>
      </c>
      <c r="DM266" t="e">
        <f>AND('PROG FORM COMPLEM'!#REF!,"AAAAAHn/9nQ=")</f>
        <v>#REF!</v>
      </c>
      <c r="DN266" t="e">
        <f>AND('PROG FORM COMPLEM'!#REF!,"AAAAAHn/9nU=")</f>
        <v>#REF!</v>
      </c>
      <c r="DO266" t="e">
        <f>AND('PROG FORM COMPLEM'!#REF!,"AAAAAHn/9nY=")</f>
        <v>#REF!</v>
      </c>
      <c r="DP266" t="e">
        <f>AND('PROG FORM COMPLEM'!#REF!,"AAAAAHn/9nc=")</f>
        <v>#REF!</v>
      </c>
      <c r="DQ266" t="e">
        <f>IF('PROG FORM COMPLEM'!#REF!,"AAAAAHn/9ng=",0)</f>
        <v>#REF!</v>
      </c>
      <c r="DR266" t="e">
        <f>AND('PROG FORM COMPLEM'!#REF!,"AAAAAHn/9nk=")</f>
        <v>#REF!</v>
      </c>
      <c r="DS266" t="e">
        <f>AND('PROG FORM COMPLEM'!#REF!,"AAAAAHn/9no=")</f>
        <v>#REF!</v>
      </c>
      <c r="DT266" t="e">
        <f>AND('PROG FORM COMPLEM'!#REF!,"AAAAAHn/9ns=")</f>
        <v>#REF!</v>
      </c>
      <c r="DU266" t="e">
        <f>AND('PROG FORM COMPLEM'!#REF!,"AAAAAHn/9nw=")</f>
        <v>#REF!</v>
      </c>
      <c r="DV266" t="e">
        <f>AND('PROG FORM COMPLEM'!#REF!,"AAAAAHn/9n0=")</f>
        <v>#REF!</v>
      </c>
      <c r="DW266" t="e">
        <f>AND('PROG FORM COMPLEM'!#REF!,"AAAAAHn/9n4=")</f>
        <v>#REF!</v>
      </c>
      <c r="DX266" t="e">
        <f>AND('PROG FORM COMPLEM'!#REF!,"AAAAAHn/9n8=")</f>
        <v>#REF!</v>
      </c>
      <c r="DY266" t="e">
        <f>AND('PROG FORM COMPLEM'!#REF!,"AAAAAHn/9oA=")</f>
        <v>#REF!</v>
      </c>
      <c r="DZ266" t="e">
        <f>AND('PROG FORM COMPLEM'!#REF!,"AAAAAHn/9oE=")</f>
        <v>#REF!</v>
      </c>
      <c r="EA266" t="e">
        <f>AND('PROG FORM COMPLEM'!#REF!,"AAAAAHn/9oI=")</f>
        <v>#REF!</v>
      </c>
      <c r="EB266" t="e">
        <f>AND('PROG FORM COMPLEM'!#REF!,"AAAAAHn/9oM=")</f>
        <v>#REF!</v>
      </c>
      <c r="EC266" t="e">
        <f>AND('PROG FORM COMPLEM'!#REF!,"AAAAAHn/9oQ=")</f>
        <v>#REF!</v>
      </c>
      <c r="ED266" t="e">
        <f>AND('PROG FORM COMPLEM'!#REF!,"AAAAAHn/9oU=")</f>
        <v>#REF!</v>
      </c>
      <c r="EE266" t="e">
        <f>AND('PROG FORM COMPLEM'!#REF!,"AAAAAHn/9oY=")</f>
        <v>#REF!</v>
      </c>
      <c r="EF266" t="e">
        <f>AND('PROG FORM COMPLEM'!#REF!,"AAAAAHn/9oc=")</f>
        <v>#REF!</v>
      </c>
      <c r="EG266" t="e">
        <f>AND('PROG FORM COMPLEM'!#REF!,"AAAAAHn/9og=")</f>
        <v>#REF!</v>
      </c>
      <c r="EH266" t="e">
        <f>AND('PROG FORM COMPLEM'!#REF!,"AAAAAHn/9ok=")</f>
        <v>#REF!</v>
      </c>
      <c r="EI266" t="e">
        <f>AND('PROG FORM COMPLEM'!#REF!,"AAAAAHn/9oo=")</f>
        <v>#REF!</v>
      </c>
      <c r="EJ266" t="e">
        <f>AND('PROG FORM COMPLEM'!#REF!,"AAAAAHn/9os=")</f>
        <v>#REF!</v>
      </c>
      <c r="EK266" t="e">
        <f>AND('PROG FORM COMPLEM'!#REF!,"AAAAAHn/9ow=")</f>
        <v>#REF!</v>
      </c>
      <c r="EL266" t="e">
        <f>AND('PROG FORM COMPLEM'!#REF!,"AAAAAHn/9o0=")</f>
        <v>#REF!</v>
      </c>
      <c r="EM266" t="e">
        <f>AND('PROG FORM COMPLEM'!#REF!,"AAAAAHn/9o4=")</f>
        <v>#REF!</v>
      </c>
      <c r="EN266" t="e">
        <f>IF('PROG FORM COMPLEM'!#REF!,"AAAAAHn/9o8=",0)</f>
        <v>#REF!</v>
      </c>
      <c r="EO266" t="e">
        <f>AND('PROG FORM COMPLEM'!#REF!,"AAAAAHn/9pA=")</f>
        <v>#REF!</v>
      </c>
      <c r="EP266" t="e">
        <f>AND('PROG FORM COMPLEM'!#REF!,"AAAAAHn/9pE=")</f>
        <v>#REF!</v>
      </c>
      <c r="EQ266" t="e">
        <f>AND('PROG FORM COMPLEM'!#REF!,"AAAAAHn/9pI=")</f>
        <v>#REF!</v>
      </c>
      <c r="ER266" t="e">
        <f>AND('PROG FORM COMPLEM'!#REF!,"AAAAAHn/9pM=")</f>
        <v>#REF!</v>
      </c>
      <c r="ES266" t="e">
        <f>AND('PROG FORM COMPLEM'!#REF!,"AAAAAHn/9pQ=")</f>
        <v>#REF!</v>
      </c>
      <c r="ET266" t="e">
        <f>AND('PROG FORM COMPLEM'!#REF!,"AAAAAHn/9pU=")</f>
        <v>#REF!</v>
      </c>
      <c r="EU266" t="e">
        <f>AND('PROG FORM COMPLEM'!#REF!,"AAAAAHn/9pY=")</f>
        <v>#REF!</v>
      </c>
      <c r="EV266" t="e">
        <f>AND('PROG FORM COMPLEM'!#REF!,"AAAAAHn/9pc=")</f>
        <v>#REF!</v>
      </c>
      <c r="EW266" t="e">
        <f>AND('PROG FORM COMPLEM'!#REF!,"AAAAAHn/9pg=")</f>
        <v>#REF!</v>
      </c>
      <c r="EX266" t="e">
        <f>AND('PROG FORM COMPLEM'!#REF!,"AAAAAHn/9pk=")</f>
        <v>#REF!</v>
      </c>
      <c r="EY266" t="e">
        <f>AND('PROG FORM COMPLEM'!#REF!,"AAAAAHn/9po=")</f>
        <v>#REF!</v>
      </c>
      <c r="EZ266" t="e">
        <f>AND('PROG FORM COMPLEM'!#REF!,"AAAAAHn/9ps=")</f>
        <v>#REF!</v>
      </c>
      <c r="FA266" t="e">
        <f>AND('PROG FORM COMPLEM'!#REF!,"AAAAAHn/9pw=")</f>
        <v>#REF!</v>
      </c>
      <c r="FB266" t="e">
        <f>AND('PROG FORM COMPLEM'!#REF!,"AAAAAHn/9p0=")</f>
        <v>#REF!</v>
      </c>
      <c r="FC266" t="e">
        <f>AND('PROG FORM COMPLEM'!#REF!,"AAAAAHn/9p4=")</f>
        <v>#REF!</v>
      </c>
      <c r="FD266" t="e">
        <f>AND('PROG FORM COMPLEM'!#REF!,"AAAAAHn/9p8=")</f>
        <v>#REF!</v>
      </c>
      <c r="FE266" t="e">
        <f>AND('PROG FORM COMPLEM'!#REF!,"AAAAAHn/9qA=")</f>
        <v>#REF!</v>
      </c>
      <c r="FF266" t="e">
        <f>AND('PROG FORM COMPLEM'!#REF!,"AAAAAHn/9qE=")</f>
        <v>#REF!</v>
      </c>
      <c r="FG266" t="e">
        <f>AND('PROG FORM COMPLEM'!#REF!,"AAAAAHn/9qI=")</f>
        <v>#REF!</v>
      </c>
      <c r="FH266" t="e">
        <f>AND('PROG FORM COMPLEM'!#REF!,"AAAAAHn/9qM=")</f>
        <v>#REF!</v>
      </c>
      <c r="FI266" t="e">
        <f>AND('PROG FORM COMPLEM'!#REF!,"AAAAAHn/9qQ=")</f>
        <v>#REF!</v>
      </c>
      <c r="FJ266" t="e">
        <f>AND('PROG FORM COMPLEM'!#REF!,"AAAAAHn/9qU=")</f>
        <v>#REF!</v>
      </c>
      <c r="FK266" t="e">
        <f>IF('PROG FORM COMPLEM'!#REF!,"AAAAAHn/9qY=",0)</f>
        <v>#REF!</v>
      </c>
      <c r="FL266" t="e">
        <f>AND('PROG FORM COMPLEM'!#REF!,"AAAAAHn/9qc=")</f>
        <v>#REF!</v>
      </c>
      <c r="FM266" t="e">
        <f>AND('PROG FORM COMPLEM'!#REF!,"AAAAAHn/9qg=")</f>
        <v>#REF!</v>
      </c>
      <c r="FN266" t="e">
        <f>AND('PROG FORM COMPLEM'!#REF!,"AAAAAHn/9qk=")</f>
        <v>#REF!</v>
      </c>
      <c r="FO266" t="e">
        <f>AND('PROG FORM COMPLEM'!#REF!,"AAAAAHn/9qo=")</f>
        <v>#REF!</v>
      </c>
      <c r="FP266" t="e">
        <f>AND('PROG FORM COMPLEM'!#REF!,"AAAAAHn/9qs=")</f>
        <v>#REF!</v>
      </c>
      <c r="FQ266" t="e">
        <f>AND('PROG FORM COMPLEM'!#REF!,"AAAAAHn/9qw=")</f>
        <v>#REF!</v>
      </c>
      <c r="FR266" t="e">
        <f>AND('PROG FORM COMPLEM'!#REF!,"AAAAAHn/9q0=")</f>
        <v>#REF!</v>
      </c>
      <c r="FS266" t="e">
        <f>AND('PROG FORM COMPLEM'!#REF!,"AAAAAHn/9q4=")</f>
        <v>#REF!</v>
      </c>
      <c r="FT266" t="e">
        <f>AND('PROG FORM COMPLEM'!#REF!,"AAAAAHn/9q8=")</f>
        <v>#REF!</v>
      </c>
      <c r="FU266" t="e">
        <f>AND('PROG FORM COMPLEM'!#REF!,"AAAAAHn/9rA=")</f>
        <v>#REF!</v>
      </c>
      <c r="FV266" t="e">
        <f>AND('PROG FORM COMPLEM'!#REF!,"AAAAAHn/9rE=")</f>
        <v>#REF!</v>
      </c>
      <c r="FW266" t="e">
        <f>AND('PROG FORM COMPLEM'!#REF!,"AAAAAHn/9rI=")</f>
        <v>#REF!</v>
      </c>
      <c r="FX266" t="e">
        <f>AND('PROG FORM COMPLEM'!#REF!,"AAAAAHn/9rM=")</f>
        <v>#REF!</v>
      </c>
      <c r="FY266" t="e">
        <f>AND('PROG FORM COMPLEM'!#REF!,"AAAAAHn/9rQ=")</f>
        <v>#REF!</v>
      </c>
      <c r="FZ266" t="e">
        <f>AND('PROG FORM COMPLEM'!#REF!,"AAAAAHn/9rU=")</f>
        <v>#REF!</v>
      </c>
      <c r="GA266" t="e">
        <f>AND('PROG FORM COMPLEM'!#REF!,"AAAAAHn/9rY=")</f>
        <v>#REF!</v>
      </c>
      <c r="GB266" t="e">
        <f>AND('PROG FORM COMPLEM'!#REF!,"AAAAAHn/9rc=")</f>
        <v>#REF!</v>
      </c>
      <c r="GC266" t="e">
        <f>AND('PROG FORM COMPLEM'!#REF!,"AAAAAHn/9rg=")</f>
        <v>#REF!</v>
      </c>
      <c r="GD266" t="e">
        <f>AND('PROG FORM COMPLEM'!#REF!,"AAAAAHn/9rk=")</f>
        <v>#REF!</v>
      </c>
      <c r="GE266" t="e">
        <f>AND('PROG FORM COMPLEM'!#REF!,"AAAAAHn/9ro=")</f>
        <v>#REF!</v>
      </c>
      <c r="GF266" t="e">
        <f>AND('PROG FORM COMPLEM'!#REF!,"AAAAAHn/9rs=")</f>
        <v>#REF!</v>
      </c>
      <c r="GG266" t="e">
        <f>AND('PROG FORM COMPLEM'!#REF!,"AAAAAHn/9rw=")</f>
        <v>#REF!</v>
      </c>
      <c r="GH266">
        <f>IF('PROG FORM COMPLEM'!163:163,"AAAAAHn/9r0=",0)</f>
        <v>0</v>
      </c>
      <c r="GI266" t="e">
        <f>AND('PROG FORM COMPLEM'!B163,"AAAAAHn/9r4=")</f>
        <v>#VALUE!</v>
      </c>
      <c r="GJ266" t="e">
        <f>AND('PROG FORM COMPLEM'!C163,"AAAAAHn/9r8=")</f>
        <v>#VALUE!</v>
      </c>
      <c r="GK266" t="e">
        <f>AND('PROG FORM COMPLEM'!D163,"AAAAAHn/9sA=")</f>
        <v>#VALUE!</v>
      </c>
      <c r="GL266" t="e">
        <f>AND('PROG FORM COMPLEM'!E163,"AAAAAHn/9sE=")</f>
        <v>#VALUE!</v>
      </c>
      <c r="GM266" t="e">
        <f>AND('PROG FORM COMPLEM'!F163,"AAAAAHn/9sI=")</f>
        <v>#VALUE!</v>
      </c>
      <c r="GN266" t="e">
        <f>AND('PROG FORM COMPLEM'!G163,"AAAAAHn/9sM=")</f>
        <v>#VALUE!</v>
      </c>
      <c r="GO266" t="e">
        <f>AND('PROG FORM COMPLEM'!H163,"AAAAAHn/9sQ=")</f>
        <v>#VALUE!</v>
      </c>
      <c r="GP266" t="e">
        <f>AND('PROG FORM COMPLEM'!I163,"AAAAAHn/9sU=")</f>
        <v>#VALUE!</v>
      </c>
      <c r="GQ266" t="e">
        <f>AND('PROG FORM COMPLEM'!J163,"AAAAAHn/9sY=")</f>
        <v>#VALUE!</v>
      </c>
      <c r="GR266" t="e">
        <f>AND('PROG FORM COMPLEM'!K163,"AAAAAHn/9sc=")</f>
        <v>#VALUE!</v>
      </c>
      <c r="GS266" t="e">
        <f>AND('PROG FORM COMPLEM'!L163,"AAAAAHn/9sg=")</f>
        <v>#VALUE!</v>
      </c>
      <c r="GT266" t="e">
        <f>AND('PROG FORM COMPLEM'!M163,"AAAAAHn/9sk=")</f>
        <v>#VALUE!</v>
      </c>
      <c r="GU266" t="e">
        <f>AND('PROG FORM COMPLEM'!N163,"AAAAAHn/9so=")</f>
        <v>#VALUE!</v>
      </c>
      <c r="GV266" t="e">
        <f>AND('PROG FORM COMPLEM'!O163,"AAAAAHn/9ss=")</f>
        <v>#VALUE!</v>
      </c>
      <c r="GW266" t="e">
        <f>AND('PROG FORM COMPLEM'!P163,"AAAAAHn/9sw=")</f>
        <v>#VALUE!</v>
      </c>
      <c r="GX266" t="e">
        <f>AND('PROG FORM COMPLEM'!Q163,"AAAAAHn/9s0=")</f>
        <v>#VALUE!</v>
      </c>
      <c r="GY266" t="e">
        <f>AND('PROG FORM COMPLEM'!R163,"AAAAAHn/9s4=")</f>
        <v>#VALUE!</v>
      </c>
      <c r="GZ266" t="e">
        <f>AND('PROG FORM COMPLEM'!S163,"AAAAAHn/9s8=")</f>
        <v>#VALUE!</v>
      </c>
      <c r="HA266" t="e">
        <f>AND('PROG FORM COMPLEM'!T163,"AAAAAHn/9tA=")</f>
        <v>#VALUE!</v>
      </c>
      <c r="HB266" t="e">
        <f>AND('PROG FORM COMPLEM'!U163,"AAAAAHn/9tE=")</f>
        <v>#VALUE!</v>
      </c>
      <c r="HC266" t="e">
        <f>AND('PROG FORM COMPLEM'!V163,"AAAAAHn/9tI=")</f>
        <v>#VALUE!</v>
      </c>
      <c r="HD266" t="e">
        <f>AND('PROG FORM COMPLEM'!W163,"AAAAAHn/9tM=")</f>
        <v>#VALUE!</v>
      </c>
      <c r="HE266" t="e">
        <f>IF('PROG FORM COMPLEM'!#REF!,"AAAAAHn/9tQ=",0)</f>
        <v>#REF!</v>
      </c>
      <c r="HF266" t="e">
        <f>AND('PROG FORM COMPLEM'!#REF!,"AAAAAHn/9tU=")</f>
        <v>#REF!</v>
      </c>
      <c r="HG266" t="e">
        <f>AND('PROG FORM COMPLEM'!#REF!,"AAAAAHn/9tY=")</f>
        <v>#REF!</v>
      </c>
      <c r="HH266" t="e">
        <f>AND('PROG FORM COMPLEM'!#REF!,"AAAAAHn/9tc=")</f>
        <v>#REF!</v>
      </c>
      <c r="HI266" t="e">
        <f>AND('PROG FORM COMPLEM'!#REF!,"AAAAAHn/9tg=")</f>
        <v>#REF!</v>
      </c>
      <c r="HJ266" t="e">
        <f>AND('PROG FORM COMPLEM'!#REF!,"AAAAAHn/9tk=")</f>
        <v>#REF!</v>
      </c>
      <c r="HK266" t="e">
        <f>AND('PROG FORM COMPLEM'!#REF!,"AAAAAHn/9to=")</f>
        <v>#REF!</v>
      </c>
      <c r="HL266" t="e">
        <f>AND('PROG FORM COMPLEM'!#REF!,"AAAAAHn/9ts=")</f>
        <v>#REF!</v>
      </c>
      <c r="HM266" t="e">
        <f>AND('PROG FORM COMPLEM'!#REF!,"AAAAAHn/9tw=")</f>
        <v>#REF!</v>
      </c>
      <c r="HN266" t="e">
        <f>AND('PROG FORM COMPLEM'!#REF!,"AAAAAHn/9t0=")</f>
        <v>#REF!</v>
      </c>
      <c r="HO266" t="e">
        <f>AND('PROG FORM COMPLEM'!#REF!,"AAAAAHn/9t4=")</f>
        <v>#REF!</v>
      </c>
      <c r="HP266" t="e">
        <f>AND('PROG FORM COMPLEM'!#REF!,"AAAAAHn/9t8=")</f>
        <v>#REF!</v>
      </c>
      <c r="HQ266" t="e">
        <f>AND('PROG FORM COMPLEM'!#REF!,"AAAAAHn/9uA=")</f>
        <v>#REF!</v>
      </c>
      <c r="HR266" t="e">
        <f>AND('PROG FORM COMPLEM'!#REF!,"AAAAAHn/9uE=")</f>
        <v>#REF!</v>
      </c>
      <c r="HS266" t="e">
        <f>AND('PROG FORM COMPLEM'!#REF!,"AAAAAHn/9uI=")</f>
        <v>#REF!</v>
      </c>
      <c r="HT266" t="e">
        <f>AND('PROG FORM COMPLEM'!#REF!,"AAAAAHn/9uM=")</f>
        <v>#REF!</v>
      </c>
      <c r="HU266" t="e">
        <f>AND('PROG FORM COMPLEM'!#REF!,"AAAAAHn/9uQ=")</f>
        <v>#REF!</v>
      </c>
      <c r="HV266" t="e">
        <f>AND('PROG FORM COMPLEM'!#REF!,"AAAAAHn/9uU=")</f>
        <v>#REF!</v>
      </c>
      <c r="HW266" t="e">
        <f>AND('PROG FORM COMPLEM'!#REF!,"AAAAAHn/9uY=")</f>
        <v>#REF!</v>
      </c>
      <c r="HX266" t="e">
        <f>AND('PROG FORM COMPLEM'!#REF!,"AAAAAHn/9uc=")</f>
        <v>#REF!</v>
      </c>
      <c r="HY266" t="e">
        <f>AND('PROG FORM COMPLEM'!#REF!,"AAAAAHn/9ug=")</f>
        <v>#REF!</v>
      </c>
      <c r="HZ266" t="e">
        <f>AND('PROG FORM COMPLEM'!#REF!,"AAAAAHn/9uk=")</f>
        <v>#REF!</v>
      </c>
      <c r="IA266" t="e">
        <f>AND('PROG FORM COMPLEM'!#REF!,"AAAAAHn/9uo=")</f>
        <v>#REF!</v>
      </c>
      <c r="IB266" t="e">
        <f>IF('PROG FORM COMPLEM'!#REF!,"AAAAAHn/9us=",0)</f>
        <v>#REF!</v>
      </c>
      <c r="IC266" t="e">
        <f>AND('PROG FORM COMPLEM'!#REF!,"AAAAAHn/9uw=")</f>
        <v>#REF!</v>
      </c>
      <c r="ID266" t="e">
        <f>AND('PROG FORM COMPLEM'!#REF!,"AAAAAHn/9u0=")</f>
        <v>#REF!</v>
      </c>
      <c r="IE266" t="e">
        <f>AND('PROG FORM COMPLEM'!#REF!,"AAAAAHn/9u4=")</f>
        <v>#REF!</v>
      </c>
      <c r="IF266" t="e">
        <f>AND('PROG FORM COMPLEM'!#REF!,"AAAAAHn/9u8=")</f>
        <v>#REF!</v>
      </c>
      <c r="IG266" t="e">
        <f>AND('PROG FORM COMPLEM'!#REF!,"AAAAAHn/9vA=")</f>
        <v>#REF!</v>
      </c>
      <c r="IH266" t="e">
        <f>AND('PROG FORM COMPLEM'!#REF!,"AAAAAHn/9vE=")</f>
        <v>#REF!</v>
      </c>
      <c r="II266" t="e">
        <f>AND('PROG FORM COMPLEM'!#REF!,"AAAAAHn/9vI=")</f>
        <v>#REF!</v>
      </c>
      <c r="IJ266" t="e">
        <f>AND('PROG FORM COMPLEM'!#REF!,"AAAAAHn/9vM=")</f>
        <v>#REF!</v>
      </c>
      <c r="IK266" t="e">
        <f>AND('PROG FORM COMPLEM'!#REF!,"AAAAAHn/9vQ=")</f>
        <v>#REF!</v>
      </c>
      <c r="IL266" t="e">
        <f>AND('PROG FORM COMPLEM'!#REF!,"AAAAAHn/9vU=")</f>
        <v>#REF!</v>
      </c>
      <c r="IM266" t="e">
        <f>AND('PROG FORM COMPLEM'!#REF!,"AAAAAHn/9vY=")</f>
        <v>#REF!</v>
      </c>
      <c r="IN266" t="e">
        <f>AND('PROG FORM COMPLEM'!#REF!,"AAAAAHn/9vc=")</f>
        <v>#REF!</v>
      </c>
      <c r="IO266" t="e">
        <f>AND('PROG FORM COMPLEM'!#REF!,"AAAAAHn/9vg=")</f>
        <v>#REF!</v>
      </c>
      <c r="IP266" t="e">
        <f>AND('PROG FORM COMPLEM'!#REF!,"AAAAAHn/9vk=")</f>
        <v>#REF!</v>
      </c>
      <c r="IQ266" t="e">
        <f>AND('PROG FORM COMPLEM'!#REF!,"AAAAAHn/9vo=")</f>
        <v>#REF!</v>
      </c>
      <c r="IR266" t="e">
        <f>AND('PROG FORM COMPLEM'!#REF!,"AAAAAHn/9vs=")</f>
        <v>#REF!</v>
      </c>
      <c r="IS266" t="e">
        <f>AND('PROG FORM COMPLEM'!#REF!,"AAAAAHn/9vw=")</f>
        <v>#REF!</v>
      </c>
      <c r="IT266" t="e">
        <f>AND('PROG FORM COMPLEM'!#REF!,"AAAAAHn/9v0=")</f>
        <v>#REF!</v>
      </c>
      <c r="IU266" t="e">
        <f>AND('PROG FORM COMPLEM'!#REF!,"AAAAAHn/9v4=")</f>
        <v>#REF!</v>
      </c>
      <c r="IV266" t="e">
        <f>AND('PROG FORM COMPLEM'!#REF!,"AAAAAHn/9v8=")</f>
        <v>#REF!</v>
      </c>
    </row>
    <row r="267" spans="1:256" x14ac:dyDescent="0.2">
      <c r="A267" t="e">
        <f>AND('PROG FORM COMPLEM'!#REF!,"AAAAAG9buwA=")</f>
        <v>#REF!</v>
      </c>
      <c r="B267" t="e">
        <f>AND('PROG FORM COMPLEM'!#REF!,"AAAAAG9buwE=")</f>
        <v>#REF!</v>
      </c>
      <c r="C267" t="e">
        <f>IF('PROG FORM COMPLEM'!164:164,"AAAAAG9buwI=",0)</f>
        <v>#VALUE!</v>
      </c>
      <c r="D267" t="e">
        <f>AND('PROG FORM COMPLEM'!B164,"AAAAAG9buwM=")</f>
        <v>#VALUE!</v>
      </c>
      <c r="E267" t="e">
        <f>AND('PROG FORM COMPLEM'!C164,"AAAAAG9buwQ=")</f>
        <v>#VALUE!</v>
      </c>
      <c r="F267" t="e">
        <f>AND('PROG FORM COMPLEM'!D164,"AAAAAG9buwU=")</f>
        <v>#VALUE!</v>
      </c>
      <c r="G267" t="e">
        <f>AND('PROG FORM COMPLEM'!E164,"AAAAAG9buwY=")</f>
        <v>#VALUE!</v>
      </c>
      <c r="H267" t="e">
        <f>AND('PROG FORM COMPLEM'!F164,"AAAAAG9buwc=")</f>
        <v>#VALUE!</v>
      </c>
      <c r="I267" t="e">
        <f>AND('PROG FORM COMPLEM'!G164,"AAAAAG9buwg=")</f>
        <v>#VALUE!</v>
      </c>
      <c r="J267" t="e">
        <f>AND('PROG FORM COMPLEM'!H164,"AAAAAG9buwk=")</f>
        <v>#VALUE!</v>
      </c>
      <c r="K267" t="e">
        <f>AND('PROG FORM COMPLEM'!I164,"AAAAAG9buwo=")</f>
        <v>#VALUE!</v>
      </c>
      <c r="L267" t="e">
        <f>AND('PROG FORM COMPLEM'!J164,"AAAAAG9buws=")</f>
        <v>#VALUE!</v>
      </c>
      <c r="M267" t="e">
        <f>AND('PROG FORM COMPLEM'!K164,"AAAAAG9buww=")</f>
        <v>#VALUE!</v>
      </c>
      <c r="N267" t="e">
        <f>AND('PROG FORM COMPLEM'!L164,"AAAAAG9buw0=")</f>
        <v>#VALUE!</v>
      </c>
      <c r="O267" t="e">
        <f>AND('PROG FORM COMPLEM'!M164,"AAAAAG9buw4=")</f>
        <v>#VALUE!</v>
      </c>
      <c r="P267" t="e">
        <f>AND('PROG FORM COMPLEM'!N164,"AAAAAG9buw8=")</f>
        <v>#VALUE!</v>
      </c>
      <c r="Q267" t="e">
        <f>AND('PROG FORM COMPLEM'!O164,"AAAAAG9buxA=")</f>
        <v>#VALUE!</v>
      </c>
      <c r="R267" t="e">
        <f>AND('PROG FORM COMPLEM'!P164,"AAAAAG9buxE=")</f>
        <v>#VALUE!</v>
      </c>
      <c r="S267" t="e">
        <f>AND('PROG FORM COMPLEM'!Q164,"AAAAAG9buxI=")</f>
        <v>#VALUE!</v>
      </c>
      <c r="T267" t="e">
        <f>AND('PROG FORM COMPLEM'!R164,"AAAAAG9buxM=")</f>
        <v>#VALUE!</v>
      </c>
      <c r="U267" t="e">
        <f>AND('PROG FORM COMPLEM'!S164,"AAAAAG9buxQ=")</f>
        <v>#VALUE!</v>
      </c>
      <c r="V267" t="e">
        <f>AND('PROG FORM COMPLEM'!T164,"AAAAAG9buxU=")</f>
        <v>#VALUE!</v>
      </c>
      <c r="W267" t="e">
        <f>AND('PROG FORM COMPLEM'!U164,"AAAAAG9buxY=")</f>
        <v>#VALUE!</v>
      </c>
      <c r="X267" t="e">
        <f>AND('PROG FORM COMPLEM'!V164,"AAAAAG9buxc=")</f>
        <v>#VALUE!</v>
      </c>
      <c r="Y267" t="e">
        <f>AND('PROG FORM COMPLEM'!W164,"AAAAAG9buxg=")</f>
        <v>#VALUE!</v>
      </c>
      <c r="Z267">
        <f>IF('PROG FORM COMPLEM'!166:166,"AAAAAG9buxk=",0)</f>
        <v>0</v>
      </c>
      <c r="AA267" t="e">
        <f>AND('PROG FORM COMPLEM'!B166,"AAAAAG9buxo=")</f>
        <v>#VALUE!</v>
      </c>
      <c r="AB267" t="e">
        <f>AND('PROG FORM COMPLEM'!C166,"AAAAAG9buxs=")</f>
        <v>#VALUE!</v>
      </c>
      <c r="AC267" t="e">
        <f>AND('PROG FORM COMPLEM'!D166,"AAAAAG9buxw=")</f>
        <v>#VALUE!</v>
      </c>
      <c r="AD267" t="e">
        <f>AND('PROG FORM COMPLEM'!E166,"AAAAAG9bux0=")</f>
        <v>#VALUE!</v>
      </c>
      <c r="AE267" t="e">
        <f>AND('PROG FORM COMPLEM'!F166,"AAAAAG9bux4=")</f>
        <v>#VALUE!</v>
      </c>
      <c r="AF267" t="e">
        <f>AND('PROG FORM COMPLEM'!G166,"AAAAAG9bux8=")</f>
        <v>#VALUE!</v>
      </c>
      <c r="AG267" t="e">
        <f>AND('PROG FORM COMPLEM'!H166,"AAAAAG9buyA=")</f>
        <v>#VALUE!</v>
      </c>
      <c r="AH267" t="e">
        <f>AND('PROG FORM COMPLEM'!I166,"AAAAAG9buyE=")</f>
        <v>#VALUE!</v>
      </c>
      <c r="AI267" t="e">
        <f>AND('PROG FORM COMPLEM'!J166,"AAAAAG9buyI=")</f>
        <v>#VALUE!</v>
      </c>
      <c r="AJ267" t="e">
        <f>AND('PROG FORM COMPLEM'!K166,"AAAAAG9buyM=")</f>
        <v>#VALUE!</v>
      </c>
      <c r="AK267" t="e">
        <f>AND('PROG FORM COMPLEM'!L166,"AAAAAG9buyQ=")</f>
        <v>#VALUE!</v>
      </c>
      <c r="AL267" t="e">
        <f>AND('PROG FORM COMPLEM'!M166,"AAAAAG9buyU=")</f>
        <v>#VALUE!</v>
      </c>
      <c r="AM267" t="e">
        <f>AND('PROG FORM COMPLEM'!N166,"AAAAAG9buyY=")</f>
        <v>#VALUE!</v>
      </c>
      <c r="AN267" t="e">
        <f>AND('PROG FORM COMPLEM'!O166,"AAAAAG9buyc=")</f>
        <v>#VALUE!</v>
      </c>
      <c r="AO267" t="e">
        <f>AND('PROG FORM COMPLEM'!P166,"AAAAAG9buyg=")</f>
        <v>#VALUE!</v>
      </c>
      <c r="AP267" t="e">
        <f>AND('PROG FORM COMPLEM'!Q166,"AAAAAG9buyk=")</f>
        <v>#VALUE!</v>
      </c>
      <c r="AQ267" t="e">
        <f>AND('PROG FORM COMPLEM'!R166,"AAAAAG9buyo=")</f>
        <v>#VALUE!</v>
      </c>
      <c r="AR267" t="e">
        <f>AND('PROG FORM COMPLEM'!S166,"AAAAAG9buys=")</f>
        <v>#VALUE!</v>
      </c>
      <c r="AS267" t="e">
        <f>AND('PROG FORM COMPLEM'!T166,"AAAAAG9buyw=")</f>
        <v>#VALUE!</v>
      </c>
      <c r="AT267" t="e">
        <f>AND('PROG FORM COMPLEM'!U166,"AAAAAG9buy0=")</f>
        <v>#VALUE!</v>
      </c>
      <c r="AU267" t="e">
        <f>AND('PROG FORM COMPLEM'!V166,"AAAAAG9buy4=")</f>
        <v>#VALUE!</v>
      </c>
      <c r="AV267" t="e">
        <f>AND('PROG FORM COMPLEM'!W166,"AAAAAG9buy8=")</f>
        <v>#VALUE!</v>
      </c>
      <c r="AW267">
        <f>IF('PROG FORM COMPLEM'!167:167,"AAAAAG9buzA=",0)</f>
        <v>0</v>
      </c>
      <c r="AX267" t="e">
        <f>AND('PROG FORM COMPLEM'!B167,"AAAAAG9buzE=")</f>
        <v>#VALUE!</v>
      </c>
      <c r="AY267" t="e">
        <f>AND('PROG FORM COMPLEM'!C167,"AAAAAG9buzI=")</f>
        <v>#VALUE!</v>
      </c>
      <c r="AZ267" t="e">
        <f>AND('PROG FORM COMPLEM'!D167,"AAAAAG9buzM=")</f>
        <v>#VALUE!</v>
      </c>
      <c r="BA267" t="e">
        <f>AND('PROG FORM COMPLEM'!E167,"AAAAAG9buzQ=")</f>
        <v>#VALUE!</v>
      </c>
      <c r="BB267" t="e">
        <f>AND('PROG FORM COMPLEM'!F167,"AAAAAG9buzU=")</f>
        <v>#VALUE!</v>
      </c>
      <c r="BC267" t="e">
        <f>AND('PROG FORM COMPLEM'!G167,"AAAAAG9buzY=")</f>
        <v>#VALUE!</v>
      </c>
      <c r="BD267" t="e">
        <f>AND('PROG FORM COMPLEM'!H167,"AAAAAG9buzc=")</f>
        <v>#VALUE!</v>
      </c>
      <c r="BE267" t="e">
        <f>AND('PROG FORM COMPLEM'!I167,"AAAAAG9buzg=")</f>
        <v>#VALUE!</v>
      </c>
      <c r="BF267" t="e">
        <f>AND('PROG FORM COMPLEM'!J167,"AAAAAG9buzk=")</f>
        <v>#VALUE!</v>
      </c>
      <c r="BG267" t="e">
        <f>AND('PROG FORM COMPLEM'!K167,"AAAAAG9buzo=")</f>
        <v>#VALUE!</v>
      </c>
      <c r="BH267" t="e">
        <f>AND('PROG FORM COMPLEM'!L167,"AAAAAG9buzs=")</f>
        <v>#VALUE!</v>
      </c>
      <c r="BI267" t="e">
        <f>AND('PROG FORM COMPLEM'!M167,"AAAAAG9buzw=")</f>
        <v>#VALUE!</v>
      </c>
      <c r="BJ267" t="e">
        <f>AND('PROG FORM COMPLEM'!N167,"AAAAAG9buz0=")</f>
        <v>#VALUE!</v>
      </c>
      <c r="BK267" t="e">
        <f>AND('PROG FORM COMPLEM'!O167,"AAAAAG9buz4=")</f>
        <v>#VALUE!</v>
      </c>
      <c r="BL267" t="e">
        <f>AND('PROG FORM COMPLEM'!P167,"AAAAAG9buz8=")</f>
        <v>#VALUE!</v>
      </c>
      <c r="BM267" t="e">
        <f>AND('PROG FORM COMPLEM'!Q167,"AAAAAG9bu0A=")</f>
        <v>#VALUE!</v>
      </c>
      <c r="BN267" t="e">
        <f>AND('PROG FORM COMPLEM'!R167,"AAAAAG9bu0E=")</f>
        <v>#VALUE!</v>
      </c>
      <c r="BO267" t="e">
        <f>AND('PROG FORM COMPLEM'!S167,"AAAAAG9bu0I=")</f>
        <v>#VALUE!</v>
      </c>
      <c r="BP267" t="e">
        <f>AND('PROG FORM COMPLEM'!T167,"AAAAAG9bu0M=")</f>
        <v>#VALUE!</v>
      </c>
      <c r="BQ267" t="e">
        <f>AND('PROG FORM COMPLEM'!U167,"AAAAAG9bu0Q=")</f>
        <v>#VALUE!</v>
      </c>
      <c r="BR267" t="e">
        <f>AND('PROG FORM COMPLEM'!V167,"AAAAAG9bu0U=")</f>
        <v>#VALUE!</v>
      </c>
      <c r="BS267" t="e">
        <f>AND('PROG FORM COMPLEM'!W167,"AAAAAG9bu0Y=")</f>
        <v>#VALUE!</v>
      </c>
      <c r="BT267">
        <f>IF('PROG FORM COMPLEM'!168:168,"AAAAAG9bu0c=",0)</f>
        <v>0</v>
      </c>
      <c r="BU267" t="e">
        <f>AND('PROG FORM COMPLEM'!B168,"AAAAAG9bu0g=")</f>
        <v>#VALUE!</v>
      </c>
      <c r="BV267" t="e">
        <f>AND('PROG FORM COMPLEM'!C168,"AAAAAG9bu0k=")</f>
        <v>#VALUE!</v>
      </c>
      <c r="BW267" t="e">
        <f>AND('PROG FORM COMPLEM'!D168,"AAAAAG9bu0o=")</f>
        <v>#VALUE!</v>
      </c>
      <c r="BX267" t="e">
        <f>AND('PROG FORM COMPLEM'!E168,"AAAAAG9bu0s=")</f>
        <v>#VALUE!</v>
      </c>
      <c r="BY267" t="e">
        <f>AND('PROG FORM COMPLEM'!F168,"AAAAAG9bu0w=")</f>
        <v>#VALUE!</v>
      </c>
      <c r="BZ267" t="e">
        <f>AND('PROG FORM COMPLEM'!G168,"AAAAAG9bu00=")</f>
        <v>#VALUE!</v>
      </c>
      <c r="CA267" t="e">
        <f>AND('PROG FORM COMPLEM'!H168,"AAAAAG9bu04=")</f>
        <v>#VALUE!</v>
      </c>
      <c r="CB267" t="e">
        <f>AND('PROG FORM COMPLEM'!I168,"AAAAAG9bu08=")</f>
        <v>#VALUE!</v>
      </c>
      <c r="CC267" t="e">
        <f>AND('PROG FORM COMPLEM'!J168,"AAAAAG9bu1A=")</f>
        <v>#VALUE!</v>
      </c>
      <c r="CD267" t="e">
        <f>AND('PROG FORM COMPLEM'!K168,"AAAAAG9bu1E=")</f>
        <v>#VALUE!</v>
      </c>
      <c r="CE267" t="e">
        <f>AND('PROG FORM COMPLEM'!L168,"AAAAAG9bu1I=")</f>
        <v>#VALUE!</v>
      </c>
      <c r="CF267" t="e">
        <f>AND('PROG FORM COMPLEM'!M168,"AAAAAG9bu1M=")</f>
        <v>#VALUE!</v>
      </c>
      <c r="CG267" t="e">
        <f>AND('PROG FORM COMPLEM'!N168,"AAAAAG9bu1Q=")</f>
        <v>#VALUE!</v>
      </c>
      <c r="CH267" t="e">
        <f>AND('PROG FORM COMPLEM'!O168,"AAAAAG9bu1U=")</f>
        <v>#VALUE!</v>
      </c>
      <c r="CI267" t="e">
        <f>AND('PROG FORM COMPLEM'!P168,"AAAAAG9bu1Y=")</f>
        <v>#VALUE!</v>
      </c>
      <c r="CJ267" t="e">
        <f>AND('PROG FORM COMPLEM'!Q168,"AAAAAG9bu1c=")</f>
        <v>#VALUE!</v>
      </c>
      <c r="CK267" t="e">
        <f>AND('PROG FORM COMPLEM'!R168,"AAAAAG9bu1g=")</f>
        <v>#VALUE!</v>
      </c>
      <c r="CL267" t="e">
        <f>AND('PROG FORM COMPLEM'!S168,"AAAAAG9bu1k=")</f>
        <v>#VALUE!</v>
      </c>
      <c r="CM267" t="e">
        <f>AND('PROG FORM COMPLEM'!T168,"AAAAAG9bu1o=")</f>
        <v>#VALUE!</v>
      </c>
      <c r="CN267" t="e">
        <f>AND('PROG FORM COMPLEM'!U168,"AAAAAG9bu1s=")</f>
        <v>#VALUE!</v>
      </c>
      <c r="CO267" t="e">
        <f>AND('PROG FORM COMPLEM'!V168,"AAAAAG9bu1w=")</f>
        <v>#VALUE!</v>
      </c>
      <c r="CP267" t="e">
        <f>AND('PROG FORM COMPLEM'!W168,"AAAAAG9bu10=")</f>
        <v>#VALUE!</v>
      </c>
      <c r="CQ267" t="e">
        <f>IF('PROG FORM COMPLEM'!#REF!,"AAAAAG9bu14=",0)</f>
        <v>#REF!</v>
      </c>
      <c r="CR267" t="e">
        <f>AND('PROG FORM COMPLEM'!#REF!,"AAAAAG9bu18=")</f>
        <v>#REF!</v>
      </c>
      <c r="CS267" t="e">
        <f>AND('PROG FORM COMPLEM'!#REF!,"AAAAAG9bu2A=")</f>
        <v>#REF!</v>
      </c>
      <c r="CT267" t="e">
        <f>AND('PROG FORM COMPLEM'!#REF!,"AAAAAG9bu2E=")</f>
        <v>#REF!</v>
      </c>
      <c r="CU267" t="e">
        <f>AND('PROG FORM COMPLEM'!#REF!,"AAAAAG9bu2I=")</f>
        <v>#REF!</v>
      </c>
      <c r="CV267" t="e">
        <f>AND('PROG FORM COMPLEM'!#REF!,"AAAAAG9bu2M=")</f>
        <v>#REF!</v>
      </c>
      <c r="CW267" t="e">
        <f>AND('PROG FORM COMPLEM'!#REF!,"AAAAAG9bu2Q=")</f>
        <v>#REF!</v>
      </c>
      <c r="CX267" t="e">
        <f>AND('PROG FORM COMPLEM'!#REF!,"AAAAAG9bu2U=")</f>
        <v>#REF!</v>
      </c>
      <c r="CY267" t="e">
        <f>AND('PROG FORM COMPLEM'!#REF!,"AAAAAG9bu2Y=")</f>
        <v>#REF!</v>
      </c>
      <c r="CZ267" t="e">
        <f>AND('PROG FORM COMPLEM'!#REF!,"AAAAAG9bu2c=")</f>
        <v>#REF!</v>
      </c>
      <c r="DA267" t="e">
        <f>AND('PROG FORM COMPLEM'!#REF!,"AAAAAG9bu2g=")</f>
        <v>#REF!</v>
      </c>
      <c r="DB267" t="e">
        <f>AND('PROG FORM COMPLEM'!#REF!,"AAAAAG9bu2k=")</f>
        <v>#REF!</v>
      </c>
      <c r="DC267" t="e">
        <f>AND('PROG FORM COMPLEM'!#REF!,"AAAAAG9bu2o=")</f>
        <v>#REF!</v>
      </c>
      <c r="DD267" t="e">
        <f>AND('PROG FORM COMPLEM'!#REF!,"AAAAAG9bu2s=")</f>
        <v>#REF!</v>
      </c>
      <c r="DE267" t="e">
        <f>AND('PROG FORM COMPLEM'!#REF!,"AAAAAG9bu2w=")</f>
        <v>#REF!</v>
      </c>
      <c r="DF267" t="e">
        <f>AND('PROG FORM COMPLEM'!#REF!,"AAAAAG9bu20=")</f>
        <v>#REF!</v>
      </c>
      <c r="DG267" t="e">
        <f>AND('PROG FORM COMPLEM'!#REF!,"AAAAAG9bu24=")</f>
        <v>#REF!</v>
      </c>
      <c r="DH267" t="e">
        <f>AND('PROG FORM COMPLEM'!#REF!,"AAAAAG9bu28=")</f>
        <v>#REF!</v>
      </c>
      <c r="DI267" t="e">
        <f>AND('PROG FORM COMPLEM'!#REF!,"AAAAAG9bu3A=")</f>
        <v>#REF!</v>
      </c>
      <c r="DJ267" t="e">
        <f>AND('PROG FORM COMPLEM'!#REF!,"AAAAAG9bu3E=")</f>
        <v>#REF!</v>
      </c>
      <c r="DK267" t="e">
        <f>AND('PROG FORM COMPLEM'!#REF!,"AAAAAG9bu3I=")</f>
        <v>#REF!</v>
      </c>
      <c r="DL267" t="e">
        <f>AND('PROG FORM COMPLEM'!#REF!,"AAAAAG9bu3M=")</f>
        <v>#REF!</v>
      </c>
      <c r="DM267" t="e">
        <f>AND('PROG FORM COMPLEM'!#REF!,"AAAAAG9bu3Q=")</f>
        <v>#REF!</v>
      </c>
      <c r="DN267">
        <f>IF('PROG FORM COMPLEM'!169:169,"AAAAAG9bu3U=",0)</f>
        <v>0</v>
      </c>
      <c r="DO267" t="e">
        <f>AND('PROG FORM COMPLEM'!B169,"AAAAAG9bu3Y=")</f>
        <v>#VALUE!</v>
      </c>
      <c r="DP267" t="e">
        <f>AND('PROG FORM COMPLEM'!C169,"AAAAAG9bu3c=")</f>
        <v>#VALUE!</v>
      </c>
      <c r="DQ267" t="e">
        <f>AND('PROG FORM COMPLEM'!D169,"AAAAAG9bu3g=")</f>
        <v>#VALUE!</v>
      </c>
      <c r="DR267" t="e">
        <f>AND('PROG FORM COMPLEM'!E169,"AAAAAG9bu3k=")</f>
        <v>#VALUE!</v>
      </c>
      <c r="DS267" t="e">
        <f>AND('PROG FORM COMPLEM'!F169,"AAAAAG9bu3o=")</f>
        <v>#VALUE!</v>
      </c>
      <c r="DT267" t="e">
        <f>AND('PROG FORM COMPLEM'!G169,"AAAAAG9bu3s=")</f>
        <v>#VALUE!</v>
      </c>
      <c r="DU267" t="e">
        <f>AND('PROG FORM COMPLEM'!H169,"AAAAAG9bu3w=")</f>
        <v>#VALUE!</v>
      </c>
      <c r="DV267" t="e">
        <f>AND('PROG FORM COMPLEM'!I169,"AAAAAG9bu30=")</f>
        <v>#VALUE!</v>
      </c>
      <c r="DW267" t="e">
        <f>AND('PROG FORM COMPLEM'!J169,"AAAAAG9bu34=")</f>
        <v>#VALUE!</v>
      </c>
      <c r="DX267" t="e">
        <f>AND('PROG FORM COMPLEM'!K169,"AAAAAG9bu38=")</f>
        <v>#VALUE!</v>
      </c>
      <c r="DY267" t="e">
        <f>AND('PROG FORM COMPLEM'!L169,"AAAAAG9bu4A=")</f>
        <v>#VALUE!</v>
      </c>
      <c r="DZ267" t="e">
        <f>AND('PROG FORM COMPLEM'!M169,"AAAAAG9bu4E=")</f>
        <v>#VALUE!</v>
      </c>
      <c r="EA267" t="e">
        <f>AND('PROG FORM COMPLEM'!N169,"AAAAAG9bu4I=")</f>
        <v>#VALUE!</v>
      </c>
      <c r="EB267" t="e">
        <f>AND('PROG FORM COMPLEM'!O169,"AAAAAG9bu4M=")</f>
        <v>#VALUE!</v>
      </c>
      <c r="EC267" t="e">
        <f>AND('PROG FORM COMPLEM'!P169,"AAAAAG9bu4Q=")</f>
        <v>#VALUE!</v>
      </c>
      <c r="ED267" t="e">
        <f>AND('PROG FORM COMPLEM'!Q169,"AAAAAG9bu4U=")</f>
        <v>#VALUE!</v>
      </c>
      <c r="EE267" t="e">
        <f>AND('PROG FORM COMPLEM'!R169,"AAAAAG9bu4Y=")</f>
        <v>#VALUE!</v>
      </c>
      <c r="EF267" t="e">
        <f>AND('PROG FORM COMPLEM'!S169,"AAAAAG9bu4c=")</f>
        <v>#VALUE!</v>
      </c>
      <c r="EG267" t="e">
        <f>AND('PROG FORM COMPLEM'!T169,"AAAAAG9bu4g=")</f>
        <v>#VALUE!</v>
      </c>
      <c r="EH267" t="e">
        <f>AND('PROG FORM COMPLEM'!U169,"AAAAAG9bu4k=")</f>
        <v>#VALUE!</v>
      </c>
      <c r="EI267" t="e">
        <f>AND('PROG FORM COMPLEM'!V169,"AAAAAG9bu4o=")</f>
        <v>#VALUE!</v>
      </c>
      <c r="EJ267" t="e">
        <f>AND('PROG FORM COMPLEM'!W169,"AAAAAG9bu4s=")</f>
        <v>#VALUE!</v>
      </c>
      <c r="EK267" t="e">
        <f>IF('PROG FORM COMPLEM'!#REF!,"AAAAAG9bu4w=",0)</f>
        <v>#REF!</v>
      </c>
      <c r="EL267" t="e">
        <f>AND('PROG FORM COMPLEM'!#REF!,"AAAAAG9bu40=")</f>
        <v>#REF!</v>
      </c>
      <c r="EM267" t="e">
        <f>AND('PROG FORM COMPLEM'!#REF!,"AAAAAG9bu44=")</f>
        <v>#REF!</v>
      </c>
      <c r="EN267" t="e">
        <f>AND('PROG FORM COMPLEM'!#REF!,"AAAAAG9bu48=")</f>
        <v>#REF!</v>
      </c>
      <c r="EO267" t="e">
        <f>AND('PROG FORM COMPLEM'!#REF!,"AAAAAG9bu5A=")</f>
        <v>#REF!</v>
      </c>
      <c r="EP267" t="e">
        <f>AND('PROG FORM COMPLEM'!#REF!,"AAAAAG9bu5E=")</f>
        <v>#REF!</v>
      </c>
      <c r="EQ267" t="e">
        <f>AND('PROG FORM COMPLEM'!#REF!,"AAAAAG9bu5I=")</f>
        <v>#REF!</v>
      </c>
      <c r="ER267" t="e">
        <f>AND('PROG FORM COMPLEM'!#REF!,"AAAAAG9bu5M=")</f>
        <v>#REF!</v>
      </c>
      <c r="ES267" t="e">
        <f>AND('PROG FORM COMPLEM'!#REF!,"AAAAAG9bu5Q=")</f>
        <v>#REF!</v>
      </c>
      <c r="ET267" t="e">
        <f>AND('PROG FORM COMPLEM'!#REF!,"AAAAAG9bu5U=")</f>
        <v>#REF!</v>
      </c>
      <c r="EU267" t="e">
        <f>AND('PROG FORM COMPLEM'!#REF!,"AAAAAG9bu5Y=")</f>
        <v>#REF!</v>
      </c>
      <c r="EV267" t="e">
        <f>AND('PROG FORM COMPLEM'!#REF!,"AAAAAG9bu5c=")</f>
        <v>#REF!</v>
      </c>
      <c r="EW267" t="e">
        <f>AND('PROG FORM COMPLEM'!#REF!,"AAAAAG9bu5g=")</f>
        <v>#REF!</v>
      </c>
      <c r="EX267" t="e">
        <f>AND('PROG FORM COMPLEM'!#REF!,"AAAAAG9bu5k=")</f>
        <v>#REF!</v>
      </c>
      <c r="EY267" t="e">
        <f>AND('PROG FORM COMPLEM'!#REF!,"AAAAAG9bu5o=")</f>
        <v>#REF!</v>
      </c>
      <c r="EZ267" t="e">
        <f>AND('PROG FORM COMPLEM'!#REF!,"AAAAAG9bu5s=")</f>
        <v>#REF!</v>
      </c>
      <c r="FA267" t="e">
        <f>AND('PROG FORM COMPLEM'!#REF!,"AAAAAG9bu5w=")</f>
        <v>#REF!</v>
      </c>
      <c r="FB267" t="e">
        <f>AND('PROG FORM COMPLEM'!#REF!,"AAAAAG9bu50=")</f>
        <v>#REF!</v>
      </c>
      <c r="FC267" t="e">
        <f>AND('PROG FORM COMPLEM'!#REF!,"AAAAAG9bu54=")</f>
        <v>#REF!</v>
      </c>
      <c r="FD267" t="e">
        <f>AND('PROG FORM COMPLEM'!#REF!,"AAAAAG9bu58=")</f>
        <v>#REF!</v>
      </c>
      <c r="FE267" t="e">
        <f>AND('PROG FORM COMPLEM'!#REF!,"AAAAAG9bu6A=")</f>
        <v>#REF!</v>
      </c>
      <c r="FF267" t="e">
        <f>AND('PROG FORM COMPLEM'!#REF!,"AAAAAG9bu6E=")</f>
        <v>#REF!</v>
      </c>
      <c r="FG267" t="e">
        <f>AND('PROG FORM COMPLEM'!#REF!,"AAAAAG9bu6I=")</f>
        <v>#REF!</v>
      </c>
      <c r="FH267" t="e">
        <f>IF('PROG FORM COMPLEM'!#REF!,"AAAAAG9bu6M=",0)</f>
        <v>#REF!</v>
      </c>
      <c r="FI267" t="e">
        <f>AND('PROG FORM COMPLEM'!#REF!,"AAAAAG9bu6Q=")</f>
        <v>#REF!</v>
      </c>
      <c r="FJ267" t="e">
        <f>AND('PROG FORM COMPLEM'!#REF!,"AAAAAG9bu6U=")</f>
        <v>#REF!</v>
      </c>
      <c r="FK267" t="e">
        <f>AND('PROG FORM COMPLEM'!#REF!,"AAAAAG9bu6Y=")</f>
        <v>#REF!</v>
      </c>
      <c r="FL267" t="e">
        <f>AND('PROG FORM COMPLEM'!#REF!,"AAAAAG9bu6c=")</f>
        <v>#REF!</v>
      </c>
      <c r="FM267" t="e">
        <f>AND('PROG FORM COMPLEM'!#REF!,"AAAAAG9bu6g=")</f>
        <v>#REF!</v>
      </c>
      <c r="FN267" t="e">
        <f>AND('PROG FORM COMPLEM'!#REF!,"AAAAAG9bu6k=")</f>
        <v>#REF!</v>
      </c>
      <c r="FO267" t="e">
        <f>AND('PROG FORM COMPLEM'!#REF!,"AAAAAG9bu6o=")</f>
        <v>#REF!</v>
      </c>
      <c r="FP267" t="e">
        <f>AND('PROG FORM COMPLEM'!#REF!,"AAAAAG9bu6s=")</f>
        <v>#REF!</v>
      </c>
      <c r="FQ267" t="e">
        <f>AND('PROG FORM COMPLEM'!#REF!,"AAAAAG9bu6w=")</f>
        <v>#REF!</v>
      </c>
      <c r="FR267" t="e">
        <f>AND('PROG FORM COMPLEM'!#REF!,"AAAAAG9bu60=")</f>
        <v>#REF!</v>
      </c>
      <c r="FS267" t="e">
        <f>AND('PROG FORM COMPLEM'!#REF!,"AAAAAG9bu64=")</f>
        <v>#REF!</v>
      </c>
      <c r="FT267" t="e">
        <f>AND('PROG FORM COMPLEM'!#REF!,"AAAAAG9bu68=")</f>
        <v>#REF!</v>
      </c>
      <c r="FU267" t="e">
        <f>AND('PROG FORM COMPLEM'!#REF!,"AAAAAG9bu7A=")</f>
        <v>#REF!</v>
      </c>
      <c r="FV267" t="e">
        <f>AND('PROG FORM COMPLEM'!#REF!,"AAAAAG9bu7E=")</f>
        <v>#REF!</v>
      </c>
      <c r="FW267" t="e">
        <f>AND('PROG FORM COMPLEM'!#REF!,"AAAAAG9bu7I=")</f>
        <v>#REF!</v>
      </c>
      <c r="FX267" t="e">
        <f>AND('PROG FORM COMPLEM'!#REF!,"AAAAAG9bu7M=")</f>
        <v>#REF!</v>
      </c>
      <c r="FY267" t="e">
        <f>AND('PROG FORM COMPLEM'!#REF!,"AAAAAG9bu7Q=")</f>
        <v>#REF!</v>
      </c>
      <c r="FZ267" t="e">
        <f>AND('PROG FORM COMPLEM'!#REF!,"AAAAAG9bu7U=")</f>
        <v>#REF!</v>
      </c>
      <c r="GA267" t="e">
        <f>AND('PROG FORM COMPLEM'!#REF!,"AAAAAG9bu7Y=")</f>
        <v>#REF!</v>
      </c>
      <c r="GB267" t="e">
        <f>AND('PROG FORM COMPLEM'!#REF!,"AAAAAG9bu7c=")</f>
        <v>#REF!</v>
      </c>
      <c r="GC267" t="e">
        <f>AND('PROG FORM COMPLEM'!#REF!,"AAAAAG9bu7g=")</f>
        <v>#REF!</v>
      </c>
      <c r="GD267" t="e">
        <f>AND('PROG FORM COMPLEM'!#REF!,"AAAAAG9bu7k=")</f>
        <v>#REF!</v>
      </c>
      <c r="GE267">
        <f>IF('PROG FORM COMPLEM'!170:170,"AAAAAG9bu7o=",0)</f>
        <v>0</v>
      </c>
      <c r="GF267" t="e">
        <f>AND('PROG FORM COMPLEM'!B170,"AAAAAG9bu7s=")</f>
        <v>#VALUE!</v>
      </c>
      <c r="GG267" t="e">
        <f>AND('PROG FORM COMPLEM'!C170,"AAAAAG9bu7w=")</f>
        <v>#VALUE!</v>
      </c>
      <c r="GH267" t="e">
        <f>AND('PROG FORM COMPLEM'!D170,"AAAAAG9bu70=")</f>
        <v>#VALUE!</v>
      </c>
      <c r="GI267" t="e">
        <f>AND('PROG FORM COMPLEM'!E170,"AAAAAG9bu74=")</f>
        <v>#VALUE!</v>
      </c>
      <c r="GJ267" t="e">
        <f>AND('PROG FORM COMPLEM'!F170,"AAAAAG9bu78=")</f>
        <v>#VALUE!</v>
      </c>
      <c r="GK267" t="e">
        <f>AND('PROG FORM COMPLEM'!G170,"AAAAAG9bu8A=")</f>
        <v>#VALUE!</v>
      </c>
      <c r="GL267" t="e">
        <f>AND('PROG FORM COMPLEM'!H170,"AAAAAG9bu8E=")</f>
        <v>#VALUE!</v>
      </c>
      <c r="GM267" t="e">
        <f>AND('PROG FORM COMPLEM'!I170,"AAAAAG9bu8I=")</f>
        <v>#VALUE!</v>
      </c>
      <c r="GN267" t="e">
        <f>AND('PROG FORM COMPLEM'!J170,"AAAAAG9bu8M=")</f>
        <v>#VALUE!</v>
      </c>
      <c r="GO267" t="e">
        <f>AND('PROG FORM COMPLEM'!K170,"AAAAAG9bu8Q=")</f>
        <v>#VALUE!</v>
      </c>
      <c r="GP267" t="e">
        <f>AND('PROG FORM COMPLEM'!L170,"AAAAAG9bu8U=")</f>
        <v>#VALUE!</v>
      </c>
      <c r="GQ267" t="e">
        <f>AND('PROG FORM COMPLEM'!M170,"AAAAAG9bu8Y=")</f>
        <v>#VALUE!</v>
      </c>
      <c r="GR267" t="e">
        <f>AND('PROG FORM COMPLEM'!N170,"AAAAAG9bu8c=")</f>
        <v>#VALUE!</v>
      </c>
      <c r="GS267" t="e">
        <f>AND('PROG FORM COMPLEM'!O170,"AAAAAG9bu8g=")</f>
        <v>#VALUE!</v>
      </c>
      <c r="GT267" t="e">
        <f>AND('PROG FORM COMPLEM'!P170,"AAAAAG9bu8k=")</f>
        <v>#VALUE!</v>
      </c>
      <c r="GU267" t="e">
        <f>AND('PROG FORM COMPLEM'!Q170,"AAAAAG9bu8o=")</f>
        <v>#VALUE!</v>
      </c>
      <c r="GV267" t="e">
        <f>AND('PROG FORM COMPLEM'!R170,"AAAAAG9bu8s=")</f>
        <v>#VALUE!</v>
      </c>
      <c r="GW267" t="e">
        <f>AND('PROG FORM COMPLEM'!S170,"AAAAAG9bu8w=")</f>
        <v>#VALUE!</v>
      </c>
      <c r="GX267" t="e">
        <f>AND('PROG FORM COMPLEM'!T170,"AAAAAG9bu80=")</f>
        <v>#VALUE!</v>
      </c>
      <c r="GY267" t="e">
        <f>AND('PROG FORM COMPLEM'!U170,"AAAAAG9bu84=")</f>
        <v>#VALUE!</v>
      </c>
      <c r="GZ267" t="e">
        <f>AND('PROG FORM COMPLEM'!V170,"AAAAAG9bu88=")</f>
        <v>#VALUE!</v>
      </c>
      <c r="HA267" t="e">
        <f>AND('PROG FORM COMPLEM'!W170,"AAAAAG9bu9A=")</f>
        <v>#VALUE!</v>
      </c>
      <c r="HB267" t="e">
        <f>IF('PROG FORM COMPLEM'!#REF!,"AAAAAG9bu9E=",0)</f>
        <v>#REF!</v>
      </c>
      <c r="HC267" t="e">
        <f>AND('PROG FORM COMPLEM'!#REF!,"AAAAAG9bu9I=")</f>
        <v>#REF!</v>
      </c>
      <c r="HD267" t="e">
        <f>AND('PROG FORM COMPLEM'!#REF!,"AAAAAG9bu9M=")</f>
        <v>#REF!</v>
      </c>
      <c r="HE267" t="e">
        <f>AND('PROG FORM COMPLEM'!#REF!,"AAAAAG9bu9Q=")</f>
        <v>#REF!</v>
      </c>
      <c r="HF267" t="e">
        <f>AND('PROG FORM COMPLEM'!#REF!,"AAAAAG9bu9U=")</f>
        <v>#REF!</v>
      </c>
      <c r="HG267" t="e">
        <f>AND('PROG FORM COMPLEM'!#REF!,"AAAAAG9bu9Y=")</f>
        <v>#REF!</v>
      </c>
      <c r="HH267" t="e">
        <f>AND('PROG FORM COMPLEM'!#REF!,"AAAAAG9bu9c=")</f>
        <v>#REF!</v>
      </c>
      <c r="HI267" t="e">
        <f>AND('PROG FORM COMPLEM'!#REF!,"AAAAAG9bu9g=")</f>
        <v>#REF!</v>
      </c>
      <c r="HJ267" t="e">
        <f>AND('PROG FORM COMPLEM'!#REF!,"AAAAAG9bu9k=")</f>
        <v>#REF!</v>
      </c>
      <c r="HK267" t="e">
        <f>AND('PROG FORM COMPLEM'!#REF!,"AAAAAG9bu9o=")</f>
        <v>#REF!</v>
      </c>
      <c r="HL267" t="e">
        <f>AND('PROG FORM COMPLEM'!#REF!,"AAAAAG9bu9s=")</f>
        <v>#REF!</v>
      </c>
      <c r="HM267" t="e">
        <f>AND('PROG FORM COMPLEM'!#REF!,"AAAAAG9bu9w=")</f>
        <v>#REF!</v>
      </c>
      <c r="HN267" t="e">
        <f>AND('PROG FORM COMPLEM'!#REF!,"AAAAAG9bu90=")</f>
        <v>#REF!</v>
      </c>
      <c r="HO267" t="e">
        <f>AND('PROG FORM COMPLEM'!#REF!,"AAAAAG9bu94=")</f>
        <v>#REF!</v>
      </c>
      <c r="HP267" t="e">
        <f>AND('PROG FORM COMPLEM'!#REF!,"AAAAAG9bu98=")</f>
        <v>#REF!</v>
      </c>
      <c r="HQ267" t="e">
        <f>AND('PROG FORM COMPLEM'!#REF!,"AAAAAG9bu+A=")</f>
        <v>#REF!</v>
      </c>
      <c r="HR267" t="e">
        <f>AND('PROG FORM COMPLEM'!#REF!,"AAAAAG9bu+E=")</f>
        <v>#REF!</v>
      </c>
      <c r="HS267" t="e">
        <f>AND('PROG FORM COMPLEM'!#REF!,"AAAAAG9bu+I=")</f>
        <v>#REF!</v>
      </c>
      <c r="HT267" t="e">
        <f>AND('PROG FORM COMPLEM'!#REF!,"AAAAAG9bu+M=")</f>
        <v>#REF!</v>
      </c>
      <c r="HU267" t="e">
        <f>AND('PROG FORM COMPLEM'!#REF!,"AAAAAG9bu+Q=")</f>
        <v>#REF!</v>
      </c>
      <c r="HV267" t="e">
        <f>AND('PROG FORM COMPLEM'!#REF!,"AAAAAG9bu+U=")</f>
        <v>#REF!</v>
      </c>
      <c r="HW267" t="e">
        <f>AND('PROG FORM COMPLEM'!#REF!,"AAAAAG9bu+Y=")</f>
        <v>#REF!</v>
      </c>
      <c r="HX267" t="e">
        <f>AND('PROG FORM COMPLEM'!#REF!,"AAAAAG9bu+c=")</f>
        <v>#REF!</v>
      </c>
      <c r="HY267" t="e">
        <f>IF('PROG FORM COMPLEM'!#REF!,"AAAAAG9bu+g=",0)</f>
        <v>#REF!</v>
      </c>
      <c r="HZ267" t="e">
        <f>AND('PROG FORM COMPLEM'!#REF!,"AAAAAG9bu+k=")</f>
        <v>#REF!</v>
      </c>
      <c r="IA267" t="e">
        <f>AND('PROG FORM COMPLEM'!#REF!,"AAAAAG9bu+o=")</f>
        <v>#REF!</v>
      </c>
      <c r="IB267" t="e">
        <f>AND('PROG FORM COMPLEM'!#REF!,"AAAAAG9bu+s=")</f>
        <v>#REF!</v>
      </c>
      <c r="IC267" t="e">
        <f>AND('PROG FORM COMPLEM'!#REF!,"AAAAAG9bu+w=")</f>
        <v>#REF!</v>
      </c>
      <c r="ID267" t="e">
        <f>AND('PROG FORM COMPLEM'!#REF!,"AAAAAG9bu+0=")</f>
        <v>#REF!</v>
      </c>
      <c r="IE267" t="e">
        <f>AND('PROG FORM COMPLEM'!#REF!,"AAAAAG9bu+4=")</f>
        <v>#REF!</v>
      </c>
      <c r="IF267" t="e">
        <f>AND('PROG FORM COMPLEM'!#REF!,"AAAAAG9bu+8=")</f>
        <v>#REF!</v>
      </c>
      <c r="IG267" t="e">
        <f>AND('PROG FORM COMPLEM'!#REF!,"AAAAAG9bu/A=")</f>
        <v>#REF!</v>
      </c>
      <c r="IH267" t="e">
        <f>AND('PROG FORM COMPLEM'!#REF!,"AAAAAG9bu/E=")</f>
        <v>#REF!</v>
      </c>
      <c r="II267" t="e">
        <f>AND('PROG FORM COMPLEM'!#REF!,"AAAAAG9bu/I=")</f>
        <v>#REF!</v>
      </c>
      <c r="IJ267" t="e">
        <f>AND('PROG FORM COMPLEM'!#REF!,"AAAAAG9bu/M=")</f>
        <v>#REF!</v>
      </c>
      <c r="IK267" t="e">
        <f>AND('PROG FORM COMPLEM'!#REF!,"AAAAAG9bu/Q=")</f>
        <v>#REF!</v>
      </c>
      <c r="IL267" t="e">
        <f>AND('PROG FORM COMPLEM'!#REF!,"AAAAAG9bu/U=")</f>
        <v>#REF!</v>
      </c>
      <c r="IM267" t="e">
        <f>AND('PROG FORM COMPLEM'!#REF!,"AAAAAG9bu/Y=")</f>
        <v>#REF!</v>
      </c>
      <c r="IN267" t="e">
        <f>AND('PROG FORM COMPLEM'!#REF!,"AAAAAG9bu/c=")</f>
        <v>#REF!</v>
      </c>
      <c r="IO267" t="e">
        <f>AND('PROG FORM COMPLEM'!#REF!,"AAAAAG9bu/g=")</f>
        <v>#REF!</v>
      </c>
      <c r="IP267" t="e">
        <f>AND('PROG FORM COMPLEM'!#REF!,"AAAAAG9bu/k=")</f>
        <v>#REF!</v>
      </c>
      <c r="IQ267" t="e">
        <f>AND('PROG FORM COMPLEM'!#REF!,"AAAAAG9bu/o=")</f>
        <v>#REF!</v>
      </c>
      <c r="IR267" t="e">
        <f>AND('PROG FORM COMPLEM'!#REF!,"AAAAAG9bu/s=")</f>
        <v>#REF!</v>
      </c>
      <c r="IS267" t="e">
        <f>AND('PROG FORM COMPLEM'!#REF!,"AAAAAG9bu/w=")</f>
        <v>#REF!</v>
      </c>
      <c r="IT267" t="e">
        <f>AND('PROG FORM COMPLEM'!#REF!,"AAAAAG9bu/0=")</f>
        <v>#REF!</v>
      </c>
      <c r="IU267" t="e">
        <f>AND('PROG FORM COMPLEM'!#REF!,"AAAAAG9bu/4=")</f>
        <v>#REF!</v>
      </c>
      <c r="IV267" t="e">
        <f>IF('PROG FORM COMPLEM'!#REF!,"AAAAAG9bu/8=",0)</f>
        <v>#REF!</v>
      </c>
    </row>
    <row r="268" spans="1:256" x14ac:dyDescent="0.2">
      <c r="A268" t="e">
        <f>AND('PROG FORM COMPLEM'!#REF!,"AAAAAF6fzQA=")</f>
        <v>#REF!</v>
      </c>
      <c r="B268" t="e">
        <f>AND('PROG FORM COMPLEM'!#REF!,"AAAAAF6fzQE=")</f>
        <v>#REF!</v>
      </c>
      <c r="C268" t="e">
        <f>AND('PROG FORM COMPLEM'!#REF!,"AAAAAF6fzQI=")</f>
        <v>#REF!</v>
      </c>
      <c r="D268" t="e">
        <f>AND('PROG FORM COMPLEM'!#REF!,"AAAAAF6fzQM=")</f>
        <v>#REF!</v>
      </c>
      <c r="E268" t="e">
        <f>AND('PROG FORM COMPLEM'!#REF!,"AAAAAF6fzQQ=")</f>
        <v>#REF!</v>
      </c>
      <c r="F268" t="e">
        <f>AND('PROG FORM COMPLEM'!#REF!,"AAAAAF6fzQU=")</f>
        <v>#REF!</v>
      </c>
      <c r="G268" t="e">
        <f>AND('PROG FORM COMPLEM'!#REF!,"AAAAAF6fzQY=")</f>
        <v>#REF!</v>
      </c>
      <c r="H268" t="e">
        <f>AND('PROG FORM COMPLEM'!#REF!,"AAAAAF6fzQc=")</f>
        <v>#REF!</v>
      </c>
      <c r="I268" t="e">
        <f>AND('PROG FORM COMPLEM'!#REF!,"AAAAAF6fzQg=")</f>
        <v>#REF!</v>
      </c>
      <c r="J268" t="e">
        <f>AND('PROG FORM COMPLEM'!#REF!,"AAAAAF6fzQk=")</f>
        <v>#REF!</v>
      </c>
      <c r="K268" t="e">
        <f>AND('PROG FORM COMPLEM'!#REF!,"AAAAAF6fzQo=")</f>
        <v>#REF!</v>
      </c>
      <c r="L268" t="e">
        <f>AND('PROG FORM COMPLEM'!#REF!,"AAAAAF6fzQs=")</f>
        <v>#REF!</v>
      </c>
      <c r="M268" t="e">
        <f>AND('PROG FORM COMPLEM'!#REF!,"AAAAAF6fzQw=")</f>
        <v>#REF!</v>
      </c>
      <c r="N268" t="e">
        <f>AND('PROG FORM COMPLEM'!#REF!,"AAAAAF6fzQ0=")</f>
        <v>#REF!</v>
      </c>
      <c r="O268" t="e">
        <f>AND('PROG FORM COMPLEM'!#REF!,"AAAAAF6fzQ4=")</f>
        <v>#REF!</v>
      </c>
      <c r="P268" t="e">
        <f>AND('PROG FORM COMPLEM'!#REF!,"AAAAAF6fzQ8=")</f>
        <v>#REF!</v>
      </c>
      <c r="Q268" t="e">
        <f>AND('PROG FORM COMPLEM'!#REF!,"AAAAAF6fzRA=")</f>
        <v>#REF!</v>
      </c>
      <c r="R268" t="e">
        <f>AND('PROG FORM COMPLEM'!#REF!,"AAAAAF6fzRE=")</f>
        <v>#REF!</v>
      </c>
      <c r="S268" t="e">
        <f>AND('PROG FORM COMPLEM'!#REF!,"AAAAAF6fzRI=")</f>
        <v>#REF!</v>
      </c>
      <c r="T268" t="e">
        <f>AND('PROG FORM COMPLEM'!#REF!,"AAAAAF6fzRM=")</f>
        <v>#REF!</v>
      </c>
      <c r="U268" t="e">
        <f>AND('PROG FORM COMPLEM'!#REF!,"AAAAAF6fzRQ=")</f>
        <v>#REF!</v>
      </c>
      <c r="V268" t="e">
        <f>AND('PROG FORM COMPLEM'!#REF!,"AAAAAF6fzRU=")</f>
        <v>#REF!</v>
      </c>
      <c r="W268" t="e">
        <f>IF('PROG FORM COMPLEM'!#REF!,"AAAAAF6fzRY=",0)</f>
        <v>#REF!</v>
      </c>
      <c r="X268" t="e">
        <f>AND('PROG FORM COMPLEM'!#REF!,"AAAAAF6fzRc=")</f>
        <v>#REF!</v>
      </c>
      <c r="Y268" t="e">
        <f>AND('PROG FORM COMPLEM'!#REF!,"AAAAAF6fzRg=")</f>
        <v>#REF!</v>
      </c>
      <c r="Z268" t="e">
        <f>AND('PROG FORM COMPLEM'!#REF!,"AAAAAF6fzRk=")</f>
        <v>#REF!</v>
      </c>
      <c r="AA268" t="e">
        <f>AND('PROG FORM COMPLEM'!#REF!,"AAAAAF6fzRo=")</f>
        <v>#REF!</v>
      </c>
      <c r="AB268" t="e">
        <f>AND('PROG FORM COMPLEM'!#REF!,"AAAAAF6fzRs=")</f>
        <v>#REF!</v>
      </c>
      <c r="AC268" t="e">
        <f>AND('PROG FORM COMPLEM'!#REF!,"AAAAAF6fzRw=")</f>
        <v>#REF!</v>
      </c>
      <c r="AD268" t="e">
        <f>AND('PROG FORM COMPLEM'!#REF!,"AAAAAF6fzR0=")</f>
        <v>#REF!</v>
      </c>
      <c r="AE268" t="e">
        <f>AND('PROG FORM COMPLEM'!#REF!,"AAAAAF6fzR4=")</f>
        <v>#REF!</v>
      </c>
      <c r="AF268" t="e">
        <f>AND('PROG FORM COMPLEM'!#REF!,"AAAAAF6fzR8=")</f>
        <v>#REF!</v>
      </c>
      <c r="AG268" t="e">
        <f>AND('PROG FORM COMPLEM'!#REF!,"AAAAAF6fzSA=")</f>
        <v>#REF!</v>
      </c>
      <c r="AH268" t="e">
        <f>AND('PROG FORM COMPLEM'!#REF!,"AAAAAF6fzSE=")</f>
        <v>#REF!</v>
      </c>
      <c r="AI268" t="e">
        <f>AND('PROG FORM COMPLEM'!#REF!,"AAAAAF6fzSI=")</f>
        <v>#REF!</v>
      </c>
      <c r="AJ268" t="e">
        <f>AND('PROG FORM COMPLEM'!#REF!,"AAAAAF6fzSM=")</f>
        <v>#REF!</v>
      </c>
      <c r="AK268" t="e">
        <f>AND('PROG FORM COMPLEM'!#REF!,"AAAAAF6fzSQ=")</f>
        <v>#REF!</v>
      </c>
      <c r="AL268" t="e">
        <f>AND('PROG FORM COMPLEM'!#REF!,"AAAAAF6fzSU=")</f>
        <v>#REF!</v>
      </c>
      <c r="AM268" t="e">
        <f>AND('PROG FORM COMPLEM'!#REF!,"AAAAAF6fzSY=")</f>
        <v>#REF!</v>
      </c>
      <c r="AN268" t="e">
        <f>AND('PROG FORM COMPLEM'!#REF!,"AAAAAF6fzSc=")</f>
        <v>#REF!</v>
      </c>
      <c r="AO268" t="e">
        <f>AND('PROG FORM COMPLEM'!#REF!,"AAAAAF6fzSg=")</f>
        <v>#REF!</v>
      </c>
      <c r="AP268" t="e">
        <f>AND('PROG FORM COMPLEM'!#REF!,"AAAAAF6fzSk=")</f>
        <v>#REF!</v>
      </c>
      <c r="AQ268" t="e">
        <f>AND('PROG FORM COMPLEM'!#REF!,"AAAAAF6fzSo=")</f>
        <v>#REF!</v>
      </c>
      <c r="AR268" t="e">
        <f>AND('PROG FORM COMPLEM'!#REF!,"AAAAAF6fzSs=")</f>
        <v>#REF!</v>
      </c>
      <c r="AS268" t="e">
        <f>AND('PROG FORM COMPLEM'!#REF!,"AAAAAF6fzSw=")</f>
        <v>#REF!</v>
      </c>
      <c r="AT268" t="e">
        <f>IF('PROG FORM COMPLEM'!#REF!,"AAAAAF6fzS0=",0)</f>
        <v>#REF!</v>
      </c>
      <c r="AU268" t="e">
        <f>AND('PROG FORM COMPLEM'!#REF!,"AAAAAF6fzS4=")</f>
        <v>#REF!</v>
      </c>
      <c r="AV268" t="e">
        <f>AND('PROG FORM COMPLEM'!#REF!,"AAAAAF6fzS8=")</f>
        <v>#REF!</v>
      </c>
      <c r="AW268" t="e">
        <f>AND('PROG FORM COMPLEM'!#REF!,"AAAAAF6fzTA=")</f>
        <v>#REF!</v>
      </c>
      <c r="AX268" t="e">
        <f>AND('PROG FORM COMPLEM'!#REF!,"AAAAAF6fzTE=")</f>
        <v>#REF!</v>
      </c>
      <c r="AY268" t="e">
        <f>AND('PROG FORM COMPLEM'!#REF!,"AAAAAF6fzTI=")</f>
        <v>#REF!</v>
      </c>
      <c r="AZ268" t="e">
        <f>AND('PROG FORM COMPLEM'!#REF!,"AAAAAF6fzTM=")</f>
        <v>#REF!</v>
      </c>
      <c r="BA268" t="e">
        <f>AND('PROG FORM COMPLEM'!#REF!,"AAAAAF6fzTQ=")</f>
        <v>#REF!</v>
      </c>
      <c r="BB268" t="e">
        <f>AND('PROG FORM COMPLEM'!#REF!,"AAAAAF6fzTU=")</f>
        <v>#REF!</v>
      </c>
      <c r="BC268" t="e">
        <f>AND('PROG FORM COMPLEM'!#REF!,"AAAAAF6fzTY=")</f>
        <v>#REF!</v>
      </c>
      <c r="BD268" t="e">
        <f>AND('PROG FORM COMPLEM'!#REF!,"AAAAAF6fzTc=")</f>
        <v>#REF!</v>
      </c>
      <c r="BE268" t="e">
        <f>AND('PROG FORM COMPLEM'!#REF!,"AAAAAF6fzTg=")</f>
        <v>#REF!</v>
      </c>
      <c r="BF268" t="e">
        <f>AND('PROG FORM COMPLEM'!#REF!,"AAAAAF6fzTk=")</f>
        <v>#REF!</v>
      </c>
      <c r="BG268" t="e">
        <f>AND('PROG FORM COMPLEM'!#REF!,"AAAAAF6fzTo=")</f>
        <v>#REF!</v>
      </c>
      <c r="BH268" t="e">
        <f>AND('PROG FORM COMPLEM'!#REF!,"AAAAAF6fzTs=")</f>
        <v>#REF!</v>
      </c>
      <c r="BI268" t="e">
        <f>AND('PROG FORM COMPLEM'!#REF!,"AAAAAF6fzTw=")</f>
        <v>#REF!</v>
      </c>
      <c r="BJ268" t="e">
        <f>AND('PROG FORM COMPLEM'!#REF!,"AAAAAF6fzT0=")</f>
        <v>#REF!</v>
      </c>
      <c r="BK268" t="e">
        <f>AND('PROG FORM COMPLEM'!#REF!,"AAAAAF6fzT4=")</f>
        <v>#REF!</v>
      </c>
      <c r="BL268" t="e">
        <f>AND('PROG FORM COMPLEM'!#REF!,"AAAAAF6fzT8=")</f>
        <v>#REF!</v>
      </c>
      <c r="BM268" t="e">
        <f>AND('PROG FORM COMPLEM'!#REF!,"AAAAAF6fzUA=")</f>
        <v>#REF!</v>
      </c>
      <c r="BN268" t="e">
        <f>AND('PROG FORM COMPLEM'!#REF!,"AAAAAF6fzUE=")</f>
        <v>#REF!</v>
      </c>
      <c r="BO268" t="e">
        <f>AND('PROG FORM COMPLEM'!#REF!,"AAAAAF6fzUI=")</f>
        <v>#REF!</v>
      </c>
      <c r="BP268" t="e">
        <f>AND('PROG FORM COMPLEM'!#REF!,"AAAAAF6fzUM=")</f>
        <v>#REF!</v>
      </c>
      <c r="BQ268">
        <f>IF('PROG FORM COMPLEM'!175:175,"AAAAAF6fzUQ=",0)</f>
        <v>0</v>
      </c>
      <c r="BR268" t="e">
        <f>AND('PROG FORM COMPLEM'!B175,"AAAAAF6fzUU=")</f>
        <v>#VALUE!</v>
      </c>
      <c r="BS268" t="e">
        <f>AND('PROG FORM COMPLEM'!C175,"AAAAAF6fzUY=")</f>
        <v>#VALUE!</v>
      </c>
      <c r="BT268" t="e">
        <f>AND('PROG FORM COMPLEM'!D175,"AAAAAF6fzUc=")</f>
        <v>#VALUE!</v>
      </c>
      <c r="BU268" t="e">
        <f>AND('PROG FORM COMPLEM'!E175,"AAAAAF6fzUg=")</f>
        <v>#VALUE!</v>
      </c>
      <c r="BV268" t="e">
        <f>AND('PROG FORM COMPLEM'!F175,"AAAAAF6fzUk=")</f>
        <v>#VALUE!</v>
      </c>
      <c r="BW268" t="e">
        <f>AND('PROG FORM COMPLEM'!G175,"AAAAAF6fzUo=")</f>
        <v>#VALUE!</v>
      </c>
      <c r="BX268" t="e">
        <f>AND('PROG FORM COMPLEM'!H175,"AAAAAF6fzUs=")</f>
        <v>#VALUE!</v>
      </c>
      <c r="BY268" t="e">
        <f>AND('PROG FORM COMPLEM'!I175,"AAAAAF6fzUw=")</f>
        <v>#VALUE!</v>
      </c>
      <c r="BZ268" t="e">
        <f>AND('PROG FORM COMPLEM'!J175,"AAAAAF6fzU0=")</f>
        <v>#VALUE!</v>
      </c>
      <c r="CA268" t="e">
        <f>AND('PROG FORM COMPLEM'!K175,"AAAAAF6fzU4=")</f>
        <v>#VALUE!</v>
      </c>
      <c r="CB268" t="e">
        <f>AND('PROG FORM COMPLEM'!L175,"AAAAAF6fzU8=")</f>
        <v>#VALUE!</v>
      </c>
      <c r="CC268" t="e">
        <f>AND('PROG FORM COMPLEM'!M175,"AAAAAF6fzVA=")</f>
        <v>#VALUE!</v>
      </c>
      <c r="CD268" t="e">
        <f>AND('PROG FORM COMPLEM'!N175,"AAAAAF6fzVE=")</f>
        <v>#VALUE!</v>
      </c>
      <c r="CE268" t="e">
        <f>AND('PROG FORM COMPLEM'!O175,"AAAAAF6fzVI=")</f>
        <v>#VALUE!</v>
      </c>
      <c r="CF268" t="e">
        <f>AND('PROG FORM COMPLEM'!P175,"AAAAAF6fzVM=")</f>
        <v>#VALUE!</v>
      </c>
      <c r="CG268" t="e">
        <f>AND('PROG FORM COMPLEM'!Q175,"AAAAAF6fzVQ=")</f>
        <v>#VALUE!</v>
      </c>
      <c r="CH268" t="e">
        <f>AND('PROG FORM COMPLEM'!R175,"AAAAAF6fzVU=")</f>
        <v>#VALUE!</v>
      </c>
      <c r="CI268" t="e">
        <f>AND('PROG FORM COMPLEM'!S175,"AAAAAF6fzVY=")</f>
        <v>#VALUE!</v>
      </c>
      <c r="CJ268" t="e">
        <f>AND('PROG FORM COMPLEM'!T175,"AAAAAF6fzVc=")</f>
        <v>#VALUE!</v>
      </c>
      <c r="CK268" t="e">
        <f>AND('PROG FORM COMPLEM'!U175,"AAAAAF6fzVg=")</f>
        <v>#VALUE!</v>
      </c>
      <c r="CL268" t="e">
        <f>AND('PROG FORM COMPLEM'!V175,"AAAAAF6fzVk=")</f>
        <v>#VALUE!</v>
      </c>
      <c r="CM268" t="e">
        <f>AND('PROG FORM COMPLEM'!W175,"AAAAAF6fzVo=")</f>
        <v>#VALUE!</v>
      </c>
      <c r="CN268">
        <f>IF('PROG FORM COMPLEM'!176:176,"AAAAAF6fzVs=",0)</f>
        <v>0</v>
      </c>
      <c r="CO268" t="e">
        <f>AND('PROG FORM COMPLEM'!B176,"AAAAAF6fzVw=")</f>
        <v>#VALUE!</v>
      </c>
      <c r="CP268" t="e">
        <f>AND('PROG FORM COMPLEM'!C176,"AAAAAF6fzV0=")</f>
        <v>#VALUE!</v>
      </c>
      <c r="CQ268" t="e">
        <f>AND('PROG FORM COMPLEM'!D176,"AAAAAF6fzV4=")</f>
        <v>#VALUE!</v>
      </c>
      <c r="CR268" t="e">
        <f>AND('PROG FORM COMPLEM'!E176,"AAAAAF6fzV8=")</f>
        <v>#VALUE!</v>
      </c>
      <c r="CS268" t="e">
        <f>AND('PROG FORM COMPLEM'!F176,"AAAAAF6fzWA=")</f>
        <v>#VALUE!</v>
      </c>
      <c r="CT268" t="e">
        <f>AND('PROG FORM COMPLEM'!G176,"AAAAAF6fzWE=")</f>
        <v>#VALUE!</v>
      </c>
      <c r="CU268" t="e">
        <f>AND('PROG FORM COMPLEM'!H176,"AAAAAF6fzWI=")</f>
        <v>#VALUE!</v>
      </c>
      <c r="CV268" t="e">
        <f>AND('PROG FORM COMPLEM'!I176,"AAAAAF6fzWM=")</f>
        <v>#VALUE!</v>
      </c>
      <c r="CW268" t="e">
        <f>AND('PROG FORM COMPLEM'!J176,"AAAAAF6fzWQ=")</f>
        <v>#VALUE!</v>
      </c>
      <c r="CX268" t="e">
        <f>AND('PROG FORM COMPLEM'!K176,"AAAAAF6fzWU=")</f>
        <v>#VALUE!</v>
      </c>
      <c r="CY268" t="e">
        <f>AND('PROG FORM COMPLEM'!L176,"AAAAAF6fzWY=")</f>
        <v>#VALUE!</v>
      </c>
      <c r="CZ268" t="e">
        <f>AND('PROG FORM COMPLEM'!M176,"AAAAAF6fzWc=")</f>
        <v>#VALUE!</v>
      </c>
      <c r="DA268" t="e">
        <f>AND('PROG FORM COMPLEM'!N176,"AAAAAF6fzWg=")</f>
        <v>#VALUE!</v>
      </c>
      <c r="DB268" t="e">
        <f>AND('PROG FORM COMPLEM'!O176,"AAAAAF6fzWk=")</f>
        <v>#VALUE!</v>
      </c>
      <c r="DC268" t="e">
        <f>AND('PROG FORM COMPLEM'!P176,"AAAAAF6fzWo=")</f>
        <v>#VALUE!</v>
      </c>
      <c r="DD268" t="e">
        <f>AND('PROG FORM COMPLEM'!Q176,"AAAAAF6fzWs=")</f>
        <v>#VALUE!</v>
      </c>
      <c r="DE268" t="e">
        <f>AND('PROG FORM COMPLEM'!R176,"AAAAAF6fzWw=")</f>
        <v>#VALUE!</v>
      </c>
      <c r="DF268" t="e">
        <f>AND('PROG FORM COMPLEM'!S176,"AAAAAF6fzW0=")</f>
        <v>#VALUE!</v>
      </c>
      <c r="DG268" t="e">
        <f>AND('PROG FORM COMPLEM'!T176,"AAAAAF6fzW4=")</f>
        <v>#VALUE!</v>
      </c>
      <c r="DH268" t="e">
        <f>AND('PROG FORM COMPLEM'!U176,"AAAAAF6fzW8=")</f>
        <v>#VALUE!</v>
      </c>
      <c r="DI268" t="e">
        <f>AND('PROG FORM COMPLEM'!V176,"AAAAAF6fzXA=")</f>
        <v>#VALUE!</v>
      </c>
      <c r="DJ268" t="e">
        <f>AND('PROG FORM COMPLEM'!W176,"AAAAAF6fzXE=")</f>
        <v>#VALUE!</v>
      </c>
      <c r="DK268">
        <f>IF('PROG FORM COMPLEM'!177:177,"AAAAAF6fzXI=",0)</f>
        <v>0</v>
      </c>
      <c r="DL268" t="e">
        <f>AND('PROG FORM COMPLEM'!B177,"AAAAAF6fzXM=")</f>
        <v>#VALUE!</v>
      </c>
      <c r="DM268" t="e">
        <f>AND('PROG FORM COMPLEM'!C177,"AAAAAF6fzXQ=")</f>
        <v>#VALUE!</v>
      </c>
      <c r="DN268" t="e">
        <f>AND('PROG FORM COMPLEM'!D177,"AAAAAF6fzXU=")</f>
        <v>#VALUE!</v>
      </c>
      <c r="DO268" t="e">
        <f>AND('PROG FORM COMPLEM'!E177,"AAAAAF6fzXY=")</f>
        <v>#VALUE!</v>
      </c>
      <c r="DP268" t="e">
        <f>AND('PROG FORM COMPLEM'!F177,"AAAAAF6fzXc=")</f>
        <v>#VALUE!</v>
      </c>
      <c r="DQ268" t="e">
        <f>AND('PROG FORM COMPLEM'!G177,"AAAAAF6fzXg=")</f>
        <v>#VALUE!</v>
      </c>
      <c r="DR268" t="e">
        <f>AND('PROG FORM COMPLEM'!H177,"AAAAAF6fzXk=")</f>
        <v>#VALUE!</v>
      </c>
      <c r="DS268" t="e">
        <f>AND('PROG FORM COMPLEM'!I177,"AAAAAF6fzXo=")</f>
        <v>#VALUE!</v>
      </c>
      <c r="DT268" t="e">
        <f>AND('PROG FORM COMPLEM'!J177,"AAAAAF6fzXs=")</f>
        <v>#VALUE!</v>
      </c>
      <c r="DU268" t="e">
        <f>AND('PROG FORM COMPLEM'!K177,"AAAAAF6fzXw=")</f>
        <v>#VALUE!</v>
      </c>
      <c r="DV268" t="e">
        <f>AND('PROG FORM COMPLEM'!L177,"AAAAAF6fzX0=")</f>
        <v>#VALUE!</v>
      </c>
      <c r="DW268" t="e">
        <f>AND('PROG FORM COMPLEM'!M177,"AAAAAF6fzX4=")</f>
        <v>#VALUE!</v>
      </c>
      <c r="DX268" t="e">
        <f>AND('PROG FORM COMPLEM'!N177,"AAAAAF6fzX8=")</f>
        <v>#VALUE!</v>
      </c>
      <c r="DY268" t="e">
        <f>AND('PROG FORM COMPLEM'!O177,"AAAAAF6fzYA=")</f>
        <v>#VALUE!</v>
      </c>
      <c r="DZ268" t="e">
        <f>AND('PROG FORM COMPLEM'!P177,"AAAAAF6fzYE=")</f>
        <v>#VALUE!</v>
      </c>
      <c r="EA268" t="e">
        <f>AND('PROG FORM COMPLEM'!Q177,"AAAAAF6fzYI=")</f>
        <v>#VALUE!</v>
      </c>
      <c r="EB268" t="e">
        <f>AND('PROG FORM COMPLEM'!R177,"AAAAAF6fzYM=")</f>
        <v>#VALUE!</v>
      </c>
      <c r="EC268" t="e">
        <f>AND('PROG FORM COMPLEM'!S177,"AAAAAF6fzYQ=")</f>
        <v>#VALUE!</v>
      </c>
      <c r="ED268" t="e">
        <f>AND('PROG FORM COMPLEM'!T177,"AAAAAF6fzYU=")</f>
        <v>#VALUE!</v>
      </c>
      <c r="EE268" t="e">
        <f>AND('PROG FORM COMPLEM'!U177,"AAAAAF6fzYY=")</f>
        <v>#VALUE!</v>
      </c>
      <c r="EF268" t="e">
        <f>AND('PROG FORM COMPLEM'!V177,"AAAAAF6fzYc=")</f>
        <v>#VALUE!</v>
      </c>
      <c r="EG268" t="e">
        <f>AND('PROG FORM COMPLEM'!W177,"AAAAAF6fzYg=")</f>
        <v>#VALUE!</v>
      </c>
      <c r="EH268">
        <f>IF('PROG FORM COMPLEM'!179:179,"AAAAAF6fzYk=",0)</f>
        <v>0</v>
      </c>
      <c r="EI268" t="e">
        <f>AND('PROG FORM COMPLEM'!B179,"AAAAAF6fzYo=")</f>
        <v>#VALUE!</v>
      </c>
      <c r="EJ268" t="e">
        <f>AND('PROG FORM COMPLEM'!C179,"AAAAAF6fzYs=")</f>
        <v>#VALUE!</v>
      </c>
      <c r="EK268" t="e">
        <f>AND('PROG FORM COMPLEM'!D179,"AAAAAF6fzYw=")</f>
        <v>#VALUE!</v>
      </c>
      <c r="EL268" t="e">
        <f>AND('PROG FORM COMPLEM'!E179,"AAAAAF6fzY0=")</f>
        <v>#VALUE!</v>
      </c>
      <c r="EM268" t="e">
        <f>AND('PROG FORM COMPLEM'!F179,"AAAAAF6fzY4=")</f>
        <v>#VALUE!</v>
      </c>
      <c r="EN268" t="e">
        <f>AND('PROG FORM COMPLEM'!G179,"AAAAAF6fzY8=")</f>
        <v>#VALUE!</v>
      </c>
      <c r="EO268" t="e">
        <f>AND('PROG FORM COMPLEM'!H179,"AAAAAF6fzZA=")</f>
        <v>#VALUE!</v>
      </c>
      <c r="EP268" t="e">
        <f>AND('PROG FORM COMPLEM'!I179,"AAAAAF6fzZE=")</f>
        <v>#VALUE!</v>
      </c>
      <c r="EQ268" t="e">
        <f>AND('PROG FORM COMPLEM'!J179,"AAAAAF6fzZI=")</f>
        <v>#VALUE!</v>
      </c>
      <c r="ER268" t="e">
        <f>AND('PROG FORM COMPLEM'!K179,"AAAAAF6fzZM=")</f>
        <v>#VALUE!</v>
      </c>
      <c r="ES268" t="e">
        <f>AND('PROG FORM COMPLEM'!L179,"AAAAAF6fzZQ=")</f>
        <v>#VALUE!</v>
      </c>
      <c r="ET268" t="e">
        <f>AND('PROG FORM COMPLEM'!M179,"AAAAAF6fzZU=")</f>
        <v>#VALUE!</v>
      </c>
      <c r="EU268" t="e">
        <f>AND('PROG FORM COMPLEM'!N179,"AAAAAF6fzZY=")</f>
        <v>#VALUE!</v>
      </c>
      <c r="EV268" t="e">
        <f>AND('PROG FORM COMPLEM'!O179,"AAAAAF6fzZc=")</f>
        <v>#VALUE!</v>
      </c>
      <c r="EW268" t="e">
        <f>AND('PROG FORM COMPLEM'!P179,"AAAAAF6fzZg=")</f>
        <v>#VALUE!</v>
      </c>
      <c r="EX268" t="e">
        <f>AND('PROG FORM COMPLEM'!Q179,"AAAAAF6fzZk=")</f>
        <v>#VALUE!</v>
      </c>
      <c r="EY268" t="e">
        <f>AND('PROG FORM COMPLEM'!R179,"AAAAAF6fzZo=")</f>
        <v>#VALUE!</v>
      </c>
      <c r="EZ268" t="e">
        <f>AND('PROG FORM COMPLEM'!S179,"AAAAAF6fzZs=")</f>
        <v>#VALUE!</v>
      </c>
      <c r="FA268" t="e">
        <f>AND('PROG FORM COMPLEM'!T179,"AAAAAF6fzZw=")</f>
        <v>#VALUE!</v>
      </c>
      <c r="FB268" t="e">
        <f>AND('PROG FORM COMPLEM'!U179,"AAAAAF6fzZ0=")</f>
        <v>#VALUE!</v>
      </c>
      <c r="FC268" t="e">
        <f>AND('PROG FORM COMPLEM'!V179,"AAAAAF6fzZ4=")</f>
        <v>#VALUE!</v>
      </c>
      <c r="FD268" t="e">
        <f>AND('PROG FORM COMPLEM'!W179,"AAAAAF6fzZ8=")</f>
        <v>#VALUE!</v>
      </c>
      <c r="FE268">
        <f>IF('PROG FORM COMPLEM'!180:180,"AAAAAF6fzaA=",0)</f>
        <v>0</v>
      </c>
      <c r="FF268" t="e">
        <f>AND('PROG FORM COMPLEM'!B180,"AAAAAF6fzaE=")</f>
        <v>#VALUE!</v>
      </c>
      <c r="FG268" t="e">
        <f>AND('PROG FORM COMPLEM'!C180,"AAAAAF6fzaI=")</f>
        <v>#VALUE!</v>
      </c>
      <c r="FH268" t="e">
        <f>AND('PROG FORM COMPLEM'!D180,"AAAAAF6fzaM=")</f>
        <v>#VALUE!</v>
      </c>
      <c r="FI268" t="e">
        <f>AND('PROG FORM COMPLEM'!E180,"AAAAAF6fzaQ=")</f>
        <v>#VALUE!</v>
      </c>
      <c r="FJ268" t="e">
        <f>AND('PROG FORM COMPLEM'!F180,"AAAAAF6fzaU=")</f>
        <v>#VALUE!</v>
      </c>
      <c r="FK268" t="e">
        <f>AND('PROG FORM COMPLEM'!G180,"AAAAAF6fzaY=")</f>
        <v>#VALUE!</v>
      </c>
      <c r="FL268" t="e">
        <f>AND('PROG FORM COMPLEM'!H180,"AAAAAF6fzac=")</f>
        <v>#VALUE!</v>
      </c>
      <c r="FM268" t="e">
        <f>AND('PROG FORM COMPLEM'!I180,"AAAAAF6fzag=")</f>
        <v>#VALUE!</v>
      </c>
      <c r="FN268" t="e">
        <f>AND('PROG FORM COMPLEM'!J180,"AAAAAF6fzak=")</f>
        <v>#VALUE!</v>
      </c>
      <c r="FO268" t="e">
        <f>AND('PROG FORM COMPLEM'!K180,"AAAAAF6fzao=")</f>
        <v>#VALUE!</v>
      </c>
      <c r="FP268" t="e">
        <f>AND('PROG FORM COMPLEM'!L180,"AAAAAF6fzas=")</f>
        <v>#VALUE!</v>
      </c>
      <c r="FQ268" t="e">
        <f>AND('PROG FORM COMPLEM'!M180,"AAAAAF6fzaw=")</f>
        <v>#VALUE!</v>
      </c>
      <c r="FR268" t="e">
        <f>AND('PROG FORM COMPLEM'!N180,"AAAAAF6fza0=")</f>
        <v>#VALUE!</v>
      </c>
      <c r="FS268" t="e">
        <f>AND('PROG FORM COMPLEM'!O180,"AAAAAF6fza4=")</f>
        <v>#VALUE!</v>
      </c>
      <c r="FT268" t="e">
        <f>AND('PROG FORM COMPLEM'!P180,"AAAAAF6fza8=")</f>
        <v>#VALUE!</v>
      </c>
      <c r="FU268" t="e">
        <f>AND('PROG FORM COMPLEM'!Q180,"AAAAAF6fzbA=")</f>
        <v>#VALUE!</v>
      </c>
      <c r="FV268" t="e">
        <f>AND('PROG FORM COMPLEM'!R180,"AAAAAF6fzbE=")</f>
        <v>#VALUE!</v>
      </c>
      <c r="FW268" t="e">
        <f>AND('PROG FORM COMPLEM'!S180,"AAAAAF6fzbI=")</f>
        <v>#VALUE!</v>
      </c>
      <c r="FX268" t="e">
        <f>AND('PROG FORM COMPLEM'!T180,"AAAAAF6fzbM=")</f>
        <v>#VALUE!</v>
      </c>
      <c r="FY268" t="e">
        <f>AND('PROG FORM COMPLEM'!U180,"AAAAAF6fzbQ=")</f>
        <v>#VALUE!</v>
      </c>
      <c r="FZ268" t="e">
        <f>AND('PROG FORM COMPLEM'!V180,"AAAAAF6fzbU=")</f>
        <v>#VALUE!</v>
      </c>
      <c r="GA268" t="e">
        <f>AND('PROG FORM COMPLEM'!W180,"AAAAAF6fzbY=")</f>
        <v>#VALUE!</v>
      </c>
      <c r="GB268">
        <f>IF('PROG FORM COMPLEM'!184:184,"AAAAAF6fzbc=",0)</f>
        <v>0</v>
      </c>
      <c r="GC268" t="e">
        <f>AND('PROG FORM COMPLEM'!B184,"AAAAAF6fzbg=")</f>
        <v>#VALUE!</v>
      </c>
      <c r="GD268" t="e">
        <f>AND('PROG FORM COMPLEM'!C184,"AAAAAF6fzbk=")</f>
        <v>#VALUE!</v>
      </c>
      <c r="GE268" t="e">
        <f>AND('PROG FORM COMPLEM'!D184,"AAAAAF6fzbo=")</f>
        <v>#VALUE!</v>
      </c>
      <c r="GF268" t="e">
        <f>AND('PROG FORM COMPLEM'!E184,"AAAAAF6fzbs=")</f>
        <v>#VALUE!</v>
      </c>
      <c r="GG268" t="e">
        <f>AND('PROG FORM COMPLEM'!F184,"AAAAAF6fzbw=")</f>
        <v>#VALUE!</v>
      </c>
      <c r="GH268" t="e">
        <f>AND('PROG FORM COMPLEM'!G184,"AAAAAF6fzb0=")</f>
        <v>#VALUE!</v>
      </c>
      <c r="GI268" t="e">
        <f>AND('PROG FORM COMPLEM'!H184,"AAAAAF6fzb4=")</f>
        <v>#VALUE!</v>
      </c>
      <c r="GJ268" t="e">
        <f>AND('PROG FORM COMPLEM'!I184,"AAAAAF6fzb8=")</f>
        <v>#VALUE!</v>
      </c>
      <c r="GK268" t="e">
        <f>AND('PROG FORM COMPLEM'!J184,"AAAAAF6fzcA=")</f>
        <v>#VALUE!</v>
      </c>
      <c r="GL268" t="e">
        <f>AND('PROG FORM COMPLEM'!K184,"AAAAAF6fzcE=")</f>
        <v>#VALUE!</v>
      </c>
      <c r="GM268" t="e">
        <f>AND('PROG FORM COMPLEM'!L184,"AAAAAF6fzcI=")</f>
        <v>#VALUE!</v>
      </c>
      <c r="GN268" t="e">
        <f>AND('PROG FORM COMPLEM'!M184,"AAAAAF6fzcM=")</f>
        <v>#VALUE!</v>
      </c>
      <c r="GO268" t="e">
        <f>AND('PROG FORM COMPLEM'!N184,"AAAAAF6fzcQ=")</f>
        <v>#VALUE!</v>
      </c>
      <c r="GP268" t="e">
        <f>AND('PROG FORM COMPLEM'!O184,"AAAAAF6fzcU=")</f>
        <v>#VALUE!</v>
      </c>
      <c r="GQ268" t="e">
        <f>AND('PROG FORM COMPLEM'!P184,"AAAAAF6fzcY=")</f>
        <v>#VALUE!</v>
      </c>
      <c r="GR268" t="e">
        <f>AND('PROG FORM COMPLEM'!Q184,"AAAAAF6fzcc=")</f>
        <v>#VALUE!</v>
      </c>
      <c r="GS268" t="e">
        <f>AND('PROG FORM COMPLEM'!R184,"AAAAAF6fzcg=")</f>
        <v>#VALUE!</v>
      </c>
      <c r="GT268" t="e">
        <f>AND('PROG FORM COMPLEM'!S184,"AAAAAF6fzck=")</f>
        <v>#VALUE!</v>
      </c>
      <c r="GU268" t="e">
        <f>AND('PROG FORM COMPLEM'!T184,"AAAAAF6fzco=")</f>
        <v>#VALUE!</v>
      </c>
      <c r="GV268" t="e">
        <f>AND('PROG FORM COMPLEM'!U184,"AAAAAF6fzcs=")</f>
        <v>#VALUE!</v>
      </c>
      <c r="GW268" t="e">
        <f>AND('PROG FORM COMPLEM'!V184,"AAAAAF6fzcw=")</f>
        <v>#VALUE!</v>
      </c>
      <c r="GX268" t="e">
        <f>AND('PROG FORM COMPLEM'!W184,"AAAAAF6fzc0=")</f>
        <v>#VALUE!</v>
      </c>
      <c r="GY268" t="e">
        <f>IF('PROG FORM COMPLEM'!#REF!,"AAAAAF6fzc4=",0)</f>
        <v>#REF!</v>
      </c>
      <c r="GZ268" t="e">
        <f>AND('PROG FORM COMPLEM'!#REF!,"AAAAAF6fzc8=")</f>
        <v>#REF!</v>
      </c>
      <c r="HA268" t="e">
        <f>AND('PROG FORM COMPLEM'!#REF!,"AAAAAF6fzdA=")</f>
        <v>#REF!</v>
      </c>
      <c r="HB268" t="e">
        <f>AND('PROG FORM COMPLEM'!#REF!,"AAAAAF6fzdE=")</f>
        <v>#REF!</v>
      </c>
      <c r="HC268" t="e">
        <f>AND('PROG FORM COMPLEM'!#REF!,"AAAAAF6fzdI=")</f>
        <v>#REF!</v>
      </c>
      <c r="HD268" t="e">
        <f>AND('PROG FORM COMPLEM'!#REF!,"AAAAAF6fzdM=")</f>
        <v>#REF!</v>
      </c>
      <c r="HE268" t="e">
        <f>AND('PROG FORM COMPLEM'!#REF!,"AAAAAF6fzdQ=")</f>
        <v>#REF!</v>
      </c>
      <c r="HF268" t="e">
        <f>AND('PROG FORM COMPLEM'!#REF!,"AAAAAF6fzdU=")</f>
        <v>#REF!</v>
      </c>
      <c r="HG268" t="e">
        <f>AND('PROG FORM COMPLEM'!#REF!,"AAAAAF6fzdY=")</f>
        <v>#REF!</v>
      </c>
      <c r="HH268" t="e">
        <f>AND('PROG FORM COMPLEM'!#REF!,"AAAAAF6fzdc=")</f>
        <v>#REF!</v>
      </c>
      <c r="HI268" t="e">
        <f>AND('PROG FORM COMPLEM'!#REF!,"AAAAAF6fzdg=")</f>
        <v>#REF!</v>
      </c>
      <c r="HJ268" t="e">
        <f>AND('PROG FORM COMPLEM'!#REF!,"AAAAAF6fzdk=")</f>
        <v>#REF!</v>
      </c>
      <c r="HK268" t="e">
        <f>AND('PROG FORM COMPLEM'!#REF!,"AAAAAF6fzdo=")</f>
        <v>#REF!</v>
      </c>
      <c r="HL268" t="e">
        <f>AND('PROG FORM COMPLEM'!#REF!,"AAAAAF6fzds=")</f>
        <v>#REF!</v>
      </c>
      <c r="HM268" t="e">
        <f>AND('PROG FORM COMPLEM'!#REF!,"AAAAAF6fzdw=")</f>
        <v>#REF!</v>
      </c>
      <c r="HN268" t="e">
        <f>AND('PROG FORM COMPLEM'!#REF!,"AAAAAF6fzd0=")</f>
        <v>#REF!</v>
      </c>
      <c r="HO268" t="e">
        <f>AND('PROG FORM COMPLEM'!#REF!,"AAAAAF6fzd4=")</f>
        <v>#REF!</v>
      </c>
      <c r="HP268" t="e">
        <f>AND('PROG FORM COMPLEM'!#REF!,"AAAAAF6fzd8=")</f>
        <v>#REF!</v>
      </c>
      <c r="HQ268" t="e">
        <f>AND('PROG FORM COMPLEM'!#REF!,"AAAAAF6fzeA=")</f>
        <v>#REF!</v>
      </c>
      <c r="HR268" t="e">
        <f>AND('PROG FORM COMPLEM'!#REF!,"AAAAAF6fzeE=")</f>
        <v>#REF!</v>
      </c>
      <c r="HS268" t="e">
        <f>AND('PROG FORM COMPLEM'!#REF!,"AAAAAF6fzeI=")</f>
        <v>#REF!</v>
      </c>
      <c r="HT268" t="e">
        <f>AND('PROG FORM COMPLEM'!#REF!,"AAAAAF6fzeM=")</f>
        <v>#REF!</v>
      </c>
      <c r="HU268" t="e">
        <f>AND('PROG FORM COMPLEM'!#REF!,"AAAAAF6fzeQ=")</f>
        <v>#REF!</v>
      </c>
      <c r="HV268">
        <f>IF('PROG FORM COMPLEM'!186:186,"AAAAAF6fzeU=",0)</f>
        <v>0</v>
      </c>
      <c r="HW268" t="e">
        <f>AND('PROG FORM COMPLEM'!B186,"AAAAAF6fzeY=")</f>
        <v>#VALUE!</v>
      </c>
      <c r="HX268" t="e">
        <f>AND('PROG FORM COMPLEM'!C186,"AAAAAF6fzec=")</f>
        <v>#VALUE!</v>
      </c>
      <c r="HY268" t="e">
        <f>AND('PROG FORM COMPLEM'!#REF!,"AAAAAF6fzeg=")</f>
        <v>#REF!</v>
      </c>
      <c r="HZ268" t="e">
        <f>AND('PROG FORM COMPLEM'!E186,"AAAAAF6fzek=")</f>
        <v>#VALUE!</v>
      </c>
      <c r="IA268" t="e">
        <f>AND('PROG FORM COMPLEM'!F186,"AAAAAF6fzeo=")</f>
        <v>#VALUE!</v>
      </c>
      <c r="IB268" t="e">
        <f>AND('PROG FORM COMPLEM'!G186,"AAAAAF6fzes=")</f>
        <v>#VALUE!</v>
      </c>
      <c r="IC268" t="e">
        <f>AND('PROG FORM COMPLEM'!H186,"AAAAAF6fzew=")</f>
        <v>#VALUE!</v>
      </c>
      <c r="ID268" t="e">
        <f>AND('PROG FORM COMPLEM'!I186,"AAAAAF6fze0=")</f>
        <v>#VALUE!</v>
      </c>
      <c r="IE268" t="e">
        <f>AND('PROG FORM COMPLEM'!J186,"AAAAAF6fze4=")</f>
        <v>#VALUE!</v>
      </c>
      <c r="IF268" t="e">
        <f>AND('PROG FORM COMPLEM'!K186,"AAAAAF6fze8=")</f>
        <v>#VALUE!</v>
      </c>
      <c r="IG268" t="e">
        <f>AND('PROG FORM COMPLEM'!L186,"AAAAAF6fzfA=")</f>
        <v>#VALUE!</v>
      </c>
      <c r="IH268" t="e">
        <f>AND('PROG FORM COMPLEM'!M186,"AAAAAF6fzfE=")</f>
        <v>#VALUE!</v>
      </c>
      <c r="II268" t="e">
        <f>AND('PROG FORM COMPLEM'!N186,"AAAAAF6fzfI=")</f>
        <v>#VALUE!</v>
      </c>
      <c r="IJ268" t="e">
        <f>AND('PROG FORM COMPLEM'!O186,"AAAAAF6fzfM=")</f>
        <v>#VALUE!</v>
      </c>
      <c r="IK268" t="e">
        <f>AND('PROG FORM COMPLEM'!P186,"AAAAAF6fzfQ=")</f>
        <v>#VALUE!</v>
      </c>
      <c r="IL268" t="e">
        <f>AND('PROG FORM COMPLEM'!Q186,"AAAAAF6fzfU=")</f>
        <v>#VALUE!</v>
      </c>
      <c r="IM268" t="e">
        <f>AND('PROG FORM COMPLEM'!R186,"AAAAAF6fzfY=")</f>
        <v>#VALUE!</v>
      </c>
      <c r="IN268" t="e">
        <f>AND('PROG FORM COMPLEM'!S186,"AAAAAF6fzfc=")</f>
        <v>#VALUE!</v>
      </c>
      <c r="IO268" t="e">
        <f>AND('PROG FORM COMPLEM'!T186,"AAAAAF6fzfg=")</f>
        <v>#VALUE!</v>
      </c>
      <c r="IP268" t="e">
        <f>AND('PROG FORM COMPLEM'!U186,"AAAAAF6fzfk=")</f>
        <v>#VALUE!</v>
      </c>
      <c r="IQ268" t="e">
        <f>AND('PROG FORM COMPLEM'!V186,"AAAAAF6fzfo=")</f>
        <v>#VALUE!</v>
      </c>
      <c r="IR268" t="e">
        <f>AND('PROG FORM COMPLEM'!W186,"AAAAAF6fzfs=")</f>
        <v>#VALUE!</v>
      </c>
      <c r="IS268">
        <f>IF('PROG FORM COMPLEM'!187:187,"AAAAAF6fzfw=",0)</f>
        <v>0</v>
      </c>
      <c r="IT268" t="e">
        <f>AND('PROG FORM COMPLEM'!B187,"AAAAAF6fzf0=")</f>
        <v>#VALUE!</v>
      </c>
      <c r="IU268" t="e">
        <f>AND('PROG FORM COMPLEM'!C187,"AAAAAF6fzf4=")</f>
        <v>#VALUE!</v>
      </c>
      <c r="IV268" t="e">
        <f>AND('PROG FORM COMPLEM'!D187,"AAAAAF6fzf8=")</f>
        <v>#VALUE!</v>
      </c>
    </row>
    <row r="269" spans="1:256" x14ac:dyDescent="0.2">
      <c r="A269" t="e">
        <f>AND('PROG FORM COMPLEM'!E187,"AAAAACa/dwA=")</f>
        <v>#VALUE!</v>
      </c>
      <c r="B269" t="e">
        <f>AND('PROG FORM COMPLEM'!F187,"AAAAACa/dwE=")</f>
        <v>#VALUE!</v>
      </c>
      <c r="C269" t="e">
        <f>AND('PROG FORM COMPLEM'!G187,"AAAAACa/dwI=")</f>
        <v>#VALUE!</v>
      </c>
      <c r="D269" t="e">
        <f>AND('PROG FORM COMPLEM'!H187,"AAAAACa/dwM=")</f>
        <v>#VALUE!</v>
      </c>
      <c r="E269" t="e">
        <f>AND('PROG FORM COMPLEM'!I187,"AAAAACa/dwQ=")</f>
        <v>#VALUE!</v>
      </c>
      <c r="F269" t="e">
        <f>AND('PROG FORM COMPLEM'!J187,"AAAAACa/dwU=")</f>
        <v>#VALUE!</v>
      </c>
      <c r="G269" t="e">
        <f>AND('PROG FORM COMPLEM'!K187,"AAAAACa/dwY=")</f>
        <v>#VALUE!</v>
      </c>
      <c r="H269" t="e">
        <f>AND('PROG FORM COMPLEM'!L187,"AAAAACa/dwc=")</f>
        <v>#VALUE!</v>
      </c>
      <c r="I269" t="e">
        <f>AND('PROG FORM COMPLEM'!M187,"AAAAACa/dwg=")</f>
        <v>#VALUE!</v>
      </c>
      <c r="J269" t="e">
        <f>AND('PROG FORM COMPLEM'!N187,"AAAAACa/dwk=")</f>
        <v>#VALUE!</v>
      </c>
      <c r="K269" t="e">
        <f>AND('PROG FORM COMPLEM'!O187,"AAAAACa/dwo=")</f>
        <v>#VALUE!</v>
      </c>
      <c r="L269" t="e">
        <f>AND('PROG FORM COMPLEM'!P187,"AAAAACa/dws=")</f>
        <v>#VALUE!</v>
      </c>
      <c r="M269" t="e">
        <f>AND('PROG FORM COMPLEM'!Q187,"AAAAACa/dww=")</f>
        <v>#VALUE!</v>
      </c>
      <c r="N269" t="e">
        <f>AND('PROG FORM COMPLEM'!R187,"AAAAACa/dw0=")</f>
        <v>#VALUE!</v>
      </c>
      <c r="O269" t="e">
        <f>AND('PROG FORM COMPLEM'!S187,"AAAAACa/dw4=")</f>
        <v>#VALUE!</v>
      </c>
      <c r="P269" t="e">
        <f>AND('PROG FORM COMPLEM'!T187,"AAAAACa/dw8=")</f>
        <v>#VALUE!</v>
      </c>
      <c r="Q269" t="e">
        <f>AND('PROG FORM COMPLEM'!U187,"AAAAACa/dxA=")</f>
        <v>#VALUE!</v>
      </c>
      <c r="R269" t="e">
        <f>AND('PROG FORM COMPLEM'!V187,"AAAAACa/dxE=")</f>
        <v>#VALUE!</v>
      </c>
      <c r="S269" t="e">
        <f>AND('PROG FORM COMPLEM'!W187,"AAAAACa/dxI=")</f>
        <v>#VALUE!</v>
      </c>
      <c r="T269" t="e">
        <f>IF('PROG FORM COMPLEM'!#REF!,"AAAAACa/dxM=",0)</f>
        <v>#REF!</v>
      </c>
      <c r="U269" t="e">
        <f>AND('PROG FORM COMPLEM'!#REF!,"AAAAACa/dxQ=")</f>
        <v>#REF!</v>
      </c>
      <c r="V269" t="e">
        <f>AND('PROG FORM COMPLEM'!#REF!,"AAAAACa/dxU=")</f>
        <v>#REF!</v>
      </c>
      <c r="W269" t="e">
        <f>AND('PROG FORM COMPLEM'!#REF!,"AAAAACa/dxY=")</f>
        <v>#REF!</v>
      </c>
      <c r="X269" t="e">
        <f>AND('PROG FORM COMPLEM'!#REF!,"AAAAACa/dxc=")</f>
        <v>#REF!</v>
      </c>
      <c r="Y269" t="e">
        <f>AND('PROG FORM COMPLEM'!#REF!,"AAAAACa/dxg=")</f>
        <v>#REF!</v>
      </c>
      <c r="Z269" t="e">
        <f>AND('PROG FORM COMPLEM'!#REF!,"AAAAACa/dxk=")</f>
        <v>#REF!</v>
      </c>
      <c r="AA269" t="e">
        <f>AND('PROG FORM COMPLEM'!#REF!,"AAAAACa/dxo=")</f>
        <v>#REF!</v>
      </c>
      <c r="AB269" t="e">
        <f>AND('PROG FORM COMPLEM'!#REF!,"AAAAACa/dxs=")</f>
        <v>#REF!</v>
      </c>
      <c r="AC269" t="e">
        <f>AND('PROG FORM COMPLEM'!#REF!,"AAAAACa/dxw=")</f>
        <v>#REF!</v>
      </c>
      <c r="AD269" t="e">
        <f>AND('PROG FORM COMPLEM'!#REF!,"AAAAACa/dx0=")</f>
        <v>#REF!</v>
      </c>
      <c r="AE269" t="e">
        <f>AND('PROG FORM COMPLEM'!#REF!,"AAAAACa/dx4=")</f>
        <v>#REF!</v>
      </c>
      <c r="AF269" t="e">
        <f>AND('PROG FORM COMPLEM'!#REF!,"AAAAACa/dx8=")</f>
        <v>#REF!</v>
      </c>
      <c r="AG269" t="e">
        <f>AND('PROG FORM COMPLEM'!#REF!,"AAAAACa/dyA=")</f>
        <v>#REF!</v>
      </c>
      <c r="AH269" t="e">
        <f>AND('PROG FORM COMPLEM'!#REF!,"AAAAACa/dyE=")</f>
        <v>#REF!</v>
      </c>
      <c r="AI269" t="e">
        <f>AND('PROG FORM COMPLEM'!#REF!,"AAAAACa/dyI=")</f>
        <v>#REF!</v>
      </c>
      <c r="AJ269" t="e">
        <f>AND('PROG FORM COMPLEM'!#REF!,"AAAAACa/dyM=")</f>
        <v>#REF!</v>
      </c>
      <c r="AK269" t="e">
        <f>AND('PROG FORM COMPLEM'!#REF!,"AAAAACa/dyQ=")</f>
        <v>#REF!</v>
      </c>
      <c r="AL269" t="e">
        <f>AND('PROG FORM COMPLEM'!#REF!,"AAAAACa/dyU=")</f>
        <v>#REF!</v>
      </c>
      <c r="AM269" t="e">
        <f>AND('PROG FORM COMPLEM'!#REF!,"AAAAACa/dyY=")</f>
        <v>#REF!</v>
      </c>
      <c r="AN269" t="e">
        <f>AND('PROG FORM COMPLEM'!#REF!,"AAAAACa/dyc=")</f>
        <v>#REF!</v>
      </c>
      <c r="AO269" t="e">
        <f>AND('PROG FORM COMPLEM'!#REF!,"AAAAACa/dyg=")</f>
        <v>#REF!</v>
      </c>
      <c r="AP269" t="e">
        <f>AND('PROG FORM COMPLEM'!#REF!,"AAAAACa/dyk=")</f>
        <v>#REF!</v>
      </c>
      <c r="AQ269">
        <f>IF('PROG FORM COMPLEM'!190:190,"AAAAACa/dyo=",0)</f>
        <v>0</v>
      </c>
      <c r="AR269" t="e">
        <f>AND('PROG FORM COMPLEM'!B190,"AAAAACa/dys=")</f>
        <v>#VALUE!</v>
      </c>
      <c r="AS269" t="e">
        <f>AND('PROG FORM COMPLEM'!C190,"AAAAACa/dyw=")</f>
        <v>#VALUE!</v>
      </c>
      <c r="AT269" t="e">
        <f>AND('PROG FORM COMPLEM'!D190,"AAAAACa/dy0=")</f>
        <v>#VALUE!</v>
      </c>
      <c r="AU269" t="e">
        <f>AND('PROG FORM COMPLEM'!E190,"AAAAACa/dy4=")</f>
        <v>#VALUE!</v>
      </c>
      <c r="AV269" t="e">
        <f>AND('PROG FORM COMPLEM'!F190,"AAAAACa/dy8=")</f>
        <v>#VALUE!</v>
      </c>
      <c r="AW269" t="e">
        <f>AND('PROG FORM COMPLEM'!G190,"AAAAACa/dzA=")</f>
        <v>#VALUE!</v>
      </c>
      <c r="AX269" t="e">
        <f>AND('PROG FORM COMPLEM'!H190,"AAAAACa/dzE=")</f>
        <v>#VALUE!</v>
      </c>
      <c r="AY269" t="e">
        <f>AND('PROG FORM COMPLEM'!I190,"AAAAACa/dzI=")</f>
        <v>#VALUE!</v>
      </c>
      <c r="AZ269" t="e">
        <f>AND('PROG FORM COMPLEM'!J190,"AAAAACa/dzM=")</f>
        <v>#VALUE!</v>
      </c>
      <c r="BA269" t="e">
        <f>AND('PROG FORM COMPLEM'!K190,"AAAAACa/dzQ=")</f>
        <v>#VALUE!</v>
      </c>
      <c r="BB269" t="e">
        <f>AND('PROG FORM COMPLEM'!L190,"AAAAACa/dzU=")</f>
        <v>#VALUE!</v>
      </c>
      <c r="BC269" t="e">
        <f>AND('PROG FORM COMPLEM'!M190,"AAAAACa/dzY=")</f>
        <v>#VALUE!</v>
      </c>
      <c r="BD269" t="e">
        <f>AND('PROG FORM COMPLEM'!N190,"AAAAACa/dzc=")</f>
        <v>#VALUE!</v>
      </c>
      <c r="BE269" t="e">
        <f>AND('PROG FORM COMPLEM'!O190,"AAAAACa/dzg=")</f>
        <v>#VALUE!</v>
      </c>
      <c r="BF269" t="e">
        <f>AND('PROG FORM COMPLEM'!P190,"AAAAACa/dzk=")</f>
        <v>#VALUE!</v>
      </c>
      <c r="BG269" t="e">
        <f>AND('PROG FORM COMPLEM'!Q190,"AAAAACa/dzo=")</f>
        <v>#VALUE!</v>
      </c>
      <c r="BH269" t="e">
        <f>AND('PROG FORM COMPLEM'!R190,"AAAAACa/dzs=")</f>
        <v>#VALUE!</v>
      </c>
      <c r="BI269" t="e">
        <f>AND('PROG FORM COMPLEM'!S190,"AAAAACa/dzw=")</f>
        <v>#VALUE!</v>
      </c>
      <c r="BJ269" t="e">
        <f>AND('PROG FORM COMPLEM'!T190,"AAAAACa/dz0=")</f>
        <v>#VALUE!</v>
      </c>
      <c r="BK269" t="e">
        <f>AND('PROG FORM COMPLEM'!U190,"AAAAACa/dz4=")</f>
        <v>#VALUE!</v>
      </c>
      <c r="BL269" t="e">
        <f>AND('PROG FORM COMPLEM'!V190,"AAAAACa/dz8=")</f>
        <v>#VALUE!</v>
      </c>
      <c r="BM269" t="e">
        <f>AND('PROG FORM COMPLEM'!W190,"AAAAACa/d0A=")</f>
        <v>#VALUE!</v>
      </c>
      <c r="BN269">
        <f>IF('PROG FORM COMPLEM'!192:192,"AAAAACa/d0E=",0)</f>
        <v>0</v>
      </c>
      <c r="BO269" t="e">
        <f>AND('PROG FORM COMPLEM'!B192,"AAAAACa/d0I=")</f>
        <v>#VALUE!</v>
      </c>
      <c r="BP269" t="e">
        <f>AND('PROG FORM COMPLEM'!C192,"AAAAACa/d0M=")</f>
        <v>#VALUE!</v>
      </c>
      <c r="BQ269" t="e">
        <f>AND('PROG FORM COMPLEM'!D192,"AAAAACa/d0Q=")</f>
        <v>#VALUE!</v>
      </c>
      <c r="BR269" t="e">
        <f>AND('PROG FORM COMPLEM'!E192,"AAAAACa/d0U=")</f>
        <v>#VALUE!</v>
      </c>
      <c r="BS269" t="e">
        <f>AND('PROG FORM COMPLEM'!F192,"AAAAACa/d0Y=")</f>
        <v>#VALUE!</v>
      </c>
      <c r="BT269" t="e">
        <f>AND('PROG FORM COMPLEM'!G192,"AAAAACa/d0c=")</f>
        <v>#VALUE!</v>
      </c>
      <c r="BU269" t="e">
        <f>AND('PROG FORM COMPLEM'!H192,"AAAAACa/d0g=")</f>
        <v>#VALUE!</v>
      </c>
      <c r="BV269" t="e">
        <f>AND('PROG FORM COMPLEM'!I192,"AAAAACa/d0k=")</f>
        <v>#VALUE!</v>
      </c>
      <c r="BW269" t="e">
        <f>AND('PROG FORM COMPLEM'!J192,"AAAAACa/d0o=")</f>
        <v>#VALUE!</v>
      </c>
      <c r="BX269" t="e">
        <f>AND('PROG FORM COMPLEM'!K192,"AAAAACa/d0s=")</f>
        <v>#VALUE!</v>
      </c>
      <c r="BY269" t="e">
        <f>AND('PROG FORM COMPLEM'!L192,"AAAAACa/d0w=")</f>
        <v>#VALUE!</v>
      </c>
      <c r="BZ269" t="e">
        <f>AND('PROG FORM COMPLEM'!M192,"AAAAACa/d00=")</f>
        <v>#VALUE!</v>
      </c>
      <c r="CA269" t="e">
        <f>AND('PROG FORM COMPLEM'!N192,"AAAAACa/d04=")</f>
        <v>#VALUE!</v>
      </c>
      <c r="CB269" t="e">
        <f>AND('PROG FORM COMPLEM'!O192,"AAAAACa/d08=")</f>
        <v>#VALUE!</v>
      </c>
      <c r="CC269" t="e">
        <f>AND('PROG FORM COMPLEM'!P192,"AAAAACa/d1A=")</f>
        <v>#VALUE!</v>
      </c>
      <c r="CD269" t="e">
        <f>AND('PROG FORM COMPLEM'!Q192,"AAAAACa/d1E=")</f>
        <v>#VALUE!</v>
      </c>
      <c r="CE269" t="e">
        <f>AND('PROG FORM COMPLEM'!R192,"AAAAACa/d1I=")</f>
        <v>#VALUE!</v>
      </c>
      <c r="CF269" t="e">
        <f>AND('PROG FORM COMPLEM'!S192,"AAAAACa/d1M=")</f>
        <v>#VALUE!</v>
      </c>
      <c r="CG269" t="e">
        <f>AND('PROG FORM COMPLEM'!T192,"AAAAACa/d1Q=")</f>
        <v>#VALUE!</v>
      </c>
      <c r="CH269" t="e">
        <f>AND('PROG FORM COMPLEM'!U192,"AAAAACa/d1U=")</f>
        <v>#VALUE!</v>
      </c>
      <c r="CI269" t="e">
        <f>AND('PROG FORM COMPLEM'!V192,"AAAAACa/d1Y=")</f>
        <v>#VALUE!</v>
      </c>
      <c r="CJ269" t="e">
        <f>AND('PROG FORM COMPLEM'!W192,"AAAAACa/d1c=")</f>
        <v>#VALUE!</v>
      </c>
      <c r="CK269">
        <f>IF('PROG FORM COMPLEM'!193:193,"AAAAACa/d1g=",0)</f>
        <v>0</v>
      </c>
      <c r="CL269" t="e">
        <f>AND('PROG FORM COMPLEM'!B193,"AAAAACa/d1k=")</f>
        <v>#VALUE!</v>
      </c>
      <c r="CM269" t="e">
        <f>AND('PROG FORM COMPLEM'!C193,"AAAAACa/d1o=")</f>
        <v>#VALUE!</v>
      </c>
      <c r="CN269" t="e">
        <f>AND('PROG FORM COMPLEM'!D193,"AAAAACa/d1s=")</f>
        <v>#VALUE!</v>
      </c>
      <c r="CO269" t="e">
        <f>AND('PROG FORM COMPLEM'!E193,"AAAAACa/d1w=")</f>
        <v>#VALUE!</v>
      </c>
      <c r="CP269" t="e">
        <f>AND('PROG FORM COMPLEM'!F193,"AAAAACa/d10=")</f>
        <v>#VALUE!</v>
      </c>
      <c r="CQ269" t="e">
        <f>AND('PROG FORM COMPLEM'!G193,"AAAAACa/d14=")</f>
        <v>#VALUE!</v>
      </c>
      <c r="CR269" t="e">
        <f>AND('PROG FORM COMPLEM'!H193,"AAAAACa/d18=")</f>
        <v>#VALUE!</v>
      </c>
      <c r="CS269" t="e">
        <f>AND('PROG FORM COMPLEM'!I193,"AAAAACa/d2A=")</f>
        <v>#VALUE!</v>
      </c>
      <c r="CT269" t="e">
        <f>AND('PROG FORM COMPLEM'!J193,"AAAAACa/d2E=")</f>
        <v>#VALUE!</v>
      </c>
      <c r="CU269" t="e">
        <f>AND('PROG FORM COMPLEM'!K193,"AAAAACa/d2I=")</f>
        <v>#VALUE!</v>
      </c>
      <c r="CV269" t="e">
        <f>AND('PROG FORM COMPLEM'!L193,"AAAAACa/d2M=")</f>
        <v>#VALUE!</v>
      </c>
      <c r="CW269" t="e">
        <f>AND('PROG FORM COMPLEM'!M193,"AAAAACa/d2Q=")</f>
        <v>#VALUE!</v>
      </c>
      <c r="CX269" t="e">
        <f>AND('PROG FORM COMPLEM'!N193,"AAAAACa/d2U=")</f>
        <v>#VALUE!</v>
      </c>
      <c r="CY269" t="e">
        <f>AND('PROG FORM COMPLEM'!O193,"AAAAACa/d2Y=")</f>
        <v>#VALUE!</v>
      </c>
      <c r="CZ269" t="e">
        <f>AND('PROG FORM COMPLEM'!P193,"AAAAACa/d2c=")</f>
        <v>#VALUE!</v>
      </c>
      <c r="DA269" t="e">
        <f>AND('PROG FORM COMPLEM'!Q193,"AAAAACa/d2g=")</f>
        <v>#VALUE!</v>
      </c>
      <c r="DB269" t="e">
        <f>AND('PROG FORM COMPLEM'!R193,"AAAAACa/d2k=")</f>
        <v>#VALUE!</v>
      </c>
      <c r="DC269" t="e">
        <f>AND('PROG FORM COMPLEM'!S193,"AAAAACa/d2o=")</f>
        <v>#VALUE!</v>
      </c>
      <c r="DD269" t="e">
        <f>AND('PROG FORM COMPLEM'!T193,"AAAAACa/d2s=")</f>
        <v>#VALUE!</v>
      </c>
      <c r="DE269" t="e">
        <f>AND('PROG FORM COMPLEM'!U193,"AAAAACa/d2w=")</f>
        <v>#VALUE!</v>
      </c>
      <c r="DF269" t="e">
        <f>AND('PROG FORM COMPLEM'!V193,"AAAAACa/d20=")</f>
        <v>#VALUE!</v>
      </c>
      <c r="DG269" t="e">
        <f>AND('PROG FORM COMPLEM'!W193,"AAAAACa/d24=")</f>
        <v>#VALUE!</v>
      </c>
      <c r="DH269" t="e">
        <f>IF('PROG FORM COMPLEM'!#REF!,"AAAAACa/d28=",0)</f>
        <v>#REF!</v>
      </c>
      <c r="DI269" t="e">
        <f>AND('PROG FORM COMPLEM'!#REF!,"AAAAACa/d3A=")</f>
        <v>#REF!</v>
      </c>
      <c r="DJ269" t="e">
        <f>AND('PROG FORM COMPLEM'!#REF!,"AAAAACa/d3E=")</f>
        <v>#REF!</v>
      </c>
      <c r="DK269" t="e">
        <f>AND('PROG FORM COMPLEM'!#REF!,"AAAAACa/d3I=")</f>
        <v>#REF!</v>
      </c>
      <c r="DL269" t="e">
        <f>AND('PROG FORM COMPLEM'!#REF!,"AAAAACa/d3M=")</f>
        <v>#REF!</v>
      </c>
      <c r="DM269" t="e">
        <f>AND('PROG FORM COMPLEM'!#REF!,"AAAAACa/d3Q=")</f>
        <v>#REF!</v>
      </c>
      <c r="DN269" t="e">
        <f>AND('PROG FORM COMPLEM'!#REF!,"AAAAACa/d3U=")</f>
        <v>#REF!</v>
      </c>
      <c r="DO269" t="e">
        <f>AND('PROG FORM COMPLEM'!#REF!,"AAAAACa/d3Y=")</f>
        <v>#REF!</v>
      </c>
      <c r="DP269" t="e">
        <f>AND('PROG FORM COMPLEM'!#REF!,"AAAAACa/d3c=")</f>
        <v>#REF!</v>
      </c>
      <c r="DQ269" t="e">
        <f>AND('PROG FORM COMPLEM'!#REF!,"AAAAACa/d3g=")</f>
        <v>#REF!</v>
      </c>
      <c r="DR269" t="e">
        <f>AND('PROG FORM COMPLEM'!#REF!,"AAAAACa/d3k=")</f>
        <v>#REF!</v>
      </c>
      <c r="DS269" t="e">
        <f>AND('PROG FORM COMPLEM'!#REF!,"AAAAACa/d3o=")</f>
        <v>#REF!</v>
      </c>
      <c r="DT269" t="e">
        <f>AND('PROG FORM COMPLEM'!#REF!,"AAAAACa/d3s=")</f>
        <v>#REF!</v>
      </c>
      <c r="DU269" t="e">
        <f>AND('PROG FORM COMPLEM'!#REF!,"AAAAACa/d3w=")</f>
        <v>#REF!</v>
      </c>
      <c r="DV269" t="e">
        <f>AND('PROG FORM COMPLEM'!#REF!,"AAAAACa/d30=")</f>
        <v>#REF!</v>
      </c>
      <c r="DW269" t="e">
        <f>AND('PROG FORM COMPLEM'!#REF!,"AAAAACa/d34=")</f>
        <v>#REF!</v>
      </c>
      <c r="DX269" t="e">
        <f>AND('PROG FORM COMPLEM'!#REF!,"AAAAACa/d38=")</f>
        <v>#REF!</v>
      </c>
      <c r="DY269" t="e">
        <f>AND('PROG FORM COMPLEM'!#REF!,"AAAAACa/d4A=")</f>
        <v>#REF!</v>
      </c>
      <c r="DZ269" t="e">
        <f>AND('PROG FORM COMPLEM'!#REF!,"AAAAACa/d4E=")</f>
        <v>#REF!</v>
      </c>
      <c r="EA269" t="e">
        <f>AND('PROG FORM COMPLEM'!#REF!,"AAAAACa/d4I=")</f>
        <v>#REF!</v>
      </c>
      <c r="EB269" t="e">
        <f>AND('PROG FORM COMPLEM'!#REF!,"AAAAACa/d4M=")</f>
        <v>#REF!</v>
      </c>
      <c r="EC269" t="e">
        <f>AND('PROG FORM COMPLEM'!#REF!,"AAAAACa/d4Q=")</f>
        <v>#REF!</v>
      </c>
      <c r="ED269" t="e">
        <f>AND('PROG FORM COMPLEM'!#REF!,"AAAAACa/d4U=")</f>
        <v>#REF!</v>
      </c>
      <c r="EE269" t="e">
        <f>IF('PROG FORM COMPLEM'!#REF!,"AAAAACa/d4Y=",0)</f>
        <v>#REF!</v>
      </c>
      <c r="EF269" t="e">
        <f>AND('PROG FORM COMPLEM'!#REF!,"AAAAACa/d4c=")</f>
        <v>#REF!</v>
      </c>
      <c r="EG269" t="e">
        <f>AND('PROG FORM COMPLEM'!#REF!,"AAAAACa/d4g=")</f>
        <v>#REF!</v>
      </c>
      <c r="EH269" t="e">
        <f>AND('PROG FORM COMPLEM'!#REF!,"AAAAACa/d4k=")</f>
        <v>#REF!</v>
      </c>
      <c r="EI269" t="e">
        <f>AND('PROG FORM COMPLEM'!#REF!,"AAAAACa/d4o=")</f>
        <v>#REF!</v>
      </c>
      <c r="EJ269" t="e">
        <f>AND('PROG FORM COMPLEM'!#REF!,"AAAAACa/d4s=")</f>
        <v>#REF!</v>
      </c>
      <c r="EK269" t="e">
        <f>AND('PROG FORM COMPLEM'!#REF!,"AAAAACa/d4w=")</f>
        <v>#REF!</v>
      </c>
      <c r="EL269" t="e">
        <f>AND('PROG FORM COMPLEM'!#REF!,"AAAAACa/d40=")</f>
        <v>#REF!</v>
      </c>
      <c r="EM269" t="e">
        <f>AND('PROG FORM COMPLEM'!#REF!,"AAAAACa/d44=")</f>
        <v>#REF!</v>
      </c>
      <c r="EN269" t="e">
        <f>AND('PROG FORM COMPLEM'!#REF!,"AAAAACa/d48=")</f>
        <v>#REF!</v>
      </c>
      <c r="EO269" t="e">
        <f>AND('PROG FORM COMPLEM'!#REF!,"AAAAACa/d5A=")</f>
        <v>#REF!</v>
      </c>
      <c r="EP269" t="e">
        <f>AND('PROG FORM COMPLEM'!#REF!,"AAAAACa/d5E=")</f>
        <v>#REF!</v>
      </c>
      <c r="EQ269" t="e">
        <f>AND('PROG FORM COMPLEM'!#REF!,"AAAAACa/d5I=")</f>
        <v>#REF!</v>
      </c>
      <c r="ER269" t="e">
        <f>AND('PROG FORM COMPLEM'!#REF!,"AAAAACa/d5M=")</f>
        <v>#REF!</v>
      </c>
      <c r="ES269" t="e">
        <f>AND('PROG FORM COMPLEM'!#REF!,"AAAAACa/d5Q=")</f>
        <v>#REF!</v>
      </c>
      <c r="ET269" t="e">
        <f>AND('PROG FORM COMPLEM'!#REF!,"AAAAACa/d5U=")</f>
        <v>#REF!</v>
      </c>
      <c r="EU269" t="e">
        <f>AND('PROG FORM COMPLEM'!#REF!,"AAAAACa/d5Y=")</f>
        <v>#REF!</v>
      </c>
      <c r="EV269" t="e">
        <f>AND('PROG FORM COMPLEM'!#REF!,"AAAAACa/d5c=")</f>
        <v>#REF!</v>
      </c>
      <c r="EW269" t="e">
        <f>AND('PROG FORM COMPLEM'!#REF!,"AAAAACa/d5g=")</f>
        <v>#REF!</v>
      </c>
      <c r="EX269" t="e">
        <f>AND('PROG FORM COMPLEM'!#REF!,"AAAAACa/d5k=")</f>
        <v>#REF!</v>
      </c>
      <c r="EY269" t="e">
        <f>AND('PROG FORM COMPLEM'!#REF!,"AAAAACa/d5o=")</f>
        <v>#REF!</v>
      </c>
      <c r="EZ269" t="e">
        <f>AND('PROG FORM COMPLEM'!#REF!,"AAAAACa/d5s=")</f>
        <v>#REF!</v>
      </c>
      <c r="FA269" t="e">
        <f>AND('PROG FORM COMPLEM'!#REF!,"AAAAACa/d5w=")</f>
        <v>#REF!</v>
      </c>
      <c r="FB269">
        <f>IF('PROG FORM COMPLEM'!195:195,"AAAAACa/d50=",0)</f>
        <v>0</v>
      </c>
      <c r="FC269" t="e">
        <f>AND('PROG FORM COMPLEM'!B195,"AAAAACa/d54=")</f>
        <v>#VALUE!</v>
      </c>
      <c r="FD269" t="e">
        <f>AND('PROG FORM COMPLEM'!C195,"AAAAACa/d58=")</f>
        <v>#VALUE!</v>
      </c>
      <c r="FE269" t="e">
        <f>AND('PROG FORM COMPLEM'!D195,"AAAAACa/d6A=")</f>
        <v>#VALUE!</v>
      </c>
      <c r="FF269" t="e">
        <f>AND('PROG FORM COMPLEM'!E195,"AAAAACa/d6E=")</f>
        <v>#VALUE!</v>
      </c>
      <c r="FG269" t="e">
        <f>AND('PROG FORM COMPLEM'!F195,"AAAAACa/d6I=")</f>
        <v>#VALUE!</v>
      </c>
      <c r="FH269" t="e">
        <f>AND('PROG FORM COMPLEM'!G195,"AAAAACa/d6M=")</f>
        <v>#VALUE!</v>
      </c>
      <c r="FI269" t="e">
        <f>AND('PROG FORM COMPLEM'!H195,"AAAAACa/d6Q=")</f>
        <v>#VALUE!</v>
      </c>
      <c r="FJ269" t="e">
        <f>AND('PROG FORM COMPLEM'!I195,"AAAAACa/d6U=")</f>
        <v>#VALUE!</v>
      </c>
      <c r="FK269" t="e">
        <f>AND('PROG FORM COMPLEM'!J195,"AAAAACa/d6Y=")</f>
        <v>#VALUE!</v>
      </c>
      <c r="FL269" t="e">
        <f>AND('PROG FORM COMPLEM'!K195,"AAAAACa/d6c=")</f>
        <v>#VALUE!</v>
      </c>
      <c r="FM269" t="e">
        <f>AND('PROG FORM COMPLEM'!L195,"AAAAACa/d6g=")</f>
        <v>#VALUE!</v>
      </c>
      <c r="FN269" t="e">
        <f>AND('PROG FORM COMPLEM'!M195,"AAAAACa/d6k=")</f>
        <v>#VALUE!</v>
      </c>
      <c r="FO269" t="e">
        <f>AND('PROG FORM COMPLEM'!N195,"AAAAACa/d6o=")</f>
        <v>#VALUE!</v>
      </c>
      <c r="FP269" t="e">
        <f>AND('PROG FORM COMPLEM'!O195,"AAAAACa/d6s=")</f>
        <v>#VALUE!</v>
      </c>
      <c r="FQ269" t="e">
        <f>AND('PROG FORM COMPLEM'!P195,"AAAAACa/d6w=")</f>
        <v>#VALUE!</v>
      </c>
      <c r="FR269" t="e">
        <f>AND('PROG FORM COMPLEM'!Q195,"AAAAACa/d60=")</f>
        <v>#VALUE!</v>
      </c>
      <c r="FS269" t="e">
        <f>AND('PROG FORM COMPLEM'!R195,"AAAAACa/d64=")</f>
        <v>#VALUE!</v>
      </c>
      <c r="FT269" t="e">
        <f>AND('PROG FORM COMPLEM'!S195,"AAAAACa/d68=")</f>
        <v>#VALUE!</v>
      </c>
      <c r="FU269" t="e">
        <f>AND('PROG FORM COMPLEM'!T195,"AAAAACa/d7A=")</f>
        <v>#VALUE!</v>
      </c>
      <c r="FV269" t="e">
        <f>AND('PROG FORM COMPLEM'!U195,"AAAAACa/d7E=")</f>
        <v>#VALUE!</v>
      </c>
      <c r="FW269" t="e">
        <f>AND('PROG FORM COMPLEM'!V195,"AAAAACa/d7I=")</f>
        <v>#VALUE!</v>
      </c>
      <c r="FX269" t="e">
        <f>AND('PROG FORM COMPLEM'!W195,"AAAAACa/d7M=")</f>
        <v>#VALUE!</v>
      </c>
      <c r="FY269" t="e">
        <f>IF('PROG FORM COMPLEM'!#REF!,"AAAAACa/d7Q=",0)</f>
        <v>#REF!</v>
      </c>
      <c r="FZ269" t="e">
        <f>AND('PROG FORM COMPLEM'!#REF!,"AAAAACa/d7U=")</f>
        <v>#REF!</v>
      </c>
      <c r="GA269" t="e">
        <f>AND('PROG FORM COMPLEM'!#REF!,"AAAAACa/d7Y=")</f>
        <v>#REF!</v>
      </c>
      <c r="GB269" t="e">
        <f>AND('PROG FORM COMPLEM'!#REF!,"AAAAACa/d7c=")</f>
        <v>#REF!</v>
      </c>
      <c r="GC269" t="e">
        <f>AND('PROG FORM COMPLEM'!#REF!,"AAAAACa/d7g=")</f>
        <v>#REF!</v>
      </c>
      <c r="GD269" t="e">
        <f>AND('PROG FORM COMPLEM'!#REF!,"AAAAACa/d7k=")</f>
        <v>#REF!</v>
      </c>
      <c r="GE269" t="e">
        <f>AND('PROG FORM COMPLEM'!#REF!,"AAAAACa/d7o=")</f>
        <v>#REF!</v>
      </c>
      <c r="GF269" t="e">
        <f>AND('PROG FORM COMPLEM'!#REF!,"AAAAACa/d7s=")</f>
        <v>#REF!</v>
      </c>
      <c r="GG269" t="e">
        <f>AND('PROG FORM COMPLEM'!#REF!,"AAAAACa/d7w=")</f>
        <v>#REF!</v>
      </c>
      <c r="GH269" t="e">
        <f>AND('PROG FORM COMPLEM'!#REF!,"AAAAACa/d70=")</f>
        <v>#REF!</v>
      </c>
      <c r="GI269" t="e">
        <f>AND('PROG FORM COMPLEM'!#REF!,"AAAAACa/d74=")</f>
        <v>#REF!</v>
      </c>
      <c r="GJ269" t="e">
        <f>AND('PROG FORM COMPLEM'!#REF!,"AAAAACa/d78=")</f>
        <v>#REF!</v>
      </c>
      <c r="GK269" t="e">
        <f>AND('PROG FORM COMPLEM'!#REF!,"AAAAACa/d8A=")</f>
        <v>#REF!</v>
      </c>
      <c r="GL269" t="e">
        <f>AND('PROG FORM COMPLEM'!#REF!,"AAAAACa/d8E=")</f>
        <v>#REF!</v>
      </c>
      <c r="GM269" t="e">
        <f>AND('PROG FORM COMPLEM'!#REF!,"AAAAACa/d8I=")</f>
        <v>#REF!</v>
      </c>
      <c r="GN269" t="e">
        <f>AND('PROG FORM COMPLEM'!#REF!,"AAAAACa/d8M=")</f>
        <v>#REF!</v>
      </c>
      <c r="GO269" t="e">
        <f>AND('PROG FORM COMPLEM'!#REF!,"AAAAACa/d8Q=")</f>
        <v>#REF!</v>
      </c>
      <c r="GP269" t="e">
        <f>AND('PROG FORM COMPLEM'!#REF!,"AAAAACa/d8U=")</f>
        <v>#REF!</v>
      </c>
      <c r="GQ269" t="e">
        <f>AND('PROG FORM COMPLEM'!#REF!,"AAAAACa/d8Y=")</f>
        <v>#REF!</v>
      </c>
      <c r="GR269" t="e">
        <f>AND('PROG FORM COMPLEM'!#REF!,"AAAAACa/d8c=")</f>
        <v>#REF!</v>
      </c>
      <c r="GS269" t="e">
        <f>AND('PROG FORM COMPLEM'!#REF!,"AAAAACa/d8g=")</f>
        <v>#REF!</v>
      </c>
      <c r="GT269" t="e">
        <f>AND('PROG FORM COMPLEM'!#REF!,"AAAAACa/d8k=")</f>
        <v>#REF!</v>
      </c>
      <c r="GU269" t="e">
        <f>AND('PROG FORM COMPLEM'!#REF!,"AAAAACa/d8o=")</f>
        <v>#REF!</v>
      </c>
      <c r="GV269">
        <f>IF('PROG FORM COMPLEM'!196:196,"AAAAACa/d8s=",0)</f>
        <v>0</v>
      </c>
      <c r="GW269" t="e">
        <f>AND('PROG FORM COMPLEM'!B196,"AAAAACa/d8w=")</f>
        <v>#VALUE!</v>
      </c>
      <c r="GX269" t="e">
        <f>AND('PROG FORM COMPLEM'!C196,"AAAAACa/d80=")</f>
        <v>#VALUE!</v>
      </c>
      <c r="GY269" t="e">
        <f>AND('PROG FORM COMPLEM'!D196,"AAAAACa/d84=")</f>
        <v>#VALUE!</v>
      </c>
      <c r="GZ269" t="e">
        <f>AND('PROG FORM COMPLEM'!E196,"AAAAACa/d88=")</f>
        <v>#VALUE!</v>
      </c>
      <c r="HA269" t="e">
        <f>AND('PROG FORM COMPLEM'!F196,"AAAAACa/d9A=")</f>
        <v>#VALUE!</v>
      </c>
      <c r="HB269" t="e">
        <f>AND('PROG FORM COMPLEM'!G196,"AAAAACa/d9E=")</f>
        <v>#VALUE!</v>
      </c>
      <c r="HC269" t="e">
        <f>AND('PROG FORM COMPLEM'!H196,"AAAAACa/d9I=")</f>
        <v>#VALUE!</v>
      </c>
      <c r="HD269" t="e">
        <f>AND('PROG FORM COMPLEM'!I196,"AAAAACa/d9M=")</f>
        <v>#VALUE!</v>
      </c>
      <c r="HE269" t="e">
        <f>AND('PROG FORM COMPLEM'!J196,"AAAAACa/d9Q=")</f>
        <v>#VALUE!</v>
      </c>
      <c r="HF269" t="e">
        <f>AND('PROG FORM COMPLEM'!K196,"AAAAACa/d9U=")</f>
        <v>#VALUE!</v>
      </c>
      <c r="HG269" t="e">
        <f>AND('PROG FORM COMPLEM'!L196,"AAAAACa/d9Y=")</f>
        <v>#VALUE!</v>
      </c>
      <c r="HH269" t="e">
        <f>AND('PROG FORM COMPLEM'!M196,"AAAAACa/d9c=")</f>
        <v>#VALUE!</v>
      </c>
      <c r="HI269" t="e">
        <f>AND('PROG FORM COMPLEM'!N196,"AAAAACa/d9g=")</f>
        <v>#VALUE!</v>
      </c>
      <c r="HJ269" t="e">
        <f>AND('PROG FORM COMPLEM'!O196,"AAAAACa/d9k=")</f>
        <v>#VALUE!</v>
      </c>
      <c r="HK269" t="e">
        <f>AND('PROG FORM COMPLEM'!P196,"AAAAACa/d9o=")</f>
        <v>#VALUE!</v>
      </c>
      <c r="HL269" t="e">
        <f>AND('PROG FORM COMPLEM'!Q196,"AAAAACa/d9s=")</f>
        <v>#VALUE!</v>
      </c>
      <c r="HM269" t="e">
        <f>AND('PROG FORM COMPLEM'!R196,"AAAAACa/d9w=")</f>
        <v>#VALUE!</v>
      </c>
      <c r="HN269" t="e">
        <f>AND('PROG FORM COMPLEM'!S196,"AAAAACa/d90=")</f>
        <v>#VALUE!</v>
      </c>
      <c r="HO269" t="e">
        <f>AND('PROG FORM COMPLEM'!T196,"AAAAACa/d94=")</f>
        <v>#VALUE!</v>
      </c>
      <c r="HP269" t="e">
        <f>AND('PROG FORM COMPLEM'!U196,"AAAAACa/d98=")</f>
        <v>#VALUE!</v>
      </c>
      <c r="HQ269" t="e">
        <f>AND('PROG FORM COMPLEM'!V196,"AAAAACa/d+A=")</f>
        <v>#VALUE!</v>
      </c>
      <c r="HR269" t="e">
        <f>AND('PROG FORM COMPLEM'!W196,"AAAAACa/d+E=")</f>
        <v>#VALUE!</v>
      </c>
      <c r="HS269">
        <f>IF('PROG FORM COMPLEM'!197:197,"AAAAACa/d+I=",0)</f>
        <v>0</v>
      </c>
      <c r="HT269" t="e">
        <f>AND('PROG FORM COMPLEM'!B197,"AAAAACa/d+M=")</f>
        <v>#VALUE!</v>
      </c>
      <c r="HU269" t="e">
        <f>AND('PROG FORM COMPLEM'!C197,"AAAAACa/d+Q=")</f>
        <v>#VALUE!</v>
      </c>
      <c r="HV269" t="e">
        <f>AND('PROG FORM COMPLEM'!D197,"AAAAACa/d+U=")</f>
        <v>#VALUE!</v>
      </c>
      <c r="HW269" t="e">
        <f>AND('PROG FORM COMPLEM'!E197,"AAAAACa/d+Y=")</f>
        <v>#VALUE!</v>
      </c>
      <c r="HX269" t="e">
        <f>AND('PROG FORM COMPLEM'!F197,"AAAAACa/d+c=")</f>
        <v>#VALUE!</v>
      </c>
      <c r="HY269" t="e">
        <f>AND('PROG FORM COMPLEM'!G197,"AAAAACa/d+g=")</f>
        <v>#VALUE!</v>
      </c>
      <c r="HZ269" t="e">
        <f>AND('PROG FORM COMPLEM'!H197,"AAAAACa/d+k=")</f>
        <v>#VALUE!</v>
      </c>
      <c r="IA269" t="e">
        <f>AND('PROG FORM COMPLEM'!I197,"AAAAACa/d+o=")</f>
        <v>#VALUE!</v>
      </c>
      <c r="IB269" t="e">
        <f>AND('PROG FORM COMPLEM'!J197,"AAAAACa/d+s=")</f>
        <v>#VALUE!</v>
      </c>
      <c r="IC269" t="e">
        <f>AND('PROG FORM COMPLEM'!K197,"AAAAACa/d+w=")</f>
        <v>#VALUE!</v>
      </c>
      <c r="ID269" t="e">
        <f>AND('PROG FORM COMPLEM'!L197,"AAAAACa/d+0=")</f>
        <v>#VALUE!</v>
      </c>
      <c r="IE269" t="e">
        <f>AND('PROG FORM COMPLEM'!M197,"AAAAACa/d+4=")</f>
        <v>#VALUE!</v>
      </c>
      <c r="IF269" t="e">
        <f>AND('PROG FORM COMPLEM'!N197,"AAAAACa/d+8=")</f>
        <v>#VALUE!</v>
      </c>
      <c r="IG269" t="e">
        <f>AND('PROG FORM COMPLEM'!O197,"AAAAACa/d/A=")</f>
        <v>#VALUE!</v>
      </c>
      <c r="IH269" t="e">
        <f>AND('PROG FORM COMPLEM'!P197,"AAAAACa/d/E=")</f>
        <v>#VALUE!</v>
      </c>
      <c r="II269" t="e">
        <f>AND('PROG FORM COMPLEM'!Q197,"AAAAACa/d/I=")</f>
        <v>#VALUE!</v>
      </c>
      <c r="IJ269" t="e">
        <f>AND('PROG FORM COMPLEM'!R197,"AAAAACa/d/M=")</f>
        <v>#VALUE!</v>
      </c>
      <c r="IK269" t="e">
        <f>AND('PROG FORM COMPLEM'!S197,"AAAAACa/d/Q=")</f>
        <v>#VALUE!</v>
      </c>
      <c r="IL269" t="e">
        <f>AND('PROG FORM COMPLEM'!T197,"AAAAACa/d/U=")</f>
        <v>#VALUE!</v>
      </c>
      <c r="IM269" t="e">
        <f>AND('PROG FORM COMPLEM'!U197,"AAAAACa/d/Y=")</f>
        <v>#VALUE!</v>
      </c>
      <c r="IN269" t="e">
        <f>AND('PROG FORM COMPLEM'!V197,"AAAAACa/d/c=")</f>
        <v>#VALUE!</v>
      </c>
      <c r="IO269" t="e">
        <f>AND('PROG FORM COMPLEM'!W197,"AAAAACa/d/g=")</f>
        <v>#VALUE!</v>
      </c>
      <c r="IP269">
        <f>IF('PROG FORM COMPLEM'!198:198,"AAAAACa/d/k=",0)</f>
        <v>0</v>
      </c>
      <c r="IQ269" t="e">
        <f>AND('PROG FORM COMPLEM'!B198,"AAAAACa/d/o=")</f>
        <v>#VALUE!</v>
      </c>
      <c r="IR269" t="e">
        <f>AND('PROG FORM COMPLEM'!C198,"AAAAACa/d/s=")</f>
        <v>#VALUE!</v>
      </c>
      <c r="IS269" t="e">
        <f>AND('PROG FORM COMPLEM'!D198,"AAAAACa/d/w=")</f>
        <v>#VALUE!</v>
      </c>
      <c r="IT269" t="e">
        <f>AND('PROG FORM COMPLEM'!E198,"AAAAACa/d/0=")</f>
        <v>#VALUE!</v>
      </c>
      <c r="IU269" t="e">
        <f>AND('PROG FORM COMPLEM'!F198,"AAAAACa/d/4=")</f>
        <v>#VALUE!</v>
      </c>
      <c r="IV269" t="e">
        <f>AND('PROG FORM COMPLEM'!G198,"AAAAACa/d/8=")</f>
        <v>#VALUE!</v>
      </c>
    </row>
    <row r="270" spans="1:256" x14ac:dyDescent="0.2">
      <c r="A270" t="e">
        <f>AND('PROG FORM COMPLEM'!H198,"AAAAACdfRwA=")</f>
        <v>#VALUE!</v>
      </c>
      <c r="B270" t="e">
        <f>AND('PROG FORM COMPLEM'!I198,"AAAAACdfRwE=")</f>
        <v>#VALUE!</v>
      </c>
      <c r="C270" t="e">
        <f>AND('PROG FORM COMPLEM'!J198,"AAAAACdfRwI=")</f>
        <v>#VALUE!</v>
      </c>
      <c r="D270" t="e">
        <f>AND('PROG FORM COMPLEM'!K198,"AAAAACdfRwM=")</f>
        <v>#VALUE!</v>
      </c>
      <c r="E270" t="e">
        <f>AND('PROG FORM COMPLEM'!L198,"AAAAACdfRwQ=")</f>
        <v>#VALUE!</v>
      </c>
      <c r="F270" t="e">
        <f>AND('PROG FORM COMPLEM'!M198,"AAAAACdfRwU=")</f>
        <v>#VALUE!</v>
      </c>
      <c r="G270" t="e">
        <f>AND('PROG FORM COMPLEM'!N198,"AAAAACdfRwY=")</f>
        <v>#VALUE!</v>
      </c>
      <c r="H270" t="e">
        <f>AND('PROG FORM COMPLEM'!O198,"AAAAACdfRwc=")</f>
        <v>#VALUE!</v>
      </c>
      <c r="I270" t="e">
        <f>AND('PROG FORM COMPLEM'!P198,"AAAAACdfRwg=")</f>
        <v>#VALUE!</v>
      </c>
      <c r="J270" t="e">
        <f>AND('PROG FORM COMPLEM'!Q198,"AAAAACdfRwk=")</f>
        <v>#VALUE!</v>
      </c>
      <c r="K270" t="e">
        <f>AND('PROG FORM COMPLEM'!R198,"AAAAACdfRwo=")</f>
        <v>#VALUE!</v>
      </c>
      <c r="L270" t="e">
        <f>AND('PROG FORM COMPLEM'!S198,"AAAAACdfRws=")</f>
        <v>#VALUE!</v>
      </c>
      <c r="M270" t="e">
        <f>AND('PROG FORM COMPLEM'!T198,"AAAAACdfRww=")</f>
        <v>#VALUE!</v>
      </c>
      <c r="N270" t="e">
        <f>AND('PROG FORM COMPLEM'!U198,"AAAAACdfRw0=")</f>
        <v>#VALUE!</v>
      </c>
      <c r="O270" t="e">
        <f>AND('PROG FORM COMPLEM'!V198,"AAAAACdfRw4=")</f>
        <v>#VALUE!</v>
      </c>
      <c r="P270" t="e">
        <f>AND('PROG FORM COMPLEM'!W198,"AAAAACdfRw8=")</f>
        <v>#VALUE!</v>
      </c>
      <c r="Q270">
        <f>IF('PROG FORM COMPLEM'!199:199,"AAAAACdfRxA=",0)</f>
        <v>0</v>
      </c>
      <c r="R270" t="e">
        <f>AND('PROG FORM COMPLEM'!B199,"AAAAACdfRxE=")</f>
        <v>#VALUE!</v>
      </c>
      <c r="S270" t="e">
        <f>AND('PROG FORM COMPLEM'!C199,"AAAAACdfRxI=")</f>
        <v>#VALUE!</v>
      </c>
      <c r="T270" t="e">
        <f>AND('PROG FORM COMPLEM'!D199,"AAAAACdfRxM=")</f>
        <v>#VALUE!</v>
      </c>
      <c r="U270" t="e">
        <f>AND('PROG FORM COMPLEM'!E199,"AAAAACdfRxQ=")</f>
        <v>#VALUE!</v>
      </c>
      <c r="V270" t="e">
        <f>AND('PROG FORM COMPLEM'!F199,"AAAAACdfRxU=")</f>
        <v>#VALUE!</v>
      </c>
      <c r="W270" t="e">
        <f>AND('PROG FORM COMPLEM'!G199,"AAAAACdfRxY=")</f>
        <v>#VALUE!</v>
      </c>
      <c r="X270" t="e">
        <f>AND('PROG FORM COMPLEM'!H199,"AAAAACdfRxc=")</f>
        <v>#VALUE!</v>
      </c>
      <c r="Y270" t="e">
        <f>AND('PROG FORM COMPLEM'!I199,"AAAAACdfRxg=")</f>
        <v>#VALUE!</v>
      </c>
      <c r="Z270" t="e">
        <f>AND('PROG FORM COMPLEM'!J199,"AAAAACdfRxk=")</f>
        <v>#VALUE!</v>
      </c>
      <c r="AA270" t="e">
        <f>AND('PROG FORM COMPLEM'!K199,"AAAAACdfRxo=")</f>
        <v>#VALUE!</v>
      </c>
      <c r="AB270" t="e">
        <f>AND('PROG FORM COMPLEM'!L199,"AAAAACdfRxs=")</f>
        <v>#VALUE!</v>
      </c>
      <c r="AC270" t="e">
        <f>AND('PROG FORM COMPLEM'!M199,"AAAAACdfRxw=")</f>
        <v>#VALUE!</v>
      </c>
      <c r="AD270" t="e">
        <f>AND('PROG FORM COMPLEM'!N199,"AAAAACdfRx0=")</f>
        <v>#VALUE!</v>
      </c>
      <c r="AE270" t="e">
        <f>AND('PROG FORM COMPLEM'!O199,"AAAAACdfRx4=")</f>
        <v>#VALUE!</v>
      </c>
      <c r="AF270" t="e">
        <f>AND('PROG FORM COMPLEM'!P199,"AAAAACdfRx8=")</f>
        <v>#VALUE!</v>
      </c>
      <c r="AG270" t="e">
        <f>AND('PROG FORM COMPLEM'!Q199,"AAAAACdfRyA=")</f>
        <v>#VALUE!</v>
      </c>
      <c r="AH270" t="e">
        <f>AND('PROG FORM COMPLEM'!R199,"AAAAACdfRyE=")</f>
        <v>#VALUE!</v>
      </c>
      <c r="AI270" t="e">
        <f>AND('PROG FORM COMPLEM'!S199,"AAAAACdfRyI=")</f>
        <v>#VALUE!</v>
      </c>
      <c r="AJ270" t="e">
        <f>AND('PROG FORM COMPLEM'!T199,"AAAAACdfRyM=")</f>
        <v>#VALUE!</v>
      </c>
      <c r="AK270" t="e">
        <f>AND('PROG FORM COMPLEM'!U199,"AAAAACdfRyQ=")</f>
        <v>#VALUE!</v>
      </c>
      <c r="AL270" t="e">
        <f>AND('PROG FORM COMPLEM'!V199,"AAAAACdfRyU=")</f>
        <v>#VALUE!</v>
      </c>
      <c r="AM270" t="e">
        <f>AND('PROG FORM COMPLEM'!W199,"AAAAACdfRyY=")</f>
        <v>#VALUE!</v>
      </c>
      <c r="AN270">
        <f>IF('PROG FORM COMPLEM'!200:200,"AAAAACdfRyc=",0)</f>
        <v>0</v>
      </c>
      <c r="AO270" t="e">
        <f>AND('PROG FORM COMPLEM'!B200,"AAAAACdfRyg=")</f>
        <v>#VALUE!</v>
      </c>
      <c r="AP270" t="e">
        <f>AND('PROG FORM COMPLEM'!C200,"AAAAACdfRyk=")</f>
        <v>#VALUE!</v>
      </c>
      <c r="AQ270" t="e">
        <f>AND('PROG FORM COMPLEM'!D200,"AAAAACdfRyo=")</f>
        <v>#VALUE!</v>
      </c>
      <c r="AR270" t="e">
        <f>AND('PROG FORM COMPLEM'!E200,"AAAAACdfRys=")</f>
        <v>#VALUE!</v>
      </c>
      <c r="AS270" t="e">
        <f>AND('PROG FORM COMPLEM'!F200,"AAAAACdfRyw=")</f>
        <v>#VALUE!</v>
      </c>
      <c r="AT270" t="e">
        <f>AND('PROG FORM COMPLEM'!G200,"AAAAACdfRy0=")</f>
        <v>#VALUE!</v>
      </c>
      <c r="AU270" t="e">
        <f>AND('PROG FORM COMPLEM'!H200,"AAAAACdfRy4=")</f>
        <v>#VALUE!</v>
      </c>
      <c r="AV270" t="e">
        <f>AND('PROG FORM COMPLEM'!I200,"AAAAACdfRy8=")</f>
        <v>#VALUE!</v>
      </c>
      <c r="AW270" t="e">
        <f>AND('PROG FORM COMPLEM'!J200,"AAAAACdfRzA=")</f>
        <v>#VALUE!</v>
      </c>
      <c r="AX270" t="e">
        <f>AND('PROG FORM COMPLEM'!K200,"AAAAACdfRzE=")</f>
        <v>#VALUE!</v>
      </c>
      <c r="AY270" t="e">
        <f>AND('PROG FORM COMPLEM'!L200,"AAAAACdfRzI=")</f>
        <v>#VALUE!</v>
      </c>
      <c r="AZ270" t="e">
        <f>AND('PROG FORM COMPLEM'!M200,"AAAAACdfRzM=")</f>
        <v>#VALUE!</v>
      </c>
      <c r="BA270" t="e">
        <f>AND('PROG FORM COMPLEM'!N200,"AAAAACdfRzQ=")</f>
        <v>#VALUE!</v>
      </c>
      <c r="BB270" t="e">
        <f>AND('PROG FORM COMPLEM'!O200,"AAAAACdfRzU=")</f>
        <v>#VALUE!</v>
      </c>
      <c r="BC270" t="e">
        <f>AND('PROG FORM COMPLEM'!P200,"AAAAACdfRzY=")</f>
        <v>#VALUE!</v>
      </c>
      <c r="BD270" t="e">
        <f>AND('PROG FORM COMPLEM'!Q200,"AAAAACdfRzc=")</f>
        <v>#VALUE!</v>
      </c>
      <c r="BE270" t="e">
        <f>AND('PROG FORM COMPLEM'!R200,"AAAAACdfRzg=")</f>
        <v>#VALUE!</v>
      </c>
      <c r="BF270" t="e">
        <f>AND('PROG FORM COMPLEM'!S200,"AAAAACdfRzk=")</f>
        <v>#VALUE!</v>
      </c>
      <c r="BG270" t="e">
        <f>AND('PROG FORM COMPLEM'!T200,"AAAAACdfRzo=")</f>
        <v>#VALUE!</v>
      </c>
      <c r="BH270" t="e">
        <f>AND('PROG FORM COMPLEM'!U200,"AAAAACdfRzs=")</f>
        <v>#VALUE!</v>
      </c>
      <c r="BI270" t="e">
        <f>AND('PROG FORM COMPLEM'!V200,"AAAAACdfRzw=")</f>
        <v>#VALUE!</v>
      </c>
      <c r="BJ270" t="e">
        <f>AND('PROG FORM COMPLEM'!W200,"AAAAACdfRz0=")</f>
        <v>#VALUE!</v>
      </c>
      <c r="BK270">
        <f>IF('PROG FORM COMPLEM'!201:201,"AAAAACdfRz4=",0)</f>
        <v>0</v>
      </c>
      <c r="BL270" t="e">
        <f>AND('PROG FORM COMPLEM'!B201,"AAAAACdfRz8=")</f>
        <v>#VALUE!</v>
      </c>
      <c r="BM270" t="e">
        <f>AND('PROG FORM COMPLEM'!C201,"AAAAACdfR0A=")</f>
        <v>#VALUE!</v>
      </c>
      <c r="BN270" t="e">
        <f>AND('PROG FORM COMPLEM'!D201,"AAAAACdfR0E=")</f>
        <v>#VALUE!</v>
      </c>
      <c r="BO270" t="e">
        <f>AND('PROG FORM COMPLEM'!E201,"AAAAACdfR0I=")</f>
        <v>#VALUE!</v>
      </c>
      <c r="BP270" t="e">
        <f>AND('PROG FORM COMPLEM'!F201,"AAAAACdfR0M=")</f>
        <v>#VALUE!</v>
      </c>
      <c r="BQ270" t="e">
        <f>AND('PROG FORM COMPLEM'!G201,"AAAAACdfR0Q=")</f>
        <v>#VALUE!</v>
      </c>
      <c r="BR270" t="e">
        <f>AND('PROG FORM COMPLEM'!H201,"AAAAACdfR0U=")</f>
        <v>#VALUE!</v>
      </c>
      <c r="BS270" t="e">
        <f>AND('PROG FORM COMPLEM'!I201,"AAAAACdfR0Y=")</f>
        <v>#VALUE!</v>
      </c>
      <c r="BT270" t="e">
        <f>AND('PROG FORM COMPLEM'!J201,"AAAAACdfR0c=")</f>
        <v>#VALUE!</v>
      </c>
      <c r="BU270" t="e">
        <f>AND('PROG FORM COMPLEM'!K201,"AAAAACdfR0g=")</f>
        <v>#VALUE!</v>
      </c>
      <c r="BV270" t="e">
        <f>AND('PROG FORM COMPLEM'!L201,"AAAAACdfR0k=")</f>
        <v>#VALUE!</v>
      </c>
      <c r="BW270" t="e">
        <f>AND('PROG FORM COMPLEM'!M201,"AAAAACdfR0o=")</f>
        <v>#VALUE!</v>
      </c>
      <c r="BX270" t="e">
        <f>AND('PROG FORM COMPLEM'!N201,"AAAAACdfR0s=")</f>
        <v>#VALUE!</v>
      </c>
      <c r="BY270" t="e">
        <f>AND('PROG FORM COMPLEM'!O201,"AAAAACdfR0w=")</f>
        <v>#VALUE!</v>
      </c>
      <c r="BZ270" t="e">
        <f>AND('PROG FORM COMPLEM'!P201,"AAAAACdfR00=")</f>
        <v>#VALUE!</v>
      </c>
      <c r="CA270" t="e">
        <f>AND('PROG FORM COMPLEM'!Q201,"AAAAACdfR04=")</f>
        <v>#VALUE!</v>
      </c>
      <c r="CB270" t="e">
        <f>AND('PROG FORM COMPLEM'!R201,"AAAAACdfR08=")</f>
        <v>#VALUE!</v>
      </c>
      <c r="CC270" t="e">
        <f>AND('PROG FORM COMPLEM'!S201,"AAAAACdfR1A=")</f>
        <v>#VALUE!</v>
      </c>
      <c r="CD270" t="e">
        <f>AND('PROG FORM COMPLEM'!T201,"AAAAACdfR1E=")</f>
        <v>#VALUE!</v>
      </c>
      <c r="CE270" t="e">
        <f>AND('PROG FORM COMPLEM'!U201,"AAAAACdfR1I=")</f>
        <v>#VALUE!</v>
      </c>
      <c r="CF270" t="e">
        <f>AND('PROG FORM COMPLEM'!V201,"AAAAACdfR1M=")</f>
        <v>#VALUE!</v>
      </c>
      <c r="CG270" t="e">
        <f>AND('PROG FORM COMPLEM'!W201,"AAAAACdfR1Q=")</f>
        <v>#VALUE!</v>
      </c>
      <c r="CH270">
        <f>IF('PROG FORM COMPLEM'!202:202,"AAAAACdfR1U=",0)</f>
        <v>0</v>
      </c>
      <c r="CI270" t="e">
        <f>AND('PROG FORM COMPLEM'!B202,"AAAAACdfR1Y=")</f>
        <v>#VALUE!</v>
      </c>
      <c r="CJ270" t="e">
        <f>AND('PROG FORM COMPLEM'!C202,"AAAAACdfR1c=")</f>
        <v>#VALUE!</v>
      </c>
      <c r="CK270" t="e">
        <f>AND('PROG FORM COMPLEM'!D202,"AAAAACdfR1g=")</f>
        <v>#VALUE!</v>
      </c>
      <c r="CL270" t="e">
        <f>AND('PROG FORM COMPLEM'!E202,"AAAAACdfR1k=")</f>
        <v>#VALUE!</v>
      </c>
      <c r="CM270" t="e">
        <f>AND('PROG FORM COMPLEM'!F202,"AAAAACdfR1o=")</f>
        <v>#VALUE!</v>
      </c>
      <c r="CN270" t="e">
        <f>AND('PROG FORM COMPLEM'!G202,"AAAAACdfR1s=")</f>
        <v>#VALUE!</v>
      </c>
      <c r="CO270" t="e">
        <f>AND('PROG FORM COMPLEM'!H202,"AAAAACdfR1w=")</f>
        <v>#VALUE!</v>
      </c>
      <c r="CP270" t="e">
        <f>AND('PROG FORM COMPLEM'!I202,"AAAAACdfR10=")</f>
        <v>#VALUE!</v>
      </c>
      <c r="CQ270" t="e">
        <f>AND('PROG FORM COMPLEM'!J202,"AAAAACdfR14=")</f>
        <v>#VALUE!</v>
      </c>
      <c r="CR270" t="e">
        <f>AND('PROG FORM COMPLEM'!K202,"AAAAACdfR18=")</f>
        <v>#VALUE!</v>
      </c>
      <c r="CS270" t="e">
        <f>AND('PROG FORM COMPLEM'!L202,"AAAAACdfR2A=")</f>
        <v>#VALUE!</v>
      </c>
      <c r="CT270" t="e">
        <f>AND('PROG FORM COMPLEM'!M202,"AAAAACdfR2E=")</f>
        <v>#VALUE!</v>
      </c>
      <c r="CU270" t="e">
        <f>AND('PROG FORM COMPLEM'!N202,"AAAAACdfR2I=")</f>
        <v>#VALUE!</v>
      </c>
      <c r="CV270" t="e">
        <f>AND('PROG FORM COMPLEM'!O202,"AAAAACdfR2M=")</f>
        <v>#VALUE!</v>
      </c>
      <c r="CW270" t="e">
        <f>AND('PROG FORM COMPLEM'!P202,"AAAAACdfR2Q=")</f>
        <v>#VALUE!</v>
      </c>
      <c r="CX270" t="e">
        <f>AND('PROG FORM COMPLEM'!Q202,"AAAAACdfR2U=")</f>
        <v>#VALUE!</v>
      </c>
      <c r="CY270" t="e">
        <f>AND('PROG FORM COMPLEM'!R202,"AAAAACdfR2Y=")</f>
        <v>#VALUE!</v>
      </c>
      <c r="CZ270" t="e">
        <f>AND('PROG FORM COMPLEM'!S202,"AAAAACdfR2c=")</f>
        <v>#VALUE!</v>
      </c>
      <c r="DA270" t="e">
        <f>AND('PROG FORM COMPLEM'!T202,"AAAAACdfR2g=")</f>
        <v>#VALUE!</v>
      </c>
      <c r="DB270" t="e">
        <f>AND('PROG FORM COMPLEM'!U202,"AAAAACdfR2k=")</f>
        <v>#VALUE!</v>
      </c>
      <c r="DC270" t="e">
        <f>AND('PROG FORM COMPLEM'!V202,"AAAAACdfR2o=")</f>
        <v>#VALUE!</v>
      </c>
      <c r="DD270" t="e">
        <f>AND('PROG FORM COMPLEM'!W202,"AAAAACdfR2s=")</f>
        <v>#VALUE!</v>
      </c>
      <c r="DE270">
        <f>IF('PROG FORM COMPLEM'!203:203,"AAAAACdfR2w=",0)</f>
        <v>0</v>
      </c>
      <c r="DF270" t="e">
        <f>AND('PROG FORM COMPLEM'!B203,"AAAAACdfR20=")</f>
        <v>#VALUE!</v>
      </c>
      <c r="DG270" t="e">
        <f>AND('PROG FORM COMPLEM'!C203,"AAAAACdfR24=")</f>
        <v>#VALUE!</v>
      </c>
      <c r="DH270" t="e">
        <f>AND('PROG FORM COMPLEM'!D203,"AAAAACdfR28=")</f>
        <v>#VALUE!</v>
      </c>
      <c r="DI270" t="e">
        <f>AND('PROG FORM COMPLEM'!E203,"AAAAACdfR3A=")</f>
        <v>#VALUE!</v>
      </c>
      <c r="DJ270" t="e">
        <f>AND('PROG FORM COMPLEM'!F203,"AAAAACdfR3E=")</f>
        <v>#VALUE!</v>
      </c>
      <c r="DK270" t="e">
        <f>AND('PROG FORM COMPLEM'!G203,"AAAAACdfR3I=")</f>
        <v>#VALUE!</v>
      </c>
      <c r="DL270" t="e">
        <f>AND('PROG FORM COMPLEM'!H203,"AAAAACdfR3M=")</f>
        <v>#VALUE!</v>
      </c>
      <c r="DM270" t="e">
        <f>AND('PROG FORM COMPLEM'!I203,"AAAAACdfR3Q=")</f>
        <v>#VALUE!</v>
      </c>
      <c r="DN270" t="e">
        <f>AND('PROG FORM COMPLEM'!J203,"AAAAACdfR3U=")</f>
        <v>#VALUE!</v>
      </c>
      <c r="DO270" t="e">
        <f>AND('PROG FORM COMPLEM'!K203,"AAAAACdfR3Y=")</f>
        <v>#VALUE!</v>
      </c>
      <c r="DP270" t="e">
        <f>AND('PROG FORM COMPLEM'!L203,"AAAAACdfR3c=")</f>
        <v>#VALUE!</v>
      </c>
      <c r="DQ270" t="e">
        <f>AND('PROG FORM COMPLEM'!M203,"AAAAACdfR3g=")</f>
        <v>#VALUE!</v>
      </c>
      <c r="DR270" t="e">
        <f>AND('PROG FORM COMPLEM'!N203,"AAAAACdfR3k=")</f>
        <v>#VALUE!</v>
      </c>
      <c r="DS270" t="e">
        <f>AND('PROG FORM COMPLEM'!O203,"AAAAACdfR3o=")</f>
        <v>#VALUE!</v>
      </c>
      <c r="DT270" t="e">
        <f>AND('PROG FORM COMPLEM'!P203,"AAAAACdfR3s=")</f>
        <v>#VALUE!</v>
      </c>
      <c r="DU270" t="e">
        <f>AND('PROG FORM COMPLEM'!Q203,"AAAAACdfR3w=")</f>
        <v>#VALUE!</v>
      </c>
      <c r="DV270" t="e">
        <f>AND('PROG FORM COMPLEM'!R203,"AAAAACdfR30=")</f>
        <v>#VALUE!</v>
      </c>
      <c r="DW270" t="e">
        <f>AND('PROG FORM COMPLEM'!S203,"AAAAACdfR34=")</f>
        <v>#VALUE!</v>
      </c>
      <c r="DX270" t="e">
        <f>AND('PROG FORM COMPLEM'!T203,"AAAAACdfR38=")</f>
        <v>#VALUE!</v>
      </c>
      <c r="DY270" t="e">
        <f>AND('PROG FORM COMPLEM'!U203,"AAAAACdfR4A=")</f>
        <v>#VALUE!</v>
      </c>
      <c r="DZ270" t="e">
        <f>AND('PROG FORM COMPLEM'!V203,"AAAAACdfR4E=")</f>
        <v>#VALUE!</v>
      </c>
      <c r="EA270" t="e">
        <f>AND('PROG FORM COMPLEM'!W203,"AAAAACdfR4I=")</f>
        <v>#VALUE!</v>
      </c>
      <c r="EB270">
        <f>IF('PROG FORM COMPLEM'!204:204,"AAAAACdfR4M=",0)</f>
        <v>0</v>
      </c>
      <c r="EC270" t="e">
        <f>AND('PROG FORM COMPLEM'!B204,"AAAAACdfR4Q=")</f>
        <v>#VALUE!</v>
      </c>
      <c r="ED270" t="e">
        <f>AND('PROG FORM COMPLEM'!C204,"AAAAACdfR4U=")</f>
        <v>#VALUE!</v>
      </c>
      <c r="EE270" t="e">
        <f>AND('PROG FORM COMPLEM'!D204,"AAAAACdfR4Y=")</f>
        <v>#VALUE!</v>
      </c>
      <c r="EF270" t="e">
        <f>AND('PROG FORM COMPLEM'!E204,"AAAAACdfR4c=")</f>
        <v>#VALUE!</v>
      </c>
      <c r="EG270" t="e">
        <f>AND('PROG FORM COMPLEM'!F204,"AAAAACdfR4g=")</f>
        <v>#VALUE!</v>
      </c>
      <c r="EH270" t="e">
        <f>AND('PROG FORM COMPLEM'!G204,"AAAAACdfR4k=")</f>
        <v>#VALUE!</v>
      </c>
      <c r="EI270" t="e">
        <f>AND('PROG FORM COMPLEM'!H204,"AAAAACdfR4o=")</f>
        <v>#VALUE!</v>
      </c>
      <c r="EJ270" t="e">
        <f>AND('PROG FORM COMPLEM'!I204,"AAAAACdfR4s=")</f>
        <v>#VALUE!</v>
      </c>
      <c r="EK270" t="e">
        <f>AND('PROG FORM COMPLEM'!J204,"AAAAACdfR4w=")</f>
        <v>#VALUE!</v>
      </c>
      <c r="EL270" t="e">
        <f>AND('PROG FORM COMPLEM'!K204,"AAAAACdfR40=")</f>
        <v>#VALUE!</v>
      </c>
      <c r="EM270" t="e">
        <f>AND('PROG FORM COMPLEM'!L204,"AAAAACdfR44=")</f>
        <v>#VALUE!</v>
      </c>
      <c r="EN270" t="e">
        <f>AND('PROG FORM COMPLEM'!M204,"AAAAACdfR48=")</f>
        <v>#VALUE!</v>
      </c>
      <c r="EO270" t="e">
        <f>AND('PROG FORM COMPLEM'!N204,"AAAAACdfR5A=")</f>
        <v>#VALUE!</v>
      </c>
      <c r="EP270" t="e">
        <f>AND('PROG FORM COMPLEM'!O204,"AAAAACdfR5E=")</f>
        <v>#VALUE!</v>
      </c>
      <c r="EQ270" t="e">
        <f>AND('PROG FORM COMPLEM'!P204,"AAAAACdfR5I=")</f>
        <v>#VALUE!</v>
      </c>
      <c r="ER270" t="e">
        <f>AND('PROG FORM COMPLEM'!Q204,"AAAAACdfR5M=")</f>
        <v>#VALUE!</v>
      </c>
      <c r="ES270" t="e">
        <f>AND('PROG FORM COMPLEM'!R204,"AAAAACdfR5Q=")</f>
        <v>#VALUE!</v>
      </c>
      <c r="ET270" t="e">
        <f>AND('PROG FORM COMPLEM'!S204,"AAAAACdfR5U=")</f>
        <v>#VALUE!</v>
      </c>
      <c r="EU270" t="e">
        <f>AND('PROG FORM COMPLEM'!T204,"AAAAACdfR5Y=")</f>
        <v>#VALUE!</v>
      </c>
      <c r="EV270" t="e">
        <f>AND('PROG FORM COMPLEM'!U204,"AAAAACdfR5c=")</f>
        <v>#VALUE!</v>
      </c>
      <c r="EW270" t="e">
        <f>AND('PROG FORM COMPLEM'!V204,"AAAAACdfR5g=")</f>
        <v>#VALUE!</v>
      </c>
      <c r="EX270" t="e">
        <f>AND('PROG FORM COMPLEM'!W204,"AAAAACdfR5k=")</f>
        <v>#VALUE!</v>
      </c>
      <c r="EY270">
        <f>IF('PROG FORM COMPLEM'!205:205,"AAAAACdfR5o=",0)</f>
        <v>0</v>
      </c>
      <c r="EZ270" t="e">
        <f>AND('PROG FORM COMPLEM'!B205,"AAAAACdfR5s=")</f>
        <v>#VALUE!</v>
      </c>
      <c r="FA270" t="e">
        <f>AND('PROG FORM COMPLEM'!C205,"AAAAACdfR5w=")</f>
        <v>#VALUE!</v>
      </c>
      <c r="FB270" t="e">
        <f>AND('PROG FORM COMPLEM'!D205,"AAAAACdfR50=")</f>
        <v>#VALUE!</v>
      </c>
      <c r="FC270" t="e">
        <f>AND('PROG FORM COMPLEM'!E205,"AAAAACdfR54=")</f>
        <v>#VALUE!</v>
      </c>
      <c r="FD270" t="e">
        <f>AND('PROG FORM COMPLEM'!F205,"AAAAACdfR58=")</f>
        <v>#VALUE!</v>
      </c>
      <c r="FE270" t="e">
        <f>AND('PROG FORM COMPLEM'!G205,"AAAAACdfR6A=")</f>
        <v>#VALUE!</v>
      </c>
      <c r="FF270" t="e">
        <f>AND('PROG FORM COMPLEM'!H205,"AAAAACdfR6E=")</f>
        <v>#VALUE!</v>
      </c>
      <c r="FG270" t="e">
        <f>AND('PROG FORM COMPLEM'!I205,"AAAAACdfR6I=")</f>
        <v>#VALUE!</v>
      </c>
      <c r="FH270" t="e">
        <f>AND('PROG FORM COMPLEM'!J205,"AAAAACdfR6M=")</f>
        <v>#VALUE!</v>
      </c>
      <c r="FI270" t="e">
        <f>AND('PROG FORM COMPLEM'!K205,"AAAAACdfR6Q=")</f>
        <v>#VALUE!</v>
      </c>
      <c r="FJ270" t="e">
        <f>AND('PROG FORM COMPLEM'!L205,"AAAAACdfR6U=")</f>
        <v>#VALUE!</v>
      </c>
      <c r="FK270" t="e">
        <f>AND('PROG FORM COMPLEM'!M205,"AAAAACdfR6Y=")</f>
        <v>#VALUE!</v>
      </c>
      <c r="FL270" t="e">
        <f>AND('PROG FORM COMPLEM'!N205,"AAAAACdfR6c=")</f>
        <v>#VALUE!</v>
      </c>
      <c r="FM270" t="e">
        <f>AND('PROG FORM COMPLEM'!O205,"AAAAACdfR6g=")</f>
        <v>#VALUE!</v>
      </c>
      <c r="FN270" t="e">
        <f>AND('PROG FORM COMPLEM'!P205,"AAAAACdfR6k=")</f>
        <v>#VALUE!</v>
      </c>
      <c r="FO270" t="e">
        <f>AND('PROG FORM COMPLEM'!Q205,"AAAAACdfR6o=")</f>
        <v>#VALUE!</v>
      </c>
      <c r="FP270" t="e">
        <f>AND('PROG FORM COMPLEM'!R205,"AAAAACdfR6s=")</f>
        <v>#VALUE!</v>
      </c>
      <c r="FQ270" t="e">
        <f>AND('PROG FORM COMPLEM'!S205,"AAAAACdfR6w=")</f>
        <v>#VALUE!</v>
      </c>
      <c r="FR270" t="e">
        <f>AND('PROG FORM COMPLEM'!T205,"AAAAACdfR60=")</f>
        <v>#VALUE!</v>
      </c>
      <c r="FS270" t="e">
        <f>AND('PROG FORM COMPLEM'!U205,"AAAAACdfR64=")</f>
        <v>#VALUE!</v>
      </c>
      <c r="FT270" t="e">
        <f>AND('PROG FORM COMPLEM'!V205,"AAAAACdfR68=")</f>
        <v>#VALUE!</v>
      </c>
      <c r="FU270" t="e">
        <f>AND('PROG FORM COMPLEM'!W205,"AAAAACdfR7A=")</f>
        <v>#VALUE!</v>
      </c>
      <c r="FV270" t="e">
        <f>IF('PROG FORM COMPLEM'!#REF!,"AAAAACdfR7E=",0)</f>
        <v>#REF!</v>
      </c>
      <c r="FW270" t="e">
        <f>AND('PROG FORM COMPLEM'!#REF!,"AAAAACdfR7I=")</f>
        <v>#REF!</v>
      </c>
      <c r="FX270" t="e">
        <f>AND('PROG FORM COMPLEM'!#REF!,"AAAAACdfR7M=")</f>
        <v>#REF!</v>
      </c>
      <c r="FY270" t="e">
        <f>AND('PROG FORM COMPLEM'!#REF!,"AAAAACdfR7Q=")</f>
        <v>#REF!</v>
      </c>
      <c r="FZ270" t="e">
        <f>AND('PROG FORM COMPLEM'!#REF!,"AAAAACdfR7U=")</f>
        <v>#REF!</v>
      </c>
      <c r="GA270" t="e">
        <f>AND('PROG FORM COMPLEM'!#REF!,"AAAAACdfR7Y=")</f>
        <v>#REF!</v>
      </c>
      <c r="GB270" t="e">
        <f>AND('PROG FORM COMPLEM'!#REF!,"AAAAACdfR7c=")</f>
        <v>#REF!</v>
      </c>
      <c r="GC270" t="e">
        <f>AND('PROG FORM COMPLEM'!#REF!,"AAAAACdfR7g=")</f>
        <v>#REF!</v>
      </c>
      <c r="GD270" t="e">
        <f>AND('PROG FORM COMPLEM'!#REF!,"AAAAACdfR7k=")</f>
        <v>#REF!</v>
      </c>
      <c r="GE270" t="e">
        <f>AND('PROG FORM COMPLEM'!#REF!,"AAAAACdfR7o=")</f>
        <v>#REF!</v>
      </c>
      <c r="GF270" t="e">
        <f>AND('PROG FORM COMPLEM'!#REF!,"AAAAACdfR7s=")</f>
        <v>#REF!</v>
      </c>
      <c r="GG270" t="e">
        <f>AND('PROG FORM COMPLEM'!#REF!,"AAAAACdfR7w=")</f>
        <v>#REF!</v>
      </c>
      <c r="GH270" t="e">
        <f>AND('PROG FORM COMPLEM'!#REF!,"AAAAACdfR70=")</f>
        <v>#REF!</v>
      </c>
      <c r="GI270" t="e">
        <f>AND('PROG FORM COMPLEM'!#REF!,"AAAAACdfR74=")</f>
        <v>#REF!</v>
      </c>
      <c r="GJ270" t="e">
        <f>AND('PROG FORM COMPLEM'!#REF!,"AAAAACdfR78=")</f>
        <v>#REF!</v>
      </c>
      <c r="GK270" t="e">
        <f>AND('PROG FORM COMPLEM'!#REF!,"AAAAACdfR8A=")</f>
        <v>#REF!</v>
      </c>
      <c r="GL270" t="e">
        <f>AND('PROG FORM COMPLEM'!#REF!,"AAAAACdfR8E=")</f>
        <v>#REF!</v>
      </c>
      <c r="GM270" t="e">
        <f>AND('PROG FORM COMPLEM'!#REF!,"AAAAACdfR8I=")</f>
        <v>#REF!</v>
      </c>
      <c r="GN270" t="e">
        <f>AND('PROG FORM COMPLEM'!#REF!,"AAAAACdfR8M=")</f>
        <v>#REF!</v>
      </c>
      <c r="GO270" t="e">
        <f>AND('PROG FORM COMPLEM'!#REF!,"AAAAACdfR8Q=")</f>
        <v>#REF!</v>
      </c>
      <c r="GP270" t="e">
        <f>AND('PROG FORM COMPLEM'!#REF!,"AAAAACdfR8U=")</f>
        <v>#REF!</v>
      </c>
      <c r="GQ270" t="e">
        <f>AND('PROG FORM COMPLEM'!#REF!,"AAAAACdfR8Y=")</f>
        <v>#REF!</v>
      </c>
      <c r="GR270" t="e">
        <f>AND('PROG FORM COMPLEM'!#REF!,"AAAAACdfR8c=")</f>
        <v>#REF!</v>
      </c>
      <c r="GS270" t="e">
        <f>IF('PROG FORM COMPLEM'!#REF!,"AAAAACdfR8g=",0)</f>
        <v>#REF!</v>
      </c>
      <c r="GT270" t="e">
        <f>AND('PROG FORM COMPLEM'!#REF!,"AAAAACdfR8k=")</f>
        <v>#REF!</v>
      </c>
      <c r="GU270" t="e">
        <f>AND('PROG FORM COMPLEM'!#REF!,"AAAAACdfR8o=")</f>
        <v>#REF!</v>
      </c>
      <c r="GV270" t="e">
        <f>AND('PROG FORM COMPLEM'!#REF!,"AAAAACdfR8s=")</f>
        <v>#REF!</v>
      </c>
      <c r="GW270" t="e">
        <f>AND('PROG FORM COMPLEM'!#REF!,"AAAAACdfR8w=")</f>
        <v>#REF!</v>
      </c>
      <c r="GX270" t="e">
        <f>AND('PROG FORM COMPLEM'!#REF!,"AAAAACdfR80=")</f>
        <v>#REF!</v>
      </c>
      <c r="GY270" t="e">
        <f>AND('PROG FORM COMPLEM'!#REF!,"AAAAACdfR84=")</f>
        <v>#REF!</v>
      </c>
      <c r="GZ270" t="e">
        <f>AND('PROG FORM COMPLEM'!#REF!,"AAAAACdfR88=")</f>
        <v>#REF!</v>
      </c>
      <c r="HA270" t="e">
        <f>AND('PROG FORM COMPLEM'!#REF!,"AAAAACdfR9A=")</f>
        <v>#REF!</v>
      </c>
      <c r="HB270" t="e">
        <f>AND('PROG FORM COMPLEM'!#REF!,"AAAAACdfR9E=")</f>
        <v>#REF!</v>
      </c>
      <c r="HC270" t="e">
        <f>AND('PROG FORM COMPLEM'!#REF!,"AAAAACdfR9I=")</f>
        <v>#REF!</v>
      </c>
      <c r="HD270" t="e">
        <f>AND('PROG FORM COMPLEM'!#REF!,"AAAAACdfR9M=")</f>
        <v>#REF!</v>
      </c>
      <c r="HE270" t="e">
        <f>AND('PROG FORM COMPLEM'!#REF!,"AAAAACdfR9Q=")</f>
        <v>#REF!</v>
      </c>
      <c r="HF270" t="e">
        <f>AND('PROG FORM COMPLEM'!#REF!,"AAAAACdfR9U=")</f>
        <v>#REF!</v>
      </c>
      <c r="HG270" t="e">
        <f>AND('PROG FORM COMPLEM'!#REF!,"AAAAACdfR9Y=")</f>
        <v>#REF!</v>
      </c>
      <c r="HH270" t="e">
        <f>AND('PROG FORM COMPLEM'!#REF!,"AAAAACdfR9c=")</f>
        <v>#REF!</v>
      </c>
      <c r="HI270" t="e">
        <f>AND('PROG FORM COMPLEM'!#REF!,"AAAAACdfR9g=")</f>
        <v>#REF!</v>
      </c>
      <c r="HJ270" t="e">
        <f>AND('PROG FORM COMPLEM'!#REF!,"AAAAACdfR9k=")</f>
        <v>#REF!</v>
      </c>
      <c r="HK270" t="e">
        <f>AND('PROG FORM COMPLEM'!#REF!,"AAAAACdfR9o=")</f>
        <v>#REF!</v>
      </c>
      <c r="HL270" t="e">
        <f>AND('PROG FORM COMPLEM'!#REF!,"AAAAACdfR9s=")</f>
        <v>#REF!</v>
      </c>
      <c r="HM270" t="e">
        <f>AND('PROG FORM COMPLEM'!#REF!,"AAAAACdfR9w=")</f>
        <v>#REF!</v>
      </c>
      <c r="HN270" t="e">
        <f>AND('PROG FORM COMPLEM'!#REF!,"AAAAACdfR90=")</f>
        <v>#REF!</v>
      </c>
      <c r="HO270" t="e">
        <f>AND('PROG FORM COMPLEM'!#REF!,"AAAAACdfR94=")</f>
        <v>#REF!</v>
      </c>
      <c r="HP270">
        <f>IF('PROG FORM COMPLEM'!206:206,"AAAAACdfR98=",0)</f>
        <v>0</v>
      </c>
      <c r="HQ270" t="e">
        <f>AND('PROG FORM COMPLEM'!B206,"AAAAACdfR+A=")</f>
        <v>#VALUE!</v>
      </c>
      <c r="HR270" t="e">
        <f>AND('PROG FORM COMPLEM'!C206,"AAAAACdfR+E=")</f>
        <v>#VALUE!</v>
      </c>
      <c r="HS270" t="e">
        <f>AND('PROG FORM COMPLEM'!D206,"AAAAACdfR+I=")</f>
        <v>#VALUE!</v>
      </c>
      <c r="HT270" t="e">
        <f>AND('PROG FORM COMPLEM'!E206,"AAAAACdfR+M=")</f>
        <v>#VALUE!</v>
      </c>
      <c r="HU270" t="e">
        <f>AND('PROG FORM COMPLEM'!F206,"AAAAACdfR+Q=")</f>
        <v>#VALUE!</v>
      </c>
      <c r="HV270" t="e">
        <f>AND('PROG FORM COMPLEM'!G206,"AAAAACdfR+U=")</f>
        <v>#VALUE!</v>
      </c>
      <c r="HW270" t="e">
        <f>AND('PROG FORM COMPLEM'!H206,"AAAAACdfR+Y=")</f>
        <v>#VALUE!</v>
      </c>
      <c r="HX270" t="e">
        <f>AND('PROG FORM COMPLEM'!I206,"AAAAACdfR+c=")</f>
        <v>#VALUE!</v>
      </c>
      <c r="HY270" t="e">
        <f>AND('PROG FORM COMPLEM'!J206,"AAAAACdfR+g=")</f>
        <v>#VALUE!</v>
      </c>
      <c r="HZ270" t="e">
        <f>AND('PROG FORM COMPLEM'!K206,"AAAAACdfR+k=")</f>
        <v>#VALUE!</v>
      </c>
      <c r="IA270" t="e">
        <f>AND('PROG FORM COMPLEM'!L206,"AAAAACdfR+o=")</f>
        <v>#VALUE!</v>
      </c>
      <c r="IB270" t="e">
        <f>AND('PROG FORM COMPLEM'!M206,"AAAAACdfR+s=")</f>
        <v>#VALUE!</v>
      </c>
      <c r="IC270" t="e">
        <f>AND('PROG FORM COMPLEM'!N206,"AAAAACdfR+w=")</f>
        <v>#VALUE!</v>
      </c>
      <c r="ID270" t="e">
        <f>AND('PROG FORM COMPLEM'!O206,"AAAAACdfR+0=")</f>
        <v>#VALUE!</v>
      </c>
      <c r="IE270" t="e">
        <f>AND('PROG FORM COMPLEM'!P206,"AAAAACdfR+4=")</f>
        <v>#VALUE!</v>
      </c>
      <c r="IF270" t="e">
        <f>AND('PROG FORM COMPLEM'!Q206,"AAAAACdfR+8=")</f>
        <v>#VALUE!</v>
      </c>
      <c r="IG270" t="e">
        <f>AND('PROG FORM COMPLEM'!R206,"AAAAACdfR/A=")</f>
        <v>#VALUE!</v>
      </c>
      <c r="IH270" t="e">
        <f>AND('PROG FORM COMPLEM'!S206,"AAAAACdfR/E=")</f>
        <v>#VALUE!</v>
      </c>
      <c r="II270" t="e">
        <f>AND('PROG FORM COMPLEM'!T206,"AAAAACdfR/I=")</f>
        <v>#VALUE!</v>
      </c>
      <c r="IJ270" t="e">
        <f>AND('PROG FORM COMPLEM'!U206,"AAAAACdfR/M=")</f>
        <v>#VALUE!</v>
      </c>
      <c r="IK270" t="e">
        <f>AND('PROG FORM COMPLEM'!V206,"AAAAACdfR/Q=")</f>
        <v>#VALUE!</v>
      </c>
      <c r="IL270" t="e">
        <f>AND('PROG FORM COMPLEM'!W206,"AAAAACdfR/U=")</f>
        <v>#VALUE!</v>
      </c>
      <c r="IM270" t="e">
        <f>IF('PROG FORM COMPLEM'!#REF!,"AAAAACdfR/Y=",0)</f>
        <v>#REF!</v>
      </c>
      <c r="IN270" t="e">
        <f>AND('PROG FORM COMPLEM'!#REF!,"AAAAACdfR/c=")</f>
        <v>#REF!</v>
      </c>
      <c r="IO270" t="e">
        <f>AND('PROG FORM COMPLEM'!#REF!,"AAAAACdfR/g=")</f>
        <v>#REF!</v>
      </c>
      <c r="IP270" t="e">
        <f>AND('PROG FORM COMPLEM'!#REF!,"AAAAACdfR/k=")</f>
        <v>#REF!</v>
      </c>
      <c r="IQ270" t="e">
        <f>AND('PROG FORM COMPLEM'!#REF!,"AAAAACdfR/o=")</f>
        <v>#REF!</v>
      </c>
      <c r="IR270" t="e">
        <f>AND('PROG FORM COMPLEM'!#REF!,"AAAAACdfR/s=")</f>
        <v>#REF!</v>
      </c>
      <c r="IS270" t="e">
        <f>AND('PROG FORM COMPLEM'!#REF!,"AAAAACdfR/w=")</f>
        <v>#REF!</v>
      </c>
      <c r="IT270" t="e">
        <f>AND('PROG FORM COMPLEM'!#REF!,"AAAAACdfR/0=")</f>
        <v>#REF!</v>
      </c>
      <c r="IU270" t="e">
        <f>AND('PROG FORM COMPLEM'!#REF!,"AAAAACdfR/4=")</f>
        <v>#REF!</v>
      </c>
      <c r="IV270" t="e">
        <f>AND('PROG FORM COMPLEM'!#REF!,"AAAAACdfR/8=")</f>
        <v>#REF!</v>
      </c>
    </row>
    <row r="271" spans="1:256" x14ac:dyDescent="0.2">
      <c r="A271" t="e">
        <f>AND('PROG FORM COMPLEM'!#REF!,"AAAAAD/7rgA=")</f>
        <v>#REF!</v>
      </c>
      <c r="B271" t="e">
        <f>AND('PROG FORM COMPLEM'!#REF!,"AAAAAD/7rgE=")</f>
        <v>#REF!</v>
      </c>
      <c r="C271" t="e">
        <f>AND('PROG FORM COMPLEM'!#REF!,"AAAAAD/7rgI=")</f>
        <v>#REF!</v>
      </c>
      <c r="D271" t="e">
        <f>AND('PROG FORM COMPLEM'!#REF!,"AAAAAD/7rgM=")</f>
        <v>#REF!</v>
      </c>
      <c r="E271" t="e">
        <f>AND('PROG FORM COMPLEM'!#REF!,"AAAAAD/7rgQ=")</f>
        <v>#REF!</v>
      </c>
      <c r="F271" t="e">
        <f>AND('PROG FORM COMPLEM'!#REF!,"AAAAAD/7rgU=")</f>
        <v>#REF!</v>
      </c>
      <c r="G271" t="e">
        <f>AND('PROG FORM COMPLEM'!#REF!,"AAAAAD/7rgY=")</f>
        <v>#REF!</v>
      </c>
      <c r="H271" t="e">
        <f>AND('PROG FORM COMPLEM'!#REF!,"AAAAAD/7rgc=")</f>
        <v>#REF!</v>
      </c>
      <c r="I271" t="e">
        <f>AND('PROG FORM COMPLEM'!#REF!,"AAAAAD/7rgg=")</f>
        <v>#REF!</v>
      </c>
      <c r="J271" t="e">
        <f>AND('PROG FORM COMPLEM'!#REF!,"AAAAAD/7rgk=")</f>
        <v>#REF!</v>
      </c>
      <c r="K271" t="e">
        <f>AND('PROG FORM COMPLEM'!#REF!,"AAAAAD/7rgo=")</f>
        <v>#REF!</v>
      </c>
      <c r="L271" t="e">
        <f>AND('PROG FORM COMPLEM'!#REF!,"AAAAAD/7rgs=")</f>
        <v>#REF!</v>
      </c>
      <c r="M271" t="e">
        <f>AND('PROG FORM COMPLEM'!#REF!,"AAAAAD/7rgw=")</f>
        <v>#REF!</v>
      </c>
      <c r="N271" t="e">
        <f>IF('PROG FORM COMPLEM'!#REF!,"AAAAAD/7rg0=",0)</f>
        <v>#REF!</v>
      </c>
      <c r="O271" t="e">
        <f>AND('PROG FORM COMPLEM'!#REF!,"AAAAAD/7rg4=")</f>
        <v>#REF!</v>
      </c>
      <c r="P271" t="e">
        <f>AND('PROG FORM COMPLEM'!#REF!,"AAAAAD/7rg8=")</f>
        <v>#REF!</v>
      </c>
      <c r="Q271" t="e">
        <f>AND('PROG FORM COMPLEM'!#REF!,"AAAAAD/7rhA=")</f>
        <v>#REF!</v>
      </c>
      <c r="R271" t="e">
        <f>AND('PROG FORM COMPLEM'!#REF!,"AAAAAD/7rhE=")</f>
        <v>#REF!</v>
      </c>
      <c r="S271" t="e">
        <f>AND('PROG FORM COMPLEM'!#REF!,"AAAAAD/7rhI=")</f>
        <v>#REF!</v>
      </c>
      <c r="T271" t="e">
        <f>AND('PROG FORM COMPLEM'!#REF!,"AAAAAD/7rhM=")</f>
        <v>#REF!</v>
      </c>
      <c r="U271" t="e">
        <f>AND('PROG FORM COMPLEM'!#REF!,"AAAAAD/7rhQ=")</f>
        <v>#REF!</v>
      </c>
      <c r="V271" t="e">
        <f>AND('PROG FORM COMPLEM'!#REF!,"AAAAAD/7rhU=")</f>
        <v>#REF!</v>
      </c>
      <c r="W271" t="e">
        <f>AND('PROG FORM COMPLEM'!#REF!,"AAAAAD/7rhY=")</f>
        <v>#REF!</v>
      </c>
      <c r="X271" t="e">
        <f>AND('PROG FORM COMPLEM'!#REF!,"AAAAAD/7rhc=")</f>
        <v>#REF!</v>
      </c>
      <c r="Y271" t="e">
        <f>AND('PROG FORM COMPLEM'!#REF!,"AAAAAD/7rhg=")</f>
        <v>#REF!</v>
      </c>
      <c r="Z271" t="e">
        <f>AND('PROG FORM COMPLEM'!#REF!,"AAAAAD/7rhk=")</f>
        <v>#REF!</v>
      </c>
      <c r="AA271" t="e">
        <f>AND('PROG FORM COMPLEM'!#REF!,"AAAAAD/7rho=")</f>
        <v>#REF!</v>
      </c>
      <c r="AB271" t="e">
        <f>AND('PROG FORM COMPLEM'!#REF!,"AAAAAD/7rhs=")</f>
        <v>#REF!</v>
      </c>
      <c r="AC271" t="e">
        <f>AND('PROG FORM COMPLEM'!#REF!,"AAAAAD/7rhw=")</f>
        <v>#REF!</v>
      </c>
      <c r="AD271" t="e">
        <f>AND('PROG FORM COMPLEM'!#REF!,"AAAAAD/7rh0=")</f>
        <v>#REF!</v>
      </c>
      <c r="AE271" t="e">
        <f>AND('PROG FORM COMPLEM'!#REF!,"AAAAAD/7rh4=")</f>
        <v>#REF!</v>
      </c>
      <c r="AF271" t="e">
        <f>AND('PROG FORM COMPLEM'!#REF!,"AAAAAD/7rh8=")</f>
        <v>#REF!</v>
      </c>
      <c r="AG271" t="e">
        <f>AND('PROG FORM COMPLEM'!#REF!,"AAAAAD/7riA=")</f>
        <v>#REF!</v>
      </c>
      <c r="AH271" t="e">
        <f>AND('PROG FORM COMPLEM'!#REF!,"AAAAAD/7riE=")</f>
        <v>#REF!</v>
      </c>
      <c r="AI271" t="e">
        <f>AND('PROG FORM COMPLEM'!#REF!,"AAAAAD/7riI=")</f>
        <v>#REF!</v>
      </c>
      <c r="AJ271" t="e">
        <f>AND('PROG FORM COMPLEM'!#REF!,"AAAAAD/7riM=")</f>
        <v>#REF!</v>
      </c>
      <c r="AK271" t="e">
        <f>IF('PROG FORM COMPLEM'!#REF!,"AAAAAD/7riQ=",0)</f>
        <v>#REF!</v>
      </c>
      <c r="AL271" t="e">
        <f>AND('PROG FORM COMPLEM'!#REF!,"AAAAAD/7riU=")</f>
        <v>#REF!</v>
      </c>
      <c r="AM271" t="e">
        <f>AND('PROG FORM COMPLEM'!#REF!,"AAAAAD/7riY=")</f>
        <v>#REF!</v>
      </c>
      <c r="AN271" t="e">
        <f>AND('PROG FORM COMPLEM'!#REF!,"AAAAAD/7ric=")</f>
        <v>#REF!</v>
      </c>
      <c r="AO271" t="e">
        <f>AND('PROG FORM COMPLEM'!#REF!,"AAAAAD/7rig=")</f>
        <v>#REF!</v>
      </c>
      <c r="AP271" t="e">
        <f>AND('PROG FORM COMPLEM'!#REF!,"AAAAAD/7rik=")</f>
        <v>#REF!</v>
      </c>
      <c r="AQ271" t="e">
        <f>AND('PROG FORM COMPLEM'!#REF!,"AAAAAD/7rio=")</f>
        <v>#REF!</v>
      </c>
      <c r="AR271" t="e">
        <f>AND('PROG FORM COMPLEM'!#REF!,"AAAAAD/7ris=")</f>
        <v>#REF!</v>
      </c>
      <c r="AS271" t="e">
        <f>AND('PROG FORM COMPLEM'!#REF!,"AAAAAD/7riw=")</f>
        <v>#REF!</v>
      </c>
      <c r="AT271" t="e">
        <f>AND('PROG FORM COMPLEM'!#REF!,"AAAAAD/7ri0=")</f>
        <v>#REF!</v>
      </c>
      <c r="AU271" t="e">
        <f>AND('PROG FORM COMPLEM'!#REF!,"AAAAAD/7ri4=")</f>
        <v>#REF!</v>
      </c>
      <c r="AV271" t="e">
        <f>AND('PROG FORM COMPLEM'!#REF!,"AAAAAD/7ri8=")</f>
        <v>#REF!</v>
      </c>
      <c r="AW271" t="e">
        <f>AND('PROG FORM COMPLEM'!#REF!,"AAAAAD/7rjA=")</f>
        <v>#REF!</v>
      </c>
      <c r="AX271" t="e">
        <f>AND('PROG FORM COMPLEM'!#REF!,"AAAAAD/7rjE=")</f>
        <v>#REF!</v>
      </c>
      <c r="AY271" t="e">
        <f>AND('PROG FORM COMPLEM'!#REF!,"AAAAAD/7rjI=")</f>
        <v>#REF!</v>
      </c>
      <c r="AZ271" t="e">
        <f>AND('PROG FORM COMPLEM'!#REF!,"AAAAAD/7rjM=")</f>
        <v>#REF!</v>
      </c>
      <c r="BA271" t="e">
        <f>AND('PROG FORM COMPLEM'!#REF!,"AAAAAD/7rjQ=")</f>
        <v>#REF!</v>
      </c>
      <c r="BB271" t="e">
        <f>AND('PROG FORM COMPLEM'!#REF!,"AAAAAD/7rjU=")</f>
        <v>#REF!</v>
      </c>
      <c r="BC271" t="e">
        <f>AND('PROG FORM COMPLEM'!#REF!,"AAAAAD/7rjY=")</f>
        <v>#REF!</v>
      </c>
      <c r="BD271" t="e">
        <f>AND('PROG FORM COMPLEM'!#REF!,"AAAAAD/7rjc=")</f>
        <v>#REF!</v>
      </c>
      <c r="BE271" t="e">
        <f>AND('PROG FORM COMPLEM'!#REF!,"AAAAAD/7rjg=")</f>
        <v>#REF!</v>
      </c>
      <c r="BF271" t="e">
        <f>AND('PROG FORM COMPLEM'!#REF!,"AAAAAD/7rjk=")</f>
        <v>#REF!</v>
      </c>
      <c r="BG271" t="e">
        <f>AND('PROG FORM COMPLEM'!#REF!,"AAAAAD/7rjo=")</f>
        <v>#REF!</v>
      </c>
      <c r="BH271" t="e">
        <f>IF('PROG FORM COMPLEM'!#REF!,"AAAAAD/7rjs=",0)</f>
        <v>#REF!</v>
      </c>
      <c r="BI271" t="e">
        <f>AND('PROG FORM COMPLEM'!#REF!,"AAAAAD/7rjw=")</f>
        <v>#REF!</v>
      </c>
      <c r="BJ271" t="e">
        <f>AND('PROG FORM COMPLEM'!#REF!,"AAAAAD/7rj0=")</f>
        <v>#REF!</v>
      </c>
      <c r="BK271" t="e">
        <f>AND('PROG FORM COMPLEM'!#REF!,"AAAAAD/7rj4=")</f>
        <v>#REF!</v>
      </c>
      <c r="BL271" t="e">
        <f>AND('PROG FORM COMPLEM'!#REF!,"AAAAAD/7rj8=")</f>
        <v>#REF!</v>
      </c>
      <c r="BM271" t="e">
        <f>AND('PROG FORM COMPLEM'!#REF!,"AAAAAD/7rkA=")</f>
        <v>#REF!</v>
      </c>
      <c r="BN271" t="e">
        <f>AND('PROG FORM COMPLEM'!#REF!,"AAAAAD/7rkE=")</f>
        <v>#REF!</v>
      </c>
      <c r="BO271" t="e">
        <f>AND('PROG FORM COMPLEM'!#REF!,"AAAAAD/7rkI=")</f>
        <v>#REF!</v>
      </c>
      <c r="BP271" t="e">
        <f>AND('PROG FORM COMPLEM'!#REF!,"AAAAAD/7rkM=")</f>
        <v>#REF!</v>
      </c>
      <c r="BQ271" t="e">
        <f>AND('PROG FORM COMPLEM'!#REF!,"AAAAAD/7rkQ=")</f>
        <v>#REF!</v>
      </c>
      <c r="BR271" t="e">
        <f>AND('PROG FORM COMPLEM'!#REF!,"AAAAAD/7rkU=")</f>
        <v>#REF!</v>
      </c>
      <c r="BS271" t="e">
        <f>AND('PROG FORM COMPLEM'!#REF!,"AAAAAD/7rkY=")</f>
        <v>#REF!</v>
      </c>
      <c r="BT271" t="e">
        <f>AND('PROG FORM COMPLEM'!#REF!,"AAAAAD/7rkc=")</f>
        <v>#REF!</v>
      </c>
      <c r="BU271" t="e">
        <f>AND('PROG FORM COMPLEM'!#REF!,"AAAAAD/7rkg=")</f>
        <v>#REF!</v>
      </c>
      <c r="BV271" t="e">
        <f>AND('PROG FORM COMPLEM'!#REF!,"AAAAAD/7rkk=")</f>
        <v>#REF!</v>
      </c>
      <c r="BW271" t="e">
        <f>AND('PROG FORM COMPLEM'!#REF!,"AAAAAD/7rko=")</f>
        <v>#REF!</v>
      </c>
      <c r="BX271" t="e">
        <f>AND('PROG FORM COMPLEM'!#REF!,"AAAAAD/7rks=")</f>
        <v>#REF!</v>
      </c>
      <c r="BY271" t="e">
        <f>AND('PROG FORM COMPLEM'!#REF!,"AAAAAD/7rkw=")</f>
        <v>#REF!</v>
      </c>
      <c r="BZ271" t="e">
        <f>AND('PROG FORM COMPLEM'!#REF!,"AAAAAD/7rk0=")</f>
        <v>#REF!</v>
      </c>
      <c r="CA271" t="e">
        <f>AND('PROG FORM COMPLEM'!#REF!,"AAAAAD/7rk4=")</f>
        <v>#REF!</v>
      </c>
      <c r="CB271" t="e">
        <f>AND('PROG FORM COMPLEM'!#REF!,"AAAAAD/7rk8=")</f>
        <v>#REF!</v>
      </c>
      <c r="CC271" t="e">
        <f>AND('PROG FORM COMPLEM'!#REF!,"AAAAAD/7rlA=")</f>
        <v>#REF!</v>
      </c>
      <c r="CD271" t="e">
        <f>AND('PROG FORM COMPLEM'!#REF!,"AAAAAD/7rlE=")</f>
        <v>#REF!</v>
      </c>
      <c r="CE271" t="e">
        <f>IF('PROG FORM COMPLEM'!#REF!,"AAAAAD/7rlI=",0)</f>
        <v>#REF!</v>
      </c>
      <c r="CF271" t="e">
        <f>AND('PROG FORM COMPLEM'!#REF!,"AAAAAD/7rlM=")</f>
        <v>#REF!</v>
      </c>
      <c r="CG271" t="e">
        <f>AND('PROG FORM COMPLEM'!#REF!,"AAAAAD/7rlQ=")</f>
        <v>#REF!</v>
      </c>
      <c r="CH271" t="e">
        <f>AND('PROG FORM COMPLEM'!#REF!,"AAAAAD/7rlU=")</f>
        <v>#REF!</v>
      </c>
      <c r="CI271" t="e">
        <f>AND('PROG FORM COMPLEM'!#REF!,"AAAAAD/7rlY=")</f>
        <v>#REF!</v>
      </c>
      <c r="CJ271" t="e">
        <f>AND('PROG FORM COMPLEM'!#REF!,"AAAAAD/7rlc=")</f>
        <v>#REF!</v>
      </c>
      <c r="CK271" t="e">
        <f>AND('PROG FORM COMPLEM'!#REF!,"AAAAAD/7rlg=")</f>
        <v>#REF!</v>
      </c>
      <c r="CL271" t="e">
        <f>AND('PROG FORM COMPLEM'!#REF!,"AAAAAD/7rlk=")</f>
        <v>#REF!</v>
      </c>
      <c r="CM271" t="e">
        <f>AND('PROG FORM COMPLEM'!#REF!,"AAAAAD/7rlo=")</f>
        <v>#REF!</v>
      </c>
      <c r="CN271" t="e">
        <f>AND('PROG FORM COMPLEM'!#REF!,"AAAAAD/7rls=")</f>
        <v>#REF!</v>
      </c>
      <c r="CO271" t="e">
        <f>AND('PROG FORM COMPLEM'!#REF!,"AAAAAD/7rlw=")</f>
        <v>#REF!</v>
      </c>
      <c r="CP271" t="e">
        <f>AND('PROG FORM COMPLEM'!#REF!,"AAAAAD/7rl0=")</f>
        <v>#REF!</v>
      </c>
      <c r="CQ271" t="e">
        <f>AND('PROG FORM COMPLEM'!#REF!,"AAAAAD/7rl4=")</f>
        <v>#REF!</v>
      </c>
      <c r="CR271" t="e">
        <f>AND('PROG FORM COMPLEM'!#REF!,"AAAAAD/7rl8=")</f>
        <v>#REF!</v>
      </c>
      <c r="CS271" t="e">
        <f>AND('PROG FORM COMPLEM'!#REF!,"AAAAAD/7rmA=")</f>
        <v>#REF!</v>
      </c>
      <c r="CT271" t="e">
        <f>AND('PROG FORM COMPLEM'!#REF!,"AAAAAD/7rmE=")</f>
        <v>#REF!</v>
      </c>
      <c r="CU271" t="e">
        <f>AND('PROG FORM COMPLEM'!#REF!,"AAAAAD/7rmI=")</f>
        <v>#REF!</v>
      </c>
      <c r="CV271" t="e">
        <f>AND('PROG FORM COMPLEM'!#REF!,"AAAAAD/7rmM=")</f>
        <v>#REF!</v>
      </c>
      <c r="CW271" t="e">
        <f>AND('PROG FORM COMPLEM'!#REF!,"AAAAAD/7rmQ=")</f>
        <v>#REF!</v>
      </c>
      <c r="CX271" t="e">
        <f>AND('PROG FORM COMPLEM'!#REF!,"AAAAAD/7rmU=")</f>
        <v>#REF!</v>
      </c>
      <c r="CY271" t="e">
        <f>AND('PROG FORM COMPLEM'!#REF!,"AAAAAD/7rmY=")</f>
        <v>#REF!</v>
      </c>
      <c r="CZ271" t="e">
        <f>AND('PROG FORM COMPLEM'!#REF!,"AAAAAD/7rmc=")</f>
        <v>#REF!</v>
      </c>
      <c r="DA271" t="e">
        <f>AND('PROG FORM COMPLEM'!#REF!,"AAAAAD/7rmg=")</f>
        <v>#REF!</v>
      </c>
      <c r="DB271" t="e">
        <f>IF('PROG FORM COMPLEM'!#REF!,"AAAAAD/7rmk=",0)</f>
        <v>#REF!</v>
      </c>
      <c r="DC271" t="e">
        <f>AND('PROG FORM COMPLEM'!#REF!,"AAAAAD/7rmo=")</f>
        <v>#REF!</v>
      </c>
      <c r="DD271" t="e">
        <f>AND('PROG FORM COMPLEM'!#REF!,"AAAAAD/7rms=")</f>
        <v>#REF!</v>
      </c>
      <c r="DE271" t="e">
        <f>AND('PROG FORM COMPLEM'!#REF!,"AAAAAD/7rmw=")</f>
        <v>#REF!</v>
      </c>
      <c r="DF271" t="e">
        <f>AND('PROG FORM COMPLEM'!#REF!,"AAAAAD/7rm0=")</f>
        <v>#REF!</v>
      </c>
      <c r="DG271" t="e">
        <f>AND('PROG FORM COMPLEM'!#REF!,"AAAAAD/7rm4=")</f>
        <v>#REF!</v>
      </c>
      <c r="DH271" t="e">
        <f>AND('PROG FORM COMPLEM'!#REF!,"AAAAAD/7rm8=")</f>
        <v>#REF!</v>
      </c>
      <c r="DI271" t="e">
        <f>AND('PROG FORM COMPLEM'!#REF!,"AAAAAD/7rnA=")</f>
        <v>#REF!</v>
      </c>
      <c r="DJ271" t="e">
        <f>AND('PROG FORM COMPLEM'!#REF!,"AAAAAD/7rnE=")</f>
        <v>#REF!</v>
      </c>
      <c r="DK271" t="e">
        <f>AND('PROG FORM COMPLEM'!#REF!,"AAAAAD/7rnI=")</f>
        <v>#REF!</v>
      </c>
      <c r="DL271" t="e">
        <f>AND('PROG FORM COMPLEM'!#REF!,"AAAAAD/7rnM=")</f>
        <v>#REF!</v>
      </c>
      <c r="DM271" t="e">
        <f>AND('PROG FORM COMPLEM'!#REF!,"AAAAAD/7rnQ=")</f>
        <v>#REF!</v>
      </c>
      <c r="DN271" t="e">
        <f>AND('PROG FORM COMPLEM'!#REF!,"AAAAAD/7rnU=")</f>
        <v>#REF!</v>
      </c>
      <c r="DO271" t="e">
        <f>AND('PROG FORM COMPLEM'!#REF!,"AAAAAD/7rnY=")</f>
        <v>#REF!</v>
      </c>
      <c r="DP271" t="e">
        <f>AND('PROG FORM COMPLEM'!#REF!,"AAAAAD/7rnc=")</f>
        <v>#REF!</v>
      </c>
      <c r="DQ271" t="e">
        <f>AND('PROG FORM COMPLEM'!#REF!,"AAAAAD/7rng=")</f>
        <v>#REF!</v>
      </c>
      <c r="DR271" t="e">
        <f>AND('PROG FORM COMPLEM'!#REF!,"AAAAAD/7rnk=")</f>
        <v>#REF!</v>
      </c>
      <c r="DS271" t="e">
        <f>AND('PROG FORM COMPLEM'!#REF!,"AAAAAD/7rno=")</f>
        <v>#REF!</v>
      </c>
      <c r="DT271" t="e">
        <f>AND('PROG FORM COMPLEM'!#REF!,"AAAAAD/7rns=")</f>
        <v>#REF!</v>
      </c>
      <c r="DU271" t="e">
        <f>AND('PROG FORM COMPLEM'!#REF!,"AAAAAD/7rnw=")</f>
        <v>#REF!</v>
      </c>
      <c r="DV271" t="e">
        <f>AND('PROG FORM COMPLEM'!#REF!,"AAAAAD/7rn0=")</f>
        <v>#REF!</v>
      </c>
      <c r="DW271" t="e">
        <f>AND('PROG FORM COMPLEM'!#REF!,"AAAAAD/7rn4=")</f>
        <v>#REF!</v>
      </c>
      <c r="DX271" t="e">
        <f>AND('PROG FORM COMPLEM'!#REF!,"AAAAAD/7rn8=")</f>
        <v>#REF!</v>
      </c>
      <c r="DY271" t="e">
        <f>IF('PROG FORM COMPLEM'!#REF!,"AAAAAD/7roA=",0)</f>
        <v>#REF!</v>
      </c>
      <c r="DZ271" t="e">
        <f>AND('PROG FORM COMPLEM'!#REF!,"AAAAAD/7roE=")</f>
        <v>#REF!</v>
      </c>
      <c r="EA271" t="e">
        <f>AND('PROG FORM COMPLEM'!#REF!,"AAAAAD/7roI=")</f>
        <v>#REF!</v>
      </c>
      <c r="EB271" t="e">
        <f>AND('PROG FORM COMPLEM'!#REF!,"AAAAAD/7roM=")</f>
        <v>#REF!</v>
      </c>
      <c r="EC271" t="e">
        <f>AND('PROG FORM COMPLEM'!#REF!,"AAAAAD/7roQ=")</f>
        <v>#REF!</v>
      </c>
      <c r="ED271" t="e">
        <f>AND('PROG FORM COMPLEM'!#REF!,"AAAAAD/7roU=")</f>
        <v>#REF!</v>
      </c>
      <c r="EE271" t="e">
        <f>AND('PROG FORM COMPLEM'!#REF!,"AAAAAD/7roY=")</f>
        <v>#REF!</v>
      </c>
      <c r="EF271" t="e">
        <f>AND('PROG FORM COMPLEM'!#REF!,"AAAAAD/7roc=")</f>
        <v>#REF!</v>
      </c>
      <c r="EG271" t="e">
        <f>AND('PROG FORM COMPLEM'!#REF!,"AAAAAD/7rog=")</f>
        <v>#REF!</v>
      </c>
      <c r="EH271" t="e">
        <f>AND('PROG FORM COMPLEM'!#REF!,"AAAAAD/7rok=")</f>
        <v>#REF!</v>
      </c>
      <c r="EI271" t="e">
        <f>AND('PROG FORM COMPLEM'!#REF!,"AAAAAD/7roo=")</f>
        <v>#REF!</v>
      </c>
      <c r="EJ271" t="e">
        <f>AND('PROG FORM COMPLEM'!#REF!,"AAAAAD/7ros=")</f>
        <v>#REF!</v>
      </c>
      <c r="EK271" t="e">
        <f>AND('PROG FORM COMPLEM'!#REF!,"AAAAAD/7row=")</f>
        <v>#REF!</v>
      </c>
      <c r="EL271" t="e">
        <f>AND('PROG FORM COMPLEM'!#REF!,"AAAAAD/7ro0=")</f>
        <v>#REF!</v>
      </c>
      <c r="EM271" t="e">
        <f>AND('PROG FORM COMPLEM'!#REF!,"AAAAAD/7ro4=")</f>
        <v>#REF!</v>
      </c>
      <c r="EN271" t="e">
        <f>AND('PROG FORM COMPLEM'!#REF!,"AAAAAD/7ro8=")</f>
        <v>#REF!</v>
      </c>
      <c r="EO271" t="e">
        <f>AND('PROG FORM COMPLEM'!#REF!,"AAAAAD/7rpA=")</f>
        <v>#REF!</v>
      </c>
      <c r="EP271" t="e">
        <f>AND('PROG FORM COMPLEM'!#REF!,"AAAAAD/7rpE=")</f>
        <v>#REF!</v>
      </c>
      <c r="EQ271" t="e">
        <f>AND('PROG FORM COMPLEM'!#REF!,"AAAAAD/7rpI=")</f>
        <v>#REF!</v>
      </c>
      <c r="ER271" t="e">
        <f>AND('PROG FORM COMPLEM'!#REF!,"AAAAAD/7rpM=")</f>
        <v>#REF!</v>
      </c>
      <c r="ES271" t="e">
        <f>AND('PROG FORM COMPLEM'!#REF!,"AAAAAD/7rpQ=")</f>
        <v>#REF!</v>
      </c>
      <c r="ET271" t="e">
        <f>AND('PROG FORM COMPLEM'!#REF!,"AAAAAD/7rpU=")</f>
        <v>#REF!</v>
      </c>
      <c r="EU271" t="e">
        <f>AND('PROG FORM COMPLEM'!#REF!,"AAAAAD/7rpY=")</f>
        <v>#REF!</v>
      </c>
      <c r="EV271">
        <f>IF('PROG FORM COMPLEM'!208:208,"AAAAAD/7rpc=",0)</f>
        <v>0</v>
      </c>
      <c r="EW271" t="e">
        <f>AND('PROG FORM COMPLEM'!B208,"AAAAAD/7rpg=")</f>
        <v>#VALUE!</v>
      </c>
      <c r="EX271" t="e">
        <f>AND('PROG FORM COMPLEM'!C208,"AAAAAD/7rpk=")</f>
        <v>#VALUE!</v>
      </c>
      <c r="EY271" t="e">
        <f>AND('PROG FORM COMPLEM'!D208,"AAAAAD/7rpo=")</f>
        <v>#VALUE!</v>
      </c>
      <c r="EZ271" t="e">
        <f>AND('PROG FORM COMPLEM'!E208,"AAAAAD/7rps=")</f>
        <v>#VALUE!</v>
      </c>
      <c r="FA271" t="e">
        <f>AND('PROG FORM COMPLEM'!F208,"AAAAAD/7rpw=")</f>
        <v>#VALUE!</v>
      </c>
      <c r="FB271" t="e">
        <f>AND('PROG FORM COMPLEM'!G208,"AAAAAD/7rp0=")</f>
        <v>#VALUE!</v>
      </c>
      <c r="FC271" t="e">
        <f>AND('PROG FORM COMPLEM'!H208,"AAAAAD/7rp4=")</f>
        <v>#VALUE!</v>
      </c>
      <c r="FD271" t="e">
        <f>AND('PROG FORM COMPLEM'!I208,"AAAAAD/7rp8=")</f>
        <v>#VALUE!</v>
      </c>
      <c r="FE271" t="e">
        <f>AND('PROG FORM COMPLEM'!J208,"AAAAAD/7rqA=")</f>
        <v>#VALUE!</v>
      </c>
      <c r="FF271" t="e">
        <f>AND('PROG FORM COMPLEM'!K208,"AAAAAD/7rqE=")</f>
        <v>#VALUE!</v>
      </c>
      <c r="FG271" t="e">
        <f>AND('PROG FORM COMPLEM'!L208,"AAAAAD/7rqI=")</f>
        <v>#VALUE!</v>
      </c>
      <c r="FH271" t="e">
        <f>AND('PROG FORM COMPLEM'!M208,"AAAAAD/7rqM=")</f>
        <v>#VALUE!</v>
      </c>
      <c r="FI271" t="e">
        <f>AND('PROG FORM COMPLEM'!N208,"AAAAAD/7rqQ=")</f>
        <v>#VALUE!</v>
      </c>
      <c r="FJ271" t="e">
        <f>AND('PROG FORM COMPLEM'!O208,"AAAAAD/7rqU=")</f>
        <v>#VALUE!</v>
      </c>
      <c r="FK271" t="e">
        <f>AND('PROG FORM COMPLEM'!P208,"AAAAAD/7rqY=")</f>
        <v>#VALUE!</v>
      </c>
      <c r="FL271" t="e">
        <f>AND('PROG FORM COMPLEM'!Q208,"AAAAAD/7rqc=")</f>
        <v>#VALUE!</v>
      </c>
      <c r="FM271" t="e">
        <f>AND('PROG FORM COMPLEM'!R208,"AAAAAD/7rqg=")</f>
        <v>#VALUE!</v>
      </c>
      <c r="FN271" t="e">
        <f>AND('PROG FORM COMPLEM'!S208,"AAAAAD/7rqk=")</f>
        <v>#VALUE!</v>
      </c>
      <c r="FO271" t="e">
        <f>AND('PROG FORM COMPLEM'!T208,"AAAAAD/7rqo=")</f>
        <v>#VALUE!</v>
      </c>
      <c r="FP271" t="e">
        <f>AND('PROG FORM COMPLEM'!U208,"AAAAAD/7rqs=")</f>
        <v>#VALUE!</v>
      </c>
      <c r="FQ271" t="e">
        <f>AND('PROG FORM COMPLEM'!V208,"AAAAAD/7rqw=")</f>
        <v>#VALUE!</v>
      </c>
      <c r="FR271" t="e">
        <f>AND('PROG FORM COMPLEM'!W208,"AAAAAD/7rq0=")</f>
        <v>#VALUE!</v>
      </c>
      <c r="FS271" t="e">
        <f>IF('PROG FORM COMPLEM'!#REF!,"AAAAAD/7rq4=",0)</f>
        <v>#REF!</v>
      </c>
      <c r="FT271" t="e">
        <f>AND('PROG FORM COMPLEM'!#REF!,"AAAAAD/7rq8=")</f>
        <v>#REF!</v>
      </c>
      <c r="FU271" t="e">
        <f>AND('PROG FORM COMPLEM'!#REF!,"AAAAAD/7rrA=")</f>
        <v>#REF!</v>
      </c>
      <c r="FV271" t="e">
        <f>AND('PROG FORM COMPLEM'!#REF!,"AAAAAD/7rrE=")</f>
        <v>#REF!</v>
      </c>
      <c r="FW271" t="e">
        <f>AND('PROG FORM COMPLEM'!#REF!,"AAAAAD/7rrI=")</f>
        <v>#REF!</v>
      </c>
      <c r="FX271" t="e">
        <f>AND('PROG FORM COMPLEM'!#REF!,"AAAAAD/7rrM=")</f>
        <v>#REF!</v>
      </c>
      <c r="FY271" t="e">
        <f>AND('PROG FORM COMPLEM'!#REF!,"AAAAAD/7rrQ=")</f>
        <v>#REF!</v>
      </c>
      <c r="FZ271" t="e">
        <f>AND('PROG FORM COMPLEM'!#REF!,"AAAAAD/7rrU=")</f>
        <v>#REF!</v>
      </c>
      <c r="GA271" t="e">
        <f>AND('PROG FORM COMPLEM'!#REF!,"AAAAAD/7rrY=")</f>
        <v>#REF!</v>
      </c>
      <c r="GB271" t="e">
        <f>AND('PROG FORM COMPLEM'!#REF!,"AAAAAD/7rrc=")</f>
        <v>#REF!</v>
      </c>
      <c r="GC271" t="e">
        <f>AND('PROG FORM COMPLEM'!#REF!,"AAAAAD/7rrg=")</f>
        <v>#REF!</v>
      </c>
      <c r="GD271" t="e">
        <f>AND('PROG FORM COMPLEM'!#REF!,"AAAAAD/7rrk=")</f>
        <v>#REF!</v>
      </c>
      <c r="GE271" t="e">
        <f>AND('PROG FORM COMPLEM'!#REF!,"AAAAAD/7rro=")</f>
        <v>#REF!</v>
      </c>
      <c r="GF271" t="e">
        <f>AND('PROG FORM COMPLEM'!#REF!,"AAAAAD/7rrs=")</f>
        <v>#REF!</v>
      </c>
      <c r="GG271" t="e">
        <f>AND('PROG FORM COMPLEM'!#REF!,"AAAAAD/7rrw=")</f>
        <v>#REF!</v>
      </c>
      <c r="GH271" t="e">
        <f>AND('PROG FORM COMPLEM'!#REF!,"AAAAAD/7rr0=")</f>
        <v>#REF!</v>
      </c>
      <c r="GI271" t="e">
        <f>AND('PROG FORM COMPLEM'!#REF!,"AAAAAD/7rr4=")</f>
        <v>#REF!</v>
      </c>
      <c r="GJ271" t="e">
        <f>AND('PROG FORM COMPLEM'!#REF!,"AAAAAD/7rr8=")</f>
        <v>#REF!</v>
      </c>
      <c r="GK271" t="e">
        <f>AND('PROG FORM COMPLEM'!#REF!,"AAAAAD/7rsA=")</f>
        <v>#REF!</v>
      </c>
      <c r="GL271" t="e">
        <f>AND('PROG FORM COMPLEM'!#REF!,"AAAAAD/7rsE=")</f>
        <v>#REF!</v>
      </c>
      <c r="GM271" t="e">
        <f>AND('PROG FORM COMPLEM'!#REF!,"AAAAAD/7rsI=")</f>
        <v>#REF!</v>
      </c>
      <c r="GN271" t="e">
        <f>AND('PROG FORM COMPLEM'!#REF!,"AAAAAD/7rsM=")</f>
        <v>#REF!</v>
      </c>
      <c r="GO271" t="e">
        <f>AND('PROG FORM COMPLEM'!#REF!,"AAAAAD/7rsQ=")</f>
        <v>#REF!</v>
      </c>
      <c r="GP271">
        <f>IF('PROG FORM COMPLEM'!209:209,"AAAAAD/7rsU=",0)</f>
        <v>0</v>
      </c>
      <c r="GQ271" t="e">
        <f>AND('PROG FORM COMPLEM'!B209,"AAAAAD/7rsY=")</f>
        <v>#VALUE!</v>
      </c>
      <c r="GR271" t="e">
        <f>AND('PROG FORM COMPLEM'!C209,"AAAAAD/7rsc=")</f>
        <v>#VALUE!</v>
      </c>
      <c r="GS271" t="e">
        <f>AND('PROG FORM COMPLEM'!D209,"AAAAAD/7rsg=")</f>
        <v>#VALUE!</v>
      </c>
      <c r="GT271" t="e">
        <f>AND('PROG FORM COMPLEM'!E209,"AAAAAD/7rsk=")</f>
        <v>#VALUE!</v>
      </c>
      <c r="GU271" t="e">
        <f>AND('PROG FORM COMPLEM'!F209,"AAAAAD/7rso=")</f>
        <v>#VALUE!</v>
      </c>
      <c r="GV271" t="e">
        <f>AND('PROG FORM COMPLEM'!G209,"AAAAAD/7rss=")</f>
        <v>#VALUE!</v>
      </c>
      <c r="GW271" t="e">
        <f>AND('PROG FORM COMPLEM'!H209,"AAAAAD/7rsw=")</f>
        <v>#VALUE!</v>
      </c>
      <c r="GX271" t="e">
        <f>AND('PROG FORM COMPLEM'!I209,"AAAAAD/7rs0=")</f>
        <v>#VALUE!</v>
      </c>
      <c r="GY271" t="e">
        <f>AND('PROG FORM COMPLEM'!J209,"AAAAAD/7rs4=")</f>
        <v>#VALUE!</v>
      </c>
      <c r="GZ271" t="e">
        <f>AND('PROG FORM COMPLEM'!K209,"AAAAAD/7rs8=")</f>
        <v>#VALUE!</v>
      </c>
      <c r="HA271" t="e">
        <f>AND('PROG FORM COMPLEM'!L209,"AAAAAD/7rtA=")</f>
        <v>#VALUE!</v>
      </c>
      <c r="HB271" t="e">
        <f>AND('PROG FORM COMPLEM'!M209,"AAAAAD/7rtE=")</f>
        <v>#VALUE!</v>
      </c>
      <c r="HC271" t="e">
        <f>AND('PROG FORM COMPLEM'!N209,"AAAAAD/7rtI=")</f>
        <v>#VALUE!</v>
      </c>
      <c r="HD271" t="e">
        <f>AND('PROG FORM COMPLEM'!O209,"AAAAAD/7rtM=")</f>
        <v>#VALUE!</v>
      </c>
      <c r="HE271" t="e">
        <f>AND('PROG FORM COMPLEM'!P209,"AAAAAD/7rtQ=")</f>
        <v>#VALUE!</v>
      </c>
      <c r="HF271" t="e">
        <f>AND('PROG FORM COMPLEM'!Q209,"AAAAAD/7rtU=")</f>
        <v>#VALUE!</v>
      </c>
      <c r="HG271" t="e">
        <f>AND('PROG FORM COMPLEM'!R209,"AAAAAD/7rtY=")</f>
        <v>#VALUE!</v>
      </c>
      <c r="HH271" t="e">
        <f>AND('PROG FORM COMPLEM'!S209,"AAAAAD/7rtc=")</f>
        <v>#VALUE!</v>
      </c>
      <c r="HI271" t="e">
        <f>AND('PROG FORM COMPLEM'!T209,"AAAAAD/7rtg=")</f>
        <v>#VALUE!</v>
      </c>
      <c r="HJ271" t="e">
        <f>AND('PROG FORM COMPLEM'!U209,"AAAAAD/7rtk=")</f>
        <v>#VALUE!</v>
      </c>
      <c r="HK271" t="e">
        <f>AND('PROG FORM COMPLEM'!V209,"AAAAAD/7rto=")</f>
        <v>#VALUE!</v>
      </c>
      <c r="HL271" t="e">
        <f>AND('PROG FORM COMPLEM'!W209,"AAAAAD/7rts=")</f>
        <v>#VALUE!</v>
      </c>
      <c r="HM271">
        <f>IF('PROG FORM COMPLEM'!210:210,"AAAAAD/7rtw=",0)</f>
        <v>0</v>
      </c>
      <c r="HN271" t="e">
        <f>AND('PROG FORM COMPLEM'!B210,"AAAAAD/7rt0=")</f>
        <v>#VALUE!</v>
      </c>
      <c r="HO271" t="e">
        <f>AND('PROG FORM COMPLEM'!C210,"AAAAAD/7rt4=")</f>
        <v>#VALUE!</v>
      </c>
      <c r="HP271" t="e">
        <f>AND('PROG FORM COMPLEM'!D210,"AAAAAD/7rt8=")</f>
        <v>#VALUE!</v>
      </c>
      <c r="HQ271" t="e">
        <f>AND('PROG FORM COMPLEM'!E210,"AAAAAD/7ruA=")</f>
        <v>#VALUE!</v>
      </c>
      <c r="HR271" t="e">
        <f>AND('PROG FORM COMPLEM'!F210,"AAAAAD/7ruE=")</f>
        <v>#VALUE!</v>
      </c>
      <c r="HS271" t="e">
        <f>AND('PROG FORM COMPLEM'!G210,"AAAAAD/7ruI=")</f>
        <v>#VALUE!</v>
      </c>
      <c r="HT271" t="e">
        <f>AND('PROG FORM COMPLEM'!H210,"AAAAAD/7ruM=")</f>
        <v>#VALUE!</v>
      </c>
      <c r="HU271" t="e">
        <f>AND('PROG FORM COMPLEM'!I210,"AAAAAD/7ruQ=")</f>
        <v>#VALUE!</v>
      </c>
      <c r="HV271" t="e">
        <f>AND('PROG FORM COMPLEM'!J210,"AAAAAD/7ruU=")</f>
        <v>#VALUE!</v>
      </c>
      <c r="HW271" t="e">
        <f>AND('PROG FORM COMPLEM'!K210,"AAAAAD/7ruY=")</f>
        <v>#VALUE!</v>
      </c>
      <c r="HX271" t="e">
        <f>AND('PROG FORM COMPLEM'!L210,"AAAAAD/7ruc=")</f>
        <v>#VALUE!</v>
      </c>
      <c r="HY271" t="e">
        <f>AND('PROG FORM COMPLEM'!M210,"AAAAAD/7rug=")</f>
        <v>#VALUE!</v>
      </c>
      <c r="HZ271" t="e">
        <f>AND('PROG FORM COMPLEM'!N210,"AAAAAD/7ruk=")</f>
        <v>#VALUE!</v>
      </c>
      <c r="IA271" t="e">
        <f>AND('PROG FORM COMPLEM'!O210,"AAAAAD/7ruo=")</f>
        <v>#VALUE!</v>
      </c>
      <c r="IB271" t="e">
        <f>AND('PROG FORM COMPLEM'!P210,"AAAAAD/7rus=")</f>
        <v>#VALUE!</v>
      </c>
      <c r="IC271" t="e">
        <f>AND('PROG FORM COMPLEM'!Q210,"AAAAAD/7ruw=")</f>
        <v>#VALUE!</v>
      </c>
      <c r="ID271" t="e">
        <f>AND('PROG FORM COMPLEM'!R210,"AAAAAD/7ru0=")</f>
        <v>#VALUE!</v>
      </c>
      <c r="IE271" t="e">
        <f>AND('PROG FORM COMPLEM'!S210,"AAAAAD/7ru4=")</f>
        <v>#VALUE!</v>
      </c>
      <c r="IF271" t="e">
        <f>AND('PROG FORM COMPLEM'!T210,"AAAAAD/7ru8=")</f>
        <v>#VALUE!</v>
      </c>
      <c r="IG271" t="e">
        <f>AND('PROG FORM COMPLEM'!U210,"AAAAAD/7rvA=")</f>
        <v>#VALUE!</v>
      </c>
      <c r="IH271" t="e">
        <f>AND('PROG FORM COMPLEM'!V210,"AAAAAD/7rvE=")</f>
        <v>#VALUE!</v>
      </c>
      <c r="II271" t="e">
        <f>AND('PROG FORM COMPLEM'!W210,"AAAAAD/7rvI=")</f>
        <v>#VALUE!</v>
      </c>
      <c r="IJ271">
        <f>IF('PROG FORM COMPLEM'!211:211,"AAAAAD/7rvM=",0)</f>
        <v>0</v>
      </c>
      <c r="IK271" t="e">
        <f>AND('PROG FORM COMPLEM'!B211,"AAAAAD/7rvQ=")</f>
        <v>#VALUE!</v>
      </c>
      <c r="IL271" t="e">
        <f>AND('PROG FORM COMPLEM'!C211,"AAAAAD/7rvU=")</f>
        <v>#VALUE!</v>
      </c>
      <c r="IM271" t="e">
        <f>AND('PROG FORM COMPLEM'!D211,"AAAAAD/7rvY=")</f>
        <v>#VALUE!</v>
      </c>
      <c r="IN271" t="e">
        <f>AND('PROG FORM COMPLEM'!E211,"AAAAAD/7rvc=")</f>
        <v>#VALUE!</v>
      </c>
      <c r="IO271" t="e">
        <f>AND('PROG FORM COMPLEM'!F211,"AAAAAD/7rvg=")</f>
        <v>#VALUE!</v>
      </c>
      <c r="IP271" t="e">
        <f>AND('PROG FORM COMPLEM'!G211,"AAAAAD/7rvk=")</f>
        <v>#VALUE!</v>
      </c>
      <c r="IQ271" t="e">
        <f>AND('PROG FORM COMPLEM'!H211,"AAAAAD/7rvo=")</f>
        <v>#VALUE!</v>
      </c>
      <c r="IR271" t="e">
        <f>AND('PROG FORM COMPLEM'!I211,"AAAAAD/7rvs=")</f>
        <v>#VALUE!</v>
      </c>
      <c r="IS271" t="e">
        <f>AND('PROG FORM COMPLEM'!J211,"AAAAAD/7rvw=")</f>
        <v>#VALUE!</v>
      </c>
      <c r="IT271" t="e">
        <f>AND('PROG FORM COMPLEM'!K211,"AAAAAD/7rv0=")</f>
        <v>#VALUE!</v>
      </c>
      <c r="IU271" t="e">
        <f>AND('PROG FORM COMPLEM'!L211,"AAAAAD/7rv4=")</f>
        <v>#VALUE!</v>
      </c>
      <c r="IV271" t="e">
        <f>AND('PROG FORM COMPLEM'!M211,"AAAAAD/7rv8=")</f>
        <v>#VALUE!</v>
      </c>
    </row>
    <row r="272" spans="1:256" x14ac:dyDescent="0.2">
      <c r="A272" t="e">
        <f>AND('PROG FORM COMPLEM'!N211,"AAAAADfveAA=")</f>
        <v>#VALUE!</v>
      </c>
      <c r="B272" t="e">
        <f>AND('PROG FORM COMPLEM'!O211,"AAAAADfveAE=")</f>
        <v>#VALUE!</v>
      </c>
      <c r="C272" t="e">
        <f>AND('PROG FORM COMPLEM'!P211,"AAAAADfveAI=")</f>
        <v>#VALUE!</v>
      </c>
      <c r="D272" t="e">
        <f>AND('PROG FORM COMPLEM'!Q211,"AAAAADfveAM=")</f>
        <v>#VALUE!</v>
      </c>
      <c r="E272" t="e">
        <f>AND('PROG FORM COMPLEM'!R211,"AAAAADfveAQ=")</f>
        <v>#VALUE!</v>
      </c>
      <c r="F272" t="e">
        <f>AND('PROG FORM COMPLEM'!S211,"AAAAADfveAU=")</f>
        <v>#VALUE!</v>
      </c>
      <c r="G272" t="e">
        <f>AND('PROG FORM COMPLEM'!T211,"AAAAADfveAY=")</f>
        <v>#VALUE!</v>
      </c>
      <c r="H272" t="e">
        <f>AND('PROG FORM COMPLEM'!U211,"AAAAADfveAc=")</f>
        <v>#VALUE!</v>
      </c>
      <c r="I272" t="e">
        <f>AND('PROG FORM COMPLEM'!V211,"AAAAADfveAg=")</f>
        <v>#VALUE!</v>
      </c>
      <c r="J272" t="e">
        <f>AND('PROG FORM COMPLEM'!W211,"AAAAADfveAk=")</f>
        <v>#VALUE!</v>
      </c>
      <c r="K272" t="str">
        <f>IF('PROG FORM COMPLEM'!212:212,"AAAAADfveAo=",0)</f>
        <v>AAAAADfveAo=</v>
      </c>
      <c r="L272" t="e">
        <f>AND('PROG FORM COMPLEM'!B212,"AAAAADfveAs=")</f>
        <v>#VALUE!</v>
      </c>
      <c r="M272" t="e">
        <f>AND('PROG FORM COMPLEM'!C212,"AAAAADfveAw=")</f>
        <v>#VALUE!</v>
      </c>
      <c r="N272" t="e">
        <f>AND('PROG FORM COMPLEM'!D212,"AAAAADfveA0=")</f>
        <v>#VALUE!</v>
      </c>
      <c r="O272" t="e">
        <f>AND('PROG FORM COMPLEM'!E212,"AAAAADfveA4=")</f>
        <v>#VALUE!</v>
      </c>
      <c r="P272" t="e">
        <f>AND('PROG FORM COMPLEM'!F212,"AAAAADfveA8=")</f>
        <v>#VALUE!</v>
      </c>
      <c r="Q272" t="e">
        <f>AND('PROG FORM COMPLEM'!G212,"AAAAADfveBA=")</f>
        <v>#VALUE!</v>
      </c>
      <c r="R272" t="e">
        <f>AND('PROG FORM COMPLEM'!H212,"AAAAADfveBE=")</f>
        <v>#VALUE!</v>
      </c>
      <c r="S272" t="e">
        <f>AND('PROG FORM COMPLEM'!I212,"AAAAADfveBI=")</f>
        <v>#VALUE!</v>
      </c>
      <c r="T272" t="e">
        <f>AND('PROG FORM COMPLEM'!J212,"AAAAADfveBM=")</f>
        <v>#VALUE!</v>
      </c>
      <c r="U272" t="e">
        <f>AND('PROG FORM COMPLEM'!K212,"AAAAADfveBQ=")</f>
        <v>#VALUE!</v>
      </c>
      <c r="V272" t="e">
        <f>AND('PROG FORM COMPLEM'!L212,"AAAAADfveBU=")</f>
        <v>#VALUE!</v>
      </c>
      <c r="W272" t="e">
        <f>AND('PROG FORM COMPLEM'!M212,"AAAAADfveBY=")</f>
        <v>#VALUE!</v>
      </c>
      <c r="X272" t="e">
        <f>AND('PROG FORM COMPLEM'!N212,"AAAAADfveBc=")</f>
        <v>#VALUE!</v>
      </c>
      <c r="Y272" t="e">
        <f>AND('PROG FORM COMPLEM'!O212,"AAAAADfveBg=")</f>
        <v>#VALUE!</v>
      </c>
      <c r="Z272" t="e">
        <f>AND('PROG FORM COMPLEM'!P212,"AAAAADfveBk=")</f>
        <v>#VALUE!</v>
      </c>
      <c r="AA272" t="e">
        <f>AND('PROG FORM COMPLEM'!Q212,"AAAAADfveBo=")</f>
        <v>#VALUE!</v>
      </c>
      <c r="AB272" t="e">
        <f>AND('PROG FORM COMPLEM'!R212,"AAAAADfveBs=")</f>
        <v>#VALUE!</v>
      </c>
      <c r="AC272" t="e">
        <f>AND('PROG FORM COMPLEM'!S212,"AAAAADfveBw=")</f>
        <v>#VALUE!</v>
      </c>
      <c r="AD272" t="e">
        <f>AND('PROG FORM COMPLEM'!T212,"AAAAADfveB0=")</f>
        <v>#VALUE!</v>
      </c>
      <c r="AE272" t="e">
        <f>AND('PROG FORM COMPLEM'!U212,"AAAAADfveB4=")</f>
        <v>#VALUE!</v>
      </c>
      <c r="AF272" t="e">
        <f>AND('PROG FORM COMPLEM'!V212,"AAAAADfveB8=")</f>
        <v>#VALUE!</v>
      </c>
      <c r="AG272" t="e">
        <f>AND('PROG FORM COMPLEM'!W212,"AAAAADfveCA=")</f>
        <v>#VALUE!</v>
      </c>
      <c r="AH272">
        <f>IF('PROG FORM COMPLEM'!214:214,"AAAAADfveCE=",0)</f>
        <v>0</v>
      </c>
      <c r="AI272" t="e">
        <f>AND('PROG FORM COMPLEM'!B214,"AAAAADfveCI=")</f>
        <v>#VALUE!</v>
      </c>
      <c r="AJ272" t="e">
        <f>AND('PROG FORM COMPLEM'!C214,"AAAAADfveCM=")</f>
        <v>#VALUE!</v>
      </c>
      <c r="AK272" t="e">
        <f>AND('PROG FORM COMPLEM'!D214,"AAAAADfveCQ=")</f>
        <v>#VALUE!</v>
      </c>
      <c r="AL272" t="e">
        <f>AND('PROG FORM COMPLEM'!E214,"AAAAADfveCU=")</f>
        <v>#VALUE!</v>
      </c>
      <c r="AM272" t="e">
        <f>AND('PROG FORM COMPLEM'!F214,"AAAAADfveCY=")</f>
        <v>#VALUE!</v>
      </c>
      <c r="AN272" t="e">
        <f>AND('PROG FORM COMPLEM'!G214,"AAAAADfveCc=")</f>
        <v>#VALUE!</v>
      </c>
      <c r="AO272" t="e">
        <f>AND('PROG FORM COMPLEM'!H214,"AAAAADfveCg=")</f>
        <v>#VALUE!</v>
      </c>
      <c r="AP272" t="e">
        <f>AND('PROG FORM COMPLEM'!I214,"AAAAADfveCk=")</f>
        <v>#VALUE!</v>
      </c>
      <c r="AQ272" t="e">
        <f>AND('PROG FORM COMPLEM'!J214,"AAAAADfveCo=")</f>
        <v>#VALUE!</v>
      </c>
      <c r="AR272" t="e">
        <f>AND('PROG FORM COMPLEM'!K214,"AAAAADfveCs=")</f>
        <v>#VALUE!</v>
      </c>
      <c r="AS272" t="e">
        <f>AND('PROG FORM COMPLEM'!L214,"AAAAADfveCw=")</f>
        <v>#VALUE!</v>
      </c>
      <c r="AT272" t="e">
        <f>AND('PROG FORM COMPLEM'!M214,"AAAAADfveC0=")</f>
        <v>#VALUE!</v>
      </c>
      <c r="AU272" t="e">
        <f>AND('PROG FORM COMPLEM'!N214,"AAAAADfveC4=")</f>
        <v>#VALUE!</v>
      </c>
      <c r="AV272" t="e">
        <f>AND('PROG FORM COMPLEM'!O214,"AAAAADfveC8=")</f>
        <v>#VALUE!</v>
      </c>
      <c r="AW272" t="e">
        <f>AND('PROG FORM COMPLEM'!P214,"AAAAADfveDA=")</f>
        <v>#VALUE!</v>
      </c>
      <c r="AX272" t="e">
        <f>AND('PROG FORM COMPLEM'!Q214,"AAAAADfveDE=")</f>
        <v>#VALUE!</v>
      </c>
      <c r="AY272" t="e">
        <f>AND('PROG FORM COMPLEM'!R214,"AAAAADfveDI=")</f>
        <v>#VALUE!</v>
      </c>
      <c r="AZ272" t="e">
        <f>AND('PROG FORM COMPLEM'!S214,"AAAAADfveDM=")</f>
        <v>#VALUE!</v>
      </c>
      <c r="BA272" t="e">
        <f>AND('PROG FORM COMPLEM'!T214,"AAAAADfveDQ=")</f>
        <v>#VALUE!</v>
      </c>
      <c r="BB272" t="e">
        <f>AND('PROG FORM COMPLEM'!U214,"AAAAADfveDU=")</f>
        <v>#VALUE!</v>
      </c>
      <c r="BC272" t="e">
        <f>AND('PROG FORM COMPLEM'!V214,"AAAAADfveDY=")</f>
        <v>#VALUE!</v>
      </c>
      <c r="BD272" t="e">
        <f>AND('PROG FORM COMPLEM'!W214,"AAAAADfveDc=")</f>
        <v>#VALUE!</v>
      </c>
      <c r="BE272">
        <f>IF('PROG FORM COMPLEM'!216:216,"AAAAADfveDg=",0)</f>
        <v>0</v>
      </c>
      <c r="BF272" t="e">
        <f>AND('PROG FORM COMPLEM'!B216,"AAAAADfveDk=")</f>
        <v>#VALUE!</v>
      </c>
      <c r="BG272" t="e">
        <f>AND('PROG FORM COMPLEM'!C216,"AAAAADfveDo=")</f>
        <v>#VALUE!</v>
      </c>
      <c r="BH272" t="e">
        <f>AND('PROG FORM COMPLEM'!D216,"AAAAADfveDs=")</f>
        <v>#VALUE!</v>
      </c>
      <c r="BI272" t="e">
        <f>AND('PROG FORM COMPLEM'!E216,"AAAAADfveDw=")</f>
        <v>#VALUE!</v>
      </c>
      <c r="BJ272" t="e">
        <f>AND('PROG FORM COMPLEM'!F216,"AAAAADfveD0=")</f>
        <v>#VALUE!</v>
      </c>
      <c r="BK272" t="e">
        <f>AND('PROG FORM COMPLEM'!G216,"AAAAADfveD4=")</f>
        <v>#VALUE!</v>
      </c>
      <c r="BL272" t="e">
        <f>AND('PROG FORM COMPLEM'!H216,"AAAAADfveD8=")</f>
        <v>#VALUE!</v>
      </c>
      <c r="BM272" t="e">
        <f>AND('PROG FORM COMPLEM'!I216,"AAAAADfveEA=")</f>
        <v>#VALUE!</v>
      </c>
      <c r="BN272" t="e">
        <f>AND('PROG FORM COMPLEM'!J216,"AAAAADfveEE=")</f>
        <v>#VALUE!</v>
      </c>
      <c r="BO272" t="e">
        <f>AND('PROG FORM COMPLEM'!K216,"AAAAADfveEI=")</f>
        <v>#VALUE!</v>
      </c>
      <c r="BP272" t="e">
        <f>AND('PROG FORM COMPLEM'!L216,"AAAAADfveEM=")</f>
        <v>#VALUE!</v>
      </c>
      <c r="BQ272" t="e">
        <f>AND('PROG FORM COMPLEM'!M216,"AAAAADfveEQ=")</f>
        <v>#VALUE!</v>
      </c>
      <c r="BR272" t="e">
        <f>AND('PROG FORM COMPLEM'!N216,"AAAAADfveEU=")</f>
        <v>#VALUE!</v>
      </c>
      <c r="BS272" t="e">
        <f>AND('PROG FORM COMPLEM'!O216,"AAAAADfveEY=")</f>
        <v>#VALUE!</v>
      </c>
      <c r="BT272" t="e">
        <f>AND('PROG FORM COMPLEM'!P216,"AAAAADfveEc=")</f>
        <v>#VALUE!</v>
      </c>
      <c r="BU272" t="e">
        <f>AND('PROG FORM COMPLEM'!Q216,"AAAAADfveEg=")</f>
        <v>#VALUE!</v>
      </c>
      <c r="BV272" t="e">
        <f>AND('PROG FORM COMPLEM'!R216,"AAAAADfveEk=")</f>
        <v>#VALUE!</v>
      </c>
      <c r="BW272" t="e">
        <f>AND('PROG FORM COMPLEM'!S216,"AAAAADfveEo=")</f>
        <v>#VALUE!</v>
      </c>
      <c r="BX272" t="e">
        <f>AND('PROG FORM COMPLEM'!T216,"AAAAADfveEs=")</f>
        <v>#VALUE!</v>
      </c>
      <c r="BY272" t="e">
        <f>AND('PROG FORM COMPLEM'!U216,"AAAAADfveEw=")</f>
        <v>#VALUE!</v>
      </c>
      <c r="BZ272" t="e">
        <f>AND('PROG FORM COMPLEM'!V216,"AAAAADfveE0=")</f>
        <v>#VALUE!</v>
      </c>
      <c r="CA272" t="e">
        <f>AND('PROG FORM COMPLEM'!W216,"AAAAADfveE4=")</f>
        <v>#VALUE!</v>
      </c>
      <c r="CB272" t="e">
        <f>IF('PROG FORM COMPLEM'!#REF!,"AAAAADfveE8=",0)</f>
        <v>#REF!</v>
      </c>
      <c r="CC272" t="e">
        <f>AND('PROG FORM COMPLEM'!#REF!,"AAAAADfveFA=")</f>
        <v>#REF!</v>
      </c>
      <c r="CD272" t="e">
        <f>AND('PROG FORM COMPLEM'!#REF!,"AAAAADfveFE=")</f>
        <v>#REF!</v>
      </c>
      <c r="CE272" t="e">
        <f>AND('PROG FORM COMPLEM'!#REF!,"AAAAADfveFI=")</f>
        <v>#REF!</v>
      </c>
      <c r="CF272" t="e">
        <f>AND('PROG FORM COMPLEM'!#REF!,"AAAAADfveFM=")</f>
        <v>#REF!</v>
      </c>
      <c r="CG272" t="e">
        <f>AND('PROG FORM COMPLEM'!#REF!,"AAAAADfveFQ=")</f>
        <v>#REF!</v>
      </c>
      <c r="CH272" t="e">
        <f>AND('PROG FORM COMPLEM'!#REF!,"AAAAADfveFU=")</f>
        <v>#REF!</v>
      </c>
      <c r="CI272" t="e">
        <f>AND('PROG FORM COMPLEM'!#REF!,"AAAAADfveFY=")</f>
        <v>#REF!</v>
      </c>
      <c r="CJ272" t="e">
        <f>AND('PROG FORM COMPLEM'!#REF!,"AAAAADfveFc=")</f>
        <v>#REF!</v>
      </c>
      <c r="CK272" t="e">
        <f>AND('PROG FORM COMPLEM'!#REF!,"AAAAADfveFg=")</f>
        <v>#REF!</v>
      </c>
      <c r="CL272" t="e">
        <f>AND('PROG FORM COMPLEM'!#REF!,"AAAAADfveFk=")</f>
        <v>#REF!</v>
      </c>
      <c r="CM272" t="e">
        <f>AND('PROG FORM COMPLEM'!#REF!,"AAAAADfveFo=")</f>
        <v>#REF!</v>
      </c>
      <c r="CN272" t="e">
        <f>AND('PROG FORM COMPLEM'!#REF!,"AAAAADfveFs=")</f>
        <v>#REF!</v>
      </c>
      <c r="CO272" t="e">
        <f>AND('PROG FORM COMPLEM'!#REF!,"AAAAADfveFw=")</f>
        <v>#REF!</v>
      </c>
      <c r="CP272" t="e">
        <f>AND('PROG FORM COMPLEM'!#REF!,"AAAAADfveF0=")</f>
        <v>#REF!</v>
      </c>
      <c r="CQ272" t="e">
        <f>AND('PROG FORM COMPLEM'!#REF!,"AAAAADfveF4=")</f>
        <v>#REF!</v>
      </c>
      <c r="CR272" t="e">
        <f>AND('PROG FORM COMPLEM'!#REF!,"AAAAADfveF8=")</f>
        <v>#REF!</v>
      </c>
      <c r="CS272" t="e">
        <f>AND('PROG FORM COMPLEM'!#REF!,"AAAAADfveGA=")</f>
        <v>#REF!</v>
      </c>
      <c r="CT272" t="e">
        <f>AND('PROG FORM COMPLEM'!#REF!,"AAAAADfveGE=")</f>
        <v>#REF!</v>
      </c>
      <c r="CU272" t="e">
        <f>AND('PROG FORM COMPLEM'!#REF!,"AAAAADfveGI=")</f>
        <v>#REF!</v>
      </c>
      <c r="CV272" t="e">
        <f>AND('PROG FORM COMPLEM'!#REF!,"AAAAADfveGM=")</f>
        <v>#REF!</v>
      </c>
      <c r="CW272" t="e">
        <f>AND('PROG FORM COMPLEM'!#REF!,"AAAAADfveGQ=")</f>
        <v>#REF!</v>
      </c>
      <c r="CX272" t="e">
        <f>AND('PROG FORM COMPLEM'!#REF!,"AAAAADfveGU=")</f>
        <v>#REF!</v>
      </c>
      <c r="CY272">
        <f>IF('PROG FORM COMPLEM'!217:217,"AAAAADfveGY=",0)</f>
        <v>0</v>
      </c>
      <c r="CZ272" t="e">
        <f>AND('PROG FORM COMPLEM'!B217,"AAAAADfveGc=")</f>
        <v>#VALUE!</v>
      </c>
      <c r="DA272" t="e">
        <f>AND('PROG FORM COMPLEM'!C217,"AAAAADfveGg=")</f>
        <v>#VALUE!</v>
      </c>
      <c r="DB272" t="e">
        <f>AND('PROG FORM COMPLEM'!D217,"AAAAADfveGk=")</f>
        <v>#VALUE!</v>
      </c>
      <c r="DC272" t="e">
        <f>AND('PROG FORM COMPLEM'!E217,"AAAAADfveGo=")</f>
        <v>#VALUE!</v>
      </c>
      <c r="DD272" t="e">
        <f>AND('PROG FORM COMPLEM'!F217,"AAAAADfveGs=")</f>
        <v>#VALUE!</v>
      </c>
      <c r="DE272" t="e">
        <f>AND('PROG FORM COMPLEM'!G217,"AAAAADfveGw=")</f>
        <v>#VALUE!</v>
      </c>
      <c r="DF272" t="e">
        <f>AND('PROG FORM COMPLEM'!H217,"AAAAADfveG0=")</f>
        <v>#VALUE!</v>
      </c>
      <c r="DG272" t="e">
        <f>AND('PROG FORM COMPLEM'!I217,"AAAAADfveG4=")</f>
        <v>#VALUE!</v>
      </c>
      <c r="DH272" t="e">
        <f>AND('PROG FORM COMPLEM'!J217,"AAAAADfveG8=")</f>
        <v>#VALUE!</v>
      </c>
      <c r="DI272" t="e">
        <f>AND('PROG FORM COMPLEM'!K217,"AAAAADfveHA=")</f>
        <v>#VALUE!</v>
      </c>
      <c r="DJ272" t="e">
        <f>AND('PROG FORM COMPLEM'!L217,"AAAAADfveHE=")</f>
        <v>#VALUE!</v>
      </c>
      <c r="DK272" t="e">
        <f>AND('PROG FORM COMPLEM'!M217,"AAAAADfveHI=")</f>
        <v>#VALUE!</v>
      </c>
      <c r="DL272" t="e">
        <f>AND('PROG FORM COMPLEM'!N217,"AAAAADfveHM=")</f>
        <v>#VALUE!</v>
      </c>
      <c r="DM272" t="e">
        <f>AND('PROG FORM COMPLEM'!O217,"AAAAADfveHQ=")</f>
        <v>#VALUE!</v>
      </c>
      <c r="DN272" t="e">
        <f>AND('PROG FORM COMPLEM'!P217,"AAAAADfveHU=")</f>
        <v>#VALUE!</v>
      </c>
      <c r="DO272" t="e">
        <f>AND('PROG FORM COMPLEM'!Q217,"AAAAADfveHY=")</f>
        <v>#VALUE!</v>
      </c>
      <c r="DP272" t="e">
        <f>AND('PROG FORM COMPLEM'!R217,"AAAAADfveHc=")</f>
        <v>#VALUE!</v>
      </c>
      <c r="DQ272" t="e">
        <f>AND('PROG FORM COMPLEM'!S217,"AAAAADfveHg=")</f>
        <v>#VALUE!</v>
      </c>
      <c r="DR272" t="e">
        <f>AND('PROG FORM COMPLEM'!T217,"AAAAADfveHk=")</f>
        <v>#VALUE!</v>
      </c>
      <c r="DS272" t="e">
        <f>AND('PROG FORM COMPLEM'!U217,"AAAAADfveHo=")</f>
        <v>#VALUE!</v>
      </c>
      <c r="DT272" t="e">
        <f>AND('PROG FORM COMPLEM'!V217,"AAAAADfveHs=")</f>
        <v>#VALUE!</v>
      </c>
      <c r="DU272" t="e">
        <f>AND('PROG FORM COMPLEM'!W217,"AAAAADfveHw=")</f>
        <v>#VALUE!</v>
      </c>
      <c r="DV272">
        <f>IF('PROG FORM COMPLEM'!218:218,"AAAAADfveH0=",0)</f>
        <v>0</v>
      </c>
      <c r="DW272" t="e">
        <f>AND('PROG FORM COMPLEM'!B218,"AAAAADfveH4=")</f>
        <v>#VALUE!</v>
      </c>
      <c r="DX272" t="e">
        <f>AND('PROG FORM COMPLEM'!C218,"AAAAADfveH8=")</f>
        <v>#VALUE!</v>
      </c>
      <c r="DY272" t="e">
        <f>AND('PROG FORM COMPLEM'!D218,"AAAAADfveIA=")</f>
        <v>#VALUE!</v>
      </c>
      <c r="DZ272" t="e">
        <f>AND('PROG FORM COMPLEM'!E218,"AAAAADfveIE=")</f>
        <v>#VALUE!</v>
      </c>
      <c r="EA272" t="e">
        <f>AND('PROG FORM COMPLEM'!F218,"AAAAADfveII=")</f>
        <v>#VALUE!</v>
      </c>
      <c r="EB272" t="e">
        <f>AND('PROG FORM COMPLEM'!G218,"AAAAADfveIM=")</f>
        <v>#VALUE!</v>
      </c>
      <c r="EC272" t="e">
        <f>AND('PROG FORM COMPLEM'!H218,"AAAAADfveIQ=")</f>
        <v>#VALUE!</v>
      </c>
      <c r="ED272" t="e">
        <f>AND('PROG FORM COMPLEM'!I218,"AAAAADfveIU=")</f>
        <v>#VALUE!</v>
      </c>
      <c r="EE272" t="e">
        <f>AND('PROG FORM COMPLEM'!J218,"AAAAADfveIY=")</f>
        <v>#VALUE!</v>
      </c>
      <c r="EF272" t="e">
        <f>AND('PROG FORM COMPLEM'!K218,"AAAAADfveIc=")</f>
        <v>#VALUE!</v>
      </c>
      <c r="EG272" t="e">
        <f>AND('PROG FORM COMPLEM'!L218,"AAAAADfveIg=")</f>
        <v>#VALUE!</v>
      </c>
      <c r="EH272" t="e">
        <f>AND('PROG FORM COMPLEM'!M218,"AAAAADfveIk=")</f>
        <v>#VALUE!</v>
      </c>
      <c r="EI272" t="e">
        <f>AND('PROG FORM COMPLEM'!N218,"AAAAADfveIo=")</f>
        <v>#VALUE!</v>
      </c>
      <c r="EJ272" t="e">
        <f>AND('PROG FORM COMPLEM'!O218,"AAAAADfveIs=")</f>
        <v>#VALUE!</v>
      </c>
      <c r="EK272" t="e">
        <f>AND('PROG FORM COMPLEM'!P218,"AAAAADfveIw=")</f>
        <v>#VALUE!</v>
      </c>
      <c r="EL272" t="e">
        <f>AND('PROG FORM COMPLEM'!Q218,"AAAAADfveI0=")</f>
        <v>#VALUE!</v>
      </c>
      <c r="EM272" t="e">
        <f>AND('PROG FORM COMPLEM'!R218,"AAAAADfveI4=")</f>
        <v>#VALUE!</v>
      </c>
      <c r="EN272" t="e">
        <f>AND('PROG FORM COMPLEM'!S218,"AAAAADfveI8=")</f>
        <v>#VALUE!</v>
      </c>
      <c r="EO272" t="e">
        <f>AND('PROG FORM COMPLEM'!T218,"AAAAADfveJA=")</f>
        <v>#VALUE!</v>
      </c>
      <c r="EP272" t="e">
        <f>AND('PROG FORM COMPLEM'!U218,"AAAAADfveJE=")</f>
        <v>#VALUE!</v>
      </c>
      <c r="EQ272" t="e">
        <f>AND('PROG FORM COMPLEM'!V218,"AAAAADfveJI=")</f>
        <v>#VALUE!</v>
      </c>
      <c r="ER272" t="e">
        <f>AND('PROG FORM COMPLEM'!W218,"AAAAADfveJM=")</f>
        <v>#VALUE!</v>
      </c>
      <c r="ES272">
        <f>IF('PROG FORM COMPLEM'!219:219,"AAAAADfveJQ=",0)</f>
        <v>0</v>
      </c>
      <c r="ET272" t="e">
        <f>AND('PROG FORM COMPLEM'!B219,"AAAAADfveJU=")</f>
        <v>#VALUE!</v>
      </c>
      <c r="EU272" t="e">
        <f>AND('PROG FORM COMPLEM'!C219,"AAAAADfveJY=")</f>
        <v>#VALUE!</v>
      </c>
      <c r="EV272" t="e">
        <f>AND('PROG FORM COMPLEM'!D219,"AAAAADfveJc=")</f>
        <v>#VALUE!</v>
      </c>
      <c r="EW272" t="e">
        <f>AND('PROG FORM COMPLEM'!E219,"AAAAADfveJg=")</f>
        <v>#VALUE!</v>
      </c>
      <c r="EX272" t="e">
        <f>AND('PROG FORM COMPLEM'!F219,"AAAAADfveJk=")</f>
        <v>#VALUE!</v>
      </c>
      <c r="EY272" t="e">
        <f>AND('PROG FORM COMPLEM'!G219,"AAAAADfveJo=")</f>
        <v>#VALUE!</v>
      </c>
      <c r="EZ272" t="e">
        <f>AND('PROG FORM COMPLEM'!H219,"AAAAADfveJs=")</f>
        <v>#VALUE!</v>
      </c>
      <c r="FA272" t="e">
        <f>AND('PROG FORM COMPLEM'!I219,"AAAAADfveJw=")</f>
        <v>#VALUE!</v>
      </c>
      <c r="FB272" t="e">
        <f>AND('PROG FORM COMPLEM'!J219,"AAAAADfveJ0=")</f>
        <v>#VALUE!</v>
      </c>
      <c r="FC272" t="e">
        <f>AND('PROG FORM COMPLEM'!K219,"AAAAADfveJ4=")</f>
        <v>#VALUE!</v>
      </c>
      <c r="FD272" t="e">
        <f>AND('PROG FORM COMPLEM'!L219,"AAAAADfveJ8=")</f>
        <v>#VALUE!</v>
      </c>
      <c r="FE272" t="e">
        <f>AND('PROG FORM COMPLEM'!M219,"AAAAADfveKA=")</f>
        <v>#VALUE!</v>
      </c>
      <c r="FF272" t="e">
        <f>AND('PROG FORM COMPLEM'!N219,"AAAAADfveKE=")</f>
        <v>#VALUE!</v>
      </c>
      <c r="FG272" t="e">
        <f>AND('PROG FORM COMPLEM'!O219,"AAAAADfveKI=")</f>
        <v>#VALUE!</v>
      </c>
      <c r="FH272" t="e">
        <f>AND('PROG FORM COMPLEM'!P219,"AAAAADfveKM=")</f>
        <v>#VALUE!</v>
      </c>
      <c r="FI272" t="e">
        <f>AND('PROG FORM COMPLEM'!Q219,"AAAAADfveKQ=")</f>
        <v>#VALUE!</v>
      </c>
      <c r="FJ272" t="e">
        <f>AND('PROG FORM COMPLEM'!R219,"AAAAADfveKU=")</f>
        <v>#VALUE!</v>
      </c>
      <c r="FK272" t="e">
        <f>AND('PROG FORM COMPLEM'!S219,"AAAAADfveKY=")</f>
        <v>#VALUE!</v>
      </c>
      <c r="FL272" t="e">
        <f>AND('PROG FORM COMPLEM'!T219,"AAAAADfveKc=")</f>
        <v>#VALUE!</v>
      </c>
      <c r="FM272" t="e">
        <f>AND('PROG FORM COMPLEM'!U219,"AAAAADfveKg=")</f>
        <v>#VALUE!</v>
      </c>
      <c r="FN272" t="e">
        <f>AND('PROG FORM COMPLEM'!V219,"AAAAADfveKk=")</f>
        <v>#VALUE!</v>
      </c>
      <c r="FO272" t="e">
        <f>AND('PROG FORM COMPLEM'!W219,"AAAAADfveKo=")</f>
        <v>#VALUE!</v>
      </c>
      <c r="FP272">
        <f>IF('PROG FORM COMPLEM'!220:220,"AAAAADfveKs=",0)</f>
        <v>0</v>
      </c>
      <c r="FQ272" t="e">
        <f>AND('PROG FORM COMPLEM'!B220,"AAAAADfveKw=")</f>
        <v>#VALUE!</v>
      </c>
      <c r="FR272" t="e">
        <f>AND('PROG FORM COMPLEM'!C220,"AAAAADfveK0=")</f>
        <v>#VALUE!</v>
      </c>
      <c r="FS272" t="e">
        <f>AND('PROG FORM COMPLEM'!D220,"AAAAADfveK4=")</f>
        <v>#VALUE!</v>
      </c>
      <c r="FT272" t="e">
        <f>AND('PROG FORM COMPLEM'!E220,"AAAAADfveK8=")</f>
        <v>#VALUE!</v>
      </c>
      <c r="FU272" t="e">
        <f>AND('PROG FORM COMPLEM'!F220,"AAAAADfveLA=")</f>
        <v>#VALUE!</v>
      </c>
      <c r="FV272" t="e">
        <f>AND('PROG FORM COMPLEM'!G220,"AAAAADfveLE=")</f>
        <v>#VALUE!</v>
      </c>
      <c r="FW272" t="e">
        <f>AND('PROG FORM COMPLEM'!H220,"AAAAADfveLI=")</f>
        <v>#VALUE!</v>
      </c>
      <c r="FX272" t="e">
        <f>AND('PROG FORM COMPLEM'!I220,"AAAAADfveLM=")</f>
        <v>#VALUE!</v>
      </c>
      <c r="FY272" t="e">
        <f>AND('PROG FORM COMPLEM'!J220,"AAAAADfveLQ=")</f>
        <v>#VALUE!</v>
      </c>
      <c r="FZ272" t="e">
        <f>AND('PROG FORM COMPLEM'!K220,"AAAAADfveLU=")</f>
        <v>#VALUE!</v>
      </c>
      <c r="GA272" t="e">
        <f>AND('PROG FORM COMPLEM'!L220,"AAAAADfveLY=")</f>
        <v>#VALUE!</v>
      </c>
      <c r="GB272" t="e">
        <f>AND('PROG FORM COMPLEM'!M220,"AAAAADfveLc=")</f>
        <v>#VALUE!</v>
      </c>
      <c r="GC272" t="e">
        <f>AND('PROG FORM COMPLEM'!N220,"AAAAADfveLg=")</f>
        <v>#VALUE!</v>
      </c>
      <c r="GD272" t="e">
        <f>AND('PROG FORM COMPLEM'!O220,"AAAAADfveLk=")</f>
        <v>#VALUE!</v>
      </c>
      <c r="GE272" t="e">
        <f>AND('PROG FORM COMPLEM'!P220,"AAAAADfveLo=")</f>
        <v>#VALUE!</v>
      </c>
      <c r="GF272" t="e">
        <f>AND('PROG FORM COMPLEM'!Q220,"AAAAADfveLs=")</f>
        <v>#VALUE!</v>
      </c>
      <c r="GG272" t="e">
        <f>AND('PROG FORM COMPLEM'!R220,"AAAAADfveLw=")</f>
        <v>#VALUE!</v>
      </c>
      <c r="GH272" t="e">
        <f>AND('PROG FORM COMPLEM'!S220,"AAAAADfveL0=")</f>
        <v>#VALUE!</v>
      </c>
      <c r="GI272" t="e">
        <f>AND('PROG FORM COMPLEM'!T220,"AAAAADfveL4=")</f>
        <v>#VALUE!</v>
      </c>
      <c r="GJ272" t="e">
        <f>AND('PROG FORM COMPLEM'!U220,"AAAAADfveL8=")</f>
        <v>#VALUE!</v>
      </c>
      <c r="GK272" t="e">
        <f>AND('PROG FORM COMPLEM'!V220,"AAAAADfveMA=")</f>
        <v>#VALUE!</v>
      </c>
      <c r="GL272" t="e">
        <f>AND('PROG FORM COMPLEM'!W220,"AAAAADfveME=")</f>
        <v>#VALUE!</v>
      </c>
      <c r="GM272">
        <f>IF('PROG FORM COMPLEM'!221:221,"AAAAADfveMI=",0)</f>
        <v>0</v>
      </c>
      <c r="GN272" t="e">
        <f>AND('PROG FORM COMPLEM'!B221,"AAAAADfveMM=")</f>
        <v>#VALUE!</v>
      </c>
      <c r="GO272" t="e">
        <f>AND('PROG FORM COMPLEM'!C221,"AAAAADfveMQ=")</f>
        <v>#VALUE!</v>
      </c>
      <c r="GP272" t="e">
        <f>AND('PROG FORM COMPLEM'!D221,"AAAAADfveMU=")</f>
        <v>#VALUE!</v>
      </c>
      <c r="GQ272" t="e">
        <f>AND('PROG FORM COMPLEM'!E221,"AAAAADfveMY=")</f>
        <v>#VALUE!</v>
      </c>
      <c r="GR272" t="e">
        <f>AND('PROG FORM COMPLEM'!F221,"AAAAADfveMc=")</f>
        <v>#VALUE!</v>
      </c>
      <c r="GS272" t="e">
        <f>AND('PROG FORM COMPLEM'!G221,"AAAAADfveMg=")</f>
        <v>#VALUE!</v>
      </c>
      <c r="GT272" t="e">
        <f>AND('PROG FORM COMPLEM'!H221,"AAAAADfveMk=")</f>
        <v>#VALUE!</v>
      </c>
      <c r="GU272" t="e">
        <f>AND('PROG FORM COMPLEM'!I221,"AAAAADfveMo=")</f>
        <v>#VALUE!</v>
      </c>
      <c r="GV272" t="e">
        <f>AND('PROG FORM COMPLEM'!J221,"AAAAADfveMs=")</f>
        <v>#VALUE!</v>
      </c>
      <c r="GW272" t="e">
        <f>AND('PROG FORM COMPLEM'!K221,"AAAAADfveMw=")</f>
        <v>#VALUE!</v>
      </c>
      <c r="GX272" t="e">
        <f>AND('PROG FORM COMPLEM'!L221,"AAAAADfveM0=")</f>
        <v>#VALUE!</v>
      </c>
      <c r="GY272" t="e">
        <f>AND('PROG FORM COMPLEM'!M221,"AAAAADfveM4=")</f>
        <v>#VALUE!</v>
      </c>
      <c r="GZ272" t="e">
        <f>AND('PROG FORM COMPLEM'!N221,"AAAAADfveM8=")</f>
        <v>#VALUE!</v>
      </c>
      <c r="HA272" t="e">
        <f>AND('PROG FORM COMPLEM'!O221,"AAAAADfveNA=")</f>
        <v>#VALUE!</v>
      </c>
      <c r="HB272" t="e">
        <f>AND('PROG FORM COMPLEM'!P221,"AAAAADfveNE=")</f>
        <v>#VALUE!</v>
      </c>
      <c r="HC272" t="e">
        <f>AND('PROG FORM COMPLEM'!Q221,"AAAAADfveNI=")</f>
        <v>#VALUE!</v>
      </c>
      <c r="HD272" t="e">
        <f>AND('PROG FORM COMPLEM'!R221,"AAAAADfveNM=")</f>
        <v>#VALUE!</v>
      </c>
      <c r="HE272" t="e">
        <f>AND('PROG FORM COMPLEM'!S221,"AAAAADfveNQ=")</f>
        <v>#VALUE!</v>
      </c>
      <c r="HF272" t="e">
        <f>AND('PROG FORM COMPLEM'!T221,"AAAAADfveNU=")</f>
        <v>#VALUE!</v>
      </c>
      <c r="HG272" t="e">
        <f>AND('PROG FORM COMPLEM'!U221,"AAAAADfveNY=")</f>
        <v>#VALUE!</v>
      </c>
      <c r="HH272" t="e">
        <f>AND('PROG FORM COMPLEM'!V221,"AAAAADfveNc=")</f>
        <v>#VALUE!</v>
      </c>
      <c r="HI272" t="e">
        <f>AND('PROG FORM COMPLEM'!W221,"AAAAADfveNg=")</f>
        <v>#VALUE!</v>
      </c>
      <c r="HJ272" t="e">
        <f>IF('PROG FORM COMPLEM'!#REF!,"AAAAADfveNk=",0)</f>
        <v>#REF!</v>
      </c>
      <c r="HK272" t="e">
        <f>AND('PROG FORM COMPLEM'!#REF!,"AAAAADfveNo=")</f>
        <v>#REF!</v>
      </c>
      <c r="HL272" t="e">
        <f>AND('PROG FORM COMPLEM'!#REF!,"AAAAADfveNs=")</f>
        <v>#REF!</v>
      </c>
      <c r="HM272" t="e">
        <f>AND('PROG FORM COMPLEM'!#REF!,"AAAAADfveNw=")</f>
        <v>#REF!</v>
      </c>
      <c r="HN272" t="e">
        <f>AND('PROG FORM COMPLEM'!#REF!,"AAAAADfveN0=")</f>
        <v>#REF!</v>
      </c>
      <c r="HO272" t="e">
        <f>AND('PROG FORM COMPLEM'!#REF!,"AAAAADfveN4=")</f>
        <v>#REF!</v>
      </c>
      <c r="HP272" t="e">
        <f>AND('PROG FORM COMPLEM'!#REF!,"AAAAADfveN8=")</f>
        <v>#REF!</v>
      </c>
      <c r="HQ272" t="e">
        <f>AND('PROG FORM COMPLEM'!#REF!,"AAAAADfveOA=")</f>
        <v>#REF!</v>
      </c>
      <c r="HR272" t="e">
        <f>AND('PROG FORM COMPLEM'!#REF!,"AAAAADfveOE=")</f>
        <v>#REF!</v>
      </c>
      <c r="HS272" t="e">
        <f>AND('PROG FORM COMPLEM'!#REF!,"AAAAADfveOI=")</f>
        <v>#REF!</v>
      </c>
      <c r="HT272" t="e">
        <f>AND('PROG FORM COMPLEM'!#REF!,"AAAAADfveOM=")</f>
        <v>#REF!</v>
      </c>
      <c r="HU272" t="e">
        <f>AND('PROG FORM COMPLEM'!#REF!,"AAAAADfveOQ=")</f>
        <v>#REF!</v>
      </c>
      <c r="HV272" t="e">
        <f>AND('PROG FORM COMPLEM'!#REF!,"AAAAADfveOU=")</f>
        <v>#REF!</v>
      </c>
      <c r="HW272" t="e">
        <f>AND('PROG FORM COMPLEM'!#REF!,"AAAAADfveOY=")</f>
        <v>#REF!</v>
      </c>
      <c r="HX272" t="e">
        <f>AND('PROG FORM COMPLEM'!#REF!,"AAAAADfveOc=")</f>
        <v>#REF!</v>
      </c>
      <c r="HY272" t="e">
        <f>AND('PROG FORM COMPLEM'!#REF!,"AAAAADfveOg=")</f>
        <v>#REF!</v>
      </c>
      <c r="HZ272" t="e">
        <f>AND('PROG FORM COMPLEM'!#REF!,"AAAAADfveOk=")</f>
        <v>#REF!</v>
      </c>
      <c r="IA272" t="e">
        <f>AND('PROG FORM COMPLEM'!#REF!,"AAAAADfveOo=")</f>
        <v>#REF!</v>
      </c>
      <c r="IB272" t="e">
        <f>AND('PROG FORM COMPLEM'!#REF!,"AAAAADfveOs=")</f>
        <v>#REF!</v>
      </c>
      <c r="IC272" t="e">
        <f>AND('PROG FORM COMPLEM'!#REF!,"AAAAADfveOw=")</f>
        <v>#REF!</v>
      </c>
      <c r="ID272" t="e">
        <f>AND('PROG FORM COMPLEM'!#REF!,"AAAAADfveO0=")</f>
        <v>#REF!</v>
      </c>
      <c r="IE272" t="e">
        <f>AND('PROG FORM COMPLEM'!#REF!,"AAAAADfveO4=")</f>
        <v>#REF!</v>
      </c>
      <c r="IF272" t="e">
        <f>AND('PROG FORM COMPLEM'!#REF!,"AAAAADfveO8=")</f>
        <v>#REF!</v>
      </c>
      <c r="IG272">
        <f>IF('PROG FORM COMPLEM'!222:222,"AAAAADfvePA=",0)</f>
        <v>0</v>
      </c>
      <c r="IH272" t="e">
        <f>AND('PROG FORM COMPLEM'!B222,"AAAAADfvePE=")</f>
        <v>#VALUE!</v>
      </c>
      <c r="II272" t="e">
        <f>AND('PROG FORM COMPLEM'!C222,"AAAAADfvePI=")</f>
        <v>#VALUE!</v>
      </c>
      <c r="IJ272" t="e">
        <f>AND('PROG FORM COMPLEM'!D222,"AAAAADfvePM=")</f>
        <v>#VALUE!</v>
      </c>
      <c r="IK272" t="e">
        <f>AND('PROG FORM COMPLEM'!E222,"AAAAADfvePQ=")</f>
        <v>#VALUE!</v>
      </c>
      <c r="IL272" t="e">
        <f>AND('PROG FORM COMPLEM'!F222,"AAAAADfvePU=")</f>
        <v>#VALUE!</v>
      </c>
      <c r="IM272" t="e">
        <f>AND('PROG FORM COMPLEM'!G222,"AAAAADfvePY=")</f>
        <v>#VALUE!</v>
      </c>
      <c r="IN272" t="e">
        <f>AND('PROG FORM COMPLEM'!H222,"AAAAADfvePc=")</f>
        <v>#VALUE!</v>
      </c>
      <c r="IO272" t="e">
        <f>AND('PROG FORM COMPLEM'!I222,"AAAAADfvePg=")</f>
        <v>#VALUE!</v>
      </c>
      <c r="IP272" t="e">
        <f>AND('PROG FORM COMPLEM'!J222,"AAAAADfvePk=")</f>
        <v>#VALUE!</v>
      </c>
      <c r="IQ272" t="e">
        <f>AND('PROG FORM COMPLEM'!K222,"AAAAADfvePo=")</f>
        <v>#VALUE!</v>
      </c>
      <c r="IR272" t="e">
        <f>AND('PROG FORM COMPLEM'!L222,"AAAAADfvePs=")</f>
        <v>#VALUE!</v>
      </c>
      <c r="IS272" t="e">
        <f>AND('PROG FORM COMPLEM'!M222,"AAAAADfvePw=")</f>
        <v>#VALUE!</v>
      </c>
      <c r="IT272" t="e">
        <f>AND('PROG FORM COMPLEM'!N222,"AAAAADfveP0=")</f>
        <v>#VALUE!</v>
      </c>
      <c r="IU272" t="e">
        <f>AND('PROG FORM COMPLEM'!O222,"AAAAADfveP4=")</f>
        <v>#VALUE!</v>
      </c>
      <c r="IV272" t="e">
        <f>AND('PROG FORM COMPLEM'!P222,"AAAAADfveP8=")</f>
        <v>#VALUE!</v>
      </c>
    </row>
    <row r="273" spans="1:256" x14ac:dyDescent="0.2">
      <c r="A273" t="e">
        <f>AND('PROG FORM COMPLEM'!Q222,"AAAAAG/3xwA=")</f>
        <v>#VALUE!</v>
      </c>
      <c r="B273" t="e">
        <f>AND('PROG FORM COMPLEM'!R222,"AAAAAG/3xwE=")</f>
        <v>#VALUE!</v>
      </c>
      <c r="C273" t="e">
        <f>AND('PROG FORM COMPLEM'!S222,"AAAAAG/3xwI=")</f>
        <v>#VALUE!</v>
      </c>
      <c r="D273" t="e">
        <f>AND('PROG FORM COMPLEM'!T222,"AAAAAG/3xwM=")</f>
        <v>#VALUE!</v>
      </c>
      <c r="E273" t="e">
        <f>AND('PROG FORM COMPLEM'!U222,"AAAAAG/3xwQ=")</f>
        <v>#VALUE!</v>
      </c>
      <c r="F273" t="e">
        <f>AND('PROG FORM COMPLEM'!V222,"AAAAAG/3xwU=")</f>
        <v>#VALUE!</v>
      </c>
      <c r="G273" t="e">
        <f>AND('PROG FORM COMPLEM'!W222,"AAAAAG/3xwY=")</f>
        <v>#VALUE!</v>
      </c>
      <c r="H273" t="e">
        <f>IF('PROG FORM COMPLEM'!223:223,"AAAAAG/3xwc=",0)</f>
        <v>#VALUE!</v>
      </c>
      <c r="I273" t="e">
        <f>AND('PROG FORM COMPLEM'!B223,"AAAAAG/3xwg=")</f>
        <v>#VALUE!</v>
      </c>
      <c r="J273" t="e">
        <f>AND('PROG FORM COMPLEM'!C223,"AAAAAG/3xwk=")</f>
        <v>#VALUE!</v>
      </c>
      <c r="K273" t="e">
        <f>AND('PROG FORM COMPLEM'!D223,"AAAAAG/3xwo=")</f>
        <v>#VALUE!</v>
      </c>
      <c r="L273" t="e">
        <f>AND('PROG FORM COMPLEM'!E223,"AAAAAG/3xws=")</f>
        <v>#VALUE!</v>
      </c>
      <c r="M273" t="e">
        <f>AND('PROG FORM COMPLEM'!F223,"AAAAAG/3xww=")</f>
        <v>#VALUE!</v>
      </c>
      <c r="N273" t="e">
        <f>AND('PROG FORM COMPLEM'!G223,"AAAAAG/3xw0=")</f>
        <v>#VALUE!</v>
      </c>
      <c r="O273" t="e">
        <f>AND('PROG FORM COMPLEM'!H223,"AAAAAG/3xw4=")</f>
        <v>#VALUE!</v>
      </c>
      <c r="P273" t="e">
        <f>AND('PROG FORM COMPLEM'!I223,"AAAAAG/3xw8=")</f>
        <v>#VALUE!</v>
      </c>
      <c r="Q273" t="e">
        <f>AND('PROG FORM COMPLEM'!J223,"AAAAAG/3xxA=")</f>
        <v>#VALUE!</v>
      </c>
      <c r="R273" t="e">
        <f>AND('PROG FORM COMPLEM'!K223,"AAAAAG/3xxE=")</f>
        <v>#VALUE!</v>
      </c>
      <c r="S273" t="e">
        <f>AND('PROG FORM COMPLEM'!L223,"AAAAAG/3xxI=")</f>
        <v>#VALUE!</v>
      </c>
      <c r="T273" t="e">
        <f>AND('PROG FORM COMPLEM'!M223,"AAAAAG/3xxM=")</f>
        <v>#VALUE!</v>
      </c>
      <c r="U273" t="e">
        <f>AND('PROG FORM COMPLEM'!N223,"AAAAAG/3xxQ=")</f>
        <v>#VALUE!</v>
      </c>
      <c r="V273" t="e">
        <f>AND('PROG FORM COMPLEM'!O223,"AAAAAG/3xxU=")</f>
        <v>#VALUE!</v>
      </c>
      <c r="W273" t="e">
        <f>AND('PROG FORM COMPLEM'!P223,"AAAAAG/3xxY=")</f>
        <v>#VALUE!</v>
      </c>
      <c r="X273" t="e">
        <f>AND('PROG FORM COMPLEM'!Q223,"AAAAAG/3xxc=")</f>
        <v>#VALUE!</v>
      </c>
      <c r="Y273" t="e">
        <f>AND('PROG FORM COMPLEM'!R223,"AAAAAG/3xxg=")</f>
        <v>#VALUE!</v>
      </c>
      <c r="Z273" t="e">
        <f>AND('PROG FORM COMPLEM'!S223,"AAAAAG/3xxk=")</f>
        <v>#VALUE!</v>
      </c>
      <c r="AA273" t="e">
        <f>AND('PROG FORM COMPLEM'!T223,"AAAAAG/3xxo=")</f>
        <v>#VALUE!</v>
      </c>
      <c r="AB273" t="e">
        <f>AND('PROG FORM COMPLEM'!U223,"AAAAAG/3xxs=")</f>
        <v>#VALUE!</v>
      </c>
      <c r="AC273" t="e">
        <f>AND('PROG FORM COMPLEM'!V223,"AAAAAG/3xxw=")</f>
        <v>#VALUE!</v>
      </c>
      <c r="AD273" t="e">
        <f>AND('PROG FORM COMPLEM'!W223,"AAAAAG/3xx0=")</f>
        <v>#VALUE!</v>
      </c>
      <c r="AE273" t="e">
        <f>IF('PROG FORM COMPLEM'!#REF!,"AAAAAG/3xx4=",0)</f>
        <v>#REF!</v>
      </c>
      <c r="AF273" t="e">
        <f>AND('PROG FORM COMPLEM'!#REF!,"AAAAAG/3xx8=")</f>
        <v>#REF!</v>
      </c>
      <c r="AG273" t="e">
        <f>AND('PROG FORM COMPLEM'!#REF!,"AAAAAG/3xyA=")</f>
        <v>#REF!</v>
      </c>
      <c r="AH273" t="e">
        <f>AND('PROG FORM COMPLEM'!#REF!,"AAAAAG/3xyE=")</f>
        <v>#REF!</v>
      </c>
      <c r="AI273" t="e">
        <f>AND('PROG FORM COMPLEM'!#REF!,"AAAAAG/3xyI=")</f>
        <v>#REF!</v>
      </c>
      <c r="AJ273" t="e">
        <f>AND('PROG FORM COMPLEM'!#REF!,"AAAAAG/3xyM=")</f>
        <v>#REF!</v>
      </c>
      <c r="AK273" t="e">
        <f>AND('PROG FORM COMPLEM'!#REF!,"AAAAAG/3xyQ=")</f>
        <v>#REF!</v>
      </c>
      <c r="AL273" t="e">
        <f>AND('PROG FORM COMPLEM'!#REF!,"AAAAAG/3xyU=")</f>
        <v>#REF!</v>
      </c>
      <c r="AM273" t="e">
        <f>AND('PROG FORM COMPLEM'!#REF!,"AAAAAG/3xyY=")</f>
        <v>#REF!</v>
      </c>
      <c r="AN273" t="e">
        <f>AND('PROG FORM COMPLEM'!#REF!,"AAAAAG/3xyc=")</f>
        <v>#REF!</v>
      </c>
      <c r="AO273" t="e">
        <f>AND('PROG FORM COMPLEM'!#REF!,"AAAAAG/3xyg=")</f>
        <v>#REF!</v>
      </c>
      <c r="AP273" t="e">
        <f>AND('PROG FORM COMPLEM'!#REF!,"AAAAAG/3xyk=")</f>
        <v>#REF!</v>
      </c>
      <c r="AQ273" t="e">
        <f>AND('PROG FORM COMPLEM'!#REF!,"AAAAAG/3xyo=")</f>
        <v>#REF!</v>
      </c>
      <c r="AR273" t="e">
        <f>AND('PROG FORM COMPLEM'!#REF!,"AAAAAG/3xys=")</f>
        <v>#REF!</v>
      </c>
      <c r="AS273" t="e">
        <f>AND('PROG FORM COMPLEM'!#REF!,"AAAAAG/3xyw=")</f>
        <v>#REF!</v>
      </c>
      <c r="AT273" t="e">
        <f>AND('PROG FORM COMPLEM'!#REF!,"AAAAAG/3xy0=")</f>
        <v>#REF!</v>
      </c>
      <c r="AU273" t="e">
        <f>AND('PROG FORM COMPLEM'!#REF!,"AAAAAG/3xy4=")</f>
        <v>#REF!</v>
      </c>
      <c r="AV273" t="e">
        <f>AND('PROG FORM COMPLEM'!#REF!,"AAAAAG/3xy8=")</f>
        <v>#REF!</v>
      </c>
      <c r="AW273" t="e">
        <f>AND('PROG FORM COMPLEM'!#REF!,"AAAAAG/3xzA=")</f>
        <v>#REF!</v>
      </c>
      <c r="AX273" t="e">
        <f>AND('PROG FORM COMPLEM'!#REF!,"AAAAAG/3xzE=")</f>
        <v>#REF!</v>
      </c>
      <c r="AY273" t="e">
        <f>AND('PROG FORM COMPLEM'!#REF!,"AAAAAG/3xzI=")</f>
        <v>#REF!</v>
      </c>
      <c r="AZ273" t="e">
        <f>AND('PROG FORM COMPLEM'!#REF!,"AAAAAG/3xzM=")</f>
        <v>#REF!</v>
      </c>
      <c r="BA273" t="e">
        <f>AND('PROG FORM COMPLEM'!#REF!,"AAAAAG/3xzQ=")</f>
        <v>#REF!</v>
      </c>
      <c r="BB273">
        <f>IF('PROG FORM COMPLEM'!224:224,"AAAAAG/3xzU=",0)</f>
        <v>0</v>
      </c>
      <c r="BC273" t="e">
        <f>AND('PROG FORM COMPLEM'!B224,"AAAAAG/3xzY=")</f>
        <v>#VALUE!</v>
      </c>
      <c r="BD273" t="e">
        <f>AND('PROG FORM COMPLEM'!C224,"AAAAAG/3xzc=")</f>
        <v>#VALUE!</v>
      </c>
      <c r="BE273" t="e">
        <f>AND('PROG FORM COMPLEM'!D224,"AAAAAG/3xzg=")</f>
        <v>#VALUE!</v>
      </c>
      <c r="BF273" t="e">
        <f>AND('PROG FORM COMPLEM'!E224,"AAAAAG/3xzk=")</f>
        <v>#VALUE!</v>
      </c>
      <c r="BG273" t="e">
        <f>AND('PROG FORM COMPLEM'!F224,"AAAAAG/3xzo=")</f>
        <v>#VALUE!</v>
      </c>
      <c r="BH273" t="e">
        <f>AND('PROG FORM COMPLEM'!G224,"AAAAAG/3xzs=")</f>
        <v>#VALUE!</v>
      </c>
      <c r="BI273" t="e">
        <f>AND('PROG FORM COMPLEM'!H224,"AAAAAG/3xzw=")</f>
        <v>#VALUE!</v>
      </c>
      <c r="BJ273" t="e">
        <f>AND('PROG FORM COMPLEM'!I224,"AAAAAG/3xz0=")</f>
        <v>#VALUE!</v>
      </c>
      <c r="BK273" t="e">
        <f>AND('PROG FORM COMPLEM'!J224,"AAAAAG/3xz4=")</f>
        <v>#VALUE!</v>
      </c>
      <c r="BL273" t="e">
        <f>AND('PROG FORM COMPLEM'!K224,"AAAAAG/3xz8=")</f>
        <v>#VALUE!</v>
      </c>
      <c r="BM273" t="e">
        <f>AND('PROG FORM COMPLEM'!L224,"AAAAAG/3x0A=")</f>
        <v>#VALUE!</v>
      </c>
      <c r="BN273" t="e">
        <f>AND('PROG FORM COMPLEM'!M224,"AAAAAG/3x0E=")</f>
        <v>#VALUE!</v>
      </c>
      <c r="BO273" t="e">
        <f>AND('PROG FORM COMPLEM'!N224,"AAAAAG/3x0I=")</f>
        <v>#VALUE!</v>
      </c>
      <c r="BP273" t="e">
        <f>AND('PROG FORM COMPLEM'!O224,"AAAAAG/3x0M=")</f>
        <v>#VALUE!</v>
      </c>
      <c r="BQ273" t="e">
        <f>AND('PROG FORM COMPLEM'!P224,"AAAAAG/3x0Q=")</f>
        <v>#VALUE!</v>
      </c>
      <c r="BR273" t="e">
        <f>AND('PROG FORM COMPLEM'!Q224,"AAAAAG/3x0U=")</f>
        <v>#VALUE!</v>
      </c>
      <c r="BS273" t="e">
        <f>AND('PROG FORM COMPLEM'!R224,"AAAAAG/3x0Y=")</f>
        <v>#VALUE!</v>
      </c>
      <c r="BT273" t="e">
        <f>AND('PROG FORM COMPLEM'!S224,"AAAAAG/3x0c=")</f>
        <v>#VALUE!</v>
      </c>
      <c r="BU273" t="e">
        <f>AND('PROG FORM COMPLEM'!T224,"AAAAAG/3x0g=")</f>
        <v>#VALUE!</v>
      </c>
      <c r="BV273" t="e">
        <f>AND('PROG FORM COMPLEM'!U224,"AAAAAG/3x0k=")</f>
        <v>#VALUE!</v>
      </c>
      <c r="BW273" t="e">
        <f>AND('PROG FORM COMPLEM'!V224,"AAAAAG/3x0o=")</f>
        <v>#VALUE!</v>
      </c>
      <c r="BX273" t="e">
        <f>AND('PROG FORM COMPLEM'!W224,"AAAAAG/3x0s=")</f>
        <v>#VALUE!</v>
      </c>
      <c r="BY273">
        <f>IF('PROG FORM COMPLEM'!227:227,"AAAAAG/3x0w=",0)</f>
        <v>0</v>
      </c>
      <c r="BZ273" t="e">
        <f>AND('PROG FORM COMPLEM'!B227,"AAAAAG/3x00=")</f>
        <v>#VALUE!</v>
      </c>
      <c r="CA273" t="e">
        <f>AND('PROG FORM COMPLEM'!C227,"AAAAAG/3x04=")</f>
        <v>#VALUE!</v>
      </c>
      <c r="CB273" t="e">
        <f>AND('PROG FORM COMPLEM'!D227,"AAAAAG/3x08=")</f>
        <v>#VALUE!</v>
      </c>
      <c r="CC273" t="e">
        <f>AND('PROG FORM COMPLEM'!E227,"AAAAAG/3x1A=")</f>
        <v>#VALUE!</v>
      </c>
      <c r="CD273" t="e">
        <f>AND('PROG FORM COMPLEM'!F227,"AAAAAG/3x1E=")</f>
        <v>#VALUE!</v>
      </c>
      <c r="CE273" t="e">
        <f>AND('PROG FORM COMPLEM'!G227,"AAAAAG/3x1I=")</f>
        <v>#VALUE!</v>
      </c>
      <c r="CF273" t="e">
        <f>AND('PROG FORM COMPLEM'!H227,"AAAAAG/3x1M=")</f>
        <v>#VALUE!</v>
      </c>
      <c r="CG273" t="e">
        <f>AND('PROG FORM COMPLEM'!I227,"AAAAAG/3x1Q=")</f>
        <v>#VALUE!</v>
      </c>
      <c r="CH273" t="e">
        <f>AND('PROG FORM COMPLEM'!J227,"AAAAAG/3x1U=")</f>
        <v>#VALUE!</v>
      </c>
      <c r="CI273" t="e">
        <f>AND('PROG FORM COMPLEM'!K227,"AAAAAG/3x1Y=")</f>
        <v>#VALUE!</v>
      </c>
      <c r="CJ273" t="e">
        <f>AND('PROG FORM COMPLEM'!L227,"AAAAAG/3x1c=")</f>
        <v>#VALUE!</v>
      </c>
      <c r="CK273" t="e">
        <f>AND('PROG FORM COMPLEM'!M227,"AAAAAG/3x1g=")</f>
        <v>#VALUE!</v>
      </c>
      <c r="CL273" t="e">
        <f>AND('PROG FORM COMPLEM'!N227,"AAAAAG/3x1k=")</f>
        <v>#VALUE!</v>
      </c>
      <c r="CM273" t="e">
        <f>AND('PROG FORM COMPLEM'!O227,"AAAAAG/3x1o=")</f>
        <v>#VALUE!</v>
      </c>
      <c r="CN273" t="e">
        <f>AND('PROG FORM COMPLEM'!P227,"AAAAAG/3x1s=")</f>
        <v>#VALUE!</v>
      </c>
      <c r="CO273" t="e">
        <f>AND('PROG FORM COMPLEM'!Q227,"AAAAAG/3x1w=")</f>
        <v>#VALUE!</v>
      </c>
      <c r="CP273" t="e">
        <f>AND('PROG FORM COMPLEM'!R227,"AAAAAG/3x10=")</f>
        <v>#VALUE!</v>
      </c>
      <c r="CQ273" t="e">
        <f>AND('PROG FORM COMPLEM'!S227,"AAAAAG/3x14=")</f>
        <v>#VALUE!</v>
      </c>
      <c r="CR273" t="e">
        <f>AND('PROG FORM COMPLEM'!T227,"AAAAAG/3x18=")</f>
        <v>#VALUE!</v>
      </c>
      <c r="CS273" t="e">
        <f>AND('PROG FORM COMPLEM'!U227,"AAAAAG/3x2A=")</f>
        <v>#VALUE!</v>
      </c>
      <c r="CT273" t="e">
        <f>AND('PROG FORM COMPLEM'!V227,"AAAAAG/3x2E=")</f>
        <v>#VALUE!</v>
      </c>
      <c r="CU273" t="e">
        <f>AND('PROG FORM COMPLEM'!W227,"AAAAAG/3x2I=")</f>
        <v>#VALUE!</v>
      </c>
      <c r="CV273">
        <f>IF('PROG FORM COMPLEM'!231:231,"AAAAAG/3x2M=",0)</f>
        <v>0</v>
      </c>
      <c r="CW273" t="e">
        <f>AND('PROG FORM COMPLEM'!B231,"AAAAAG/3x2Q=")</f>
        <v>#VALUE!</v>
      </c>
      <c r="CX273" t="e">
        <f>AND('PROG FORM COMPLEM'!C231,"AAAAAG/3x2U=")</f>
        <v>#VALUE!</v>
      </c>
      <c r="CY273" t="e">
        <f>AND('PROG FORM COMPLEM'!D231,"AAAAAG/3x2Y=")</f>
        <v>#VALUE!</v>
      </c>
      <c r="CZ273" t="e">
        <f>AND('PROG FORM COMPLEM'!E231,"AAAAAG/3x2c=")</f>
        <v>#VALUE!</v>
      </c>
      <c r="DA273" t="e">
        <f>AND('PROG FORM COMPLEM'!F231,"AAAAAG/3x2g=")</f>
        <v>#VALUE!</v>
      </c>
      <c r="DB273" t="e">
        <f>AND('PROG FORM COMPLEM'!G231,"AAAAAG/3x2k=")</f>
        <v>#VALUE!</v>
      </c>
      <c r="DC273" t="e">
        <f>AND('PROG FORM COMPLEM'!H231,"AAAAAG/3x2o=")</f>
        <v>#VALUE!</v>
      </c>
      <c r="DD273" t="e">
        <f>AND('PROG FORM COMPLEM'!I231,"AAAAAG/3x2s=")</f>
        <v>#VALUE!</v>
      </c>
      <c r="DE273" t="e">
        <f>AND('PROG FORM COMPLEM'!J231,"AAAAAG/3x2w=")</f>
        <v>#VALUE!</v>
      </c>
      <c r="DF273" t="e">
        <f>AND('PROG FORM COMPLEM'!K231,"AAAAAG/3x20=")</f>
        <v>#VALUE!</v>
      </c>
      <c r="DG273" t="e">
        <f>AND('PROG FORM COMPLEM'!L231,"AAAAAG/3x24=")</f>
        <v>#VALUE!</v>
      </c>
      <c r="DH273" t="e">
        <f>AND('PROG FORM COMPLEM'!M231,"AAAAAG/3x28=")</f>
        <v>#VALUE!</v>
      </c>
      <c r="DI273" t="e">
        <f>AND('PROG FORM COMPLEM'!N231,"AAAAAG/3x3A=")</f>
        <v>#VALUE!</v>
      </c>
      <c r="DJ273" t="e">
        <f>AND('PROG FORM COMPLEM'!O231,"AAAAAG/3x3E=")</f>
        <v>#VALUE!</v>
      </c>
      <c r="DK273" t="e">
        <f>AND('PROG FORM COMPLEM'!P231,"AAAAAG/3x3I=")</f>
        <v>#VALUE!</v>
      </c>
      <c r="DL273" t="e">
        <f>AND('PROG FORM COMPLEM'!Q231,"AAAAAG/3x3M=")</f>
        <v>#VALUE!</v>
      </c>
      <c r="DM273" t="e">
        <f>AND('PROG FORM COMPLEM'!R231,"AAAAAG/3x3Q=")</f>
        <v>#VALUE!</v>
      </c>
      <c r="DN273" t="e">
        <f>AND('PROG FORM COMPLEM'!S231,"AAAAAG/3x3U=")</f>
        <v>#VALUE!</v>
      </c>
      <c r="DO273" t="e">
        <f>AND('PROG FORM COMPLEM'!T231,"AAAAAG/3x3Y=")</f>
        <v>#VALUE!</v>
      </c>
      <c r="DP273" t="e">
        <f>AND('PROG FORM COMPLEM'!U231,"AAAAAG/3x3c=")</f>
        <v>#VALUE!</v>
      </c>
      <c r="DQ273" t="e">
        <f>AND('PROG FORM COMPLEM'!V231,"AAAAAG/3x3g=")</f>
        <v>#VALUE!</v>
      </c>
      <c r="DR273" t="e">
        <f>AND('PROG FORM COMPLEM'!W231,"AAAAAG/3x3k=")</f>
        <v>#VALUE!</v>
      </c>
      <c r="DS273" t="e">
        <f>IF('PROG FORM COMPLEM'!#REF!,"AAAAAG/3x3o=",0)</f>
        <v>#REF!</v>
      </c>
      <c r="DT273" t="e">
        <f>AND('PROG FORM COMPLEM'!#REF!,"AAAAAG/3x3s=")</f>
        <v>#REF!</v>
      </c>
      <c r="DU273" t="e">
        <f>AND('PROG FORM COMPLEM'!#REF!,"AAAAAG/3x3w=")</f>
        <v>#REF!</v>
      </c>
      <c r="DV273" t="e">
        <f>AND('PROG FORM COMPLEM'!#REF!,"AAAAAG/3x30=")</f>
        <v>#REF!</v>
      </c>
      <c r="DW273" t="e">
        <f>AND('PROG FORM COMPLEM'!#REF!,"AAAAAG/3x34=")</f>
        <v>#REF!</v>
      </c>
      <c r="DX273" t="e">
        <f>AND('PROG FORM COMPLEM'!#REF!,"AAAAAG/3x38=")</f>
        <v>#REF!</v>
      </c>
      <c r="DY273" t="e">
        <f>AND('PROG FORM COMPLEM'!#REF!,"AAAAAG/3x4A=")</f>
        <v>#REF!</v>
      </c>
      <c r="DZ273" t="e">
        <f>AND('PROG FORM COMPLEM'!#REF!,"AAAAAG/3x4E=")</f>
        <v>#REF!</v>
      </c>
      <c r="EA273" t="e">
        <f>AND('PROG FORM COMPLEM'!#REF!,"AAAAAG/3x4I=")</f>
        <v>#REF!</v>
      </c>
      <c r="EB273" t="e">
        <f>AND('PROG FORM COMPLEM'!#REF!,"AAAAAG/3x4M=")</f>
        <v>#REF!</v>
      </c>
      <c r="EC273" t="e">
        <f>AND('PROG FORM COMPLEM'!#REF!,"AAAAAG/3x4Q=")</f>
        <v>#REF!</v>
      </c>
      <c r="ED273" t="e">
        <f>AND('PROG FORM COMPLEM'!#REF!,"AAAAAG/3x4U=")</f>
        <v>#REF!</v>
      </c>
      <c r="EE273" t="e">
        <f>AND('PROG FORM COMPLEM'!#REF!,"AAAAAG/3x4Y=")</f>
        <v>#REF!</v>
      </c>
      <c r="EF273" t="e">
        <f>AND('PROG FORM COMPLEM'!#REF!,"AAAAAG/3x4c=")</f>
        <v>#REF!</v>
      </c>
      <c r="EG273" t="e">
        <f>AND('PROG FORM COMPLEM'!#REF!,"AAAAAG/3x4g=")</f>
        <v>#REF!</v>
      </c>
      <c r="EH273" t="e">
        <f>AND('PROG FORM COMPLEM'!#REF!,"AAAAAG/3x4k=")</f>
        <v>#REF!</v>
      </c>
      <c r="EI273" t="e">
        <f>AND('PROG FORM COMPLEM'!#REF!,"AAAAAG/3x4o=")</f>
        <v>#REF!</v>
      </c>
      <c r="EJ273" t="e">
        <f>AND('PROG FORM COMPLEM'!#REF!,"AAAAAG/3x4s=")</f>
        <v>#REF!</v>
      </c>
      <c r="EK273" t="e">
        <f>AND('PROG FORM COMPLEM'!#REF!,"AAAAAG/3x4w=")</f>
        <v>#REF!</v>
      </c>
      <c r="EL273" t="e">
        <f>AND('PROG FORM COMPLEM'!#REF!,"AAAAAG/3x40=")</f>
        <v>#REF!</v>
      </c>
      <c r="EM273" t="e">
        <f>AND('PROG FORM COMPLEM'!#REF!,"AAAAAG/3x44=")</f>
        <v>#REF!</v>
      </c>
      <c r="EN273" t="e">
        <f>AND('PROG FORM COMPLEM'!#REF!,"AAAAAG/3x48=")</f>
        <v>#REF!</v>
      </c>
      <c r="EO273" t="e">
        <f>AND('PROG FORM COMPLEM'!#REF!,"AAAAAG/3x5A=")</f>
        <v>#REF!</v>
      </c>
      <c r="EP273" t="e">
        <f>IF('PROG FORM COMPLEM'!#REF!,"AAAAAG/3x5E=",0)</f>
        <v>#REF!</v>
      </c>
      <c r="EQ273" t="e">
        <f>AND('PROG FORM COMPLEM'!#REF!,"AAAAAG/3x5I=")</f>
        <v>#REF!</v>
      </c>
      <c r="ER273" t="e">
        <f>AND('PROG FORM COMPLEM'!#REF!,"AAAAAG/3x5M=")</f>
        <v>#REF!</v>
      </c>
      <c r="ES273" t="e">
        <f>AND('PROG FORM COMPLEM'!#REF!,"AAAAAG/3x5Q=")</f>
        <v>#REF!</v>
      </c>
      <c r="ET273" t="e">
        <f>AND('PROG FORM COMPLEM'!#REF!,"AAAAAG/3x5U=")</f>
        <v>#REF!</v>
      </c>
      <c r="EU273" t="e">
        <f>AND('PROG FORM COMPLEM'!#REF!,"AAAAAG/3x5Y=")</f>
        <v>#REF!</v>
      </c>
      <c r="EV273" t="e">
        <f>AND('PROG FORM COMPLEM'!#REF!,"AAAAAG/3x5c=")</f>
        <v>#REF!</v>
      </c>
      <c r="EW273" t="e">
        <f>AND('PROG FORM COMPLEM'!#REF!,"AAAAAG/3x5g=")</f>
        <v>#REF!</v>
      </c>
      <c r="EX273" t="e">
        <f>AND('PROG FORM COMPLEM'!#REF!,"AAAAAG/3x5k=")</f>
        <v>#REF!</v>
      </c>
      <c r="EY273" t="e">
        <f>AND('PROG FORM COMPLEM'!#REF!,"AAAAAG/3x5o=")</f>
        <v>#REF!</v>
      </c>
      <c r="EZ273" t="e">
        <f>AND('PROG FORM COMPLEM'!#REF!,"AAAAAG/3x5s=")</f>
        <v>#REF!</v>
      </c>
      <c r="FA273" t="e">
        <f>AND('PROG FORM COMPLEM'!#REF!,"AAAAAG/3x5w=")</f>
        <v>#REF!</v>
      </c>
      <c r="FB273" t="e">
        <f>AND('PROG FORM COMPLEM'!#REF!,"AAAAAG/3x50=")</f>
        <v>#REF!</v>
      </c>
      <c r="FC273" t="e">
        <f>AND('PROG FORM COMPLEM'!#REF!,"AAAAAG/3x54=")</f>
        <v>#REF!</v>
      </c>
      <c r="FD273" t="e">
        <f>AND('PROG FORM COMPLEM'!#REF!,"AAAAAG/3x58=")</f>
        <v>#REF!</v>
      </c>
      <c r="FE273" t="e">
        <f>AND('PROG FORM COMPLEM'!#REF!,"AAAAAG/3x6A=")</f>
        <v>#REF!</v>
      </c>
      <c r="FF273" t="e">
        <f>AND('PROG FORM COMPLEM'!#REF!,"AAAAAG/3x6E=")</f>
        <v>#REF!</v>
      </c>
      <c r="FG273" t="e">
        <f>AND('PROG FORM COMPLEM'!#REF!,"AAAAAG/3x6I=")</f>
        <v>#REF!</v>
      </c>
      <c r="FH273" t="e">
        <f>AND('PROG FORM COMPLEM'!#REF!,"AAAAAG/3x6M=")</f>
        <v>#REF!</v>
      </c>
      <c r="FI273" t="e">
        <f>AND('PROG FORM COMPLEM'!#REF!,"AAAAAG/3x6Q=")</f>
        <v>#REF!</v>
      </c>
      <c r="FJ273" t="e">
        <f>AND('PROG FORM COMPLEM'!#REF!,"AAAAAG/3x6U=")</f>
        <v>#REF!</v>
      </c>
      <c r="FK273" t="e">
        <f>AND('PROG FORM COMPLEM'!#REF!,"AAAAAG/3x6Y=")</f>
        <v>#REF!</v>
      </c>
      <c r="FL273" t="e">
        <f>AND('PROG FORM COMPLEM'!#REF!,"AAAAAG/3x6c=")</f>
        <v>#REF!</v>
      </c>
      <c r="FM273" t="e">
        <f>IF('PROG FORM COMPLEM'!#REF!,"AAAAAG/3x6g=",0)</f>
        <v>#REF!</v>
      </c>
      <c r="FN273" t="e">
        <f>AND('PROG FORM COMPLEM'!#REF!,"AAAAAG/3x6k=")</f>
        <v>#REF!</v>
      </c>
      <c r="FO273" t="e">
        <f>AND('PROG FORM COMPLEM'!#REF!,"AAAAAG/3x6o=")</f>
        <v>#REF!</v>
      </c>
      <c r="FP273" t="e">
        <f>AND('PROG FORM COMPLEM'!#REF!,"AAAAAG/3x6s=")</f>
        <v>#REF!</v>
      </c>
      <c r="FQ273" t="e">
        <f>AND('PROG FORM COMPLEM'!#REF!,"AAAAAG/3x6w=")</f>
        <v>#REF!</v>
      </c>
      <c r="FR273" t="e">
        <f>AND('PROG FORM COMPLEM'!#REF!,"AAAAAG/3x60=")</f>
        <v>#REF!</v>
      </c>
      <c r="FS273" t="e">
        <f>AND('PROG FORM COMPLEM'!#REF!,"AAAAAG/3x64=")</f>
        <v>#REF!</v>
      </c>
      <c r="FT273" t="e">
        <f>AND('PROG FORM COMPLEM'!#REF!,"AAAAAG/3x68=")</f>
        <v>#REF!</v>
      </c>
      <c r="FU273" t="e">
        <f>AND('PROG FORM COMPLEM'!#REF!,"AAAAAG/3x7A=")</f>
        <v>#REF!</v>
      </c>
      <c r="FV273" t="e">
        <f>AND('PROG FORM COMPLEM'!#REF!,"AAAAAG/3x7E=")</f>
        <v>#REF!</v>
      </c>
      <c r="FW273" t="e">
        <f>AND('PROG FORM COMPLEM'!#REF!,"AAAAAG/3x7I=")</f>
        <v>#REF!</v>
      </c>
      <c r="FX273" t="e">
        <f>AND('PROG FORM COMPLEM'!#REF!,"AAAAAG/3x7M=")</f>
        <v>#REF!</v>
      </c>
      <c r="FY273" t="e">
        <f>AND('PROG FORM COMPLEM'!#REF!,"AAAAAG/3x7Q=")</f>
        <v>#REF!</v>
      </c>
      <c r="FZ273" t="e">
        <f>AND('PROG FORM COMPLEM'!#REF!,"AAAAAG/3x7U=")</f>
        <v>#REF!</v>
      </c>
      <c r="GA273" t="e">
        <f>AND('PROG FORM COMPLEM'!#REF!,"AAAAAG/3x7Y=")</f>
        <v>#REF!</v>
      </c>
      <c r="GB273" t="e">
        <f>AND('PROG FORM COMPLEM'!#REF!,"AAAAAG/3x7c=")</f>
        <v>#REF!</v>
      </c>
      <c r="GC273" t="e">
        <f>AND('PROG FORM COMPLEM'!#REF!,"AAAAAG/3x7g=")</f>
        <v>#REF!</v>
      </c>
      <c r="GD273" t="e">
        <f>AND('PROG FORM COMPLEM'!#REF!,"AAAAAG/3x7k=")</f>
        <v>#REF!</v>
      </c>
      <c r="GE273" t="e">
        <f>AND('PROG FORM COMPLEM'!#REF!,"AAAAAG/3x7o=")</f>
        <v>#REF!</v>
      </c>
      <c r="GF273" t="e">
        <f>AND('PROG FORM COMPLEM'!#REF!,"AAAAAG/3x7s=")</f>
        <v>#REF!</v>
      </c>
      <c r="GG273" t="e">
        <f>AND('PROG FORM COMPLEM'!#REF!,"AAAAAG/3x7w=")</f>
        <v>#REF!</v>
      </c>
      <c r="GH273" t="e">
        <f>AND('PROG FORM COMPLEM'!#REF!,"AAAAAG/3x70=")</f>
        <v>#REF!</v>
      </c>
      <c r="GI273" t="e">
        <f>AND('PROG FORM COMPLEM'!#REF!,"AAAAAG/3x74=")</f>
        <v>#REF!</v>
      </c>
      <c r="GJ273" t="e">
        <f>IF('PROG FORM COMPLEM'!#REF!,"AAAAAG/3x78=",0)</f>
        <v>#REF!</v>
      </c>
      <c r="GK273" t="e">
        <f>AND('PROG FORM COMPLEM'!#REF!,"AAAAAG/3x8A=")</f>
        <v>#REF!</v>
      </c>
      <c r="GL273" t="e">
        <f>AND('PROG FORM COMPLEM'!#REF!,"AAAAAG/3x8E=")</f>
        <v>#REF!</v>
      </c>
      <c r="GM273" t="e">
        <f>AND('PROG FORM COMPLEM'!#REF!,"AAAAAG/3x8I=")</f>
        <v>#REF!</v>
      </c>
      <c r="GN273" t="e">
        <f>AND('PROG FORM COMPLEM'!#REF!,"AAAAAG/3x8M=")</f>
        <v>#REF!</v>
      </c>
      <c r="GO273" t="e">
        <f>AND('PROG FORM COMPLEM'!#REF!,"AAAAAG/3x8Q=")</f>
        <v>#REF!</v>
      </c>
      <c r="GP273" t="e">
        <f>AND('PROG FORM COMPLEM'!#REF!,"AAAAAG/3x8U=")</f>
        <v>#REF!</v>
      </c>
      <c r="GQ273" t="e">
        <f>AND('PROG FORM COMPLEM'!#REF!,"AAAAAG/3x8Y=")</f>
        <v>#REF!</v>
      </c>
      <c r="GR273" t="e">
        <f>AND('PROG FORM COMPLEM'!#REF!,"AAAAAG/3x8c=")</f>
        <v>#REF!</v>
      </c>
      <c r="GS273" t="e">
        <f>AND('PROG FORM COMPLEM'!#REF!,"AAAAAG/3x8g=")</f>
        <v>#REF!</v>
      </c>
      <c r="GT273" t="e">
        <f>AND('PROG FORM COMPLEM'!#REF!,"AAAAAG/3x8k=")</f>
        <v>#REF!</v>
      </c>
      <c r="GU273" t="e">
        <f>AND('PROG FORM COMPLEM'!#REF!,"AAAAAG/3x8o=")</f>
        <v>#REF!</v>
      </c>
      <c r="GV273" t="e">
        <f>AND('PROG FORM COMPLEM'!#REF!,"AAAAAG/3x8s=")</f>
        <v>#REF!</v>
      </c>
      <c r="GW273" t="e">
        <f>AND('PROG FORM COMPLEM'!#REF!,"AAAAAG/3x8w=")</f>
        <v>#REF!</v>
      </c>
      <c r="GX273" t="e">
        <f>AND('PROG FORM COMPLEM'!#REF!,"AAAAAG/3x80=")</f>
        <v>#REF!</v>
      </c>
      <c r="GY273" t="e">
        <f>AND('PROG FORM COMPLEM'!#REF!,"AAAAAG/3x84=")</f>
        <v>#REF!</v>
      </c>
      <c r="GZ273" t="e">
        <f>AND('PROG FORM COMPLEM'!#REF!,"AAAAAG/3x88=")</f>
        <v>#REF!</v>
      </c>
      <c r="HA273" t="e">
        <f>AND('PROG FORM COMPLEM'!#REF!,"AAAAAG/3x9A=")</f>
        <v>#REF!</v>
      </c>
      <c r="HB273" t="e">
        <f>AND('PROG FORM COMPLEM'!#REF!,"AAAAAG/3x9E=")</f>
        <v>#REF!</v>
      </c>
      <c r="HC273" t="e">
        <f>AND('PROG FORM COMPLEM'!#REF!,"AAAAAG/3x9I=")</f>
        <v>#REF!</v>
      </c>
      <c r="HD273" t="e">
        <f>AND('PROG FORM COMPLEM'!#REF!,"AAAAAG/3x9M=")</f>
        <v>#REF!</v>
      </c>
      <c r="HE273" t="e">
        <f>AND('PROG FORM COMPLEM'!#REF!,"AAAAAG/3x9Q=")</f>
        <v>#REF!</v>
      </c>
      <c r="HF273" t="e">
        <f>AND('PROG FORM COMPLEM'!#REF!,"AAAAAG/3x9U=")</f>
        <v>#REF!</v>
      </c>
      <c r="HG273">
        <f>IF('PROG FORM COMPLEM'!264:264,"AAAAAG/3x9Y=",0)</f>
        <v>0</v>
      </c>
      <c r="HH273" t="e">
        <f>AND('PROG FORM COMPLEM'!B264,"AAAAAG/3x9c=")</f>
        <v>#VALUE!</v>
      </c>
      <c r="HI273" t="e">
        <f>AND('PROG FORM COMPLEM'!C264,"AAAAAG/3x9g=")</f>
        <v>#VALUE!</v>
      </c>
      <c r="HJ273" t="e">
        <f>AND('PROG FORM COMPLEM'!D264,"AAAAAG/3x9k=")</f>
        <v>#VALUE!</v>
      </c>
      <c r="HK273" t="e">
        <f>AND('PROG FORM COMPLEM'!E264,"AAAAAG/3x9o=")</f>
        <v>#VALUE!</v>
      </c>
      <c r="HL273" t="e">
        <f>AND('PROG FORM COMPLEM'!F264,"AAAAAG/3x9s=")</f>
        <v>#VALUE!</v>
      </c>
      <c r="HM273" t="e">
        <f>AND('PROG FORM COMPLEM'!G264,"AAAAAG/3x9w=")</f>
        <v>#VALUE!</v>
      </c>
      <c r="HN273" t="e">
        <f>AND('PROG FORM COMPLEM'!H264,"AAAAAG/3x90=")</f>
        <v>#VALUE!</v>
      </c>
      <c r="HO273" t="e">
        <f>AND('PROG FORM COMPLEM'!I264,"AAAAAG/3x94=")</f>
        <v>#VALUE!</v>
      </c>
      <c r="HP273" t="e">
        <f>AND('PROG FORM COMPLEM'!J264,"AAAAAG/3x98=")</f>
        <v>#VALUE!</v>
      </c>
      <c r="HQ273" t="e">
        <f>AND('PROG FORM COMPLEM'!K264,"AAAAAG/3x+A=")</f>
        <v>#VALUE!</v>
      </c>
      <c r="HR273" t="e">
        <f>AND('PROG FORM COMPLEM'!L264,"AAAAAG/3x+E=")</f>
        <v>#VALUE!</v>
      </c>
      <c r="HS273" t="e">
        <f>AND('PROG FORM COMPLEM'!M264,"AAAAAG/3x+I=")</f>
        <v>#VALUE!</v>
      </c>
      <c r="HT273" t="e">
        <f>AND('PROG FORM COMPLEM'!N264,"AAAAAG/3x+M=")</f>
        <v>#VALUE!</v>
      </c>
      <c r="HU273" t="e">
        <f>AND('PROG FORM COMPLEM'!O264,"AAAAAG/3x+Q=")</f>
        <v>#VALUE!</v>
      </c>
      <c r="HV273" t="e">
        <f>AND('PROG FORM COMPLEM'!P264,"AAAAAG/3x+U=")</f>
        <v>#VALUE!</v>
      </c>
      <c r="HW273" t="e">
        <f>AND('PROG FORM COMPLEM'!Q264,"AAAAAG/3x+Y=")</f>
        <v>#VALUE!</v>
      </c>
      <c r="HX273" t="e">
        <f>AND('PROG FORM COMPLEM'!R264,"AAAAAG/3x+c=")</f>
        <v>#VALUE!</v>
      </c>
      <c r="HY273" t="e">
        <f>AND('PROG FORM COMPLEM'!S264,"AAAAAG/3x+g=")</f>
        <v>#VALUE!</v>
      </c>
      <c r="HZ273" t="e">
        <f>AND('PROG FORM COMPLEM'!T264,"AAAAAG/3x+k=")</f>
        <v>#VALUE!</v>
      </c>
      <c r="IA273" t="e">
        <f>AND('PROG FORM COMPLEM'!U264,"AAAAAG/3x+o=")</f>
        <v>#VALUE!</v>
      </c>
      <c r="IB273" t="e">
        <f>AND('PROG FORM COMPLEM'!V264,"AAAAAG/3x+s=")</f>
        <v>#VALUE!</v>
      </c>
      <c r="IC273" t="e">
        <f>AND('PROG FORM COMPLEM'!W264,"AAAAAG/3x+w=")</f>
        <v>#VALUE!</v>
      </c>
      <c r="ID273" t="e">
        <f>IF('PROG FORM COMPLEM'!#REF!,"AAAAAG/3x+0=",0)</f>
        <v>#REF!</v>
      </c>
      <c r="IE273" t="e">
        <f>AND('PROG FORM COMPLEM'!#REF!,"AAAAAG/3x+4=")</f>
        <v>#REF!</v>
      </c>
      <c r="IF273" t="e">
        <f>AND('PROG FORM COMPLEM'!#REF!,"AAAAAG/3x+8=")</f>
        <v>#REF!</v>
      </c>
      <c r="IG273" t="e">
        <f>AND('PROG FORM COMPLEM'!#REF!,"AAAAAG/3x/A=")</f>
        <v>#REF!</v>
      </c>
      <c r="IH273" t="e">
        <f>AND('PROG FORM COMPLEM'!#REF!,"AAAAAG/3x/E=")</f>
        <v>#REF!</v>
      </c>
      <c r="II273" t="e">
        <f>AND('PROG FORM COMPLEM'!#REF!,"AAAAAG/3x/I=")</f>
        <v>#REF!</v>
      </c>
      <c r="IJ273" t="e">
        <f>AND('PROG FORM COMPLEM'!#REF!,"AAAAAG/3x/M=")</f>
        <v>#REF!</v>
      </c>
      <c r="IK273" t="e">
        <f>AND('PROG FORM COMPLEM'!#REF!,"AAAAAG/3x/Q=")</f>
        <v>#REF!</v>
      </c>
      <c r="IL273" t="e">
        <f>AND('PROG FORM COMPLEM'!#REF!,"AAAAAG/3x/U=")</f>
        <v>#REF!</v>
      </c>
      <c r="IM273" t="e">
        <f>AND('PROG FORM COMPLEM'!#REF!,"AAAAAG/3x/Y=")</f>
        <v>#REF!</v>
      </c>
      <c r="IN273" t="e">
        <f>AND('PROG FORM COMPLEM'!#REF!,"AAAAAG/3x/c=")</f>
        <v>#REF!</v>
      </c>
      <c r="IO273" t="e">
        <f>AND('PROG FORM COMPLEM'!#REF!,"AAAAAG/3x/g=")</f>
        <v>#REF!</v>
      </c>
      <c r="IP273" t="e">
        <f>AND('PROG FORM COMPLEM'!#REF!,"AAAAAG/3x/k=")</f>
        <v>#REF!</v>
      </c>
      <c r="IQ273" t="e">
        <f>AND('PROG FORM COMPLEM'!#REF!,"AAAAAG/3x/o=")</f>
        <v>#REF!</v>
      </c>
      <c r="IR273" t="e">
        <f>AND('PROG FORM COMPLEM'!#REF!,"AAAAAG/3x/s=")</f>
        <v>#REF!</v>
      </c>
      <c r="IS273" t="e">
        <f>AND('PROG FORM COMPLEM'!#REF!,"AAAAAG/3x/w=")</f>
        <v>#REF!</v>
      </c>
      <c r="IT273" t="e">
        <f>AND('PROG FORM COMPLEM'!#REF!,"AAAAAG/3x/0=")</f>
        <v>#REF!</v>
      </c>
      <c r="IU273" t="e">
        <f>AND('PROG FORM COMPLEM'!#REF!,"AAAAAG/3x/4=")</f>
        <v>#REF!</v>
      </c>
      <c r="IV273" t="e">
        <f>AND('PROG FORM COMPLEM'!#REF!,"AAAAAG/3x/8=")</f>
        <v>#REF!</v>
      </c>
    </row>
    <row r="274" spans="1:256" x14ac:dyDescent="0.2">
      <c r="A274" t="e">
        <f>AND('PROG FORM COMPLEM'!#REF!,"AAAAADq/vwA=")</f>
        <v>#REF!</v>
      </c>
      <c r="B274" t="e">
        <f>AND('PROG FORM COMPLEM'!#REF!,"AAAAADq/vwE=")</f>
        <v>#REF!</v>
      </c>
      <c r="C274" t="e">
        <f>AND('PROG FORM COMPLEM'!#REF!,"AAAAADq/vwI=")</f>
        <v>#REF!</v>
      </c>
      <c r="D274" t="e">
        <f>AND('PROG FORM COMPLEM'!#REF!,"AAAAADq/vwM=")</f>
        <v>#REF!</v>
      </c>
      <c r="E274" t="e">
        <f>IF('PROG FORM COMPLEM'!#REF!,"AAAAADq/vwQ=",0)</f>
        <v>#REF!</v>
      </c>
      <c r="F274" t="e">
        <f>AND('PROG FORM COMPLEM'!#REF!,"AAAAADq/vwU=")</f>
        <v>#REF!</v>
      </c>
      <c r="G274" t="e">
        <f>AND('PROG FORM COMPLEM'!#REF!,"AAAAADq/vwY=")</f>
        <v>#REF!</v>
      </c>
      <c r="H274" t="e">
        <f>AND('PROG FORM COMPLEM'!#REF!,"AAAAADq/vwc=")</f>
        <v>#REF!</v>
      </c>
      <c r="I274" t="e">
        <f>AND('PROG FORM COMPLEM'!#REF!,"AAAAADq/vwg=")</f>
        <v>#REF!</v>
      </c>
      <c r="J274" t="e">
        <f>AND('PROG FORM COMPLEM'!#REF!,"AAAAADq/vwk=")</f>
        <v>#REF!</v>
      </c>
      <c r="K274" t="e">
        <f>AND('PROG FORM COMPLEM'!#REF!,"AAAAADq/vwo=")</f>
        <v>#REF!</v>
      </c>
      <c r="L274" t="e">
        <f>AND('PROG FORM COMPLEM'!#REF!,"AAAAADq/vws=")</f>
        <v>#REF!</v>
      </c>
      <c r="M274" t="e">
        <f>AND('PROG FORM COMPLEM'!#REF!,"AAAAADq/vww=")</f>
        <v>#REF!</v>
      </c>
      <c r="N274" t="e">
        <f>AND('PROG FORM COMPLEM'!#REF!,"AAAAADq/vw0=")</f>
        <v>#REF!</v>
      </c>
      <c r="O274" t="e">
        <f>AND('PROG FORM COMPLEM'!#REF!,"AAAAADq/vw4=")</f>
        <v>#REF!</v>
      </c>
      <c r="P274" t="e">
        <f>AND('PROG FORM COMPLEM'!#REF!,"AAAAADq/vw8=")</f>
        <v>#REF!</v>
      </c>
      <c r="Q274" t="e">
        <f>AND('PROG FORM COMPLEM'!#REF!,"AAAAADq/vxA=")</f>
        <v>#REF!</v>
      </c>
      <c r="R274" t="e">
        <f>AND('PROG FORM COMPLEM'!#REF!,"AAAAADq/vxE=")</f>
        <v>#REF!</v>
      </c>
      <c r="S274" t="e">
        <f>AND('PROG FORM COMPLEM'!#REF!,"AAAAADq/vxI=")</f>
        <v>#REF!</v>
      </c>
      <c r="T274" t="e">
        <f>AND('PROG FORM COMPLEM'!#REF!,"AAAAADq/vxM=")</f>
        <v>#REF!</v>
      </c>
      <c r="U274" t="e">
        <f>AND('PROG FORM COMPLEM'!#REF!,"AAAAADq/vxQ=")</f>
        <v>#REF!</v>
      </c>
      <c r="V274" t="e">
        <f>AND('PROG FORM COMPLEM'!#REF!,"AAAAADq/vxU=")</f>
        <v>#REF!</v>
      </c>
      <c r="W274" t="e">
        <f>AND('PROG FORM COMPLEM'!#REF!,"AAAAADq/vxY=")</f>
        <v>#REF!</v>
      </c>
      <c r="X274" t="e">
        <f>AND('PROG FORM COMPLEM'!#REF!,"AAAAADq/vxc=")</f>
        <v>#REF!</v>
      </c>
      <c r="Y274" t="e">
        <f>AND('PROG FORM COMPLEM'!#REF!,"AAAAADq/vxg=")</f>
        <v>#REF!</v>
      </c>
      <c r="Z274" t="e">
        <f>AND('PROG FORM COMPLEM'!#REF!,"AAAAADq/vxk=")</f>
        <v>#REF!</v>
      </c>
      <c r="AA274" t="e">
        <f>AND('PROG FORM COMPLEM'!#REF!,"AAAAADq/vxo=")</f>
        <v>#REF!</v>
      </c>
      <c r="AB274" t="e">
        <f>IF('PROG FORM COMPLEM'!#REF!,"AAAAADq/vxs=",0)</f>
        <v>#REF!</v>
      </c>
      <c r="AC274" t="e">
        <f>AND('PROG FORM COMPLEM'!#REF!,"AAAAADq/vxw=")</f>
        <v>#REF!</v>
      </c>
      <c r="AD274" t="e">
        <f>AND('PROG FORM COMPLEM'!#REF!,"AAAAADq/vx0=")</f>
        <v>#REF!</v>
      </c>
      <c r="AE274" t="e">
        <f>AND('PROG FORM COMPLEM'!#REF!,"AAAAADq/vx4=")</f>
        <v>#REF!</v>
      </c>
      <c r="AF274" t="e">
        <f>AND('PROG FORM COMPLEM'!#REF!,"AAAAADq/vx8=")</f>
        <v>#REF!</v>
      </c>
      <c r="AG274" t="e">
        <f>AND('PROG FORM COMPLEM'!#REF!,"AAAAADq/vyA=")</f>
        <v>#REF!</v>
      </c>
      <c r="AH274" t="e">
        <f>AND('PROG FORM COMPLEM'!#REF!,"AAAAADq/vyE=")</f>
        <v>#REF!</v>
      </c>
      <c r="AI274" t="e">
        <f>AND('PROG FORM COMPLEM'!#REF!,"AAAAADq/vyI=")</f>
        <v>#REF!</v>
      </c>
      <c r="AJ274" t="e">
        <f>AND('PROG FORM COMPLEM'!#REF!,"AAAAADq/vyM=")</f>
        <v>#REF!</v>
      </c>
      <c r="AK274" t="e">
        <f>AND('PROG FORM COMPLEM'!#REF!,"AAAAADq/vyQ=")</f>
        <v>#REF!</v>
      </c>
      <c r="AL274" t="e">
        <f>AND('PROG FORM COMPLEM'!#REF!,"AAAAADq/vyU=")</f>
        <v>#REF!</v>
      </c>
      <c r="AM274" t="e">
        <f>AND('PROG FORM COMPLEM'!#REF!,"AAAAADq/vyY=")</f>
        <v>#REF!</v>
      </c>
      <c r="AN274" t="e">
        <f>AND('PROG FORM COMPLEM'!#REF!,"AAAAADq/vyc=")</f>
        <v>#REF!</v>
      </c>
      <c r="AO274" t="e">
        <f>AND('PROG FORM COMPLEM'!#REF!,"AAAAADq/vyg=")</f>
        <v>#REF!</v>
      </c>
      <c r="AP274" t="e">
        <f>AND('PROG FORM COMPLEM'!#REF!,"AAAAADq/vyk=")</f>
        <v>#REF!</v>
      </c>
      <c r="AQ274" t="e">
        <f>AND('PROG FORM COMPLEM'!#REF!,"AAAAADq/vyo=")</f>
        <v>#REF!</v>
      </c>
      <c r="AR274" t="e">
        <f>AND('PROG FORM COMPLEM'!#REF!,"AAAAADq/vys=")</f>
        <v>#REF!</v>
      </c>
      <c r="AS274" t="e">
        <f>AND('PROG FORM COMPLEM'!#REF!,"AAAAADq/vyw=")</f>
        <v>#REF!</v>
      </c>
      <c r="AT274" t="e">
        <f>AND('PROG FORM COMPLEM'!#REF!,"AAAAADq/vy0=")</f>
        <v>#REF!</v>
      </c>
      <c r="AU274" t="e">
        <f>AND('PROG FORM COMPLEM'!#REF!,"AAAAADq/vy4=")</f>
        <v>#REF!</v>
      </c>
      <c r="AV274" t="e">
        <f>AND('PROG FORM COMPLEM'!#REF!,"AAAAADq/vy8=")</f>
        <v>#REF!</v>
      </c>
      <c r="AW274" t="e">
        <f>AND('PROG FORM COMPLEM'!#REF!,"AAAAADq/vzA=")</f>
        <v>#REF!</v>
      </c>
      <c r="AX274" t="e">
        <f>AND('PROG FORM COMPLEM'!#REF!,"AAAAADq/vzE=")</f>
        <v>#REF!</v>
      </c>
      <c r="AY274" t="e">
        <f>IF('PROG FORM COMPLEM'!#REF!,"AAAAADq/vzI=",0)</f>
        <v>#REF!</v>
      </c>
      <c r="AZ274" t="e">
        <f>AND('PROG FORM COMPLEM'!#REF!,"AAAAADq/vzM=")</f>
        <v>#REF!</v>
      </c>
      <c r="BA274" t="e">
        <f>AND('PROG FORM COMPLEM'!#REF!,"AAAAADq/vzQ=")</f>
        <v>#REF!</v>
      </c>
      <c r="BB274" t="e">
        <f>AND('PROG FORM COMPLEM'!#REF!,"AAAAADq/vzU=")</f>
        <v>#REF!</v>
      </c>
      <c r="BC274" t="e">
        <f>AND('PROG FORM COMPLEM'!#REF!,"AAAAADq/vzY=")</f>
        <v>#REF!</v>
      </c>
      <c r="BD274" t="e">
        <f>AND('PROG FORM COMPLEM'!#REF!,"AAAAADq/vzc=")</f>
        <v>#REF!</v>
      </c>
      <c r="BE274" t="e">
        <f>AND('PROG FORM COMPLEM'!#REF!,"AAAAADq/vzg=")</f>
        <v>#REF!</v>
      </c>
      <c r="BF274" t="e">
        <f>AND('PROG FORM COMPLEM'!#REF!,"AAAAADq/vzk=")</f>
        <v>#REF!</v>
      </c>
      <c r="BG274" t="e">
        <f>AND('PROG FORM COMPLEM'!#REF!,"AAAAADq/vzo=")</f>
        <v>#REF!</v>
      </c>
      <c r="BH274" t="e">
        <f>AND('PROG FORM COMPLEM'!#REF!,"AAAAADq/vzs=")</f>
        <v>#REF!</v>
      </c>
      <c r="BI274" t="e">
        <f>AND('PROG FORM COMPLEM'!#REF!,"AAAAADq/vzw=")</f>
        <v>#REF!</v>
      </c>
      <c r="BJ274" t="e">
        <f>AND('PROG FORM COMPLEM'!#REF!,"AAAAADq/vz0=")</f>
        <v>#REF!</v>
      </c>
      <c r="BK274" t="e">
        <f>AND('PROG FORM COMPLEM'!#REF!,"AAAAADq/vz4=")</f>
        <v>#REF!</v>
      </c>
      <c r="BL274" t="e">
        <f>AND('PROG FORM COMPLEM'!#REF!,"AAAAADq/vz8=")</f>
        <v>#REF!</v>
      </c>
      <c r="BM274" t="e">
        <f>AND('PROG FORM COMPLEM'!#REF!,"AAAAADq/v0A=")</f>
        <v>#REF!</v>
      </c>
      <c r="BN274" t="e">
        <f>AND('PROG FORM COMPLEM'!#REF!,"AAAAADq/v0E=")</f>
        <v>#REF!</v>
      </c>
      <c r="BO274" t="e">
        <f>AND('PROG FORM COMPLEM'!#REF!,"AAAAADq/v0I=")</f>
        <v>#REF!</v>
      </c>
      <c r="BP274" t="e">
        <f>AND('PROG FORM COMPLEM'!#REF!,"AAAAADq/v0M=")</f>
        <v>#REF!</v>
      </c>
      <c r="BQ274" t="e">
        <f>AND('PROG FORM COMPLEM'!#REF!,"AAAAADq/v0Q=")</f>
        <v>#REF!</v>
      </c>
      <c r="BR274" t="e">
        <f>AND('PROG FORM COMPLEM'!#REF!,"AAAAADq/v0U=")</f>
        <v>#REF!</v>
      </c>
      <c r="BS274" t="e">
        <f>AND('PROG FORM COMPLEM'!#REF!,"AAAAADq/v0Y=")</f>
        <v>#REF!</v>
      </c>
      <c r="BT274" t="e">
        <f>AND('PROG FORM COMPLEM'!#REF!,"AAAAADq/v0c=")</f>
        <v>#REF!</v>
      </c>
      <c r="BU274" t="e">
        <f>AND('PROG FORM COMPLEM'!#REF!,"AAAAADq/v0g=")</f>
        <v>#REF!</v>
      </c>
      <c r="BV274" t="e">
        <f>IF('PROG FORM COMPLEM'!#REF!,"AAAAADq/v0k=",0)</f>
        <v>#REF!</v>
      </c>
      <c r="BW274" t="e">
        <f>AND('PROG FORM COMPLEM'!#REF!,"AAAAADq/v0o=")</f>
        <v>#REF!</v>
      </c>
      <c r="BX274" t="e">
        <f>AND('PROG FORM COMPLEM'!#REF!,"AAAAADq/v0s=")</f>
        <v>#REF!</v>
      </c>
      <c r="BY274" t="e">
        <f>AND('PROG FORM COMPLEM'!#REF!,"AAAAADq/v0w=")</f>
        <v>#REF!</v>
      </c>
      <c r="BZ274" t="e">
        <f>AND('PROG FORM COMPLEM'!#REF!,"AAAAADq/v00=")</f>
        <v>#REF!</v>
      </c>
      <c r="CA274" t="e">
        <f>AND('PROG FORM COMPLEM'!#REF!,"AAAAADq/v04=")</f>
        <v>#REF!</v>
      </c>
      <c r="CB274" t="e">
        <f>AND('PROG FORM COMPLEM'!#REF!,"AAAAADq/v08=")</f>
        <v>#REF!</v>
      </c>
      <c r="CC274" t="e">
        <f>AND('PROG FORM COMPLEM'!#REF!,"AAAAADq/v1A=")</f>
        <v>#REF!</v>
      </c>
      <c r="CD274" t="e">
        <f>AND('PROG FORM COMPLEM'!#REF!,"AAAAADq/v1E=")</f>
        <v>#REF!</v>
      </c>
      <c r="CE274" t="e">
        <f>AND('PROG FORM COMPLEM'!#REF!,"AAAAADq/v1I=")</f>
        <v>#REF!</v>
      </c>
      <c r="CF274" t="e">
        <f>AND('PROG FORM COMPLEM'!#REF!,"AAAAADq/v1M=")</f>
        <v>#REF!</v>
      </c>
      <c r="CG274" t="e">
        <f>AND('PROG FORM COMPLEM'!#REF!,"AAAAADq/v1Q=")</f>
        <v>#REF!</v>
      </c>
      <c r="CH274" t="e">
        <f>AND('PROG FORM COMPLEM'!#REF!,"AAAAADq/v1U=")</f>
        <v>#REF!</v>
      </c>
      <c r="CI274" t="e">
        <f>AND('PROG FORM COMPLEM'!#REF!,"AAAAADq/v1Y=")</f>
        <v>#REF!</v>
      </c>
      <c r="CJ274" t="e">
        <f>AND('PROG FORM COMPLEM'!#REF!,"AAAAADq/v1c=")</f>
        <v>#REF!</v>
      </c>
      <c r="CK274" t="e">
        <f>AND('PROG FORM COMPLEM'!#REF!,"AAAAADq/v1g=")</f>
        <v>#REF!</v>
      </c>
      <c r="CL274" t="e">
        <f>AND('PROG FORM COMPLEM'!#REF!,"AAAAADq/v1k=")</f>
        <v>#REF!</v>
      </c>
      <c r="CM274" t="e">
        <f>AND('PROG FORM COMPLEM'!#REF!,"AAAAADq/v1o=")</f>
        <v>#REF!</v>
      </c>
      <c r="CN274" t="e">
        <f>AND('PROG FORM COMPLEM'!#REF!,"AAAAADq/v1s=")</f>
        <v>#REF!</v>
      </c>
      <c r="CO274" t="e">
        <f>AND('PROG FORM COMPLEM'!#REF!,"AAAAADq/v1w=")</f>
        <v>#REF!</v>
      </c>
      <c r="CP274" t="e">
        <f>AND('PROG FORM COMPLEM'!#REF!,"AAAAADq/v10=")</f>
        <v>#REF!</v>
      </c>
      <c r="CQ274" t="e">
        <f>AND('PROG FORM COMPLEM'!#REF!,"AAAAADq/v14=")</f>
        <v>#REF!</v>
      </c>
      <c r="CR274" t="e">
        <f>AND('PROG FORM COMPLEM'!#REF!,"AAAAADq/v18=")</f>
        <v>#REF!</v>
      </c>
      <c r="CS274" t="e">
        <f>IF('PROG FORM COMPLEM'!#REF!,"AAAAADq/v2A=",0)</f>
        <v>#REF!</v>
      </c>
      <c r="CT274" t="e">
        <f>AND('PROG FORM COMPLEM'!#REF!,"AAAAADq/v2E=")</f>
        <v>#REF!</v>
      </c>
      <c r="CU274" t="e">
        <f>AND('PROG FORM COMPLEM'!#REF!,"AAAAADq/v2I=")</f>
        <v>#REF!</v>
      </c>
      <c r="CV274" t="e">
        <f>AND('PROG FORM COMPLEM'!#REF!,"AAAAADq/v2M=")</f>
        <v>#REF!</v>
      </c>
      <c r="CW274" t="e">
        <f>AND('PROG FORM COMPLEM'!#REF!,"AAAAADq/v2Q=")</f>
        <v>#REF!</v>
      </c>
      <c r="CX274" t="e">
        <f>AND('PROG FORM COMPLEM'!#REF!,"AAAAADq/v2U=")</f>
        <v>#REF!</v>
      </c>
      <c r="CY274" t="e">
        <f>AND('PROG FORM COMPLEM'!#REF!,"AAAAADq/v2Y=")</f>
        <v>#REF!</v>
      </c>
      <c r="CZ274" t="e">
        <f>AND('PROG FORM COMPLEM'!#REF!,"AAAAADq/v2c=")</f>
        <v>#REF!</v>
      </c>
      <c r="DA274" t="e">
        <f>AND('PROG FORM COMPLEM'!#REF!,"AAAAADq/v2g=")</f>
        <v>#REF!</v>
      </c>
      <c r="DB274" t="e">
        <f>AND('PROG FORM COMPLEM'!#REF!,"AAAAADq/v2k=")</f>
        <v>#REF!</v>
      </c>
      <c r="DC274" t="e">
        <f>AND('PROG FORM COMPLEM'!#REF!,"AAAAADq/v2o=")</f>
        <v>#REF!</v>
      </c>
      <c r="DD274" t="e">
        <f>AND('PROG FORM COMPLEM'!#REF!,"AAAAADq/v2s=")</f>
        <v>#REF!</v>
      </c>
      <c r="DE274" t="e">
        <f>AND('PROG FORM COMPLEM'!#REF!,"AAAAADq/v2w=")</f>
        <v>#REF!</v>
      </c>
      <c r="DF274" t="e">
        <f>AND('PROG FORM COMPLEM'!#REF!,"AAAAADq/v20=")</f>
        <v>#REF!</v>
      </c>
      <c r="DG274" t="e">
        <f>AND('PROG FORM COMPLEM'!#REF!,"AAAAADq/v24=")</f>
        <v>#REF!</v>
      </c>
      <c r="DH274" t="e">
        <f>AND('PROG FORM COMPLEM'!#REF!,"AAAAADq/v28=")</f>
        <v>#REF!</v>
      </c>
      <c r="DI274" t="e">
        <f>AND('PROG FORM COMPLEM'!#REF!,"AAAAADq/v3A=")</f>
        <v>#REF!</v>
      </c>
      <c r="DJ274" t="e">
        <f>AND('PROG FORM COMPLEM'!#REF!,"AAAAADq/v3E=")</f>
        <v>#REF!</v>
      </c>
      <c r="DK274" t="e">
        <f>AND('PROG FORM COMPLEM'!#REF!,"AAAAADq/v3I=")</f>
        <v>#REF!</v>
      </c>
      <c r="DL274" t="e">
        <f>AND('PROG FORM COMPLEM'!#REF!,"AAAAADq/v3M=")</f>
        <v>#REF!</v>
      </c>
      <c r="DM274" t="e">
        <f>AND('PROG FORM COMPLEM'!#REF!,"AAAAADq/v3Q=")</f>
        <v>#REF!</v>
      </c>
      <c r="DN274" t="e">
        <f>AND('PROG FORM COMPLEM'!#REF!,"AAAAADq/v3U=")</f>
        <v>#REF!</v>
      </c>
      <c r="DO274" t="e">
        <f>AND('PROG FORM COMPLEM'!#REF!,"AAAAADq/v3Y=")</f>
        <v>#REF!</v>
      </c>
      <c r="DP274" t="e">
        <f>IF('PROG FORM COMPLEM'!#REF!,"AAAAADq/v3c=",0)</f>
        <v>#REF!</v>
      </c>
      <c r="DQ274" t="e">
        <f>AND('PROG FORM COMPLEM'!#REF!,"AAAAADq/v3g=")</f>
        <v>#REF!</v>
      </c>
      <c r="DR274" t="e">
        <f>AND('PROG FORM COMPLEM'!#REF!,"AAAAADq/v3k=")</f>
        <v>#REF!</v>
      </c>
      <c r="DS274" t="e">
        <f>AND('PROG FORM COMPLEM'!#REF!,"AAAAADq/v3o=")</f>
        <v>#REF!</v>
      </c>
      <c r="DT274" t="e">
        <f>AND('PROG FORM COMPLEM'!#REF!,"AAAAADq/v3s=")</f>
        <v>#REF!</v>
      </c>
      <c r="DU274" t="e">
        <f>AND('PROG FORM COMPLEM'!#REF!,"AAAAADq/v3w=")</f>
        <v>#REF!</v>
      </c>
      <c r="DV274" t="e">
        <f>AND('PROG FORM COMPLEM'!#REF!,"AAAAADq/v30=")</f>
        <v>#REF!</v>
      </c>
      <c r="DW274" t="e">
        <f>AND('PROG FORM COMPLEM'!#REF!,"AAAAADq/v34=")</f>
        <v>#REF!</v>
      </c>
      <c r="DX274" t="e">
        <f>AND('PROG FORM COMPLEM'!#REF!,"AAAAADq/v38=")</f>
        <v>#REF!</v>
      </c>
      <c r="DY274" t="e">
        <f>AND('PROG FORM COMPLEM'!#REF!,"AAAAADq/v4A=")</f>
        <v>#REF!</v>
      </c>
      <c r="DZ274" t="e">
        <f>AND('PROG FORM COMPLEM'!#REF!,"AAAAADq/v4E=")</f>
        <v>#REF!</v>
      </c>
      <c r="EA274" t="e">
        <f>AND('PROG FORM COMPLEM'!#REF!,"AAAAADq/v4I=")</f>
        <v>#REF!</v>
      </c>
      <c r="EB274" t="e">
        <f>AND('PROG FORM COMPLEM'!#REF!,"AAAAADq/v4M=")</f>
        <v>#REF!</v>
      </c>
      <c r="EC274" t="e">
        <f>AND('PROG FORM COMPLEM'!#REF!,"AAAAADq/v4Q=")</f>
        <v>#REF!</v>
      </c>
      <c r="ED274" t="e">
        <f>AND('PROG FORM COMPLEM'!#REF!,"AAAAADq/v4U=")</f>
        <v>#REF!</v>
      </c>
      <c r="EE274" t="e">
        <f>AND('PROG FORM COMPLEM'!#REF!,"AAAAADq/v4Y=")</f>
        <v>#REF!</v>
      </c>
      <c r="EF274" t="e">
        <f>AND('PROG FORM COMPLEM'!#REF!,"AAAAADq/v4c=")</f>
        <v>#REF!</v>
      </c>
      <c r="EG274" t="e">
        <f>AND('PROG FORM COMPLEM'!#REF!,"AAAAADq/v4g=")</f>
        <v>#REF!</v>
      </c>
      <c r="EH274" t="e">
        <f>AND('PROG FORM COMPLEM'!#REF!,"AAAAADq/v4k=")</f>
        <v>#REF!</v>
      </c>
      <c r="EI274" t="e">
        <f>AND('PROG FORM COMPLEM'!#REF!,"AAAAADq/v4o=")</f>
        <v>#REF!</v>
      </c>
      <c r="EJ274" t="e">
        <f>AND('PROG FORM COMPLEM'!#REF!,"AAAAADq/v4s=")</f>
        <v>#REF!</v>
      </c>
      <c r="EK274" t="e">
        <f>AND('PROG FORM COMPLEM'!#REF!,"AAAAADq/v4w=")</f>
        <v>#REF!</v>
      </c>
      <c r="EL274" t="e">
        <f>AND('PROG FORM COMPLEM'!#REF!,"AAAAADq/v40=")</f>
        <v>#REF!</v>
      </c>
      <c r="EM274" t="e">
        <f>IF('PROG FORM COMPLEM'!#REF!,"AAAAADq/v44=",0)</f>
        <v>#REF!</v>
      </c>
      <c r="EN274" t="e">
        <f>AND('PROG FORM COMPLEM'!#REF!,"AAAAADq/v48=")</f>
        <v>#REF!</v>
      </c>
      <c r="EO274" t="e">
        <f>AND('PROG FORM COMPLEM'!#REF!,"AAAAADq/v5A=")</f>
        <v>#REF!</v>
      </c>
      <c r="EP274" t="e">
        <f>AND('PROG FORM COMPLEM'!#REF!,"AAAAADq/v5E=")</f>
        <v>#REF!</v>
      </c>
      <c r="EQ274" t="e">
        <f>AND('PROG FORM COMPLEM'!#REF!,"AAAAADq/v5I=")</f>
        <v>#REF!</v>
      </c>
      <c r="ER274" t="e">
        <f>AND('PROG FORM COMPLEM'!#REF!,"AAAAADq/v5M=")</f>
        <v>#REF!</v>
      </c>
      <c r="ES274" t="e">
        <f>AND('PROG FORM COMPLEM'!#REF!,"AAAAADq/v5Q=")</f>
        <v>#REF!</v>
      </c>
      <c r="ET274" t="e">
        <f>AND('PROG FORM COMPLEM'!#REF!,"AAAAADq/v5U=")</f>
        <v>#REF!</v>
      </c>
      <c r="EU274" t="e">
        <f>AND('PROG FORM COMPLEM'!#REF!,"AAAAADq/v5Y=")</f>
        <v>#REF!</v>
      </c>
      <c r="EV274" t="e">
        <f>AND('PROG FORM COMPLEM'!#REF!,"AAAAADq/v5c=")</f>
        <v>#REF!</v>
      </c>
      <c r="EW274" t="e">
        <f>AND('PROG FORM COMPLEM'!#REF!,"AAAAADq/v5g=")</f>
        <v>#REF!</v>
      </c>
      <c r="EX274" t="e">
        <f>AND('PROG FORM COMPLEM'!#REF!,"AAAAADq/v5k=")</f>
        <v>#REF!</v>
      </c>
      <c r="EY274" t="e">
        <f>AND('PROG FORM COMPLEM'!#REF!,"AAAAADq/v5o=")</f>
        <v>#REF!</v>
      </c>
      <c r="EZ274" t="e">
        <f>AND('PROG FORM COMPLEM'!#REF!,"AAAAADq/v5s=")</f>
        <v>#REF!</v>
      </c>
      <c r="FA274" t="e">
        <f>AND('PROG FORM COMPLEM'!#REF!,"AAAAADq/v5w=")</f>
        <v>#REF!</v>
      </c>
      <c r="FB274" t="e">
        <f>AND('PROG FORM COMPLEM'!#REF!,"AAAAADq/v50=")</f>
        <v>#REF!</v>
      </c>
      <c r="FC274" t="e">
        <f>AND('PROG FORM COMPLEM'!#REF!,"AAAAADq/v54=")</f>
        <v>#REF!</v>
      </c>
      <c r="FD274" t="e">
        <f>AND('PROG FORM COMPLEM'!#REF!,"AAAAADq/v58=")</f>
        <v>#REF!</v>
      </c>
      <c r="FE274" t="e">
        <f>AND('PROG FORM COMPLEM'!#REF!,"AAAAADq/v6A=")</f>
        <v>#REF!</v>
      </c>
      <c r="FF274" t="e">
        <f>AND('PROG FORM COMPLEM'!#REF!,"AAAAADq/v6E=")</f>
        <v>#REF!</v>
      </c>
      <c r="FG274" t="e">
        <f>AND('PROG FORM COMPLEM'!#REF!,"AAAAADq/v6I=")</f>
        <v>#REF!</v>
      </c>
      <c r="FH274" t="e">
        <f>AND('PROG FORM COMPLEM'!#REF!,"AAAAADq/v6M=")</f>
        <v>#REF!</v>
      </c>
      <c r="FI274" t="e">
        <f>AND('PROG FORM COMPLEM'!#REF!,"AAAAADq/v6Q=")</f>
        <v>#REF!</v>
      </c>
      <c r="FJ274" t="e">
        <f>IF('PROG FORM COMPLEM'!#REF!,"AAAAADq/v6U=",0)</f>
        <v>#REF!</v>
      </c>
      <c r="FK274" t="e">
        <f>AND('PROG FORM COMPLEM'!#REF!,"AAAAADq/v6Y=")</f>
        <v>#REF!</v>
      </c>
      <c r="FL274" t="e">
        <f>AND('PROG FORM COMPLEM'!#REF!,"AAAAADq/v6c=")</f>
        <v>#REF!</v>
      </c>
      <c r="FM274" t="e">
        <f>AND('PROG FORM COMPLEM'!#REF!,"AAAAADq/v6g=")</f>
        <v>#REF!</v>
      </c>
      <c r="FN274" t="e">
        <f>AND('PROG FORM COMPLEM'!#REF!,"AAAAADq/v6k=")</f>
        <v>#REF!</v>
      </c>
      <c r="FO274" t="e">
        <f>AND('PROG FORM COMPLEM'!#REF!,"AAAAADq/v6o=")</f>
        <v>#REF!</v>
      </c>
      <c r="FP274" t="e">
        <f>AND('PROG FORM COMPLEM'!#REF!,"AAAAADq/v6s=")</f>
        <v>#REF!</v>
      </c>
      <c r="FQ274" t="e">
        <f>AND('PROG FORM COMPLEM'!#REF!,"AAAAADq/v6w=")</f>
        <v>#REF!</v>
      </c>
      <c r="FR274" t="e">
        <f>AND('PROG FORM COMPLEM'!#REF!,"AAAAADq/v60=")</f>
        <v>#REF!</v>
      </c>
      <c r="FS274" t="e">
        <f>AND('PROG FORM COMPLEM'!#REF!,"AAAAADq/v64=")</f>
        <v>#REF!</v>
      </c>
      <c r="FT274" t="e">
        <f>AND('PROG FORM COMPLEM'!#REF!,"AAAAADq/v68=")</f>
        <v>#REF!</v>
      </c>
      <c r="FU274" t="e">
        <f>AND('PROG FORM COMPLEM'!#REF!,"AAAAADq/v7A=")</f>
        <v>#REF!</v>
      </c>
      <c r="FV274" t="e">
        <f>AND('PROG FORM COMPLEM'!#REF!,"AAAAADq/v7E=")</f>
        <v>#REF!</v>
      </c>
      <c r="FW274" t="e">
        <f>AND('PROG FORM COMPLEM'!#REF!,"AAAAADq/v7I=")</f>
        <v>#REF!</v>
      </c>
      <c r="FX274" t="e">
        <f>AND('PROG FORM COMPLEM'!#REF!,"AAAAADq/v7M=")</f>
        <v>#REF!</v>
      </c>
      <c r="FY274" t="e">
        <f>AND('PROG FORM COMPLEM'!#REF!,"AAAAADq/v7Q=")</f>
        <v>#REF!</v>
      </c>
      <c r="FZ274" t="e">
        <f>AND('PROG FORM COMPLEM'!#REF!,"AAAAADq/v7U=")</f>
        <v>#REF!</v>
      </c>
      <c r="GA274" t="e">
        <f>AND('PROG FORM COMPLEM'!#REF!,"AAAAADq/v7Y=")</f>
        <v>#REF!</v>
      </c>
      <c r="GB274" t="e">
        <f>AND('PROG FORM COMPLEM'!#REF!,"AAAAADq/v7c=")</f>
        <v>#REF!</v>
      </c>
      <c r="GC274" t="e">
        <f>AND('PROG FORM COMPLEM'!#REF!,"AAAAADq/v7g=")</f>
        <v>#REF!</v>
      </c>
      <c r="GD274" t="e">
        <f>AND('PROG FORM COMPLEM'!#REF!,"AAAAADq/v7k=")</f>
        <v>#REF!</v>
      </c>
      <c r="GE274" t="e">
        <f>AND('PROG FORM COMPLEM'!#REF!,"AAAAADq/v7o=")</f>
        <v>#REF!</v>
      </c>
      <c r="GF274" t="e">
        <f>AND('PROG FORM COMPLEM'!#REF!,"AAAAADq/v7s=")</f>
        <v>#REF!</v>
      </c>
      <c r="GG274" t="e">
        <f>IF('PROG FORM COMPLEM'!#REF!,"AAAAADq/v7w=",0)</f>
        <v>#REF!</v>
      </c>
      <c r="GH274" t="e">
        <f>AND('PROG FORM COMPLEM'!#REF!,"AAAAADq/v70=")</f>
        <v>#REF!</v>
      </c>
      <c r="GI274" t="e">
        <f>AND('PROG FORM COMPLEM'!#REF!,"AAAAADq/v74=")</f>
        <v>#REF!</v>
      </c>
      <c r="GJ274" t="e">
        <f>AND('PROG FORM COMPLEM'!#REF!,"AAAAADq/v78=")</f>
        <v>#REF!</v>
      </c>
      <c r="GK274" t="e">
        <f>AND('PROG FORM COMPLEM'!#REF!,"AAAAADq/v8A=")</f>
        <v>#REF!</v>
      </c>
      <c r="GL274" t="e">
        <f>AND('PROG FORM COMPLEM'!#REF!,"AAAAADq/v8E=")</f>
        <v>#REF!</v>
      </c>
      <c r="GM274" t="e">
        <f>AND('PROG FORM COMPLEM'!#REF!,"AAAAADq/v8I=")</f>
        <v>#REF!</v>
      </c>
      <c r="GN274" t="e">
        <f>AND('PROG FORM COMPLEM'!#REF!,"AAAAADq/v8M=")</f>
        <v>#REF!</v>
      </c>
      <c r="GO274" t="e">
        <f>AND('PROG FORM COMPLEM'!#REF!,"AAAAADq/v8Q=")</f>
        <v>#REF!</v>
      </c>
      <c r="GP274" t="e">
        <f>AND('PROG FORM COMPLEM'!#REF!,"AAAAADq/v8U=")</f>
        <v>#REF!</v>
      </c>
      <c r="GQ274" t="e">
        <f>AND('PROG FORM COMPLEM'!#REF!,"AAAAADq/v8Y=")</f>
        <v>#REF!</v>
      </c>
      <c r="GR274" t="e">
        <f>AND('PROG FORM COMPLEM'!#REF!,"AAAAADq/v8c=")</f>
        <v>#REF!</v>
      </c>
      <c r="GS274" t="e">
        <f>AND('PROG FORM COMPLEM'!#REF!,"AAAAADq/v8g=")</f>
        <v>#REF!</v>
      </c>
      <c r="GT274" t="e">
        <f>AND('PROG FORM COMPLEM'!#REF!,"AAAAADq/v8k=")</f>
        <v>#REF!</v>
      </c>
      <c r="GU274" t="e">
        <f>AND('PROG FORM COMPLEM'!#REF!,"AAAAADq/v8o=")</f>
        <v>#REF!</v>
      </c>
      <c r="GV274" t="e">
        <f>AND('PROG FORM COMPLEM'!#REF!,"AAAAADq/v8s=")</f>
        <v>#REF!</v>
      </c>
      <c r="GW274" t="e">
        <f>AND('PROG FORM COMPLEM'!#REF!,"AAAAADq/v8w=")</f>
        <v>#REF!</v>
      </c>
      <c r="GX274" t="e">
        <f>AND('PROG FORM COMPLEM'!#REF!,"AAAAADq/v80=")</f>
        <v>#REF!</v>
      </c>
      <c r="GY274" t="e">
        <f>AND('PROG FORM COMPLEM'!#REF!,"AAAAADq/v84=")</f>
        <v>#REF!</v>
      </c>
      <c r="GZ274" t="e">
        <f>AND('PROG FORM COMPLEM'!#REF!,"AAAAADq/v88=")</f>
        <v>#REF!</v>
      </c>
      <c r="HA274" t="e">
        <f>AND('PROG FORM COMPLEM'!#REF!,"AAAAADq/v9A=")</f>
        <v>#REF!</v>
      </c>
      <c r="HB274" t="e">
        <f>AND('PROG FORM COMPLEM'!#REF!,"AAAAADq/v9E=")</f>
        <v>#REF!</v>
      </c>
      <c r="HC274" t="e">
        <f>AND('PROG FORM COMPLEM'!#REF!,"AAAAADq/v9I=")</f>
        <v>#REF!</v>
      </c>
      <c r="HD274" t="e">
        <f>IF('PROG FORM COMPLEM'!#REF!,"AAAAADq/v9M=",0)</f>
        <v>#REF!</v>
      </c>
      <c r="HE274" t="e">
        <f>AND('PROG FORM COMPLEM'!#REF!,"AAAAADq/v9Q=")</f>
        <v>#REF!</v>
      </c>
      <c r="HF274" t="e">
        <f>AND('PROG FORM COMPLEM'!#REF!,"AAAAADq/v9U=")</f>
        <v>#REF!</v>
      </c>
      <c r="HG274" t="e">
        <f>AND('PROG FORM COMPLEM'!#REF!,"AAAAADq/v9Y=")</f>
        <v>#REF!</v>
      </c>
      <c r="HH274" t="e">
        <f>AND('PROG FORM COMPLEM'!#REF!,"AAAAADq/v9c=")</f>
        <v>#REF!</v>
      </c>
      <c r="HI274" t="e">
        <f>AND('PROG FORM COMPLEM'!#REF!,"AAAAADq/v9g=")</f>
        <v>#REF!</v>
      </c>
      <c r="HJ274" t="e">
        <f>AND('PROG FORM COMPLEM'!#REF!,"AAAAADq/v9k=")</f>
        <v>#REF!</v>
      </c>
      <c r="HK274" t="e">
        <f>AND('PROG FORM COMPLEM'!#REF!,"AAAAADq/v9o=")</f>
        <v>#REF!</v>
      </c>
      <c r="HL274" t="e">
        <f>AND('PROG FORM COMPLEM'!#REF!,"AAAAADq/v9s=")</f>
        <v>#REF!</v>
      </c>
      <c r="HM274" t="e">
        <f>AND('PROG FORM COMPLEM'!#REF!,"AAAAADq/v9w=")</f>
        <v>#REF!</v>
      </c>
      <c r="HN274" t="e">
        <f>AND('PROG FORM COMPLEM'!#REF!,"AAAAADq/v90=")</f>
        <v>#REF!</v>
      </c>
      <c r="HO274" t="e">
        <f>AND('PROG FORM COMPLEM'!#REF!,"AAAAADq/v94=")</f>
        <v>#REF!</v>
      </c>
      <c r="HP274" t="e">
        <f>AND('PROG FORM COMPLEM'!#REF!,"AAAAADq/v98=")</f>
        <v>#REF!</v>
      </c>
      <c r="HQ274" t="e">
        <f>AND('PROG FORM COMPLEM'!#REF!,"AAAAADq/v+A=")</f>
        <v>#REF!</v>
      </c>
      <c r="HR274" t="e">
        <f>AND('PROG FORM COMPLEM'!#REF!,"AAAAADq/v+E=")</f>
        <v>#REF!</v>
      </c>
      <c r="HS274" t="e">
        <f>AND('PROG FORM COMPLEM'!#REF!,"AAAAADq/v+I=")</f>
        <v>#REF!</v>
      </c>
      <c r="HT274" t="e">
        <f>AND('PROG FORM COMPLEM'!#REF!,"AAAAADq/v+M=")</f>
        <v>#REF!</v>
      </c>
      <c r="HU274" t="e">
        <f>AND('PROG FORM COMPLEM'!#REF!,"AAAAADq/v+Q=")</f>
        <v>#REF!</v>
      </c>
      <c r="HV274" t="e">
        <f>AND('PROG FORM COMPLEM'!#REF!,"AAAAADq/v+U=")</f>
        <v>#REF!</v>
      </c>
      <c r="HW274" t="e">
        <f>AND('PROG FORM COMPLEM'!#REF!,"AAAAADq/v+Y=")</f>
        <v>#REF!</v>
      </c>
      <c r="HX274" t="e">
        <f>AND('PROG FORM COMPLEM'!#REF!,"AAAAADq/v+c=")</f>
        <v>#REF!</v>
      </c>
      <c r="HY274" t="e">
        <f>AND('PROG FORM COMPLEM'!#REF!,"AAAAADq/v+g=")</f>
        <v>#REF!</v>
      </c>
      <c r="HZ274" t="e">
        <f>AND('PROG FORM COMPLEM'!#REF!,"AAAAADq/v+k=")</f>
        <v>#REF!</v>
      </c>
      <c r="IA274" t="e">
        <f>IF('PROG FORM COMPLEM'!#REF!,"AAAAADq/v+o=",0)</f>
        <v>#REF!</v>
      </c>
      <c r="IB274" t="e">
        <f>AND('PROG FORM COMPLEM'!#REF!,"AAAAADq/v+s=")</f>
        <v>#REF!</v>
      </c>
      <c r="IC274" t="e">
        <f>AND('PROG FORM COMPLEM'!#REF!,"AAAAADq/v+w=")</f>
        <v>#REF!</v>
      </c>
      <c r="ID274" t="e">
        <f>AND('PROG FORM COMPLEM'!#REF!,"AAAAADq/v+0=")</f>
        <v>#REF!</v>
      </c>
      <c r="IE274" t="e">
        <f>AND('PROG FORM COMPLEM'!#REF!,"AAAAADq/v+4=")</f>
        <v>#REF!</v>
      </c>
      <c r="IF274" t="e">
        <f>AND('PROG FORM COMPLEM'!#REF!,"AAAAADq/v+8=")</f>
        <v>#REF!</v>
      </c>
      <c r="IG274" t="e">
        <f>AND('PROG FORM COMPLEM'!#REF!,"AAAAADq/v/A=")</f>
        <v>#REF!</v>
      </c>
      <c r="IH274" t="e">
        <f>AND('PROG FORM COMPLEM'!#REF!,"AAAAADq/v/E=")</f>
        <v>#REF!</v>
      </c>
      <c r="II274" t="e">
        <f>AND('PROG FORM COMPLEM'!#REF!,"AAAAADq/v/I=")</f>
        <v>#REF!</v>
      </c>
      <c r="IJ274" t="e">
        <f>AND('PROG FORM COMPLEM'!#REF!,"AAAAADq/v/M=")</f>
        <v>#REF!</v>
      </c>
      <c r="IK274" t="e">
        <f>AND('PROG FORM COMPLEM'!#REF!,"AAAAADq/v/Q=")</f>
        <v>#REF!</v>
      </c>
      <c r="IL274" t="e">
        <f>AND('PROG FORM COMPLEM'!#REF!,"AAAAADq/v/U=")</f>
        <v>#REF!</v>
      </c>
      <c r="IM274" t="e">
        <f>AND('PROG FORM COMPLEM'!#REF!,"AAAAADq/v/Y=")</f>
        <v>#REF!</v>
      </c>
      <c r="IN274" t="e">
        <f>AND('PROG FORM COMPLEM'!#REF!,"AAAAADq/v/c=")</f>
        <v>#REF!</v>
      </c>
      <c r="IO274" t="e">
        <f>AND('PROG FORM COMPLEM'!#REF!,"AAAAADq/v/g=")</f>
        <v>#REF!</v>
      </c>
      <c r="IP274" t="e">
        <f>AND('PROG FORM COMPLEM'!#REF!,"AAAAADq/v/k=")</f>
        <v>#REF!</v>
      </c>
      <c r="IQ274" t="e">
        <f>AND('PROG FORM COMPLEM'!#REF!,"AAAAADq/v/o=")</f>
        <v>#REF!</v>
      </c>
      <c r="IR274" t="e">
        <f>AND('PROG FORM COMPLEM'!#REF!,"AAAAADq/v/s=")</f>
        <v>#REF!</v>
      </c>
      <c r="IS274" t="e">
        <f>AND('PROG FORM COMPLEM'!#REF!,"AAAAADq/v/w=")</f>
        <v>#REF!</v>
      </c>
      <c r="IT274" t="e">
        <f>AND('PROG FORM COMPLEM'!#REF!,"AAAAADq/v/0=")</f>
        <v>#REF!</v>
      </c>
      <c r="IU274" t="e">
        <f>AND('PROG FORM COMPLEM'!#REF!,"AAAAADq/v/4=")</f>
        <v>#REF!</v>
      </c>
      <c r="IV274" t="e">
        <f>AND('PROG FORM COMPLEM'!#REF!,"AAAAADq/v/8=")</f>
        <v>#REF!</v>
      </c>
    </row>
    <row r="275" spans="1:256" x14ac:dyDescent="0.2">
      <c r="A275" t="e">
        <f>AND('PROG FORM COMPLEM'!#REF!,"AAAAAH7zywA=")</f>
        <v>#REF!</v>
      </c>
      <c r="B275" t="e">
        <f>IF('PROG FORM COMPLEM'!#REF!,"AAAAAH7zywE=",0)</f>
        <v>#REF!</v>
      </c>
      <c r="C275" t="e">
        <f>AND('PROG FORM COMPLEM'!#REF!,"AAAAAH7zywI=")</f>
        <v>#REF!</v>
      </c>
      <c r="D275" t="e">
        <f>AND('PROG FORM COMPLEM'!#REF!,"AAAAAH7zywM=")</f>
        <v>#REF!</v>
      </c>
      <c r="E275" t="e">
        <f>AND('PROG FORM COMPLEM'!#REF!,"AAAAAH7zywQ=")</f>
        <v>#REF!</v>
      </c>
      <c r="F275" t="e">
        <f>AND('PROG FORM COMPLEM'!#REF!,"AAAAAH7zywU=")</f>
        <v>#REF!</v>
      </c>
      <c r="G275" t="e">
        <f>AND('PROG FORM COMPLEM'!#REF!,"AAAAAH7zywY=")</f>
        <v>#REF!</v>
      </c>
      <c r="H275" t="e">
        <f>AND('PROG FORM COMPLEM'!#REF!,"AAAAAH7zywc=")</f>
        <v>#REF!</v>
      </c>
      <c r="I275" t="e">
        <f>AND('PROG FORM COMPLEM'!#REF!,"AAAAAH7zywg=")</f>
        <v>#REF!</v>
      </c>
      <c r="J275" t="e">
        <f>AND('PROG FORM COMPLEM'!#REF!,"AAAAAH7zywk=")</f>
        <v>#REF!</v>
      </c>
      <c r="K275" t="e">
        <f>AND('PROG FORM COMPLEM'!#REF!,"AAAAAH7zywo=")</f>
        <v>#REF!</v>
      </c>
      <c r="L275" t="e">
        <f>AND('PROG FORM COMPLEM'!#REF!,"AAAAAH7zyws=")</f>
        <v>#REF!</v>
      </c>
      <c r="M275" t="e">
        <f>AND('PROG FORM COMPLEM'!#REF!,"AAAAAH7zyww=")</f>
        <v>#REF!</v>
      </c>
      <c r="N275" t="e">
        <f>AND('PROG FORM COMPLEM'!#REF!,"AAAAAH7zyw0=")</f>
        <v>#REF!</v>
      </c>
      <c r="O275" t="e">
        <f>AND('PROG FORM COMPLEM'!#REF!,"AAAAAH7zyw4=")</f>
        <v>#REF!</v>
      </c>
      <c r="P275" t="e">
        <f>AND('PROG FORM COMPLEM'!#REF!,"AAAAAH7zyw8=")</f>
        <v>#REF!</v>
      </c>
      <c r="Q275" t="e">
        <f>AND('PROG FORM COMPLEM'!#REF!,"AAAAAH7zyxA=")</f>
        <v>#REF!</v>
      </c>
      <c r="R275" t="e">
        <f>AND('PROG FORM COMPLEM'!#REF!,"AAAAAH7zyxE=")</f>
        <v>#REF!</v>
      </c>
      <c r="S275" t="e">
        <f>AND('PROG FORM COMPLEM'!#REF!,"AAAAAH7zyxI=")</f>
        <v>#REF!</v>
      </c>
      <c r="T275" t="e">
        <f>AND('PROG FORM COMPLEM'!#REF!,"AAAAAH7zyxM=")</f>
        <v>#REF!</v>
      </c>
      <c r="U275" t="e">
        <f>AND('PROG FORM COMPLEM'!#REF!,"AAAAAH7zyxQ=")</f>
        <v>#REF!</v>
      </c>
      <c r="V275" t="e">
        <f>AND('PROG FORM COMPLEM'!#REF!,"AAAAAH7zyxU=")</f>
        <v>#REF!</v>
      </c>
      <c r="W275" t="e">
        <f>AND('PROG FORM COMPLEM'!#REF!,"AAAAAH7zyxY=")</f>
        <v>#REF!</v>
      </c>
      <c r="X275" t="e">
        <f>AND('PROG FORM COMPLEM'!#REF!,"AAAAAH7zyxc=")</f>
        <v>#REF!</v>
      </c>
      <c r="Y275" t="e">
        <f>IF('PROG FORM COMPLEM'!#REF!,"AAAAAH7zyxg=",0)</f>
        <v>#REF!</v>
      </c>
      <c r="Z275" t="e">
        <f>AND('PROG FORM COMPLEM'!#REF!,"AAAAAH7zyxk=")</f>
        <v>#REF!</v>
      </c>
      <c r="AA275" t="e">
        <f>AND('PROG FORM COMPLEM'!#REF!,"AAAAAH7zyxo=")</f>
        <v>#REF!</v>
      </c>
      <c r="AB275" t="e">
        <f>AND('PROG FORM COMPLEM'!#REF!,"AAAAAH7zyxs=")</f>
        <v>#REF!</v>
      </c>
      <c r="AC275" t="e">
        <f>AND('PROG FORM COMPLEM'!#REF!,"AAAAAH7zyxw=")</f>
        <v>#REF!</v>
      </c>
      <c r="AD275" t="e">
        <f>AND('PROG FORM COMPLEM'!#REF!,"AAAAAH7zyx0=")</f>
        <v>#REF!</v>
      </c>
      <c r="AE275" t="e">
        <f>AND('PROG FORM COMPLEM'!#REF!,"AAAAAH7zyx4=")</f>
        <v>#REF!</v>
      </c>
      <c r="AF275" t="e">
        <f>AND('PROG FORM COMPLEM'!#REF!,"AAAAAH7zyx8=")</f>
        <v>#REF!</v>
      </c>
      <c r="AG275" t="e">
        <f>AND('PROG FORM COMPLEM'!#REF!,"AAAAAH7zyyA=")</f>
        <v>#REF!</v>
      </c>
      <c r="AH275" t="e">
        <f>AND('PROG FORM COMPLEM'!#REF!,"AAAAAH7zyyE=")</f>
        <v>#REF!</v>
      </c>
      <c r="AI275" t="e">
        <f>AND('PROG FORM COMPLEM'!#REF!,"AAAAAH7zyyI=")</f>
        <v>#REF!</v>
      </c>
      <c r="AJ275" t="e">
        <f>AND('PROG FORM COMPLEM'!#REF!,"AAAAAH7zyyM=")</f>
        <v>#REF!</v>
      </c>
      <c r="AK275" t="e">
        <f>AND('PROG FORM COMPLEM'!#REF!,"AAAAAH7zyyQ=")</f>
        <v>#REF!</v>
      </c>
      <c r="AL275" t="e">
        <f>AND('PROG FORM COMPLEM'!#REF!,"AAAAAH7zyyU=")</f>
        <v>#REF!</v>
      </c>
      <c r="AM275" t="e">
        <f>AND('PROG FORM COMPLEM'!#REF!,"AAAAAH7zyyY=")</f>
        <v>#REF!</v>
      </c>
      <c r="AN275" t="e">
        <f>AND('PROG FORM COMPLEM'!#REF!,"AAAAAH7zyyc=")</f>
        <v>#REF!</v>
      </c>
      <c r="AO275" t="e">
        <f>AND('PROG FORM COMPLEM'!#REF!,"AAAAAH7zyyg=")</f>
        <v>#REF!</v>
      </c>
      <c r="AP275" t="e">
        <f>AND('PROG FORM COMPLEM'!#REF!,"AAAAAH7zyyk=")</f>
        <v>#REF!</v>
      </c>
      <c r="AQ275" t="e">
        <f>AND('PROG FORM COMPLEM'!#REF!,"AAAAAH7zyyo=")</f>
        <v>#REF!</v>
      </c>
      <c r="AR275" t="e">
        <f>AND('PROG FORM COMPLEM'!#REF!,"AAAAAH7zyys=")</f>
        <v>#REF!</v>
      </c>
      <c r="AS275" t="e">
        <f>AND('PROG FORM COMPLEM'!#REF!,"AAAAAH7zyyw=")</f>
        <v>#REF!</v>
      </c>
      <c r="AT275" t="e">
        <f>AND('PROG FORM COMPLEM'!#REF!,"AAAAAH7zyy0=")</f>
        <v>#REF!</v>
      </c>
      <c r="AU275" t="e">
        <f>AND('PROG FORM COMPLEM'!#REF!,"AAAAAH7zyy4=")</f>
        <v>#REF!</v>
      </c>
      <c r="AV275" t="e">
        <f>IF('PROG FORM COMPLEM'!#REF!,"AAAAAH7zyy8=",0)</f>
        <v>#REF!</v>
      </c>
      <c r="AW275" t="e">
        <f>AND('PROG FORM COMPLEM'!#REF!,"AAAAAH7zyzA=")</f>
        <v>#REF!</v>
      </c>
      <c r="AX275" t="e">
        <f>AND('PROG FORM COMPLEM'!#REF!,"AAAAAH7zyzE=")</f>
        <v>#REF!</v>
      </c>
      <c r="AY275" t="e">
        <f>AND('PROG FORM COMPLEM'!#REF!,"AAAAAH7zyzI=")</f>
        <v>#REF!</v>
      </c>
      <c r="AZ275" t="e">
        <f>AND('PROG FORM COMPLEM'!#REF!,"AAAAAH7zyzM=")</f>
        <v>#REF!</v>
      </c>
      <c r="BA275" t="e">
        <f>AND('PROG FORM COMPLEM'!#REF!,"AAAAAH7zyzQ=")</f>
        <v>#REF!</v>
      </c>
      <c r="BB275" t="e">
        <f>AND('PROG FORM COMPLEM'!#REF!,"AAAAAH7zyzU=")</f>
        <v>#REF!</v>
      </c>
      <c r="BC275" t="e">
        <f>AND('PROG FORM COMPLEM'!#REF!,"AAAAAH7zyzY=")</f>
        <v>#REF!</v>
      </c>
      <c r="BD275" t="e">
        <f>AND('PROG FORM COMPLEM'!#REF!,"AAAAAH7zyzc=")</f>
        <v>#REF!</v>
      </c>
      <c r="BE275" t="e">
        <f>AND('PROG FORM COMPLEM'!#REF!,"AAAAAH7zyzg=")</f>
        <v>#REF!</v>
      </c>
      <c r="BF275" t="e">
        <f>AND('PROG FORM COMPLEM'!#REF!,"AAAAAH7zyzk=")</f>
        <v>#REF!</v>
      </c>
      <c r="BG275" t="e">
        <f>AND('PROG FORM COMPLEM'!#REF!,"AAAAAH7zyzo=")</f>
        <v>#REF!</v>
      </c>
      <c r="BH275" t="e">
        <f>AND('PROG FORM COMPLEM'!#REF!,"AAAAAH7zyzs=")</f>
        <v>#REF!</v>
      </c>
      <c r="BI275" t="e">
        <f>AND('PROG FORM COMPLEM'!#REF!,"AAAAAH7zyzw=")</f>
        <v>#REF!</v>
      </c>
      <c r="BJ275" t="e">
        <f>AND('PROG FORM COMPLEM'!#REF!,"AAAAAH7zyz0=")</f>
        <v>#REF!</v>
      </c>
      <c r="BK275" t="e">
        <f>AND('PROG FORM COMPLEM'!#REF!,"AAAAAH7zyz4=")</f>
        <v>#REF!</v>
      </c>
      <c r="BL275" t="e">
        <f>AND('PROG FORM COMPLEM'!#REF!,"AAAAAH7zyz8=")</f>
        <v>#REF!</v>
      </c>
      <c r="BM275" t="e">
        <f>AND('PROG FORM COMPLEM'!#REF!,"AAAAAH7zy0A=")</f>
        <v>#REF!</v>
      </c>
      <c r="BN275" t="e">
        <f>AND('PROG FORM COMPLEM'!#REF!,"AAAAAH7zy0E=")</f>
        <v>#REF!</v>
      </c>
      <c r="BO275" t="e">
        <f>AND('PROG FORM COMPLEM'!#REF!,"AAAAAH7zy0I=")</f>
        <v>#REF!</v>
      </c>
      <c r="BP275" t="e">
        <f>AND('PROG FORM COMPLEM'!#REF!,"AAAAAH7zy0M=")</f>
        <v>#REF!</v>
      </c>
      <c r="BQ275" t="e">
        <f>AND('PROG FORM COMPLEM'!#REF!,"AAAAAH7zy0Q=")</f>
        <v>#REF!</v>
      </c>
      <c r="BR275" t="e">
        <f>AND('PROG FORM COMPLEM'!#REF!,"AAAAAH7zy0U=")</f>
        <v>#REF!</v>
      </c>
      <c r="BS275" t="e">
        <f>IF('PROG FORM COMPLEM'!#REF!,"AAAAAH7zy0Y=",0)</f>
        <v>#REF!</v>
      </c>
      <c r="BT275" t="e">
        <f>AND('PROG FORM COMPLEM'!#REF!,"AAAAAH7zy0c=")</f>
        <v>#REF!</v>
      </c>
      <c r="BU275" t="e">
        <f>AND('PROG FORM COMPLEM'!#REF!,"AAAAAH7zy0g=")</f>
        <v>#REF!</v>
      </c>
      <c r="BV275" t="e">
        <f>AND('PROG FORM COMPLEM'!#REF!,"AAAAAH7zy0k=")</f>
        <v>#REF!</v>
      </c>
      <c r="BW275" t="e">
        <f>AND('PROG FORM COMPLEM'!#REF!,"AAAAAH7zy0o=")</f>
        <v>#REF!</v>
      </c>
      <c r="BX275" t="e">
        <f>AND('PROG FORM COMPLEM'!#REF!,"AAAAAH7zy0s=")</f>
        <v>#REF!</v>
      </c>
      <c r="BY275" t="e">
        <f>AND('PROG FORM COMPLEM'!#REF!,"AAAAAH7zy0w=")</f>
        <v>#REF!</v>
      </c>
      <c r="BZ275" t="e">
        <f>AND('PROG FORM COMPLEM'!#REF!,"AAAAAH7zy00=")</f>
        <v>#REF!</v>
      </c>
      <c r="CA275" t="e">
        <f>AND('PROG FORM COMPLEM'!#REF!,"AAAAAH7zy04=")</f>
        <v>#REF!</v>
      </c>
      <c r="CB275" t="e">
        <f>AND('PROG FORM COMPLEM'!#REF!,"AAAAAH7zy08=")</f>
        <v>#REF!</v>
      </c>
      <c r="CC275" t="e">
        <f>AND('PROG FORM COMPLEM'!#REF!,"AAAAAH7zy1A=")</f>
        <v>#REF!</v>
      </c>
      <c r="CD275" t="e">
        <f>AND('PROG FORM COMPLEM'!#REF!,"AAAAAH7zy1E=")</f>
        <v>#REF!</v>
      </c>
      <c r="CE275" t="e">
        <f>AND('PROG FORM COMPLEM'!#REF!,"AAAAAH7zy1I=")</f>
        <v>#REF!</v>
      </c>
      <c r="CF275" t="e">
        <f>AND('PROG FORM COMPLEM'!#REF!,"AAAAAH7zy1M=")</f>
        <v>#REF!</v>
      </c>
      <c r="CG275" t="e">
        <f>AND('PROG FORM COMPLEM'!#REF!,"AAAAAH7zy1Q=")</f>
        <v>#REF!</v>
      </c>
      <c r="CH275" t="e">
        <f>AND('PROG FORM COMPLEM'!#REF!,"AAAAAH7zy1U=")</f>
        <v>#REF!</v>
      </c>
      <c r="CI275" t="e">
        <f>AND('PROG FORM COMPLEM'!#REF!,"AAAAAH7zy1Y=")</f>
        <v>#REF!</v>
      </c>
      <c r="CJ275" t="e">
        <f>AND('PROG FORM COMPLEM'!#REF!,"AAAAAH7zy1c=")</f>
        <v>#REF!</v>
      </c>
      <c r="CK275" t="e">
        <f>AND('PROG FORM COMPLEM'!#REF!,"AAAAAH7zy1g=")</f>
        <v>#REF!</v>
      </c>
      <c r="CL275" t="e">
        <f>AND('PROG FORM COMPLEM'!#REF!,"AAAAAH7zy1k=")</f>
        <v>#REF!</v>
      </c>
      <c r="CM275" t="e">
        <f>AND('PROG FORM COMPLEM'!#REF!,"AAAAAH7zy1o=")</f>
        <v>#REF!</v>
      </c>
      <c r="CN275" t="e">
        <f>AND('PROG FORM COMPLEM'!#REF!,"AAAAAH7zy1s=")</f>
        <v>#REF!</v>
      </c>
      <c r="CO275" t="e">
        <f>AND('PROG FORM COMPLEM'!#REF!,"AAAAAH7zy1w=")</f>
        <v>#REF!</v>
      </c>
      <c r="CP275" t="e">
        <f>IF('PROG FORM COMPLEM'!#REF!,"AAAAAH7zy10=",0)</f>
        <v>#REF!</v>
      </c>
      <c r="CQ275" t="e">
        <f>AND('PROG FORM COMPLEM'!#REF!,"AAAAAH7zy14=")</f>
        <v>#REF!</v>
      </c>
      <c r="CR275" t="e">
        <f>AND('PROG FORM COMPLEM'!#REF!,"AAAAAH7zy18=")</f>
        <v>#REF!</v>
      </c>
      <c r="CS275" t="e">
        <f>AND('PROG FORM COMPLEM'!#REF!,"AAAAAH7zy2A=")</f>
        <v>#REF!</v>
      </c>
      <c r="CT275" t="e">
        <f>AND('PROG FORM COMPLEM'!#REF!,"AAAAAH7zy2E=")</f>
        <v>#REF!</v>
      </c>
      <c r="CU275" t="e">
        <f>AND('PROG FORM COMPLEM'!#REF!,"AAAAAH7zy2I=")</f>
        <v>#REF!</v>
      </c>
      <c r="CV275" t="e">
        <f>AND('PROG FORM COMPLEM'!#REF!,"AAAAAH7zy2M=")</f>
        <v>#REF!</v>
      </c>
      <c r="CW275" t="e">
        <f>AND('PROG FORM COMPLEM'!#REF!,"AAAAAH7zy2Q=")</f>
        <v>#REF!</v>
      </c>
      <c r="CX275" t="e">
        <f>AND('PROG FORM COMPLEM'!#REF!,"AAAAAH7zy2U=")</f>
        <v>#REF!</v>
      </c>
      <c r="CY275" t="e">
        <f>AND('PROG FORM COMPLEM'!#REF!,"AAAAAH7zy2Y=")</f>
        <v>#REF!</v>
      </c>
      <c r="CZ275" t="e">
        <f>AND('PROG FORM COMPLEM'!#REF!,"AAAAAH7zy2c=")</f>
        <v>#REF!</v>
      </c>
      <c r="DA275" t="e">
        <f>AND('PROG FORM COMPLEM'!#REF!,"AAAAAH7zy2g=")</f>
        <v>#REF!</v>
      </c>
      <c r="DB275" t="e">
        <f>AND('PROG FORM COMPLEM'!#REF!,"AAAAAH7zy2k=")</f>
        <v>#REF!</v>
      </c>
      <c r="DC275" t="e">
        <f>AND('PROG FORM COMPLEM'!#REF!,"AAAAAH7zy2o=")</f>
        <v>#REF!</v>
      </c>
      <c r="DD275" t="e">
        <f>AND('PROG FORM COMPLEM'!#REF!,"AAAAAH7zy2s=")</f>
        <v>#REF!</v>
      </c>
      <c r="DE275" t="e">
        <f>AND('PROG FORM COMPLEM'!#REF!,"AAAAAH7zy2w=")</f>
        <v>#REF!</v>
      </c>
      <c r="DF275" t="e">
        <f>AND('PROG FORM COMPLEM'!#REF!,"AAAAAH7zy20=")</f>
        <v>#REF!</v>
      </c>
      <c r="DG275" t="e">
        <f>AND('PROG FORM COMPLEM'!#REF!,"AAAAAH7zy24=")</f>
        <v>#REF!</v>
      </c>
      <c r="DH275" t="e">
        <f>AND('PROG FORM COMPLEM'!#REF!,"AAAAAH7zy28=")</f>
        <v>#REF!</v>
      </c>
      <c r="DI275" t="e">
        <f>AND('PROG FORM COMPLEM'!#REF!,"AAAAAH7zy3A=")</f>
        <v>#REF!</v>
      </c>
      <c r="DJ275" t="e">
        <f>AND('PROG FORM COMPLEM'!#REF!,"AAAAAH7zy3E=")</f>
        <v>#REF!</v>
      </c>
      <c r="DK275" t="e">
        <f>AND('PROG FORM COMPLEM'!#REF!,"AAAAAH7zy3I=")</f>
        <v>#REF!</v>
      </c>
      <c r="DL275" t="e">
        <f>AND('PROG FORM COMPLEM'!#REF!,"AAAAAH7zy3M=")</f>
        <v>#REF!</v>
      </c>
      <c r="DM275" t="e">
        <f>IF('PROG FORM COMPLEM'!#REF!,"AAAAAH7zy3Q=",0)</f>
        <v>#REF!</v>
      </c>
      <c r="DN275" t="e">
        <f>AND('PROG FORM COMPLEM'!#REF!,"AAAAAH7zy3U=")</f>
        <v>#REF!</v>
      </c>
      <c r="DO275" t="e">
        <f>AND('PROG FORM COMPLEM'!#REF!,"AAAAAH7zy3Y=")</f>
        <v>#REF!</v>
      </c>
      <c r="DP275" t="e">
        <f>AND('PROG FORM COMPLEM'!#REF!,"AAAAAH7zy3c=")</f>
        <v>#REF!</v>
      </c>
      <c r="DQ275" t="e">
        <f>AND('PROG FORM COMPLEM'!#REF!,"AAAAAH7zy3g=")</f>
        <v>#REF!</v>
      </c>
      <c r="DR275" t="e">
        <f>AND('PROG FORM COMPLEM'!#REF!,"AAAAAH7zy3k=")</f>
        <v>#REF!</v>
      </c>
      <c r="DS275" t="e">
        <f>AND('PROG FORM COMPLEM'!#REF!,"AAAAAH7zy3o=")</f>
        <v>#REF!</v>
      </c>
      <c r="DT275" t="e">
        <f>AND('PROG FORM COMPLEM'!#REF!,"AAAAAH7zy3s=")</f>
        <v>#REF!</v>
      </c>
      <c r="DU275" t="e">
        <f>AND('PROG FORM COMPLEM'!#REF!,"AAAAAH7zy3w=")</f>
        <v>#REF!</v>
      </c>
      <c r="DV275" t="e">
        <f>AND('PROG FORM COMPLEM'!#REF!,"AAAAAH7zy30=")</f>
        <v>#REF!</v>
      </c>
      <c r="DW275" t="e">
        <f>AND('PROG FORM COMPLEM'!#REF!,"AAAAAH7zy34=")</f>
        <v>#REF!</v>
      </c>
      <c r="DX275" t="e">
        <f>AND('PROG FORM COMPLEM'!#REF!,"AAAAAH7zy38=")</f>
        <v>#REF!</v>
      </c>
      <c r="DY275" t="e">
        <f>AND('PROG FORM COMPLEM'!#REF!,"AAAAAH7zy4A=")</f>
        <v>#REF!</v>
      </c>
      <c r="DZ275" t="e">
        <f>AND('PROG FORM COMPLEM'!#REF!,"AAAAAH7zy4E=")</f>
        <v>#REF!</v>
      </c>
      <c r="EA275" t="e">
        <f>AND('PROG FORM COMPLEM'!#REF!,"AAAAAH7zy4I=")</f>
        <v>#REF!</v>
      </c>
      <c r="EB275" t="e">
        <f>AND('PROG FORM COMPLEM'!#REF!,"AAAAAH7zy4M=")</f>
        <v>#REF!</v>
      </c>
      <c r="EC275" t="e">
        <f>AND('PROG FORM COMPLEM'!#REF!,"AAAAAH7zy4Q=")</f>
        <v>#REF!</v>
      </c>
      <c r="ED275" t="e">
        <f>AND('PROG FORM COMPLEM'!#REF!,"AAAAAH7zy4U=")</f>
        <v>#REF!</v>
      </c>
      <c r="EE275" t="e">
        <f>AND('PROG FORM COMPLEM'!#REF!,"AAAAAH7zy4Y=")</f>
        <v>#REF!</v>
      </c>
      <c r="EF275" t="e">
        <f>AND('PROG FORM COMPLEM'!#REF!,"AAAAAH7zy4c=")</f>
        <v>#REF!</v>
      </c>
      <c r="EG275" t="e">
        <f>AND('PROG FORM COMPLEM'!#REF!,"AAAAAH7zy4g=")</f>
        <v>#REF!</v>
      </c>
      <c r="EH275" t="e">
        <f>AND('PROG FORM COMPLEM'!#REF!,"AAAAAH7zy4k=")</f>
        <v>#REF!</v>
      </c>
      <c r="EI275" t="e">
        <f>AND('PROG FORM COMPLEM'!#REF!,"AAAAAH7zy4o=")</f>
        <v>#REF!</v>
      </c>
      <c r="EJ275" t="e">
        <f>IF('PROG FORM COMPLEM'!#REF!,"AAAAAH7zy4s=",0)</f>
        <v>#REF!</v>
      </c>
      <c r="EK275" t="e">
        <f>AND('PROG FORM COMPLEM'!#REF!,"AAAAAH7zy4w=")</f>
        <v>#REF!</v>
      </c>
      <c r="EL275" t="e">
        <f>AND('PROG FORM COMPLEM'!#REF!,"AAAAAH7zy40=")</f>
        <v>#REF!</v>
      </c>
      <c r="EM275" t="e">
        <f>AND('PROG FORM COMPLEM'!#REF!,"AAAAAH7zy44=")</f>
        <v>#REF!</v>
      </c>
      <c r="EN275" t="e">
        <f>AND('PROG FORM COMPLEM'!#REF!,"AAAAAH7zy48=")</f>
        <v>#REF!</v>
      </c>
      <c r="EO275" t="e">
        <f>AND('PROG FORM COMPLEM'!#REF!,"AAAAAH7zy5A=")</f>
        <v>#REF!</v>
      </c>
      <c r="EP275" t="e">
        <f>AND('PROG FORM COMPLEM'!#REF!,"AAAAAH7zy5E=")</f>
        <v>#REF!</v>
      </c>
      <c r="EQ275" t="e">
        <f>AND('PROG FORM COMPLEM'!#REF!,"AAAAAH7zy5I=")</f>
        <v>#REF!</v>
      </c>
      <c r="ER275" t="e">
        <f>AND('PROG FORM COMPLEM'!#REF!,"AAAAAH7zy5M=")</f>
        <v>#REF!</v>
      </c>
      <c r="ES275" t="e">
        <f>AND('PROG FORM COMPLEM'!#REF!,"AAAAAH7zy5Q=")</f>
        <v>#REF!</v>
      </c>
      <c r="ET275" t="e">
        <f>AND('PROG FORM COMPLEM'!#REF!,"AAAAAH7zy5U=")</f>
        <v>#REF!</v>
      </c>
      <c r="EU275" t="e">
        <f>AND('PROG FORM COMPLEM'!#REF!,"AAAAAH7zy5Y=")</f>
        <v>#REF!</v>
      </c>
      <c r="EV275" t="e">
        <f>AND('PROG FORM COMPLEM'!#REF!,"AAAAAH7zy5c=")</f>
        <v>#REF!</v>
      </c>
      <c r="EW275" t="e">
        <f>AND('PROG FORM COMPLEM'!#REF!,"AAAAAH7zy5g=")</f>
        <v>#REF!</v>
      </c>
      <c r="EX275" t="e">
        <f>AND('PROG FORM COMPLEM'!#REF!,"AAAAAH7zy5k=")</f>
        <v>#REF!</v>
      </c>
      <c r="EY275" t="e">
        <f>AND('PROG FORM COMPLEM'!#REF!,"AAAAAH7zy5o=")</f>
        <v>#REF!</v>
      </c>
      <c r="EZ275" t="e">
        <f>AND('PROG FORM COMPLEM'!#REF!,"AAAAAH7zy5s=")</f>
        <v>#REF!</v>
      </c>
      <c r="FA275" t="e">
        <f>AND('PROG FORM COMPLEM'!#REF!,"AAAAAH7zy5w=")</f>
        <v>#REF!</v>
      </c>
      <c r="FB275" t="e">
        <f>AND('PROG FORM COMPLEM'!#REF!,"AAAAAH7zy50=")</f>
        <v>#REF!</v>
      </c>
      <c r="FC275" t="e">
        <f>AND('PROG FORM COMPLEM'!#REF!,"AAAAAH7zy54=")</f>
        <v>#REF!</v>
      </c>
      <c r="FD275" t="e">
        <f>AND('PROG FORM COMPLEM'!#REF!,"AAAAAH7zy58=")</f>
        <v>#REF!</v>
      </c>
      <c r="FE275" t="e">
        <f>AND('PROG FORM COMPLEM'!#REF!,"AAAAAH7zy6A=")</f>
        <v>#REF!</v>
      </c>
      <c r="FF275" t="e">
        <f>AND('PROG FORM COMPLEM'!#REF!,"AAAAAH7zy6E=")</f>
        <v>#REF!</v>
      </c>
      <c r="FG275" t="e">
        <f>IF('PROG FORM COMPLEM'!#REF!,"AAAAAH7zy6I=",0)</f>
        <v>#REF!</v>
      </c>
      <c r="FH275" t="e">
        <f>AND('PROG FORM COMPLEM'!#REF!,"AAAAAH7zy6M=")</f>
        <v>#REF!</v>
      </c>
      <c r="FI275" t="e">
        <f>AND('PROG FORM COMPLEM'!#REF!,"AAAAAH7zy6Q=")</f>
        <v>#REF!</v>
      </c>
      <c r="FJ275" t="e">
        <f>AND('PROG FORM COMPLEM'!#REF!,"AAAAAH7zy6U=")</f>
        <v>#REF!</v>
      </c>
      <c r="FK275" t="e">
        <f>AND('PROG FORM COMPLEM'!#REF!,"AAAAAH7zy6Y=")</f>
        <v>#REF!</v>
      </c>
      <c r="FL275" t="e">
        <f>AND('PROG FORM COMPLEM'!#REF!,"AAAAAH7zy6c=")</f>
        <v>#REF!</v>
      </c>
      <c r="FM275" t="e">
        <f>AND('PROG FORM COMPLEM'!#REF!,"AAAAAH7zy6g=")</f>
        <v>#REF!</v>
      </c>
      <c r="FN275" t="e">
        <f>AND('PROG FORM COMPLEM'!#REF!,"AAAAAH7zy6k=")</f>
        <v>#REF!</v>
      </c>
      <c r="FO275" t="e">
        <f>AND('PROG FORM COMPLEM'!#REF!,"AAAAAH7zy6o=")</f>
        <v>#REF!</v>
      </c>
      <c r="FP275" t="e">
        <f>AND('PROG FORM COMPLEM'!#REF!,"AAAAAH7zy6s=")</f>
        <v>#REF!</v>
      </c>
      <c r="FQ275" t="e">
        <f>AND('PROG FORM COMPLEM'!#REF!,"AAAAAH7zy6w=")</f>
        <v>#REF!</v>
      </c>
      <c r="FR275" t="e">
        <f>AND('PROG FORM COMPLEM'!#REF!,"AAAAAH7zy60=")</f>
        <v>#REF!</v>
      </c>
      <c r="FS275" t="e">
        <f>AND('PROG FORM COMPLEM'!#REF!,"AAAAAH7zy64=")</f>
        <v>#REF!</v>
      </c>
      <c r="FT275" t="e">
        <f>AND('PROG FORM COMPLEM'!#REF!,"AAAAAH7zy68=")</f>
        <v>#REF!</v>
      </c>
      <c r="FU275" t="e">
        <f>AND('PROG FORM COMPLEM'!#REF!,"AAAAAH7zy7A=")</f>
        <v>#REF!</v>
      </c>
      <c r="FV275" t="e">
        <f>AND('PROG FORM COMPLEM'!#REF!,"AAAAAH7zy7E=")</f>
        <v>#REF!</v>
      </c>
      <c r="FW275" t="e">
        <f>AND('PROG FORM COMPLEM'!#REF!,"AAAAAH7zy7I=")</f>
        <v>#REF!</v>
      </c>
      <c r="FX275" t="e">
        <f>AND('PROG FORM COMPLEM'!#REF!,"AAAAAH7zy7M=")</f>
        <v>#REF!</v>
      </c>
      <c r="FY275" t="e">
        <f>AND('PROG FORM COMPLEM'!#REF!,"AAAAAH7zy7Q=")</f>
        <v>#REF!</v>
      </c>
      <c r="FZ275" t="e">
        <f>AND('PROG FORM COMPLEM'!#REF!,"AAAAAH7zy7U=")</f>
        <v>#REF!</v>
      </c>
      <c r="GA275" t="e">
        <f>AND('PROG FORM COMPLEM'!#REF!,"AAAAAH7zy7Y=")</f>
        <v>#REF!</v>
      </c>
      <c r="GB275" t="e">
        <f>AND('PROG FORM COMPLEM'!#REF!,"AAAAAH7zy7c=")</f>
        <v>#REF!</v>
      </c>
      <c r="GC275" t="e">
        <f>AND('PROG FORM COMPLEM'!#REF!,"AAAAAH7zy7g=")</f>
        <v>#REF!</v>
      </c>
      <c r="GD275" t="e">
        <f>IF('PROG FORM COMPLEM'!#REF!,"AAAAAH7zy7k=",0)</f>
        <v>#REF!</v>
      </c>
      <c r="GE275" t="e">
        <f>AND('PROG FORM COMPLEM'!#REF!,"AAAAAH7zy7o=")</f>
        <v>#REF!</v>
      </c>
      <c r="GF275" t="e">
        <f>AND('PROG FORM COMPLEM'!#REF!,"AAAAAH7zy7s=")</f>
        <v>#REF!</v>
      </c>
      <c r="GG275" t="e">
        <f>AND('PROG FORM COMPLEM'!#REF!,"AAAAAH7zy7w=")</f>
        <v>#REF!</v>
      </c>
      <c r="GH275" t="e">
        <f>AND('PROG FORM COMPLEM'!#REF!,"AAAAAH7zy70=")</f>
        <v>#REF!</v>
      </c>
      <c r="GI275" t="e">
        <f>AND('PROG FORM COMPLEM'!#REF!,"AAAAAH7zy74=")</f>
        <v>#REF!</v>
      </c>
      <c r="GJ275" t="e">
        <f>AND('PROG FORM COMPLEM'!#REF!,"AAAAAH7zy78=")</f>
        <v>#REF!</v>
      </c>
      <c r="GK275" t="e">
        <f>AND('PROG FORM COMPLEM'!#REF!,"AAAAAH7zy8A=")</f>
        <v>#REF!</v>
      </c>
      <c r="GL275" t="e">
        <f>AND('PROG FORM COMPLEM'!#REF!,"AAAAAH7zy8E=")</f>
        <v>#REF!</v>
      </c>
      <c r="GM275" t="e">
        <f>AND('PROG FORM COMPLEM'!#REF!,"AAAAAH7zy8I=")</f>
        <v>#REF!</v>
      </c>
      <c r="GN275" t="e">
        <f>AND('PROG FORM COMPLEM'!#REF!,"AAAAAH7zy8M=")</f>
        <v>#REF!</v>
      </c>
      <c r="GO275" t="e">
        <f>AND('PROG FORM COMPLEM'!#REF!,"AAAAAH7zy8Q=")</f>
        <v>#REF!</v>
      </c>
      <c r="GP275" t="e">
        <f>AND('PROG FORM COMPLEM'!#REF!,"AAAAAH7zy8U=")</f>
        <v>#REF!</v>
      </c>
      <c r="GQ275" t="e">
        <f>AND('PROG FORM COMPLEM'!#REF!,"AAAAAH7zy8Y=")</f>
        <v>#REF!</v>
      </c>
      <c r="GR275" t="e">
        <f>AND('PROG FORM COMPLEM'!#REF!,"AAAAAH7zy8c=")</f>
        <v>#REF!</v>
      </c>
      <c r="GS275" t="e">
        <f>AND('PROG FORM COMPLEM'!#REF!,"AAAAAH7zy8g=")</f>
        <v>#REF!</v>
      </c>
      <c r="GT275" t="e">
        <f>AND('PROG FORM COMPLEM'!#REF!,"AAAAAH7zy8k=")</f>
        <v>#REF!</v>
      </c>
      <c r="GU275" t="e">
        <f>AND('PROG FORM COMPLEM'!#REF!,"AAAAAH7zy8o=")</f>
        <v>#REF!</v>
      </c>
      <c r="GV275" t="e">
        <f>AND('PROG FORM COMPLEM'!#REF!,"AAAAAH7zy8s=")</f>
        <v>#REF!</v>
      </c>
      <c r="GW275" t="e">
        <f>AND('PROG FORM COMPLEM'!#REF!,"AAAAAH7zy8w=")</f>
        <v>#REF!</v>
      </c>
      <c r="GX275" t="e">
        <f>AND('PROG FORM COMPLEM'!#REF!,"AAAAAH7zy80=")</f>
        <v>#REF!</v>
      </c>
      <c r="GY275" t="e">
        <f>AND('PROG FORM COMPLEM'!#REF!,"AAAAAH7zy84=")</f>
        <v>#REF!</v>
      </c>
      <c r="GZ275" t="e">
        <f>AND('PROG FORM COMPLEM'!#REF!,"AAAAAH7zy88=")</f>
        <v>#REF!</v>
      </c>
      <c r="HA275" t="e">
        <f>IF('PROG FORM COMPLEM'!#REF!,"AAAAAH7zy9A=",0)</f>
        <v>#REF!</v>
      </c>
      <c r="HB275" t="e">
        <f>AND('PROG FORM COMPLEM'!#REF!,"AAAAAH7zy9E=")</f>
        <v>#REF!</v>
      </c>
      <c r="HC275" t="e">
        <f>AND('PROG FORM COMPLEM'!#REF!,"AAAAAH7zy9I=")</f>
        <v>#REF!</v>
      </c>
      <c r="HD275" t="e">
        <f>AND('PROG FORM COMPLEM'!#REF!,"AAAAAH7zy9M=")</f>
        <v>#REF!</v>
      </c>
      <c r="HE275" t="e">
        <f>AND('PROG FORM COMPLEM'!#REF!,"AAAAAH7zy9Q=")</f>
        <v>#REF!</v>
      </c>
      <c r="HF275" t="e">
        <f>AND('PROG FORM COMPLEM'!#REF!,"AAAAAH7zy9U=")</f>
        <v>#REF!</v>
      </c>
      <c r="HG275" t="e">
        <f>AND('PROG FORM COMPLEM'!#REF!,"AAAAAH7zy9Y=")</f>
        <v>#REF!</v>
      </c>
      <c r="HH275" t="e">
        <f>AND('PROG FORM COMPLEM'!#REF!,"AAAAAH7zy9c=")</f>
        <v>#REF!</v>
      </c>
      <c r="HI275" t="e">
        <f>AND('PROG FORM COMPLEM'!#REF!,"AAAAAH7zy9g=")</f>
        <v>#REF!</v>
      </c>
      <c r="HJ275" t="e">
        <f>AND('PROG FORM COMPLEM'!#REF!,"AAAAAH7zy9k=")</f>
        <v>#REF!</v>
      </c>
      <c r="HK275" t="e">
        <f>AND('PROG FORM COMPLEM'!#REF!,"AAAAAH7zy9o=")</f>
        <v>#REF!</v>
      </c>
      <c r="HL275" t="e">
        <f>AND('PROG FORM COMPLEM'!#REF!,"AAAAAH7zy9s=")</f>
        <v>#REF!</v>
      </c>
      <c r="HM275" t="e">
        <f>AND('PROG FORM COMPLEM'!#REF!,"AAAAAH7zy9w=")</f>
        <v>#REF!</v>
      </c>
      <c r="HN275" t="e">
        <f>AND('PROG FORM COMPLEM'!#REF!,"AAAAAH7zy90=")</f>
        <v>#REF!</v>
      </c>
      <c r="HO275" t="e">
        <f>AND('PROG FORM COMPLEM'!#REF!,"AAAAAH7zy94=")</f>
        <v>#REF!</v>
      </c>
      <c r="HP275" t="e">
        <f>AND('PROG FORM COMPLEM'!#REF!,"AAAAAH7zy98=")</f>
        <v>#REF!</v>
      </c>
      <c r="HQ275" t="e">
        <f>AND('PROG FORM COMPLEM'!#REF!,"AAAAAH7zy+A=")</f>
        <v>#REF!</v>
      </c>
      <c r="HR275" t="e">
        <f>AND('PROG FORM COMPLEM'!#REF!,"AAAAAH7zy+E=")</f>
        <v>#REF!</v>
      </c>
      <c r="HS275" t="e">
        <f>AND('PROG FORM COMPLEM'!#REF!,"AAAAAH7zy+I=")</f>
        <v>#REF!</v>
      </c>
      <c r="HT275" t="e">
        <f>AND('PROG FORM COMPLEM'!#REF!,"AAAAAH7zy+M=")</f>
        <v>#REF!</v>
      </c>
      <c r="HU275" t="e">
        <f>AND('PROG FORM COMPLEM'!#REF!,"AAAAAH7zy+Q=")</f>
        <v>#REF!</v>
      </c>
      <c r="HV275" t="e">
        <f>AND('PROG FORM COMPLEM'!#REF!,"AAAAAH7zy+U=")</f>
        <v>#REF!</v>
      </c>
      <c r="HW275" t="e">
        <f>AND('PROG FORM COMPLEM'!#REF!,"AAAAAH7zy+Y=")</f>
        <v>#REF!</v>
      </c>
      <c r="HX275" t="e">
        <f>IF('PROG FORM COMPLEM'!#REF!,"AAAAAH7zy+c=",0)</f>
        <v>#REF!</v>
      </c>
      <c r="HY275" t="e">
        <f>AND('PROG FORM COMPLEM'!#REF!,"AAAAAH7zy+g=")</f>
        <v>#REF!</v>
      </c>
      <c r="HZ275" t="e">
        <f>AND('PROG FORM COMPLEM'!#REF!,"AAAAAH7zy+k=")</f>
        <v>#REF!</v>
      </c>
      <c r="IA275" t="e">
        <f>AND('PROG FORM COMPLEM'!#REF!,"AAAAAH7zy+o=")</f>
        <v>#REF!</v>
      </c>
      <c r="IB275" t="e">
        <f>AND('PROG FORM COMPLEM'!#REF!,"AAAAAH7zy+s=")</f>
        <v>#REF!</v>
      </c>
      <c r="IC275" t="e">
        <f>AND('PROG FORM COMPLEM'!#REF!,"AAAAAH7zy+w=")</f>
        <v>#REF!</v>
      </c>
      <c r="ID275" t="e">
        <f>AND('PROG FORM COMPLEM'!#REF!,"AAAAAH7zy+0=")</f>
        <v>#REF!</v>
      </c>
      <c r="IE275" t="e">
        <f>AND('PROG FORM COMPLEM'!#REF!,"AAAAAH7zy+4=")</f>
        <v>#REF!</v>
      </c>
      <c r="IF275" t="e">
        <f>AND('PROG FORM COMPLEM'!#REF!,"AAAAAH7zy+8=")</f>
        <v>#REF!</v>
      </c>
      <c r="IG275" t="e">
        <f>AND('PROG FORM COMPLEM'!#REF!,"AAAAAH7zy/A=")</f>
        <v>#REF!</v>
      </c>
      <c r="IH275" t="e">
        <f>AND('PROG FORM COMPLEM'!#REF!,"AAAAAH7zy/E=")</f>
        <v>#REF!</v>
      </c>
      <c r="II275" t="e">
        <f>AND('PROG FORM COMPLEM'!#REF!,"AAAAAH7zy/I=")</f>
        <v>#REF!</v>
      </c>
      <c r="IJ275" t="e">
        <f>AND('PROG FORM COMPLEM'!#REF!,"AAAAAH7zy/M=")</f>
        <v>#REF!</v>
      </c>
      <c r="IK275" t="e">
        <f>AND('PROG FORM COMPLEM'!#REF!,"AAAAAH7zy/Q=")</f>
        <v>#REF!</v>
      </c>
      <c r="IL275" t="e">
        <f>AND('PROG FORM COMPLEM'!#REF!,"AAAAAH7zy/U=")</f>
        <v>#REF!</v>
      </c>
      <c r="IM275" t="e">
        <f>AND('PROG FORM COMPLEM'!#REF!,"AAAAAH7zy/Y=")</f>
        <v>#REF!</v>
      </c>
      <c r="IN275" t="e">
        <f>AND('PROG FORM COMPLEM'!#REF!,"AAAAAH7zy/c=")</f>
        <v>#REF!</v>
      </c>
      <c r="IO275" t="e">
        <f>AND('PROG FORM COMPLEM'!#REF!,"AAAAAH7zy/g=")</f>
        <v>#REF!</v>
      </c>
      <c r="IP275" t="e">
        <f>AND('PROG FORM COMPLEM'!#REF!,"AAAAAH7zy/k=")</f>
        <v>#REF!</v>
      </c>
      <c r="IQ275" t="e">
        <f>AND('PROG FORM COMPLEM'!#REF!,"AAAAAH7zy/o=")</f>
        <v>#REF!</v>
      </c>
      <c r="IR275" t="e">
        <f>AND('PROG FORM COMPLEM'!#REF!,"AAAAAH7zy/s=")</f>
        <v>#REF!</v>
      </c>
      <c r="IS275" t="e">
        <f>AND('PROG FORM COMPLEM'!#REF!,"AAAAAH7zy/w=")</f>
        <v>#REF!</v>
      </c>
      <c r="IT275" t="e">
        <f>AND('PROG FORM COMPLEM'!#REF!,"AAAAAH7zy/0=")</f>
        <v>#REF!</v>
      </c>
      <c r="IU275">
        <f>IF('PROG FORM COMPLEM'!265:265,"AAAAAH7zy/4=",0)</f>
        <v>0</v>
      </c>
      <c r="IV275" t="e">
        <f>AND('PROG FORM COMPLEM'!B265,"AAAAAH7zy/8=")</f>
        <v>#VALUE!</v>
      </c>
    </row>
    <row r="276" spans="1:256" x14ac:dyDescent="0.2">
      <c r="A276" t="e">
        <f>AND('PROG FORM COMPLEM'!C265,"AAAAAH/f+wA=")</f>
        <v>#VALUE!</v>
      </c>
      <c r="B276" t="e">
        <f>AND('PROG FORM COMPLEM'!D265,"AAAAAH/f+wE=")</f>
        <v>#VALUE!</v>
      </c>
      <c r="C276" t="e">
        <f>AND('PROG FORM COMPLEM'!E265,"AAAAAH/f+wI=")</f>
        <v>#VALUE!</v>
      </c>
      <c r="D276" t="e">
        <f>AND('PROG FORM COMPLEM'!F265,"AAAAAH/f+wM=")</f>
        <v>#VALUE!</v>
      </c>
      <c r="E276" t="e">
        <f>AND('PROG FORM COMPLEM'!G265,"AAAAAH/f+wQ=")</f>
        <v>#VALUE!</v>
      </c>
      <c r="F276" t="e">
        <f>AND('PROG FORM COMPLEM'!H265,"AAAAAH/f+wU=")</f>
        <v>#VALUE!</v>
      </c>
      <c r="G276" t="e">
        <f>AND('PROG FORM COMPLEM'!I265,"AAAAAH/f+wY=")</f>
        <v>#VALUE!</v>
      </c>
      <c r="H276" t="e">
        <f>AND('PROG FORM COMPLEM'!J265,"AAAAAH/f+wc=")</f>
        <v>#VALUE!</v>
      </c>
      <c r="I276" t="e">
        <f>AND('PROG FORM COMPLEM'!K265,"AAAAAH/f+wg=")</f>
        <v>#VALUE!</v>
      </c>
      <c r="J276" t="e">
        <f>AND('PROG FORM COMPLEM'!L265,"AAAAAH/f+wk=")</f>
        <v>#VALUE!</v>
      </c>
      <c r="K276" t="e">
        <f>AND('PROG FORM COMPLEM'!M265,"AAAAAH/f+wo=")</f>
        <v>#VALUE!</v>
      </c>
      <c r="L276" t="e">
        <f>AND('PROG FORM COMPLEM'!N265,"AAAAAH/f+ws=")</f>
        <v>#VALUE!</v>
      </c>
      <c r="M276" t="e">
        <f>AND('PROG FORM COMPLEM'!O265,"AAAAAH/f+ww=")</f>
        <v>#VALUE!</v>
      </c>
      <c r="N276" t="e">
        <f>AND('PROG FORM COMPLEM'!P265,"AAAAAH/f+w0=")</f>
        <v>#VALUE!</v>
      </c>
      <c r="O276" t="e">
        <f>AND('PROG FORM COMPLEM'!Q265,"AAAAAH/f+w4=")</f>
        <v>#VALUE!</v>
      </c>
      <c r="P276" t="e">
        <f>AND('PROG FORM COMPLEM'!R265,"AAAAAH/f+w8=")</f>
        <v>#VALUE!</v>
      </c>
      <c r="Q276" t="e">
        <f>AND('PROG FORM COMPLEM'!S265,"AAAAAH/f+xA=")</f>
        <v>#VALUE!</v>
      </c>
      <c r="R276" t="e">
        <f>AND('PROG FORM COMPLEM'!T265,"AAAAAH/f+xE=")</f>
        <v>#VALUE!</v>
      </c>
      <c r="S276" t="e">
        <f>AND('PROG FORM COMPLEM'!U265,"AAAAAH/f+xI=")</f>
        <v>#VALUE!</v>
      </c>
      <c r="T276" t="e">
        <f>AND('PROG FORM COMPLEM'!V265,"AAAAAH/f+xM=")</f>
        <v>#VALUE!</v>
      </c>
      <c r="U276" t="e">
        <f>AND('PROG FORM COMPLEM'!W265,"AAAAAH/f+xQ=")</f>
        <v>#VALUE!</v>
      </c>
      <c r="V276">
        <f>IF('PROG FORM COMPLEM'!266:266,"AAAAAH/f+xU=",0)</f>
        <v>0</v>
      </c>
      <c r="W276" t="e">
        <f>AND('PROG FORM COMPLEM'!B266,"AAAAAH/f+xY=")</f>
        <v>#VALUE!</v>
      </c>
      <c r="X276" t="e">
        <f>AND('PROG FORM COMPLEM'!C266,"AAAAAH/f+xc=")</f>
        <v>#VALUE!</v>
      </c>
      <c r="Y276" t="e">
        <f>AND('PROG FORM COMPLEM'!D266,"AAAAAH/f+xg=")</f>
        <v>#VALUE!</v>
      </c>
      <c r="Z276" t="e">
        <f>AND('PROG FORM COMPLEM'!E266,"AAAAAH/f+xk=")</f>
        <v>#VALUE!</v>
      </c>
      <c r="AA276" t="e">
        <f>AND('PROG FORM COMPLEM'!F266,"AAAAAH/f+xo=")</f>
        <v>#VALUE!</v>
      </c>
      <c r="AB276" t="e">
        <f>AND('PROG FORM COMPLEM'!G266,"AAAAAH/f+xs=")</f>
        <v>#VALUE!</v>
      </c>
      <c r="AC276" t="e">
        <f>AND('PROG FORM COMPLEM'!H266,"AAAAAH/f+xw=")</f>
        <v>#VALUE!</v>
      </c>
      <c r="AD276" t="e">
        <f>AND('PROG FORM COMPLEM'!I266,"AAAAAH/f+x0=")</f>
        <v>#VALUE!</v>
      </c>
      <c r="AE276" t="e">
        <f>AND('PROG FORM COMPLEM'!J266,"AAAAAH/f+x4=")</f>
        <v>#VALUE!</v>
      </c>
      <c r="AF276" t="e">
        <f>AND('PROG FORM COMPLEM'!K266,"AAAAAH/f+x8=")</f>
        <v>#VALUE!</v>
      </c>
      <c r="AG276" t="e">
        <f>AND('PROG FORM COMPLEM'!L266,"AAAAAH/f+yA=")</f>
        <v>#VALUE!</v>
      </c>
      <c r="AH276" t="e">
        <f>AND('PROG FORM COMPLEM'!M266,"AAAAAH/f+yE=")</f>
        <v>#VALUE!</v>
      </c>
      <c r="AI276" t="e">
        <f>AND('PROG FORM COMPLEM'!N266,"AAAAAH/f+yI=")</f>
        <v>#VALUE!</v>
      </c>
      <c r="AJ276" t="e">
        <f>AND('PROG FORM COMPLEM'!O266,"AAAAAH/f+yM=")</f>
        <v>#VALUE!</v>
      </c>
      <c r="AK276" t="e">
        <f>AND('PROG FORM COMPLEM'!P266,"AAAAAH/f+yQ=")</f>
        <v>#VALUE!</v>
      </c>
      <c r="AL276" t="e">
        <f>AND('PROG FORM COMPLEM'!Q266,"AAAAAH/f+yU=")</f>
        <v>#VALUE!</v>
      </c>
      <c r="AM276" t="e">
        <f>AND('PROG FORM COMPLEM'!R266,"AAAAAH/f+yY=")</f>
        <v>#VALUE!</v>
      </c>
      <c r="AN276" t="e">
        <f>AND('PROG FORM COMPLEM'!S266,"AAAAAH/f+yc=")</f>
        <v>#VALUE!</v>
      </c>
      <c r="AO276" t="e">
        <f>AND('PROG FORM COMPLEM'!T266,"AAAAAH/f+yg=")</f>
        <v>#VALUE!</v>
      </c>
      <c r="AP276" t="e">
        <f>AND('PROG FORM COMPLEM'!U266,"AAAAAH/f+yk=")</f>
        <v>#VALUE!</v>
      </c>
      <c r="AQ276" t="e">
        <f>AND('PROG FORM COMPLEM'!V266,"AAAAAH/f+yo=")</f>
        <v>#VALUE!</v>
      </c>
      <c r="AR276" t="e">
        <f>AND('PROG FORM COMPLEM'!W266,"AAAAAH/f+ys=")</f>
        <v>#VALUE!</v>
      </c>
      <c r="AS276">
        <f>IF('PROG FORM COMPLEM'!267:267,"AAAAAH/f+yw=",0)</f>
        <v>0</v>
      </c>
      <c r="AT276" t="e">
        <f>AND('PROG FORM COMPLEM'!B267,"AAAAAH/f+y0=")</f>
        <v>#VALUE!</v>
      </c>
      <c r="AU276" t="e">
        <f>AND('PROG FORM COMPLEM'!C267,"AAAAAH/f+y4=")</f>
        <v>#VALUE!</v>
      </c>
      <c r="AV276" t="e">
        <f>AND('PROG FORM COMPLEM'!D267,"AAAAAH/f+y8=")</f>
        <v>#VALUE!</v>
      </c>
      <c r="AW276" t="e">
        <f>AND('PROG FORM COMPLEM'!E267,"AAAAAH/f+zA=")</f>
        <v>#VALUE!</v>
      </c>
      <c r="AX276" t="e">
        <f>AND('PROG FORM COMPLEM'!F267,"AAAAAH/f+zE=")</f>
        <v>#VALUE!</v>
      </c>
      <c r="AY276" t="e">
        <f>AND('PROG FORM COMPLEM'!G267,"AAAAAH/f+zI=")</f>
        <v>#VALUE!</v>
      </c>
      <c r="AZ276" t="e">
        <f>AND('PROG FORM COMPLEM'!H267,"AAAAAH/f+zM=")</f>
        <v>#VALUE!</v>
      </c>
      <c r="BA276" t="e">
        <f>AND('PROG FORM COMPLEM'!I267,"AAAAAH/f+zQ=")</f>
        <v>#VALUE!</v>
      </c>
      <c r="BB276" t="e">
        <f>AND('PROG FORM COMPLEM'!J267,"AAAAAH/f+zU=")</f>
        <v>#VALUE!</v>
      </c>
      <c r="BC276" t="e">
        <f>AND('PROG FORM COMPLEM'!K267,"AAAAAH/f+zY=")</f>
        <v>#VALUE!</v>
      </c>
      <c r="BD276" t="e">
        <f>AND('PROG FORM COMPLEM'!L267,"AAAAAH/f+zc=")</f>
        <v>#VALUE!</v>
      </c>
      <c r="BE276" t="e">
        <f>AND('PROG FORM COMPLEM'!M267,"AAAAAH/f+zg=")</f>
        <v>#VALUE!</v>
      </c>
      <c r="BF276" t="e">
        <f>AND('PROG FORM COMPLEM'!N267,"AAAAAH/f+zk=")</f>
        <v>#VALUE!</v>
      </c>
      <c r="BG276" t="e">
        <f>AND('PROG FORM COMPLEM'!O267,"AAAAAH/f+zo=")</f>
        <v>#VALUE!</v>
      </c>
      <c r="BH276" t="e">
        <f>AND('PROG FORM COMPLEM'!P267,"AAAAAH/f+zs=")</f>
        <v>#VALUE!</v>
      </c>
      <c r="BI276" t="e">
        <f>AND('PROG FORM COMPLEM'!Q267,"AAAAAH/f+zw=")</f>
        <v>#VALUE!</v>
      </c>
      <c r="BJ276" t="e">
        <f>AND('PROG FORM COMPLEM'!R267,"AAAAAH/f+z0=")</f>
        <v>#VALUE!</v>
      </c>
      <c r="BK276" t="e">
        <f>AND('PROG FORM COMPLEM'!S267,"AAAAAH/f+z4=")</f>
        <v>#VALUE!</v>
      </c>
      <c r="BL276" t="e">
        <f>AND('PROG FORM COMPLEM'!T267,"AAAAAH/f+z8=")</f>
        <v>#VALUE!</v>
      </c>
      <c r="BM276" t="e">
        <f>AND('PROG FORM COMPLEM'!U267,"AAAAAH/f+0A=")</f>
        <v>#VALUE!</v>
      </c>
      <c r="BN276" t="e">
        <f>AND('PROG FORM COMPLEM'!V267,"AAAAAH/f+0E=")</f>
        <v>#VALUE!</v>
      </c>
      <c r="BO276" t="e">
        <f>AND('PROG FORM COMPLEM'!W267,"AAAAAH/f+0I=")</f>
        <v>#VALUE!</v>
      </c>
      <c r="BP276">
        <f>IF('PROG FORM COMPLEM'!268:268,"AAAAAH/f+0M=",0)</f>
        <v>0</v>
      </c>
      <c r="BQ276" t="e">
        <f>AND('PROG FORM COMPLEM'!B268,"AAAAAH/f+0Q=")</f>
        <v>#VALUE!</v>
      </c>
      <c r="BR276" t="e">
        <f>AND('PROG FORM COMPLEM'!C268,"AAAAAH/f+0U=")</f>
        <v>#VALUE!</v>
      </c>
      <c r="BS276" t="e">
        <f>AND('PROG FORM COMPLEM'!D268,"AAAAAH/f+0Y=")</f>
        <v>#VALUE!</v>
      </c>
      <c r="BT276" t="e">
        <f>AND('PROG FORM COMPLEM'!E268,"AAAAAH/f+0c=")</f>
        <v>#VALUE!</v>
      </c>
      <c r="BU276" t="e">
        <f>AND('PROG FORM COMPLEM'!F268,"AAAAAH/f+0g=")</f>
        <v>#VALUE!</v>
      </c>
      <c r="BV276" t="e">
        <f>AND('PROG FORM COMPLEM'!G268,"AAAAAH/f+0k=")</f>
        <v>#VALUE!</v>
      </c>
      <c r="BW276" t="e">
        <f>AND('PROG FORM COMPLEM'!H268,"AAAAAH/f+0o=")</f>
        <v>#VALUE!</v>
      </c>
      <c r="BX276" t="e">
        <f>AND('PROG FORM COMPLEM'!I268,"AAAAAH/f+0s=")</f>
        <v>#VALUE!</v>
      </c>
      <c r="BY276" t="e">
        <f>AND('PROG FORM COMPLEM'!J268,"AAAAAH/f+0w=")</f>
        <v>#VALUE!</v>
      </c>
      <c r="BZ276" t="e">
        <f>AND('PROG FORM COMPLEM'!K268,"AAAAAH/f+00=")</f>
        <v>#VALUE!</v>
      </c>
      <c r="CA276" t="e">
        <f>AND('PROG FORM COMPLEM'!L268,"AAAAAH/f+04=")</f>
        <v>#VALUE!</v>
      </c>
      <c r="CB276" t="e">
        <f>AND('PROG FORM COMPLEM'!M268,"AAAAAH/f+08=")</f>
        <v>#VALUE!</v>
      </c>
      <c r="CC276" t="e">
        <f>AND('PROG FORM COMPLEM'!N268,"AAAAAH/f+1A=")</f>
        <v>#VALUE!</v>
      </c>
      <c r="CD276" t="e">
        <f>AND('PROG FORM COMPLEM'!O268,"AAAAAH/f+1E=")</f>
        <v>#VALUE!</v>
      </c>
      <c r="CE276" t="e">
        <f>AND('PROG FORM COMPLEM'!P268,"AAAAAH/f+1I=")</f>
        <v>#VALUE!</v>
      </c>
      <c r="CF276" t="e">
        <f>AND('PROG FORM COMPLEM'!Q268,"AAAAAH/f+1M=")</f>
        <v>#VALUE!</v>
      </c>
      <c r="CG276" t="e">
        <f>AND('PROG FORM COMPLEM'!R268,"AAAAAH/f+1Q=")</f>
        <v>#VALUE!</v>
      </c>
      <c r="CH276" t="e">
        <f>AND('PROG FORM COMPLEM'!S268,"AAAAAH/f+1U=")</f>
        <v>#VALUE!</v>
      </c>
      <c r="CI276" t="e">
        <f>AND('PROG FORM COMPLEM'!T268,"AAAAAH/f+1Y=")</f>
        <v>#VALUE!</v>
      </c>
      <c r="CJ276" t="e">
        <f>AND('PROG FORM COMPLEM'!U268,"AAAAAH/f+1c=")</f>
        <v>#VALUE!</v>
      </c>
      <c r="CK276" t="e">
        <f>AND('PROG FORM COMPLEM'!V268,"AAAAAH/f+1g=")</f>
        <v>#VALUE!</v>
      </c>
      <c r="CL276" t="e">
        <f>AND('PROG FORM COMPLEM'!W268,"AAAAAH/f+1k=")</f>
        <v>#VALUE!</v>
      </c>
      <c r="CM276">
        <f>IF('PROG FORM COMPLEM'!269:269,"AAAAAH/f+1o=",0)</f>
        <v>0</v>
      </c>
      <c r="CN276" t="e">
        <f>AND('PROG FORM COMPLEM'!B269,"AAAAAH/f+1s=")</f>
        <v>#VALUE!</v>
      </c>
      <c r="CO276" t="e">
        <f>AND('PROG FORM COMPLEM'!C269,"AAAAAH/f+1w=")</f>
        <v>#VALUE!</v>
      </c>
      <c r="CP276" t="e">
        <f>AND('PROG FORM COMPLEM'!D269,"AAAAAH/f+10=")</f>
        <v>#VALUE!</v>
      </c>
      <c r="CQ276" t="e">
        <f>AND('PROG FORM COMPLEM'!E269,"AAAAAH/f+14=")</f>
        <v>#VALUE!</v>
      </c>
      <c r="CR276" t="e">
        <f>AND('PROG FORM COMPLEM'!F269,"AAAAAH/f+18=")</f>
        <v>#VALUE!</v>
      </c>
      <c r="CS276" t="e">
        <f>AND('PROG FORM COMPLEM'!G269,"AAAAAH/f+2A=")</f>
        <v>#VALUE!</v>
      </c>
      <c r="CT276" t="e">
        <f>AND('PROG FORM COMPLEM'!H269,"AAAAAH/f+2E=")</f>
        <v>#VALUE!</v>
      </c>
      <c r="CU276" t="e">
        <f>AND('PROG FORM COMPLEM'!I269,"AAAAAH/f+2I=")</f>
        <v>#VALUE!</v>
      </c>
      <c r="CV276" t="e">
        <f>AND('PROG FORM COMPLEM'!J269,"AAAAAH/f+2M=")</f>
        <v>#VALUE!</v>
      </c>
      <c r="CW276" t="e">
        <f>AND('PROG FORM COMPLEM'!K269,"AAAAAH/f+2Q=")</f>
        <v>#VALUE!</v>
      </c>
      <c r="CX276" t="e">
        <f>AND('PROG FORM COMPLEM'!L269,"AAAAAH/f+2U=")</f>
        <v>#VALUE!</v>
      </c>
      <c r="CY276" t="e">
        <f>AND('PROG FORM COMPLEM'!M269,"AAAAAH/f+2Y=")</f>
        <v>#VALUE!</v>
      </c>
      <c r="CZ276" t="e">
        <f>AND('PROG FORM COMPLEM'!N269,"AAAAAH/f+2c=")</f>
        <v>#VALUE!</v>
      </c>
      <c r="DA276" t="e">
        <f>AND('PROG FORM COMPLEM'!O269,"AAAAAH/f+2g=")</f>
        <v>#VALUE!</v>
      </c>
      <c r="DB276" t="e">
        <f>AND('PROG FORM COMPLEM'!P269,"AAAAAH/f+2k=")</f>
        <v>#VALUE!</v>
      </c>
      <c r="DC276" t="e">
        <f>AND('PROG FORM COMPLEM'!Q269,"AAAAAH/f+2o=")</f>
        <v>#VALUE!</v>
      </c>
      <c r="DD276" t="e">
        <f>AND('PROG FORM COMPLEM'!R269,"AAAAAH/f+2s=")</f>
        <v>#VALUE!</v>
      </c>
      <c r="DE276" t="e">
        <f>AND('PROG FORM COMPLEM'!S269,"AAAAAH/f+2w=")</f>
        <v>#VALUE!</v>
      </c>
      <c r="DF276" t="e">
        <f>AND('PROG FORM COMPLEM'!T269,"AAAAAH/f+20=")</f>
        <v>#VALUE!</v>
      </c>
      <c r="DG276" t="e">
        <f>AND('PROG FORM COMPLEM'!U269,"AAAAAH/f+24=")</f>
        <v>#VALUE!</v>
      </c>
      <c r="DH276" t="e">
        <f>AND('PROG FORM COMPLEM'!V269,"AAAAAH/f+28=")</f>
        <v>#VALUE!</v>
      </c>
      <c r="DI276" t="e">
        <f>AND('PROG FORM COMPLEM'!W269,"AAAAAH/f+3A=")</f>
        <v>#VALUE!</v>
      </c>
      <c r="DJ276">
        <f>IF('PROG FORM COMPLEM'!270:270,"AAAAAH/f+3E=",0)</f>
        <v>0</v>
      </c>
      <c r="DK276" t="e">
        <f>AND('PROG FORM COMPLEM'!B270,"AAAAAH/f+3I=")</f>
        <v>#VALUE!</v>
      </c>
      <c r="DL276" t="e">
        <f>AND('PROG FORM COMPLEM'!C270,"AAAAAH/f+3M=")</f>
        <v>#VALUE!</v>
      </c>
      <c r="DM276" t="e">
        <f>AND('PROG FORM COMPLEM'!D270,"AAAAAH/f+3Q=")</f>
        <v>#VALUE!</v>
      </c>
      <c r="DN276" t="e">
        <f>AND('PROG FORM COMPLEM'!E270,"AAAAAH/f+3U=")</f>
        <v>#VALUE!</v>
      </c>
      <c r="DO276" t="e">
        <f>AND('PROG FORM COMPLEM'!F270,"AAAAAH/f+3Y=")</f>
        <v>#VALUE!</v>
      </c>
      <c r="DP276" t="e">
        <f>AND('PROG FORM COMPLEM'!G270,"AAAAAH/f+3c=")</f>
        <v>#VALUE!</v>
      </c>
      <c r="DQ276" t="e">
        <f>AND('PROG FORM COMPLEM'!H270,"AAAAAH/f+3g=")</f>
        <v>#VALUE!</v>
      </c>
      <c r="DR276" t="e">
        <f>AND('PROG FORM COMPLEM'!I270,"AAAAAH/f+3k=")</f>
        <v>#VALUE!</v>
      </c>
      <c r="DS276" t="e">
        <f>AND('PROG FORM COMPLEM'!J270,"AAAAAH/f+3o=")</f>
        <v>#VALUE!</v>
      </c>
      <c r="DT276" t="e">
        <f>AND('PROG FORM COMPLEM'!K270,"AAAAAH/f+3s=")</f>
        <v>#VALUE!</v>
      </c>
      <c r="DU276" t="e">
        <f>AND('PROG FORM COMPLEM'!L270,"AAAAAH/f+3w=")</f>
        <v>#VALUE!</v>
      </c>
      <c r="DV276" t="e">
        <f>AND('PROG FORM COMPLEM'!M270,"AAAAAH/f+30=")</f>
        <v>#VALUE!</v>
      </c>
      <c r="DW276" t="e">
        <f>AND('PROG FORM COMPLEM'!N270,"AAAAAH/f+34=")</f>
        <v>#VALUE!</v>
      </c>
      <c r="DX276" t="e">
        <f>AND('PROG FORM COMPLEM'!O270,"AAAAAH/f+38=")</f>
        <v>#VALUE!</v>
      </c>
      <c r="DY276" t="e">
        <f>AND('PROG FORM COMPLEM'!P270,"AAAAAH/f+4A=")</f>
        <v>#VALUE!</v>
      </c>
      <c r="DZ276" t="e">
        <f>AND('PROG FORM COMPLEM'!Q270,"AAAAAH/f+4E=")</f>
        <v>#VALUE!</v>
      </c>
      <c r="EA276" t="e">
        <f>AND('PROG FORM COMPLEM'!R270,"AAAAAH/f+4I=")</f>
        <v>#VALUE!</v>
      </c>
      <c r="EB276" t="e">
        <f>AND('PROG FORM COMPLEM'!S270,"AAAAAH/f+4M=")</f>
        <v>#VALUE!</v>
      </c>
      <c r="EC276" t="e">
        <f>AND('PROG FORM COMPLEM'!T270,"AAAAAH/f+4Q=")</f>
        <v>#VALUE!</v>
      </c>
      <c r="ED276" t="e">
        <f>AND('PROG FORM COMPLEM'!U270,"AAAAAH/f+4U=")</f>
        <v>#VALUE!</v>
      </c>
      <c r="EE276" t="e">
        <f>AND('PROG FORM COMPLEM'!V270,"AAAAAH/f+4Y=")</f>
        <v>#VALUE!</v>
      </c>
      <c r="EF276" t="e">
        <f>AND('PROG FORM COMPLEM'!W270,"AAAAAH/f+4c=")</f>
        <v>#VALUE!</v>
      </c>
      <c r="EG276">
        <f>IF('PROG FORM COMPLEM'!271:271,"AAAAAH/f+4g=",0)</f>
        <v>0</v>
      </c>
      <c r="EH276" t="e">
        <f>AND('PROG FORM COMPLEM'!B271,"AAAAAH/f+4k=")</f>
        <v>#VALUE!</v>
      </c>
      <c r="EI276" t="e">
        <f>AND('PROG FORM COMPLEM'!C271,"AAAAAH/f+4o=")</f>
        <v>#VALUE!</v>
      </c>
      <c r="EJ276" t="e">
        <f>AND('PROG FORM COMPLEM'!D271,"AAAAAH/f+4s=")</f>
        <v>#VALUE!</v>
      </c>
      <c r="EK276" t="e">
        <f>AND('PROG FORM COMPLEM'!E271,"AAAAAH/f+4w=")</f>
        <v>#VALUE!</v>
      </c>
      <c r="EL276" t="e">
        <f>AND('PROG FORM COMPLEM'!F271,"AAAAAH/f+40=")</f>
        <v>#VALUE!</v>
      </c>
      <c r="EM276" t="e">
        <f>AND('PROG FORM COMPLEM'!G271,"AAAAAH/f+44=")</f>
        <v>#VALUE!</v>
      </c>
      <c r="EN276" t="e">
        <f>AND('PROG FORM COMPLEM'!H271,"AAAAAH/f+48=")</f>
        <v>#VALUE!</v>
      </c>
      <c r="EO276" t="e">
        <f>AND('PROG FORM COMPLEM'!I271,"AAAAAH/f+5A=")</f>
        <v>#VALUE!</v>
      </c>
      <c r="EP276" t="e">
        <f>AND('PROG FORM COMPLEM'!J271,"AAAAAH/f+5E=")</f>
        <v>#VALUE!</v>
      </c>
      <c r="EQ276" t="e">
        <f>AND('PROG FORM COMPLEM'!K271,"AAAAAH/f+5I=")</f>
        <v>#VALUE!</v>
      </c>
      <c r="ER276" t="e">
        <f>AND('PROG FORM COMPLEM'!L271,"AAAAAH/f+5M=")</f>
        <v>#VALUE!</v>
      </c>
      <c r="ES276" t="e">
        <f>AND('PROG FORM COMPLEM'!M271,"AAAAAH/f+5Q=")</f>
        <v>#VALUE!</v>
      </c>
      <c r="ET276" t="e">
        <f>AND('PROG FORM COMPLEM'!N271,"AAAAAH/f+5U=")</f>
        <v>#VALUE!</v>
      </c>
      <c r="EU276" t="e">
        <f>AND('PROG FORM COMPLEM'!O271,"AAAAAH/f+5Y=")</f>
        <v>#VALUE!</v>
      </c>
      <c r="EV276" t="e">
        <f>AND('PROG FORM COMPLEM'!P271,"AAAAAH/f+5c=")</f>
        <v>#VALUE!</v>
      </c>
      <c r="EW276" t="e">
        <f>AND('PROG FORM COMPLEM'!Q271,"AAAAAH/f+5g=")</f>
        <v>#VALUE!</v>
      </c>
      <c r="EX276" t="e">
        <f>AND('PROG FORM COMPLEM'!R271,"AAAAAH/f+5k=")</f>
        <v>#VALUE!</v>
      </c>
      <c r="EY276" t="e">
        <f>AND('PROG FORM COMPLEM'!S271,"AAAAAH/f+5o=")</f>
        <v>#VALUE!</v>
      </c>
      <c r="EZ276" t="e">
        <f>AND('PROG FORM COMPLEM'!T271,"AAAAAH/f+5s=")</f>
        <v>#VALUE!</v>
      </c>
      <c r="FA276" t="e">
        <f>AND('PROG FORM COMPLEM'!U271,"AAAAAH/f+5w=")</f>
        <v>#VALUE!</v>
      </c>
      <c r="FB276" t="e">
        <f>AND('PROG FORM COMPLEM'!V271,"AAAAAH/f+50=")</f>
        <v>#VALUE!</v>
      </c>
      <c r="FC276" t="e">
        <f>AND('PROG FORM COMPLEM'!W271,"AAAAAH/f+54=")</f>
        <v>#VALUE!</v>
      </c>
      <c r="FD276">
        <f>IF('PROG FORM COMPLEM'!272:272,"AAAAAH/f+58=",0)</f>
        <v>0</v>
      </c>
      <c r="FE276" t="e">
        <f>AND('PROG FORM COMPLEM'!B272,"AAAAAH/f+6A=")</f>
        <v>#VALUE!</v>
      </c>
      <c r="FF276" t="e">
        <f>AND('PROG FORM COMPLEM'!C272,"AAAAAH/f+6E=")</f>
        <v>#VALUE!</v>
      </c>
      <c r="FG276" t="e">
        <f>AND('PROG FORM COMPLEM'!D272,"AAAAAH/f+6I=")</f>
        <v>#VALUE!</v>
      </c>
      <c r="FH276" t="e">
        <f>AND('PROG FORM COMPLEM'!E272,"AAAAAH/f+6M=")</f>
        <v>#VALUE!</v>
      </c>
      <c r="FI276" t="e">
        <f>AND('PROG FORM COMPLEM'!F272,"AAAAAH/f+6Q=")</f>
        <v>#VALUE!</v>
      </c>
      <c r="FJ276" t="e">
        <f>AND('PROG FORM COMPLEM'!G272,"AAAAAH/f+6U=")</f>
        <v>#VALUE!</v>
      </c>
      <c r="FK276" t="e">
        <f>AND('PROG FORM COMPLEM'!H272,"AAAAAH/f+6Y=")</f>
        <v>#VALUE!</v>
      </c>
      <c r="FL276" t="e">
        <f>AND('PROG FORM COMPLEM'!I272,"AAAAAH/f+6c=")</f>
        <v>#VALUE!</v>
      </c>
      <c r="FM276" t="e">
        <f>AND('PROG FORM COMPLEM'!J272,"AAAAAH/f+6g=")</f>
        <v>#VALUE!</v>
      </c>
      <c r="FN276" t="e">
        <f>AND('PROG FORM COMPLEM'!K272,"AAAAAH/f+6k=")</f>
        <v>#VALUE!</v>
      </c>
      <c r="FO276" t="e">
        <f>AND('PROG FORM COMPLEM'!L272,"AAAAAH/f+6o=")</f>
        <v>#VALUE!</v>
      </c>
      <c r="FP276" t="e">
        <f>AND('PROG FORM COMPLEM'!M272,"AAAAAH/f+6s=")</f>
        <v>#VALUE!</v>
      </c>
      <c r="FQ276" t="e">
        <f>AND('PROG FORM COMPLEM'!N272,"AAAAAH/f+6w=")</f>
        <v>#VALUE!</v>
      </c>
      <c r="FR276" t="e">
        <f>AND('PROG FORM COMPLEM'!O272,"AAAAAH/f+60=")</f>
        <v>#VALUE!</v>
      </c>
      <c r="FS276" t="e">
        <f>AND('PROG FORM COMPLEM'!P272,"AAAAAH/f+64=")</f>
        <v>#VALUE!</v>
      </c>
      <c r="FT276" t="e">
        <f>AND('PROG FORM COMPLEM'!Q272,"AAAAAH/f+68=")</f>
        <v>#VALUE!</v>
      </c>
      <c r="FU276" t="e">
        <f>AND('PROG FORM COMPLEM'!R272,"AAAAAH/f+7A=")</f>
        <v>#VALUE!</v>
      </c>
      <c r="FV276" t="e">
        <f>AND('PROG FORM COMPLEM'!S272,"AAAAAH/f+7E=")</f>
        <v>#VALUE!</v>
      </c>
      <c r="FW276" t="e">
        <f>AND('PROG FORM COMPLEM'!T272,"AAAAAH/f+7I=")</f>
        <v>#VALUE!</v>
      </c>
      <c r="FX276" t="e">
        <f>AND('PROG FORM COMPLEM'!U272,"AAAAAH/f+7M=")</f>
        <v>#VALUE!</v>
      </c>
      <c r="FY276" t="e">
        <f>AND('PROG FORM COMPLEM'!V272,"AAAAAH/f+7Q=")</f>
        <v>#VALUE!</v>
      </c>
      <c r="FZ276" t="e">
        <f>AND('PROG FORM COMPLEM'!W272,"AAAAAH/f+7U=")</f>
        <v>#VALUE!</v>
      </c>
      <c r="GA276">
        <f>IF('PROG FORM COMPLEM'!273:273,"AAAAAH/f+7Y=",0)</f>
        <v>0</v>
      </c>
      <c r="GB276" t="e">
        <f>AND('PROG FORM COMPLEM'!B273,"AAAAAH/f+7c=")</f>
        <v>#VALUE!</v>
      </c>
      <c r="GC276" t="e">
        <f>AND('PROG FORM COMPLEM'!C273,"AAAAAH/f+7g=")</f>
        <v>#VALUE!</v>
      </c>
      <c r="GD276" t="e">
        <f>AND('PROG FORM COMPLEM'!D273,"AAAAAH/f+7k=")</f>
        <v>#VALUE!</v>
      </c>
      <c r="GE276" t="e">
        <f>AND('PROG FORM COMPLEM'!E273,"AAAAAH/f+7o=")</f>
        <v>#VALUE!</v>
      </c>
      <c r="GF276" t="e">
        <f>AND('PROG FORM COMPLEM'!F273,"AAAAAH/f+7s=")</f>
        <v>#VALUE!</v>
      </c>
      <c r="GG276" t="e">
        <f>AND('PROG FORM COMPLEM'!G273,"AAAAAH/f+7w=")</f>
        <v>#VALUE!</v>
      </c>
      <c r="GH276" t="e">
        <f>AND('PROG FORM COMPLEM'!H273,"AAAAAH/f+70=")</f>
        <v>#VALUE!</v>
      </c>
      <c r="GI276" t="e">
        <f>AND('PROG FORM COMPLEM'!I273,"AAAAAH/f+74=")</f>
        <v>#VALUE!</v>
      </c>
      <c r="GJ276" t="e">
        <f>AND('PROG FORM COMPLEM'!J273,"AAAAAH/f+78=")</f>
        <v>#VALUE!</v>
      </c>
      <c r="GK276" t="e">
        <f>AND('PROG FORM COMPLEM'!K273,"AAAAAH/f+8A=")</f>
        <v>#VALUE!</v>
      </c>
      <c r="GL276" t="e">
        <f>AND('PROG FORM COMPLEM'!L273,"AAAAAH/f+8E=")</f>
        <v>#VALUE!</v>
      </c>
      <c r="GM276" t="e">
        <f>AND('PROG FORM COMPLEM'!M273,"AAAAAH/f+8I=")</f>
        <v>#VALUE!</v>
      </c>
      <c r="GN276" t="e">
        <f>AND('PROG FORM COMPLEM'!N273,"AAAAAH/f+8M=")</f>
        <v>#VALUE!</v>
      </c>
      <c r="GO276" t="e">
        <f>AND('PROG FORM COMPLEM'!O273,"AAAAAH/f+8Q=")</f>
        <v>#VALUE!</v>
      </c>
      <c r="GP276" t="e">
        <f>AND('PROG FORM COMPLEM'!P273,"AAAAAH/f+8U=")</f>
        <v>#VALUE!</v>
      </c>
      <c r="GQ276" t="e">
        <f>AND('PROG FORM COMPLEM'!Q273,"AAAAAH/f+8Y=")</f>
        <v>#VALUE!</v>
      </c>
      <c r="GR276" t="e">
        <f>AND('PROG FORM COMPLEM'!R273,"AAAAAH/f+8c=")</f>
        <v>#VALUE!</v>
      </c>
      <c r="GS276" t="e">
        <f>AND('PROG FORM COMPLEM'!S273,"AAAAAH/f+8g=")</f>
        <v>#VALUE!</v>
      </c>
      <c r="GT276" t="e">
        <f>AND('PROG FORM COMPLEM'!T273,"AAAAAH/f+8k=")</f>
        <v>#VALUE!</v>
      </c>
      <c r="GU276" t="e">
        <f>AND('PROG FORM COMPLEM'!U273,"AAAAAH/f+8o=")</f>
        <v>#VALUE!</v>
      </c>
      <c r="GV276" t="e">
        <f>AND('PROG FORM COMPLEM'!V273,"AAAAAH/f+8s=")</f>
        <v>#VALUE!</v>
      </c>
      <c r="GW276" t="e">
        <f>AND('PROG FORM COMPLEM'!W273,"AAAAAH/f+8w=")</f>
        <v>#VALUE!</v>
      </c>
      <c r="GX276">
        <f>IF('PROG FORM COMPLEM'!274:274,"AAAAAH/f+80=",0)</f>
        <v>0</v>
      </c>
      <c r="GY276" t="e">
        <f>AND('PROG FORM COMPLEM'!B274,"AAAAAH/f+84=")</f>
        <v>#VALUE!</v>
      </c>
      <c r="GZ276" t="e">
        <f>AND('PROG FORM COMPLEM'!C274,"AAAAAH/f+88=")</f>
        <v>#VALUE!</v>
      </c>
      <c r="HA276" t="e">
        <f>AND('PROG FORM COMPLEM'!D274,"AAAAAH/f+9A=")</f>
        <v>#VALUE!</v>
      </c>
      <c r="HB276" t="e">
        <f>AND('PROG FORM COMPLEM'!E274,"AAAAAH/f+9E=")</f>
        <v>#VALUE!</v>
      </c>
      <c r="HC276" t="e">
        <f>AND('PROG FORM COMPLEM'!F274,"AAAAAH/f+9I=")</f>
        <v>#VALUE!</v>
      </c>
      <c r="HD276" t="e">
        <f>AND('PROG FORM COMPLEM'!G274,"AAAAAH/f+9M=")</f>
        <v>#VALUE!</v>
      </c>
      <c r="HE276" t="e">
        <f>AND('PROG FORM COMPLEM'!H274,"AAAAAH/f+9Q=")</f>
        <v>#VALUE!</v>
      </c>
      <c r="HF276" t="e">
        <f>AND('PROG FORM COMPLEM'!I274,"AAAAAH/f+9U=")</f>
        <v>#VALUE!</v>
      </c>
      <c r="HG276" t="e">
        <f>AND('PROG FORM COMPLEM'!J274,"AAAAAH/f+9Y=")</f>
        <v>#VALUE!</v>
      </c>
      <c r="HH276" t="e">
        <f>AND('PROG FORM COMPLEM'!K274,"AAAAAH/f+9c=")</f>
        <v>#VALUE!</v>
      </c>
      <c r="HI276" t="e">
        <f>AND('PROG FORM COMPLEM'!L274,"AAAAAH/f+9g=")</f>
        <v>#VALUE!</v>
      </c>
      <c r="HJ276" t="e">
        <f>AND('PROG FORM COMPLEM'!M274,"AAAAAH/f+9k=")</f>
        <v>#VALUE!</v>
      </c>
      <c r="HK276" t="e">
        <f>AND('PROG FORM COMPLEM'!N274,"AAAAAH/f+9o=")</f>
        <v>#VALUE!</v>
      </c>
      <c r="HL276" t="e">
        <f>AND('PROG FORM COMPLEM'!O274,"AAAAAH/f+9s=")</f>
        <v>#VALUE!</v>
      </c>
      <c r="HM276" t="e">
        <f>AND('PROG FORM COMPLEM'!P274,"AAAAAH/f+9w=")</f>
        <v>#VALUE!</v>
      </c>
      <c r="HN276" t="e">
        <f>AND('PROG FORM COMPLEM'!Q274,"AAAAAH/f+90=")</f>
        <v>#VALUE!</v>
      </c>
      <c r="HO276" t="e">
        <f>AND('PROG FORM COMPLEM'!R274,"AAAAAH/f+94=")</f>
        <v>#VALUE!</v>
      </c>
      <c r="HP276" t="e">
        <f>AND('PROG FORM COMPLEM'!S274,"AAAAAH/f+98=")</f>
        <v>#VALUE!</v>
      </c>
      <c r="HQ276" t="e">
        <f>AND('PROG FORM COMPLEM'!T274,"AAAAAH/f++A=")</f>
        <v>#VALUE!</v>
      </c>
      <c r="HR276" t="e">
        <f>AND('PROG FORM COMPLEM'!U274,"AAAAAH/f++E=")</f>
        <v>#VALUE!</v>
      </c>
      <c r="HS276" t="e">
        <f>AND('PROG FORM COMPLEM'!V274,"AAAAAH/f++I=")</f>
        <v>#VALUE!</v>
      </c>
      <c r="HT276" t="e">
        <f>AND('PROG FORM COMPLEM'!W274,"AAAAAH/f++M=")</f>
        <v>#VALUE!</v>
      </c>
      <c r="HU276">
        <f>IF('PROG FORM COMPLEM'!275:275,"AAAAAH/f++Q=",0)</f>
        <v>0</v>
      </c>
      <c r="HV276" t="e">
        <f>AND('PROG FORM COMPLEM'!B275,"AAAAAH/f++U=")</f>
        <v>#VALUE!</v>
      </c>
      <c r="HW276" t="e">
        <f>AND('PROG FORM COMPLEM'!C275,"AAAAAH/f++Y=")</f>
        <v>#VALUE!</v>
      </c>
      <c r="HX276" t="e">
        <f>AND('PROG FORM COMPLEM'!D275,"AAAAAH/f++c=")</f>
        <v>#VALUE!</v>
      </c>
      <c r="HY276" t="e">
        <f>AND('PROG FORM COMPLEM'!E275,"AAAAAH/f++g=")</f>
        <v>#VALUE!</v>
      </c>
      <c r="HZ276" t="e">
        <f>AND('PROG FORM COMPLEM'!F275,"AAAAAH/f++k=")</f>
        <v>#VALUE!</v>
      </c>
      <c r="IA276" t="e">
        <f>AND('PROG FORM COMPLEM'!G275,"AAAAAH/f++o=")</f>
        <v>#VALUE!</v>
      </c>
      <c r="IB276" t="e">
        <f>AND('PROG FORM COMPLEM'!H275,"AAAAAH/f++s=")</f>
        <v>#VALUE!</v>
      </c>
      <c r="IC276" t="e">
        <f>AND('PROG FORM COMPLEM'!I275,"AAAAAH/f++w=")</f>
        <v>#VALUE!</v>
      </c>
      <c r="ID276" t="e">
        <f>AND('PROG FORM COMPLEM'!J275,"AAAAAH/f++0=")</f>
        <v>#VALUE!</v>
      </c>
      <c r="IE276" t="e">
        <f>AND('PROG FORM COMPLEM'!K275,"AAAAAH/f++4=")</f>
        <v>#VALUE!</v>
      </c>
      <c r="IF276" t="e">
        <f>AND('PROG FORM COMPLEM'!L275,"AAAAAH/f++8=")</f>
        <v>#VALUE!</v>
      </c>
      <c r="IG276" t="e">
        <f>AND('PROG FORM COMPLEM'!M275,"AAAAAH/f+/A=")</f>
        <v>#VALUE!</v>
      </c>
      <c r="IH276" t="e">
        <f>AND('PROG FORM COMPLEM'!N275,"AAAAAH/f+/E=")</f>
        <v>#VALUE!</v>
      </c>
      <c r="II276" t="e">
        <f>AND('PROG FORM COMPLEM'!O275,"AAAAAH/f+/I=")</f>
        <v>#VALUE!</v>
      </c>
      <c r="IJ276" t="e">
        <f>AND('PROG FORM COMPLEM'!P275,"AAAAAH/f+/M=")</f>
        <v>#VALUE!</v>
      </c>
      <c r="IK276" t="e">
        <f>AND('PROG FORM COMPLEM'!Q275,"AAAAAH/f+/Q=")</f>
        <v>#VALUE!</v>
      </c>
      <c r="IL276" t="e">
        <f>AND('PROG FORM COMPLEM'!R275,"AAAAAH/f+/U=")</f>
        <v>#VALUE!</v>
      </c>
      <c r="IM276" t="e">
        <f>AND('PROG FORM COMPLEM'!S275,"AAAAAH/f+/Y=")</f>
        <v>#VALUE!</v>
      </c>
      <c r="IN276" t="e">
        <f>AND('PROG FORM COMPLEM'!T275,"AAAAAH/f+/c=")</f>
        <v>#VALUE!</v>
      </c>
      <c r="IO276" t="e">
        <f>AND('PROG FORM COMPLEM'!U275,"AAAAAH/f+/g=")</f>
        <v>#VALUE!</v>
      </c>
      <c r="IP276" t="e">
        <f>AND('PROG FORM COMPLEM'!V275,"AAAAAH/f+/k=")</f>
        <v>#VALUE!</v>
      </c>
      <c r="IQ276" t="e">
        <f>AND('PROG FORM COMPLEM'!W275,"AAAAAH/f+/o=")</f>
        <v>#VALUE!</v>
      </c>
      <c r="IR276">
        <f>IF('PROG FORM COMPLEM'!276:276,"AAAAAH/f+/s=",0)</f>
        <v>0</v>
      </c>
      <c r="IS276" t="e">
        <f>AND('PROG FORM COMPLEM'!B276,"AAAAAH/f+/w=")</f>
        <v>#VALUE!</v>
      </c>
      <c r="IT276" t="e">
        <f>AND('PROG FORM COMPLEM'!C276,"AAAAAH/f+/0=")</f>
        <v>#VALUE!</v>
      </c>
      <c r="IU276" t="e">
        <f>AND('PROG FORM COMPLEM'!D276,"AAAAAH/f+/4=")</f>
        <v>#VALUE!</v>
      </c>
      <c r="IV276" t="e">
        <f>AND('PROG FORM COMPLEM'!E276,"AAAAAH/f+/8=")</f>
        <v>#VALUE!</v>
      </c>
    </row>
    <row r="277" spans="1:256" x14ac:dyDescent="0.2">
      <c r="A277" t="e">
        <f>AND('PROG FORM COMPLEM'!F276,"AAAAAH/ReQA=")</f>
        <v>#VALUE!</v>
      </c>
      <c r="B277" t="e">
        <f>AND('PROG FORM COMPLEM'!G276,"AAAAAH/ReQE=")</f>
        <v>#VALUE!</v>
      </c>
      <c r="C277" t="e">
        <f>AND('PROG FORM COMPLEM'!H276,"AAAAAH/ReQI=")</f>
        <v>#VALUE!</v>
      </c>
      <c r="D277" t="e">
        <f>AND('PROG FORM COMPLEM'!I276,"AAAAAH/ReQM=")</f>
        <v>#VALUE!</v>
      </c>
      <c r="E277" t="e">
        <f>AND('PROG FORM COMPLEM'!J276,"AAAAAH/ReQQ=")</f>
        <v>#VALUE!</v>
      </c>
      <c r="F277" t="e">
        <f>AND('PROG FORM COMPLEM'!K276,"AAAAAH/ReQU=")</f>
        <v>#VALUE!</v>
      </c>
      <c r="G277" t="e">
        <f>AND('PROG FORM COMPLEM'!L276,"AAAAAH/ReQY=")</f>
        <v>#VALUE!</v>
      </c>
      <c r="H277" t="e">
        <f>AND('PROG FORM COMPLEM'!M276,"AAAAAH/ReQc=")</f>
        <v>#VALUE!</v>
      </c>
      <c r="I277" t="e">
        <f>AND('PROG FORM COMPLEM'!N276,"AAAAAH/ReQg=")</f>
        <v>#VALUE!</v>
      </c>
      <c r="J277" t="e">
        <f>AND('PROG FORM COMPLEM'!O276,"AAAAAH/ReQk=")</f>
        <v>#VALUE!</v>
      </c>
      <c r="K277" t="e">
        <f>AND('PROG FORM COMPLEM'!P276,"AAAAAH/ReQo=")</f>
        <v>#VALUE!</v>
      </c>
      <c r="L277" t="e">
        <f>AND('PROG FORM COMPLEM'!Q276,"AAAAAH/ReQs=")</f>
        <v>#VALUE!</v>
      </c>
      <c r="M277" t="e">
        <f>AND('PROG FORM COMPLEM'!R276,"AAAAAH/ReQw=")</f>
        <v>#VALUE!</v>
      </c>
      <c r="N277" t="e">
        <f>AND('PROG FORM COMPLEM'!S276,"AAAAAH/ReQ0=")</f>
        <v>#VALUE!</v>
      </c>
      <c r="O277" t="e">
        <f>AND('PROG FORM COMPLEM'!T276,"AAAAAH/ReQ4=")</f>
        <v>#VALUE!</v>
      </c>
      <c r="P277" t="e">
        <f>AND('PROG FORM COMPLEM'!U276,"AAAAAH/ReQ8=")</f>
        <v>#VALUE!</v>
      </c>
      <c r="Q277" t="e">
        <f>AND('PROG FORM COMPLEM'!V276,"AAAAAH/ReRA=")</f>
        <v>#VALUE!</v>
      </c>
      <c r="R277" t="e">
        <f>AND('PROG FORM COMPLEM'!W276,"AAAAAH/ReRE=")</f>
        <v>#VALUE!</v>
      </c>
      <c r="S277">
        <f>IF('PROG FORM COMPLEM'!277:277,"AAAAAH/ReRI=",0)</f>
        <v>0</v>
      </c>
      <c r="T277" t="e">
        <f>AND('PROG FORM COMPLEM'!B277,"AAAAAH/ReRM=")</f>
        <v>#VALUE!</v>
      </c>
      <c r="U277" t="e">
        <f>AND('PROG FORM COMPLEM'!C277,"AAAAAH/ReRQ=")</f>
        <v>#VALUE!</v>
      </c>
      <c r="V277" t="e">
        <f>AND('PROG FORM COMPLEM'!D277,"AAAAAH/ReRU=")</f>
        <v>#VALUE!</v>
      </c>
      <c r="W277" t="e">
        <f>AND('PROG FORM COMPLEM'!E277,"AAAAAH/ReRY=")</f>
        <v>#VALUE!</v>
      </c>
      <c r="X277" t="e">
        <f>AND('PROG FORM COMPLEM'!F277,"AAAAAH/ReRc=")</f>
        <v>#VALUE!</v>
      </c>
      <c r="Y277" t="e">
        <f>AND('PROG FORM COMPLEM'!G277,"AAAAAH/ReRg=")</f>
        <v>#VALUE!</v>
      </c>
      <c r="Z277" t="e">
        <f>AND('PROG FORM COMPLEM'!H277,"AAAAAH/ReRk=")</f>
        <v>#VALUE!</v>
      </c>
      <c r="AA277" t="e">
        <f>AND('PROG FORM COMPLEM'!I277,"AAAAAH/ReRo=")</f>
        <v>#VALUE!</v>
      </c>
      <c r="AB277" t="e">
        <f>AND('PROG FORM COMPLEM'!J277,"AAAAAH/ReRs=")</f>
        <v>#VALUE!</v>
      </c>
      <c r="AC277" t="e">
        <f>AND('PROG FORM COMPLEM'!K277,"AAAAAH/ReRw=")</f>
        <v>#VALUE!</v>
      </c>
      <c r="AD277" t="e">
        <f>AND('PROG FORM COMPLEM'!L277,"AAAAAH/ReR0=")</f>
        <v>#VALUE!</v>
      </c>
      <c r="AE277" t="e">
        <f>AND('PROG FORM COMPLEM'!M277,"AAAAAH/ReR4=")</f>
        <v>#VALUE!</v>
      </c>
      <c r="AF277" t="e">
        <f>AND('PROG FORM COMPLEM'!N277,"AAAAAH/ReR8=")</f>
        <v>#VALUE!</v>
      </c>
      <c r="AG277" t="e">
        <f>AND('PROG FORM COMPLEM'!O277,"AAAAAH/ReSA=")</f>
        <v>#VALUE!</v>
      </c>
      <c r="AH277" t="e">
        <f>AND('PROG FORM COMPLEM'!P277,"AAAAAH/ReSE=")</f>
        <v>#VALUE!</v>
      </c>
      <c r="AI277" t="e">
        <f>AND('PROG FORM COMPLEM'!Q277,"AAAAAH/ReSI=")</f>
        <v>#VALUE!</v>
      </c>
      <c r="AJ277" t="e">
        <f>AND('PROG FORM COMPLEM'!R277,"AAAAAH/ReSM=")</f>
        <v>#VALUE!</v>
      </c>
      <c r="AK277" t="e">
        <f>AND('PROG FORM COMPLEM'!S277,"AAAAAH/ReSQ=")</f>
        <v>#VALUE!</v>
      </c>
      <c r="AL277" t="e">
        <f>AND('PROG FORM COMPLEM'!T277,"AAAAAH/ReSU=")</f>
        <v>#VALUE!</v>
      </c>
      <c r="AM277" t="e">
        <f>AND('PROG FORM COMPLEM'!U277,"AAAAAH/ReSY=")</f>
        <v>#VALUE!</v>
      </c>
      <c r="AN277" t="e">
        <f>AND('PROG FORM COMPLEM'!V277,"AAAAAH/ReSc=")</f>
        <v>#VALUE!</v>
      </c>
      <c r="AO277" t="e">
        <f>AND('PROG FORM COMPLEM'!W277,"AAAAAH/ReSg=")</f>
        <v>#VALUE!</v>
      </c>
      <c r="AP277">
        <f>IF('PROG FORM COMPLEM'!278:278,"AAAAAH/ReSk=",0)</f>
        <v>0</v>
      </c>
      <c r="AQ277" t="e">
        <f>AND('PROG FORM COMPLEM'!B278,"AAAAAH/ReSo=")</f>
        <v>#VALUE!</v>
      </c>
      <c r="AR277" t="e">
        <f>AND('PROG FORM COMPLEM'!C278,"AAAAAH/ReSs=")</f>
        <v>#VALUE!</v>
      </c>
      <c r="AS277" t="e">
        <f>AND('PROG FORM COMPLEM'!D278,"AAAAAH/ReSw=")</f>
        <v>#VALUE!</v>
      </c>
      <c r="AT277" t="e">
        <f>AND('PROG FORM COMPLEM'!E278,"AAAAAH/ReS0=")</f>
        <v>#VALUE!</v>
      </c>
      <c r="AU277" t="e">
        <f>AND('PROG FORM COMPLEM'!F278,"AAAAAH/ReS4=")</f>
        <v>#VALUE!</v>
      </c>
      <c r="AV277" t="e">
        <f>AND('PROG FORM COMPLEM'!G278,"AAAAAH/ReS8=")</f>
        <v>#VALUE!</v>
      </c>
      <c r="AW277" t="e">
        <f>AND('PROG FORM COMPLEM'!H278,"AAAAAH/ReTA=")</f>
        <v>#VALUE!</v>
      </c>
      <c r="AX277" t="e">
        <f>AND('PROG FORM COMPLEM'!I278,"AAAAAH/ReTE=")</f>
        <v>#VALUE!</v>
      </c>
      <c r="AY277" t="e">
        <f>AND('PROG FORM COMPLEM'!J278,"AAAAAH/ReTI=")</f>
        <v>#VALUE!</v>
      </c>
      <c r="AZ277" t="e">
        <f>AND('PROG FORM COMPLEM'!K278,"AAAAAH/ReTM=")</f>
        <v>#VALUE!</v>
      </c>
      <c r="BA277" t="e">
        <f>AND('PROG FORM COMPLEM'!L278,"AAAAAH/ReTQ=")</f>
        <v>#VALUE!</v>
      </c>
      <c r="BB277" t="e">
        <f>AND('PROG FORM COMPLEM'!M278,"AAAAAH/ReTU=")</f>
        <v>#VALUE!</v>
      </c>
      <c r="BC277" t="e">
        <f>AND('PROG FORM COMPLEM'!N278,"AAAAAH/ReTY=")</f>
        <v>#VALUE!</v>
      </c>
      <c r="BD277" t="e">
        <f>AND('PROG FORM COMPLEM'!O278,"AAAAAH/ReTc=")</f>
        <v>#VALUE!</v>
      </c>
      <c r="BE277" t="e">
        <f>AND('PROG FORM COMPLEM'!P278,"AAAAAH/ReTg=")</f>
        <v>#VALUE!</v>
      </c>
      <c r="BF277" t="e">
        <f>AND('PROG FORM COMPLEM'!Q278,"AAAAAH/ReTk=")</f>
        <v>#VALUE!</v>
      </c>
      <c r="BG277" t="e">
        <f>AND('PROG FORM COMPLEM'!R278,"AAAAAH/ReTo=")</f>
        <v>#VALUE!</v>
      </c>
      <c r="BH277" t="e">
        <f>AND('PROG FORM COMPLEM'!S278,"AAAAAH/ReTs=")</f>
        <v>#VALUE!</v>
      </c>
      <c r="BI277" t="e">
        <f>AND('PROG FORM COMPLEM'!T278,"AAAAAH/ReTw=")</f>
        <v>#VALUE!</v>
      </c>
      <c r="BJ277" t="e">
        <f>AND('PROG FORM COMPLEM'!U278,"AAAAAH/ReT0=")</f>
        <v>#VALUE!</v>
      </c>
      <c r="BK277" t="e">
        <f>AND('PROG FORM COMPLEM'!V278,"AAAAAH/ReT4=")</f>
        <v>#VALUE!</v>
      </c>
      <c r="BL277" t="e">
        <f>AND('PROG FORM COMPLEM'!W278,"AAAAAH/ReT8=")</f>
        <v>#VALUE!</v>
      </c>
      <c r="BM277">
        <f>IF('PROG FORM COMPLEM'!279:279,"AAAAAH/ReUA=",0)</f>
        <v>0</v>
      </c>
      <c r="BN277" t="e">
        <f>AND('PROG FORM COMPLEM'!B279,"AAAAAH/ReUE=")</f>
        <v>#VALUE!</v>
      </c>
      <c r="BO277" t="e">
        <f>AND('PROG FORM COMPLEM'!C279,"AAAAAH/ReUI=")</f>
        <v>#VALUE!</v>
      </c>
      <c r="BP277" t="e">
        <f>AND('PROG FORM COMPLEM'!D279,"AAAAAH/ReUM=")</f>
        <v>#VALUE!</v>
      </c>
      <c r="BQ277" t="e">
        <f>AND('PROG FORM COMPLEM'!E279,"AAAAAH/ReUQ=")</f>
        <v>#VALUE!</v>
      </c>
      <c r="BR277" t="e">
        <f>AND('PROG FORM COMPLEM'!F279,"AAAAAH/ReUU=")</f>
        <v>#VALUE!</v>
      </c>
      <c r="BS277" t="e">
        <f>AND('PROG FORM COMPLEM'!G279,"AAAAAH/ReUY=")</f>
        <v>#VALUE!</v>
      </c>
      <c r="BT277" t="e">
        <f>AND('PROG FORM COMPLEM'!H279,"AAAAAH/ReUc=")</f>
        <v>#VALUE!</v>
      </c>
      <c r="BU277" t="e">
        <f>AND('PROG FORM COMPLEM'!I279,"AAAAAH/ReUg=")</f>
        <v>#VALUE!</v>
      </c>
      <c r="BV277" t="e">
        <f>AND('PROG FORM COMPLEM'!J279,"AAAAAH/ReUk=")</f>
        <v>#VALUE!</v>
      </c>
      <c r="BW277" t="e">
        <f>AND('PROG FORM COMPLEM'!K279,"AAAAAH/ReUo=")</f>
        <v>#VALUE!</v>
      </c>
      <c r="BX277" t="e">
        <f>AND('PROG FORM COMPLEM'!L279,"AAAAAH/ReUs=")</f>
        <v>#VALUE!</v>
      </c>
      <c r="BY277" t="e">
        <f>AND('PROG FORM COMPLEM'!M279,"AAAAAH/ReUw=")</f>
        <v>#VALUE!</v>
      </c>
      <c r="BZ277" t="e">
        <f>AND('PROG FORM COMPLEM'!N279,"AAAAAH/ReU0=")</f>
        <v>#VALUE!</v>
      </c>
      <c r="CA277" t="e">
        <f>AND('PROG FORM COMPLEM'!O279,"AAAAAH/ReU4=")</f>
        <v>#VALUE!</v>
      </c>
      <c r="CB277" t="e">
        <f>AND('PROG FORM COMPLEM'!P279,"AAAAAH/ReU8=")</f>
        <v>#VALUE!</v>
      </c>
      <c r="CC277" t="e">
        <f>AND('PROG FORM COMPLEM'!Q279,"AAAAAH/ReVA=")</f>
        <v>#VALUE!</v>
      </c>
      <c r="CD277" t="e">
        <f>AND('PROG FORM COMPLEM'!R279,"AAAAAH/ReVE=")</f>
        <v>#VALUE!</v>
      </c>
      <c r="CE277" t="e">
        <f>AND('PROG FORM COMPLEM'!S279,"AAAAAH/ReVI=")</f>
        <v>#VALUE!</v>
      </c>
      <c r="CF277" t="e">
        <f>AND('PROG FORM COMPLEM'!T279,"AAAAAH/ReVM=")</f>
        <v>#VALUE!</v>
      </c>
      <c r="CG277" t="e">
        <f>AND('PROG FORM COMPLEM'!U279,"AAAAAH/ReVQ=")</f>
        <v>#VALUE!</v>
      </c>
      <c r="CH277" t="e">
        <f>AND('PROG FORM COMPLEM'!V279,"AAAAAH/ReVU=")</f>
        <v>#VALUE!</v>
      </c>
      <c r="CI277" t="e">
        <f>AND('PROG FORM COMPLEM'!W279,"AAAAAH/ReVY=")</f>
        <v>#VALUE!</v>
      </c>
      <c r="CJ277">
        <f>IF('PROG FORM COMPLEM'!280:280,"AAAAAH/ReVc=",0)</f>
        <v>0</v>
      </c>
      <c r="CK277" t="e">
        <f>AND('PROG FORM COMPLEM'!B280,"AAAAAH/ReVg=")</f>
        <v>#VALUE!</v>
      </c>
      <c r="CL277" t="e">
        <f>AND('PROG FORM COMPLEM'!C280,"AAAAAH/ReVk=")</f>
        <v>#VALUE!</v>
      </c>
      <c r="CM277" t="e">
        <f>AND('PROG FORM COMPLEM'!D280,"AAAAAH/ReVo=")</f>
        <v>#VALUE!</v>
      </c>
      <c r="CN277" t="e">
        <f>AND('PROG FORM COMPLEM'!E280,"AAAAAH/ReVs=")</f>
        <v>#VALUE!</v>
      </c>
      <c r="CO277" t="e">
        <f>AND('PROG FORM COMPLEM'!F280,"AAAAAH/ReVw=")</f>
        <v>#VALUE!</v>
      </c>
      <c r="CP277" t="e">
        <f>AND('PROG FORM COMPLEM'!G280,"AAAAAH/ReV0=")</f>
        <v>#VALUE!</v>
      </c>
      <c r="CQ277" t="e">
        <f>AND('PROG FORM COMPLEM'!H280,"AAAAAH/ReV4=")</f>
        <v>#VALUE!</v>
      </c>
      <c r="CR277" t="e">
        <f>AND('PROG FORM COMPLEM'!I280,"AAAAAH/ReV8=")</f>
        <v>#VALUE!</v>
      </c>
      <c r="CS277" t="e">
        <f>AND('PROG FORM COMPLEM'!J280,"AAAAAH/ReWA=")</f>
        <v>#VALUE!</v>
      </c>
      <c r="CT277" t="e">
        <f>AND('PROG FORM COMPLEM'!K280,"AAAAAH/ReWE=")</f>
        <v>#VALUE!</v>
      </c>
      <c r="CU277" t="e">
        <f>AND('PROG FORM COMPLEM'!L280,"AAAAAH/ReWI=")</f>
        <v>#VALUE!</v>
      </c>
      <c r="CV277" t="e">
        <f>AND('PROG FORM COMPLEM'!M280,"AAAAAH/ReWM=")</f>
        <v>#VALUE!</v>
      </c>
      <c r="CW277" t="e">
        <f>AND('PROG FORM COMPLEM'!N280,"AAAAAH/ReWQ=")</f>
        <v>#VALUE!</v>
      </c>
      <c r="CX277" t="e">
        <f>AND('PROG FORM COMPLEM'!O280,"AAAAAH/ReWU=")</f>
        <v>#VALUE!</v>
      </c>
      <c r="CY277" t="e">
        <f>AND('PROG FORM COMPLEM'!P280,"AAAAAH/ReWY=")</f>
        <v>#VALUE!</v>
      </c>
      <c r="CZ277" t="e">
        <f>AND('PROG FORM COMPLEM'!Q280,"AAAAAH/ReWc=")</f>
        <v>#VALUE!</v>
      </c>
      <c r="DA277" t="e">
        <f>AND('PROG FORM COMPLEM'!R280,"AAAAAH/ReWg=")</f>
        <v>#VALUE!</v>
      </c>
      <c r="DB277" t="e">
        <f>AND('PROG FORM COMPLEM'!S280,"AAAAAH/ReWk=")</f>
        <v>#VALUE!</v>
      </c>
      <c r="DC277" t="e">
        <f>AND('PROG FORM COMPLEM'!T280,"AAAAAH/ReWo=")</f>
        <v>#VALUE!</v>
      </c>
      <c r="DD277" t="e">
        <f>AND('PROG FORM COMPLEM'!U280,"AAAAAH/ReWs=")</f>
        <v>#VALUE!</v>
      </c>
      <c r="DE277" t="e">
        <f>AND('PROG FORM COMPLEM'!V280,"AAAAAH/ReWw=")</f>
        <v>#VALUE!</v>
      </c>
      <c r="DF277" t="e">
        <f>AND('PROG FORM COMPLEM'!W280,"AAAAAH/ReW0=")</f>
        <v>#VALUE!</v>
      </c>
      <c r="DG277">
        <f>IF('PROG FORM COMPLEM'!281:281,"AAAAAH/ReW4=",0)</f>
        <v>0</v>
      </c>
      <c r="DH277" t="e">
        <f>AND('PROG FORM COMPLEM'!B281,"AAAAAH/ReW8=")</f>
        <v>#VALUE!</v>
      </c>
      <c r="DI277" t="e">
        <f>AND('PROG FORM COMPLEM'!C281,"AAAAAH/ReXA=")</f>
        <v>#VALUE!</v>
      </c>
      <c r="DJ277" t="e">
        <f>AND('PROG FORM COMPLEM'!D281,"AAAAAH/ReXE=")</f>
        <v>#VALUE!</v>
      </c>
      <c r="DK277" t="e">
        <f>AND('PROG FORM COMPLEM'!E281,"AAAAAH/ReXI=")</f>
        <v>#VALUE!</v>
      </c>
      <c r="DL277" t="e">
        <f>AND('PROG FORM COMPLEM'!F281,"AAAAAH/ReXM=")</f>
        <v>#VALUE!</v>
      </c>
      <c r="DM277" t="e">
        <f>AND('PROG FORM COMPLEM'!G281,"AAAAAH/ReXQ=")</f>
        <v>#VALUE!</v>
      </c>
      <c r="DN277" t="e">
        <f>AND('PROG FORM COMPLEM'!H281,"AAAAAH/ReXU=")</f>
        <v>#VALUE!</v>
      </c>
      <c r="DO277" t="e">
        <f>AND('PROG FORM COMPLEM'!I281,"AAAAAH/ReXY=")</f>
        <v>#VALUE!</v>
      </c>
      <c r="DP277" t="e">
        <f>AND('PROG FORM COMPLEM'!J281,"AAAAAH/ReXc=")</f>
        <v>#VALUE!</v>
      </c>
      <c r="DQ277" t="e">
        <f>AND('PROG FORM COMPLEM'!K281,"AAAAAH/ReXg=")</f>
        <v>#VALUE!</v>
      </c>
      <c r="DR277" t="e">
        <f>AND('PROG FORM COMPLEM'!L281,"AAAAAH/ReXk=")</f>
        <v>#VALUE!</v>
      </c>
      <c r="DS277" t="e">
        <f>AND('PROG FORM COMPLEM'!M281,"AAAAAH/ReXo=")</f>
        <v>#VALUE!</v>
      </c>
      <c r="DT277" t="e">
        <f>AND('PROG FORM COMPLEM'!N281,"AAAAAH/ReXs=")</f>
        <v>#VALUE!</v>
      </c>
      <c r="DU277" t="e">
        <f>AND('PROG FORM COMPLEM'!O281,"AAAAAH/ReXw=")</f>
        <v>#VALUE!</v>
      </c>
      <c r="DV277" t="e">
        <f>AND('PROG FORM COMPLEM'!P281,"AAAAAH/ReX0=")</f>
        <v>#VALUE!</v>
      </c>
      <c r="DW277" t="e">
        <f>AND('PROG FORM COMPLEM'!Q281,"AAAAAH/ReX4=")</f>
        <v>#VALUE!</v>
      </c>
      <c r="DX277" t="e">
        <f>AND('PROG FORM COMPLEM'!R281,"AAAAAH/ReX8=")</f>
        <v>#VALUE!</v>
      </c>
      <c r="DY277" t="e">
        <f>AND('PROG FORM COMPLEM'!S281,"AAAAAH/ReYA=")</f>
        <v>#VALUE!</v>
      </c>
      <c r="DZ277" t="e">
        <f>AND('PROG FORM COMPLEM'!T281,"AAAAAH/ReYE=")</f>
        <v>#VALUE!</v>
      </c>
      <c r="EA277" t="e">
        <f>AND('PROG FORM COMPLEM'!U281,"AAAAAH/ReYI=")</f>
        <v>#VALUE!</v>
      </c>
      <c r="EB277" t="e">
        <f>AND('PROG FORM COMPLEM'!V281,"AAAAAH/ReYM=")</f>
        <v>#VALUE!</v>
      </c>
      <c r="EC277" t="e">
        <f>AND('PROG FORM COMPLEM'!W281,"AAAAAH/ReYQ=")</f>
        <v>#VALUE!</v>
      </c>
      <c r="ED277">
        <f>IF('PROG FORM COMPLEM'!282:282,"AAAAAH/ReYU=",0)</f>
        <v>0</v>
      </c>
      <c r="EE277" t="e">
        <f>AND('PROG FORM COMPLEM'!B282,"AAAAAH/ReYY=")</f>
        <v>#VALUE!</v>
      </c>
      <c r="EF277" t="e">
        <f>AND('PROG FORM COMPLEM'!C282,"AAAAAH/ReYc=")</f>
        <v>#VALUE!</v>
      </c>
      <c r="EG277" t="e">
        <f>AND('PROG FORM COMPLEM'!D282,"AAAAAH/ReYg=")</f>
        <v>#VALUE!</v>
      </c>
      <c r="EH277" t="e">
        <f>AND('PROG FORM COMPLEM'!E282,"AAAAAH/ReYk=")</f>
        <v>#VALUE!</v>
      </c>
      <c r="EI277" t="e">
        <f>AND('PROG FORM COMPLEM'!F282,"AAAAAH/ReYo=")</f>
        <v>#VALUE!</v>
      </c>
      <c r="EJ277" t="e">
        <f>AND('PROG FORM COMPLEM'!G282,"AAAAAH/ReYs=")</f>
        <v>#VALUE!</v>
      </c>
      <c r="EK277" t="e">
        <f>AND('PROG FORM COMPLEM'!H282,"AAAAAH/ReYw=")</f>
        <v>#VALUE!</v>
      </c>
      <c r="EL277" t="e">
        <f>AND('PROG FORM COMPLEM'!I282,"AAAAAH/ReY0=")</f>
        <v>#VALUE!</v>
      </c>
      <c r="EM277" t="e">
        <f>AND('PROG FORM COMPLEM'!J282,"AAAAAH/ReY4=")</f>
        <v>#VALUE!</v>
      </c>
      <c r="EN277" t="e">
        <f>AND('PROG FORM COMPLEM'!K282,"AAAAAH/ReY8=")</f>
        <v>#VALUE!</v>
      </c>
      <c r="EO277" t="e">
        <f>AND('PROG FORM COMPLEM'!L282,"AAAAAH/ReZA=")</f>
        <v>#VALUE!</v>
      </c>
      <c r="EP277" t="e">
        <f>AND('PROG FORM COMPLEM'!M282,"AAAAAH/ReZE=")</f>
        <v>#VALUE!</v>
      </c>
      <c r="EQ277" t="e">
        <f>AND('PROG FORM COMPLEM'!N282,"AAAAAH/ReZI=")</f>
        <v>#VALUE!</v>
      </c>
      <c r="ER277" t="e">
        <f>AND('PROG FORM COMPLEM'!O282,"AAAAAH/ReZM=")</f>
        <v>#VALUE!</v>
      </c>
      <c r="ES277" t="e">
        <f>AND('PROG FORM COMPLEM'!P282,"AAAAAH/ReZQ=")</f>
        <v>#VALUE!</v>
      </c>
      <c r="ET277" t="e">
        <f>AND('PROG FORM COMPLEM'!Q282,"AAAAAH/ReZU=")</f>
        <v>#VALUE!</v>
      </c>
      <c r="EU277" t="e">
        <f>AND('PROG FORM COMPLEM'!R282,"AAAAAH/ReZY=")</f>
        <v>#VALUE!</v>
      </c>
      <c r="EV277" t="e">
        <f>AND('PROG FORM COMPLEM'!S282,"AAAAAH/ReZc=")</f>
        <v>#VALUE!</v>
      </c>
      <c r="EW277" t="e">
        <f>AND('PROG FORM COMPLEM'!T282,"AAAAAH/ReZg=")</f>
        <v>#VALUE!</v>
      </c>
      <c r="EX277" t="e">
        <f>AND('PROG FORM COMPLEM'!U282,"AAAAAH/ReZk=")</f>
        <v>#VALUE!</v>
      </c>
      <c r="EY277" t="e">
        <f>AND('PROG FORM COMPLEM'!V282,"AAAAAH/ReZo=")</f>
        <v>#VALUE!</v>
      </c>
      <c r="EZ277" t="e">
        <f>AND('PROG FORM COMPLEM'!W282,"AAAAAH/ReZs=")</f>
        <v>#VALUE!</v>
      </c>
      <c r="FA277">
        <f>IF('PROG FORM COMPLEM'!283:283,"AAAAAH/ReZw=",0)</f>
        <v>0</v>
      </c>
      <c r="FB277" t="e">
        <f>AND('PROG FORM COMPLEM'!B283,"AAAAAH/ReZ0=")</f>
        <v>#VALUE!</v>
      </c>
      <c r="FC277" t="e">
        <f>AND('PROG FORM COMPLEM'!C283,"AAAAAH/ReZ4=")</f>
        <v>#VALUE!</v>
      </c>
      <c r="FD277" t="e">
        <f>AND('PROG FORM COMPLEM'!D283,"AAAAAH/ReZ8=")</f>
        <v>#VALUE!</v>
      </c>
      <c r="FE277" t="e">
        <f>AND('PROG FORM COMPLEM'!E283,"AAAAAH/ReaA=")</f>
        <v>#VALUE!</v>
      </c>
      <c r="FF277" t="e">
        <f>AND('PROG FORM COMPLEM'!F283,"AAAAAH/ReaE=")</f>
        <v>#VALUE!</v>
      </c>
      <c r="FG277" t="e">
        <f>AND('PROG FORM COMPLEM'!G283,"AAAAAH/ReaI=")</f>
        <v>#VALUE!</v>
      </c>
      <c r="FH277" t="e">
        <f>AND('PROG FORM COMPLEM'!H283,"AAAAAH/ReaM=")</f>
        <v>#VALUE!</v>
      </c>
      <c r="FI277" t="e">
        <f>AND('PROG FORM COMPLEM'!I283,"AAAAAH/ReaQ=")</f>
        <v>#VALUE!</v>
      </c>
      <c r="FJ277" t="e">
        <f>AND('PROG FORM COMPLEM'!J283,"AAAAAH/ReaU=")</f>
        <v>#VALUE!</v>
      </c>
      <c r="FK277" t="e">
        <f>AND('PROG FORM COMPLEM'!K283,"AAAAAH/ReaY=")</f>
        <v>#VALUE!</v>
      </c>
      <c r="FL277" t="e">
        <f>AND('PROG FORM COMPLEM'!L283,"AAAAAH/Reac=")</f>
        <v>#VALUE!</v>
      </c>
      <c r="FM277" t="e">
        <f>AND('PROG FORM COMPLEM'!M283,"AAAAAH/Reag=")</f>
        <v>#VALUE!</v>
      </c>
      <c r="FN277" t="e">
        <f>AND('PROG FORM COMPLEM'!N283,"AAAAAH/Reak=")</f>
        <v>#VALUE!</v>
      </c>
      <c r="FO277" t="e">
        <f>AND('PROG FORM COMPLEM'!O283,"AAAAAH/Reao=")</f>
        <v>#VALUE!</v>
      </c>
      <c r="FP277" t="e">
        <f>AND('PROG FORM COMPLEM'!P283,"AAAAAH/Reas=")</f>
        <v>#VALUE!</v>
      </c>
      <c r="FQ277" t="e">
        <f>AND('PROG FORM COMPLEM'!Q283,"AAAAAH/Reaw=")</f>
        <v>#VALUE!</v>
      </c>
      <c r="FR277" t="e">
        <f>AND('PROG FORM COMPLEM'!R283,"AAAAAH/Rea0=")</f>
        <v>#VALUE!</v>
      </c>
      <c r="FS277" t="e">
        <f>AND('PROG FORM COMPLEM'!S283,"AAAAAH/Rea4=")</f>
        <v>#VALUE!</v>
      </c>
      <c r="FT277" t="e">
        <f>AND('PROG FORM COMPLEM'!T283,"AAAAAH/Rea8=")</f>
        <v>#VALUE!</v>
      </c>
      <c r="FU277" t="e">
        <f>AND('PROG FORM COMPLEM'!U283,"AAAAAH/RebA=")</f>
        <v>#VALUE!</v>
      </c>
      <c r="FV277" t="e">
        <f>AND('PROG FORM COMPLEM'!V283,"AAAAAH/RebE=")</f>
        <v>#VALUE!</v>
      </c>
      <c r="FW277" t="e">
        <f>AND('PROG FORM COMPLEM'!W283,"AAAAAH/RebI=")</f>
        <v>#VALUE!</v>
      </c>
      <c r="FX277">
        <f>IF('PROG FORM COMPLEM'!284:284,"AAAAAH/RebM=",0)</f>
        <v>0</v>
      </c>
      <c r="FY277" t="e">
        <f>AND('PROG FORM COMPLEM'!B284,"AAAAAH/RebQ=")</f>
        <v>#VALUE!</v>
      </c>
      <c r="FZ277" t="e">
        <f>AND('PROG FORM COMPLEM'!C284,"AAAAAH/RebU=")</f>
        <v>#VALUE!</v>
      </c>
      <c r="GA277" t="e">
        <f>AND('PROG FORM COMPLEM'!D284,"AAAAAH/RebY=")</f>
        <v>#VALUE!</v>
      </c>
      <c r="GB277" t="e">
        <f>AND('PROG FORM COMPLEM'!E284,"AAAAAH/Rebc=")</f>
        <v>#VALUE!</v>
      </c>
      <c r="GC277" t="e">
        <f>AND('PROG FORM COMPLEM'!F284,"AAAAAH/Rebg=")</f>
        <v>#VALUE!</v>
      </c>
      <c r="GD277" t="e">
        <f>AND('PROG FORM COMPLEM'!G284,"AAAAAH/Rebk=")</f>
        <v>#VALUE!</v>
      </c>
      <c r="GE277" t="e">
        <f>AND('PROG FORM COMPLEM'!H284,"AAAAAH/Rebo=")</f>
        <v>#VALUE!</v>
      </c>
      <c r="GF277" t="e">
        <f>AND('PROG FORM COMPLEM'!I284,"AAAAAH/Rebs=")</f>
        <v>#VALUE!</v>
      </c>
      <c r="GG277" t="e">
        <f>AND('PROG FORM COMPLEM'!J284,"AAAAAH/Rebw=")</f>
        <v>#VALUE!</v>
      </c>
      <c r="GH277" t="e">
        <f>AND('PROG FORM COMPLEM'!K284,"AAAAAH/Reb0=")</f>
        <v>#VALUE!</v>
      </c>
      <c r="GI277" t="e">
        <f>AND('PROG FORM COMPLEM'!L284,"AAAAAH/Reb4=")</f>
        <v>#VALUE!</v>
      </c>
      <c r="GJ277" t="e">
        <f>AND('PROG FORM COMPLEM'!M284,"AAAAAH/Reb8=")</f>
        <v>#VALUE!</v>
      </c>
      <c r="GK277" t="e">
        <f>AND('PROG FORM COMPLEM'!N284,"AAAAAH/RecA=")</f>
        <v>#VALUE!</v>
      </c>
      <c r="GL277" t="e">
        <f>AND('PROG FORM COMPLEM'!O284,"AAAAAH/RecE=")</f>
        <v>#VALUE!</v>
      </c>
      <c r="GM277" t="e">
        <f>AND('PROG FORM COMPLEM'!P284,"AAAAAH/RecI=")</f>
        <v>#VALUE!</v>
      </c>
      <c r="GN277" t="e">
        <f>AND('PROG FORM COMPLEM'!Q284,"AAAAAH/RecM=")</f>
        <v>#VALUE!</v>
      </c>
      <c r="GO277" t="e">
        <f>AND('PROG FORM COMPLEM'!R284,"AAAAAH/RecQ=")</f>
        <v>#VALUE!</v>
      </c>
      <c r="GP277" t="e">
        <f>AND('PROG FORM COMPLEM'!S284,"AAAAAH/RecU=")</f>
        <v>#VALUE!</v>
      </c>
      <c r="GQ277" t="e">
        <f>AND('PROG FORM COMPLEM'!T284,"AAAAAH/RecY=")</f>
        <v>#VALUE!</v>
      </c>
      <c r="GR277" t="e">
        <f>AND('PROG FORM COMPLEM'!U284,"AAAAAH/Recc=")</f>
        <v>#VALUE!</v>
      </c>
      <c r="GS277" t="e">
        <f>AND('PROG FORM COMPLEM'!V284,"AAAAAH/Recg=")</f>
        <v>#VALUE!</v>
      </c>
      <c r="GT277" t="e">
        <f>AND('PROG FORM COMPLEM'!W284,"AAAAAH/Reck=")</f>
        <v>#VALUE!</v>
      </c>
      <c r="GU277">
        <f>IF('PROG FORM COMPLEM'!285:285,"AAAAAH/Reco=",0)</f>
        <v>0</v>
      </c>
      <c r="GV277" t="e">
        <f>AND('PROG FORM COMPLEM'!B285,"AAAAAH/Recs=")</f>
        <v>#VALUE!</v>
      </c>
      <c r="GW277" t="e">
        <f>AND('PROG FORM COMPLEM'!C285,"AAAAAH/Recw=")</f>
        <v>#VALUE!</v>
      </c>
      <c r="GX277" t="e">
        <f>AND('PROG FORM COMPLEM'!D285,"AAAAAH/Rec0=")</f>
        <v>#VALUE!</v>
      </c>
      <c r="GY277" t="e">
        <f>AND('PROG FORM COMPLEM'!E285,"AAAAAH/Rec4=")</f>
        <v>#VALUE!</v>
      </c>
      <c r="GZ277" t="e">
        <f>AND('PROG FORM COMPLEM'!F285,"AAAAAH/Rec8=")</f>
        <v>#VALUE!</v>
      </c>
      <c r="HA277" t="e">
        <f>AND('PROG FORM COMPLEM'!G285,"AAAAAH/RedA=")</f>
        <v>#VALUE!</v>
      </c>
      <c r="HB277" t="e">
        <f>AND('PROG FORM COMPLEM'!H285,"AAAAAH/RedE=")</f>
        <v>#VALUE!</v>
      </c>
      <c r="HC277" t="e">
        <f>AND('PROG FORM COMPLEM'!I285,"AAAAAH/RedI=")</f>
        <v>#VALUE!</v>
      </c>
      <c r="HD277" t="e">
        <f>AND('PROG FORM COMPLEM'!J285,"AAAAAH/RedM=")</f>
        <v>#VALUE!</v>
      </c>
      <c r="HE277" t="e">
        <f>AND('PROG FORM COMPLEM'!K285,"AAAAAH/RedQ=")</f>
        <v>#VALUE!</v>
      </c>
      <c r="HF277" t="e">
        <f>AND('PROG FORM COMPLEM'!L285,"AAAAAH/RedU=")</f>
        <v>#VALUE!</v>
      </c>
      <c r="HG277" t="e">
        <f>AND('PROG FORM COMPLEM'!M285,"AAAAAH/RedY=")</f>
        <v>#VALUE!</v>
      </c>
      <c r="HH277" t="e">
        <f>AND('PROG FORM COMPLEM'!N285,"AAAAAH/Redc=")</f>
        <v>#VALUE!</v>
      </c>
      <c r="HI277" t="e">
        <f>AND('PROG FORM COMPLEM'!O285,"AAAAAH/Redg=")</f>
        <v>#VALUE!</v>
      </c>
      <c r="HJ277" t="e">
        <f>AND('PROG FORM COMPLEM'!P285,"AAAAAH/Redk=")</f>
        <v>#VALUE!</v>
      </c>
      <c r="HK277" t="e">
        <f>AND('PROG FORM COMPLEM'!Q285,"AAAAAH/Redo=")</f>
        <v>#VALUE!</v>
      </c>
      <c r="HL277" t="e">
        <f>AND('PROG FORM COMPLEM'!R285,"AAAAAH/Reds=")</f>
        <v>#VALUE!</v>
      </c>
      <c r="HM277" t="e">
        <f>AND('PROG FORM COMPLEM'!S285,"AAAAAH/Redw=")</f>
        <v>#VALUE!</v>
      </c>
      <c r="HN277" t="e">
        <f>AND('PROG FORM COMPLEM'!T285,"AAAAAH/Red0=")</f>
        <v>#VALUE!</v>
      </c>
      <c r="HO277" t="e">
        <f>AND('PROG FORM COMPLEM'!U285,"AAAAAH/Red4=")</f>
        <v>#VALUE!</v>
      </c>
      <c r="HP277" t="e">
        <f>AND('PROG FORM COMPLEM'!V285,"AAAAAH/Red8=")</f>
        <v>#VALUE!</v>
      </c>
      <c r="HQ277" t="e">
        <f>AND('PROG FORM COMPLEM'!W285,"AAAAAH/ReeA=")</f>
        <v>#VALUE!</v>
      </c>
      <c r="HR277">
        <f>IF('PROG FORM COMPLEM'!286:286,"AAAAAH/ReeE=",0)</f>
        <v>0</v>
      </c>
      <c r="HS277" t="e">
        <f>AND('PROG FORM COMPLEM'!B286,"AAAAAH/ReeI=")</f>
        <v>#VALUE!</v>
      </c>
      <c r="HT277" t="e">
        <f>AND('PROG FORM COMPLEM'!C286,"AAAAAH/ReeM=")</f>
        <v>#VALUE!</v>
      </c>
      <c r="HU277" t="e">
        <f>AND('PROG FORM COMPLEM'!D286,"AAAAAH/ReeQ=")</f>
        <v>#VALUE!</v>
      </c>
      <c r="HV277" t="e">
        <f>AND('PROG FORM COMPLEM'!E286,"AAAAAH/ReeU=")</f>
        <v>#VALUE!</v>
      </c>
      <c r="HW277" t="e">
        <f>AND('PROG FORM COMPLEM'!F286,"AAAAAH/ReeY=")</f>
        <v>#VALUE!</v>
      </c>
      <c r="HX277" t="e">
        <f>AND('PROG FORM COMPLEM'!G286,"AAAAAH/Reec=")</f>
        <v>#VALUE!</v>
      </c>
      <c r="HY277" t="e">
        <f>AND('PROG FORM COMPLEM'!H286,"AAAAAH/Reeg=")</f>
        <v>#VALUE!</v>
      </c>
      <c r="HZ277" t="e">
        <f>AND('PROG FORM COMPLEM'!I286,"AAAAAH/Reek=")</f>
        <v>#VALUE!</v>
      </c>
      <c r="IA277" t="e">
        <f>AND('PROG FORM COMPLEM'!J286,"AAAAAH/Reeo=")</f>
        <v>#VALUE!</v>
      </c>
      <c r="IB277" t="e">
        <f>AND('PROG FORM COMPLEM'!K286,"AAAAAH/Rees=")</f>
        <v>#VALUE!</v>
      </c>
      <c r="IC277" t="e">
        <f>AND('PROG FORM COMPLEM'!L286,"AAAAAH/Reew=")</f>
        <v>#VALUE!</v>
      </c>
      <c r="ID277" t="e">
        <f>AND('PROG FORM COMPLEM'!M286,"AAAAAH/Ree0=")</f>
        <v>#VALUE!</v>
      </c>
      <c r="IE277" t="e">
        <f>AND('PROG FORM COMPLEM'!N286,"AAAAAH/Ree4=")</f>
        <v>#VALUE!</v>
      </c>
      <c r="IF277" t="e">
        <f>AND('PROG FORM COMPLEM'!O286,"AAAAAH/Ree8=")</f>
        <v>#VALUE!</v>
      </c>
      <c r="IG277" t="e">
        <f>AND('PROG FORM COMPLEM'!P286,"AAAAAH/RefA=")</f>
        <v>#VALUE!</v>
      </c>
      <c r="IH277" t="e">
        <f>AND('PROG FORM COMPLEM'!Q286,"AAAAAH/RefE=")</f>
        <v>#VALUE!</v>
      </c>
      <c r="II277" t="e">
        <f>AND('PROG FORM COMPLEM'!R286,"AAAAAH/RefI=")</f>
        <v>#VALUE!</v>
      </c>
      <c r="IJ277" t="e">
        <f>AND('PROG FORM COMPLEM'!S286,"AAAAAH/RefM=")</f>
        <v>#VALUE!</v>
      </c>
      <c r="IK277" t="e">
        <f>AND('PROG FORM COMPLEM'!T286,"AAAAAH/RefQ=")</f>
        <v>#VALUE!</v>
      </c>
      <c r="IL277" t="e">
        <f>AND('PROG FORM COMPLEM'!U286,"AAAAAH/RefU=")</f>
        <v>#VALUE!</v>
      </c>
      <c r="IM277" t="e">
        <f>AND('PROG FORM COMPLEM'!V286,"AAAAAH/RefY=")</f>
        <v>#VALUE!</v>
      </c>
      <c r="IN277" t="e">
        <f>AND('PROG FORM COMPLEM'!W286,"AAAAAH/Refc=")</f>
        <v>#VALUE!</v>
      </c>
      <c r="IO277">
        <f>IF('PROG FORM COMPLEM'!287:287,"AAAAAH/Refg=",0)</f>
        <v>0</v>
      </c>
      <c r="IP277" t="e">
        <f>AND('PROG FORM COMPLEM'!B287,"AAAAAH/Refk=")</f>
        <v>#VALUE!</v>
      </c>
      <c r="IQ277" t="e">
        <f>AND('PROG FORM COMPLEM'!C287,"AAAAAH/Refo=")</f>
        <v>#VALUE!</v>
      </c>
      <c r="IR277" t="e">
        <f>AND('PROG FORM COMPLEM'!D287,"AAAAAH/Refs=")</f>
        <v>#VALUE!</v>
      </c>
      <c r="IS277" t="e">
        <f>AND('PROG FORM COMPLEM'!E287,"AAAAAH/Refw=")</f>
        <v>#VALUE!</v>
      </c>
      <c r="IT277" t="e">
        <f>AND('PROG FORM COMPLEM'!F287,"AAAAAH/Ref0=")</f>
        <v>#VALUE!</v>
      </c>
      <c r="IU277" t="e">
        <f>AND('PROG FORM COMPLEM'!G287,"AAAAAH/Ref4=")</f>
        <v>#VALUE!</v>
      </c>
      <c r="IV277" t="e">
        <f>AND('PROG FORM COMPLEM'!H287,"AAAAAH/Ref8=")</f>
        <v>#VALUE!</v>
      </c>
    </row>
    <row r="278" spans="1:256" x14ac:dyDescent="0.2">
      <c r="A278" t="e">
        <f>AND('PROG FORM COMPLEM'!I287,"AAAAACB//gA=")</f>
        <v>#VALUE!</v>
      </c>
      <c r="B278" t="e">
        <f>AND('PROG FORM COMPLEM'!J287,"AAAAACB//gE=")</f>
        <v>#VALUE!</v>
      </c>
      <c r="C278" t="e">
        <f>AND('PROG FORM COMPLEM'!K287,"AAAAACB//gI=")</f>
        <v>#VALUE!</v>
      </c>
      <c r="D278" t="e">
        <f>AND('PROG FORM COMPLEM'!L287,"AAAAACB//gM=")</f>
        <v>#VALUE!</v>
      </c>
      <c r="E278" t="e">
        <f>AND('PROG FORM COMPLEM'!M287,"AAAAACB//gQ=")</f>
        <v>#VALUE!</v>
      </c>
      <c r="F278" t="e">
        <f>AND('PROG FORM COMPLEM'!N287,"AAAAACB//gU=")</f>
        <v>#VALUE!</v>
      </c>
      <c r="G278" t="e">
        <f>AND('PROG FORM COMPLEM'!O287,"AAAAACB//gY=")</f>
        <v>#VALUE!</v>
      </c>
      <c r="H278" t="e">
        <f>AND('PROG FORM COMPLEM'!P287,"AAAAACB//gc=")</f>
        <v>#VALUE!</v>
      </c>
      <c r="I278" t="e">
        <f>AND('PROG FORM COMPLEM'!Q287,"AAAAACB//gg=")</f>
        <v>#VALUE!</v>
      </c>
      <c r="J278" t="e">
        <f>AND('PROG FORM COMPLEM'!R287,"AAAAACB//gk=")</f>
        <v>#VALUE!</v>
      </c>
      <c r="K278" t="e">
        <f>AND('PROG FORM COMPLEM'!S287,"AAAAACB//go=")</f>
        <v>#VALUE!</v>
      </c>
      <c r="L278" t="e">
        <f>AND('PROG FORM COMPLEM'!T287,"AAAAACB//gs=")</f>
        <v>#VALUE!</v>
      </c>
      <c r="M278" t="e">
        <f>AND('PROG FORM COMPLEM'!U287,"AAAAACB//gw=")</f>
        <v>#VALUE!</v>
      </c>
      <c r="N278" t="e">
        <f>AND('PROG FORM COMPLEM'!V287,"AAAAACB//g0=")</f>
        <v>#VALUE!</v>
      </c>
      <c r="O278" t="e">
        <f>AND('PROG FORM COMPLEM'!W287,"AAAAACB//g4=")</f>
        <v>#VALUE!</v>
      </c>
      <c r="P278">
        <f>IF('PROG FORM COMPLEM'!288:288,"AAAAACB//g8=",0)</f>
        <v>0</v>
      </c>
      <c r="Q278" t="e">
        <f>AND('PROG FORM COMPLEM'!B288,"AAAAACB//hA=")</f>
        <v>#VALUE!</v>
      </c>
      <c r="R278" t="e">
        <f>AND('PROG FORM COMPLEM'!C288,"AAAAACB//hE=")</f>
        <v>#VALUE!</v>
      </c>
      <c r="S278" t="e">
        <f>AND('PROG FORM COMPLEM'!D288,"AAAAACB//hI=")</f>
        <v>#VALUE!</v>
      </c>
      <c r="T278" t="e">
        <f>AND('PROG FORM COMPLEM'!E288,"AAAAACB//hM=")</f>
        <v>#VALUE!</v>
      </c>
      <c r="U278" t="e">
        <f>AND('PROG FORM COMPLEM'!F288,"AAAAACB//hQ=")</f>
        <v>#VALUE!</v>
      </c>
      <c r="V278" t="e">
        <f>AND('PROG FORM COMPLEM'!G288,"AAAAACB//hU=")</f>
        <v>#VALUE!</v>
      </c>
      <c r="W278" t="e">
        <f>AND('PROG FORM COMPLEM'!H288,"AAAAACB//hY=")</f>
        <v>#VALUE!</v>
      </c>
      <c r="X278" t="e">
        <f>AND('PROG FORM COMPLEM'!I288,"AAAAACB//hc=")</f>
        <v>#VALUE!</v>
      </c>
      <c r="Y278" t="e">
        <f>AND('PROG FORM COMPLEM'!J288,"AAAAACB//hg=")</f>
        <v>#VALUE!</v>
      </c>
      <c r="Z278" t="e">
        <f>AND('PROG FORM COMPLEM'!K288,"AAAAACB//hk=")</f>
        <v>#VALUE!</v>
      </c>
      <c r="AA278" t="e">
        <f>AND('PROG FORM COMPLEM'!L288,"AAAAACB//ho=")</f>
        <v>#VALUE!</v>
      </c>
      <c r="AB278" t="e">
        <f>AND('PROG FORM COMPLEM'!M288,"AAAAACB//hs=")</f>
        <v>#VALUE!</v>
      </c>
      <c r="AC278" t="e">
        <f>AND('PROG FORM COMPLEM'!N288,"AAAAACB//hw=")</f>
        <v>#VALUE!</v>
      </c>
      <c r="AD278" t="e">
        <f>AND('PROG FORM COMPLEM'!O288,"AAAAACB//h0=")</f>
        <v>#VALUE!</v>
      </c>
      <c r="AE278" t="e">
        <f>AND('PROG FORM COMPLEM'!P288,"AAAAACB//h4=")</f>
        <v>#VALUE!</v>
      </c>
      <c r="AF278" t="e">
        <f>AND('PROG FORM COMPLEM'!Q288,"AAAAACB//h8=")</f>
        <v>#VALUE!</v>
      </c>
      <c r="AG278" t="e">
        <f>AND('PROG FORM COMPLEM'!R288,"AAAAACB//iA=")</f>
        <v>#VALUE!</v>
      </c>
      <c r="AH278" t="e">
        <f>AND('PROG FORM COMPLEM'!S288,"AAAAACB//iE=")</f>
        <v>#VALUE!</v>
      </c>
      <c r="AI278" t="e">
        <f>AND('PROG FORM COMPLEM'!T288,"AAAAACB//iI=")</f>
        <v>#VALUE!</v>
      </c>
      <c r="AJ278" t="e">
        <f>AND('PROG FORM COMPLEM'!U288,"AAAAACB//iM=")</f>
        <v>#VALUE!</v>
      </c>
      <c r="AK278" t="e">
        <f>AND('PROG FORM COMPLEM'!V288,"AAAAACB//iQ=")</f>
        <v>#VALUE!</v>
      </c>
      <c r="AL278" t="e">
        <f>AND('PROG FORM COMPLEM'!W288,"AAAAACB//iU=")</f>
        <v>#VALUE!</v>
      </c>
      <c r="AM278">
        <f>IF('PROG FORM COMPLEM'!289:289,"AAAAACB//iY=",0)</f>
        <v>0</v>
      </c>
      <c r="AN278" t="e">
        <f>AND('PROG FORM COMPLEM'!B289,"AAAAACB//ic=")</f>
        <v>#VALUE!</v>
      </c>
      <c r="AO278" t="e">
        <f>AND('PROG FORM COMPLEM'!C289,"AAAAACB//ig=")</f>
        <v>#VALUE!</v>
      </c>
      <c r="AP278" t="e">
        <f>AND('PROG FORM COMPLEM'!D289,"AAAAACB//ik=")</f>
        <v>#VALUE!</v>
      </c>
      <c r="AQ278" t="e">
        <f>AND('PROG FORM COMPLEM'!E289,"AAAAACB//io=")</f>
        <v>#VALUE!</v>
      </c>
      <c r="AR278" t="e">
        <f>AND('PROG FORM COMPLEM'!F289,"AAAAACB//is=")</f>
        <v>#VALUE!</v>
      </c>
      <c r="AS278" t="e">
        <f>AND('PROG FORM COMPLEM'!G289,"AAAAACB//iw=")</f>
        <v>#VALUE!</v>
      </c>
      <c r="AT278" t="e">
        <f>AND('PROG FORM COMPLEM'!H289,"AAAAACB//i0=")</f>
        <v>#VALUE!</v>
      </c>
      <c r="AU278" t="e">
        <f>AND('PROG FORM COMPLEM'!I289,"AAAAACB//i4=")</f>
        <v>#VALUE!</v>
      </c>
      <c r="AV278" t="e">
        <f>AND('PROG FORM COMPLEM'!J289,"AAAAACB//i8=")</f>
        <v>#VALUE!</v>
      </c>
      <c r="AW278" t="e">
        <f>AND('PROG FORM COMPLEM'!K289,"AAAAACB//jA=")</f>
        <v>#VALUE!</v>
      </c>
      <c r="AX278" t="e">
        <f>AND('PROG FORM COMPLEM'!L289,"AAAAACB//jE=")</f>
        <v>#VALUE!</v>
      </c>
      <c r="AY278" t="e">
        <f>AND('PROG FORM COMPLEM'!M289,"AAAAACB//jI=")</f>
        <v>#VALUE!</v>
      </c>
      <c r="AZ278" t="e">
        <f>AND('PROG FORM COMPLEM'!N289,"AAAAACB//jM=")</f>
        <v>#VALUE!</v>
      </c>
      <c r="BA278" t="e">
        <f>AND('PROG FORM COMPLEM'!O289,"AAAAACB//jQ=")</f>
        <v>#VALUE!</v>
      </c>
      <c r="BB278" t="e">
        <f>AND('PROG FORM COMPLEM'!P289,"AAAAACB//jU=")</f>
        <v>#VALUE!</v>
      </c>
      <c r="BC278" t="e">
        <f>AND('PROG FORM COMPLEM'!Q289,"AAAAACB//jY=")</f>
        <v>#VALUE!</v>
      </c>
      <c r="BD278" t="e">
        <f>AND('PROG FORM COMPLEM'!R289,"AAAAACB//jc=")</f>
        <v>#VALUE!</v>
      </c>
      <c r="BE278" t="e">
        <f>AND('PROG FORM COMPLEM'!S289,"AAAAACB//jg=")</f>
        <v>#VALUE!</v>
      </c>
      <c r="BF278" t="e">
        <f>AND('PROG FORM COMPLEM'!T289,"AAAAACB//jk=")</f>
        <v>#VALUE!</v>
      </c>
      <c r="BG278" t="e">
        <f>AND('PROG FORM COMPLEM'!U289,"AAAAACB//jo=")</f>
        <v>#VALUE!</v>
      </c>
      <c r="BH278" t="e">
        <f>AND('PROG FORM COMPLEM'!V289,"AAAAACB//js=")</f>
        <v>#VALUE!</v>
      </c>
      <c r="BI278" t="e">
        <f>AND('PROG FORM COMPLEM'!W289,"AAAAACB//jw=")</f>
        <v>#VALUE!</v>
      </c>
      <c r="BJ278">
        <f>IF('PROG FORM COMPLEM'!290:290,"AAAAACB//j0=",0)</f>
        <v>0</v>
      </c>
      <c r="BK278" t="e">
        <f>AND('PROG FORM COMPLEM'!B290,"AAAAACB//j4=")</f>
        <v>#VALUE!</v>
      </c>
      <c r="BL278" t="e">
        <f>AND('PROG FORM COMPLEM'!C290,"AAAAACB//j8=")</f>
        <v>#VALUE!</v>
      </c>
      <c r="BM278" t="e">
        <f>AND('PROG FORM COMPLEM'!D290,"AAAAACB//kA=")</f>
        <v>#VALUE!</v>
      </c>
      <c r="BN278" t="e">
        <f>AND('PROG FORM COMPLEM'!E290,"AAAAACB//kE=")</f>
        <v>#VALUE!</v>
      </c>
      <c r="BO278" t="e">
        <f>AND('PROG FORM COMPLEM'!F290,"AAAAACB//kI=")</f>
        <v>#VALUE!</v>
      </c>
      <c r="BP278" t="e">
        <f>AND('PROG FORM COMPLEM'!G290,"AAAAACB//kM=")</f>
        <v>#VALUE!</v>
      </c>
      <c r="BQ278" t="e">
        <f>AND('PROG FORM COMPLEM'!H290,"AAAAACB//kQ=")</f>
        <v>#VALUE!</v>
      </c>
      <c r="BR278" t="e">
        <f>AND('PROG FORM COMPLEM'!I290,"AAAAACB//kU=")</f>
        <v>#VALUE!</v>
      </c>
      <c r="BS278" t="e">
        <f>AND('PROG FORM COMPLEM'!J290,"AAAAACB//kY=")</f>
        <v>#VALUE!</v>
      </c>
      <c r="BT278" t="e">
        <f>AND('PROG FORM COMPLEM'!K290,"AAAAACB//kc=")</f>
        <v>#VALUE!</v>
      </c>
      <c r="BU278" t="e">
        <f>AND('PROG FORM COMPLEM'!L290,"AAAAACB//kg=")</f>
        <v>#VALUE!</v>
      </c>
      <c r="BV278" t="e">
        <f>AND('PROG FORM COMPLEM'!M290,"AAAAACB//kk=")</f>
        <v>#VALUE!</v>
      </c>
      <c r="BW278" t="e">
        <f>AND('PROG FORM COMPLEM'!N290,"AAAAACB//ko=")</f>
        <v>#VALUE!</v>
      </c>
      <c r="BX278" t="e">
        <f>AND('PROG FORM COMPLEM'!O290,"AAAAACB//ks=")</f>
        <v>#VALUE!</v>
      </c>
      <c r="BY278" t="e">
        <f>AND('PROG FORM COMPLEM'!P290,"AAAAACB//kw=")</f>
        <v>#VALUE!</v>
      </c>
      <c r="BZ278" t="e">
        <f>AND('PROG FORM COMPLEM'!Q290,"AAAAACB//k0=")</f>
        <v>#VALUE!</v>
      </c>
      <c r="CA278" t="e">
        <f>AND('PROG FORM COMPLEM'!R290,"AAAAACB//k4=")</f>
        <v>#VALUE!</v>
      </c>
      <c r="CB278" t="e">
        <f>AND('PROG FORM COMPLEM'!S290,"AAAAACB//k8=")</f>
        <v>#VALUE!</v>
      </c>
      <c r="CC278" t="e">
        <f>AND('PROG FORM COMPLEM'!T290,"AAAAACB//lA=")</f>
        <v>#VALUE!</v>
      </c>
      <c r="CD278" t="e">
        <f>AND('PROG FORM COMPLEM'!U290,"AAAAACB//lE=")</f>
        <v>#VALUE!</v>
      </c>
      <c r="CE278" t="e">
        <f>AND('PROG FORM COMPLEM'!V290,"AAAAACB//lI=")</f>
        <v>#VALUE!</v>
      </c>
      <c r="CF278" t="e">
        <f>AND('PROG FORM COMPLEM'!W290,"AAAAACB//lM=")</f>
        <v>#VALUE!</v>
      </c>
      <c r="CG278">
        <f>IF('PROG FORM COMPLEM'!291:291,"AAAAACB//lQ=",0)</f>
        <v>0</v>
      </c>
      <c r="CH278" t="e">
        <f>AND('PROG FORM COMPLEM'!B291,"AAAAACB//lU=")</f>
        <v>#VALUE!</v>
      </c>
      <c r="CI278" t="e">
        <f>AND('PROG FORM COMPLEM'!C291,"AAAAACB//lY=")</f>
        <v>#VALUE!</v>
      </c>
      <c r="CJ278" t="e">
        <f>AND('PROG FORM COMPLEM'!D291,"AAAAACB//lc=")</f>
        <v>#VALUE!</v>
      </c>
      <c r="CK278" t="e">
        <f>AND('PROG FORM COMPLEM'!E291,"AAAAACB//lg=")</f>
        <v>#VALUE!</v>
      </c>
      <c r="CL278" t="e">
        <f>AND('PROG FORM COMPLEM'!F291,"AAAAACB//lk=")</f>
        <v>#VALUE!</v>
      </c>
      <c r="CM278" t="e">
        <f>AND('PROG FORM COMPLEM'!G291,"AAAAACB//lo=")</f>
        <v>#VALUE!</v>
      </c>
      <c r="CN278" t="e">
        <f>AND('PROG FORM COMPLEM'!H291,"AAAAACB//ls=")</f>
        <v>#VALUE!</v>
      </c>
      <c r="CO278" t="e">
        <f>AND('PROG FORM COMPLEM'!I291,"AAAAACB//lw=")</f>
        <v>#VALUE!</v>
      </c>
      <c r="CP278" t="e">
        <f>AND('PROG FORM COMPLEM'!J291,"AAAAACB//l0=")</f>
        <v>#VALUE!</v>
      </c>
      <c r="CQ278" t="e">
        <f>AND('PROG FORM COMPLEM'!K291,"AAAAACB//l4=")</f>
        <v>#VALUE!</v>
      </c>
      <c r="CR278" t="e">
        <f>AND('PROG FORM COMPLEM'!L291,"AAAAACB//l8=")</f>
        <v>#VALUE!</v>
      </c>
      <c r="CS278" t="e">
        <f>AND('PROG FORM COMPLEM'!M291,"AAAAACB//mA=")</f>
        <v>#VALUE!</v>
      </c>
      <c r="CT278" t="e">
        <f>AND('PROG FORM COMPLEM'!N291,"AAAAACB//mE=")</f>
        <v>#VALUE!</v>
      </c>
      <c r="CU278" t="e">
        <f>AND('PROG FORM COMPLEM'!O291,"AAAAACB//mI=")</f>
        <v>#VALUE!</v>
      </c>
      <c r="CV278" t="e">
        <f>AND('PROG FORM COMPLEM'!P291,"AAAAACB//mM=")</f>
        <v>#VALUE!</v>
      </c>
      <c r="CW278" t="e">
        <f>AND('PROG FORM COMPLEM'!Q291,"AAAAACB//mQ=")</f>
        <v>#VALUE!</v>
      </c>
      <c r="CX278" t="e">
        <f>AND('PROG FORM COMPLEM'!R291,"AAAAACB//mU=")</f>
        <v>#VALUE!</v>
      </c>
      <c r="CY278" t="e">
        <f>AND('PROG FORM COMPLEM'!S291,"AAAAACB//mY=")</f>
        <v>#VALUE!</v>
      </c>
      <c r="CZ278" t="e">
        <f>AND('PROG FORM COMPLEM'!T291,"AAAAACB//mc=")</f>
        <v>#VALUE!</v>
      </c>
      <c r="DA278" t="e">
        <f>AND('PROG FORM COMPLEM'!U291,"AAAAACB//mg=")</f>
        <v>#VALUE!</v>
      </c>
      <c r="DB278" t="e">
        <f>AND('PROG FORM COMPLEM'!V291,"AAAAACB//mk=")</f>
        <v>#VALUE!</v>
      </c>
      <c r="DC278" t="e">
        <f>AND('PROG FORM COMPLEM'!W291,"AAAAACB//mo=")</f>
        <v>#VALUE!</v>
      </c>
      <c r="DD278">
        <f>IF('PROG FORM COMPLEM'!292:292,"AAAAACB//ms=",0)</f>
        <v>0</v>
      </c>
      <c r="DE278" t="e">
        <f>AND('PROG FORM COMPLEM'!B292,"AAAAACB//mw=")</f>
        <v>#VALUE!</v>
      </c>
      <c r="DF278" t="e">
        <f>AND('PROG FORM COMPLEM'!C292,"AAAAACB//m0=")</f>
        <v>#VALUE!</v>
      </c>
      <c r="DG278" t="e">
        <f>AND('PROG FORM COMPLEM'!D292,"AAAAACB//m4=")</f>
        <v>#VALUE!</v>
      </c>
      <c r="DH278" t="e">
        <f>AND('PROG FORM COMPLEM'!E292,"AAAAACB//m8=")</f>
        <v>#VALUE!</v>
      </c>
      <c r="DI278" t="e">
        <f>AND('PROG FORM COMPLEM'!F292,"AAAAACB//nA=")</f>
        <v>#VALUE!</v>
      </c>
      <c r="DJ278" t="e">
        <f>AND('PROG FORM COMPLEM'!G292,"AAAAACB//nE=")</f>
        <v>#VALUE!</v>
      </c>
      <c r="DK278" t="e">
        <f>AND('PROG FORM COMPLEM'!H292,"AAAAACB//nI=")</f>
        <v>#VALUE!</v>
      </c>
      <c r="DL278" t="e">
        <f>AND('PROG FORM COMPLEM'!I292,"AAAAACB//nM=")</f>
        <v>#VALUE!</v>
      </c>
      <c r="DM278" t="e">
        <f>AND('PROG FORM COMPLEM'!J292,"AAAAACB//nQ=")</f>
        <v>#VALUE!</v>
      </c>
      <c r="DN278" t="e">
        <f>AND('PROG FORM COMPLEM'!K292,"AAAAACB//nU=")</f>
        <v>#VALUE!</v>
      </c>
      <c r="DO278" t="e">
        <f>AND('PROG FORM COMPLEM'!L292,"AAAAACB//nY=")</f>
        <v>#VALUE!</v>
      </c>
      <c r="DP278" t="e">
        <f>AND('PROG FORM COMPLEM'!M292,"AAAAACB//nc=")</f>
        <v>#VALUE!</v>
      </c>
      <c r="DQ278" t="e">
        <f>AND('PROG FORM COMPLEM'!N292,"AAAAACB//ng=")</f>
        <v>#VALUE!</v>
      </c>
      <c r="DR278" t="e">
        <f>AND('PROG FORM COMPLEM'!O292,"AAAAACB//nk=")</f>
        <v>#VALUE!</v>
      </c>
      <c r="DS278" t="e">
        <f>AND('PROG FORM COMPLEM'!P292,"AAAAACB//no=")</f>
        <v>#VALUE!</v>
      </c>
      <c r="DT278" t="e">
        <f>AND('PROG FORM COMPLEM'!Q292,"AAAAACB//ns=")</f>
        <v>#VALUE!</v>
      </c>
      <c r="DU278" t="e">
        <f>AND('PROG FORM COMPLEM'!R292,"AAAAACB//nw=")</f>
        <v>#VALUE!</v>
      </c>
      <c r="DV278" t="e">
        <f>AND('PROG FORM COMPLEM'!S292,"AAAAACB//n0=")</f>
        <v>#VALUE!</v>
      </c>
      <c r="DW278" t="e">
        <f>AND('PROG FORM COMPLEM'!T292,"AAAAACB//n4=")</f>
        <v>#VALUE!</v>
      </c>
      <c r="DX278" t="e">
        <f>AND('PROG FORM COMPLEM'!U292,"AAAAACB//n8=")</f>
        <v>#VALUE!</v>
      </c>
      <c r="DY278" t="e">
        <f>AND('PROG FORM COMPLEM'!V292,"AAAAACB//oA=")</f>
        <v>#VALUE!</v>
      </c>
      <c r="DZ278" t="e">
        <f>AND('PROG FORM COMPLEM'!W292,"AAAAACB//oE=")</f>
        <v>#VALUE!</v>
      </c>
      <c r="EA278">
        <f>IF('PROG FORM COMPLEM'!293:293,"AAAAACB//oI=",0)</f>
        <v>0</v>
      </c>
      <c r="EB278" t="e">
        <f>AND('PROG FORM COMPLEM'!B293,"AAAAACB//oM=")</f>
        <v>#VALUE!</v>
      </c>
      <c r="EC278" t="e">
        <f>AND('PROG FORM COMPLEM'!C293,"AAAAACB//oQ=")</f>
        <v>#VALUE!</v>
      </c>
      <c r="ED278" t="e">
        <f>AND('PROG FORM COMPLEM'!D293,"AAAAACB//oU=")</f>
        <v>#VALUE!</v>
      </c>
      <c r="EE278" t="e">
        <f>AND('PROG FORM COMPLEM'!E293,"AAAAACB//oY=")</f>
        <v>#VALUE!</v>
      </c>
      <c r="EF278" t="e">
        <f>AND('PROG FORM COMPLEM'!F293,"AAAAACB//oc=")</f>
        <v>#VALUE!</v>
      </c>
      <c r="EG278" t="e">
        <f>AND('PROG FORM COMPLEM'!G293,"AAAAACB//og=")</f>
        <v>#VALUE!</v>
      </c>
      <c r="EH278" t="e">
        <f>AND('PROG FORM COMPLEM'!H293,"AAAAACB//ok=")</f>
        <v>#VALUE!</v>
      </c>
      <c r="EI278" t="e">
        <f>AND('PROG FORM COMPLEM'!I293,"AAAAACB//oo=")</f>
        <v>#VALUE!</v>
      </c>
      <c r="EJ278" t="e">
        <f>AND('PROG FORM COMPLEM'!J293,"AAAAACB//os=")</f>
        <v>#VALUE!</v>
      </c>
      <c r="EK278" t="e">
        <f>AND('PROG FORM COMPLEM'!K293,"AAAAACB//ow=")</f>
        <v>#VALUE!</v>
      </c>
      <c r="EL278" t="e">
        <f>AND('PROG FORM COMPLEM'!L293,"AAAAACB//o0=")</f>
        <v>#VALUE!</v>
      </c>
      <c r="EM278" t="e">
        <f>AND('PROG FORM COMPLEM'!M293,"AAAAACB//o4=")</f>
        <v>#VALUE!</v>
      </c>
      <c r="EN278" t="e">
        <f>AND('PROG FORM COMPLEM'!N293,"AAAAACB//o8=")</f>
        <v>#VALUE!</v>
      </c>
      <c r="EO278" t="e">
        <f>AND('PROG FORM COMPLEM'!O293,"AAAAACB//pA=")</f>
        <v>#VALUE!</v>
      </c>
      <c r="EP278" t="e">
        <f>AND('PROG FORM COMPLEM'!P293,"AAAAACB//pE=")</f>
        <v>#VALUE!</v>
      </c>
      <c r="EQ278" t="e">
        <f>AND('PROG FORM COMPLEM'!Q293,"AAAAACB//pI=")</f>
        <v>#VALUE!</v>
      </c>
      <c r="ER278" t="e">
        <f>AND('PROG FORM COMPLEM'!R293,"AAAAACB//pM=")</f>
        <v>#VALUE!</v>
      </c>
      <c r="ES278" t="e">
        <f>AND('PROG FORM COMPLEM'!S293,"AAAAACB//pQ=")</f>
        <v>#VALUE!</v>
      </c>
      <c r="ET278" t="e">
        <f>AND('PROG FORM COMPLEM'!T293,"AAAAACB//pU=")</f>
        <v>#VALUE!</v>
      </c>
      <c r="EU278" t="e">
        <f>AND('PROG FORM COMPLEM'!U293,"AAAAACB//pY=")</f>
        <v>#VALUE!</v>
      </c>
      <c r="EV278" t="e">
        <f>AND('PROG FORM COMPLEM'!V293,"AAAAACB//pc=")</f>
        <v>#VALUE!</v>
      </c>
      <c r="EW278" t="e">
        <f>AND('PROG FORM COMPLEM'!W293,"AAAAACB//pg=")</f>
        <v>#VALUE!</v>
      </c>
      <c r="EX278">
        <f>IF('PROG FORM COMPLEM'!294:294,"AAAAACB//pk=",0)</f>
        <v>0</v>
      </c>
      <c r="EY278" t="e">
        <f>AND('PROG FORM COMPLEM'!B294,"AAAAACB//po=")</f>
        <v>#VALUE!</v>
      </c>
      <c r="EZ278" t="e">
        <f>AND('PROG FORM COMPLEM'!C294,"AAAAACB//ps=")</f>
        <v>#VALUE!</v>
      </c>
      <c r="FA278" t="e">
        <f>AND('PROG FORM COMPLEM'!D294,"AAAAACB//pw=")</f>
        <v>#VALUE!</v>
      </c>
      <c r="FB278" t="e">
        <f>AND('PROG FORM COMPLEM'!E294,"AAAAACB//p0=")</f>
        <v>#VALUE!</v>
      </c>
      <c r="FC278" t="e">
        <f>AND('PROG FORM COMPLEM'!F294,"AAAAACB//p4=")</f>
        <v>#VALUE!</v>
      </c>
      <c r="FD278" t="e">
        <f>AND('PROG FORM COMPLEM'!G294,"AAAAACB//p8=")</f>
        <v>#VALUE!</v>
      </c>
      <c r="FE278" t="e">
        <f>AND('PROG FORM COMPLEM'!H294,"AAAAACB//qA=")</f>
        <v>#VALUE!</v>
      </c>
      <c r="FF278" t="e">
        <f>AND('PROG FORM COMPLEM'!I294,"AAAAACB//qE=")</f>
        <v>#VALUE!</v>
      </c>
      <c r="FG278" t="e">
        <f>AND('PROG FORM COMPLEM'!J294,"AAAAACB//qI=")</f>
        <v>#VALUE!</v>
      </c>
      <c r="FH278" t="e">
        <f>AND('PROG FORM COMPLEM'!K294,"AAAAACB//qM=")</f>
        <v>#VALUE!</v>
      </c>
      <c r="FI278" t="e">
        <f>AND('PROG FORM COMPLEM'!L294,"AAAAACB//qQ=")</f>
        <v>#VALUE!</v>
      </c>
      <c r="FJ278" t="e">
        <f>AND('PROG FORM COMPLEM'!M294,"AAAAACB//qU=")</f>
        <v>#VALUE!</v>
      </c>
      <c r="FK278" t="e">
        <f>AND('PROG FORM COMPLEM'!N294,"AAAAACB//qY=")</f>
        <v>#VALUE!</v>
      </c>
      <c r="FL278" t="e">
        <f>AND('PROG FORM COMPLEM'!O294,"AAAAACB//qc=")</f>
        <v>#VALUE!</v>
      </c>
      <c r="FM278" t="e">
        <f>AND('PROG FORM COMPLEM'!P294,"AAAAACB//qg=")</f>
        <v>#VALUE!</v>
      </c>
      <c r="FN278" t="e">
        <f>AND('PROG FORM COMPLEM'!Q294,"AAAAACB//qk=")</f>
        <v>#VALUE!</v>
      </c>
      <c r="FO278" t="e">
        <f>AND('PROG FORM COMPLEM'!R294,"AAAAACB//qo=")</f>
        <v>#VALUE!</v>
      </c>
      <c r="FP278" t="e">
        <f>AND('PROG FORM COMPLEM'!S294,"AAAAACB//qs=")</f>
        <v>#VALUE!</v>
      </c>
      <c r="FQ278" t="e">
        <f>AND('PROG FORM COMPLEM'!T294,"AAAAACB//qw=")</f>
        <v>#VALUE!</v>
      </c>
      <c r="FR278" t="e">
        <f>AND('PROG FORM COMPLEM'!U294,"AAAAACB//q0=")</f>
        <v>#VALUE!</v>
      </c>
      <c r="FS278" t="e">
        <f>AND('PROG FORM COMPLEM'!V294,"AAAAACB//q4=")</f>
        <v>#VALUE!</v>
      </c>
      <c r="FT278" t="e">
        <f>AND('PROG FORM COMPLEM'!W294,"AAAAACB//q8=")</f>
        <v>#VALUE!</v>
      </c>
      <c r="FU278">
        <f>IF('PROG FORM COMPLEM'!295:295,"AAAAACB//rA=",0)</f>
        <v>0</v>
      </c>
      <c r="FV278" t="e">
        <f>AND('PROG FORM COMPLEM'!B295,"AAAAACB//rE=")</f>
        <v>#VALUE!</v>
      </c>
      <c r="FW278" t="e">
        <f>AND('PROG FORM COMPLEM'!C295,"AAAAACB//rI=")</f>
        <v>#VALUE!</v>
      </c>
      <c r="FX278" t="e">
        <f>AND('PROG FORM COMPLEM'!D295,"AAAAACB//rM=")</f>
        <v>#VALUE!</v>
      </c>
      <c r="FY278" t="e">
        <f>AND('PROG FORM COMPLEM'!E295,"AAAAACB//rQ=")</f>
        <v>#VALUE!</v>
      </c>
      <c r="FZ278" t="e">
        <f>AND('PROG FORM COMPLEM'!F295,"AAAAACB//rU=")</f>
        <v>#VALUE!</v>
      </c>
      <c r="GA278" t="e">
        <f>AND('PROG FORM COMPLEM'!G295,"AAAAACB//rY=")</f>
        <v>#VALUE!</v>
      </c>
      <c r="GB278" t="e">
        <f>AND('PROG FORM COMPLEM'!H295,"AAAAACB//rc=")</f>
        <v>#VALUE!</v>
      </c>
      <c r="GC278" t="e">
        <f>AND('PROG FORM COMPLEM'!I295,"AAAAACB//rg=")</f>
        <v>#VALUE!</v>
      </c>
      <c r="GD278" t="e">
        <f>AND('PROG FORM COMPLEM'!J295,"AAAAACB//rk=")</f>
        <v>#VALUE!</v>
      </c>
      <c r="GE278" t="e">
        <f>AND('PROG FORM COMPLEM'!K295,"AAAAACB//ro=")</f>
        <v>#VALUE!</v>
      </c>
      <c r="GF278" t="e">
        <f>AND('PROG FORM COMPLEM'!L295,"AAAAACB//rs=")</f>
        <v>#VALUE!</v>
      </c>
      <c r="GG278" t="e">
        <f>AND('PROG FORM COMPLEM'!M295,"AAAAACB//rw=")</f>
        <v>#VALUE!</v>
      </c>
      <c r="GH278" t="e">
        <f>AND('PROG FORM COMPLEM'!N295,"AAAAACB//r0=")</f>
        <v>#VALUE!</v>
      </c>
      <c r="GI278" t="e">
        <f>AND('PROG FORM COMPLEM'!O295,"AAAAACB//r4=")</f>
        <v>#VALUE!</v>
      </c>
      <c r="GJ278" t="e">
        <f>AND('PROG FORM COMPLEM'!P295,"AAAAACB//r8=")</f>
        <v>#VALUE!</v>
      </c>
      <c r="GK278" t="e">
        <f>AND('PROG FORM COMPLEM'!Q295,"AAAAACB//sA=")</f>
        <v>#VALUE!</v>
      </c>
      <c r="GL278" t="e">
        <f>AND('PROG FORM COMPLEM'!R295,"AAAAACB//sE=")</f>
        <v>#VALUE!</v>
      </c>
      <c r="GM278" t="e">
        <f>AND('PROG FORM COMPLEM'!S295,"AAAAACB//sI=")</f>
        <v>#VALUE!</v>
      </c>
      <c r="GN278" t="e">
        <f>AND('PROG FORM COMPLEM'!T295,"AAAAACB//sM=")</f>
        <v>#VALUE!</v>
      </c>
      <c r="GO278" t="e">
        <f>AND('PROG FORM COMPLEM'!U295,"AAAAACB//sQ=")</f>
        <v>#VALUE!</v>
      </c>
      <c r="GP278" t="e">
        <f>AND('PROG FORM COMPLEM'!V295,"AAAAACB//sU=")</f>
        <v>#VALUE!</v>
      </c>
      <c r="GQ278" t="e">
        <f>AND('PROG FORM COMPLEM'!W295,"AAAAACB//sY=")</f>
        <v>#VALUE!</v>
      </c>
      <c r="GR278">
        <f>IF('PROG FORM COMPLEM'!296:296,"AAAAACB//sc=",0)</f>
        <v>0</v>
      </c>
      <c r="GS278" t="e">
        <f>AND('PROG FORM COMPLEM'!B296,"AAAAACB//sg=")</f>
        <v>#VALUE!</v>
      </c>
      <c r="GT278" t="e">
        <f>AND('PROG FORM COMPLEM'!C296,"AAAAACB//sk=")</f>
        <v>#VALUE!</v>
      </c>
      <c r="GU278" t="e">
        <f>AND('PROG FORM COMPLEM'!D296,"AAAAACB//so=")</f>
        <v>#VALUE!</v>
      </c>
      <c r="GV278" t="e">
        <f>AND('PROG FORM COMPLEM'!E296,"AAAAACB//ss=")</f>
        <v>#VALUE!</v>
      </c>
      <c r="GW278" t="e">
        <f>AND('PROG FORM COMPLEM'!F296,"AAAAACB//sw=")</f>
        <v>#VALUE!</v>
      </c>
      <c r="GX278" t="e">
        <f>AND('PROG FORM COMPLEM'!G296,"AAAAACB//s0=")</f>
        <v>#VALUE!</v>
      </c>
      <c r="GY278" t="e">
        <f>AND('PROG FORM COMPLEM'!H296,"AAAAACB//s4=")</f>
        <v>#VALUE!</v>
      </c>
      <c r="GZ278" t="e">
        <f>AND('PROG FORM COMPLEM'!I296,"AAAAACB//s8=")</f>
        <v>#VALUE!</v>
      </c>
      <c r="HA278" t="e">
        <f>AND('PROG FORM COMPLEM'!J296,"AAAAACB//tA=")</f>
        <v>#VALUE!</v>
      </c>
      <c r="HB278" t="e">
        <f>AND('PROG FORM COMPLEM'!K296,"AAAAACB//tE=")</f>
        <v>#VALUE!</v>
      </c>
      <c r="HC278" t="e">
        <f>AND('PROG FORM COMPLEM'!L296,"AAAAACB//tI=")</f>
        <v>#VALUE!</v>
      </c>
      <c r="HD278" t="e">
        <f>AND('PROG FORM COMPLEM'!M296,"AAAAACB//tM=")</f>
        <v>#VALUE!</v>
      </c>
      <c r="HE278" t="e">
        <f>AND('PROG FORM COMPLEM'!N296,"AAAAACB//tQ=")</f>
        <v>#VALUE!</v>
      </c>
      <c r="HF278" t="e">
        <f>AND('PROG FORM COMPLEM'!O296,"AAAAACB//tU=")</f>
        <v>#VALUE!</v>
      </c>
      <c r="HG278" t="e">
        <f>AND('PROG FORM COMPLEM'!P296,"AAAAACB//tY=")</f>
        <v>#VALUE!</v>
      </c>
      <c r="HH278" t="e">
        <f>AND('PROG FORM COMPLEM'!Q296,"AAAAACB//tc=")</f>
        <v>#VALUE!</v>
      </c>
      <c r="HI278" t="e">
        <f>AND('PROG FORM COMPLEM'!R296,"AAAAACB//tg=")</f>
        <v>#VALUE!</v>
      </c>
      <c r="HJ278" t="e">
        <f>AND('PROG FORM COMPLEM'!S296,"AAAAACB//tk=")</f>
        <v>#VALUE!</v>
      </c>
      <c r="HK278" t="e">
        <f>AND('PROG FORM COMPLEM'!T296,"AAAAACB//to=")</f>
        <v>#VALUE!</v>
      </c>
      <c r="HL278" t="e">
        <f>AND('PROG FORM COMPLEM'!U296,"AAAAACB//ts=")</f>
        <v>#VALUE!</v>
      </c>
      <c r="HM278" t="e">
        <f>AND('PROG FORM COMPLEM'!V296,"AAAAACB//tw=")</f>
        <v>#VALUE!</v>
      </c>
      <c r="HN278" t="e">
        <f>AND('PROG FORM COMPLEM'!W296,"AAAAACB//t0=")</f>
        <v>#VALUE!</v>
      </c>
      <c r="HO278">
        <f>IF('PROG FORM COMPLEM'!297:297,"AAAAACB//t4=",0)</f>
        <v>0</v>
      </c>
      <c r="HP278" t="e">
        <f>AND('PROG FORM COMPLEM'!B297,"AAAAACB//t8=")</f>
        <v>#VALUE!</v>
      </c>
      <c r="HQ278" t="e">
        <f>AND('PROG FORM COMPLEM'!C297,"AAAAACB//uA=")</f>
        <v>#VALUE!</v>
      </c>
      <c r="HR278" t="e">
        <f>AND('PROG FORM COMPLEM'!D297,"AAAAACB//uE=")</f>
        <v>#VALUE!</v>
      </c>
      <c r="HS278" t="e">
        <f>AND('PROG FORM COMPLEM'!E297,"AAAAACB//uI=")</f>
        <v>#VALUE!</v>
      </c>
      <c r="HT278" t="e">
        <f>AND('PROG FORM COMPLEM'!F297,"AAAAACB//uM=")</f>
        <v>#VALUE!</v>
      </c>
      <c r="HU278" t="e">
        <f>AND('PROG FORM COMPLEM'!G297,"AAAAACB//uQ=")</f>
        <v>#VALUE!</v>
      </c>
      <c r="HV278" t="e">
        <f>AND('PROG FORM COMPLEM'!H297,"AAAAACB//uU=")</f>
        <v>#VALUE!</v>
      </c>
      <c r="HW278" t="e">
        <f>AND('PROG FORM COMPLEM'!I297,"AAAAACB//uY=")</f>
        <v>#VALUE!</v>
      </c>
      <c r="HX278" t="e">
        <f>AND('PROG FORM COMPLEM'!J297,"AAAAACB//uc=")</f>
        <v>#VALUE!</v>
      </c>
      <c r="HY278" t="e">
        <f>AND('PROG FORM COMPLEM'!K297,"AAAAACB//ug=")</f>
        <v>#VALUE!</v>
      </c>
      <c r="HZ278" t="e">
        <f>AND('PROG FORM COMPLEM'!L297,"AAAAACB//uk=")</f>
        <v>#VALUE!</v>
      </c>
      <c r="IA278" t="e">
        <f>AND('PROG FORM COMPLEM'!M297,"AAAAACB//uo=")</f>
        <v>#VALUE!</v>
      </c>
      <c r="IB278" t="e">
        <f>AND('PROG FORM COMPLEM'!N297,"AAAAACB//us=")</f>
        <v>#VALUE!</v>
      </c>
      <c r="IC278" t="e">
        <f>AND('PROG FORM COMPLEM'!O297,"AAAAACB//uw=")</f>
        <v>#VALUE!</v>
      </c>
      <c r="ID278" t="e">
        <f>AND('PROG FORM COMPLEM'!P297,"AAAAACB//u0=")</f>
        <v>#VALUE!</v>
      </c>
      <c r="IE278" t="e">
        <f>AND('PROG FORM COMPLEM'!Q297,"AAAAACB//u4=")</f>
        <v>#VALUE!</v>
      </c>
      <c r="IF278" t="e">
        <f>AND('PROG FORM COMPLEM'!R297,"AAAAACB//u8=")</f>
        <v>#VALUE!</v>
      </c>
      <c r="IG278" t="e">
        <f>AND('PROG FORM COMPLEM'!S297,"AAAAACB//vA=")</f>
        <v>#VALUE!</v>
      </c>
      <c r="IH278" t="e">
        <f>AND('PROG FORM COMPLEM'!T297,"AAAAACB//vE=")</f>
        <v>#VALUE!</v>
      </c>
      <c r="II278" t="e">
        <f>AND('PROG FORM COMPLEM'!U297,"AAAAACB//vI=")</f>
        <v>#VALUE!</v>
      </c>
      <c r="IJ278" t="e">
        <f>AND('PROG FORM COMPLEM'!V297,"AAAAACB//vM=")</f>
        <v>#VALUE!</v>
      </c>
      <c r="IK278" t="e">
        <f>AND('PROG FORM COMPLEM'!W297,"AAAAACB//vQ=")</f>
        <v>#VALUE!</v>
      </c>
      <c r="IL278">
        <f>IF('PROG FORM COMPLEM'!298:298,"AAAAACB//vU=",0)</f>
        <v>0</v>
      </c>
      <c r="IM278" t="e">
        <f>AND('PROG FORM COMPLEM'!B298,"AAAAACB//vY=")</f>
        <v>#VALUE!</v>
      </c>
      <c r="IN278" t="e">
        <f>AND('PROG FORM COMPLEM'!C298,"AAAAACB//vc=")</f>
        <v>#VALUE!</v>
      </c>
      <c r="IO278" t="e">
        <f>AND('PROG FORM COMPLEM'!D298,"AAAAACB//vg=")</f>
        <v>#VALUE!</v>
      </c>
      <c r="IP278" t="e">
        <f>AND('PROG FORM COMPLEM'!E298,"AAAAACB//vk=")</f>
        <v>#VALUE!</v>
      </c>
      <c r="IQ278" t="e">
        <f>AND('PROG FORM COMPLEM'!F298,"AAAAACB//vo=")</f>
        <v>#VALUE!</v>
      </c>
      <c r="IR278" t="e">
        <f>AND('PROG FORM COMPLEM'!G298,"AAAAACB//vs=")</f>
        <v>#VALUE!</v>
      </c>
      <c r="IS278" t="e">
        <f>AND('PROG FORM COMPLEM'!H298,"AAAAACB//vw=")</f>
        <v>#VALUE!</v>
      </c>
      <c r="IT278" t="e">
        <f>AND('PROG FORM COMPLEM'!I298,"AAAAACB//v0=")</f>
        <v>#VALUE!</v>
      </c>
      <c r="IU278" t="e">
        <f>AND('PROG FORM COMPLEM'!J298,"AAAAACB//v4=")</f>
        <v>#VALUE!</v>
      </c>
      <c r="IV278" t="e">
        <f>AND('PROG FORM COMPLEM'!K298,"AAAAACB//v8=")</f>
        <v>#VALUE!</v>
      </c>
    </row>
    <row r="279" spans="1:256" x14ac:dyDescent="0.2">
      <c r="A279" t="e">
        <f>AND('PROG FORM COMPLEM'!L298,"AAAAAGnefwA=")</f>
        <v>#VALUE!</v>
      </c>
      <c r="B279" t="e">
        <f>AND('PROG FORM COMPLEM'!M298,"AAAAAGnefwE=")</f>
        <v>#VALUE!</v>
      </c>
      <c r="C279" t="e">
        <f>AND('PROG FORM COMPLEM'!N298,"AAAAAGnefwI=")</f>
        <v>#VALUE!</v>
      </c>
      <c r="D279" t="e">
        <f>AND('PROG FORM COMPLEM'!O298,"AAAAAGnefwM=")</f>
        <v>#VALUE!</v>
      </c>
      <c r="E279" t="e">
        <f>AND('PROG FORM COMPLEM'!P298,"AAAAAGnefwQ=")</f>
        <v>#VALUE!</v>
      </c>
      <c r="F279" t="e">
        <f>AND('PROG FORM COMPLEM'!Q298,"AAAAAGnefwU=")</f>
        <v>#VALUE!</v>
      </c>
      <c r="G279" t="e">
        <f>AND('PROG FORM COMPLEM'!R298,"AAAAAGnefwY=")</f>
        <v>#VALUE!</v>
      </c>
      <c r="H279" t="e">
        <f>AND('PROG FORM COMPLEM'!S298,"AAAAAGnefwc=")</f>
        <v>#VALUE!</v>
      </c>
      <c r="I279" t="e">
        <f>AND('PROG FORM COMPLEM'!T298,"AAAAAGnefwg=")</f>
        <v>#VALUE!</v>
      </c>
      <c r="J279" t="e">
        <f>AND('PROG FORM COMPLEM'!U298,"AAAAAGnefwk=")</f>
        <v>#VALUE!</v>
      </c>
      <c r="K279" t="e">
        <f>AND('PROG FORM COMPLEM'!V298,"AAAAAGnefwo=")</f>
        <v>#VALUE!</v>
      </c>
      <c r="L279" t="e">
        <f>AND('PROG FORM COMPLEM'!W298,"AAAAAGnefws=")</f>
        <v>#VALUE!</v>
      </c>
      <c r="M279">
        <f>IF('PROG FORM COMPLEM'!299:299,"AAAAAGnefww=",0)</f>
        <v>0</v>
      </c>
      <c r="N279" t="e">
        <f>AND('PROG FORM COMPLEM'!B299,"AAAAAGnefw0=")</f>
        <v>#VALUE!</v>
      </c>
      <c r="O279" t="e">
        <f>AND('PROG FORM COMPLEM'!C299,"AAAAAGnefw4=")</f>
        <v>#VALUE!</v>
      </c>
      <c r="P279" t="e">
        <f>AND('PROG FORM COMPLEM'!D299,"AAAAAGnefw8=")</f>
        <v>#VALUE!</v>
      </c>
      <c r="Q279" t="e">
        <f>AND('PROG FORM COMPLEM'!E299,"AAAAAGnefxA=")</f>
        <v>#VALUE!</v>
      </c>
      <c r="R279" t="e">
        <f>AND('PROG FORM COMPLEM'!F299,"AAAAAGnefxE=")</f>
        <v>#VALUE!</v>
      </c>
      <c r="S279" t="e">
        <f>AND('PROG FORM COMPLEM'!G299,"AAAAAGnefxI=")</f>
        <v>#VALUE!</v>
      </c>
      <c r="T279" t="e">
        <f>AND('PROG FORM COMPLEM'!H299,"AAAAAGnefxM=")</f>
        <v>#VALUE!</v>
      </c>
      <c r="U279" t="e">
        <f>AND('PROG FORM COMPLEM'!I299,"AAAAAGnefxQ=")</f>
        <v>#VALUE!</v>
      </c>
      <c r="V279" t="e">
        <f>AND('PROG FORM COMPLEM'!J299,"AAAAAGnefxU=")</f>
        <v>#VALUE!</v>
      </c>
      <c r="W279" t="e">
        <f>AND('PROG FORM COMPLEM'!K299,"AAAAAGnefxY=")</f>
        <v>#VALUE!</v>
      </c>
      <c r="X279" t="e">
        <f>AND('PROG FORM COMPLEM'!L299,"AAAAAGnefxc=")</f>
        <v>#VALUE!</v>
      </c>
      <c r="Y279" t="e">
        <f>AND('PROG FORM COMPLEM'!M299,"AAAAAGnefxg=")</f>
        <v>#VALUE!</v>
      </c>
      <c r="Z279" t="e">
        <f>AND('PROG FORM COMPLEM'!N299,"AAAAAGnefxk=")</f>
        <v>#VALUE!</v>
      </c>
      <c r="AA279" t="e">
        <f>AND('PROG FORM COMPLEM'!O299,"AAAAAGnefxo=")</f>
        <v>#VALUE!</v>
      </c>
      <c r="AB279" t="e">
        <f>AND('PROG FORM COMPLEM'!P299,"AAAAAGnefxs=")</f>
        <v>#VALUE!</v>
      </c>
      <c r="AC279" t="e">
        <f>AND('PROG FORM COMPLEM'!Q299,"AAAAAGnefxw=")</f>
        <v>#VALUE!</v>
      </c>
      <c r="AD279" t="e">
        <f>AND('PROG FORM COMPLEM'!R299,"AAAAAGnefx0=")</f>
        <v>#VALUE!</v>
      </c>
      <c r="AE279" t="e">
        <f>AND('PROG FORM COMPLEM'!S299,"AAAAAGnefx4=")</f>
        <v>#VALUE!</v>
      </c>
      <c r="AF279" t="e">
        <f>AND('PROG FORM COMPLEM'!T299,"AAAAAGnefx8=")</f>
        <v>#VALUE!</v>
      </c>
      <c r="AG279" t="e">
        <f>AND('PROG FORM COMPLEM'!U299,"AAAAAGnefyA=")</f>
        <v>#VALUE!</v>
      </c>
      <c r="AH279" t="e">
        <f>AND('PROG FORM COMPLEM'!V299,"AAAAAGnefyE=")</f>
        <v>#VALUE!</v>
      </c>
      <c r="AI279" t="e">
        <f>AND('PROG FORM COMPLEM'!W299,"AAAAAGnefyI=")</f>
        <v>#VALUE!</v>
      </c>
      <c r="AJ279">
        <f>IF('PROG FORM COMPLEM'!300:300,"AAAAAGnefyM=",0)</f>
        <v>0</v>
      </c>
      <c r="AK279" t="e">
        <f>AND('PROG FORM COMPLEM'!B300,"AAAAAGnefyQ=")</f>
        <v>#VALUE!</v>
      </c>
      <c r="AL279" t="e">
        <f>AND('PROG FORM COMPLEM'!C300,"AAAAAGnefyU=")</f>
        <v>#VALUE!</v>
      </c>
      <c r="AM279" t="e">
        <f>AND('PROG FORM COMPLEM'!D300,"AAAAAGnefyY=")</f>
        <v>#VALUE!</v>
      </c>
      <c r="AN279" t="e">
        <f>AND('PROG FORM COMPLEM'!E300,"AAAAAGnefyc=")</f>
        <v>#VALUE!</v>
      </c>
      <c r="AO279" t="e">
        <f>AND('PROG FORM COMPLEM'!F300,"AAAAAGnefyg=")</f>
        <v>#VALUE!</v>
      </c>
      <c r="AP279" t="e">
        <f>AND('PROG FORM COMPLEM'!G300,"AAAAAGnefyk=")</f>
        <v>#VALUE!</v>
      </c>
      <c r="AQ279" t="e">
        <f>AND('PROG FORM COMPLEM'!H300,"AAAAAGnefyo=")</f>
        <v>#VALUE!</v>
      </c>
      <c r="AR279" t="e">
        <f>AND('PROG FORM COMPLEM'!I300,"AAAAAGnefys=")</f>
        <v>#VALUE!</v>
      </c>
      <c r="AS279" t="e">
        <f>AND('PROG FORM COMPLEM'!J300,"AAAAAGnefyw=")</f>
        <v>#VALUE!</v>
      </c>
      <c r="AT279" t="e">
        <f>AND('PROG FORM COMPLEM'!K300,"AAAAAGnefy0=")</f>
        <v>#VALUE!</v>
      </c>
      <c r="AU279" t="e">
        <f>AND('PROG FORM COMPLEM'!L300,"AAAAAGnefy4=")</f>
        <v>#VALUE!</v>
      </c>
      <c r="AV279" t="e">
        <f>AND('PROG FORM COMPLEM'!M300,"AAAAAGnefy8=")</f>
        <v>#VALUE!</v>
      </c>
      <c r="AW279" t="e">
        <f>AND('PROG FORM COMPLEM'!N300,"AAAAAGnefzA=")</f>
        <v>#VALUE!</v>
      </c>
      <c r="AX279" t="e">
        <f>AND('PROG FORM COMPLEM'!O300,"AAAAAGnefzE=")</f>
        <v>#VALUE!</v>
      </c>
      <c r="AY279" t="e">
        <f>AND('PROG FORM COMPLEM'!P300,"AAAAAGnefzI=")</f>
        <v>#VALUE!</v>
      </c>
      <c r="AZ279" t="e">
        <f>AND('PROG FORM COMPLEM'!Q300,"AAAAAGnefzM=")</f>
        <v>#VALUE!</v>
      </c>
      <c r="BA279" t="e">
        <f>AND('PROG FORM COMPLEM'!R300,"AAAAAGnefzQ=")</f>
        <v>#VALUE!</v>
      </c>
      <c r="BB279" t="e">
        <f>AND('PROG FORM COMPLEM'!S300,"AAAAAGnefzU=")</f>
        <v>#VALUE!</v>
      </c>
      <c r="BC279" t="e">
        <f>AND('PROG FORM COMPLEM'!T300,"AAAAAGnefzY=")</f>
        <v>#VALUE!</v>
      </c>
      <c r="BD279" t="e">
        <f>AND('PROG FORM COMPLEM'!U300,"AAAAAGnefzc=")</f>
        <v>#VALUE!</v>
      </c>
      <c r="BE279" t="e">
        <f>AND('PROG FORM COMPLEM'!V300,"AAAAAGnefzg=")</f>
        <v>#VALUE!</v>
      </c>
      <c r="BF279" t="e">
        <f>AND('PROG FORM COMPLEM'!W300,"AAAAAGnefzk=")</f>
        <v>#VALUE!</v>
      </c>
      <c r="BG279">
        <f>IF('PROG FORM COMPLEM'!301:301,"AAAAAGnefzo=",0)</f>
        <v>0</v>
      </c>
      <c r="BH279" t="e">
        <f>AND('PROG FORM COMPLEM'!B301,"AAAAAGnefzs=")</f>
        <v>#VALUE!</v>
      </c>
      <c r="BI279" t="e">
        <f>AND('PROG FORM COMPLEM'!C301,"AAAAAGnefzw=")</f>
        <v>#VALUE!</v>
      </c>
      <c r="BJ279" t="e">
        <f>AND('PROG FORM COMPLEM'!D301,"AAAAAGnefz0=")</f>
        <v>#VALUE!</v>
      </c>
      <c r="BK279" t="e">
        <f>AND('PROG FORM COMPLEM'!E301,"AAAAAGnefz4=")</f>
        <v>#VALUE!</v>
      </c>
      <c r="BL279" t="e">
        <f>AND('PROG FORM COMPLEM'!F301,"AAAAAGnefz8=")</f>
        <v>#VALUE!</v>
      </c>
      <c r="BM279" t="e">
        <f>AND('PROG FORM COMPLEM'!G301,"AAAAAGnef0A=")</f>
        <v>#VALUE!</v>
      </c>
      <c r="BN279" t="e">
        <f>AND('PROG FORM COMPLEM'!H301,"AAAAAGnef0E=")</f>
        <v>#VALUE!</v>
      </c>
      <c r="BO279" t="e">
        <f>AND('PROG FORM COMPLEM'!I301,"AAAAAGnef0I=")</f>
        <v>#VALUE!</v>
      </c>
      <c r="BP279" t="e">
        <f>AND('PROG FORM COMPLEM'!J301,"AAAAAGnef0M=")</f>
        <v>#VALUE!</v>
      </c>
      <c r="BQ279" t="e">
        <f>AND('PROG FORM COMPLEM'!K301,"AAAAAGnef0Q=")</f>
        <v>#VALUE!</v>
      </c>
      <c r="BR279" t="e">
        <f>AND('PROG FORM COMPLEM'!L301,"AAAAAGnef0U=")</f>
        <v>#VALUE!</v>
      </c>
      <c r="BS279" t="e">
        <f>AND('PROG FORM COMPLEM'!M301,"AAAAAGnef0Y=")</f>
        <v>#VALUE!</v>
      </c>
      <c r="BT279" t="e">
        <f>AND('PROG FORM COMPLEM'!N301,"AAAAAGnef0c=")</f>
        <v>#VALUE!</v>
      </c>
      <c r="BU279" t="e">
        <f>AND('PROG FORM COMPLEM'!O301,"AAAAAGnef0g=")</f>
        <v>#VALUE!</v>
      </c>
      <c r="BV279" t="e">
        <f>AND('PROG FORM COMPLEM'!P301,"AAAAAGnef0k=")</f>
        <v>#VALUE!</v>
      </c>
      <c r="BW279" t="e">
        <f>AND('PROG FORM COMPLEM'!Q301,"AAAAAGnef0o=")</f>
        <v>#VALUE!</v>
      </c>
      <c r="BX279" t="e">
        <f>AND('PROG FORM COMPLEM'!R301,"AAAAAGnef0s=")</f>
        <v>#VALUE!</v>
      </c>
      <c r="BY279" t="e">
        <f>AND('PROG FORM COMPLEM'!S301,"AAAAAGnef0w=")</f>
        <v>#VALUE!</v>
      </c>
      <c r="BZ279" t="e">
        <f>AND('PROG FORM COMPLEM'!T301,"AAAAAGnef00=")</f>
        <v>#VALUE!</v>
      </c>
      <c r="CA279" t="e">
        <f>AND('PROG FORM COMPLEM'!U301,"AAAAAGnef04=")</f>
        <v>#VALUE!</v>
      </c>
      <c r="CB279" t="e">
        <f>AND('PROG FORM COMPLEM'!V301,"AAAAAGnef08=")</f>
        <v>#VALUE!</v>
      </c>
      <c r="CC279" t="e">
        <f>AND('PROG FORM COMPLEM'!W301,"AAAAAGnef1A=")</f>
        <v>#VALUE!</v>
      </c>
      <c r="CD279">
        <f>IF('PROG FORM COMPLEM'!302:302,"AAAAAGnef1E=",0)</f>
        <v>0</v>
      </c>
      <c r="CE279" t="e">
        <f>AND('PROG FORM COMPLEM'!B302,"AAAAAGnef1I=")</f>
        <v>#VALUE!</v>
      </c>
      <c r="CF279" t="e">
        <f>AND('PROG FORM COMPLEM'!C302,"AAAAAGnef1M=")</f>
        <v>#VALUE!</v>
      </c>
      <c r="CG279" t="e">
        <f>AND('PROG FORM COMPLEM'!D302,"AAAAAGnef1Q=")</f>
        <v>#VALUE!</v>
      </c>
      <c r="CH279" t="e">
        <f>AND('PROG FORM COMPLEM'!E302,"AAAAAGnef1U=")</f>
        <v>#VALUE!</v>
      </c>
      <c r="CI279" t="e">
        <f>AND('PROG FORM COMPLEM'!F302,"AAAAAGnef1Y=")</f>
        <v>#VALUE!</v>
      </c>
      <c r="CJ279" t="e">
        <f>AND('PROG FORM COMPLEM'!G302,"AAAAAGnef1c=")</f>
        <v>#VALUE!</v>
      </c>
      <c r="CK279" t="e">
        <f>AND('PROG FORM COMPLEM'!H302,"AAAAAGnef1g=")</f>
        <v>#VALUE!</v>
      </c>
      <c r="CL279" t="e">
        <f>AND('PROG FORM COMPLEM'!I302,"AAAAAGnef1k=")</f>
        <v>#VALUE!</v>
      </c>
      <c r="CM279" t="e">
        <f>AND('PROG FORM COMPLEM'!J302,"AAAAAGnef1o=")</f>
        <v>#VALUE!</v>
      </c>
      <c r="CN279" t="e">
        <f>AND('PROG FORM COMPLEM'!K302,"AAAAAGnef1s=")</f>
        <v>#VALUE!</v>
      </c>
      <c r="CO279" t="e">
        <f>AND('PROG FORM COMPLEM'!L302,"AAAAAGnef1w=")</f>
        <v>#VALUE!</v>
      </c>
      <c r="CP279" t="e">
        <f>AND('PROG FORM COMPLEM'!M302,"AAAAAGnef10=")</f>
        <v>#VALUE!</v>
      </c>
      <c r="CQ279" t="e">
        <f>AND('PROG FORM COMPLEM'!N302,"AAAAAGnef14=")</f>
        <v>#VALUE!</v>
      </c>
      <c r="CR279" t="e">
        <f>AND('PROG FORM COMPLEM'!O302,"AAAAAGnef18=")</f>
        <v>#VALUE!</v>
      </c>
      <c r="CS279" t="e">
        <f>AND('PROG FORM COMPLEM'!P302,"AAAAAGnef2A=")</f>
        <v>#VALUE!</v>
      </c>
      <c r="CT279" t="e">
        <f>AND('PROG FORM COMPLEM'!Q302,"AAAAAGnef2E=")</f>
        <v>#VALUE!</v>
      </c>
      <c r="CU279" t="e">
        <f>AND('PROG FORM COMPLEM'!R302,"AAAAAGnef2I=")</f>
        <v>#VALUE!</v>
      </c>
      <c r="CV279" t="e">
        <f>AND('PROG FORM COMPLEM'!S302,"AAAAAGnef2M=")</f>
        <v>#VALUE!</v>
      </c>
      <c r="CW279" t="e">
        <f>AND('PROG FORM COMPLEM'!T302,"AAAAAGnef2Q=")</f>
        <v>#VALUE!</v>
      </c>
      <c r="CX279" t="e">
        <f>AND('PROG FORM COMPLEM'!U302,"AAAAAGnef2U=")</f>
        <v>#VALUE!</v>
      </c>
      <c r="CY279" t="e">
        <f>AND('PROG FORM COMPLEM'!V302,"AAAAAGnef2Y=")</f>
        <v>#VALUE!</v>
      </c>
      <c r="CZ279" t="e">
        <f>AND('PROG FORM COMPLEM'!W302,"AAAAAGnef2c=")</f>
        <v>#VALUE!</v>
      </c>
      <c r="DA279">
        <f>IF('PROG FORM COMPLEM'!303:303,"AAAAAGnef2g=",0)</f>
        <v>0</v>
      </c>
      <c r="DB279" t="e">
        <f>AND('PROG FORM COMPLEM'!B303,"AAAAAGnef2k=")</f>
        <v>#VALUE!</v>
      </c>
      <c r="DC279" t="e">
        <f>AND('PROG FORM COMPLEM'!C303,"AAAAAGnef2o=")</f>
        <v>#VALUE!</v>
      </c>
      <c r="DD279" t="e">
        <f>AND('PROG FORM COMPLEM'!D303,"AAAAAGnef2s=")</f>
        <v>#VALUE!</v>
      </c>
      <c r="DE279" t="e">
        <f>AND('PROG FORM COMPLEM'!E303,"AAAAAGnef2w=")</f>
        <v>#VALUE!</v>
      </c>
      <c r="DF279" t="e">
        <f>AND('PROG FORM COMPLEM'!F303,"AAAAAGnef20=")</f>
        <v>#VALUE!</v>
      </c>
      <c r="DG279" t="e">
        <f>AND('PROG FORM COMPLEM'!G303,"AAAAAGnef24=")</f>
        <v>#VALUE!</v>
      </c>
      <c r="DH279" t="e">
        <f>AND('PROG FORM COMPLEM'!H303,"AAAAAGnef28=")</f>
        <v>#VALUE!</v>
      </c>
      <c r="DI279" t="e">
        <f>AND('PROG FORM COMPLEM'!I303,"AAAAAGnef3A=")</f>
        <v>#VALUE!</v>
      </c>
      <c r="DJ279" t="e">
        <f>AND('PROG FORM COMPLEM'!J303,"AAAAAGnef3E=")</f>
        <v>#VALUE!</v>
      </c>
      <c r="DK279" t="e">
        <f>AND('PROG FORM COMPLEM'!K303,"AAAAAGnef3I=")</f>
        <v>#VALUE!</v>
      </c>
      <c r="DL279" t="e">
        <f>AND('PROG FORM COMPLEM'!L303,"AAAAAGnef3M=")</f>
        <v>#VALUE!</v>
      </c>
      <c r="DM279" t="e">
        <f>AND('PROG FORM COMPLEM'!M303,"AAAAAGnef3Q=")</f>
        <v>#VALUE!</v>
      </c>
      <c r="DN279" t="e">
        <f>AND('PROG FORM COMPLEM'!N303,"AAAAAGnef3U=")</f>
        <v>#VALUE!</v>
      </c>
      <c r="DO279" t="e">
        <f>AND('PROG FORM COMPLEM'!O303,"AAAAAGnef3Y=")</f>
        <v>#VALUE!</v>
      </c>
      <c r="DP279" t="e">
        <f>AND('PROG FORM COMPLEM'!P303,"AAAAAGnef3c=")</f>
        <v>#VALUE!</v>
      </c>
      <c r="DQ279" t="e">
        <f>AND('PROG FORM COMPLEM'!Q303,"AAAAAGnef3g=")</f>
        <v>#VALUE!</v>
      </c>
      <c r="DR279" t="e">
        <f>AND('PROG FORM COMPLEM'!R303,"AAAAAGnef3k=")</f>
        <v>#VALUE!</v>
      </c>
      <c r="DS279" t="e">
        <f>AND('PROG FORM COMPLEM'!S303,"AAAAAGnef3o=")</f>
        <v>#VALUE!</v>
      </c>
      <c r="DT279" t="e">
        <f>AND('PROG FORM COMPLEM'!T303,"AAAAAGnef3s=")</f>
        <v>#VALUE!</v>
      </c>
      <c r="DU279" t="e">
        <f>AND('PROG FORM COMPLEM'!U303,"AAAAAGnef3w=")</f>
        <v>#VALUE!</v>
      </c>
      <c r="DV279" t="e">
        <f>AND('PROG FORM COMPLEM'!V303,"AAAAAGnef30=")</f>
        <v>#VALUE!</v>
      </c>
      <c r="DW279" t="e">
        <f>AND('PROG FORM COMPLEM'!W303,"AAAAAGnef34=")</f>
        <v>#VALUE!</v>
      </c>
      <c r="DX279">
        <f>IF('PROG FORM COMPLEM'!304:304,"AAAAAGnef38=",0)</f>
        <v>0</v>
      </c>
      <c r="DY279" t="e">
        <f>AND('PROG FORM COMPLEM'!B304,"AAAAAGnef4A=")</f>
        <v>#VALUE!</v>
      </c>
      <c r="DZ279" t="e">
        <f>AND('PROG FORM COMPLEM'!C304,"AAAAAGnef4E=")</f>
        <v>#VALUE!</v>
      </c>
      <c r="EA279" t="e">
        <f>AND('PROG FORM COMPLEM'!D304,"AAAAAGnef4I=")</f>
        <v>#VALUE!</v>
      </c>
      <c r="EB279" t="e">
        <f>AND('PROG FORM COMPLEM'!E304,"AAAAAGnef4M=")</f>
        <v>#VALUE!</v>
      </c>
      <c r="EC279" t="e">
        <f>AND('PROG FORM COMPLEM'!F304,"AAAAAGnef4Q=")</f>
        <v>#VALUE!</v>
      </c>
      <c r="ED279" t="e">
        <f>AND('PROG FORM COMPLEM'!G304,"AAAAAGnef4U=")</f>
        <v>#VALUE!</v>
      </c>
      <c r="EE279" t="e">
        <f>AND('PROG FORM COMPLEM'!H304,"AAAAAGnef4Y=")</f>
        <v>#VALUE!</v>
      </c>
      <c r="EF279" t="e">
        <f>AND('PROG FORM COMPLEM'!I304,"AAAAAGnef4c=")</f>
        <v>#VALUE!</v>
      </c>
      <c r="EG279" t="e">
        <f>AND('PROG FORM COMPLEM'!J304,"AAAAAGnef4g=")</f>
        <v>#VALUE!</v>
      </c>
      <c r="EH279" t="e">
        <f>AND('PROG FORM COMPLEM'!K304,"AAAAAGnef4k=")</f>
        <v>#VALUE!</v>
      </c>
      <c r="EI279" t="e">
        <f>AND('PROG FORM COMPLEM'!L304,"AAAAAGnef4o=")</f>
        <v>#VALUE!</v>
      </c>
      <c r="EJ279" t="e">
        <f>AND('PROG FORM COMPLEM'!M304,"AAAAAGnef4s=")</f>
        <v>#VALUE!</v>
      </c>
      <c r="EK279" t="e">
        <f>AND('PROG FORM COMPLEM'!N304,"AAAAAGnef4w=")</f>
        <v>#VALUE!</v>
      </c>
      <c r="EL279" t="e">
        <f>AND('PROG FORM COMPLEM'!O304,"AAAAAGnef40=")</f>
        <v>#VALUE!</v>
      </c>
      <c r="EM279" t="e">
        <f>AND('PROG FORM COMPLEM'!P304,"AAAAAGnef44=")</f>
        <v>#VALUE!</v>
      </c>
      <c r="EN279" t="e">
        <f>AND('PROG FORM COMPLEM'!Q304,"AAAAAGnef48=")</f>
        <v>#VALUE!</v>
      </c>
      <c r="EO279" t="e">
        <f>AND('PROG FORM COMPLEM'!R304,"AAAAAGnef5A=")</f>
        <v>#VALUE!</v>
      </c>
      <c r="EP279" t="e">
        <f>AND('PROG FORM COMPLEM'!S304,"AAAAAGnef5E=")</f>
        <v>#VALUE!</v>
      </c>
      <c r="EQ279" t="e">
        <f>AND('PROG FORM COMPLEM'!T304,"AAAAAGnef5I=")</f>
        <v>#VALUE!</v>
      </c>
      <c r="ER279" t="e">
        <f>AND('PROG FORM COMPLEM'!U304,"AAAAAGnef5M=")</f>
        <v>#VALUE!</v>
      </c>
      <c r="ES279" t="e">
        <f>AND('PROG FORM COMPLEM'!V304,"AAAAAGnef5Q=")</f>
        <v>#VALUE!</v>
      </c>
      <c r="ET279" t="e">
        <f>AND('PROG FORM COMPLEM'!W304,"AAAAAGnef5U=")</f>
        <v>#VALUE!</v>
      </c>
      <c r="EU279">
        <f>IF('PROG FORM COMPLEM'!305:305,"AAAAAGnef5Y=",0)</f>
        <v>0</v>
      </c>
      <c r="EV279" t="e">
        <f>AND('PROG FORM COMPLEM'!B305,"AAAAAGnef5c=")</f>
        <v>#VALUE!</v>
      </c>
      <c r="EW279" t="e">
        <f>AND('PROG FORM COMPLEM'!C305,"AAAAAGnef5g=")</f>
        <v>#VALUE!</v>
      </c>
      <c r="EX279" t="e">
        <f>AND('PROG FORM COMPLEM'!D305,"AAAAAGnef5k=")</f>
        <v>#VALUE!</v>
      </c>
      <c r="EY279" t="e">
        <f>AND('PROG FORM COMPLEM'!E305,"AAAAAGnef5o=")</f>
        <v>#VALUE!</v>
      </c>
      <c r="EZ279" t="e">
        <f>AND('PROG FORM COMPLEM'!F305,"AAAAAGnef5s=")</f>
        <v>#VALUE!</v>
      </c>
      <c r="FA279" t="e">
        <f>AND('PROG FORM COMPLEM'!G305,"AAAAAGnef5w=")</f>
        <v>#VALUE!</v>
      </c>
      <c r="FB279" t="e">
        <f>AND('PROG FORM COMPLEM'!H305,"AAAAAGnef50=")</f>
        <v>#VALUE!</v>
      </c>
      <c r="FC279" t="e">
        <f>AND('PROG FORM COMPLEM'!I305,"AAAAAGnef54=")</f>
        <v>#VALUE!</v>
      </c>
      <c r="FD279" t="e">
        <f>AND('PROG FORM COMPLEM'!J305,"AAAAAGnef58=")</f>
        <v>#VALUE!</v>
      </c>
      <c r="FE279" t="e">
        <f>AND('PROG FORM COMPLEM'!K305,"AAAAAGnef6A=")</f>
        <v>#VALUE!</v>
      </c>
      <c r="FF279" t="e">
        <f>AND('PROG FORM COMPLEM'!L305,"AAAAAGnef6E=")</f>
        <v>#VALUE!</v>
      </c>
      <c r="FG279" t="e">
        <f>AND('PROG FORM COMPLEM'!M305,"AAAAAGnef6I=")</f>
        <v>#VALUE!</v>
      </c>
      <c r="FH279" t="e">
        <f>AND('PROG FORM COMPLEM'!N305,"AAAAAGnef6M=")</f>
        <v>#VALUE!</v>
      </c>
      <c r="FI279" t="e">
        <f>AND('PROG FORM COMPLEM'!O305,"AAAAAGnef6Q=")</f>
        <v>#VALUE!</v>
      </c>
      <c r="FJ279" t="e">
        <f>AND('PROG FORM COMPLEM'!P305,"AAAAAGnef6U=")</f>
        <v>#VALUE!</v>
      </c>
      <c r="FK279" t="e">
        <f>AND('PROG FORM COMPLEM'!Q305,"AAAAAGnef6Y=")</f>
        <v>#VALUE!</v>
      </c>
      <c r="FL279" t="e">
        <f>AND('PROG FORM COMPLEM'!R305,"AAAAAGnef6c=")</f>
        <v>#VALUE!</v>
      </c>
      <c r="FM279" t="e">
        <f>AND('PROG FORM COMPLEM'!S305,"AAAAAGnef6g=")</f>
        <v>#VALUE!</v>
      </c>
      <c r="FN279" t="e">
        <f>AND('PROG FORM COMPLEM'!T305,"AAAAAGnef6k=")</f>
        <v>#VALUE!</v>
      </c>
      <c r="FO279" t="e">
        <f>AND('PROG FORM COMPLEM'!U305,"AAAAAGnef6o=")</f>
        <v>#VALUE!</v>
      </c>
      <c r="FP279" t="e">
        <f>AND('PROG FORM COMPLEM'!V305,"AAAAAGnef6s=")</f>
        <v>#VALUE!</v>
      </c>
      <c r="FQ279" t="e">
        <f>AND('PROG FORM COMPLEM'!W305,"AAAAAGnef6w=")</f>
        <v>#VALUE!</v>
      </c>
      <c r="FR279">
        <f>IF('PROG FORM COMPLEM'!306:306,"AAAAAGnef60=",0)</f>
        <v>0</v>
      </c>
      <c r="FS279" t="e">
        <f>AND('PROG FORM COMPLEM'!B306,"AAAAAGnef64=")</f>
        <v>#VALUE!</v>
      </c>
      <c r="FT279" t="e">
        <f>AND('PROG FORM COMPLEM'!C306,"AAAAAGnef68=")</f>
        <v>#VALUE!</v>
      </c>
      <c r="FU279" t="e">
        <f>AND('PROG FORM COMPLEM'!D306,"AAAAAGnef7A=")</f>
        <v>#VALUE!</v>
      </c>
      <c r="FV279" t="e">
        <f>AND('PROG FORM COMPLEM'!E306,"AAAAAGnef7E=")</f>
        <v>#VALUE!</v>
      </c>
      <c r="FW279" t="e">
        <f>AND('PROG FORM COMPLEM'!F306,"AAAAAGnef7I=")</f>
        <v>#VALUE!</v>
      </c>
      <c r="FX279" t="e">
        <f>AND('PROG FORM COMPLEM'!G306,"AAAAAGnef7M=")</f>
        <v>#VALUE!</v>
      </c>
      <c r="FY279" t="e">
        <f>AND('PROG FORM COMPLEM'!H306,"AAAAAGnef7Q=")</f>
        <v>#VALUE!</v>
      </c>
      <c r="FZ279" t="e">
        <f>AND('PROG FORM COMPLEM'!I306,"AAAAAGnef7U=")</f>
        <v>#VALUE!</v>
      </c>
      <c r="GA279" t="e">
        <f>AND('PROG FORM COMPLEM'!J306,"AAAAAGnef7Y=")</f>
        <v>#VALUE!</v>
      </c>
      <c r="GB279" t="e">
        <f>AND('PROG FORM COMPLEM'!K306,"AAAAAGnef7c=")</f>
        <v>#VALUE!</v>
      </c>
      <c r="GC279" t="e">
        <f>AND('PROG FORM COMPLEM'!L306,"AAAAAGnef7g=")</f>
        <v>#VALUE!</v>
      </c>
      <c r="GD279" t="e">
        <f>AND('PROG FORM COMPLEM'!M306,"AAAAAGnef7k=")</f>
        <v>#VALUE!</v>
      </c>
      <c r="GE279" t="e">
        <f>AND('PROG FORM COMPLEM'!N306,"AAAAAGnef7o=")</f>
        <v>#VALUE!</v>
      </c>
      <c r="GF279" t="e">
        <f>AND('PROG FORM COMPLEM'!O306,"AAAAAGnef7s=")</f>
        <v>#VALUE!</v>
      </c>
      <c r="GG279" t="e">
        <f>AND('PROG FORM COMPLEM'!P306,"AAAAAGnef7w=")</f>
        <v>#VALUE!</v>
      </c>
      <c r="GH279" t="e">
        <f>AND('PROG FORM COMPLEM'!Q306,"AAAAAGnef70=")</f>
        <v>#VALUE!</v>
      </c>
      <c r="GI279" t="e">
        <f>AND('PROG FORM COMPLEM'!R306,"AAAAAGnef74=")</f>
        <v>#VALUE!</v>
      </c>
      <c r="GJ279" t="e">
        <f>AND('PROG FORM COMPLEM'!S306,"AAAAAGnef78=")</f>
        <v>#VALUE!</v>
      </c>
      <c r="GK279" t="e">
        <f>AND('PROG FORM COMPLEM'!T306,"AAAAAGnef8A=")</f>
        <v>#VALUE!</v>
      </c>
      <c r="GL279" t="e">
        <f>AND('PROG FORM COMPLEM'!U306,"AAAAAGnef8E=")</f>
        <v>#VALUE!</v>
      </c>
      <c r="GM279" t="e">
        <f>AND('PROG FORM COMPLEM'!V306,"AAAAAGnef8I=")</f>
        <v>#VALUE!</v>
      </c>
      <c r="GN279" t="e">
        <f>AND('PROG FORM COMPLEM'!W306,"AAAAAGnef8M=")</f>
        <v>#VALUE!</v>
      </c>
      <c r="GO279">
        <f>IF('PROG FORM COMPLEM'!307:307,"AAAAAGnef8Q=",0)</f>
        <v>0</v>
      </c>
      <c r="GP279" t="e">
        <f>AND('PROG FORM COMPLEM'!B307,"AAAAAGnef8U=")</f>
        <v>#VALUE!</v>
      </c>
      <c r="GQ279" t="e">
        <f>AND('PROG FORM COMPLEM'!C307,"AAAAAGnef8Y=")</f>
        <v>#VALUE!</v>
      </c>
      <c r="GR279" t="e">
        <f>AND('PROG FORM COMPLEM'!D307,"AAAAAGnef8c=")</f>
        <v>#VALUE!</v>
      </c>
      <c r="GS279" t="e">
        <f>AND('PROG FORM COMPLEM'!E307,"AAAAAGnef8g=")</f>
        <v>#VALUE!</v>
      </c>
      <c r="GT279" t="e">
        <f>AND('PROG FORM COMPLEM'!F307,"AAAAAGnef8k=")</f>
        <v>#VALUE!</v>
      </c>
      <c r="GU279" t="e">
        <f>AND('PROG FORM COMPLEM'!G307,"AAAAAGnef8o=")</f>
        <v>#VALUE!</v>
      </c>
      <c r="GV279" t="e">
        <f>AND('PROG FORM COMPLEM'!H307,"AAAAAGnef8s=")</f>
        <v>#VALUE!</v>
      </c>
      <c r="GW279" t="e">
        <f>AND('PROG FORM COMPLEM'!I307,"AAAAAGnef8w=")</f>
        <v>#VALUE!</v>
      </c>
      <c r="GX279" t="e">
        <f>AND('PROG FORM COMPLEM'!J307,"AAAAAGnef80=")</f>
        <v>#VALUE!</v>
      </c>
      <c r="GY279" t="e">
        <f>AND('PROG FORM COMPLEM'!K307,"AAAAAGnef84=")</f>
        <v>#VALUE!</v>
      </c>
      <c r="GZ279" t="e">
        <f>AND('PROG FORM COMPLEM'!L307,"AAAAAGnef88=")</f>
        <v>#VALUE!</v>
      </c>
      <c r="HA279" t="e">
        <f>AND('PROG FORM COMPLEM'!M307,"AAAAAGnef9A=")</f>
        <v>#VALUE!</v>
      </c>
      <c r="HB279" t="e">
        <f>AND('PROG FORM COMPLEM'!N307,"AAAAAGnef9E=")</f>
        <v>#VALUE!</v>
      </c>
      <c r="HC279" t="e">
        <f>AND('PROG FORM COMPLEM'!O307,"AAAAAGnef9I=")</f>
        <v>#VALUE!</v>
      </c>
      <c r="HD279" t="e">
        <f>AND('PROG FORM COMPLEM'!P307,"AAAAAGnef9M=")</f>
        <v>#VALUE!</v>
      </c>
      <c r="HE279" t="e">
        <f>AND('PROG FORM COMPLEM'!Q307,"AAAAAGnef9Q=")</f>
        <v>#VALUE!</v>
      </c>
      <c r="HF279" t="e">
        <f>AND('PROG FORM COMPLEM'!R307,"AAAAAGnef9U=")</f>
        <v>#VALUE!</v>
      </c>
      <c r="HG279" t="e">
        <f>AND('PROG FORM COMPLEM'!S307,"AAAAAGnef9Y=")</f>
        <v>#VALUE!</v>
      </c>
      <c r="HH279" t="e">
        <f>AND('PROG FORM COMPLEM'!T307,"AAAAAGnef9c=")</f>
        <v>#VALUE!</v>
      </c>
      <c r="HI279" t="e">
        <f>AND('PROG FORM COMPLEM'!U307,"AAAAAGnef9g=")</f>
        <v>#VALUE!</v>
      </c>
      <c r="HJ279" t="e">
        <f>AND('PROG FORM COMPLEM'!V307,"AAAAAGnef9k=")</f>
        <v>#VALUE!</v>
      </c>
      <c r="HK279" t="e">
        <f>AND('PROG FORM COMPLEM'!W307,"AAAAAGnef9o=")</f>
        <v>#VALUE!</v>
      </c>
      <c r="HL279">
        <f>IF('PROG FORM COMPLEM'!308:308,"AAAAAGnef9s=",0)</f>
        <v>0</v>
      </c>
      <c r="HM279" t="e">
        <f>AND('PROG FORM COMPLEM'!B308,"AAAAAGnef9w=")</f>
        <v>#VALUE!</v>
      </c>
      <c r="HN279" t="e">
        <f>AND('PROG FORM COMPLEM'!C308,"AAAAAGnef90=")</f>
        <v>#VALUE!</v>
      </c>
      <c r="HO279" t="e">
        <f>AND('PROG FORM COMPLEM'!D308,"AAAAAGnef94=")</f>
        <v>#VALUE!</v>
      </c>
      <c r="HP279" t="e">
        <f>AND('PROG FORM COMPLEM'!E308,"AAAAAGnef98=")</f>
        <v>#VALUE!</v>
      </c>
      <c r="HQ279" t="e">
        <f>AND('PROG FORM COMPLEM'!F308,"AAAAAGnef+A=")</f>
        <v>#VALUE!</v>
      </c>
      <c r="HR279" t="e">
        <f>AND('PROG FORM COMPLEM'!G308,"AAAAAGnef+E=")</f>
        <v>#VALUE!</v>
      </c>
      <c r="HS279" t="e">
        <f>AND('PROG FORM COMPLEM'!H308,"AAAAAGnef+I=")</f>
        <v>#VALUE!</v>
      </c>
      <c r="HT279" t="e">
        <f>AND('PROG FORM COMPLEM'!I308,"AAAAAGnef+M=")</f>
        <v>#VALUE!</v>
      </c>
      <c r="HU279" t="e">
        <f>AND('PROG FORM COMPLEM'!J308,"AAAAAGnef+Q=")</f>
        <v>#VALUE!</v>
      </c>
      <c r="HV279" t="e">
        <f>AND('PROG FORM COMPLEM'!K308,"AAAAAGnef+U=")</f>
        <v>#VALUE!</v>
      </c>
      <c r="HW279" t="e">
        <f>AND('PROG FORM COMPLEM'!L308,"AAAAAGnef+Y=")</f>
        <v>#VALUE!</v>
      </c>
      <c r="HX279" t="e">
        <f>AND('PROG FORM COMPLEM'!M308,"AAAAAGnef+c=")</f>
        <v>#VALUE!</v>
      </c>
      <c r="HY279" t="e">
        <f>AND('PROG FORM COMPLEM'!N308,"AAAAAGnef+g=")</f>
        <v>#VALUE!</v>
      </c>
      <c r="HZ279" t="e">
        <f>AND('PROG FORM COMPLEM'!O308,"AAAAAGnef+k=")</f>
        <v>#VALUE!</v>
      </c>
      <c r="IA279" t="e">
        <f>AND('PROG FORM COMPLEM'!P308,"AAAAAGnef+o=")</f>
        <v>#VALUE!</v>
      </c>
      <c r="IB279" t="e">
        <f>AND('PROG FORM COMPLEM'!Q308,"AAAAAGnef+s=")</f>
        <v>#VALUE!</v>
      </c>
      <c r="IC279" t="e">
        <f>AND('PROG FORM COMPLEM'!R308,"AAAAAGnef+w=")</f>
        <v>#VALUE!</v>
      </c>
      <c r="ID279" t="e">
        <f>AND('PROG FORM COMPLEM'!S308,"AAAAAGnef+0=")</f>
        <v>#VALUE!</v>
      </c>
      <c r="IE279" t="e">
        <f>AND('PROG FORM COMPLEM'!T308,"AAAAAGnef+4=")</f>
        <v>#VALUE!</v>
      </c>
      <c r="IF279" t="e">
        <f>AND('PROG FORM COMPLEM'!U308,"AAAAAGnef+8=")</f>
        <v>#VALUE!</v>
      </c>
      <c r="IG279" t="e">
        <f>AND('PROG FORM COMPLEM'!V308,"AAAAAGnef/A=")</f>
        <v>#VALUE!</v>
      </c>
      <c r="IH279" t="e">
        <f>AND('PROG FORM COMPLEM'!W308,"AAAAAGnef/E=")</f>
        <v>#VALUE!</v>
      </c>
      <c r="II279">
        <f>IF('PROG FORM COMPLEM'!309:309,"AAAAAGnef/I=",0)</f>
        <v>0</v>
      </c>
      <c r="IJ279" t="e">
        <f>AND('PROG FORM COMPLEM'!B309,"AAAAAGnef/M=")</f>
        <v>#VALUE!</v>
      </c>
      <c r="IK279" t="e">
        <f>AND('PROG FORM COMPLEM'!C309,"AAAAAGnef/Q=")</f>
        <v>#VALUE!</v>
      </c>
      <c r="IL279" t="e">
        <f>AND('PROG FORM COMPLEM'!D309,"AAAAAGnef/U=")</f>
        <v>#VALUE!</v>
      </c>
      <c r="IM279" t="e">
        <f>AND('PROG FORM COMPLEM'!E309,"AAAAAGnef/Y=")</f>
        <v>#VALUE!</v>
      </c>
      <c r="IN279" t="e">
        <f>AND('PROG FORM COMPLEM'!F309,"AAAAAGnef/c=")</f>
        <v>#VALUE!</v>
      </c>
      <c r="IO279" t="e">
        <f>AND('PROG FORM COMPLEM'!G309,"AAAAAGnef/g=")</f>
        <v>#VALUE!</v>
      </c>
      <c r="IP279" t="e">
        <f>AND('PROG FORM COMPLEM'!H309,"AAAAAGnef/k=")</f>
        <v>#VALUE!</v>
      </c>
      <c r="IQ279" t="e">
        <f>AND('PROG FORM COMPLEM'!I309,"AAAAAGnef/o=")</f>
        <v>#VALUE!</v>
      </c>
      <c r="IR279" t="e">
        <f>AND('PROG FORM COMPLEM'!J309,"AAAAAGnef/s=")</f>
        <v>#VALUE!</v>
      </c>
      <c r="IS279" t="e">
        <f>AND('PROG FORM COMPLEM'!K309,"AAAAAGnef/w=")</f>
        <v>#VALUE!</v>
      </c>
      <c r="IT279" t="e">
        <f>AND('PROG FORM COMPLEM'!L309,"AAAAAGnef/0=")</f>
        <v>#VALUE!</v>
      </c>
      <c r="IU279" t="e">
        <f>AND('PROG FORM COMPLEM'!M309,"AAAAAGnef/4=")</f>
        <v>#VALUE!</v>
      </c>
      <c r="IV279" t="e">
        <f>AND('PROG FORM COMPLEM'!N309,"AAAAAGnef/8=")</f>
        <v>#VALUE!</v>
      </c>
    </row>
    <row r="280" spans="1:256" x14ac:dyDescent="0.2">
      <c r="A280" t="e">
        <f>AND('PROG FORM COMPLEM'!O309,"AAAAAHNe/gA=")</f>
        <v>#VALUE!</v>
      </c>
      <c r="B280" t="e">
        <f>AND('PROG FORM COMPLEM'!P309,"AAAAAHNe/gE=")</f>
        <v>#VALUE!</v>
      </c>
      <c r="C280" t="e">
        <f>AND('PROG FORM COMPLEM'!Q309,"AAAAAHNe/gI=")</f>
        <v>#VALUE!</v>
      </c>
      <c r="D280" t="e">
        <f>AND('PROG FORM COMPLEM'!R309,"AAAAAHNe/gM=")</f>
        <v>#VALUE!</v>
      </c>
      <c r="E280" t="e">
        <f>AND('PROG FORM COMPLEM'!S309,"AAAAAHNe/gQ=")</f>
        <v>#VALUE!</v>
      </c>
      <c r="F280" t="e">
        <f>AND('PROG FORM COMPLEM'!T309,"AAAAAHNe/gU=")</f>
        <v>#VALUE!</v>
      </c>
      <c r="G280" t="e">
        <f>AND('PROG FORM COMPLEM'!U309,"AAAAAHNe/gY=")</f>
        <v>#VALUE!</v>
      </c>
      <c r="H280" t="e">
        <f>AND('PROG FORM COMPLEM'!V309,"AAAAAHNe/gc=")</f>
        <v>#VALUE!</v>
      </c>
      <c r="I280" t="e">
        <f>AND('PROG FORM COMPLEM'!W309,"AAAAAHNe/gg=")</f>
        <v>#VALUE!</v>
      </c>
      <c r="J280">
        <f>IF('PROG FORM COMPLEM'!310:310,"AAAAAHNe/gk=",0)</f>
        <v>0</v>
      </c>
      <c r="K280" t="e">
        <f>AND('PROG FORM COMPLEM'!B310,"AAAAAHNe/go=")</f>
        <v>#VALUE!</v>
      </c>
      <c r="L280" t="e">
        <f>AND('PROG FORM COMPLEM'!C310,"AAAAAHNe/gs=")</f>
        <v>#VALUE!</v>
      </c>
      <c r="M280" t="e">
        <f>AND('PROG FORM COMPLEM'!D310,"AAAAAHNe/gw=")</f>
        <v>#VALUE!</v>
      </c>
      <c r="N280" t="e">
        <f>AND('PROG FORM COMPLEM'!E310,"AAAAAHNe/g0=")</f>
        <v>#VALUE!</v>
      </c>
      <c r="O280" t="e">
        <f>AND('PROG FORM COMPLEM'!F310,"AAAAAHNe/g4=")</f>
        <v>#VALUE!</v>
      </c>
      <c r="P280" t="e">
        <f>AND('PROG FORM COMPLEM'!G310,"AAAAAHNe/g8=")</f>
        <v>#VALUE!</v>
      </c>
      <c r="Q280" t="e">
        <f>AND('PROG FORM COMPLEM'!H310,"AAAAAHNe/hA=")</f>
        <v>#VALUE!</v>
      </c>
      <c r="R280" t="e">
        <f>AND('PROG FORM COMPLEM'!I310,"AAAAAHNe/hE=")</f>
        <v>#VALUE!</v>
      </c>
      <c r="S280" t="e">
        <f>AND('PROG FORM COMPLEM'!J310,"AAAAAHNe/hI=")</f>
        <v>#VALUE!</v>
      </c>
      <c r="T280" t="e">
        <f>AND('PROG FORM COMPLEM'!K310,"AAAAAHNe/hM=")</f>
        <v>#VALUE!</v>
      </c>
      <c r="U280" t="e">
        <f>AND('PROG FORM COMPLEM'!L310,"AAAAAHNe/hQ=")</f>
        <v>#VALUE!</v>
      </c>
      <c r="V280" t="e">
        <f>AND('PROG FORM COMPLEM'!M310,"AAAAAHNe/hU=")</f>
        <v>#VALUE!</v>
      </c>
      <c r="W280" t="e">
        <f>AND('PROG FORM COMPLEM'!N310,"AAAAAHNe/hY=")</f>
        <v>#VALUE!</v>
      </c>
      <c r="X280" t="e">
        <f>AND('PROG FORM COMPLEM'!O310,"AAAAAHNe/hc=")</f>
        <v>#VALUE!</v>
      </c>
      <c r="Y280" t="e">
        <f>AND('PROG FORM COMPLEM'!P310,"AAAAAHNe/hg=")</f>
        <v>#VALUE!</v>
      </c>
      <c r="Z280" t="e">
        <f>AND('PROG FORM COMPLEM'!Q310,"AAAAAHNe/hk=")</f>
        <v>#VALUE!</v>
      </c>
      <c r="AA280" t="e">
        <f>AND('PROG FORM COMPLEM'!R310,"AAAAAHNe/ho=")</f>
        <v>#VALUE!</v>
      </c>
      <c r="AB280" t="e">
        <f>AND('PROG FORM COMPLEM'!S310,"AAAAAHNe/hs=")</f>
        <v>#VALUE!</v>
      </c>
      <c r="AC280" t="e">
        <f>AND('PROG FORM COMPLEM'!T310,"AAAAAHNe/hw=")</f>
        <v>#VALUE!</v>
      </c>
      <c r="AD280" t="e">
        <f>AND('PROG FORM COMPLEM'!U310,"AAAAAHNe/h0=")</f>
        <v>#VALUE!</v>
      </c>
      <c r="AE280" t="e">
        <f>AND('PROG FORM COMPLEM'!V310,"AAAAAHNe/h4=")</f>
        <v>#VALUE!</v>
      </c>
      <c r="AF280" t="e">
        <f>AND('PROG FORM COMPLEM'!W310,"AAAAAHNe/h8=")</f>
        <v>#VALUE!</v>
      </c>
      <c r="AG280">
        <f>IF('PROG FORM COMPLEM'!311:311,"AAAAAHNe/iA=",0)</f>
        <v>0</v>
      </c>
      <c r="AH280" t="e">
        <f>AND('PROG FORM COMPLEM'!B311,"AAAAAHNe/iE=")</f>
        <v>#VALUE!</v>
      </c>
      <c r="AI280" t="e">
        <f>AND('PROG FORM COMPLEM'!C311,"AAAAAHNe/iI=")</f>
        <v>#VALUE!</v>
      </c>
      <c r="AJ280" t="e">
        <f>AND('PROG FORM COMPLEM'!D311,"AAAAAHNe/iM=")</f>
        <v>#VALUE!</v>
      </c>
      <c r="AK280" t="e">
        <f>AND('PROG FORM COMPLEM'!E311,"AAAAAHNe/iQ=")</f>
        <v>#VALUE!</v>
      </c>
      <c r="AL280" t="e">
        <f>AND('PROG FORM COMPLEM'!F311,"AAAAAHNe/iU=")</f>
        <v>#VALUE!</v>
      </c>
      <c r="AM280" t="e">
        <f>AND('PROG FORM COMPLEM'!G311,"AAAAAHNe/iY=")</f>
        <v>#VALUE!</v>
      </c>
      <c r="AN280" t="e">
        <f>AND('PROG FORM COMPLEM'!H311,"AAAAAHNe/ic=")</f>
        <v>#VALUE!</v>
      </c>
      <c r="AO280" t="e">
        <f>AND('PROG FORM COMPLEM'!I311,"AAAAAHNe/ig=")</f>
        <v>#VALUE!</v>
      </c>
      <c r="AP280" t="e">
        <f>AND('PROG FORM COMPLEM'!J311,"AAAAAHNe/ik=")</f>
        <v>#VALUE!</v>
      </c>
      <c r="AQ280" t="e">
        <f>AND('PROG FORM COMPLEM'!K311,"AAAAAHNe/io=")</f>
        <v>#VALUE!</v>
      </c>
      <c r="AR280" t="e">
        <f>AND('PROG FORM COMPLEM'!L311,"AAAAAHNe/is=")</f>
        <v>#VALUE!</v>
      </c>
      <c r="AS280" t="e">
        <f>AND('PROG FORM COMPLEM'!M311,"AAAAAHNe/iw=")</f>
        <v>#VALUE!</v>
      </c>
      <c r="AT280" t="e">
        <f>AND('PROG FORM COMPLEM'!N311,"AAAAAHNe/i0=")</f>
        <v>#VALUE!</v>
      </c>
      <c r="AU280" t="e">
        <f>AND('PROG FORM COMPLEM'!O311,"AAAAAHNe/i4=")</f>
        <v>#VALUE!</v>
      </c>
      <c r="AV280" t="e">
        <f>AND('PROG FORM COMPLEM'!P311,"AAAAAHNe/i8=")</f>
        <v>#VALUE!</v>
      </c>
      <c r="AW280" t="e">
        <f>AND('PROG FORM COMPLEM'!Q311,"AAAAAHNe/jA=")</f>
        <v>#VALUE!</v>
      </c>
      <c r="AX280" t="e">
        <f>AND('PROG FORM COMPLEM'!R311,"AAAAAHNe/jE=")</f>
        <v>#VALUE!</v>
      </c>
      <c r="AY280" t="e">
        <f>AND('PROG FORM COMPLEM'!S311,"AAAAAHNe/jI=")</f>
        <v>#VALUE!</v>
      </c>
      <c r="AZ280" t="e">
        <f>AND('PROG FORM COMPLEM'!T311,"AAAAAHNe/jM=")</f>
        <v>#VALUE!</v>
      </c>
      <c r="BA280" t="e">
        <f>AND('PROG FORM COMPLEM'!U311,"AAAAAHNe/jQ=")</f>
        <v>#VALUE!</v>
      </c>
      <c r="BB280" t="e">
        <f>AND('PROG FORM COMPLEM'!V311,"AAAAAHNe/jU=")</f>
        <v>#VALUE!</v>
      </c>
      <c r="BC280" t="e">
        <f>AND('PROG FORM COMPLEM'!W311,"AAAAAHNe/jY=")</f>
        <v>#VALUE!</v>
      </c>
      <c r="BD280">
        <f>IF('PROG FORM COMPLEM'!312:312,"AAAAAHNe/jc=",0)</f>
        <v>0</v>
      </c>
      <c r="BE280" t="e">
        <f>AND('PROG FORM COMPLEM'!B312,"AAAAAHNe/jg=")</f>
        <v>#VALUE!</v>
      </c>
      <c r="BF280" t="e">
        <f>AND('PROG FORM COMPLEM'!C312,"AAAAAHNe/jk=")</f>
        <v>#VALUE!</v>
      </c>
      <c r="BG280" t="e">
        <f>AND('PROG FORM COMPLEM'!D312,"AAAAAHNe/jo=")</f>
        <v>#VALUE!</v>
      </c>
      <c r="BH280" t="e">
        <f>AND('PROG FORM COMPLEM'!E312,"AAAAAHNe/js=")</f>
        <v>#VALUE!</v>
      </c>
      <c r="BI280" t="e">
        <f>AND('PROG FORM COMPLEM'!F312,"AAAAAHNe/jw=")</f>
        <v>#VALUE!</v>
      </c>
      <c r="BJ280" t="e">
        <f>AND('PROG FORM COMPLEM'!G312,"AAAAAHNe/j0=")</f>
        <v>#VALUE!</v>
      </c>
      <c r="BK280" t="e">
        <f>AND('PROG FORM COMPLEM'!H312,"AAAAAHNe/j4=")</f>
        <v>#VALUE!</v>
      </c>
      <c r="BL280" t="e">
        <f>AND('PROG FORM COMPLEM'!I312,"AAAAAHNe/j8=")</f>
        <v>#VALUE!</v>
      </c>
      <c r="BM280" t="e">
        <f>AND('PROG FORM COMPLEM'!J312,"AAAAAHNe/kA=")</f>
        <v>#VALUE!</v>
      </c>
      <c r="BN280" t="e">
        <f>AND('PROG FORM COMPLEM'!K312,"AAAAAHNe/kE=")</f>
        <v>#VALUE!</v>
      </c>
      <c r="BO280" t="e">
        <f>AND('PROG FORM COMPLEM'!L312,"AAAAAHNe/kI=")</f>
        <v>#VALUE!</v>
      </c>
      <c r="BP280" t="e">
        <f>AND('PROG FORM COMPLEM'!M312,"AAAAAHNe/kM=")</f>
        <v>#VALUE!</v>
      </c>
      <c r="BQ280" t="e">
        <f>AND('PROG FORM COMPLEM'!N312,"AAAAAHNe/kQ=")</f>
        <v>#VALUE!</v>
      </c>
      <c r="BR280" t="e">
        <f>AND('PROG FORM COMPLEM'!O312,"AAAAAHNe/kU=")</f>
        <v>#VALUE!</v>
      </c>
      <c r="BS280" t="e">
        <f>AND('PROG FORM COMPLEM'!P312,"AAAAAHNe/kY=")</f>
        <v>#VALUE!</v>
      </c>
      <c r="BT280" t="e">
        <f>AND('PROG FORM COMPLEM'!Q312,"AAAAAHNe/kc=")</f>
        <v>#VALUE!</v>
      </c>
      <c r="BU280" t="e">
        <f>AND('PROG FORM COMPLEM'!R312,"AAAAAHNe/kg=")</f>
        <v>#VALUE!</v>
      </c>
      <c r="BV280" t="e">
        <f>AND('PROG FORM COMPLEM'!S312,"AAAAAHNe/kk=")</f>
        <v>#VALUE!</v>
      </c>
      <c r="BW280" t="e">
        <f>AND('PROG FORM COMPLEM'!T312,"AAAAAHNe/ko=")</f>
        <v>#VALUE!</v>
      </c>
      <c r="BX280" t="e">
        <f>AND('PROG FORM COMPLEM'!U312,"AAAAAHNe/ks=")</f>
        <v>#VALUE!</v>
      </c>
      <c r="BY280" t="e">
        <f>AND('PROG FORM COMPLEM'!V312,"AAAAAHNe/kw=")</f>
        <v>#VALUE!</v>
      </c>
      <c r="BZ280" t="e">
        <f>AND('PROG FORM COMPLEM'!W312,"AAAAAHNe/k0=")</f>
        <v>#VALUE!</v>
      </c>
      <c r="CA280">
        <f>IF('PROG FORM COMPLEM'!313:313,"AAAAAHNe/k4=",0)</f>
        <v>0</v>
      </c>
      <c r="CB280" t="e">
        <f>AND('PROG FORM COMPLEM'!B313,"AAAAAHNe/k8=")</f>
        <v>#VALUE!</v>
      </c>
      <c r="CC280" t="e">
        <f>AND('PROG FORM COMPLEM'!C313,"AAAAAHNe/lA=")</f>
        <v>#VALUE!</v>
      </c>
      <c r="CD280" t="e">
        <f>AND('PROG FORM COMPLEM'!D313,"AAAAAHNe/lE=")</f>
        <v>#VALUE!</v>
      </c>
      <c r="CE280" t="e">
        <f>AND('PROG FORM COMPLEM'!E313,"AAAAAHNe/lI=")</f>
        <v>#VALUE!</v>
      </c>
      <c r="CF280" t="e">
        <f>AND('PROG FORM COMPLEM'!F313,"AAAAAHNe/lM=")</f>
        <v>#VALUE!</v>
      </c>
      <c r="CG280" t="e">
        <f>AND('PROG FORM COMPLEM'!G313,"AAAAAHNe/lQ=")</f>
        <v>#VALUE!</v>
      </c>
      <c r="CH280" t="e">
        <f>AND('PROG FORM COMPLEM'!H313,"AAAAAHNe/lU=")</f>
        <v>#VALUE!</v>
      </c>
      <c r="CI280" t="e">
        <f>AND('PROG FORM COMPLEM'!I313,"AAAAAHNe/lY=")</f>
        <v>#VALUE!</v>
      </c>
      <c r="CJ280" t="e">
        <f>AND('PROG FORM COMPLEM'!J313,"AAAAAHNe/lc=")</f>
        <v>#VALUE!</v>
      </c>
      <c r="CK280" t="e">
        <f>AND('PROG FORM COMPLEM'!K313,"AAAAAHNe/lg=")</f>
        <v>#VALUE!</v>
      </c>
      <c r="CL280" t="e">
        <f>AND('PROG FORM COMPLEM'!L313,"AAAAAHNe/lk=")</f>
        <v>#VALUE!</v>
      </c>
      <c r="CM280" t="e">
        <f>AND('PROG FORM COMPLEM'!M313,"AAAAAHNe/lo=")</f>
        <v>#VALUE!</v>
      </c>
      <c r="CN280" t="e">
        <f>AND('PROG FORM COMPLEM'!N313,"AAAAAHNe/ls=")</f>
        <v>#VALUE!</v>
      </c>
      <c r="CO280" t="e">
        <f>AND('PROG FORM COMPLEM'!O313,"AAAAAHNe/lw=")</f>
        <v>#VALUE!</v>
      </c>
      <c r="CP280" t="e">
        <f>AND('PROG FORM COMPLEM'!P313,"AAAAAHNe/l0=")</f>
        <v>#VALUE!</v>
      </c>
      <c r="CQ280" t="e">
        <f>AND('PROG FORM COMPLEM'!Q313,"AAAAAHNe/l4=")</f>
        <v>#VALUE!</v>
      </c>
      <c r="CR280" t="e">
        <f>AND('PROG FORM COMPLEM'!R313,"AAAAAHNe/l8=")</f>
        <v>#VALUE!</v>
      </c>
      <c r="CS280" t="e">
        <f>AND('PROG FORM COMPLEM'!S313,"AAAAAHNe/mA=")</f>
        <v>#VALUE!</v>
      </c>
      <c r="CT280" t="e">
        <f>AND('PROG FORM COMPLEM'!T313,"AAAAAHNe/mE=")</f>
        <v>#VALUE!</v>
      </c>
      <c r="CU280" t="e">
        <f>AND('PROG FORM COMPLEM'!U313,"AAAAAHNe/mI=")</f>
        <v>#VALUE!</v>
      </c>
      <c r="CV280" t="e">
        <f>AND('PROG FORM COMPLEM'!V313,"AAAAAHNe/mM=")</f>
        <v>#VALUE!</v>
      </c>
      <c r="CW280" t="e">
        <f>AND('PROG FORM COMPLEM'!W313,"AAAAAHNe/mQ=")</f>
        <v>#VALUE!</v>
      </c>
      <c r="CX280">
        <f>IF('PROG FORM COMPLEM'!314:314,"AAAAAHNe/mU=",0)</f>
        <v>0</v>
      </c>
      <c r="CY280" t="e">
        <f>AND('PROG FORM COMPLEM'!B314,"AAAAAHNe/mY=")</f>
        <v>#VALUE!</v>
      </c>
      <c r="CZ280" t="e">
        <f>AND('PROG FORM COMPLEM'!C314,"AAAAAHNe/mc=")</f>
        <v>#VALUE!</v>
      </c>
      <c r="DA280" t="e">
        <f>AND('PROG FORM COMPLEM'!D314,"AAAAAHNe/mg=")</f>
        <v>#VALUE!</v>
      </c>
      <c r="DB280" t="e">
        <f>AND('PROG FORM COMPLEM'!E314,"AAAAAHNe/mk=")</f>
        <v>#VALUE!</v>
      </c>
      <c r="DC280" t="e">
        <f>AND('PROG FORM COMPLEM'!F314,"AAAAAHNe/mo=")</f>
        <v>#VALUE!</v>
      </c>
      <c r="DD280" t="e">
        <f>AND('PROG FORM COMPLEM'!G314,"AAAAAHNe/ms=")</f>
        <v>#VALUE!</v>
      </c>
      <c r="DE280" t="e">
        <f>AND('PROG FORM COMPLEM'!H314,"AAAAAHNe/mw=")</f>
        <v>#VALUE!</v>
      </c>
      <c r="DF280" t="e">
        <f>AND('PROG FORM COMPLEM'!I314,"AAAAAHNe/m0=")</f>
        <v>#VALUE!</v>
      </c>
      <c r="DG280" t="e">
        <f>AND('PROG FORM COMPLEM'!J314,"AAAAAHNe/m4=")</f>
        <v>#VALUE!</v>
      </c>
      <c r="DH280" t="e">
        <f>AND('PROG FORM COMPLEM'!K314,"AAAAAHNe/m8=")</f>
        <v>#VALUE!</v>
      </c>
      <c r="DI280" t="e">
        <f>AND('PROG FORM COMPLEM'!L314,"AAAAAHNe/nA=")</f>
        <v>#VALUE!</v>
      </c>
      <c r="DJ280" t="e">
        <f>AND('PROG FORM COMPLEM'!M314,"AAAAAHNe/nE=")</f>
        <v>#VALUE!</v>
      </c>
      <c r="DK280" t="e">
        <f>AND('PROG FORM COMPLEM'!N314,"AAAAAHNe/nI=")</f>
        <v>#VALUE!</v>
      </c>
      <c r="DL280" t="e">
        <f>AND('PROG FORM COMPLEM'!O314,"AAAAAHNe/nM=")</f>
        <v>#VALUE!</v>
      </c>
      <c r="DM280" t="e">
        <f>AND('PROG FORM COMPLEM'!P314,"AAAAAHNe/nQ=")</f>
        <v>#VALUE!</v>
      </c>
      <c r="DN280" t="e">
        <f>AND('PROG FORM COMPLEM'!Q314,"AAAAAHNe/nU=")</f>
        <v>#VALUE!</v>
      </c>
      <c r="DO280" t="e">
        <f>AND('PROG FORM COMPLEM'!R314,"AAAAAHNe/nY=")</f>
        <v>#VALUE!</v>
      </c>
      <c r="DP280" t="e">
        <f>AND('PROG FORM COMPLEM'!S314,"AAAAAHNe/nc=")</f>
        <v>#VALUE!</v>
      </c>
      <c r="DQ280" t="e">
        <f>AND('PROG FORM COMPLEM'!T314,"AAAAAHNe/ng=")</f>
        <v>#VALUE!</v>
      </c>
      <c r="DR280" t="e">
        <f>AND('PROG FORM COMPLEM'!U314,"AAAAAHNe/nk=")</f>
        <v>#VALUE!</v>
      </c>
      <c r="DS280" t="e">
        <f>AND('PROG FORM COMPLEM'!V314,"AAAAAHNe/no=")</f>
        <v>#VALUE!</v>
      </c>
      <c r="DT280" t="e">
        <f>AND('PROG FORM COMPLEM'!W314,"AAAAAHNe/ns=")</f>
        <v>#VALUE!</v>
      </c>
      <c r="DU280">
        <f>IF('PROG FORM COMPLEM'!315:315,"AAAAAHNe/nw=",0)</f>
        <v>0</v>
      </c>
      <c r="DV280" t="e">
        <f>AND('PROG FORM COMPLEM'!B315,"AAAAAHNe/n0=")</f>
        <v>#VALUE!</v>
      </c>
      <c r="DW280" t="e">
        <f>AND('PROG FORM COMPLEM'!C315,"AAAAAHNe/n4=")</f>
        <v>#VALUE!</v>
      </c>
      <c r="DX280" t="e">
        <f>AND('PROG FORM COMPLEM'!D315,"AAAAAHNe/n8=")</f>
        <v>#VALUE!</v>
      </c>
      <c r="DY280" t="e">
        <f>AND('PROG FORM COMPLEM'!E315,"AAAAAHNe/oA=")</f>
        <v>#VALUE!</v>
      </c>
      <c r="DZ280" t="e">
        <f>AND('PROG FORM COMPLEM'!F315,"AAAAAHNe/oE=")</f>
        <v>#VALUE!</v>
      </c>
      <c r="EA280" t="e">
        <f>AND('PROG FORM COMPLEM'!G315,"AAAAAHNe/oI=")</f>
        <v>#VALUE!</v>
      </c>
      <c r="EB280" t="e">
        <f>AND('PROG FORM COMPLEM'!H315,"AAAAAHNe/oM=")</f>
        <v>#VALUE!</v>
      </c>
      <c r="EC280" t="e">
        <f>AND('PROG FORM COMPLEM'!I315,"AAAAAHNe/oQ=")</f>
        <v>#VALUE!</v>
      </c>
      <c r="ED280" t="e">
        <f>AND('PROG FORM COMPLEM'!J315,"AAAAAHNe/oU=")</f>
        <v>#VALUE!</v>
      </c>
      <c r="EE280" t="e">
        <f>AND('PROG FORM COMPLEM'!K315,"AAAAAHNe/oY=")</f>
        <v>#VALUE!</v>
      </c>
      <c r="EF280" t="e">
        <f>AND('PROG FORM COMPLEM'!L315,"AAAAAHNe/oc=")</f>
        <v>#VALUE!</v>
      </c>
      <c r="EG280" t="e">
        <f>AND('PROG FORM COMPLEM'!M315,"AAAAAHNe/og=")</f>
        <v>#VALUE!</v>
      </c>
      <c r="EH280" t="e">
        <f>AND('PROG FORM COMPLEM'!N315,"AAAAAHNe/ok=")</f>
        <v>#VALUE!</v>
      </c>
      <c r="EI280" t="e">
        <f>AND('PROG FORM COMPLEM'!O315,"AAAAAHNe/oo=")</f>
        <v>#VALUE!</v>
      </c>
      <c r="EJ280" t="e">
        <f>AND('PROG FORM COMPLEM'!P315,"AAAAAHNe/os=")</f>
        <v>#VALUE!</v>
      </c>
      <c r="EK280" t="e">
        <f>AND('PROG FORM COMPLEM'!Q315,"AAAAAHNe/ow=")</f>
        <v>#VALUE!</v>
      </c>
      <c r="EL280" t="e">
        <f>AND('PROG FORM COMPLEM'!R315,"AAAAAHNe/o0=")</f>
        <v>#VALUE!</v>
      </c>
      <c r="EM280" t="e">
        <f>AND('PROG FORM COMPLEM'!S315,"AAAAAHNe/o4=")</f>
        <v>#VALUE!</v>
      </c>
      <c r="EN280" t="e">
        <f>AND('PROG FORM COMPLEM'!T315,"AAAAAHNe/o8=")</f>
        <v>#VALUE!</v>
      </c>
      <c r="EO280" t="e">
        <f>AND('PROG FORM COMPLEM'!U315,"AAAAAHNe/pA=")</f>
        <v>#VALUE!</v>
      </c>
      <c r="EP280" t="e">
        <f>AND('PROG FORM COMPLEM'!V315,"AAAAAHNe/pE=")</f>
        <v>#VALUE!</v>
      </c>
      <c r="EQ280" t="e">
        <f>AND('PROG FORM COMPLEM'!W315,"AAAAAHNe/pI=")</f>
        <v>#VALUE!</v>
      </c>
      <c r="ER280">
        <f>IF('PROG FORM COMPLEM'!316:316,"AAAAAHNe/pM=",0)</f>
        <v>0</v>
      </c>
      <c r="ES280" t="e">
        <f>AND('PROG FORM COMPLEM'!B316,"AAAAAHNe/pQ=")</f>
        <v>#VALUE!</v>
      </c>
      <c r="ET280" t="e">
        <f>AND('PROG FORM COMPLEM'!C316,"AAAAAHNe/pU=")</f>
        <v>#VALUE!</v>
      </c>
      <c r="EU280" t="e">
        <f>AND('PROG FORM COMPLEM'!D316,"AAAAAHNe/pY=")</f>
        <v>#VALUE!</v>
      </c>
      <c r="EV280" t="e">
        <f>AND('PROG FORM COMPLEM'!E316,"AAAAAHNe/pc=")</f>
        <v>#VALUE!</v>
      </c>
      <c r="EW280" t="e">
        <f>AND('PROG FORM COMPLEM'!F316,"AAAAAHNe/pg=")</f>
        <v>#VALUE!</v>
      </c>
      <c r="EX280" t="e">
        <f>AND('PROG FORM COMPLEM'!G316,"AAAAAHNe/pk=")</f>
        <v>#VALUE!</v>
      </c>
      <c r="EY280" t="e">
        <f>AND('PROG FORM COMPLEM'!H316,"AAAAAHNe/po=")</f>
        <v>#VALUE!</v>
      </c>
      <c r="EZ280" t="e">
        <f>AND('PROG FORM COMPLEM'!I316,"AAAAAHNe/ps=")</f>
        <v>#VALUE!</v>
      </c>
      <c r="FA280" t="e">
        <f>AND('PROG FORM COMPLEM'!J316,"AAAAAHNe/pw=")</f>
        <v>#VALUE!</v>
      </c>
      <c r="FB280" t="e">
        <f>AND('PROG FORM COMPLEM'!K316,"AAAAAHNe/p0=")</f>
        <v>#VALUE!</v>
      </c>
      <c r="FC280" t="e">
        <f>AND('PROG FORM COMPLEM'!L316,"AAAAAHNe/p4=")</f>
        <v>#VALUE!</v>
      </c>
      <c r="FD280" t="e">
        <f>AND('PROG FORM COMPLEM'!M316,"AAAAAHNe/p8=")</f>
        <v>#VALUE!</v>
      </c>
      <c r="FE280" t="e">
        <f>AND('PROG FORM COMPLEM'!N316,"AAAAAHNe/qA=")</f>
        <v>#VALUE!</v>
      </c>
      <c r="FF280" t="e">
        <f>AND('PROG FORM COMPLEM'!O316,"AAAAAHNe/qE=")</f>
        <v>#VALUE!</v>
      </c>
      <c r="FG280" t="e">
        <f>AND('PROG FORM COMPLEM'!P316,"AAAAAHNe/qI=")</f>
        <v>#VALUE!</v>
      </c>
      <c r="FH280" t="e">
        <f>AND('PROG FORM COMPLEM'!Q316,"AAAAAHNe/qM=")</f>
        <v>#VALUE!</v>
      </c>
      <c r="FI280" t="e">
        <f>AND('PROG FORM COMPLEM'!R316,"AAAAAHNe/qQ=")</f>
        <v>#VALUE!</v>
      </c>
      <c r="FJ280" t="e">
        <f>AND('PROG FORM COMPLEM'!S316,"AAAAAHNe/qU=")</f>
        <v>#VALUE!</v>
      </c>
      <c r="FK280" t="e">
        <f>AND('PROG FORM COMPLEM'!T316,"AAAAAHNe/qY=")</f>
        <v>#VALUE!</v>
      </c>
      <c r="FL280" t="e">
        <f>AND('PROG FORM COMPLEM'!U316,"AAAAAHNe/qc=")</f>
        <v>#VALUE!</v>
      </c>
      <c r="FM280" t="e">
        <f>AND('PROG FORM COMPLEM'!V316,"AAAAAHNe/qg=")</f>
        <v>#VALUE!</v>
      </c>
      <c r="FN280" t="e">
        <f>AND('PROG FORM COMPLEM'!W316,"AAAAAHNe/qk=")</f>
        <v>#VALUE!</v>
      </c>
      <c r="FO280">
        <f>IF('PROG FORM COMPLEM'!317:317,"AAAAAHNe/qo=",0)</f>
        <v>0</v>
      </c>
      <c r="FP280" t="e">
        <f>AND('PROG FORM COMPLEM'!B317,"AAAAAHNe/qs=")</f>
        <v>#VALUE!</v>
      </c>
      <c r="FQ280" t="e">
        <f>AND('PROG FORM COMPLEM'!C317,"AAAAAHNe/qw=")</f>
        <v>#VALUE!</v>
      </c>
      <c r="FR280" t="e">
        <f>AND('PROG FORM COMPLEM'!D317,"AAAAAHNe/q0=")</f>
        <v>#VALUE!</v>
      </c>
      <c r="FS280" t="e">
        <f>AND('PROG FORM COMPLEM'!E317,"AAAAAHNe/q4=")</f>
        <v>#VALUE!</v>
      </c>
      <c r="FT280" t="e">
        <f>AND('PROG FORM COMPLEM'!F317,"AAAAAHNe/q8=")</f>
        <v>#VALUE!</v>
      </c>
      <c r="FU280" t="e">
        <f>AND('PROG FORM COMPLEM'!G317,"AAAAAHNe/rA=")</f>
        <v>#VALUE!</v>
      </c>
      <c r="FV280" t="e">
        <f>AND('PROG FORM COMPLEM'!H317,"AAAAAHNe/rE=")</f>
        <v>#VALUE!</v>
      </c>
      <c r="FW280" t="e">
        <f>AND('PROG FORM COMPLEM'!I317,"AAAAAHNe/rI=")</f>
        <v>#VALUE!</v>
      </c>
      <c r="FX280" t="e">
        <f>AND('PROG FORM COMPLEM'!J317,"AAAAAHNe/rM=")</f>
        <v>#VALUE!</v>
      </c>
      <c r="FY280" t="e">
        <f>AND('PROG FORM COMPLEM'!K317,"AAAAAHNe/rQ=")</f>
        <v>#VALUE!</v>
      </c>
      <c r="FZ280" t="e">
        <f>AND('PROG FORM COMPLEM'!L317,"AAAAAHNe/rU=")</f>
        <v>#VALUE!</v>
      </c>
      <c r="GA280" t="e">
        <f>AND('PROG FORM COMPLEM'!M317,"AAAAAHNe/rY=")</f>
        <v>#VALUE!</v>
      </c>
      <c r="GB280" t="e">
        <f>AND('PROG FORM COMPLEM'!N317,"AAAAAHNe/rc=")</f>
        <v>#VALUE!</v>
      </c>
      <c r="GC280" t="e">
        <f>AND('PROG FORM COMPLEM'!O317,"AAAAAHNe/rg=")</f>
        <v>#VALUE!</v>
      </c>
      <c r="GD280" t="e">
        <f>AND('PROG FORM COMPLEM'!P317,"AAAAAHNe/rk=")</f>
        <v>#VALUE!</v>
      </c>
      <c r="GE280" t="e">
        <f>AND('PROG FORM COMPLEM'!Q317,"AAAAAHNe/ro=")</f>
        <v>#VALUE!</v>
      </c>
      <c r="GF280" t="e">
        <f>AND('PROG FORM COMPLEM'!R317,"AAAAAHNe/rs=")</f>
        <v>#VALUE!</v>
      </c>
      <c r="GG280" t="e">
        <f>AND('PROG FORM COMPLEM'!S317,"AAAAAHNe/rw=")</f>
        <v>#VALUE!</v>
      </c>
      <c r="GH280" t="e">
        <f>AND('PROG FORM COMPLEM'!T317,"AAAAAHNe/r0=")</f>
        <v>#VALUE!</v>
      </c>
      <c r="GI280" t="e">
        <f>AND('PROG FORM COMPLEM'!U317,"AAAAAHNe/r4=")</f>
        <v>#VALUE!</v>
      </c>
      <c r="GJ280" t="e">
        <f>AND('PROG FORM COMPLEM'!V317,"AAAAAHNe/r8=")</f>
        <v>#VALUE!</v>
      </c>
      <c r="GK280" t="e">
        <f>AND('PROG FORM COMPLEM'!W317,"AAAAAHNe/sA=")</f>
        <v>#VALUE!</v>
      </c>
      <c r="GL280">
        <f>IF('PROG FORM COMPLEM'!318:318,"AAAAAHNe/sE=",0)</f>
        <v>0</v>
      </c>
      <c r="GM280" t="e">
        <f>AND('PROG FORM COMPLEM'!B318,"AAAAAHNe/sI=")</f>
        <v>#VALUE!</v>
      </c>
      <c r="GN280" t="e">
        <f>AND('PROG FORM COMPLEM'!C318,"AAAAAHNe/sM=")</f>
        <v>#VALUE!</v>
      </c>
      <c r="GO280" t="e">
        <f>AND('PROG FORM COMPLEM'!D318,"AAAAAHNe/sQ=")</f>
        <v>#VALUE!</v>
      </c>
      <c r="GP280" t="e">
        <f>AND('PROG FORM COMPLEM'!E318,"AAAAAHNe/sU=")</f>
        <v>#VALUE!</v>
      </c>
      <c r="GQ280" t="e">
        <f>AND('PROG FORM COMPLEM'!F318,"AAAAAHNe/sY=")</f>
        <v>#VALUE!</v>
      </c>
      <c r="GR280" t="e">
        <f>AND('PROG FORM COMPLEM'!G318,"AAAAAHNe/sc=")</f>
        <v>#VALUE!</v>
      </c>
      <c r="GS280" t="e">
        <f>AND('PROG FORM COMPLEM'!H318,"AAAAAHNe/sg=")</f>
        <v>#VALUE!</v>
      </c>
      <c r="GT280" t="e">
        <f>AND('PROG FORM COMPLEM'!I318,"AAAAAHNe/sk=")</f>
        <v>#VALUE!</v>
      </c>
      <c r="GU280" t="e">
        <f>AND('PROG FORM COMPLEM'!J318,"AAAAAHNe/so=")</f>
        <v>#VALUE!</v>
      </c>
      <c r="GV280" t="e">
        <f>AND('PROG FORM COMPLEM'!K318,"AAAAAHNe/ss=")</f>
        <v>#VALUE!</v>
      </c>
      <c r="GW280" t="e">
        <f>AND('PROG FORM COMPLEM'!L318,"AAAAAHNe/sw=")</f>
        <v>#VALUE!</v>
      </c>
      <c r="GX280" t="e">
        <f>AND('PROG FORM COMPLEM'!M318,"AAAAAHNe/s0=")</f>
        <v>#VALUE!</v>
      </c>
      <c r="GY280" t="e">
        <f>AND('PROG FORM COMPLEM'!N318,"AAAAAHNe/s4=")</f>
        <v>#VALUE!</v>
      </c>
      <c r="GZ280" t="e">
        <f>AND('PROG FORM COMPLEM'!O318,"AAAAAHNe/s8=")</f>
        <v>#VALUE!</v>
      </c>
      <c r="HA280" t="e">
        <f>AND('PROG FORM COMPLEM'!P318,"AAAAAHNe/tA=")</f>
        <v>#VALUE!</v>
      </c>
      <c r="HB280" t="e">
        <f>AND('PROG FORM COMPLEM'!Q318,"AAAAAHNe/tE=")</f>
        <v>#VALUE!</v>
      </c>
      <c r="HC280" t="e">
        <f>AND('PROG FORM COMPLEM'!R318,"AAAAAHNe/tI=")</f>
        <v>#VALUE!</v>
      </c>
      <c r="HD280" t="e">
        <f>AND('PROG FORM COMPLEM'!S318,"AAAAAHNe/tM=")</f>
        <v>#VALUE!</v>
      </c>
      <c r="HE280" t="e">
        <f>AND('PROG FORM COMPLEM'!T318,"AAAAAHNe/tQ=")</f>
        <v>#VALUE!</v>
      </c>
      <c r="HF280" t="e">
        <f>AND('PROG FORM COMPLEM'!U318,"AAAAAHNe/tU=")</f>
        <v>#VALUE!</v>
      </c>
      <c r="HG280" t="e">
        <f>AND('PROG FORM COMPLEM'!V318,"AAAAAHNe/tY=")</f>
        <v>#VALUE!</v>
      </c>
      <c r="HH280" t="e">
        <f>AND('PROG FORM COMPLEM'!W318,"AAAAAHNe/tc=")</f>
        <v>#VALUE!</v>
      </c>
      <c r="HI280">
        <f>IF('PROG FORM COMPLEM'!319:319,"AAAAAHNe/tg=",0)</f>
        <v>0</v>
      </c>
      <c r="HJ280" t="e">
        <f>AND('PROG FORM COMPLEM'!B319,"AAAAAHNe/tk=")</f>
        <v>#VALUE!</v>
      </c>
      <c r="HK280" t="e">
        <f>AND('PROG FORM COMPLEM'!C319,"AAAAAHNe/to=")</f>
        <v>#VALUE!</v>
      </c>
      <c r="HL280" t="e">
        <f>AND('PROG FORM COMPLEM'!D319,"AAAAAHNe/ts=")</f>
        <v>#VALUE!</v>
      </c>
      <c r="HM280" t="e">
        <f>AND('PROG FORM COMPLEM'!E319,"AAAAAHNe/tw=")</f>
        <v>#VALUE!</v>
      </c>
      <c r="HN280" t="e">
        <f>AND('PROG FORM COMPLEM'!F319,"AAAAAHNe/t0=")</f>
        <v>#VALUE!</v>
      </c>
      <c r="HO280" t="e">
        <f>AND('PROG FORM COMPLEM'!G319,"AAAAAHNe/t4=")</f>
        <v>#VALUE!</v>
      </c>
      <c r="HP280" t="e">
        <f>AND('PROG FORM COMPLEM'!H319,"AAAAAHNe/t8=")</f>
        <v>#VALUE!</v>
      </c>
      <c r="HQ280" t="e">
        <f>AND('PROG FORM COMPLEM'!I319,"AAAAAHNe/uA=")</f>
        <v>#VALUE!</v>
      </c>
      <c r="HR280" t="e">
        <f>AND('PROG FORM COMPLEM'!J319,"AAAAAHNe/uE=")</f>
        <v>#VALUE!</v>
      </c>
      <c r="HS280" t="e">
        <f>AND('PROG FORM COMPLEM'!K319,"AAAAAHNe/uI=")</f>
        <v>#VALUE!</v>
      </c>
      <c r="HT280" t="e">
        <f>AND('PROG FORM COMPLEM'!L319,"AAAAAHNe/uM=")</f>
        <v>#VALUE!</v>
      </c>
      <c r="HU280" t="e">
        <f>AND('PROG FORM COMPLEM'!M319,"AAAAAHNe/uQ=")</f>
        <v>#VALUE!</v>
      </c>
      <c r="HV280" t="e">
        <f>AND('PROG FORM COMPLEM'!N319,"AAAAAHNe/uU=")</f>
        <v>#VALUE!</v>
      </c>
      <c r="HW280" t="e">
        <f>AND('PROG FORM COMPLEM'!O319,"AAAAAHNe/uY=")</f>
        <v>#VALUE!</v>
      </c>
      <c r="HX280" t="e">
        <f>AND('PROG FORM COMPLEM'!P319,"AAAAAHNe/uc=")</f>
        <v>#VALUE!</v>
      </c>
      <c r="HY280" t="e">
        <f>AND('PROG FORM COMPLEM'!Q319,"AAAAAHNe/ug=")</f>
        <v>#VALUE!</v>
      </c>
      <c r="HZ280" t="e">
        <f>AND('PROG FORM COMPLEM'!R319,"AAAAAHNe/uk=")</f>
        <v>#VALUE!</v>
      </c>
      <c r="IA280" t="e">
        <f>AND('PROG FORM COMPLEM'!S319,"AAAAAHNe/uo=")</f>
        <v>#VALUE!</v>
      </c>
      <c r="IB280" t="e">
        <f>AND('PROG FORM COMPLEM'!T319,"AAAAAHNe/us=")</f>
        <v>#VALUE!</v>
      </c>
      <c r="IC280" t="e">
        <f>AND('PROG FORM COMPLEM'!U319,"AAAAAHNe/uw=")</f>
        <v>#VALUE!</v>
      </c>
      <c r="ID280" t="e">
        <f>AND('PROG FORM COMPLEM'!V319,"AAAAAHNe/u0=")</f>
        <v>#VALUE!</v>
      </c>
      <c r="IE280" t="e">
        <f>AND('PROG FORM COMPLEM'!W319,"AAAAAHNe/u4=")</f>
        <v>#VALUE!</v>
      </c>
      <c r="IF280">
        <f>IF('PROG FORM COMPLEM'!320:320,"AAAAAHNe/u8=",0)</f>
        <v>0</v>
      </c>
      <c r="IG280" t="e">
        <f>AND('PROG FORM COMPLEM'!B320,"AAAAAHNe/vA=")</f>
        <v>#VALUE!</v>
      </c>
      <c r="IH280" t="e">
        <f>AND('PROG FORM COMPLEM'!C320,"AAAAAHNe/vE=")</f>
        <v>#VALUE!</v>
      </c>
      <c r="II280" t="e">
        <f>AND('PROG FORM COMPLEM'!D320,"AAAAAHNe/vI=")</f>
        <v>#VALUE!</v>
      </c>
      <c r="IJ280" t="e">
        <f>AND('PROG FORM COMPLEM'!E320,"AAAAAHNe/vM=")</f>
        <v>#VALUE!</v>
      </c>
      <c r="IK280" t="e">
        <f>AND('PROG FORM COMPLEM'!F320,"AAAAAHNe/vQ=")</f>
        <v>#VALUE!</v>
      </c>
      <c r="IL280" t="e">
        <f>AND('PROG FORM COMPLEM'!G320,"AAAAAHNe/vU=")</f>
        <v>#VALUE!</v>
      </c>
      <c r="IM280" t="e">
        <f>AND('PROG FORM COMPLEM'!H320,"AAAAAHNe/vY=")</f>
        <v>#VALUE!</v>
      </c>
      <c r="IN280" t="e">
        <f>AND('PROG FORM COMPLEM'!I320,"AAAAAHNe/vc=")</f>
        <v>#VALUE!</v>
      </c>
      <c r="IO280" t="e">
        <f>AND('PROG FORM COMPLEM'!J320,"AAAAAHNe/vg=")</f>
        <v>#VALUE!</v>
      </c>
      <c r="IP280" t="e">
        <f>AND('PROG FORM COMPLEM'!K320,"AAAAAHNe/vk=")</f>
        <v>#VALUE!</v>
      </c>
      <c r="IQ280" t="e">
        <f>AND('PROG FORM COMPLEM'!L320,"AAAAAHNe/vo=")</f>
        <v>#VALUE!</v>
      </c>
      <c r="IR280" t="e">
        <f>AND('PROG FORM COMPLEM'!M320,"AAAAAHNe/vs=")</f>
        <v>#VALUE!</v>
      </c>
      <c r="IS280" t="e">
        <f>AND('PROG FORM COMPLEM'!N320,"AAAAAHNe/vw=")</f>
        <v>#VALUE!</v>
      </c>
      <c r="IT280" t="e">
        <f>AND('PROG FORM COMPLEM'!O320,"AAAAAHNe/v0=")</f>
        <v>#VALUE!</v>
      </c>
      <c r="IU280" t="e">
        <f>AND('PROG FORM COMPLEM'!P320,"AAAAAHNe/v4=")</f>
        <v>#VALUE!</v>
      </c>
      <c r="IV280" t="e">
        <f>AND('PROG FORM COMPLEM'!Q320,"AAAAAHNe/v8=")</f>
        <v>#VALUE!</v>
      </c>
    </row>
    <row r="281" spans="1:256" x14ac:dyDescent="0.2">
      <c r="A281" t="e">
        <f>AND('PROG FORM COMPLEM'!R320,"AAAAAF77vwA=")</f>
        <v>#VALUE!</v>
      </c>
      <c r="B281" t="e">
        <f>AND('PROG FORM COMPLEM'!S320,"AAAAAF77vwE=")</f>
        <v>#VALUE!</v>
      </c>
      <c r="C281" t="e">
        <f>AND('PROG FORM COMPLEM'!T320,"AAAAAF77vwI=")</f>
        <v>#VALUE!</v>
      </c>
      <c r="D281" t="e">
        <f>AND('PROG FORM COMPLEM'!U320,"AAAAAF77vwM=")</f>
        <v>#VALUE!</v>
      </c>
      <c r="E281" t="e">
        <f>AND('PROG FORM COMPLEM'!V320,"AAAAAF77vwQ=")</f>
        <v>#VALUE!</v>
      </c>
      <c r="F281" t="e">
        <f>AND('PROG FORM COMPLEM'!W320,"AAAAAF77vwU=")</f>
        <v>#VALUE!</v>
      </c>
      <c r="G281">
        <f>IF('PROG FORM COMPLEM'!321:321,"AAAAAF77vwY=",0)</f>
        <v>0</v>
      </c>
      <c r="H281" t="e">
        <f>AND('PROG FORM COMPLEM'!B321,"AAAAAF77vwc=")</f>
        <v>#VALUE!</v>
      </c>
      <c r="I281" t="e">
        <f>AND('PROG FORM COMPLEM'!C321,"AAAAAF77vwg=")</f>
        <v>#VALUE!</v>
      </c>
      <c r="J281" t="e">
        <f>AND('PROG FORM COMPLEM'!D321,"AAAAAF77vwk=")</f>
        <v>#VALUE!</v>
      </c>
      <c r="K281" t="e">
        <f>AND('PROG FORM COMPLEM'!E321,"AAAAAF77vwo=")</f>
        <v>#VALUE!</v>
      </c>
      <c r="L281" t="e">
        <f>AND('PROG FORM COMPLEM'!F321,"AAAAAF77vws=")</f>
        <v>#VALUE!</v>
      </c>
      <c r="M281" t="e">
        <f>AND('PROG FORM COMPLEM'!G321,"AAAAAF77vww=")</f>
        <v>#VALUE!</v>
      </c>
      <c r="N281" t="e">
        <f>AND('PROG FORM COMPLEM'!H321,"AAAAAF77vw0=")</f>
        <v>#VALUE!</v>
      </c>
      <c r="O281" t="e">
        <f>AND('PROG FORM COMPLEM'!I321,"AAAAAF77vw4=")</f>
        <v>#VALUE!</v>
      </c>
      <c r="P281" t="e">
        <f>AND('PROG FORM COMPLEM'!J321,"AAAAAF77vw8=")</f>
        <v>#VALUE!</v>
      </c>
      <c r="Q281" t="e">
        <f>AND('PROG FORM COMPLEM'!K321,"AAAAAF77vxA=")</f>
        <v>#VALUE!</v>
      </c>
      <c r="R281" t="e">
        <f>AND('PROG FORM COMPLEM'!L321,"AAAAAF77vxE=")</f>
        <v>#VALUE!</v>
      </c>
      <c r="S281" t="e">
        <f>AND('PROG FORM COMPLEM'!M321,"AAAAAF77vxI=")</f>
        <v>#VALUE!</v>
      </c>
      <c r="T281" t="e">
        <f>AND('PROG FORM COMPLEM'!N321,"AAAAAF77vxM=")</f>
        <v>#VALUE!</v>
      </c>
      <c r="U281" t="e">
        <f>AND('PROG FORM COMPLEM'!O321,"AAAAAF77vxQ=")</f>
        <v>#VALUE!</v>
      </c>
      <c r="V281" t="e">
        <f>AND('PROG FORM COMPLEM'!P321,"AAAAAF77vxU=")</f>
        <v>#VALUE!</v>
      </c>
      <c r="W281" t="e">
        <f>AND('PROG FORM COMPLEM'!Q321,"AAAAAF77vxY=")</f>
        <v>#VALUE!</v>
      </c>
      <c r="X281" t="e">
        <f>AND('PROG FORM COMPLEM'!R321,"AAAAAF77vxc=")</f>
        <v>#VALUE!</v>
      </c>
      <c r="Y281" t="e">
        <f>AND('PROG FORM COMPLEM'!S321,"AAAAAF77vxg=")</f>
        <v>#VALUE!</v>
      </c>
      <c r="Z281" t="e">
        <f>AND('PROG FORM COMPLEM'!T321,"AAAAAF77vxk=")</f>
        <v>#VALUE!</v>
      </c>
      <c r="AA281" t="e">
        <f>AND('PROG FORM COMPLEM'!U321,"AAAAAF77vxo=")</f>
        <v>#VALUE!</v>
      </c>
      <c r="AB281" t="e">
        <f>AND('PROG FORM COMPLEM'!V321,"AAAAAF77vxs=")</f>
        <v>#VALUE!</v>
      </c>
      <c r="AC281" t="e">
        <f>AND('PROG FORM COMPLEM'!W321,"AAAAAF77vxw=")</f>
        <v>#VALUE!</v>
      </c>
      <c r="AD281">
        <f>IF('PROG FORM COMPLEM'!322:322,"AAAAAF77vx0=",0)</f>
        <v>0</v>
      </c>
      <c r="AE281" t="e">
        <f>AND('PROG FORM COMPLEM'!B322,"AAAAAF77vx4=")</f>
        <v>#VALUE!</v>
      </c>
      <c r="AF281" t="e">
        <f>AND('PROG FORM COMPLEM'!C322,"AAAAAF77vx8=")</f>
        <v>#VALUE!</v>
      </c>
      <c r="AG281" t="e">
        <f>AND('PROG FORM COMPLEM'!D322,"AAAAAF77vyA=")</f>
        <v>#VALUE!</v>
      </c>
      <c r="AH281" t="e">
        <f>AND('PROG FORM COMPLEM'!E322,"AAAAAF77vyE=")</f>
        <v>#VALUE!</v>
      </c>
      <c r="AI281" t="e">
        <f>AND('PROG FORM COMPLEM'!F322,"AAAAAF77vyI=")</f>
        <v>#VALUE!</v>
      </c>
      <c r="AJ281" t="e">
        <f>AND('PROG FORM COMPLEM'!G322,"AAAAAF77vyM=")</f>
        <v>#VALUE!</v>
      </c>
      <c r="AK281" t="e">
        <f>AND('PROG FORM COMPLEM'!H322,"AAAAAF77vyQ=")</f>
        <v>#VALUE!</v>
      </c>
      <c r="AL281" t="e">
        <f>AND('PROG FORM COMPLEM'!I322,"AAAAAF77vyU=")</f>
        <v>#VALUE!</v>
      </c>
      <c r="AM281" t="e">
        <f>AND('PROG FORM COMPLEM'!J322,"AAAAAF77vyY=")</f>
        <v>#VALUE!</v>
      </c>
      <c r="AN281" t="e">
        <f>AND('PROG FORM COMPLEM'!K322,"AAAAAF77vyc=")</f>
        <v>#VALUE!</v>
      </c>
      <c r="AO281" t="e">
        <f>AND('PROG FORM COMPLEM'!L322,"AAAAAF77vyg=")</f>
        <v>#VALUE!</v>
      </c>
      <c r="AP281" t="e">
        <f>AND('PROG FORM COMPLEM'!M322,"AAAAAF77vyk=")</f>
        <v>#VALUE!</v>
      </c>
      <c r="AQ281" t="e">
        <f>AND('PROG FORM COMPLEM'!N322,"AAAAAF77vyo=")</f>
        <v>#VALUE!</v>
      </c>
      <c r="AR281" t="e">
        <f>AND('PROG FORM COMPLEM'!O322,"AAAAAF77vys=")</f>
        <v>#VALUE!</v>
      </c>
      <c r="AS281" t="e">
        <f>AND('PROG FORM COMPLEM'!P322,"AAAAAF77vyw=")</f>
        <v>#VALUE!</v>
      </c>
      <c r="AT281" t="e">
        <f>AND('PROG FORM COMPLEM'!Q322,"AAAAAF77vy0=")</f>
        <v>#VALUE!</v>
      </c>
      <c r="AU281" t="e">
        <f>AND('PROG FORM COMPLEM'!R322,"AAAAAF77vy4=")</f>
        <v>#VALUE!</v>
      </c>
      <c r="AV281" t="e">
        <f>AND('PROG FORM COMPLEM'!S322,"AAAAAF77vy8=")</f>
        <v>#VALUE!</v>
      </c>
      <c r="AW281" t="e">
        <f>AND('PROG FORM COMPLEM'!T322,"AAAAAF77vzA=")</f>
        <v>#VALUE!</v>
      </c>
      <c r="AX281" t="e">
        <f>AND('PROG FORM COMPLEM'!U322,"AAAAAF77vzE=")</f>
        <v>#VALUE!</v>
      </c>
      <c r="AY281" t="e">
        <f>AND('PROG FORM COMPLEM'!V322,"AAAAAF77vzI=")</f>
        <v>#VALUE!</v>
      </c>
      <c r="AZ281" t="e">
        <f>AND('PROG FORM COMPLEM'!W322,"AAAAAF77vzM=")</f>
        <v>#VALUE!</v>
      </c>
      <c r="BA281">
        <f>IF('PROG FORM COMPLEM'!323:323,"AAAAAF77vzQ=",0)</f>
        <v>0</v>
      </c>
      <c r="BB281" t="e">
        <f>AND('PROG FORM COMPLEM'!B323,"AAAAAF77vzU=")</f>
        <v>#VALUE!</v>
      </c>
      <c r="BC281" t="e">
        <f>AND('PROG FORM COMPLEM'!C323,"AAAAAF77vzY=")</f>
        <v>#VALUE!</v>
      </c>
      <c r="BD281" t="e">
        <f>AND('PROG FORM COMPLEM'!D323,"AAAAAF77vzc=")</f>
        <v>#VALUE!</v>
      </c>
      <c r="BE281" t="e">
        <f>AND('PROG FORM COMPLEM'!E323,"AAAAAF77vzg=")</f>
        <v>#VALUE!</v>
      </c>
      <c r="BF281" t="e">
        <f>AND('PROG FORM COMPLEM'!F323,"AAAAAF77vzk=")</f>
        <v>#VALUE!</v>
      </c>
      <c r="BG281" t="e">
        <f>AND('PROG FORM COMPLEM'!G323,"AAAAAF77vzo=")</f>
        <v>#VALUE!</v>
      </c>
      <c r="BH281" t="e">
        <f>AND('PROG FORM COMPLEM'!H323,"AAAAAF77vzs=")</f>
        <v>#VALUE!</v>
      </c>
      <c r="BI281" t="e">
        <f>AND('PROG FORM COMPLEM'!I323,"AAAAAF77vzw=")</f>
        <v>#VALUE!</v>
      </c>
      <c r="BJ281" t="e">
        <f>AND('PROG FORM COMPLEM'!J323,"AAAAAF77vz0=")</f>
        <v>#VALUE!</v>
      </c>
      <c r="BK281" t="e">
        <f>AND('PROG FORM COMPLEM'!K323,"AAAAAF77vz4=")</f>
        <v>#VALUE!</v>
      </c>
      <c r="BL281" t="e">
        <f>AND('PROG FORM COMPLEM'!L323,"AAAAAF77vz8=")</f>
        <v>#VALUE!</v>
      </c>
      <c r="BM281" t="e">
        <f>AND('PROG FORM COMPLEM'!M323,"AAAAAF77v0A=")</f>
        <v>#VALUE!</v>
      </c>
      <c r="BN281" t="e">
        <f>AND('PROG FORM COMPLEM'!N323,"AAAAAF77v0E=")</f>
        <v>#VALUE!</v>
      </c>
      <c r="BO281" t="e">
        <f>AND('PROG FORM COMPLEM'!O323,"AAAAAF77v0I=")</f>
        <v>#VALUE!</v>
      </c>
      <c r="BP281" t="e">
        <f>AND('PROG FORM COMPLEM'!P323,"AAAAAF77v0M=")</f>
        <v>#VALUE!</v>
      </c>
      <c r="BQ281" t="e">
        <f>AND('PROG FORM COMPLEM'!Q323,"AAAAAF77v0Q=")</f>
        <v>#VALUE!</v>
      </c>
      <c r="BR281" t="e">
        <f>AND('PROG FORM COMPLEM'!R323,"AAAAAF77v0U=")</f>
        <v>#VALUE!</v>
      </c>
      <c r="BS281" t="e">
        <f>AND('PROG FORM COMPLEM'!S323,"AAAAAF77v0Y=")</f>
        <v>#VALUE!</v>
      </c>
      <c r="BT281" t="e">
        <f>AND('PROG FORM COMPLEM'!T323,"AAAAAF77v0c=")</f>
        <v>#VALUE!</v>
      </c>
      <c r="BU281" t="e">
        <f>AND('PROG FORM COMPLEM'!U323,"AAAAAF77v0g=")</f>
        <v>#VALUE!</v>
      </c>
      <c r="BV281" t="e">
        <f>AND('PROG FORM COMPLEM'!V323,"AAAAAF77v0k=")</f>
        <v>#VALUE!</v>
      </c>
      <c r="BW281" t="e">
        <f>AND('PROG FORM COMPLEM'!W323,"AAAAAF77v0o=")</f>
        <v>#VALUE!</v>
      </c>
      <c r="BX281">
        <f>IF('PROG FORM COMPLEM'!324:324,"AAAAAF77v0s=",0)</f>
        <v>0</v>
      </c>
      <c r="BY281" t="e">
        <f>AND('PROG FORM COMPLEM'!B324,"AAAAAF77v0w=")</f>
        <v>#VALUE!</v>
      </c>
      <c r="BZ281" t="e">
        <f>AND('PROG FORM COMPLEM'!C324,"AAAAAF77v00=")</f>
        <v>#VALUE!</v>
      </c>
      <c r="CA281" t="e">
        <f>AND('PROG FORM COMPLEM'!D324,"AAAAAF77v04=")</f>
        <v>#VALUE!</v>
      </c>
      <c r="CB281" t="e">
        <f>AND('PROG FORM COMPLEM'!E324,"AAAAAF77v08=")</f>
        <v>#VALUE!</v>
      </c>
      <c r="CC281" t="e">
        <f>AND('PROG FORM COMPLEM'!F324,"AAAAAF77v1A=")</f>
        <v>#VALUE!</v>
      </c>
      <c r="CD281" t="e">
        <f>AND('PROG FORM COMPLEM'!G324,"AAAAAF77v1E=")</f>
        <v>#VALUE!</v>
      </c>
      <c r="CE281" t="e">
        <f>AND('PROG FORM COMPLEM'!H324,"AAAAAF77v1I=")</f>
        <v>#VALUE!</v>
      </c>
      <c r="CF281" t="e">
        <f>AND('PROG FORM COMPLEM'!I324,"AAAAAF77v1M=")</f>
        <v>#VALUE!</v>
      </c>
      <c r="CG281" t="e">
        <f>AND('PROG FORM COMPLEM'!J324,"AAAAAF77v1Q=")</f>
        <v>#VALUE!</v>
      </c>
      <c r="CH281" t="e">
        <f>AND('PROG FORM COMPLEM'!K324,"AAAAAF77v1U=")</f>
        <v>#VALUE!</v>
      </c>
      <c r="CI281" t="e">
        <f>AND('PROG FORM COMPLEM'!L324,"AAAAAF77v1Y=")</f>
        <v>#VALUE!</v>
      </c>
      <c r="CJ281" t="e">
        <f>AND('PROG FORM COMPLEM'!M324,"AAAAAF77v1c=")</f>
        <v>#VALUE!</v>
      </c>
      <c r="CK281" t="e">
        <f>AND('PROG FORM COMPLEM'!N324,"AAAAAF77v1g=")</f>
        <v>#VALUE!</v>
      </c>
      <c r="CL281" t="e">
        <f>AND('PROG FORM COMPLEM'!O324,"AAAAAF77v1k=")</f>
        <v>#VALUE!</v>
      </c>
      <c r="CM281" t="e">
        <f>AND('PROG FORM COMPLEM'!P324,"AAAAAF77v1o=")</f>
        <v>#VALUE!</v>
      </c>
      <c r="CN281" t="e">
        <f>AND('PROG FORM COMPLEM'!Q324,"AAAAAF77v1s=")</f>
        <v>#VALUE!</v>
      </c>
      <c r="CO281" t="e">
        <f>AND('PROG FORM COMPLEM'!R324,"AAAAAF77v1w=")</f>
        <v>#VALUE!</v>
      </c>
      <c r="CP281" t="e">
        <f>AND('PROG FORM COMPLEM'!S324,"AAAAAF77v10=")</f>
        <v>#VALUE!</v>
      </c>
      <c r="CQ281" t="e">
        <f>AND('PROG FORM COMPLEM'!T324,"AAAAAF77v14=")</f>
        <v>#VALUE!</v>
      </c>
      <c r="CR281" t="e">
        <f>AND('PROG FORM COMPLEM'!U324,"AAAAAF77v18=")</f>
        <v>#VALUE!</v>
      </c>
      <c r="CS281" t="e">
        <f>AND('PROG FORM COMPLEM'!V324,"AAAAAF77v2A=")</f>
        <v>#VALUE!</v>
      </c>
      <c r="CT281" t="e">
        <f>AND('PROG FORM COMPLEM'!W324,"AAAAAF77v2E=")</f>
        <v>#VALUE!</v>
      </c>
      <c r="CU281">
        <f>IF('PROG FORM COMPLEM'!325:325,"AAAAAF77v2I=",0)</f>
        <v>0</v>
      </c>
      <c r="CV281" t="e">
        <f>AND('PROG FORM COMPLEM'!B325,"AAAAAF77v2M=")</f>
        <v>#VALUE!</v>
      </c>
      <c r="CW281" t="e">
        <f>AND('PROG FORM COMPLEM'!C325,"AAAAAF77v2Q=")</f>
        <v>#VALUE!</v>
      </c>
      <c r="CX281" t="e">
        <f>AND('PROG FORM COMPLEM'!D325,"AAAAAF77v2U=")</f>
        <v>#VALUE!</v>
      </c>
      <c r="CY281" t="e">
        <f>AND('PROG FORM COMPLEM'!E325,"AAAAAF77v2Y=")</f>
        <v>#VALUE!</v>
      </c>
      <c r="CZ281" t="e">
        <f>AND('PROG FORM COMPLEM'!F325,"AAAAAF77v2c=")</f>
        <v>#VALUE!</v>
      </c>
      <c r="DA281" t="e">
        <f>AND('PROG FORM COMPLEM'!G325,"AAAAAF77v2g=")</f>
        <v>#VALUE!</v>
      </c>
      <c r="DB281" t="e">
        <f>AND('PROG FORM COMPLEM'!H325,"AAAAAF77v2k=")</f>
        <v>#VALUE!</v>
      </c>
      <c r="DC281" t="e">
        <f>AND('PROG FORM COMPLEM'!I325,"AAAAAF77v2o=")</f>
        <v>#VALUE!</v>
      </c>
      <c r="DD281" t="e">
        <f>AND('PROG FORM COMPLEM'!J325,"AAAAAF77v2s=")</f>
        <v>#VALUE!</v>
      </c>
      <c r="DE281" t="e">
        <f>AND('PROG FORM COMPLEM'!K325,"AAAAAF77v2w=")</f>
        <v>#VALUE!</v>
      </c>
      <c r="DF281" t="e">
        <f>AND('PROG FORM COMPLEM'!L325,"AAAAAF77v20=")</f>
        <v>#VALUE!</v>
      </c>
      <c r="DG281" t="e">
        <f>AND('PROG FORM COMPLEM'!M325,"AAAAAF77v24=")</f>
        <v>#VALUE!</v>
      </c>
      <c r="DH281" t="e">
        <f>AND('PROG FORM COMPLEM'!N325,"AAAAAF77v28=")</f>
        <v>#VALUE!</v>
      </c>
      <c r="DI281" t="e">
        <f>AND('PROG FORM COMPLEM'!O325,"AAAAAF77v3A=")</f>
        <v>#VALUE!</v>
      </c>
      <c r="DJ281" t="e">
        <f>AND('PROG FORM COMPLEM'!P325,"AAAAAF77v3E=")</f>
        <v>#VALUE!</v>
      </c>
      <c r="DK281" t="e">
        <f>AND('PROG FORM COMPLEM'!Q325,"AAAAAF77v3I=")</f>
        <v>#VALUE!</v>
      </c>
      <c r="DL281" t="e">
        <f>AND('PROG FORM COMPLEM'!R325,"AAAAAF77v3M=")</f>
        <v>#VALUE!</v>
      </c>
      <c r="DM281" t="e">
        <f>AND('PROG FORM COMPLEM'!S325,"AAAAAF77v3Q=")</f>
        <v>#VALUE!</v>
      </c>
      <c r="DN281" t="e">
        <f>AND('PROG FORM COMPLEM'!T325,"AAAAAF77v3U=")</f>
        <v>#VALUE!</v>
      </c>
      <c r="DO281" t="e">
        <f>AND('PROG FORM COMPLEM'!U325,"AAAAAF77v3Y=")</f>
        <v>#VALUE!</v>
      </c>
      <c r="DP281" t="e">
        <f>AND('PROG FORM COMPLEM'!V325,"AAAAAF77v3c=")</f>
        <v>#VALUE!</v>
      </c>
      <c r="DQ281" t="e">
        <f>AND('PROG FORM COMPLEM'!W325,"AAAAAF77v3g=")</f>
        <v>#VALUE!</v>
      </c>
      <c r="DR281">
        <f>IF('PROG FORM COMPLEM'!326:326,"AAAAAF77v3k=",0)</f>
        <v>0</v>
      </c>
      <c r="DS281" t="e">
        <f>AND('PROG FORM COMPLEM'!B326,"AAAAAF77v3o=")</f>
        <v>#VALUE!</v>
      </c>
      <c r="DT281" t="e">
        <f>AND('PROG FORM COMPLEM'!C326,"AAAAAF77v3s=")</f>
        <v>#VALUE!</v>
      </c>
      <c r="DU281" t="e">
        <f>AND('PROG FORM COMPLEM'!D326,"AAAAAF77v3w=")</f>
        <v>#VALUE!</v>
      </c>
      <c r="DV281" t="e">
        <f>AND('PROG FORM COMPLEM'!E326,"AAAAAF77v30=")</f>
        <v>#VALUE!</v>
      </c>
      <c r="DW281" t="e">
        <f>AND('PROG FORM COMPLEM'!F326,"AAAAAF77v34=")</f>
        <v>#VALUE!</v>
      </c>
      <c r="DX281" t="e">
        <f>AND('PROG FORM COMPLEM'!G326,"AAAAAF77v38=")</f>
        <v>#VALUE!</v>
      </c>
      <c r="DY281" t="e">
        <f>AND('PROG FORM COMPLEM'!H326,"AAAAAF77v4A=")</f>
        <v>#VALUE!</v>
      </c>
      <c r="DZ281" t="e">
        <f>AND('PROG FORM COMPLEM'!I326,"AAAAAF77v4E=")</f>
        <v>#VALUE!</v>
      </c>
      <c r="EA281" t="e">
        <f>AND('PROG FORM COMPLEM'!J326,"AAAAAF77v4I=")</f>
        <v>#VALUE!</v>
      </c>
      <c r="EB281" t="e">
        <f>AND('PROG FORM COMPLEM'!K326,"AAAAAF77v4M=")</f>
        <v>#VALUE!</v>
      </c>
      <c r="EC281" t="e">
        <f>AND('PROG FORM COMPLEM'!L326,"AAAAAF77v4Q=")</f>
        <v>#VALUE!</v>
      </c>
      <c r="ED281" t="e">
        <f>AND('PROG FORM COMPLEM'!M326,"AAAAAF77v4U=")</f>
        <v>#VALUE!</v>
      </c>
      <c r="EE281" t="e">
        <f>AND('PROG FORM COMPLEM'!N326,"AAAAAF77v4Y=")</f>
        <v>#VALUE!</v>
      </c>
      <c r="EF281" t="e">
        <f>AND('PROG FORM COMPLEM'!O326,"AAAAAF77v4c=")</f>
        <v>#VALUE!</v>
      </c>
      <c r="EG281" t="e">
        <f>AND('PROG FORM COMPLEM'!P326,"AAAAAF77v4g=")</f>
        <v>#VALUE!</v>
      </c>
      <c r="EH281" t="e">
        <f>AND('PROG FORM COMPLEM'!Q326,"AAAAAF77v4k=")</f>
        <v>#VALUE!</v>
      </c>
      <c r="EI281" t="e">
        <f>AND('PROG FORM COMPLEM'!R326,"AAAAAF77v4o=")</f>
        <v>#VALUE!</v>
      </c>
      <c r="EJ281" t="e">
        <f>AND('PROG FORM COMPLEM'!S326,"AAAAAF77v4s=")</f>
        <v>#VALUE!</v>
      </c>
      <c r="EK281" t="e">
        <f>AND('PROG FORM COMPLEM'!T326,"AAAAAF77v4w=")</f>
        <v>#VALUE!</v>
      </c>
      <c r="EL281" t="e">
        <f>AND('PROG FORM COMPLEM'!U326,"AAAAAF77v40=")</f>
        <v>#VALUE!</v>
      </c>
      <c r="EM281" t="e">
        <f>AND('PROG FORM COMPLEM'!V326,"AAAAAF77v44=")</f>
        <v>#VALUE!</v>
      </c>
      <c r="EN281" t="e">
        <f>AND('PROG FORM COMPLEM'!W326,"AAAAAF77v48=")</f>
        <v>#VALUE!</v>
      </c>
      <c r="EO281">
        <f>IF('PROG FORM COMPLEM'!327:327,"AAAAAF77v5A=",0)</f>
        <v>0</v>
      </c>
      <c r="EP281" t="e">
        <f>AND('PROG FORM COMPLEM'!B327,"AAAAAF77v5E=")</f>
        <v>#VALUE!</v>
      </c>
      <c r="EQ281" t="e">
        <f>AND('PROG FORM COMPLEM'!C327,"AAAAAF77v5I=")</f>
        <v>#VALUE!</v>
      </c>
      <c r="ER281" t="e">
        <f>AND('PROG FORM COMPLEM'!D327,"AAAAAF77v5M=")</f>
        <v>#VALUE!</v>
      </c>
      <c r="ES281" t="e">
        <f>AND('PROG FORM COMPLEM'!E327,"AAAAAF77v5Q=")</f>
        <v>#VALUE!</v>
      </c>
      <c r="ET281" t="e">
        <f>AND('PROG FORM COMPLEM'!F327,"AAAAAF77v5U=")</f>
        <v>#VALUE!</v>
      </c>
      <c r="EU281" t="e">
        <f>AND('PROG FORM COMPLEM'!G327,"AAAAAF77v5Y=")</f>
        <v>#VALUE!</v>
      </c>
      <c r="EV281" t="e">
        <f>AND('PROG FORM COMPLEM'!H327,"AAAAAF77v5c=")</f>
        <v>#VALUE!</v>
      </c>
      <c r="EW281" t="e">
        <f>AND('PROG FORM COMPLEM'!I327,"AAAAAF77v5g=")</f>
        <v>#VALUE!</v>
      </c>
      <c r="EX281" t="e">
        <f>AND('PROG FORM COMPLEM'!J327,"AAAAAF77v5k=")</f>
        <v>#VALUE!</v>
      </c>
      <c r="EY281" t="e">
        <f>AND('PROG FORM COMPLEM'!K327,"AAAAAF77v5o=")</f>
        <v>#VALUE!</v>
      </c>
      <c r="EZ281" t="e">
        <f>AND('PROG FORM COMPLEM'!L327,"AAAAAF77v5s=")</f>
        <v>#VALUE!</v>
      </c>
      <c r="FA281" t="e">
        <f>AND('PROG FORM COMPLEM'!M327,"AAAAAF77v5w=")</f>
        <v>#VALUE!</v>
      </c>
      <c r="FB281" t="e">
        <f>AND('PROG FORM COMPLEM'!N327,"AAAAAF77v50=")</f>
        <v>#VALUE!</v>
      </c>
      <c r="FC281" t="e">
        <f>AND('PROG FORM COMPLEM'!O327,"AAAAAF77v54=")</f>
        <v>#VALUE!</v>
      </c>
      <c r="FD281" t="e">
        <f>AND('PROG FORM COMPLEM'!P327,"AAAAAF77v58=")</f>
        <v>#VALUE!</v>
      </c>
      <c r="FE281" t="e">
        <f>AND('PROG FORM COMPLEM'!Q327,"AAAAAF77v6A=")</f>
        <v>#VALUE!</v>
      </c>
      <c r="FF281" t="e">
        <f>AND('PROG FORM COMPLEM'!R327,"AAAAAF77v6E=")</f>
        <v>#VALUE!</v>
      </c>
      <c r="FG281" t="e">
        <f>AND('PROG FORM COMPLEM'!S327,"AAAAAF77v6I=")</f>
        <v>#VALUE!</v>
      </c>
      <c r="FH281" t="e">
        <f>AND('PROG FORM COMPLEM'!T327,"AAAAAF77v6M=")</f>
        <v>#VALUE!</v>
      </c>
      <c r="FI281" t="e">
        <f>AND('PROG FORM COMPLEM'!U327,"AAAAAF77v6Q=")</f>
        <v>#VALUE!</v>
      </c>
      <c r="FJ281" t="e">
        <f>AND('PROG FORM COMPLEM'!V327,"AAAAAF77v6U=")</f>
        <v>#VALUE!</v>
      </c>
      <c r="FK281" t="e">
        <f>AND('PROG FORM COMPLEM'!W327,"AAAAAF77v6Y=")</f>
        <v>#VALUE!</v>
      </c>
      <c r="FL281">
        <f>IF('PROG FORM COMPLEM'!328:328,"AAAAAF77v6c=",0)</f>
        <v>0</v>
      </c>
      <c r="FM281" t="e">
        <f>AND('PROG FORM COMPLEM'!B328,"AAAAAF77v6g=")</f>
        <v>#VALUE!</v>
      </c>
      <c r="FN281" t="e">
        <f>AND('PROG FORM COMPLEM'!C328,"AAAAAF77v6k=")</f>
        <v>#VALUE!</v>
      </c>
      <c r="FO281" t="e">
        <f>AND('PROG FORM COMPLEM'!D328,"AAAAAF77v6o=")</f>
        <v>#VALUE!</v>
      </c>
      <c r="FP281" t="e">
        <f>AND('PROG FORM COMPLEM'!E328,"AAAAAF77v6s=")</f>
        <v>#VALUE!</v>
      </c>
      <c r="FQ281" t="e">
        <f>AND('PROG FORM COMPLEM'!F328,"AAAAAF77v6w=")</f>
        <v>#VALUE!</v>
      </c>
      <c r="FR281" t="e">
        <f>AND('PROG FORM COMPLEM'!G328,"AAAAAF77v60=")</f>
        <v>#VALUE!</v>
      </c>
      <c r="FS281" t="e">
        <f>AND('PROG FORM COMPLEM'!H328,"AAAAAF77v64=")</f>
        <v>#VALUE!</v>
      </c>
      <c r="FT281" t="e">
        <f>AND('PROG FORM COMPLEM'!I328,"AAAAAF77v68=")</f>
        <v>#VALUE!</v>
      </c>
      <c r="FU281" t="e">
        <f>AND('PROG FORM COMPLEM'!J328,"AAAAAF77v7A=")</f>
        <v>#VALUE!</v>
      </c>
      <c r="FV281" t="e">
        <f>AND('PROG FORM COMPLEM'!K328,"AAAAAF77v7E=")</f>
        <v>#VALUE!</v>
      </c>
      <c r="FW281" t="e">
        <f>AND('PROG FORM COMPLEM'!L328,"AAAAAF77v7I=")</f>
        <v>#VALUE!</v>
      </c>
      <c r="FX281" t="e">
        <f>AND('PROG FORM COMPLEM'!M328,"AAAAAF77v7M=")</f>
        <v>#VALUE!</v>
      </c>
      <c r="FY281" t="e">
        <f>AND('PROG FORM COMPLEM'!N328,"AAAAAF77v7Q=")</f>
        <v>#VALUE!</v>
      </c>
      <c r="FZ281" t="e">
        <f>AND('PROG FORM COMPLEM'!O328,"AAAAAF77v7U=")</f>
        <v>#VALUE!</v>
      </c>
      <c r="GA281" t="e">
        <f>AND('PROG FORM COMPLEM'!P328,"AAAAAF77v7Y=")</f>
        <v>#VALUE!</v>
      </c>
      <c r="GB281" t="e">
        <f>AND('PROG FORM COMPLEM'!Q328,"AAAAAF77v7c=")</f>
        <v>#VALUE!</v>
      </c>
      <c r="GC281" t="e">
        <f>AND('PROG FORM COMPLEM'!R328,"AAAAAF77v7g=")</f>
        <v>#VALUE!</v>
      </c>
      <c r="GD281" t="e">
        <f>AND('PROG FORM COMPLEM'!S328,"AAAAAF77v7k=")</f>
        <v>#VALUE!</v>
      </c>
      <c r="GE281" t="e">
        <f>AND('PROG FORM COMPLEM'!T328,"AAAAAF77v7o=")</f>
        <v>#VALUE!</v>
      </c>
      <c r="GF281" t="e">
        <f>AND('PROG FORM COMPLEM'!U328,"AAAAAF77v7s=")</f>
        <v>#VALUE!</v>
      </c>
      <c r="GG281" t="e">
        <f>AND('PROG FORM COMPLEM'!V328,"AAAAAF77v7w=")</f>
        <v>#VALUE!</v>
      </c>
      <c r="GH281" t="e">
        <f>AND('PROG FORM COMPLEM'!W328,"AAAAAF77v70=")</f>
        <v>#VALUE!</v>
      </c>
      <c r="GI281">
        <f>IF('PROG FORM COMPLEM'!329:329,"AAAAAF77v74=",0)</f>
        <v>0</v>
      </c>
      <c r="GJ281" t="e">
        <f>AND('PROG FORM COMPLEM'!B329,"AAAAAF77v78=")</f>
        <v>#VALUE!</v>
      </c>
      <c r="GK281" t="e">
        <f>AND('PROG FORM COMPLEM'!C329,"AAAAAF77v8A=")</f>
        <v>#VALUE!</v>
      </c>
      <c r="GL281" t="e">
        <f>AND('PROG FORM COMPLEM'!D329,"AAAAAF77v8E=")</f>
        <v>#VALUE!</v>
      </c>
      <c r="GM281" t="e">
        <f>AND('PROG FORM COMPLEM'!E329,"AAAAAF77v8I=")</f>
        <v>#VALUE!</v>
      </c>
      <c r="GN281" t="e">
        <f>AND('PROG FORM COMPLEM'!F329,"AAAAAF77v8M=")</f>
        <v>#VALUE!</v>
      </c>
      <c r="GO281" t="e">
        <f>AND('PROG FORM COMPLEM'!G329,"AAAAAF77v8Q=")</f>
        <v>#VALUE!</v>
      </c>
      <c r="GP281" t="e">
        <f>AND('PROG FORM COMPLEM'!H329,"AAAAAF77v8U=")</f>
        <v>#VALUE!</v>
      </c>
      <c r="GQ281" t="e">
        <f>AND('PROG FORM COMPLEM'!I329,"AAAAAF77v8Y=")</f>
        <v>#VALUE!</v>
      </c>
      <c r="GR281" t="e">
        <f>AND('PROG FORM COMPLEM'!J329,"AAAAAF77v8c=")</f>
        <v>#VALUE!</v>
      </c>
      <c r="GS281" t="e">
        <f>AND('PROG FORM COMPLEM'!K329,"AAAAAF77v8g=")</f>
        <v>#VALUE!</v>
      </c>
      <c r="GT281" t="e">
        <f>AND('PROG FORM COMPLEM'!L329,"AAAAAF77v8k=")</f>
        <v>#VALUE!</v>
      </c>
      <c r="GU281" t="e">
        <f>AND('PROG FORM COMPLEM'!M329,"AAAAAF77v8o=")</f>
        <v>#VALUE!</v>
      </c>
      <c r="GV281" t="e">
        <f>AND('PROG FORM COMPLEM'!N329,"AAAAAF77v8s=")</f>
        <v>#VALUE!</v>
      </c>
      <c r="GW281" t="e">
        <f>AND('PROG FORM COMPLEM'!O329,"AAAAAF77v8w=")</f>
        <v>#VALUE!</v>
      </c>
      <c r="GX281" t="e">
        <f>AND('PROG FORM COMPLEM'!P329,"AAAAAF77v80=")</f>
        <v>#VALUE!</v>
      </c>
      <c r="GY281" t="e">
        <f>AND('PROG FORM COMPLEM'!Q329,"AAAAAF77v84=")</f>
        <v>#VALUE!</v>
      </c>
      <c r="GZ281" t="e">
        <f>AND('PROG FORM COMPLEM'!R329,"AAAAAF77v88=")</f>
        <v>#VALUE!</v>
      </c>
      <c r="HA281" t="e">
        <f>AND('PROG FORM COMPLEM'!S329,"AAAAAF77v9A=")</f>
        <v>#VALUE!</v>
      </c>
      <c r="HB281" t="e">
        <f>AND('PROG FORM COMPLEM'!T329,"AAAAAF77v9E=")</f>
        <v>#VALUE!</v>
      </c>
      <c r="HC281" t="e">
        <f>AND('PROG FORM COMPLEM'!U329,"AAAAAF77v9I=")</f>
        <v>#VALUE!</v>
      </c>
      <c r="HD281" t="e">
        <f>AND('PROG FORM COMPLEM'!V329,"AAAAAF77v9M=")</f>
        <v>#VALUE!</v>
      </c>
      <c r="HE281" t="e">
        <f>AND('PROG FORM COMPLEM'!W329,"AAAAAF77v9Q=")</f>
        <v>#VALUE!</v>
      </c>
      <c r="HF281">
        <f>IF('PROG FORM COMPLEM'!330:330,"AAAAAF77v9U=",0)</f>
        <v>0</v>
      </c>
      <c r="HG281" t="e">
        <f>AND('PROG FORM COMPLEM'!B330,"AAAAAF77v9Y=")</f>
        <v>#VALUE!</v>
      </c>
      <c r="HH281" t="e">
        <f>AND('PROG FORM COMPLEM'!C330,"AAAAAF77v9c=")</f>
        <v>#VALUE!</v>
      </c>
      <c r="HI281" t="e">
        <f>AND('PROG FORM COMPLEM'!D330,"AAAAAF77v9g=")</f>
        <v>#VALUE!</v>
      </c>
      <c r="HJ281" t="e">
        <f>AND('PROG FORM COMPLEM'!E330,"AAAAAF77v9k=")</f>
        <v>#VALUE!</v>
      </c>
      <c r="HK281" t="e">
        <f>AND('PROG FORM COMPLEM'!F330,"AAAAAF77v9o=")</f>
        <v>#VALUE!</v>
      </c>
      <c r="HL281" t="e">
        <f>AND('PROG FORM COMPLEM'!G330,"AAAAAF77v9s=")</f>
        <v>#VALUE!</v>
      </c>
      <c r="HM281" t="e">
        <f>AND('PROG FORM COMPLEM'!H330,"AAAAAF77v9w=")</f>
        <v>#VALUE!</v>
      </c>
      <c r="HN281" t="e">
        <f>AND('PROG FORM COMPLEM'!I330,"AAAAAF77v90=")</f>
        <v>#VALUE!</v>
      </c>
      <c r="HO281" t="e">
        <f>AND('PROG FORM COMPLEM'!J330,"AAAAAF77v94=")</f>
        <v>#VALUE!</v>
      </c>
      <c r="HP281" t="e">
        <f>AND('PROG FORM COMPLEM'!K330,"AAAAAF77v98=")</f>
        <v>#VALUE!</v>
      </c>
      <c r="HQ281" t="e">
        <f>AND('PROG FORM COMPLEM'!L330,"AAAAAF77v+A=")</f>
        <v>#VALUE!</v>
      </c>
      <c r="HR281" t="e">
        <f>AND('PROG FORM COMPLEM'!M330,"AAAAAF77v+E=")</f>
        <v>#VALUE!</v>
      </c>
      <c r="HS281" t="e">
        <f>AND('PROG FORM COMPLEM'!N330,"AAAAAF77v+I=")</f>
        <v>#VALUE!</v>
      </c>
      <c r="HT281" t="e">
        <f>AND('PROG FORM COMPLEM'!O330,"AAAAAF77v+M=")</f>
        <v>#VALUE!</v>
      </c>
      <c r="HU281" t="e">
        <f>AND('PROG FORM COMPLEM'!P330,"AAAAAF77v+Q=")</f>
        <v>#VALUE!</v>
      </c>
      <c r="HV281" t="e">
        <f>AND('PROG FORM COMPLEM'!Q330,"AAAAAF77v+U=")</f>
        <v>#VALUE!</v>
      </c>
      <c r="HW281" t="e">
        <f>AND('PROG FORM COMPLEM'!R330,"AAAAAF77v+Y=")</f>
        <v>#VALUE!</v>
      </c>
      <c r="HX281" t="e">
        <f>AND('PROG FORM COMPLEM'!S330,"AAAAAF77v+c=")</f>
        <v>#VALUE!</v>
      </c>
      <c r="HY281" t="e">
        <f>AND('PROG FORM COMPLEM'!T330,"AAAAAF77v+g=")</f>
        <v>#VALUE!</v>
      </c>
      <c r="HZ281" t="e">
        <f>AND('PROG FORM COMPLEM'!U330,"AAAAAF77v+k=")</f>
        <v>#VALUE!</v>
      </c>
      <c r="IA281" t="e">
        <f>AND('PROG FORM COMPLEM'!V330,"AAAAAF77v+o=")</f>
        <v>#VALUE!</v>
      </c>
      <c r="IB281" t="e">
        <f>AND('PROG FORM COMPLEM'!W330,"AAAAAF77v+s=")</f>
        <v>#VALUE!</v>
      </c>
      <c r="IC281">
        <f>IF('PROG FORM COMPLEM'!331:331,"AAAAAF77v+w=",0)</f>
        <v>0</v>
      </c>
      <c r="ID281" t="e">
        <f>AND('PROG FORM COMPLEM'!B331,"AAAAAF77v+0=")</f>
        <v>#VALUE!</v>
      </c>
      <c r="IE281" t="e">
        <f>AND('PROG FORM COMPLEM'!C331,"AAAAAF77v+4=")</f>
        <v>#VALUE!</v>
      </c>
      <c r="IF281" t="e">
        <f>AND('PROG FORM COMPLEM'!D331,"AAAAAF77v+8=")</f>
        <v>#VALUE!</v>
      </c>
      <c r="IG281" t="e">
        <f>AND('PROG FORM COMPLEM'!E331,"AAAAAF77v/A=")</f>
        <v>#VALUE!</v>
      </c>
      <c r="IH281" t="e">
        <f>AND('PROG FORM COMPLEM'!F331,"AAAAAF77v/E=")</f>
        <v>#VALUE!</v>
      </c>
      <c r="II281" t="e">
        <f>AND('PROG FORM COMPLEM'!G331,"AAAAAF77v/I=")</f>
        <v>#VALUE!</v>
      </c>
      <c r="IJ281" t="e">
        <f>AND('PROG FORM COMPLEM'!H331,"AAAAAF77v/M=")</f>
        <v>#VALUE!</v>
      </c>
      <c r="IK281" t="e">
        <f>AND('PROG FORM COMPLEM'!I331,"AAAAAF77v/Q=")</f>
        <v>#VALUE!</v>
      </c>
      <c r="IL281" t="e">
        <f>AND('PROG FORM COMPLEM'!J331,"AAAAAF77v/U=")</f>
        <v>#VALUE!</v>
      </c>
      <c r="IM281" t="e">
        <f>AND('PROG FORM COMPLEM'!K331,"AAAAAF77v/Y=")</f>
        <v>#VALUE!</v>
      </c>
      <c r="IN281" t="e">
        <f>AND('PROG FORM COMPLEM'!L331,"AAAAAF77v/c=")</f>
        <v>#VALUE!</v>
      </c>
      <c r="IO281" t="e">
        <f>AND('PROG FORM COMPLEM'!M331,"AAAAAF77v/g=")</f>
        <v>#VALUE!</v>
      </c>
      <c r="IP281" t="e">
        <f>AND('PROG FORM COMPLEM'!N331,"AAAAAF77v/k=")</f>
        <v>#VALUE!</v>
      </c>
      <c r="IQ281" t="e">
        <f>AND('PROG FORM COMPLEM'!O331,"AAAAAF77v/o=")</f>
        <v>#VALUE!</v>
      </c>
      <c r="IR281" t="e">
        <f>AND('PROG FORM COMPLEM'!P331,"AAAAAF77v/s=")</f>
        <v>#VALUE!</v>
      </c>
      <c r="IS281" t="e">
        <f>AND('PROG FORM COMPLEM'!Q331,"AAAAAF77v/w=")</f>
        <v>#VALUE!</v>
      </c>
      <c r="IT281" t="e">
        <f>AND('PROG FORM COMPLEM'!R331,"AAAAAF77v/0=")</f>
        <v>#VALUE!</v>
      </c>
      <c r="IU281" t="e">
        <f>AND('PROG FORM COMPLEM'!S331,"AAAAAF77v/4=")</f>
        <v>#VALUE!</v>
      </c>
      <c r="IV281" t="e">
        <f>AND('PROG FORM COMPLEM'!T331,"AAAAAF77v/8=")</f>
        <v>#VALUE!</v>
      </c>
    </row>
    <row r="282" spans="1:256" x14ac:dyDescent="0.2">
      <c r="A282" t="e">
        <f>AND('PROG FORM COMPLEM'!U331,"AAAAAD315QA=")</f>
        <v>#VALUE!</v>
      </c>
      <c r="B282" t="e">
        <f>AND('PROG FORM COMPLEM'!V331,"AAAAAD315QE=")</f>
        <v>#VALUE!</v>
      </c>
      <c r="C282" t="e">
        <f>AND('PROG FORM COMPLEM'!W331,"AAAAAD315QI=")</f>
        <v>#VALUE!</v>
      </c>
      <c r="D282">
        <f>IF('PROG FORM COMPLEM'!332:332,"AAAAAD315QM=",0)</f>
        <v>0</v>
      </c>
      <c r="E282" t="e">
        <f>AND('PROG FORM COMPLEM'!B332,"AAAAAD315QQ=")</f>
        <v>#VALUE!</v>
      </c>
      <c r="F282" t="e">
        <f>AND('PROG FORM COMPLEM'!C332,"AAAAAD315QU=")</f>
        <v>#VALUE!</v>
      </c>
      <c r="G282" t="e">
        <f>AND('PROG FORM COMPLEM'!D332,"AAAAAD315QY=")</f>
        <v>#VALUE!</v>
      </c>
      <c r="H282" t="e">
        <f>AND('PROG FORM COMPLEM'!E332,"AAAAAD315Qc=")</f>
        <v>#VALUE!</v>
      </c>
      <c r="I282" t="e">
        <f>AND('PROG FORM COMPLEM'!F332,"AAAAAD315Qg=")</f>
        <v>#VALUE!</v>
      </c>
      <c r="J282" t="e">
        <f>AND('PROG FORM COMPLEM'!G332,"AAAAAD315Qk=")</f>
        <v>#VALUE!</v>
      </c>
      <c r="K282" t="e">
        <f>AND('PROG FORM COMPLEM'!H332,"AAAAAD315Qo=")</f>
        <v>#VALUE!</v>
      </c>
      <c r="L282" t="e">
        <f>AND('PROG FORM COMPLEM'!I332,"AAAAAD315Qs=")</f>
        <v>#VALUE!</v>
      </c>
      <c r="M282" t="e">
        <f>AND('PROG FORM COMPLEM'!J332,"AAAAAD315Qw=")</f>
        <v>#VALUE!</v>
      </c>
      <c r="N282" t="e">
        <f>AND('PROG FORM COMPLEM'!K332,"AAAAAD315Q0=")</f>
        <v>#VALUE!</v>
      </c>
      <c r="O282" t="e">
        <f>AND('PROG FORM COMPLEM'!L332,"AAAAAD315Q4=")</f>
        <v>#VALUE!</v>
      </c>
      <c r="P282" t="e">
        <f>AND('PROG FORM COMPLEM'!M332,"AAAAAD315Q8=")</f>
        <v>#VALUE!</v>
      </c>
      <c r="Q282" t="e">
        <f>AND('PROG FORM COMPLEM'!N332,"AAAAAD315RA=")</f>
        <v>#VALUE!</v>
      </c>
      <c r="R282" t="e">
        <f>AND('PROG FORM COMPLEM'!O332,"AAAAAD315RE=")</f>
        <v>#VALUE!</v>
      </c>
      <c r="S282" t="e">
        <f>AND('PROG FORM COMPLEM'!P332,"AAAAAD315RI=")</f>
        <v>#VALUE!</v>
      </c>
      <c r="T282" t="e">
        <f>AND('PROG FORM COMPLEM'!Q332,"AAAAAD315RM=")</f>
        <v>#VALUE!</v>
      </c>
      <c r="U282" t="e">
        <f>AND('PROG FORM COMPLEM'!R332,"AAAAAD315RQ=")</f>
        <v>#VALUE!</v>
      </c>
      <c r="V282" t="e">
        <f>AND('PROG FORM COMPLEM'!S332,"AAAAAD315RU=")</f>
        <v>#VALUE!</v>
      </c>
      <c r="W282" t="e">
        <f>AND('PROG FORM COMPLEM'!T332,"AAAAAD315RY=")</f>
        <v>#VALUE!</v>
      </c>
      <c r="X282" t="e">
        <f>AND('PROG FORM COMPLEM'!U332,"AAAAAD315Rc=")</f>
        <v>#VALUE!</v>
      </c>
      <c r="Y282" t="e">
        <f>AND('PROG FORM COMPLEM'!V332,"AAAAAD315Rg=")</f>
        <v>#VALUE!</v>
      </c>
      <c r="Z282" t="e">
        <f>AND('PROG FORM COMPLEM'!W332,"AAAAAD315Rk=")</f>
        <v>#VALUE!</v>
      </c>
      <c r="AA282">
        <f>IF('PROG FORM COMPLEM'!333:333,"AAAAAD315Ro=",0)</f>
        <v>0</v>
      </c>
      <c r="AB282" t="e">
        <f>AND('PROG FORM COMPLEM'!B333,"AAAAAD315Rs=")</f>
        <v>#VALUE!</v>
      </c>
      <c r="AC282" t="e">
        <f>AND('PROG FORM COMPLEM'!C333,"AAAAAD315Rw=")</f>
        <v>#VALUE!</v>
      </c>
      <c r="AD282" t="e">
        <f>AND('PROG FORM COMPLEM'!D333,"AAAAAD315R0=")</f>
        <v>#VALUE!</v>
      </c>
      <c r="AE282" t="e">
        <f>AND('PROG FORM COMPLEM'!E333,"AAAAAD315R4=")</f>
        <v>#VALUE!</v>
      </c>
      <c r="AF282" t="e">
        <f>AND('PROG FORM COMPLEM'!F333,"AAAAAD315R8=")</f>
        <v>#VALUE!</v>
      </c>
      <c r="AG282" t="e">
        <f>AND('PROG FORM COMPLEM'!G333,"AAAAAD315SA=")</f>
        <v>#VALUE!</v>
      </c>
      <c r="AH282" t="e">
        <f>AND('PROG FORM COMPLEM'!H333,"AAAAAD315SE=")</f>
        <v>#VALUE!</v>
      </c>
      <c r="AI282" t="e">
        <f>AND('PROG FORM COMPLEM'!I333,"AAAAAD315SI=")</f>
        <v>#VALUE!</v>
      </c>
      <c r="AJ282" t="e">
        <f>AND('PROG FORM COMPLEM'!J333,"AAAAAD315SM=")</f>
        <v>#VALUE!</v>
      </c>
      <c r="AK282" t="e">
        <f>AND('PROG FORM COMPLEM'!K333,"AAAAAD315SQ=")</f>
        <v>#VALUE!</v>
      </c>
      <c r="AL282" t="e">
        <f>AND('PROG FORM COMPLEM'!L333,"AAAAAD315SU=")</f>
        <v>#VALUE!</v>
      </c>
      <c r="AM282" t="e">
        <f>AND('PROG FORM COMPLEM'!M333,"AAAAAD315SY=")</f>
        <v>#VALUE!</v>
      </c>
      <c r="AN282" t="e">
        <f>AND('PROG FORM COMPLEM'!N333,"AAAAAD315Sc=")</f>
        <v>#VALUE!</v>
      </c>
      <c r="AO282" t="e">
        <f>AND('PROG FORM COMPLEM'!O333,"AAAAAD315Sg=")</f>
        <v>#VALUE!</v>
      </c>
      <c r="AP282" t="e">
        <f>AND('PROG FORM COMPLEM'!P333,"AAAAAD315Sk=")</f>
        <v>#VALUE!</v>
      </c>
      <c r="AQ282" t="e">
        <f>AND('PROG FORM COMPLEM'!Q333,"AAAAAD315So=")</f>
        <v>#VALUE!</v>
      </c>
      <c r="AR282" t="e">
        <f>AND('PROG FORM COMPLEM'!R333,"AAAAAD315Ss=")</f>
        <v>#VALUE!</v>
      </c>
      <c r="AS282" t="e">
        <f>AND('PROG FORM COMPLEM'!S333,"AAAAAD315Sw=")</f>
        <v>#VALUE!</v>
      </c>
      <c r="AT282" t="e">
        <f>AND('PROG FORM COMPLEM'!T333,"AAAAAD315S0=")</f>
        <v>#VALUE!</v>
      </c>
      <c r="AU282" t="e">
        <f>AND('PROG FORM COMPLEM'!U333,"AAAAAD315S4=")</f>
        <v>#VALUE!</v>
      </c>
      <c r="AV282" t="e">
        <f>AND('PROG FORM COMPLEM'!V333,"AAAAAD315S8=")</f>
        <v>#VALUE!</v>
      </c>
      <c r="AW282" t="e">
        <f>AND('PROG FORM COMPLEM'!W333,"AAAAAD315TA=")</f>
        <v>#VALUE!</v>
      </c>
      <c r="AX282">
        <f>IF('PROG FORM COMPLEM'!334:334,"AAAAAD315TE=",0)</f>
        <v>0</v>
      </c>
      <c r="AY282" t="e">
        <f>AND('PROG FORM COMPLEM'!B334,"AAAAAD315TI=")</f>
        <v>#VALUE!</v>
      </c>
      <c r="AZ282" t="e">
        <f>AND('PROG FORM COMPLEM'!C334,"AAAAAD315TM=")</f>
        <v>#VALUE!</v>
      </c>
      <c r="BA282" t="e">
        <f>AND('PROG FORM COMPLEM'!D334,"AAAAAD315TQ=")</f>
        <v>#VALUE!</v>
      </c>
      <c r="BB282" t="e">
        <f>AND('PROG FORM COMPLEM'!E334,"AAAAAD315TU=")</f>
        <v>#VALUE!</v>
      </c>
      <c r="BC282" t="e">
        <f>AND('PROG FORM COMPLEM'!F334,"AAAAAD315TY=")</f>
        <v>#VALUE!</v>
      </c>
      <c r="BD282" t="e">
        <f>AND('PROG FORM COMPLEM'!G334,"AAAAAD315Tc=")</f>
        <v>#VALUE!</v>
      </c>
      <c r="BE282" t="e">
        <f>AND('PROG FORM COMPLEM'!H334,"AAAAAD315Tg=")</f>
        <v>#VALUE!</v>
      </c>
      <c r="BF282" t="e">
        <f>AND('PROG FORM COMPLEM'!I334,"AAAAAD315Tk=")</f>
        <v>#VALUE!</v>
      </c>
      <c r="BG282" t="e">
        <f>AND('PROG FORM COMPLEM'!J334,"AAAAAD315To=")</f>
        <v>#VALUE!</v>
      </c>
      <c r="BH282" t="e">
        <f>AND('PROG FORM COMPLEM'!K334,"AAAAAD315Ts=")</f>
        <v>#VALUE!</v>
      </c>
      <c r="BI282" t="e">
        <f>AND('PROG FORM COMPLEM'!L334,"AAAAAD315Tw=")</f>
        <v>#VALUE!</v>
      </c>
      <c r="BJ282" t="e">
        <f>AND('PROG FORM COMPLEM'!M334,"AAAAAD315T0=")</f>
        <v>#VALUE!</v>
      </c>
      <c r="BK282" t="e">
        <f>AND('PROG FORM COMPLEM'!N334,"AAAAAD315T4=")</f>
        <v>#VALUE!</v>
      </c>
      <c r="BL282" t="e">
        <f>AND('PROG FORM COMPLEM'!O334,"AAAAAD315T8=")</f>
        <v>#VALUE!</v>
      </c>
      <c r="BM282" t="e">
        <f>AND('PROG FORM COMPLEM'!P334,"AAAAAD315UA=")</f>
        <v>#VALUE!</v>
      </c>
      <c r="BN282" t="e">
        <f>AND('PROG FORM COMPLEM'!Q334,"AAAAAD315UE=")</f>
        <v>#VALUE!</v>
      </c>
      <c r="BO282" t="e">
        <f>AND('PROG FORM COMPLEM'!R334,"AAAAAD315UI=")</f>
        <v>#VALUE!</v>
      </c>
      <c r="BP282" t="e">
        <f>AND('PROG FORM COMPLEM'!S334,"AAAAAD315UM=")</f>
        <v>#VALUE!</v>
      </c>
      <c r="BQ282" t="e">
        <f>AND('PROG FORM COMPLEM'!T334,"AAAAAD315UQ=")</f>
        <v>#VALUE!</v>
      </c>
      <c r="BR282" t="e">
        <f>AND('PROG FORM COMPLEM'!U334,"AAAAAD315UU=")</f>
        <v>#VALUE!</v>
      </c>
      <c r="BS282" t="e">
        <f>AND('PROG FORM COMPLEM'!V334,"AAAAAD315UY=")</f>
        <v>#VALUE!</v>
      </c>
      <c r="BT282" t="e">
        <f>AND('PROG FORM COMPLEM'!W334,"AAAAAD315Uc=")</f>
        <v>#VALUE!</v>
      </c>
      <c r="BU282">
        <f>IF('PROG FORM COMPLEM'!335:335,"AAAAAD315Ug=",0)</f>
        <v>0</v>
      </c>
      <c r="BV282" t="e">
        <f>AND('PROG FORM COMPLEM'!B335,"AAAAAD315Uk=")</f>
        <v>#VALUE!</v>
      </c>
      <c r="BW282" t="e">
        <f>AND('PROG FORM COMPLEM'!C335,"AAAAAD315Uo=")</f>
        <v>#VALUE!</v>
      </c>
      <c r="BX282" t="e">
        <f>AND('PROG FORM COMPLEM'!D335,"AAAAAD315Us=")</f>
        <v>#VALUE!</v>
      </c>
      <c r="BY282" t="e">
        <f>AND('PROG FORM COMPLEM'!E335,"AAAAAD315Uw=")</f>
        <v>#VALUE!</v>
      </c>
      <c r="BZ282" t="e">
        <f>AND('PROG FORM COMPLEM'!F335,"AAAAAD315U0=")</f>
        <v>#VALUE!</v>
      </c>
      <c r="CA282" t="e">
        <f>AND('PROG FORM COMPLEM'!G335,"AAAAAD315U4=")</f>
        <v>#VALUE!</v>
      </c>
      <c r="CB282" t="e">
        <f>AND('PROG FORM COMPLEM'!H335,"AAAAAD315U8=")</f>
        <v>#VALUE!</v>
      </c>
      <c r="CC282" t="e">
        <f>AND('PROG FORM COMPLEM'!I335,"AAAAAD315VA=")</f>
        <v>#VALUE!</v>
      </c>
      <c r="CD282" t="e">
        <f>AND('PROG FORM COMPLEM'!J335,"AAAAAD315VE=")</f>
        <v>#VALUE!</v>
      </c>
      <c r="CE282" t="e">
        <f>AND('PROG FORM COMPLEM'!K335,"AAAAAD315VI=")</f>
        <v>#VALUE!</v>
      </c>
      <c r="CF282" t="e">
        <f>AND('PROG FORM COMPLEM'!L335,"AAAAAD315VM=")</f>
        <v>#VALUE!</v>
      </c>
      <c r="CG282" t="e">
        <f>AND('PROG FORM COMPLEM'!M335,"AAAAAD315VQ=")</f>
        <v>#VALUE!</v>
      </c>
      <c r="CH282" t="e">
        <f>AND('PROG FORM COMPLEM'!N335,"AAAAAD315VU=")</f>
        <v>#VALUE!</v>
      </c>
      <c r="CI282" t="e">
        <f>AND('PROG FORM COMPLEM'!O335,"AAAAAD315VY=")</f>
        <v>#VALUE!</v>
      </c>
      <c r="CJ282" t="e">
        <f>AND('PROG FORM COMPLEM'!P335,"AAAAAD315Vc=")</f>
        <v>#VALUE!</v>
      </c>
      <c r="CK282" t="e">
        <f>AND('PROG FORM COMPLEM'!Q335,"AAAAAD315Vg=")</f>
        <v>#VALUE!</v>
      </c>
      <c r="CL282" t="e">
        <f>AND('PROG FORM COMPLEM'!R335,"AAAAAD315Vk=")</f>
        <v>#VALUE!</v>
      </c>
      <c r="CM282" t="e">
        <f>AND('PROG FORM COMPLEM'!S335,"AAAAAD315Vo=")</f>
        <v>#VALUE!</v>
      </c>
      <c r="CN282" t="e">
        <f>AND('PROG FORM COMPLEM'!T335,"AAAAAD315Vs=")</f>
        <v>#VALUE!</v>
      </c>
      <c r="CO282" t="e">
        <f>AND('PROG FORM COMPLEM'!U335,"AAAAAD315Vw=")</f>
        <v>#VALUE!</v>
      </c>
      <c r="CP282" t="e">
        <f>AND('PROG FORM COMPLEM'!V335,"AAAAAD315V0=")</f>
        <v>#VALUE!</v>
      </c>
      <c r="CQ282" t="e">
        <f>AND('PROG FORM COMPLEM'!W335,"AAAAAD315V4=")</f>
        <v>#VALUE!</v>
      </c>
      <c r="CR282">
        <f>IF('PROG FORM COMPLEM'!336:336,"AAAAAD315V8=",0)</f>
        <v>0</v>
      </c>
      <c r="CS282" t="e">
        <f>AND('PROG FORM COMPLEM'!B336,"AAAAAD315WA=")</f>
        <v>#VALUE!</v>
      </c>
      <c r="CT282" t="e">
        <f>AND('PROG FORM COMPLEM'!C336,"AAAAAD315WE=")</f>
        <v>#VALUE!</v>
      </c>
      <c r="CU282" t="e">
        <f>AND('PROG FORM COMPLEM'!D336,"AAAAAD315WI=")</f>
        <v>#VALUE!</v>
      </c>
      <c r="CV282" t="e">
        <f>AND('PROG FORM COMPLEM'!E336,"AAAAAD315WM=")</f>
        <v>#VALUE!</v>
      </c>
      <c r="CW282" t="e">
        <f>AND('PROG FORM COMPLEM'!F336,"AAAAAD315WQ=")</f>
        <v>#VALUE!</v>
      </c>
      <c r="CX282" t="e">
        <f>AND('PROG FORM COMPLEM'!G336,"AAAAAD315WU=")</f>
        <v>#VALUE!</v>
      </c>
      <c r="CY282" t="e">
        <f>AND('PROG FORM COMPLEM'!H336,"AAAAAD315WY=")</f>
        <v>#VALUE!</v>
      </c>
      <c r="CZ282" t="e">
        <f>AND('PROG FORM COMPLEM'!I336,"AAAAAD315Wc=")</f>
        <v>#VALUE!</v>
      </c>
      <c r="DA282" t="e">
        <f>AND('PROG FORM COMPLEM'!J336,"AAAAAD315Wg=")</f>
        <v>#VALUE!</v>
      </c>
      <c r="DB282" t="e">
        <f>AND('PROG FORM COMPLEM'!K336,"AAAAAD315Wk=")</f>
        <v>#VALUE!</v>
      </c>
      <c r="DC282" t="e">
        <f>AND('PROG FORM COMPLEM'!L336,"AAAAAD315Wo=")</f>
        <v>#VALUE!</v>
      </c>
      <c r="DD282" t="e">
        <f>AND('PROG FORM COMPLEM'!M336,"AAAAAD315Ws=")</f>
        <v>#VALUE!</v>
      </c>
      <c r="DE282" t="e">
        <f>AND('PROG FORM COMPLEM'!N336,"AAAAAD315Ww=")</f>
        <v>#VALUE!</v>
      </c>
      <c r="DF282" t="e">
        <f>AND('PROG FORM COMPLEM'!O336,"AAAAAD315W0=")</f>
        <v>#VALUE!</v>
      </c>
      <c r="DG282" t="e">
        <f>AND('PROG FORM COMPLEM'!P336,"AAAAAD315W4=")</f>
        <v>#VALUE!</v>
      </c>
      <c r="DH282" t="e">
        <f>AND('PROG FORM COMPLEM'!Q336,"AAAAAD315W8=")</f>
        <v>#VALUE!</v>
      </c>
      <c r="DI282" t="e">
        <f>AND('PROG FORM COMPLEM'!R336,"AAAAAD315XA=")</f>
        <v>#VALUE!</v>
      </c>
      <c r="DJ282" t="e">
        <f>AND('PROG FORM COMPLEM'!S336,"AAAAAD315XE=")</f>
        <v>#VALUE!</v>
      </c>
      <c r="DK282" t="e">
        <f>AND('PROG FORM COMPLEM'!T336,"AAAAAD315XI=")</f>
        <v>#VALUE!</v>
      </c>
      <c r="DL282" t="e">
        <f>AND('PROG FORM COMPLEM'!U336,"AAAAAD315XM=")</f>
        <v>#VALUE!</v>
      </c>
      <c r="DM282" t="e">
        <f>AND('PROG FORM COMPLEM'!V336,"AAAAAD315XQ=")</f>
        <v>#VALUE!</v>
      </c>
      <c r="DN282" t="e">
        <f>AND('PROG FORM COMPLEM'!W336,"AAAAAD315XU=")</f>
        <v>#VALUE!</v>
      </c>
      <c r="DO282">
        <f>IF('PROG FORM COMPLEM'!337:337,"AAAAAD315XY=",0)</f>
        <v>0</v>
      </c>
      <c r="DP282" t="e">
        <f>AND('PROG FORM COMPLEM'!B337,"AAAAAD315Xc=")</f>
        <v>#VALUE!</v>
      </c>
      <c r="DQ282" t="e">
        <f>AND('PROG FORM COMPLEM'!C337,"AAAAAD315Xg=")</f>
        <v>#VALUE!</v>
      </c>
      <c r="DR282" t="e">
        <f>AND('PROG FORM COMPLEM'!D337,"AAAAAD315Xk=")</f>
        <v>#VALUE!</v>
      </c>
      <c r="DS282" t="e">
        <f>AND('PROG FORM COMPLEM'!E337,"AAAAAD315Xo=")</f>
        <v>#VALUE!</v>
      </c>
      <c r="DT282" t="e">
        <f>AND('PROG FORM COMPLEM'!F337,"AAAAAD315Xs=")</f>
        <v>#VALUE!</v>
      </c>
      <c r="DU282" t="e">
        <f>AND('PROG FORM COMPLEM'!G337,"AAAAAD315Xw=")</f>
        <v>#VALUE!</v>
      </c>
      <c r="DV282" t="e">
        <f>AND('PROG FORM COMPLEM'!H337,"AAAAAD315X0=")</f>
        <v>#VALUE!</v>
      </c>
      <c r="DW282" t="e">
        <f>AND('PROG FORM COMPLEM'!I337,"AAAAAD315X4=")</f>
        <v>#VALUE!</v>
      </c>
      <c r="DX282" t="e">
        <f>AND('PROG FORM COMPLEM'!J337,"AAAAAD315X8=")</f>
        <v>#VALUE!</v>
      </c>
      <c r="DY282" t="e">
        <f>AND('PROG FORM COMPLEM'!K337,"AAAAAD315YA=")</f>
        <v>#VALUE!</v>
      </c>
      <c r="DZ282" t="e">
        <f>AND('PROG FORM COMPLEM'!L337,"AAAAAD315YE=")</f>
        <v>#VALUE!</v>
      </c>
      <c r="EA282" t="e">
        <f>AND('PROG FORM COMPLEM'!M337,"AAAAAD315YI=")</f>
        <v>#VALUE!</v>
      </c>
      <c r="EB282" t="e">
        <f>AND('PROG FORM COMPLEM'!N337,"AAAAAD315YM=")</f>
        <v>#VALUE!</v>
      </c>
      <c r="EC282" t="e">
        <f>AND('PROG FORM COMPLEM'!O337,"AAAAAD315YQ=")</f>
        <v>#VALUE!</v>
      </c>
      <c r="ED282" t="e">
        <f>AND('PROG FORM COMPLEM'!P337,"AAAAAD315YU=")</f>
        <v>#VALUE!</v>
      </c>
      <c r="EE282" t="e">
        <f>AND('PROG FORM COMPLEM'!Q337,"AAAAAD315YY=")</f>
        <v>#VALUE!</v>
      </c>
      <c r="EF282" t="e">
        <f>AND('PROG FORM COMPLEM'!R337,"AAAAAD315Yc=")</f>
        <v>#VALUE!</v>
      </c>
      <c r="EG282" t="e">
        <f>AND('PROG FORM COMPLEM'!S337,"AAAAAD315Yg=")</f>
        <v>#VALUE!</v>
      </c>
      <c r="EH282" t="e">
        <f>AND('PROG FORM COMPLEM'!T337,"AAAAAD315Yk=")</f>
        <v>#VALUE!</v>
      </c>
      <c r="EI282" t="e">
        <f>AND('PROG FORM COMPLEM'!U337,"AAAAAD315Yo=")</f>
        <v>#VALUE!</v>
      </c>
      <c r="EJ282" t="e">
        <f>AND('PROG FORM COMPLEM'!V337,"AAAAAD315Ys=")</f>
        <v>#VALUE!</v>
      </c>
      <c r="EK282" t="e">
        <f>AND('PROG FORM COMPLEM'!W337,"AAAAAD315Yw=")</f>
        <v>#VALUE!</v>
      </c>
      <c r="EL282">
        <f>IF('PROG FORM COMPLEM'!338:338,"AAAAAD315Y0=",0)</f>
        <v>0</v>
      </c>
      <c r="EM282" t="e">
        <f>AND('PROG FORM COMPLEM'!B338,"AAAAAD315Y4=")</f>
        <v>#VALUE!</v>
      </c>
      <c r="EN282" t="e">
        <f>AND('PROG FORM COMPLEM'!C338,"AAAAAD315Y8=")</f>
        <v>#VALUE!</v>
      </c>
      <c r="EO282" t="e">
        <f>AND('PROG FORM COMPLEM'!D338,"AAAAAD315ZA=")</f>
        <v>#VALUE!</v>
      </c>
      <c r="EP282" t="e">
        <f>AND('PROG FORM COMPLEM'!E338,"AAAAAD315ZE=")</f>
        <v>#VALUE!</v>
      </c>
      <c r="EQ282" t="e">
        <f>AND('PROG FORM COMPLEM'!F338,"AAAAAD315ZI=")</f>
        <v>#VALUE!</v>
      </c>
      <c r="ER282" t="e">
        <f>AND('PROG FORM COMPLEM'!G338,"AAAAAD315ZM=")</f>
        <v>#VALUE!</v>
      </c>
      <c r="ES282" t="e">
        <f>AND('PROG FORM COMPLEM'!H338,"AAAAAD315ZQ=")</f>
        <v>#VALUE!</v>
      </c>
      <c r="ET282" t="e">
        <f>AND('PROG FORM COMPLEM'!I338,"AAAAAD315ZU=")</f>
        <v>#VALUE!</v>
      </c>
      <c r="EU282" t="e">
        <f>AND('PROG FORM COMPLEM'!J338,"AAAAAD315ZY=")</f>
        <v>#VALUE!</v>
      </c>
      <c r="EV282" t="e">
        <f>AND('PROG FORM COMPLEM'!K338,"AAAAAD315Zc=")</f>
        <v>#VALUE!</v>
      </c>
      <c r="EW282" t="e">
        <f>AND('PROG FORM COMPLEM'!L338,"AAAAAD315Zg=")</f>
        <v>#VALUE!</v>
      </c>
      <c r="EX282" t="e">
        <f>AND('PROG FORM COMPLEM'!M338,"AAAAAD315Zk=")</f>
        <v>#VALUE!</v>
      </c>
      <c r="EY282" t="e">
        <f>AND('PROG FORM COMPLEM'!N338,"AAAAAD315Zo=")</f>
        <v>#VALUE!</v>
      </c>
      <c r="EZ282" t="e">
        <f>AND('PROG FORM COMPLEM'!O338,"AAAAAD315Zs=")</f>
        <v>#VALUE!</v>
      </c>
      <c r="FA282" t="e">
        <f>AND('PROG FORM COMPLEM'!P338,"AAAAAD315Zw=")</f>
        <v>#VALUE!</v>
      </c>
      <c r="FB282" t="e">
        <f>AND('PROG FORM COMPLEM'!Q338,"AAAAAD315Z0=")</f>
        <v>#VALUE!</v>
      </c>
      <c r="FC282" t="e">
        <f>AND('PROG FORM COMPLEM'!R338,"AAAAAD315Z4=")</f>
        <v>#VALUE!</v>
      </c>
      <c r="FD282" t="e">
        <f>AND('PROG FORM COMPLEM'!S338,"AAAAAD315Z8=")</f>
        <v>#VALUE!</v>
      </c>
      <c r="FE282" t="e">
        <f>AND('PROG FORM COMPLEM'!T338,"AAAAAD315aA=")</f>
        <v>#VALUE!</v>
      </c>
      <c r="FF282" t="e">
        <f>AND('PROG FORM COMPLEM'!U338,"AAAAAD315aE=")</f>
        <v>#VALUE!</v>
      </c>
      <c r="FG282" t="e">
        <f>AND('PROG FORM COMPLEM'!V338,"AAAAAD315aI=")</f>
        <v>#VALUE!</v>
      </c>
      <c r="FH282" t="e">
        <f>AND('PROG FORM COMPLEM'!W338,"AAAAAD315aM=")</f>
        <v>#VALUE!</v>
      </c>
      <c r="FI282">
        <f>IF('PROG FORM COMPLEM'!339:339,"AAAAAD315aQ=",0)</f>
        <v>0</v>
      </c>
      <c r="FJ282" t="e">
        <f>AND('PROG FORM COMPLEM'!B339,"AAAAAD315aU=")</f>
        <v>#VALUE!</v>
      </c>
      <c r="FK282" t="e">
        <f>AND('PROG FORM COMPLEM'!C339,"AAAAAD315aY=")</f>
        <v>#VALUE!</v>
      </c>
      <c r="FL282" t="e">
        <f>AND('PROG FORM COMPLEM'!D339,"AAAAAD315ac=")</f>
        <v>#VALUE!</v>
      </c>
      <c r="FM282" t="e">
        <f>AND('PROG FORM COMPLEM'!E339,"AAAAAD315ag=")</f>
        <v>#VALUE!</v>
      </c>
      <c r="FN282" t="e">
        <f>AND('PROG FORM COMPLEM'!F339,"AAAAAD315ak=")</f>
        <v>#VALUE!</v>
      </c>
      <c r="FO282" t="e">
        <f>AND('PROG FORM COMPLEM'!G339,"AAAAAD315ao=")</f>
        <v>#VALUE!</v>
      </c>
      <c r="FP282" t="e">
        <f>AND('PROG FORM COMPLEM'!H339,"AAAAAD315as=")</f>
        <v>#VALUE!</v>
      </c>
      <c r="FQ282" t="e">
        <f>AND('PROG FORM COMPLEM'!I339,"AAAAAD315aw=")</f>
        <v>#VALUE!</v>
      </c>
      <c r="FR282" t="e">
        <f>AND('PROG FORM COMPLEM'!J339,"AAAAAD315a0=")</f>
        <v>#VALUE!</v>
      </c>
      <c r="FS282" t="e">
        <f>AND('PROG FORM COMPLEM'!K339,"AAAAAD315a4=")</f>
        <v>#VALUE!</v>
      </c>
      <c r="FT282" t="e">
        <f>AND('PROG FORM COMPLEM'!L339,"AAAAAD315a8=")</f>
        <v>#VALUE!</v>
      </c>
      <c r="FU282" t="e">
        <f>AND('PROG FORM COMPLEM'!M339,"AAAAAD315bA=")</f>
        <v>#VALUE!</v>
      </c>
      <c r="FV282" t="e">
        <f>AND('PROG FORM COMPLEM'!N339,"AAAAAD315bE=")</f>
        <v>#VALUE!</v>
      </c>
      <c r="FW282" t="e">
        <f>AND('PROG FORM COMPLEM'!O339,"AAAAAD315bI=")</f>
        <v>#VALUE!</v>
      </c>
      <c r="FX282" t="e">
        <f>AND('PROG FORM COMPLEM'!P339,"AAAAAD315bM=")</f>
        <v>#VALUE!</v>
      </c>
      <c r="FY282" t="e">
        <f>AND('PROG FORM COMPLEM'!Q339,"AAAAAD315bQ=")</f>
        <v>#VALUE!</v>
      </c>
      <c r="FZ282" t="e">
        <f>AND('PROG FORM COMPLEM'!R339,"AAAAAD315bU=")</f>
        <v>#VALUE!</v>
      </c>
      <c r="GA282" t="e">
        <f>AND('PROG FORM COMPLEM'!S339,"AAAAAD315bY=")</f>
        <v>#VALUE!</v>
      </c>
      <c r="GB282" t="e">
        <f>AND('PROG FORM COMPLEM'!T339,"AAAAAD315bc=")</f>
        <v>#VALUE!</v>
      </c>
      <c r="GC282" t="e">
        <f>AND('PROG FORM COMPLEM'!U339,"AAAAAD315bg=")</f>
        <v>#VALUE!</v>
      </c>
      <c r="GD282" t="e">
        <f>AND('PROG FORM COMPLEM'!V339,"AAAAAD315bk=")</f>
        <v>#VALUE!</v>
      </c>
      <c r="GE282" t="e">
        <f>AND('PROG FORM COMPLEM'!W339,"AAAAAD315bo=")</f>
        <v>#VALUE!</v>
      </c>
      <c r="GF282">
        <f>IF('PROG FORM COMPLEM'!340:340,"AAAAAD315bs=",0)</f>
        <v>0</v>
      </c>
      <c r="GG282" t="e">
        <f>AND('PROG FORM COMPLEM'!B340,"AAAAAD315bw=")</f>
        <v>#VALUE!</v>
      </c>
      <c r="GH282" t="e">
        <f>AND('PROG FORM COMPLEM'!C340,"AAAAAD315b0=")</f>
        <v>#VALUE!</v>
      </c>
      <c r="GI282" t="e">
        <f>AND('PROG FORM COMPLEM'!D340,"AAAAAD315b4=")</f>
        <v>#VALUE!</v>
      </c>
      <c r="GJ282" t="e">
        <f>AND('PROG FORM COMPLEM'!E340,"AAAAAD315b8=")</f>
        <v>#VALUE!</v>
      </c>
      <c r="GK282" t="e">
        <f>AND('PROG FORM COMPLEM'!F340,"AAAAAD315cA=")</f>
        <v>#VALUE!</v>
      </c>
      <c r="GL282" t="e">
        <f>AND('PROG FORM COMPLEM'!G340,"AAAAAD315cE=")</f>
        <v>#VALUE!</v>
      </c>
      <c r="GM282" t="e">
        <f>AND('PROG FORM COMPLEM'!H340,"AAAAAD315cI=")</f>
        <v>#VALUE!</v>
      </c>
      <c r="GN282" t="e">
        <f>AND('PROG FORM COMPLEM'!I340,"AAAAAD315cM=")</f>
        <v>#VALUE!</v>
      </c>
      <c r="GO282" t="e">
        <f>AND('PROG FORM COMPLEM'!J340,"AAAAAD315cQ=")</f>
        <v>#VALUE!</v>
      </c>
      <c r="GP282" t="e">
        <f>AND('PROG FORM COMPLEM'!K340,"AAAAAD315cU=")</f>
        <v>#VALUE!</v>
      </c>
      <c r="GQ282" t="e">
        <f>AND('PROG FORM COMPLEM'!L340,"AAAAAD315cY=")</f>
        <v>#VALUE!</v>
      </c>
      <c r="GR282" t="e">
        <f>AND('PROG FORM COMPLEM'!M340,"AAAAAD315cc=")</f>
        <v>#VALUE!</v>
      </c>
      <c r="GS282" t="e">
        <f>AND('PROG FORM COMPLEM'!N340,"AAAAAD315cg=")</f>
        <v>#VALUE!</v>
      </c>
      <c r="GT282" t="e">
        <f>AND('PROG FORM COMPLEM'!O340,"AAAAAD315ck=")</f>
        <v>#VALUE!</v>
      </c>
      <c r="GU282" t="e">
        <f>AND('PROG FORM COMPLEM'!P340,"AAAAAD315co=")</f>
        <v>#VALUE!</v>
      </c>
      <c r="GV282" t="e">
        <f>AND('PROG FORM COMPLEM'!Q340,"AAAAAD315cs=")</f>
        <v>#VALUE!</v>
      </c>
      <c r="GW282" t="e">
        <f>AND('PROG FORM COMPLEM'!R340,"AAAAAD315cw=")</f>
        <v>#VALUE!</v>
      </c>
      <c r="GX282" t="e">
        <f>AND('PROG FORM COMPLEM'!S340,"AAAAAD315c0=")</f>
        <v>#VALUE!</v>
      </c>
      <c r="GY282" t="e">
        <f>AND('PROG FORM COMPLEM'!T340,"AAAAAD315c4=")</f>
        <v>#VALUE!</v>
      </c>
      <c r="GZ282" t="e">
        <f>AND('PROG FORM COMPLEM'!U340,"AAAAAD315c8=")</f>
        <v>#VALUE!</v>
      </c>
      <c r="HA282" t="e">
        <f>AND('PROG FORM COMPLEM'!V340,"AAAAAD315dA=")</f>
        <v>#VALUE!</v>
      </c>
      <c r="HB282" t="e">
        <f>AND('PROG FORM COMPLEM'!W340,"AAAAAD315dE=")</f>
        <v>#VALUE!</v>
      </c>
      <c r="HC282">
        <f>IF('PROG FORM COMPLEM'!341:341,"AAAAAD315dI=",0)</f>
        <v>0</v>
      </c>
      <c r="HD282" t="e">
        <f>AND('PROG FORM COMPLEM'!B341,"AAAAAD315dM=")</f>
        <v>#VALUE!</v>
      </c>
      <c r="HE282" t="e">
        <f>AND('PROG FORM COMPLEM'!C341,"AAAAAD315dQ=")</f>
        <v>#VALUE!</v>
      </c>
      <c r="HF282" t="e">
        <f>AND('PROG FORM COMPLEM'!D341,"AAAAAD315dU=")</f>
        <v>#VALUE!</v>
      </c>
      <c r="HG282" t="e">
        <f>AND('PROG FORM COMPLEM'!E341,"AAAAAD315dY=")</f>
        <v>#VALUE!</v>
      </c>
      <c r="HH282" t="e">
        <f>AND('PROG FORM COMPLEM'!F341,"AAAAAD315dc=")</f>
        <v>#VALUE!</v>
      </c>
      <c r="HI282" t="e">
        <f>AND('PROG FORM COMPLEM'!G341,"AAAAAD315dg=")</f>
        <v>#VALUE!</v>
      </c>
      <c r="HJ282" t="e">
        <f>AND('PROG FORM COMPLEM'!H341,"AAAAAD315dk=")</f>
        <v>#VALUE!</v>
      </c>
      <c r="HK282" t="e">
        <f>AND('PROG FORM COMPLEM'!I341,"AAAAAD315do=")</f>
        <v>#VALUE!</v>
      </c>
      <c r="HL282" t="e">
        <f>AND('PROG FORM COMPLEM'!J341,"AAAAAD315ds=")</f>
        <v>#VALUE!</v>
      </c>
      <c r="HM282" t="e">
        <f>AND('PROG FORM COMPLEM'!K341,"AAAAAD315dw=")</f>
        <v>#VALUE!</v>
      </c>
      <c r="HN282" t="e">
        <f>AND('PROG FORM COMPLEM'!L341,"AAAAAD315d0=")</f>
        <v>#VALUE!</v>
      </c>
      <c r="HO282" t="e">
        <f>AND('PROG FORM COMPLEM'!M341,"AAAAAD315d4=")</f>
        <v>#VALUE!</v>
      </c>
      <c r="HP282" t="e">
        <f>AND('PROG FORM COMPLEM'!N341,"AAAAAD315d8=")</f>
        <v>#VALUE!</v>
      </c>
      <c r="HQ282" t="e">
        <f>AND('PROG FORM COMPLEM'!O341,"AAAAAD315eA=")</f>
        <v>#VALUE!</v>
      </c>
      <c r="HR282" t="e">
        <f>AND('PROG FORM COMPLEM'!P341,"AAAAAD315eE=")</f>
        <v>#VALUE!</v>
      </c>
      <c r="HS282" t="e">
        <f>AND('PROG FORM COMPLEM'!Q341,"AAAAAD315eI=")</f>
        <v>#VALUE!</v>
      </c>
      <c r="HT282" t="e">
        <f>AND('PROG FORM COMPLEM'!R341,"AAAAAD315eM=")</f>
        <v>#VALUE!</v>
      </c>
      <c r="HU282" t="e">
        <f>AND('PROG FORM COMPLEM'!S341,"AAAAAD315eQ=")</f>
        <v>#VALUE!</v>
      </c>
      <c r="HV282" t="e">
        <f>AND('PROG FORM COMPLEM'!T341,"AAAAAD315eU=")</f>
        <v>#VALUE!</v>
      </c>
      <c r="HW282" t="e">
        <f>AND('PROG FORM COMPLEM'!U341,"AAAAAD315eY=")</f>
        <v>#VALUE!</v>
      </c>
      <c r="HX282" t="e">
        <f>AND('PROG FORM COMPLEM'!V341,"AAAAAD315ec=")</f>
        <v>#VALUE!</v>
      </c>
      <c r="HY282" t="e">
        <f>AND('PROG FORM COMPLEM'!W341,"AAAAAD315eg=")</f>
        <v>#VALUE!</v>
      </c>
      <c r="HZ282">
        <f>IF('PROG FORM COMPLEM'!342:342,"AAAAAD315ek=",0)</f>
        <v>0</v>
      </c>
      <c r="IA282" t="e">
        <f>AND('PROG FORM COMPLEM'!B342,"AAAAAD315eo=")</f>
        <v>#VALUE!</v>
      </c>
      <c r="IB282" t="e">
        <f>AND('PROG FORM COMPLEM'!C342,"AAAAAD315es=")</f>
        <v>#VALUE!</v>
      </c>
      <c r="IC282" t="e">
        <f>AND('PROG FORM COMPLEM'!D342,"AAAAAD315ew=")</f>
        <v>#VALUE!</v>
      </c>
      <c r="ID282" t="e">
        <f>AND('PROG FORM COMPLEM'!E342,"AAAAAD315e0=")</f>
        <v>#VALUE!</v>
      </c>
      <c r="IE282" t="e">
        <f>AND('PROG FORM COMPLEM'!F342,"AAAAAD315e4=")</f>
        <v>#VALUE!</v>
      </c>
      <c r="IF282" t="e">
        <f>AND('PROG FORM COMPLEM'!G342,"AAAAAD315e8=")</f>
        <v>#VALUE!</v>
      </c>
      <c r="IG282" t="e">
        <f>AND('PROG FORM COMPLEM'!H342,"AAAAAD315fA=")</f>
        <v>#VALUE!</v>
      </c>
      <c r="IH282" t="e">
        <f>AND('PROG FORM COMPLEM'!I342,"AAAAAD315fE=")</f>
        <v>#VALUE!</v>
      </c>
      <c r="II282" t="e">
        <f>AND('PROG FORM COMPLEM'!J342,"AAAAAD315fI=")</f>
        <v>#VALUE!</v>
      </c>
      <c r="IJ282" t="e">
        <f>AND('PROG FORM COMPLEM'!K342,"AAAAAD315fM=")</f>
        <v>#VALUE!</v>
      </c>
      <c r="IK282" t="e">
        <f>AND('PROG FORM COMPLEM'!L342,"AAAAAD315fQ=")</f>
        <v>#VALUE!</v>
      </c>
      <c r="IL282" t="e">
        <f>AND('PROG FORM COMPLEM'!M342,"AAAAAD315fU=")</f>
        <v>#VALUE!</v>
      </c>
      <c r="IM282" t="e">
        <f>AND('PROG FORM COMPLEM'!N342,"AAAAAD315fY=")</f>
        <v>#VALUE!</v>
      </c>
      <c r="IN282" t="e">
        <f>AND('PROG FORM COMPLEM'!O342,"AAAAAD315fc=")</f>
        <v>#VALUE!</v>
      </c>
      <c r="IO282" t="e">
        <f>AND('PROG FORM COMPLEM'!P342,"AAAAAD315fg=")</f>
        <v>#VALUE!</v>
      </c>
      <c r="IP282" t="e">
        <f>AND('PROG FORM COMPLEM'!Q342,"AAAAAD315fk=")</f>
        <v>#VALUE!</v>
      </c>
      <c r="IQ282" t="e">
        <f>AND('PROG FORM COMPLEM'!R342,"AAAAAD315fo=")</f>
        <v>#VALUE!</v>
      </c>
      <c r="IR282" t="e">
        <f>AND('PROG FORM COMPLEM'!S342,"AAAAAD315fs=")</f>
        <v>#VALUE!</v>
      </c>
      <c r="IS282" t="e">
        <f>AND('PROG FORM COMPLEM'!T342,"AAAAAD315fw=")</f>
        <v>#VALUE!</v>
      </c>
      <c r="IT282" t="e">
        <f>AND('PROG FORM COMPLEM'!U342,"AAAAAD315f0=")</f>
        <v>#VALUE!</v>
      </c>
      <c r="IU282" t="e">
        <f>AND('PROG FORM COMPLEM'!V342,"AAAAAD315f4=")</f>
        <v>#VALUE!</v>
      </c>
      <c r="IV282" t="e">
        <f>AND('PROG FORM COMPLEM'!W342,"AAAAAD315f8=")</f>
        <v>#VALUE!</v>
      </c>
    </row>
    <row r="283" spans="1:256" x14ac:dyDescent="0.2">
      <c r="A283">
        <f>IF('PROG FORM COMPLEM'!343:343,"AAAAAG3z7wA=",0)</f>
        <v>0</v>
      </c>
      <c r="B283" t="e">
        <f>AND('PROG FORM COMPLEM'!B343,"AAAAAG3z7wE=")</f>
        <v>#VALUE!</v>
      </c>
      <c r="C283" t="e">
        <f>AND('PROG FORM COMPLEM'!C343,"AAAAAG3z7wI=")</f>
        <v>#VALUE!</v>
      </c>
      <c r="D283" t="e">
        <f>AND('PROG FORM COMPLEM'!D343,"AAAAAG3z7wM=")</f>
        <v>#VALUE!</v>
      </c>
      <c r="E283" t="e">
        <f>AND('PROG FORM COMPLEM'!E343,"AAAAAG3z7wQ=")</f>
        <v>#VALUE!</v>
      </c>
      <c r="F283" t="e">
        <f>AND('PROG FORM COMPLEM'!F343,"AAAAAG3z7wU=")</f>
        <v>#VALUE!</v>
      </c>
      <c r="G283" t="e">
        <f>AND('PROG FORM COMPLEM'!G343,"AAAAAG3z7wY=")</f>
        <v>#VALUE!</v>
      </c>
      <c r="H283" t="e">
        <f>AND('PROG FORM COMPLEM'!H343,"AAAAAG3z7wc=")</f>
        <v>#VALUE!</v>
      </c>
      <c r="I283" t="e">
        <f>AND('PROG FORM COMPLEM'!I343,"AAAAAG3z7wg=")</f>
        <v>#VALUE!</v>
      </c>
      <c r="J283" t="e">
        <f>AND('PROG FORM COMPLEM'!J343,"AAAAAG3z7wk=")</f>
        <v>#VALUE!</v>
      </c>
      <c r="K283" t="e">
        <f>AND('PROG FORM COMPLEM'!K343,"AAAAAG3z7wo=")</f>
        <v>#VALUE!</v>
      </c>
      <c r="L283" t="e">
        <f>AND('PROG FORM COMPLEM'!L343,"AAAAAG3z7ws=")</f>
        <v>#VALUE!</v>
      </c>
      <c r="M283" t="e">
        <f>AND('PROG FORM COMPLEM'!M343,"AAAAAG3z7ww=")</f>
        <v>#VALUE!</v>
      </c>
      <c r="N283" t="e">
        <f>AND('PROG FORM COMPLEM'!N343,"AAAAAG3z7w0=")</f>
        <v>#VALUE!</v>
      </c>
      <c r="O283" t="e">
        <f>AND('PROG FORM COMPLEM'!O343,"AAAAAG3z7w4=")</f>
        <v>#VALUE!</v>
      </c>
      <c r="P283" t="e">
        <f>AND('PROG FORM COMPLEM'!P343,"AAAAAG3z7w8=")</f>
        <v>#VALUE!</v>
      </c>
      <c r="Q283" t="e">
        <f>AND('PROG FORM COMPLEM'!Q343,"AAAAAG3z7xA=")</f>
        <v>#VALUE!</v>
      </c>
      <c r="R283" t="e">
        <f>AND('PROG FORM COMPLEM'!R343,"AAAAAG3z7xE=")</f>
        <v>#VALUE!</v>
      </c>
      <c r="S283" t="e">
        <f>AND('PROG FORM COMPLEM'!S343,"AAAAAG3z7xI=")</f>
        <v>#VALUE!</v>
      </c>
      <c r="T283" t="e">
        <f>AND('PROG FORM COMPLEM'!T343,"AAAAAG3z7xM=")</f>
        <v>#VALUE!</v>
      </c>
      <c r="U283" t="e">
        <f>AND('PROG FORM COMPLEM'!U343,"AAAAAG3z7xQ=")</f>
        <v>#VALUE!</v>
      </c>
      <c r="V283" t="e">
        <f>AND('PROG FORM COMPLEM'!V343,"AAAAAG3z7xU=")</f>
        <v>#VALUE!</v>
      </c>
      <c r="W283" t="e">
        <f>AND('PROG FORM COMPLEM'!W343,"AAAAAG3z7xY=")</f>
        <v>#VALUE!</v>
      </c>
      <c r="X283">
        <f>IF('PROG FORM COMPLEM'!344:344,"AAAAAG3z7xc=",0)</f>
        <v>0</v>
      </c>
      <c r="Y283" t="e">
        <f>AND('PROG FORM COMPLEM'!B344,"AAAAAG3z7xg=")</f>
        <v>#VALUE!</v>
      </c>
      <c r="Z283" t="e">
        <f>AND('PROG FORM COMPLEM'!C344,"AAAAAG3z7xk=")</f>
        <v>#VALUE!</v>
      </c>
      <c r="AA283" t="e">
        <f>AND('PROG FORM COMPLEM'!D344,"AAAAAG3z7xo=")</f>
        <v>#VALUE!</v>
      </c>
      <c r="AB283" t="e">
        <f>AND('PROG FORM COMPLEM'!E344,"AAAAAG3z7xs=")</f>
        <v>#VALUE!</v>
      </c>
      <c r="AC283" t="e">
        <f>AND('PROG FORM COMPLEM'!F344,"AAAAAG3z7xw=")</f>
        <v>#VALUE!</v>
      </c>
      <c r="AD283" t="e">
        <f>AND('PROG FORM COMPLEM'!G344,"AAAAAG3z7x0=")</f>
        <v>#VALUE!</v>
      </c>
      <c r="AE283" t="e">
        <f>AND('PROG FORM COMPLEM'!H344,"AAAAAG3z7x4=")</f>
        <v>#VALUE!</v>
      </c>
      <c r="AF283" t="e">
        <f>AND('PROG FORM COMPLEM'!I344,"AAAAAG3z7x8=")</f>
        <v>#VALUE!</v>
      </c>
      <c r="AG283" t="e">
        <f>AND('PROG FORM COMPLEM'!J344,"AAAAAG3z7yA=")</f>
        <v>#VALUE!</v>
      </c>
      <c r="AH283" t="e">
        <f>AND('PROG FORM COMPLEM'!K344,"AAAAAG3z7yE=")</f>
        <v>#VALUE!</v>
      </c>
      <c r="AI283" t="e">
        <f>AND('PROG FORM COMPLEM'!L344,"AAAAAG3z7yI=")</f>
        <v>#VALUE!</v>
      </c>
      <c r="AJ283" t="e">
        <f>AND('PROG FORM COMPLEM'!M344,"AAAAAG3z7yM=")</f>
        <v>#VALUE!</v>
      </c>
      <c r="AK283" t="e">
        <f>AND('PROG FORM COMPLEM'!N344,"AAAAAG3z7yQ=")</f>
        <v>#VALUE!</v>
      </c>
      <c r="AL283" t="e">
        <f>AND('PROG FORM COMPLEM'!O344,"AAAAAG3z7yU=")</f>
        <v>#VALUE!</v>
      </c>
      <c r="AM283" t="e">
        <f>AND('PROG FORM COMPLEM'!P344,"AAAAAG3z7yY=")</f>
        <v>#VALUE!</v>
      </c>
      <c r="AN283" t="e">
        <f>AND('PROG FORM COMPLEM'!Q344,"AAAAAG3z7yc=")</f>
        <v>#VALUE!</v>
      </c>
      <c r="AO283" t="e">
        <f>AND('PROG FORM COMPLEM'!R344,"AAAAAG3z7yg=")</f>
        <v>#VALUE!</v>
      </c>
      <c r="AP283" t="e">
        <f>AND('PROG FORM COMPLEM'!S344,"AAAAAG3z7yk=")</f>
        <v>#VALUE!</v>
      </c>
      <c r="AQ283" t="e">
        <f>AND('PROG FORM COMPLEM'!T344,"AAAAAG3z7yo=")</f>
        <v>#VALUE!</v>
      </c>
      <c r="AR283" t="e">
        <f>AND('PROG FORM COMPLEM'!U344,"AAAAAG3z7ys=")</f>
        <v>#VALUE!</v>
      </c>
      <c r="AS283" t="e">
        <f>AND('PROG FORM COMPLEM'!V344,"AAAAAG3z7yw=")</f>
        <v>#VALUE!</v>
      </c>
      <c r="AT283" t="e">
        <f>AND('PROG FORM COMPLEM'!W344,"AAAAAG3z7y0=")</f>
        <v>#VALUE!</v>
      </c>
      <c r="AU283">
        <f>IF('PROG FORM COMPLEM'!345:345,"AAAAAG3z7y4=",0)</f>
        <v>0</v>
      </c>
      <c r="AV283" t="e">
        <f>AND('PROG FORM COMPLEM'!B345,"AAAAAG3z7y8=")</f>
        <v>#VALUE!</v>
      </c>
      <c r="AW283" t="e">
        <f>AND('PROG FORM COMPLEM'!C345,"AAAAAG3z7zA=")</f>
        <v>#VALUE!</v>
      </c>
      <c r="AX283" t="e">
        <f>AND('PROG FORM COMPLEM'!D345,"AAAAAG3z7zE=")</f>
        <v>#VALUE!</v>
      </c>
      <c r="AY283" t="e">
        <f>AND('PROG FORM COMPLEM'!E345,"AAAAAG3z7zI=")</f>
        <v>#VALUE!</v>
      </c>
      <c r="AZ283" t="e">
        <f>AND('PROG FORM COMPLEM'!F345,"AAAAAG3z7zM=")</f>
        <v>#VALUE!</v>
      </c>
      <c r="BA283" t="e">
        <f>AND('PROG FORM COMPLEM'!G345,"AAAAAG3z7zQ=")</f>
        <v>#VALUE!</v>
      </c>
      <c r="BB283" t="e">
        <f>AND('PROG FORM COMPLEM'!H345,"AAAAAG3z7zU=")</f>
        <v>#VALUE!</v>
      </c>
      <c r="BC283" t="e">
        <f>AND('PROG FORM COMPLEM'!I345,"AAAAAG3z7zY=")</f>
        <v>#VALUE!</v>
      </c>
      <c r="BD283" t="e">
        <f>AND('PROG FORM COMPLEM'!J345,"AAAAAG3z7zc=")</f>
        <v>#VALUE!</v>
      </c>
      <c r="BE283" t="e">
        <f>AND('PROG FORM COMPLEM'!K345,"AAAAAG3z7zg=")</f>
        <v>#VALUE!</v>
      </c>
      <c r="BF283" t="e">
        <f>AND('PROG FORM COMPLEM'!L345,"AAAAAG3z7zk=")</f>
        <v>#VALUE!</v>
      </c>
      <c r="BG283" t="e">
        <f>AND('PROG FORM COMPLEM'!M345,"AAAAAG3z7zo=")</f>
        <v>#VALUE!</v>
      </c>
      <c r="BH283" t="e">
        <f>AND('PROG FORM COMPLEM'!N345,"AAAAAG3z7zs=")</f>
        <v>#VALUE!</v>
      </c>
      <c r="BI283" t="e">
        <f>AND('PROG FORM COMPLEM'!O345,"AAAAAG3z7zw=")</f>
        <v>#VALUE!</v>
      </c>
      <c r="BJ283" t="e">
        <f>AND('PROG FORM COMPLEM'!P345,"AAAAAG3z7z0=")</f>
        <v>#VALUE!</v>
      </c>
      <c r="BK283" t="e">
        <f>AND('PROG FORM COMPLEM'!Q345,"AAAAAG3z7z4=")</f>
        <v>#VALUE!</v>
      </c>
      <c r="BL283" t="e">
        <f>AND('PROG FORM COMPLEM'!R345,"AAAAAG3z7z8=")</f>
        <v>#VALUE!</v>
      </c>
      <c r="BM283" t="e">
        <f>AND('PROG FORM COMPLEM'!S345,"AAAAAG3z70A=")</f>
        <v>#VALUE!</v>
      </c>
      <c r="BN283" t="e">
        <f>AND('PROG FORM COMPLEM'!T345,"AAAAAG3z70E=")</f>
        <v>#VALUE!</v>
      </c>
      <c r="BO283" t="e">
        <f>AND('PROG FORM COMPLEM'!U345,"AAAAAG3z70I=")</f>
        <v>#VALUE!</v>
      </c>
      <c r="BP283" t="e">
        <f>AND('PROG FORM COMPLEM'!V345,"AAAAAG3z70M=")</f>
        <v>#VALUE!</v>
      </c>
      <c r="BQ283" t="e">
        <f>AND('PROG FORM COMPLEM'!W345,"AAAAAG3z70Q=")</f>
        <v>#VALUE!</v>
      </c>
      <c r="BR283">
        <f>IF('PROG FORM COMPLEM'!346:346,"AAAAAG3z70U=",0)</f>
        <v>0</v>
      </c>
      <c r="BS283" t="e">
        <f>AND('PROG FORM COMPLEM'!B346,"AAAAAG3z70Y=")</f>
        <v>#VALUE!</v>
      </c>
      <c r="BT283" t="e">
        <f>AND('PROG FORM COMPLEM'!C346,"AAAAAG3z70c=")</f>
        <v>#VALUE!</v>
      </c>
      <c r="BU283" t="e">
        <f>AND('PROG FORM COMPLEM'!D346,"AAAAAG3z70g=")</f>
        <v>#VALUE!</v>
      </c>
      <c r="BV283" t="e">
        <f>AND('PROG FORM COMPLEM'!E346,"AAAAAG3z70k=")</f>
        <v>#VALUE!</v>
      </c>
      <c r="BW283" t="e">
        <f>AND('PROG FORM COMPLEM'!F346,"AAAAAG3z70o=")</f>
        <v>#VALUE!</v>
      </c>
      <c r="BX283" t="e">
        <f>AND('PROG FORM COMPLEM'!G346,"AAAAAG3z70s=")</f>
        <v>#VALUE!</v>
      </c>
      <c r="BY283" t="e">
        <f>AND('PROG FORM COMPLEM'!H346,"AAAAAG3z70w=")</f>
        <v>#VALUE!</v>
      </c>
      <c r="BZ283" t="e">
        <f>AND('PROG FORM COMPLEM'!I346,"AAAAAG3z700=")</f>
        <v>#VALUE!</v>
      </c>
      <c r="CA283" t="e">
        <f>AND('PROG FORM COMPLEM'!J346,"AAAAAG3z704=")</f>
        <v>#VALUE!</v>
      </c>
      <c r="CB283" t="e">
        <f>AND('PROG FORM COMPLEM'!K346,"AAAAAG3z708=")</f>
        <v>#VALUE!</v>
      </c>
      <c r="CC283" t="e">
        <f>AND('PROG FORM COMPLEM'!L346,"AAAAAG3z71A=")</f>
        <v>#VALUE!</v>
      </c>
      <c r="CD283" t="e">
        <f>AND('PROG FORM COMPLEM'!M346,"AAAAAG3z71E=")</f>
        <v>#VALUE!</v>
      </c>
      <c r="CE283" t="e">
        <f>AND('PROG FORM COMPLEM'!N346,"AAAAAG3z71I=")</f>
        <v>#VALUE!</v>
      </c>
      <c r="CF283" t="e">
        <f>AND('PROG FORM COMPLEM'!O346,"AAAAAG3z71M=")</f>
        <v>#VALUE!</v>
      </c>
      <c r="CG283" t="e">
        <f>AND('PROG FORM COMPLEM'!P346,"AAAAAG3z71Q=")</f>
        <v>#VALUE!</v>
      </c>
      <c r="CH283" t="e">
        <f>AND('PROG FORM COMPLEM'!Q346,"AAAAAG3z71U=")</f>
        <v>#VALUE!</v>
      </c>
      <c r="CI283" t="e">
        <f>AND('PROG FORM COMPLEM'!R346,"AAAAAG3z71Y=")</f>
        <v>#VALUE!</v>
      </c>
      <c r="CJ283" t="e">
        <f>AND('PROG FORM COMPLEM'!S346,"AAAAAG3z71c=")</f>
        <v>#VALUE!</v>
      </c>
      <c r="CK283" t="e">
        <f>AND('PROG FORM COMPLEM'!T346,"AAAAAG3z71g=")</f>
        <v>#VALUE!</v>
      </c>
      <c r="CL283" t="e">
        <f>AND('PROG FORM COMPLEM'!U346,"AAAAAG3z71k=")</f>
        <v>#VALUE!</v>
      </c>
      <c r="CM283" t="e">
        <f>AND('PROG FORM COMPLEM'!V346,"AAAAAG3z71o=")</f>
        <v>#VALUE!</v>
      </c>
      <c r="CN283" t="e">
        <f>AND('PROG FORM COMPLEM'!W346,"AAAAAG3z71s=")</f>
        <v>#VALUE!</v>
      </c>
      <c r="CO283">
        <f>IF('PROG FORM COMPLEM'!347:347,"AAAAAG3z71w=",0)</f>
        <v>0</v>
      </c>
      <c r="CP283" t="e">
        <f>AND('PROG FORM COMPLEM'!B347,"AAAAAG3z710=")</f>
        <v>#VALUE!</v>
      </c>
      <c r="CQ283" t="e">
        <f>AND('PROG FORM COMPLEM'!C347,"AAAAAG3z714=")</f>
        <v>#VALUE!</v>
      </c>
      <c r="CR283" t="e">
        <f>AND('PROG FORM COMPLEM'!D347,"AAAAAG3z718=")</f>
        <v>#VALUE!</v>
      </c>
      <c r="CS283" t="e">
        <f>AND('PROG FORM COMPLEM'!E347,"AAAAAG3z72A=")</f>
        <v>#VALUE!</v>
      </c>
      <c r="CT283" t="e">
        <f>AND('PROG FORM COMPLEM'!F347,"AAAAAG3z72E=")</f>
        <v>#VALUE!</v>
      </c>
      <c r="CU283" t="e">
        <f>AND('PROG FORM COMPLEM'!G347,"AAAAAG3z72I=")</f>
        <v>#VALUE!</v>
      </c>
      <c r="CV283" t="e">
        <f>AND('PROG FORM COMPLEM'!H347,"AAAAAG3z72M=")</f>
        <v>#VALUE!</v>
      </c>
      <c r="CW283" t="e">
        <f>AND('PROG FORM COMPLEM'!I347,"AAAAAG3z72Q=")</f>
        <v>#VALUE!</v>
      </c>
      <c r="CX283" t="e">
        <f>AND('PROG FORM COMPLEM'!J347,"AAAAAG3z72U=")</f>
        <v>#VALUE!</v>
      </c>
      <c r="CY283" t="e">
        <f>AND('PROG FORM COMPLEM'!K347,"AAAAAG3z72Y=")</f>
        <v>#VALUE!</v>
      </c>
      <c r="CZ283" t="e">
        <f>AND('PROG FORM COMPLEM'!L347,"AAAAAG3z72c=")</f>
        <v>#VALUE!</v>
      </c>
      <c r="DA283" t="e">
        <f>AND('PROG FORM COMPLEM'!M347,"AAAAAG3z72g=")</f>
        <v>#VALUE!</v>
      </c>
      <c r="DB283" t="e">
        <f>AND('PROG FORM COMPLEM'!N347,"AAAAAG3z72k=")</f>
        <v>#VALUE!</v>
      </c>
      <c r="DC283" t="e">
        <f>AND('PROG FORM COMPLEM'!O347,"AAAAAG3z72o=")</f>
        <v>#VALUE!</v>
      </c>
      <c r="DD283" t="e">
        <f>AND('PROG FORM COMPLEM'!P347,"AAAAAG3z72s=")</f>
        <v>#VALUE!</v>
      </c>
      <c r="DE283" t="e">
        <f>AND('PROG FORM COMPLEM'!Q347,"AAAAAG3z72w=")</f>
        <v>#VALUE!</v>
      </c>
      <c r="DF283" t="e">
        <f>AND('PROG FORM COMPLEM'!R347,"AAAAAG3z720=")</f>
        <v>#VALUE!</v>
      </c>
      <c r="DG283" t="e">
        <f>AND('PROG FORM COMPLEM'!S347,"AAAAAG3z724=")</f>
        <v>#VALUE!</v>
      </c>
      <c r="DH283" t="e">
        <f>AND('PROG FORM COMPLEM'!T347,"AAAAAG3z728=")</f>
        <v>#VALUE!</v>
      </c>
      <c r="DI283" t="e">
        <f>AND('PROG FORM COMPLEM'!U347,"AAAAAG3z73A=")</f>
        <v>#VALUE!</v>
      </c>
      <c r="DJ283" t="e">
        <f>AND('PROG FORM COMPLEM'!V347,"AAAAAG3z73E=")</f>
        <v>#VALUE!</v>
      </c>
      <c r="DK283" t="e">
        <f>AND('PROG FORM COMPLEM'!W347,"AAAAAG3z73I=")</f>
        <v>#VALUE!</v>
      </c>
      <c r="DL283">
        <f>IF('PROG FORM COMPLEM'!348:348,"AAAAAG3z73M=",0)</f>
        <v>0</v>
      </c>
      <c r="DM283" t="e">
        <f>AND('PROG FORM COMPLEM'!B348,"AAAAAG3z73Q=")</f>
        <v>#VALUE!</v>
      </c>
      <c r="DN283" t="e">
        <f>AND('PROG FORM COMPLEM'!C348,"AAAAAG3z73U=")</f>
        <v>#VALUE!</v>
      </c>
      <c r="DO283" t="e">
        <f>AND('PROG FORM COMPLEM'!D348,"AAAAAG3z73Y=")</f>
        <v>#VALUE!</v>
      </c>
      <c r="DP283" t="e">
        <f>AND('PROG FORM COMPLEM'!E348,"AAAAAG3z73c=")</f>
        <v>#VALUE!</v>
      </c>
      <c r="DQ283" t="e">
        <f>AND('PROG FORM COMPLEM'!F348,"AAAAAG3z73g=")</f>
        <v>#VALUE!</v>
      </c>
      <c r="DR283" t="e">
        <f>AND('PROG FORM COMPLEM'!G348,"AAAAAG3z73k=")</f>
        <v>#VALUE!</v>
      </c>
      <c r="DS283" t="e">
        <f>AND('PROG FORM COMPLEM'!H348,"AAAAAG3z73o=")</f>
        <v>#VALUE!</v>
      </c>
      <c r="DT283" t="e">
        <f>AND('PROG FORM COMPLEM'!I348,"AAAAAG3z73s=")</f>
        <v>#VALUE!</v>
      </c>
      <c r="DU283" t="e">
        <f>AND('PROG FORM COMPLEM'!J348,"AAAAAG3z73w=")</f>
        <v>#VALUE!</v>
      </c>
      <c r="DV283" t="e">
        <f>AND('PROG FORM COMPLEM'!K348,"AAAAAG3z730=")</f>
        <v>#VALUE!</v>
      </c>
      <c r="DW283" t="e">
        <f>AND('PROG FORM COMPLEM'!L348,"AAAAAG3z734=")</f>
        <v>#VALUE!</v>
      </c>
      <c r="DX283" t="e">
        <f>AND('PROG FORM COMPLEM'!M348,"AAAAAG3z738=")</f>
        <v>#VALUE!</v>
      </c>
      <c r="DY283" t="e">
        <f>AND('PROG FORM COMPLEM'!N348,"AAAAAG3z74A=")</f>
        <v>#VALUE!</v>
      </c>
      <c r="DZ283" t="e">
        <f>AND('PROG FORM COMPLEM'!O348,"AAAAAG3z74E=")</f>
        <v>#VALUE!</v>
      </c>
      <c r="EA283" t="e">
        <f>AND('PROG FORM COMPLEM'!P348,"AAAAAG3z74I=")</f>
        <v>#VALUE!</v>
      </c>
      <c r="EB283" t="e">
        <f>AND('PROG FORM COMPLEM'!Q348,"AAAAAG3z74M=")</f>
        <v>#VALUE!</v>
      </c>
      <c r="EC283" t="e">
        <f>AND('PROG FORM COMPLEM'!R348,"AAAAAG3z74Q=")</f>
        <v>#VALUE!</v>
      </c>
      <c r="ED283" t="e">
        <f>AND('PROG FORM COMPLEM'!S348,"AAAAAG3z74U=")</f>
        <v>#VALUE!</v>
      </c>
      <c r="EE283" t="e">
        <f>AND('PROG FORM COMPLEM'!T348,"AAAAAG3z74Y=")</f>
        <v>#VALUE!</v>
      </c>
      <c r="EF283" t="e">
        <f>AND('PROG FORM COMPLEM'!U348,"AAAAAG3z74c=")</f>
        <v>#VALUE!</v>
      </c>
      <c r="EG283" t="e">
        <f>AND('PROG FORM COMPLEM'!V348,"AAAAAG3z74g=")</f>
        <v>#VALUE!</v>
      </c>
      <c r="EH283" t="e">
        <f>AND('PROG FORM COMPLEM'!W348,"AAAAAG3z74k=")</f>
        <v>#VALUE!</v>
      </c>
      <c r="EI283">
        <f>IF('PROG FORM COMPLEM'!349:349,"AAAAAG3z74o=",0)</f>
        <v>0</v>
      </c>
      <c r="EJ283" t="e">
        <f>AND('PROG FORM COMPLEM'!B349,"AAAAAG3z74s=")</f>
        <v>#VALUE!</v>
      </c>
      <c r="EK283" t="e">
        <f>AND('PROG FORM COMPLEM'!C349,"AAAAAG3z74w=")</f>
        <v>#VALUE!</v>
      </c>
      <c r="EL283" t="e">
        <f>AND('PROG FORM COMPLEM'!D349,"AAAAAG3z740=")</f>
        <v>#VALUE!</v>
      </c>
      <c r="EM283" t="e">
        <f>AND('PROG FORM COMPLEM'!E349,"AAAAAG3z744=")</f>
        <v>#VALUE!</v>
      </c>
      <c r="EN283" t="e">
        <f>AND('PROG FORM COMPLEM'!F349,"AAAAAG3z748=")</f>
        <v>#VALUE!</v>
      </c>
      <c r="EO283" t="e">
        <f>AND('PROG FORM COMPLEM'!G349,"AAAAAG3z75A=")</f>
        <v>#VALUE!</v>
      </c>
      <c r="EP283" t="e">
        <f>AND('PROG FORM COMPLEM'!H349,"AAAAAG3z75E=")</f>
        <v>#VALUE!</v>
      </c>
      <c r="EQ283" t="e">
        <f>AND('PROG FORM COMPLEM'!I349,"AAAAAG3z75I=")</f>
        <v>#VALUE!</v>
      </c>
      <c r="ER283" t="e">
        <f>AND('PROG FORM COMPLEM'!J349,"AAAAAG3z75M=")</f>
        <v>#VALUE!</v>
      </c>
      <c r="ES283" t="e">
        <f>AND('PROG FORM COMPLEM'!K349,"AAAAAG3z75Q=")</f>
        <v>#VALUE!</v>
      </c>
      <c r="ET283" t="e">
        <f>AND('PROG FORM COMPLEM'!L349,"AAAAAG3z75U=")</f>
        <v>#VALUE!</v>
      </c>
      <c r="EU283" t="e">
        <f>AND('PROG FORM COMPLEM'!M349,"AAAAAG3z75Y=")</f>
        <v>#VALUE!</v>
      </c>
      <c r="EV283" t="e">
        <f>AND('PROG FORM COMPLEM'!N349,"AAAAAG3z75c=")</f>
        <v>#VALUE!</v>
      </c>
      <c r="EW283" t="e">
        <f>AND('PROG FORM COMPLEM'!O349,"AAAAAG3z75g=")</f>
        <v>#VALUE!</v>
      </c>
      <c r="EX283" t="e">
        <f>AND('PROG FORM COMPLEM'!P349,"AAAAAG3z75k=")</f>
        <v>#VALUE!</v>
      </c>
      <c r="EY283" t="e">
        <f>AND('PROG FORM COMPLEM'!Q349,"AAAAAG3z75o=")</f>
        <v>#VALUE!</v>
      </c>
      <c r="EZ283" t="e">
        <f>AND('PROG FORM COMPLEM'!R349,"AAAAAG3z75s=")</f>
        <v>#VALUE!</v>
      </c>
      <c r="FA283" t="e">
        <f>AND('PROG FORM COMPLEM'!S349,"AAAAAG3z75w=")</f>
        <v>#VALUE!</v>
      </c>
      <c r="FB283" t="e">
        <f>AND('PROG FORM COMPLEM'!T349,"AAAAAG3z750=")</f>
        <v>#VALUE!</v>
      </c>
      <c r="FC283" t="e">
        <f>AND('PROG FORM COMPLEM'!U349,"AAAAAG3z754=")</f>
        <v>#VALUE!</v>
      </c>
      <c r="FD283" t="e">
        <f>AND('PROG FORM COMPLEM'!V349,"AAAAAG3z758=")</f>
        <v>#VALUE!</v>
      </c>
      <c r="FE283" t="e">
        <f>AND('PROG FORM COMPLEM'!W349,"AAAAAG3z76A=")</f>
        <v>#VALUE!</v>
      </c>
      <c r="FF283">
        <f>IF('PROG FORM COMPLEM'!350:350,"AAAAAG3z76E=",0)</f>
        <v>0</v>
      </c>
      <c r="FG283" t="e">
        <f>AND('PROG FORM COMPLEM'!B350,"AAAAAG3z76I=")</f>
        <v>#VALUE!</v>
      </c>
      <c r="FH283" t="e">
        <f>AND('PROG FORM COMPLEM'!C350,"AAAAAG3z76M=")</f>
        <v>#VALUE!</v>
      </c>
      <c r="FI283" t="e">
        <f>AND('PROG FORM COMPLEM'!D350,"AAAAAG3z76Q=")</f>
        <v>#VALUE!</v>
      </c>
      <c r="FJ283" t="e">
        <f>AND('PROG FORM COMPLEM'!E350,"AAAAAG3z76U=")</f>
        <v>#VALUE!</v>
      </c>
      <c r="FK283" t="e">
        <f>AND('PROG FORM COMPLEM'!F350,"AAAAAG3z76Y=")</f>
        <v>#VALUE!</v>
      </c>
      <c r="FL283" t="e">
        <f>AND('PROG FORM COMPLEM'!G350,"AAAAAG3z76c=")</f>
        <v>#VALUE!</v>
      </c>
      <c r="FM283" t="e">
        <f>AND('PROG FORM COMPLEM'!H350,"AAAAAG3z76g=")</f>
        <v>#VALUE!</v>
      </c>
      <c r="FN283" t="e">
        <f>AND('PROG FORM COMPLEM'!I350,"AAAAAG3z76k=")</f>
        <v>#VALUE!</v>
      </c>
      <c r="FO283" t="e">
        <f>AND('PROG FORM COMPLEM'!J350,"AAAAAG3z76o=")</f>
        <v>#VALUE!</v>
      </c>
      <c r="FP283" t="e">
        <f>AND('PROG FORM COMPLEM'!K350,"AAAAAG3z76s=")</f>
        <v>#VALUE!</v>
      </c>
      <c r="FQ283" t="e">
        <f>AND('PROG FORM COMPLEM'!L350,"AAAAAG3z76w=")</f>
        <v>#VALUE!</v>
      </c>
      <c r="FR283" t="e">
        <f>AND('PROG FORM COMPLEM'!M350,"AAAAAG3z760=")</f>
        <v>#VALUE!</v>
      </c>
      <c r="FS283" t="e">
        <f>AND('PROG FORM COMPLEM'!N350,"AAAAAG3z764=")</f>
        <v>#VALUE!</v>
      </c>
      <c r="FT283" t="e">
        <f>AND('PROG FORM COMPLEM'!O350,"AAAAAG3z768=")</f>
        <v>#VALUE!</v>
      </c>
      <c r="FU283" t="e">
        <f>AND('PROG FORM COMPLEM'!P350,"AAAAAG3z77A=")</f>
        <v>#VALUE!</v>
      </c>
      <c r="FV283" t="e">
        <f>AND('PROG FORM COMPLEM'!Q350,"AAAAAG3z77E=")</f>
        <v>#VALUE!</v>
      </c>
      <c r="FW283" t="e">
        <f>AND('PROG FORM COMPLEM'!R350,"AAAAAG3z77I=")</f>
        <v>#VALUE!</v>
      </c>
      <c r="FX283" t="e">
        <f>AND('PROG FORM COMPLEM'!S350,"AAAAAG3z77M=")</f>
        <v>#VALUE!</v>
      </c>
      <c r="FY283" t="e">
        <f>AND('PROG FORM COMPLEM'!T350,"AAAAAG3z77Q=")</f>
        <v>#VALUE!</v>
      </c>
      <c r="FZ283" t="e">
        <f>AND('PROG FORM COMPLEM'!U350,"AAAAAG3z77U=")</f>
        <v>#VALUE!</v>
      </c>
      <c r="GA283" t="e">
        <f>AND('PROG FORM COMPLEM'!V350,"AAAAAG3z77Y=")</f>
        <v>#VALUE!</v>
      </c>
      <c r="GB283" t="e">
        <f>AND('PROG FORM COMPLEM'!W350,"AAAAAG3z77c=")</f>
        <v>#VALUE!</v>
      </c>
      <c r="GC283">
        <f>IF('PROG FORM COMPLEM'!351:351,"AAAAAG3z77g=",0)</f>
        <v>0</v>
      </c>
      <c r="GD283" t="e">
        <f>AND('PROG FORM COMPLEM'!B351,"AAAAAG3z77k=")</f>
        <v>#VALUE!</v>
      </c>
      <c r="GE283" t="e">
        <f>AND('PROG FORM COMPLEM'!C351,"AAAAAG3z77o=")</f>
        <v>#VALUE!</v>
      </c>
      <c r="GF283" t="e">
        <f>AND('PROG FORM COMPLEM'!D351,"AAAAAG3z77s=")</f>
        <v>#VALUE!</v>
      </c>
      <c r="GG283" t="e">
        <f>AND('PROG FORM COMPLEM'!E351,"AAAAAG3z77w=")</f>
        <v>#VALUE!</v>
      </c>
      <c r="GH283" t="e">
        <f>AND('PROG FORM COMPLEM'!F351,"AAAAAG3z770=")</f>
        <v>#VALUE!</v>
      </c>
      <c r="GI283" t="e">
        <f>AND('PROG FORM COMPLEM'!G351,"AAAAAG3z774=")</f>
        <v>#VALUE!</v>
      </c>
      <c r="GJ283" t="e">
        <f>AND('PROG FORM COMPLEM'!H351,"AAAAAG3z778=")</f>
        <v>#VALUE!</v>
      </c>
      <c r="GK283" t="e">
        <f>AND('PROG FORM COMPLEM'!I351,"AAAAAG3z78A=")</f>
        <v>#VALUE!</v>
      </c>
      <c r="GL283" t="e">
        <f>AND('PROG FORM COMPLEM'!J351,"AAAAAG3z78E=")</f>
        <v>#VALUE!</v>
      </c>
      <c r="GM283" t="e">
        <f>AND('PROG FORM COMPLEM'!K351,"AAAAAG3z78I=")</f>
        <v>#VALUE!</v>
      </c>
      <c r="GN283" t="e">
        <f>AND('PROG FORM COMPLEM'!L351,"AAAAAG3z78M=")</f>
        <v>#VALUE!</v>
      </c>
      <c r="GO283" t="e">
        <f>AND('PROG FORM COMPLEM'!M351,"AAAAAG3z78Q=")</f>
        <v>#VALUE!</v>
      </c>
      <c r="GP283" t="e">
        <f>AND('PROG FORM COMPLEM'!N351,"AAAAAG3z78U=")</f>
        <v>#VALUE!</v>
      </c>
      <c r="GQ283" t="e">
        <f>AND('PROG FORM COMPLEM'!O351,"AAAAAG3z78Y=")</f>
        <v>#VALUE!</v>
      </c>
      <c r="GR283" t="e">
        <f>AND('PROG FORM COMPLEM'!P351,"AAAAAG3z78c=")</f>
        <v>#VALUE!</v>
      </c>
      <c r="GS283" t="e">
        <f>AND('PROG FORM COMPLEM'!Q351,"AAAAAG3z78g=")</f>
        <v>#VALUE!</v>
      </c>
      <c r="GT283" t="e">
        <f>AND('PROG FORM COMPLEM'!R351,"AAAAAG3z78k=")</f>
        <v>#VALUE!</v>
      </c>
      <c r="GU283" t="e">
        <f>AND('PROG FORM COMPLEM'!S351,"AAAAAG3z78o=")</f>
        <v>#VALUE!</v>
      </c>
      <c r="GV283" t="e">
        <f>AND('PROG FORM COMPLEM'!T351,"AAAAAG3z78s=")</f>
        <v>#VALUE!</v>
      </c>
      <c r="GW283" t="e">
        <f>AND('PROG FORM COMPLEM'!U351,"AAAAAG3z78w=")</f>
        <v>#VALUE!</v>
      </c>
      <c r="GX283" t="e">
        <f>AND('PROG FORM COMPLEM'!V351,"AAAAAG3z780=")</f>
        <v>#VALUE!</v>
      </c>
      <c r="GY283" t="e">
        <f>AND('PROG FORM COMPLEM'!W351,"AAAAAG3z784=")</f>
        <v>#VALUE!</v>
      </c>
      <c r="GZ283">
        <f>IF('PROG FORM COMPLEM'!352:352,"AAAAAG3z788=",0)</f>
        <v>0</v>
      </c>
      <c r="HA283" t="e">
        <f>AND('PROG FORM COMPLEM'!B352,"AAAAAG3z79A=")</f>
        <v>#VALUE!</v>
      </c>
      <c r="HB283" t="e">
        <f>AND('PROG FORM COMPLEM'!C352,"AAAAAG3z79E=")</f>
        <v>#VALUE!</v>
      </c>
      <c r="HC283" t="e">
        <f>AND('PROG FORM COMPLEM'!D352,"AAAAAG3z79I=")</f>
        <v>#VALUE!</v>
      </c>
      <c r="HD283" t="e">
        <f>AND('PROG FORM COMPLEM'!E352,"AAAAAG3z79M=")</f>
        <v>#VALUE!</v>
      </c>
      <c r="HE283" t="e">
        <f>AND('PROG FORM COMPLEM'!F352,"AAAAAG3z79Q=")</f>
        <v>#VALUE!</v>
      </c>
      <c r="HF283" t="e">
        <f>AND('PROG FORM COMPLEM'!G352,"AAAAAG3z79U=")</f>
        <v>#VALUE!</v>
      </c>
      <c r="HG283" t="e">
        <f>AND('PROG FORM COMPLEM'!H352,"AAAAAG3z79Y=")</f>
        <v>#VALUE!</v>
      </c>
      <c r="HH283" t="e">
        <f>AND('PROG FORM COMPLEM'!I352,"AAAAAG3z79c=")</f>
        <v>#VALUE!</v>
      </c>
      <c r="HI283" t="e">
        <f>AND('PROG FORM COMPLEM'!J352,"AAAAAG3z79g=")</f>
        <v>#VALUE!</v>
      </c>
      <c r="HJ283" t="e">
        <f>AND('PROG FORM COMPLEM'!K352,"AAAAAG3z79k=")</f>
        <v>#VALUE!</v>
      </c>
      <c r="HK283" t="e">
        <f>AND('PROG FORM COMPLEM'!L352,"AAAAAG3z79o=")</f>
        <v>#VALUE!</v>
      </c>
      <c r="HL283" t="e">
        <f>AND('PROG FORM COMPLEM'!M352,"AAAAAG3z79s=")</f>
        <v>#VALUE!</v>
      </c>
      <c r="HM283" t="e">
        <f>AND('PROG FORM COMPLEM'!N352,"AAAAAG3z79w=")</f>
        <v>#VALUE!</v>
      </c>
      <c r="HN283" t="e">
        <f>AND('PROG FORM COMPLEM'!O352,"AAAAAG3z790=")</f>
        <v>#VALUE!</v>
      </c>
      <c r="HO283" t="e">
        <f>AND('PROG FORM COMPLEM'!P352,"AAAAAG3z794=")</f>
        <v>#VALUE!</v>
      </c>
      <c r="HP283" t="e">
        <f>AND('PROG FORM COMPLEM'!Q352,"AAAAAG3z798=")</f>
        <v>#VALUE!</v>
      </c>
      <c r="HQ283" t="e">
        <f>AND('PROG FORM COMPLEM'!R352,"AAAAAG3z7+A=")</f>
        <v>#VALUE!</v>
      </c>
      <c r="HR283" t="e">
        <f>AND('PROG FORM COMPLEM'!S352,"AAAAAG3z7+E=")</f>
        <v>#VALUE!</v>
      </c>
      <c r="HS283" t="e">
        <f>AND('PROG FORM COMPLEM'!T352,"AAAAAG3z7+I=")</f>
        <v>#VALUE!</v>
      </c>
      <c r="HT283" t="e">
        <f>AND('PROG FORM COMPLEM'!U352,"AAAAAG3z7+M=")</f>
        <v>#VALUE!</v>
      </c>
      <c r="HU283" t="e">
        <f>AND('PROG FORM COMPLEM'!V352,"AAAAAG3z7+Q=")</f>
        <v>#VALUE!</v>
      </c>
      <c r="HV283" t="e">
        <f>AND('PROG FORM COMPLEM'!W352,"AAAAAG3z7+U=")</f>
        <v>#VALUE!</v>
      </c>
      <c r="HW283">
        <f>IF('PROG FORM COMPLEM'!353:353,"AAAAAG3z7+Y=",0)</f>
        <v>0</v>
      </c>
      <c r="HX283" t="e">
        <f>AND('PROG FORM COMPLEM'!B353,"AAAAAG3z7+c=")</f>
        <v>#VALUE!</v>
      </c>
      <c r="HY283" t="e">
        <f>AND('PROG FORM COMPLEM'!C353,"AAAAAG3z7+g=")</f>
        <v>#VALUE!</v>
      </c>
      <c r="HZ283" t="e">
        <f>AND('PROG FORM COMPLEM'!D353,"AAAAAG3z7+k=")</f>
        <v>#VALUE!</v>
      </c>
      <c r="IA283" t="e">
        <f>AND('PROG FORM COMPLEM'!E353,"AAAAAG3z7+o=")</f>
        <v>#VALUE!</v>
      </c>
      <c r="IB283" t="e">
        <f>AND('PROG FORM COMPLEM'!F353,"AAAAAG3z7+s=")</f>
        <v>#VALUE!</v>
      </c>
      <c r="IC283" t="e">
        <f>AND('PROG FORM COMPLEM'!G353,"AAAAAG3z7+w=")</f>
        <v>#VALUE!</v>
      </c>
      <c r="ID283" t="e">
        <f>AND('PROG FORM COMPLEM'!H353,"AAAAAG3z7+0=")</f>
        <v>#VALUE!</v>
      </c>
      <c r="IE283" t="e">
        <f>AND('PROG FORM COMPLEM'!I353,"AAAAAG3z7+4=")</f>
        <v>#VALUE!</v>
      </c>
      <c r="IF283" t="e">
        <f>AND('PROG FORM COMPLEM'!J353,"AAAAAG3z7+8=")</f>
        <v>#VALUE!</v>
      </c>
      <c r="IG283" t="e">
        <f>AND('PROG FORM COMPLEM'!K353,"AAAAAG3z7/A=")</f>
        <v>#VALUE!</v>
      </c>
      <c r="IH283" t="e">
        <f>AND('PROG FORM COMPLEM'!L353,"AAAAAG3z7/E=")</f>
        <v>#VALUE!</v>
      </c>
      <c r="II283" t="e">
        <f>AND('PROG FORM COMPLEM'!M353,"AAAAAG3z7/I=")</f>
        <v>#VALUE!</v>
      </c>
      <c r="IJ283" t="e">
        <f>AND('PROG FORM COMPLEM'!N353,"AAAAAG3z7/M=")</f>
        <v>#VALUE!</v>
      </c>
      <c r="IK283" t="e">
        <f>AND('PROG FORM COMPLEM'!O353,"AAAAAG3z7/Q=")</f>
        <v>#VALUE!</v>
      </c>
      <c r="IL283" t="e">
        <f>AND('PROG FORM COMPLEM'!P353,"AAAAAG3z7/U=")</f>
        <v>#VALUE!</v>
      </c>
      <c r="IM283" t="e">
        <f>AND('PROG FORM COMPLEM'!Q353,"AAAAAG3z7/Y=")</f>
        <v>#VALUE!</v>
      </c>
      <c r="IN283" t="e">
        <f>AND('PROG FORM COMPLEM'!R353,"AAAAAG3z7/c=")</f>
        <v>#VALUE!</v>
      </c>
      <c r="IO283" t="e">
        <f>AND('PROG FORM COMPLEM'!S353,"AAAAAG3z7/g=")</f>
        <v>#VALUE!</v>
      </c>
      <c r="IP283" t="e">
        <f>AND('PROG FORM COMPLEM'!T353,"AAAAAG3z7/k=")</f>
        <v>#VALUE!</v>
      </c>
      <c r="IQ283" t="e">
        <f>AND('PROG FORM COMPLEM'!U353,"AAAAAG3z7/o=")</f>
        <v>#VALUE!</v>
      </c>
      <c r="IR283" t="e">
        <f>AND('PROG FORM COMPLEM'!V353,"AAAAAG3z7/s=")</f>
        <v>#VALUE!</v>
      </c>
      <c r="IS283" t="e">
        <f>AND('PROG FORM COMPLEM'!W353,"AAAAAG3z7/w=")</f>
        <v>#VALUE!</v>
      </c>
      <c r="IT283">
        <f>IF('PROG FORM COMPLEM'!354:354,"AAAAAG3z7/0=",0)</f>
        <v>0</v>
      </c>
      <c r="IU283" t="e">
        <f>AND('PROG FORM COMPLEM'!B354,"AAAAAG3z7/4=")</f>
        <v>#VALUE!</v>
      </c>
      <c r="IV283" t="e">
        <f>AND('PROG FORM COMPLEM'!C354,"AAAAAG3z7/8=")</f>
        <v>#VALUE!</v>
      </c>
    </row>
    <row r="284" spans="1:256" x14ac:dyDescent="0.2">
      <c r="A284" t="e">
        <f>AND('PROG FORM COMPLEM'!D354,"AAAAAD/3+wA=")</f>
        <v>#VALUE!</v>
      </c>
      <c r="B284" t="e">
        <f>AND('PROG FORM COMPLEM'!E354,"AAAAAD/3+wE=")</f>
        <v>#VALUE!</v>
      </c>
      <c r="C284" t="e">
        <f>AND('PROG FORM COMPLEM'!F354,"AAAAAD/3+wI=")</f>
        <v>#VALUE!</v>
      </c>
      <c r="D284" t="e">
        <f>AND('PROG FORM COMPLEM'!G354,"AAAAAD/3+wM=")</f>
        <v>#VALUE!</v>
      </c>
      <c r="E284" t="e">
        <f>AND('PROG FORM COMPLEM'!H354,"AAAAAD/3+wQ=")</f>
        <v>#VALUE!</v>
      </c>
      <c r="F284" t="e">
        <f>AND('PROG FORM COMPLEM'!I354,"AAAAAD/3+wU=")</f>
        <v>#VALUE!</v>
      </c>
      <c r="G284" t="e">
        <f>AND('PROG FORM COMPLEM'!J354,"AAAAAD/3+wY=")</f>
        <v>#VALUE!</v>
      </c>
      <c r="H284" t="e">
        <f>AND('PROG FORM COMPLEM'!K354,"AAAAAD/3+wc=")</f>
        <v>#VALUE!</v>
      </c>
      <c r="I284" t="e">
        <f>AND('PROG FORM COMPLEM'!L354,"AAAAAD/3+wg=")</f>
        <v>#VALUE!</v>
      </c>
      <c r="J284" t="e">
        <f>AND('PROG FORM COMPLEM'!M354,"AAAAAD/3+wk=")</f>
        <v>#VALUE!</v>
      </c>
      <c r="K284" t="e">
        <f>AND('PROG FORM COMPLEM'!N354,"AAAAAD/3+wo=")</f>
        <v>#VALUE!</v>
      </c>
      <c r="L284" t="e">
        <f>AND('PROG FORM COMPLEM'!O354,"AAAAAD/3+ws=")</f>
        <v>#VALUE!</v>
      </c>
      <c r="M284" t="e">
        <f>AND('PROG FORM COMPLEM'!P354,"AAAAAD/3+ww=")</f>
        <v>#VALUE!</v>
      </c>
      <c r="N284" t="e">
        <f>AND('PROG FORM COMPLEM'!Q354,"AAAAAD/3+w0=")</f>
        <v>#VALUE!</v>
      </c>
      <c r="O284" t="e">
        <f>AND('PROG FORM COMPLEM'!R354,"AAAAAD/3+w4=")</f>
        <v>#VALUE!</v>
      </c>
      <c r="P284" t="e">
        <f>AND('PROG FORM COMPLEM'!S354,"AAAAAD/3+w8=")</f>
        <v>#VALUE!</v>
      </c>
      <c r="Q284" t="e">
        <f>AND('PROG FORM COMPLEM'!T354,"AAAAAD/3+xA=")</f>
        <v>#VALUE!</v>
      </c>
      <c r="R284" t="e">
        <f>AND('PROG FORM COMPLEM'!U354,"AAAAAD/3+xE=")</f>
        <v>#VALUE!</v>
      </c>
      <c r="S284" t="e">
        <f>AND('PROG FORM COMPLEM'!V354,"AAAAAD/3+xI=")</f>
        <v>#VALUE!</v>
      </c>
      <c r="T284" t="e">
        <f>AND('PROG FORM COMPLEM'!W354,"AAAAAD/3+xM=")</f>
        <v>#VALUE!</v>
      </c>
      <c r="U284">
        <f>IF('PROG FORM COMPLEM'!355:355,"AAAAAD/3+xQ=",0)</f>
        <v>0</v>
      </c>
      <c r="V284" t="e">
        <f>AND('PROG FORM COMPLEM'!B355,"AAAAAD/3+xU=")</f>
        <v>#VALUE!</v>
      </c>
      <c r="W284" t="e">
        <f>AND('PROG FORM COMPLEM'!C355,"AAAAAD/3+xY=")</f>
        <v>#VALUE!</v>
      </c>
      <c r="X284" t="e">
        <f>AND('PROG FORM COMPLEM'!D355,"AAAAAD/3+xc=")</f>
        <v>#VALUE!</v>
      </c>
      <c r="Y284" t="e">
        <f>AND('PROG FORM COMPLEM'!E355,"AAAAAD/3+xg=")</f>
        <v>#VALUE!</v>
      </c>
      <c r="Z284" t="e">
        <f>AND('PROG FORM COMPLEM'!F355,"AAAAAD/3+xk=")</f>
        <v>#VALUE!</v>
      </c>
      <c r="AA284" t="e">
        <f>AND('PROG FORM COMPLEM'!G355,"AAAAAD/3+xo=")</f>
        <v>#VALUE!</v>
      </c>
      <c r="AB284" t="e">
        <f>AND('PROG FORM COMPLEM'!H355,"AAAAAD/3+xs=")</f>
        <v>#VALUE!</v>
      </c>
      <c r="AC284" t="e">
        <f>AND('PROG FORM COMPLEM'!I355,"AAAAAD/3+xw=")</f>
        <v>#VALUE!</v>
      </c>
      <c r="AD284" t="e">
        <f>AND('PROG FORM COMPLEM'!J355,"AAAAAD/3+x0=")</f>
        <v>#VALUE!</v>
      </c>
      <c r="AE284" t="e">
        <f>AND('PROG FORM COMPLEM'!K355,"AAAAAD/3+x4=")</f>
        <v>#VALUE!</v>
      </c>
      <c r="AF284" t="e">
        <f>AND('PROG FORM COMPLEM'!L355,"AAAAAD/3+x8=")</f>
        <v>#VALUE!</v>
      </c>
      <c r="AG284" t="e">
        <f>AND('PROG FORM COMPLEM'!M355,"AAAAAD/3+yA=")</f>
        <v>#VALUE!</v>
      </c>
      <c r="AH284" t="e">
        <f>AND('PROG FORM COMPLEM'!N355,"AAAAAD/3+yE=")</f>
        <v>#VALUE!</v>
      </c>
      <c r="AI284" t="e">
        <f>AND('PROG FORM COMPLEM'!O355,"AAAAAD/3+yI=")</f>
        <v>#VALUE!</v>
      </c>
      <c r="AJ284" t="e">
        <f>AND('PROG FORM COMPLEM'!P355,"AAAAAD/3+yM=")</f>
        <v>#VALUE!</v>
      </c>
      <c r="AK284" t="e">
        <f>AND('PROG FORM COMPLEM'!Q355,"AAAAAD/3+yQ=")</f>
        <v>#VALUE!</v>
      </c>
      <c r="AL284" t="e">
        <f>AND('PROG FORM COMPLEM'!R355,"AAAAAD/3+yU=")</f>
        <v>#VALUE!</v>
      </c>
      <c r="AM284" t="e">
        <f>AND('PROG FORM COMPLEM'!S355,"AAAAAD/3+yY=")</f>
        <v>#VALUE!</v>
      </c>
      <c r="AN284" t="e">
        <f>AND('PROG FORM COMPLEM'!T355,"AAAAAD/3+yc=")</f>
        <v>#VALUE!</v>
      </c>
      <c r="AO284" t="e">
        <f>AND('PROG FORM COMPLEM'!U355,"AAAAAD/3+yg=")</f>
        <v>#VALUE!</v>
      </c>
      <c r="AP284" t="e">
        <f>AND('PROG FORM COMPLEM'!V355,"AAAAAD/3+yk=")</f>
        <v>#VALUE!</v>
      </c>
      <c r="AQ284" t="e">
        <f>AND('PROG FORM COMPLEM'!W355,"AAAAAD/3+yo=")</f>
        <v>#VALUE!</v>
      </c>
      <c r="AR284">
        <f>IF('PROG FORM COMPLEM'!356:356,"AAAAAD/3+ys=",0)</f>
        <v>0</v>
      </c>
      <c r="AS284" t="e">
        <f>AND('PROG FORM COMPLEM'!B356,"AAAAAD/3+yw=")</f>
        <v>#VALUE!</v>
      </c>
      <c r="AT284" t="e">
        <f>AND('PROG FORM COMPLEM'!C356,"AAAAAD/3+y0=")</f>
        <v>#VALUE!</v>
      </c>
      <c r="AU284" t="e">
        <f>AND('PROG FORM COMPLEM'!D356,"AAAAAD/3+y4=")</f>
        <v>#VALUE!</v>
      </c>
      <c r="AV284" t="e">
        <f>AND('PROG FORM COMPLEM'!E356,"AAAAAD/3+y8=")</f>
        <v>#VALUE!</v>
      </c>
      <c r="AW284" t="e">
        <f>AND('PROG FORM COMPLEM'!F356,"AAAAAD/3+zA=")</f>
        <v>#VALUE!</v>
      </c>
      <c r="AX284" t="e">
        <f>AND('PROG FORM COMPLEM'!G356,"AAAAAD/3+zE=")</f>
        <v>#VALUE!</v>
      </c>
      <c r="AY284" t="e">
        <f>AND('PROG FORM COMPLEM'!H356,"AAAAAD/3+zI=")</f>
        <v>#VALUE!</v>
      </c>
      <c r="AZ284" t="e">
        <f>AND('PROG FORM COMPLEM'!I356,"AAAAAD/3+zM=")</f>
        <v>#VALUE!</v>
      </c>
      <c r="BA284" t="e">
        <f>AND('PROG FORM COMPLEM'!J356,"AAAAAD/3+zQ=")</f>
        <v>#VALUE!</v>
      </c>
      <c r="BB284" t="e">
        <f>AND('PROG FORM COMPLEM'!K356,"AAAAAD/3+zU=")</f>
        <v>#VALUE!</v>
      </c>
      <c r="BC284" t="e">
        <f>AND('PROG FORM COMPLEM'!L356,"AAAAAD/3+zY=")</f>
        <v>#VALUE!</v>
      </c>
      <c r="BD284" t="e">
        <f>AND('PROG FORM COMPLEM'!M356,"AAAAAD/3+zc=")</f>
        <v>#VALUE!</v>
      </c>
      <c r="BE284" t="e">
        <f>AND('PROG FORM COMPLEM'!N356,"AAAAAD/3+zg=")</f>
        <v>#VALUE!</v>
      </c>
      <c r="BF284" t="e">
        <f>AND('PROG FORM COMPLEM'!O356,"AAAAAD/3+zk=")</f>
        <v>#VALUE!</v>
      </c>
      <c r="BG284" t="e">
        <f>AND('PROG FORM COMPLEM'!P356,"AAAAAD/3+zo=")</f>
        <v>#VALUE!</v>
      </c>
      <c r="BH284" t="e">
        <f>AND('PROG FORM COMPLEM'!Q356,"AAAAAD/3+zs=")</f>
        <v>#VALUE!</v>
      </c>
      <c r="BI284" t="e">
        <f>AND('PROG FORM COMPLEM'!R356,"AAAAAD/3+zw=")</f>
        <v>#VALUE!</v>
      </c>
      <c r="BJ284" t="e">
        <f>AND('PROG FORM COMPLEM'!S356,"AAAAAD/3+z0=")</f>
        <v>#VALUE!</v>
      </c>
      <c r="BK284" t="e">
        <f>AND('PROG FORM COMPLEM'!T356,"AAAAAD/3+z4=")</f>
        <v>#VALUE!</v>
      </c>
      <c r="BL284" t="e">
        <f>AND('PROG FORM COMPLEM'!U356,"AAAAAD/3+z8=")</f>
        <v>#VALUE!</v>
      </c>
      <c r="BM284" t="e">
        <f>AND('PROG FORM COMPLEM'!V356,"AAAAAD/3+0A=")</f>
        <v>#VALUE!</v>
      </c>
      <c r="BN284" t="e">
        <f>AND('PROG FORM COMPLEM'!W356,"AAAAAD/3+0E=")</f>
        <v>#VALUE!</v>
      </c>
      <c r="BO284">
        <f>IF('PROG FORM COMPLEM'!357:357,"AAAAAD/3+0I=",0)</f>
        <v>0</v>
      </c>
      <c r="BP284" t="e">
        <f>AND('PROG FORM COMPLEM'!B357,"AAAAAD/3+0M=")</f>
        <v>#VALUE!</v>
      </c>
      <c r="BQ284" t="e">
        <f>AND('PROG FORM COMPLEM'!C357,"AAAAAD/3+0Q=")</f>
        <v>#VALUE!</v>
      </c>
      <c r="BR284" t="e">
        <f>AND('PROG FORM COMPLEM'!D357,"AAAAAD/3+0U=")</f>
        <v>#VALUE!</v>
      </c>
      <c r="BS284" t="e">
        <f>AND('PROG FORM COMPLEM'!E357,"AAAAAD/3+0Y=")</f>
        <v>#VALUE!</v>
      </c>
      <c r="BT284" t="e">
        <f>AND('PROG FORM COMPLEM'!F357,"AAAAAD/3+0c=")</f>
        <v>#VALUE!</v>
      </c>
      <c r="BU284" t="e">
        <f>AND('PROG FORM COMPLEM'!G357,"AAAAAD/3+0g=")</f>
        <v>#VALUE!</v>
      </c>
      <c r="BV284" t="e">
        <f>AND('PROG FORM COMPLEM'!H357,"AAAAAD/3+0k=")</f>
        <v>#VALUE!</v>
      </c>
      <c r="BW284" t="e">
        <f>AND('PROG FORM COMPLEM'!I357,"AAAAAD/3+0o=")</f>
        <v>#VALUE!</v>
      </c>
      <c r="BX284" t="e">
        <f>AND('PROG FORM COMPLEM'!J357,"AAAAAD/3+0s=")</f>
        <v>#VALUE!</v>
      </c>
      <c r="BY284" t="e">
        <f>AND('PROG FORM COMPLEM'!K357,"AAAAAD/3+0w=")</f>
        <v>#VALUE!</v>
      </c>
      <c r="BZ284" t="e">
        <f>AND('PROG FORM COMPLEM'!L357,"AAAAAD/3+00=")</f>
        <v>#VALUE!</v>
      </c>
      <c r="CA284" t="e">
        <f>AND('PROG FORM COMPLEM'!M357,"AAAAAD/3+04=")</f>
        <v>#VALUE!</v>
      </c>
      <c r="CB284" t="e">
        <f>AND('PROG FORM COMPLEM'!N357,"AAAAAD/3+08=")</f>
        <v>#VALUE!</v>
      </c>
      <c r="CC284" t="e">
        <f>AND('PROG FORM COMPLEM'!O357,"AAAAAD/3+1A=")</f>
        <v>#VALUE!</v>
      </c>
      <c r="CD284" t="e">
        <f>AND('PROG FORM COMPLEM'!P357,"AAAAAD/3+1E=")</f>
        <v>#VALUE!</v>
      </c>
      <c r="CE284" t="e">
        <f>AND('PROG FORM COMPLEM'!Q357,"AAAAAD/3+1I=")</f>
        <v>#VALUE!</v>
      </c>
      <c r="CF284" t="e">
        <f>AND('PROG FORM COMPLEM'!R357,"AAAAAD/3+1M=")</f>
        <v>#VALUE!</v>
      </c>
      <c r="CG284" t="e">
        <f>AND('PROG FORM COMPLEM'!S357,"AAAAAD/3+1Q=")</f>
        <v>#VALUE!</v>
      </c>
      <c r="CH284" t="e">
        <f>AND('PROG FORM COMPLEM'!T357,"AAAAAD/3+1U=")</f>
        <v>#VALUE!</v>
      </c>
      <c r="CI284" t="e">
        <f>AND('PROG FORM COMPLEM'!U357,"AAAAAD/3+1Y=")</f>
        <v>#VALUE!</v>
      </c>
      <c r="CJ284" t="e">
        <f>AND('PROG FORM COMPLEM'!V357,"AAAAAD/3+1c=")</f>
        <v>#VALUE!</v>
      </c>
      <c r="CK284" t="e">
        <f>AND('PROG FORM COMPLEM'!W357,"AAAAAD/3+1g=")</f>
        <v>#VALUE!</v>
      </c>
      <c r="CL284">
        <f>IF('PROG FORM COMPLEM'!358:358,"AAAAAD/3+1k=",0)</f>
        <v>0</v>
      </c>
      <c r="CM284" t="e">
        <f>AND('PROG FORM COMPLEM'!B358,"AAAAAD/3+1o=")</f>
        <v>#VALUE!</v>
      </c>
      <c r="CN284" t="e">
        <f>AND('PROG FORM COMPLEM'!C358,"AAAAAD/3+1s=")</f>
        <v>#VALUE!</v>
      </c>
      <c r="CO284" t="e">
        <f>AND('PROG FORM COMPLEM'!D358,"AAAAAD/3+1w=")</f>
        <v>#VALUE!</v>
      </c>
      <c r="CP284" t="e">
        <f>AND('PROG FORM COMPLEM'!E358,"AAAAAD/3+10=")</f>
        <v>#VALUE!</v>
      </c>
      <c r="CQ284" t="e">
        <f>AND('PROG FORM COMPLEM'!F358,"AAAAAD/3+14=")</f>
        <v>#VALUE!</v>
      </c>
      <c r="CR284" t="e">
        <f>AND('PROG FORM COMPLEM'!G358,"AAAAAD/3+18=")</f>
        <v>#VALUE!</v>
      </c>
      <c r="CS284" t="e">
        <f>AND('PROG FORM COMPLEM'!H358,"AAAAAD/3+2A=")</f>
        <v>#VALUE!</v>
      </c>
      <c r="CT284" t="e">
        <f>AND('PROG FORM COMPLEM'!I358,"AAAAAD/3+2E=")</f>
        <v>#VALUE!</v>
      </c>
      <c r="CU284" t="e">
        <f>AND('PROG FORM COMPLEM'!J358,"AAAAAD/3+2I=")</f>
        <v>#VALUE!</v>
      </c>
      <c r="CV284" t="e">
        <f>AND('PROG FORM COMPLEM'!K358,"AAAAAD/3+2M=")</f>
        <v>#VALUE!</v>
      </c>
      <c r="CW284" t="e">
        <f>AND('PROG FORM COMPLEM'!L358,"AAAAAD/3+2Q=")</f>
        <v>#VALUE!</v>
      </c>
      <c r="CX284" t="e">
        <f>AND('PROG FORM COMPLEM'!M358,"AAAAAD/3+2U=")</f>
        <v>#VALUE!</v>
      </c>
      <c r="CY284" t="e">
        <f>AND('PROG FORM COMPLEM'!N358,"AAAAAD/3+2Y=")</f>
        <v>#VALUE!</v>
      </c>
      <c r="CZ284" t="e">
        <f>AND('PROG FORM COMPLEM'!O358,"AAAAAD/3+2c=")</f>
        <v>#VALUE!</v>
      </c>
      <c r="DA284" t="e">
        <f>AND('PROG FORM COMPLEM'!P358,"AAAAAD/3+2g=")</f>
        <v>#VALUE!</v>
      </c>
      <c r="DB284" t="e">
        <f>AND('PROG FORM COMPLEM'!Q358,"AAAAAD/3+2k=")</f>
        <v>#VALUE!</v>
      </c>
      <c r="DC284" t="e">
        <f>AND('PROG FORM COMPLEM'!R358,"AAAAAD/3+2o=")</f>
        <v>#VALUE!</v>
      </c>
      <c r="DD284" t="e">
        <f>AND('PROG FORM COMPLEM'!S358,"AAAAAD/3+2s=")</f>
        <v>#VALUE!</v>
      </c>
      <c r="DE284" t="e">
        <f>AND('PROG FORM COMPLEM'!T358,"AAAAAD/3+2w=")</f>
        <v>#VALUE!</v>
      </c>
      <c r="DF284" t="e">
        <f>AND('PROG FORM COMPLEM'!U358,"AAAAAD/3+20=")</f>
        <v>#VALUE!</v>
      </c>
      <c r="DG284" t="e">
        <f>AND('PROG FORM COMPLEM'!V358,"AAAAAD/3+24=")</f>
        <v>#VALUE!</v>
      </c>
      <c r="DH284" t="e">
        <f>AND('PROG FORM COMPLEM'!W358,"AAAAAD/3+28=")</f>
        <v>#VALUE!</v>
      </c>
      <c r="DI284">
        <f>IF('PROG FORM COMPLEM'!359:359,"AAAAAD/3+3A=",0)</f>
        <v>0</v>
      </c>
      <c r="DJ284" t="e">
        <f>AND('PROG FORM COMPLEM'!B359,"AAAAAD/3+3E=")</f>
        <v>#VALUE!</v>
      </c>
      <c r="DK284" t="e">
        <f>AND('PROG FORM COMPLEM'!C359,"AAAAAD/3+3I=")</f>
        <v>#VALUE!</v>
      </c>
      <c r="DL284" t="e">
        <f>AND('PROG FORM COMPLEM'!D359,"AAAAAD/3+3M=")</f>
        <v>#VALUE!</v>
      </c>
      <c r="DM284" t="e">
        <f>AND('PROG FORM COMPLEM'!E359,"AAAAAD/3+3Q=")</f>
        <v>#VALUE!</v>
      </c>
      <c r="DN284" t="e">
        <f>AND('PROG FORM COMPLEM'!F359,"AAAAAD/3+3U=")</f>
        <v>#VALUE!</v>
      </c>
      <c r="DO284" t="e">
        <f>AND('PROG FORM COMPLEM'!G359,"AAAAAD/3+3Y=")</f>
        <v>#VALUE!</v>
      </c>
      <c r="DP284" t="e">
        <f>AND('PROG FORM COMPLEM'!H359,"AAAAAD/3+3c=")</f>
        <v>#VALUE!</v>
      </c>
      <c r="DQ284" t="e">
        <f>AND('PROG FORM COMPLEM'!I359,"AAAAAD/3+3g=")</f>
        <v>#VALUE!</v>
      </c>
      <c r="DR284" t="e">
        <f>AND('PROG FORM COMPLEM'!J359,"AAAAAD/3+3k=")</f>
        <v>#VALUE!</v>
      </c>
      <c r="DS284" t="e">
        <f>AND('PROG FORM COMPLEM'!K359,"AAAAAD/3+3o=")</f>
        <v>#VALUE!</v>
      </c>
      <c r="DT284" t="e">
        <f>AND('PROG FORM COMPLEM'!L359,"AAAAAD/3+3s=")</f>
        <v>#VALUE!</v>
      </c>
      <c r="DU284" t="e">
        <f>AND('PROG FORM COMPLEM'!M359,"AAAAAD/3+3w=")</f>
        <v>#VALUE!</v>
      </c>
      <c r="DV284" t="e">
        <f>AND('PROG FORM COMPLEM'!N359,"AAAAAD/3+30=")</f>
        <v>#VALUE!</v>
      </c>
      <c r="DW284" t="e">
        <f>AND('PROG FORM COMPLEM'!O359,"AAAAAD/3+34=")</f>
        <v>#VALUE!</v>
      </c>
      <c r="DX284" t="e">
        <f>AND('PROG FORM COMPLEM'!P359,"AAAAAD/3+38=")</f>
        <v>#VALUE!</v>
      </c>
      <c r="DY284" t="e">
        <f>AND('PROG FORM COMPLEM'!Q359,"AAAAAD/3+4A=")</f>
        <v>#VALUE!</v>
      </c>
      <c r="DZ284" t="e">
        <f>AND('PROG FORM COMPLEM'!R359,"AAAAAD/3+4E=")</f>
        <v>#VALUE!</v>
      </c>
      <c r="EA284" t="e">
        <f>AND('PROG FORM COMPLEM'!S359,"AAAAAD/3+4I=")</f>
        <v>#VALUE!</v>
      </c>
      <c r="EB284" t="e">
        <f>AND('PROG FORM COMPLEM'!T359,"AAAAAD/3+4M=")</f>
        <v>#VALUE!</v>
      </c>
      <c r="EC284" t="e">
        <f>AND('PROG FORM COMPLEM'!U359,"AAAAAD/3+4Q=")</f>
        <v>#VALUE!</v>
      </c>
      <c r="ED284" t="e">
        <f>AND('PROG FORM COMPLEM'!V359,"AAAAAD/3+4U=")</f>
        <v>#VALUE!</v>
      </c>
      <c r="EE284" t="e">
        <f>AND('PROG FORM COMPLEM'!W359,"AAAAAD/3+4Y=")</f>
        <v>#VALUE!</v>
      </c>
      <c r="EF284">
        <f>IF('PROG FORM COMPLEM'!360:360,"AAAAAD/3+4c=",0)</f>
        <v>0</v>
      </c>
      <c r="EG284" t="e">
        <f>AND('PROG FORM COMPLEM'!B360,"AAAAAD/3+4g=")</f>
        <v>#VALUE!</v>
      </c>
      <c r="EH284" t="e">
        <f>AND('PROG FORM COMPLEM'!C360,"AAAAAD/3+4k=")</f>
        <v>#VALUE!</v>
      </c>
      <c r="EI284" t="e">
        <f>AND('PROG FORM COMPLEM'!D360,"AAAAAD/3+4o=")</f>
        <v>#VALUE!</v>
      </c>
      <c r="EJ284" t="e">
        <f>AND('PROG FORM COMPLEM'!E360,"AAAAAD/3+4s=")</f>
        <v>#VALUE!</v>
      </c>
      <c r="EK284" t="e">
        <f>AND('PROG FORM COMPLEM'!F360,"AAAAAD/3+4w=")</f>
        <v>#VALUE!</v>
      </c>
      <c r="EL284" t="e">
        <f>AND('PROG FORM COMPLEM'!G360,"AAAAAD/3+40=")</f>
        <v>#VALUE!</v>
      </c>
      <c r="EM284" t="e">
        <f>AND('PROG FORM COMPLEM'!H360,"AAAAAD/3+44=")</f>
        <v>#VALUE!</v>
      </c>
      <c r="EN284" t="e">
        <f>AND('PROG FORM COMPLEM'!I360,"AAAAAD/3+48=")</f>
        <v>#VALUE!</v>
      </c>
      <c r="EO284" t="e">
        <f>AND('PROG FORM COMPLEM'!J360,"AAAAAD/3+5A=")</f>
        <v>#VALUE!</v>
      </c>
      <c r="EP284" t="e">
        <f>AND('PROG FORM COMPLEM'!K360,"AAAAAD/3+5E=")</f>
        <v>#VALUE!</v>
      </c>
      <c r="EQ284" t="e">
        <f>AND('PROG FORM COMPLEM'!L360,"AAAAAD/3+5I=")</f>
        <v>#VALUE!</v>
      </c>
      <c r="ER284" t="e">
        <f>AND('PROG FORM COMPLEM'!M360,"AAAAAD/3+5M=")</f>
        <v>#VALUE!</v>
      </c>
      <c r="ES284" t="e">
        <f>AND('PROG FORM COMPLEM'!N360,"AAAAAD/3+5Q=")</f>
        <v>#VALUE!</v>
      </c>
      <c r="ET284" t="e">
        <f>AND('PROG FORM COMPLEM'!O360,"AAAAAD/3+5U=")</f>
        <v>#VALUE!</v>
      </c>
      <c r="EU284" t="e">
        <f>AND('PROG FORM COMPLEM'!P360,"AAAAAD/3+5Y=")</f>
        <v>#VALUE!</v>
      </c>
      <c r="EV284" t="e">
        <f>AND('PROG FORM COMPLEM'!Q360,"AAAAAD/3+5c=")</f>
        <v>#VALUE!</v>
      </c>
      <c r="EW284" t="e">
        <f>AND('PROG FORM COMPLEM'!R360,"AAAAAD/3+5g=")</f>
        <v>#VALUE!</v>
      </c>
      <c r="EX284" t="e">
        <f>AND('PROG FORM COMPLEM'!S360,"AAAAAD/3+5k=")</f>
        <v>#VALUE!</v>
      </c>
      <c r="EY284" t="e">
        <f>AND('PROG FORM COMPLEM'!T360,"AAAAAD/3+5o=")</f>
        <v>#VALUE!</v>
      </c>
      <c r="EZ284" t="e">
        <f>AND('PROG FORM COMPLEM'!U360,"AAAAAD/3+5s=")</f>
        <v>#VALUE!</v>
      </c>
      <c r="FA284" t="e">
        <f>AND('PROG FORM COMPLEM'!V360,"AAAAAD/3+5w=")</f>
        <v>#VALUE!</v>
      </c>
      <c r="FB284" t="e">
        <f>AND('PROG FORM COMPLEM'!W360,"AAAAAD/3+50=")</f>
        <v>#VALUE!</v>
      </c>
      <c r="FC284">
        <f>IF('PROG FORM COMPLEM'!361:361,"AAAAAD/3+54=",0)</f>
        <v>0</v>
      </c>
      <c r="FD284" t="e">
        <f>AND('PROG FORM COMPLEM'!B361,"AAAAAD/3+58=")</f>
        <v>#VALUE!</v>
      </c>
      <c r="FE284" t="e">
        <f>AND('PROG FORM COMPLEM'!C361,"AAAAAD/3+6A=")</f>
        <v>#VALUE!</v>
      </c>
      <c r="FF284" t="e">
        <f>AND('PROG FORM COMPLEM'!D361,"AAAAAD/3+6E=")</f>
        <v>#VALUE!</v>
      </c>
      <c r="FG284" t="e">
        <f>AND('PROG FORM COMPLEM'!E361,"AAAAAD/3+6I=")</f>
        <v>#VALUE!</v>
      </c>
      <c r="FH284" t="e">
        <f>AND('PROG FORM COMPLEM'!F361,"AAAAAD/3+6M=")</f>
        <v>#VALUE!</v>
      </c>
      <c r="FI284" t="e">
        <f>AND('PROG FORM COMPLEM'!G361,"AAAAAD/3+6Q=")</f>
        <v>#VALUE!</v>
      </c>
      <c r="FJ284" t="e">
        <f>AND('PROG FORM COMPLEM'!H361,"AAAAAD/3+6U=")</f>
        <v>#VALUE!</v>
      </c>
      <c r="FK284" t="e">
        <f>AND('PROG FORM COMPLEM'!I361,"AAAAAD/3+6Y=")</f>
        <v>#VALUE!</v>
      </c>
      <c r="FL284" t="e">
        <f>AND('PROG FORM COMPLEM'!J361,"AAAAAD/3+6c=")</f>
        <v>#VALUE!</v>
      </c>
      <c r="FM284" t="e">
        <f>AND('PROG FORM COMPLEM'!K361,"AAAAAD/3+6g=")</f>
        <v>#VALUE!</v>
      </c>
      <c r="FN284" t="e">
        <f>AND('PROG FORM COMPLEM'!L361,"AAAAAD/3+6k=")</f>
        <v>#VALUE!</v>
      </c>
      <c r="FO284" t="e">
        <f>AND('PROG FORM COMPLEM'!M361,"AAAAAD/3+6o=")</f>
        <v>#VALUE!</v>
      </c>
      <c r="FP284" t="e">
        <f>AND('PROG FORM COMPLEM'!N361,"AAAAAD/3+6s=")</f>
        <v>#VALUE!</v>
      </c>
      <c r="FQ284" t="e">
        <f>AND('PROG FORM COMPLEM'!O361,"AAAAAD/3+6w=")</f>
        <v>#VALUE!</v>
      </c>
      <c r="FR284" t="e">
        <f>AND('PROG FORM COMPLEM'!P361,"AAAAAD/3+60=")</f>
        <v>#VALUE!</v>
      </c>
      <c r="FS284" t="e">
        <f>AND('PROG FORM COMPLEM'!Q361,"AAAAAD/3+64=")</f>
        <v>#VALUE!</v>
      </c>
      <c r="FT284" t="e">
        <f>AND('PROG FORM COMPLEM'!R361,"AAAAAD/3+68=")</f>
        <v>#VALUE!</v>
      </c>
      <c r="FU284" t="e">
        <f>AND('PROG FORM COMPLEM'!S361,"AAAAAD/3+7A=")</f>
        <v>#VALUE!</v>
      </c>
      <c r="FV284" t="e">
        <f>AND('PROG FORM COMPLEM'!T361,"AAAAAD/3+7E=")</f>
        <v>#VALUE!</v>
      </c>
      <c r="FW284" t="e">
        <f>AND('PROG FORM COMPLEM'!U361,"AAAAAD/3+7I=")</f>
        <v>#VALUE!</v>
      </c>
      <c r="FX284" t="e">
        <f>AND('PROG FORM COMPLEM'!V361,"AAAAAD/3+7M=")</f>
        <v>#VALUE!</v>
      </c>
      <c r="FY284" t="e">
        <f>AND('PROG FORM COMPLEM'!W361,"AAAAAD/3+7Q=")</f>
        <v>#VALUE!</v>
      </c>
      <c r="FZ284">
        <f>IF('PROG FORM COMPLEM'!362:362,"AAAAAD/3+7U=",0)</f>
        <v>0</v>
      </c>
      <c r="GA284" t="e">
        <f>AND('PROG FORM COMPLEM'!B362,"AAAAAD/3+7Y=")</f>
        <v>#VALUE!</v>
      </c>
      <c r="GB284" t="e">
        <f>AND('PROG FORM COMPLEM'!C362,"AAAAAD/3+7c=")</f>
        <v>#VALUE!</v>
      </c>
      <c r="GC284" t="e">
        <f>AND('PROG FORM COMPLEM'!D362,"AAAAAD/3+7g=")</f>
        <v>#VALUE!</v>
      </c>
      <c r="GD284" t="e">
        <f>AND('PROG FORM COMPLEM'!E362,"AAAAAD/3+7k=")</f>
        <v>#VALUE!</v>
      </c>
      <c r="GE284" t="e">
        <f>AND('PROG FORM COMPLEM'!F362,"AAAAAD/3+7o=")</f>
        <v>#VALUE!</v>
      </c>
      <c r="GF284" t="e">
        <f>AND('PROG FORM COMPLEM'!G362,"AAAAAD/3+7s=")</f>
        <v>#VALUE!</v>
      </c>
      <c r="GG284" t="e">
        <f>AND('PROG FORM COMPLEM'!H362,"AAAAAD/3+7w=")</f>
        <v>#VALUE!</v>
      </c>
      <c r="GH284" t="e">
        <f>AND('PROG FORM COMPLEM'!I362,"AAAAAD/3+70=")</f>
        <v>#VALUE!</v>
      </c>
      <c r="GI284" t="e">
        <f>AND('PROG FORM COMPLEM'!J362,"AAAAAD/3+74=")</f>
        <v>#VALUE!</v>
      </c>
      <c r="GJ284" t="e">
        <f>AND('PROG FORM COMPLEM'!K362,"AAAAAD/3+78=")</f>
        <v>#VALUE!</v>
      </c>
      <c r="GK284" t="e">
        <f>AND('PROG FORM COMPLEM'!L362,"AAAAAD/3+8A=")</f>
        <v>#VALUE!</v>
      </c>
      <c r="GL284" t="e">
        <f>AND('PROG FORM COMPLEM'!M362,"AAAAAD/3+8E=")</f>
        <v>#VALUE!</v>
      </c>
      <c r="GM284" t="e">
        <f>AND('PROG FORM COMPLEM'!N362,"AAAAAD/3+8I=")</f>
        <v>#VALUE!</v>
      </c>
      <c r="GN284" t="e">
        <f>AND('PROG FORM COMPLEM'!O362,"AAAAAD/3+8M=")</f>
        <v>#VALUE!</v>
      </c>
      <c r="GO284" t="e">
        <f>AND('PROG FORM COMPLEM'!P362,"AAAAAD/3+8Q=")</f>
        <v>#VALUE!</v>
      </c>
      <c r="GP284" t="e">
        <f>AND('PROG FORM COMPLEM'!Q362,"AAAAAD/3+8U=")</f>
        <v>#VALUE!</v>
      </c>
      <c r="GQ284" t="e">
        <f>AND('PROG FORM COMPLEM'!R362,"AAAAAD/3+8Y=")</f>
        <v>#VALUE!</v>
      </c>
      <c r="GR284" t="e">
        <f>AND('PROG FORM COMPLEM'!S362,"AAAAAD/3+8c=")</f>
        <v>#VALUE!</v>
      </c>
      <c r="GS284" t="e">
        <f>AND('PROG FORM COMPLEM'!T362,"AAAAAD/3+8g=")</f>
        <v>#VALUE!</v>
      </c>
      <c r="GT284" t="e">
        <f>AND('PROG FORM COMPLEM'!U362,"AAAAAD/3+8k=")</f>
        <v>#VALUE!</v>
      </c>
      <c r="GU284" t="e">
        <f>AND('PROG FORM COMPLEM'!V362,"AAAAAD/3+8o=")</f>
        <v>#VALUE!</v>
      </c>
      <c r="GV284" t="e">
        <f>AND('PROG FORM COMPLEM'!W362,"AAAAAD/3+8s=")</f>
        <v>#VALUE!</v>
      </c>
      <c r="GW284">
        <f>IF('PROG FORM COMPLEM'!363:363,"AAAAAD/3+8w=",0)</f>
        <v>0</v>
      </c>
      <c r="GX284" t="e">
        <f>AND('PROG FORM COMPLEM'!B363,"AAAAAD/3+80=")</f>
        <v>#VALUE!</v>
      </c>
      <c r="GY284" t="e">
        <f>AND('PROG FORM COMPLEM'!C363,"AAAAAD/3+84=")</f>
        <v>#VALUE!</v>
      </c>
      <c r="GZ284" t="e">
        <f>AND('PROG FORM COMPLEM'!D363,"AAAAAD/3+88=")</f>
        <v>#VALUE!</v>
      </c>
      <c r="HA284" t="e">
        <f>AND('PROG FORM COMPLEM'!E363,"AAAAAD/3+9A=")</f>
        <v>#VALUE!</v>
      </c>
      <c r="HB284" t="e">
        <f>AND('PROG FORM COMPLEM'!F363,"AAAAAD/3+9E=")</f>
        <v>#VALUE!</v>
      </c>
      <c r="HC284" t="e">
        <f>AND('PROG FORM COMPLEM'!G363,"AAAAAD/3+9I=")</f>
        <v>#VALUE!</v>
      </c>
      <c r="HD284" t="e">
        <f>AND('PROG FORM COMPLEM'!H363,"AAAAAD/3+9M=")</f>
        <v>#VALUE!</v>
      </c>
      <c r="HE284" t="e">
        <f>AND('PROG FORM COMPLEM'!I363,"AAAAAD/3+9Q=")</f>
        <v>#VALUE!</v>
      </c>
      <c r="HF284" t="e">
        <f>AND('PROG FORM COMPLEM'!J363,"AAAAAD/3+9U=")</f>
        <v>#VALUE!</v>
      </c>
      <c r="HG284" t="e">
        <f>AND('PROG FORM COMPLEM'!K363,"AAAAAD/3+9Y=")</f>
        <v>#VALUE!</v>
      </c>
      <c r="HH284" t="e">
        <f>AND('PROG FORM COMPLEM'!L363,"AAAAAD/3+9c=")</f>
        <v>#VALUE!</v>
      </c>
      <c r="HI284" t="e">
        <f>AND('PROG FORM COMPLEM'!M363,"AAAAAD/3+9g=")</f>
        <v>#VALUE!</v>
      </c>
      <c r="HJ284" t="e">
        <f>AND('PROG FORM COMPLEM'!N363,"AAAAAD/3+9k=")</f>
        <v>#VALUE!</v>
      </c>
      <c r="HK284" t="e">
        <f>AND('PROG FORM COMPLEM'!O363,"AAAAAD/3+9o=")</f>
        <v>#VALUE!</v>
      </c>
      <c r="HL284" t="e">
        <f>AND('PROG FORM COMPLEM'!P363,"AAAAAD/3+9s=")</f>
        <v>#VALUE!</v>
      </c>
      <c r="HM284" t="e">
        <f>AND('PROG FORM COMPLEM'!Q363,"AAAAAD/3+9w=")</f>
        <v>#VALUE!</v>
      </c>
      <c r="HN284" t="e">
        <f>AND('PROG FORM COMPLEM'!R363,"AAAAAD/3+90=")</f>
        <v>#VALUE!</v>
      </c>
      <c r="HO284" t="e">
        <f>AND('PROG FORM COMPLEM'!S363,"AAAAAD/3+94=")</f>
        <v>#VALUE!</v>
      </c>
      <c r="HP284" t="e">
        <f>AND('PROG FORM COMPLEM'!T363,"AAAAAD/3+98=")</f>
        <v>#VALUE!</v>
      </c>
      <c r="HQ284" t="e">
        <f>AND('PROG FORM COMPLEM'!U363,"AAAAAD/3++A=")</f>
        <v>#VALUE!</v>
      </c>
      <c r="HR284" t="e">
        <f>AND('PROG FORM COMPLEM'!V363,"AAAAAD/3++E=")</f>
        <v>#VALUE!</v>
      </c>
      <c r="HS284" t="e">
        <f>AND('PROG FORM COMPLEM'!W363,"AAAAAD/3++I=")</f>
        <v>#VALUE!</v>
      </c>
      <c r="HT284">
        <f>IF('PROG FORM COMPLEM'!364:364,"AAAAAD/3++M=",0)</f>
        <v>0</v>
      </c>
      <c r="HU284" t="e">
        <f>AND('PROG FORM COMPLEM'!B364,"AAAAAD/3++Q=")</f>
        <v>#VALUE!</v>
      </c>
      <c r="HV284" t="e">
        <f>AND('PROG FORM COMPLEM'!C364,"AAAAAD/3++U=")</f>
        <v>#VALUE!</v>
      </c>
      <c r="HW284" t="e">
        <f>AND('PROG FORM COMPLEM'!D364,"AAAAAD/3++Y=")</f>
        <v>#VALUE!</v>
      </c>
      <c r="HX284" t="e">
        <f>AND('PROG FORM COMPLEM'!E364,"AAAAAD/3++c=")</f>
        <v>#VALUE!</v>
      </c>
      <c r="HY284" t="e">
        <f>AND('PROG FORM COMPLEM'!F364,"AAAAAD/3++g=")</f>
        <v>#VALUE!</v>
      </c>
      <c r="HZ284" t="e">
        <f>AND('PROG FORM COMPLEM'!G364,"AAAAAD/3++k=")</f>
        <v>#VALUE!</v>
      </c>
      <c r="IA284" t="e">
        <f>AND('PROG FORM COMPLEM'!H364,"AAAAAD/3++o=")</f>
        <v>#VALUE!</v>
      </c>
      <c r="IB284" t="e">
        <f>AND('PROG FORM COMPLEM'!I364,"AAAAAD/3++s=")</f>
        <v>#VALUE!</v>
      </c>
      <c r="IC284" t="e">
        <f>AND('PROG FORM COMPLEM'!J364,"AAAAAD/3++w=")</f>
        <v>#VALUE!</v>
      </c>
      <c r="ID284" t="e">
        <f>AND('PROG FORM COMPLEM'!K364,"AAAAAD/3++0=")</f>
        <v>#VALUE!</v>
      </c>
      <c r="IE284" t="e">
        <f>AND('PROG FORM COMPLEM'!L364,"AAAAAD/3++4=")</f>
        <v>#VALUE!</v>
      </c>
      <c r="IF284" t="e">
        <f>AND('PROG FORM COMPLEM'!M364,"AAAAAD/3++8=")</f>
        <v>#VALUE!</v>
      </c>
      <c r="IG284" t="e">
        <f>AND('PROG FORM COMPLEM'!N364,"AAAAAD/3+/A=")</f>
        <v>#VALUE!</v>
      </c>
      <c r="IH284" t="e">
        <f>AND('PROG FORM COMPLEM'!O364,"AAAAAD/3+/E=")</f>
        <v>#VALUE!</v>
      </c>
      <c r="II284" t="e">
        <f>AND('PROG FORM COMPLEM'!P364,"AAAAAD/3+/I=")</f>
        <v>#VALUE!</v>
      </c>
      <c r="IJ284" t="e">
        <f>AND('PROG FORM COMPLEM'!Q364,"AAAAAD/3+/M=")</f>
        <v>#VALUE!</v>
      </c>
      <c r="IK284" t="e">
        <f>AND('PROG FORM COMPLEM'!R364,"AAAAAD/3+/Q=")</f>
        <v>#VALUE!</v>
      </c>
      <c r="IL284" t="e">
        <f>AND('PROG FORM COMPLEM'!S364,"AAAAAD/3+/U=")</f>
        <v>#VALUE!</v>
      </c>
      <c r="IM284" t="e">
        <f>AND('PROG FORM COMPLEM'!T364,"AAAAAD/3+/Y=")</f>
        <v>#VALUE!</v>
      </c>
      <c r="IN284" t="e">
        <f>AND('PROG FORM COMPLEM'!U364,"AAAAAD/3+/c=")</f>
        <v>#VALUE!</v>
      </c>
      <c r="IO284" t="e">
        <f>AND('PROG FORM COMPLEM'!V364,"AAAAAD/3+/g=")</f>
        <v>#VALUE!</v>
      </c>
      <c r="IP284" t="e">
        <f>AND('PROG FORM COMPLEM'!W364,"AAAAAD/3+/k=")</f>
        <v>#VALUE!</v>
      </c>
      <c r="IQ284">
        <f>IF('PROG FORM COMPLEM'!365:365,"AAAAAD/3+/o=",0)</f>
        <v>0</v>
      </c>
      <c r="IR284" t="e">
        <f>AND('PROG FORM COMPLEM'!B365,"AAAAAD/3+/s=")</f>
        <v>#VALUE!</v>
      </c>
      <c r="IS284" t="e">
        <f>AND('PROG FORM COMPLEM'!C365,"AAAAAD/3+/w=")</f>
        <v>#VALUE!</v>
      </c>
      <c r="IT284" t="e">
        <f>AND('PROG FORM COMPLEM'!D365,"AAAAAD/3+/0=")</f>
        <v>#VALUE!</v>
      </c>
      <c r="IU284" t="e">
        <f>AND('PROG FORM COMPLEM'!E365,"AAAAAD/3+/4=")</f>
        <v>#VALUE!</v>
      </c>
      <c r="IV284" t="e">
        <f>AND('PROG FORM COMPLEM'!F365,"AAAAAD/3+/8=")</f>
        <v>#VALUE!</v>
      </c>
    </row>
    <row r="285" spans="1:256" x14ac:dyDescent="0.2">
      <c r="A285" t="e">
        <f>AND('PROG FORM COMPLEM'!G365,"AAAAAFvv+gA=")</f>
        <v>#VALUE!</v>
      </c>
      <c r="B285" t="e">
        <f>AND('PROG FORM COMPLEM'!H365,"AAAAAFvv+gE=")</f>
        <v>#VALUE!</v>
      </c>
      <c r="C285" t="e">
        <f>AND('PROG FORM COMPLEM'!I365,"AAAAAFvv+gI=")</f>
        <v>#VALUE!</v>
      </c>
      <c r="D285" t="e">
        <f>AND('PROG FORM COMPLEM'!J365,"AAAAAFvv+gM=")</f>
        <v>#VALUE!</v>
      </c>
      <c r="E285" t="e">
        <f>AND('PROG FORM COMPLEM'!K365,"AAAAAFvv+gQ=")</f>
        <v>#VALUE!</v>
      </c>
      <c r="F285" t="e">
        <f>AND('PROG FORM COMPLEM'!L365,"AAAAAFvv+gU=")</f>
        <v>#VALUE!</v>
      </c>
      <c r="G285" t="e">
        <f>AND('PROG FORM COMPLEM'!M365,"AAAAAFvv+gY=")</f>
        <v>#VALUE!</v>
      </c>
      <c r="H285" t="e">
        <f>AND('PROG FORM COMPLEM'!N365,"AAAAAFvv+gc=")</f>
        <v>#VALUE!</v>
      </c>
      <c r="I285" t="e">
        <f>AND('PROG FORM COMPLEM'!O365,"AAAAAFvv+gg=")</f>
        <v>#VALUE!</v>
      </c>
      <c r="J285" t="e">
        <f>AND('PROG FORM COMPLEM'!P365,"AAAAAFvv+gk=")</f>
        <v>#VALUE!</v>
      </c>
      <c r="K285" t="e">
        <f>AND('PROG FORM COMPLEM'!Q365,"AAAAAFvv+go=")</f>
        <v>#VALUE!</v>
      </c>
      <c r="L285" t="e">
        <f>AND('PROG FORM COMPLEM'!R365,"AAAAAFvv+gs=")</f>
        <v>#VALUE!</v>
      </c>
      <c r="M285" t="e">
        <f>AND('PROG FORM COMPLEM'!S365,"AAAAAFvv+gw=")</f>
        <v>#VALUE!</v>
      </c>
      <c r="N285" t="e">
        <f>AND('PROG FORM COMPLEM'!T365,"AAAAAFvv+g0=")</f>
        <v>#VALUE!</v>
      </c>
      <c r="O285" t="e">
        <f>AND('PROG FORM COMPLEM'!U365,"AAAAAFvv+g4=")</f>
        <v>#VALUE!</v>
      </c>
      <c r="P285" t="e">
        <f>AND('PROG FORM COMPLEM'!V365,"AAAAAFvv+g8=")</f>
        <v>#VALUE!</v>
      </c>
      <c r="Q285" t="e">
        <f>AND('PROG FORM COMPLEM'!W365,"AAAAAFvv+hA=")</f>
        <v>#VALUE!</v>
      </c>
      <c r="R285">
        <f>IF('PROG FORM COMPLEM'!366:366,"AAAAAFvv+hE=",0)</f>
        <v>0</v>
      </c>
      <c r="S285" t="e">
        <f>AND('PROG FORM COMPLEM'!B366,"AAAAAFvv+hI=")</f>
        <v>#VALUE!</v>
      </c>
      <c r="T285" t="e">
        <f>AND('PROG FORM COMPLEM'!C366,"AAAAAFvv+hM=")</f>
        <v>#VALUE!</v>
      </c>
      <c r="U285" t="e">
        <f>AND('PROG FORM COMPLEM'!D366,"AAAAAFvv+hQ=")</f>
        <v>#VALUE!</v>
      </c>
      <c r="V285" t="e">
        <f>AND('PROG FORM COMPLEM'!E366,"AAAAAFvv+hU=")</f>
        <v>#VALUE!</v>
      </c>
      <c r="W285" t="e">
        <f>AND('PROG FORM COMPLEM'!F366,"AAAAAFvv+hY=")</f>
        <v>#VALUE!</v>
      </c>
      <c r="X285" t="e">
        <f>AND('PROG FORM COMPLEM'!G366,"AAAAAFvv+hc=")</f>
        <v>#VALUE!</v>
      </c>
      <c r="Y285" t="e">
        <f>AND('PROG FORM COMPLEM'!H366,"AAAAAFvv+hg=")</f>
        <v>#VALUE!</v>
      </c>
      <c r="Z285" t="e">
        <f>AND('PROG FORM COMPLEM'!I366,"AAAAAFvv+hk=")</f>
        <v>#VALUE!</v>
      </c>
      <c r="AA285" t="e">
        <f>AND('PROG FORM COMPLEM'!J366,"AAAAAFvv+ho=")</f>
        <v>#VALUE!</v>
      </c>
      <c r="AB285" t="e">
        <f>AND('PROG FORM COMPLEM'!K366,"AAAAAFvv+hs=")</f>
        <v>#VALUE!</v>
      </c>
      <c r="AC285" t="e">
        <f>AND('PROG FORM COMPLEM'!L366,"AAAAAFvv+hw=")</f>
        <v>#VALUE!</v>
      </c>
      <c r="AD285" t="e">
        <f>AND('PROG FORM COMPLEM'!M366,"AAAAAFvv+h0=")</f>
        <v>#VALUE!</v>
      </c>
      <c r="AE285" t="e">
        <f>AND('PROG FORM COMPLEM'!N366,"AAAAAFvv+h4=")</f>
        <v>#VALUE!</v>
      </c>
      <c r="AF285" t="e">
        <f>AND('PROG FORM COMPLEM'!O366,"AAAAAFvv+h8=")</f>
        <v>#VALUE!</v>
      </c>
      <c r="AG285" t="e">
        <f>AND('PROG FORM COMPLEM'!P366,"AAAAAFvv+iA=")</f>
        <v>#VALUE!</v>
      </c>
      <c r="AH285" t="e">
        <f>AND('PROG FORM COMPLEM'!Q366,"AAAAAFvv+iE=")</f>
        <v>#VALUE!</v>
      </c>
      <c r="AI285" t="e">
        <f>AND('PROG FORM COMPLEM'!R366,"AAAAAFvv+iI=")</f>
        <v>#VALUE!</v>
      </c>
      <c r="AJ285" t="e">
        <f>AND('PROG FORM COMPLEM'!S366,"AAAAAFvv+iM=")</f>
        <v>#VALUE!</v>
      </c>
      <c r="AK285" t="e">
        <f>AND('PROG FORM COMPLEM'!T366,"AAAAAFvv+iQ=")</f>
        <v>#VALUE!</v>
      </c>
      <c r="AL285" t="e">
        <f>AND('PROG FORM COMPLEM'!U366,"AAAAAFvv+iU=")</f>
        <v>#VALUE!</v>
      </c>
      <c r="AM285" t="e">
        <f>AND('PROG FORM COMPLEM'!V366,"AAAAAFvv+iY=")</f>
        <v>#VALUE!</v>
      </c>
      <c r="AN285" t="e">
        <f>AND('PROG FORM COMPLEM'!W366,"AAAAAFvv+ic=")</f>
        <v>#VALUE!</v>
      </c>
      <c r="AO285">
        <f>IF('PROG FORM COMPLEM'!367:367,"AAAAAFvv+ig=",0)</f>
        <v>0</v>
      </c>
      <c r="AP285" t="e">
        <f>AND('PROG FORM COMPLEM'!B367,"AAAAAFvv+ik=")</f>
        <v>#VALUE!</v>
      </c>
      <c r="AQ285" t="e">
        <f>AND('PROG FORM COMPLEM'!C367,"AAAAAFvv+io=")</f>
        <v>#VALUE!</v>
      </c>
      <c r="AR285" t="e">
        <f>AND('PROG FORM COMPLEM'!D367,"AAAAAFvv+is=")</f>
        <v>#VALUE!</v>
      </c>
      <c r="AS285" t="e">
        <f>AND('PROG FORM COMPLEM'!E367,"AAAAAFvv+iw=")</f>
        <v>#VALUE!</v>
      </c>
      <c r="AT285" t="e">
        <f>AND('PROG FORM COMPLEM'!F367,"AAAAAFvv+i0=")</f>
        <v>#VALUE!</v>
      </c>
      <c r="AU285" t="e">
        <f>AND('PROG FORM COMPLEM'!G367,"AAAAAFvv+i4=")</f>
        <v>#VALUE!</v>
      </c>
      <c r="AV285" t="e">
        <f>AND('PROG FORM COMPLEM'!H367,"AAAAAFvv+i8=")</f>
        <v>#VALUE!</v>
      </c>
      <c r="AW285" t="e">
        <f>AND('PROG FORM COMPLEM'!I367,"AAAAAFvv+jA=")</f>
        <v>#VALUE!</v>
      </c>
      <c r="AX285" t="e">
        <f>AND('PROG FORM COMPLEM'!J367,"AAAAAFvv+jE=")</f>
        <v>#VALUE!</v>
      </c>
      <c r="AY285" t="e">
        <f>AND('PROG FORM COMPLEM'!K367,"AAAAAFvv+jI=")</f>
        <v>#VALUE!</v>
      </c>
      <c r="AZ285" t="e">
        <f>AND('PROG FORM COMPLEM'!L367,"AAAAAFvv+jM=")</f>
        <v>#VALUE!</v>
      </c>
      <c r="BA285" t="e">
        <f>AND('PROG FORM COMPLEM'!M367,"AAAAAFvv+jQ=")</f>
        <v>#VALUE!</v>
      </c>
      <c r="BB285" t="e">
        <f>AND('PROG FORM COMPLEM'!N367,"AAAAAFvv+jU=")</f>
        <v>#VALUE!</v>
      </c>
      <c r="BC285" t="e">
        <f>AND('PROG FORM COMPLEM'!O367,"AAAAAFvv+jY=")</f>
        <v>#VALUE!</v>
      </c>
      <c r="BD285" t="e">
        <f>AND('PROG FORM COMPLEM'!P367,"AAAAAFvv+jc=")</f>
        <v>#VALUE!</v>
      </c>
      <c r="BE285" t="e">
        <f>AND('PROG FORM COMPLEM'!Q367,"AAAAAFvv+jg=")</f>
        <v>#VALUE!</v>
      </c>
      <c r="BF285" t="e">
        <f>AND('PROG FORM COMPLEM'!R367,"AAAAAFvv+jk=")</f>
        <v>#VALUE!</v>
      </c>
      <c r="BG285" t="e">
        <f>AND('PROG FORM COMPLEM'!S367,"AAAAAFvv+jo=")</f>
        <v>#VALUE!</v>
      </c>
      <c r="BH285" t="e">
        <f>AND('PROG FORM COMPLEM'!T367,"AAAAAFvv+js=")</f>
        <v>#VALUE!</v>
      </c>
      <c r="BI285" t="e">
        <f>AND('PROG FORM COMPLEM'!U367,"AAAAAFvv+jw=")</f>
        <v>#VALUE!</v>
      </c>
      <c r="BJ285" t="e">
        <f>AND('PROG FORM COMPLEM'!V367,"AAAAAFvv+j0=")</f>
        <v>#VALUE!</v>
      </c>
      <c r="BK285" t="e">
        <f>AND('PROG FORM COMPLEM'!W367,"AAAAAFvv+j4=")</f>
        <v>#VALUE!</v>
      </c>
      <c r="BL285">
        <f>IF('PROG FORM COMPLEM'!368:368,"AAAAAFvv+j8=",0)</f>
        <v>0</v>
      </c>
      <c r="BM285" t="e">
        <f>AND('PROG FORM COMPLEM'!B368,"AAAAAFvv+kA=")</f>
        <v>#VALUE!</v>
      </c>
      <c r="BN285" t="e">
        <f>AND('PROG FORM COMPLEM'!C368,"AAAAAFvv+kE=")</f>
        <v>#VALUE!</v>
      </c>
      <c r="BO285" t="e">
        <f>AND('PROG FORM COMPLEM'!D368,"AAAAAFvv+kI=")</f>
        <v>#VALUE!</v>
      </c>
      <c r="BP285" t="e">
        <f>AND('PROG FORM COMPLEM'!E368,"AAAAAFvv+kM=")</f>
        <v>#VALUE!</v>
      </c>
      <c r="BQ285" t="e">
        <f>AND('PROG FORM COMPLEM'!F368,"AAAAAFvv+kQ=")</f>
        <v>#VALUE!</v>
      </c>
      <c r="BR285" t="e">
        <f>AND('PROG FORM COMPLEM'!G368,"AAAAAFvv+kU=")</f>
        <v>#VALUE!</v>
      </c>
      <c r="BS285" t="e">
        <f>AND('PROG FORM COMPLEM'!H368,"AAAAAFvv+kY=")</f>
        <v>#VALUE!</v>
      </c>
      <c r="BT285" t="e">
        <f>AND('PROG FORM COMPLEM'!I368,"AAAAAFvv+kc=")</f>
        <v>#VALUE!</v>
      </c>
      <c r="BU285" t="e">
        <f>AND('PROG FORM COMPLEM'!J368,"AAAAAFvv+kg=")</f>
        <v>#VALUE!</v>
      </c>
      <c r="BV285" t="e">
        <f>AND('PROG FORM COMPLEM'!K368,"AAAAAFvv+kk=")</f>
        <v>#VALUE!</v>
      </c>
      <c r="BW285" t="e">
        <f>AND('PROG FORM COMPLEM'!L368,"AAAAAFvv+ko=")</f>
        <v>#VALUE!</v>
      </c>
      <c r="BX285" t="e">
        <f>AND('PROG FORM COMPLEM'!M368,"AAAAAFvv+ks=")</f>
        <v>#VALUE!</v>
      </c>
      <c r="BY285" t="e">
        <f>AND('PROG FORM COMPLEM'!N368,"AAAAAFvv+kw=")</f>
        <v>#VALUE!</v>
      </c>
      <c r="BZ285" t="e">
        <f>AND('PROG FORM COMPLEM'!O368,"AAAAAFvv+k0=")</f>
        <v>#VALUE!</v>
      </c>
      <c r="CA285" t="e">
        <f>AND('PROG FORM COMPLEM'!P368,"AAAAAFvv+k4=")</f>
        <v>#VALUE!</v>
      </c>
      <c r="CB285" t="e">
        <f>AND('PROG FORM COMPLEM'!Q368,"AAAAAFvv+k8=")</f>
        <v>#VALUE!</v>
      </c>
      <c r="CC285" t="e">
        <f>AND('PROG FORM COMPLEM'!R368,"AAAAAFvv+lA=")</f>
        <v>#VALUE!</v>
      </c>
      <c r="CD285" t="e">
        <f>AND('PROG FORM COMPLEM'!S368,"AAAAAFvv+lE=")</f>
        <v>#VALUE!</v>
      </c>
      <c r="CE285" t="e">
        <f>AND('PROG FORM COMPLEM'!T368,"AAAAAFvv+lI=")</f>
        <v>#VALUE!</v>
      </c>
      <c r="CF285" t="e">
        <f>AND('PROG FORM COMPLEM'!U368,"AAAAAFvv+lM=")</f>
        <v>#VALUE!</v>
      </c>
      <c r="CG285" t="e">
        <f>AND('PROG FORM COMPLEM'!V368,"AAAAAFvv+lQ=")</f>
        <v>#VALUE!</v>
      </c>
      <c r="CH285" t="e">
        <f>AND('PROG FORM COMPLEM'!W368,"AAAAAFvv+lU=")</f>
        <v>#VALUE!</v>
      </c>
      <c r="CI285">
        <f>IF('PROG FORM COMPLEM'!369:369,"AAAAAFvv+lY=",0)</f>
        <v>0</v>
      </c>
      <c r="CJ285" t="e">
        <f>AND('PROG FORM COMPLEM'!B369,"AAAAAFvv+lc=")</f>
        <v>#VALUE!</v>
      </c>
      <c r="CK285" t="e">
        <f>AND('PROG FORM COMPLEM'!C369,"AAAAAFvv+lg=")</f>
        <v>#VALUE!</v>
      </c>
      <c r="CL285" t="e">
        <f>AND('PROG FORM COMPLEM'!D369,"AAAAAFvv+lk=")</f>
        <v>#VALUE!</v>
      </c>
      <c r="CM285" t="e">
        <f>AND('PROG FORM COMPLEM'!E369,"AAAAAFvv+lo=")</f>
        <v>#VALUE!</v>
      </c>
      <c r="CN285" t="e">
        <f>AND('PROG FORM COMPLEM'!F369,"AAAAAFvv+ls=")</f>
        <v>#VALUE!</v>
      </c>
      <c r="CO285" t="e">
        <f>AND('PROG FORM COMPLEM'!G369,"AAAAAFvv+lw=")</f>
        <v>#VALUE!</v>
      </c>
      <c r="CP285" t="e">
        <f>AND('PROG FORM COMPLEM'!H369,"AAAAAFvv+l0=")</f>
        <v>#VALUE!</v>
      </c>
      <c r="CQ285" t="e">
        <f>AND('PROG FORM COMPLEM'!I369,"AAAAAFvv+l4=")</f>
        <v>#VALUE!</v>
      </c>
      <c r="CR285" t="e">
        <f>AND('PROG FORM COMPLEM'!J369,"AAAAAFvv+l8=")</f>
        <v>#VALUE!</v>
      </c>
      <c r="CS285" t="e">
        <f>AND('PROG FORM COMPLEM'!K369,"AAAAAFvv+mA=")</f>
        <v>#VALUE!</v>
      </c>
      <c r="CT285" t="e">
        <f>AND('PROG FORM COMPLEM'!L369,"AAAAAFvv+mE=")</f>
        <v>#VALUE!</v>
      </c>
      <c r="CU285" t="e">
        <f>AND('PROG FORM COMPLEM'!M369,"AAAAAFvv+mI=")</f>
        <v>#VALUE!</v>
      </c>
      <c r="CV285" t="e">
        <f>AND('PROG FORM COMPLEM'!N369,"AAAAAFvv+mM=")</f>
        <v>#VALUE!</v>
      </c>
      <c r="CW285" t="e">
        <f>AND('PROG FORM COMPLEM'!O369,"AAAAAFvv+mQ=")</f>
        <v>#VALUE!</v>
      </c>
      <c r="CX285" t="e">
        <f>AND('PROG FORM COMPLEM'!P369,"AAAAAFvv+mU=")</f>
        <v>#VALUE!</v>
      </c>
      <c r="CY285" t="e">
        <f>AND('PROG FORM COMPLEM'!Q369,"AAAAAFvv+mY=")</f>
        <v>#VALUE!</v>
      </c>
      <c r="CZ285" t="e">
        <f>AND('PROG FORM COMPLEM'!R369,"AAAAAFvv+mc=")</f>
        <v>#VALUE!</v>
      </c>
      <c r="DA285" t="e">
        <f>AND('PROG FORM COMPLEM'!S369,"AAAAAFvv+mg=")</f>
        <v>#VALUE!</v>
      </c>
      <c r="DB285" t="e">
        <f>AND('PROG FORM COMPLEM'!T369,"AAAAAFvv+mk=")</f>
        <v>#VALUE!</v>
      </c>
      <c r="DC285" t="e">
        <f>AND('PROG FORM COMPLEM'!U369,"AAAAAFvv+mo=")</f>
        <v>#VALUE!</v>
      </c>
      <c r="DD285" t="e">
        <f>AND('PROG FORM COMPLEM'!V369,"AAAAAFvv+ms=")</f>
        <v>#VALUE!</v>
      </c>
      <c r="DE285" t="e">
        <f>AND('PROG FORM COMPLEM'!W369,"AAAAAFvv+mw=")</f>
        <v>#VALUE!</v>
      </c>
      <c r="DF285">
        <f>IF('PROG FORM COMPLEM'!370:370,"AAAAAFvv+m0=",0)</f>
        <v>0</v>
      </c>
      <c r="DG285" t="e">
        <f>AND('PROG FORM COMPLEM'!B370,"AAAAAFvv+m4=")</f>
        <v>#VALUE!</v>
      </c>
      <c r="DH285" t="e">
        <f>AND('PROG FORM COMPLEM'!C370,"AAAAAFvv+m8=")</f>
        <v>#VALUE!</v>
      </c>
      <c r="DI285" t="e">
        <f>AND('PROG FORM COMPLEM'!D370,"AAAAAFvv+nA=")</f>
        <v>#VALUE!</v>
      </c>
      <c r="DJ285" t="e">
        <f>AND('PROG FORM COMPLEM'!E370,"AAAAAFvv+nE=")</f>
        <v>#VALUE!</v>
      </c>
      <c r="DK285" t="e">
        <f>AND('PROG FORM COMPLEM'!F370,"AAAAAFvv+nI=")</f>
        <v>#VALUE!</v>
      </c>
      <c r="DL285" t="e">
        <f>AND('PROG FORM COMPLEM'!G370,"AAAAAFvv+nM=")</f>
        <v>#VALUE!</v>
      </c>
      <c r="DM285" t="e">
        <f>AND('PROG FORM COMPLEM'!H370,"AAAAAFvv+nQ=")</f>
        <v>#VALUE!</v>
      </c>
      <c r="DN285" t="e">
        <f>AND('PROG FORM COMPLEM'!I370,"AAAAAFvv+nU=")</f>
        <v>#VALUE!</v>
      </c>
      <c r="DO285" t="e">
        <f>AND('PROG FORM COMPLEM'!J370,"AAAAAFvv+nY=")</f>
        <v>#VALUE!</v>
      </c>
      <c r="DP285" t="e">
        <f>AND('PROG FORM COMPLEM'!K370,"AAAAAFvv+nc=")</f>
        <v>#VALUE!</v>
      </c>
      <c r="DQ285" t="e">
        <f>AND('PROG FORM COMPLEM'!L370,"AAAAAFvv+ng=")</f>
        <v>#VALUE!</v>
      </c>
      <c r="DR285" t="e">
        <f>AND('PROG FORM COMPLEM'!M370,"AAAAAFvv+nk=")</f>
        <v>#VALUE!</v>
      </c>
      <c r="DS285" t="e">
        <f>AND('PROG FORM COMPLEM'!N370,"AAAAAFvv+no=")</f>
        <v>#VALUE!</v>
      </c>
      <c r="DT285" t="e">
        <f>AND('PROG FORM COMPLEM'!O370,"AAAAAFvv+ns=")</f>
        <v>#VALUE!</v>
      </c>
      <c r="DU285" t="e">
        <f>AND('PROG FORM COMPLEM'!P370,"AAAAAFvv+nw=")</f>
        <v>#VALUE!</v>
      </c>
      <c r="DV285" t="e">
        <f>AND('PROG FORM COMPLEM'!Q370,"AAAAAFvv+n0=")</f>
        <v>#VALUE!</v>
      </c>
      <c r="DW285" t="e">
        <f>AND('PROG FORM COMPLEM'!R370,"AAAAAFvv+n4=")</f>
        <v>#VALUE!</v>
      </c>
      <c r="DX285" t="e">
        <f>AND('PROG FORM COMPLEM'!S370,"AAAAAFvv+n8=")</f>
        <v>#VALUE!</v>
      </c>
      <c r="DY285" t="e">
        <f>AND('PROG FORM COMPLEM'!T370,"AAAAAFvv+oA=")</f>
        <v>#VALUE!</v>
      </c>
      <c r="DZ285" t="e">
        <f>AND('PROG FORM COMPLEM'!U370,"AAAAAFvv+oE=")</f>
        <v>#VALUE!</v>
      </c>
      <c r="EA285" t="e">
        <f>AND('PROG FORM COMPLEM'!V370,"AAAAAFvv+oI=")</f>
        <v>#VALUE!</v>
      </c>
      <c r="EB285" t="e">
        <f>AND('PROG FORM COMPLEM'!W370,"AAAAAFvv+oM=")</f>
        <v>#VALUE!</v>
      </c>
      <c r="EC285">
        <f>IF('PROG FORM COMPLEM'!371:371,"AAAAAFvv+oQ=",0)</f>
        <v>0</v>
      </c>
      <c r="ED285" t="e">
        <f>AND('PROG FORM COMPLEM'!B371,"AAAAAFvv+oU=")</f>
        <v>#VALUE!</v>
      </c>
      <c r="EE285" t="e">
        <f>AND('PROG FORM COMPLEM'!C371,"AAAAAFvv+oY=")</f>
        <v>#VALUE!</v>
      </c>
      <c r="EF285" t="e">
        <f>AND('PROG FORM COMPLEM'!D371,"AAAAAFvv+oc=")</f>
        <v>#VALUE!</v>
      </c>
      <c r="EG285" t="e">
        <f>AND('PROG FORM COMPLEM'!E371,"AAAAAFvv+og=")</f>
        <v>#VALUE!</v>
      </c>
      <c r="EH285" t="e">
        <f>AND('PROG FORM COMPLEM'!F371,"AAAAAFvv+ok=")</f>
        <v>#VALUE!</v>
      </c>
      <c r="EI285" t="e">
        <f>AND('PROG FORM COMPLEM'!G371,"AAAAAFvv+oo=")</f>
        <v>#VALUE!</v>
      </c>
      <c r="EJ285" t="e">
        <f>AND('PROG FORM COMPLEM'!H371,"AAAAAFvv+os=")</f>
        <v>#VALUE!</v>
      </c>
      <c r="EK285" t="e">
        <f>AND('PROG FORM COMPLEM'!I371,"AAAAAFvv+ow=")</f>
        <v>#VALUE!</v>
      </c>
      <c r="EL285" t="e">
        <f>AND('PROG FORM COMPLEM'!J371,"AAAAAFvv+o0=")</f>
        <v>#VALUE!</v>
      </c>
      <c r="EM285" t="e">
        <f>AND('PROG FORM COMPLEM'!K371,"AAAAAFvv+o4=")</f>
        <v>#VALUE!</v>
      </c>
      <c r="EN285" t="e">
        <f>AND('PROG FORM COMPLEM'!L371,"AAAAAFvv+o8=")</f>
        <v>#VALUE!</v>
      </c>
      <c r="EO285" t="e">
        <f>AND('PROG FORM COMPLEM'!M371,"AAAAAFvv+pA=")</f>
        <v>#VALUE!</v>
      </c>
      <c r="EP285" t="e">
        <f>AND('PROG FORM COMPLEM'!N371,"AAAAAFvv+pE=")</f>
        <v>#VALUE!</v>
      </c>
      <c r="EQ285" t="e">
        <f>AND('PROG FORM COMPLEM'!O371,"AAAAAFvv+pI=")</f>
        <v>#VALUE!</v>
      </c>
      <c r="ER285" t="e">
        <f>AND('PROG FORM COMPLEM'!P371,"AAAAAFvv+pM=")</f>
        <v>#VALUE!</v>
      </c>
      <c r="ES285" t="e">
        <f>AND('PROG FORM COMPLEM'!Q371,"AAAAAFvv+pQ=")</f>
        <v>#VALUE!</v>
      </c>
      <c r="ET285" t="e">
        <f>AND('PROG FORM COMPLEM'!R371,"AAAAAFvv+pU=")</f>
        <v>#VALUE!</v>
      </c>
      <c r="EU285" t="e">
        <f>AND('PROG FORM COMPLEM'!S371,"AAAAAFvv+pY=")</f>
        <v>#VALUE!</v>
      </c>
      <c r="EV285" t="e">
        <f>AND('PROG FORM COMPLEM'!T371,"AAAAAFvv+pc=")</f>
        <v>#VALUE!</v>
      </c>
      <c r="EW285" t="e">
        <f>AND('PROG FORM COMPLEM'!U371,"AAAAAFvv+pg=")</f>
        <v>#VALUE!</v>
      </c>
      <c r="EX285" t="e">
        <f>AND('PROG FORM COMPLEM'!V371,"AAAAAFvv+pk=")</f>
        <v>#VALUE!</v>
      </c>
      <c r="EY285" t="e">
        <f>AND('PROG FORM COMPLEM'!W371,"AAAAAFvv+po=")</f>
        <v>#VALUE!</v>
      </c>
      <c r="EZ285">
        <f>IF('PROG FORM COMPLEM'!372:372,"AAAAAFvv+ps=",0)</f>
        <v>0</v>
      </c>
      <c r="FA285" t="e">
        <f>AND('PROG FORM COMPLEM'!B372,"AAAAAFvv+pw=")</f>
        <v>#VALUE!</v>
      </c>
      <c r="FB285" t="e">
        <f>AND('PROG FORM COMPLEM'!C372,"AAAAAFvv+p0=")</f>
        <v>#VALUE!</v>
      </c>
      <c r="FC285" t="e">
        <f>AND('PROG FORM COMPLEM'!D372,"AAAAAFvv+p4=")</f>
        <v>#VALUE!</v>
      </c>
      <c r="FD285" t="e">
        <f>AND('PROG FORM COMPLEM'!E372,"AAAAAFvv+p8=")</f>
        <v>#VALUE!</v>
      </c>
      <c r="FE285" t="e">
        <f>AND('PROG FORM COMPLEM'!F372,"AAAAAFvv+qA=")</f>
        <v>#VALUE!</v>
      </c>
      <c r="FF285" t="e">
        <f>AND('PROG FORM COMPLEM'!G372,"AAAAAFvv+qE=")</f>
        <v>#VALUE!</v>
      </c>
      <c r="FG285" t="e">
        <f>AND('PROG FORM COMPLEM'!H372,"AAAAAFvv+qI=")</f>
        <v>#VALUE!</v>
      </c>
      <c r="FH285" t="e">
        <f>AND('PROG FORM COMPLEM'!I372,"AAAAAFvv+qM=")</f>
        <v>#VALUE!</v>
      </c>
      <c r="FI285" t="e">
        <f>AND('PROG FORM COMPLEM'!J372,"AAAAAFvv+qQ=")</f>
        <v>#VALUE!</v>
      </c>
      <c r="FJ285" t="e">
        <f>AND('PROG FORM COMPLEM'!K372,"AAAAAFvv+qU=")</f>
        <v>#VALUE!</v>
      </c>
      <c r="FK285" t="e">
        <f>AND('PROG FORM COMPLEM'!L372,"AAAAAFvv+qY=")</f>
        <v>#VALUE!</v>
      </c>
      <c r="FL285" t="e">
        <f>AND('PROG FORM COMPLEM'!M372,"AAAAAFvv+qc=")</f>
        <v>#VALUE!</v>
      </c>
      <c r="FM285" t="e">
        <f>AND('PROG FORM COMPLEM'!N372,"AAAAAFvv+qg=")</f>
        <v>#VALUE!</v>
      </c>
      <c r="FN285" t="e">
        <f>AND('PROG FORM COMPLEM'!O372,"AAAAAFvv+qk=")</f>
        <v>#VALUE!</v>
      </c>
      <c r="FO285" t="e">
        <f>AND('PROG FORM COMPLEM'!P372,"AAAAAFvv+qo=")</f>
        <v>#VALUE!</v>
      </c>
      <c r="FP285" t="e">
        <f>AND('PROG FORM COMPLEM'!Q372,"AAAAAFvv+qs=")</f>
        <v>#VALUE!</v>
      </c>
      <c r="FQ285" t="e">
        <f>AND('PROG FORM COMPLEM'!R372,"AAAAAFvv+qw=")</f>
        <v>#VALUE!</v>
      </c>
      <c r="FR285" t="e">
        <f>AND('PROG FORM COMPLEM'!S372,"AAAAAFvv+q0=")</f>
        <v>#VALUE!</v>
      </c>
      <c r="FS285" t="e">
        <f>AND('PROG FORM COMPLEM'!T372,"AAAAAFvv+q4=")</f>
        <v>#VALUE!</v>
      </c>
      <c r="FT285" t="e">
        <f>AND('PROG FORM COMPLEM'!U372,"AAAAAFvv+q8=")</f>
        <v>#VALUE!</v>
      </c>
      <c r="FU285" t="e">
        <f>AND('PROG FORM COMPLEM'!V372,"AAAAAFvv+rA=")</f>
        <v>#VALUE!</v>
      </c>
      <c r="FV285" t="e">
        <f>AND('PROG FORM COMPLEM'!W372,"AAAAAFvv+rE=")</f>
        <v>#VALUE!</v>
      </c>
      <c r="FW285">
        <f>IF('PROG FORM COMPLEM'!373:373,"AAAAAFvv+rI=",0)</f>
        <v>0</v>
      </c>
      <c r="FX285" t="e">
        <f>AND('PROG FORM COMPLEM'!B373,"AAAAAFvv+rM=")</f>
        <v>#VALUE!</v>
      </c>
      <c r="FY285" t="e">
        <f>AND('PROG FORM COMPLEM'!C373,"AAAAAFvv+rQ=")</f>
        <v>#VALUE!</v>
      </c>
      <c r="FZ285" t="e">
        <f>AND('PROG FORM COMPLEM'!D373,"AAAAAFvv+rU=")</f>
        <v>#VALUE!</v>
      </c>
      <c r="GA285" t="e">
        <f>AND('PROG FORM COMPLEM'!E373,"AAAAAFvv+rY=")</f>
        <v>#VALUE!</v>
      </c>
      <c r="GB285" t="e">
        <f>AND('PROG FORM COMPLEM'!F373,"AAAAAFvv+rc=")</f>
        <v>#VALUE!</v>
      </c>
      <c r="GC285" t="e">
        <f>AND('PROG FORM COMPLEM'!G373,"AAAAAFvv+rg=")</f>
        <v>#VALUE!</v>
      </c>
      <c r="GD285" t="e">
        <f>AND('PROG FORM COMPLEM'!H373,"AAAAAFvv+rk=")</f>
        <v>#VALUE!</v>
      </c>
      <c r="GE285" t="e">
        <f>AND('PROG FORM COMPLEM'!I373,"AAAAAFvv+ro=")</f>
        <v>#VALUE!</v>
      </c>
      <c r="GF285" t="e">
        <f>AND('PROG FORM COMPLEM'!J373,"AAAAAFvv+rs=")</f>
        <v>#VALUE!</v>
      </c>
      <c r="GG285" t="e">
        <f>AND('PROG FORM COMPLEM'!K373,"AAAAAFvv+rw=")</f>
        <v>#VALUE!</v>
      </c>
      <c r="GH285" t="e">
        <f>AND('PROG FORM COMPLEM'!L373,"AAAAAFvv+r0=")</f>
        <v>#VALUE!</v>
      </c>
      <c r="GI285" t="e">
        <f>AND('PROG FORM COMPLEM'!M373,"AAAAAFvv+r4=")</f>
        <v>#VALUE!</v>
      </c>
      <c r="GJ285" t="e">
        <f>AND('PROG FORM COMPLEM'!N373,"AAAAAFvv+r8=")</f>
        <v>#VALUE!</v>
      </c>
      <c r="GK285" t="e">
        <f>AND('PROG FORM COMPLEM'!O373,"AAAAAFvv+sA=")</f>
        <v>#VALUE!</v>
      </c>
      <c r="GL285" t="e">
        <f>AND('PROG FORM COMPLEM'!P373,"AAAAAFvv+sE=")</f>
        <v>#VALUE!</v>
      </c>
      <c r="GM285" t="e">
        <f>AND('PROG FORM COMPLEM'!Q373,"AAAAAFvv+sI=")</f>
        <v>#VALUE!</v>
      </c>
      <c r="GN285" t="e">
        <f>AND('PROG FORM COMPLEM'!R373,"AAAAAFvv+sM=")</f>
        <v>#VALUE!</v>
      </c>
      <c r="GO285" t="e">
        <f>AND('PROG FORM COMPLEM'!S373,"AAAAAFvv+sQ=")</f>
        <v>#VALUE!</v>
      </c>
      <c r="GP285" t="e">
        <f>AND('PROG FORM COMPLEM'!T373,"AAAAAFvv+sU=")</f>
        <v>#VALUE!</v>
      </c>
      <c r="GQ285" t="e">
        <f>AND('PROG FORM COMPLEM'!U373,"AAAAAFvv+sY=")</f>
        <v>#VALUE!</v>
      </c>
      <c r="GR285" t="e">
        <f>AND('PROG FORM COMPLEM'!V373,"AAAAAFvv+sc=")</f>
        <v>#VALUE!</v>
      </c>
      <c r="GS285" t="e">
        <f>AND('PROG FORM COMPLEM'!W373,"AAAAAFvv+sg=")</f>
        <v>#VALUE!</v>
      </c>
      <c r="GT285">
        <f>IF('PROG FORM COMPLEM'!374:374,"AAAAAFvv+sk=",0)</f>
        <v>0</v>
      </c>
      <c r="GU285" t="e">
        <f>AND('PROG FORM COMPLEM'!B374,"AAAAAFvv+so=")</f>
        <v>#VALUE!</v>
      </c>
      <c r="GV285" t="e">
        <f>AND('PROG FORM COMPLEM'!C374,"AAAAAFvv+ss=")</f>
        <v>#VALUE!</v>
      </c>
      <c r="GW285" t="e">
        <f>AND('PROG FORM COMPLEM'!D374,"AAAAAFvv+sw=")</f>
        <v>#VALUE!</v>
      </c>
      <c r="GX285" t="e">
        <f>AND('PROG FORM COMPLEM'!E374,"AAAAAFvv+s0=")</f>
        <v>#VALUE!</v>
      </c>
      <c r="GY285" t="e">
        <f>AND('PROG FORM COMPLEM'!F374,"AAAAAFvv+s4=")</f>
        <v>#VALUE!</v>
      </c>
      <c r="GZ285" t="e">
        <f>AND('PROG FORM COMPLEM'!G374,"AAAAAFvv+s8=")</f>
        <v>#VALUE!</v>
      </c>
      <c r="HA285" t="e">
        <f>AND('PROG FORM COMPLEM'!H374,"AAAAAFvv+tA=")</f>
        <v>#VALUE!</v>
      </c>
      <c r="HB285" t="e">
        <f>AND('PROG FORM COMPLEM'!I374,"AAAAAFvv+tE=")</f>
        <v>#VALUE!</v>
      </c>
      <c r="HC285" t="e">
        <f>AND('PROG FORM COMPLEM'!J374,"AAAAAFvv+tI=")</f>
        <v>#VALUE!</v>
      </c>
      <c r="HD285" t="e">
        <f>AND('PROG FORM COMPLEM'!K374,"AAAAAFvv+tM=")</f>
        <v>#VALUE!</v>
      </c>
      <c r="HE285" t="e">
        <f>AND('PROG FORM COMPLEM'!L374,"AAAAAFvv+tQ=")</f>
        <v>#VALUE!</v>
      </c>
      <c r="HF285" t="e">
        <f>AND('PROG FORM COMPLEM'!M374,"AAAAAFvv+tU=")</f>
        <v>#VALUE!</v>
      </c>
      <c r="HG285" t="e">
        <f>AND('PROG FORM COMPLEM'!N374,"AAAAAFvv+tY=")</f>
        <v>#VALUE!</v>
      </c>
      <c r="HH285" t="e">
        <f>AND('PROG FORM COMPLEM'!O374,"AAAAAFvv+tc=")</f>
        <v>#VALUE!</v>
      </c>
      <c r="HI285" t="e">
        <f>AND('PROG FORM COMPLEM'!P374,"AAAAAFvv+tg=")</f>
        <v>#VALUE!</v>
      </c>
      <c r="HJ285" t="e">
        <f>AND('PROG FORM COMPLEM'!Q374,"AAAAAFvv+tk=")</f>
        <v>#VALUE!</v>
      </c>
      <c r="HK285" t="e">
        <f>AND('PROG FORM COMPLEM'!R374,"AAAAAFvv+to=")</f>
        <v>#VALUE!</v>
      </c>
      <c r="HL285" t="e">
        <f>AND('PROG FORM COMPLEM'!S374,"AAAAAFvv+ts=")</f>
        <v>#VALUE!</v>
      </c>
      <c r="HM285" t="e">
        <f>AND('PROG FORM COMPLEM'!T374,"AAAAAFvv+tw=")</f>
        <v>#VALUE!</v>
      </c>
      <c r="HN285" t="e">
        <f>AND('PROG FORM COMPLEM'!U374,"AAAAAFvv+t0=")</f>
        <v>#VALUE!</v>
      </c>
      <c r="HO285" t="e">
        <f>AND('PROG FORM COMPLEM'!V374,"AAAAAFvv+t4=")</f>
        <v>#VALUE!</v>
      </c>
      <c r="HP285" t="e">
        <f>AND('PROG FORM COMPLEM'!W374,"AAAAAFvv+t8=")</f>
        <v>#VALUE!</v>
      </c>
      <c r="HQ285">
        <f>IF('PROG FORM COMPLEM'!375:375,"AAAAAFvv+uA=",0)</f>
        <v>0</v>
      </c>
      <c r="HR285" t="e">
        <f>AND('PROG FORM COMPLEM'!B375,"AAAAAFvv+uE=")</f>
        <v>#VALUE!</v>
      </c>
      <c r="HS285" t="e">
        <f>AND('PROG FORM COMPLEM'!C375,"AAAAAFvv+uI=")</f>
        <v>#VALUE!</v>
      </c>
      <c r="HT285" t="e">
        <f>AND('PROG FORM COMPLEM'!D375,"AAAAAFvv+uM=")</f>
        <v>#VALUE!</v>
      </c>
      <c r="HU285" t="e">
        <f>AND('PROG FORM COMPLEM'!E375,"AAAAAFvv+uQ=")</f>
        <v>#VALUE!</v>
      </c>
      <c r="HV285" t="e">
        <f>AND('PROG FORM COMPLEM'!F375,"AAAAAFvv+uU=")</f>
        <v>#VALUE!</v>
      </c>
      <c r="HW285" t="e">
        <f>AND('PROG FORM COMPLEM'!G375,"AAAAAFvv+uY=")</f>
        <v>#VALUE!</v>
      </c>
      <c r="HX285" t="e">
        <f>AND('PROG FORM COMPLEM'!H375,"AAAAAFvv+uc=")</f>
        <v>#VALUE!</v>
      </c>
      <c r="HY285" t="e">
        <f>AND('PROG FORM COMPLEM'!I375,"AAAAAFvv+ug=")</f>
        <v>#VALUE!</v>
      </c>
      <c r="HZ285" t="e">
        <f>AND('PROG FORM COMPLEM'!J375,"AAAAAFvv+uk=")</f>
        <v>#VALUE!</v>
      </c>
      <c r="IA285" t="e">
        <f>AND('PROG FORM COMPLEM'!K375,"AAAAAFvv+uo=")</f>
        <v>#VALUE!</v>
      </c>
      <c r="IB285" t="e">
        <f>AND('PROG FORM COMPLEM'!L375,"AAAAAFvv+us=")</f>
        <v>#VALUE!</v>
      </c>
      <c r="IC285" t="e">
        <f>AND('PROG FORM COMPLEM'!M375,"AAAAAFvv+uw=")</f>
        <v>#VALUE!</v>
      </c>
      <c r="ID285" t="e">
        <f>AND('PROG FORM COMPLEM'!N375,"AAAAAFvv+u0=")</f>
        <v>#VALUE!</v>
      </c>
      <c r="IE285" t="e">
        <f>AND('PROG FORM COMPLEM'!O375,"AAAAAFvv+u4=")</f>
        <v>#VALUE!</v>
      </c>
      <c r="IF285" t="e">
        <f>AND('PROG FORM COMPLEM'!P375,"AAAAAFvv+u8=")</f>
        <v>#VALUE!</v>
      </c>
      <c r="IG285" t="e">
        <f>AND('PROG FORM COMPLEM'!Q375,"AAAAAFvv+vA=")</f>
        <v>#VALUE!</v>
      </c>
      <c r="IH285" t="e">
        <f>AND('PROG FORM COMPLEM'!R375,"AAAAAFvv+vE=")</f>
        <v>#VALUE!</v>
      </c>
      <c r="II285" t="e">
        <f>AND('PROG FORM COMPLEM'!S375,"AAAAAFvv+vI=")</f>
        <v>#VALUE!</v>
      </c>
      <c r="IJ285" t="e">
        <f>AND('PROG FORM COMPLEM'!T375,"AAAAAFvv+vM=")</f>
        <v>#VALUE!</v>
      </c>
      <c r="IK285" t="e">
        <f>AND('PROG FORM COMPLEM'!U375,"AAAAAFvv+vQ=")</f>
        <v>#VALUE!</v>
      </c>
      <c r="IL285" t="e">
        <f>AND('PROG FORM COMPLEM'!V375,"AAAAAFvv+vU=")</f>
        <v>#VALUE!</v>
      </c>
      <c r="IM285" t="e">
        <f>AND('PROG FORM COMPLEM'!W375,"AAAAAFvv+vY=")</f>
        <v>#VALUE!</v>
      </c>
      <c r="IN285">
        <f>IF('PROG FORM COMPLEM'!376:376,"AAAAAFvv+vc=",0)</f>
        <v>0</v>
      </c>
      <c r="IO285" t="e">
        <f>AND('PROG FORM COMPLEM'!B376,"AAAAAFvv+vg=")</f>
        <v>#VALUE!</v>
      </c>
      <c r="IP285" t="e">
        <f>AND('PROG FORM COMPLEM'!C376,"AAAAAFvv+vk=")</f>
        <v>#VALUE!</v>
      </c>
      <c r="IQ285" t="e">
        <f>AND('PROG FORM COMPLEM'!D376,"AAAAAFvv+vo=")</f>
        <v>#VALUE!</v>
      </c>
      <c r="IR285" t="e">
        <f>AND('PROG FORM COMPLEM'!E376,"AAAAAFvv+vs=")</f>
        <v>#VALUE!</v>
      </c>
      <c r="IS285" t="e">
        <f>AND('PROG FORM COMPLEM'!F376,"AAAAAFvv+vw=")</f>
        <v>#VALUE!</v>
      </c>
      <c r="IT285" t="e">
        <f>AND('PROG FORM COMPLEM'!G376,"AAAAAFvv+v0=")</f>
        <v>#VALUE!</v>
      </c>
      <c r="IU285" t="e">
        <f>AND('PROG FORM COMPLEM'!H376,"AAAAAFvv+v4=")</f>
        <v>#VALUE!</v>
      </c>
      <c r="IV285" t="e">
        <f>AND('PROG FORM COMPLEM'!I376,"AAAAAFvv+v8=")</f>
        <v>#VALUE!</v>
      </c>
    </row>
    <row r="286" spans="1:256" x14ac:dyDescent="0.2">
      <c r="A286" t="e">
        <f>AND('PROG FORM COMPLEM'!J376,"AAAAACXf/wA=")</f>
        <v>#VALUE!</v>
      </c>
      <c r="B286" t="e">
        <f>AND('PROG FORM COMPLEM'!K376,"AAAAACXf/wE=")</f>
        <v>#VALUE!</v>
      </c>
      <c r="C286" t="e">
        <f>AND('PROG FORM COMPLEM'!L376,"AAAAACXf/wI=")</f>
        <v>#VALUE!</v>
      </c>
      <c r="D286" t="e">
        <f>AND('PROG FORM COMPLEM'!M376,"AAAAACXf/wM=")</f>
        <v>#VALUE!</v>
      </c>
      <c r="E286" t="e">
        <f>AND('PROG FORM COMPLEM'!N376,"AAAAACXf/wQ=")</f>
        <v>#VALUE!</v>
      </c>
      <c r="F286" t="e">
        <f>AND('PROG FORM COMPLEM'!O376,"AAAAACXf/wU=")</f>
        <v>#VALUE!</v>
      </c>
      <c r="G286" t="e">
        <f>AND('PROG FORM COMPLEM'!P376,"AAAAACXf/wY=")</f>
        <v>#VALUE!</v>
      </c>
      <c r="H286" t="e">
        <f>AND('PROG FORM COMPLEM'!Q376,"AAAAACXf/wc=")</f>
        <v>#VALUE!</v>
      </c>
      <c r="I286" t="e">
        <f>AND('PROG FORM COMPLEM'!R376,"AAAAACXf/wg=")</f>
        <v>#VALUE!</v>
      </c>
      <c r="J286" t="e">
        <f>AND('PROG FORM COMPLEM'!S376,"AAAAACXf/wk=")</f>
        <v>#VALUE!</v>
      </c>
      <c r="K286" t="e">
        <f>AND('PROG FORM COMPLEM'!T376,"AAAAACXf/wo=")</f>
        <v>#VALUE!</v>
      </c>
      <c r="L286" t="e">
        <f>AND('PROG FORM COMPLEM'!U376,"AAAAACXf/ws=")</f>
        <v>#VALUE!</v>
      </c>
      <c r="M286" t="e">
        <f>AND('PROG FORM COMPLEM'!V376,"AAAAACXf/ww=")</f>
        <v>#VALUE!</v>
      </c>
      <c r="N286" t="e">
        <f>AND('PROG FORM COMPLEM'!W376,"AAAAACXf/w0=")</f>
        <v>#VALUE!</v>
      </c>
      <c r="O286">
        <f>IF('PROG FORM COMPLEM'!377:377,"AAAAACXf/w4=",0)</f>
        <v>0</v>
      </c>
      <c r="P286" t="e">
        <f>AND('PROG FORM COMPLEM'!B377,"AAAAACXf/w8=")</f>
        <v>#VALUE!</v>
      </c>
      <c r="Q286" t="e">
        <f>AND('PROG FORM COMPLEM'!C377,"AAAAACXf/xA=")</f>
        <v>#VALUE!</v>
      </c>
      <c r="R286" t="e">
        <f>AND('PROG FORM COMPLEM'!D377,"AAAAACXf/xE=")</f>
        <v>#VALUE!</v>
      </c>
      <c r="S286" t="e">
        <f>AND('PROG FORM COMPLEM'!E377,"AAAAACXf/xI=")</f>
        <v>#VALUE!</v>
      </c>
      <c r="T286" t="e">
        <f>AND('PROG FORM COMPLEM'!F377,"AAAAACXf/xM=")</f>
        <v>#VALUE!</v>
      </c>
      <c r="U286" t="e">
        <f>AND('PROG FORM COMPLEM'!G377,"AAAAACXf/xQ=")</f>
        <v>#VALUE!</v>
      </c>
      <c r="V286" t="e">
        <f>AND('PROG FORM COMPLEM'!H377,"AAAAACXf/xU=")</f>
        <v>#VALUE!</v>
      </c>
      <c r="W286" t="e">
        <f>AND('PROG FORM COMPLEM'!I377,"AAAAACXf/xY=")</f>
        <v>#VALUE!</v>
      </c>
      <c r="X286" t="e">
        <f>AND('PROG FORM COMPLEM'!J377,"AAAAACXf/xc=")</f>
        <v>#VALUE!</v>
      </c>
      <c r="Y286" t="e">
        <f>AND('PROG FORM COMPLEM'!K377,"AAAAACXf/xg=")</f>
        <v>#VALUE!</v>
      </c>
      <c r="Z286" t="e">
        <f>AND('PROG FORM COMPLEM'!L377,"AAAAACXf/xk=")</f>
        <v>#VALUE!</v>
      </c>
      <c r="AA286" t="e">
        <f>AND('PROG FORM COMPLEM'!M377,"AAAAACXf/xo=")</f>
        <v>#VALUE!</v>
      </c>
      <c r="AB286" t="e">
        <f>AND('PROG FORM COMPLEM'!N377,"AAAAACXf/xs=")</f>
        <v>#VALUE!</v>
      </c>
      <c r="AC286" t="e">
        <f>AND('PROG FORM COMPLEM'!O377,"AAAAACXf/xw=")</f>
        <v>#VALUE!</v>
      </c>
      <c r="AD286" t="e">
        <f>AND('PROG FORM COMPLEM'!P377,"AAAAACXf/x0=")</f>
        <v>#VALUE!</v>
      </c>
      <c r="AE286" t="e">
        <f>AND('PROG FORM COMPLEM'!Q377,"AAAAACXf/x4=")</f>
        <v>#VALUE!</v>
      </c>
      <c r="AF286" t="e">
        <f>AND('PROG FORM COMPLEM'!R377,"AAAAACXf/x8=")</f>
        <v>#VALUE!</v>
      </c>
      <c r="AG286" t="e">
        <f>AND('PROG FORM COMPLEM'!S377,"AAAAACXf/yA=")</f>
        <v>#VALUE!</v>
      </c>
      <c r="AH286" t="e">
        <f>AND('PROG FORM COMPLEM'!T377,"AAAAACXf/yE=")</f>
        <v>#VALUE!</v>
      </c>
      <c r="AI286" t="e">
        <f>AND('PROG FORM COMPLEM'!U377,"AAAAACXf/yI=")</f>
        <v>#VALUE!</v>
      </c>
      <c r="AJ286" t="e">
        <f>AND('PROG FORM COMPLEM'!V377,"AAAAACXf/yM=")</f>
        <v>#VALUE!</v>
      </c>
      <c r="AK286" t="e">
        <f>AND('PROG FORM COMPLEM'!W377,"AAAAACXf/yQ=")</f>
        <v>#VALUE!</v>
      </c>
      <c r="AL286">
        <f>IF('PROG FORM COMPLEM'!378:378,"AAAAACXf/yU=",0)</f>
        <v>0</v>
      </c>
      <c r="AM286" t="e">
        <f>AND('PROG FORM COMPLEM'!B378,"AAAAACXf/yY=")</f>
        <v>#VALUE!</v>
      </c>
      <c r="AN286" t="e">
        <f>AND('PROG FORM COMPLEM'!C378,"AAAAACXf/yc=")</f>
        <v>#VALUE!</v>
      </c>
      <c r="AO286" t="e">
        <f>AND('PROG FORM COMPLEM'!D378,"AAAAACXf/yg=")</f>
        <v>#VALUE!</v>
      </c>
      <c r="AP286" t="e">
        <f>AND('PROG FORM COMPLEM'!E378,"AAAAACXf/yk=")</f>
        <v>#VALUE!</v>
      </c>
      <c r="AQ286" t="e">
        <f>AND('PROG FORM COMPLEM'!F378,"AAAAACXf/yo=")</f>
        <v>#VALUE!</v>
      </c>
      <c r="AR286" t="e">
        <f>AND('PROG FORM COMPLEM'!G378,"AAAAACXf/ys=")</f>
        <v>#VALUE!</v>
      </c>
      <c r="AS286" t="e">
        <f>AND('PROG FORM COMPLEM'!H378,"AAAAACXf/yw=")</f>
        <v>#VALUE!</v>
      </c>
      <c r="AT286" t="e">
        <f>AND('PROG FORM COMPLEM'!I378,"AAAAACXf/y0=")</f>
        <v>#VALUE!</v>
      </c>
      <c r="AU286" t="e">
        <f>AND('PROG FORM COMPLEM'!J378,"AAAAACXf/y4=")</f>
        <v>#VALUE!</v>
      </c>
      <c r="AV286" t="e">
        <f>AND('PROG FORM COMPLEM'!K378,"AAAAACXf/y8=")</f>
        <v>#VALUE!</v>
      </c>
      <c r="AW286" t="e">
        <f>AND('PROG FORM COMPLEM'!L378,"AAAAACXf/zA=")</f>
        <v>#VALUE!</v>
      </c>
      <c r="AX286" t="e">
        <f>AND('PROG FORM COMPLEM'!M378,"AAAAACXf/zE=")</f>
        <v>#VALUE!</v>
      </c>
      <c r="AY286" t="e">
        <f>AND('PROG FORM COMPLEM'!N378,"AAAAACXf/zI=")</f>
        <v>#VALUE!</v>
      </c>
      <c r="AZ286" t="e">
        <f>AND('PROG FORM COMPLEM'!O378,"AAAAACXf/zM=")</f>
        <v>#VALUE!</v>
      </c>
      <c r="BA286" t="e">
        <f>AND('PROG FORM COMPLEM'!P378,"AAAAACXf/zQ=")</f>
        <v>#VALUE!</v>
      </c>
      <c r="BB286" t="e">
        <f>AND('PROG FORM COMPLEM'!Q378,"AAAAACXf/zU=")</f>
        <v>#VALUE!</v>
      </c>
      <c r="BC286" t="e">
        <f>AND('PROG FORM COMPLEM'!R378,"AAAAACXf/zY=")</f>
        <v>#VALUE!</v>
      </c>
      <c r="BD286" t="e">
        <f>AND('PROG FORM COMPLEM'!S378,"AAAAACXf/zc=")</f>
        <v>#VALUE!</v>
      </c>
      <c r="BE286" t="e">
        <f>AND('PROG FORM COMPLEM'!T378,"AAAAACXf/zg=")</f>
        <v>#VALUE!</v>
      </c>
      <c r="BF286" t="e">
        <f>AND('PROG FORM COMPLEM'!U378,"AAAAACXf/zk=")</f>
        <v>#VALUE!</v>
      </c>
      <c r="BG286" t="e">
        <f>AND('PROG FORM COMPLEM'!V378,"AAAAACXf/zo=")</f>
        <v>#VALUE!</v>
      </c>
      <c r="BH286" t="e">
        <f>AND('PROG FORM COMPLEM'!W378,"AAAAACXf/zs=")</f>
        <v>#VALUE!</v>
      </c>
      <c r="BI286">
        <f>IF('PROG FORM COMPLEM'!379:379,"AAAAACXf/zw=",0)</f>
        <v>0</v>
      </c>
      <c r="BJ286" t="e">
        <f>AND('PROG FORM COMPLEM'!B379,"AAAAACXf/z0=")</f>
        <v>#VALUE!</v>
      </c>
      <c r="BK286" t="e">
        <f>AND('PROG FORM COMPLEM'!C379,"AAAAACXf/z4=")</f>
        <v>#VALUE!</v>
      </c>
      <c r="BL286" t="e">
        <f>AND('PROG FORM COMPLEM'!D379,"AAAAACXf/z8=")</f>
        <v>#VALUE!</v>
      </c>
      <c r="BM286" t="e">
        <f>AND('PROG FORM COMPLEM'!E379,"AAAAACXf/0A=")</f>
        <v>#VALUE!</v>
      </c>
      <c r="BN286" t="e">
        <f>AND('PROG FORM COMPLEM'!F379,"AAAAACXf/0E=")</f>
        <v>#VALUE!</v>
      </c>
      <c r="BO286" t="e">
        <f>AND('PROG FORM COMPLEM'!G379,"AAAAACXf/0I=")</f>
        <v>#VALUE!</v>
      </c>
      <c r="BP286" t="e">
        <f>AND('PROG FORM COMPLEM'!H379,"AAAAACXf/0M=")</f>
        <v>#VALUE!</v>
      </c>
      <c r="BQ286" t="e">
        <f>AND('PROG FORM COMPLEM'!I379,"AAAAACXf/0Q=")</f>
        <v>#VALUE!</v>
      </c>
      <c r="BR286" t="e">
        <f>AND('PROG FORM COMPLEM'!J379,"AAAAACXf/0U=")</f>
        <v>#VALUE!</v>
      </c>
      <c r="BS286" t="e">
        <f>AND('PROG FORM COMPLEM'!K379,"AAAAACXf/0Y=")</f>
        <v>#VALUE!</v>
      </c>
      <c r="BT286" t="e">
        <f>AND('PROG FORM COMPLEM'!L379,"AAAAACXf/0c=")</f>
        <v>#VALUE!</v>
      </c>
      <c r="BU286" t="e">
        <f>AND('PROG FORM COMPLEM'!M379,"AAAAACXf/0g=")</f>
        <v>#VALUE!</v>
      </c>
      <c r="BV286" t="e">
        <f>AND('PROG FORM COMPLEM'!N379,"AAAAACXf/0k=")</f>
        <v>#VALUE!</v>
      </c>
      <c r="BW286" t="e">
        <f>AND('PROG FORM COMPLEM'!O379,"AAAAACXf/0o=")</f>
        <v>#VALUE!</v>
      </c>
      <c r="BX286" t="e">
        <f>AND('PROG FORM COMPLEM'!P379,"AAAAACXf/0s=")</f>
        <v>#VALUE!</v>
      </c>
      <c r="BY286" t="e">
        <f>AND('PROG FORM COMPLEM'!Q379,"AAAAACXf/0w=")</f>
        <v>#VALUE!</v>
      </c>
      <c r="BZ286" t="e">
        <f>AND('PROG FORM COMPLEM'!R379,"AAAAACXf/00=")</f>
        <v>#VALUE!</v>
      </c>
      <c r="CA286" t="e">
        <f>AND('PROG FORM COMPLEM'!S379,"AAAAACXf/04=")</f>
        <v>#VALUE!</v>
      </c>
      <c r="CB286" t="e">
        <f>AND('PROG FORM COMPLEM'!T379,"AAAAACXf/08=")</f>
        <v>#VALUE!</v>
      </c>
      <c r="CC286" t="e">
        <f>AND('PROG FORM COMPLEM'!U379,"AAAAACXf/1A=")</f>
        <v>#VALUE!</v>
      </c>
      <c r="CD286" t="e">
        <f>AND('PROG FORM COMPLEM'!V379,"AAAAACXf/1E=")</f>
        <v>#VALUE!</v>
      </c>
      <c r="CE286" t="e">
        <f>AND('PROG FORM COMPLEM'!W379,"AAAAACXf/1I=")</f>
        <v>#VALUE!</v>
      </c>
      <c r="CF286">
        <f>IF('PROG FORM COMPLEM'!380:380,"AAAAACXf/1M=",0)</f>
        <v>0</v>
      </c>
      <c r="CG286" t="e">
        <f>AND('PROG FORM COMPLEM'!B380,"AAAAACXf/1Q=")</f>
        <v>#VALUE!</v>
      </c>
      <c r="CH286" t="e">
        <f>AND('PROG FORM COMPLEM'!C380,"AAAAACXf/1U=")</f>
        <v>#VALUE!</v>
      </c>
      <c r="CI286" t="e">
        <f>AND('PROG FORM COMPLEM'!D380,"AAAAACXf/1Y=")</f>
        <v>#VALUE!</v>
      </c>
      <c r="CJ286" t="e">
        <f>AND('PROG FORM COMPLEM'!E380,"AAAAACXf/1c=")</f>
        <v>#VALUE!</v>
      </c>
      <c r="CK286" t="e">
        <f>AND('PROG FORM COMPLEM'!F380,"AAAAACXf/1g=")</f>
        <v>#VALUE!</v>
      </c>
      <c r="CL286" t="e">
        <f>AND('PROG FORM COMPLEM'!G380,"AAAAACXf/1k=")</f>
        <v>#VALUE!</v>
      </c>
      <c r="CM286" t="e">
        <f>AND('PROG FORM COMPLEM'!H380,"AAAAACXf/1o=")</f>
        <v>#VALUE!</v>
      </c>
      <c r="CN286" t="e">
        <f>AND('PROG FORM COMPLEM'!I380,"AAAAACXf/1s=")</f>
        <v>#VALUE!</v>
      </c>
      <c r="CO286" t="e">
        <f>AND('PROG FORM COMPLEM'!J380,"AAAAACXf/1w=")</f>
        <v>#VALUE!</v>
      </c>
      <c r="CP286" t="e">
        <f>AND('PROG FORM COMPLEM'!K380,"AAAAACXf/10=")</f>
        <v>#VALUE!</v>
      </c>
      <c r="CQ286" t="e">
        <f>AND('PROG FORM COMPLEM'!L380,"AAAAACXf/14=")</f>
        <v>#VALUE!</v>
      </c>
      <c r="CR286" t="e">
        <f>AND('PROG FORM COMPLEM'!M380,"AAAAACXf/18=")</f>
        <v>#VALUE!</v>
      </c>
      <c r="CS286" t="e">
        <f>AND('PROG FORM COMPLEM'!N380,"AAAAACXf/2A=")</f>
        <v>#VALUE!</v>
      </c>
      <c r="CT286" t="e">
        <f>AND('PROG FORM COMPLEM'!O380,"AAAAACXf/2E=")</f>
        <v>#VALUE!</v>
      </c>
      <c r="CU286" t="e">
        <f>AND('PROG FORM COMPLEM'!P380,"AAAAACXf/2I=")</f>
        <v>#VALUE!</v>
      </c>
      <c r="CV286" t="e">
        <f>AND('PROG FORM COMPLEM'!Q380,"AAAAACXf/2M=")</f>
        <v>#VALUE!</v>
      </c>
      <c r="CW286" t="e">
        <f>AND('PROG FORM COMPLEM'!R380,"AAAAACXf/2Q=")</f>
        <v>#VALUE!</v>
      </c>
      <c r="CX286" t="e">
        <f>AND('PROG FORM COMPLEM'!S380,"AAAAACXf/2U=")</f>
        <v>#VALUE!</v>
      </c>
      <c r="CY286" t="e">
        <f>AND('PROG FORM COMPLEM'!T380,"AAAAACXf/2Y=")</f>
        <v>#VALUE!</v>
      </c>
      <c r="CZ286" t="e">
        <f>AND('PROG FORM COMPLEM'!U380,"AAAAACXf/2c=")</f>
        <v>#VALUE!</v>
      </c>
      <c r="DA286" t="e">
        <f>AND('PROG FORM COMPLEM'!V380,"AAAAACXf/2g=")</f>
        <v>#VALUE!</v>
      </c>
      <c r="DB286" t="e">
        <f>AND('PROG FORM COMPLEM'!W380,"AAAAACXf/2k=")</f>
        <v>#VALUE!</v>
      </c>
      <c r="DC286">
        <f>IF('PROG FORM COMPLEM'!381:381,"AAAAACXf/2o=",0)</f>
        <v>0</v>
      </c>
      <c r="DD286" t="e">
        <f>AND('PROG FORM COMPLEM'!B381,"AAAAACXf/2s=")</f>
        <v>#VALUE!</v>
      </c>
      <c r="DE286" t="e">
        <f>AND('PROG FORM COMPLEM'!C381,"AAAAACXf/2w=")</f>
        <v>#VALUE!</v>
      </c>
      <c r="DF286" t="e">
        <f>AND('PROG FORM COMPLEM'!D381,"AAAAACXf/20=")</f>
        <v>#VALUE!</v>
      </c>
      <c r="DG286" t="e">
        <f>AND('PROG FORM COMPLEM'!E381,"AAAAACXf/24=")</f>
        <v>#VALUE!</v>
      </c>
      <c r="DH286" t="e">
        <f>AND('PROG FORM COMPLEM'!F381,"AAAAACXf/28=")</f>
        <v>#VALUE!</v>
      </c>
      <c r="DI286" t="e">
        <f>AND('PROG FORM COMPLEM'!G381,"AAAAACXf/3A=")</f>
        <v>#VALUE!</v>
      </c>
      <c r="DJ286" t="e">
        <f>AND('PROG FORM COMPLEM'!H381,"AAAAACXf/3E=")</f>
        <v>#VALUE!</v>
      </c>
      <c r="DK286" t="e">
        <f>AND('PROG FORM COMPLEM'!I381,"AAAAACXf/3I=")</f>
        <v>#VALUE!</v>
      </c>
      <c r="DL286" t="e">
        <f>AND('PROG FORM COMPLEM'!J381,"AAAAACXf/3M=")</f>
        <v>#VALUE!</v>
      </c>
      <c r="DM286" t="e">
        <f>AND('PROG FORM COMPLEM'!K381,"AAAAACXf/3Q=")</f>
        <v>#VALUE!</v>
      </c>
      <c r="DN286" t="e">
        <f>AND('PROG FORM COMPLEM'!L381,"AAAAACXf/3U=")</f>
        <v>#VALUE!</v>
      </c>
      <c r="DO286" t="e">
        <f>AND('PROG FORM COMPLEM'!M381,"AAAAACXf/3Y=")</f>
        <v>#VALUE!</v>
      </c>
      <c r="DP286" t="e">
        <f>AND('PROG FORM COMPLEM'!N381,"AAAAACXf/3c=")</f>
        <v>#VALUE!</v>
      </c>
      <c r="DQ286" t="e">
        <f>AND('PROG FORM COMPLEM'!O381,"AAAAACXf/3g=")</f>
        <v>#VALUE!</v>
      </c>
      <c r="DR286" t="e">
        <f>AND('PROG FORM COMPLEM'!P381,"AAAAACXf/3k=")</f>
        <v>#VALUE!</v>
      </c>
      <c r="DS286" t="e">
        <f>AND('PROG FORM COMPLEM'!Q381,"AAAAACXf/3o=")</f>
        <v>#VALUE!</v>
      </c>
      <c r="DT286" t="e">
        <f>AND('PROG FORM COMPLEM'!R381,"AAAAACXf/3s=")</f>
        <v>#VALUE!</v>
      </c>
      <c r="DU286" t="e">
        <f>AND('PROG FORM COMPLEM'!S381,"AAAAACXf/3w=")</f>
        <v>#VALUE!</v>
      </c>
      <c r="DV286" t="e">
        <f>AND('PROG FORM COMPLEM'!T381,"AAAAACXf/30=")</f>
        <v>#VALUE!</v>
      </c>
      <c r="DW286" t="e">
        <f>AND('PROG FORM COMPLEM'!U381,"AAAAACXf/34=")</f>
        <v>#VALUE!</v>
      </c>
      <c r="DX286" t="e">
        <f>AND('PROG FORM COMPLEM'!V381,"AAAAACXf/38=")</f>
        <v>#VALUE!</v>
      </c>
      <c r="DY286" t="e">
        <f>AND('PROG FORM COMPLEM'!W381,"AAAAACXf/4A=")</f>
        <v>#VALUE!</v>
      </c>
      <c r="DZ286">
        <f>IF('PROG FORM COMPLEM'!382:382,"AAAAACXf/4E=",0)</f>
        <v>0</v>
      </c>
      <c r="EA286" t="e">
        <f>AND('PROG FORM COMPLEM'!B382,"AAAAACXf/4I=")</f>
        <v>#VALUE!</v>
      </c>
      <c r="EB286" t="e">
        <f>AND('PROG FORM COMPLEM'!C382,"AAAAACXf/4M=")</f>
        <v>#VALUE!</v>
      </c>
      <c r="EC286" t="e">
        <f>AND('PROG FORM COMPLEM'!D382,"AAAAACXf/4Q=")</f>
        <v>#VALUE!</v>
      </c>
      <c r="ED286" t="e">
        <f>AND('PROG FORM COMPLEM'!E382,"AAAAACXf/4U=")</f>
        <v>#VALUE!</v>
      </c>
      <c r="EE286" t="e">
        <f>AND('PROG FORM COMPLEM'!F382,"AAAAACXf/4Y=")</f>
        <v>#VALUE!</v>
      </c>
      <c r="EF286" t="e">
        <f>AND('PROG FORM COMPLEM'!G382,"AAAAACXf/4c=")</f>
        <v>#VALUE!</v>
      </c>
      <c r="EG286" t="e">
        <f>AND('PROG FORM COMPLEM'!H382,"AAAAACXf/4g=")</f>
        <v>#VALUE!</v>
      </c>
      <c r="EH286" t="e">
        <f>AND('PROG FORM COMPLEM'!I382,"AAAAACXf/4k=")</f>
        <v>#VALUE!</v>
      </c>
      <c r="EI286" t="e">
        <f>AND('PROG FORM COMPLEM'!J382,"AAAAACXf/4o=")</f>
        <v>#VALUE!</v>
      </c>
      <c r="EJ286" t="e">
        <f>AND('PROG FORM COMPLEM'!K382,"AAAAACXf/4s=")</f>
        <v>#VALUE!</v>
      </c>
      <c r="EK286" t="e">
        <f>AND('PROG FORM COMPLEM'!L382,"AAAAACXf/4w=")</f>
        <v>#VALUE!</v>
      </c>
      <c r="EL286" t="e">
        <f>AND('PROG FORM COMPLEM'!M382,"AAAAACXf/40=")</f>
        <v>#VALUE!</v>
      </c>
      <c r="EM286" t="e">
        <f>AND('PROG FORM COMPLEM'!N382,"AAAAACXf/44=")</f>
        <v>#VALUE!</v>
      </c>
      <c r="EN286" t="e">
        <f>AND('PROG FORM COMPLEM'!O382,"AAAAACXf/48=")</f>
        <v>#VALUE!</v>
      </c>
      <c r="EO286" t="e">
        <f>AND('PROG FORM COMPLEM'!P382,"AAAAACXf/5A=")</f>
        <v>#VALUE!</v>
      </c>
      <c r="EP286" t="e">
        <f>AND('PROG FORM COMPLEM'!Q382,"AAAAACXf/5E=")</f>
        <v>#VALUE!</v>
      </c>
      <c r="EQ286" t="e">
        <f>AND('PROG FORM COMPLEM'!R382,"AAAAACXf/5I=")</f>
        <v>#VALUE!</v>
      </c>
      <c r="ER286" t="e">
        <f>AND('PROG FORM COMPLEM'!S382,"AAAAACXf/5M=")</f>
        <v>#VALUE!</v>
      </c>
      <c r="ES286" t="e">
        <f>AND('PROG FORM COMPLEM'!T382,"AAAAACXf/5Q=")</f>
        <v>#VALUE!</v>
      </c>
      <c r="ET286" t="e">
        <f>AND('PROG FORM COMPLEM'!U382,"AAAAACXf/5U=")</f>
        <v>#VALUE!</v>
      </c>
      <c r="EU286" t="e">
        <f>AND('PROG FORM COMPLEM'!V382,"AAAAACXf/5Y=")</f>
        <v>#VALUE!</v>
      </c>
      <c r="EV286" t="e">
        <f>AND('PROG FORM COMPLEM'!W382,"AAAAACXf/5c=")</f>
        <v>#VALUE!</v>
      </c>
      <c r="EW286">
        <f>IF('PROG FORM COMPLEM'!383:383,"AAAAACXf/5g=",0)</f>
        <v>0</v>
      </c>
      <c r="EX286" t="e">
        <f>AND('PROG FORM COMPLEM'!B383,"AAAAACXf/5k=")</f>
        <v>#VALUE!</v>
      </c>
      <c r="EY286" t="e">
        <f>AND('PROG FORM COMPLEM'!C383,"AAAAACXf/5o=")</f>
        <v>#VALUE!</v>
      </c>
      <c r="EZ286" t="e">
        <f>AND('PROG FORM COMPLEM'!D383,"AAAAACXf/5s=")</f>
        <v>#VALUE!</v>
      </c>
      <c r="FA286" t="e">
        <f>AND('PROG FORM COMPLEM'!E383,"AAAAACXf/5w=")</f>
        <v>#VALUE!</v>
      </c>
      <c r="FB286" t="e">
        <f>AND('PROG FORM COMPLEM'!F383,"AAAAACXf/50=")</f>
        <v>#VALUE!</v>
      </c>
      <c r="FC286" t="e">
        <f>AND('PROG FORM COMPLEM'!G383,"AAAAACXf/54=")</f>
        <v>#VALUE!</v>
      </c>
      <c r="FD286" t="e">
        <f>AND('PROG FORM COMPLEM'!H383,"AAAAACXf/58=")</f>
        <v>#VALUE!</v>
      </c>
      <c r="FE286" t="e">
        <f>AND('PROG FORM COMPLEM'!I383,"AAAAACXf/6A=")</f>
        <v>#VALUE!</v>
      </c>
      <c r="FF286" t="e">
        <f>AND('PROG FORM COMPLEM'!J383,"AAAAACXf/6E=")</f>
        <v>#VALUE!</v>
      </c>
      <c r="FG286" t="e">
        <f>AND('PROG FORM COMPLEM'!K383,"AAAAACXf/6I=")</f>
        <v>#VALUE!</v>
      </c>
      <c r="FH286" t="e">
        <f>AND('PROG FORM COMPLEM'!L383,"AAAAACXf/6M=")</f>
        <v>#VALUE!</v>
      </c>
      <c r="FI286" t="e">
        <f>AND('PROG FORM COMPLEM'!M383,"AAAAACXf/6Q=")</f>
        <v>#VALUE!</v>
      </c>
      <c r="FJ286" t="e">
        <f>AND('PROG FORM COMPLEM'!N383,"AAAAACXf/6U=")</f>
        <v>#VALUE!</v>
      </c>
      <c r="FK286" t="e">
        <f>AND('PROG FORM COMPLEM'!O383,"AAAAACXf/6Y=")</f>
        <v>#VALUE!</v>
      </c>
      <c r="FL286" t="e">
        <f>AND('PROG FORM COMPLEM'!P383,"AAAAACXf/6c=")</f>
        <v>#VALUE!</v>
      </c>
      <c r="FM286" t="e">
        <f>AND('PROG FORM COMPLEM'!Q383,"AAAAACXf/6g=")</f>
        <v>#VALUE!</v>
      </c>
      <c r="FN286" t="e">
        <f>AND('PROG FORM COMPLEM'!R383,"AAAAACXf/6k=")</f>
        <v>#VALUE!</v>
      </c>
      <c r="FO286" t="e">
        <f>AND('PROG FORM COMPLEM'!S383,"AAAAACXf/6o=")</f>
        <v>#VALUE!</v>
      </c>
      <c r="FP286" t="e">
        <f>AND('PROG FORM COMPLEM'!T383,"AAAAACXf/6s=")</f>
        <v>#VALUE!</v>
      </c>
      <c r="FQ286" t="e">
        <f>AND('PROG FORM COMPLEM'!U383,"AAAAACXf/6w=")</f>
        <v>#VALUE!</v>
      </c>
      <c r="FR286" t="e">
        <f>AND('PROG FORM COMPLEM'!V383,"AAAAACXf/60=")</f>
        <v>#VALUE!</v>
      </c>
      <c r="FS286" t="e">
        <f>AND('PROG FORM COMPLEM'!W383,"AAAAACXf/64=")</f>
        <v>#VALUE!</v>
      </c>
      <c r="FT286">
        <f>IF('PROG FORM COMPLEM'!384:384,"AAAAACXf/68=",0)</f>
        <v>0</v>
      </c>
      <c r="FU286" t="e">
        <f>AND('PROG FORM COMPLEM'!B384,"AAAAACXf/7A=")</f>
        <v>#VALUE!</v>
      </c>
      <c r="FV286" t="e">
        <f>AND('PROG FORM COMPLEM'!C384,"AAAAACXf/7E=")</f>
        <v>#VALUE!</v>
      </c>
      <c r="FW286" t="e">
        <f>AND('PROG FORM COMPLEM'!D384,"AAAAACXf/7I=")</f>
        <v>#VALUE!</v>
      </c>
      <c r="FX286" t="e">
        <f>AND('PROG FORM COMPLEM'!E384,"AAAAACXf/7M=")</f>
        <v>#VALUE!</v>
      </c>
      <c r="FY286" t="e">
        <f>AND('PROG FORM COMPLEM'!F384,"AAAAACXf/7Q=")</f>
        <v>#VALUE!</v>
      </c>
      <c r="FZ286" t="e">
        <f>AND('PROG FORM COMPLEM'!G384,"AAAAACXf/7U=")</f>
        <v>#VALUE!</v>
      </c>
      <c r="GA286" t="e">
        <f>AND('PROG FORM COMPLEM'!H384,"AAAAACXf/7Y=")</f>
        <v>#VALUE!</v>
      </c>
      <c r="GB286" t="e">
        <f>AND('PROG FORM COMPLEM'!I384,"AAAAACXf/7c=")</f>
        <v>#VALUE!</v>
      </c>
      <c r="GC286" t="e">
        <f>AND('PROG FORM COMPLEM'!J384,"AAAAACXf/7g=")</f>
        <v>#VALUE!</v>
      </c>
      <c r="GD286" t="e">
        <f>AND('PROG FORM COMPLEM'!K384,"AAAAACXf/7k=")</f>
        <v>#VALUE!</v>
      </c>
      <c r="GE286" t="e">
        <f>AND('PROG FORM COMPLEM'!L384,"AAAAACXf/7o=")</f>
        <v>#VALUE!</v>
      </c>
      <c r="GF286" t="e">
        <f>AND('PROG FORM COMPLEM'!M384,"AAAAACXf/7s=")</f>
        <v>#VALUE!</v>
      </c>
      <c r="GG286" t="e">
        <f>AND('PROG FORM COMPLEM'!N384,"AAAAACXf/7w=")</f>
        <v>#VALUE!</v>
      </c>
      <c r="GH286" t="e">
        <f>AND('PROG FORM COMPLEM'!O384,"AAAAACXf/70=")</f>
        <v>#VALUE!</v>
      </c>
      <c r="GI286" t="e">
        <f>AND('PROG FORM COMPLEM'!P384,"AAAAACXf/74=")</f>
        <v>#VALUE!</v>
      </c>
      <c r="GJ286" t="e">
        <f>AND('PROG FORM COMPLEM'!Q384,"AAAAACXf/78=")</f>
        <v>#VALUE!</v>
      </c>
      <c r="GK286" t="e">
        <f>AND('PROG FORM COMPLEM'!R384,"AAAAACXf/8A=")</f>
        <v>#VALUE!</v>
      </c>
      <c r="GL286" t="e">
        <f>AND('PROG FORM COMPLEM'!S384,"AAAAACXf/8E=")</f>
        <v>#VALUE!</v>
      </c>
      <c r="GM286" t="e">
        <f>AND('PROG FORM COMPLEM'!T384,"AAAAACXf/8I=")</f>
        <v>#VALUE!</v>
      </c>
      <c r="GN286" t="e">
        <f>AND('PROG FORM COMPLEM'!U384,"AAAAACXf/8M=")</f>
        <v>#VALUE!</v>
      </c>
      <c r="GO286" t="e">
        <f>AND('PROG FORM COMPLEM'!V384,"AAAAACXf/8Q=")</f>
        <v>#VALUE!</v>
      </c>
      <c r="GP286" t="e">
        <f>AND('PROG FORM COMPLEM'!W384,"AAAAACXf/8U=")</f>
        <v>#VALUE!</v>
      </c>
      <c r="GQ286">
        <f>IF('PROG FORM COMPLEM'!385:385,"AAAAACXf/8Y=",0)</f>
        <v>0</v>
      </c>
      <c r="GR286" t="e">
        <f>AND('PROG FORM COMPLEM'!B385,"AAAAACXf/8c=")</f>
        <v>#VALUE!</v>
      </c>
      <c r="GS286" t="e">
        <f>AND('PROG FORM COMPLEM'!C385,"AAAAACXf/8g=")</f>
        <v>#VALUE!</v>
      </c>
      <c r="GT286" t="e">
        <f>AND('PROG FORM COMPLEM'!D385,"AAAAACXf/8k=")</f>
        <v>#VALUE!</v>
      </c>
      <c r="GU286" t="e">
        <f>AND('PROG FORM COMPLEM'!E385,"AAAAACXf/8o=")</f>
        <v>#VALUE!</v>
      </c>
      <c r="GV286" t="e">
        <f>AND('PROG FORM COMPLEM'!F385,"AAAAACXf/8s=")</f>
        <v>#VALUE!</v>
      </c>
      <c r="GW286" t="e">
        <f>AND('PROG FORM COMPLEM'!G385,"AAAAACXf/8w=")</f>
        <v>#VALUE!</v>
      </c>
      <c r="GX286" t="e">
        <f>AND('PROG FORM COMPLEM'!H385,"AAAAACXf/80=")</f>
        <v>#VALUE!</v>
      </c>
      <c r="GY286" t="e">
        <f>AND('PROG FORM COMPLEM'!I385,"AAAAACXf/84=")</f>
        <v>#VALUE!</v>
      </c>
      <c r="GZ286" t="e">
        <f>AND('PROG FORM COMPLEM'!J385,"AAAAACXf/88=")</f>
        <v>#VALUE!</v>
      </c>
      <c r="HA286" t="e">
        <f>AND('PROG FORM COMPLEM'!K385,"AAAAACXf/9A=")</f>
        <v>#VALUE!</v>
      </c>
      <c r="HB286" t="e">
        <f>AND('PROG FORM COMPLEM'!L385,"AAAAACXf/9E=")</f>
        <v>#VALUE!</v>
      </c>
      <c r="HC286" t="e">
        <f>AND('PROG FORM COMPLEM'!M385,"AAAAACXf/9I=")</f>
        <v>#VALUE!</v>
      </c>
      <c r="HD286" t="e">
        <f>AND('PROG FORM COMPLEM'!N385,"AAAAACXf/9M=")</f>
        <v>#VALUE!</v>
      </c>
      <c r="HE286" t="e">
        <f>AND('PROG FORM COMPLEM'!O385,"AAAAACXf/9Q=")</f>
        <v>#VALUE!</v>
      </c>
      <c r="HF286" t="e">
        <f>AND('PROG FORM COMPLEM'!P385,"AAAAACXf/9U=")</f>
        <v>#VALUE!</v>
      </c>
      <c r="HG286" t="e">
        <f>AND('PROG FORM COMPLEM'!Q385,"AAAAACXf/9Y=")</f>
        <v>#VALUE!</v>
      </c>
      <c r="HH286" t="e">
        <f>AND('PROG FORM COMPLEM'!R385,"AAAAACXf/9c=")</f>
        <v>#VALUE!</v>
      </c>
      <c r="HI286" t="e">
        <f>AND('PROG FORM COMPLEM'!S385,"AAAAACXf/9g=")</f>
        <v>#VALUE!</v>
      </c>
      <c r="HJ286" t="e">
        <f>AND('PROG FORM COMPLEM'!T385,"AAAAACXf/9k=")</f>
        <v>#VALUE!</v>
      </c>
      <c r="HK286" t="e">
        <f>AND('PROG FORM COMPLEM'!U385,"AAAAACXf/9o=")</f>
        <v>#VALUE!</v>
      </c>
      <c r="HL286" t="e">
        <f>AND('PROG FORM COMPLEM'!V385,"AAAAACXf/9s=")</f>
        <v>#VALUE!</v>
      </c>
      <c r="HM286" t="e">
        <f>AND('PROG FORM COMPLEM'!W385,"AAAAACXf/9w=")</f>
        <v>#VALUE!</v>
      </c>
      <c r="HN286">
        <f>IF('PROG FORM COMPLEM'!386:386,"AAAAACXf/90=",0)</f>
        <v>0</v>
      </c>
      <c r="HO286" t="e">
        <f>AND('PROG FORM COMPLEM'!B386,"AAAAACXf/94=")</f>
        <v>#VALUE!</v>
      </c>
      <c r="HP286" t="e">
        <f>AND('PROG FORM COMPLEM'!C386,"AAAAACXf/98=")</f>
        <v>#VALUE!</v>
      </c>
      <c r="HQ286" t="e">
        <f>AND('PROG FORM COMPLEM'!D386,"AAAAACXf/+A=")</f>
        <v>#VALUE!</v>
      </c>
      <c r="HR286" t="e">
        <f>AND('PROG FORM COMPLEM'!E386,"AAAAACXf/+E=")</f>
        <v>#VALUE!</v>
      </c>
      <c r="HS286" t="e">
        <f>AND('PROG FORM COMPLEM'!F386,"AAAAACXf/+I=")</f>
        <v>#VALUE!</v>
      </c>
      <c r="HT286" t="e">
        <f>AND('PROG FORM COMPLEM'!G386,"AAAAACXf/+M=")</f>
        <v>#VALUE!</v>
      </c>
      <c r="HU286" t="e">
        <f>AND('PROG FORM COMPLEM'!H386,"AAAAACXf/+Q=")</f>
        <v>#VALUE!</v>
      </c>
      <c r="HV286" t="e">
        <f>AND('PROG FORM COMPLEM'!I386,"AAAAACXf/+U=")</f>
        <v>#VALUE!</v>
      </c>
      <c r="HW286" t="e">
        <f>AND('PROG FORM COMPLEM'!J386,"AAAAACXf/+Y=")</f>
        <v>#VALUE!</v>
      </c>
      <c r="HX286" t="e">
        <f>AND('PROG FORM COMPLEM'!K386,"AAAAACXf/+c=")</f>
        <v>#VALUE!</v>
      </c>
      <c r="HY286" t="e">
        <f>AND('PROG FORM COMPLEM'!L386,"AAAAACXf/+g=")</f>
        <v>#VALUE!</v>
      </c>
      <c r="HZ286" t="e">
        <f>AND('PROG FORM COMPLEM'!M386,"AAAAACXf/+k=")</f>
        <v>#VALUE!</v>
      </c>
      <c r="IA286" t="e">
        <f>AND('PROG FORM COMPLEM'!N386,"AAAAACXf/+o=")</f>
        <v>#VALUE!</v>
      </c>
      <c r="IB286" t="e">
        <f>AND('PROG FORM COMPLEM'!O386,"AAAAACXf/+s=")</f>
        <v>#VALUE!</v>
      </c>
      <c r="IC286" t="e">
        <f>AND('PROG FORM COMPLEM'!P386,"AAAAACXf/+w=")</f>
        <v>#VALUE!</v>
      </c>
      <c r="ID286" t="e">
        <f>AND('PROG FORM COMPLEM'!Q386,"AAAAACXf/+0=")</f>
        <v>#VALUE!</v>
      </c>
      <c r="IE286" t="e">
        <f>AND('PROG FORM COMPLEM'!R386,"AAAAACXf/+4=")</f>
        <v>#VALUE!</v>
      </c>
      <c r="IF286" t="e">
        <f>AND('PROG FORM COMPLEM'!S386,"AAAAACXf/+8=")</f>
        <v>#VALUE!</v>
      </c>
      <c r="IG286" t="e">
        <f>AND('PROG FORM COMPLEM'!T386,"AAAAACXf//A=")</f>
        <v>#VALUE!</v>
      </c>
      <c r="IH286" t="e">
        <f>AND('PROG FORM COMPLEM'!U386,"AAAAACXf//E=")</f>
        <v>#VALUE!</v>
      </c>
      <c r="II286" t="e">
        <f>AND('PROG FORM COMPLEM'!V386,"AAAAACXf//I=")</f>
        <v>#VALUE!</v>
      </c>
      <c r="IJ286" t="e">
        <f>AND('PROG FORM COMPLEM'!W386,"AAAAACXf//M=")</f>
        <v>#VALUE!</v>
      </c>
      <c r="IK286">
        <f>IF('PROG FORM COMPLEM'!387:387,"AAAAACXf//Q=",0)</f>
        <v>0</v>
      </c>
      <c r="IL286" t="e">
        <f>AND('PROG FORM COMPLEM'!B387,"AAAAACXf//U=")</f>
        <v>#VALUE!</v>
      </c>
      <c r="IM286" t="e">
        <f>AND('PROG FORM COMPLEM'!C387,"AAAAACXf//Y=")</f>
        <v>#VALUE!</v>
      </c>
      <c r="IN286" t="e">
        <f>AND('PROG FORM COMPLEM'!D387,"AAAAACXf//c=")</f>
        <v>#VALUE!</v>
      </c>
      <c r="IO286" t="e">
        <f>AND('PROG FORM COMPLEM'!E387,"AAAAACXf//g=")</f>
        <v>#VALUE!</v>
      </c>
      <c r="IP286" t="e">
        <f>AND('PROG FORM COMPLEM'!F387,"AAAAACXf//k=")</f>
        <v>#VALUE!</v>
      </c>
      <c r="IQ286" t="e">
        <f>AND('PROG FORM COMPLEM'!G387,"AAAAACXf//o=")</f>
        <v>#VALUE!</v>
      </c>
      <c r="IR286" t="e">
        <f>AND('PROG FORM COMPLEM'!H387,"AAAAACXf//s=")</f>
        <v>#VALUE!</v>
      </c>
      <c r="IS286" t="e">
        <f>AND('PROG FORM COMPLEM'!I387,"AAAAACXf//w=")</f>
        <v>#VALUE!</v>
      </c>
      <c r="IT286" t="e">
        <f>AND('PROG FORM COMPLEM'!J387,"AAAAACXf//0=")</f>
        <v>#VALUE!</v>
      </c>
      <c r="IU286" t="e">
        <f>AND('PROG FORM COMPLEM'!K387,"AAAAACXf//4=")</f>
        <v>#VALUE!</v>
      </c>
      <c r="IV286" t="e">
        <f>AND('PROG FORM COMPLEM'!L387,"AAAAACXf//8=")</f>
        <v>#VALUE!</v>
      </c>
    </row>
    <row r="287" spans="1:256" x14ac:dyDescent="0.2">
      <c r="A287" t="e">
        <f>AND('PROG FORM COMPLEM'!M387,"AAAAAH/bNAA=")</f>
        <v>#VALUE!</v>
      </c>
      <c r="B287" t="e">
        <f>AND('PROG FORM COMPLEM'!N387,"AAAAAH/bNAE=")</f>
        <v>#VALUE!</v>
      </c>
      <c r="C287" t="e">
        <f>AND('PROG FORM COMPLEM'!O387,"AAAAAH/bNAI=")</f>
        <v>#VALUE!</v>
      </c>
      <c r="D287" t="e">
        <f>AND('PROG FORM COMPLEM'!P387,"AAAAAH/bNAM=")</f>
        <v>#VALUE!</v>
      </c>
      <c r="E287" t="e">
        <f>AND('PROG FORM COMPLEM'!Q387,"AAAAAH/bNAQ=")</f>
        <v>#VALUE!</v>
      </c>
      <c r="F287" t="e">
        <f>AND('PROG FORM COMPLEM'!R387,"AAAAAH/bNAU=")</f>
        <v>#VALUE!</v>
      </c>
      <c r="G287" t="e">
        <f>AND('PROG FORM COMPLEM'!S387,"AAAAAH/bNAY=")</f>
        <v>#VALUE!</v>
      </c>
      <c r="H287" t="e">
        <f>AND('PROG FORM COMPLEM'!T387,"AAAAAH/bNAc=")</f>
        <v>#VALUE!</v>
      </c>
      <c r="I287" t="e">
        <f>AND('PROG FORM COMPLEM'!U387,"AAAAAH/bNAg=")</f>
        <v>#VALUE!</v>
      </c>
      <c r="J287" t="e">
        <f>AND('PROG FORM COMPLEM'!V387,"AAAAAH/bNAk=")</f>
        <v>#VALUE!</v>
      </c>
      <c r="K287" t="e">
        <f>AND('PROG FORM COMPLEM'!W387,"AAAAAH/bNAo=")</f>
        <v>#VALUE!</v>
      </c>
      <c r="L287">
        <f>IF('PROG FORM COMPLEM'!388:388,"AAAAAH/bNAs=",0)</f>
        <v>0</v>
      </c>
      <c r="M287" t="e">
        <f>AND('PROG FORM COMPLEM'!B388,"AAAAAH/bNAw=")</f>
        <v>#VALUE!</v>
      </c>
      <c r="N287" t="e">
        <f>AND('PROG FORM COMPLEM'!C388,"AAAAAH/bNA0=")</f>
        <v>#VALUE!</v>
      </c>
      <c r="O287" t="e">
        <f>AND('PROG FORM COMPLEM'!D388,"AAAAAH/bNA4=")</f>
        <v>#VALUE!</v>
      </c>
      <c r="P287" t="e">
        <f>AND('PROG FORM COMPLEM'!E388,"AAAAAH/bNA8=")</f>
        <v>#VALUE!</v>
      </c>
      <c r="Q287" t="e">
        <f>AND('PROG FORM COMPLEM'!F388,"AAAAAH/bNBA=")</f>
        <v>#VALUE!</v>
      </c>
      <c r="R287" t="e">
        <f>AND('PROG FORM COMPLEM'!G388,"AAAAAH/bNBE=")</f>
        <v>#VALUE!</v>
      </c>
      <c r="S287" t="e">
        <f>AND('PROG FORM COMPLEM'!H388,"AAAAAH/bNBI=")</f>
        <v>#VALUE!</v>
      </c>
      <c r="T287" t="e">
        <f>AND('PROG FORM COMPLEM'!I388,"AAAAAH/bNBM=")</f>
        <v>#VALUE!</v>
      </c>
      <c r="U287" t="e">
        <f>AND('PROG FORM COMPLEM'!J388,"AAAAAH/bNBQ=")</f>
        <v>#VALUE!</v>
      </c>
      <c r="V287" t="e">
        <f>AND('PROG FORM COMPLEM'!K388,"AAAAAH/bNBU=")</f>
        <v>#VALUE!</v>
      </c>
      <c r="W287" t="e">
        <f>AND('PROG FORM COMPLEM'!L388,"AAAAAH/bNBY=")</f>
        <v>#VALUE!</v>
      </c>
      <c r="X287" t="e">
        <f>AND('PROG FORM COMPLEM'!M388,"AAAAAH/bNBc=")</f>
        <v>#VALUE!</v>
      </c>
      <c r="Y287" t="e">
        <f>AND('PROG FORM COMPLEM'!N388,"AAAAAH/bNBg=")</f>
        <v>#VALUE!</v>
      </c>
      <c r="Z287" t="e">
        <f>AND('PROG FORM COMPLEM'!O388,"AAAAAH/bNBk=")</f>
        <v>#VALUE!</v>
      </c>
      <c r="AA287" t="e">
        <f>AND('PROG FORM COMPLEM'!P388,"AAAAAH/bNBo=")</f>
        <v>#VALUE!</v>
      </c>
      <c r="AB287" t="e">
        <f>AND('PROG FORM COMPLEM'!Q388,"AAAAAH/bNBs=")</f>
        <v>#VALUE!</v>
      </c>
      <c r="AC287" t="e">
        <f>AND('PROG FORM COMPLEM'!R388,"AAAAAH/bNBw=")</f>
        <v>#VALUE!</v>
      </c>
      <c r="AD287" t="e">
        <f>AND('PROG FORM COMPLEM'!S388,"AAAAAH/bNB0=")</f>
        <v>#VALUE!</v>
      </c>
      <c r="AE287" t="e">
        <f>AND('PROG FORM COMPLEM'!T388,"AAAAAH/bNB4=")</f>
        <v>#VALUE!</v>
      </c>
      <c r="AF287" t="e">
        <f>AND('PROG FORM COMPLEM'!U388,"AAAAAH/bNB8=")</f>
        <v>#VALUE!</v>
      </c>
      <c r="AG287" t="e">
        <f>AND('PROG FORM COMPLEM'!V388,"AAAAAH/bNCA=")</f>
        <v>#VALUE!</v>
      </c>
      <c r="AH287" t="e">
        <f>AND('PROG FORM COMPLEM'!W388,"AAAAAH/bNCE=")</f>
        <v>#VALUE!</v>
      </c>
      <c r="AI287">
        <f>IF('PROG FORM COMPLEM'!389:389,"AAAAAH/bNCI=",0)</f>
        <v>0</v>
      </c>
      <c r="AJ287" t="e">
        <f>AND('PROG FORM COMPLEM'!B389,"AAAAAH/bNCM=")</f>
        <v>#VALUE!</v>
      </c>
      <c r="AK287" t="e">
        <f>AND('PROG FORM COMPLEM'!C389,"AAAAAH/bNCQ=")</f>
        <v>#VALUE!</v>
      </c>
      <c r="AL287" t="e">
        <f>AND('PROG FORM COMPLEM'!D389,"AAAAAH/bNCU=")</f>
        <v>#VALUE!</v>
      </c>
      <c r="AM287" t="e">
        <f>AND('PROG FORM COMPLEM'!E389,"AAAAAH/bNCY=")</f>
        <v>#VALUE!</v>
      </c>
      <c r="AN287" t="e">
        <f>AND('PROG FORM COMPLEM'!F389,"AAAAAH/bNCc=")</f>
        <v>#VALUE!</v>
      </c>
      <c r="AO287" t="e">
        <f>AND('PROG FORM COMPLEM'!G389,"AAAAAH/bNCg=")</f>
        <v>#VALUE!</v>
      </c>
      <c r="AP287" t="e">
        <f>AND('PROG FORM COMPLEM'!H389,"AAAAAH/bNCk=")</f>
        <v>#VALUE!</v>
      </c>
      <c r="AQ287" t="e">
        <f>AND('PROG FORM COMPLEM'!I389,"AAAAAH/bNCo=")</f>
        <v>#VALUE!</v>
      </c>
      <c r="AR287" t="e">
        <f>AND('PROG FORM COMPLEM'!J389,"AAAAAH/bNCs=")</f>
        <v>#VALUE!</v>
      </c>
      <c r="AS287" t="e">
        <f>AND('PROG FORM COMPLEM'!K389,"AAAAAH/bNCw=")</f>
        <v>#VALUE!</v>
      </c>
      <c r="AT287" t="e">
        <f>AND('PROG FORM COMPLEM'!L389,"AAAAAH/bNC0=")</f>
        <v>#VALUE!</v>
      </c>
      <c r="AU287" t="e">
        <f>AND('PROG FORM COMPLEM'!M389,"AAAAAH/bNC4=")</f>
        <v>#VALUE!</v>
      </c>
      <c r="AV287" t="e">
        <f>AND('PROG FORM COMPLEM'!N389,"AAAAAH/bNC8=")</f>
        <v>#VALUE!</v>
      </c>
      <c r="AW287" t="e">
        <f>AND('PROG FORM COMPLEM'!O389,"AAAAAH/bNDA=")</f>
        <v>#VALUE!</v>
      </c>
      <c r="AX287" t="e">
        <f>AND('PROG FORM COMPLEM'!P389,"AAAAAH/bNDE=")</f>
        <v>#VALUE!</v>
      </c>
      <c r="AY287" t="e">
        <f>AND('PROG FORM COMPLEM'!Q389,"AAAAAH/bNDI=")</f>
        <v>#VALUE!</v>
      </c>
      <c r="AZ287" t="e">
        <f>AND('PROG FORM COMPLEM'!R389,"AAAAAH/bNDM=")</f>
        <v>#VALUE!</v>
      </c>
      <c r="BA287" t="e">
        <f>AND('PROG FORM COMPLEM'!S389,"AAAAAH/bNDQ=")</f>
        <v>#VALUE!</v>
      </c>
      <c r="BB287" t="e">
        <f>AND('PROG FORM COMPLEM'!T389,"AAAAAH/bNDU=")</f>
        <v>#VALUE!</v>
      </c>
      <c r="BC287" t="e">
        <f>AND('PROG FORM COMPLEM'!U389,"AAAAAH/bNDY=")</f>
        <v>#VALUE!</v>
      </c>
      <c r="BD287" t="e">
        <f>AND('PROG FORM COMPLEM'!V389,"AAAAAH/bNDc=")</f>
        <v>#VALUE!</v>
      </c>
      <c r="BE287" t="e">
        <f>AND('PROG FORM COMPLEM'!W389,"AAAAAH/bNDg=")</f>
        <v>#VALUE!</v>
      </c>
      <c r="BF287">
        <f>IF('PROG FORM COMPLEM'!390:390,"AAAAAH/bNDk=",0)</f>
        <v>0</v>
      </c>
      <c r="BG287" t="e">
        <f>AND('PROG FORM COMPLEM'!B390,"AAAAAH/bNDo=")</f>
        <v>#VALUE!</v>
      </c>
      <c r="BH287" t="e">
        <f>AND('PROG FORM COMPLEM'!C390,"AAAAAH/bNDs=")</f>
        <v>#VALUE!</v>
      </c>
      <c r="BI287" t="e">
        <f>AND('PROG FORM COMPLEM'!D390,"AAAAAH/bNDw=")</f>
        <v>#VALUE!</v>
      </c>
      <c r="BJ287" t="e">
        <f>AND('PROG FORM COMPLEM'!E390,"AAAAAH/bND0=")</f>
        <v>#VALUE!</v>
      </c>
      <c r="BK287" t="e">
        <f>AND('PROG FORM COMPLEM'!F390,"AAAAAH/bND4=")</f>
        <v>#VALUE!</v>
      </c>
      <c r="BL287" t="e">
        <f>AND('PROG FORM COMPLEM'!G390,"AAAAAH/bND8=")</f>
        <v>#VALUE!</v>
      </c>
      <c r="BM287" t="e">
        <f>AND('PROG FORM COMPLEM'!H390,"AAAAAH/bNEA=")</f>
        <v>#VALUE!</v>
      </c>
      <c r="BN287" t="e">
        <f>AND('PROG FORM COMPLEM'!I390,"AAAAAH/bNEE=")</f>
        <v>#VALUE!</v>
      </c>
      <c r="BO287" t="e">
        <f>AND('PROG FORM COMPLEM'!J390,"AAAAAH/bNEI=")</f>
        <v>#VALUE!</v>
      </c>
      <c r="BP287" t="e">
        <f>AND('PROG FORM COMPLEM'!K390,"AAAAAH/bNEM=")</f>
        <v>#VALUE!</v>
      </c>
      <c r="BQ287" t="e">
        <f>AND('PROG FORM COMPLEM'!L390,"AAAAAH/bNEQ=")</f>
        <v>#VALUE!</v>
      </c>
      <c r="BR287" t="e">
        <f>AND('PROG FORM COMPLEM'!M390,"AAAAAH/bNEU=")</f>
        <v>#VALUE!</v>
      </c>
      <c r="BS287" t="e">
        <f>AND('PROG FORM COMPLEM'!N390,"AAAAAH/bNEY=")</f>
        <v>#VALUE!</v>
      </c>
      <c r="BT287" t="e">
        <f>AND('PROG FORM COMPLEM'!O390,"AAAAAH/bNEc=")</f>
        <v>#VALUE!</v>
      </c>
      <c r="BU287" t="e">
        <f>AND('PROG FORM COMPLEM'!P390,"AAAAAH/bNEg=")</f>
        <v>#VALUE!</v>
      </c>
      <c r="BV287" t="e">
        <f>AND('PROG FORM COMPLEM'!Q390,"AAAAAH/bNEk=")</f>
        <v>#VALUE!</v>
      </c>
      <c r="BW287" t="e">
        <f>AND('PROG FORM COMPLEM'!R390,"AAAAAH/bNEo=")</f>
        <v>#VALUE!</v>
      </c>
      <c r="BX287" t="e">
        <f>AND('PROG FORM COMPLEM'!S390,"AAAAAH/bNEs=")</f>
        <v>#VALUE!</v>
      </c>
      <c r="BY287" t="e">
        <f>AND('PROG FORM COMPLEM'!T390,"AAAAAH/bNEw=")</f>
        <v>#VALUE!</v>
      </c>
      <c r="BZ287" t="e">
        <f>AND('PROG FORM COMPLEM'!U390,"AAAAAH/bNE0=")</f>
        <v>#VALUE!</v>
      </c>
      <c r="CA287" t="e">
        <f>AND('PROG FORM COMPLEM'!V390,"AAAAAH/bNE4=")</f>
        <v>#VALUE!</v>
      </c>
      <c r="CB287" t="e">
        <f>AND('PROG FORM COMPLEM'!W390,"AAAAAH/bNE8=")</f>
        <v>#VALUE!</v>
      </c>
      <c r="CC287">
        <f>IF('PROG FORM COMPLEM'!391:391,"AAAAAH/bNFA=",0)</f>
        <v>0</v>
      </c>
      <c r="CD287" t="e">
        <f>AND('PROG FORM COMPLEM'!B391,"AAAAAH/bNFE=")</f>
        <v>#VALUE!</v>
      </c>
      <c r="CE287" t="e">
        <f>AND('PROG FORM COMPLEM'!C391,"AAAAAH/bNFI=")</f>
        <v>#VALUE!</v>
      </c>
      <c r="CF287" t="e">
        <f>AND('PROG FORM COMPLEM'!D391,"AAAAAH/bNFM=")</f>
        <v>#VALUE!</v>
      </c>
      <c r="CG287" t="e">
        <f>AND('PROG FORM COMPLEM'!E391,"AAAAAH/bNFQ=")</f>
        <v>#VALUE!</v>
      </c>
      <c r="CH287" t="e">
        <f>AND('PROG FORM COMPLEM'!F391,"AAAAAH/bNFU=")</f>
        <v>#VALUE!</v>
      </c>
      <c r="CI287" t="e">
        <f>AND('PROG FORM COMPLEM'!G391,"AAAAAH/bNFY=")</f>
        <v>#VALUE!</v>
      </c>
      <c r="CJ287" t="e">
        <f>AND('PROG FORM COMPLEM'!H391,"AAAAAH/bNFc=")</f>
        <v>#VALUE!</v>
      </c>
      <c r="CK287" t="e">
        <f>AND('PROG FORM COMPLEM'!I391,"AAAAAH/bNFg=")</f>
        <v>#VALUE!</v>
      </c>
      <c r="CL287" t="e">
        <f>AND('PROG FORM COMPLEM'!J391,"AAAAAH/bNFk=")</f>
        <v>#VALUE!</v>
      </c>
      <c r="CM287" t="e">
        <f>AND('PROG FORM COMPLEM'!K391,"AAAAAH/bNFo=")</f>
        <v>#VALUE!</v>
      </c>
      <c r="CN287" t="e">
        <f>AND('PROG FORM COMPLEM'!L391,"AAAAAH/bNFs=")</f>
        <v>#VALUE!</v>
      </c>
      <c r="CO287" t="e">
        <f>AND('PROG FORM COMPLEM'!M391,"AAAAAH/bNFw=")</f>
        <v>#VALUE!</v>
      </c>
      <c r="CP287" t="e">
        <f>AND('PROG FORM COMPLEM'!N391,"AAAAAH/bNF0=")</f>
        <v>#VALUE!</v>
      </c>
      <c r="CQ287" t="e">
        <f>AND('PROG FORM COMPLEM'!O391,"AAAAAH/bNF4=")</f>
        <v>#VALUE!</v>
      </c>
      <c r="CR287" t="e">
        <f>AND('PROG FORM COMPLEM'!P391,"AAAAAH/bNF8=")</f>
        <v>#VALUE!</v>
      </c>
      <c r="CS287" t="e">
        <f>AND('PROG FORM COMPLEM'!Q391,"AAAAAH/bNGA=")</f>
        <v>#VALUE!</v>
      </c>
      <c r="CT287" t="e">
        <f>AND('PROG FORM COMPLEM'!R391,"AAAAAH/bNGE=")</f>
        <v>#VALUE!</v>
      </c>
      <c r="CU287" t="e">
        <f>AND('PROG FORM COMPLEM'!S391,"AAAAAH/bNGI=")</f>
        <v>#VALUE!</v>
      </c>
      <c r="CV287" t="e">
        <f>AND('PROG FORM COMPLEM'!T391,"AAAAAH/bNGM=")</f>
        <v>#VALUE!</v>
      </c>
      <c r="CW287" t="e">
        <f>AND('PROG FORM COMPLEM'!U391,"AAAAAH/bNGQ=")</f>
        <v>#VALUE!</v>
      </c>
      <c r="CX287" t="e">
        <f>AND('PROG FORM COMPLEM'!V391,"AAAAAH/bNGU=")</f>
        <v>#VALUE!</v>
      </c>
      <c r="CY287" t="e">
        <f>AND('PROG FORM COMPLEM'!W391,"AAAAAH/bNGY=")</f>
        <v>#VALUE!</v>
      </c>
      <c r="CZ287">
        <f>IF('PROG FORM COMPLEM'!392:392,"AAAAAH/bNGc=",0)</f>
        <v>0</v>
      </c>
      <c r="DA287" t="e">
        <f>AND('PROG FORM COMPLEM'!B392,"AAAAAH/bNGg=")</f>
        <v>#VALUE!</v>
      </c>
      <c r="DB287" t="e">
        <f>AND('PROG FORM COMPLEM'!C392,"AAAAAH/bNGk=")</f>
        <v>#VALUE!</v>
      </c>
      <c r="DC287" t="e">
        <f>AND('PROG FORM COMPLEM'!D392,"AAAAAH/bNGo=")</f>
        <v>#VALUE!</v>
      </c>
      <c r="DD287" t="e">
        <f>AND('PROG FORM COMPLEM'!E392,"AAAAAH/bNGs=")</f>
        <v>#VALUE!</v>
      </c>
      <c r="DE287" t="e">
        <f>AND('PROG FORM COMPLEM'!F392,"AAAAAH/bNGw=")</f>
        <v>#VALUE!</v>
      </c>
      <c r="DF287" t="e">
        <f>AND('PROG FORM COMPLEM'!G392,"AAAAAH/bNG0=")</f>
        <v>#VALUE!</v>
      </c>
      <c r="DG287" t="e">
        <f>AND('PROG FORM COMPLEM'!H392,"AAAAAH/bNG4=")</f>
        <v>#VALUE!</v>
      </c>
      <c r="DH287" t="e">
        <f>AND('PROG FORM COMPLEM'!I392,"AAAAAH/bNG8=")</f>
        <v>#VALUE!</v>
      </c>
      <c r="DI287" t="e">
        <f>AND('PROG FORM COMPLEM'!J392,"AAAAAH/bNHA=")</f>
        <v>#VALUE!</v>
      </c>
      <c r="DJ287" t="e">
        <f>AND('PROG FORM COMPLEM'!K392,"AAAAAH/bNHE=")</f>
        <v>#VALUE!</v>
      </c>
      <c r="DK287" t="e">
        <f>AND('PROG FORM COMPLEM'!L392,"AAAAAH/bNHI=")</f>
        <v>#VALUE!</v>
      </c>
      <c r="DL287" t="e">
        <f>AND('PROG FORM COMPLEM'!M392,"AAAAAH/bNHM=")</f>
        <v>#VALUE!</v>
      </c>
      <c r="DM287" t="e">
        <f>AND('PROG FORM COMPLEM'!N392,"AAAAAH/bNHQ=")</f>
        <v>#VALUE!</v>
      </c>
      <c r="DN287" t="e">
        <f>AND('PROG FORM COMPLEM'!O392,"AAAAAH/bNHU=")</f>
        <v>#VALUE!</v>
      </c>
      <c r="DO287" t="e">
        <f>AND('PROG FORM COMPLEM'!P392,"AAAAAH/bNHY=")</f>
        <v>#VALUE!</v>
      </c>
      <c r="DP287" t="e">
        <f>AND('PROG FORM COMPLEM'!Q392,"AAAAAH/bNHc=")</f>
        <v>#VALUE!</v>
      </c>
      <c r="DQ287" t="e">
        <f>AND('PROG FORM COMPLEM'!R392,"AAAAAH/bNHg=")</f>
        <v>#VALUE!</v>
      </c>
      <c r="DR287" t="e">
        <f>AND('PROG FORM COMPLEM'!S392,"AAAAAH/bNHk=")</f>
        <v>#VALUE!</v>
      </c>
      <c r="DS287" t="e">
        <f>AND('PROG FORM COMPLEM'!T392,"AAAAAH/bNHo=")</f>
        <v>#VALUE!</v>
      </c>
      <c r="DT287" t="e">
        <f>AND('PROG FORM COMPLEM'!U392,"AAAAAH/bNHs=")</f>
        <v>#VALUE!</v>
      </c>
      <c r="DU287" t="e">
        <f>AND('PROG FORM COMPLEM'!V392,"AAAAAH/bNHw=")</f>
        <v>#VALUE!</v>
      </c>
      <c r="DV287" t="e">
        <f>AND('PROG FORM COMPLEM'!W392,"AAAAAH/bNH0=")</f>
        <v>#VALUE!</v>
      </c>
      <c r="DW287">
        <f>IF('PROG FORM COMPLEM'!393:393,"AAAAAH/bNH4=",0)</f>
        <v>0</v>
      </c>
      <c r="DX287" t="e">
        <f>AND('PROG FORM COMPLEM'!B393,"AAAAAH/bNH8=")</f>
        <v>#VALUE!</v>
      </c>
      <c r="DY287" t="e">
        <f>AND('PROG FORM COMPLEM'!C393,"AAAAAH/bNIA=")</f>
        <v>#VALUE!</v>
      </c>
      <c r="DZ287" t="e">
        <f>AND('PROG FORM COMPLEM'!D393,"AAAAAH/bNIE=")</f>
        <v>#VALUE!</v>
      </c>
      <c r="EA287" t="e">
        <f>AND('PROG FORM COMPLEM'!E393,"AAAAAH/bNII=")</f>
        <v>#VALUE!</v>
      </c>
      <c r="EB287" t="e">
        <f>AND('PROG FORM COMPLEM'!F393,"AAAAAH/bNIM=")</f>
        <v>#VALUE!</v>
      </c>
      <c r="EC287" t="e">
        <f>AND('PROG FORM COMPLEM'!G393,"AAAAAH/bNIQ=")</f>
        <v>#VALUE!</v>
      </c>
      <c r="ED287" t="e">
        <f>AND('PROG FORM COMPLEM'!H393,"AAAAAH/bNIU=")</f>
        <v>#VALUE!</v>
      </c>
      <c r="EE287" t="e">
        <f>AND('PROG FORM COMPLEM'!I393,"AAAAAH/bNIY=")</f>
        <v>#VALUE!</v>
      </c>
      <c r="EF287" t="e">
        <f>AND('PROG FORM COMPLEM'!J393,"AAAAAH/bNIc=")</f>
        <v>#VALUE!</v>
      </c>
      <c r="EG287" t="e">
        <f>AND('PROG FORM COMPLEM'!K393,"AAAAAH/bNIg=")</f>
        <v>#VALUE!</v>
      </c>
      <c r="EH287" t="e">
        <f>AND('PROG FORM COMPLEM'!L393,"AAAAAH/bNIk=")</f>
        <v>#VALUE!</v>
      </c>
      <c r="EI287" t="e">
        <f>AND('PROG FORM COMPLEM'!M393,"AAAAAH/bNIo=")</f>
        <v>#VALUE!</v>
      </c>
      <c r="EJ287" t="e">
        <f>AND('PROG FORM COMPLEM'!N393,"AAAAAH/bNIs=")</f>
        <v>#VALUE!</v>
      </c>
      <c r="EK287" t="e">
        <f>AND('PROG FORM COMPLEM'!O393,"AAAAAH/bNIw=")</f>
        <v>#VALUE!</v>
      </c>
      <c r="EL287" t="e">
        <f>AND('PROG FORM COMPLEM'!P393,"AAAAAH/bNI0=")</f>
        <v>#VALUE!</v>
      </c>
      <c r="EM287" t="e">
        <f>AND('PROG FORM COMPLEM'!Q393,"AAAAAH/bNI4=")</f>
        <v>#VALUE!</v>
      </c>
      <c r="EN287" t="e">
        <f>AND('PROG FORM COMPLEM'!R393,"AAAAAH/bNI8=")</f>
        <v>#VALUE!</v>
      </c>
      <c r="EO287" t="e">
        <f>AND('PROG FORM COMPLEM'!S393,"AAAAAH/bNJA=")</f>
        <v>#VALUE!</v>
      </c>
      <c r="EP287" t="e">
        <f>AND('PROG FORM COMPLEM'!T393,"AAAAAH/bNJE=")</f>
        <v>#VALUE!</v>
      </c>
      <c r="EQ287" t="e">
        <f>AND('PROG FORM COMPLEM'!U393,"AAAAAH/bNJI=")</f>
        <v>#VALUE!</v>
      </c>
      <c r="ER287" t="e">
        <f>AND('PROG FORM COMPLEM'!V393,"AAAAAH/bNJM=")</f>
        <v>#VALUE!</v>
      </c>
      <c r="ES287" t="e">
        <f>AND('PROG FORM COMPLEM'!W393,"AAAAAH/bNJQ=")</f>
        <v>#VALUE!</v>
      </c>
      <c r="ET287">
        <f>IF('PROG FORM COMPLEM'!394:394,"AAAAAH/bNJU=",0)</f>
        <v>0</v>
      </c>
      <c r="EU287" t="e">
        <f>AND('PROG FORM COMPLEM'!B394,"AAAAAH/bNJY=")</f>
        <v>#VALUE!</v>
      </c>
      <c r="EV287" t="e">
        <f>AND('PROG FORM COMPLEM'!C394,"AAAAAH/bNJc=")</f>
        <v>#VALUE!</v>
      </c>
      <c r="EW287" t="e">
        <f>AND('PROG FORM COMPLEM'!D394,"AAAAAH/bNJg=")</f>
        <v>#VALUE!</v>
      </c>
      <c r="EX287" t="e">
        <f>AND('PROG FORM COMPLEM'!E394,"AAAAAH/bNJk=")</f>
        <v>#VALUE!</v>
      </c>
      <c r="EY287" t="e">
        <f>AND('PROG FORM COMPLEM'!F394,"AAAAAH/bNJo=")</f>
        <v>#VALUE!</v>
      </c>
      <c r="EZ287" t="e">
        <f>AND('PROG FORM COMPLEM'!G394,"AAAAAH/bNJs=")</f>
        <v>#VALUE!</v>
      </c>
      <c r="FA287" t="e">
        <f>AND('PROG FORM COMPLEM'!H394,"AAAAAH/bNJw=")</f>
        <v>#VALUE!</v>
      </c>
      <c r="FB287" t="e">
        <f>AND('PROG FORM COMPLEM'!I394,"AAAAAH/bNJ0=")</f>
        <v>#VALUE!</v>
      </c>
      <c r="FC287" t="e">
        <f>AND('PROG FORM COMPLEM'!J394,"AAAAAH/bNJ4=")</f>
        <v>#VALUE!</v>
      </c>
      <c r="FD287" t="e">
        <f>AND('PROG FORM COMPLEM'!K394,"AAAAAH/bNJ8=")</f>
        <v>#VALUE!</v>
      </c>
      <c r="FE287" t="e">
        <f>AND('PROG FORM COMPLEM'!L394,"AAAAAH/bNKA=")</f>
        <v>#VALUE!</v>
      </c>
      <c r="FF287" t="e">
        <f>AND('PROG FORM COMPLEM'!M394,"AAAAAH/bNKE=")</f>
        <v>#VALUE!</v>
      </c>
      <c r="FG287" t="e">
        <f>AND('PROG FORM COMPLEM'!N394,"AAAAAH/bNKI=")</f>
        <v>#VALUE!</v>
      </c>
      <c r="FH287" t="e">
        <f>AND('PROG FORM COMPLEM'!O394,"AAAAAH/bNKM=")</f>
        <v>#VALUE!</v>
      </c>
      <c r="FI287" t="e">
        <f>AND('PROG FORM COMPLEM'!P394,"AAAAAH/bNKQ=")</f>
        <v>#VALUE!</v>
      </c>
      <c r="FJ287" t="e">
        <f>AND('PROG FORM COMPLEM'!Q394,"AAAAAH/bNKU=")</f>
        <v>#VALUE!</v>
      </c>
      <c r="FK287" t="e">
        <f>AND('PROG FORM COMPLEM'!R394,"AAAAAH/bNKY=")</f>
        <v>#VALUE!</v>
      </c>
      <c r="FL287" t="e">
        <f>AND('PROG FORM COMPLEM'!S394,"AAAAAH/bNKc=")</f>
        <v>#VALUE!</v>
      </c>
      <c r="FM287" t="e">
        <f>AND('PROG FORM COMPLEM'!T394,"AAAAAH/bNKg=")</f>
        <v>#VALUE!</v>
      </c>
      <c r="FN287" t="e">
        <f>AND('PROG FORM COMPLEM'!U394,"AAAAAH/bNKk=")</f>
        <v>#VALUE!</v>
      </c>
      <c r="FO287" t="e">
        <f>AND('PROG FORM COMPLEM'!V394,"AAAAAH/bNKo=")</f>
        <v>#VALUE!</v>
      </c>
      <c r="FP287" t="e">
        <f>AND('PROG FORM COMPLEM'!W394,"AAAAAH/bNKs=")</f>
        <v>#VALUE!</v>
      </c>
      <c r="FQ287">
        <f>IF('PROG FORM COMPLEM'!395:395,"AAAAAH/bNKw=",0)</f>
        <v>0</v>
      </c>
      <c r="FR287" t="e">
        <f>AND('PROG FORM COMPLEM'!B395,"AAAAAH/bNK0=")</f>
        <v>#VALUE!</v>
      </c>
      <c r="FS287" t="e">
        <f>AND('PROG FORM COMPLEM'!C395,"AAAAAH/bNK4=")</f>
        <v>#VALUE!</v>
      </c>
      <c r="FT287" t="e">
        <f>AND('PROG FORM COMPLEM'!D395,"AAAAAH/bNK8=")</f>
        <v>#VALUE!</v>
      </c>
      <c r="FU287" t="e">
        <f>AND('PROG FORM COMPLEM'!E395,"AAAAAH/bNLA=")</f>
        <v>#VALUE!</v>
      </c>
      <c r="FV287" t="e">
        <f>AND('PROG FORM COMPLEM'!F395,"AAAAAH/bNLE=")</f>
        <v>#VALUE!</v>
      </c>
      <c r="FW287" t="e">
        <f>AND('PROG FORM COMPLEM'!G395,"AAAAAH/bNLI=")</f>
        <v>#VALUE!</v>
      </c>
      <c r="FX287" t="e">
        <f>AND('PROG FORM COMPLEM'!H395,"AAAAAH/bNLM=")</f>
        <v>#VALUE!</v>
      </c>
      <c r="FY287" t="e">
        <f>AND('PROG FORM COMPLEM'!I395,"AAAAAH/bNLQ=")</f>
        <v>#VALUE!</v>
      </c>
      <c r="FZ287" t="e">
        <f>AND('PROG FORM COMPLEM'!J395,"AAAAAH/bNLU=")</f>
        <v>#VALUE!</v>
      </c>
      <c r="GA287" t="e">
        <f>AND('PROG FORM COMPLEM'!K395,"AAAAAH/bNLY=")</f>
        <v>#VALUE!</v>
      </c>
      <c r="GB287" t="e">
        <f>AND('PROG FORM COMPLEM'!L395,"AAAAAH/bNLc=")</f>
        <v>#VALUE!</v>
      </c>
      <c r="GC287" t="e">
        <f>AND('PROG FORM COMPLEM'!M395,"AAAAAH/bNLg=")</f>
        <v>#VALUE!</v>
      </c>
      <c r="GD287" t="e">
        <f>AND('PROG FORM COMPLEM'!N395,"AAAAAH/bNLk=")</f>
        <v>#VALUE!</v>
      </c>
      <c r="GE287" t="e">
        <f>AND('PROG FORM COMPLEM'!O395,"AAAAAH/bNLo=")</f>
        <v>#VALUE!</v>
      </c>
      <c r="GF287" t="e">
        <f>AND('PROG FORM COMPLEM'!P395,"AAAAAH/bNLs=")</f>
        <v>#VALUE!</v>
      </c>
      <c r="GG287" t="e">
        <f>AND('PROG FORM COMPLEM'!Q395,"AAAAAH/bNLw=")</f>
        <v>#VALUE!</v>
      </c>
      <c r="GH287" t="e">
        <f>AND('PROG FORM COMPLEM'!R395,"AAAAAH/bNL0=")</f>
        <v>#VALUE!</v>
      </c>
      <c r="GI287" t="e">
        <f>AND('PROG FORM COMPLEM'!S395,"AAAAAH/bNL4=")</f>
        <v>#VALUE!</v>
      </c>
      <c r="GJ287" t="e">
        <f>AND('PROG FORM COMPLEM'!T395,"AAAAAH/bNL8=")</f>
        <v>#VALUE!</v>
      </c>
      <c r="GK287" t="e">
        <f>AND('PROG FORM COMPLEM'!U395,"AAAAAH/bNMA=")</f>
        <v>#VALUE!</v>
      </c>
      <c r="GL287" t="e">
        <f>AND('PROG FORM COMPLEM'!V395,"AAAAAH/bNME=")</f>
        <v>#VALUE!</v>
      </c>
      <c r="GM287" t="e">
        <f>AND('PROG FORM COMPLEM'!W395,"AAAAAH/bNMI=")</f>
        <v>#VALUE!</v>
      </c>
      <c r="GN287">
        <f>IF('PROG FORM COMPLEM'!396:396,"AAAAAH/bNMM=",0)</f>
        <v>0</v>
      </c>
      <c r="GO287" t="e">
        <f>AND('PROG FORM COMPLEM'!B396,"AAAAAH/bNMQ=")</f>
        <v>#VALUE!</v>
      </c>
      <c r="GP287" t="e">
        <f>AND('PROG FORM COMPLEM'!C396,"AAAAAH/bNMU=")</f>
        <v>#VALUE!</v>
      </c>
      <c r="GQ287" t="e">
        <f>AND('PROG FORM COMPLEM'!D396,"AAAAAH/bNMY=")</f>
        <v>#VALUE!</v>
      </c>
      <c r="GR287" t="e">
        <f>AND('PROG FORM COMPLEM'!E396,"AAAAAH/bNMc=")</f>
        <v>#VALUE!</v>
      </c>
      <c r="GS287" t="e">
        <f>AND('PROG FORM COMPLEM'!F396,"AAAAAH/bNMg=")</f>
        <v>#VALUE!</v>
      </c>
      <c r="GT287" t="e">
        <f>AND('PROG FORM COMPLEM'!G396,"AAAAAH/bNMk=")</f>
        <v>#VALUE!</v>
      </c>
      <c r="GU287" t="e">
        <f>AND('PROG FORM COMPLEM'!H396,"AAAAAH/bNMo=")</f>
        <v>#VALUE!</v>
      </c>
      <c r="GV287" t="e">
        <f>AND('PROG FORM COMPLEM'!I396,"AAAAAH/bNMs=")</f>
        <v>#VALUE!</v>
      </c>
      <c r="GW287" t="e">
        <f>AND('PROG FORM COMPLEM'!J396,"AAAAAH/bNMw=")</f>
        <v>#VALUE!</v>
      </c>
      <c r="GX287" t="e">
        <f>AND('PROG FORM COMPLEM'!K396,"AAAAAH/bNM0=")</f>
        <v>#VALUE!</v>
      </c>
      <c r="GY287" t="e">
        <f>AND('PROG FORM COMPLEM'!L396,"AAAAAH/bNM4=")</f>
        <v>#VALUE!</v>
      </c>
      <c r="GZ287" t="e">
        <f>AND('PROG FORM COMPLEM'!M396,"AAAAAH/bNM8=")</f>
        <v>#VALUE!</v>
      </c>
      <c r="HA287" t="e">
        <f>AND('PROG FORM COMPLEM'!N396,"AAAAAH/bNNA=")</f>
        <v>#VALUE!</v>
      </c>
      <c r="HB287" t="e">
        <f>AND('PROG FORM COMPLEM'!O396,"AAAAAH/bNNE=")</f>
        <v>#VALUE!</v>
      </c>
      <c r="HC287" t="e">
        <f>AND('PROG FORM COMPLEM'!P396,"AAAAAH/bNNI=")</f>
        <v>#VALUE!</v>
      </c>
      <c r="HD287" t="e">
        <f>AND('PROG FORM COMPLEM'!Q396,"AAAAAH/bNNM=")</f>
        <v>#VALUE!</v>
      </c>
      <c r="HE287" t="e">
        <f>AND('PROG FORM COMPLEM'!R396,"AAAAAH/bNNQ=")</f>
        <v>#VALUE!</v>
      </c>
      <c r="HF287" t="e">
        <f>AND('PROG FORM COMPLEM'!S396,"AAAAAH/bNNU=")</f>
        <v>#VALUE!</v>
      </c>
      <c r="HG287" t="e">
        <f>AND('PROG FORM COMPLEM'!T396,"AAAAAH/bNNY=")</f>
        <v>#VALUE!</v>
      </c>
      <c r="HH287" t="e">
        <f>AND('PROG FORM COMPLEM'!U396,"AAAAAH/bNNc=")</f>
        <v>#VALUE!</v>
      </c>
      <c r="HI287" t="e">
        <f>AND('PROG FORM COMPLEM'!V396,"AAAAAH/bNNg=")</f>
        <v>#VALUE!</v>
      </c>
      <c r="HJ287" t="e">
        <f>AND('PROG FORM COMPLEM'!W396,"AAAAAH/bNNk=")</f>
        <v>#VALUE!</v>
      </c>
      <c r="HK287">
        <f>IF('PROG FORM COMPLEM'!397:397,"AAAAAH/bNNo=",0)</f>
        <v>0</v>
      </c>
      <c r="HL287" t="e">
        <f>AND('PROG FORM COMPLEM'!B397,"AAAAAH/bNNs=")</f>
        <v>#VALUE!</v>
      </c>
      <c r="HM287" t="e">
        <f>AND('PROG FORM COMPLEM'!C397,"AAAAAH/bNNw=")</f>
        <v>#VALUE!</v>
      </c>
      <c r="HN287" t="e">
        <f>AND('PROG FORM COMPLEM'!D397,"AAAAAH/bNN0=")</f>
        <v>#VALUE!</v>
      </c>
      <c r="HO287" t="e">
        <f>AND('PROG FORM COMPLEM'!E397,"AAAAAH/bNN4=")</f>
        <v>#VALUE!</v>
      </c>
      <c r="HP287" t="e">
        <f>AND('PROG FORM COMPLEM'!F397,"AAAAAH/bNN8=")</f>
        <v>#VALUE!</v>
      </c>
      <c r="HQ287" t="e">
        <f>AND('PROG FORM COMPLEM'!G397,"AAAAAH/bNOA=")</f>
        <v>#VALUE!</v>
      </c>
      <c r="HR287" t="e">
        <f>AND('PROG FORM COMPLEM'!H397,"AAAAAH/bNOE=")</f>
        <v>#VALUE!</v>
      </c>
      <c r="HS287" t="e">
        <f>AND('PROG FORM COMPLEM'!I397,"AAAAAH/bNOI=")</f>
        <v>#VALUE!</v>
      </c>
      <c r="HT287" t="e">
        <f>AND('PROG FORM COMPLEM'!J397,"AAAAAH/bNOM=")</f>
        <v>#VALUE!</v>
      </c>
      <c r="HU287" t="e">
        <f>AND('PROG FORM COMPLEM'!K397,"AAAAAH/bNOQ=")</f>
        <v>#VALUE!</v>
      </c>
      <c r="HV287" t="e">
        <f>AND('PROG FORM COMPLEM'!L397,"AAAAAH/bNOU=")</f>
        <v>#VALUE!</v>
      </c>
      <c r="HW287" t="e">
        <f>AND('PROG FORM COMPLEM'!M397,"AAAAAH/bNOY=")</f>
        <v>#VALUE!</v>
      </c>
      <c r="HX287" t="e">
        <f>AND('PROG FORM COMPLEM'!N397,"AAAAAH/bNOc=")</f>
        <v>#VALUE!</v>
      </c>
      <c r="HY287" t="e">
        <f>AND('PROG FORM COMPLEM'!O397,"AAAAAH/bNOg=")</f>
        <v>#VALUE!</v>
      </c>
      <c r="HZ287" t="e">
        <f>AND('PROG FORM COMPLEM'!P397,"AAAAAH/bNOk=")</f>
        <v>#VALUE!</v>
      </c>
      <c r="IA287" t="e">
        <f>AND('PROG FORM COMPLEM'!Q397,"AAAAAH/bNOo=")</f>
        <v>#VALUE!</v>
      </c>
      <c r="IB287" t="e">
        <f>AND('PROG FORM COMPLEM'!R397,"AAAAAH/bNOs=")</f>
        <v>#VALUE!</v>
      </c>
      <c r="IC287" t="e">
        <f>AND('PROG FORM COMPLEM'!S397,"AAAAAH/bNOw=")</f>
        <v>#VALUE!</v>
      </c>
      <c r="ID287" t="e">
        <f>AND('PROG FORM COMPLEM'!T397,"AAAAAH/bNO0=")</f>
        <v>#VALUE!</v>
      </c>
      <c r="IE287" t="e">
        <f>AND('PROG FORM COMPLEM'!U397,"AAAAAH/bNO4=")</f>
        <v>#VALUE!</v>
      </c>
      <c r="IF287" t="e">
        <f>AND('PROG FORM COMPLEM'!V397,"AAAAAH/bNO8=")</f>
        <v>#VALUE!</v>
      </c>
      <c r="IG287" t="e">
        <f>AND('PROG FORM COMPLEM'!W397,"AAAAAH/bNPA=")</f>
        <v>#VALUE!</v>
      </c>
      <c r="IH287">
        <f>IF('PROG FORM COMPLEM'!398:398,"AAAAAH/bNPE=",0)</f>
        <v>0</v>
      </c>
      <c r="II287" t="e">
        <f>AND('PROG FORM COMPLEM'!B398,"AAAAAH/bNPI=")</f>
        <v>#VALUE!</v>
      </c>
      <c r="IJ287" t="e">
        <f>AND('PROG FORM COMPLEM'!C398,"AAAAAH/bNPM=")</f>
        <v>#VALUE!</v>
      </c>
      <c r="IK287" t="e">
        <f>AND('PROG FORM COMPLEM'!D398,"AAAAAH/bNPQ=")</f>
        <v>#VALUE!</v>
      </c>
      <c r="IL287" t="e">
        <f>AND('PROG FORM COMPLEM'!E398,"AAAAAH/bNPU=")</f>
        <v>#VALUE!</v>
      </c>
      <c r="IM287" t="e">
        <f>AND('PROG FORM COMPLEM'!F398,"AAAAAH/bNPY=")</f>
        <v>#VALUE!</v>
      </c>
      <c r="IN287" t="e">
        <f>AND('PROG FORM COMPLEM'!G398,"AAAAAH/bNPc=")</f>
        <v>#VALUE!</v>
      </c>
      <c r="IO287" t="e">
        <f>AND('PROG FORM COMPLEM'!H398,"AAAAAH/bNPg=")</f>
        <v>#VALUE!</v>
      </c>
      <c r="IP287" t="e">
        <f>AND('PROG FORM COMPLEM'!I398,"AAAAAH/bNPk=")</f>
        <v>#VALUE!</v>
      </c>
      <c r="IQ287" t="e">
        <f>AND('PROG FORM COMPLEM'!J398,"AAAAAH/bNPo=")</f>
        <v>#VALUE!</v>
      </c>
      <c r="IR287" t="e">
        <f>AND('PROG FORM COMPLEM'!K398,"AAAAAH/bNPs=")</f>
        <v>#VALUE!</v>
      </c>
      <c r="IS287" t="e">
        <f>AND('PROG FORM COMPLEM'!L398,"AAAAAH/bNPw=")</f>
        <v>#VALUE!</v>
      </c>
      <c r="IT287" t="e">
        <f>AND('PROG FORM COMPLEM'!M398,"AAAAAH/bNP0=")</f>
        <v>#VALUE!</v>
      </c>
      <c r="IU287" t="e">
        <f>AND('PROG FORM COMPLEM'!N398,"AAAAAH/bNP4=")</f>
        <v>#VALUE!</v>
      </c>
      <c r="IV287" t="e">
        <f>AND('PROG FORM COMPLEM'!O398,"AAAAAH/bNP8=")</f>
        <v>#VALUE!</v>
      </c>
    </row>
    <row r="288" spans="1:256" x14ac:dyDescent="0.2">
      <c r="A288" t="e">
        <f>AND('PROG FORM COMPLEM'!P398,"AAAAADt70AA=")</f>
        <v>#VALUE!</v>
      </c>
      <c r="B288" t="e">
        <f>AND('PROG FORM COMPLEM'!Q398,"AAAAADt70AE=")</f>
        <v>#VALUE!</v>
      </c>
      <c r="C288" t="e">
        <f>AND('PROG FORM COMPLEM'!R398,"AAAAADt70AI=")</f>
        <v>#VALUE!</v>
      </c>
      <c r="D288" t="e">
        <f>AND('PROG FORM COMPLEM'!S398,"AAAAADt70AM=")</f>
        <v>#VALUE!</v>
      </c>
      <c r="E288" t="e">
        <f>AND('PROG FORM COMPLEM'!T398,"AAAAADt70AQ=")</f>
        <v>#VALUE!</v>
      </c>
      <c r="F288" t="e">
        <f>AND('PROG FORM COMPLEM'!U398,"AAAAADt70AU=")</f>
        <v>#VALUE!</v>
      </c>
      <c r="G288" t="e">
        <f>AND('PROG FORM COMPLEM'!V398,"AAAAADt70AY=")</f>
        <v>#VALUE!</v>
      </c>
      <c r="H288" t="e">
        <f>AND('PROG FORM COMPLEM'!W398,"AAAAADt70Ac=")</f>
        <v>#VALUE!</v>
      </c>
      <c r="I288">
        <f>IF('PROG FORM COMPLEM'!399:399,"AAAAADt70Ag=",0)</f>
        <v>0</v>
      </c>
      <c r="J288" t="e">
        <f>AND('PROG FORM COMPLEM'!B399,"AAAAADt70Ak=")</f>
        <v>#VALUE!</v>
      </c>
      <c r="K288" t="e">
        <f>AND('PROG FORM COMPLEM'!C399,"AAAAADt70Ao=")</f>
        <v>#VALUE!</v>
      </c>
      <c r="L288" t="e">
        <f>AND('PROG FORM COMPLEM'!D399,"AAAAADt70As=")</f>
        <v>#VALUE!</v>
      </c>
      <c r="M288" t="e">
        <f>AND('PROG FORM COMPLEM'!E399,"AAAAADt70Aw=")</f>
        <v>#VALUE!</v>
      </c>
      <c r="N288" t="e">
        <f>AND('PROG FORM COMPLEM'!F399,"AAAAADt70A0=")</f>
        <v>#VALUE!</v>
      </c>
      <c r="O288" t="e">
        <f>AND('PROG FORM COMPLEM'!G399,"AAAAADt70A4=")</f>
        <v>#VALUE!</v>
      </c>
      <c r="P288" t="e">
        <f>AND('PROG FORM COMPLEM'!H399,"AAAAADt70A8=")</f>
        <v>#VALUE!</v>
      </c>
      <c r="Q288" t="e">
        <f>AND('PROG FORM COMPLEM'!I399,"AAAAADt70BA=")</f>
        <v>#VALUE!</v>
      </c>
      <c r="R288" t="e">
        <f>AND('PROG FORM COMPLEM'!J399,"AAAAADt70BE=")</f>
        <v>#VALUE!</v>
      </c>
      <c r="S288" t="e">
        <f>AND('PROG FORM COMPLEM'!K399,"AAAAADt70BI=")</f>
        <v>#VALUE!</v>
      </c>
      <c r="T288" t="e">
        <f>AND('PROG FORM COMPLEM'!L399,"AAAAADt70BM=")</f>
        <v>#VALUE!</v>
      </c>
      <c r="U288" t="e">
        <f>AND('PROG FORM COMPLEM'!M399,"AAAAADt70BQ=")</f>
        <v>#VALUE!</v>
      </c>
      <c r="V288" t="e">
        <f>AND('PROG FORM COMPLEM'!N399,"AAAAADt70BU=")</f>
        <v>#VALUE!</v>
      </c>
      <c r="W288" t="e">
        <f>AND('PROG FORM COMPLEM'!O399,"AAAAADt70BY=")</f>
        <v>#VALUE!</v>
      </c>
      <c r="X288" t="e">
        <f>AND('PROG FORM COMPLEM'!P399,"AAAAADt70Bc=")</f>
        <v>#VALUE!</v>
      </c>
      <c r="Y288" t="e">
        <f>AND('PROG FORM COMPLEM'!Q399,"AAAAADt70Bg=")</f>
        <v>#VALUE!</v>
      </c>
      <c r="Z288" t="e">
        <f>AND('PROG FORM COMPLEM'!R399,"AAAAADt70Bk=")</f>
        <v>#VALUE!</v>
      </c>
      <c r="AA288" t="e">
        <f>AND('PROG FORM COMPLEM'!S399,"AAAAADt70Bo=")</f>
        <v>#VALUE!</v>
      </c>
      <c r="AB288" t="e">
        <f>AND('PROG FORM COMPLEM'!T399,"AAAAADt70Bs=")</f>
        <v>#VALUE!</v>
      </c>
      <c r="AC288" t="e">
        <f>AND('PROG FORM COMPLEM'!U399,"AAAAADt70Bw=")</f>
        <v>#VALUE!</v>
      </c>
      <c r="AD288" t="e">
        <f>AND('PROG FORM COMPLEM'!V399,"AAAAADt70B0=")</f>
        <v>#VALUE!</v>
      </c>
      <c r="AE288" t="e">
        <f>AND('PROG FORM COMPLEM'!W399,"AAAAADt70B4=")</f>
        <v>#VALUE!</v>
      </c>
      <c r="AF288">
        <f>IF('PROG FORM COMPLEM'!400:400,"AAAAADt70B8=",0)</f>
        <v>0</v>
      </c>
      <c r="AG288" t="e">
        <f>AND('PROG FORM COMPLEM'!B400,"AAAAADt70CA=")</f>
        <v>#VALUE!</v>
      </c>
      <c r="AH288" t="e">
        <f>AND('PROG FORM COMPLEM'!C400,"AAAAADt70CE=")</f>
        <v>#VALUE!</v>
      </c>
      <c r="AI288" t="e">
        <f>AND('PROG FORM COMPLEM'!D400,"AAAAADt70CI=")</f>
        <v>#VALUE!</v>
      </c>
      <c r="AJ288" t="e">
        <f>AND('PROG FORM COMPLEM'!E400,"AAAAADt70CM=")</f>
        <v>#VALUE!</v>
      </c>
      <c r="AK288" t="e">
        <f>AND('PROG FORM COMPLEM'!F400,"AAAAADt70CQ=")</f>
        <v>#VALUE!</v>
      </c>
      <c r="AL288" t="e">
        <f>AND('PROG FORM COMPLEM'!G400,"AAAAADt70CU=")</f>
        <v>#VALUE!</v>
      </c>
      <c r="AM288" t="e">
        <f>AND('PROG FORM COMPLEM'!H400,"AAAAADt70CY=")</f>
        <v>#VALUE!</v>
      </c>
      <c r="AN288" t="e">
        <f>AND('PROG FORM COMPLEM'!I400,"AAAAADt70Cc=")</f>
        <v>#VALUE!</v>
      </c>
      <c r="AO288" t="e">
        <f>AND('PROG FORM COMPLEM'!J400,"AAAAADt70Cg=")</f>
        <v>#VALUE!</v>
      </c>
      <c r="AP288" t="e">
        <f>AND('PROG FORM COMPLEM'!K400,"AAAAADt70Ck=")</f>
        <v>#VALUE!</v>
      </c>
      <c r="AQ288" t="e">
        <f>AND('PROG FORM COMPLEM'!L400,"AAAAADt70Co=")</f>
        <v>#VALUE!</v>
      </c>
      <c r="AR288" t="e">
        <f>AND('PROG FORM COMPLEM'!M400,"AAAAADt70Cs=")</f>
        <v>#VALUE!</v>
      </c>
      <c r="AS288" t="e">
        <f>AND('PROG FORM COMPLEM'!N400,"AAAAADt70Cw=")</f>
        <v>#VALUE!</v>
      </c>
      <c r="AT288" t="e">
        <f>AND('PROG FORM COMPLEM'!O400,"AAAAADt70C0=")</f>
        <v>#VALUE!</v>
      </c>
      <c r="AU288" t="e">
        <f>AND('PROG FORM COMPLEM'!P400,"AAAAADt70C4=")</f>
        <v>#VALUE!</v>
      </c>
      <c r="AV288" t="e">
        <f>AND('PROG FORM COMPLEM'!Q400,"AAAAADt70C8=")</f>
        <v>#VALUE!</v>
      </c>
      <c r="AW288" t="e">
        <f>AND('PROG FORM COMPLEM'!R400,"AAAAADt70DA=")</f>
        <v>#VALUE!</v>
      </c>
      <c r="AX288" t="e">
        <f>AND('PROG FORM COMPLEM'!S400,"AAAAADt70DE=")</f>
        <v>#VALUE!</v>
      </c>
      <c r="AY288" t="e">
        <f>AND('PROG FORM COMPLEM'!T400,"AAAAADt70DI=")</f>
        <v>#VALUE!</v>
      </c>
      <c r="AZ288" t="e">
        <f>AND('PROG FORM COMPLEM'!U400,"AAAAADt70DM=")</f>
        <v>#VALUE!</v>
      </c>
      <c r="BA288" t="e">
        <f>AND('PROG FORM COMPLEM'!V400,"AAAAADt70DQ=")</f>
        <v>#VALUE!</v>
      </c>
      <c r="BB288" t="e">
        <f>AND('PROG FORM COMPLEM'!W400,"AAAAADt70DU=")</f>
        <v>#VALUE!</v>
      </c>
      <c r="BC288">
        <f>IF('PROG FORM COMPLEM'!401:401,"AAAAADt70DY=",0)</f>
        <v>0</v>
      </c>
      <c r="BD288" t="e">
        <f>AND('PROG FORM COMPLEM'!B401,"AAAAADt70Dc=")</f>
        <v>#VALUE!</v>
      </c>
      <c r="BE288" t="e">
        <f>AND('PROG FORM COMPLEM'!C401,"AAAAADt70Dg=")</f>
        <v>#VALUE!</v>
      </c>
      <c r="BF288" t="e">
        <f>AND('PROG FORM COMPLEM'!D401,"AAAAADt70Dk=")</f>
        <v>#VALUE!</v>
      </c>
      <c r="BG288" t="e">
        <f>AND('PROG FORM COMPLEM'!E401,"AAAAADt70Do=")</f>
        <v>#VALUE!</v>
      </c>
      <c r="BH288" t="e">
        <f>AND('PROG FORM COMPLEM'!F401,"AAAAADt70Ds=")</f>
        <v>#VALUE!</v>
      </c>
      <c r="BI288" t="e">
        <f>AND('PROG FORM COMPLEM'!G401,"AAAAADt70Dw=")</f>
        <v>#VALUE!</v>
      </c>
      <c r="BJ288" t="e">
        <f>AND('PROG FORM COMPLEM'!H401,"AAAAADt70D0=")</f>
        <v>#VALUE!</v>
      </c>
      <c r="BK288" t="e">
        <f>AND('PROG FORM COMPLEM'!I401,"AAAAADt70D4=")</f>
        <v>#VALUE!</v>
      </c>
      <c r="BL288" t="e">
        <f>AND('PROG FORM COMPLEM'!J401,"AAAAADt70D8=")</f>
        <v>#VALUE!</v>
      </c>
      <c r="BM288" t="e">
        <f>AND('PROG FORM COMPLEM'!K401,"AAAAADt70EA=")</f>
        <v>#VALUE!</v>
      </c>
      <c r="BN288" t="e">
        <f>AND('PROG FORM COMPLEM'!L401,"AAAAADt70EE=")</f>
        <v>#VALUE!</v>
      </c>
      <c r="BO288" t="e">
        <f>AND('PROG FORM COMPLEM'!M401,"AAAAADt70EI=")</f>
        <v>#VALUE!</v>
      </c>
      <c r="BP288" t="e">
        <f>AND('PROG FORM COMPLEM'!N401,"AAAAADt70EM=")</f>
        <v>#VALUE!</v>
      </c>
      <c r="BQ288" t="e">
        <f>AND('PROG FORM COMPLEM'!O401,"AAAAADt70EQ=")</f>
        <v>#VALUE!</v>
      </c>
      <c r="BR288" t="e">
        <f>AND('PROG FORM COMPLEM'!P401,"AAAAADt70EU=")</f>
        <v>#VALUE!</v>
      </c>
      <c r="BS288" t="e">
        <f>AND('PROG FORM COMPLEM'!Q401,"AAAAADt70EY=")</f>
        <v>#VALUE!</v>
      </c>
      <c r="BT288" t="e">
        <f>AND('PROG FORM COMPLEM'!R401,"AAAAADt70Ec=")</f>
        <v>#VALUE!</v>
      </c>
      <c r="BU288" t="e">
        <f>AND('PROG FORM COMPLEM'!S401,"AAAAADt70Eg=")</f>
        <v>#VALUE!</v>
      </c>
      <c r="BV288" t="e">
        <f>AND('PROG FORM COMPLEM'!T401,"AAAAADt70Ek=")</f>
        <v>#VALUE!</v>
      </c>
      <c r="BW288" t="e">
        <f>AND('PROG FORM COMPLEM'!U401,"AAAAADt70Eo=")</f>
        <v>#VALUE!</v>
      </c>
      <c r="BX288" t="e">
        <f>AND('PROG FORM COMPLEM'!V401,"AAAAADt70Es=")</f>
        <v>#VALUE!</v>
      </c>
      <c r="BY288" t="e">
        <f>AND('PROG FORM COMPLEM'!W401,"AAAAADt70Ew=")</f>
        <v>#VALUE!</v>
      </c>
      <c r="BZ288">
        <f>IF('PROG FORM COMPLEM'!402:402,"AAAAADt70E0=",0)</f>
        <v>0</v>
      </c>
      <c r="CA288" t="e">
        <f>AND('PROG FORM COMPLEM'!B402,"AAAAADt70E4=")</f>
        <v>#VALUE!</v>
      </c>
      <c r="CB288" t="e">
        <f>AND('PROG FORM COMPLEM'!C402,"AAAAADt70E8=")</f>
        <v>#VALUE!</v>
      </c>
      <c r="CC288" t="e">
        <f>AND('PROG FORM COMPLEM'!D402,"AAAAADt70FA=")</f>
        <v>#VALUE!</v>
      </c>
      <c r="CD288" t="e">
        <f>AND('PROG FORM COMPLEM'!E402,"AAAAADt70FE=")</f>
        <v>#VALUE!</v>
      </c>
      <c r="CE288" t="e">
        <f>AND('PROG FORM COMPLEM'!F402,"AAAAADt70FI=")</f>
        <v>#VALUE!</v>
      </c>
      <c r="CF288" t="e">
        <f>AND('PROG FORM COMPLEM'!G402,"AAAAADt70FM=")</f>
        <v>#VALUE!</v>
      </c>
      <c r="CG288" t="e">
        <f>AND('PROG FORM COMPLEM'!H402,"AAAAADt70FQ=")</f>
        <v>#VALUE!</v>
      </c>
      <c r="CH288" t="e">
        <f>AND('PROG FORM COMPLEM'!I402,"AAAAADt70FU=")</f>
        <v>#VALUE!</v>
      </c>
      <c r="CI288" t="e">
        <f>AND('PROG FORM COMPLEM'!J402,"AAAAADt70FY=")</f>
        <v>#VALUE!</v>
      </c>
      <c r="CJ288" t="e">
        <f>AND('PROG FORM COMPLEM'!K402,"AAAAADt70Fc=")</f>
        <v>#VALUE!</v>
      </c>
      <c r="CK288" t="e">
        <f>AND('PROG FORM COMPLEM'!L402,"AAAAADt70Fg=")</f>
        <v>#VALUE!</v>
      </c>
      <c r="CL288" t="e">
        <f>AND('PROG FORM COMPLEM'!M402,"AAAAADt70Fk=")</f>
        <v>#VALUE!</v>
      </c>
      <c r="CM288" t="e">
        <f>AND('PROG FORM COMPLEM'!N402,"AAAAADt70Fo=")</f>
        <v>#VALUE!</v>
      </c>
      <c r="CN288" t="e">
        <f>AND('PROG FORM COMPLEM'!O402,"AAAAADt70Fs=")</f>
        <v>#VALUE!</v>
      </c>
      <c r="CO288" t="e">
        <f>AND('PROG FORM COMPLEM'!P402,"AAAAADt70Fw=")</f>
        <v>#VALUE!</v>
      </c>
      <c r="CP288" t="e">
        <f>AND('PROG FORM COMPLEM'!Q402,"AAAAADt70F0=")</f>
        <v>#VALUE!</v>
      </c>
      <c r="CQ288" t="e">
        <f>AND('PROG FORM COMPLEM'!R402,"AAAAADt70F4=")</f>
        <v>#VALUE!</v>
      </c>
      <c r="CR288" t="e">
        <f>AND('PROG FORM COMPLEM'!S402,"AAAAADt70F8=")</f>
        <v>#VALUE!</v>
      </c>
      <c r="CS288" t="e">
        <f>AND('PROG FORM COMPLEM'!T402,"AAAAADt70GA=")</f>
        <v>#VALUE!</v>
      </c>
      <c r="CT288" t="e">
        <f>AND('PROG FORM COMPLEM'!U402,"AAAAADt70GE=")</f>
        <v>#VALUE!</v>
      </c>
      <c r="CU288" t="e">
        <f>AND('PROG FORM COMPLEM'!V402,"AAAAADt70GI=")</f>
        <v>#VALUE!</v>
      </c>
      <c r="CV288" t="e">
        <f>AND('PROG FORM COMPLEM'!W402,"AAAAADt70GM=")</f>
        <v>#VALUE!</v>
      </c>
      <c r="CW288">
        <f>IF('PROG FORM COMPLEM'!403:403,"AAAAADt70GQ=",0)</f>
        <v>0</v>
      </c>
      <c r="CX288" t="e">
        <f>AND('PROG FORM COMPLEM'!B403,"AAAAADt70GU=")</f>
        <v>#VALUE!</v>
      </c>
      <c r="CY288" t="e">
        <f>AND('PROG FORM COMPLEM'!C403,"AAAAADt70GY=")</f>
        <v>#VALUE!</v>
      </c>
      <c r="CZ288" t="e">
        <f>AND('PROG FORM COMPLEM'!D403,"AAAAADt70Gc=")</f>
        <v>#VALUE!</v>
      </c>
      <c r="DA288" t="e">
        <f>AND('PROG FORM COMPLEM'!E403,"AAAAADt70Gg=")</f>
        <v>#VALUE!</v>
      </c>
      <c r="DB288" t="e">
        <f>AND('PROG FORM COMPLEM'!F403,"AAAAADt70Gk=")</f>
        <v>#VALUE!</v>
      </c>
      <c r="DC288" t="e">
        <f>AND('PROG FORM COMPLEM'!G403,"AAAAADt70Go=")</f>
        <v>#VALUE!</v>
      </c>
      <c r="DD288" t="e">
        <f>AND('PROG FORM COMPLEM'!H403,"AAAAADt70Gs=")</f>
        <v>#VALUE!</v>
      </c>
      <c r="DE288" t="e">
        <f>AND('PROG FORM COMPLEM'!I403,"AAAAADt70Gw=")</f>
        <v>#VALUE!</v>
      </c>
      <c r="DF288" t="e">
        <f>AND('PROG FORM COMPLEM'!J403,"AAAAADt70G0=")</f>
        <v>#VALUE!</v>
      </c>
      <c r="DG288" t="e">
        <f>AND('PROG FORM COMPLEM'!K403,"AAAAADt70G4=")</f>
        <v>#VALUE!</v>
      </c>
      <c r="DH288" t="e">
        <f>AND('PROG FORM COMPLEM'!L403,"AAAAADt70G8=")</f>
        <v>#VALUE!</v>
      </c>
      <c r="DI288" t="e">
        <f>AND('PROG FORM COMPLEM'!M403,"AAAAADt70HA=")</f>
        <v>#VALUE!</v>
      </c>
      <c r="DJ288" t="e">
        <f>AND('PROG FORM COMPLEM'!N403,"AAAAADt70HE=")</f>
        <v>#VALUE!</v>
      </c>
      <c r="DK288" t="e">
        <f>AND('PROG FORM COMPLEM'!O403,"AAAAADt70HI=")</f>
        <v>#VALUE!</v>
      </c>
      <c r="DL288" t="e">
        <f>AND('PROG FORM COMPLEM'!P403,"AAAAADt70HM=")</f>
        <v>#VALUE!</v>
      </c>
      <c r="DM288" t="e">
        <f>AND('PROG FORM COMPLEM'!Q403,"AAAAADt70HQ=")</f>
        <v>#VALUE!</v>
      </c>
      <c r="DN288" t="e">
        <f>AND('PROG FORM COMPLEM'!R403,"AAAAADt70HU=")</f>
        <v>#VALUE!</v>
      </c>
      <c r="DO288" t="e">
        <f>AND('PROG FORM COMPLEM'!S403,"AAAAADt70HY=")</f>
        <v>#VALUE!</v>
      </c>
      <c r="DP288" t="e">
        <f>AND('PROG FORM COMPLEM'!T403,"AAAAADt70Hc=")</f>
        <v>#VALUE!</v>
      </c>
      <c r="DQ288" t="e">
        <f>AND('PROG FORM COMPLEM'!U403,"AAAAADt70Hg=")</f>
        <v>#VALUE!</v>
      </c>
      <c r="DR288" t="e">
        <f>AND('PROG FORM COMPLEM'!V403,"AAAAADt70Hk=")</f>
        <v>#VALUE!</v>
      </c>
      <c r="DS288" t="e">
        <f>AND('PROG FORM COMPLEM'!W403,"AAAAADt70Ho=")</f>
        <v>#VALUE!</v>
      </c>
      <c r="DT288">
        <f>IF('PROG FORM COMPLEM'!404:404,"AAAAADt70Hs=",0)</f>
        <v>0</v>
      </c>
      <c r="DU288" t="e">
        <f>AND('PROG FORM COMPLEM'!B404,"AAAAADt70Hw=")</f>
        <v>#VALUE!</v>
      </c>
      <c r="DV288" t="e">
        <f>AND('PROG FORM COMPLEM'!C404,"AAAAADt70H0=")</f>
        <v>#VALUE!</v>
      </c>
      <c r="DW288" t="e">
        <f>AND('PROG FORM COMPLEM'!D404,"AAAAADt70H4=")</f>
        <v>#VALUE!</v>
      </c>
      <c r="DX288" t="e">
        <f>AND('PROG FORM COMPLEM'!E404,"AAAAADt70H8=")</f>
        <v>#VALUE!</v>
      </c>
      <c r="DY288" t="e">
        <f>AND('PROG FORM COMPLEM'!F404,"AAAAADt70IA=")</f>
        <v>#VALUE!</v>
      </c>
      <c r="DZ288" t="e">
        <f>AND('PROG FORM COMPLEM'!G404,"AAAAADt70IE=")</f>
        <v>#VALUE!</v>
      </c>
      <c r="EA288" t="e">
        <f>AND('PROG FORM COMPLEM'!H404,"AAAAADt70II=")</f>
        <v>#VALUE!</v>
      </c>
      <c r="EB288" t="e">
        <f>AND('PROG FORM COMPLEM'!I404,"AAAAADt70IM=")</f>
        <v>#VALUE!</v>
      </c>
      <c r="EC288" t="e">
        <f>AND('PROG FORM COMPLEM'!J404,"AAAAADt70IQ=")</f>
        <v>#VALUE!</v>
      </c>
      <c r="ED288" t="e">
        <f>AND('PROG FORM COMPLEM'!K404,"AAAAADt70IU=")</f>
        <v>#VALUE!</v>
      </c>
      <c r="EE288" t="e">
        <f>AND('PROG FORM COMPLEM'!L404,"AAAAADt70IY=")</f>
        <v>#VALUE!</v>
      </c>
      <c r="EF288" t="e">
        <f>AND('PROG FORM COMPLEM'!M404,"AAAAADt70Ic=")</f>
        <v>#VALUE!</v>
      </c>
      <c r="EG288" t="e">
        <f>AND('PROG FORM COMPLEM'!N404,"AAAAADt70Ig=")</f>
        <v>#VALUE!</v>
      </c>
      <c r="EH288" t="e">
        <f>AND('PROG FORM COMPLEM'!O404,"AAAAADt70Ik=")</f>
        <v>#VALUE!</v>
      </c>
      <c r="EI288" t="e">
        <f>AND('PROG FORM COMPLEM'!P404,"AAAAADt70Io=")</f>
        <v>#VALUE!</v>
      </c>
      <c r="EJ288" t="e">
        <f>AND('PROG FORM COMPLEM'!Q404,"AAAAADt70Is=")</f>
        <v>#VALUE!</v>
      </c>
      <c r="EK288" t="e">
        <f>AND('PROG FORM COMPLEM'!R404,"AAAAADt70Iw=")</f>
        <v>#VALUE!</v>
      </c>
      <c r="EL288" t="e">
        <f>AND('PROG FORM COMPLEM'!S404,"AAAAADt70I0=")</f>
        <v>#VALUE!</v>
      </c>
      <c r="EM288" t="e">
        <f>AND('PROG FORM COMPLEM'!T404,"AAAAADt70I4=")</f>
        <v>#VALUE!</v>
      </c>
      <c r="EN288" t="e">
        <f>AND('PROG FORM COMPLEM'!U404,"AAAAADt70I8=")</f>
        <v>#VALUE!</v>
      </c>
      <c r="EO288" t="e">
        <f>AND('PROG FORM COMPLEM'!V404,"AAAAADt70JA=")</f>
        <v>#VALUE!</v>
      </c>
      <c r="EP288" t="e">
        <f>AND('PROG FORM COMPLEM'!W404,"AAAAADt70JE=")</f>
        <v>#VALUE!</v>
      </c>
      <c r="EQ288">
        <f>IF('PROG FORM COMPLEM'!405:405,"AAAAADt70JI=",0)</f>
        <v>0</v>
      </c>
      <c r="ER288" t="e">
        <f>AND('PROG FORM COMPLEM'!B405,"AAAAADt70JM=")</f>
        <v>#VALUE!</v>
      </c>
      <c r="ES288" t="e">
        <f>AND('PROG FORM COMPLEM'!C405,"AAAAADt70JQ=")</f>
        <v>#VALUE!</v>
      </c>
      <c r="ET288" t="e">
        <f>AND('PROG FORM COMPLEM'!D405,"AAAAADt70JU=")</f>
        <v>#VALUE!</v>
      </c>
      <c r="EU288" t="e">
        <f>AND('PROG FORM COMPLEM'!E405,"AAAAADt70JY=")</f>
        <v>#VALUE!</v>
      </c>
      <c r="EV288" t="e">
        <f>AND('PROG FORM COMPLEM'!F405,"AAAAADt70Jc=")</f>
        <v>#VALUE!</v>
      </c>
      <c r="EW288" t="e">
        <f>AND('PROG FORM COMPLEM'!G405,"AAAAADt70Jg=")</f>
        <v>#VALUE!</v>
      </c>
      <c r="EX288" t="e">
        <f>AND('PROG FORM COMPLEM'!H405,"AAAAADt70Jk=")</f>
        <v>#VALUE!</v>
      </c>
      <c r="EY288" t="e">
        <f>AND('PROG FORM COMPLEM'!I405,"AAAAADt70Jo=")</f>
        <v>#VALUE!</v>
      </c>
      <c r="EZ288" t="e">
        <f>AND('PROG FORM COMPLEM'!J405,"AAAAADt70Js=")</f>
        <v>#VALUE!</v>
      </c>
      <c r="FA288" t="e">
        <f>AND('PROG FORM COMPLEM'!K405,"AAAAADt70Jw=")</f>
        <v>#VALUE!</v>
      </c>
      <c r="FB288" t="e">
        <f>AND('PROG FORM COMPLEM'!L405,"AAAAADt70J0=")</f>
        <v>#VALUE!</v>
      </c>
      <c r="FC288" t="e">
        <f>AND('PROG FORM COMPLEM'!M405,"AAAAADt70J4=")</f>
        <v>#VALUE!</v>
      </c>
      <c r="FD288" t="e">
        <f>AND('PROG FORM COMPLEM'!N405,"AAAAADt70J8=")</f>
        <v>#VALUE!</v>
      </c>
      <c r="FE288" t="e">
        <f>AND('PROG FORM COMPLEM'!O405,"AAAAADt70KA=")</f>
        <v>#VALUE!</v>
      </c>
      <c r="FF288" t="e">
        <f>AND('PROG FORM COMPLEM'!P405,"AAAAADt70KE=")</f>
        <v>#VALUE!</v>
      </c>
      <c r="FG288" t="e">
        <f>AND('PROG FORM COMPLEM'!Q405,"AAAAADt70KI=")</f>
        <v>#VALUE!</v>
      </c>
      <c r="FH288" t="e">
        <f>AND('PROG FORM COMPLEM'!R405,"AAAAADt70KM=")</f>
        <v>#VALUE!</v>
      </c>
      <c r="FI288" t="e">
        <f>AND('PROG FORM COMPLEM'!S405,"AAAAADt70KQ=")</f>
        <v>#VALUE!</v>
      </c>
      <c r="FJ288" t="e">
        <f>AND('PROG FORM COMPLEM'!T405,"AAAAADt70KU=")</f>
        <v>#VALUE!</v>
      </c>
      <c r="FK288" t="e">
        <f>AND('PROG FORM COMPLEM'!U405,"AAAAADt70KY=")</f>
        <v>#VALUE!</v>
      </c>
      <c r="FL288" t="e">
        <f>AND('PROG FORM COMPLEM'!V405,"AAAAADt70Kc=")</f>
        <v>#VALUE!</v>
      </c>
      <c r="FM288" t="e">
        <f>AND('PROG FORM COMPLEM'!W405,"AAAAADt70Kg=")</f>
        <v>#VALUE!</v>
      </c>
      <c r="FN288">
        <f>IF('PROG FORM COMPLEM'!406:406,"AAAAADt70Kk=",0)</f>
        <v>0</v>
      </c>
      <c r="FO288" t="e">
        <f>AND('PROG FORM COMPLEM'!B406,"AAAAADt70Ko=")</f>
        <v>#VALUE!</v>
      </c>
      <c r="FP288" t="e">
        <f>AND('PROG FORM COMPLEM'!C406,"AAAAADt70Ks=")</f>
        <v>#VALUE!</v>
      </c>
      <c r="FQ288" t="e">
        <f>AND('PROG FORM COMPLEM'!D406,"AAAAADt70Kw=")</f>
        <v>#VALUE!</v>
      </c>
      <c r="FR288" t="e">
        <f>AND('PROG FORM COMPLEM'!E406,"AAAAADt70K0=")</f>
        <v>#VALUE!</v>
      </c>
      <c r="FS288" t="e">
        <f>AND('PROG FORM COMPLEM'!F406,"AAAAADt70K4=")</f>
        <v>#VALUE!</v>
      </c>
      <c r="FT288" t="e">
        <f>AND('PROG FORM COMPLEM'!G406,"AAAAADt70K8=")</f>
        <v>#VALUE!</v>
      </c>
      <c r="FU288" t="e">
        <f>AND('PROG FORM COMPLEM'!H406,"AAAAADt70LA=")</f>
        <v>#VALUE!</v>
      </c>
      <c r="FV288" t="e">
        <f>AND('PROG FORM COMPLEM'!I406,"AAAAADt70LE=")</f>
        <v>#VALUE!</v>
      </c>
      <c r="FW288" t="e">
        <f>AND('PROG FORM COMPLEM'!J406,"AAAAADt70LI=")</f>
        <v>#VALUE!</v>
      </c>
      <c r="FX288" t="e">
        <f>AND('PROG FORM COMPLEM'!K406,"AAAAADt70LM=")</f>
        <v>#VALUE!</v>
      </c>
      <c r="FY288" t="e">
        <f>AND('PROG FORM COMPLEM'!L406,"AAAAADt70LQ=")</f>
        <v>#VALUE!</v>
      </c>
      <c r="FZ288" t="e">
        <f>AND('PROG FORM COMPLEM'!M406,"AAAAADt70LU=")</f>
        <v>#VALUE!</v>
      </c>
      <c r="GA288" t="e">
        <f>AND('PROG FORM COMPLEM'!N406,"AAAAADt70LY=")</f>
        <v>#VALUE!</v>
      </c>
      <c r="GB288" t="e">
        <f>AND('PROG FORM COMPLEM'!O406,"AAAAADt70Lc=")</f>
        <v>#VALUE!</v>
      </c>
      <c r="GC288" t="e">
        <f>AND('PROG FORM COMPLEM'!P406,"AAAAADt70Lg=")</f>
        <v>#VALUE!</v>
      </c>
      <c r="GD288" t="e">
        <f>AND('PROG FORM COMPLEM'!Q406,"AAAAADt70Lk=")</f>
        <v>#VALUE!</v>
      </c>
      <c r="GE288" t="e">
        <f>AND('PROG FORM COMPLEM'!R406,"AAAAADt70Lo=")</f>
        <v>#VALUE!</v>
      </c>
      <c r="GF288" t="e">
        <f>AND('PROG FORM COMPLEM'!S406,"AAAAADt70Ls=")</f>
        <v>#VALUE!</v>
      </c>
      <c r="GG288" t="e">
        <f>AND('PROG FORM COMPLEM'!T406,"AAAAADt70Lw=")</f>
        <v>#VALUE!</v>
      </c>
      <c r="GH288" t="e">
        <f>AND('PROG FORM COMPLEM'!U406,"AAAAADt70L0=")</f>
        <v>#VALUE!</v>
      </c>
      <c r="GI288" t="e">
        <f>AND('PROG FORM COMPLEM'!V406,"AAAAADt70L4=")</f>
        <v>#VALUE!</v>
      </c>
      <c r="GJ288" t="e">
        <f>AND('PROG FORM COMPLEM'!W406,"AAAAADt70L8=")</f>
        <v>#VALUE!</v>
      </c>
      <c r="GK288">
        <f>IF('PROG FORM COMPLEM'!407:407,"AAAAADt70MA=",0)</f>
        <v>0</v>
      </c>
      <c r="GL288" t="e">
        <f>AND('PROG FORM COMPLEM'!B407,"AAAAADt70ME=")</f>
        <v>#VALUE!</v>
      </c>
      <c r="GM288" t="e">
        <f>AND('PROG FORM COMPLEM'!C407,"AAAAADt70MI=")</f>
        <v>#VALUE!</v>
      </c>
      <c r="GN288" t="e">
        <f>AND('PROG FORM COMPLEM'!D407,"AAAAADt70MM=")</f>
        <v>#VALUE!</v>
      </c>
      <c r="GO288" t="e">
        <f>AND('PROG FORM COMPLEM'!E407,"AAAAADt70MQ=")</f>
        <v>#VALUE!</v>
      </c>
      <c r="GP288" t="e">
        <f>AND('PROG FORM COMPLEM'!F407,"AAAAADt70MU=")</f>
        <v>#VALUE!</v>
      </c>
      <c r="GQ288" t="e">
        <f>AND('PROG FORM COMPLEM'!G407,"AAAAADt70MY=")</f>
        <v>#VALUE!</v>
      </c>
      <c r="GR288" t="e">
        <f>AND('PROG FORM COMPLEM'!H407,"AAAAADt70Mc=")</f>
        <v>#VALUE!</v>
      </c>
      <c r="GS288" t="e">
        <f>AND('PROG FORM COMPLEM'!I407,"AAAAADt70Mg=")</f>
        <v>#VALUE!</v>
      </c>
      <c r="GT288" t="e">
        <f>AND('PROG FORM COMPLEM'!J407,"AAAAADt70Mk=")</f>
        <v>#VALUE!</v>
      </c>
      <c r="GU288" t="e">
        <f>AND('PROG FORM COMPLEM'!K407,"AAAAADt70Mo=")</f>
        <v>#VALUE!</v>
      </c>
      <c r="GV288" t="e">
        <f>AND('PROG FORM COMPLEM'!L407,"AAAAADt70Ms=")</f>
        <v>#VALUE!</v>
      </c>
      <c r="GW288" t="e">
        <f>AND('PROG FORM COMPLEM'!M407,"AAAAADt70Mw=")</f>
        <v>#VALUE!</v>
      </c>
      <c r="GX288" t="e">
        <f>AND('PROG FORM COMPLEM'!N407,"AAAAADt70M0=")</f>
        <v>#VALUE!</v>
      </c>
      <c r="GY288" t="e">
        <f>AND('PROG FORM COMPLEM'!O407,"AAAAADt70M4=")</f>
        <v>#VALUE!</v>
      </c>
      <c r="GZ288" t="e">
        <f>AND('PROG FORM COMPLEM'!P407,"AAAAADt70M8=")</f>
        <v>#VALUE!</v>
      </c>
      <c r="HA288" t="e">
        <f>AND('PROG FORM COMPLEM'!Q407,"AAAAADt70NA=")</f>
        <v>#VALUE!</v>
      </c>
      <c r="HB288" t="e">
        <f>AND('PROG FORM COMPLEM'!R407,"AAAAADt70NE=")</f>
        <v>#VALUE!</v>
      </c>
      <c r="HC288" t="e">
        <f>AND('PROG FORM COMPLEM'!S407,"AAAAADt70NI=")</f>
        <v>#VALUE!</v>
      </c>
      <c r="HD288" t="e">
        <f>AND('PROG FORM COMPLEM'!T407,"AAAAADt70NM=")</f>
        <v>#VALUE!</v>
      </c>
      <c r="HE288" t="e">
        <f>AND('PROG FORM COMPLEM'!U407,"AAAAADt70NQ=")</f>
        <v>#VALUE!</v>
      </c>
      <c r="HF288" t="e">
        <f>AND('PROG FORM COMPLEM'!V407,"AAAAADt70NU=")</f>
        <v>#VALUE!</v>
      </c>
      <c r="HG288" t="e">
        <f>AND('PROG FORM COMPLEM'!W407,"AAAAADt70NY=")</f>
        <v>#VALUE!</v>
      </c>
      <c r="HH288">
        <f>IF('PROG FORM COMPLEM'!408:408,"AAAAADt70Nc=",0)</f>
        <v>0</v>
      </c>
      <c r="HI288" t="e">
        <f>AND('PROG FORM COMPLEM'!B408,"AAAAADt70Ng=")</f>
        <v>#VALUE!</v>
      </c>
      <c r="HJ288" t="e">
        <f>AND('PROG FORM COMPLEM'!C408,"AAAAADt70Nk=")</f>
        <v>#VALUE!</v>
      </c>
      <c r="HK288" t="e">
        <f>AND('PROG FORM COMPLEM'!D408,"AAAAADt70No=")</f>
        <v>#VALUE!</v>
      </c>
      <c r="HL288" t="e">
        <f>AND('PROG FORM COMPLEM'!E408,"AAAAADt70Ns=")</f>
        <v>#VALUE!</v>
      </c>
      <c r="HM288" t="e">
        <f>AND('PROG FORM COMPLEM'!F408,"AAAAADt70Nw=")</f>
        <v>#VALUE!</v>
      </c>
      <c r="HN288" t="e">
        <f>AND('PROG FORM COMPLEM'!G408,"AAAAADt70N0=")</f>
        <v>#VALUE!</v>
      </c>
      <c r="HO288" t="e">
        <f>AND('PROG FORM COMPLEM'!H408,"AAAAADt70N4=")</f>
        <v>#VALUE!</v>
      </c>
      <c r="HP288" t="e">
        <f>AND('PROG FORM COMPLEM'!I408,"AAAAADt70N8=")</f>
        <v>#VALUE!</v>
      </c>
      <c r="HQ288" t="e">
        <f>AND('PROG FORM COMPLEM'!J408,"AAAAADt70OA=")</f>
        <v>#VALUE!</v>
      </c>
      <c r="HR288" t="e">
        <f>AND('PROG FORM COMPLEM'!K408,"AAAAADt70OE=")</f>
        <v>#VALUE!</v>
      </c>
      <c r="HS288" t="e">
        <f>AND('PROG FORM COMPLEM'!L408,"AAAAADt70OI=")</f>
        <v>#VALUE!</v>
      </c>
      <c r="HT288" t="e">
        <f>AND('PROG FORM COMPLEM'!M408,"AAAAADt70OM=")</f>
        <v>#VALUE!</v>
      </c>
      <c r="HU288" t="e">
        <f>AND('PROG FORM COMPLEM'!N408,"AAAAADt70OQ=")</f>
        <v>#VALUE!</v>
      </c>
      <c r="HV288" t="e">
        <f>AND('PROG FORM COMPLEM'!O408,"AAAAADt70OU=")</f>
        <v>#VALUE!</v>
      </c>
      <c r="HW288" t="e">
        <f>AND('PROG FORM COMPLEM'!P408,"AAAAADt70OY=")</f>
        <v>#VALUE!</v>
      </c>
      <c r="HX288" t="e">
        <f>AND('PROG FORM COMPLEM'!Q408,"AAAAADt70Oc=")</f>
        <v>#VALUE!</v>
      </c>
      <c r="HY288" t="e">
        <f>AND('PROG FORM COMPLEM'!R408,"AAAAADt70Og=")</f>
        <v>#VALUE!</v>
      </c>
      <c r="HZ288" t="e">
        <f>AND('PROG FORM COMPLEM'!S408,"AAAAADt70Ok=")</f>
        <v>#VALUE!</v>
      </c>
      <c r="IA288" t="e">
        <f>AND('PROG FORM COMPLEM'!T408,"AAAAADt70Oo=")</f>
        <v>#VALUE!</v>
      </c>
      <c r="IB288" t="e">
        <f>AND('PROG FORM COMPLEM'!U408,"AAAAADt70Os=")</f>
        <v>#VALUE!</v>
      </c>
      <c r="IC288" t="e">
        <f>AND('PROG FORM COMPLEM'!V408,"AAAAADt70Ow=")</f>
        <v>#VALUE!</v>
      </c>
      <c r="ID288" t="e">
        <f>AND('PROG FORM COMPLEM'!W408,"AAAAADt70O0=")</f>
        <v>#VALUE!</v>
      </c>
      <c r="IE288">
        <f>IF('PROG FORM COMPLEM'!409:409,"AAAAADt70O4=",0)</f>
        <v>0</v>
      </c>
      <c r="IF288" t="e">
        <f>AND('PROG FORM COMPLEM'!B409,"AAAAADt70O8=")</f>
        <v>#VALUE!</v>
      </c>
      <c r="IG288" t="e">
        <f>AND('PROG FORM COMPLEM'!C409,"AAAAADt70PA=")</f>
        <v>#VALUE!</v>
      </c>
      <c r="IH288" t="e">
        <f>AND('PROG FORM COMPLEM'!D409,"AAAAADt70PE=")</f>
        <v>#VALUE!</v>
      </c>
      <c r="II288" t="e">
        <f>AND('PROG FORM COMPLEM'!E409,"AAAAADt70PI=")</f>
        <v>#VALUE!</v>
      </c>
      <c r="IJ288" t="e">
        <f>AND('PROG FORM COMPLEM'!F409,"AAAAADt70PM=")</f>
        <v>#VALUE!</v>
      </c>
      <c r="IK288" t="e">
        <f>AND('PROG FORM COMPLEM'!G409,"AAAAADt70PQ=")</f>
        <v>#VALUE!</v>
      </c>
      <c r="IL288" t="e">
        <f>AND('PROG FORM COMPLEM'!H409,"AAAAADt70PU=")</f>
        <v>#VALUE!</v>
      </c>
      <c r="IM288" t="e">
        <f>AND('PROG FORM COMPLEM'!I409,"AAAAADt70PY=")</f>
        <v>#VALUE!</v>
      </c>
      <c r="IN288" t="e">
        <f>AND('PROG FORM COMPLEM'!J409,"AAAAADt70Pc=")</f>
        <v>#VALUE!</v>
      </c>
      <c r="IO288" t="e">
        <f>AND('PROG FORM COMPLEM'!K409,"AAAAADt70Pg=")</f>
        <v>#VALUE!</v>
      </c>
      <c r="IP288" t="e">
        <f>AND('PROG FORM COMPLEM'!L409,"AAAAADt70Pk=")</f>
        <v>#VALUE!</v>
      </c>
      <c r="IQ288" t="e">
        <f>AND('PROG FORM COMPLEM'!M409,"AAAAADt70Po=")</f>
        <v>#VALUE!</v>
      </c>
      <c r="IR288" t="e">
        <f>AND('PROG FORM COMPLEM'!N409,"AAAAADt70Ps=")</f>
        <v>#VALUE!</v>
      </c>
      <c r="IS288" t="e">
        <f>AND('PROG FORM COMPLEM'!O409,"AAAAADt70Pw=")</f>
        <v>#VALUE!</v>
      </c>
      <c r="IT288" t="e">
        <f>AND('PROG FORM COMPLEM'!P409,"AAAAADt70P0=")</f>
        <v>#VALUE!</v>
      </c>
      <c r="IU288" t="e">
        <f>AND('PROG FORM COMPLEM'!Q409,"AAAAADt70P4=")</f>
        <v>#VALUE!</v>
      </c>
      <c r="IV288" t="e">
        <f>AND('PROG FORM COMPLEM'!R409,"AAAAADt70P8=")</f>
        <v>#VALUE!</v>
      </c>
    </row>
    <row r="289" spans="1:256" x14ac:dyDescent="0.2">
      <c r="A289" t="e">
        <f>AND('PROG FORM COMPLEM'!S409,"AAAAAD/2/QA=")</f>
        <v>#VALUE!</v>
      </c>
      <c r="B289" t="e">
        <f>AND('PROG FORM COMPLEM'!T409,"AAAAAD/2/QE=")</f>
        <v>#VALUE!</v>
      </c>
      <c r="C289" t="e">
        <f>AND('PROG FORM COMPLEM'!U409,"AAAAAD/2/QI=")</f>
        <v>#VALUE!</v>
      </c>
      <c r="D289" t="e">
        <f>AND('PROG FORM COMPLEM'!V409,"AAAAAD/2/QM=")</f>
        <v>#VALUE!</v>
      </c>
      <c r="E289" t="e">
        <f>AND('PROG FORM COMPLEM'!W409,"AAAAAD/2/QQ=")</f>
        <v>#VALUE!</v>
      </c>
      <c r="F289">
        <f>IF('PROG FORM COMPLEM'!410:410,"AAAAAD/2/QU=",0)</f>
        <v>0</v>
      </c>
      <c r="G289" t="e">
        <f>AND('PROG FORM COMPLEM'!B410,"AAAAAD/2/QY=")</f>
        <v>#VALUE!</v>
      </c>
      <c r="H289" t="e">
        <f>AND('PROG FORM COMPLEM'!C410,"AAAAAD/2/Qc=")</f>
        <v>#VALUE!</v>
      </c>
      <c r="I289" t="e">
        <f>AND('PROG FORM COMPLEM'!D410,"AAAAAD/2/Qg=")</f>
        <v>#VALUE!</v>
      </c>
      <c r="J289" t="e">
        <f>AND('PROG FORM COMPLEM'!E410,"AAAAAD/2/Qk=")</f>
        <v>#VALUE!</v>
      </c>
      <c r="K289" t="e">
        <f>AND('PROG FORM COMPLEM'!F410,"AAAAAD/2/Qo=")</f>
        <v>#VALUE!</v>
      </c>
      <c r="L289" t="e">
        <f>AND('PROG FORM COMPLEM'!G410,"AAAAAD/2/Qs=")</f>
        <v>#VALUE!</v>
      </c>
      <c r="M289" t="e">
        <f>AND('PROG FORM COMPLEM'!H410,"AAAAAD/2/Qw=")</f>
        <v>#VALUE!</v>
      </c>
      <c r="N289" t="e">
        <f>AND('PROG FORM COMPLEM'!I410,"AAAAAD/2/Q0=")</f>
        <v>#VALUE!</v>
      </c>
      <c r="O289" t="e">
        <f>AND('PROG FORM COMPLEM'!J410,"AAAAAD/2/Q4=")</f>
        <v>#VALUE!</v>
      </c>
      <c r="P289" t="e">
        <f>AND('PROG FORM COMPLEM'!K410,"AAAAAD/2/Q8=")</f>
        <v>#VALUE!</v>
      </c>
      <c r="Q289" t="e">
        <f>AND('PROG FORM COMPLEM'!L410,"AAAAAD/2/RA=")</f>
        <v>#VALUE!</v>
      </c>
      <c r="R289" t="e">
        <f>AND('PROG FORM COMPLEM'!M410,"AAAAAD/2/RE=")</f>
        <v>#VALUE!</v>
      </c>
      <c r="S289" t="e">
        <f>AND('PROG FORM COMPLEM'!N410,"AAAAAD/2/RI=")</f>
        <v>#VALUE!</v>
      </c>
      <c r="T289" t="e">
        <f>AND('PROG FORM COMPLEM'!O410,"AAAAAD/2/RM=")</f>
        <v>#VALUE!</v>
      </c>
      <c r="U289" t="e">
        <f>AND('PROG FORM COMPLEM'!P410,"AAAAAD/2/RQ=")</f>
        <v>#VALUE!</v>
      </c>
      <c r="V289" t="e">
        <f>AND('PROG FORM COMPLEM'!Q410,"AAAAAD/2/RU=")</f>
        <v>#VALUE!</v>
      </c>
      <c r="W289" t="e">
        <f>AND('PROG FORM COMPLEM'!R410,"AAAAAD/2/RY=")</f>
        <v>#VALUE!</v>
      </c>
      <c r="X289" t="e">
        <f>AND('PROG FORM COMPLEM'!S410,"AAAAAD/2/Rc=")</f>
        <v>#VALUE!</v>
      </c>
      <c r="Y289" t="e">
        <f>AND('PROG FORM COMPLEM'!T410,"AAAAAD/2/Rg=")</f>
        <v>#VALUE!</v>
      </c>
      <c r="Z289" t="e">
        <f>AND('PROG FORM COMPLEM'!U410,"AAAAAD/2/Rk=")</f>
        <v>#VALUE!</v>
      </c>
      <c r="AA289" t="e">
        <f>AND('PROG FORM COMPLEM'!V410,"AAAAAD/2/Ro=")</f>
        <v>#VALUE!</v>
      </c>
      <c r="AB289" t="e">
        <f>AND('PROG FORM COMPLEM'!W410,"AAAAAD/2/Rs=")</f>
        <v>#VALUE!</v>
      </c>
      <c r="AC289">
        <f>IF('PROG FORM COMPLEM'!411:411,"AAAAAD/2/Rw=",0)</f>
        <v>0</v>
      </c>
      <c r="AD289" t="e">
        <f>AND('PROG FORM COMPLEM'!B411,"AAAAAD/2/R0=")</f>
        <v>#VALUE!</v>
      </c>
      <c r="AE289" t="e">
        <f>AND('PROG FORM COMPLEM'!C411,"AAAAAD/2/R4=")</f>
        <v>#VALUE!</v>
      </c>
      <c r="AF289" t="e">
        <f>AND('PROG FORM COMPLEM'!D411,"AAAAAD/2/R8=")</f>
        <v>#VALUE!</v>
      </c>
      <c r="AG289" t="e">
        <f>AND('PROG FORM COMPLEM'!E411,"AAAAAD/2/SA=")</f>
        <v>#VALUE!</v>
      </c>
      <c r="AH289" t="e">
        <f>AND('PROG FORM COMPLEM'!F411,"AAAAAD/2/SE=")</f>
        <v>#VALUE!</v>
      </c>
      <c r="AI289" t="e">
        <f>AND('PROG FORM COMPLEM'!G411,"AAAAAD/2/SI=")</f>
        <v>#VALUE!</v>
      </c>
      <c r="AJ289" t="e">
        <f>AND('PROG FORM COMPLEM'!H411,"AAAAAD/2/SM=")</f>
        <v>#VALUE!</v>
      </c>
      <c r="AK289" t="e">
        <f>AND('PROG FORM COMPLEM'!I411,"AAAAAD/2/SQ=")</f>
        <v>#VALUE!</v>
      </c>
      <c r="AL289" t="e">
        <f>AND('PROG FORM COMPLEM'!J411,"AAAAAD/2/SU=")</f>
        <v>#VALUE!</v>
      </c>
      <c r="AM289" t="e">
        <f>AND('PROG FORM COMPLEM'!K411,"AAAAAD/2/SY=")</f>
        <v>#VALUE!</v>
      </c>
      <c r="AN289" t="e">
        <f>AND('PROG FORM COMPLEM'!L411,"AAAAAD/2/Sc=")</f>
        <v>#VALUE!</v>
      </c>
      <c r="AO289" t="e">
        <f>AND('PROG FORM COMPLEM'!M411,"AAAAAD/2/Sg=")</f>
        <v>#VALUE!</v>
      </c>
      <c r="AP289" t="e">
        <f>AND('PROG FORM COMPLEM'!N411,"AAAAAD/2/Sk=")</f>
        <v>#VALUE!</v>
      </c>
      <c r="AQ289" t="e">
        <f>AND('PROG FORM COMPLEM'!O411,"AAAAAD/2/So=")</f>
        <v>#VALUE!</v>
      </c>
      <c r="AR289" t="e">
        <f>AND('PROG FORM COMPLEM'!P411,"AAAAAD/2/Ss=")</f>
        <v>#VALUE!</v>
      </c>
      <c r="AS289" t="e">
        <f>AND('PROG FORM COMPLEM'!Q411,"AAAAAD/2/Sw=")</f>
        <v>#VALUE!</v>
      </c>
      <c r="AT289" t="e">
        <f>AND('PROG FORM COMPLEM'!R411,"AAAAAD/2/S0=")</f>
        <v>#VALUE!</v>
      </c>
      <c r="AU289" t="e">
        <f>AND('PROG FORM COMPLEM'!S411,"AAAAAD/2/S4=")</f>
        <v>#VALUE!</v>
      </c>
      <c r="AV289" t="e">
        <f>AND('PROG FORM COMPLEM'!T411,"AAAAAD/2/S8=")</f>
        <v>#VALUE!</v>
      </c>
      <c r="AW289" t="e">
        <f>AND('PROG FORM COMPLEM'!U411,"AAAAAD/2/TA=")</f>
        <v>#VALUE!</v>
      </c>
      <c r="AX289" t="e">
        <f>AND('PROG FORM COMPLEM'!V411,"AAAAAD/2/TE=")</f>
        <v>#VALUE!</v>
      </c>
      <c r="AY289" t="e">
        <f>AND('PROG FORM COMPLEM'!W411,"AAAAAD/2/TI=")</f>
        <v>#VALUE!</v>
      </c>
      <c r="AZ289">
        <f>IF('PROG FORM COMPLEM'!412:412,"AAAAAD/2/TM=",0)</f>
        <v>0</v>
      </c>
      <c r="BA289" t="e">
        <f>AND('PROG FORM COMPLEM'!B412,"AAAAAD/2/TQ=")</f>
        <v>#VALUE!</v>
      </c>
      <c r="BB289" t="e">
        <f>AND('PROG FORM COMPLEM'!C412,"AAAAAD/2/TU=")</f>
        <v>#VALUE!</v>
      </c>
      <c r="BC289" t="e">
        <f>AND('PROG FORM COMPLEM'!D412,"AAAAAD/2/TY=")</f>
        <v>#VALUE!</v>
      </c>
      <c r="BD289" t="e">
        <f>AND('PROG FORM COMPLEM'!E412,"AAAAAD/2/Tc=")</f>
        <v>#VALUE!</v>
      </c>
      <c r="BE289" t="e">
        <f>AND('PROG FORM COMPLEM'!F412,"AAAAAD/2/Tg=")</f>
        <v>#VALUE!</v>
      </c>
      <c r="BF289" t="e">
        <f>AND('PROG FORM COMPLEM'!G412,"AAAAAD/2/Tk=")</f>
        <v>#VALUE!</v>
      </c>
      <c r="BG289" t="e">
        <f>AND('PROG FORM COMPLEM'!H412,"AAAAAD/2/To=")</f>
        <v>#VALUE!</v>
      </c>
      <c r="BH289" t="e">
        <f>AND('PROG FORM COMPLEM'!I412,"AAAAAD/2/Ts=")</f>
        <v>#VALUE!</v>
      </c>
      <c r="BI289" t="e">
        <f>AND('PROG FORM COMPLEM'!J412,"AAAAAD/2/Tw=")</f>
        <v>#VALUE!</v>
      </c>
      <c r="BJ289" t="e">
        <f>AND('PROG FORM COMPLEM'!K412,"AAAAAD/2/T0=")</f>
        <v>#VALUE!</v>
      </c>
      <c r="BK289" t="e">
        <f>AND('PROG FORM COMPLEM'!L412,"AAAAAD/2/T4=")</f>
        <v>#VALUE!</v>
      </c>
      <c r="BL289" t="e">
        <f>AND('PROG FORM COMPLEM'!M412,"AAAAAD/2/T8=")</f>
        <v>#VALUE!</v>
      </c>
      <c r="BM289" t="e">
        <f>AND('PROG FORM COMPLEM'!N412,"AAAAAD/2/UA=")</f>
        <v>#VALUE!</v>
      </c>
      <c r="BN289" t="e">
        <f>AND('PROG FORM COMPLEM'!O412,"AAAAAD/2/UE=")</f>
        <v>#VALUE!</v>
      </c>
      <c r="BO289" t="e">
        <f>AND('PROG FORM COMPLEM'!P412,"AAAAAD/2/UI=")</f>
        <v>#VALUE!</v>
      </c>
      <c r="BP289" t="e">
        <f>AND('PROG FORM COMPLEM'!Q412,"AAAAAD/2/UM=")</f>
        <v>#VALUE!</v>
      </c>
      <c r="BQ289" t="e">
        <f>AND('PROG FORM COMPLEM'!R412,"AAAAAD/2/UQ=")</f>
        <v>#VALUE!</v>
      </c>
      <c r="BR289" t="e">
        <f>AND('PROG FORM COMPLEM'!S412,"AAAAAD/2/UU=")</f>
        <v>#VALUE!</v>
      </c>
      <c r="BS289" t="e">
        <f>AND('PROG FORM COMPLEM'!T412,"AAAAAD/2/UY=")</f>
        <v>#VALUE!</v>
      </c>
      <c r="BT289" t="e">
        <f>AND('PROG FORM COMPLEM'!U412,"AAAAAD/2/Uc=")</f>
        <v>#VALUE!</v>
      </c>
      <c r="BU289" t="e">
        <f>AND('PROG FORM COMPLEM'!V412,"AAAAAD/2/Ug=")</f>
        <v>#VALUE!</v>
      </c>
      <c r="BV289" t="e">
        <f>AND('PROG FORM COMPLEM'!W412,"AAAAAD/2/Uk=")</f>
        <v>#VALUE!</v>
      </c>
      <c r="BW289">
        <f>IF('PROG FORM COMPLEM'!413:413,"AAAAAD/2/Uo=",0)</f>
        <v>0</v>
      </c>
      <c r="BX289" t="e">
        <f>AND('PROG FORM COMPLEM'!B413,"AAAAAD/2/Us=")</f>
        <v>#VALUE!</v>
      </c>
      <c r="BY289" t="e">
        <f>AND('PROG FORM COMPLEM'!C413,"AAAAAD/2/Uw=")</f>
        <v>#VALUE!</v>
      </c>
      <c r="BZ289" t="e">
        <f>AND('PROG FORM COMPLEM'!D413,"AAAAAD/2/U0=")</f>
        <v>#VALUE!</v>
      </c>
      <c r="CA289" t="e">
        <f>AND('PROG FORM COMPLEM'!E413,"AAAAAD/2/U4=")</f>
        <v>#VALUE!</v>
      </c>
      <c r="CB289" t="e">
        <f>AND('PROG FORM COMPLEM'!F413,"AAAAAD/2/U8=")</f>
        <v>#VALUE!</v>
      </c>
      <c r="CC289" t="e">
        <f>AND('PROG FORM COMPLEM'!G413,"AAAAAD/2/VA=")</f>
        <v>#VALUE!</v>
      </c>
      <c r="CD289" t="e">
        <f>AND('PROG FORM COMPLEM'!H413,"AAAAAD/2/VE=")</f>
        <v>#VALUE!</v>
      </c>
      <c r="CE289" t="e">
        <f>AND('PROG FORM COMPLEM'!I413,"AAAAAD/2/VI=")</f>
        <v>#VALUE!</v>
      </c>
      <c r="CF289" t="e">
        <f>AND('PROG FORM COMPLEM'!J413,"AAAAAD/2/VM=")</f>
        <v>#VALUE!</v>
      </c>
      <c r="CG289" t="e">
        <f>AND('PROG FORM COMPLEM'!K413,"AAAAAD/2/VQ=")</f>
        <v>#VALUE!</v>
      </c>
      <c r="CH289" t="e">
        <f>AND('PROG FORM COMPLEM'!L413,"AAAAAD/2/VU=")</f>
        <v>#VALUE!</v>
      </c>
      <c r="CI289" t="e">
        <f>AND('PROG FORM COMPLEM'!M413,"AAAAAD/2/VY=")</f>
        <v>#VALUE!</v>
      </c>
      <c r="CJ289" t="e">
        <f>AND('PROG FORM COMPLEM'!N413,"AAAAAD/2/Vc=")</f>
        <v>#VALUE!</v>
      </c>
      <c r="CK289" t="e">
        <f>AND('PROG FORM COMPLEM'!O413,"AAAAAD/2/Vg=")</f>
        <v>#VALUE!</v>
      </c>
      <c r="CL289" t="e">
        <f>AND('PROG FORM COMPLEM'!P413,"AAAAAD/2/Vk=")</f>
        <v>#VALUE!</v>
      </c>
      <c r="CM289" t="e">
        <f>AND('PROG FORM COMPLEM'!Q413,"AAAAAD/2/Vo=")</f>
        <v>#VALUE!</v>
      </c>
      <c r="CN289" t="e">
        <f>AND('PROG FORM COMPLEM'!R413,"AAAAAD/2/Vs=")</f>
        <v>#VALUE!</v>
      </c>
      <c r="CO289" t="e">
        <f>AND('PROG FORM COMPLEM'!S413,"AAAAAD/2/Vw=")</f>
        <v>#VALUE!</v>
      </c>
      <c r="CP289" t="e">
        <f>AND('PROG FORM COMPLEM'!T413,"AAAAAD/2/V0=")</f>
        <v>#VALUE!</v>
      </c>
      <c r="CQ289" t="e">
        <f>AND('PROG FORM COMPLEM'!U413,"AAAAAD/2/V4=")</f>
        <v>#VALUE!</v>
      </c>
      <c r="CR289" t="e">
        <f>AND('PROG FORM COMPLEM'!V413,"AAAAAD/2/V8=")</f>
        <v>#VALUE!</v>
      </c>
      <c r="CS289" t="e">
        <f>AND('PROG FORM COMPLEM'!W413,"AAAAAD/2/WA=")</f>
        <v>#VALUE!</v>
      </c>
      <c r="CT289">
        <f>IF('PROG FORM COMPLEM'!414:414,"AAAAAD/2/WE=",0)</f>
        <v>0</v>
      </c>
      <c r="CU289" t="e">
        <f>AND('PROG FORM COMPLEM'!B414,"AAAAAD/2/WI=")</f>
        <v>#VALUE!</v>
      </c>
      <c r="CV289" t="e">
        <f>AND('PROG FORM COMPLEM'!C414,"AAAAAD/2/WM=")</f>
        <v>#VALUE!</v>
      </c>
      <c r="CW289" t="e">
        <f>AND('PROG FORM COMPLEM'!D414,"AAAAAD/2/WQ=")</f>
        <v>#VALUE!</v>
      </c>
      <c r="CX289" t="e">
        <f>AND('PROG FORM COMPLEM'!E414,"AAAAAD/2/WU=")</f>
        <v>#VALUE!</v>
      </c>
      <c r="CY289" t="e">
        <f>AND('PROG FORM COMPLEM'!F414,"AAAAAD/2/WY=")</f>
        <v>#VALUE!</v>
      </c>
      <c r="CZ289" t="e">
        <f>AND('PROG FORM COMPLEM'!G414,"AAAAAD/2/Wc=")</f>
        <v>#VALUE!</v>
      </c>
      <c r="DA289" t="e">
        <f>AND('PROG FORM COMPLEM'!H414,"AAAAAD/2/Wg=")</f>
        <v>#VALUE!</v>
      </c>
      <c r="DB289" t="e">
        <f>AND('PROG FORM COMPLEM'!I414,"AAAAAD/2/Wk=")</f>
        <v>#VALUE!</v>
      </c>
      <c r="DC289" t="e">
        <f>AND('PROG FORM COMPLEM'!J414,"AAAAAD/2/Wo=")</f>
        <v>#VALUE!</v>
      </c>
      <c r="DD289" t="e">
        <f>AND('PROG FORM COMPLEM'!K414,"AAAAAD/2/Ws=")</f>
        <v>#VALUE!</v>
      </c>
      <c r="DE289" t="e">
        <f>AND('PROG FORM COMPLEM'!L414,"AAAAAD/2/Ww=")</f>
        <v>#VALUE!</v>
      </c>
      <c r="DF289" t="e">
        <f>AND('PROG FORM COMPLEM'!M414,"AAAAAD/2/W0=")</f>
        <v>#VALUE!</v>
      </c>
      <c r="DG289" t="e">
        <f>AND('PROG FORM COMPLEM'!N414,"AAAAAD/2/W4=")</f>
        <v>#VALUE!</v>
      </c>
      <c r="DH289" t="e">
        <f>AND('PROG FORM COMPLEM'!O414,"AAAAAD/2/W8=")</f>
        <v>#VALUE!</v>
      </c>
      <c r="DI289" t="e">
        <f>AND('PROG FORM COMPLEM'!P414,"AAAAAD/2/XA=")</f>
        <v>#VALUE!</v>
      </c>
      <c r="DJ289" t="e">
        <f>AND('PROG FORM COMPLEM'!Q414,"AAAAAD/2/XE=")</f>
        <v>#VALUE!</v>
      </c>
      <c r="DK289" t="e">
        <f>AND('PROG FORM COMPLEM'!R414,"AAAAAD/2/XI=")</f>
        <v>#VALUE!</v>
      </c>
      <c r="DL289" t="e">
        <f>AND('PROG FORM COMPLEM'!S414,"AAAAAD/2/XM=")</f>
        <v>#VALUE!</v>
      </c>
      <c r="DM289" t="e">
        <f>AND('PROG FORM COMPLEM'!T414,"AAAAAD/2/XQ=")</f>
        <v>#VALUE!</v>
      </c>
      <c r="DN289" t="e">
        <f>AND('PROG FORM COMPLEM'!U414,"AAAAAD/2/XU=")</f>
        <v>#VALUE!</v>
      </c>
      <c r="DO289" t="e">
        <f>AND('PROG FORM COMPLEM'!V414,"AAAAAD/2/XY=")</f>
        <v>#VALUE!</v>
      </c>
      <c r="DP289" t="e">
        <f>AND('PROG FORM COMPLEM'!W414,"AAAAAD/2/Xc=")</f>
        <v>#VALUE!</v>
      </c>
      <c r="DQ289">
        <f>IF('PROG FORM COMPLEM'!415:415,"AAAAAD/2/Xg=",0)</f>
        <v>0</v>
      </c>
      <c r="DR289" t="e">
        <f>AND('PROG FORM COMPLEM'!B415,"AAAAAD/2/Xk=")</f>
        <v>#VALUE!</v>
      </c>
      <c r="DS289" t="e">
        <f>AND('PROG FORM COMPLEM'!C415,"AAAAAD/2/Xo=")</f>
        <v>#VALUE!</v>
      </c>
      <c r="DT289" t="e">
        <f>AND('PROG FORM COMPLEM'!D415,"AAAAAD/2/Xs=")</f>
        <v>#VALUE!</v>
      </c>
      <c r="DU289" t="e">
        <f>AND('PROG FORM COMPLEM'!E415,"AAAAAD/2/Xw=")</f>
        <v>#VALUE!</v>
      </c>
      <c r="DV289" t="e">
        <f>AND('PROG FORM COMPLEM'!F415,"AAAAAD/2/X0=")</f>
        <v>#VALUE!</v>
      </c>
      <c r="DW289" t="e">
        <f>AND('PROG FORM COMPLEM'!G415,"AAAAAD/2/X4=")</f>
        <v>#VALUE!</v>
      </c>
      <c r="DX289" t="e">
        <f>AND('PROG FORM COMPLEM'!H415,"AAAAAD/2/X8=")</f>
        <v>#VALUE!</v>
      </c>
      <c r="DY289" t="e">
        <f>AND('PROG FORM COMPLEM'!I415,"AAAAAD/2/YA=")</f>
        <v>#VALUE!</v>
      </c>
      <c r="DZ289" t="e">
        <f>AND('PROG FORM COMPLEM'!J415,"AAAAAD/2/YE=")</f>
        <v>#VALUE!</v>
      </c>
      <c r="EA289" t="e">
        <f>AND('PROG FORM COMPLEM'!K415,"AAAAAD/2/YI=")</f>
        <v>#VALUE!</v>
      </c>
      <c r="EB289" t="e">
        <f>AND('PROG FORM COMPLEM'!L415,"AAAAAD/2/YM=")</f>
        <v>#VALUE!</v>
      </c>
      <c r="EC289" t="e">
        <f>AND('PROG FORM COMPLEM'!M415,"AAAAAD/2/YQ=")</f>
        <v>#VALUE!</v>
      </c>
      <c r="ED289" t="e">
        <f>AND('PROG FORM COMPLEM'!N415,"AAAAAD/2/YU=")</f>
        <v>#VALUE!</v>
      </c>
      <c r="EE289" t="e">
        <f>AND('PROG FORM COMPLEM'!O415,"AAAAAD/2/YY=")</f>
        <v>#VALUE!</v>
      </c>
      <c r="EF289" t="e">
        <f>AND('PROG FORM COMPLEM'!P415,"AAAAAD/2/Yc=")</f>
        <v>#VALUE!</v>
      </c>
      <c r="EG289" t="e">
        <f>AND('PROG FORM COMPLEM'!Q415,"AAAAAD/2/Yg=")</f>
        <v>#VALUE!</v>
      </c>
      <c r="EH289" t="e">
        <f>AND('PROG FORM COMPLEM'!R415,"AAAAAD/2/Yk=")</f>
        <v>#VALUE!</v>
      </c>
      <c r="EI289" t="e">
        <f>AND('PROG FORM COMPLEM'!S415,"AAAAAD/2/Yo=")</f>
        <v>#VALUE!</v>
      </c>
      <c r="EJ289" t="e">
        <f>AND('PROG FORM COMPLEM'!T415,"AAAAAD/2/Ys=")</f>
        <v>#VALUE!</v>
      </c>
      <c r="EK289" t="e">
        <f>AND('PROG FORM COMPLEM'!U415,"AAAAAD/2/Yw=")</f>
        <v>#VALUE!</v>
      </c>
      <c r="EL289" t="e">
        <f>AND('PROG FORM COMPLEM'!V415,"AAAAAD/2/Y0=")</f>
        <v>#VALUE!</v>
      </c>
      <c r="EM289" t="e">
        <f>AND('PROG FORM COMPLEM'!W415,"AAAAAD/2/Y4=")</f>
        <v>#VALUE!</v>
      </c>
      <c r="EN289">
        <f>IF('PROG FORM COMPLEM'!416:416,"AAAAAD/2/Y8=",0)</f>
        <v>0</v>
      </c>
      <c r="EO289" t="e">
        <f>AND('PROG FORM COMPLEM'!B416,"AAAAAD/2/ZA=")</f>
        <v>#VALUE!</v>
      </c>
      <c r="EP289" t="e">
        <f>AND('PROG FORM COMPLEM'!C416,"AAAAAD/2/ZE=")</f>
        <v>#VALUE!</v>
      </c>
      <c r="EQ289" t="e">
        <f>AND('PROG FORM COMPLEM'!D416,"AAAAAD/2/ZI=")</f>
        <v>#VALUE!</v>
      </c>
      <c r="ER289" t="e">
        <f>AND('PROG FORM COMPLEM'!E416,"AAAAAD/2/ZM=")</f>
        <v>#VALUE!</v>
      </c>
      <c r="ES289" t="e">
        <f>AND('PROG FORM COMPLEM'!F416,"AAAAAD/2/ZQ=")</f>
        <v>#VALUE!</v>
      </c>
      <c r="ET289" t="e">
        <f>AND('PROG FORM COMPLEM'!G416,"AAAAAD/2/ZU=")</f>
        <v>#VALUE!</v>
      </c>
      <c r="EU289" t="e">
        <f>AND('PROG FORM COMPLEM'!H416,"AAAAAD/2/ZY=")</f>
        <v>#VALUE!</v>
      </c>
      <c r="EV289" t="e">
        <f>AND('PROG FORM COMPLEM'!I416,"AAAAAD/2/Zc=")</f>
        <v>#VALUE!</v>
      </c>
      <c r="EW289" t="e">
        <f>AND('PROG FORM COMPLEM'!J416,"AAAAAD/2/Zg=")</f>
        <v>#VALUE!</v>
      </c>
      <c r="EX289" t="e">
        <f>AND('PROG FORM COMPLEM'!K416,"AAAAAD/2/Zk=")</f>
        <v>#VALUE!</v>
      </c>
      <c r="EY289" t="e">
        <f>AND('PROG FORM COMPLEM'!L416,"AAAAAD/2/Zo=")</f>
        <v>#VALUE!</v>
      </c>
      <c r="EZ289" t="e">
        <f>AND('PROG FORM COMPLEM'!M416,"AAAAAD/2/Zs=")</f>
        <v>#VALUE!</v>
      </c>
      <c r="FA289" t="e">
        <f>AND('PROG FORM COMPLEM'!N416,"AAAAAD/2/Zw=")</f>
        <v>#VALUE!</v>
      </c>
      <c r="FB289" t="e">
        <f>AND('PROG FORM COMPLEM'!O416,"AAAAAD/2/Z0=")</f>
        <v>#VALUE!</v>
      </c>
      <c r="FC289" t="e">
        <f>AND('PROG FORM COMPLEM'!P416,"AAAAAD/2/Z4=")</f>
        <v>#VALUE!</v>
      </c>
      <c r="FD289" t="e">
        <f>AND('PROG FORM COMPLEM'!Q416,"AAAAAD/2/Z8=")</f>
        <v>#VALUE!</v>
      </c>
      <c r="FE289" t="e">
        <f>AND('PROG FORM COMPLEM'!R416,"AAAAAD/2/aA=")</f>
        <v>#VALUE!</v>
      </c>
      <c r="FF289" t="e">
        <f>AND('PROG FORM COMPLEM'!S416,"AAAAAD/2/aE=")</f>
        <v>#VALUE!</v>
      </c>
      <c r="FG289" t="e">
        <f>AND('PROG FORM COMPLEM'!T416,"AAAAAD/2/aI=")</f>
        <v>#VALUE!</v>
      </c>
      <c r="FH289" t="e">
        <f>AND('PROG FORM COMPLEM'!U416,"AAAAAD/2/aM=")</f>
        <v>#VALUE!</v>
      </c>
      <c r="FI289" t="e">
        <f>AND('PROG FORM COMPLEM'!V416,"AAAAAD/2/aQ=")</f>
        <v>#VALUE!</v>
      </c>
      <c r="FJ289" t="e">
        <f>AND('PROG FORM COMPLEM'!W416,"AAAAAD/2/aU=")</f>
        <v>#VALUE!</v>
      </c>
      <c r="FK289">
        <f>IF('PROG FORM COMPLEM'!417:417,"AAAAAD/2/aY=",0)</f>
        <v>0</v>
      </c>
      <c r="FL289" t="e">
        <f>AND('PROG FORM COMPLEM'!B417,"AAAAAD/2/ac=")</f>
        <v>#VALUE!</v>
      </c>
      <c r="FM289" t="e">
        <f>AND('PROG FORM COMPLEM'!C417,"AAAAAD/2/ag=")</f>
        <v>#VALUE!</v>
      </c>
      <c r="FN289" t="e">
        <f>AND('PROG FORM COMPLEM'!D417,"AAAAAD/2/ak=")</f>
        <v>#VALUE!</v>
      </c>
      <c r="FO289" t="e">
        <f>AND('PROG FORM COMPLEM'!E417,"AAAAAD/2/ao=")</f>
        <v>#VALUE!</v>
      </c>
      <c r="FP289" t="e">
        <f>AND('PROG FORM COMPLEM'!F417,"AAAAAD/2/as=")</f>
        <v>#VALUE!</v>
      </c>
      <c r="FQ289" t="e">
        <f>AND('PROG FORM COMPLEM'!G417,"AAAAAD/2/aw=")</f>
        <v>#VALUE!</v>
      </c>
      <c r="FR289" t="e">
        <f>AND('PROG FORM COMPLEM'!H417,"AAAAAD/2/a0=")</f>
        <v>#VALUE!</v>
      </c>
      <c r="FS289" t="e">
        <f>AND('PROG FORM COMPLEM'!I417,"AAAAAD/2/a4=")</f>
        <v>#VALUE!</v>
      </c>
      <c r="FT289" t="e">
        <f>AND('PROG FORM COMPLEM'!J417,"AAAAAD/2/a8=")</f>
        <v>#VALUE!</v>
      </c>
      <c r="FU289" t="e">
        <f>AND('PROG FORM COMPLEM'!K417,"AAAAAD/2/bA=")</f>
        <v>#VALUE!</v>
      </c>
      <c r="FV289" t="e">
        <f>AND('PROG FORM COMPLEM'!L417,"AAAAAD/2/bE=")</f>
        <v>#VALUE!</v>
      </c>
      <c r="FW289" t="e">
        <f>AND('PROG FORM COMPLEM'!M417,"AAAAAD/2/bI=")</f>
        <v>#VALUE!</v>
      </c>
      <c r="FX289" t="e">
        <f>AND('PROG FORM COMPLEM'!N417,"AAAAAD/2/bM=")</f>
        <v>#VALUE!</v>
      </c>
      <c r="FY289" t="e">
        <f>AND('PROG FORM COMPLEM'!O417,"AAAAAD/2/bQ=")</f>
        <v>#VALUE!</v>
      </c>
      <c r="FZ289" t="e">
        <f>AND('PROG FORM COMPLEM'!P417,"AAAAAD/2/bU=")</f>
        <v>#VALUE!</v>
      </c>
      <c r="GA289" t="e">
        <f>AND('PROG FORM COMPLEM'!Q417,"AAAAAD/2/bY=")</f>
        <v>#VALUE!</v>
      </c>
      <c r="GB289" t="e">
        <f>AND('PROG FORM COMPLEM'!R417,"AAAAAD/2/bc=")</f>
        <v>#VALUE!</v>
      </c>
      <c r="GC289" t="e">
        <f>AND('PROG FORM COMPLEM'!S417,"AAAAAD/2/bg=")</f>
        <v>#VALUE!</v>
      </c>
      <c r="GD289" t="e">
        <f>AND('PROG FORM COMPLEM'!T417,"AAAAAD/2/bk=")</f>
        <v>#VALUE!</v>
      </c>
      <c r="GE289" t="e">
        <f>AND('PROG FORM COMPLEM'!U417,"AAAAAD/2/bo=")</f>
        <v>#VALUE!</v>
      </c>
      <c r="GF289" t="e">
        <f>AND('PROG FORM COMPLEM'!V417,"AAAAAD/2/bs=")</f>
        <v>#VALUE!</v>
      </c>
      <c r="GG289" t="e">
        <f>AND('PROG FORM COMPLEM'!W417,"AAAAAD/2/bw=")</f>
        <v>#VALUE!</v>
      </c>
      <c r="GH289">
        <f>IF('PROG FORM COMPLEM'!418:418,"AAAAAD/2/b0=",0)</f>
        <v>0</v>
      </c>
      <c r="GI289" t="e">
        <f>AND('PROG FORM COMPLEM'!B418,"AAAAAD/2/b4=")</f>
        <v>#VALUE!</v>
      </c>
      <c r="GJ289" t="e">
        <f>AND('PROG FORM COMPLEM'!C418,"AAAAAD/2/b8=")</f>
        <v>#VALUE!</v>
      </c>
      <c r="GK289" t="e">
        <f>AND('PROG FORM COMPLEM'!D418,"AAAAAD/2/cA=")</f>
        <v>#VALUE!</v>
      </c>
      <c r="GL289" t="e">
        <f>AND('PROG FORM COMPLEM'!E418,"AAAAAD/2/cE=")</f>
        <v>#VALUE!</v>
      </c>
      <c r="GM289" t="e">
        <f>AND('PROG FORM COMPLEM'!F418,"AAAAAD/2/cI=")</f>
        <v>#VALUE!</v>
      </c>
      <c r="GN289" t="e">
        <f>AND('PROG FORM COMPLEM'!G418,"AAAAAD/2/cM=")</f>
        <v>#VALUE!</v>
      </c>
      <c r="GO289" t="e">
        <f>AND('PROG FORM COMPLEM'!H418,"AAAAAD/2/cQ=")</f>
        <v>#VALUE!</v>
      </c>
      <c r="GP289" t="e">
        <f>AND('PROG FORM COMPLEM'!I418,"AAAAAD/2/cU=")</f>
        <v>#VALUE!</v>
      </c>
      <c r="GQ289" t="e">
        <f>AND('PROG FORM COMPLEM'!J418,"AAAAAD/2/cY=")</f>
        <v>#VALUE!</v>
      </c>
      <c r="GR289" t="e">
        <f>AND('PROG FORM COMPLEM'!K418,"AAAAAD/2/cc=")</f>
        <v>#VALUE!</v>
      </c>
      <c r="GS289" t="e">
        <f>AND('PROG FORM COMPLEM'!L418,"AAAAAD/2/cg=")</f>
        <v>#VALUE!</v>
      </c>
      <c r="GT289" t="e">
        <f>AND('PROG FORM COMPLEM'!M418,"AAAAAD/2/ck=")</f>
        <v>#VALUE!</v>
      </c>
      <c r="GU289" t="e">
        <f>AND('PROG FORM COMPLEM'!N418,"AAAAAD/2/co=")</f>
        <v>#VALUE!</v>
      </c>
      <c r="GV289" t="e">
        <f>AND('PROG FORM COMPLEM'!O418,"AAAAAD/2/cs=")</f>
        <v>#VALUE!</v>
      </c>
      <c r="GW289" t="e">
        <f>AND('PROG FORM COMPLEM'!P418,"AAAAAD/2/cw=")</f>
        <v>#VALUE!</v>
      </c>
      <c r="GX289" t="e">
        <f>AND('PROG FORM COMPLEM'!Q418,"AAAAAD/2/c0=")</f>
        <v>#VALUE!</v>
      </c>
      <c r="GY289" t="e">
        <f>AND('PROG FORM COMPLEM'!R418,"AAAAAD/2/c4=")</f>
        <v>#VALUE!</v>
      </c>
      <c r="GZ289" t="e">
        <f>AND('PROG FORM COMPLEM'!S418,"AAAAAD/2/c8=")</f>
        <v>#VALUE!</v>
      </c>
      <c r="HA289" t="e">
        <f>AND('PROG FORM COMPLEM'!T418,"AAAAAD/2/dA=")</f>
        <v>#VALUE!</v>
      </c>
      <c r="HB289" t="e">
        <f>AND('PROG FORM COMPLEM'!U418,"AAAAAD/2/dE=")</f>
        <v>#VALUE!</v>
      </c>
      <c r="HC289" t="e">
        <f>AND('PROG FORM COMPLEM'!V418,"AAAAAD/2/dI=")</f>
        <v>#VALUE!</v>
      </c>
      <c r="HD289" t="e">
        <f>AND('PROG FORM COMPLEM'!W418,"AAAAAD/2/dM=")</f>
        <v>#VALUE!</v>
      </c>
      <c r="HE289">
        <f>IF('PROG FORM COMPLEM'!419:419,"AAAAAD/2/dQ=",0)</f>
        <v>0</v>
      </c>
      <c r="HF289" t="e">
        <f>AND('PROG FORM COMPLEM'!B419,"AAAAAD/2/dU=")</f>
        <v>#VALUE!</v>
      </c>
      <c r="HG289" t="e">
        <f>AND('PROG FORM COMPLEM'!C419,"AAAAAD/2/dY=")</f>
        <v>#VALUE!</v>
      </c>
      <c r="HH289" t="e">
        <f>AND('PROG FORM COMPLEM'!D419,"AAAAAD/2/dc=")</f>
        <v>#VALUE!</v>
      </c>
      <c r="HI289" t="e">
        <f>AND('PROG FORM COMPLEM'!E419,"AAAAAD/2/dg=")</f>
        <v>#VALUE!</v>
      </c>
      <c r="HJ289" t="e">
        <f>AND('PROG FORM COMPLEM'!F419,"AAAAAD/2/dk=")</f>
        <v>#VALUE!</v>
      </c>
      <c r="HK289" t="e">
        <f>AND('PROG FORM COMPLEM'!G419,"AAAAAD/2/do=")</f>
        <v>#VALUE!</v>
      </c>
      <c r="HL289" t="e">
        <f>AND('PROG FORM COMPLEM'!H419,"AAAAAD/2/ds=")</f>
        <v>#VALUE!</v>
      </c>
      <c r="HM289" t="e">
        <f>AND('PROG FORM COMPLEM'!I419,"AAAAAD/2/dw=")</f>
        <v>#VALUE!</v>
      </c>
      <c r="HN289" t="e">
        <f>AND('PROG FORM COMPLEM'!J419,"AAAAAD/2/d0=")</f>
        <v>#VALUE!</v>
      </c>
      <c r="HO289" t="e">
        <f>AND('PROG FORM COMPLEM'!K419,"AAAAAD/2/d4=")</f>
        <v>#VALUE!</v>
      </c>
      <c r="HP289" t="e">
        <f>AND('PROG FORM COMPLEM'!L419,"AAAAAD/2/d8=")</f>
        <v>#VALUE!</v>
      </c>
      <c r="HQ289" t="e">
        <f>AND('PROG FORM COMPLEM'!M419,"AAAAAD/2/eA=")</f>
        <v>#VALUE!</v>
      </c>
      <c r="HR289" t="e">
        <f>AND('PROG FORM COMPLEM'!N419,"AAAAAD/2/eE=")</f>
        <v>#VALUE!</v>
      </c>
      <c r="HS289" t="e">
        <f>AND('PROG FORM COMPLEM'!O419,"AAAAAD/2/eI=")</f>
        <v>#VALUE!</v>
      </c>
      <c r="HT289" t="e">
        <f>AND('PROG FORM COMPLEM'!P419,"AAAAAD/2/eM=")</f>
        <v>#VALUE!</v>
      </c>
      <c r="HU289" t="e">
        <f>AND('PROG FORM COMPLEM'!Q419,"AAAAAD/2/eQ=")</f>
        <v>#VALUE!</v>
      </c>
      <c r="HV289" t="e">
        <f>AND('PROG FORM COMPLEM'!R419,"AAAAAD/2/eU=")</f>
        <v>#VALUE!</v>
      </c>
      <c r="HW289" t="e">
        <f>AND('PROG FORM COMPLEM'!S419,"AAAAAD/2/eY=")</f>
        <v>#VALUE!</v>
      </c>
      <c r="HX289" t="e">
        <f>AND('PROG FORM COMPLEM'!T419,"AAAAAD/2/ec=")</f>
        <v>#VALUE!</v>
      </c>
      <c r="HY289" t="e">
        <f>AND('PROG FORM COMPLEM'!U419,"AAAAAD/2/eg=")</f>
        <v>#VALUE!</v>
      </c>
      <c r="HZ289" t="e">
        <f>AND('PROG FORM COMPLEM'!V419,"AAAAAD/2/ek=")</f>
        <v>#VALUE!</v>
      </c>
      <c r="IA289" t="e">
        <f>AND('PROG FORM COMPLEM'!W419,"AAAAAD/2/eo=")</f>
        <v>#VALUE!</v>
      </c>
      <c r="IB289">
        <f>IF('PROG FORM COMPLEM'!420:420,"AAAAAD/2/es=",0)</f>
        <v>0</v>
      </c>
      <c r="IC289" t="e">
        <f>AND('PROG FORM COMPLEM'!B420,"AAAAAD/2/ew=")</f>
        <v>#VALUE!</v>
      </c>
      <c r="ID289" t="e">
        <f>AND('PROG FORM COMPLEM'!C420,"AAAAAD/2/e0=")</f>
        <v>#VALUE!</v>
      </c>
      <c r="IE289" t="e">
        <f>AND('PROG FORM COMPLEM'!D420,"AAAAAD/2/e4=")</f>
        <v>#VALUE!</v>
      </c>
      <c r="IF289" t="e">
        <f>AND('PROG FORM COMPLEM'!E420,"AAAAAD/2/e8=")</f>
        <v>#VALUE!</v>
      </c>
      <c r="IG289" t="e">
        <f>AND('PROG FORM COMPLEM'!F420,"AAAAAD/2/fA=")</f>
        <v>#VALUE!</v>
      </c>
      <c r="IH289" t="e">
        <f>AND('PROG FORM COMPLEM'!G420,"AAAAAD/2/fE=")</f>
        <v>#VALUE!</v>
      </c>
      <c r="II289" t="e">
        <f>AND('PROG FORM COMPLEM'!H420,"AAAAAD/2/fI=")</f>
        <v>#VALUE!</v>
      </c>
      <c r="IJ289" t="e">
        <f>AND('PROG FORM COMPLEM'!I420,"AAAAAD/2/fM=")</f>
        <v>#VALUE!</v>
      </c>
      <c r="IK289" t="e">
        <f>AND('PROG FORM COMPLEM'!J420,"AAAAAD/2/fQ=")</f>
        <v>#VALUE!</v>
      </c>
      <c r="IL289" t="e">
        <f>AND('PROG FORM COMPLEM'!K420,"AAAAAD/2/fU=")</f>
        <v>#VALUE!</v>
      </c>
      <c r="IM289" t="e">
        <f>AND('PROG FORM COMPLEM'!L420,"AAAAAD/2/fY=")</f>
        <v>#VALUE!</v>
      </c>
      <c r="IN289" t="e">
        <f>AND('PROG FORM COMPLEM'!M420,"AAAAAD/2/fc=")</f>
        <v>#VALUE!</v>
      </c>
      <c r="IO289" t="e">
        <f>AND('PROG FORM COMPLEM'!N420,"AAAAAD/2/fg=")</f>
        <v>#VALUE!</v>
      </c>
      <c r="IP289" t="e">
        <f>AND('PROG FORM COMPLEM'!O420,"AAAAAD/2/fk=")</f>
        <v>#VALUE!</v>
      </c>
      <c r="IQ289" t="e">
        <f>AND('PROG FORM COMPLEM'!P420,"AAAAAD/2/fo=")</f>
        <v>#VALUE!</v>
      </c>
      <c r="IR289" t="e">
        <f>AND('PROG FORM COMPLEM'!Q420,"AAAAAD/2/fs=")</f>
        <v>#VALUE!</v>
      </c>
      <c r="IS289" t="e">
        <f>AND('PROG FORM COMPLEM'!R420,"AAAAAD/2/fw=")</f>
        <v>#VALUE!</v>
      </c>
      <c r="IT289" t="e">
        <f>AND('PROG FORM COMPLEM'!S420,"AAAAAD/2/f0=")</f>
        <v>#VALUE!</v>
      </c>
      <c r="IU289" t="e">
        <f>AND('PROG FORM COMPLEM'!T420,"AAAAAD/2/f4=")</f>
        <v>#VALUE!</v>
      </c>
      <c r="IV289" t="e">
        <f>AND('PROG FORM COMPLEM'!U420,"AAAAAD/2/f8=")</f>
        <v>#VALUE!</v>
      </c>
    </row>
    <row r="290" spans="1:256" x14ac:dyDescent="0.2">
      <c r="A290" t="e">
        <f>AND('PROG FORM COMPLEM'!V420,"AAAAAHfN/wA=")</f>
        <v>#VALUE!</v>
      </c>
      <c r="B290" t="e">
        <f>AND('PROG FORM COMPLEM'!W420,"AAAAAHfN/wE=")</f>
        <v>#VALUE!</v>
      </c>
      <c r="C290">
        <f>IF('PROG FORM COMPLEM'!421:421,"AAAAAHfN/wI=",0)</f>
        <v>0</v>
      </c>
      <c r="D290" t="e">
        <f>AND('PROG FORM COMPLEM'!B421,"AAAAAHfN/wM=")</f>
        <v>#VALUE!</v>
      </c>
      <c r="E290" t="e">
        <f>AND('PROG FORM COMPLEM'!C421,"AAAAAHfN/wQ=")</f>
        <v>#VALUE!</v>
      </c>
      <c r="F290" t="e">
        <f>AND('PROG FORM COMPLEM'!D421,"AAAAAHfN/wU=")</f>
        <v>#VALUE!</v>
      </c>
      <c r="G290" t="e">
        <f>AND('PROG FORM COMPLEM'!E421,"AAAAAHfN/wY=")</f>
        <v>#VALUE!</v>
      </c>
      <c r="H290" t="e">
        <f>AND('PROG FORM COMPLEM'!F421,"AAAAAHfN/wc=")</f>
        <v>#VALUE!</v>
      </c>
      <c r="I290" t="e">
        <f>AND('PROG FORM COMPLEM'!G421,"AAAAAHfN/wg=")</f>
        <v>#VALUE!</v>
      </c>
      <c r="J290" t="e">
        <f>AND('PROG FORM COMPLEM'!H421,"AAAAAHfN/wk=")</f>
        <v>#VALUE!</v>
      </c>
      <c r="K290" t="e">
        <f>AND('PROG FORM COMPLEM'!I421,"AAAAAHfN/wo=")</f>
        <v>#VALUE!</v>
      </c>
      <c r="L290" t="e">
        <f>AND('PROG FORM COMPLEM'!J421,"AAAAAHfN/ws=")</f>
        <v>#VALUE!</v>
      </c>
      <c r="M290" t="e">
        <f>AND('PROG FORM COMPLEM'!K421,"AAAAAHfN/ww=")</f>
        <v>#VALUE!</v>
      </c>
      <c r="N290" t="e">
        <f>AND('PROG FORM COMPLEM'!L421,"AAAAAHfN/w0=")</f>
        <v>#VALUE!</v>
      </c>
      <c r="O290" t="e">
        <f>AND('PROG FORM COMPLEM'!M421,"AAAAAHfN/w4=")</f>
        <v>#VALUE!</v>
      </c>
      <c r="P290" t="e">
        <f>AND('PROG FORM COMPLEM'!N421,"AAAAAHfN/w8=")</f>
        <v>#VALUE!</v>
      </c>
      <c r="Q290" t="e">
        <f>AND('PROG FORM COMPLEM'!O421,"AAAAAHfN/xA=")</f>
        <v>#VALUE!</v>
      </c>
      <c r="R290" t="e">
        <f>AND('PROG FORM COMPLEM'!P421,"AAAAAHfN/xE=")</f>
        <v>#VALUE!</v>
      </c>
      <c r="S290" t="e">
        <f>AND('PROG FORM COMPLEM'!Q421,"AAAAAHfN/xI=")</f>
        <v>#VALUE!</v>
      </c>
      <c r="T290" t="e">
        <f>AND('PROG FORM COMPLEM'!R421,"AAAAAHfN/xM=")</f>
        <v>#VALUE!</v>
      </c>
      <c r="U290" t="e">
        <f>AND('PROG FORM COMPLEM'!S421,"AAAAAHfN/xQ=")</f>
        <v>#VALUE!</v>
      </c>
      <c r="V290" t="e">
        <f>AND('PROG FORM COMPLEM'!T421,"AAAAAHfN/xU=")</f>
        <v>#VALUE!</v>
      </c>
      <c r="W290" t="e">
        <f>AND('PROG FORM COMPLEM'!U421,"AAAAAHfN/xY=")</f>
        <v>#VALUE!</v>
      </c>
      <c r="X290" t="e">
        <f>AND('PROG FORM COMPLEM'!V421,"AAAAAHfN/xc=")</f>
        <v>#VALUE!</v>
      </c>
      <c r="Y290" t="e">
        <f>AND('PROG FORM COMPLEM'!W421,"AAAAAHfN/xg=")</f>
        <v>#VALUE!</v>
      </c>
      <c r="Z290">
        <f>IF('PROG FORM COMPLEM'!422:422,"AAAAAHfN/xk=",0)</f>
        <v>0</v>
      </c>
      <c r="AA290" t="e">
        <f>AND('PROG FORM COMPLEM'!B422,"AAAAAHfN/xo=")</f>
        <v>#VALUE!</v>
      </c>
      <c r="AB290" t="e">
        <f>AND('PROG FORM COMPLEM'!C422,"AAAAAHfN/xs=")</f>
        <v>#VALUE!</v>
      </c>
      <c r="AC290" t="e">
        <f>AND('PROG FORM COMPLEM'!D422,"AAAAAHfN/xw=")</f>
        <v>#VALUE!</v>
      </c>
      <c r="AD290" t="e">
        <f>AND('PROG FORM COMPLEM'!E422,"AAAAAHfN/x0=")</f>
        <v>#VALUE!</v>
      </c>
      <c r="AE290" t="e">
        <f>AND('PROG FORM COMPLEM'!F422,"AAAAAHfN/x4=")</f>
        <v>#VALUE!</v>
      </c>
      <c r="AF290" t="e">
        <f>AND('PROG FORM COMPLEM'!G422,"AAAAAHfN/x8=")</f>
        <v>#VALUE!</v>
      </c>
      <c r="AG290" t="e">
        <f>AND('PROG FORM COMPLEM'!H422,"AAAAAHfN/yA=")</f>
        <v>#VALUE!</v>
      </c>
      <c r="AH290" t="e">
        <f>AND('PROG FORM COMPLEM'!I422,"AAAAAHfN/yE=")</f>
        <v>#VALUE!</v>
      </c>
      <c r="AI290" t="e">
        <f>AND('PROG FORM COMPLEM'!J422,"AAAAAHfN/yI=")</f>
        <v>#VALUE!</v>
      </c>
      <c r="AJ290" t="e">
        <f>AND('PROG FORM COMPLEM'!K422,"AAAAAHfN/yM=")</f>
        <v>#VALUE!</v>
      </c>
      <c r="AK290" t="e">
        <f>AND('PROG FORM COMPLEM'!L422,"AAAAAHfN/yQ=")</f>
        <v>#VALUE!</v>
      </c>
      <c r="AL290" t="e">
        <f>AND('PROG FORM COMPLEM'!M422,"AAAAAHfN/yU=")</f>
        <v>#VALUE!</v>
      </c>
      <c r="AM290" t="e">
        <f>AND('PROG FORM COMPLEM'!N422,"AAAAAHfN/yY=")</f>
        <v>#VALUE!</v>
      </c>
      <c r="AN290" t="e">
        <f>AND('PROG FORM COMPLEM'!O422,"AAAAAHfN/yc=")</f>
        <v>#VALUE!</v>
      </c>
      <c r="AO290" t="e">
        <f>AND('PROG FORM COMPLEM'!P422,"AAAAAHfN/yg=")</f>
        <v>#VALUE!</v>
      </c>
      <c r="AP290" t="e">
        <f>AND('PROG FORM COMPLEM'!Q422,"AAAAAHfN/yk=")</f>
        <v>#VALUE!</v>
      </c>
      <c r="AQ290" t="e">
        <f>AND('PROG FORM COMPLEM'!R422,"AAAAAHfN/yo=")</f>
        <v>#VALUE!</v>
      </c>
      <c r="AR290" t="e">
        <f>AND('PROG FORM COMPLEM'!S422,"AAAAAHfN/ys=")</f>
        <v>#VALUE!</v>
      </c>
      <c r="AS290" t="e">
        <f>AND('PROG FORM COMPLEM'!T422,"AAAAAHfN/yw=")</f>
        <v>#VALUE!</v>
      </c>
      <c r="AT290" t="e">
        <f>AND('PROG FORM COMPLEM'!U422,"AAAAAHfN/y0=")</f>
        <v>#VALUE!</v>
      </c>
      <c r="AU290" t="e">
        <f>AND('PROG FORM COMPLEM'!V422,"AAAAAHfN/y4=")</f>
        <v>#VALUE!</v>
      </c>
      <c r="AV290" t="e">
        <f>AND('PROG FORM COMPLEM'!W422,"AAAAAHfN/y8=")</f>
        <v>#VALUE!</v>
      </c>
      <c r="AW290">
        <f>IF('PROG FORM COMPLEM'!423:423,"AAAAAHfN/zA=",0)</f>
        <v>0</v>
      </c>
      <c r="AX290" t="e">
        <f>AND('PROG FORM COMPLEM'!B423,"AAAAAHfN/zE=")</f>
        <v>#VALUE!</v>
      </c>
      <c r="AY290" t="e">
        <f>AND('PROG FORM COMPLEM'!C423,"AAAAAHfN/zI=")</f>
        <v>#VALUE!</v>
      </c>
      <c r="AZ290" t="e">
        <f>AND('PROG FORM COMPLEM'!D423,"AAAAAHfN/zM=")</f>
        <v>#VALUE!</v>
      </c>
      <c r="BA290" t="e">
        <f>AND('PROG FORM COMPLEM'!E423,"AAAAAHfN/zQ=")</f>
        <v>#VALUE!</v>
      </c>
      <c r="BB290" t="e">
        <f>AND('PROG FORM COMPLEM'!F423,"AAAAAHfN/zU=")</f>
        <v>#VALUE!</v>
      </c>
      <c r="BC290" t="e">
        <f>AND('PROG FORM COMPLEM'!G423,"AAAAAHfN/zY=")</f>
        <v>#VALUE!</v>
      </c>
      <c r="BD290" t="e">
        <f>AND('PROG FORM COMPLEM'!H423,"AAAAAHfN/zc=")</f>
        <v>#VALUE!</v>
      </c>
      <c r="BE290" t="e">
        <f>AND('PROG FORM COMPLEM'!I423,"AAAAAHfN/zg=")</f>
        <v>#VALUE!</v>
      </c>
      <c r="BF290" t="e">
        <f>AND('PROG FORM COMPLEM'!J423,"AAAAAHfN/zk=")</f>
        <v>#VALUE!</v>
      </c>
      <c r="BG290" t="e">
        <f>AND('PROG FORM COMPLEM'!K423,"AAAAAHfN/zo=")</f>
        <v>#VALUE!</v>
      </c>
      <c r="BH290" t="e">
        <f>AND('PROG FORM COMPLEM'!L423,"AAAAAHfN/zs=")</f>
        <v>#VALUE!</v>
      </c>
      <c r="BI290" t="e">
        <f>AND('PROG FORM COMPLEM'!M423,"AAAAAHfN/zw=")</f>
        <v>#VALUE!</v>
      </c>
      <c r="BJ290" t="e">
        <f>AND('PROG FORM COMPLEM'!N423,"AAAAAHfN/z0=")</f>
        <v>#VALUE!</v>
      </c>
      <c r="BK290" t="e">
        <f>AND('PROG FORM COMPLEM'!O423,"AAAAAHfN/z4=")</f>
        <v>#VALUE!</v>
      </c>
      <c r="BL290" t="e">
        <f>AND('PROG FORM COMPLEM'!P423,"AAAAAHfN/z8=")</f>
        <v>#VALUE!</v>
      </c>
      <c r="BM290" t="e">
        <f>AND('PROG FORM COMPLEM'!Q423,"AAAAAHfN/0A=")</f>
        <v>#VALUE!</v>
      </c>
      <c r="BN290" t="e">
        <f>AND('PROG FORM COMPLEM'!R423,"AAAAAHfN/0E=")</f>
        <v>#VALUE!</v>
      </c>
      <c r="BO290" t="e">
        <f>AND('PROG FORM COMPLEM'!S423,"AAAAAHfN/0I=")</f>
        <v>#VALUE!</v>
      </c>
      <c r="BP290" t="e">
        <f>AND('PROG FORM COMPLEM'!T423,"AAAAAHfN/0M=")</f>
        <v>#VALUE!</v>
      </c>
      <c r="BQ290" t="e">
        <f>AND('PROG FORM COMPLEM'!U423,"AAAAAHfN/0Q=")</f>
        <v>#VALUE!</v>
      </c>
      <c r="BR290" t="e">
        <f>AND('PROG FORM COMPLEM'!V423,"AAAAAHfN/0U=")</f>
        <v>#VALUE!</v>
      </c>
      <c r="BS290" t="e">
        <f>AND('PROG FORM COMPLEM'!W423,"AAAAAHfN/0Y=")</f>
        <v>#VALUE!</v>
      </c>
      <c r="BT290">
        <f>IF('PROG FORM COMPLEM'!424:424,"AAAAAHfN/0c=",0)</f>
        <v>0</v>
      </c>
      <c r="BU290" t="e">
        <f>AND('PROG FORM COMPLEM'!B424,"AAAAAHfN/0g=")</f>
        <v>#VALUE!</v>
      </c>
      <c r="BV290" t="e">
        <f>AND('PROG FORM COMPLEM'!C424,"AAAAAHfN/0k=")</f>
        <v>#VALUE!</v>
      </c>
      <c r="BW290" t="e">
        <f>AND('PROG FORM COMPLEM'!D424,"AAAAAHfN/0o=")</f>
        <v>#VALUE!</v>
      </c>
      <c r="BX290" t="e">
        <f>AND('PROG FORM COMPLEM'!E424,"AAAAAHfN/0s=")</f>
        <v>#VALUE!</v>
      </c>
      <c r="BY290" t="e">
        <f>AND('PROG FORM COMPLEM'!F424,"AAAAAHfN/0w=")</f>
        <v>#VALUE!</v>
      </c>
      <c r="BZ290" t="e">
        <f>AND('PROG FORM COMPLEM'!G424,"AAAAAHfN/00=")</f>
        <v>#VALUE!</v>
      </c>
      <c r="CA290" t="e">
        <f>AND('PROG FORM COMPLEM'!H424,"AAAAAHfN/04=")</f>
        <v>#VALUE!</v>
      </c>
      <c r="CB290" t="e">
        <f>AND('PROG FORM COMPLEM'!I424,"AAAAAHfN/08=")</f>
        <v>#VALUE!</v>
      </c>
      <c r="CC290" t="e">
        <f>AND('PROG FORM COMPLEM'!J424,"AAAAAHfN/1A=")</f>
        <v>#VALUE!</v>
      </c>
      <c r="CD290" t="e">
        <f>AND('PROG FORM COMPLEM'!K424,"AAAAAHfN/1E=")</f>
        <v>#VALUE!</v>
      </c>
      <c r="CE290" t="e">
        <f>AND('PROG FORM COMPLEM'!L424,"AAAAAHfN/1I=")</f>
        <v>#VALUE!</v>
      </c>
      <c r="CF290" t="e">
        <f>AND('PROG FORM COMPLEM'!M424,"AAAAAHfN/1M=")</f>
        <v>#VALUE!</v>
      </c>
      <c r="CG290" t="e">
        <f>AND('PROG FORM COMPLEM'!N424,"AAAAAHfN/1Q=")</f>
        <v>#VALUE!</v>
      </c>
      <c r="CH290" t="e">
        <f>AND('PROG FORM COMPLEM'!O424,"AAAAAHfN/1U=")</f>
        <v>#VALUE!</v>
      </c>
      <c r="CI290" t="e">
        <f>AND('PROG FORM COMPLEM'!P424,"AAAAAHfN/1Y=")</f>
        <v>#VALUE!</v>
      </c>
      <c r="CJ290" t="e">
        <f>AND('PROG FORM COMPLEM'!Q424,"AAAAAHfN/1c=")</f>
        <v>#VALUE!</v>
      </c>
      <c r="CK290" t="e">
        <f>AND('PROG FORM COMPLEM'!R424,"AAAAAHfN/1g=")</f>
        <v>#VALUE!</v>
      </c>
      <c r="CL290" t="e">
        <f>AND('PROG FORM COMPLEM'!S424,"AAAAAHfN/1k=")</f>
        <v>#VALUE!</v>
      </c>
      <c r="CM290" t="e">
        <f>AND('PROG FORM COMPLEM'!T424,"AAAAAHfN/1o=")</f>
        <v>#VALUE!</v>
      </c>
      <c r="CN290" t="e">
        <f>AND('PROG FORM COMPLEM'!U424,"AAAAAHfN/1s=")</f>
        <v>#VALUE!</v>
      </c>
      <c r="CO290" t="e">
        <f>AND('PROG FORM COMPLEM'!V424,"AAAAAHfN/1w=")</f>
        <v>#VALUE!</v>
      </c>
      <c r="CP290" t="e">
        <f>AND('PROG FORM COMPLEM'!W424,"AAAAAHfN/10=")</f>
        <v>#VALUE!</v>
      </c>
      <c r="CQ290">
        <f>IF('PROG FORM COMPLEM'!425:425,"AAAAAHfN/14=",0)</f>
        <v>0</v>
      </c>
      <c r="CR290" t="e">
        <f>AND('PROG FORM COMPLEM'!B425,"AAAAAHfN/18=")</f>
        <v>#VALUE!</v>
      </c>
      <c r="CS290" t="e">
        <f>AND('PROG FORM COMPLEM'!C425,"AAAAAHfN/2A=")</f>
        <v>#VALUE!</v>
      </c>
      <c r="CT290" t="e">
        <f>AND('PROG FORM COMPLEM'!D425,"AAAAAHfN/2E=")</f>
        <v>#VALUE!</v>
      </c>
      <c r="CU290" t="e">
        <f>AND('PROG FORM COMPLEM'!E425,"AAAAAHfN/2I=")</f>
        <v>#VALUE!</v>
      </c>
      <c r="CV290" t="e">
        <f>AND('PROG FORM COMPLEM'!F425,"AAAAAHfN/2M=")</f>
        <v>#VALUE!</v>
      </c>
      <c r="CW290" t="e">
        <f>AND('PROG FORM COMPLEM'!G425,"AAAAAHfN/2Q=")</f>
        <v>#VALUE!</v>
      </c>
      <c r="CX290" t="e">
        <f>AND('PROG FORM COMPLEM'!H425,"AAAAAHfN/2U=")</f>
        <v>#VALUE!</v>
      </c>
      <c r="CY290" t="e">
        <f>AND('PROG FORM COMPLEM'!I425,"AAAAAHfN/2Y=")</f>
        <v>#VALUE!</v>
      </c>
      <c r="CZ290" t="e">
        <f>AND('PROG FORM COMPLEM'!J425,"AAAAAHfN/2c=")</f>
        <v>#VALUE!</v>
      </c>
      <c r="DA290" t="e">
        <f>AND('PROG FORM COMPLEM'!K425,"AAAAAHfN/2g=")</f>
        <v>#VALUE!</v>
      </c>
      <c r="DB290" t="e">
        <f>AND('PROG FORM COMPLEM'!L425,"AAAAAHfN/2k=")</f>
        <v>#VALUE!</v>
      </c>
      <c r="DC290" t="e">
        <f>AND('PROG FORM COMPLEM'!M425,"AAAAAHfN/2o=")</f>
        <v>#VALUE!</v>
      </c>
      <c r="DD290" t="e">
        <f>AND('PROG FORM COMPLEM'!N425,"AAAAAHfN/2s=")</f>
        <v>#VALUE!</v>
      </c>
      <c r="DE290" t="e">
        <f>AND('PROG FORM COMPLEM'!O425,"AAAAAHfN/2w=")</f>
        <v>#VALUE!</v>
      </c>
      <c r="DF290" t="e">
        <f>AND('PROG FORM COMPLEM'!P425,"AAAAAHfN/20=")</f>
        <v>#VALUE!</v>
      </c>
      <c r="DG290" t="e">
        <f>AND('PROG FORM COMPLEM'!Q425,"AAAAAHfN/24=")</f>
        <v>#VALUE!</v>
      </c>
      <c r="DH290" t="e">
        <f>AND('PROG FORM COMPLEM'!R425,"AAAAAHfN/28=")</f>
        <v>#VALUE!</v>
      </c>
      <c r="DI290" t="e">
        <f>AND('PROG FORM COMPLEM'!S425,"AAAAAHfN/3A=")</f>
        <v>#VALUE!</v>
      </c>
      <c r="DJ290" t="e">
        <f>AND('PROG FORM COMPLEM'!T425,"AAAAAHfN/3E=")</f>
        <v>#VALUE!</v>
      </c>
      <c r="DK290" t="e">
        <f>AND('PROG FORM COMPLEM'!U425,"AAAAAHfN/3I=")</f>
        <v>#VALUE!</v>
      </c>
      <c r="DL290" t="e">
        <f>AND('PROG FORM COMPLEM'!V425,"AAAAAHfN/3M=")</f>
        <v>#VALUE!</v>
      </c>
      <c r="DM290" t="e">
        <f>AND('PROG FORM COMPLEM'!W425,"AAAAAHfN/3Q=")</f>
        <v>#VALUE!</v>
      </c>
      <c r="DN290">
        <f>IF('PROG FORM COMPLEM'!426:426,"AAAAAHfN/3U=",0)</f>
        <v>0</v>
      </c>
      <c r="DO290" t="e">
        <f>AND('PROG FORM COMPLEM'!B426,"AAAAAHfN/3Y=")</f>
        <v>#VALUE!</v>
      </c>
      <c r="DP290" t="e">
        <f>AND('PROG FORM COMPLEM'!C426,"AAAAAHfN/3c=")</f>
        <v>#VALUE!</v>
      </c>
      <c r="DQ290" t="e">
        <f>AND('PROG FORM COMPLEM'!D426,"AAAAAHfN/3g=")</f>
        <v>#VALUE!</v>
      </c>
      <c r="DR290" t="e">
        <f>AND('PROG FORM COMPLEM'!E426,"AAAAAHfN/3k=")</f>
        <v>#VALUE!</v>
      </c>
      <c r="DS290" t="e">
        <f>AND('PROG FORM COMPLEM'!F426,"AAAAAHfN/3o=")</f>
        <v>#VALUE!</v>
      </c>
      <c r="DT290" t="e">
        <f>AND('PROG FORM COMPLEM'!G426,"AAAAAHfN/3s=")</f>
        <v>#VALUE!</v>
      </c>
      <c r="DU290" t="e">
        <f>AND('PROG FORM COMPLEM'!H426,"AAAAAHfN/3w=")</f>
        <v>#VALUE!</v>
      </c>
      <c r="DV290" t="e">
        <f>AND('PROG FORM COMPLEM'!I426,"AAAAAHfN/30=")</f>
        <v>#VALUE!</v>
      </c>
      <c r="DW290" t="e">
        <f>AND('PROG FORM COMPLEM'!J426,"AAAAAHfN/34=")</f>
        <v>#VALUE!</v>
      </c>
      <c r="DX290" t="e">
        <f>AND('PROG FORM COMPLEM'!K426,"AAAAAHfN/38=")</f>
        <v>#VALUE!</v>
      </c>
      <c r="DY290" t="e">
        <f>AND('PROG FORM COMPLEM'!L426,"AAAAAHfN/4A=")</f>
        <v>#VALUE!</v>
      </c>
      <c r="DZ290" t="e">
        <f>AND('PROG FORM COMPLEM'!M426,"AAAAAHfN/4E=")</f>
        <v>#VALUE!</v>
      </c>
      <c r="EA290" t="e">
        <f>AND('PROG FORM COMPLEM'!N426,"AAAAAHfN/4I=")</f>
        <v>#VALUE!</v>
      </c>
      <c r="EB290" t="e">
        <f>AND('PROG FORM COMPLEM'!O426,"AAAAAHfN/4M=")</f>
        <v>#VALUE!</v>
      </c>
      <c r="EC290" t="e">
        <f>AND('PROG FORM COMPLEM'!P426,"AAAAAHfN/4Q=")</f>
        <v>#VALUE!</v>
      </c>
      <c r="ED290" t="e">
        <f>AND('PROG FORM COMPLEM'!Q426,"AAAAAHfN/4U=")</f>
        <v>#VALUE!</v>
      </c>
      <c r="EE290" t="e">
        <f>AND('PROG FORM COMPLEM'!R426,"AAAAAHfN/4Y=")</f>
        <v>#VALUE!</v>
      </c>
      <c r="EF290" t="e">
        <f>AND('PROG FORM COMPLEM'!S426,"AAAAAHfN/4c=")</f>
        <v>#VALUE!</v>
      </c>
      <c r="EG290" t="e">
        <f>AND('PROG FORM COMPLEM'!T426,"AAAAAHfN/4g=")</f>
        <v>#VALUE!</v>
      </c>
      <c r="EH290" t="e">
        <f>AND('PROG FORM COMPLEM'!U426,"AAAAAHfN/4k=")</f>
        <v>#VALUE!</v>
      </c>
      <c r="EI290" t="e">
        <f>AND('PROG FORM COMPLEM'!V426,"AAAAAHfN/4o=")</f>
        <v>#VALUE!</v>
      </c>
      <c r="EJ290" t="e">
        <f>AND('PROG FORM COMPLEM'!W426,"AAAAAHfN/4s=")</f>
        <v>#VALUE!</v>
      </c>
      <c r="EK290">
        <f>IF('PROG FORM COMPLEM'!427:427,"AAAAAHfN/4w=",0)</f>
        <v>0</v>
      </c>
      <c r="EL290" t="e">
        <f>AND('PROG FORM COMPLEM'!B427,"AAAAAHfN/40=")</f>
        <v>#VALUE!</v>
      </c>
      <c r="EM290" t="e">
        <f>AND('PROG FORM COMPLEM'!C427,"AAAAAHfN/44=")</f>
        <v>#VALUE!</v>
      </c>
      <c r="EN290" t="e">
        <f>AND('PROG FORM COMPLEM'!D427,"AAAAAHfN/48=")</f>
        <v>#VALUE!</v>
      </c>
      <c r="EO290" t="e">
        <f>AND('PROG FORM COMPLEM'!E427,"AAAAAHfN/5A=")</f>
        <v>#VALUE!</v>
      </c>
      <c r="EP290" t="e">
        <f>AND('PROG FORM COMPLEM'!F427,"AAAAAHfN/5E=")</f>
        <v>#VALUE!</v>
      </c>
      <c r="EQ290" t="e">
        <f>AND('PROG FORM COMPLEM'!G427,"AAAAAHfN/5I=")</f>
        <v>#VALUE!</v>
      </c>
      <c r="ER290" t="e">
        <f>AND('PROG FORM COMPLEM'!H427,"AAAAAHfN/5M=")</f>
        <v>#VALUE!</v>
      </c>
      <c r="ES290" t="e">
        <f>AND('PROG FORM COMPLEM'!I427,"AAAAAHfN/5Q=")</f>
        <v>#VALUE!</v>
      </c>
      <c r="ET290" t="e">
        <f>AND('PROG FORM COMPLEM'!J427,"AAAAAHfN/5U=")</f>
        <v>#VALUE!</v>
      </c>
      <c r="EU290" t="e">
        <f>AND('PROG FORM COMPLEM'!K427,"AAAAAHfN/5Y=")</f>
        <v>#VALUE!</v>
      </c>
      <c r="EV290" t="e">
        <f>AND('PROG FORM COMPLEM'!L427,"AAAAAHfN/5c=")</f>
        <v>#VALUE!</v>
      </c>
      <c r="EW290" t="e">
        <f>AND('PROG FORM COMPLEM'!M427,"AAAAAHfN/5g=")</f>
        <v>#VALUE!</v>
      </c>
      <c r="EX290" t="e">
        <f>AND('PROG FORM COMPLEM'!N427,"AAAAAHfN/5k=")</f>
        <v>#VALUE!</v>
      </c>
      <c r="EY290" t="e">
        <f>AND('PROG FORM COMPLEM'!O427,"AAAAAHfN/5o=")</f>
        <v>#VALUE!</v>
      </c>
      <c r="EZ290" t="e">
        <f>AND('PROG FORM COMPLEM'!P427,"AAAAAHfN/5s=")</f>
        <v>#VALUE!</v>
      </c>
      <c r="FA290" t="e">
        <f>AND('PROG FORM COMPLEM'!Q427,"AAAAAHfN/5w=")</f>
        <v>#VALUE!</v>
      </c>
      <c r="FB290" t="e">
        <f>AND('PROG FORM COMPLEM'!R427,"AAAAAHfN/50=")</f>
        <v>#VALUE!</v>
      </c>
      <c r="FC290" t="e">
        <f>AND('PROG FORM COMPLEM'!S427,"AAAAAHfN/54=")</f>
        <v>#VALUE!</v>
      </c>
      <c r="FD290" t="e">
        <f>AND('PROG FORM COMPLEM'!T427,"AAAAAHfN/58=")</f>
        <v>#VALUE!</v>
      </c>
      <c r="FE290" t="e">
        <f>AND('PROG FORM COMPLEM'!U427,"AAAAAHfN/6A=")</f>
        <v>#VALUE!</v>
      </c>
      <c r="FF290" t="e">
        <f>AND('PROG FORM COMPLEM'!V427,"AAAAAHfN/6E=")</f>
        <v>#VALUE!</v>
      </c>
      <c r="FG290" t="e">
        <f>AND('PROG FORM COMPLEM'!W427,"AAAAAHfN/6I=")</f>
        <v>#VALUE!</v>
      </c>
      <c r="FH290">
        <f>IF('PROG FORM COMPLEM'!428:428,"AAAAAHfN/6M=",0)</f>
        <v>0</v>
      </c>
      <c r="FI290" t="e">
        <f>AND('PROG FORM COMPLEM'!B428,"AAAAAHfN/6Q=")</f>
        <v>#VALUE!</v>
      </c>
      <c r="FJ290" t="e">
        <f>AND('PROG FORM COMPLEM'!C428,"AAAAAHfN/6U=")</f>
        <v>#VALUE!</v>
      </c>
      <c r="FK290" t="e">
        <f>AND('PROG FORM COMPLEM'!D428,"AAAAAHfN/6Y=")</f>
        <v>#VALUE!</v>
      </c>
      <c r="FL290" t="e">
        <f>AND('PROG FORM COMPLEM'!E428,"AAAAAHfN/6c=")</f>
        <v>#VALUE!</v>
      </c>
      <c r="FM290" t="e">
        <f>AND('PROG FORM COMPLEM'!F428,"AAAAAHfN/6g=")</f>
        <v>#VALUE!</v>
      </c>
      <c r="FN290" t="e">
        <f>AND('PROG FORM COMPLEM'!G428,"AAAAAHfN/6k=")</f>
        <v>#VALUE!</v>
      </c>
      <c r="FO290" t="e">
        <f>AND('PROG FORM COMPLEM'!H428,"AAAAAHfN/6o=")</f>
        <v>#VALUE!</v>
      </c>
      <c r="FP290" t="e">
        <f>AND('PROG FORM COMPLEM'!I428,"AAAAAHfN/6s=")</f>
        <v>#VALUE!</v>
      </c>
      <c r="FQ290" t="e">
        <f>AND('PROG FORM COMPLEM'!J428,"AAAAAHfN/6w=")</f>
        <v>#VALUE!</v>
      </c>
      <c r="FR290" t="e">
        <f>AND('PROG FORM COMPLEM'!K428,"AAAAAHfN/60=")</f>
        <v>#VALUE!</v>
      </c>
      <c r="FS290" t="e">
        <f>AND('PROG FORM COMPLEM'!L428,"AAAAAHfN/64=")</f>
        <v>#VALUE!</v>
      </c>
      <c r="FT290" t="e">
        <f>AND('PROG FORM COMPLEM'!M428,"AAAAAHfN/68=")</f>
        <v>#VALUE!</v>
      </c>
      <c r="FU290" t="e">
        <f>AND('PROG FORM COMPLEM'!N428,"AAAAAHfN/7A=")</f>
        <v>#VALUE!</v>
      </c>
      <c r="FV290" t="e">
        <f>AND('PROG FORM COMPLEM'!O428,"AAAAAHfN/7E=")</f>
        <v>#VALUE!</v>
      </c>
      <c r="FW290" t="e">
        <f>AND('PROG FORM COMPLEM'!P428,"AAAAAHfN/7I=")</f>
        <v>#VALUE!</v>
      </c>
      <c r="FX290" t="e">
        <f>AND('PROG FORM COMPLEM'!Q428,"AAAAAHfN/7M=")</f>
        <v>#VALUE!</v>
      </c>
      <c r="FY290" t="e">
        <f>AND('PROG FORM COMPLEM'!R428,"AAAAAHfN/7Q=")</f>
        <v>#VALUE!</v>
      </c>
      <c r="FZ290" t="e">
        <f>AND('PROG FORM COMPLEM'!S428,"AAAAAHfN/7U=")</f>
        <v>#VALUE!</v>
      </c>
      <c r="GA290" t="e">
        <f>AND('PROG FORM COMPLEM'!T428,"AAAAAHfN/7Y=")</f>
        <v>#VALUE!</v>
      </c>
      <c r="GB290" t="e">
        <f>AND('PROG FORM COMPLEM'!U428,"AAAAAHfN/7c=")</f>
        <v>#VALUE!</v>
      </c>
      <c r="GC290" t="e">
        <f>AND('PROG FORM COMPLEM'!V428,"AAAAAHfN/7g=")</f>
        <v>#VALUE!</v>
      </c>
      <c r="GD290" t="e">
        <f>AND('PROG FORM COMPLEM'!W428,"AAAAAHfN/7k=")</f>
        <v>#VALUE!</v>
      </c>
      <c r="GE290">
        <f>IF('PROG FORM COMPLEM'!429:429,"AAAAAHfN/7o=",0)</f>
        <v>0</v>
      </c>
      <c r="GF290" t="e">
        <f>AND('PROG FORM COMPLEM'!B429,"AAAAAHfN/7s=")</f>
        <v>#VALUE!</v>
      </c>
      <c r="GG290" t="e">
        <f>AND('PROG FORM COMPLEM'!C429,"AAAAAHfN/7w=")</f>
        <v>#VALUE!</v>
      </c>
      <c r="GH290" t="e">
        <f>AND('PROG FORM COMPLEM'!D429,"AAAAAHfN/70=")</f>
        <v>#VALUE!</v>
      </c>
      <c r="GI290" t="e">
        <f>AND('PROG FORM COMPLEM'!E429,"AAAAAHfN/74=")</f>
        <v>#VALUE!</v>
      </c>
      <c r="GJ290" t="e">
        <f>AND('PROG FORM COMPLEM'!F429,"AAAAAHfN/78=")</f>
        <v>#VALUE!</v>
      </c>
      <c r="GK290" t="e">
        <f>AND('PROG FORM COMPLEM'!G429,"AAAAAHfN/8A=")</f>
        <v>#VALUE!</v>
      </c>
      <c r="GL290" t="e">
        <f>AND('PROG FORM COMPLEM'!H429,"AAAAAHfN/8E=")</f>
        <v>#VALUE!</v>
      </c>
      <c r="GM290" t="e">
        <f>AND('PROG FORM COMPLEM'!I429,"AAAAAHfN/8I=")</f>
        <v>#VALUE!</v>
      </c>
      <c r="GN290" t="e">
        <f>AND('PROG FORM COMPLEM'!J429,"AAAAAHfN/8M=")</f>
        <v>#VALUE!</v>
      </c>
      <c r="GO290" t="e">
        <f>AND('PROG FORM COMPLEM'!K429,"AAAAAHfN/8Q=")</f>
        <v>#VALUE!</v>
      </c>
      <c r="GP290" t="e">
        <f>AND('PROG FORM COMPLEM'!L429,"AAAAAHfN/8U=")</f>
        <v>#VALUE!</v>
      </c>
      <c r="GQ290" t="e">
        <f>AND('PROG FORM COMPLEM'!M429,"AAAAAHfN/8Y=")</f>
        <v>#VALUE!</v>
      </c>
      <c r="GR290" t="e">
        <f>AND('PROG FORM COMPLEM'!N429,"AAAAAHfN/8c=")</f>
        <v>#VALUE!</v>
      </c>
      <c r="GS290" t="e">
        <f>AND('PROG FORM COMPLEM'!O429,"AAAAAHfN/8g=")</f>
        <v>#VALUE!</v>
      </c>
      <c r="GT290" t="e">
        <f>AND('PROG FORM COMPLEM'!P429,"AAAAAHfN/8k=")</f>
        <v>#VALUE!</v>
      </c>
      <c r="GU290" t="e">
        <f>AND('PROG FORM COMPLEM'!Q429,"AAAAAHfN/8o=")</f>
        <v>#VALUE!</v>
      </c>
      <c r="GV290" t="e">
        <f>AND('PROG FORM COMPLEM'!R429,"AAAAAHfN/8s=")</f>
        <v>#VALUE!</v>
      </c>
      <c r="GW290" t="e">
        <f>AND('PROG FORM COMPLEM'!S429,"AAAAAHfN/8w=")</f>
        <v>#VALUE!</v>
      </c>
      <c r="GX290" t="e">
        <f>AND('PROG FORM COMPLEM'!T429,"AAAAAHfN/80=")</f>
        <v>#VALUE!</v>
      </c>
      <c r="GY290" t="e">
        <f>AND('PROG FORM COMPLEM'!U429,"AAAAAHfN/84=")</f>
        <v>#VALUE!</v>
      </c>
      <c r="GZ290" t="e">
        <f>AND('PROG FORM COMPLEM'!V429,"AAAAAHfN/88=")</f>
        <v>#VALUE!</v>
      </c>
      <c r="HA290" t="e">
        <f>AND('PROG FORM COMPLEM'!W429,"AAAAAHfN/9A=")</f>
        <v>#VALUE!</v>
      </c>
      <c r="HB290">
        <f>IF('PROG FORM COMPLEM'!430:430,"AAAAAHfN/9E=",0)</f>
        <v>0</v>
      </c>
      <c r="HC290" t="e">
        <f>AND('PROG FORM COMPLEM'!B430,"AAAAAHfN/9I=")</f>
        <v>#VALUE!</v>
      </c>
      <c r="HD290" t="e">
        <f>AND('PROG FORM COMPLEM'!C430,"AAAAAHfN/9M=")</f>
        <v>#VALUE!</v>
      </c>
      <c r="HE290" t="e">
        <f>AND('PROG FORM COMPLEM'!D430,"AAAAAHfN/9Q=")</f>
        <v>#VALUE!</v>
      </c>
      <c r="HF290" t="e">
        <f>AND('PROG FORM COMPLEM'!E430,"AAAAAHfN/9U=")</f>
        <v>#VALUE!</v>
      </c>
      <c r="HG290" t="e">
        <f>AND('PROG FORM COMPLEM'!F430,"AAAAAHfN/9Y=")</f>
        <v>#VALUE!</v>
      </c>
      <c r="HH290" t="e">
        <f>AND('PROG FORM COMPLEM'!G430,"AAAAAHfN/9c=")</f>
        <v>#VALUE!</v>
      </c>
      <c r="HI290" t="e">
        <f>AND('PROG FORM COMPLEM'!H430,"AAAAAHfN/9g=")</f>
        <v>#VALUE!</v>
      </c>
      <c r="HJ290" t="e">
        <f>AND('PROG FORM COMPLEM'!I430,"AAAAAHfN/9k=")</f>
        <v>#VALUE!</v>
      </c>
      <c r="HK290" t="e">
        <f>AND('PROG FORM COMPLEM'!J430,"AAAAAHfN/9o=")</f>
        <v>#VALUE!</v>
      </c>
      <c r="HL290" t="e">
        <f>AND('PROG FORM COMPLEM'!K430,"AAAAAHfN/9s=")</f>
        <v>#VALUE!</v>
      </c>
      <c r="HM290" t="e">
        <f>AND('PROG FORM COMPLEM'!L430,"AAAAAHfN/9w=")</f>
        <v>#VALUE!</v>
      </c>
      <c r="HN290" t="e">
        <f>AND('PROG FORM COMPLEM'!M430,"AAAAAHfN/90=")</f>
        <v>#VALUE!</v>
      </c>
      <c r="HO290" t="e">
        <f>AND('PROG FORM COMPLEM'!N430,"AAAAAHfN/94=")</f>
        <v>#VALUE!</v>
      </c>
      <c r="HP290" t="e">
        <f>AND('PROG FORM COMPLEM'!O430,"AAAAAHfN/98=")</f>
        <v>#VALUE!</v>
      </c>
      <c r="HQ290" t="e">
        <f>AND('PROG FORM COMPLEM'!P430,"AAAAAHfN/+A=")</f>
        <v>#VALUE!</v>
      </c>
      <c r="HR290" t="e">
        <f>AND('PROG FORM COMPLEM'!Q430,"AAAAAHfN/+E=")</f>
        <v>#VALUE!</v>
      </c>
      <c r="HS290" t="e">
        <f>AND('PROG FORM COMPLEM'!R430,"AAAAAHfN/+I=")</f>
        <v>#VALUE!</v>
      </c>
      <c r="HT290" t="e">
        <f>AND('PROG FORM COMPLEM'!S430,"AAAAAHfN/+M=")</f>
        <v>#VALUE!</v>
      </c>
      <c r="HU290" t="e">
        <f>AND('PROG FORM COMPLEM'!T430,"AAAAAHfN/+Q=")</f>
        <v>#VALUE!</v>
      </c>
      <c r="HV290" t="e">
        <f>AND('PROG FORM COMPLEM'!U430,"AAAAAHfN/+U=")</f>
        <v>#VALUE!</v>
      </c>
      <c r="HW290" t="e">
        <f>AND('PROG FORM COMPLEM'!V430,"AAAAAHfN/+Y=")</f>
        <v>#VALUE!</v>
      </c>
      <c r="HX290" t="e">
        <f>AND('PROG FORM COMPLEM'!W430,"AAAAAHfN/+c=")</f>
        <v>#VALUE!</v>
      </c>
      <c r="HY290">
        <f>IF('PROG FORM COMPLEM'!431:431,"AAAAAHfN/+g=",0)</f>
        <v>0</v>
      </c>
      <c r="HZ290" t="e">
        <f>AND('PROG FORM COMPLEM'!B431,"AAAAAHfN/+k=")</f>
        <v>#VALUE!</v>
      </c>
      <c r="IA290" t="e">
        <f>AND('PROG FORM COMPLEM'!C431,"AAAAAHfN/+o=")</f>
        <v>#VALUE!</v>
      </c>
      <c r="IB290" t="e">
        <f>AND('PROG FORM COMPLEM'!D431,"AAAAAHfN/+s=")</f>
        <v>#VALUE!</v>
      </c>
      <c r="IC290" t="e">
        <f>AND('PROG FORM COMPLEM'!E431,"AAAAAHfN/+w=")</f>
        <v>#VALUE!</v>
      </c>
      <c r="ID290" t="e">
        <f>AND('PROG FORM COMPLEM'!F431,"AAAAAHfN/+0=")</f>
        <v>#VALUE!</v>
      </c>
      <c r="IE290" t="e">
        <f>AND('PROG FORM COMPLEM'!G431,"AAAAAHfN/+4=")</f>
        <v>#VALUE!</v>
      </c>
      <c r="IF290" t="e">
        <f>AND('PROG FORM COMPLEM'!H431,"AAAAAHfN/+8=")</f>
        <v>#VALUE!</v>
      </c>
      <c r="IG290" t="e">
        <f>AND('PROG FORM COMPLEM'!I431,"AAAAAHfN//A=")</f>
        <v>#VALUE!</v>
      </c>
      <c r="IH290" t="e">
        <f>AND('PROG FORM COMPLEM'!J431,"AAAAAHfN//E=")</f>
        <v>#VALUE!</v>
      </c>
      <c r="II290" t="e">
        <f>AND('PROG FORM COMPLEM'!K431,"AAAAAHfN//I=")</f>
        <v>#VALUE!</v>
      </c>
      <c r="IJ290" t="e">
        <f>AND('PROG FORM COMPLEM'!L431,"AAAAAHfN//M=")</f>
        <v>#VALUE!</v>
      </c>
      <c r="IK290" t="e">
        <f>AND('PROG FORM COMPLEM'!M431,"AAAAAHfN//Q=")</f>
        <v>#VALUE!</v>
      </c>
      <c r="IL290" t="e">
        <f>AND('PROG FORM COMPLEM'!N431,"AAAAAHfN//U=")</f>
        <v>#VALUE!</v>
      </c>
      <c r="IM290" t="e">
        <f>AND('PROG FORM COMPLEM'!O431,"AAAAAHfN//Y=")</f>
        <v>#VALUE!</v>
      </c>
      <c r="IN290" t="e">
        <f>AND('PROG FORM COMPLEM'!P431,"AAAAAHfN//c=")</f>
        <v>#VALUE!</v>
      </c>
      <c r="IO290" t="e">
        <f>AND('PROG FORM COMPLEM'!Q431,"AAAAAHfN//g=")</f>
        <v>#VALUE!</v>
      </c>
      <c r="IP290" t="e">
        <f>AND('PROG FORM COMPLEM'!R431,"AAAAAHfN//k=")</f>
        <v>#VALUE!</v>
      </c>
      <c r="IQ290" t="e">
        <f>AND('PROG FORM COMPLEM'!S431,"AAAAAHfN//o=")</f>
        <v>#VALUE!</v>
      </c>
      <c r="IR290" t="e">
        <f>AND('PROG FORM COMPLEM'!T431,"AAAAAHfN//s=")</f>
        <v>#VALUE!</v>
      </c>
      <c r="IS290" t="e">
        <f>AND('PROG FORM COMPLEM'!U431,"AAAAAHfN//w=")</f>
        <v>#VALUE!</v>
      </c>
      <c r="IT290" t="e">
        <f>AND('PROG FORM COMPLEM'!V431,"AAAAAHfN//0=")</f>
        <v>#VALUE!</v>
      </c>
      <c r="IU290" t="e">
        <f>AND('PROG FORM COMPLEM'!W431,"AAAAAHfN//4=")</f>
        <v>#VALUE!</v>
      </c>
      <c r="IV290">
        <f>IF('PROG FORM COMPLEM'!432:432,"AAAAAHfN//8=",0)</f>
        <v>0</v>
      </c>
    </row>
    <row r="291" spans="1:256" x14ac:dyDescent="0.2">
      <c r="A291" t="e">
        <f>AND('PROG FORM COMPLEM'!B432,"AAAAADuE7wA=")</f>
        <v>#VALUE!</v>
      </c>
      <c r="B291" t="e">
        <f>AND('PROG FORM COMPLEM'!C432,"AAAAADuE7wE=")</f>
        <v>#VALUE!</v>
      </c>
      <c r="C291" t="e">
        <f>AND('PROG FORM COMPLEM'!D432,"AAAAADuE7wI=")</f>
        <v>#VALUE!</v>
      </c>
      <c r="D291" t="e">
        <f>AND('PROG FORM COMPLEM'!E432,"AAAAADuE7wM=")</f>
        <v>#VALUE!</v>
      </c>
      <c r="E291" t="e">
        <f>AND('PROG FORM COMPLEM'!F432,"AAAAADuE7wQ=")</f>
        <v>#VALUE!</v>
      </c>
      <c r="F291" t="e">
        <f>AND('PROG FORM COMPLEM'!G432,"AAAAADuE7wU=")</f>
        <v>#VALUE!</v>
      </c>
      <c r="G291" t="e">
        <f>AND('PROG FORM COMPLEM'!H432,"AAAAADuE7wY=")</f>
        <v>#VALUE!</v>
      </c>
      <c r="H291" t="e">
        <f>AND('PROG FORM COMPLEM'!I432,"AAAAADuE7wc=")</f>
        <v>#VALUE!</v>
      </c>
      <c r="I291" t="e">
        <f>AND('PROG FORM COMPLEM'!J432,"AAAAADuE7wg=")</f>
        <v>#VALUE!</v>
      </c>
      <c r="J291" t="e">
        <f>AND('PROG FORM COMPLEM'!K432,"AAAAADuE7wk=")</f>
        <v>#VALUE!</v>
      </c>
      <c r="K291" t="e">
        <f>AND('PROG FORM COMPLEM'!L432,"AAAAADuE7wo=")</f>
        <v>#VALUE!</v>
      </c>
      <c r="L291" t="e">
        <f>AND('PROG FORM COMPLEM'!M432,"AAAAADuE7ws=")</f>
        <v>#VALUE!</v>
      </c>
      <c r="M291" t="e">
        <f>AND('PROG FORM COMPLEM'!N432,"AAAAADuE7ww=")</f>
        <v>#VALUE!</v>
      </c>
      <c r="N291" t="e">
        <f>AND('PROG FORM COMPLEM'!O432,"AAAAADuE7w0=")</f>
        <v>#VALUE!</v>
      </c>
      <c r="O291" t="e">
        <f>AND('PROG FORM COMPLEM'!P432,"AAAAADuE7w4=")</f>
        <v>#VALUE!</v>
      </c>
      <c r="P291" t="e">
        <f>AND('PROG FORM COMPLEM'!Q432,"AAAAADuE7w8=")</f>
        <v>#VALUE!</v>
      </c>
      <c r="Q291" t="e">
        <f>AND('PROG FORM COMPLEM'!R432,"AAAAADuE7xA=")</f>
        <v>#VALUE!</v>
      </c>
      <c r="R291" t="e">
        <f>AND('PROG FORM COMPLEM'!S432,"AAAAADuE7xE=")</f>
        <v>#VALUE!</v>
      </c>
      <c r="S291" t="e">
        <f>AND('PROG FORM COMPLEM'!T432,"AAAAADuE7xI=")</f>
        <v>#VALUE!</v>
      </c>
      <c r="T291" t="e">
        <f>AND('PROG FORM COMPLEM'!U432,"AAAAADuE7xM=")</f>
        <v>#VALUE!</v>
      </c>
      <c r="U291" t="e">
        <f>AND('PROG FORM COMPLEM'!V432,"AAAAADuE7xQ=")</f>
        <v>#VALUE!</v>
      </c>
      <c r="V291" t="e">
        <f>AND('PROG FORM COMPLEM'!W432,"AAAAADuE7xU=")</f>
        <v>#VALUE!</v>
      </c>
      <c r="W291">
        <f>IF('PROG FORM COMPLEM'!433:433,"AAAAADuE7xY=",0)</f>
        <v>0</v>
      </c>
      <c r="X291" t="e">
        <f>AND('PROG FORM COMPLEM'!B433,"AAAAADuE7xc=")</f>
        <v>#VALUE!</v>
      </c>
      <c r="Y291" t="e">
        <f>AND('PROG FORM COMPLEM'!C433,"AAAAADuE7xg=")</f>
        <v>#VALUE!</v>
      </c>
      <c r="Z291" t="e">
        <f>AND('PROG FORM COMPLEM'!D433,"AAAAADuE7xk=")</f>
        <v>#VALUE!</v>
      </c>
      <c r="AA291" t="e">
        <f>AND('PROG FORM COMPLEM'!E433,"AAAAADuE7xo=")</f>
        <v>#VALUE!</v>
      </c>
      <c r="AB291" t="e">
        <f>AND('PROG FORM COMPLEM'!F433,"AAAAADuE7xs=")</f>
        <v>#VALUE!</v>
      </c>
      <c r="AC291" t="e">
        <f>AND('PROG FORM COMPLEM'!G433,"AAAAADuE7xw=")</f>
        <v>#VALUE!</v>
      </c>
      <c r="AD291" t="e">
        <f>AND('PROG FORM COMPLEM'!H433,"AAAAADuE7x0=")</f>
        <v>#VALUE!</v>
      </c>
      <c r="AE291" t="e">
        <f>AND('PROG FORM COMPLEM'!I433,"AAAAADuE7x4=")</f>
        <v>#VALUE!</v>
      </c>
      <c r="AF291" t="e">
        <f>AND('PROG FORM COMPLEM'!J433,"AAAAADuE7x8=")</f>
        <v>#VALUE!</v>
      </c>
      <c r="AG291" t="e">
        <f>AND('PROG FORM COMPLEM'!K433,"AAAAADuE7yA=")</f>
        <v>#VALUE!</v>
      </c>
      <c r="AH291" t="e">
        <f>AND('PROG FORM COMPLEM'!L433,"AAAAADuE7yE=")</f>
        <v>#VALUE!</v>
      </c>
      <c r="AI291" t="e">
        <f>AND('PROG FORM COMPLEM'!M433,"AAAAADuE7yI=")</f>
        <v>#VALUE!</v>
      </c>
      <c r="AJ291" t="e">
        <f>AND('PROG FORM COMPLEM'!N433,"AAAAADuE7yM=")</f>
        <v>#VALUE!</v>
      </c>
      <c r="AK291" t="e">
        <f>AND('PROG FORM COMPLEM'!O433,"AAAAADuE7yQ=")</f>
        <v>#VALUE!</v>
      </c>
      <c r="AL291" t="e">
        <f>AND('PROG FORM COMPLEM'!P433,"AAAAADuE7yU=")</f>
        <v>#VALUE!</v>
      </c>
      <c r="AM291" t="e">
        <f>AND('PROG FORM COMPLEM'!Q433,"AAAAADuE7yY=")</f>
        <v>#VALUE!</v>
      </c>
      <c r="AN291" t="e">
        <f>AND('PROG FORM COMPLEM'!R433,"AAAAADuE7yc=")</f>
        <v>#VALUE!</v>
      </c>
      <c r="AO291" t="e">
        <f>AND('PROG FORM COMPLEM'!S433,"AAAAADuE7yg=")</f>
        <v>#VALUE!</v>
      </c>
      <c r="AP291" t="e">
        <f>AND('PROG FORM COMPLEM'!T433,"AAAAADuE7yk=")</f>
        <v>#VALUE!</v>
      </c>
      <c r="AQ291" t="e">
        <f>AND('PROG FORM COMPLEM'!U433,"AAAAADuE7yo=")</f>
        <v>#VALUE!</v>
      </c>
      <c r="AR291" t="e">
        <f>AND('PROG FORM COMPLEM'!V433,"AAAAADuE7ys=")</f>
        <v>#VALUE!</v>
      </c>
      <c r="AS291" t="e">
        <f>AND('PROG FORM COMPLEM'!W433,"AAAAADuE7yw=")</f>
        <v>#VALUE!</v>
      </c>
      <c r="AT291">
        <f>IF('PROG FORM COMPLEM'!434:434,"AAAAADuE7y0=",0)</f>
        <v>0</v>
      </c>
      <c r="AU291" t="e">
        <f>AND('PROG FORM COMPLEM'!B434,"AAAAADuE7y4=")</f>
        <v>#VALUE!</v>
      </c>
      <c r="AV291" t="e">
        <f>AND('PROG FORM COMPLEM'!C434,"AAAAADuE7y8=")</f>
        <v>#VALUE!</v>
      </c>
      <c r="AW291" t="e">
        <f>AND('PROG FORM COMPLEM'!D434,"AAAAADuE7zA=")</f>
        <v>#VALUE!</v>
      </c>
      <c r="AX291" t="e">
        <f>AND('PROG FORM COMPLEM'!E434,"AAAAADuE7zE=")</f>
        <v>#VALUE!</v>
      </c>
      <c r="AY291" t="e">
        <f>AND('PROG FORM COMPLEM'!F434,"AAAAADuE7zI=")</f>
        <v>#VALUE!</v>
      </c>
      <c r="AZ291" t="e">
        <f>AND('PROG FORM COMPLEM'!G434,"AAAAADuE7zM=")</f>
        <v>#VALUE!</v>
      </c>
      <c r="BA291" t="e">
        <f>AND('PROG FORM COMPLEM'!H434,"AAAAADuE7zQ=")</f>
        <v>#VALUE!</v>
      </c>
      <c r="BB291" t="e">
        <f>AND('PROG FORM COMPLEM'!I434,"AAAAADuE7zU=")</f>
        <v>#VALUE!</v>
      </c>
      <c r="BC291" t="e">
        <f>AND('PROG FORM COMPLEM'!J434,"AAAAADuE7zY=")</f>
        <v>#VALUE!</v>
      </c>
      <c r="BD291" t="e">
        <f>AND('PROG FORM COMPLEM'!K434,"AAAAADuE7zc=")</f>
        <v>#VALUE!</v>
      </c>
      <c r="BE291" t="e">
        <f>AND('PROG FORM COMPLEM'!L434,"AAAAADuE7zg=")</f>
        <v>#VALUE!</v>
      </c>
      <c r="BF291" t="e">
        <f>AND('PROG FORM COMPLEM'!M434,"AAAAADuE7zk=")</f>
        <v>#VALUE!</v>
      </c>
      <c r="BG291" t="e">
        <f>AND('PROG FORM COMPLEM'!N434,"AAAAADuE7zo=")</f>
        <v>#VALUE!</v>
      </c>
      <c r="BH291" t="e">
        <f>AND('PROG FORM COMPLEM'!O434,"AAAAADuE7zs=")</f>
        <v>#VALUE!</v>
      </c>
      <c r="BI291" t="e">
        <f>AND('PROG FORM COMPLEM'!P434,"AAAAADuE7zw=")</f>
        <v>#VALUE!</v>
      </c>
      <c r="BJ291" t="e">
        <f>AND('PROG FORM COMPLEM'!Q434,"AAAAADuE7z0=")</f>
        <v>#VALUE!</v>
      </c>
      <c r="BK291" t="e">
        <f>AND('PROG FORM COMPLEM'!R434,"AAAAADuE7z4=")</f>
        <v>#VALUE!</v>
      </c>
      <c r="BL291" t="e">
        <f>AND('PROG FORM COMPLEM'!S434,"AAAAADuE7z8=")</f>
        <v>#VALUE!</v>
      </c>
      <c r="BM291" t="e">
        <f>AND('PROG FORM COMPLEM'!T434,"AAAAADuE70A=")</f>
        <v>#VALUE!</v>
      </c>
      <c r="BN291" t="e">
        <f>AND('PROG FORM COMPLEM'!U434,"AAAAADuE70E=")</f>
        <v>#VALUE!</v>
      </c>
      <c r="BO291" t="e">
        <f>AND('PROG FORM COMPLEM'!V434,"AAAAADuE70I=")</f>
        <v>#VALUE!</v>
      </c>
      <c r="BP291" t="e">
        <f>AND('PROG FORM COMPLEM'!W434,"AAAAADuE70M=")</f>
        <v>#VALUE!</v>
      </c>
      <c r="BQ291">
        <f>IF('PROG FORM COMPLEM'!435:435,"AAAAADuE70Q=",0)</f>
        <v>0</v>
      </c>
      <c r="BR291" t="e">
        <f>AND('PROG FORM COMPLEM'!B435,"AAAAADuE70U=")</f>
        <v>#VALUE!</v>
      </c>
      <c r="BS291" t="e">
        <f>AND('PROG FORM COMPLEM'!C435,"AAAAADuE70Y=")</f>
        <v>#VALUE!</v>
      </c>
      <c r="BT291" t="e">
        <f>AND('PROG FORM COMPLEM'!D435,"AAAAADuE70c=")</f>
        <v>#VALUE!</v>
      </c>
      <c r="BU291" t="e">
        <f>AND('PROG FORM COMPLEM'!E435,"AAAAADuE70g=")</f>
        <v>#VALUE!</v>
      </c>
      <c r="BV291" t="e">
        <f>AND('PROG FORM COMPLEM'!F435,"AAAAADuE70k=")</f>
        <v>#VALUE!</v>
      </c>
      <c r="BW291" t="e">
        <f>AND('PROG FORM COMPLEM'!G435,"AAAAADuE70o=")</f>
        <v>#VALUE!</v>
      </c>
      <c r="BX291" t="e">
        <f>AND('PROG FORM COMPLEM'!H435,"AAAAADuE70s=")</f>
        <v>#VALUE!</v>
      </c>
      <c r="BY291" t="e">
        <f>AND('PROG FORM COMPLEM'!I435,"AAAAADuE70w=")</f>
        <v>#VALUE!</v>
      </c>
      <c r="BZ291" t="e">
        <f>AND('PROG FORM COMPLEM'!J435,"AAAAADuE700=")</f>
        <v>#VALUE!</v>
      </c>
      <c r="CA291" t="e">
        <f>AND('PROG FORM COMPLEM'!K435,"AAAAADuE704=")</f>
        <v>#VALUE!</v>
      </c>
      <c r="CB291" t="e">
        <f>AND('PROG FORM COMPLEM'!L435,"AAAAADuE708=")</f>
        <v>#VALUE!</v>
      </c>
      <c r="CC291" t="e">
        <f>AND('PROG FORM COMPLEM'!M435,"AAAAADuE71A=")</f>
        <v>#VALUE!</v>
      </c>
      <c r="CD291" t="e">
        <f>AND('PROG FORM COMPLEM'!N435,"AAAAADuE71E=")</f>
        <v>#VALUE!</v>
      </c>
      <c r="CE291" t="e">
        <f>AND('PROG FORM COMPLEM'!O435,"AAAAADuE71I=")</f>
        <v>#VALUE!</v>
      </c>
      <c r="CF291" t="e">
        <f>AND('PROG FORM COMPLEM'!P435,"AAAAADuE71M=")</f>
        <v>#VALUE!</v>
      </c>
      <c r="CG291" t="e">
        <f>AND('PROG FORM COMPLEM'!Q435,"AAAAADuE71Q=")</f>
        <v>#VALUE!</v>
      </c>
      <c r="CH291" t="e">
        <f>AND('PROG FORM COMPLEM'!R435,"AAAAADuE71U=")</f>
        <v>#VALUE!</v>
      </c>
      <c r="CI291" t="e">
        <f>AND('PROG FORM COMPLEM'!S435,"AAAAADuE71Y=")</f>
        <v>#VALUE!</v>
      </c>
      <c r="CJ291" t="e">
        <f>AND('PROG FORM COMPLEM'!T435,"AAAAADuE71c=")</f>
        <v>#VALUE!</v>
      </c>
      <c r="CK291" t="e">
        <f>AND('PROG FORM COMPLEM'!U435,"AAAAADuE71g=")</f>
        <v>#VALUE!</v>
      </c>
      <c r="CL291" t="e">
        <f>AND('PROG FORM COMPLEM'!V435,"AAAAADuE71k=")</f>
        <v>#VALUE!</v>
      </c>
      <c r="CM291" t="e">
        <f>AND('PROG FORM COMPLEM'!W435,"AAAAADuE71o=")</f>
        <v>#VALUE!</v>
      </c>
      <c r="CN291">
        <f>IF('PROG FORM COMPLEM'!436:436,"AAAAADuE71s=",0)</f>
        <v>0</v>
      </c>
      <c r="CO291" t="e">
        <f>AND('PROG FORM COMPLEM'!B436,"AAAAADuE71w=")</f>
        <v>#VALUE!</v>
      </c>
      <c r="CP291" t="e">
        <f>AND('PROG FORM COMPLEM'!C436,"AAAAADuE710=")</f>
        <v>#VALUE!</v>
      </c>
      <c r="CQ291" t="e">
        <f>AND('PROG FORM COMPLEM'!D436,"AAAAADuE714=")</f>
        <v>#VALUE!</v>
      </c>
      <c r="CR291" t="e">
        <f>AND('PROG FORM COMPLEM'!E436,"AAAAADuE718=")</f>
        <v>#VALUE!</v>
      </c>
      <c r="CS291" t="e">
        <f>AND('PROG FORM COMPLEM'!F436,"AAAAADuE72A=")</f>
        <v>#VALUE!</v>
      </c>
      <c r="CT291" t="e">
        <f>AND('PROG FORM COMPLEM'!G436,"AAAAADuE72E=")</f>
        <v>#VALUE!</v>
      </c>
      <c r="CU291" t="e">
        <f>AND('PROG FORM COMPLEM'!H436,"AAAAADuE72I=")</f>
        <v>#VALUE!</v>
      </c>
      <c r="CV291" t="e">
        <f>AND('PROG FORM COMPLEM'!I436,"AAAAADuE72M=")</f>
        <v>#VALUE!</v>
      </c>
      <c r="CW291" t="e">
        <f>AND('PROG FORM COMPLEM'!J436,"AAAAADuE72Q=")</f>
        <v>#VALUE!</v>
      </c>
      <c r="CX291" t="e">
        <f>AND('PROG FORM COMPLEM'!K436,"AAAAADuE72U=")</f>
        <v>#VALUE!</v>
      </c>
      <c r="CY291" t="e">
        <f>AND('PROG FORM COMPLEM'!L436,"AAAAADuE72Y=")</f>
        <v>#VALUE!</v>
      </c>
      <c r="CZ291" t="e">
        <f>AND('PROG FORM COMPLEM'!M436,"AAAAADuE72c=")</f>
        <v>#VALUE!</v>
      </c>
      <c r="DA291" t="e">
        <f>AND('PROG FORM COMPLEM'!N436,"AAAAADuE72g=")</f>
        <v>#VALUE!</v>
      </c>
      <c r="DB291" t="e">
        <f>AND('PROG FORM COMPLEM'!O436,"AAAAADuE72k=")</f>
        <v>#VALUE!</v>
      </c>
      <c r="DC291" t="e">
        <f>AND('PROG FORM COMPLEM'!P436,"AAAAADuE72o=")</f>
        <v>#VALUE!</v>
      </c>
      <c r="DD291" t="e">
        <f>AND('PROG FORM COMPLEM'!Q436,"AAAAADuE72s=")</f>
        <v>#VALUE!</v>
      </c>
      <c r="DE291" t="e">
        <f>AND('PROG FORM COMPLEM'!R436,"AAAAADuE72w=")</f>
        <v>#VALUE!</v>
      </c>
      <c r="DF291" t="e">
        <f>AND('PROG FORM COMPLEM'!S436,"AAAAADuE720=")</f>
        <v>#VALUE!</v>
      </c>
      <c r="DG291" t="e">
        <f>AND('PROG FORM COMPLEM'!T436,"AAAAADuE724=")</f>
        <v>#VALUE!</v>
      </c>
      <c r="DH291" t="e">
        <f>AND('PROG FORM COMPLEM'!U436,"AAAAADuE728=")</f>
        <v>#VALUE!</v>
      </c>
      <c r="DI291" t="e">
        <f>AND('PROG FORM COMPLEM'!V436,"AAAAADuE73A=")</f>
        <v>#VALUE!</v>
      </c>
      <c r="DJ291" t="e">
        <f>AND('PROG FORM COMPLEM'!W436,"AAAAADuE73E=")</f>
        <v>#VALUE!</v>
      </c>
      <c r="DK291">
        <f>IF('PROG FORM COMPLEM'!437:437,"AAAAADuE73I=",0)</f>
        <v>0</v>
      </c>
      <c r="DL291" t="e">
        <f>AND('PROG FORM COMPLEM'!B437,"AAAAADuE73M=")</f>
        <v>#VALUE!</v>
      </c>
      <c r="DM291" t="e">
        <f>AND('PROG FORM COMPLEM'!C437,"AAAAADuE73Q=")</f>
        <v>#VALUE!</v>
      </c>
      <c r="DN291" t="e">
        <f>AND('PROG FORM COMPLEM'!D437,"AAAAADuE73U=")</f>
        <v>#VALUE!</v>
      </c>
      <c r="DO291" t="e">
        <f>AND('PROG FORM COMPLEM'!E437,"AAAAADuE73Y=")</f>
        <v>#VALUE!</v>
      </c>
      <c r="DP291" t="e">
        <f>AND('PROG FORM COMPLEM'!F437,"AAAAADuE73c=")</f>
        <v>#VALUE!</v>
      </c>
      <c r="DQ291" t="e">
        <f>AND('PROG FORM COMPLEM'!G437,"AAAAADuE73g=")</f>
        <v>#VALUE!</v>
      </c>
      <c r="DR291" t="e">
        <f>AND('PROG FORM COMPLEM'!H437,"AAAAADuE73k=")</f>
        <v>#VALUE!</v>
      </c>
      <c r="DS291" t="e">
        <f>AND('PROG FORM COMPLEM'!I437,"AAAAADuE73o=")</f>
        <v>#VALUE!</v>
      </c>
      <c r="DT291" t="e">
        <f>AND('PROG FORM COMPLEM'!J437,"AAAAADuE73s=")</f>
        <v>#VALUE!</v>
      </c>
      <c r="DU291" t="e">
        <f>AND('PROG FORM COMPLEM'!K437,"AAAAADuE73w=")</f>
        <v>#VALUE!</v>
      </c>
      <c r="DV291" t="e">
        <f>AND('PROG FORM COMPLEM'!L437,"AAAAADuE730=")</f>
        <v>#VALUE!</v>
      </c>
      <c r="DW291" t="e">
        <f>AND('PROG FORM COMPLEM'!M437,"AAAAADuE734=")</f>
        <v>#VALUE!</v>
      </c>
      <c r="DX291" t="e">
        <f>AND('PROG FORM COMPLEM'!N437,"AAAAADuE738=")</f>
        <v>#VALUE!</v>
      </c>
      <c r="DY291" t="e">
        <f>AND('PROG FORM COMPLEM'!O437,"AAAAADuE74A=")</f>
        <v>#VALUE!</v>
      </c>
      <c r="DZ291" t="e">
        <f>AND('PROG FORM COMPLEM'!P437,"AAAAADuE74E=")</f>
        <v>#VALUE!</v>
      </c>
      <c r="EA291" t="e">
        <f>AND('PROG FORM COMPLEM'!Q437,"AAAAADuE74I=")</f>
        <v>#VALUE!</v>
      </c>
      <c r="EB291" t="e">
        <f>AND('PROG FORM COMPLEM'!R437,"AAAAADuE74M=")</f>
        <v>#VALUE!</v>
      </c>
      <c r="EC291" t="e">
        <f>AND('PROG FORM COMPLEM'!S437,"AAAAADuE74Q=")</f>
        <v>#VALUE!</v>
      </c>
      <c r="ED291" t="e">
        <f>AND('PROG FORM COMPLEM'!T437,"AAAAADuE74U=")</f>
        <v>#VALUE!</v>
      </c>
      <c r="EE291" t="e">
        <f>AND('PROG FORM COMPLEM'!U437,"AAAAADuE74Y=")</f>
        <v>#VALUE!</v>
      </c>
      <c r="EF291" t="e">
        <f>AND('PROG FORM COMPLEM'!V437,"AAAAADuE74c=")</f>
        <v>#VALUE!</v>
      </c>
      <c r="EG291" t="e">
        <f>AND('PROG FORM COMPLEM'!W437,"AAAAADuE74g=")</f>
        <v>#VALUE!</v>
      </c>
      <c r="EH291">
        <f>IF('PROG FORM COMPLEM'!438:438,"AAAAADuE74k=",0)</f>
        <v>0</v>
      </c>
      <c r="EI291" t="e">
        <f>AND('PROG FORM COMPLEM'!B438,"AAAAADuE74o=")</f>
        <v>#VALUE!</v>
      </c>
      <c r="EJ291" t="e">
        <f>AND('PROG FORM COMPLEM'!C438,"AAAAADuE74s=")</f>
        <v>#VALUE!</v>
      </c>
      <c r="EK291" t="e">
        <f>AND('PROG FORM COMPLEM'!D438,"AAAAADuE74w=")</f>
        <v>#VALUE!</v>
      </c>
      <c r="EL291" t="e">
        <f>AND('PROG FORM COMPLEM'!E438,"AAAAADuE740=")</f>
        <v>#VALUE!</v>
      </c>
      <c r="EM291" t="e">
        <f>AND('PROG FORM COMPLEM'!F438,"AAAAADuE744=")</f>
        <v>#VALUE!</v>
      </c>
      <c r="EN291" t="e">
        <f>AND('PROG FORM COMPLEM'!G438,"AAAAADuE748=")</f>
        <v>#VALUE!</v>
      </c>
      <c r="EO291" t="e">
        <f>AND('PROG FORM COMPLEM'!H438,"AAAAADuE75A=")</f>
        <v>#VALUE!</v>
      </c>
      <c r="EP291" t="e">
        <f>AND('PROG FORM COMPLEM'!I438,"AAAAADuE75E=")</f>
        <v>#VALUE!</v>
      </c>
      <c r="EQ291" t="e">
        <f>AND('PROG FORM COMPLEM'!J438,"AAAAADuE75I=")</f>
        <v>#VALUE!</v>
      </c>
      <c r="ER291" t="e">
        <f>AND('PROG FORM COMPLEM'!K438,"AAAAADuE75M=")</f>
        <v>#VALUE!</v>
      </c>
      <c r="ES291" t="e">
        <f>AND('PROG FORM COMPLEM'!L438,"AAAAADuE75Q=")</f>
        <v>#VALUE!</v>
      </c>
      <c r="ET291" t="e">
        <f>AND('PROG FORM COMPLEM'!M438,"AAAAADuE75U=")</f>
        <v>#VALUE!</v>
      </c>
      <c r="EU291" t="e">
        <f>AND('PROG FORM COMPLEM'!N438,"AAAAADuE75Y=")</f>
        <v>#VALUE!</v>
      </c>
      <c r="EV291" t="e">
        <f>AND('PROG FORM COMPLEM'!O438,"AAAAADuE75c=")</f>
        <v>#VALUE!</v>
      </c>
      <c r="EW291" t="e">
        <f>AND('PROG FORM COMPLEM'!P438,"AAAAADuE75g=")</f>
        <v>#VALUE!</v>
      </c>
      <c r="EX291" t="e">
        <f>AND('PROG FORM COMPLEM'!Q438,"AAAAADuE75k=")</f>
        <v>#VALUE!</v>
      </c>
      <c r="EY291" t="e">
        <f>AND('PROG FORM COMPLEM'!R438,"AAAAADuE75o=")</f>
        <v>#VALUE!</v>
      </c>
      <c r="EZ291" t="e">
        <f>AND('PROG FORM COMPLEM'!S438,"AAAAADuE75s=")</f>
        <v>#VALUE!</v>
      </c>
      <c r="FA291" t="e">
        <f>AND('PROG FORM COMPLEM'!T438,"AAAAADuE75w=")</f>
        <v>#VALUE!</v>
      </c>
      <c r="FB291" t="e">
        <f>AND('PROG FORM COMPLEM'!U438,"AAAAADuE750=")</f>
        <v>#VALUE!</v>
      </c>
      <c r="FC291" t="e">
        <f>AND('PROG FORM COMPLEM'!V438,"AAAAADuE754=")</f>
        <v>#VALUE!</v>
      </c>
      <c r="FD291" t="e">
        <f>AND('PROG FORM COMPLEM'!W438,"AAAAADuE758=")</f>
        <v>#VALUE!</v>
      </c>
      <c r="FE291">
        <f>IF('PROG FORM COMPLEM'!439:439,"AAAAADuE76A=",0)</f>
        <v>0</v>
      </c>
      <c r="FF291" t="e">
        <f>AND('PROG FORM COMPLEM'!B439,"AAAAADuE76E=")</f>
        <v>#VALUE!</v>
      </c>
      <c r="FG291" t="e">
        <f>AND('PROG FORM COMPLEM'!C439,"AAAAADuE76I=")</f>
        <v>#VALUE!</v>
      </c>
      <c r="FH291" t="e">
        <f>AND('PROG FORM COMPLEM'!D439,"AAAAADuE76M=")</f>
        <v>#VALUE!</v>
      </c>
      <c r="FI291" t="e">
        <f>AND('PROG FORM COMPLEM'!E439,"AAAAADuE76Q=")</f>
        <v>#VALUE!</v>
      </c>
      <c r="FJ291" t="e">
        <f>AND('PROG FORM COMPLEM'!F439,"AAAAADuE76U=")</f>
        <v>#VALUE!</v>
      </c>
      <c r="FK291" t="e">
        <f>AND('PROG FORM COMPLEM'!G439,"AAAAADuE76Y=")</f>
        <v>#VALUE!</v>
      </c>
      <c r="FL291" t="e">
        <f>AND('PROG FORM COMPLEM'!H439,"AAAAADuE76c=")</f>
        <v>#VALUE!</v>
      </c>
      <c r="FM291" t="e">
        <f>AND('PROG FORM COMPLEM'!I439,"AAAAADuE76g=")</f>
        <v>#VALUE!</v>
      </c>
      <c r="FN291" t="e">
        <f>AND('PROG FORM COMPLEM'!J439,"AAAAADuE76k=")</f>
        <v>#VALUE!</v>
      </c>
      <c r="FO291" t="e">
        <f>AND('PROG FORM COMPLEM'!K439,"AAAAADuE76o=")</f>
        <v>#VALUE!</v>
      </c>
      <c r="FP291" t="e">
        <f>AND('PROG FORM COMPLEM'!L439,"AAAAADuE76s=")</f>
        <v>#VALUE!</v>
      </c>
      <c r="FQ291" t="e">
        <f>AND('PROG FORM COMPLEM'!M439,"AAAAADuE76w=")</f>
        <v>#VALUE!</v>
      </c>
      <c r="FR291" t="e">
        <f>AND('PROG FORM COMPLEM'!N439,"AAAAADuE760=")</f>
        <v>#VALUE!</v>
      </c>
      <c r="FS291" t="e">
        <f>AND('PROG FORM COMPLEM'!O439,"AAAAADuE764=")</f>
        <v>#VALUE!</v>
      </c>
      <c r="FT291" t="e">
        <f>AND('PROG FORM COMPLEM'!P439,"AAAAADuE768=")</f>
        <v>#VALUE!</v>
      </c>
      <c r="FU291" t="e">
        <f>AND('PROG FORM COMPLEM'!Q439,"AAAAADuE77A=")</f>
        <v>#VALUE!</v>
      </c>
      <c r="FV291" t="e">
        <f>AND('PROG FORM COMPLEM'!R439,"AAAAADuE77E=")</f>
        <v>#VALUE!</v>
      </c>
      <c r="FW291" t="e">
        <f>AND('PROG FORM COMPLEM'!S439,"AAAAADuE77I=")</f>
        <v>#VALUE!</v>
      </c>
      <c r="FX291" t="e">
        <f>AND('PROG FORM COMPLEM'!T439,"AAAAADuE77M=")</f>
        <v>#VALUE!</v>
      </c>
      <c r="FY291" t="e">
        <f>AND('PROG FORM COMPLEM'!U439,"AAAAADuE77Q=")</f>
        <v>#VALUE!</v>
      </c>
      <c r="FZ291" t="e">
        <f>AND('PROG FORM COMPLEM'!V439,"AAAAADuE77U=")</f>
        <v>#VALUE!</v>
      </c>
      <c r="GA291" t="e">
        <f>AND('PROG FORM COMPLEM'!W439,"AAAAADuE77Y=")</f>
        <v>#VALUE!</v>
      </c>
      <c r="GB291">
        <f>IF('PROG FORM COMPLEM'!440:440,"AAAAADuE77c=",0)</f>
        <v>0</v>
      </c>
      <c r="GC291" t="e">
        <f>AND('PROG FORM COMPLEM'!B440,"AAAAADuE77g=")</f>
        <v>#VALUE!</v>
      </c>
      <c r="GD291" t="e">
        <f>AND('PROG FORM COMPLEM'!C440,"AAAAADuE77k=")</f>
        <v>#VALUE!</v>
      </c>
      <c r="GE291" t="e">
        <f>AND('PROG FORM COMPLEM'!D440,"AAAAADuE77o=")</f>
        <v>#VALUE!</v>
      </c>
      <c r="GF291" t="e">
        <f>AND('PROG FORM COMPLEM'!E440,"AAAAADuE77s=")</f>
        <v>#VALUE!</v>
      </c>
      <c r="GG291" t="e">
        <f>AND('PROG FORM COMPLEM'!F440,"AAAAADuE77w=")</f>
        <v>#VALUE!</v>
      </c>
      <c r="GH291" t="e">
        <f>AND('PROG FORM COMPLEM'!G440,"AAAAADuE770=")</f>
        <v>#VALUE!</v>
      </c>
      <c r="GI291" t="e">
        <f>AND('PROG FORM COMPLEM'!H440,"AAAAADuE774=")</f>
        <v>#VALUE!</v>
      </c>
      <c r="GJ291" t="e">
        <f>AND('PROG FORM COMPLEM'!I440,"AAAAADuE778=")</f>
        <v>#VALUE!</v>
      </c>
      <c r="GK291" t="e">
        <f>AND('PROG FORM COMPLEM'!J440,"AAAAADuE78A=")</f>
        <v>#VALUE!</v>
      </c>
      <c r="GL291" t="e">
        <f>AND('PROG FORM COMPLEM'!K440,"AAAAADuE78E=")</f>
        <v>#VALUE!</v>
      </c>
      <c r="GM291" t="e">
        <f>AND('PROG FORM COMPLEM'!L440,"AAAAADuE78I=")</f>
        <v>#VALUE!</v>
      </c>
      <c r="GN291" t="e">
        <f>AND('PROG FORM COMPLEM'!M440,"AAAAADuE78M=")</f>
        <v>#VALUE!</v>
      </c>
      <c r="GO291" t="e">
        <f>AND('PROG FORM COMPLEM'!N440,"AAAAADuE78Q=")</f>
        <v>#VALUE!</v>
      </c>
      <c r="GP291" t="e">
        <f>AND('PROG FORM COMPLEM'!O440,"AAAAADuE78U=")</f>
        <v>#VALUE!</v>
      </c>
      <c r="GQ291" t="e">
        <f>AND('PROG FORM COMPLEM'!P440,"AAAAADuE78Y=")</f>
        <v>#VALUE!</v>
      </c>
      <c r="GR291" t="e">
        <f>AND('PROG FORM COMPLEM'!Q440,"AAAAADuE78c=")</f>
        <v>#VALUE!</v>
      </c>
      <c r="GS291" t="e">
        <f>AND('PROG FORM COMPLEM'!R440,"AAAAADuE78g=")</f>
        <v>#VALUE!</v>
      </c>
      <c r="GT291" t="e">
        <f>AND('PROG FORM COMPLEM'!S440,"AAAAADuE78k=")</f>
        <v>#VALUE!</v>
      </c>
      <c r="GU291" t="e">
        <f>AND('PROG FORM COMPLEM'!T440,"AAAAADuE78o=")</f>
        <v>#VALUE!</v>
      </c>
      <c r="GV291" t="e">
        <f>AND('PROG FORM COMPLEM'!U440,"AAAAADuE78s=")</f>
        <v>#VALUE!</v>
      </c>
      <c r="GW291" t="e">
        <f>AND('PROG FORM COMPLEM'!V440,"AAAAADuE78w=")</f>
        <v>#VALUE!</v>
      </c>
      <c r="GX291" t="e">
        <f>AND('PROG FORM COMPLEM'!W440,"AAAAADuE780=")</f>
        <v>#VALUE!</v>
      </c>
      <c r="GY291">
        <f>IF('PROG FORM COMPLEM'!441:441,"AAAAADuE784=",0)</f>
        <v>0</v>
      </c>
      <c r="GZ291" t="e">
        <f>AND('PROG FORM COMPLEM'!B441,"AAAAADuE788=")</f>
        <v>#VALUE!</v>
      </c>
      <c r="HA291" t="e">
        <f>AND('PROG FORM COMPLEM'!C441,"AAAAADuE79A=")</f>
        <v>#VALUE!</v>
      </c>
      <c r="HB291" t="e">
        <f>AND('PROG FORM COMPLEM'!D441,"AAAAADuE79E=")</f>
        <v>#VALUE!</v>
      </c>
      <c r="HC291" t="e">
        <f>AND('PROG FORM COMPLEM'!E441,"AAAAADuE79I=")</f>
        <v>#VALUE!</v>
      </c>
      <c r="HD291" t="e">
        <f>AND('PROG FORM COMPLEM'!F441,"AAAAADuE79M=")</f>
        <v>#VALUE!</v>
      </c>
      <c r="HE291" t="e">
        <f>AND('PROG FORM COMPLEM'!G441,"AAAAADuE79Q=")</f>
        <v>#VALUE!</v>
      </c>
      <c r="HF291" t="e">
        <f>AND('PROG FORM COMPLEM'!H441,"AAAAADuE79U=")</f>
        <v>#VALUE!</v>
      </c>
      <c r="HG291" t="e">
        <f>AND('PROG FORM COMPLEM'!I441,"AAAAADuE79Y=")</f>
        <v>#VALUE!</v>
      </c>
      <c r="HH291" t="e">
        <f>AND('PROG FORM COMPLEM'!J441,"AAAAADuE79c=")</f>
        <v>#VALUE!</v>
      </c>
      <c r="HI291" t="e">
        <f>AND('PROG FORM COMPLEM'!K441,"AAAAADuE79g=")</f>
        <v>#VALUE!</v>
      </c>
      <c r="HJ291" t="e">
        <f>AND('PROG FORM COMPLEM'!L441,"AAAAADuE79k=")</f>
        <v>#VALUE!</v>
      </c>
      <c r="HK291" t="e">
        <f>AND('PROG FORM COMPLEM'!M441,"AAAAADuE79o=")</f>
        <v>#VALUE!</v>
      </c>
      <c r="HL291" t="e">
        <f>AND('PROG FORM COMPLEM'!N441,"AAAAADuE79s=")</f>
        <v>#VALUE!</v>
      </c>
      <c r="HM291" t="e">
        <f>AND('PROG FORM COMPLEM'!O441,"AAAAADuE79w=")</f>
        <v>#VALUE!</v>
      </c>
      <c r="HN291" t="e">
        <f>AND('PROG FORM COMPLEM'!P441,"AAAAADuE790=")</f>
        <v>#VALUE!</v>
      </c>
      <c r="HO291" t="e">
        <f>AND('PROG FORM COMPLEM'!Q441,"AAAAADuE794=")</f>
        <v>#VALUE!</v>
      </c>
      <c r="HP291" t="e">
        <f>AND('PROG FORM COMPLEM'!R441,"AAAAADuE798=")</f>
        <v>#VALUE!</v>
      </c>
      <c r="HQ291" t="e">
        <f>AND('PROG FORM COMPLEM'!S441,"AAAAADuE7+A=")</f>
        <v>#VALUE!</v>
      </c>
      <c r="HR291" t="e">
        <f>AND('PROG FORM COMPLEM'!T441,"AAAAADuE7+E=")</f>
        <v>#VALUE!</v>
      </c>
      <c r="HS291" t="e">
        <f>AND('PROG FORM COMPLEM'!U441,"AAAAADuE7+I=")</f>
        <v>#VALUE!</v>
      </c>
      <c r="HT291" t="e">
        <f>AND('PROG FORM COMPLEM'!V441,"AAAAADuE7+M=")</f>
        <v>#VALUE!</v>
      </c>
      <c r="HU291" t="e">
        <f>AND('PROG FORM COMPLEM'!W441,"AAAAADuE7+Q=")</f>
        <v>#VALUE!</v>
      </c>
      <c r="HV291">
        <f>IF('PROG FORM COMPLEM'!442:442,"AAAAADuE7+U=",0)</f>
        <v>0</v>
      </c>
      <c r="HW291" t="e">
        <f>AND('PROG FORM COMPLEM'!B442,"AAAAADuE7+Y=")</f>
        <v>#VALUE!</v>
      </c>
      <c r="HX291" t="e">
        <f>AND('PROG FORM COMPLEM'!C442,"AAAAADuE7+c=")</f>
        <v>#VALUE!</v>
      </c>
      <c r="HY291" t="e">
        <f>AND('PROG FORM COMPLEM'!D442,"AAAAADuE7+g=")</f>
        <v>#VALUE!</v>
      </c>
      <c r="HZ291" t="e">
        <f>AND('PROG FORM COMPLEM'!E442,"AAAAADuE7+k=")</f>
        <v>#VALUE!</v>
      </c>
      <c r="IA291" t="e">
        <f>AND('PROG FORM COMPLEM'!F442,"AAAAADuE7+o=")</f>
        <v>#VALUE!</v>
      </c>
      <c r="IB291" t="e">
        <f>AND('PROG FORM COMPLEM'!G442,"AAAAADuE7+s=")</f>
        <v>#VALUE!</v>
      </c>
      <c r="IC291" t="e">
        <f>AND('PROG FORM COMPLEM'!H442,"AAAAADuE7+w=")</f>
        <v>#VALUE!</v>
      </c>
      <c r="ID291" t="e">
        <f>AND('PROG FORM COMPLEM'!I442,"AAAAADuE7+0=")</f>
        <v>#VALUE!</v>
      </c>
      <c r="IE291" t="e">
        <f>AND('PROG FORM COMPLEM'!J442,"AAAAADuE7+4=")</f>
        <v>#VALUE!</v>
      </c>
      <c r="IF291" t="e">
        <f>AND('PROG FORM COMPLEM'!K442,"AAAAADuE7+8=")</f>
        <v>#VALUE!</v>
      </c>
      <c r="IG291" t="e">
        <f>AND('PROG FORM COMPLEM'!L442,"AAAAADuE7/A=")</f>
        <v>#VALUE!</v>
      </c>
      <c r="IH291" t="e">
        <f>AND('PROG FORM COMPLEM'!M442,"AAAAADuE7/E=")</f>
        <v>#VALUE!</v>
      </c>
      <c r="II291" t="e">
        <f>AND('PROG FORM COMPLEM'!N442,"AAAAADuE7/I=")</f>
        <v>#VALUE!</v>
      </c>
      <c r="IJ291" t="e">
        <f>AND('PROG FORM COMPLEM'!O442,"AAAAADuE7/M=")</f>
        <v>#VALUE!</v>
      </c>
      <c r="IK291" t="e">
        <f>AND('PROG FORM COMPLEM'!P442,"AAAAADuE7/Q=")</f>
        <v>#VALUE!</v>
      </c>
      <c r="IL291" t="e">
        <f>AND('PROG FORM COMPLEM'!Q442,"AAAAADuE7/U=")</f>
        <v>#VALUE!</v>
      </c>
      <c r="IM291" t="e">
        <f>AND('PROG FORM COMPLEM'!R442,"AAAAADuE7/Y=")</f>
        <v>#VALUE!</v>
      </c>
      <c r="IN291" t="e">
        <f>AND('PROG FORM COMPLEM'!S442,"AAAAADuE7/c=")</f>
        <v>#VALUE!</v>
      </c>
      <c r="IO291" t="e">
        <f>AND('PROG FORM COMPLEM'!T442,"AAAAADuE7/g=")</f>
        <v>#VALUE!</v>
      </c>
      <c r="IP291" t="e">
        <f>AND('PROG FORM COMPLEM'!U442,"AAAAADuE7/k=")</f>
        <v>#VALUE!</v>
      </c>
      <c r="IQ291" t="e">
        <f>AND('PROG FORM COMPLEM'!V442,"AAAAADuE7/o=")</f>
        <v>#VALUE!</v>
      </c>
      <c r="IR291" t="e">
        <f>AND('PROG FORM COMPLEM'!W442,"AAAAADuE7/s=")</f>
        <v>#VALUE!</v>
      </c>
      <c r="IS291">
        <f>IF('PROG FORM COMPLEM'!443:443,"AAAAADuE7/w=",0)</f>
        <v>0</v>
      </c>
      <c r="IT291" t="e">
        <f>AND('PROG FORM COMPLEM'!B443,"AAAAADuE7/0=")</f>
        <v>#VALUE!</v>
      </c>
      <c r="IU291" t="e">
        <f>AND('PROG FORM COMPLEM'!C443,"AAAAADuE7/4=")</f>
        <v>#VALUE!</v>
      </c>
      <c r="IV291" t="e">
        <f>AND('PROG FORM COMPLEM'!D443,"AAAAADuE7/8=")</f>
        <v>#VALUE!</v>
      </c>
    </row>
    <row r="292" spans="1:256" x14ac:dyDescent="0.2">
      <c r="A292" t="e">
        <f>AND('PROG FORM COMPLEM'!E443,"AAAAAHX+/QA=")</f>
        <v>#VALUE!</v>
      </c>
      <c r="B292" t="e">
        <f>AND('PROG FORM COMPLEM'!F443,"AAAAAHX+/QE=")</f>
        <v>#VALUE!</v>
      </c>
      <c r="C292" t="e">
        <f>AND('PROG FORM COMPLEM'!G443,"AAAAAHX+/QI=")</f>
        <v>#VALUE!</v>
      </c>
      <c r="D292" t="e">
        <f>AND('PROG FORM COMPLEM'!H443,"AAAAAHX+/QM=")</f>
        <v>#VALUE!</v>
      </c>
      <c r="E292" t="e">
        <f>AND('PROG FORM COMPLEM'!I443,"AAAAAHX+/QQ=")</f>
        <v>#VALUE!</v>
      </c>
      <c r="F292" t="e">
        <f>AND('PROG FORM COMPLEM'!J443,"AAAAAHX+/QU=")</f>
        <v>#VALUE!</v>
      </c>
      <c r="G292" t="e">
        <f>AND('PROG FORM COMPLEM'!K443,"AAAAAHX+/QY=")</f>
        <v>#VALUE!</v>
      </c>
      <c r="H292" t="e">
        <f>AND('PROG FORM COMPLEM'!L443,"AAAAAHX+/Qc=")</f>
        <v>#VALUE!</v>
      </c>
      <c r="I292" t="e">
        <f>AND('PROG FORM COMPLEM'!M443,"AAAAAHX+/Qg=")</f>
        <v>#VALUE!</v>
      </c>
      <c r="J292" t="e">
        <f>AND('PROG FORM COMPLEM'!N443,"AAAAAHX+/Qk=")</f>
        <v>#VALUE!</v>
      </c>
      <c r="K292" t="e">
        <f>AND('PROG FORM COMPLEM'!O443,"AAAAAHX+/Qo=")</f>
        <v>#VALUE!</v>
      </c>
      <c r="L292" t="e">
        <f>AND('PROG FORM COMPLEM'!P443,"AAAAAHX+/Qs=")</f>
        <v>#VALUE!</v>
      </c>
      <c r="M292" t="e">
        <f>AND('PROG FORM COMPLEM'!Q443,"AAAAAHX+/Qw=")</f>
        <v>#VALUE!</v>
      </c>
      <c r="N292" t="e">
        <f>AND('PROG FORM COMPLEM'!R443,"AAAAAHX+/Q0=")</f>
        <v>#VALUE!</v>
      </c>
      <c r="O292" t="e">
        <f>AND('PROG FORM COMPLEM'!S443,"AAAAAHX+/Q4=")</f>
        <v>#VALUE!</v>
      </c>
      <c r="P292" t="e">
        <f>AND('PROG FORM COMPLEM'!T443,"AAAAAHX+/Q8=")</f>
        <v>#VALUE!</v>
      </c>
      <c r="Q292" t="e">
        <f>AND('PROG FORM COMPLEM'!U443,"AAAAAHX+/RA=")</f>
        <v>#VALUE!</v>
      </c>
      <c r="R292" t="e">
        <f>AND('PROG FORM COMPLEM'!V443,"AAAAAHX+/RE=")</f>
        <v>#VALUE!</v>
      </c>
      <c r="S292" t="e">
        <f>AND('PROG FORM COMPLEM'!W443,"AAAAAHX+/RI=")</f>
        <v>#VALUE!</v>
      </c>
      <c r="T292">
        <f>IF('PROG FORM COMPLEM'!444:444,"AAAAAHX+/RM=",0)</f>
        <v>0</v>
      </c>
      <c r="U292" t="e">
        <f>AND('PROG FORM COMPLEM'!B444,"AAAAAHX+/RQ=")</f>
        <v>#VALUE!</v>
      </c>
      <c r="V292" t="e">
        <f>AND('PROG FORM COMPLEM'!C444,"AAAAAHX+/RU=")</f>
        <v>#VALUE!</v>
      </c>
      <c r="W292" t="e">
        <f>AND('PROG FORM COMPLEM'!D444,"AAAAAHX+/RY=")</f>
        <v>#VALUE!</v>
      </c>
      <c r="X292" t="e">
        <f>AND('PROG FORM COMPLEM'!E444,"AAAAAHX+/Rc=")</f>
        <v>#VALUE!</v>
      </c>
      <c r="Y292" t="e">
        <f>AND('PROG FORM COMPLEM'!F444,"AAAAAHX+/Rg=")</f>
        <v>#VALUE!</v>
      </c>
      <c r="Z292" t="e">
        <f>AND('PROG FORM COMPLEM'!G444,"AAAAAHX+/Rk=")</f>
        <v>#VALUE!</v>
      </c>
      <c r="AA292" t="e">
        <f>AND('PROG FORM COMPLEM'!H444,"AAAAAHX+/Ro=")</f>
        <v>#VALUE!</v>
      </c>
      <c r="AB292" t="e">
        <f>AND('PROG FORM COMPLEM'!I444,"AAAAAHX+/Rs=")</f>
        <v>#VALUE!</v>
      </c>
      <c r="AC292" t="e">
        <f>AND('PROG FORM COMPLEM'!J444,"AAAAAHX+/Rw=")</f>
        <v>#VALUE!</v>
      </c>
      <c r="AD292" t="e">
        <f>AND('PROG FORM COMPLEM'!K444,"AAAAAHX+/R0=")</f>
        <v>#VALUE!</v>
      </c>
      <c r="AE292" t="e">
        <f>AND('PROG FORM COMPLEM'!L444,"AAAAAHX+/R4=")</f>
        <v>#VALUE!</v>
      </c>
      <c r="AF292" t="e">
        <f>AND('PROG FORM COMPLEM'!M444,"AAAAAHX+/R8=")</f>
        <v>#VALUE!</v>
      </c>
      <c r="AG292" t="e">
        <f>AND('PROG FORM COMPLEM'!N444,"AAAAAHX+/SA=")</f>
        <v>#VALUE!</v>
      </c>
      <c r="AH292" t="e">
        <f>AND('PROG FORM COMPLEM'!O444,"AAAAAHX+/SE=")</f>
        <v>#VALUE!</v>
      </c>
      <c r="AI292" t="e">
        <f>AND('PROG FORM COMPLEM'!P444,"AAAAAHX+/SI=")</f>
        <v>#VALUE!</v>
      </c>
      <c r="AJ292" t="e">
        <f>AND('PROG FORM COMPLEM'!Q444,"AAAAAHX+/SM=")</f>
        <v>#VALUE!</v>
      </c>
      <c r="AK292" t="e">
        <f>AND('PROG FORM COMPLEM'!R444,"AAAAAHX+/SQ=")</f>
        <v>#VALUE!</v>
      </c>
      <c r="AL292" t="e">
        <f>AND('PROG FORM COMPLEM'!S444,"AAAAAHX+/SU=")</f>
        <v>#VALUE!</v>
      </c>
      <c r="AM292" t="e">
        <f>AND('PROG FORM COMPLEM'!T444,"AAAAAHX+/SY=")</f>
        <v>#VALUE!</v>
      </c>
      <c r="AN292" t="e">
        <f>AND('PROG FORM COMPLEM'!U444,"AAAAAHX+/Sc=")</f>
        <v>#VALUE!</v>
      </c>
      <c r="AO292" t="e">
        <f>AND('PROG FORM COMPLEM'!V444,"AAAAAHX+/Sg=")</f>
        <v>#VALUE!</v>
      </c>
      <c r="AP292" t="e">
        <f>AND('PROG FORM COMPLEM'!W444,"AAAAAHX+/Sk=")</f>
        <v>#VALUE!</v>
      </c>
      <c r="AQ292">
        <f>IF('PROG FORM COMPLEM'!445:445,"AAAAAHX+/So=",0)</f>
        <v>0</v>
      </c>
      <c r="AR292" t="e">
        <f>AND('PROG FORM COMPLEM'!B445,"AAAAAHX+/Ss=")</f>
        <v>#VALUE!</v>
      </c>
      <c r="AS292" t="e">
        <f>AND('PROG FORM COMPLEM'!C445,"AAAAAHX+/Sw=")</f>
        <v>#VALUE!</v>
      </c>
      <c r="AT292" t="e">
        <f>AND('PROG FORM COMPLEM'!D445,"AAAAAHX+/S0=")</f>
        <v>#VALUE!</v>
      </c>
      <c r="AU292" t="e">
        <f>AND('PROG FORM COMPLEM'!E445,"AAAAAHX+/S4=")</f>
        <v>#VALUE!</v>
      </c>
      <c r="AV292" t="e">
        <f>AND('PROG FORM COMPLEM'!F445,"AAAAAHX+/S8=")</f>
        <v>#VALUE!</v>
      </c>
      <c r="AW292" t="e">
        <f>AND('PROG FORM COMPLEM'!G445,"AAAAAHX+/TA=")</f>
        <v>#VALUE!</v>
      </c>
      <c r="AX292" t="e">
        <f>AND('PROG FORM COMPLEM'!H445,"AAAAAHX+/TE=")</f>
        <v>#VALUE!</v>
      </c>
      <c r="AY292" t="e">
        <f>AND('PROG FORM COMPLEM'!I445,"AAAAAHX+/TI=")</f>
        <v>#VALUE!</v>
      </c>
      <c r="AZ292" t="e">
        <f>AND('PROG FORM COMPLEM'!J445,"AAAAAHX+/TM=")</f>
        <v>#VALUE!</v>
      </c>
      <c r="BA292" t="e">
        <f>AND('PROG FORM COMPLEM'!K445,"AAAAAHX+/TQ=")</f>
        <v>#VALUE!</v>
      </c>
      <c r="BB292" t="e">
        <f>AND('PROG FORM COMPLEM'!L445,"AAAAAHX+/TU=")</f>
        <v>#VALUE!</v>
      </c>
      <c r="BC292" t="e">
        <f>AND('PROG FORM COMPLEM'!M445,"AAAAAHX+/TY=")</f>
        <v>#VALUE!</v>
      </c>
      <c r="BD292" t="e">
        <f>AND('PROG FORM COMPLEM'!N445,"AAAAAHX+/Tc=")</f>
        <v>#VALUE!</v>
      </c>
      <c r="BE292" t="e">
        <f>AND('PROG FORM COMPLEM'!O445,"AAAAAHX+/Tg=")</f>
        <v>#VALUE!</v>
      </c>
      <c r="BF292" t="e">
        <f>AND('PROG FORM COMPLEM'!P445,"AAAAAHX+/Tk=")</f>
        <v>#VALUE!</v>
      </c>
      <c r="BG292" t="e">
        <f>AND('PROG FORM COMPLEM'!Q445,"AAAAAHX+/To=")</f>
        <v>#VALUE!</v>
      </c>
      <c r="BH292" t="e">
        <f>AND('PROG FORM COMPLEM'!R445,"AAAAAHX+/Ts=")</f>
        <v>#VALUE!</v>
      </c>
      <c r="BI292" t="e">
        <f>AND('PROG FORM COMPLEM'!S445,"AAAAAHX+/Tw=")</f>
        <v>#VALUE!</v>
      </c>
      <c r="BJ292" t="e">
        <f>AND('PROG FORM COMPLEM'!T445,"AAAAAHX+/T0=")</f>
        <v>#VALUE!</v>
      </c>
      <c r="BK292" t="e">
        <f>AND('PROG FORM COMPLEM'!U445,"AAAAAHX+/T4=")</f>
        <v>#VALUE!</v>
      </c>
      <c r="BL292" t="e">
        <f>AND('PROG FORM COMPLEM'!V445,"AAAAAHX+/T8=")</f>
        <v>#VALUE!</v>
      </c>
      <c r="BM292" t="e">
        <f>AND('PROG FORM COMPLEM'!W445,"AAAAAHX+/UA=")</f>
        <v>#VALUE!</v>
      </c>
      <c r="BN292">
        <f>IF('PROG FORM COMPLEM'!446:446,"AAAAAHX+/UE=",0)</f>
        <v>0</v>
      </c>
      <c r="BO292" t="e">
        <f>AND('PROG FORM COMPLEM'!B446,"AAAAAHX+/UI=")</f>
        <v>#VALUE!</v>
      </c>
      <c r="BP292" t="e">
        <f>AND('PROG FORM COMPLEM'!C446,"AAAAAHX+/UM=")</f>
        <v>#VALUE!</v>
      </c>
      <c r="BQ292" t="e">
        <f>AND('PROG FORM COMPLEM'!D446,"AAAAAHX+/UQ=")</f>
        <v>#VALUE!</v>
      </c>
      <c r="BR292" t="e">
        <f>AND('PROG FORM COMPLEM'!E446,"AAAAAHX+/UU=")</f>
        <v>#VALUE!</v>
      </c>
      <c r="BS292" t="e">
        <f>AND('PROG FORM COMPLEM'!F446,"AAAAAHX+/UY=")</f>
        <v>#VALUE!</v>
      </c>
      <c r="BT292" t="e">
        <f>AND('PROG FORM COMPLEM'!G446,"AAAAAHX+/Uc=")</f>
        <v>#VALUE!</v>
      </c>
      <c r="BU292" t="e">
        <f>AND('PROG FORM COMPLEM'!H446,"AAAAAHX+/Ug=")</f>
        <v>#VALUE!</v>
      </c>
      <c r="BV292" t="e">
        <f>AND('PROG FORM COMPLEM'!I446,"AAAAAHX+/Uk=")</f>
        <v>#VALUE!</v>
      </c>
      <c r="BW292" t="e">
        <f>AND('PROG FORM COMPLEM'!J446,"AAAAAHX+/Uo=")</f>
        <v>#VALUE!</v>
      </c>
      <c r="BX292" t="e">
        <f>AND('PROG FORM COMPLEM'!K446,"AAAAAHX+/Us=")</f>
        <v>#VALUE!</v>
      </c>
      <c r="BY292" t="e">
        <f>AND('PROG FORM COMPLEM'!L446,"AAAAAHX+/Uw=")</f>
        <v>#VALUE!</v>
      </c>
      <c r="BZ292" t="e">
        <f>AND('PROG FORM COMPLEM'!M446,"AAAAAHX+/U0=")</f>
        <v>#VALUE!</v>
      </c>
      <c r="CA292" t="e">
        <f>AND('PROG FORM COMPLEM'!N446,"AAAAAHX+/U4=")</f>
        <v>#VALUE!</v>
      </c>
      <c r="CB292" t="e">
        <f>AND('PROG FORM COMPLEM'!O446,"AAAAAHX+/U8=")</f>
        <v>#VALUE!</v>
      </c>
      <c r="CC292" t="e">
        <f>AND('PROG FORM COMPLEM'!P446,"AAAAAHX+/VA=")</f>
        <v>#VALUE!</v>
      </c>
      <c r="CD292" t="e">
        <f>AND('PROG FORM COMPLEM'!Q446,"AAAAAHX+/VE=")</f>
        <v>#VALUE!</v>
      </c>
      <c r="CE292" t="e">
        <f>AND('PROG FORM COMPLEM'!R446,"AAAAAHX+/VI=")</f>
        <v>#VALUE!</v>
      </c>
      <c r="CF292" t="e">
        <f>AND('PROG FORM COMPLEM'!S446,"AAAAAHX+/VM=")</f>
        <v>#VALUE!</v>
      </c>
      <c r="CG292" t="e">
        <f>AND('PROG FORM COMPLEM'!T446,"AAAAAHX+/VQ=")</f>
        <v>#VALUE!</v>
      </c>
      <c r="CH292" t="e">
        <f>AND('PROG FORM COMPLEM'!U446,"AAAAAHX+/VU=")</f>
        <v>#VALUE!</v>
      </c>
      <c r="CI292" t="e">
        <f>AND('PROG FORM COMPLEM'!V446,"AAAAAHX+/VY=")</f>
        <v>#VALUE!</v>
      </c>
      <c r="CJ292" t="e">
        <f>AND('PROG FORM COMPLEM'!W446,"AAAAAHX+/Vc=")</f>
        <v>#VALUE!</v>
      </c>
      <c r="CK292">
        <f>IF('PROG FORM COMPLEM'!447:447,"AAAAAHX+/Vg=",0)</f>
        <v>0</v>
      </c>
      <c r="CL292" t="e">
        <f>AND('PROG FORM COMPLEM'!B447,"AAAAAHX+/Vk=")</f>
        <v>#VALUE!</v>
      </c>
      <c r="CM292" t="e">
        <f>AND('PROG FORM COMPLEM'!C447,"AAAAAHX+/Vo=")</f>
        <v>#VALUE!</v>
      </c>
      <c r="CN292" t="e">
        <f>AND('PROG FORM COMPLEM'!D447,"AAAAAHX+/Vs=")</f>
        <v>#VALUE!</v>
      </c>
      <c r="CO292" t="e">
        <f>AND('PROG FORM COMPLEM'!E447,"AAAAAHX+/Vw=")</f>
        <v>#VALUE!</v>
      </c>
      <c r="CP292" t="e">
        <f>AND('PROG FORM COMPLEM'!F447,"AAAAAHX+/V0=")</f>
        <v>#VALUE!</v>
      </c>
      <c r="CQ292" t="e">
        <f>AND('PROG FORM COMPLEM'!G447,"AAAAAHX+/V4=")</f>
        <v>#VALUE!</v>
      </c>
      <c r="CR292" t="e">
        <f>AND('PROG FORM COMPLEM'!H447,"AAAAAHX+/V8=")</f>
        <v>#VALUE!</v>
      </c>
      <c r="CS292" t="e">
        <f>AND('PROG FORM COMPLEM'!I447,"AAAAAHX+/WA=")</f>
        <v>#VALUE!</v>
      </c>
      <c r="CT292" t="e">
        <f>AND('PROG FORM COMPLEM'!J447,"AAAAAHX+/WE=")</f>
        <v>#VALUE!</v>
      </c>
      <c r="CU292" t="e">
        <f>AND('PROG FORM COMPLEM'!K447,"AAAAAHX+/WI=")</f>
        <v>#VALUE!</v>
      </c>
      <c r="CV292" t="e">
        <f>AND('PROG FORM COMPLEM'!L447,"AAAAAHX+/WM=")</f>
        <v>#VALUE!</v>
      </c>
      <c r="CW292" t="e">
        <f>AND('PROG FORM COMPLEM'!M447,"AAAAAHX+/WQ=")</f>
        <v>#VALUE!</v>
      </c>
      <c r="CX292" t="e">
        <f>AND('PROG FORM COMPLEM'!N447,"AAAAAHX+/WU=")</f>
        <v>#VALUE!</v>
      </c>
      <c r="CY292" t="e">
        <f>AND('PROG FORM COMPLEM'!O447,"AAAAAHX+/WY=")</f>
        <v>#VALUE!</v>
      </c>
      <c r="CZ292" t="e">
        <f>AND('PROG FORM COMPLEM'!P447,"AAAAAHX+/Wc=")</f>
        <v>#VALUE!</v>
      </c>
      <c r="DA292" t="e">
        <f>AND('PROG FORM COMPLEM'!Q447,"AAAAAHX+/Wg=")</f>
        <v>#VALUE!</v>
      </c>
      <c r="DB292" t="e">
        <f>AND('PROG FORM COMPLEM'!R447,"AAAAAHX+/Wk=")</f>
        <v>#VALUE!</v>
      </c>
      <c r="DC292" t="e">
        <f>AND('PROG FORM COMPLEM'!S447,"AAAAAHX+/Wo=")</f>
        <v>#VALUE!</v>
      </c>
      <c r="DD292" t="e">
        <f>AND('PROG FORM COMPLEM'!T447,"AAAAAHX+/Ws=")</f>
        <v>#VALUE!</v>
      </c>
      <c r="DE292" t="e">
        <f>AND('PROG FORM COMPLEM'!U447,"AAAAAHX+/Ww=")</f>
        <v>#VALUE!</v>
      </c>
      <c r="DF292" t="e">
        <f>AND('PROG FORM COMPLEM'!V447,"AAAAAHX+/W0=")</f>
        <v>#VALUE!</v>
      </c>
      <c r="DG292" t="e">
        <f>AND('PROG FORM COMPLEM'!W447,"AAAAAHX+/W4=")</f>
        <v>#VALUE!</v>
      </c>
      <c r="DH292">
        <f>IF('PROG FORM COMPLEM'!448:448,"AAAAAHX+/W8=",0)</f>
        <v>0</v>
      </c>
      <c r="DI292" t="e">
        <f>AND('PROG FORM COMPLEM'!B448,"AAAAAHX+/XA=")</f>
        <v>#VALUE!</v>
      </c>
      <c r="DJ292" t="e">
        <f>AND('PROG FORM COMPLEM'!C448,"AAAAAHX+/XE=")</f>
        <v>#VALUE!</v>
      </c>
      <c r="DK292" t="e">
        <f>AND('PROG FORM COMPLEM'!D448,"AAAAAHX+/XI=")</f>
        <v>#VALUE!</v>
      </c>
      <c r="DL292" t="e">
        <f>AND('PROG FORM COMPLEM'!E448,"AAAAAHX+/XM=")</f>
        <v>#VALUE!</v>
      </c>
      <c r="DM292" t="e">
        <f>AND('PROG FORM COMPLEM'!F448,"AAAAAHX+/XQ=")</f>
        <v>#VALUE!</v>
      </c>
      <c r="DN292" t="e">
        <f>AND('PROG FORM COMPLEM'!G448,"AAAAAHX+/XU=")</f>
        <v>#VALUE!</v>
      </c>
      <c r="DO292" t="e">
        <f>AND('PROG FORM COMPLEM'!H448,"AAAAAHX+/XY=")</f>
        <v>#VALUE!</v>
      </c>
      <c r="DP292" t="e">
        <f>AND('PROG FORM COMPLEM'!I448,"AAAAAHX+/Xc=")</f>
        <v>#VALUE!</v>
      </c>
      <c r="DQ292" t="e">
        <f>AND('PROG FORM COMPLEM'!J448,"AAAAAHX+/Xg=")</f>
        <v>#VALUE!</v>
      </c>
      <c r="DR292" t="e">
        <f>AND('PROG FORM COMPLEM'!K448,"AAAAAHX+/Xk=")</f>
        <v>#VALUE!</v>
      </c>
      <c r="DS292" t="e">
        <f>AND('PROG FORM COMPLEM'!L448,"AAAAAHX+/Xo=")</f>
        <v>#VALUE!</v>
      </c>
      <c r="DT292" t="e">
        <f>AND('PROG FORM COMPLEM'!M448,"AAAAAHX+/Xs=")</f>
        <v>#VALUE!</v>
      </c>
      <c r="DU292" t="e">
        <f>AND('PROG FORM COMPLEM'!N448,"AAAAAHX+/Xw=")</f>
        <v>#VALUE!</v>
      </c>
      <c r="DV292" t="e">
        <f>AND('PROG FORM COMPLEM'!O448,"AAAAAHX+/X0=")</f>
        <v>#VALUE!</v>
      </c>
      <c r="DW292" t="e">
        <f>AND('PROG FORM COMPLEM'!P448,"AAAAAHX+/X4=")</f>
        <v>#VALUE!</v>
      </c>
      <c r="DX292" t="e">
        <f>AND('PROG FORM COMPLEM'!Q448,"AAAAAHX+/X8=")</f>
        <v>#VALUE!</v>
      </c>
      <c r="DY292" t="e">
        <f>AND('PROG FORM COMPLEM'!R448,"AAAAAHX+/YA=")</f>
        <v>#VALUE!</v>
      </c>
      <c r="DZ292" t="e">
        <f>AND('PROG FORM COMPLEM'!S448,"AAAAAHX+/YE=")</f>
        <v>#VALUE!</v>
      </c>
      <c r="EA292" t="e">
        <f>AND('PROG FORM COMPLEM'!T448,"AAAAAHX+/YI=")</f>
        <v>#VALUE!</v>
      </c>
      <c r="EB292" t="e">
        <f>AND('PROG FORM COMPLEM'!U448,"AAAAAHX+/YM=")</f>
        <v>#VALUE!</v>
      </c>
      <c r="EC292" t="e">
        <f>AND('PROG FORM COMPLEM'!V448,"AAAAAHX+/YQ=")</f>
        <v>#VALUE!</v>
      </c>
      <c r="ED292" t="e">
        <f>AND('PROG FORM COMPLEM'!W448,"AAAAAHX+/YU=")</f>
        <v>#VALUE!</v>
      </c>
      <c r="EE292">
        <f>IF('PROG FORM COMPLEM'!449:449,"AAAAAHX+/YY=",0)</f>
        <v>0</v>
      </c>
      <c r="EF292" t="e">
        <f>AND('PROG FORM COMPLEM'!B449,"AAAAAHX+/Yc=")</f>
        <v>#VALUE!</v>
      </c>
      <c r="EG292" t="e">
        <f>AND('PROG FORM COMPLEM'!C449,"AAAAAHX+/Yg=")</f>
        <v>#VALUE!</v>
      </c>
      <c r="EH292" t="e">
        <f>AND('PROG FORM COMPLEM'!D449,"AAAAAHX+/Yk=")</f>
        <v>#VALUE!</v>
      </c>
      <c r="EI292" t="e">
        <f>AND('PROG FORM COMPLEM'!E449,"AAAAAHX+/Yo=")</f>
        <v>#VALUE!</v>
      </c>
      <c r="EJ292" t="e">
        <f>AND('PROG FORM COMPLEM'!F449,"AAAAAHX+/Ys=")</f>
        <v>#VALUE!</v>
      </c>
      <c r="EK292" t="e">
        <f>AND('PROG FORM COMPLEM'!G449,"AAAAAHX+/Yw=")</f>
        <v>#VALUE!</v>
      </c>
      <c r="EL292" t="e">
        <f>AND('PROG FORM COMPLEM'!H449,"AAAAAHX+/Y0=")</f>
        <v>#VALUE!</v>
      </c>
      <c r="EM292" t="e">
        <f>AND('PROG FORM COMPLEM'!I449,"AAAAAHX+/Y4=")</f>
        <v>#VALUE!</v>
      </c>
      <c r="EN292" t="e">
        <f>AND('PROG FORM COMPLEM'!J449,"AAAAAHX+/Y8=")</f>
        <v>#VALUE!</v>
      </c>
      <c r="EO292" t="e">
        <f>AND('PROG FORM COMPLEM'!K449,"AAAAAHX+/ZA=")</f>
        <v>#VALUE!</v>
      </c>
      <c r="EP292" t="e">
        <f>AND('PROG FORM COMPLEM'!L449,"AAAAAHX+/ZE=")</f>
        <v>#VALUE!</v>
      </c>
      <c r="EQ292" t="e">
        <f>AND('PROG FORM COMPLEM'!M449,"AAAAAHX+/ZI=")</f>
        <v>#VALUE!</v>
      </c>
      <c r="ER292" t="e">
        <f>AND('PROG FORM COMPLEM'!N449,"AAAAAHX+/ZM=")</f>
        <v>#VALUE!</v>
      </c>
      <c r="ES292" t="e">
        <f>AND('PROG FORM COMPLEM'!O449,"AAAAAHX+/ZQ=")</f>
        <v>#VALUE!</v>
      </c>
      <c r="ET292" t="e">
        <f>AND('PROG FORM COMPLEM'!P449,"AAAAAHX+/ZU=")</f>
        <v>#VALUE!</v>
      </c>
      <c r="EU292" t="e">
        <f>AND('PROG FORM COMPLEM'!Q449,"AAAAAHX+/ZY=")</f>
        <v>#VALUE!</v>
      </c>
      <c r="EV292" t="e">
        <f>AND('PROG FORM COMPLEM'!R449,"AAAAAHX+/Zc=")</f>
        <v>#VALUE!</v>
      </c>
      <c r="EW292" t="e">
        <f>AND('PROG FORM COMPLEM'!S449,"AAAAAHX+/Zg=")</f>
        <v>#VALUE!</v>
      </c>
      <c r="EX292" t="e">
        <f>AND('PROG FORM COMPLEM'!T449,"AAAAAHX+/Zk=")</f>
        <v>#VALUE!</v>
      </c>
      <c r="EY292" t="e">
        <f>AND('PROG FORM COMPLEM'!U449,"AAAAAHX+/Zo=")</f>
        <v>#VALUE!</v>
      </c>
      <c r="EZ292" t="e">
        <f>AND('PROG FORM COMPLEM'!V449,"AAAAAHX+/Zs=")</f>
        <v>#VALUE!</v>
      </c>
      <c r="FA292" t="e">
        <f>AND('PROG FORM COMPLEM'!W449,"AAAAAHX+/Zw=")</f>
        <v>#VALUE!</v>
      </c>
      <c r="FB292">
        <f>IF('PROG FORM COMPLEM'!450:450,"AAAAAHX+/Z0=",0)</f>
        <v>0</v>
      </c>
      <c r="FC292" t="e">
        <f>AND('PROG FORM COMPLEM'!B450,"AAAAAHX+/Z4=")</f>
        <v>#VALUE!</v>
      </c>
      <c r="FD292" t="e">
        <f>AND('PROG FORM COMPLEM'!C450,"AAAAAHX+/Z8=")</f>
        <v>#VALUE!</v>
      </c>
      <c r="FE292" t="e">
        <f>AND('PROG FORM COMPLEM'!D450,"AAAAAHX+/aA=")</f>
        <v>#VALUE!</v>
      </c>
      <c r="FF292" t="e">
        <f>AND('PROG FORM COMPLEM'!E450,"AAAAAHX+/aE=")</f>
        <v>#VALUE!</v>
      </c>
      <c r="FG292" t="e">
        <f>AND('PROG FORM COMPLEM'!F450,"AAAAAHX+/aI=")</f>
        <v>#VALUE!</v>
      </c>
      <c r="FH292" t="e">
        <f>AND('PROG FORM COMPLEM'!G450,"AAAAAHX+/aM=")</f>
        <v>#VALUE!</v>
      </c>
      <c r="FI292" t="e">
        <f>AND('PROG FORM COMPLEM'!H450,"AAAAAHX+/aQ=")</f>
        <v>#VALUE!</v>
      </c>
      <c r="FJ292" t="e">
        <f>AND('PROG FORM COMPLEM'!I450,"AAAAAHX+/aU=")</f>
        <v>#VALUE!</v>
      </c>
      <c r="FK292" t="e">
        <f>AND('PROG FORM COMPLEM'!J450,"AAAAAHX+/aY=")</f>
        <v>#VALUE!</v>
      </c>
      <c r="FL292" t="e">
        <f>AND('PROG FORM COMPLEM'!K450,"AAAAAHX+/ac=")</f>
        <v>#VALUE!</v>
      </c>
      <c r="FM292" t="e">
        <f>AND('PROG FORM COMPLEM'!L450,"AAAAAHX+/ag=")</f>
        <v>#VALUE!</v>
      </c>
      <c r="FN292" t="e">
        <f>AND('PROG FORM COMPLEM'!M450,"AAAAAHX+/ak=")</f>
        <v>#VALUE!</v>
      </c>
      <c r="FO292" t="e">
        <f>AND('PROG FORM COMPLEM'!N450,"AAAAAHX+/ao=")</f>
        <v>#VALUE!</v>
      </c>
      <c r="FP292" t="e">
        <f>AND('PROG FORM COMPLEM'!O450,"AAAAAHX+/as=")</f>
        <v>#VALUE!</v>
      </c>
      <c r="FQ292" t="e">
        <f>AND('PROG FORM COMPLEM'!P450,"AAAAAHX+/aw=")</f>
        <v>#VALUE!</v>
      </c>
      <c r="FR292" t="e">
        <f>AND('PROG FORM COMPLEM'!Q450,"AAAAAHX+/a0=")</f>
        <v>#VALUE!</v>
      </c>
      <c r="FS292" t="e">
        <f>AND('PROG FORM COMPLEM'!R450,"AAAAAHX+/a4=")</f>
        <v>#VALUE!</v>
      </c>
      <c r="FT292" t="e">
        <f>AND('PROG FORM COMPLEM'!S450,"AAAAAHX+/a8=")</f>
        <v>#VALUE!</v>
      </c>
      <c r="FU292" t="e">
        <f>AND('PROG FORM COMPLEM'!T450,"AAAAAHX+/bA=")</f>
        <v>#VALUE!</v>
      </c>
      <c r="FV292" t="e">
        <f>AND('PROG FORM COMPLEM'!U450,"AAAAAHX+/bE=")</f>
        <v>#VALUE!</v>
      </c>
      <c r="FW292" t="e">
        <f>AND('PROG FORM COMPLEM'!V450,"AAAAAHX+/bI=")</f>
        <v>#VALUE!</v>
      </c>
      <c r="FX292" t="e">
        <f>AND('PROG FORM COMPLEM'!W450,"AAAAAHX+/bM=")</f>
        <v>#VALUE!</v>
      </c>
      <c r="FY292">
        <f>IF('PROG FORM COMPLEM'!451:451,"AAAAAHX+/bQ=",0)</f>
        <v>0</v>
      </c>
      <c r="FZ292" t="e">
        <f>AND('PROG FORM COMPLEM'!B451,"AAAAAHX+/bU=")</f>
        <v>#VALUE!</v>
      </c>
      <c r="GA292" t="e">
        <f>AND('PROG FORM COMPLEM'!C451,"AAAAAHX+/bY=")</f>
        <v>#VALUE!</v>
      </c>
      <c r="GB292" t="e">
        <f>AND('PROG FORM COMPLEM'!D451,"AAAAAHX+/bc=")</f>
        <v>#VALUE!</v>
      </c>
      <c r="GC292" t="e">
        <f>AND('PROG FORM COMPLEM'!E451,"AAAAAHX+/bg=")</f>
        <v>#VALUE!</v>
      </c>
      <c r="GD292" t="e">
        <f>AND('PROG FORM COMPLEM'!F451,"AAAAAHX+/bk=")</f>
        <v>#VALUE!</v>
      </c>
      <c r="GE292" t="e">
        <f>AND('PROG FORM COMPLEM'!G451,"AAAAAHX+/bo=")</f>
        <v>#VALUE!</v>
      </c>
      <c r="GF292" t="e">
        <f>AND('PROG FORM COMPLEM'!H451,"AAAAAHX+/bs=")</f>
        <v>#VALUE!</v>
      </c>
      <c r="GG292" t="e">
        <f>AND('PROG FORM COMPLEM'!I451,"AAAAAHX+/bw=")</f>
        <v>#VALUE!</v>
      </c>
      <c r="GH292" t="e">
        <f>AND('PROG FORM COMPLEM'!J451,"AAAAAHX+/b0=")</f>
        <v>#VALUE!</v>
      </c>
      <c r="GI292" t="e">
        <f>AND('PROG FORM COMPLEM'!K451,"AAAAAHX+/b4=")</f>
        <v>#VALUE!</v>
      </c>
      <c r="GJ292" t="e">
        <f>AND('PROG FORM COMPLEM'!L451,"AAAAAHX+/b8=")</f>
        <v>#VALUE!</v>
      </c>
      <c r="GK292" t="e">
        <f>AND('PROG FORM COMPLEM'!M451,"AAAAAHX+/cA=")</f>
        <v>#VALUE!</v>
      </c>
      <c r="GL292" t="e">
        <f>AND('PROG FORM COMPLEM'!N451,"AAAAAHX+/cE=")</f>
        <v>#VALUE!</v>
      </c>
      <c r="GM292" t="e">
        <f>AND('PROG FORM COMPLEM'!O451,"AAAAAHX+/cI=")</f>
        <v>#VALUE!</v>
      </c>
      <c r="GN292" t="e">
        <f>AND('PROG FORM COMPLEM'!P451,"AAAAAHX+/cM=")</f>
        <v>#VALUE!</v>
      </c>
      <c r="GO292" t="e">
        <f>AND('PROG FORM COMPLEM'!Q451,"AAAAAHX+/cQ=")</f>
        <v>#VALUE!</v>
      </c>
      <c r="GP292" t="e">
        <f>AND('PROG FORM COMPLEM'!R451,"AAAAAHX+/cU=")</f>
        <v>#VALUE!</v>
      </c>
      <c r="GQ292" t="e">
        <f>AND('PROG FORM COMPLEM'!S451,"AAAAAHX+/cY=")</f>
        <v>#VALUE!</v>
      </c>
      <c r="GR292" t="e">
        <f>AND('PROG FORM COMPLEM'!T451,"AAAAAHX+/cc=")</f>
        <v>#VALUE!</v>
      </c>
      <c r="GS292" t="e">
        <f>AND('PROG FORM COMPLEM'!U451,"AAAAAHX+/cg=")</f>
        <v>#VALUE!</v>
      </c>
      <c r="GT292" t="e">
        <f>AND('PROG FORM COMPLEM'!V451,"AAAAAHX+/ck=")</f>
        <v>#VALUE!</v>
      </c>
      <c r="GU292" t="e">
        <f>AND('PROG FORM COMPLEM'!W451,"AAAAAHX+/co=")</f>
        <v>#VALUE!</v>
      </c>
      <c r="GV292">
        <f>IF('PROG FORM COMPLEM'!452:452,"AAAAAHX+/cs=",0)</f>
        <v>0</v>
      </c>
      <c r="GW292" t="e">
        <f>AND('PROG FORM COMPLEM'!B452,"AAAAAHX+/cw=")</f>
        <v>#VALUE!</v>
      </c>
      <c r="GX292" t="e">
        <f>AND('PROG FORM COMPLEM'!C452,"AAAAAHX+/c0=")</f>
        <v>#VALUE!</v>
      </c>
      <c r="GY292" t="e">
        <f>AND('PROG FORM COMPLEM'!D452,"AAAAAHX+/c4=")</f>
        <v>#VALUE!</v>
      </c>
      <c r="GZ292" t="e">
        <f>AND('PROG FORM COMPLEM'!E452,"AAAAAHX+/c8=")</f>
        <v>#VALUE!</v>
      </c>
      <c r="HA292" t="e">
        <f>AND('PROG FORM COMPLEM'!F452,"AAAAAHX+/dA=")</f>
        <v>#VALUE!</v>
      </c>
      <c r="HB292" t="e">
        <f>AND('PROG FORM COMPLEM'!G452,"AAAAAHX+/dE=")</f>
        <v>#VALUE!</v>
      </c>
      <c r="HC292" t="e">
        <f>AND('PROG FORM COMPLEM'!H452,"AAAAAHX+/dI=")</f>
        <v>#VALUE!</v>
      </c>
      <c r="HD292" t="e">
        <f>AND('PROG FORM COMPLEM'!I452,"AAAAAHX+/dM=")</f>
        <v>#VALUE!</v>
      </c>
      <c r="HE292" t="e">
        <f>AND('PROG FORM COMPLEM'!J452,"AAAAAHX+/dQ=")</f>
        <v>#VALUE!</v>
      </c>
      <c r="HF292" t="e">
        <f>AND('PROG FORM COMPLEM'!K452,"AAAAAHX+/dU=")</f>
        <v>#VALUE!</v>
      </c>
      <c r="HG292" t="e">
        <f>AND('PROG FORM COMPLEM'!L452,"AAAAAHX+/dY=")</f>
        <v>#VALUE!</v>
      </c>
      <c r="HH292" t="e">
        <f>AND('PROG FORM COMPLEM'!M452,"AAAAAHX+/dc=")</f>
        <v>#VALUE!</v>
      </c>
      <c r="HI292" t="e">
        <f>AND('PROG FORM COMPLEM'!N452,"AAAAAHX+/dg=")</f>
        <v>#VALUE!</v>
      </c>
      <c r="HJ292" t="e">
        <f>AND('PROG FORM COMPLEM'!O452,"AAAAAHX+/dk=")</f>
        <v>#VALUE!</v>
      </c>
      <c r="HK292" t="e">
        <f>AND('PROG FORM COMPLEM'!P452,"AAAAAHX+/do=")</f>
        <v>#VALUE!</v>
      </c>
      <c r="HL292" t="e">
        <f>AND('PROG FORM COMPLEM'!Q452,"AAAAAHX+/ds=")</f>
        <v>#VALUE!</v>
      </c>
      <c r="HM292" t="e">
        <f>AND('PROG FORM COMPLEM'!R452,"AAAAAHX+/dw=")</f>
        <v>#VALUE!</v>
      </c>
      <c r="HN292" t="e">
        <f>AND('PROG FORM COMPLEM'!S452,"AAAAAHX+/d0=")</f>
        <v>#VALUE!</v>
      </c>
      <c r="HO292" t="e">
        <f>AND('PROG FORM COMPLEM'!T452,"AAAAAHX+/d4=")</f>
        <v>#VALUE!</v>
      </c>
      <c r="HP292" t="e">
        <f>AND('PROG FORM COMPLEM'!U452,"AAAAAHX+/d8=")</f>
        <v>#VALUE!</v>
      </c>
      <c r="HQ292" t="e">
        <f>AND('PROG FORM COMPLEM'!V452,"AAAAAHX+/eA=")</f>
        <v>#VALUE!</v>
      </c>
      <c r="HR292" t="e">
        <f>AND('PROG FORM COMPLEM'!W452,"AAAAAHX+/eE=")</f>
        <v>#VALUE!</v>
      </c>
      <c r="HS292">
        <f>IF('PROG FORM COMPLEM'!453:453,"AAAAAHX+/eI=",0)</f>
        <v>0</v>
      </c>
      <c r="HT292" t="e">
        <f>AND('PROG FORM COMPLEM'!B453,"AAAAAHX+/eM=")</f>
        <v>#VALUE!</v>
      </c>
      <c r="HU292" t="e">
        <f>AND('PROG FORM COMPLEM'!C453,"AAAAAHX+/eQ=")</f>
        <v>#VALUE!</v>
      </c>
      <c r="HV292" t="e">
        <f>AND('PROG FORM COMPLEM'!D453,"AAAAAHX+/eU=")</f>
        <v>#VALUE!</v>
      </c>
      <c r="HW292" t="e">
        <f>AND('PROG FORM COMPLEM'!E453,"AAAAAHX+/eY=")</f>
        <v>#VALUE!</v>
      </c>
      <c r="HX292" t="e">
        <f>AND('PROG FORM COMPLEM'!F453,"AAAAAHX+/ec=")</f>
        <v>#VALUE!</v>
      </c>
      <c r="HY292" t="e">
        <f>AND('PROG FORM COMPLEM'!G453,"AAAAAHX+/eg=")</f>
        <v>#VALUE!</v>
      </c>
      <c r="HZ292" t="e">
        <f>AND('PROG FORM COMPLEM'!H453,"AAAAAHX+/ek=")</f>
        <v>#VALUE!</v>
      </c>
      <c r="IA292" t="e">
        <f>AND('PROG FORM COMPLEM'!I453,"AAAAAHX+/eo=")</f>
        <v>#VALUE!</v>
      </c>
      <c r="IB292" t="e">
        <f>AND('PROG FORM COMPLEM'!J453,"AAAAAHX+/es=")</f>
        <v>#VALUE!</v>
      </c>
      <c r="IC292" t="e">
        <f>AND('PROG FORM COMPLEM'!K453,"AAAAAHX+/ew=")</f>
        <v>#VALUE!</v>
      </c>
      <c r="ID292" t="e">
        <f>AND('PROG FORM COMPLEM'!L453,"AAAAAHX+/e0=")</f>
        <v>#VALUE!</v>
      </c>
      <c r="IE292" t="e">
        <f>AND('PROG FORM COMPLEM'!M453,"AAAAAHX+/e4=")</f>
        <v>#VALUE!</v>
      </c>
      <c r="IF292" t="e">
        <f>AND('PROG FORM COMPLEM'!N453,"AAAAAHX+/e8=")</f>
        <v>#VALUE!</v>
      </c>
      <c r="IG292" t="e">
        <f>AND('PROG FORM COMPLEM'!O453,"AAAAAHX+/fA=")</f>
        <v>#VALUE!</v>
      </c>
      <c r="IH292" t="e">
        <f>AND('PROG FORM COMPLEM'!P453,"AAAAAHX+/fE=")</f>
        <v>#VALUE!</v>
      </c>
      <c r="II292" t="e">
        <f>AND('PROG FORM COMPLEM'!Q453,"AAAAAHX+/fI=")</f>
        <v>#VALUE!</v>
      </c>
      <c r="IJ292" t="e">
        <f>AND('PROG FORM COMPLEM'!R453,"AAAAAHX+/fM=")</f>
        <v>#VALUE!</v>
      </c>
      <c r="IK292" t="e">
        <f>AND('PROG FORM COMPLEM'!S453,"AAAAAHX+/fQ=")</f>
        <v>#VALUE!</v>
      </c>
      <c r="IL292" t="e">
        <f>AND('PROG FORM COMPLEM'!T453,"AAAAAHX+/fU=")</f>
        <v>#VALUE!</v>
      </c>
      <c r="IM292" t="e">
        <f>AND('PROG FORM COMPLEM'!U453,"AAAAAHX+/fY=")</f>
        <v>#VALUE!</v>
      </c>
      <c r="IN292" t="e">
        <f>AND('PROG FORM COMPLEM'!V453,"AAAAAHX+/fc=")</f>
        <v>#VALUE!</v>
      </c>
      <c r="IO292" t="e">
        <f>AND('PROG FORM COMPLEM'!W453,"AAAAAHX+/fg=")</f>
        <v>#VALUE!</v>
      </c>
      <c r="IP292">
        <f>IF('PROG FORM COMPLEM'!454:454,"AAAAAHX+/fk=",0)</f>
        <v>0</v>
      </c>
      <c r="IQ292" t="e">
        <f>AND('PROG FORM COMPLEM'!B454,"AAAAAHX+/fo=")</f>
        <v>#VALUE!</v>
      </c>
      <c r="IR292" t="e">
        <f>AND('PROG FORM COMPLEM'!C454,"AAAAAHX+/fs=")</f>
        <v>#VALUE!</v>
      </c>
      <c r="IS292" t="e">
        <f>AND('PROG FORM COMPLEM'!D454,"AAAAAHX+/fw=")</f>
        <v>#VALUE!</v>
      </c>
      <c r="IT292" t="e">
        <f>AND('PROG FORM COMPLEM'!E454,"AAAAAHX+/f0=")</f>
        <v>#VALUE!</v>
      </c>
      <c r="IU292" t="e">
        <f>AND('PROG FORM COMPLEM'!F454,"AAAAAHX+/f4=")</f>
        <v>#VALUE!</v>
      </c>
      <c r="IV292" t="e">
        <f>AND('PROG FORM COMPLEM'!G454,"AAAAAHX+/f8=")</f>
        <v>#VALUE!</v>
      </c>
    </row>
    <row r="293" spans="1:256" x14ac:dyDescent="0.2">
      <c r="A293" t="e">
        <f>AND('PROG FORM COMPLEM'!H454,"AAAAAHf/+QA=")</f>
        <v>#VALUE!</v>
      </c>
      <c r="B293" t="e">
        <f>AND('PROG FORM COMPLEM'!I454,"AAAAAHf/+QE=")</f>
        <v>#VALUE!</v>
      </c>
      <c r="C293" t="e">
        <f>AND('PROG FORM COMPLEM'!J454,"AAAAAHf/+QI=")</f>
        <v>#VALUE!</v>
      </c>
      <c r="D293" t="e">
        <f>AND('PROG FORM COMPLEM'!K454,"AAAAAHf/+QM=")</f>
        <v>#VALUE!</v>
      </c>
      <c r="E293" t="e">
        <f>AND('PROG FORM COMPLEM'!L454,"AAAAAHf/+QQ=")</f>
        <v>#VALUE!</v>
      </c>
      <c r="F293" t="e">
        <f>AND('PROG FORM COMPLEM'!M454,"AAAAAHf/+QU=")</f>
        <v>#VALUE!</v>
      </c>
      <c r="G293" t="e">
        <f>AND('PROG FORM COMPLEM'!N454,"AAAAAHf/+QY=")</f>
        <v>#VALUE!</v>
      </c>
      <c r="H293" t="e">
        <f>AND('PROG FORM COMPLEM'!O454,"AAAAAHf/+Qc=")</f>
        <v>#VALUE!</v>
      </c>
      <c r="I293" t="e">
        <f>AND('PROG FORM COMPLEM'!P454,"AAAAAHf/+Qg=")</f>
        <v>#VALUE!</v>
      </c>
      <c r="J293" t="e">
        <f>AND('PROG FORM COMPLEM'!Q454,"AAAAAHf/+Qk=")</f>
        <v>#VALUE!</v>
      </c>
      <c r="K293" t="e">
        <f>AND('PROG FORM COMPLEM'!R454,"AAAAAHf/+Qo=")</f>
        <v>#VALUE!</v>
      </c>
      <c r="L293" t="e">
        <f>AND('PROG FORM COMPLEM'!S454,"AAAAAHf/+Qs=")</f>
        <v>#VALUE!</v>
      </c>
      <c r="M293" t="e">
        <f>AND('PROG FORM COMPLEM'!T454,"AAAAAHf/+Qw=")</f>
        <v>#VALUE!</v>
      </c>
      <c r="N293" t="e">
        <f>AND('PROG FORM COMPLEM'!U454,"AAAAAHf/+Q0=")</f>
        <v>#VALUE!</v>
      </c>
      <c r="O293" t="e">
        <f>AND('PROG FORM COMPLEM'!V454,"AAAAAHf/+Q4=")</f>
        <v>#VALUE!</v>
      </c>
      <c r="P293" t="e">
        <f>AND('PROG FORM COMPLEM'!W454,"AAAAAHf/+Q8=")</f>
        <v>#VALUE!</v>
      </c>
      <c r="Q293">
        <f>IF('PROG FORM COMPLEM'!455:455,"AAAAAHf/+RA=",0)</f>
        <v>0</v>
      </c>
      <c r="R293" t="e">
        <f>AND('PROG FORM COMPLEM'!B455,"AAAAAHf/+RE=")</f>
        <v>#VALUE!</v>
      </c>
      <c r="S293" t="e">
        <f>AND('PROG FORM COMPLEM'!C455,"AAAAAHf/+RI=")</f>
        <v>#VALUE!</v>
      </c>
      <c r="T293" t="e">
        <f>AND('PROG FORM COMPLEM'!D455,"AAAAAHf/+RM=")</f>
        <v>#VALUE!</v>
      </c>
      <c r="U293" t="e">
        <f>AND('PROG FORM COMPLEM'!E455,"AAAAAHf/+RQ=")</f>
        <v>#VALUE!</v>
      </c>
      <c r="V293" t="e">
        <f>AND('PROG FORM COMPLEM'!F455,"AAAAAHf/+RU=")</f>
        <v>#VALUE!</v>
      </c>
      <c r="W293" t="e">
        <f>AND('PROG FORM COMPLEM'!G455,"AAAAAHf/+RY=")</f>
        <v>#VALUE!</v>
      </c>
      <c r="X293" t="e">
        <f>AND('PROG FORM COMPLEM'!H455,"AAAAAHf/+Rc=")</f>
        <v>#VALUE!</v>
      </c>
      <c r="Y293" t="e">
        <f>AND('PROG FORM COMPLEM'!I455,"AAAAAHf/+Rg=")</f>
        <v>#VALUE!</v>
      </c>
      <c r="Z293" t="e">
        <f>AND('PROG FORM COMPLEM'!J455,"AAAAAHf/+Rk=")</f>
        <v>#VALUE!</v>
      </c>
      <c r="AA293" t="e">
        <f>AND('PROG FORM COMPLEM'!K455,"AAAAAHf/+Ro=")</f>
        <v>#VALUE!</v>
      </c>
      <c r="AB293" t="e">
        <f>AND('PROG FORM COMPLEM'!L455,"AAAAAHf/+Rs=")</f>
        <v>#VALUE!</v>
      </c>
      <c r="AC293" t="e">
        <f>AND('PROG FORM COMPLEM'!M455,"AAAAAHf/+Rw=")</f>
        <v>#VALUE!</v>
      </c>
      <c r="AD293" t="e">
        <f>AND('PROG FORM COMPLEM'!N455,"AAAAAHf/+R0=")</f>
        <v>#VALUE!</v>
      </c>
      <c r="AE293" t="e">
        <f>AND('PROG FORM COMPLEM'!O455,"AAAAAHf/+R4=")</f>
        <v>#VALUE!</v>
      </c>
      <c r="AF293" t="e">
        <f>AND('PROG FORM COMPLEM'!P455,"AAAAAHf/+R8=")</f>
        <v>#VALUE!</v>
      </c>
      <c r="AG293" t="e">
        <f>AND('PROG FORM COMPLEM'!Q455,"AAAAAHf/+SA=")</f>
        <v>#VALUE!</v>
      </c>
      <c r="AH293" t="e">
        <f>AND('PROG FORM COMPLEM'!R455,"AAAAAHf/+SE=")</f>
        <v>#VALUE!</v>
      </c>
      <c r="AI293" t="e">
        <f>AND('PROG FORM COMPLEM'!S455,"AAAAAHf/+SI=")</f>
        <v>#VALUE!</v>
      </c>
      <c r="AJ293" t="e">
        <f>AND('PROG FORM COMPLEM'!T455,"AAAAAHf/+SM=")</f>
        <v>#VALUE!</v>
      </c>
      <c r="AK293" t="e">
        <f>AND('PROG FORM COMPLEM'!U455,"AAAAAHf/+SQ=")</f>
        <v>#VALUE!</v>
      </c>
      <c r="AL293" t="e">
        <f>AND('PROG FORM COMPLEM'!V455,"AAAAAHf/+SU=")</f>
        <v>#VALUE!</v>
      </c>
      <c r="AM293" t="e">
        <f>AND('PROG FORM COMPLEM'!W455,"AAAAAHf/+SY=")</f>
        <v>#VALUE!</v>
      </c>
      <c r="AN293">
        <f>IF('PROG FORM COMPLEM'!456:456,"AAAAAHf/+Sc=",0)</f>
        <v>0</v>
      </c>
      <c r="AO293" t="e">
        <f>AND('PROG FORM COMPLEM'!B456,"AAAAAHf/+Sg=")</f>
        <v>#VALUE!</v>
      </c>
      <c r="AP293" t="e">
        <f>AND('PROG FORM COMPLEM'!C456,"AAAAAHf/+Sk=")</f>
        <v>#VALUE!</v>
      </c>
      <c r="AQ293" t="e">
        <f>AND('PROG FORM COMPLEM'!D456,"AAAAAHf/+So=")</f>
        <v>#VALUE!</v>
      </c>
      <c r="AR293" t="e">
        <f>AND('PROG FORM COMPLEM'!E456,"AAAAAHf/+Ss=")</f>
        <v>#VALUE!</v>
      </c>
      <c r="AS293" t="e">
        <f>AND('PROG FORM COMPLEM'!F456,"AAAAAHf/+Sw=")</f>
        <v>#VALUE!</v>
      </c>
      <c r="AT293" t="e">
        <f>AND('PROG FORM COMPLEM'!G456,"AAAAAHf/+S0=")</f>
        <v>#VALUE!</v>
      </c>
      <c r="AU293" t="e">
        <f>AND('PROG FORM COMPLEM'!H456,"AAAAAHf/+S4=")</f>
        <v>#VALUE!</v>
      </c>
      <c r="AV293" t="e">
        <f>AND('PROG FORM COMPLEM'!I456,"AAAAAHf/+S8=")</f>
        <v>#VALUE!</v>
      </c>
      <c r="AW293" t="e">
        <f>AND('PROG FORM COMPLEM'!J456,"AAAAAHf/+TA=")</f>
        <v>#VALUE!</v>
      </c>
      <c r="AX293" t="e">
        <f>AND('PROG FORM COMPLEM'!K456,"AAAAAHf/+TE=")</f>
        <v>#VALUE!</v>
      </c>
      <c r="AY293" t="e">
        <f>AND('PROG FORM COMPLEM'!L456,"AAAAAHf/+TI=")</f>
        <v>#VALUE!</v>
      </c>
      <c r="AZ293" t="e">
        <f>AND('PROG FORM COMPLEM'!M456,"AAAAAHf/+TM=")</f>
        <v>#VALUE!</v>
      </c>
      <c r="BA293" t="e">
        <f>AND('PROG FORM COMPLEM'!N456,"AAAAAHf/+TQ=")</f>
        <v>#VALUE!</v>
      </c>
      <c r="BB293" t="e">
        <f>AND('PROG FORM COMPLEM'!O456,"AAAAAHf/+TU=")</f>
        <v>#VALUE!</v>
      </c>
      <c r="BC293" t="e">
        <f>AND('PROG FORM COMPLEM'!P456,"AAAAAHf/+TY=")</f>
        <v>#VALUE!</v>
      </c>
      <c r="BD293" t="e">
        <f>AND('PROG FORM COMPLEM'!Q456,"AAAAAHf/+Tc=")</f>
        <v>#VALUE!</v>
      </c>
      <c r="BE293" t="e">
        <f>AND('PROG FORM COMPLEM'!R456,"AAAAAHf/+Tg=")</f>
        <v>#VALUE!</v>
      </c>
      <c r="BF293" t="e">
        <f>AND('PROG FORM COMPLEM'!S456,"AAAAAHf/+Tk=")</f>
        <v>#VALUE!</v>
      </c>
      <c r="BG293" t="e">
        <f>AND('PROG FORM COMPLEM'!T456,"AAAAAHf/+To=")</f>
        <v>#VALUE!</v>
      </c>
      <c r="BH293" t="e">
        <f>AND('PROG FORM COMPLEM'!U456,"AAAAAHf/+Ts=")</f>
        <v>#VALUE!</v>
      </c>
      <c r="BI293" t="e">
        <f>AND('PROG FORM COMPLEM'!V456,"AAAAAHf/+Tw=")</f>
        <v>#VALUE!</v>
      </c>
      <c r="BJ293" t="e">
        <f>AND('PROG FORM COMPLEM'!W456,"AAAAAHf/+T0=")</f>
        <v>#VALUE!</v>
      </c>
      <c r="BK293">
        <f>IF('PROG FORM COMPLEM'!457:457,"AAAAAHf/+T4=",0)</f>
        <v>0</v>
      </c>
      <c r="BL293" t="e">
        <f>AND('PROG FORM COMPLEM'!B457,"AAAAAHf/+T8=")</f>
        <v>#VALUE!</v>
      </c>
      <c r="BM293" t="e">
        <f>AND('PROG FORM COMPLEM'!C457,"AAAAAHf/+UA=")</f>
        <v>#VALUE!</v>
      </c>
      <c r="BN293" t="e">
        <f>AND('PROG FORM COMPLEM'!D457,"AAAAAHf/+UE=")</f>
        <v>#VALUE!</v>
      </c>
      <c r="BO293" t="e">
        <f>AND('PROG FORM COMPLEM'!E457,"AAAAAHf/+UI=")</f>
        <v>#VALUE!</v>
      </c>
      <c r="BP293" t="e">
        <f>AND('PROG FORM COMPLEM'!F457,"AAAAAHf/+UM=")</f>
        <v>#VALUE!</v>
      </c>
      <c r="BQ293" t="e">
        <f>AND('PROG FORM COMPLEM'!G457,"AAAAAHf/+UQ=")</f>
        <v>#VALUE!</v>
      </c>
      <c r="BR293" t="e">
        <f>AND('PROG FORM COMPLEM'!H457,"AAAAAHf/+UU=")</f>
        <v>#VALUE!</v>
      </c>
      <c r="BS293" t="e">
        <f>AND('PROG FORM COMPLEM'!I457,"AAAAAHf/+UY=")</f>
        <v>#VALUE!</v>
      </c>
      <c r="BT293" t="e">
        <f>AND('PROG FORM COMPLEM'!J457,"AAAAAHf/+Uc=")</f>
        <v>#VALUE!</v>
      </c>
      <c r="BU293" t="e">
        <f>AND('PROG FORM COMPLEM'!K457,"AAAAAHf/+Ug=")</f>
        <v>#VALUE!</v>
      </c>
      <c r="BV293" t="e">
        <f>AND('PROG FORM COMPLEM'!L457,"AAAAAHf/+Uk=")</f>
        <v>#VALUE!</v>
      </c>
      <c r="BW293" t="e">
        <f>AND('PROG FORM COMPLEM'!M457,"AAAAAHf/+Uo=")</f>
        <v>#VALUE!</v>
      </c>
      <c r="BX293" t="e">
        <f>AND('PROG FORM COMPLEM'!N457,"AAAAAHf/+Us=")</f>
        <v>#VALUE!</v>
      </c>
      <c r="BY293" t="e">
        <f>AND('PROG FORM COMPLEM'!O457,"AAAAAHf/+Uw=")</f>
        <v>#VALUE!</v>
      </c>
      <c r="BZ293" t="e">
        <f>AND('PROG FORM COMPLEM'!P457,"AAAAAHf/+U0=")</f>
        <v>#VALUE!</v>
      </c>
      <c r="CA293" t="e">
        <f>AND('PROG FORM COMPLEM'!Q457,"AAAAAHf/+U4=")</f>
        <v>#VALUE!</v>
      </c>
      <c r="CB293" t="e">
        <f>AND('PROG FORM COMPLEM'!R457,"AAAAAHf/+U8=")</f>
        <v>#VALUE!</v>
      </c>
      <c r="CC293" t="e">
        <f>AND('PROG FORM COMPLEM'!S457,"AAAAAHf/+VA=")</f>
        <v>#VALUE!</v>
      </c>
      <c r="CD293" t="e">
        <f>AND('PROG FORM COMPLEM'!T457,"AAAAAHf/+VE=")</f>
        <v>#VALUE!</v>
      </c>
      <c r="CE293" t="e">
        <f>AND('PROG FORM COMPLEM'!U457,"AAAAAHf/+VI=")</f>
        <v>#VALUE!</v>
      </c>
      <c r="CF293" t="e">
        <f>AND('PROG FORM COMPLEM'!V457,"AAAAAHf/+VM=")</f>
        <v>#VALUE!</v>
      </c>
      <c r="CG293" t="e">
        <f>AND('PROG FORM COMPLEM'!W457,"AAAAAHf/+VQ=")</f>
        <v>#VALUE!</v>
      </c>
      <c r="CH293">
        <f>IF('PROG FORM COMPLEM'!458:458,"AAAAAHf/+VU=",0)</f>
        <v>0</v>
      </c>
      <c r="CI293" t="e">
        <f>AND('PROG FORM COMPLEM'!B458,"AAAAAHf/+VY=")</f>
        <v>#VALUE!</v>
      </c>
      <c r="CJ293" t="e">
        <f>AND('PROG FORM COMPLEM'!C458,"AAAAAHf/+Vc=")</f>
        <v>#VALUE!</v>
      </c>
      <c r="CK293" t="e">
        <f>AND('PROG FORM COMPLEM'!D458,"AAAAAHf/+Vg=")</f>
        <v>#VALUE!</v>
      </c>
      <c r="CL293" t="e">
        <f>AND('PROG FORM COMPLEM'!E458,"AAAAAHf/+Vk=")</f>
        <v>#VALUE!</v>
      </c>
      <c r="CM293" t="e">
        <f>AND('PROG FORM COMPLEM'!F458,"AAAAAHf/+Vo=")</f>
        <v>#VALUE!</v>
      </c>
      <c r="CN293" t="e">
        <f>AND('PROG FORM COMPLEM'!G458,"AAAAAHf/+Vs=")</f>
        <v>#VALUE!</v>
      </c>
      <c r="CO293" t="e">
        <f>AND('PROG FORM COMPLEM'!H458,"AAAAAHf/+Vw=")</f>
        <v>#VALUE!</v>
      </c>
      <c r="CP293" t="e">
        <f>AND('PROG FORM COMPLEM'!I458,"AAAAAHf/+V0=")</f>
        <v>#VALUE!</v>
      </c>
      <c r="CQ293" t="e">
        <f>AND('PROG FORM COMPLEM'!J458,"AAAAAHf/+V4=")</f>
        <v>#VALUE!</v>
      </c>
      <c r="CR293" t="e">
        <f>AND('PROG FORM COMPLEM'!K458,"AAAAAHf/+V8=")</f>
        <v>#VALUE!</v>
      </c>
      <c r="CS293" t="e">
        <f>AND('PROG FORM COMPLEM'!L458,"AAAAAHf/+WA=")</f>
        <v>#VALUE!</v>
      </c>
      <c r="CT293" t="e">
        <f>AND('PROG FORM COMPLEM'!M458,"AAAAAHf/+WE=")</f>
        <v>#VALUE!</v>
      </c>
      <c r="CU293" t="e">
        <f>AND('PROG FORM COMPLEM'!N458,"AAAAAHf/+WI=")</f>
        <v>#VALUE!</v>
      </c>
      <c r="CV293" t="e">
        <f>AND('PROG FORM COMPLEM'!O458,"AAAAAHf/+WM=")</f>
        <v>#VALUE!</v>
      </c>
      <c r="CW293" t="e">
        <f>AND('PROG FORM COMPLEM'!P458,"AAAAAHf/+WQ=")</f>
        <v>#VALUE!</v>
      </c>
      <c r="CX293" t="e">
        <f>AND('PROG FORM COMPLEM'!Q458,"AAAAAHf/+WU=")</f>
        <v>#VALUE!</v>
      </c>
      <c r="CY293" t="e">
        <f>AND('PROG FORM COMPLEM'!R458,"AAAAAHf/+WY=")</f>
        <v>#VALUE!</v>
      </c>
      <c r="CZ293" t="e">
        <f>AND('PROG FORM COMPLEM'!S458,"AAAAAHf/+Wc=")</f>
        <v>#VALUE!</v>
      </c>
      <c r="DA293" t="e">
        <f>AND('PROG FORM COMPLEM'!T458,"AAAAAHf/+Wg=")</f>
        <v>#VALUE!</v>
      </c>
      <c r="DB293" t="e">
        <f>AND('PROG FORM COMPLEM'!U458,"AAAAAHf/+Wk=")</f>
        <v>#VALUE!</v>
      </c>
      <c r="DC293" t="e">
        <f>AND('PROG FORM COMPLEM'!V458,"AAAAAHf/+Wo=")</f>
        <v>#VALUE!</v>
      </c>
      <c r="DD293" t="e">
        <f>AND('PROG FORM COMPLEM'!W458,"AAAAAHf/+Ws=")</f>
        <v>#VALUE!</v>
      </c>
      <c r="DE293">
        <f>IF('PROG FORM COMPLEM'!459:459,"AAAAAHf/+Ww=",0)</f>
        <v>0</v>
      </c>
      <c r="DF293" t="e">
        <f>AND('PROG FORM COMPLEM'!B459,"AAAAAHf/+W0=")</f>
        <v>#VALUE!</v>
      </c>
      <c r="DG293" t="e">
        <f>AND('PROG FORM COMPLEM'!C459,"AAAAAHf/+W4=")</f>
        <v>#VALUE!</v>
      </c>
      <c r="DH293" t="e">
        <f>AND('PROG FORM COMPLEM'!D459,"AAAAAHf/+W8=")</f>
        <v>#VALUE!</v>
      </c>
      <c r="DI293" t="e">
        <f>AND('PROG FORM COMPLEM'!E459,"AAAAAHf/+XA=")</f>
        <v>#VALUE!</v>
      </c>
      <c r="DJ293" t="e">
        <f>AND('PROG FORM COMPLEM'!F459,"AAAAAHf/+XE=")</f>
        <v>#VALUE!</v>
      </c>
      <c r="DK293" t="e">
        <f>AND('PROG FORM COMPLEM'!G459,"AAAAAHf/+XI=")</f>
        <v>#VALUE!</v>
      </c>
      <c r="DL293" t="e">
        <f>AND('PROG FORM COMPLEM'!H459,"AAAAAHf/+XM=")</f>
        <v>#VALUE!</v>
      </c>
      <c r="DM293" t="e">
        <f>AND('PROG FORM COMPLEM'!I459,"AAAAAHf/+XQ=")</f>
        <v>#VALUE!</v>
      </c>
      <c r="DN293" t="e">
        <f>AND('PROG FORM COMPLEM'!J459,"AAAAAHf/+XU=")</f>
        <v>#VALUE!</v>
      </c>
      <c r="DO293" t="e">
        <f>AND('PROG FORM COMPLEM'!K459,"AAAAAHf/+XY=")</f>
        <v>#VALUE!</v>
      </c>
      <c r="DP293" t="e">
        <f>AND('PROG FORM COMPLEM'!L459,"AAAAAHf/+Xc=")</f>
        <v>#VALUE!</v>
      </c>
      <c r="DQ293" t="e">
        <f>AND('PROG FORM COMPLEM'!M459,"AAAAAHf/+Xg=")</f>
        <v>#VALUE!</v>
      </c>
      <c r="DR293" t="e">
        <f>AND('PROG FORM COMPLEM'!N459,"AAAAAHf/+Xk=")</f>
        <v>#VALUE!</v>
      </c>
      <c r="DS293" t="e">
        <f>AND('PROG FORM COMPLEM'!O459,"AAAAAHf/+Xo=")</f>
        <v>#VALUE!</v>
      </c>
      <c r="DT293" t="e">
        <f>AND('PROG FORM COMPLEM'!P459,"AAAAAHf/+Xs=")</f>
        <v>#VALUE!</v>
      </c>
      <c r="DU293" t="e">
        <f>AND('PROG FORM COMPLEM'!Q459,"AAAAAHf/+Xw=")</f>
        <v>#VALUE!</v>
      </c>
      <c r="DV293" t="e">
        <f>AND('PROG FORM COMPLEM'!R459,"AAAAAHf/+X0=")</f>
        <v>#VALUE!</v>
      </c>
      <c r="DW293" t="e">
        <f>AND('PROG FORM COMPLEM'!S459,"AAAAAHf/+X4=")</f>
        <v>#VALUE!</v>
      </c>
      <c r="DX293" t="e">
        <f>AND('PROG FORM COMPLEM'!T459,"AAAAAHf/+X8=")</f>
        <v>#VALUE!</v>
      </c>
      <c r="DY293" t="e">
        <f>AND('PROG FORM COMPLEM'!U459,"AAAAAHf/+YA=")</f>
        <v>#VALUE!</v>
      </c>
      <c r="DZ293" t="e">
        <f>AND('PROG FORM COMPLEM'!V459,"AAAAAHf/+YE=")</f>
        <v>#VALUE!</v>
      </c>
      <c r="EA293" t="e">
        <f>AND('PROG FORM COMPLEM'!W459,"AAAAAHf/+YI=")</f>
        <v>#VALUE!</v>
      </c>
      <c r="EB293">
        <f>IF('PROG FORM COMPLEM'!460:460,"AAAAAHf/+YM=",0)</f>
        <v>0</v>
      </c>
      <c r="EC293" t="e">
        <f>AND('PROG FORM COMPLEM'!B460,"AAAAAHf/+YQ=")</f>
        <v>#VALUE!</v>
      </c>
      <c r="ED293" t="e">
        <f>AND('PROG FORM COMPLEM'!C460,"AAAAAHf/+YU=")</f>
        <v>#VALUE!</v>
      </c>
      <c r="EE293" t="e">
        <f>AND('PROG FORM COMPLEM'!D460,"AAAAAHf/+YY=")</f>
        <v>#VALUE!</v>
      </c>
      <c r="EF293" t="e">
        <f>AND('PROG FORM COMPLEM'!E460,"AAAAAHf/+Yc=")</f>
        <v>#VALUE!</v>
      </c>
      <c r="EG293" t="e">
        <f>AND('PROG FORM COMPLEM'!F460,"AAAAAHf/+Yg=")</f>
        <v>#VALUE!</v>
      </c>
      <c r="EH293" t="e">
        <f>AND('PROG FORM COMPLEM'!G460,"AAAAAHf/+Yk=")</f>
        <v>#VALUE!</v>
      </c>
      <c r="EI293" t="e">
        <f>AND('PROG FORM COMPLEM'!H460,"AAAAAHf/+Yo=")</f>
        <v>#VALUE!</v>
      </c>
      <c r="EJ293" t="e">
        <f>AND('PROG FORM COMPLEM'!I460,"AAAAAHf/+Ys=")</f>
        <v>#VALUE!</v>
      </c>
      <c r="EK293" t="e">
        <f>AND('PROG FORM COMPLEM'!J460,"AAAAAHf/+Yw=")</f>
        <v>#VALUE!</v>
      </c>
      <c r="EL293" t="e">
        <f>AND('PROG FORM COMPLEM'!K460,"AAAAAHf/+Y0=")</f>
        <v>#VALUE!</v>
      </c>
      <c r="EM293" t="e">
        <f>AND('PROG FORM COMPLEM'!L460,"AAAAAHf/+Y4=")</f>
        <v>#VALUE!</v>
      </c>
      <c r="EN293" t="e">
        <f>AND('PROG FORM COMPLEM'!M460,"AAAAAHf/+Y8=")</f>
        <v>#VALUE!</v>
      </c>
      <c r="EO293" t="e">
        <f>AND('PROG FORM COMPLEM'!N460,"AAAAAHf/+ZA=")</f>
        <v>#VALUE!</v>
      </c>
      <c r="EP293" t="e">
        <f>AND('PROG FORM COMPLEM'!O460,"AAAAAHf/+ZE=")</f>
        <v>#VALUE!</v>
      </c>
      <c r="EQ293" t="e">
        <f>AND('PROG FORM COMPLEM'!P460,"AAAAAHf/+ZI=")</f>
        <v>#VALUE!</v>
      </c>
      <c r="ER293" t="e">
        <f>AND('PROG FORM COMPLEM'!Q460,"AAAAAHf/+ZM=")</f>
        <v>#VALUE!</v>
      </c>
      <c r="ES293" t="e">
        <f>AND('PROG FORM COMPLEM'!R460,"AAAAAHf/+ZQ=")</f>
        <v>#VALUE!</v>
      </c>
      <c r="ET293" t="e">
        <f>AND('PROG FORM COMPLEM'!S460,"AAAAAHf/+ZU=")</f>
        <v>#VALUE!</v>
      </c>
      <c r="EU293" t="e">
        <f>AND('PROG FORM COMPLEM'!T460,"AAAAAHf/+ZY=")</f>
        <v>#VALUE!</v>
      </c>
      <c r="EV293" t="e">
        <f>AND('PROG FORM COMPLEM'!U460,"AAAAAHf/+Zc=")</f>
        <v>#VALUE!</v>
      </c>
      <c r="EW293" t="e">
        <f>AND('PROG FORM COMPLEM'!V460,"AAAAAHf/+Zg=")</f>
        <v>#VALUE!</v>
      </c>
      <c r="EX293" t="e">
        <f>AND('PROG FORM COMPLEM'!W460,"AAAAAHf/+Zk=")</f>
        <v>#VALUE!</v>
      </c>
      <c r="EY293">
        <f>IF('PROG FORM COMPLEM'!461:461,"AAAAAHf/+Zo=",0)</f>
        <v>0</v>
      </c>
      <c r="EZ293" t="e">
        <f>AND('PROG FORM COMPLEM'!B461,"AAAAAHf/+Zs=")</f>
        <v>#VALUE!</v>
      </c>
      <c r="FA293" t="e">
        <f>AND('PROG FORM COMPLEM'!C461,"AAAAAHf/+Zw=")</f>
        <v>#VALUE!</v>
      </c>
      <c r="FB293" t="e">
        <f>AND('PROG FORM COMPLEM'!D461,"AAAAAHf/+Z0=")</f>
        <v>#VALUE!</v>
      </c>
      <c r="FC293" t="e">
        <f>AND('PROG FORM COMPLEM'!E461,"AAAAAHf/+Z4=")</f>
        <v>#VALUE!</v>
      </c>
      <c r="FD293" t="e">
        <f>AND('PROG FORM COMPLEM'!F461,"AAAAAHf/+Z8=")</f>
        <v>#VALUE!</v>
      </c>
      <c r="FE293" t="e">
        <f>AND('PROG FORM COMPLEM'!G461,"AAAAAHf/+aA=")</f>
        <v>#VALUE!</v>
      </c>
      <c r="FF293" t="e">
        <f>AND('PROG FORM COMPLEM'!H461,"AAAAAHf/+aE=")</f>
        <v>#VALUE!</v>
      </c>
      <c r="FG293" t="e">
        <f>AND('PROG FORM COMPLEM'!I461,"AAAAAHf/+aI=")</f>
        <v>#VALUE!</v>
      </c>
      <c r="FH293" t="e">
        <f>AND('PROG FORM COMPLEM'!J461,"AAAAAHf/+aM=")</f>
        <v>#VALUE!</v>
      </c>
      <c r="FI293" t="e">
        <f>AND('PROG FORM COMPLEM'!K461,"AAAAAHf/+aQ=")</f>
        <v>#VALUE!</v>
      </c>
      <c r="FJ293" t="e">
        <f>AND('PROG FORM COMPLEM'!L461,"AAAAAHf/+aU=")</f>
        <v>#VALUE!</v>
      </c>
      <c r="FK293" t="e">
        <f>AND('PROG FORM COMPLEM'!M461,"AAAAAHf/+aY=")</f>
        <v>#VALUE!</v>
      </c>
      <c r="FL293" t="e">
        <f>AND('PROG FORM COMPLEM'!N461,"AAAAAHf/+ac=")</f>
        <v>#VALUE!</v>
      </c>
      <c r="FM293" t="e">
        <f>AND('PROG FORM COMPLEM'!O461,"AAAAAHf/+ag=")</f>
        <v>#VALUE!</v>
      </c>
      <c r="FN293" t="e">
        <f>AND('PROG FORM COMPLEM'!P461,"AAAAAHf/+ak=")</f>
        <v>#VALUE!</v>
      </c>
      <c r="FO293" t="e">
        <f>AND('PROG FORM COMPLEM'!Q461,"AAAAAHf/+ao=")</f>
        <v>#VALUE!</v>
      </c>
      <c r="FP293" t="e">
        <f>AND('PROG FORM COMPLEM'!R461,"AAAAAHf/+as=")</f>
        <v>#VALUE!</v>
      </c>
      <c r="FQ293" t="e">
        <f>AND('PROG FORM COMPLEM'!S461,"AAAAAHf/+aw=")</f>
        <v>#VALUE!</v>
      </c>
      <c r="FR293" t="e">
        <f>AND('PROG FORM COMPLEM'!T461,"AAAAAHf/+a0=")</f>
        <v>#VALUE!</v>
      </c>
      <c r="FS293" t="e">
        <f>AND('PROG FORM COMPLEM'!U461,"AAAAAHf/+a4=")</f>
        <v>#VALUE!</v>
      </c>
      <c r="FT293" t="e">
        <f>AND('PROG FORM COMPLEM'!V461,"AAAAAHf/+a8=")</f>
        <v>#VALUE!</v>
      </c>
      <c r="FU293" t="e">
        <f>AND('PROG FORM COMPLEM'!W461,"AAAAAHf/+bA=")</f>
        <v>#VALUE!</v>
      </c>
      <c r="FV293">
        <f>IF('PROG FORM COMPLEM'!462:462,"AAAAAHf/+bE=",0)</f>
        <v>0</v>
      </c>
      <c r="FW293" t="e">
        <f>AND('PROG FORM COMPLEM'!B462,"AAAAAHf/+bI=")</f>
        <v>#VALUE!</v>
      </c>
      <c r="FX293" t="e">
        <f>AND('PROG FORM COMPLEM'!C462,"AAAAAHf/+bM=")</f>
        <v>#VALUE!</v>
      </c>
      <c r="FY293" t="e">
        <f>AND('PROG FORM COMPLEM'!D462,"AAAAAHf/+bQ=")</f>
        <v>#VALUE!</v>
      </c>
      <c r="FZ293" t="e">
        <f>AND('PROG FORM COMPLEM'!E462,"AAAAAHf/+bU=")</f>
        <v>#VALUE!</v>
      </c>
      <c r="GA293" t="e">
        <f>AND('PROG FORM COMPLEM'!F462,"AAAAAHf/+bY=")</f>
        <v>#VALUE!</v>
      </c>
      <c r="GB293" t="e">
        <f>AND('PROG FORM COMPLEM'!G462,"AAAAAHf/+bc=")</f>
        <v>#VALUE!</v>
      </c>
      <c r="GC293" t="e">
        <f>AND('PROG FORM COMPLEM'!H462,"AAAAAHf/+bg=")</f>
        <v>#VALUE!</v>
      </c>
      <c r="GD293" t="e">
        <f>AND('PROG FORM COMPLEM'!I462,"AAAAAHf/+bk=")</f>
        <v>#VALUE!</v>
      </c>
      <c r="GE293" t="e">
        <f>AND('PROG FORM COMPLEM'!J462,"AAAAAHf/+bo=")</f>
        <v>#VALUE!</v>
      </c>
      <c r="GF293" t="e">
        <f>AND('PROG FORM COMPLEM'!K462,"AAAAAHf/+bs=")</f>
        <v>#VALUE!</v>
      </c>
      <c r="GG293" t="e">
        <f>AND('PROG FORM COMPLEM'!L462,"AAAAAHf/+bw=")</f>
        <v>#VALUE!</v>
      </c>
      <c r="GH293" t="e">
        <f>AND('PROG FORM COMPLEM'!M462,"AAAAAHf/+b0=")</f>
        <v>#VALUE!</v>
      </c>
      <c r="GI293" t="e">
        <f>AND('PROG FORM COMPLEM'!N462,"AAAAAHf/+b4=")</f>
        <v>#VALUE!</v>
      </c>
      <c r="GJ293" t="e">
        <f>AND('PROG FORM COMPLEM'!O462,"AAAAAHf/+b8=")</f>
        <v>#VALUE!</v>
      </c>
      <c r="GK293" t="e">
        <f>AND('PROG FORM COMPLEM'!P462,"AAAAAHf/+cA=")</f>
        <v>#VALUE!</v>
      </c>
      <c r="GL293" t="e">
        <f>AND('PROG FORM COMPLEM'!Q462,"AAAAAHf/+cE=")</f>
        <v>#VALUE!</v>
      </c>
      <c r="GM293" t="e">
        <f>AND('PROG FORM COMPLEM'!R462,"AAAAAHf/+cI=")</f>
        <v>#VALUE!</v>
      </c>
      <c r="GN293" t="e">
        <f>AND('PROG FORM COMPLEM'!S462,"AAAAAHf/+cM=")</f>
        <v>#VALUE!</v>
      </c>
      <c r="GO293" t="e">
        <f>AND('PROG FORM COMPLEM'!T462,"AAAAAHf/+cQ=")</f>
        <v>#VALUE!</v>
      </c>
      <c r="GP293" t="e">
        <f>AND('PROG FORM COMPLEM'!U462,"AAAAAHf/+cU=")</f>
        <v>#VALUE!</v>
      </c>
      <c r="GQ293" t="e">
        <f>AND('PROG FORM COMPLEM'!V462,"AAAAAHf/+cY=")</f>
        <v>#VALUE!</v>
      </c>
      <c r="GR293" t="e">
        <f>AND('PROG FORM COMPLEM'!W462,"AAAAAHf/+cc=")</f>
        <v>#VALUE!</v>
      </c>
      <c r="GS293">
        <f>IF('PROG FORM COMPLEM'!463:463,"AAAAAHf/+cg=",0)</f>
        <v>0</v>
      </c>
      <c r="GT293" t="e">
        <f>AND('PROG FORM COMPLEM'!B463,"AAAAAHf/+ck=")</f>
        <v>#VALUE!</v>
      </c>
      <c r="GU293" t="e">
        <f>AND('PROG FORM COMPLEM'!C463,"AAAAAHf/+co=")</f>
        <v>#VALUE!</v>
      </c>
      <c r="GV293" t="e">
        <f>AND('PROG FORM COMPLEM'!D463,"AAAAAHf/+cs=")</f>
        <v>#VALUE!</v>
      </c>
      <c r="GW293" t="e">
        <f>AND('PROG FORM COMPLEM'!E463,"AAAAAHf/+cw=")</f>
        <v>#VALUE!</v>
      </c>
      <c r="GX293" t="e">
        <f>AND('PROG FORM COMPLEM'!F463,"AAAAAHf/+c0=")</f>
        <v>#VALUE!</v>
      </c>
      <c r="GY293" t="e">
        <f>AND('PROG FORM COMPLEM'!G463,"AAAAAHf/+c4=")</f>
        <v>#VALUE!</v>
      </c>
      <c r="GZ293" t="e">
        <f>AND('PROG FORM COMPLEM'!H463,"AAAAAHf/+c8=")</f>
        <v>#VALUE!</v>
      </c>
      <c r="HA293" t="e">
        <f>AND('PROG FORM COMPLEM'!I463,"AAAAAHf/+dA=")</f>
        <v>#VALUE!</v>
      </c>
      <c r="HB293" t="e">
        <f>AND('PROG FORM COMPLEM'!J463,"AAAAAHf/+dE=")</f>
        <v>#VALUE!</v>
      </c>
      <c r="HC293" t="e">
        <f>AND('PROG FORM COMPLEM'!K463,"AAAAAHf/+dI=")</f>
        <v>#VALUE!</v>
      </c>
      <c r="HD293" t="e">
        <f>AND('PROG FORM COMPLEM'!L463,"AAAAAHf/+dM=")</f>
        <v>#VALUE!</v>
      </c>
      <c r="HE293" t="e">
        <f>AND('PROG FORM COMPLEM'!M463,"AAAAAHf/+dQ=")</f>
        <v>#VALUE!</v>
      </c>
      <c r="HF293" t="e">
        <f>AND('PROG FORM COMPLEM'!N463,"AAAAAHf/+dU=")</f>
        <v>#VALUE!</v>
      </c>
      <c r="HG293" t="e">
        <f>AND('PROG FORM COMPLEM'!O463,"AAAAAHf/+dY=")</f>
        <v>#VALUE!</v>
      </c>
      <c r="HH293" t="e">
        <f>AND('PROG FORM COMPLEM'!P463,"AAAAAHf/+dc=")</f>
        <v>#VALUE!</v>
      </c>
      <c r="HI293" t="e">
        <f>AND('PROG FORM COMPLEM'!Q463,"AAAAAHf/+dg=")</f>
        <v>#VALUE!</v>
      </c>
      <c r="HJ293" t="e">
        <f>AND('PROG FORM COMPLEM'!R463,"AAAAAHf/+dk=")</f>
        <v>#VALUE!</v>
      </c>
      <c r="HK293" t="e">
        <f>AND('PROG FORM COMPLEM'!S463,"AAAAAHf/+do=")</f>
        <v>#VALUE!</v>
      </c>
      <c r="HL293" t="e">
        <f>AND('PROG FORM COMPLEM'!T463,"AAAAAHf/+ds=")</f>
        <v>#VALUE!</v>
      </c>
      <c r="HM293" t="e">
        <f>AND('PROG FORM COMPLEM'!U463,"AAAAAHf/+dw=")</f>
        <v>#VALUE!</v>
      </c>
      <c r="HN293" t="e">
        <f>AND('PROG FORM COMPLEM'!V463,"AAAAAHf/+d0=")</f>
        <v>#VALUE!</v>
      </c>
      <c r="HO293" t="e">
        <f>AND('PROG FORM COMPLEM'!W463,"AAAAAHf/+d4=")</f>
        <v>#VALUE!</v>
      </c>
      <c r="HP293">
        <f>IF('PROG FORM COMPLEM'!464:464,"AAAAAHf/+d8=",0)</f>
        <v>0</v>
      </c>
      <c r="HQ293" t="e">
        <f>AND('PROG FORM COMPLEM'!B464,"AAAAAHf/+eA=")</f>
        <v>#VALUE!</v>
      </c>
      <c r="HR293" t="e">
        <f>AND('PROG FORM COMPLEM'!C464,"AAAAAHf/+eE=")</f>
        <v>#VALUE!</v>
      </c>
      <c r="HS293" t="e">
        <f>AND('PROG FORM COMPLEM'!D464,"AAAAAHf/+eI=")</f>
        <v>#VALUE!</v>
      </c>
      <c r="HT293" t="e">
        <f>AND('PROG FORM COMPLEM'!E464,"AAAAAHf/+eM=")</f>
        <v>#VALUE!</v>
      </c>
      <c r="HU293" t="e">
        <f>AND('PROG FORM COMPLEM'!F464,"AAAAAHf/+eQ=")</f>
        <v>#VALUE!</v>
      </c>
      <c r="HV293" t="e">
        <f>AND('PROG FORM COMPLEM'!G464,"AAAAAHf/+eU=")</f>
        <v>#VALUE!</v>
      </c>
      <c r="HW293" t="e">
        <f>AND('PROG FORM COMPLEM'!H464,"AAAAAHf/+eY=")</f>
        <v>#VALUE!</v>
      </c>
      <c r="HX293" t="e">
        <f>AND('PROG FORM COMPLEM'!I464,"AAAAAHf/+ec=")</f>
        <v>#VALUE!</v>
      </c>
      <c r="HY293" t="e">
        <f>AND('PROG FORM COMPLEM'!J464,"AAAAAHf/+eg=")</f>
        <v>#VALUE!</v>
      </c>
      <c r="HZ293" t="e">
        <f>AND('PROG FORM COMPLEM'!K464,"AAAAAHf/+ek=")</f>
        <v>#VALUE!</v>
      </c>
      <c r="IA293" t="e">
        <f>AND('PROG FORM COMPLEM'!L464,"AAAAAHf/+eo=")</f>
        <v>#VALUE!</v>
      </c>
      <c r="IB293" t="e">
        <f>AND('PROG FORM COMPLEM'!M464,"AAAAAHf/+es=")</f>
        <v>#VALUE!</v>
      </c>
      <c r="IC293" t="e">
        <f>AND('PROG FORM COMPLEM'!N464,"AAAAAHf/+ew=")</f>
        <v>#VALUE!</v>
      </c>
      <c r="ID293" t="e">
        <f>AND('PROG FORM COMPLEM'!O464,"AAAAAHf/+e0=")</f>
        <v>#VALUE!</v>
      </c>
      <c r="IE293" t="e">
        <f>AND('PROG FORM COMPLEM'!P464,"AAAAAHf/+e4=")</f>
        <v>#VALUE!</v>
      </c>
      <c r="IF293" t="e">
        <f>AND('PROG FORM COMPLEM'!Q464,"AAAAAHf/+e8=")</f>
        <v>#VALUE!</v>
      </c>
      <c r="IG293" t="e">
        <f>AND('PROG FORM COMPLEM'!R464,"AAAAAHf/+fA=")</f>
        <v>#VALUE!</v>
      </c>
      <c r="IH293" t="e">
        <f>AND('PROG FORM COMPLEM'!S464,"AAAAAHf/+fE=")</f>
        <v>#VALUE!</v>
      </c>
      <c r="II293" t="e">
        <f>AND('PROG FORM COMPLEM'!T464,"AAAAAHf/+fI=")</f>
        <v>#VALUE!</v>
      </c>
      <c r="IJ293" t="e">
        <f>AND('PROG FORM COMPLEM'!U464,"AAAAAHf/+fM=")</f>
        <v>#VALUE!</v>
      </c>
      <c r="IK293" t="e">
        <f>AND('PROG FORM COMPLEM'!V464,"AAAAAHf/+fQ=")</f>
        <v>#VALUE!</v>
      </c>
      <c r="IL293" t="e">
        <f>AND('PROG FORM COMPLEM'!W464,"AAAAAHf/+fU=")</f>
        <v>#VALUE!</v>
      </c>
      <c r="IM293">
        <f>IF('PROG FORM COMPLEM'!465:465,"AAAAAHf/+fY=",0)</f>
        <v>0</v>
      </c>
      <c r="IN293" t="e">
        <f>AND('PROG FORM COMPLEM'!B465,"AAAAAHf/+fc=")</f>
        <v>#VALUE!</v>
      </c>
      <c r="IO293" t="e">
        <f>AND('PROG FORM COMPLEM'!C465,"AAAAAHf/+fg=")</f>
        <v>#VALUE!</v>
      </c>
      <c r="IP293" t="e">
        <f>AND('PROG FORM COMPLEM'!D465,"AAAAAHf/+fk=")</f>
        <v>#VALUE!</v>
      </c>
      <c r="IQ293" t="e">
        <f>AND('PROG FORM COMPLEM'!E465,"AAAAAHf/+fo=")</f>
        <v>#VALUE!</v>
      </c>
      <c r="IR293" t="e">
        <f>AND('PROG FORM COMPLEM'!F465,"AAAAAHf/+fs=")</f>
        <v>#VALUE!</v>
      </c>
      <c r="IS293" t="e">
        <f>AND('PROG FORM COMPLEM'!G465,"AAAAAHf/+fw=")</f>
        <v>#VALUE!</v>
      </c>
      <c r="IT293" t="e">
        <f>AND('PROG FORM COMPLEM'!H465,"AAAAAHf/+f0=")</f>
        <v>#VALUE!</v>
      </c>
      <c r="IU293" t="e">
        <f>AND('PROG FORM COMPLEM'!I465,"AAAAAHf/+f4=")</f>
        <v>#VALUE!</v>
      </c>
      <c r="IV293" t="e">
        <f>AND('PROG FORM COMPLEM'!J465,"AAAAAHf/+f8=")</f>
        <v>#VALUE!</v>
      </c>
    </row>
    <row r="294" spans="1:256" x14ac:dyDescent="0.2">
      <c r="A294" t="e">
        <f>AND('PROG FORM COMPLEM'!K465,"AAAAAH879gA=")</f>
        <v>#VALUE!</v>
      </c>
      <c r="B294" t="e">
        <f>AND('PROG FORM COMPLEM'!L465,"AAAAAH879gE=")</f>
        <v>#VALUE!</v>
      </c>
      <c r="C294" t="e">
        <f>AND('PROG FORM COMPLEM'!M465,"AAAAAH879gI=")</f>
        <v>#VALUE!</v>
      </c>
      <c r="D294" t="e">
        <f>AND('PROG FORM COMPLEM'!N465,"AAAAAH879gM=")</f>
        <v>#VALUE!</v>
      </c>
      <c r="E294" t="e">
        <f>AND('PROG FORM COMPLEM'!O465,"AAAAAH879gQ=")</f>
        <v>#VALUE!</v>
      </c>
      <c r="F294" t="e">
        <f>AND('PROG FORM COMPLEM'!P465,"AAAAAH879gU=")</f>
        <v>#VALUE!</v>
      </c>
      <c r="G294" t="e">
        <f>AND('PROG FORM COMPLEM'!Q465,"AAAAAH879gY=")</f>
        <v>#VALUE!</v>
      </c>
      <c r="H294" t="e">
        <f>AND('PROG FORM COMPLEM'!R465,"AAAAAH879gc=")</f>
        <v>#VALUE!</v>
      </c>
      <c r="I294" t="e">
        <f>AND('PROG FORM COMPLEM'!S465,"AAAAAH879gg=")</f>
        <v>#VALUE!</v>
      </c>
      <c r="J294" t="e">
        <f>AND('PROG FORM COMPLEM'!T465,"AAAAAH879gk=")</f>
        <v>#VALUE!</v>
      </c>
      <c r="K294" t="e">
        <f>AND('PROG FORM COMPLEM'!U465,"AAAAAH879go=")</f>
        <v>#VALUE!</v>
      </c>
      <c r="L294" t="e">
        <f>AND('PROG FORM COMPLEM'!V465,"AAAAAH879gs=")</f>
        <v>#VALUE!</v>
      </c>
      <c r="M294" t="e">
        <f>AND('PROG FORM COMPLEM'!W465,"AAAAAH879gw=")</f>
        <v>#VALUE!</v>
      </c>
      <c r="N294">
        <f>IF('PROG FORM COMPLEM'!466:466,"AAAAAH879g0=",0)</f>
        <v>0</v>
      </c>
      <c r="O294" t="e">
        <f>AND('PROG FORM COMPLEM'!B466,"AAAAAH879g4=")</f>
        <v>#VALUE!</v>
      </c>
      <c r="P294" t="e">
        <f>AND('PROG FORM COMPLEM'!C466,"AAAAAH879g8=")</f>
        <v>#VALUE!</v>
      </c>
      <c r="Q294" t="e">
        <f>AND('PROG FORM COMPLEM'!D466,"AAAAAH879hA=")</f>
        <v>#VALUE!</v>
      </c>
      <c r="R294" t="e">
        <f>AND('PROG FORM COMPLEM'!E466,"AAAAAH879hE=")</f>
        <v>#VALUE!</v>
      </c>
      <c r="S294" t="e">
        <f>AND('PROG FORM COMPLEM'!F466,"AAAAAH879hI=")</f>
        <v>#VALUE!</v>
      </c>
      <c r="T294" t="e">
        <f>AND('PROG FORM COMPLEM'!G466,"AAAAAH879hM=")</f>
        <v>#VALUE!</v>
      </c>
      <c r="U294" t="e">
        <f>AND('PROG FORM COMPLEM'!H466,"AAAAAH879hQ=")</f>
        <v>#VALUE!</v>
      </c>
      <c r="V294" t="e">
        <f>AND('PROG FORM COMPLEM'!I466,"AAAAAH879hU=")</f>
        <v>#VALUE!</v>
      </c>
      <c r="W294" t="e">
        <f>AND('PROG FORM COMPLEM'!J466,"AAAAAH879hY=")</f>
        <v>#VALUE!</v>
      </c>
      <c r="X294" t="e">
        <f>AND('PROG FORM COMPLEM'!K466,"AAAAAH879hc=")</f>
        <v>#VALUE!</v>
      </c>
      <c r="Y294" t="e">
        <f>AND('PROG FORM COMPLEM'!L466,"AAAAAH879hg=")</f>
        <v>#VALUE!</v>
      </c>
      <c r="Z294" t="e">
        <f>AND('PROG FORM COMPLEM'!M466,"AAAAAH879hk=")</f>
        <v>#VALUE!</v>
      </c>
      <c r="AA294" t="e">
        <f>AND('PROG FORM COMPLEM'!N466,"AAAAAH879ho=")</f>
        <v>#VALUE!</v>
      </c>
      <c r="AB294" t="e">
        <f>AND('PROG FORM COMPLEM'!O466,"AAAAAH879hs=")</f>
        <v>#VALUE!</v>
      </c>
      <c r="AC294" t="e">
        <f>AND('PROG FORM COMPLEM'!P466,"AAAAAH879hw=")</f>
        <v>#VALUE!</v>
      </c>
      <c r="AD294" t="e">
        <f>AND('PROG FORM COMPLEM'!Q466,"AAAAAH879h0=")</f>
        <v>#VALUE!</v>
      </c>
      <c r="AE294" t="e">
        <f>AND('PROG FORM COMPLEM'!R466,"AAAAAH879h4=")</f>
        <v>#VALUE!</v>
      </c>
      <c r="AF294" t="e">
        <f>AND('PROG FORM COMPLEM'!S466,"AAAAAH879h8=")</f>
        <v>#VALUE!</v>
      </c>
      <c r="AG294" t="e">
        <f>AND('PROG FORM COMPLEM'!T466,"AAAAAH879iA=")</f>
        <v>#VALUE!</v>
      </c>
      <c r="AH294" t="e">
        <f>AND('PROG FORM COMPLEM'!U466,"AAAAAH879iE=")</f>
        <v>#VALUE!</v>
      </c>
      <c r="AI294" t="e">
        <f>AND('PROG FORM COMPLEM'!V466,"AAAAAH879iI=")</f>
        <v>#VALUE!</v>
      </c>
      <c r="AJ294" t="e">
        <f>AND('PROG FORM COMPLEM'!W466,"AAAAAH879iM=")</f>
        <v>#VALUE!</v>
      </c>
      <c r="AK294">
        <f>IF('PROG FORM COMPLEM'!467:467,"AAAAAH879iQ=",0)</f>
        <v>0</v>
      </c>
      <c r="AL294" t="e">
        <f>AND('PROG FORM COMPLEM'!B467,"AAAAAH879iU=")</f>
        <v>#VALUE!</v>
      </c>
      <c r="AM294" t="e">
        <f>AND('PROG FORM COMPLEM'!C467,"AAAAAH879iY=")</f>
        <v>#VALUE!</v>
      </c>
      <c r="AN294" t="e">
        <f>AND('PROG FORM COMPLEM'!D467,"AAAAAH879ic=")</f>
        <v>#VALUE!</v>
      </c>
      <c r="AO294" t="e">
        <f>AND('PROG FORM COMPLEM'!E467,"AAAAAH879ig=")</f>
        <v>#VALUE!</v>
      </c>
      <c r="AP294" t="e">
        <f>AND('PROG FORM COMPLEM'!F467,"AAAAAH879ik=")</f>
        <v>#VALUE!</v>
      </c>
      <c r="AQ294" t="e">
        <f>AND('PROG FORM COMPLEM'!G467,"AAAAAH879io=")</f>
        <v>#VALUE!</v>
      </c>
      <c r="AR294" t="e">
        <f>AND('PROG FORM COMPLEM'!H467,"AAAAAH879is=")</f>
        <v>#VALUE!</v>
      </c>
      <c r="AS294" t="e">
        <f>AND('PROG FORM COMPLEM'!I467,"AAAAAH879iw=")</f>
        <v>#VALUE!</v>
      </c>
      <c r="AT294" t="e">
        <f>AND('PROG FORM COMPLEM'!J467,"AAAAAH879i0=")</f>
        <v>#VALUE!</v>
      </c>
      <c r="AU294" t="e">
        <f>AND('PROG FORM COMPLEM'!K467,"AAAAAH879i4=")</f>
        <v>#VALUE!</v>
      </c>
      <c r="AV294" t="e">
        <f>AND('PROG FORM COMPLEM'!L467,"AAAAAH879i8=")</f>
        <v>#VALUE!</v>
      </c>
      <c r="AW294" t="e">
        <f>AND('PROG FORM COMPLEM'!M467,"AAAAAH879jA=")</f>
        <v>#VALUE!</v>
      </c>
      <c r="AX294" t="e">
        <f>AND('PROG FORM COMPLEM'!N467,"AAAAAH879jE=")</f>
        <v>#VALUE!</v>
      </c>
      <c r="AY294" t="e">
        <f>AND('PROG FORM COMPLEM'!O467,"AAAAAH879jI=")</f>
        <v>#VALUE!</v>
      </c>
      <c r="AZ294" t="e">
        <f>AND('PROG FORM COMPLEM'!P467,"AAAAAH879jM=")</f>
        <v>#VALUE!</v>
      </c>
      <c r="BA294" t="e">
        <f>AND('PROG FORM COMPLEM'!Q467,"AAAAAH879jQ=")</f>
        <v>#VALUE!</v>
      </c>
      <c r="BB294" t="e">
        <f>AND('PROG FORM COMPLEM'!R467,"AAAAAH879jU=")</f>
        <v>#VALUE!</v>
      </c>
      <c r="BC294" t="e">
        <f>AND('PROG FORM COMPLEM'!S467,"AAAAAH879jY=")</f>
        <v>#VALUE!</v>
      </c>
      <c r="BD294" t="e">
        <f>AND('PROG FORM COMPLEM'!T467,"AAAAAH879jc=")</f>
        <v>#VALUE!</v>
      </c>
      <c r="BE294" t="e">
        <f>AND('PROG FORM COMPLEM'!U467,"AAAAAH879jg=")</f>
        <v>#VALUE!</v>
      </c>
      <c r="BF294" t="e">
        <f>AND('PROG FORM COMPLEM'!V467,"AAAAAH879jk=")</f>
        <v>#VALUE!</v>
      </c>
      <c r="BG294" t="e">
        <f>AND('PROG FORM COMPLEM'!W467,"AAAAAH879jo=")</f>
        <v>#VALUE!</v>
      </c>
      <c r="BH294">
        <f>IF('PROG FORM COMPLEM'!468:468,"AAAAAH879js=",0)</f>
        <v>0</v>
      </c>
      <c r="BI294" t="e">
        <f>AND('PROG FORM COMPLEM'!B468,"AAAAAH879jw=")</f>
        <v>#VALUE!</v>
      </c>
      <c r="BJ294" t="e">
        <f>AND('PROG FORM COMPLEM'!C468,"AAAAAH879j0=")</f>
        <v>#VALUE!</v>
      </c>
      <c r="BK294" t="e">
        <f>AND('PROG FORM COMPLEM'!D468,"AAAAAH879j4=")</f>
        <v>#VALUE!</v>
      </c>
      <c r="BL294" t="e">
        <f>AND('PROG FORM COMPLEM'!E468,"AAAAAH879j8=")</f>
        <v>#VALUE!</v>
      </c>
      <c r="BM294" t="e">
        <f>AND('PROG FORM COMPLEM'!F468,"AAAAAH879kA=")</f>
        <v>#VALUE!</v>
      </c>
      <c r="BN294" t="e">
        <f>AND('PROG FORM COMPLEM'!G468,"AAAAAH879kE=")</f>
        <v>#VALUE!</v>
      </c>
      <c r="BO294" t="e">
        <f>AND('PROG FORM COMPLEM'!H468,"AAAAAH879kI=")</f>
        <v>#VALUE!</v>
      </c>
      <c r="BP294" t="e">
        <f>AND('PROG FORM COMPLEM'!I468,"AAAAAH879kM=")</f>
        <v>#VALUE!</v>
      </c>
      <c r="BQ294" t="e">
        <f>AND('PROG FORM COMPLEM'!J468,"AAAAAH879kQ=")</f>
        <v>#VALUE!</v>
      </c>
      <c r="BR294" t="e">
        <f>AND('PROG FORM COMPLEM'!K468,"AAAAAH879kU=")</f>
        <v>#VALUE!</v>
      </c>
      <c r="BS294" t="e">
        <f>AND('PROG FORM COMPLEM'!L468,"AAAAAH879kY=")</f>
        <v>#VALUE!</v>
      </c>
      <c r="BT294" t="e">
        <f>AND('PROG FORM COMPLEM'!M468,"AAAAAH879kc=")</f>
        <v>#VALUE!</v>
      </c>
      <c r="BU294" t="e">
        <f>AND('PROG FORM COMPLEM'!N468,"AAAAAH879kg=")</f>
        <v>#VALUE!</v>
      </c>
      <c r="BV294" t="e">
        <f>AND('PROG FORM COMPLEM'!O468,"AAAAAH879kk=")</f>
        <v>#VALUE!</v>
      </c>
      <c r="BW294" t="e">
        <f>AND('PROG FORM COMPLEM'!P468,"AAAAAH879ko=")</f>
        <v>#VALUE!</v>
      </c>
      <c r="BX294" t="e">
        <f>AND('PROG FORM COMPLEM'!Q468,"AAAAAH879ks=")</f>
        <v>#VALUE!</v>
      </c>
      <c r="BY294" t="e">
        <f>AND('PROG FORM COMPLEM'!R468,"AAAAAH879kw=")</f>
        <v>#VALUE!</v>
      </c>
      <c r="BZ294" t="e">
        <f>AND('PROG FORM COMPLEM'!S468,"AAAAAH879k0=")</f>
        <v>#VALUE!</v>
      </c>
      <c r="CA294" t="e">
        <f>AND('PROG FORM COMPLEM'!T468,"AAAAAH879k4=")</f>
        <v>#VALUE!</v>
      </c>
      <c r="CB294" t="e">
        <f>AND('PROG FORM COMPLEM'!U468,"AAAAAH879k8=")</f>
        <v>#VALUE!</v>
      </c>
      <c r="CC294" t="e">
        <f>AND('PROG FORM COMPLEM'!V468,"AAAAAH879lA=")</f>
        <v>#VALUE!</v>
      </c>
      <c r="CD294" t="e">
        <f>AND('PROG FORM COMPLEM'!W468,"AAAAAH879lE=")</f>
        <v>#VALUE!</v>
      </c>
      <c r="CE294">
        <f>IF('PROG FORM COMPLEM'!469:469,"AAAAAH879lI=",0)</f>
        <v>0</v>
      </c>
      <c r="CF294" t="e">
        <f>AND('PROG FORM COMPLEM'!B469,"AAAAAH879lM=")</f>
        <v>#VALUE!</v>
      </c>
      <c r="CG294" t="e">
        <f>AND('PROG FORM COMPLEM'!C469,"AAAAAH879lQ=")</f>
        <v>#VALUE!</v>
      </c>
      <c r="CH294" t="e">
        <f>AND('PROG FORM COMPLEM'!D469,"AAAAAH879lU=")</f>
        <v>#VALUE!</v>
      </c>
      <c r="CI294" t="e">
        <f>AND('PROG FORM COMPLEM'!E469,"AAAAAH879lY=")</f>
        <v>#VALUE!</v>
      </c>
      <c r="CJ294" t="e">
        <f>AND('PROG FORM COMPLEM'!F469,"AAAAAH879lc=")</f>
        <v>#VALUE!</v>
      </c>
      <c r="CK294" t="e">
        <f>AND('PROG FORM COMPLEM'!G469,"AAAAAH879lg=")</f>
        <v>#VALUE!</v>
      </c>
      <c r="CL294" t="e">
        <f>AND('PROG FORM COMPLEM'!H469,"AAAAAH879lk=")</f>
        <v>#VALUE!</v>
      </c>
      <c r="CM294" t="e">
        <f>AND('PROG FORM COMPLEM'!I469,"AAAAAH879lo=")</f>
        <v>#VALUE!</v>
      </c>
      <c r="CN294" t="e">
        <f>AND('PROG FORM COMPLEM'!J469,"AAAAAH879ls=")</f>
        <v>#VALUE!</v>
      </c>
      <c r="CO294" t="e">
        <f>AND('PROG FORM COMPLEM'!K469,"AAAAAH879lw=")</f>
        <v>#VALUE!</v>
      </c>
      <c r="CP294" t="e">
        <f>AND('PROG FORM COMPLEM'!L469,"AAAAAH879l0=")</f>
        <v>#VALUE!</v>
      </c>
      <c r="CQ294" t="e">
        <f>AND('PROG FORM COMPLEM'!M469,"AAAAAH879l4=")</f>
        <v>#VALUE!</v>
      </c>
      <c r="CR294" t="e">
        <f>AND('PROG FORM COMPLEM'!N469,"AAAAAH879l8=")</f>
        <v>#VALUE!</v>
      </c>
      <c r="CS294" t="e">
        <f>AND('PROG FORM COMPLEM'!O469,"AAAAAH879mA=")</f>
        <v>#VALUE!</v>
      </c>
      <c r="CT294" t="e">
        <f>AND('PROG FORM COMPLEM'!P469,"AAAAAH879mE=")</f>
        <v>#VALUE!</v>
      </c>
      <c r="CU294" t="e">
        <f>AND('PROG FORM COMPLEM'!Q469,"AAAAAH879mI=")</f>
        <v>#VALUE!</v>
      </c>
      <c r="CV294" t="e">
        <f>AND('PROG FORM COMPLEM'!R469,"AAAAAH879mM=")</f>
        <v>#VALUE!</v>
      </c>
      <c r="CW294" t="e">
        <f>AND('PROG FORM COMPLEM'!S469,"AAAAAH879mQ=")</f>
        <v>#VALUE!</v>
      </c>
      <c r="CX294" t="e">
        <f>AND('PROG FORM COMPLEM'!T469,"AAAAAH879mU=")</f>
        <v>#VALUE!</v>
      </c>
      <c r="CY294" t="e">
        <f>AND('PROG FORM COMPLEM'!U469,"AAAAAH879mY=")</f>
        <v>#VALUE!</v>
      </c>
      <c r="CZ294" t="e">
        <f>AND('PROG FORM COMPLEM'!V469,"AAAAAH879mc=")</f>
        <v>#VALUE!</v>
      </c>
      <c r="DA294" t="e">
        <f>AND('PROG FORM COMPLEM'!W469,"AAAAAH879mg=")</f>
        <v>#VALUE!</v>
      </c>
      <c r="DB294">
        <f>IF('PROG FORM COMPLEM'!470:470,"AAAAAH879mk=",0)</f>
        <v>0</v>
      </c>
      <c r="DC294" t="e">
        <f>AND('PROG FORM COMPLEM'!B470,"AAAAAH879mo=")</f>
        <v>#VALUE!</v>
      </c>
      <c r="DD294" t="e">
        <f>AND('PROG FORM COMPLEM'!C470,"AAAAAH879ms=")</f>
        <v>#VALUE!</v>
      </c>
      <c r="DE294" t="e">
        <f>AND('PROG FORM COMPLEM'!D470,"AAAAAH879mw=")</f>
        <v>#VALUE!</v>
      </c>
      <c r="DF294" t="e">
        <f>AND('PROG FORM COMPLEM'!E470,"AAAAAH879m0=")</f>
        <v>#VALUE!</v>
      </c>
      <c r="DG294" t="e">
        <f>AND('PROG FORM COMPLEM'!F470,"AAAAAH879m4=")</f>
        <v>#VALUE!</v>
      </c>
      <c r="DH294" t="e">
        <f>AND('PROG FORM COMPLEM'!G470,"AAAAAH879m8=")</f>
        <v>#VALUE!</v>
      </c>
      <c r="DI294" t="e">
        <f>AND('PROG FORM COMPLEM'!H470,"AAAAAH879nA=")</f>
        <v>#VALUE!</v>
      </c>
      <c r="DJ294" t="e">
        <f>AND('PROG FORM COMPLEM'!I470,"AAAAAH879nE=")</f>
        <v>#VALUE!</v>
      </c>
      <c r="DK294" t="e">
        <f>AND('PROG FORM COMPLEM'!J470,"AAAAAH879nI=")</f>
        <v>#VALUE!</v>
      </c>
      <c r="DL294" t="e">
        <f>AND('PROG FORM COMPLEM'!K470,"AAAAAH879nM=")</f>
        <v>#VALUE!</v>
      </c>
      <c r="DM294" t="e">
        <f>AND('PROG FORM COMPLEM'!L470,"AAAAAH879nQ=")</f>
        <v>#VALUE!</v>
      </c>
      <c r="DN294" t="e">
        <f>AND('PROG FORM COMPLEM'!M470,"AAAAAH879nU=")</f>
        <v>#VALUE!</v>
      </c>
      <c r="DO294" t="e">
        <f>AND('PROG FORM COMPLEM'!N470,"AAAAAH879nY=")</f>
        <v>#VALUE!</v>
      </c>
      <c r="DP294" t="e">
        <f>AND('PROG FORM COMPLEM'!O470,"AAAAAH879nc=")</f>
        <v>#VALUE!</v>
      </c>
      <c r="DQ294" t="e">
        <f>AND('PROG FORM COMPLEM'!P470,"AAAAAH879ng=")</f>
        <v>#VALUE!</v>
      </c>
      <c r="DR294" t="e">
        <f>AND('PROG FORM COMPLEM'!Q470,"AAAAAH879nk=")</f>
        <v>#VALUE!</v>
      </c>
      <c r="DS294" t="e">
        <f>AND('PROG FORM COMPLEM'!R470,"AAAAAH879no=")</f>
        <v>#VALUE!</v>
      </c>
      <c r="DT294" t="e">
        <f>AND('PROG FORM COMPLEM'!S470,"AAAAAH879ns=")</f>
        <v>#VALUE!</v>
      </c>
      <c r="DU294" t="e">
        <f>AND('PROG FORM COMPLEM'!T470,"AAAAAH879nw=")</f>
        <v>#VALUE!</v>
      </c>
      <c r="DV294" t="e">
        <f>AND('PROG FORM COMPLEM'!U470,"AAAAAH879n0=")</f>
        <v>#VALUE!</v>
      </c>
      <c r="DW294" t="e">
        <f>AND('PROG FORM COMPLEM'!V470,"AAAAAH879n4=")</f>
        <v>#VALUE!</v>
      </c>
      <c r="DX294" t="e">
        <f>AND('PROG FORM COMPLEM'!W470,"AAAAAH879n8=")</f>
        <v>#VALUE!</v>
      </c>
      <c r="DY294">
        <f>IF('PROG FORM COMPLEM'!471:471,"AAAAAH879oA=",0)</f>
        <v>0</v>
      </c>
      <c r="DZ294" t="e">
        <f>AND('PROG FORM COMPLEM'!B471,"AAAAAH879oE=")</f>
        <v>#VALUE!</v>
      </c>
      <c r="EA294" t="e">
        <f>AND('PROG FORM COMPLEM'!C471,"AAAAAH879oI=")</f>
        <v>#VALUE!</v>
      </c>
      <c r="EB294" t="e">
        <f>AND('PROG FORM COMPLEM'!D471,"AAAAAH879oM=")</f>
        <v>#VALUE!</v>
      </c>
      <c r="EC294" t="e">
        <f>AND('PROG FORM COMPLEM'!E471,"AAAAAH879oQ=")</f>
        <v>#VALUE!</v>
      </c>
      <c r="ED294" t="e">
        <f>AND('PROG FORM COMPLEM'!F471,"AAAAAH879oU=")</f>
        <v>#VALUE!</v>
      </c>
      <c r="EE294" t="e">
        <f>AND('PROG FORM COMPLEM'!G471,"AAAAAH879oY=")</f>
        <v>#VALUE!</v>
      </c>
      <c r="EF294" t="e">
        <f>AND('PROG FORM COMPLEM'!H471,"AAAAAH879oc=")</f>
        <v>#VALUE!</v>
      </c>
      <c r="EG294" t="e">
        <f>AND('PROG FORM COMPLEM'!I471,"AAAAAH879og=")</f>
        <v>#VALUE!</v>
      </c>
      <c r="EH294" t="e">
        <f>AND('PROG FORM COMPLEM'!J471,"AAAAAH879ok=")</f>
        <v>#VALUE!</v>
      </c>
      <c r="EI294" t="e">
        <f>AND('PROG FORM COMPLEM'!K471,"AAAAAH879oo=")</f>
        <v>#VALUE!</v>
      </c>
      <c r="EJ294" t="e">
        <f>AND('PROG FORM COMPLEM'!L471,"AAAAAH879os=")</f>
        <v>#VALUE!</v>
      </c>
      <c r="EK294" t="e">
        <f>AND('PROG FORM COMPLEM'!M471,"AAAAAH879ow=")</f>
        <v>#VALUE!</v>
      </c>
      <c r="EL294" t="e">
        <f>AND('PROG FORM COMPLEM'!N471,"AAAAAH879o0=")</f>
        <v>#VALUE!</v>
      </c>
      <c r="EM294" t="e">
        <f>AND('PROG FORM COMPLEM'!O471,"AAAAAH879o4=")</f>
        <v>#VALUE!</v>
      </c>
      <c r="EN294" t="e">
        <f>AND('PROG FORM COMPLEM'!P471,"AAAAAH879o8=")</f>
        <v>#VALUE!</v>
      </c>
      <c r="EO294" t="e">
        <f>AND('PROG FORM COMPLEM'!Q471,"AAAAAH879pA=")</f>
        <v>#VALUE!</v>
      </c>
      <c r="EP294" t="e">
        <f>AND('PROG FORM COMPLEM'!R471,"AAAAAH879pE=")</f>
        <v>#VALUE!</v>
      </c>
      <c r="EQ294" t="e">
        <f>AND('PROG FORM COMPLEM'!S471,"AAAAAH879pI=")</f>
        <v>#VALUE!</v>
      </c>
      <c r="ER294" t="e">
        <f>AND('PROG FORM COMPLEM'!T471,"AAAAAH879pM=")</f>
        <v>#VALUE!</v>
      </c>
      <c r="ES294" t="e">
        <f>AND('PROG FORM COMPLEM'!U471,"AAAAAH879pQ=")</f>
        <v>#VALUE!</v>
      </c>
      <c r="ET294" t="e">
        <f>AND('PROG FORM COMPLEM'!V471,"AAAAAH879pU=")</f>
        <v>#VALUE!</v>
      </c>
      <c r="EU294" t="e">
        <f>AND('PROG FORM COMPLEM'!W471,"AAAAAH879pY=")</f>
        <v>#VALUE!</v>
      </c>
      <c r="EV294">
        <f>IF('PROG FORM COMPLEM'!472:472,"AAAAAH879pc=",0)</f>
        <v>0</v>
      </c>
      <c r="EW294" t="e">
        <f>AND('PROG FORM COMPLEM'!B472,"AAAAAH879pg=")</f>
        <v>#VALUE!</v>
      </c>
      <c r="EX294" t="e">
        <f>AND('PROG FORM COMPLEM'!C472,"AAAAAH879pk=")</f>
        <v>#VALUE!</v>
      </c>
      <c r="EY294" t="e">
        <f>AND('PROG FORM COMPLEM'!D472,"AAAAAH879po=")</f>
        <v>#VALUE!</v>
      </c>
      <c r="EZ294" t="e">
        <f>AND('PROG FORM COMPLEM'!E472,"AAAAAH879ps=")</f>
        <v>#VALUE!</v>
      </c>
      <c r="FA294" t="e">
        <f>AND('PROG FORM COMPLEM'!F472,"AAAAAH879pw=")</f>
        <v>#VALUE!</v>
      </c>
      <c r="FB294" t="e">
        <f>AND('PROG FORM COMPLEM'!G472,"AAAAAH879p0=")</f>
        <v>#VALUE!</v>
      </c>
      <c r="FC294" t="e">
        <f>AND('PROG FORM COMPLEM'!H472,"AAAAAH879p4=")</f>
        <v>#VALUE!</v>
      </c>
      <c r="FD294" t="e">
        <f>AND('PROG FORM COMPLEM'!I472,"AAAAAH879p8=")</f>
        <v>#VALUE!</v>
      </c>
      <c r="FE294" t="e">
        <f>AND('PROG FORM COMPLEM'!J472,"AAAAAH879qA=")</f>
        <v>#VALUE!</v>
      </c>
      <c r="FF294" t="e">
        <f>AND('PROG FORM COMPLEM'!K472,"AAAAAH879qE=")</f>
        <v>#VALUE!</v>
      </c>
      <c r="FG294" t="e">
        <f>AND('PROG FORM COMPLEM'!L472,"AAAAAH879qI=")</f>
        <v>#VALUE!</v>
      </c>
      <c r="FH294" t="e">
        <f>AND('PROG FORM COMPLEM'!M472,"AAAAAH879qM=")</f>
        <v>#VALUE!</v>
      </c>
      <c r="FI294" t="e">
        <f>AND('PROG FORM COMPLEM'!N472,"AAAAAH879qQ=")</f>
        <v>#VALUE!</v>
      </c>
      <c r="FJ294" t="e">
        <f>AND('PROG FORM COMPLEM'!O472,"AAAAAH879qU=")</f>
        <v>#VALUE!</v>
      </c>
      <c r="FK294" t="e">
        <f>AND('PROG FORM COMPLEM'!P472,"AAAAAH879qY=")</f>
        <v>#VALUE!</v>
      </c>
      <c r="FL294" t="e">
        <f>AND('PROG FORM COMPLEM'!Q472,"AAAAAH879qc=")</f>
        <v>#VALUE!</v>
      </c>
      <c r="FM294" t="e">
        <f>AND('PROG FORM COMPLEM'!R472,"AAAAAH879qg=")</f>
        <v>#VALUE!</v>
      </c>
      <c r="FN294" t="e">
        <f>AND('PROG FORM COMPLEM'!S472,"AAAAAH879qk=")</f>
        <v>#VALUE!</v>
      </c>
      <c r="FO294" t="e">
        <f>AND('PROG FORM COMPLEM'!T472,"AAAAAH879qo=")</f>
        <v>#VALUE!</v>
      </c>
      <c r="FP294" t="e">
        <f>AND('PROG FORM COMPLEM'!U472,"AAAAAH879qs=")</f>
        <v>#VALUE!</v>
      </c>
      <c r="FQ294" t="e">
        <f>AND('PROG FORM COMPLEM'!V472,"AAAAAH879qw=")</f>
        <v>#VALUE!</v>
      </c>
      <c r="FR294" t="e">
        <f>AND('PROG FORM COMPLEM'!W472,"AAAAAH879q0=")</f>
        <v>#VALUE!</v>
      </c>
      <c r="FS294">
        <f>IF('PROG FORM COMPLEM'!473:473,"AAAAAH879q4=",0)</f>
        <v>0</v>
      </c>
      <c r="FT294" t="e">
        <f>AND('PROG FORM COMPLEM'!B473,"AAAAAH879q8=")</f>
        <v>#VALUE!</v>
      </c>
      <c r="FU294" t="e">
        <f>AND('PROG FORM COMPLEM'!C473,"AAAAAH879rA=")</f>
        <v>#VALUE!</v>
      </c>
      <c r="FV294" t="e">
        <f>AND('PROG FORM COMPLEM'!D473,"AAAAAH879rE=")</f>
        <v>#VALUE!</v>
      </c>
      <c r="FW294" t="e">
        <f>AND('PROG FORM COMPLEM'!E473,"AAAAAH879rI=")</f>
        <v>#VALUE!</v>
      </c>
      <c r="FX294" t="e">
        <f>AND('PROG FORM COMPLEM'!F473,"AAAAAH879rM=")</f>
        <v>#VALUE!</v>
      </c>
      <c r="FY294" t="e">
        <f>AND('PROG FORM COMPLEM'!G473,"AAAAAH879rQ=")</f>
        <v>#VALUE!</v>
      </c>
      <c r="FZ294" t="e">
        <f>AND('PROG FORM COMPLEM'!H473,"AAAAAH879rU=")</f>
        <v>#VALUE!</v>
      </c>
      <c r="GA294" t="e">
        <f>AND('PROG FORM COMPLEM'!I473,"AAAAAH879rY=")</f>
        <v>#VALUE!</v>
      </c>
      <c r="GB294" t="e">
        <f>AND('PROG FORM COMPLEM'!J473,"AAAAAH879rc=")</f>
        <v>#VALUE!</v>
      </c>
      <c r="GC294" t="e">
        <f>AND('PROG FORM COMPLEM'!K473,"AAAAAH879rg=")</f>
        <v>#VALUE!</v>
      </c>
      <c r="GD294" t="e">
        <f>AND('PROG FORM COMPLEM'!L473,"AAAAAH879rk=")</f>
        <v>#VALUE!</v>
      </c>
      <c r="GE294" t="e">
        <f>AND('PROG FORM COMPLEM'!M473,"AAAAAH879ro=")</f>
        <v>#VALUE!</v>
      </c>
      <c r="GF294" t="e">
        <f>AND('PROG FORM COMPLEM'!N473,"AAAAAH879rs=")</f>
        <v>#VALUE!</v>
      </c>
      <c r="GG294" t="e">
        <f>AND('PROG FORM COMPLEM'!O473,"AAAAAH879rw=")</f>
        <v>#VALUE!</v>
      </c>
      <c r="GH294" t="e">
        <f>AND('PROG FORM COMPLEM'!P473,"AAAAAH879r0=")</f>
        <v>#VALUE!</v>
      </c>
      <c r="GI294" t="e">
        <f>AND('PROG FORM COMPLEM'!Q473,"AAAAAH879r4=")</f>
        <v>#VALUE!</v>
      </c>
      <c r="GJ294" t="e">
        <f>AND('PROG FORM COMPLEM'!R473,"AAAAAH879r8=")</f>
        <v>#VALUE!</v>
      </c>
      <c r="GK294" t="e">
        <f>AND('PROG FORM COMPLEM'!S473,"AAAAAH879sA=")</f>
        <v>#VALUE!</v>
      </c>
      <c r="GL294" t="e">
        <f>AND('PROG FORM COMPLEM'!T473,"AAAAAH879sE=")</f>
        <v>#VALUE!</v>
      </c>
      <c r="GM294" t="e">
        <f>AND('PROG FORM COMPLEM'!U473,"AAAAAH879sI=")</f>
        <v>#VALUE!</v>
      </c>
      <c r="GN294" t="e">
        <f>AND('PROG FORM COMPLEM'!V473,"AAAAAH879sM=")</f>
        <v>#VALUE!</v>
      </c>
      <c r="GO294" t="e">
        <f>AND('PROG FORM COMPLEM'!W473,"AAAAAH879sQ=")</f>
        <v>#VALUE!</v>
      </c>
      <c r="GP294">
        <f>IF('PROG FORM COMPLEM'!474:474,"AAAAAH879sU=",0)</f>
        <v>0</v>
      </c>
      <c r="GQ294" t="e">
        <f>AND('PROG FORM COMPLEM'!B474,"AAAAAH879sY=")</f>
        <v>#VALUE!</v>
      </c>
      <c r="GR294" t="e">
        <f>AND('PROG FORM COMPLEM'!C474,"AAAAAH879sc=")</f>
        <v>#VALUE!</v>
      </c>
      <c r="GS294" t="e">
        <f>AND('PROG FORM COMPLEM'!D474,"AAAAAH879sg=")</f>
        <v>#VALUE!</v>
      </c>
      <c r="GT294" t="e">
        <f>AND('PROG FORM COMPLEM'!E474,"AAAAAH879sk=")</f>
        <v>#VALUE!</v>
      </c>
      <c r="GU294" t="e">
        <f>AND('PROG FORM COMPLEM'!F474,"AAAAAH879so=")</f>
        <v>#VALUE!</v>
      </c>
      <c r="GV294" t="e">
        <f>AND('PROG FORM COMPLEM'!G474,"AAAAAH879ss=")</f>
        <v>#VALUE!</v>
      </c>
      <c r="GW294" t="e">
        <f>AND('PROG FORM COMPLEM'!H474,"AAAAAH879sw=")</f>
        <v>#VALUE!</v>
      </c>
      <c r="GX294" t="e">
        <f>AND('PROG FORM COMPLEM'!I474,"AAAAAH879s0=")</f>
        <v>#VALUE!</v>
      </c>
      <c r="GY294" t="e">
        <f>AND('PROG FORM COMPLEM'!J474,"AAAAAH879s4=")</f>
        <v>#VALUE!</v>
      </c>
      <c r="GZ294" t="e">
        <f>AND('PROG FORM COMPLEM'!K474,"AAAAAH879s8=")</f>
        <v>#VALUE!</v>
      </c>
      <c r="HA294" t="e">
        <f>AND('PROG FORM COMPLEM'!L474,"AAAAAH879tA=")</f>
        <v>#VALUE!</v>
      </c>
      <c r="HB294" t="e">
        <f>AND('PROG FORM COMPLEM'!M474,"AAAAAH879tE=")</f>
        <v>#VALUE!</v>
      </c>
      <c r="HC294" t="e">
        <f>AND('PROG FORM COMPLEM'!N474,"AAAAAH879tI=")</f>
        <v>#VALUE!</v>
      </c>
      <c r="HD294" t="e">
        <f>AND('PROG FORM COMPLEM'!O474,"AAAAAH879tM=")</f>
        <v>#VALUE!</v>
      </c>
      <c r="HE294" t="e">
        <f>AND('PROG FORM COMPLEM'!P474,"AAAAAH879tQ=")</f>
        <v>#VALUE!</v>
      </c>
      <c r="HF294" t="e">
        <f>AND('PROG FORM COMPLEM'!Q474,"AAAAAH879tU=")</f>
        <v>#VALUE!</v>
      </c>
      <c r="HG294" t="e">
        <f>AND('PROG FORM COMPLEM'!R474,"AAAAAH879tY=")</f>
        <v>#VALUE!</v>
      </c>
      <c r="HH294" t="e">
        <f>AND('PROG FORM COMPLEM'!S474,"AAAAAH879tc=")</f>
        <v>#VALUE!</v>
      </c>
      <c r="HI294" t="e">
        <f>AND('PROG FORM COMPLEM'!T474,"AAAAAH879tg=")</f>
        <v>#VALUE!</v>
      </c>
      <c r="HJ294" t="e">
        <f>AND('PROG FORM COMPLEM'!U474,"AAAAAH879tk=")</f>
        <v>#VALUE!</v>
      </c>
      <c r="HK294" t="e">
        <f>AND('PROG FORM COMPLEM'!V474,"AAAAAH879to=")</f>
        <v>#VALUE!</v>
      </c>
      <c r="HL294" t="e">
        <f>AND('PROG FORM COMPLEM'!W474,"AAAAAH879ts=")</f>
        <v>#VALUE!</v>
      </c>
      <c r="HM294">
        <f>IF('PROG FORM COMPLEM'!475:475,"AAAAAH879tw=",0)</f>
        <v>0</v>
      </c>
      <c r="HN294" t="e">
        <f>AND('PROG FORM COMPLEM'!B475,"AAAAAH879t0=")</f>
        <v>#VALUE!</v>
      </c>
      <c r="HO294" t="e">
        <f>AND('PROG FORM COMPLEM'!C475,"AAAAAH879t4=")</f>
        <v>#VALUE!</v>
      </c>
      <c r="HP294" t="e">
        <f>AND('PROG FORM COMPLEM'!D475,"AAAAAH879t8=")</f>
        <v>#VALUE!</v>
      </c>
      <c r="HQ294" t="e">
        <f>AND('PROG FORM COMPLEM'!E475,"AAAAAH879uA=")</f>
        <v>#VALUE!</v>
      </c>
      <c r="HR294" t="e">
        <f>AND('PROG FORM COMPLEM'!F475,"AAAAAH879uE=")</f>
        <v>#VALUE!</v>
      </c>
      <c r="HS294" t="e">
        <f>AND('PROG FORM COMPLEM'!G475,"AAAAAH879uI=")</f>
        <v>#VALUE!</v>
      </c>
      <c r="HT294" t="e">
        <f>AND('PROG FORM COMPLEM'!H475,"AAAAAH879uM=")</f>
        <v>#VALUE!</v>
      </c>
      <c r="HU294" t="e">
        <f>AND('PROG FORM COMPLEM'!I475,"AAAAAH879uQ=")</f>
        <v>#VALUE!</v>
      </c>
      <c r="HV294" t="e">
        <f>AND('PROG FORM COMPLEM'!J475,"AAAAAH879uU=")</f>
        <v>#VALUE!</v>
      </c>
      <c r="HW294" t="e">
        <f>AND('PROG FORM COMPLEM'!K475,"AAAAAH879uY=")</f>
        <v>#VALUE!</v>
      </c>
      <c r="HX294" t="e">
        <f>AND('PROG FORM COMPLEM'!L475,"AAAAAH879uc=")</f>
        <v>#VALUE!</v>
      </c>
      <c r="HY294" t="e">
        <f>AND('PROG FORM COMPLEM'!M475,"AAAAAH879ug=")</f>
        <v>#VALUE!</v>
      </c>
      <c r="HZ294" t="e">
        <f>AND('PROG FORM COMPLEM'!N475,"AAAAAH879uk=")</f>
        <v>#VALUE!</v>
      </c>
      <c r="IA294" t="e">
        <f>AND('PROG FORM COMPLEM'!O475,"AAAAAH879uo=")</f>
        <v>#VALUE!</v>
      </c>
      <c r="IB294" t="e">
        <f>AND('PROG FORM COMPLEM'!P475,"AAAAAH879us=")</f>
        <v>#VALUE!</v>
      </c>
      <c r="IC294" t="e">
        <f>AND('PROG FORM COMPLEM'!Q475,"AAAAAH879uw=")</f>
        <v>#VALUE!</v>
      </c>
      <c r="ID294" t="e">
        <f>AND('PROG FORM COMPLEM'!R475,"AAAAAH879u0=")</f>
        <v>#VALUE!</v>
      </c>
      <c r="IE294" t="e">
        <f>AND('PROG FORM COMPLEM'!S475,"AAAAAH879u4=")</f>
        <v>#VALUE!</v>
      </c>
      <c r="IF294" t="e">
        <f>AND('PROG FORM COMPLEM'!T475,"AAAAAH879u8=")</f>
        <v>#VALUE!</v>
      </c>
      <c r="IG294" t="e">
        <f>AND('PROG FORM COMPLEM'!U475,"AAAAAH879vA=")</f>
        <v>#VALUE!</v>
      </c>
      <c r="IH294" t="e">
        <f>AND('PROG FORM COMPLEM'!V475,"AAAAAH879vE=")</f>
        <v>#VALUE!</v>
      </c>
      <c r="II294" t="e">
        <f>AND('PROG FORM COMPLEM'!W475,"AAAAAH879vI=")</f>
        <v>#VALUE!</v>
      </c>
      <c r="IJ294">
        <f>IF('PROG FORM COMPLEM'!476:476,"AAAAAH879vM=",0)</f>
        <v>0</v>
      </c>
      <c r="IK294" t="e">
        <f>AND('PROG FORM COMPLEM'!B476,"AAAAAH879vQ=")</f>
        <v>#VALUE!</v>
      </c>
      <c r="IL294" t="e">
        <f>AND('PROG FORM COMPLEM'!C476,"AAAAAH879vU=")</f>
        <v>#VALUE!</v>
      </c>
      <c r="IM294" t="e">
        <f>AND('PROG FORM COMPLEM'!D476,"AAAAAH879vY=")</f>
        <v>#VALUE!</v>
      </c>
      <c r="IN294" t="e">
        <f>AND('PROG FORM COMPLEM'!E476,"AAAAAH879vc=")</f>
        <v>#VALUE!</v>
      </c>
      <c r="IO294" t="e">
        <f>AND('PROG FORM COMPLEM'!F476,"AAAAAH879vg=")</f>
        <v>#VALUE!</v>
      </c>
      <c r="IP294" t="e">
        <f>AND('PROG FORM COMPLEM'!G476,"AAAAAH879vk=")</f>
        <v>#VALUE!</v>
      </c>
      <c r="IQ294" t="e">
        <f>AND('PROG FORM COMPLEM'!H476,"AAAAAH879vo=")</f>
        <v>#VALUE!</v>
      </c>
      <c r="IR294" t="e">
        <f>AND('PROG FORM COMPLEM'!I476,"AAAAAH879vs=")</f>
        <v>#VALUE!</v>
      </c>
      <c r="IS294" t="e">
        <f>AND('PROG FORM COMPLEM'!J476,"AAAAAH879vw=")</f>
        <v>#VALUE!</v>
      </c>
      <c r="IT294" t="e">
        <f>AND('PROG FORM COMPLEM'!K476,"AAAAAH879v0=")</f>
        <v>#VALUE!</v>
      </c>
      <c r="IU294" t="e">
        <f>AND('PROG FORM COMPLEM'!L476,"AAAAAH879v4=")</f>
        <v>#VALUE!</v>
      </c>
      <c r="IV294" t="e">
        <f>AND('PROG FORM COMPLEM'!M476,"AAAAAH879v8=")</f>
        <v>#VALUE!</v>
      </c>
    </row>
    <row r="295" spans="1:256" x14ac:dyDescent="0.2">
      <c r="A295" t="e">
        <f>AND('PROG FORM COMPLEM'!N476,"AAAAADzf/wA=")</f>
        <v>#VALUE!</v>
      </c>
      <c r="B295" t="e">
        <f>AND('PROG FORM COMPLEM'!O476,"AAAAADzf/wE=")</f>
        <v>#VALUE!</v>
      </c>
      <c r="C295" t="e">
        <f>AND('PROG FORM COMPLEM'!P476,"AAAAADzf/wI=")</f>
        <v>#VALUE!</v>
      </c>
      <c r="D295" t="e">
        <f>AND('PROG FORM COMPLEM'!Q476,"AAAAADzf/wM=")</f>
        <v>#VALUE!</v>
      </c>
      <c r="E295" t="e">
        <f>AND('PROG FORM COMPLEM'!R476,"AAAAADzf/wQ=")</f>
        <v>#VALUE!</v>
      </c>
      <c r="F295" t="e">
        <f>AND('PROG FORM COMPLEM'!S476,"AAAAADzf/wU=")</f>
        <v>#VALUE!</v>
      </c>
      <c r="G295" t="e">
        <f>AND('PROG FORM COMPLEM'!T476,"AAAAADzf/wY=")</f>
        <v>#VALUE!</v>
      </c>
      <c r="H295" t="e">
        <f>AND('PROG FORM COMPLEM'!U476,"AAAAADzf/wc=")</f>
        <v>#VALUE!</v>
      </c>
      <c r="I295" t="e">
        <f>AND('PROG FORM COMPLEM'!V476,"AAAAADzf/wg=")</f>
        <v>#VALUE!</v>
      </c>
      <c r="J295" t="e">
        <f>AND('PROG FORM COMPLEM'!W476,"AAAAADzf/wk=")</f>
        <v>#VALUE!</v>
      </c>
      <c r="K295">
        <f>IF('PROG FORM COMPLEM'!477:477,"AAAAADzf/wo=",0)</f>
        <v>0</v>
      </c>
      <c r="L295" t="e">
        <f>AND('PROG FORM COMPLEM'!B477,"AAAAADzf/ws=")</f>
        <v>#VALUE!</v>
      </c>
      <c r="M295" t="e">
        <f>AND('PROG FORM COMPLEM'!C477,"AAAAADzf/ww=")</f>
        <v>#VALUE!</v>
      </c>
      <c r="N295" t="e">
        <f>AND('PROG FORM COMPLEM'!D477,"AAAAADzf/w0=")</f>
        <v>#VALUE!</v>
      </c>
      <c r="O295" t="e">
        <f>AND('PROG FORM COMPLEM'!E477,"AAAAADzf/w4=")</f>
        <v>#VALUE!</v>
      </c>
      <c r="P295" t="e">
        <f>AND('PROG FORM COMPLEM'!F477,"AAAAADzf/w8=")</f>
        <v>#VALUE!</v>
      </c>
      <c r="Q295" t="e">
        <f>AND('PROG FORM COMPLEM'!G477,"AAAAADzf/xA=")</f>
        <v>#VALUE!</v>
      </c>
      <c r="R295" t="e">
        <f>AND('PROG FORM COMPLEM'!H477,"AAAAADzf/xE=")</f>
        <v>#VALUE!</v>
      </c>
      <c r="S295" t="e">
        <f>AND('PROG FORM COMPLEM'!I477,"AAAAADzf/xI=")</f>
        <v>#VALUE!</v>
      </c>
      <c r="T295" t="e">
        <f>AND('PROG FORM COMPLEM'!J477,"AAAAADzf/xM=")</f>
        <v>#VALUE!</v>
      </c>
      <c r="U295" t="e">
        <f>AND('PROG FORM COMPLEM'!K477,"AAAAADzf/xQ=")</f>
        <v>#VALUE!</v>
      </c>
      <c r="V295" t="e">
        <f>AND('PROG FORM COMPLEM'!L477,"AAAAADzf/xU=")</f>
        <v>#VALUE!</v>
      </c>
      <c r="W295" t="e">
        <f>AND('PROG FORM COMPLEM'!M477,"AAAAADzf/xY=")</f>
        <v>#VALUE!</v>
      </c>
      <c r="X295" t="e">
        <f>AND('PROG FORM COMPLEM'!N477,"AAAAADzf/xc=")</f>
        <v>#VALUE!</v>
      </c>
      <c r="Y295" t="e">
        <f>AND('PROG FORM COMPLEM'!O477,"AAAAADzf/xg=")</f>
        <v>#VALUE!</v>
      </c>
      <c r="Z295" t="e">
        <f>AND('PROG FORM COMPLEM'!P477,"AAAAADzf/xk=")</f>
        <v>#VALUE!</v>
      </c>
      <c r="AA295" t="e">
        <f>AND('PROG FORM COMPLEM'!Q477,"AAAAADzf/xo=")</f>
        <v>#VALUE!</v>
      </c>
      <c r="AB295" t="e">
        <f>AND('PROG FORM COMPLEM'!R477,"AAAAADzf/xs=")</f>
        <v>#VALUE!</v>
      </c>
      <c r="AC295" t="e">
        <f>AND('PROG FORM COMPLEM'!S477,"AAAAADzf/xw=")</f>
        <v>#VALUE!</v>
      </c>
      <c r="AD295" t="e">
        <f>AND('PROG FORM COMPLEM'!T477,"AAAAADzf/x0=")</f>
        <v>#VALUE!</v>
      </c>
      <c r="AE295" t="e">
        <f>AND('PROG FORM COMPLEM'!U477,"AAAAADzf/x4=")</f>
        <v>#VALUE!</v>
      </c>
      <c r="AF295" t="e">
        <f>AND('PROG FORM COMPLEM'!V477,"AAAAADzf/x8=")</f>
        <v>#VALUE!</v>
      </c>
      <c r="AG295" t="e">
        <f>AND('PROG FORM COMPLEM'!W477,"AAAAADzf/yA=")</f>
        <v>#VALUE!</v>
      </c>
      <c r="AH295">
        <f>IF('PROG FORM COMPLEM'!478:478,"AAAAADzf/yE=",0)</f>
        <v>0</v>
      </c>
      <c r="AI295" t="e">
        <f>AND('PROG FORM COMPLEM'!B478,"AAAAADzf/yI=")</f>
        <v>#VALUE!</v>
      </c>
      <c r="AJ295" t="e">
        <f>AND('PROG FORM COMPLEM'!C478,"AAAAADzf/yM=")</f>
        <v>#VALUE!</v>
      </c>
      <c r="AK295" t="e">
        <f>AND('PROG FORM COMPLEM'!D478,"AAAAADzf/yQ=")</f>
        <v>#VALUE!</v>
      </c>
      <c r="AL295" t="e">
        <f>AND('PROG FORM COMPLEM'!E478,"AAAAADzf/yU=")</f>
        <v>#VALUE!</v>
      </c>
      <c r="AM295" t="e">
        <f>AND('PROG FORM COMPLEM'!F478,"AAAAADzf/yY=")</f>
        <v>#VALUE!</v>
      </c>
      <c r="AN295" t="e">
        <f>AND('PROG FORM COMPLEM'!G478,"AAAAADzf/yc=")</f>
        <v>#VALUE!</v>
      </c>
      <c r="AO295" t="e">
        <f>AND('PROG FORM COMPLEM'!H478,"AAAAADzf/yg=")</f>
        <v>#VALUE!</v>
      </c>
      <c r="AP295" t="e">
        <f>AND('PROG FORM COMPLEM'!I478,"AAAAADzf/yk=")</f>
        <v>#VALUE!</v>
      </c>
      <c r="AQ295" t="e">
        <f>AND('PROG FORM COMPLEM'!J478,"AAAAADzf/yo=")</f>
        <v>#VALUE!</v>
      </c>
      <c r="AR295" t="e">
        <f>AND('PROG FORM COMPLEM'!K478,"AAAAADzf/ys=")</f>
        <v>#VALUE!</v>
      </c>
      <c r="AS295" t="e">
        <f>AND('PROG FORM COMPLEM'!L478,"AAAAADzf/yw=")</f>
        <v>#VALUE!</v>
      </c>
      <c r="AT295" t="e">
        <f>AND('PROG FORM COMPLEM'!M478,"AAAAADzf/y0=")</f>
        <v>#VALUE!</v>
      </c>
      <c r="AU295" t="e">
        <f>AND('PROG FORM COMPLEM'!N478,"AAAAADzf/y4=")</f>
        <v>#VALUE!</v>
      </c>
      <c r="AV295" t="e">
        <f>AND('PROG FORM COMPLEM'!O478,"AAAAADzf/y8=")</f>
        <v>#VALUE!</v>
      </c>
      <c r="AW295" t="e">
        <f>AND('PROG FORM COMPLEM'!P478,"AAAAADzf/zA=")</f>
        <v>#VALUE!</v>
      </c>
      <c r="AX295" t="e">
        <f>AND('PROG FORM COMPLEM'!Q478,"AAAAADzf/zE=")</f>
        <v>#VALUE!</v>
      </c>
      <c r="AY295" t="e">
        <f>AND('PROG FORM COMPLEM'!R478,"AAAAADzf/zI=")</f>
        <v>#VALUE!</v>
      </c>
      <c r="AZ295" t="e">
        <f>AND('PROG FORM COMPLEM'!S478,"AAAAADzf/zM=")</f>
        <v>#VALUE!</v>
      </c>
      <c r="BA295" t="e">
        <f>AND('PROG FORM COMPLEM'!T478,"AAAAADzf/zQ=")</f>
        <v>#VALUE!</v>
      </c>
      <c r="BB295" t="e">
        <f>AND('PROG FORM COMPLEM'!U478,"AAAAADzf/zU=")</f>
        <v>#VALUE!</v>
      </c>
      <c r="BC295" t="e">
        <f>AND('PROG FORM COMPLEM'!V478,"AAAAADzf/zY=")</f>
        <v>#VALUE!</v>
      </c>
      <c r="BD295" t="e">
        <f>AND('PROG FORM COMPLEM'!W478,"AAAAADzf/zc=")</f>
        <v>#VALUE!</v>
      </c>
      <c r="BE295">
        <f>IF('PROG FORM COMPLEM'!479:479,"AAAAADzf/zg=",0)</f>
        <v>0</v>
      </c>
      <c r="BF295" t="e">
        <f>AND('PROG FORM COMPLEM'!B479,"AAAAADzf/zk=")</f>
        <v>#VALUE!</v>
      </c>
      <c r="BG295" t="e">
        <f>AND('PROG FORM COMPLEM'!C479,"AAAAADzf/zo=")</f>
        <v>#VALUE!</v>
      </c>
      <c r="BH295" t="e">
        <f>AND('PROG FORM COMPLEM'!D479,"AAAAADzf/zs=")</f>
        <v>#VALUE!</v>
      </c>
      <c r="BI295" t="e">
        <f>AND('PROG FORM COMPLEM'!E479,"AAAAADzf/zw=")</f>
        <v>#VALUE!</v>
      </c>
      <c r="BJ295" t="e">
        <f>AND('PROG FORM COMPLEM'!F479,"AAAAADzf/z0=")</f>
        <v>#VALUE!</v>
      </c>
      <c r="BK295" t="e">
        <f>AND('PROG FORM COMPLEM'!G479,"AAAAADzf/z4=")</f>
        <v>#VALUE!</v>
      </c>
      <c r="BL295" t="e">
        <f>AND('PROG FORM COMPLEM'!H479,"AAAAADzf/z8=")</f>
        <v>#VALUE!</v>
      </c>
      <c r="BM295" t="e">
        <f>AND('PROG FORM COMPLEM'!I479,"AAAAADzf/0A=")</f>
        <v>#VALUE!</v>
      </c>
      <c r="BN295" t="e">
        <f>AND('PROG FORM COMPLEM'!J479,"AAAAADzf/0E=")</f>
        <v>#VALUE!</v>
      </c>
      <c r="BO295" t="e">
        <f>AND('PROG FORM COMPLEM'!K479,"AAAAADzf/0I=")</f>
        <v>#VALUE!</v>
      </c>
      <c r="BP295" t="e">
        <f>AND('PROG FORM COMPLEM'!L479,"AAAAADzf/0M=")</f>
        <v>#VALUE!</v>
      </c>
      <c r="BQ295" t="e">
        <f>AND('PROG FORM COMPLEM'!M479,"AAAAADzf/0Q=")</f>
        <v>#VALUE!</v>
      </c>
      <c r="BR295" t="e">
        <f>AND('PROG FORM COMPLEM'!N479,"AAAAADzf/0U=")</f>
        <v>#VALUE!</v>
      </c>
      <c r="BS295" t="e">
        <f>AND('PROG FORM COMPLEM'!O479,"AAAAADzf/0Y=")</f>
        <v>#VALUE!</v>
      </c>
      <c r="BT295" t="e">
        <f>AND('PROG FORM COMPLEM'!P479,"AAAAADzf/0c=")</f>
        <v>#VALUE!</v>
      </c>
      <c r="BU295" t="e">
        <f>AND('PROG FORM COMPLEM'!Q479,"AAAAADzf/0g=")</f>
        <v>#VALUE!</v>
      </c>
      <c r="BV295" t="e">
        <f>AND('PROG FORM COMPLEM'!R479,"AAAAADzf/0k=")</f>
        <v>#VALUE!</v>
      </c>
      <c r="BW295" t="e">
        <f>AND('PROG FORM COMPLEM'!S479,"AAAAADzf/0o=")</f>
        <v>#VALUE!</v>
      </c>
      <c r="BX295" t="e">
        <f>AND('PROG FORM COMPLEM'!T479,"AAAAADzf/0s=")</f>
        <v>#VALUE!</v>
      </c>
      <c r="BY295" t="e">
        <f>AND('PROG FORM COMPLEM'!U479,"AAAAADzf/0w=")</f>
        <v>#VALUE!</v>
      </c>
      <c r="BZ295" t="e">
        <f>AND('PROG FORM COMPLEM'!V479,"AAAAADzf/00=")</f>
        <v>#VALUE!</v>
      </c>
      <c r="CA295" t="e">
        <f>AND('PROG FORM COMPLEM'!W479,"AAAAADzf/04=")</f>
        <v>#VALUE!</v>
      </c>
      <c r="CB295">
        <f>IF('PROG FORM COMPLEM'!480:480,"AAAAADzf/08=",0)</f>
        <v>0</v>
      </c>
      <c r="CC295" t="e">
        <f>AND('PROG FORM COMPLEM'!B480,"AAAAADzf/1A=")</f>
        <v>#VALUE!</v>
      </c>
      <c r="CD295" t="e">
        <f>AND('PROG FORM COMPLEM'!C480,"AAAAADzf/1E=")</f>
        <v>#VALUE!</v>
      </c>
      <c r="CE295" t="e">
        <f>AND('PROG FORM COMPLEM'!D480,"AAAAADzf/1I=")</f>
        <v>#VALUE!</v>
      </c>
      <c r="CF295" t="e">
        <f>AND('PROG FORM COMPLEM'!E480,"AAAAADzf/1M=")</f>
        <v>#VALUE!</v>
      </c>
      <c r="CG295" t="e">
        <f>AND('PROG FORM COMPLEM'!F480,"AAAAADzf/1Q=")</f>
        <v>#VALUE!</v>
      </c>
      <c r="CH295" t="e">
        <f>AND('PROG FORM COMPLEM'!G480,"AAAAADzf/1U=")</f>
        <v>#VALUE!</v>
      </c>
      <c r="CI295" t="e">
        <f>AND('PROG FORM COMPLEM'!H480,"AAAAADzf/1Y=")</f>
        <v>#VALUE!</v>
      </c>
      <c r="CJ295" t="e">
        <f>AND('PROG FORM COMPLEM'!I480,"AAAAADzf/1c=")</f>
        <v>#VALUE!</v>
      </c>
      <c r="CK295" t="e">
        <f>AND('PROG FORM COMPLEM'!J480,"AAAAADzf/1g=")</f>
        <v>#VALUE!</v>
      </c>
      <c r="CL295" t="e">
        <f>AND('PROG FORM COMPLEM'!K480,"AAAAADzf/1k=")</f>
        <v>#VALUE!</v>
      </c>
      <c r="CM295" t="e">
        <f>AND('PROG FORM COMPLEM'!L480,"AAAAADzf/1o=")</f>
        <v>#VALUE!</v>
      </c>
      <c r="CN295" t="e">
        <f>AND('PROG FORM COMPLEM'!M480,"AAAAADzf/1s=")</f>
        <v>#VALUE!</v>
      </c>
      <c r="CO295" t="e">
        <f>AND('PROG FORM COMPLEM'!N480,"AAAAADzf/1w=")</f>
        <v>#VALUE!</v>
      </c>
      <c r="CP295" t="e">
        <f>AND('PROG FORM COMPLEM'!O480,"AAAAADzf/10=")</f>
        <v>#VALUE!</v>
      </c>
      <c r="CQ295" t="e">
        <f>AND('PROG FORM COMPLEM'!P480,"AAAAADzf/14=")</f>
        <v>#VALUE!</v>
      </c>
      <c r="CR295" t="e">
        <f>AND('PROG FORM COMPLEM'!Q480,"AAAAADzf/18=")</f>
        <v>#VALUE!</v>
      </c>
      <c r="CS295" t="e">
        <f>AND('PROG FORM COMPLEM'!R480,"AAAAADzf/2A=")</f>
        <v>#VALUE!</v>
      </c>
      <c r="CT295" t="e">
        <f>AND('PROG FORM COMPLEM'!S480,"AAAAADzf/2E=")</f>
        <v>#VALUE!</v>
      </c>
      <c r="CU295" t="e">
        <f>AND('PROG FORM COMPLEM'!T480,"AAAAADzf/2I=")</f>
        <v>#VALUE!</v>
      </c>
      <c r="CV295" t="e">
        <f>AND('PROG FORM COMPLEM'!U480,"AAAAADzf/2M=")</f>
        <v>#VALUE!</v>
      </c>
      <c r="CW295" t="e">
        <f>AND('PROG FORM COMPLEM'!V480,"AAAAADzf/2Q=")</f>
        <v>#VALUE!</v>
      </c>
      <c r="CX295" t="e">
        <f>AND('PROG FORM COMPLEM'!W480,"AAAAADzf/2U=")</f>
        <v>#VALUE!</v>
      </c>
      <c r="CY295">
        <f>IF('PROG FORM COMPLEM'!481:481,"AAAAADzf/2Y=",0)</f>
        <v>0</v>
      </c>
      <c r="CZ295" t="e">
        <f>AND('PROG FORM COMPLEM'!B481,"AAAAADzf/2c=")</f>
        <v>#VALUE!</v>
      </c>
      <c r="DA295" t="e">
        <f>AND('PROG FORM COMPLEM'!C481,"AAAAADzf/2g=")</f>
        <v>#VALUE!</v>
      </c>
      <c r="DB295" t="e">
        <f>AND('PROG FORM COMPLEM'!D481,"AAAAADzf/2k=")</f>
        <v>#VALUE!</v>
      </c>
      <c r="DC295" t="e">
        <f>AND('PROG FORM COMPLEM'!E481,"AAAAADzf/2o=")</f>
        <v>#VALUE!</v>
      </c>
      <c r="DD295" t="e">
        <f>AND('PROG FORM COMPLEM'!F481,"AAAAADzf/2s=")</f>
        <v>#VALUE!</v>
      </c>
      <c r="DE295" t="e">
        <f>AND('PROG FORM COMPLEM'!G481,"AAAAADzf/2w=")</f>
        <v>#VALUE!</v>
      </c>
      <c r="DF295" t="e">
        <f>AND('PROG FORM COMPLEM'!H481,"AAAAADzf/20=")</f>
        <v>#VALUE!</v>
      </c>
      <c r="DG295" t="e">
        <f>AND('PROG FORM COMPLEM'!I481,"AAAAADzf/24=")</f>
        <v>#VALUE!</v>
      </c>
      <c r="DH295" t="e">
        <f>AND('PROG FORM COMPLEM'!J481,"AAAAADzf/28=")</f>
        <v>#VALUE!</v>
      </c>
      <c r="DI295" t="e">
        <f>AND('PROG FORM COMPLEM'!K481,"AAAAADzf/3A=")</f>
        <v>#VALUE!</v>
      </c>
      <c r="DJ295" t="e">
        <f>AND('PROG FORM COMPLEM'!L481,"AAAAADzf/3E=")</f>
        <v>#VALUE!</v>
      </c>
      <c r="DK295" t="e">
        <f>AND('PROG FORM COMPLEM'!M481,"AAAAADzf/3I=")</f>
        <v>#VALUE!</v>
      </c>
      <c r="DL295" t="e">
        <f>AND('PROG FORM COMPLEM'!N481,"AAAAADzf/3M=")</f>
        <v>#VALUE!</v>
      </c>
      <c r="DM295" t="e">
        <f>AND('PROG FORM COMPLEM'!O481,"AAAAADzf/3Q=")</f>
        <v>#VALUE!</v>
      </c>
      <c r="DN295" t="e">
        <f>AND('PROG FORM COMPLEM'!P481,"AAAAADzf/3U=")</f>
        <v>#VALUE!</v>
      </c>
      <c r="DO295" t="e">
        <f>AND('PROG FORM COMPLEM'!Q481,"AAAAADzf/3Y=")</f>
        <v>#VALUE!</v>
      </c>
      <c r="DP295" t="e">
        <f>AND('PROG FORM COMPLEM'!R481,"AAAAADzf/3c=")</f>
        <v>#VALUE!</v>
      </c>
      <c r="DQ295" t="e">
        <f>AND('PROG FORM COMPLEM'!S481,"AAAAADzf/3g=")</f>
        <v>#VALUE!</v>
      </c>
      <c r="DR295" t="e">
        <f>AND('PROG FORM COMPLEM'!T481,"AAAAADzf/3k=")</f>
        <v>#VALUE!</v>
      </c>
      <c r="DS295" t="e">
        <f>AND('PROG FORM COMPLEM'!U481,"AAAAADzf/3o=")</f>
        <v>#VALUE!</v>
      </c>
      <c r="DT295" t="e">
        <f>AND('PROG FORM COMPLEM'!V481,"AAAAADzf/3s=")</f>
        <v>#VALUE!</v>
      </c>
      <c r="DU295" t="e">
        <f>AND('PROG FORM COMPLEM'!W481,"AAAAADzf/3w=")</f>
        <v>#VALUE!</v>
      </c>
      <c r="DV295">
        <f>IF('PROG FORM COMPLEM'!482:482,"AAAAADzf/30=",0)</f>
        <v>0</v>
      </c>
      <c r="DW295" t="e">
        <f>AND('PROG FORM COMPLEM'!B482,"AAAAADzf/34=")</f>
        <v>#VALUE!</v>
      </c>
      <c r="DX295" t="e">
        <f>AND('PROG FORM COMPLEM'!C482,"AAAAADzf/38=")</f>
        <v>#VALUE!</v>
      </c>
      <c r="DY295" t="e">
        <f>AND('PROG FORM COMPLEM'!D482,"AAAAADzf/4A=")</f>
        <v>#VALUE!</v>
      </c>
      <c r="DZ295" t="e">
        <f>AND('PROG FORM COMPLEM'!E482,"AAAAADzf/4E=")</f>
        <v>#VALUE!</v>
      </c>
      <c r="EA295" t="e">
        <f>AND('PROG FORM COMPLEM'!F482,"AAAAADzf/4I=")</f>
        <v>#VALUE!</v>
      </c>
      <c r="EB295" t="e">
        <f>AND('PROG FORM COMPLEM'!G482,"AAAAADzf/4M=")</f>
        <v>#VALUE!</v>
      </c>
      <c r="EC295" t="e">
        <f>AND('PROG FORM COMPLEM'!H482,"AAAAADzf/4Q=")</f>
        <v>#VALUE!</v>
      </c>
      <c r="ED295" t="e">
        <f>AND('PROG FORM COMPLEM'!I482,"AAAAADzf/4U=")</f>
        <v>#VALUE!</v>
      </c>
      <c r="EE295" t="e">
        <f>AND('PROG FORM COMPLEM'!J482,"AAAAADzf/4Y=")</f>
        <v>#VALUE!</v>
      </c>
      <c r="EF295" t="e">
        <f>AND('PROG FORM COMPLEM'!K482,"AAAAADzf/4c=")</f>
        <v>#VALUE!</v>
      </c>
      <c r="EG295" t="e">
        <f>AND('PROG FORM COMPLEM'!L482,"AAAAADzf/4g=")</f>
        <v>#VALUE!</v>
      </c>
      <c r="EH295" t="e">
        <f>AND('PROG FORM COMPLEM'!M482,"AAAAADzf/4k=")</f>
        <v>#VALUE!</v>
      </c>
      <c r="EI295" t="e">
        <f>AND('PROG FORM COMPLEM'!N482,"AAAAADzf/4o=")</f>
        <v>#VALUE!</v>
      </c>
      <c r="EJ295" t="e">
        <f>AND('PROG FORM COMPLEM'!O482,"AAAAADzf/4s=")</f>
        <v>#VALUE!</v>
      </c>
      <c r="EK295" t="e">
        <f>AND('PROG FORM COMPLEM'!P482,"AAAAADzf/4w=")</f>
        <v>#VALUE!</v>
      </c>
      <c r="EL295" t="e">
        <f>AND('PROG FORM COMPLEM'!Q482,"AAAAADzf/40=")</f>
        <v>#VALUE!</v>
      </c>
      <c r="EM295" t="e">
        <f>AND('PROG FORM COMPLEM'!R482,"AAAAADzf/44=")</f>
        <v>#VALUE!</v>
      </c>
      <c r="EN295" t="e">
        <f>AND('PROG FORM COMPLEM'!S482,"AAAAADzf/48=")</f>
        <v>#VALUE!</v>
      </c>
      <c r="EO295" t="e">
        <f>AND('PROG FORM COMPLEM'!T482,"AAAAADzf/5A=")</f>
        <v>#VALUE!</v>
      </c>
      <c r="EP295" t="e">
        <f>AND('PROG FORM COMPLEM'!U482,"AAAAADzf/5E=")</f>
        <v>#VALUE!</v>
      </c>
      <c r="EQ295" t="e">
        <f>AND('PROG FORM COMPLEM'!V482,"AAAAADzf/5I=")</f>
        <v>#VALUE!</v>
      </c>
      <c r="ER295" t="e">
        <f>AND('PROG FORM COMPLEM'!W482,"AAAAADzf/5M=")</f>
        <v>#VALUE!</v>
      </c>
      <c r="ES295">
        <f>IF('PROG FORM COMPLEM'!483:483,"AAAAADzf/5Q=",0)</f>
        <v>0</v>
      </c>
      <c r="ET295" t="e">
        <f>AND('PROG FORM COMPLEM'!B483,"AAAAADzf/5U=")</f>
        <v>#VALUE!</v>
      </c>
      <c r="EU295" t="e">
        <f>AND('PROG FORM COMPLEM'!C483,"AAAAADzf/5Y=")</f>
        <v>#VALUE!</v>
      </c>
      <c r="EV295" t="e">
        <f>AND('PROG FORM COMPLEM'!D483,"AAAAADzf/5c=")</f>
        <v>#VALUE!</v>
      </c>
      <c r="EW295" t="e">
        <f>AND('PROG FORM COMPLEM'!E483,"AAAAADzf/5g=")</f>
        <v>#VALUE!</v>
      </c>
      <c r="EX295" t="e">
        <f>AND('PROG FORM COMPLEM'!F483,"AAAAADzf/5k=")</f>
        <v>#VALUE!</v>
      </c>
      <c r="EY295" t="e">
        <f>AND('PROG FORM COMPLEM'!G483,"AAAAADzf/5o=")</f>
        <v>#VALUE!</v>
      </c>
      <c r="EZ295" t="e">
        <f>AND('PROG FORM COMPLEM'!H483,"AAAAADzf/5s=")</f>
        <v>#VALUE!</v>
      </c>
      <c r="FA295" t="e">
        <f>AND('PROG FORM COMPLEM'!I483,"AAAAADzf/5w=")</f>
        <v>#VALUE!</v>
      </c>
      <c r="FB295" t="e">
        <f>AND('PROG FORM COMPLEM'!J483,"AAAAADzf/50=")</f>
        <v>#VALUE!</v>
      </c>
      <c r="FC295" t="e">
        <f>AND('PROG FORM COMPLEM'!K483,"AAAAADzf/54=")</f>
        <v>#VALUE!</v>
      </c>
      <c r="FD295" t="e">
        <f>AND('PROG FORM COMPLEM'!L483,"AAAAADzf/58=")</f>
        <v>#VALUE!</v>
      </c>
      <c r="FE295" t="e">
        <f>AND('PROG FORM COMPLEM'!M483,"AAAAADzf/6A=")</f>
        <v>#VALUE!</v>
      </c>
      <c r="FF295" t="e">
        <f>AND('PROG FORM COMPLEM'!N483,"AAAAADzf/6E=")</f>
        <v>#VALUE!</v>
      </c>
      <c r="FG295" t="e">
        <f>AND('PROG FORM COMPLEM'!O483,"AAAAADzf/6I=")</f>
        <v>#VALUE!</v>
      </c>
      <c r="FH295" t="e">
        <f>AND('PROG FORM COMPLEM'!P483,"AAAAADzf/6M=")</f>
        <v>#VALUE!</v>
      </c>
      <c r="FI295" t="e">
        <f>AND('PROG FORM COMPLEM'!Q483,"AAAAADzf/6Q=")</f>
        <v>#VALUE!</v>
      </c>
      <c r="FJ295" t="e">
        <f>AND('PROG FORM COMPLEM'!R483,"AAAAADzf/6U=")</f>
        <v>#VALUE!</v>
      </c>
      <c r="FK295" t="e">
        <f>AND('PROG FORM COMPLEM'!S483,"AAAAADzf/6Y=")</f>
        <v>#VALUE!</v>
      </c>
      <c r="FL295" t="e">
        <f>AND('PROG FORM COMPLEM'!T483,"AAAAADzf/6c=")</f>
        <v>#VALUE!</v>
      </c>
      <c r="FM295" t="e">
        <f>AND('PROG FORM COMPLEM'!U483,"AAAAADzf/6g=")</f>
        <v>#VALUE!</v>
      </c>
      <c r="FN295" t="e">
        <f>AND('PROG FORM COMPLEM'!V483,"AAAAADzf/6k=")</f>
        <v>#VALUE!</v>
      </c>
      <c r="FO295" t="e">
        <f>AND('PROG FORM COMPLEM'!W483,"AAAAADzf/6o=")</f>
        <v>#VALUE!</v>
      </c>
      <c r="FP295">
        <f>IF('PROG FORM COMPLEM'!484:484,"AAAAADzf/6s=",0)</f>
        <v>0</v>
      </c>
      <c r="FQ295" t="e">
        <f>AND('PROG FORM COMPLEM'!B484,"AAAAADzf/6w=")</f>
        <v>#VALUE!</v>
      </c>
      <c r="FR295" t="e">
        <f>AND('PROG FORM COMPLEM'!C484,"AAAAADzf/60=")</f>
        <v>#VALUE!</v>
      </c>
      <c r="FS295" t="e">
        <f>AND('PROG FORM COMPLEM'!D484,"AAAAADzf/64=")</f>
        <v>#VALUE!</v>
      </c>
      <c r="FT295" t="e">
        <f>AND('PROG FORM COMPLEM'!E484,"AAAAADzf/68=")</f>
        <v>#VALUE!</v>
      </c>
      <c r="FU295" t="e">
        <f>AND('PROG FORM COMPLEM'!F484,"AAAAADzf/7A=")</f>
        <v>#VALUE!</v>
      </c>
      <c r="FV295" t="e">
        <f>AND('PROG FORM COMPLEM'!G484,"AAAAADzf/7E=")</f>
        <v>#VALUE!</v>
      </c>
      <c r="FW295" t="e">
        <f>AND('PROG FORM COMPLEM'!H484,"AAAAADzf/7I=")</f>
        <v>#VALUE!</v>
      </c>
      <c r="FX295" t="e">
        <f>AND('PROG FORM COMPLEM'!I484,"AAAAADzf/7M=")</f>
        <v>#VALUE!</v>
      </c>
      <c r="FY295" t="e">
        <f>AND('PROG FORM COMPLEM'!J484,"AAAAADzf/7Q=")</f>
        <v>#VALUE!</v>
      </c>
      <c r="FZ295" t="e">
        <f>AND('PROG FORM COMPLEM'!K484,"AAAAADzf/7U=")</f>
        <v>#VALUE!</v>
      </c>
      <c r="GA295" t="e">
        <f>AND('PROG FORM COMPLEM'!L484,"AAAAADzf/7Y=")</f>
        <v>#VALUE!</v>
      </c>
      <c r="GB295" t="e">
        <f>AND('PROG FORM COMPLEM'!M484,"AAAAADzf/7c=")</f>
        <v>#VALUE!</v>
      </c>
      <c r="GC295" t="e">
        <f>AND('PROG FORM COMPLEM'!N484,"AAAAADzf/7g=")</f>
        <v>#VALUE!</v>
      </c>
      <c r="GD295" t="e">
        <f>AND('PROG FORM COMPLEM'!O484,"AAAAADzf/7k=")</f>
        <v>#VALUE!</v>
      </c>
      <c r="GE295" t="e">
        <f>AND('PROG FORM COMPLEM'!P484,"AAAAADzf/7o=")</f>
        <v>#VALUE!</v>
      </c>
      <c r="GF295" t="e">
        <f>AND('PROG FORM COMPLEM'!Q484,"AAAAADzf/7s=")</f>
        <v>#VALUE!</v>
      </c>
      <c r="GG295" t="e">
        <f>AND('PROG FORM COMPLEM'!R484,"AAAAADzf/7w=")</f>
        <v>#VALUE!</v>
      </c>
      <c r="GH295" t="e">
        <f>AND('PROG FORM COMPLEM'!S484,"AAAAADzf/70=")</f>
        <v>#VALUE!</v>
      </c>
      <c r="GI295" t="e">
        <f>AND('PROG FORM COMPLEM'!T484,"AAAAADzf/74=")</f>
        <v>#VALUE!</v>
      </c>
      <c r="GJ295" t="e">
        <f>AND('PROG FORM COMPLEM'!U484,"AAAAADzf/78=")</f>
        <v>#VALUE!</v>
      </c>
      <c r="GK295" t="e">
        <f>AND('PROG FORM COMPLEM'!V484,"AAAAADzf/8A=")</f>
        <v>#VALUE!</v>
      </c>
      <c r="GL295" t="e">
        <f>AND('PROG FORM COMPLEM'!W484,"AAAAADzf/8E=")</f>
        <v>#VALUE!</v>
      </c>
      <c r="GM295">
        <f>IF('PROG FORM COMPLEM'!485:485,"AAAAADzf/8I=",0)</f>
        <v>0</v>
      </c>
      <c r="GN295" t="e">
        <f>AND('PROG FORM COMPLEM'!B485,"AAAAADzf/8M=")</f>
        <v>#VALUE!</v>
      </c>
      <c r="GO295" t="e">
        <f>AND('PROG FORM COMPLEM'!C485,"AAAAADzf/8Q=")</f>
        <v>#VALUE!</v>
      </c>
      <c r="GP295" t="e">
        <f>AND('PROG FORM COMPLEM'!D485,"AAAAADzf/8U=")</f>
        <v>#VALUE!</v>
      </c>
      <c r="GQ295" t="e">
        <f>AND('PROG FORM COMPLEM'!E485,"AAAAADzf/8Y=")</f>
        <v>#VALUE!</v>
      </c>
      <c r="GR295" t="e">
        <f>AND('PROG FORM COMPLEM'!F485,"AAAAADzf/8c=")</f>
        <v>#VALUE!</v>
      </c>
      <c r="GS295" t="e">
        <f>AND('PROG FORM COMPLEM'!G485,"AAAAADzf/8g=")</f>
        <v>#VALUE!</v>
      </c>
      <c r="GT295" t="e">
        <f>AND('PROG FORM COMPLEM'!H485,"AAAAADzf/8k=")</f>
        <v>#VALUE!</v>
      </c>
      <c r="GU295" t="e">
        <f>AND('PROG FORM COMPLEM'!I485,"AAAAADzf/8o=")</f>
        <v>#VALUE!</v>
      </c>
      <c r="GV295" t="e">
        <f>AND('PROG FORM COMPLEM'!J485,"AAAAADzf/8s=")</f>
        <v>#VALUE!</v>
      </c>
      <c r="GW295" t="e">
        <f>AND('PROG FORM COMPLEM'!K485,"AAAAADzf/8w=")</f>
        <v>#VALUE!</v>
      </c>
      <c r="GX295" t="e">
        <f>AND('PROG FORM COMPLEM'!L485,"AAAAADzf/80=")</f>
        <v>#VALUE!</v>
      </c>
      <c r="GY295" t="e">
        <f>AND('PROG FORM COMPLEM'!M485,"AAAAADzf/84=")</f>
        <v>#VALUE!</v>
      </c>
      <c r="GZ295" t="e">
        <f>AND('PROG FORM COMPLEM'!N485,"AAAAADzf/88=")</f>
        <v>#VALUE!</v>
      </c>
      <c r="HA295" t="e">
        <f>AND('PROG FORM COMPLEM'!O485,"AAAAADzf/9A=")</f>
        <v>#VALUE!</v>
      </c>
      <c r="HB295" t="e">
        <f>AND('PROG FORM COMPLEM'!P485,"AAAAADzf/9E=")</f>
        <v>#VALUE!</v>
      </c>
      <c r="HC295" t="e">
        <f>AND('PROG FORM COMPLEM'!Q485,"AAAAADzf/9I=")</f>
        <v>#VALUE!</v>
      </c>
      <c r="HD295" t="e">
        <f>AND('PROG FORM COMPLEM'!R485,"AAAAADzf/9M=")</f>
        <v>#VALUE!</v>
      </c>
      <c r="HE295" t="e">
        <f>AND('PROG FORM COMPLEM'!S485,"AAAAADzf/9Q=")</f>
        <v>#VALUE!</v>
      </c>
      <c r="HF295" t="e">
        <f>AND('PROG FORM COMPLEM'!T485,"AAAAADzf/9U=")</f>
        <v>#VALUE!</v>
      </c>
      <c r="HG295" t="e">
        <f>AND('PROG FORM COMPLEM'!U485,"AAAAADzf/9Y=")</f>
        <v>#VALUE!</v>
      </c>
      <c r="HH295" t="e">
        <f>AND('PROG FORM COMPLEM'!V485,"AAAAADzf/9c=")</f>
        <v>#VALUE!</v>
      </c>
      <c r="HI295" t="e">
        <f>AND('PROG FORM COMPLEM'!W485,"AAAAADzf/9g=")</f>
        <v>#VALUE!</v>
      </c>
      <c r="HJ295">
        <f>IF('PROG FORM COMPLEM'!486:486,"AAAAADzf/9k=",0)</f>
        <v>0</v>
      </c>
      <c r="HK295" t="e">
        <f>AND('PROG FORM COMPLEM'!B486,"AAAAADzf/9o=")</f>
        <v>#VALUE!</v>
      </c>
      <c r="HL295" t="e">
        <f>AND('PROG FORM COMPLEM'!C486,"AAAAADzf/9s=")</f>
        <v>#VALUE!</v>
      </c>
      <c r="HM295" t="e">
        <f>AND('PROG FORM COMPLEM'!D486,"AAAAADzf/9w=")</f>
        <v>#VALUE!</v>
      </c>
      <c r="HN295" t="e">
        <f>AND('PROG FORM COMPLEM'!E486,"AAAAADzf/90=")</f>
        <v>#VALUE!</v>
      </c>
      <c r="HO295" t="e">
        <f>AND('PROG FORM COMPLEM'!F486,"AAAAADzf/94=")</f>
        <v>#VALUE!</v>
      </c>
      <c r="HP295" t="e">
        <f>AND('PROG FORM COMPLEM'!G486,"AAAAADzf/98=")</f>
        <v>#VALUE!</v>
      </c>
      <c r="HQ295" t="e">
        <f>AND('PROG FORM COMPLEM'!H486,"AAAAADzf/+A=")</f>
        <v>#VALUE!</v>
      </c>
      <c r="HR295" t="e">
        <f>AND('PROG FORM COMPLEM'!I486,"AAAAADzf/+E=")</f>
        <v>#VALUE!</v>
      </c>
      <c r="HS295" t="e">
        <f>AND('PROG FORM COMPLEM'!J486,"AAAAADzf/+I=")</f>
        <v>#VALUE!</v>
      </c>
      <c r="HT295" t="e">
        <f>AND('PROG FORM COMPLEM'!K486,"AAAAADzf/+M=")</f>
        <v>#VALUE!</v>
      </c>
      <c r="HU295" t="e">
        <f>AND('PROG FORM COMPLEM'!L486,"AAAAADzf/+Q=")</f>
        <v>#VALUE!</v>
      </c>
      <c r="HV295" t="e">
        <f>AND('PROG FORM COMPLEM'!M486,"AAAAADzf/+U=")</f>
        <v>#VALUE!</v>
      </c>
      <c r="HW295" t="e">
        <f>AND('PROG FORM COMPLEM'!N486,"AAAAADzf/+Y=")</f>
        <v>#VALUE!</v>
      </c>
      <c r="HX295" t="e">
        <f>AND('PROG FORM COMPLEM'!O486,"AAAAADzf/+c=")</f>
        <v>#VALUE!</v>
      </c>
      <c r="HY295" t="e">
        <f>AND('PROG FORM COMPLEM'!P486,"AAAAADzf/+g=")</f>
        <v>#VALUE!</v>
      </c>
      <c r="HZ295" t="e">
        <f>AND('PROG FORM COMPLEM'!Q486,"AAAAADzf/+k=")</f>
        <v>#VALUE!</v>
      </c>
      <c r="IA295" t="e">
        <f>AND('PROG FORM COMPLEM'!R486,"AAAAADzf/+o=")</f>
        <v>#VALUE!</v>
      </c>
      <c r="IB295" t="e">
        <f>AND('PROG FORM COMPLEM'!S486,"AAAAADzf/+s=")</f>
        <v>#VALUE!</v>
      </c>
      <c r="IC295" t="e">
        <f>AND('PROG FORM COMPLEM'!T486,"AAAAADzf/+w=")</f>
        <v>#VALUE!</v>
      </c>
      <c r="ID295" t="e">
        <f>AND('PROG FORM COMPLEM'!U486,"AAAAADzf/+0=")</f>
        <v>#VALUE!</v>
      </c>
      <c r="IE295" t="e">
        <f>AND('PROG FORM COMPLEM'!V486,"AAAAADzf/+4=")</f>
        <v>#VALUE!</v>
      </c>
      <c r="IF295" t="e">
        <f>AND('PROG FORM COMPLEM'!W486,"AAAAADzf/+8=")</f>
        <v>#VALUE!</v>
      </c>
      <c r="IG295">
        <f>IF('PROG FORM COMPLEM'!487:487,"AAAAADzf//A=",0)</f>
        <v>0</v>
      </c>
      <c r="IH295" t="e">
        <f>AND('PROG FORM COMPLEM'!B487,"AAAAADzf//E=")</f>
        <v>#VALUE!</v>
      </c>
      <c r="II295" t="e">
        <f>AND('PROG FORM COMPLEM'!C487,"AAAAADzf//I=")</f>
        <v>#VALUE!</v>
      </c>
      <c r="IJ295" t="e">
        <f>AND('PROG FORM COMPLEM'!D487,"AAAAADzf//M=")</f>
        <v>#VALUE!</v>
      </c>
      <c r="IK295" t="e">
        <f>AND('PROG FORM COMPLEM'!E487,"AAAAADzf//Q=")</f>
        <v>#VALUE!</v>
      </c>
      <c r="IL295" t="e">
        <f>AND('PROG FORM COMPLEM'!F487,"AAAAADzf//U=")</f>
        <v>#VALUE!</v>
      </c>
      <c r="IM295" t="e">
        <f>AND('PROG FORM COMPLEM'!G487,"AAAAADzf//Y=")</f>
        <v>#VALUE!</v>
      </c>
      <c r="IN295" t="e">
        <f>AND('PROG FORM COMPLEM'!H487,"AAAAADzf//c=")</f>
        <v>#VALUE!</v>
      </c>
      <c r="IO295" t="e">
        <f>AND('PROG FORM COMPLEM'!I487,"AAAAADzf//g=")</f>
        <v>#VALUE!</v>
      </c>
      <c r="IP295" t="e">
        <f>AND('PROG FORM COMPLEM'!J487,"AAAAADzf//k=")</f>
        <v>#VALUE!</v>
      </c>
      <c r="IQ295" t="e">
        <f>AND('PROG FORM COMPLEM'!K487,"AAAAADzf//o=")</f>
        <v>#VALUE!</v>
      </c>
      <c r="IR295" t="e">
        <f>AND('PROG FORM COMPLEM'!L487,"AAAAADzf//s=")</f>
        <v>#VALUE!</v>
      </c>
      <c r="IS295" t="e">
        <f>AND('PROG FORM COMPLEM'!M487,"AAAAADzf//w=")</f>
        <v>#VALUE!</v>
      </c>
      <c r="IT295" t="e">
        <f>AND('PROG FORM COMPLEM'!N487,"AAAAADzf//0=")</f>
        <v>#VALUE!</v>
      </c>
      <c r="IU295" t="e">
        <f>AND('PROG FORM COMPLEM'!O487,"AAAAADzf//4=")</f>
        <v>#VALUE!</v>
      </c>
      <c r="IV295" t="e">
        <f>AND('PROG FORM COMPLEM'!P487,"AAAAADzf//8=")</f>
        <v>#VALUE!</v>
      </c>
    </row>
    <row r="296" spans="1:256" x14ac:dyDescent="0.2">
      <c r="A296" t="e">
        <f>AND('PROG FORM COMPLEM'!Q487,"AAAAAHf++QA=")</f>
        <v>#VALUE!</v>
      </c>
      <c r="B296" t="e">
        <f>AND('PROG FORM COMPLEM'!R487,"AAAAAHf++QE=")</f>
        <v>#VALUE!</v>
      </c>
      <c r="C296" t="e">
        <f>AND('PROG FORM COMPLEM'!S487,"AAAAAHf++QI=")</f>
        <v>#VALUE!</v>
      </c>
      <c r="D296" t="e">
        <f>AND('PROG FORM COMPLEM'!T487,"AAAAAHf++QM=")</f>
        <v>#VALUE!</v>
      </c>
      <c r="E296" t="e">
        <f>AND('PROG FORM COMPLEM'!U487,"AAAAAHf++QQ=")</f>
        <v>#VALUE!</v>
      </c>
      <c r="F296" t="e">
        <f>AND('PROG FORM COMPLEM'!V487,"AAAAAHf++QU=")</f>
        <v>#VALUE!</v>
      </c>
      <c r="G296" t="e">
        <f>AND('PROG FORM COMPLEM'!W487,"AAAAAHf++QY=")</f>
        <v>#VALUE!</v>
      </c>
      <c r="H296">
        <f>IF('PROG FORM COMPLEM'!488:488,"AAAAAHf++Qc=",0)</f>
        <v>0</v>
      </c>
      <c r="I296" t="e">
        <f>AND('PROG FORM COMPLEM'!B488,"AAAAAHf++Qg=")</f>
        <v>#VALUE!</v>
      </c>
      <c r="J296" t="e">
        <f>AND('PROG FORM COMPLEM'!C488,"AAAAAHf++Qk=")</f>
        <v>#VALUE!</v>
      </c>
      <c r="K296" t="e">
        <f>AND('PROG FORM COMPLEM'!D488,"AAAAAHf++Qo=")</f>
        <v>#VALUE!</v>
      </c>
      <c r="L296" t="e">
        <f>AND('PROG FORM COMPLEM'!E488,"AAAAAHf++Qs=")</f>
        <v>#VALUE!</v>
      </c>
      <c r="M296" t="e">
        <f>AND('PROG FORM COMPLEM'!F488,"AAAAAHf++Qw=")</f>
        <v>#VALUE!</v>
      </c>
      <c r="N296" t="e">
        <f>AND('PROG FORM COMPLEM'!G488,"AAAAAHf++Q0=")</f>
        <v>#VALUE!</v>
      </c>
      <c r="O296" t="e">
        <f>AND('PROG FORM COMPLEM'!H488,"AAAAAHf++Q4=")</f>
        <v>#VALUE!</v>
      </c>
      <c r="P296" t="e">
        <f>AND('PROG FORM COMPLEM'!I488,"AAAAAHf++Q8=")</f>
        <v>#VALUE!</v>
      </c>
      <c r="Q296" t="e">
        <f>AND('PROG FORM COMPLEM'!J488,"AAAAAHf++RA=")</f>
        <v>#VALUE!</v>
      </c>
      <c r="R296" t="e">
        <f>AND('PROG FORM COMPLEM'!K488,"AAAAAHf++RE=")</f>
        <v>#VALUE!</v>
      </c>
      <c r="S296" t="e">
        <f>AND('PROG FORM COMPLEM'!L488,"AAAAAHf++RI=")</f>
        <v>#VALUE!</v>
      </c>
      <c r="T296" t="e">
        <f>AND('PROG FORM COMPLEM'!M488,"AAAAAHf++RM=")</f>
        <v>#VALUE!</v>
      </c>
      <c r="U296" t="e">
        <f>AND('PROG FORM COMPLEM'!N488,"AAAAAHf++RQ=")</f>
        <v>#VALUE!</v>
      </c>
      <c r="V296" t="e">
        <f>AND('PROG FORM COMPLEM'!O488,"AAAAAHf++RU=")</f>
        <v>#VALUE!</v>
      </c>
      <c r="W296" t="e">
        <f>AND('PROG FORM COMPLEM'!P488,"AAAAAHf++RY=")</f>
        <v>#VALUE!</v>
      </c>
      <c r="X296" t="e">
        <f>AND('PROG FORM COMPLEM'!Q488,"AAAAAHf++Rc=")</f>
        <v>#VALUE!</v>
      </c>
      <c r="Y296" t="e">
        <f>AND('PROG FORM COMPLEM'!R488,"AAAAAHf++Rg=")</f>
        <v>#VALUE!</v>
      </c>
      <c r="Z296" t="e">
        <f>AND('PROG FORM COMPLEM'!S488,"AAAAAHf++Rk=")</f>
        <v>#VALUE!</v>
      </c>
      <c r="AA296" t="e">
        <f>AND('PROG FORM COMPLEM'!T488,"AAAAAHf++Ro=")</f>
        <v>#VALUE!</v>
      </c>
      <c r="AB296" t="e">
        <f>AND('PROG FORM COMPLEM'!U488,"AAAAAHf++Rs=")</f>
        <v>#VALUE!</v>
      </c>
      <c r="AC296" t="e">
        <f>AND('PROG FORM COMPLEM'!V488,"AAAAAHf++Rw=")</f>
        <v>#VALUE!</v>
      </c>
      <c r="AD296" t="e">
        <f>AND('PROG FORM COMPLEM'!W488,"AAAAAHf++R0=")</f>
        <v>#VALUE!</v>
      </c>
      <c r="AE296">
        <f>IF('PROG FORM COMPLEM'!489:489,"AAAAAHf++R4=",0)</f>
        <v>0</v>
      </c>
      <c r="AF296" t="e">
        <f>AND('PROG FORM COMPLEM'!B489,"AAAAAHf++R8=")</f>
        <v>#VALUE!</v>
      </c>
      <c r="AG296" t="e">
        <f>AND('PROG FORM COMPLEM'!C489,"AAAAAHf++SA=")</f>
        <v>#VALUE!</v>
      </c>
      <c r="AH296" t="e">
        <f>AND('PROG FORM COMPLEM'!D489,"AAAAAHf++SE=")</f>
        <v>#VALUE!</v>
      </c>
      <c r="AI296" t="e">
        <f>AND('PROG FORM COMPLEM'!E489,"AAAAAHf++SI=")</f>
        <v>#VALUE!</v>
      </c>
      <c r="AJ296" t="e">
        <f>AND('PROG FORM COMPLEM'!F489,"AAAAAHf++SM=")</f>
        <v>#VALUE!</v>
      </c>
      <c r="AK296" t="e">
        <f>AND('PROG FORM COMPLEM'!G489,"AAAAAHf++SQ=")</f>
        <v>#VALUE!</v>
      </c>
      <c r="AL296" t="e">
        <f>AND('PROG FORM COMPLEM'!H489,"AAAAAHf++SU=")</f>
        <v>#VALUE!</v>
      </c>
      <c r="AM296" t="e">
        <f>AND('PROG FORM COMPLEM'!I489,"AAAAAHf++SY=")</f>
        <v>#VALUE!</v>
      </c>
      <c r="AN296" t="e">
        <f>AND('PROG FORM COMPLEM'!J489,"AAAAAHf++Sc=")</f>
        <v>#VALUE!</v>
      </c>
      <c r="AO296" t="e">
        <f>AND('PROG FORM COMPLEM'!K489,"AAAAAHf++Sg=")</f>
        <v>#VALUE!</v>
      </c>
      <c r="AP296" t="e">
        <f>AND('PROG FORM COMPLEM'!L489,"AAAAAHf++Sk=")</f>
        <v>#VALUE!</v>
      </c>
      <c r="AQ296" t="e">
        <f>AND('PROG FORM COMPLEM'!M489,"AAAAAHf++So=")</f>
        <v>#VALUE!</v>
      </c>
      <c r="AR296" t="e">
        <f>AND('PROG FORM COMPLEM'!N489,"AAAAAHf++Ss=")</f>
        <v>#VALUE!</v>
      </c>
      <c r="AS296" t="e">
        <f>AND('PROG FORM COMPLEM'!O489,"AAAAAHf++Sw=")</f>
        <v>#VALUE!</v>
      </c>
      <c r="AT296" t="e">
        <f>AND('PROG FORM COMPLEM'!P489,"AAAAAHf++S0=")</f>
        <v>#VALUE!</v>
      </c>
      <c r="AU296" t="e">
        <f>AND('PROG FORM COMPLEM'!Q489,"AAAAAHf++S4=")</f>
        <v>#VALUE!</v>
      </c>
      <c r="AV296" t="e">
        <f>AND('PROG FORM COMPLEM'!R489,"AAAAAHf++S8=")</f>
        <v>#VALUE!</v>
      </c>
      <c r="AW296" t="e">
        <f>AND('PROG FORM COMPLEM'!S489,"AAAAAHf++TA=")</f>
        <v>#VALUE!</v>
      </c>
      <c r="AX296" t="e">
        <f>AND('PROG FORM COMPLEM'!T489,"AAAAAHf++TE=")</f>
        <v>#VALUE!</v>
      </c>
      <c r="AY296" t="e">
        <f>AND('PROG FORM COMPLEM'!U489,"AAAAAHf++TI=")</f>
        <v>#VALUE!</v>
      </c>
      <c r="AZ296" t="e">
        <f>AND('PROG FORM COMPLEM'!V489,"AAAAAHf++TM=")</f>
        <v>#VALUE!</v>
      </c>
      <c r="BA296" t="e">
        <f>AND('PROG FORM COMPLEM'!W489,"AAAAAHf++TQ=")</f>
        <v>#VALUE!</v>
      </c>
      <c r="BB296">
        <f>IF('PROG FORM COMPLEM'!490:490,"AAAAAHf++TU=",0)</f>
        <v>0</v>
      </c>
      <c r="BC296" t="e">
        <f>AND('PROG FORM COMPLEM'!B490,"AAAAAHf++TY=")</f>
        <v>#VALUE!</v>
      </c>
      <c r="BD296" t="e">
        <f>AND('PROG FORM COMPLEM'!C490,"AAAAAHf++Tc=")</f>
        <v>#VALUE!</v>
      </c>
      <c r="BE296" t="e">
        <f>AND('PROG FORM COMPLEM'!D490,"AAAAAHf++Tg=")</f>
        <v>#VALUE!</v>
      </c>
      <c r="BF296" t="e">
        <f>AND('PROG FORM COMPLEM'!E490,"AAAAAHf++Tk=")</f>
        <v>#VALUE!</v>
      </c>
      <c r="BG296" t="e">
        <f>AND('PROG FORM COMPLEM'!F490,"AAAAAHf++To=")</f>
        <v>#VALUE!</v>
      </c>
      <c r="BH296" t="e">
        <f>AND('PROG FORM COMPLEM'!G490,"AAAAAHf++Ts=")</f>
        <v>#VALUE!</v>
      </c>
      <c r="BI296" t="e">
        <f>AND('PROG FORM COMPLEM'!H490,"AAAAAHf++Tw=")</f>
        <v>#VALUE!</v>
      </c>
      <c r="BJ296" t="e">
        <f>AND('PROG FORM COMPLEM'!I490,"AAAAAHf++T0=")</f>
        <v>#VALUE!</v>
      </c>
      <c r="BK296" t="e">
        <f>AND('PROG FORM COMPLEM'!J490,"AAAAAHf++T4=")</f>
        <v>#VALUE!</v>
      </c>
      <c r="BL296" t="e">
        <f>AND('PROG FORM COMPLEM'!K490,"AAAAAHf++T8=")</f>
        <v>#VALUE!</v>
      </c>
      <c r="BM296" t="e">
        <f>AND('PROG FORM COMPLEM'!L490,"AAAAAHf++UA=")</f>
        <v>#VALUE!</v>
      </c>
      <c r="BN296" t="e">
        <f>AND('PROG FORM COMPLEM'!M490,"AAAAAHf++UE=")</f>
        <v>#VALUE!</v>
      </c>
      <c r="BO296" t="e">
        <f>AND('PROG FORM COMPLEM'!N490,"AAAAAHf++UI=")</f>
        <v>#VALUE!</v>
      </c>
      <c r="BP296" t="e">
        <f>AND('PROG FORM COMPLEM'!O490,"AAAAAHf++UM=")</f>
        <v>#VALUE!</v>
      </c>
      <c r="BQ296" t="e">
        <f>AND('PROG FORM COMPLEM'!P490,"AAAAAHf++UQ=")</f>
        <v>#VALUE!</v>
      </c>
      <c r="BR296" t="e">
        <f>AND('PROG FORM COMPLEM'!Q490,"AAAAAHf++UU=")</f>
        <v>#VALUE!</v>
      </c>
      <c r="BS296" t="e">
        <f>AND('PROG FORM COMPLEM'!R490,"AAAAAHf++UY=")</f>
        <v>#VALUE!</v>
      </c>
      <c r="BT296" t="e">
        <f>AND('PROG FORM COMPLEM'!S490,"AAAAAHf++Uc=")</f>
        <v>#VALUE!</v>
      </c>
      <c r="BU296" t="e">
        <f>AND('PROG FORM COMPLEM'!T490,"AAAAAHf++Ug=")</f>
        <v>#VALUE!</v>
      </c>
      <c r="BV296" t="e">
        <f>AND('PROG FORM COMPLEM'!U490,"AAAAAHf++Uk=")</f>
        <v>#VALUE!</v>
      </c>
      <c r="BW296" t="e">
        <f>AND('PROG FORM COMPLEM'!V490,"AAAAAHf++Uo=")</f>
        <v>#VALUE!</v>
      </c>
      <c r="BX296" t="e">
        <f>AND('PROG FORM COMPLEM'!W490,"AAAAAHf++Us=")</f>
        <v>#VALUE!</v>
      </c>
      <c r="BY296">
        <f>IF('PROG FORM COMPLEM'!491:491,"AAAAAHf++Uw=",0)</f>
        <v>0</v>
      </c>
      <c r="BZ296" t="e">
        <f>AND('PROG FORM COMPLEM'!B491,"AAAAAHf++U0=")</f>
        <v>#VALUE!</v>
      </c>
      <c r="CA296" t="e">
        <f>AND('PROG FORM COMPLEM'!C491,"AAAAAHf++U4=")</f>
        <v>#VALUE!</v>
      </c>
      <c r="CB296" t="e">
        <f>AND('PROG FORM COMPLEM'!D491,"AAAAAHf++U8=")</f>
        <v>#VALUE!</v>
      </c>
      <c r="CC296" t="e">
        <f>AND('PROG FORM COMPLEM'!E491,"AAAAAHf++VA=")</f>
        <v>#VALUE!</v>
      </c>
      <c r="CD296" t="e">
        <f>AND('PROG FORM COMPLEM'!F491,"AAAAAHf++VE=")</f>
        <v>#VALUE!</v>
      </c>
      <c r="CE296" t="e">
        <f>AND('PROG FORM COMPLEM'!G491,"AAAAAHf++VI=")</f>
        <v>#VALUE!</v>
      </c>
      <c r="CF296" t="e">
        <f>AND('PROG FORM COMPLEM'!H491,"AAAAAHf++VM=")</f>
        <v>#VALUE!</v>
      </c>
      <c r="CG296" t="e">
        <f>AND('PROG FORM COMPLEM'!I491,"AAAAAHf++VQ=")</f>
        <v>#VALUE!</v>
      </c>
      <c r="CH296" t="e">
        <f>AND('PROG FORM COMPLEM'!J491,"AAAAAHf++VU=")</f>
        <v>#VALUE!</v>
      </c>
      <c r="CI296" t="e">
        <f>AND('PROG FORM COMPLEM'!K491,"AAAAAHf++VY=")</f>
        <v>#VALUE!</v>
      </c>
      <c r="CJ296" t="e">
        <f>AND('PROG FORM COMPLEM'!L491,"AAAAAHf++Vc=")</f>
        <v>#VALUE!</v>
      </c>
      <c r="CK296" t="e">
        <f>AND('PROG FORM COMPLEM'!M491,"AAAAAHf++Vg=")</f>
        <v>#VALUE!</v>
      </c>
      <c r="CL296" t="e">
        <f>AND('PROG FORM COMPLEM'!N491,"AAAAAHf++Vk=")</f>
        <v>#VALUE!</v>
      </c>
      <c r="CM296" t="e">
        <f>AND('PROG FORM COMPLEM'!O491,"AAAAAHf++Vo=")</f>
        <v>#VALUE!</v>
      </c>
      <c r="CN296" t="e">
        <f>AND('PROG FORM COMPLEM'!P491,"AAAAAHf++Vs=")</f>
        <v>#VALUE!</v>
      </c>
      <c r="CO296" t="e">
        <f>AND('PROG FORM COMPLEM'!Q491,"AAAAAHf++Vw=")</f>
        <v>#VALUE!</v>
      </c>
      <c r="CP296" t="e">
        <f>AND('PROG FORM COMPLEM'!R491,"AAAAAHf++V0=")</f>
        <v>#VALUE!</v>
      </c>
      <c r="CQ296" t="e">
        <f>AND('PROG FORM COMPLEM'!S491,"AAAAAHf++V4=")</f>
        <v>#VALUE!</v>
      </c>
      <c r="CR296" t="e">
        <f>AND('PROG FORM COMPLEM'!T491,"AAAAAHf++V8=")</f>
        <v>#VALUE!</v>
      </c>
      <c r="CS296" t="e">
        <f>AND('PROG FORM COMPLEM'!U491,"AAAAAHf++WA=")</f>
        <v>#VALUE!</v>
      </c>
      <c r="CT296" t="e">
        <f>AND('PROG FORM COMPLEM'!V491,"AAAAAHf++WE=")</f>
        <v>#VALUE!</v>
      </c>
      <c r="CU296" t="e">
        <f>AND('PROG FORM COMPLEM'!W491,"AAAAAHf++WI=")</f>
        <v>#VALUE!</v>
      </c>
      <c r="CV296">
        <f>IF('PROG FORM COMPLEM'!492:492,"AAAAAHf++WM=",0)</f>
        <v>0</v>
      </c>
      <c r="CW296" t="e">
        <f>AND('PROG FORM COMPLEM'!B492,"AAAAAHf++WQ=")</f>
        <v>#VALUE!</v>
      </c>
      <c r="CX296" t="e">
        <f>AND('PROG FORM COMPLEM'!C492,"AAAAAHf++WU=")</f>
        <v>#VALUE!</v>
      </c>
      <c r="CY296" t="e">
        <f>AND('PROG FORM COMPLEM'!D492,"AAAAAHf++WY=")</f>
        <v>#VALUE!</v>
      </c>
      <c r="CZ296" t="e">
        <f>AND('PROG FORM COMPLEM'!E492,"AAAAAHf++Wc=")</f>
        <v>#VALUE!</v>
      </c>
      <c r="DA296" t="e">
        <f>AND('PROG FORM COMPLEM'!F492,"AAAAAHf++Wg=")</f>
        <v>#VALUE!</v>
      </c>
      <c r="DB296" t="e">
        <f>AND('PROG FORM COMPLEM'!G492,"AAAAAHf++Wk=")</f>
        <v>#VALUE!</v>
      </c>
      <c r="DC296" t="e">
        <f>AND('PROG FORM COMPLEM'!H492,"AAAAAHf++Wo=")</f>
        <v>#VALUE!</v>
      </c>
      <c r="DD296" t="e">
        <f>AND('PROG FORM COMPLEM'!I492,"AAAAAHf++Ws=")</f>
        <v>#VALUE!</v>
      </c>
      <c r="DE296" t="e">
        <f>AND('PROG FORM COMPLEM'!J492,"AAAAAHf++Ww=")</f>
        <v>#VALUE!</v>
      </c>
      <c r="DF296" t="e">
        <f>AND('PROG FORM COMPLEM'!K492,"AAAAAHf++W0=")</f>
        <v>#VALUE!</v>
      </c>
      <c r="DG296" t="e">
        <f>AND('PROG FORM COMPLEM'!L492,"AAAAAHf++W4=")</f>
        <v>#VALUE!</v>
      </c>
      <c r="DH296" t="e">
        <f>AND('PROG FORM COMPLEM'!M492,"AAAAAHf++W8=")</f>
        <v>#VALUE!</v>
      </c>
      <c r="DI296" t="e">
        <f>AND('PROG FORM COMPLEM'!N492,"AAAAAHf++XA=")</f>
        <v>#VALUE!</v>
      </c>
      <c r="DJ296" t="e">
        <f>AND('PROG FORM COMPLEM'!O492,"AAAAAHf++XE=")</f>
        <v>#VALUE!</v>
      </c>
      <c r="DK296" t="e">
        <f>AND('PROG FORM COMPLEM'!P492,"AAAAAHf++XI=")</f>
        <v>#VALUE!</v>
      </c>
      <c r="DL296" t="e">
        <f>AND('PROG FORM COMPLEM'!Q492,"AAAAAHf++XM=")</f>
        <v>#VALUE!</v>
      </c>
      <c r="DM296" t="e">
        <f>AND('PROG FORM COMPLEM'!R492,"AAAAAHf++XQ=")</f>
        <v>#VALUE!</v>
      </c>
      <c r="DN296" t="e">
        <f>AND('PROG FORM COMPLEM'!S492,"AAAAAHf++XU=")</f>
        <v>#VALUE!</v>
      </c>
      <c r="DO296" t="e">
        <f>AND('PROG FORM COMPLEM'!T492,"AAAAAHf++XY=")</f>
        <v>#VALUE!</v>
      </c>
      <c r="DP296" t="e">
        <f>AND('PROG FORM COMPLEM'!U492,"AAAAAHf++Xc=")</f>
        <v>#VALUE!</v>
      </c>
      <c r="DQ296" t="e">
        <f>AND('PROG FORM COMPLEM'!V492,"AAAAAHf++Xg=")</f>
        <v>#VALUE!</v>
      </c>
      <c r="DR296" t="e">
        <f>AND('PROG FORM COMPLEM'!W492,"AAAAAHf++Xk=")</f>
        <v>#VALUE!</v>
      </c>
      <c r="DS296">
        <f>IF('PROG FORM COMPLEM'!493:493,"AAAAAHf++Xo=",0)</f>
        <v>0</v>
      </c>
      <c r="DT296" t="e">
        <f>AND('PROG FORM COMPLEM'!B493,"AAAAAHf++Xs=")</f>
        <v>#VALUE!</v>
      </c>
      <c r="DU296" t="e">
        <f>AND('PROG FORM COMPLEM'!C493,"AAAAAHf++Xw=")</f>
        <v>#VALUE!</v>
      </c>
      <c r="DV296" t="e">
        <f>AND('PROG FORM COMPLEM'!D493,"AAAAAHf++X0=")</f>
        <v>#VALUE!</v>
      </c>
      <c r="DW296" t="e">
        <f>AND('PROG FORM COMPLEM'!E493,"AAAAAHf++X4=")</f>
        <v>#VALUE!</v>
      </c>
      <c r="DX296" t="e">
        <f>AND('PROG FORM COMPLEM'!F493,"AAAAAHf++X8=")</f>
        <v>#VALUE!</v>
      </c>
      <c r="DY296" t="e">
        <f>AND('PROG FORM COMPLEM'!G493,"AAAAAHf++YA=")</f>
        <v>#VALUE!</v>
      </c>
      <c r="DZ296" t="e">
        <f>AND('PROG FORM COMPLEM'!H493,"AAAAAHf++YE=")</f>
        <v>#VALUE!</v>
      </c>
      <c r="EA296" t="e">
        <f>AND('PROG FORM COMPLEM'!I493,"AAAAAHf++YI=")</f>
        <v>#VALUE!</v>
      </c>
      <c r="EB296" t="e">
        <f>AND('PROG FORM COMPLEM'!J493,"AAAAAHf++YM=")</f>
        <v>#VALUE!</v>
      </c>
      <c r="EC296" t="e">
        <f>AND('PROG FORM COMPLEM'!K493,"AAAAAHf++YQ=")</f>
        <v>#VALUE!</v>
      </c>
      <c r="ED296" t="e">
        <f>AND('PROG FORM COMPLEM'!L493,"AAAAAHf++YU=")</f>
        <v>#VALUE!</v>
      </c>
      <c r="EE296" t="e">
        <f>AND('PROG FORM COMPLEM'!M493,"AAAAAHf++YY=")</f>
        <v>#VALUE!</v>
      </c>
      <c r="EF296" t="e">
        <f>AND('PROG FORM COMPLEM'!N493,"AAAAAHf++Yc=")</f>
        <v>#VALUE!</v>
      </c>
      <c r="EG296" t="e">
        <f>AND('PROG FORM COMPLEM'!O493,"AAAAAHf++Yg=")</f>
        <v>#VALUE!</v>
      </c>
      <c r="EH296" t="e">
        <f>AND('PROG FORM COMPLEM'!P493,"AAAAAHf++Yk=")</f>
        <v>#VALUE!</v>
      </c>
      <c r="EI296" t="e">
        <f>AND('PROG FORM COMPLEM'!Q493,"AAAAAHf++Yo=")</f>
        <v>#VALUE!</v>
      </c>
      <c r="EJ296" t="e">
        <f>AND('PROG FORM COMPLEM'!R493,"AAAAAHf++Ys=")</f>
        <v>#VALUE!</v>
      </c>
      <c r="EK296" t="e">
        <f>AND('PROG FORM COMPLEM'!S493,"AAAAAHf++Yw=")</f>
        <v>#VALUE!</v>
      </c>
      <c r="EL296" t="e">
        <f>AND('PROG FORM COMPLEM'!T493,"AAAAAHf++Y0=")</f>
        <v>#VALUE!</v>
      </c>
      <c r="EM296" t="e">
        <f>AND('PROG FORM COMPLEM'!U493,"AAAAAHf++Y4=")</f>
        <v>#VALUE!</v>
      </c>
      <c r="EN296" t="e">
        <f>AND('PROG FORM COMPLEM'!V493,"AAAAAHf++Y8=")</f>
        <v>#VALUE!</v>
      </c>
      <c r="EO296" t="e">
        <f>AND('PROG FORM COMPLEM'!W493,"AAAAAHf++ZA=")</f>
        <v>#VALUE!</v>
      </c>
      <c r="EP296">
        <f>IF('PROG FORM COMPLEM'!494:494,"AAAAAHf++ZE=",0)</f>
        <v>0</v>
      </c>
      <c r="EQ296" t="e">
        <f>AND('PROG FORM COMPLEM'!B494,"AAAAAHf++ZI=")</f>
        <v>#VALUE!</v>
      </c>
      <c r="ER296" t="e">
        <f>AND('PROG FORM COMPLEM'!C494,"AAAAAHf++ZM=")</f>
        <v>#VALUE!</v>
      </c>
      <c r="ES296" t="e">
        <f>AND('PROG FORM COMPLEM'!D494,"AAAAAHf++ZQ=")</f>
        <v>#VALUE!</v>
      </c>
      <c r="ET296" t="e">
        <f>AND('PROG FORM COMPLEM'!E494,"AAAAAHf++ZU=")</f>
        <v>#VALUE!</v>
      </c>
      <c r="EU296" t="e">
        <f>AND('PROG FORM COMPLEM'!F494,"AAAAAHf++ZY=")</f>
        <v>#VALUE!</v>
      </c>
      <c r="EV296" t="e">
        <f>AND('PROG FORM COMPLEM'!G494,"AAAAAHf++Zc=")</f>
        <v>#VALUE!</v>
      </c>
      <c r="EW296" t="e">
        <f>AND('PROG FORM COMPLEM'!H494,"AAAAAHf++Zg=")</f>
        <v>#VALUE!</v>
      </c>
      <c r="EX296" t="e">
        <f>AND('PROG FORM COMPLEM'!I494,"AAAAAHf++Zk=")</f>
        <v>#VALUE!</v>
      </c>
      <c r="EY296" t="e">
        <f>AND('PROG FORM COMPLEM'!J494,"AAAAAHf++Zo=")</f>
        <v>#VALUE!</v>
      </c>
      <c r="EZ296" t="e">
        <f>AND('PROG FORM COMPLEM'!K494,"AAAAAHf++Zs=")</f>
        <v>#VALUE!</v>
      </c>
      <c r="FA296" t="e">
        <f>AND('PROG FORM COMPLEM'!L494,"AAAAAHf++Zw=")</f>
        <v>#VALUE!</v>
      </c>
      <c r="FB296" t="e">
        <f>AND('PROG FORM COMPLEM'!M494,"AAAAAHf++Z0=")</f>
        <v>#VALUE!</v>
      </c>
      <c r="FC296" t="e">
        <f>AND('PROG FORM COMPLEM'!N494,"AAAAAHf++Z4=")</f>
        <v>#VALUE!</v>
      </c>
      <c r="FD296" t="e">
        <f>AND('PROG FORM COMPLEM'!O494,"AAAAAHf++Z8=")</f>
        <v>#VALUE!</v>
      </c>
      <c r="FE296" t="e">
        <f>AND('PROG FORM COMPLEM'!P494,"AAAAAHf++aA=")</f>
        <v>#VALUE!</v>
      </c>
      <c r="FF296" t="e">
        <f>AND('PROG FORM COMPLEM'!Q494,"AAAAAHf++aE=")</f>
        <v>#VALUE!</v>
      </c>
      <c r="FG296" t="e">
        <f>AND('PROG FORM COMPLEM'!R494,"AAAAAHf++aI=")</f>
        <v>#VALUE!</v>
      </c>
      <c r="FH296" t="e">
        <f>AND('PROG FORM COMPLEM'!S494,"AAAAAHf++aM=")</f>
        <v>#VALUE!</v>
      </c>
      <c r="FI296" t="e">
        <f>AND('PROG FORM COMPLEM'!T494,"AAAAAHf++aQ=")</f>
        <v>#VALUE!</v>
      </c>
      <c r="FJ296" t="e">
        <f>AND('PROG FORM COMPLEM'!U494,"AAAAAHf++aU=")</f>
        <v>#VALUE!</v>
      </c>
      <c r="FK296" t="e">
        <f>AND('PROG FORM COMPLEM'!V494,"AAAAAHf++aY=")</f>
        <v>#VALUE!</v>
      </c>
      <c r="FL296" t="e">
        <f>AND('PROG FORM COMPLEM'!W494,"AAAAAHf++ac=")</f>
        <v>#VALUE!</v>
      </c>
      <c r="FM296">
        <f>IF('PROG FORM COMPLEM'!495:495,"AAAAAHf++ag=",0)</f>
        <v>0</v>
      </c>
      <c r="FN296" t="e">
        <f>AND('PROG FORM COMPLEM'!B495,"AAAAAHf++ak=")</f>
        <v>#VALUE!</v>
      </c>
      <c r="FO296" t="e">
        <f>AND('PROG FORM COMPLEM'!C495,"AAAAAHf++ao=")</f>
        <v>#VALUE!</v>
      </c>
      <c r="FP296" t="e">
        <f>AND('PROG FORM COMPLEM'!D495,"AAAAAHf++as=")</f>
        <v>#VALUE!</v>
      </c>
      <c r="FQ296" t="e">
        <f>AND('PROG FORM COMPLEM'!E495,"AAAAAHf++aw=")</f>
        <v>#VALUE!</v>
      </c>
      <c r="FR296" t="e">
        <f>AND('PROG FORM COMPLEM'!F495,"AAAAAHf++a0=")</f>
        <v>#VALUE!</v>
      </c>
      <c r="FS296" t="e">
        <f>AND('PROG FORM COMPLEM'!G495,"AAAAAHf++a4=")</f>
        <v>#VALUE!</v>
      </c>
      <c r="FT296" t="e">
        <f>AND('PROG FORM COMPLEM'!H495,"AAAAAHf++a8=")</f>
        <v>#VALUE!</v>
      </c>
      <c r="FU296" t="e">
        <f>AND('PROG FORM COMPLEM'!I495,"AAAAAHf++bA=")</f>
        <v>#VALUE!</v>
      </c>
      <c r="FV296" t="e">
        <f>AND('PROG FORM COMPLEM'!J495,"AAAAAHf++bE=")</f>
        <v>#VALUE!</v>
      </c>
      <c r="FW296" t="e">
        <f>AND('PROG FORM COMPLEM'!K495,"AAAAAHf++bI=")</f>
        <v>#VALUE!</v>
      </c>
      <c r="FX296" t="e">
        <f>AND('PROG FORM COMPLEM'!L495,"AAAAAHf++bM=")</f>
        <v>#VALUE!</v>
      </c>
      <c r="FY296" t="e">
        <f>AND('PROG FORM COMPLEM'!M495,"AAAAAHf++bQ=")</f>
        <v>#VALUE!</v>
      </c>
      <c r="FZ296" t="e">
        <f>AND('PROG FORM COMPLEM'!N495,"AAAAAHf++bU=")</f>
        <v>#VALUE!</v>
      </c>
      <c r="GA296" t="e">
        <f>AND('PROG FORM COMPLEM'!O495,"AAAAAHf++bY=")</f>
        <v>#VALUE!</v>
      </c>
      <c r="GB296" t="e">
        <f>AND('PROG FORM COMPLEM'!P495,"AAAAAHf++bc=")</f>
        <v>#VALUE!</v>
      </c>
      <c r="GC296" t="e">
        <f>AND('PROG FORM COMPLEM'!Q495,"AAAAAHf++bg=")</f>
        <v>#VALUE!</v>
      </c>
      <c r="GD296" t="e">
        <f>AND('PROG FORM COMPLEM'!R495,"AAAAAHf++bk=")</f>
        <v>#VALUE!</v>
      </c>
      <c r="GE296" t="e">
        <f>AND('PROG FORM COMPLEM'!S495,"AAAAAHf++bo=")</f>
        <v>#VALUE!</v>
      </c>
      <c r="GF296" t="e">
        <f>AND('PROG FORM COMPLEM'!T495,"AAAAAHf++bs=")</f>
        <v>#VALUE!</v>
      </c>
      <c r="GG296" t="e">
        <f>AND('PROG FORM COMPLEM'!U495,"AAAAAHf++bw=")</f>
        <v>#VALUE!</v>
      </c>
      <c r="GH296" t="e">
        <f>AND('PROG FORM COMPLEM'!V495,"AAAAAHf++b0=")</f>
        <v>#VALUE!</v>
      </c>
      <c r="GI296" t="e">
        <f>AND('PROG FORM COMPLEM'!W495,"AAAAAHf++b4=")</f>
        <v>#VALUE!</v>
      </c>
      <c r="GJ296">
        <f>IF('PROG FORM COMPLEM'!496:496,"AAAAAHf++b8=",0)</f>
        <v>0</v>
      </c>
      <c r="GK296" t="e">
        <f>AND('PROG FORM COMPLEM'!B496,"AAAAAHf++cA=")</f>
        <v>#VALUE!</v>
      </c>
      <c r="GL296" t="e">
        <f>AND('PROG FORM COMPLEM'!C496,"AAAAAHf++cE=")</f>
        <v>#VALUE!</v>
      </c>
      <c r="GM296" t="e">
        <f>AND('PROG FORM COMPLEM'!D496,"AAAAAHf++cI=")</f>
        <v>#VALUE!</v>
      </c>
      <c r="GN296" t="e">
        <f>AND('PROG FORM COMPLEM'!E496,"AAAAAHf++cM=")</f>
        <v>#VALUE!</v>
      </c>
      <c r="GO296" t="e">
        <f>AND('PROG FORM COMPLEM'!F496,"AAAAAHf++cQ=")</f>
        <v>#VALUE!</v>
      </c>
      <c r="GP296" t="e">
        <f>AND('PROG FORM COMPLEM'!G496,"AAAAAHf++cU=")</f>
        <v>#VALUE!</v>
      </c>
      <c r="GQ296" t="e">
        <f>AND('PROG FORM COMPLEM'!H496,"AAAAAHf++cY=")</f>
        <v>#VALUE!</v>
      </c>
      <c r="GR296" t="e">
        <f>AND('PROG FORM COMPLEM'!I496,"AAAAAHf++cc=")</f>
        <v>#VALUE!</v>
      </c>
      <c r="GS296" t="e">
        <f>AND('PROG FORM COMPLEM'!J496,"AAAAAHf++cg=")</f>
        <v>#VALUE!</v>
      </c>
      <c r="GT296" t="e">
        <f>AND('PROG FORM COMPLEM'!K496,"AAAAAHf++ck=")</f>
        <v>#VALUE!</v>
      </c>
      <c r="GU296" t="e">
        <f>AND('PROG FORM COMPLEM'!L496,"AAAAAHf++co=")</f>
        <v>#VALUE!</v>
      </c>
      <c r="GV296" t="e">
        <f>AND('PROG FORM COMPLEM'!M496,"AAAAAHf++cs=")</f>
        <v>#VALUE!</v>
      </c>
      <c r="GW296" t="e">
        <f>AND('PROG FORM COMPLEM'!N496,"AAAAAHf++cw=")</f>
        <v>#VALUE!</v>
      </c>
      <c r="GX296" t="e">
        <f>AND('PROG FORM COMPLEM'!O496,"AAAAAHf++c0=")</f>
        <v>#VALUE!</v>
      </c>
      <c r="GY296" t="e">
        <f>AND('PROG FORM COMPLEM'!P496,"AAAAAHf++c4=")</f>
        <v>#VALUE!</v>
      </c>
      <c r="GZ296" t="e">
        <f>AND('PROG FORM COMPLEM'!Q496,"AAAAAHf++c8=")</f>
        <v>#VALUE!</v>
      </c>
      <c r="HA296" t="e">
        <f>AND('PROG FORM COMPLEM'!R496,"AAAAAHf++dA=")</f>
        <v>#VALUE!</v>
      </c>
      <c r="HB296" t="e">
        <f>AND('PROG FORM COMPLEM'!S496,"AAAAAHf++dE=")</f>
        <v>#VALUE!</v>
      </c>
      <c r="HC296" t="e">
        <f>AND('PROG FORM COMPLEM'!T496,"AAAAAHf++dI=")</f>
        <v>#VALUE!</v>
      </c>
      <c r="HD296" t="e">
        <f>AND('PROG FORM COMPLEM'!U496,"AAAAAHf++dM=")</f>
        <v>#VALUE!</v>
      </c>
      <c r="HE296" t="e">
        <f>AND('PROG FORM COMPLEM'!V496,"AAAAAHf++dQ=")</f>
        <v>#VALUE!</v>
      </c>
      <c r="HF296" t="e">
        <f>AND('PROG FORM COMPLEM'!W496,"AAAAAHf++dU=")</f>
        <v>#VALUE!</v>
      </c>
      <c r="HG296">
        <f>IF('PROG FORM COMPLEM'!497:497,"AAAAAHf++dY=",0)</f>
        <v>0</v>
      </c>
      <c r="HH296" t="e">
        <f>AND('PROG FORM COMPLEM'!B497,"AAAAAHf++dc=")</f>
        <v>#VALUE!</v>
      </c>
      <c r="HI296" t="e">
        <f>AND('PROG FORM COMPLEM'!C497,"AAAAAHf++dg=")</f>
        <v>#VALUE!</v>
      </c>
      <c r="HJ296" t="e">
        <f>AND('PROG FORM COMPLEM'!D497,"AAAAAHf++dk=")</f>
        <v>#VALUE!</v>
      </c>
      <c r="HK296" t="e">
        <f>AND('PROG FORM COMPLEM'!E497,"AAAAAHf++do=")</f>
        <v>#VALUE!</v>
      </c>
      <c r="HL296" t="e">
        <f>AND('PROG FORM COMPLEM'!F497,"AAAAAHf++ds=")</f>
        <v>#VALUE!</v>
      </c>
      <c r="HM296" t="e">
        <f>AND('PROG FORM COMPLEM'!G497,"AAAAAHf++dw=")</f>
        <v>#VALUE!</v>
      </c>
      <c r="HN296" t="e">
        <f>AND('PROG FORM COMPLEM'!H497,"AAAAAHf++d0=")</f>
        <v>#VALUE!</v>
      </c>
      <c r="HO296" t="e">
        <f>AND('PROG FORM COMPLEM'!I497,"AAAAAHf++d4=")</f>
        <v>#VALUE!</v>
      </c>
      <c r="HP296" t="e">
        <f>AND('PROG FORM COMPLEM'!J497,"AAAAAHf++d8=")</f>
        <v>#VALUE!</v>
      </c>
      <c r="HQ296" t="e">
        <f>AND('PROG FORM COMPLEM'!K497,"AAAAAHf++eA=")</f>
        <v>#VALUE!</v>
      </c>
      <c r="HR296" t="e">
        <f>AND('PROG FORM COMPLEM'!L497,"AAAAAHf++eE=")</f>
        <v>#VALUE!</v>
      </c>
      <c r="HS296" t="e">
        <f>AND('PROG FORM COMPLEM'!M497,"AAAAAHf++eI=")</f>
        <v>#VALUE!</v>
      </c>
      <c r="HT296" t="e">
        <f>AND('PROG FORM COMPLEM'!N497,"AAAAAHf++eM=")</f>
        <v>#VALUE!</v>
      </c>
      <c r="HU296" t="e">
        <f>AND('PROG FORM COMPLEM'!O497,"AAAAAHf++eQ=")</f>
        <v>#VALUE!</v>
      </c>
      <c r="HV296" t="e">
        <f>AND('PROG FORM COMPLEM'!P497,"AAAAAHf++eU=")</f>
        <v>#VALUE!</v>
      </c>
      <c r="HW296" t="e">
        <f>AND('PROG FORM COMPLEM'!Q497,"AAAAAHf++eY=")</f>
        <v>#VALUE!</v>
      </c>
      <c r="HX296" t="e">
        <f>AND('PROG FORM COMPLEM'!R497,"AAAAAHf++ec=")</f>
        <v>#VALUE!</v>
      </c>
      <c r="HY296" t="e">
        <f>AND('PROG FORM COMPLEM'!S497,"AAAAAHf++eg=")</f>
        <v>#VALUE!</v>
      </c>
      <c r="HZ296" t="e">
        <f>AND('PROG FORM COMPLEM'!T497,"AAAAAHf++ek=")</f>
        <v>#VALUE!</v>
      </c>
      <c r="IA296" t="e">
        <f>AND('PROG FORM COMPLEM'!U497,"AAAAAHf++eo=")</f>
        <v>#VALUE!</v>
      </c>
      <c r="IB296" t="e">
        <f>AND('PROG FORM COMPLEM'!V497,"AAAAAHf++es=")</f>
        <v>#VALUE!</v>
      </c>
      <c r="IC296" t="e">
        <f>AND('PROG FORM COMPLEM'!W497,"AAAAAHf++ew=")</f>
        <v>#VALUE!</v>
      </c>
      <c r="ID296">
        <f>IF('PROG FORM COMPLEM'!498:498,"AAAAAHf++e0=",0)</f>
        <v>0</v>
      </c>
      <c r="IE296" t="e">
        <f>AND('PROG FORM COMPLEM'!B498,"AAAAAHf++e4=")</f>
        <v>#VALUE!</v>
      </c>
      <c r="IF296" t="e">
        <f>AND('PROG FORM COMPLEM'!C498,"AAAAAHf++e8=")</f>
        <v>#VALUE!</v>
      </c>
      <c r="IG296" t="e">
        <f>AND('PROG FORM COMPLEM'!D498,"AAAAAHf++fA=")</f>
        <v>#VALUE!</v>
      </c>
      <c r="IH296" t="e">
        <f>AND('PROG FORM COMPLEM'!E498,"AAAAAHf++fE=")</f>
        <v>#VALUE!</v>
      </c>
      <c r="II296" t="e">
        <f>AND('PROG FORM COMPLEM'!F498,"AAAAAHf++fI=")</f>
        <v>#VALUE!</v>
      </c>
      <c r="IJ296" t="e">
        <f>AND('PROG FORM COMPLEM'!G498,"AAAAAHf++fM=")</f>
        <v>#VALUE!</v>
      </c>
      <c r="IK296" t="e">
        <f>AND('PROG FORM COMPLEM'!H498,"AAAAAHf++fQ=")</f>
        <v>#VALUE!</v>
      </c>
      <c r="IL296" t="e">
        <f>AND('PROG FORM COMPLEM'!I498,"AAAAAHf++fU=")</f>
        <v>#VALUE!</v>
      </c>
      <c r="IM296" t="e">
        <f>AND('PROG FORM COMPLEM'!J498,"AAAAAHf++fY=")</f>
        <v>#VALUE!</v>
      </c>
      <c r="IN296" t="e">
        <f>AND('PROG FORM COMPLEM'!K498,"AAAAAHf++fc=")</f>
        <v>#VALUE!</v>
      </c>
      <c r="IO296" t="e">
        <f>AND('PROG FORM COMPLEM'!L498,"AAAAAHf++fg=")</f>
        <v>#VALUE!</v>
      </c>
      <c r="IP296" t="e">
        <f>AND('PROG FORM COMPLEM'!M498,"AAAAAHf++fk=")</f>
        <v>#VALUE!</v>
      </c>
      <c r="IQ296" t="e">
        <f>AND('PROG FORM COMPLEM'!N498,"AAAAAHf++fo=")</f>
        <v>#VALUE!</v>
      </c>
      <c r="IR296" t="e">
        <f>AND('PROG FORM COMPLEM'!O498,"AAAAAHf++fs=")</f>
        <v>#VALUE!</v>
      </c>
      <c r="IS296" t="e">
        <f>AND('PROG FORM COMPLEM'!P498,"AAAAAHf++fw=")</f>
        <v>#VALUE!</v>
      </c>
      <c r="IT296" t="e">
        <f>AND('PROG FORM COMPLEM'!Q498,"AAAAAHf++f0=")</f>
        <v>#VALUE!</v>
      </c>
      <c r="IU296" t="e">
        <f>AND('PROG FORM COMPLEM'!R498,"AAAAAHf++f4=")</f>
        <v>#VALUE!</v>
      </c>
      <c r="IV296" t="e">
        <f>AND('PROG FORM COMPLEM'!S498,"AAAAAHf++f8=")</f>
        <v>#VALUE!</v>
      </c>
    </row>
    <row r="297" spans="1:256" x14ac:dyDescent="0.2">
      <c r="A297" t="e">
        <f>AND('PROG FORM COMPLEM'!T498,"AAAAAG0mpwA=")</f>
        <v>#VALUE!</v>
      </c>
      <c r="B297" t="e">
        <f>AND('PROG FORM COMPLEM'!U498,"AAAAAG0mpwE=")</f>
        <v>#VALUE!</v>
      </c>
      <c r="C297" t="e">
        <f>AND('PROG FORM COMPLEM'!V498,"AAAAAG0mpwI=")</f>
        <v>#VALUE!</v>
      </c>
      <c r="D297" t="e">
        <f>AND('PROG FORM COMPLEM'!W498,"AAAAAG0mpwM=")</f>
        <v>#VALUE!</v>
      </c>
      <c r="E297">
        <f>IF('PROG FORM COMPLEM'!499:499,"AAAAAG0mpwQ=",0)</f>
        <v>0</v>
      </c>
      <c r="F297" t="e">
        <f>AND('PROG FORM COMPLEM'!B499,"AAAAAG0mpwU=")</f>
        <v>#VALUE!</v>
      </c>
      <c r="G297" t="e">
        <f>AND('PROG FORM COMPLEM'!C499,"AAAAAG0mpwY=")</f>
        <v>#VALUE!</v>
      </c>
      <c r="H297" t="e">
        <f>AND('PROG FORM COMPLEM'!D499,"AAAAAG0mpwc=")</f>
        <v>#VALUE!</v>
      </c>
      <c r="I297" t="e">
        <f>AND('PROG FORM COMPLEM'!E499,"AAAAAG0mpwg=")</f>
        <v>#VALUE!</v>
      </c>
      <c r="J297" t="e">
        <f>AND('PROG FORM COMPLEM'!F499,"AAAAAG0mpwk=")</f>
        <v>#VALUE!</v>
      </c>
      <c r="K297" t="e">
        <f>AND('PROG FORM COMPLEM'!G499,"AAAAAG0mpwo=")</f>
        <v>#VALUE!</v>
      </c>
      <c r="L297" t="e">
        <f>AND('PROG FORM COMPLEM'!H499,"AAAAAG0mpws=")</f>
        <v>#VALUE!</v>
      </c>
      <c r="M297" t="e">
        <f>AND('PROG FORM COMPLEM'!I499,"AAAAAG0mpww=")</f>
        <v>#VALUE!</v>
      </c>
      <c r="N297" t="e">
        <f>AND('PROG FORM COMPLEM'!J499,"AAAAAG0mpw0=")</f>
        <v>#VALUE!</v>
      </c>
      <c r="O297" t="e">
        <f>AND('PROG FORM COMPLEM'!K499,"AAAAAG0mpw4=")</f>
        <v>#VALUE!</v>
      </c>
      <c r="P297" t="e">
        <f>AND('PROG FORM COMPLEM'!L499,"AAAAAG0mpw8=")</f>
        <v>#VALUE!</v>
      </c>
      <c r="Q297" t="e">
        <f>AND('PROG FORM COMPLEM'!M499,"AAAAAG0mpxA=")</f>
        <v>#VALUE!</v>
      </c>
      <c r="R297" t="e">
        <f>AND('PROG FORM COMPLEM'!N499,"AAAAAG0mpxE=")</f>
        <v>#VALUE!</v>
      </c>
      <c r="S297" t="e">
        <f>AND('PROG FORM COMPLEM'!O499,"AAAAAG0mpxI=")</f>
        <v>#VALUE!</v>
      </c>
      <c r="T297" t="e">
        <f>AND('PROG FORM COMPLEM'!P499,"AAAAAG0mpxM=")</f>
        <v>#VALUE!</v>
      </c>
      <c r="U297" t="e">
        <f>AND('PROG FORM COMPLEM'!Q499,"AAAAAG0mpxQ=")</f>
        <v>#VALUE!</v>
      </c>
      <c r="V297" t="e">
        <f>AND('PROG FORM COMPLEM'!R499,"AAAAAG0mpxU=")</f>
        <v>#VALUE!</v>
      </c>
      <c r="W297" t="e">
        <f>AND('PROG FORM COMPLEM'!S499,"AAAAAG0mpxY=")</f>
        <v>#VALUE!</v>
      </c>
      <c r="X297" t="e">
        <f>AND('PROG FORM COMPLEM'!T499,"AAAAAG0mpxc=")</f>
        <v>#VALUE!</v>
      </c>
      <c r="Y297" t="e">
        <f>AND('PROG FORM COMPLEM'!U499,"AAAAAG0mpxg=")</f>
        <v>#VALUE!</v>
      </c>
      <c r="Z297" t="e">
        <f>AND('PROG FORM COMPLEM'!V499,"AAAAAG0mpxk=")</f>
        <v>#VALUE!</v>
      </c>
      <c r="AA297" t="e">
        <f>AND('PROG FORM COMPLEM'!W499,"AAAAAG0mpxo=")</f>
        <v>#VALUE!</v>
      </c>
      <c r="AB297">
        <f>IF('PROG FORM COMPLEM'!500:500,"AAAAAG0mpxs=",0)</f>
        <v>0</v>
      </c>
      <c r="AC297" t="e">
        <f>AND('PROG FORM COMPLEM'!B500,"AAAAAG0mpxw=")</f>
        <v>#VALUE!</v>
      </c>
      <c r="AD297" t="e">
        <f>AND('PROG FORM COMPLEM'!C500,"AAAAAG0mpx0=")</f>
        <v>#VALUE!</v>
      </c>
      <c r="AE297" t="e">
        <f>AND('PROG FORM COMPLEM'!D500,"AAAAAG0mpx4=")</f>
        <v>#VALUE!</v>
      </c>
      <c r="AF297" t="e">
        <f>AND('PROG FORM COMPLEM'!E500,"AAAAAG0mpx8=")</f>
        <v>#VALUE!</v>
      </c>
      <c r="AG297" t="e">
        <f>AND('PROG FORM COMPLEM'!F500,"AAAAAG0mpyA=")</f>
        <v>#VALUE!</v>
      </c>
      <c r="AH297" t="e">
        <f>AND('PROG FORM COMPLEM'!G500,"AAAAAG0mpyE=")</f>
        <v>#VALUE!</v>
      </c>
      <c r="AI297" t="e">
        <f>AND('PROG FORM COMPLEM'!H500,"AAAAAG0mpyI=")</f>
        <v>#VALUE!</v>
      </c>
      <c r="AJ297" t="e">
        <f>AND('PROG FORM COMPLEM'!I500,"AAAAAG0mpyM=")</f>
        <v>#VALUE!</v>
      </c>
      <c r="AK297" t="e">
        <f>AND('PROG FORM COMPLEM'!J500,"AAAAAG0mpyQ=")</f>
        <v>#VALUE!</v>
      </c>
      <c r="AL297" t="e">
        <f>AND('PROG FORM COMPLEM'!K500,"AAAAAG0mpyU=")</f>
        <v>#VALUE!</v>
      </c>
      <c r="AM297" t="e">
        <f>AND('PROG FORM COMPLEM'!L500,"AAAAAG0mpyY=")</f>
        <v>#VALUE!</v>
      </c>
      <c r="AN297" t="e">
        <f>AND('PROG FORM COMPLEM'!M500,"AAAAAG0mpyc=")</f>
        <v>#VALUE!</v>
      </c>
      <c r="AO297" t="e">
        <f>AND('PROG FORM COMPLEM'!N500,"AAAAAG0mpyg=")</f>
        <v>#VALUE!</v>
      </c>
      <c r="AP297" t="e">
        <f>AND('PROG FORM COMPLEM'!O500,"AAAAAG0mpyk=")</f>
        <v>#VALUE!</v>
      </c>
      <c r="AQ297" t="e">
        <f>AND('PROG FORM COMPLEM'!P500,"AAAAAG0mpyo=")</f>
        <v>#VALUE!</v>
      </c>
      <c r="AR297" t="e">
        <f>AND('PROG FORM COMPLEM'!Q500,"AAAAAG0mpys=")</f>
        <v>#VALUE!</v>
      </c>
      <c r="AS297" t="e">
        <f>AND('PROG FORM COMPLEM'!R500,"AAAAAG0mpyw=")</f>
        <v>#VALUE!</v>
      </c>
      <c r="AT297" t="e">
        <f>AND('PROG FORM COMPLEM'!S500,"AAAAAG0mpy0=")</f>
        <v>#VALUE!</v>
      </c>
      <c r="AU297" t="e">
        <f>AND('PROG FORM COMPLEM'!T500,"AAAAAG0mpy4=")</f>
        <v>#VALUE!</v>
      </c>
      <c r="AV297" t="e">
        <f>AND('PROG FORM COMPLEM'!U500,"AAAAAG0mpy8=")</f>
        <v>#VALUE!</v>
      </c>
      <c r="AW297" t="e">
        <f>AND('PROG FORM COMPLEM'!V500,"AAAAAG0mpzA=")</f>
        <v>#VALUE!</v>
      </c>
      <c r="AX297" t="e">
        <f>AND('PROG FORM COMPLEM'!W500,"AAAAAG0mpzE=")</f>
        <v>#VALUE!</v>
      </c>
      <c r="AY297">
        <f>IF('PROG FORM COMPLEM'!501:501,"AAAAAG0mpzI=",0)</f>
        <v>0</v>
      </c>
      <c r="AZ297" t="e">
        <f>AND('PROG FORM COMPLEM'!B501,"AAAAAG0mpzM=")</f>
        <v>#VALUE!</v>
      </c>
      <c r="BA297">
        <f>IF('PROG FORM COMPLEM'!502:502,"AAAAAG0mpzQ=",0)</f>
        <v>0</v>
      </c>
      <c r="BB297" t="e">
        <f>AND('PROG FORM COMPLEM'!B502,"AAAAAG0mpzU=")</f>
        <v>#VALUE!</v>
      </c>
      <c r="BC297">
        <f>IF('PROG FORM COMPLEM'!503:503,"AAAAAG0mpzY=",0)</f>
        <v>0</v>
      </c>
      <c r="BD297" t="e">
        <f>AND('PROG FORM COMPLEM'!B503,"AAAAAG0mpzc=")</f>
        <v>#VALUE!</v>
      </c>
      <c r="BE297">
        <f>IF('PROG FORM COMPLEM'!504:504,"AAAAAG0mpzg=",0)</f>
        <v>0</v>
      </c>
      <c r="BF297" t="e">
        <f>AND('PROG FORM COMPLEM'!B504,"AAAAAG0mpzk=")</f>
        <v>#VALUE!</v>
      </c>
      <c r="BG297">
        <f>IF('PROG FORM COMPLEM'!505:505,"AAAAAG0mpzo=",0)</f>
        <v>0</v>
      </c>
      <c r="BH297" t="e">
        <f>AND('PROG FORM COMPLEM'!B505,"AAAAAG0mpzs=")</f>
        <v>#VALUE!</v>
      </c>
      <c r="BI297">
        <f>IF('PROG FORM COMPLEM'!506:506,"AAAAAG0mpzw=",0)</f>
        <v>0</v>
      </c>
      <c r="BJ297" t="e">
        <f>AND('PROG FORM COMPLEM'!B506,"AAAAAG0mpz0=")</f>
        <v>#VALUE!</v>
      </c>
      <c r="BK297">
        <f>IF('PROG FORM COMPLEM'!507:507,"AAAAAG0mpz4=",0)</f>
        <v>0</v>
      </c>
      <c r="BL297" t="e">
        <f>AND('PROG FORM COMPLEM'!B507,"AAAAAG0mpz8=")</f>
        <v>#VALUE!</v>
      </c>
      <c r="BM297">
        <f>IF('PROG FORM COMPLEM'!508:508,"AAAAAG0mp0A=",0)</f>
        <v>0</v>
      </c>
      <c r="BN297" t="e">
        <f>AND('PROG FORM COMPLEM'!B508,"AAAAAG0mp0E=")</f>
        <v>#VALUE!</v>
      </c>
      <c r="BO297">
        <f>IF('PROG FORM COMPLEM'!509:509,"AAAAAG0mp0I=",0)</f>
        <v>0</v>
      </c>
      <c r="BP297" t="e">
        <f>AND('PROG FORM COMPLEM'!B509,"AAAAAG0mp0M=")</f>
        <v>#VALUE!</v>
      </c>
      <c r="BQ297">
        <f>IF('PROG FORM COMPLEM'!510:510,"AAAAAG0mp0Q=",0)</f>
        <v>0</v>
      </c>
      <c r="BR297" t="e">
        <f>AND('PROG FORM COMPLEM'!B510,"AAAAAG0mp0U=")</f>
        <v>#VALUE!</v>
      </c>
      <c r="BS297">
        <f>IF('PROG FORM COMPLEM'!511:511,"AAAAAG0mp0Y=",0)</f>
        <v>0</v>
      </c>
      <c r="BT297" t="e">
        <f>AND('PROG FORM COMPLEM'!B511,"AAAAAG0mp0c=")</f>
        <v>#VALUE!</v>
      </c>
      <c r="BU297">
        <f>IF('PROG FORM COMPLEM'!512:512,"AAAAAG0mp0g=",0)</f>
        <v>0</v>
      </c>
      <c r="BV297" t="e">
        <f>AND('PROG FORM COMPLEM'!B512,"AAAAAG0mp0k=")</f>
        <v>#VALUE!</v>
      </c>
      <c r="BW297">
        <f>IF('PROG FORM COMPLEM'!513:513,"AAAAAG0mp0o=",0)</f>
        <v>0</v>
      </c>
      <c r="BX297" t="e">
        <f>AND('PROG FORM COMPLEM'!B513,"AAAAAG0mp0s=")</f>
        <v>#VALUE!</v>
      </c>
      <c r="BY297">
        <f>IF('PROG FORM COMPLEM'!514:514,"AAAAAG0mp0w=",0)</f>
        <v>0</v>
      </c>
      <c r="BZ297" t="e">
        <f>AND('PROG FORM COMPLEM'!B514,"AAAAAG0mp00=")</f>
        <v>#VALUE!</v>
      </c>
      <c r="CA297">
        <f>IF('PROG FORM COMPLEM'!515:515,"AAAAAG0mp04=",0)</f>
        <v>0</v>
      </c>
      <c r="CB297" t="e">
        <f>AND('PROG FORM COMPLEM'!B515,"AAAAAG0mp08=")</f>
        <v>#VALUE!</v>
      </c>
      <c r="CC297">
        <f>IF('PROG FORM COMPLEM'!516:516,"AAAAAG0mp1A=",0)</f>
        <v>0</v>
      </c>
      <c r="CD297" t="e">
        <f>AND('PROG FORM COMPLEM'!B516,"AAAAAG0mp1E=")</f>
        <v>#VALUE!</v>
      </c>
      <c r="CE297">
        <f>IF('PROG FORM COMPLEM'!517:517,"AAAAAG0mp1I=",0)</f>
        <v>0</v>
      </c>
      <c r="CF297" t="e">
        <f>AND('PROG FORM COMPLEM'!B517,"AAAAAG0mp1M=")</f>
        <v>#VALUE!</v>
      </c>
      <c r="CG297">
        <f>IF('PROG FORM COMPLEM'!518:518,"AAAAAG0mp1Q=",0)</f>
        <v>0</v>
      </c>
      <c r="CH297" t="e">
        <f>AND('PROG FORM COMPLEM'!B518,"AAAAAG0mp1U=")</f>
        <v>#VALUE!</v>
      </c>
      <c r="CI297">
        <f>IF('PROG FORM COMPLEM'!519:519,"AAAAAG0mp1Y=",0)</f>
        <v>0</v>
      </c>
      <c r="CJ297" t="e">
        <f>AND('PROG FORM COMPLEM'!B519,"AAAAAG0mp1c=")</f>
        <v>#VALUE!</v>
      </c>
      <c r="CK297">
        <f>IF('PROG FORM COMPLEM'!520:520,"AAAAAG0mp1g=",0)</f>
        <v>0</v>
      </c>
      <c r="CL297" t="e">
        <f>AND('PROG FORM COMPLEM'!B520,"AAAAAG0mp1k=")</f>
        <v>#VALUE!</v>
      </c>
      <c r="CM297">
        <f>IF('PROG FORM COMPLEM'!521:521,"AAAAAG0mp1o=",0)</f>
        <v>0</v>
      </c>
      <c r="CN297" t="e">
        <f>AND('PROG FORM COMPLEM'!B521,"AAAAAG0mp1s=")</f>
        <v>#VALUE!</v>
      </c>
      <c r="CO297">
        <f>IF('PROG FORM COMPLEM'!522:522,"AAAAAG0mp1w=",0)</f>
        <v>0</v>
      </c>
      <c r="CP297" t="e">
        <f>AND('PROG FORM COMPLEM'!B522,"AAAAAG0mp10=")</f>
        <v>#VALUE!</v>
      </c>
      <c r="CQ297">
        <f>IF('PROG FORM COMPLEM'!523:523,"AAAAAG0mp14=",0)</f>
        <v>0</v>
      </c>
      <c r="CR297" t="e">
        <f>AND('PROG FORM COMPLEM'!B523,"AAAAAG0mp18=")</f>
        <v>#VALUE!</v>
      </c>
      <c r="CS297">
        <f>IF('PROG FORM COMPLEM'!524:524,"AAAAAG0mp2A=",0)</f>
        <v>0</v>
      </c>
      <c r="CT297" t="e">
        <f>AND('PROG FORM COMPLEM'!B524,"AAAAAG0mp2E=")</f>
        <v>#VALUE!</v>
      </c>
      <c r="CU297">
        <f>IF('PROG FORM COMPLEM'!525:525,"AAAAAG0mp2I=",0)</f>
        <v>0</v>
      </c>
      <c r="CV297" t="e">
        <f>AND('PROG FORM COMPLEM'!B525,"AAAAAG0mp2M=")</f>
        <v>#VALUE!</v>
      </c>
      <c r="CW297">
        <f>IF('PROG FORM COMPLEM'!526:526,"AAAAAG0mp2Q=",0)</f>
        <v>0</v>
      </c>
      <c r="CX297" t="e">
        <f>AND('PROG FORM COMPLEM'!B526,"AAAAAG0mp2U=")</f>
        <v>#VALUE!</v>
      </c>
      <c r="CY297">
        <f>IF('PROG FORM COMPLEM'!527:527,"AAAAAG0mp2Y=",0)</f>
        <v>0</v>
      </c>
      <c r="CZ297" t="e">
        <f>AND('PROG FORM COMPLEM'!B527,"AAAAAG0mp2c=")</f>
        <v>#VALUE!</v>
      </c>
      <c r="DA297">
        <f>IF('PROG FORM COMPLEM'!528:528,"AAAAAG0mp2g=",0)</f>
        <v>0</v>
      </c>
      <c r="DB297" t="e">
        <f>AND('PROG FORM COMPLEM'!B528,"AAAAAG0mp2k=")</f>
        <v>#VALUE!</v>
      </c>
      <c r="DC297">
        <f>IF('PROG FORM COMPLEM'!529:529,"AAAAAG0mp2o=",0)</f>
        <v>0</v>
      </c>
      <c r="DD297" t="e">
        <f>AND('PROG FORM COMPLEM'!B529,"AAAAAG0mp2s=")</f>
        <v>#VALUE!</v>
      </c>
      <c r="DE297">
        <f>IF('PROG FORM COMPLEM'!530:530,"AAAAAG0mp2w=",0)</f>
        <v>0</v>
      </c>
      <c r="DF297" t="e">
        <f>AND('PROG FORM COMPLEM'!B530,"AAAAAG0mp20=")</f>
        <v>#VALUE!</v>
      </c>
      <c r="DG297">
        <f>IF('PROG FORM COMPLEM'!531:531,"AAAAAG0mp24=",0)</f>
        <v>0</v>
      </c>
      <c r="DH297" t="e">
        <f>AND('PROG FORM COMPLEM'!B531,"AAAAAG0mp28=")</f>
        <v>#VALUE!</v>
      </c>
      <c r="DI297">
        <f>IF('PROG FORM COMPLEM'!532:532,"AAAAAG0mp3A=",0)</f>
        <v>0</v>
      </c>
      <c r="DJ297" t="e">
        <f>AND('PROG FORM COMPLEM'!B532,"AAAAAG0mp3E=")</f>
        <v>#VALUE!</v>
      </c>
      <c r="DK297">
        <f>IF('PROG FORM COMPLEM'!533:533,"AAAAAG0mp3I=",0)</f>
        <v>0</v>
      </c>
      <c r="DL297" t="e">
        <f>AND('PROG FORM COMPLEM'!B533,"AAAAAG0mp3M=")</f>
        <v>#VALUE!</v>
      </c>
      <c r="DM297">
        <f>IF('PROG FORM COMPLEM'!534:534,"AAAAAG0mp3Q=",0)</f>
        <v>0</v>
      </c>
      <c r="DN297" t="e">
        <f>AND('PROG FORM COMPLEM'!B534,"AAAAAG0mp3U=")</f>
        <v>#VALUE!</v>
      </c>
      <c r="DO297">
        <f>IF('PROG FORM COMPLEM'!535:535,"AAAAAG0mp3Y=",0)</f>
        <v>0</v>
      </c>
      <c r="DP297" t="e">
        <f>AND('PROG FORM COMPLEM'!B535,"AAAAAG0mp3c=")</f>
        <v>#VALUE!</v>
      </c>
      <c r="DQ297">
        <f>IF('PROG FORM COMPLEM'!536:536,"AAAAAG0mp3g=",0)</f>
        <v>0</v>
      </c>
      <c r="DR297" t="e">
        <f>AND('PROG FORM COMPLEM'!B536,"AAAAAG0mp3k=")</f>
        <v>#VALUE!</v>
      </c>
      <c r="DS297">
        <f>IF('PROG FORM COMPLEM'!537:537,"AAAAAG0mp3o=",0)</f>
        <v>0</v>
      </c>
      <c r="DT297" t="e">
        <f>AND('PROG FORM COMPLEM'!B537,"AAAAAG0mp3s=")</f>
        <v>#VALUE!</v>
      </c>
      <c r="DU297">
        <f>IF('PROG FORM COMPLEM'!538:538,"AAAAAG0mp3w=",0)</f>
        <v>0</v>
      </c>
      <c r="DV297" t="e">
        <f>AND('PROG FORM COMPLEM'!B538,"AAAAAG0mp30=")</f>
        <v>#VALUE!</v>
      </c>
      <c r="DW297">
        <f>IF('PROG FORM COMPLEM'!539:539,"AAAAAG0mp34=",0)</f>
        <v>0</v>
      </c>
      <c r="DX297" t="e">
        <f>AND('PROG FORM COMPLEM'!B539,"AAAAAG0mp38=")</f>
        <v>#VALUE!</v>
      </c>
      <c r="DY297">
        <f>IF('PROG FORM COMPLEM'!540:540,"AAAAAG0mp4A=",0)</f>
        <v>0</v>
      </c>
      <c r="DZ297" t="e">
        <f>AND('PROG FORM COMPLEM'!B540,"AAAAAG0mp4E=")</f>
        <v>#VALUE!</v>
      </c>
      <c r="EA297">
        <f>IF('PROG FORM COMPLEM'!541:541,"AAAAAG0mp4I=",0)</f>
        <v>0</v>
      </c>
      <c r="EB297" t="e">
        <f>AND('PROG FORM COMPLEM'!B541,"AAAAAG0mp4M=")</f>
        <v>#VALUE!</v>
      </c>
      <c r="EC297">
        <f>IF('PROG FORM COMPLEM'!542:542,"AAAAAG0mp4Q=",0)</f>
        <v>0</v>
      </c>
      <c r="ED297" t="e">
        <f>AND('PROG FORM COMPLEM'!B542,"AAAAAG0mp4U=")</f>
        <v>#VALUE!</v>
      </c>
      <c r="EE297">
        <f>IF('PROG FORM COMPLEM'!543:543,"AAAAAG0mp4Y=",0)</f>
        <v>0</v>
      </c>
      <c r="EF297" t="e">
        <f>AND('PROG FORM COMPLEM'!B543,"AAAAAG0mp4c=")</f>
        <v>#VALUE!</v>
      </c>
      <c r="EG297">
        <f>IF('PROG FORM COMPLEM'!544:544,"AAAAAG0mp4g=",0)</f>
        <v>0</v>
      </c>
      <c r="EH297" t="e">
        <f>AND('PROG FORM COMPLEM'!B544,"AAAAAG0mp4k=")</f>
        <v>#VALUE!</v>
      </c>
      <c r="EI297">
        <f>IF('PROG FORM COMPLEM'!545:545,"AAAAAG0mp4o=",0)</f>
        <v>0</v>
      </c>
      <c r="EJ297" t="e">
        <f>AND('PROG FORM COMPLEM'!B545,"AAAAAG0mp4s=")</f>
        <v>#VALUE!</v>
      </c>
      <c r="EK297">
        <f>IF('PROG FORM COMPLEM'!546:546,"AAAAAG0mp4w=",0)</f>
        <v>0</v>
      </c>
      <c r="EL297" t="e">
        <f>AND('PROG FORM COMPLEM'!B546,"AAAAAG0mp40=")</f>
        <v>#VALUE!</v>
      </c>
      <c r="EM297">
        <f>IF('PROG FORM COMPLEM'!547:547,"AAAAAG0mp44=",0)</f>
        <v>0</v>
      </c>
      <c r="EN297" t="e">
        <f>AND('PROG FORM COMPLEM'!B547,"AAAAAG0mp48=")</f>
        <v>#VALUE!</v>
      </c>
      <c r="EO297">
        <f>IF('PROG FORM COMPLEM'!548:548,"AAAAAG0mp5A=",0)</f>
        <v>0</v>
      </c>
      <c r="EP297" t="e">
        <f>AND('PROG FORM COMPLEM'!B548,"AAAAAG0mp5E=")</f>
        <v>#VALUE!</v>
      </c>
      <c r="EQ297">
        <f>IF('PROG FORM COMPLEM'!549:549,"AAAAAG0mp5I=",0)</f>
        <v>0</v>
      </c>
      <c r="ER297" t="e">
        <f>AND('PROG FORM COMPLEM'!B549,"AAAAAG0mp5M=")</f>
        <v>#VALUE!</v>
      </c>
      <c r="ES297">
        <f>IF('PROG FORM COMPLEM'!550:550,"AAAAAG0mp5Q=",0)</f>
        <v>0</v>
      </c>
      <c r="ET297" t="e">
        <f>AND('PROG FORM COMPLEM'!B550,"AAAAAG0mp5U=")</f>
        <v>#VALUE!</v>
      </c>
      <c r="EU297">
        <f>IF('PROG FORM COMPLEM'!551:551,"AAAAAG0mp5Y=",0)</f>
        <v>0</v>
      </c>
      <c r="EV297" t="e">
        <f>AND('PROG FORM COMPLEM'!B551,"AAAAAG0mp5c=")</f>
        <v>#VALUE!</v>
      </c>
      <c r="EW297">
        <f>IF('PROG FORM COMPLEM'!552:552,"AAAAAG0mp5g=",0)</f>
        <v>0</v>
      </c>
      <c r="EX297" t="e">
        <f>AND('PROG FORM COMPLEM'!B552,"AAAAAG0mp5k=")</f>
        <v>#VALUE!</v>
      </c>
      <c r="EY297">
        <f>IF('PROG FORM COMPLEM'!553:553,"AAAAAG0mp5o=",0)</f>
        <v>0</v>
      </c>
      <c r="EZ297" t="e">
        <f>AND('PROG FORM COMPLEM'!B553,"AAAAAG0mp5s=")</f>
        <v>#VALUE!</v>
      </c>
      <c r="FA297">
        <f>IF('PROG FORM COMPLEM'!554:554,"AAAAAG0mp5w=",0)</f>
        <v>0</v>
      </c>
      <c r="FB297" t="e">
        <f>AND('PROG FORM COMPLEM'!B554,"AAAAAG0mp50=")</f>
        <v>#VALUE!</v>
      </c>
      <c r="FC297">
        <f>IF('PROG FORM COMPLEM'!555:555,"AAAAAG0mp54=",0)</f>
        <v>0</v>
      </c>
      <c r="FD297" t="e">
        <f>AND('PROG FORM COMPLEM'!B555,"AAAAAG0mp58=")</f>
        <v>#VALUE!</v>
      </c>
      <c r="FE297">
        <f>IF('PROG FORM COMPLEM'!556:556,"AAAAAG0mp6A=",0)</f>
        <v>0</v>
      </c>
      <c r="FF297" t="e">
        <f>AND('PROG FORM COMPLEM'!B556,"AAAAAG0mp6E=")</f>
        <v>#VALUE!</v>
      </c>
      <c r="FG297">
        <f>IF('PROG FORM COMPLEM'!557:557,"AAAAAG0mp6I=",0)</f>
        <v>0</v>
      </c>
      <c r="FH297" t="e">
        <f>AND('PROG FORM COMPLEM'!B557,"AAAAAG0mp6M=")</f>
        <v>#VALUE!</v>
      </c>
      <c r="FI297">
        <f>IF('PROG FORM COMPLEM'!558:558,"AAAAAG0mp6Q=",0)</f>
        <v>0</v>
      </c>
      <c r="FJ297" t="e">
        <f>AND('PROG FORM COMPLEM'!B558,"AAAAAG0mp6U=")</f>
        <v>#VALUE!</v>
      </c>
      <c r="FK297">
        <f>IF('PROG FORM COMPLEM'!559:559,"AAAAAG0mp6Y=",0)</f>
        <v>0</v>
      </c>
      <c r="FL297" t="e">
        <f>AND('PROG FORM COMPLEM'!B559,"AAAAAG0mp6c=")</f>
        <v>#VALUE!</v>
      </c>
      <c r="FM297">
        <f>IF('PROG FORM COMPLEM'!560:560,"AAAAAG0mp6g=",0)</f>
        <v>0</v>
      </c>
      <c r="FN297" t="e">
        <f>AND('PROG FORM COMPLEM'!B560,"AAAAAG0mp6k=")</f>
        <v>#VALUE!</v>
      </c>
      <c r="FO297">
        <f>IF('PROG FORM COMPLEM'!561:561,"AAAAAG0mp6o=",0)</f>
        <v>0</v>
      </c>
      <c r="FP297" t="e">
        <f>AND('PROG FORM COMPLEM'!B561,"AAAAAG0mp6s=")</f>
        <v>#VALUE!</v>
      </c>
      <c r="FQ297">
        <f>IF('PROG FORM COMPLEM'!562:562,"AAAAAG0mp6w=",0)</f>
        <v>0</v>
      </c>
      <c r="FR297" t="e">
        <f>AND('PROG FORM COMPLEM'!B562,"AAAAAG0mp60=")</f>
        <v>#VALUE!</v>
      </c>
      <c r="FS297">
        <f>IF('PROG FORM COMPLEM'!563:563,"AAAAAG0mp64=",0)</f>
        <v>0</v>
      </c>
      <c r="FT297" t="e">
        <f>AND('PROG FORM COMPLEM'!B563,"AAAAAG0mp68=")</f>
        <v>#VALUE!</v>
      </c>
      <c r="FU297">
        <f>IF('PROG FORM COMPLEM'!564:564,"AAAAAG0mp7A=",0)</f>
        <v>0</v>
      </c>
      <c r="FV297" t="e">
        <f>AND('PROG FORM COMPLEM'!B564,"AAAAAG0mp7E=")</f>
        <v>#VALUE!</v>
      </c>
      <c r="FW297">
        <f>IF('PROG FORM COMPLEM'!565:565,"AAAAAG0mp7I=",0)</f>
        <v>0</v>
      </c>
      <c r="FX297" t="e">
        <f>AND('PROG FORM COMPLEM'!B565,"AAAAAG0mp7M=")</f>
        <v>#VALUE!</v>
      </c>
      <c r="FY297">
        <f>IF('PROG FORM COMPLEM'!566:566,"AAAAAG0mp7Q=",0)</f>
        <v>0</v>
      </c>
      <c r="FZ297" t="e">
        <f>AND('PROG FORM COMPLEM'!B566,"AAAAAG0mp7U=")</f>
        <v>#VALUE!</v>
      </c>
      <c r="GA297">
        <f>IF('PROG FORM COMPLEM'!567:567,"AAAAAG0mp7Y=",0)</f>
        <v>0</v>
      </c>
      <c r="GB297" t="e">
        <f>AND('PROG FORM COMPLEM'!B567,"AAAAAG0mp7c=")</f>
        <v>#VALUE!</v>
      </c>
      <c r="GC297">
        <f>IF('PROG FORM COMPLEM'!568:568,"AAAAAG0mp7g=",0)</f>
        <v>0</v>
      </c>
      <c r="GD297" t="e">
        <f>AND('PROG FORM COMPLEM'!B568,"AAAAAG0mp7k=")</f>
        <v>#VALUE!</v>
      </c>
      <c r="GE297">
        <f>IF('PROG FORM COMPLEM'!569:569,"AAAAAG0mp7o=",0)</f>
        <v>0</v>
      </c>
      <c r="GF297" t="e">
        <f>AND('PROG FORM COMPLEM'!B569,"AAAAAG0mp7s=")</f>
        <v>#VALUE!</v>
      </c>
      <c r="GG297">
        <f>IF('PROG FORM COMPLEM'!570:570,"AAAAAG0mp7w=",0)</f>
        <v>0</v>
      </c>
      <c r="GH297" t="e">
        <f>AND('PROG FORM COMPLEM'!B570,"AAAAAG0mp70=")</f>
        <v>#VALUE!</v>
      </c>
      <c r="GI297">
        <f>IF('PROG FORM COMPLEM'!571:571,"AAAAAG0mp74=",0)</f>
        <v>0</v>
      </c>
      <c r="GJ297" t="e">
        <f>AND('PROG FORM COMPLEM'!B571,"AAAAAG0mp78=")</f>
        <v>#VALUE!</v>
      </c>
      <c r="GK297">
        <f>IF('PROG FORM COMPLEM'!572:572,"AAAAAG0mp8A=",0)</f>
        <v>0</v>
      </c>
      <c r="GL297" t="e">
        <f>AND('PROG FORM COMPLEM'!B572,"AAAAAG0mp8E=")</f>
        <v>#VALUE!</v>
      </c>
      <c r="GM297">
        <f>IF('PROG FORM COMPLEM'!573:573,"AAAAAG0mp8I=",0)</f>
        <v>0</v>
      </c>
      <c r="GN297" t="e">
        <f>AND('PROG FORM COMPLEM'!B573,"AAAAAG0mp8M=")</f>
        <v>#VALUE!</v>
      </c>
      <c r="GO297">
        <f>IF('PROG FORM COMPLEM'!574:574,"AAAAAG0mp8Q=",0)</f>
        <v>0</v>
      </c>
      <c r="GP297" t="e">
        <f>AND('PROG FORM COMPLEM'!B574,"AAAAAG0mp8U=")</f>
        <v>#VALUE!</v>
      </c>
      <c r="GQ297">
        <f>IF('PROG FORM COMPLEM'!575:575,"AAAAAG0mp8Y=",0)</f>
        <v>0</v>
      </c>
      <c r="GR297" t="e">
        <f>AND('PROG FORM COMPLEM'!B575,"AAAAAG0mp8c=")</f>
        <v>#VALUE!</v>
      </c>
      <c r="GS297">
        <f>IF('PROG FORM COMPLEM'!576:576,"AAAAAG0mp8g=",0)</f>
        <v>0</v>
      </c>
      <c r="GT297" t="e">
        <f>AND('PROG FORM COMPLEM'!B576,"AAAAAG0mp8k=")</f>
        <v>#VALUE!</v>
      </c>
      <c r="GU297">
        <f>IF('PROG FORM COMPLEM'!577:577,"AAAAAG0mp8o=",0)</f>
        <v>0</v>
      </c>
      <c r="GV297" t="e">
        <f>AND('PROG FORM COMPLEM'!B577,"AAAAAG0mp8s=")</f>
        <v>#VALUE!</v>
      </c>
      <c r="GW297">
        <f>IF('PROG FORM COMPLEM'!578:578,"AAAAAG0mp8w=",0)</f>
        <v>0</v>
      </c>
      <c r="GX297" t="e">
        <f>AND('PROG FORM COMPLEM'!B578,"AAAAAG0mp80=")</f>
        <v>#VALUE!</v>
      </c>
      <c r="GY297">
        <f>IF('PROG FORM COMPLEM'!579:579,"AAAAAG0mp84=",0)</f>
        <v>0</v>
      </c>
      <c r="GZ297" t="e">
        <f>AND('PROG FORM COMPLEM'!B579,"AAAAAG0mp88=")</f>
        <v>#VALUE!</v>
      </c>
      <c r="HA297">
        <f>IF('PROG FORM COMPLEM'!580:580,"AAAAAG0mp9A=",0)</f>
        <v>0</v>
      </c>
      <c r="HB297" t="e">
        <f>AND('PROG FORM COMPLEM'!B580,"AAAAAG0mp9E=")</f>
        <v>#VALUE!</v>
      </c>
      <c r="HC297">
        <f>IF('PROG FORM COMPLEM'!581:581,"AAAAAG0mp9I=",0)</f>
        <v>0</v>
      </c>
      <c r="HD297" t="e">
        <f>AND('PROG FORM COMPLEM'!B581,"AAAAAG0mp9M=")</f>
        <v>#VALUE!</v>
      </c>
      <c r="HE297">
        <f>IF('PROG FORM COMPLEM'!582:582,"AAAAAG0mp9Q=",0)</f>
        <v>0</v>
      </c>
      <c r="HF297" t="e">
        <f>AND('PROG FORM COMPLEM'!B582,"AAAAAG0mp9U=")</f>
        <v>#VALUE!</v>
      </c>
      <c r="HG297">
        <f>IF('PROG FORM COMPLEM'!583:583,"AAAAAG0mp9Y=",0)</f>
        <v>0</v>
      </c>
      <c r="HH297" t="e">
        <f>AND('PROG FORM COMPLEM'!B583,"AAAAAG0mp9c=")</f>
        <v>#VALUE!</v>
      </c>
      <c r="HI297">
        <f>IF('PROG FORM COMPLEM'!584:584,"AAAAAG0mp9g=",0)</f>
        <v>0</v>
      </c>
      <c r="HJ297" t="e">
        <f>AND('PROG FORM COMPLEM'!B584,"AAAAAG0mp9k=")</f>
        <v>#VALUE!</v>
      </c>
      <c r="HK297">
        <f>IF('PROG FORM COMPLEM'!585:585,"AAAAAG0mp9o=",0)</f>
        <v>0</v>
      </c>
      <c r="HL297" t="e">
        <f>AND('PROG FORM COMPLEM'!B585,"AAAAAG0mp9s=")</f>
        <v>#VALUE!</v>
      </c>
      <c r="HM297">
        <f>IF('PROG FORM COMPLEM'!586:586,"AAAAAG0mp9w=",0)</f>
        <v>0</v>
      </c>
      <c r="HN297" t="e">
        <f>AND('PROG FORM COMPLEM'!B586,"AAAAAG0mp90=")</f>
        <v>#VALUE!</v>
      </c>
      <c r="HO297">
        <f>IF('PROG FORM COMPLEM'!587:587,"AAAAAG0mp94=",0)</f>
        <v>0</v>
      </c>
      <c r="HP297" t="e">
        <f>AND('PROG FORM COMPLEM'!B587,"AAAAAG0mp98=")</f>
        <v>#VALUE!</v>
      </c>
      <c r="HQ297">
        <f>IF('PROG FORM COMPLEM'!588:588,"AAAAAG0mp+A=",0)</f>
        <v>0</v>
      </c>
      <c r="HR297" t="e">
        <f>AND('PROG FORM COMPLEM'!B588,"AAAAAG0mp+E=")</f>
        <v>#VALUE!</v>
      </c>
      <c r="HS297">
        <f>IF('PROG FORM COMPLEM'!589:589,"AAAAAG0mp+I=",0)</f>
        <v>0</v>
      </c>
      <c r="HT297" t="e">
        <f>AND('PROG FORM COMPLEM'!B589,"AAAAAG0mp+M=")</f>
        <v>#VALUE!</v>
      </c>
      <c r="HU297">
        <f>IF('PROG FORM COMPLEM'!590:590,"AAAAAG0mp+Q=",0)</f>
        <v>0</v>
      </c>
      <c r="HV297" t="e">
        <f>AND('PROG FORM COMPLEM'!B590,"AAAAAG0mp+U=")</f>
        <v>#VALUE!</v>
      </c>
      <c r="HW297">
        <f>IF('PROG FORM COMPLEM'!591:591,"AAAAAG0mp+Y=",0)</f>
        <v>0</v>
      </c>
      <c r="HX297" t="e">
        <f>AND('PROG FORM COMPLEM'!B591,"AAAAAG0mp+c=")</f>
        <v>#VALUE!</v>
      </c>
      <c r="HY297">
        <f>IF('PROG FORM COMPLEM'!592:592,"AAAAAG0mp+g=",0)</f>
        <v>0</v>
      </c>
      <c r="HZ297" t="e">
        <f>AND('PROG FORM COMPLEM'!B592,"AAAAAG0mp+k=")</f>
        <v>#VALUE!</v>
      </c>
      <c r="IA297">
        <f>IF('PROG FORM COMPLEM'!593:593,"AAAAAG0mp+o=",0)</f>
        <v>0</v>
      </c>
      <c r="IB297" t="e">
        <f>AND('PROG FORM COMPLEM'!B593,"AAAAAG0mp+s=")</f>
        <v>#VALUE!</v>
      </c>
      <c r="IC297">
        <f>IF('PROG FORM COMPLEM'!594:594,"AAAAAG0mp+w=",0)</f>
        <v>0</v>
      </c>
      <c r="ID297" t="e">
        <f>AND('PROG FORM COMPLEM'!B594,"AAAAAG0mp+0=")</f>
        <v>#VALUE!</v>
      </c>
      <c r="IE297">
        <f>IF('PROG FORM COMPLEM'!595:595,"AAAAAG0mp+4=",0)</f>
        <v>0</v>
      </c>
      <c r="IF297" t="e">
        <f>AND('PROG FORM COMPLEM'!B595,"AAAAAG0mp+8=")</f>
        <v>#VALUE!</v>
      </c>
      <c r="IG297">
        <f>IF('PROG FORM COMPLEM'!596:596,"AAAAAG0mp/A=",0)</f>
        <v>0</v>
      </c>
      <c r="IH297" t="e">
        <f>AND('PROG FORM COMPLEM'!B596,"AAAAAG0mp/E=")</f>
        <v>#VALUE!</v>
      </c>
      <c r="II297">
        <f>IF('PROG FORM COMPLEM'!597:597,"AAAAAG0mp/I=",0)</f>
        <v>0</v>
      </c>
      <c r="IJ297" t="e">
        <f>AND('PROG FORM COMPLEM'!B597,"AAAAAG0mp/M=")</f>
        <v>#VALUE!</v>
      </c>
      <c r="IK297">
        <f>IF('PROG FORM COMPLEM'!598:598,"AAAAAG0mp/Q=",0)</f>
        <v>0</v>
      </c>
      <c r="IL297" t="e">
        <f>AND('PROG FORM COMPLEM'!B598,"AAAAAG0mp/U=")</f>
        <v>#VALUE!</v>
      </c>
      <c r="IM297">
        <f>IF('PROG FORM COMPLEM'!599:599,"AAAAAG0mp/Y=",0)</f>
        <v>0</v>
      </c>
      <c r="IN297" t="e">
        <f>AND('PROG FORM COMPLEM'!B599,"AAAAAG0mp/c=")</f>
        <v>#VALUE!</v>
      </c>
      <c r="IO297">
        <f>IF('PROG FORM COMPLEM'!600:600,"AAAAAG0mp/g=",0)</f>
        <v>0</v>
      </c>
      <c r="IP297" t="e">
        <f>AND('PROG FORM COMPLEM'!B600,"AAAAAG0mp/k=")</f>
        <v>#VALUE!</v>
      </c>
      <c r="IQ297">
        <f>IF('PROG FORM COMPLEM'!601:601,"AAAAAG0mp/o=",0)</f>
        <v>0</v>
      </c>
      <c r="IR297" t="e">
        <f>AND('PROG FORM COMPLEM'!B601,"AAAAAG0mp/s=")</f>
        <v>#VALUE!</v>
      </c>
      <c r="IS297">
        <f>IF('PROG FORM COMPLEM'!602:602,"AAAAAG0mp/w=",0)</f>
        <v>0</v>
      </c>
      <c r="IT297" t="e">
        <f>AND('PROG FORM COMPLEM'!B602,"AAAAAG0mp/0=")</f>
        <v>#VALUE!</v>
      </c>
      <c r="IU297">
        <f>IF('PROG FORM COMPLEM'!603:603,"AAAAAG0mp/4=",0)</f>
        <v>0</v>
      </c>
      <c r="IV297" t="e">
        <f>AND('PROG FORM COMPLEM'!B603,"AAAAAG0mp/8=")</f>
        <v>#VALUE!</v>
      </c>
    </row>
    <row r="298" spans="1:256" x14ac:dyDescent="0.2">
      <c r="A298">
        <f>IF('PROG FORM COMPLEM'!604:604,"AAAAADilfwA=",0)</f>
        <v>0</v>
      </c>
      <c r="B298" t="e">
        <f>AND('PROG FORM COMPLEM'!B604,"AAAAADilfwE=")</f>
        <v>#VALUE!</v>
      </c>
      <c r="C298">
        <f>IF('PROG FORM COMPLEM'!605:605,"AAAAADilfwI=",0)</f>
        <v>0</v>
      </c>
      <c r="D298" t="e">
        <f>AND('PROG FORM COMPLEM'!B605,"AAAAADilfwM=")</f>
        <v>#VALUE!</v>
      </c>
      <c r="E298">
        <f>IF('PROG FORM COMPLEM'!606:606,"AAAAADilfwQ=",0)</f>
        <v>0</v>
      </c>
      <c r="F298" t="e">
        <f>AND('PROG FORM COMPLEM'!B606,"AAAAADilfwU=")</f>
        <v>#VALUE!</v>
      </c>
      <c r="G298">
        <f>IF('PROG FORM COMPLEM'!607:607,"AAAAADilfwY=",0)</f>
        <v>0</v>
      </c>
      <c r="H298" t="e">
        <f>AND('PROG FORM COMPLEM'!B607,"AAAAADilfwc=")</f>
        <v>#VALUE!</v>
      </c>
      <c r="I298">
        <f>IF('PROG FORM COMPLEM'!608:608,"AAAAADilfwg=",0)</f>
        <v>0</v>
      </c>
      <c r="J298" t="e">
        <f>AND('PROG FORM COMPLEM'!B608,"AAAAADilfwk=")</f>
        <v>#VALUE!</v>
      </c>
      <c r="K298">
        <f>IF('PROG FORM COMPLEM'!609:609,"AAAAADilfwo=",0)</f>
        <v>0</v>
      </c>
      <c r="L298" t="e">
        <f>AND('PROG FORM COMPLEM'!B609,"AAAAADilfws=")</f>
        <v>#VALUE!</v>
      </c>
      <c r="M298">
        <f>IF('PROG FORM COMPLEM'!610:610,"AAAAADilfww=",0)</f>
        <v>0</v>
      </c>
      <c r="N298" t="e">
        <f>AND('PROG FORM COMPLEM'!B610,"AAAAADilfw0=")</f>
        <v>#VALUE!</v>
      </c>
      <c r="O298">
        <f>IF('PROG FORM COMPLEM'!611:611,"AAAAADilfw4=",0)</f>
        <v>0</v>
      </c>
      <c r="P298" t="e">
        <f>AND('PROG FORM COMPLEM'!B611,"AAAAADilfw8=")</f>
        <v>#VALUE!</v>
      </c>
      <c r="Q298">
        <f>IF('PROG FORM COMPLEM'!612:612,"AAAAADilfxA=",0)</f>
        <v>0</v>
      </c>
      <c r="R298" t="e">
        <f>AND('PROG FORM COMPLEM'!B612,"AAAAADilfxE=")</f>
        <v>#VALUE!</v>
      </c>
      <c r="S298">
        <f>IF('PROG FORM COMPLEM'!613:613,"AAAAADilfxI=",0)</f>
        <v>0</v>
      </c>
      <c r="T298" t="e">
        <f>AND('PROG FORM COMPLEM'!B613,"AAAAADilfxM=")</f>
        <v>#VALUE!</v>
      </c>
      <c r="U298">
        <f>IF('PROG FORM COMPLEM'!614:614,"AAAAADilfxQ=",0)</f>
        <v>0</v>
      </c>
      <c r="V298" t="e">
        <f>AND('PROG FORM COMPLEM'!B614,"AAAAADilfxU=")</f>
        <v>#VALUE!</v>
      </c>
      <c r="W298">
        <f>IF('PROG FORM COMPLEM'!615:615,"AAAAADilfxY=",0)</f>
        <v>0</v>
      </c>
      <c r="X298" t="e">
        <f>AND('PROG FORM COMPLEM'!B615,"AAAAADilfxc=")</f>
        <v>#VALUE!</v>
      </c>
      <c r="Y298">
        <f>IF('PROG FORM COMPLEM'!616:616,"AAAAADilfxg=",0)</f>
        <v>0</v>
      </c>
      <c r="Z298" t="e">
        <f>AND('PROG FORM COMPLEM'!B616,"AAAAADilfxk=")</f>
        <v>#VALUE!</v>
      </c>
      <c r="AA298">
        <f>IF('PROG FORM COMPLEM'!617:617,"AAAAADilfxo=",0)</f>
        <v>0</v>
      </c>
      <c r="AB298" t="e">
        <f>AND('PROG FORM COMPLEM'!B617,"AAAAADilfxs=")</f>
        <v>#VALUE!</v>
      </c>
      <c r="AC298">
        <f>IF('PROG FORM COMPLEM'!618:618,"AAAAADilfxw=",0)</f>
        <v>0</v>
      </c>
      <c r="AD298" t="e">
        <f>AND('PROG FORM COMPLEM'!B618,"AAAAADilfx0=")</f>
        <v>#VALUE!</v>
      </c>
      <c r="AE298">
        <f>IF('PROG FORM COMPLEM'!619:619,"AAAAADilfx4=",0)</f>
        <v>0</v>
      </c>
      <c r="AF298" t="e">
        <f>AND('PROG FORM COMPLEM'!B619,"AAAAADilfx8=")</f>
        <v>#VALUE!</v>
      </c>
      <c r="AG298">
        <f>IF('PROG FORM COMPLEM'!620:620,"AAAAADilfyA=",0)</f>
        <v>0</v>
      </c>
      <c r="AH298" t="e">
        <f>AND('PROG FORM COMPLEM'!B620,"AAAAADilfyE=")</f>
        <v>#VALUE!</v>
      </c>
      <c r="AI298">
        <f>IF('PROG FORM COMPLEM'!621:621,"AAAAADilfyI=",0)</f>
        <v>0</v>
      </c>
      <c r="AJ298" t="e">
        <f>AND('PROG FORM COMPLEM'!B621,"AAAAADilfyM=")</f>
        <v>#VALUE!</v>
      </c>
      <c r="AK298">
        <f>IF('PROG FORM COMPLEM'!622:622,"AAAAADilfyQ=",0)</f>
        <v>0</v>
      </c>
      <c r="AL298" t="e">
        <f>AND('PROG FORM COMPLEM'!B622,"AAAAADilfyU=")</f>
        <v>#VALUE!</v>
      </c>
      <c r="AM298">
        <f>IF('PROG FORM COMPLEM'!623:623,"AAAAADilfyY=",0)</f>
        <v>0</v>
      </c>
      <c r="AN298" t="e">
        <f>AND('PROG FORM COMPLEM'!B623,"AAAAADilfyc=")</f>
        <v>#VALUE!</v>
      </c>
      <c r="AO298">
        <f>IF('PROG FORM COMPLEM'!624:624,"AAAAADilfyg=",0)</f>
        <v>0</v>
      </c>
      <c r="AP298" t="e">
        <f>AND('PROG FORM COMPLEM'!B624,"AAAAADilfyk=")</f>
        <v>#VALUE!</v>
      </c>
      <c r="AQ298">
        <f>IF('PROG FORM COMPLEM'!625:625,"AAAAADilfyo=",0)</f>
        <v>0</v>
      </c>
      <c r="AR298" t="e">
        <f>AND('PROG FORM COMPLEM'!B625,"AAAAADilfys=")</f>
        <v>#VALUE!</v>
      </c>
      <c r="AS298">
        <f>IF('PROG FORM COMPLEM'!626:626,"AAAAADilfyw=",0)</f>
        <v>0</v>
      </c>
      <c r="AT298" t="e">
        <f>AND('PROG FORM COMPLEM'!B626,"AAAAADilfy0=")</f>
        <v>#VALUE!</v>
      </c>
      <c r="AU298">
        <f>IF('PROG FORM COMPLEM'!627:627,"AAAAADilfy4=",0)</f>
        <v>0</v>
      </c>
      <c r="AV298" t="e">
        <f>AND('PROG FORM COMPLEM'!B627,"AAAAADilfy8=")</f>
        <v>#VALUE!</v>
      </c>
      <c r="AW298">
        <f>IF('PROG FORM COMPLEM'!628:628,"AAAAADilfzA=",0)</f>
        <v>0</v>
      </c>
      <c r="AX298" t="e">
        <f>AND('PROG FORM COMPLEM'!B628,"AAAAADilfzE=")</f>
        <v>#VALUE!</v>
      </c>
      <c r="AY298">
        <f>IF('PROG FORM COMPLEM'!629:629,"AAAAADilfzI=",0)</f>
        <v>0</v>
      </c>
      <c r="AZ298" t="e">
        <f>AND('PROG FORM COMPLEM'!B629,"AAAAADilfzM=")</f>
        <v>#VALUE!</v>
      </c>
      <c r="BA298">
        <f>IF('PROG FORM COMPLEM'!630:630,"AAAAADilfzQ=",0)</f>
        <v>0</v>
      </c>
      <c r="BB298" t="e">
        <f>AND('PROG FORM COMPLEM'!B630,"AAAAADilfzU=")</f>
        <v>#VALUE!</v>
      </c>
      <c r="BC298">
        <f>IF('PROG FORM COMPLEM'!631:631,"AAAAADilfzY=",0)</f>
        <v>0</v>
      </c>
      <c r="BD298" t="e">
        <f>AND('PROG FORM COMPLEM'!B631,"AAAAADilfzc=")</f>
        <v>#VALUE!</v>
      </c>
      <c r="BE298">
        <f>IF('PROG FORM COMPLEM'!632:632,"AAAAADilfzg=",0)</f>
        <v>0</v>
      </c>
      <c r="BF298" t="e">
        <f>AND('PROG FORM COMPLEM'!B632,"AAAAADilfzk=")</f>
        <v>#VALUE!</v>
      </c>
      <c r="BG298">
        <f>IF('PROG FORM COMPLEM'!633:633,"AAAAADilfzo=",0)</f>
        <v>0</v>
      </c>
      <c r="BH298" t="e">
        <f>AND('PROG FORM COMPLEM'!B633,"AAAAADilfzs=")</f>
        <v>#VALUE!</v>
      </c>
      <c r="BI298">
        <f>IF('PROG FORM COMPLEM'!634:634,"AAAAADilfzw=",0)</f>
        <v>0</v>
      </c>
      <c r="BJ298" t="e">
        <f>AND('PROG FORM COMPLEM'!B634,"AAAAADilfz0=")</f>
        <v>#VALUE!</v>
      </c>
      <c r="BK298">
        <f>IF('PROG FORM COMPLEM'!635:635,"AAAAADilfz4=",0)</f>
        <v>0</v>
      </c>
      <c r="BL298" t="e">
        <f>AND('PROG FORM COMPLEM'!B635,"AAAAADilfz8=")</f>
        <v>#VALUE!</v>
      </c>
      <c r="BM298">
        <f>IF('PROG FORM COMPLEM'!636:636,"AAAAADilf0A=",0)</f>
        <v>0</v>
      </c>
      <c r="BN298" t="e">
        <f>AND('PROG FORM COMPLEM'!B636,"AAAAADilf0E=")</f>
        <v>#VALUE!</v>
      </c>
      <c r="BO298">
        <f>IF('PROG FORM COMPLEM'!637:637,"AAAAADilf0I=",0)</f>
        <v>0</v>
      </c>
      <c r="BP298" t="e">
        <f>AND('PROG FORM COMPLEM'!B637,"AAAAADilf0M=")</f>
        <v>#VALUE!</v>
      </c>
      <c r="BQ298">
        <f>IF('PROG FORM COMPLEM'!638:638,"AAAAADilf0Q=",0)</f>
        <v>0</v>
      </c>
      <c r="BR298" t="e">
        <f>AND('PROG FORM COMPLEM'!B638,"AAAAADilf0U=")</f>
        <v>#VALUE!</v>
      </c>
      <c r="BS298">
        <f>IF('PROG FORM COMPLEM'!639:639,"AAAAADilf0Y=",0)</f>
        <v>0</v>
      </c>
      <c r="BT298" t="e">
        <f>AND('PROG FORM COMPLEM'!B639,"AAAAADilf0c=")</f>
        <v>#VALUE!</v>
      </c>
      <c r="BU298">
        <f>IF('PROG FORM COMPLEM'!640:640,"AAAAADilf0g=",0)</f>
        <v>0</v>
      </c>
      <c r="BV298" t="e">
        <f>AND('PROG FORM COMPLEM'!B640,"AAAAADilf0k=")</f>
        <v>#VALUE!</v>
      </c>
      <c r="BW298">
        <f>IF('PROG FORM COMPLEM'!641:641,"AAAAADilf0o=",0)</f>
        <v>0</v>
      </c>
      <c r="BX298" t="e">
        <f>AND('PROG FORM COMPLEM'!B641,"AAAAADilf0s=")</f>
        <v>#VALUE!</v>
      </c>
      <c r="BY298">
        <f>IF('PROG FORM COMPLEM'!642:642,"AAAAADilf0w=",0)</f>
        <v>0</v>
      </c>
      <c r="BZ298" t="e">
        <f>AND('PROG FORM COMPLEM'!B642,"AAAAADilf00=")</f>
        <v>#VALUE!</v>
      </c>
      <c r="CA298">
        <f>IF('PROG FORM COMPLEM'!643:643,"AAAAADilf04=",0)</f>
        <v>0</v>
      </c>
      <c r="CB298" t="e">
        <f>AND('PROG FORM COMPLEM'!B643,"AAAAADilf08=")</f>
        <v>#VALUE!</v>
      </c>
      <c r="CC298">
        <f>IF('PROG FORM COMPLEM'!644:644,"AAAAADilf1A=",0)</f>
        <v>0</v>
      </c>
      <c r="CD298" t="e">
        <f>AND('PROG FORM COMPLEM'!B644,"AAAAADilf1E=")</f>
        <v>#VALUE!</v>
      </c>
      <c r="CE298">
        <f>IF('PROG FORM COMPLEM'!645:645,"AAAAADilf1I=",0)</f>
        <v>0</v>
      </c>
      <c r="CF298" t="e">
        <f>AND('PROG FORM COMPLEM'!B645,"AAAAADilf1M=")</f>
        <v>#VALUE!</v>
      </c>
      <c r="CG298">
        <f>IF('PROG FORM COMPLEM'!646:646,"AAAAADilf1Q=",0)</f>
        <v>0</v>
      </c>
      <c r="CH298" t="e">
        <f>AND('PROG FORM COMPLEM'!B646,"AAAAADilf1U=")</f>
        <v>#VALUE!</v>
      </c>
      <c r="CI298">
        <f>IF('PROG FORM COMPLEM'!647:647,"AAAAADilf1Y=",0)</f>
        <v>0</v>
      </c>
      <c r="CJ298" t="e">
        <f>AND('PROG FORM COMPLEM'!B647,"AAAAADilf1c=")</f>
        <v>#VALUE!</v>
      </c>
      <c r="CK298">
        <f>IF('PROG FORM COMPLEM'!648:648,"AAAAADilf1g=",0)</f>
        <v>0</v>
      </c>
      <c r="CL298" t="e">
        <f>AND('PROG FORM COMPLEM'!B648,"AAAAADilf1k=")</f>
        <v>#VALUE!</v>
      </c>
      <c r="CM298">
        <f>IF('PROG FORM COMPLEM'!649:649,"AAAAADilf1o=",0)</f>
        <v>0</v>
      </c>
      <c r="CN298" t="e">
        <f>AND('PROG FORM COMPLEM'!B649,"AAAAADilf1s=")</f>
        <v>#VALUE!</v>
      </c>
      <c r="CO298">
        <f>IF('PROG FORM COMPLEM'!650:650,"AAAAADilf1w=",0)</f>
        <v>0</v>
      </c>
      <c r="CP298" t="e">
        <f>AND('PROG FORM COMPLEM'!B650,"AAAAADilf10=")</f>
        <v>#VALUE!</v>
      </c>
      <c r="CQ298">
        <f>IF('PROG FORM COMPLEM'!651:651,"AAAAADilf14=",0)</f>
        <v>0</v>
      </c>
      <c r="CR298" t="e">
        <f>AND('PROG FORM COMPLEM'!B651,"AAAAADilf18=")</f>
        <v>#VALUE!</v>
      </c>
      <c r="CS298">
        <f>IF('PROG FORM COMPLEM'!652:652,"AAAAADilf2A=",0)</f>
        <v>0</v>
      </c>
      <c r="CT298" t="e">
        <f>AND('PROG FORM COMPLEM'!B652,"AAAAADilf2E=")</f>
        <v>#VALUE!</v>
      </c>
      <c r="CU298">
        <f>IF('PROG FORM COMPLEM'!653:653,"AAAAADilf2I=",0)</f>
        <v>0</v>
      </c>
      <c r="CV298" t="e">
        <f>AND('PROG FORM COMPLEM'!B653,"AAAAADilf2M=")</f>
        <v>#VALUE!</v>
      </c>
      <c r="CW298">
        <f>IF('PROG FORM COMPLEM'!654:654,"AAAAADilf2Q=",0)</f>
        <v>0</v>
      </c>
      <c r="CX298" t="e">
        <f>AND('PROG FORM COMPLEM'!B654,"AAAAADilf2U=")</f>
        <v>#VALUE!</v>
      </c>
      <c r="CY298">
        <f>IF('PROG FORM COMPLEM'!655:655,"AAAAADilf2Y=",0)</f>
        <v>0</v>
      </c>
      <c r="CZ298" t="e">
        <f>AND('PROG FORM COMPLEM'!B655,"AAAAADilf2c=")</f>
        <v>#VALUE!</v>
      </c>
      <c r="DA298">
        <f>IF('PROG FORM COMPLEM'!656:656,"AAAAADilf2g=",0)</f>
        <v>0</v>
      </c>
      <c r="DB298" t="e">
        <f>AND('PROG FORM COMPLEM'!B656,"AAAAADilf2k=")</f>
        <v>#VALUE!</v>
      </c>
      <c r="DC298">
        <f>IF('PROG FORM COMPLEM'!657:657,"AAAAADilf2o=",0)</f>
        <v>0</v>
      </c>
      <c r="DD298" t="e">
        <f>AND('PROG FORM COMPLEM'!B657,"AAAAADilf2s=")</f>
        <v>#VALUE!</v>
      </c>
      <c r="DE298">
        <f>IF('PROG FORM COMPLEM'!658:658,"AAAAADilf2w=",0)</f>
        <v>0</v>
      </c>
      <c r="DF298" t="e">
        <f>AND('PROG FORM COMPLEM'!B658,"AAAAADilf20=")</f>
        <v>#VALUE!</v>
      </c>
      <c r="DG298">
        <f>IF('PROG FORM COMPLEM'!659:659,"AAAAADilf24=",0)</f>
        <v>0</v>
      </c>
      <c r="DH298" t="e">
        <f>AND('PROG FORM COMPLEM'!B659,"AAAAADilf28=")</f>
        <v>#VALUE!</v>
      </c>
      <c r="DI298">
        <f>IF('PROG FORM COMPLEM'!660:660,"AAAAADilf3A=",0)</f>
        <v>0</v>
      </c>
      <c r="DJ298" t="e">
        <f>AND('PROG FORM COMPLEM'!B660,"AAAAADilf3E=")</f>
        <v>#VALUE!</v>
      </c>
      <c r="DK298">
        <f>IF('PROG FORM COMPLEM'!661:661,"AAAAADilf3I=",0)</f>
        <v>0</v>
      </c>
      <c r="DL298" t="e">
        <f>AND('PROG FORM COMPLEM'!B661,"AAAAADilf3M=")</f>
        <v>#VALUE!</v>
      </c>
      <c r="DM298">
        <f>IF('PROG FORM COMPLEM'!662:662,"AAAAADilf3Q=",0)</f>
        <v>0</v>
      </c>
      <c r="DN298" t="e">
        <f>AND('PROG FORM COMPLEM'!B662,"AAAAADilf3U=")</f>
        <v>#VALUE!</v>
      </c>
      <c r="DO298">
        <f>IF('PROG FORM COMPLEM'!663:663,"AAAAADilf3Y=",0)</f>
        <v>0</v>
      </c>
      <c r="DP298" t="e">
        <f>AND('PROG FORM COMPLEM'!B663,"AAAAADilf3c=")</f>
        <v>#VALUE!</v>
      </c>
      <c r="DQ298">
        <f>IF('PROG FORM COMPLEM'!664:664,"AAAAADilf3g=",0)</f>
        <v>0</v>
      </c>
      <c r="DR298" t="e">
        <f>AND('PROG FORM COMPLEM'!B664,"AAAAADilf3k=")</f>
        <v>#VALUE!</v>
      </c>
      <c r="DS298">
        <f>IF('PROG FORM COMPLEM'!665:665,"AAAAADilf3o=",0)</f>
        <v>0</v>
      </c>
      <c r="DT298" t="e">
        <f>AND('PROG FORM COMPLEM'!B665,"AAAAADilf3s=")</f>
        <v>#VALUE!</v>
      </c>
      <c r="DU298">
        <f>IF('PROG FORM COMPLEM'!666:666,"AAAAADilf3w=",0)</f>
        <v>0</v>
      </c>
      <c r="DV298" t="e">
        <f>AND('PROG FORM COMPLEM'!B666,"AAAAADilf30=")</f>
        <v>#VALUE!</v>
      </c>
      <c r="DW298">
        <f>IF('PROG FORM COMPLEM'!667:667,"AAAAADilf34=",0)</f>
        <v>0</v>
      </c>
      <c r="DX298" t="e">
        <f>AND('PROG FORM COMPLEM'!B667,"AAAAADilf38=")</f>
        <v>#VALUE!</v>
      </c>
      <c r="DY298">
        <f>IF('PROG FORM COMPLEM'!668:668,"AAAAADilf4A=",0)</f>
        <v>0</v>
      </c>
      <c r="DZ298" t="e">
        <f>AND('PROG FORM COMPLEM'!B668,"AAAAADilf4E=")</f>
        <v>#VALUE!</v>
      </c>
      <c r="EA298">
        <f>IF('PROG FORM COMPLEM'!669:669,"AAAAADilf4I=",0)</f>
        <v>0</v>
      </c>
      <c r="EB298" t="e">
        <f>AND('PROG FORM COMPLEM'!B669,"AAAAADilf4M=")</f>
        <v>#VALUE!</v>
      </c>
      <c r="EC298">
        <f>IF('PROG FORM COMPLEM'!670:670,"AAAAADilf4Q=",0)</f>
        <v>0</v>
      </c>
      <c r="ED298" t="e">
        <f>AND('PROG FORM COMPLEM'!B670,"AAAAADilf4U=")</f>
        <v>#VALUE!</v>
      </c>
      <c r="EE298">
        <f>IF('PROG FORM COMPLEM'!671:671,"AAAAADilf4Y=",0)</f>
        <v>0</v>
      </c>
      <c r="EF298" t="e">
        <f>AND('PROG FORM COMPLEM'!B671,"AAAAADilf4c=")</f>
        <v>#VALUE!</v>
      </c>
      <c r="EG298">
        <f>IF('PROG FORM COMPLEM'!672:672,"AAAAADilf4g=",0)</f>
        <v>0</v>
      </c>
      <c r="EH298" t="e">
        <f>AND('PROG FORM COMPLEM'!B672,"AAAAADilf4k=")</f>
        <v>#VALUE!</v>
      </c>
      <c r="EI298">
        <f>IF('PROG FORM COMPLEM'!673:673,"AAAAADilf4o=",0)</f>
        <v>0</v>
      </c>
      <c r="EJ298" t="e">
        <f>AND('PROG FORM COMPLEM'!B673,"AAAAADilf4s=")</f>
        <v>#VALUE!</v>
      </c>
      <c r="EK298">
        <f>IF('PROG FORM COMPLEM'!674:674,"AAAAADilf4w=",0)</f>
        <v>0</v>
      </c>
      <c r="EL298" t="e">
        <f>AND('PROG FORM COMPLEM'!B674,"AAAAADilf40=")</f>
        <v>#VALUE!</v>
      </c>
      <c r="EM298">
        <f>IF('PROG FORM COMPLEM'!675:675,"AAAAADilf44=",0)</f>
        <v>0</v>
      </c>
      <c r="EN298" t="e">
        <f>AND('PROG FORM COMPLEM'!B675,"AAAAADilf48=")</f>
        <v>#VALUE!</v>
      </c>
      <c r="EO298">
        <f>IF('PROG FORM COMPLEM'!676:676,"AAAAADilf5A=",0)</f>
        <v>0</v>
      </c>
      <c r="EP298" t="e">
        <f>AND('PROG FORM COMPLEM'!B676,"AAAAADilf5E=")</f>
        <v>#VALUE!</v>
      </c>
      <c r="EQ298">
        <f>IF('PROG FORM COMPLEM'!677:677,"AAAAADilf5I=",0)</f>
        <v>0</v>
      </c>
      <c r="ER298" t="e">
        <f>AND('PROG FORM COMPLEM'!B677,"AAAAADilf5M=")</f>
        <v>#VALUE!</v>
      </c>
      <c r="ES298">
        <f>IF('PROG FORM COMPLEM'!678:678,"AAAAADilf5Q=",0)</f>
        <v>0</v>
      </c>
      <c r="ET298" t="e">
        <f>AND('PROG FORM COMPLEM'!B678,"AAAAADilf5U=")</f>
        <v>#VALUE!</v>
      </c>
      <c r="EU298">
        <f>IF('PROG FORM COMPLEM'!679:679,"AAAAADilf5Y=",0)</f>
        <v>0</v>
      </c>
      <c r="EV298" t="e">
        <f>AND('PROG FORM COMPLEM'!B679,"AAAAADilf5c=")</f>
        <v>#VALUE!</v>
      </c>
      <c r="EW298">
        <f>IF('PROG FORM COMPLEM'!680:680,"AAAAADilf5g=",0)</f>
        <v>0</v>
      </c>
      <c r="EX298" t="e">
        <f>AND('PROG FORM COMPLEM'!B680,"AAAAADilf5k=")</f>
        <v>#VALUE!</v>
      </c>
      <c r="EY298">
        <f>IF('PROG FORM COMPLEM'!681:681,"AAAAADilf5o=",0)</f>
        <v>0</v>
      </c>
      <c r="EZ298" t="e">
        <f>AND('PROG FORM COMPLEM'!B681,"AAAAADilf5s=")</f>
        <v>#VALUE!</v>
      </c>
      <c r="FA298">
        <f>IF('PROG FORM COMPLEM'!682:682,"AAAAADilf5w=",0)</f>
        <v>0</v>
      </c>
      <c r="FB298" t="e">
        <f>AND('PROG FORM COMPLEM'!B682,"AAAAADilf50=")</f>
        <v>#VALUE!</v>
      </c>
      <c r="FC298">
        <f>IF('PROG FORM COMPLEM'!683:683,"AAAAADilf54=",0)</f>
        <v>0</v>
      </c>
      <c r="FD298" t="e">
        <f>AND('PROG FORM COMPLEM'!B683,"AAAAADilf58=")</f>
        <v>#VALUE!</v>
      </c>
      <c r="FE298">
        <f>IF('PROG FORM COMPLEM'!684:684,"AAAAADilf6A=",0)</f>
        <v>0</v>
      </c>
      <c r="FF298" t="e">
        <f>AND('PROG FORM COMPLEM'!B684,"AAAAADilf6E=")</f>
        <v>#VALUE!</v>
      </c>
      <c r="FG298">
        <f>IF('PROG FORM COMPLEM'!685:685,"AAAAADilf6I=",0)</f>
        <v>0</v>
      </c>
      <c r="FH298" t="e">
        <f>AND('PROG FORM COMPLEM'!B685,"AAAAADilf6M=")</f>
        <v>#VALUE!</v>
      </c>
      <c r="FI298">
        <f>IF('PROG FORM COMPLEM'!686:686,"AAAAADilf6Q=",0)</f>
        <v>0</v>
      </c>
      <c r="FJ298" t="e">
        <f>AND('PROG FORM COMPLEM'!B686,"AAAAADilf6U=")</f>
        <v>#VALUE!</v>
      </c>
      <c r="FK298">
        <f>IF('PROG FORM COMPLEM'!687:687,"AAAAADilf6Y=",0)</f>
        <v>0</v>
      </c>
      <c r="FL298" t="e">
        <f>AND('PROG FORM COMPLEM'!B687,"AAAAADilf6c=")</f>
        <v>#VALUE!</v>
      </c>
      <c r="FM298">
        <f>IF('PROG FORM COMPLEM'!688:688,"AAAAADilf6g=",0)</f>
        <v>0</v>
      </c>
      <c r="FN298" t="e">
        <f>AND('PROG FORM COMPLEM'!B688,"AAAAADilf6k=")</f>
        <v>#VALUE!</v>
      </c>
      <c r="FO298">
        <f>IF('PROG FORM COMPLEM'!689:689,"AAAAADilf6o=",0)</f>
        <v>0</v>
      </c>
      <c r="FP298" t="e">
        <f>AND('PROG FORM COMPLEM'!B689,"AAAAADilf6s=")</f>
        <v>#VALUE!</v>
      </c>
      <c r="FQ298">
        <f>IF('PROG FORM COMPLEM'!690:690,"AAAAADilf6w=",0)</f>
        <v>0</v>
      </c>
      <c r="FR298" t="e">
        <f>AND('PROG FORM COMPLEM'!B690,"AAAAADilf60=")</f>
        <v>#VALUE!</v>
      </c>
      <c r="FS298">
        <f>IF('PROG FORM COMPLEM'!691:691,"AAAAADilf64=",0)</f>
        <v>0</v>
      </c>
      <c r="FT298" t="e">
        <f>AND('PROG FORM COMPLEM'!B691,"AAAAADilf68=")</f>
        <v>#VALUE!</v>
      </c>
      <c r="FU298">
        <f>IF('PROG FORM COMPLEM'!692:692,"AAAAADilf7A=",0)</f>
        <v>0</v>
      </c>
      <c r="FV298" t="e">
        <f>AND('PROG FORM COMPLEM'!B692,"AAAAADilf7E=")</f>
        <v>#VALUE!</v>
      </c>
      <c r="FW298">
        <f>IF('PROG FORM COMPLEM'!693:693,"AAAAADilf7I=",0)</f>
        <v>0</v>
      </c>
      <c r="FX298" t="e">
        <f>AND('PROG FORM COMPLEM'!B693,"AAAAADilf7M=")</f>
        <v>#VALUE!</v>
      </c>
      <c r="FY298">
        <f>IF('PROG FORM COMPLEM'!694:694,"AAAAADilf7Q=",0)</f>
        <v>0</v>
      </c>
      <c r="FZ298" t="e">
        <f>AND('PROG FORM COMPLEM'!B694,"AAAAADilf7U=")</f>
        <v>#VALUE!</v>
      </c>
      <c r="GA298">
        <f>IF('PROG FORM COMPLEM'!695:695,"AAAAADilf7Y=",0)</f>
        <v>0</v>
      </c>
      <c r="GB298" t="e">
        <f>AND('PROG FORM COMPLEM'!B695,"AAAAADilf7c=")</f>
        <v>#VALUE!</v>
      </c>
      <c r="GC298">
        <f>IF('PROG FORM COMPLEM'!696:696,"AAAAADilf7g=",0)</f>
        <v>0</v>
      </c>
      <c r="GD298" t="e">
        <f>AND('PROG FORM COMPLEM'!B696,"AAAAADilf7k=")</f>
        <v>#VALUE!</v>
      </c>
      <c r="GE298">
        <f>IF('PROG FORM COMPLEM'!697:697,"AAAAADilf7o=",0)</f>
        <v>0</v>
      </c>
      <c r="GF298" t="e">
        <f>AND('PROG FORM COMPLEM'!B697,"AAAAADilf7s=")</f>
        <v>#VALUE!</v>
      </c>
      <c r="GG298">
        <f>IF('PROG FORM COMPLEM'!698:698,"AAAAADilf7w=",0)</f>
        <v>0</v>
      </c>
      <c r="GH298" t="e">
        <f>AND('PROG FORM COMPLEM'!B698,"AAAAADilf70=")</f>
        <v>#VALUE!</v>
      </c>
      <c r="GI298">
        <f>IF('PROG FORM COMPLEM'!699:699,"AAAAADilf74=",0)</f>
        <v>0</v>
      </c>
      <c r="GJ298" t="e">
        <f>AND('PROG FORM COMPLEM'!B699,"AAAAADilf78=")</f>
        <v>#VALUE!</v>
      </c>
      <c r="GK298">
        <f>IF('PROG FORM COMPLEM'!700:700,"AAAAADilf8A=",0)</f>
        <v>0</v>
      </c>
      <c r="GL298" t="e">
        <f>AND('PROG FORM COMPLEM'!B700,"AAAAADilf8E=")</f>
        <v>#VALUE!</v>
      </c>
      <c r="GM298">
        <f>IF('PROG FORM COMPLEM'!701:701,"AAAAADilf8I=",0)</f>
        <v>0</v>
      </c>
      <c r="GN298" t="e">
        <f>AND('PROG FORM COMPLEM'!B701,"AAAAADilf8M=")</f>
        <v>#VALUE!</v>
      </c>
      <c r="GO298">
        <f>IF('PROG FORM COMPLEM'!702:702,"AAAAADilf8Q=",0)</f>
        <v>0</v>
      </c>
      <c r="GP298" t="e">
        <f>AND('PROG FORM COMPLEM'!B702,"AAAAADilf8U=")</f>
        <v>#VALUE!</v>
      </c>
      <c r="GQ298">
        <f>IF('PROG FORM COMPLEM'!703:703,"AAAAADilf8Y=",0)</f>
        <v>0</v>
      </c>
      <c r="GR298" t="e">
        <f>AND('PROG FORM COMPLEM'!B703,"AAAAADilf8c=")</f>
        <v>#VALUE!</v>
      </c>
      <c r="GS298">
        <f>IF('PROG FORM COMPLEM'!704:704,"AAAAADilf8g=",0)</f>
        <v>0</v>
      </c>
      <c r="GT298" t="e">
        <f>AND('PROG FORM COMPLEM'!B704,"AAAAADilf8k=")</f>
        <v>#VALUE!</v>
      </c>
      <c r="GU298">
        <f>IF('PROG FORM COMPLEM'!705:705,"AAAAADilf8o=",0)</f>
        <v>0</v>
      </c>
      <c r="GV298" t="e">
        <f>AND('PROG FORM COMPLEM'!B705,"AAAAADilf8s=")</f>
        <v>#VALUE!</v>
      </c>
      <c r="GW298">
        <f>IF('PROG FORM COMPLEM'!706:706,"AAAAADilf8w=",0)</f>
        <v>0</v>
      </c>
      <c r="GX298" t="e">
        <f>AND('PROG FORM COMPLEM'!B706,"AAAAADilf80=")</f>
        <v>#VALUE!</v>
      </c>
      <c r="GY298">
        <f>IF('PROG FORM COMPLEM'!707:707,"AAAAADilf84=",0)</f>
        <v>0</v>
      </c>
      <c r="GZ298" t="e">
        <f>AND('PROG FORM COMPLEM'!B707,"AAAAADilf88=")</f>
        <v>#VALUE!</v>
      </c>
      <c r="HA298">
        <f>IF('PROG FORM COMPLEM'!708:708,"AAAAADilf9A=",0)</f>
        <v>0</v>
      </c>
      <c r="HB298" t="e">
        <f>AND('PROG FORM COMPLEM'!B708,"AAAAADilf9E=")</f>
        <v>#VALUE!</v>
      </c>
      <c r="HC298">
        <f>IF('PROG FORM COMPLEM'!709:709,"AAAAADilf9I=",0)</f>
        <v>0</v>
      </c>
      <c r="HD298" t="e">
        <f>AND('PROG FORM COMPLEM'!B709,"AAAAADilf9M=")</f>
        <v>#VALUE!</v>
      </c>
      <c r="HE298">
        <f>IF('PROG FORM COMPLEM'!710:710,"AAAAADilf9Q=",0)</f>
        <v>0</v>
      </c>
      <c r="HF298" t="e">
        <f>AND('PROG FORM COMPLEM'!B710,"AAAAADilf9U=")</f>
        <v>#VALUE!</v>
      </c>
      <c r="HG298">
        <f>IF('PROG FORM COMPLEM'!711:711,"AAAAADilf9Y=",0)</f>
        <v>0</v>
      </c>
      <c r="HH298" t="e">
        <f>AND('PROG FORM COMPLEM'!B711,"AAAAADilf9c=")</f>
        <v>#VALUE!</v>
      </c>
      <c r="HI298">
        <f>IF('PROG FORM COMPLEM'!712:712,"AAAAADilf9g=",0)</f>
        <v>0</v>
      </c>
      <c r="HJ298" t="e">
        <f>AND('PROG FORM COMPLEM'!B712,"AAAAADilf9k=")</f>
        <v>#VALUE!</v>
      </c>
      <c r="HK298">
        <f>IF('PROG FORM COMPLEM'!713:713,"AAAAADilf9o=",0)</f>
        <v>0</v>
      </c>
      <c r="HL298" t="e">
        <f>AND('PROG FORM COMPLEM'!B713,"AAAAADilf9s=")</f>
        <v>#VALUE!</v>
      </c>
      <c r="HM298">
        <f>IF('PROG FORM COMPLEM'!714:714,"AAAAADilf9w=",0)</f>
        <v>0</v>
      </c>
      <c r="HN298" t="e">
        <f>AND('PROG FORM COMPLEM'!B714,"AAAAADilf90=")</f>
        <v>#VALUE!</v>
      </c>
      <c r="HO298">
        <f>IF('PROG FORM COMPLEM'!715:715,"AAAAADilf94=",0)</f>
        <v>0</v>
      </c>
      <c r="HP298" t="e">
        <f>AND('PROG FORM COMPLEM'!B715,"AAAAADilf98=")</f>
        <v>#VALUE!</v>
      </c>
      <c r="HQ298">
        <f>IF('PROG FORM COMPLEM'!716:716,"AAAAADilf+A=",0)</f>
        <v>0</v>
      </c>
      <c r="HR298" t="e">
        <f>AND('PROG FORM COMPLEM'!B716,"AAAAADilf+E=")</f>
        <v>#VALUE!</v>
      </c>
      <c r="HS298">
        <f>IF('PROG FORM COMPLEM'!717:717,"AAAAADilf+I=",0)</f>
        <v>0</v>
      </c>
      <c r="HT298" t="e">
        <f>AND('PROG FORM COMPLEM'!B717,"AAAAADilf+M=")</f>
        <v>#VALUE!</v>
      </c>
      <c r="HU298">
        <f>IF('PROG FORM COMPLEM'!718:718,"AAAAADilf+Q=",0)</f>
        <v>0</v>
      </c>
      <c r="HV298" t="e">
        <f>AND('PROG FORM COMPLEM'!B718,"AAAAADilf+U=")</f>
        <v>#VALUE!</v>
      </c>
      <c r="HW298">
        <f>IF('PROG FORM COMPLEM'!719:719,"AAAAADilf+Y=",0)</f>
        <v>0</v>
      </c>
      <c r="HX298" t="e">
        <f>AND('PROG FORM COMPLEM'!B719,"AAAAADilf+c=")</f>
        <v>#VALUE!</v>
      </c>
      <c r="HY298">
        <f>IF('PROG FORM COMPLEM'!720:720,"AAAAADilf+g=",0)</f>
        <v>0</v>
      </c>
      <c r="HZ298" t="e">
        <f>AND('PROG FORM COMPLEM'!B720,"AAAAADilf+k=")</f>
        <v>#VALUE!</v>
      </c>
      <c r="IA298">
        <f>IF('PROG FORM COMPLEM'!721:721,"AAAAADilf+o=",0)</f>
        <v>0</v>
      </c>
      <c r="IB298" t="e">
        <f>AND('PROG FORM COMPLEM'!B721,"AAAAADilf+s=")</f>
        <v>#VALUE!</v>
      </c>
      <c r="IC298">
        <f>IF('PROG FORM COMPLEM'!722:722,"AAAAADilf+w=",0)</f>
        <v>0</v>
      </c>
      <c r="ID298" t="e">
        <f>AND('PROG FORM COMPLEM'!B722,"AAAAADilf+0=")</f>
        <v>#VALUE!</v>
      </c>
      <c r="IE298">
        <f>IF('PROG FORM COMPLEM'!723:723,"AAAAADilf+4=",0)</f>
        <v>0</v>
      </c>
      <c r="IF298" t="e">
        <f>AND('PROG FORM COMPLEM'!B723,"AAAAADilf+8=")</f>
        <v>#VALUE!</v>
      </c>
      <c r="IG298">
        <f>IF('PROG FORM COMPLEM'!724:724,"AAAAADilf/A=",0)</f>
        <v>0</v>
      </c>
      <c r="IH298" t="e">
        <f>AND('PROG FORM COMPLEM'!B724,"AAAAADilf/E=")</f>
        <v>#VALUE!</v>
      </c>
      <c r="II298">
        <f>IF('PROG FORM COMPLEM'!725:725,"AAAAADilf/I=",0)</f>
        <v>0</v>
      </c>
      <c r="IJ298" t="e">
        <f>AND('PROG FORM COMPLEM'!B725,"AAAAADilf/M=")</f>
        <v>#VALUE!</v>
      </c>
      <c r="IK298">
        <f>IF('PROG FORM COMPLEM'!726:726,"AAAAADilf/Q=",0)</f>
        <v>0</v>
      </c>
      <c r="IL298" t="e">
        <f>AND('PROG FORM COMPLEM'!B726,"AAAAADilf/U=")</f>
        <v>#VALUE!</v>
      </c>
      <c r="IM298">
        <f>IF('PROG FORM COMPLEM'!727:727,"AAAAADilf/Y=",0)</f>
        <v>0</v>
      </c>
      <c r="IN298" t="e">
        <f>AND('PROG FORM COMPLEM'!B727,"AAAAADilf/c=")</f>
        <v>#VALUE!</v>
      </c>
      <c r="IO298">
        <f>IF('PROG FORM COMPLEM'!728:728,"AAAAADilf/g=",0)</f>
        <v>0</v>
      </c>
      <c r="IP298" t="e">
        <f>AND('PROG FORM COMPLEM'!B728,"AAAAADilf/k=")</f>
        <v>#VALUE!</v>
      </c>
      <c r="IQ298">
        <f>IF('PROG FORM COMPLEM'!729:729,"AAAAADilf/o=",0)</f>
        <v>0</v>
      </c>
      <c r="IR298" t="e">
        <f>AND('PROG FORM COMPLEM'!B729,"AAAAADilf/s=")</f>
        <v>#VALUE!</v>
      </c>
      <c r="IS298">
        <f>IF('PROG FORM COMPLEM'!730:730,"AAAAADilf/w=",0)</f>
        <v>0</v>
      </c>
      <c r="IT298" t="e">
        <f>AND('PROG FORM COMPLEM'!B730,"AAAAADilf/0=")</f>
        <v>#VALUE!</v>
      </c>
      <c r="IU298">
        <f>IF('PROG FORM COMPLEM'!731:731,"AAAAADilf/4=",0)</f>
        <v>0</v>
      </c>
      <c r="IV298" t="e">
        <f>AND('PROG FORM COMPLEM'!B731,"AAAAADilf/8=")</f>
        <v>#VALUE!</v>
      </c>
    </row>
    <row r="299" spans="1:256" x14ac:dyDescent="0.2">
      <c r="A299">
        <f>IF('PROG FORM COMPLEM'!732:732,"AAAAAH//7gA=",0)</f>
        <v>0</v>
      </c>
      <c r="B299" t="e">
        <f>AND('PROG FORM COMPLEM'!B732,"AAAAAH//7gE=")</f>
        <v>#VALUE!</v>
      </c>
      <c r="C299">
        <f>IF('PROG FORM COMPLEM'!733:733,"AAAAAH//7gI=",0)</f>
        <v>0</v>
      </c>
      <c r="D299" t="e">
        <f>AND('PROG FORM COMPLEM'!B733,"AAAAAH//7gM=")</f>
        <v>#VALUE!</v>
      </c>
      <c r="E299">
        <f>IF('PROG FORM COMPLEM'!734:734,"AAAAAH//7gQ=",0)</f>
        <v>0</v>
      </c>
      <c r="F299" t="e">
        <f>AND('PROG FORM COMPLEM'!B734,"AAAAAH//7gU=")</f>
        <v>#VALUE!</v>
      </c>
      <c r="G299">
        <f>IF('PROG FORM COMPLEM'!735:735,"AAAAAH//7gY=",0)</f>
        <v>0</v>
      </c>
      <c r="H299" t="e">
        <f>AND('PROG FORM COMPLEM'!B735,"AAAAAH//7gc=")</f>
        <v>#VALUE!</v>
      </c>
      <c r="I299">
        <f>IF('PROG FORM COMPLEM'!736:736,"AAAAAH//7gg=",0)</f>
        <v>0</v>
      </c>
      <c r="J299" t="e">
        <f>AND('PROG FORM COMPLEM'!B736,"AAAAAH//7gk=")</f>
        <v>#VALUE!</v>
      </c>
      <c r="K299">
        <f>IF('PROG FORM COMPLEM'!737:737,"AAAAAH//7go=",0)</f>
        <v>0</v>
      </c>
      <c r="L299" t="e">
        <f>AND('PROG FORM COMPLEM'!B737,"AAAAAH//7gs=")</f>
        <v>#VALUE!</v>
      </c>
      <c r="M299">
        <f>IF('PROG FORM COMPLEM'!738:738,"AAAAAH//7gw=",0)</f>
        <v>0</v>
      </c>
      <c r="N299" t="e">
        <f>AND('PROG FORM COMPLEM'!B738,"AAAAAH//7g0=")</f>
        <v>#VALUE!</v>
      </c>
      <c r="O299">
        <f>IF('PROG FORM COMPLEM'!739:739,"AAAAAH//7g4=",0)</f>
        <v>0</v>
      </c>
      <c r="P299" t="e">
        <f>AND('PROG FORM COMPLEM'!B739,"AAAAAH//7g8=")</f>
        <v>#VALUE!</v>
      </c>
      <c r="Q299">
        <f>IF('PROG FORM COMPLEM'!740:740,"AAAAAH//7hA=",0)</f>
        <v>0</v>
      </c>
      <c r="R299" t="e">
        <f>AND('PROG FORM COMPLEM'!B740,"AAAAAH//7hE=")</f>
        <v>#VALUE!</v>
      </c>
      <c r="S299">
        <f>IF('PROG FORM COMPLEM'!741:741,"AAAAAH//7hI=",0)</f>
        <v>0</v>
      </c>
      <c r="T299" t="e">
        <f>AND('PROG FORM COMPLEM'!B741,"AAAAAH//7hM=")</f>
        <v>#VALUE!</v>
      </c>
      <c r="U299">
        <f>IF('PROG FORM COMPLEM'!742:742,"AAAAAH//7hQ=",0)</f>
        <v>0</v>
      </c>
      <c r="V299" t="e">
        <f>AND('PROG FORM COMPLEM'!B742,"AAAAAH//7hU=")</f>
        <v>#VALUE!</v>
      </c>
      <c r="W299">
        <f>IF('PROG FORM COMPLEM'!743:743,"AAAAAH//7hY=",0)</f>
        <v>0</v>
      </c>
      <c r="X299" t="e">
        <f>AND('PROG FORM COMPLEM'!B743,"AAAAAH//7hc=")</f>
        <v>#VALUE!</v>
      </c>
      <c r="Y299">
        <f>IF('PROG FORM COMPLEM'!744:744,"AAAAAH//7hg=",0)</f>
        <v>0</v>
      </c>
      <c r="Z299" t="e">
        <f>AND('PROG FORM COMPLEM'!B744,"AAAAAH//7hk=")</f>
        <v>#VALUE!</v>
      </c>
      <c r="AA299">
        <f>IF('PROG FORM COMPLEM'!745:745,"AAAAAH//7ho=",0)</f>
        <v>0</v>
      </c>
      <c r="AB299" t="e">
        <f>AND('PROG FORM COMPLEM'!B745,"AAAAAH//7hs=")</f>
        <v>#VALUE!</v>
      </c>
      <c r="AC299">
        <f>IF('PROG FORM COMPLEM'!746:746,"AAAAAH//7hw=",0)</f>
        <v>0</v>
      </c>
      <c r="AD299" t="e">
        <f>AND('PROG FORM COMPLEM'!B746,"AAAAAH//7h0=")</f>
        <v>#VALUE!</v>
      </c>
      <c r="AE299">
        <f>IF('PROG FORM COMPLEM'!747:747,"AAAAAH//7h4=",0)</f>
        <v>0</v>
      </c>
      <c r="AF299" t="e">
        <f>AND('PROG FORM COMPLEM'!B747,"AAAAAH//7h8=")</f>
        <v>#VALUE!</v>
      </c>
      <c r="AG299">
        <f>IF('PROG FORM COMPLEM'!748:748,"AAAAAH//7iA=",0)</f>
        <v>0</v>
      </c>
      <c r="AH299" t="e">
        <f>AND('PROG FORM COMPLEM'!B748,"AAAAAH//7iE=")</f>
        <v>#VALUE!</v>
      </c>
      <c r="AI299">
        <f>IF('PROG FORM COMPLEM'!749:749,"AAAAAH//7iI=",0)</f>
        <v>0</v>
      </c>
      <c r="AJ299" t="e">
        <f>AND('PROG FORM COMPLEM'!B749,"AAAAAH//7iM=")</f>
        <v>#VALUE!</v>
      </c>
      <c r="AK299">
        <f>IF('PROG FORM COMPLEM'!750:750,"AAAAAH//7iQ=",0)</f>
        <v>0</v>
      </c>
      <c r="AL299" t="e">
        <f>AND('PROG FORM COMPLEM'!B750,"AAAAAH//7iU=")</f>
        <v>#VALUE!</v>
      </c>
      <c r="AM299">
        <f>IF('PROG FORM COMPLEM'!751:751,"AAAAAH//7iY=",0)</f>
        <v>0</v>
      </c>
      <c r="AN299" t="e">
        <f>AND('PROG FORM COMPLEM'!B751,"AAAAAH//7ic=")</f>
        <v>#VALUE!</v>
      </c>
      <c r="AO299">
        <f>IF('PROG FORM COMPLEM'!752:752,"AAAAAH//7ig=",0)</f>
        <v>0</v>
      </c>
      <c r="AP299" t="e">
        <f>AND('PROG FORM COMPLEM'!B752,"AAAAAH//7ik=")</f>
        <v>#VALUE!</v>
      </c>
      <c r="AQ299">
        <f>IF('PROG FORM COMPLEM'!753:753,"AAAAAH//7io=",0)</f>
        <v>0</v>
      </c>
      <c r="AR299" t="e">
        <f>AND('PROG FORM COMPLEM'!B753,"AAAAAH//7is=")</f>
        <v>#VALUE!</v>
      </c>
      <c r="AS299">
        <f>IF('PROG FORM COMPLEM'!754:754,"AAAAAH//7iw=",0)</f>
        <v>0</v>
      </c>
      <c r="AT299" t="e">
        <f>AND('PROG FORM COMPLEM'!B754,"AAAAAH//7i0=")</f>
        <v>#VALUE!</v>
      </c>
      <c r="AU299">
        <f>IF('PROG FORM COMPLEM'!755:755,"AAAAAH//7i4=",0)</f>
        <v>0</v>
      </c>
      <c r="AV299" t="e">
        <f>AND('PROG FORM COMPLEM'!B755,"AAAAAH//7i8=")</f>
        <v>#VALUE!</v>
      </c>
      <c r="AW299">
        <f>IF('PROG FORM COMPLEM'!756:756,"AAAAAH//7jA=",0)</f>
        <v>0</v>
      </c>
      <c r="AX299" t="e">
        <f>AND('PROG FORM COMPLEM'!B756,"AAAAAH//7jE=")</f>
        <v>#VALUE!</v>
      </c>
      <c r="AY299">
        <f>IF('PROG FORM COMPLEM'!757:757,"AAAAAH//7jI=",0)</f>
        <v>0</v>
      </c>
      <c r="AZ299" t="e">
        <f>AND('PROG FORM COMPLEM'!B757,"AAAAAH//7jM=")</f>
        <v>#VALUE!</v>
      </c>
      <c r="BA299">
        <f>IF('PROG FORM COMPLEM'!758:758,"AAAAAH//7jQ=",0)</f>
        <v>0</v>
      </c>
      <c r="BB299" t="e">
        <f>AND('PROG FORM COMPLEM'!B758,"AAAAAH//7jU=")</f>
        <v>#VALUE!</v>
      </c>
      <c r="BC299">
        <f>IF('PROG FORM COMPLEM'!759:759,"AAAAAH//7jY=",0)</f>
        <v>0</v>
      </c>
      <c r="BD299" t="e">
        <f>AND('PROG FORM COMPLEM'!B759,"AAAAAH//7jc=")</f>
        <v>#VALUE!</v>
      </c>
      <c r="BE299">
        <f>IF('PROG FORM COMPLEM'!760:760,"AAAAAH//7jg=",0)</f>
        <v>0</v>
      </c>
      <c r="BF299" t="e">
        <f>AND('PROG FORM COMPLEM'!B760,"AAAAAH//7jk=")</f>
        <v>#VALUE!</v>
      </c>
      <c r="BG299">
        <f>IF('PROG FORM COMPLEM'!761:761,"AAAAAH//7jo=",0)</f>
        <v>0</v>
      </c>
      <c r="BH299" t="e">
        <f>AND('PROG FORM COMPLEM'!B761,"AAAAAH//7js=")</f>
        <v>#VALUE!</v>
      </c>
      <c r="BI299">
        <f>IF('PROG FORM COMPLEM'!762:762,"AAAAAH//7jw=",0)</f>
        <v>0</v>
      </c>
      <c r="BJ299" t="e">
        <f>AND('PROG FORM COMPLEM'!B762,"AAAAAH//7j0=")</f>
        <v>#VALUE!</v>
      </c>
      <c r="BK299">
        <f>IF('PROG FORM COMPLEM'!763:763,"AAAAAH//7j4=",0)</f>
        <v>0</v>
      </c>
      <c r="BL299" t="e">
        <f>AND('PROG FORM COMPLEM'!B763,"AAAAAH//7j8=")</f>
        <v>#VALUE!</v>
      </c>
      <c r="BM299">
        <f>IF('PROG FORM COMPLEM'!764:764,"AAAAAH//7kA=",0)</f>
        <v>0</v>
      </c>
      <c r="BN299" t="e">
        <f>AND('PROG FORM COMPLEM'!B764,"AAAAAH//7kE=")</f>
        <v>#VALUE!</v>
      </c>
      <c r="BO299">
        <f>IF('PROG FORM COMPLEM'!765:765,"AAAAAH//7kI=",0)</f>
        <v>0</v>
      </c>
      <c r="BP299" t="e">
        <f>AND('PROG FORM COMPLEM'!B765,"AAAAAH//7kM=")</f>
        <v>#VALUE!</v>
      </c>
      <c r="BQ299">
        <f>IF('PROG FORM COMPLEM'!766:766,"AAAAAH//7kQ=",0)</f>
        <v>0</v>
      </c>
      <c r="BR299" t="e">
        <f>AND('PROG FORM COMPLEM'!B766,"AAAAAH//7kU=")</f>
        <v>#VALUE!</v>
      </c>
      <c r="BS299">
        <f>IF('PROG FORM COMPLEM'!767:767,"AAAAAH//7kY=",0)</f>
        <v>0</v>
      </c>
      <c r="BT299" t="e">
        <f>AND('PROG FORM COMPLEM'!B767,"AAAAAH//7kc=")</f>
        <v>#VALUE!</v>
      </c>
      <c r="BU299">
        <f>IF('PROG FORM COMPLEM'!768:768,"AAAAAH//7kg=",0)</f>
        <v>0</v>
      </c>
      <c r="BV299" t="e">
        <f>AND('PROG FORM COMPLEM'!B768,"AAAAAH//7kk=")</f>
        <v>#VALUE!</v>
      </c>
      <c r="BW299">
        <f>IF('PROG FORM COMPLEM'!769:769,"AAAAAH//7ko=",0)</f>
        <v>0</v>
      </c>
      <c r="BX299" t="e">
        <f>AND('PROG FORM COMPLEM'!B769,"AAAAAH//7ks=")</f>
        <v>#VALUE!</v>
      </c>
      <c r="BY299">
        <f>IF('PROG FORM COMPLEM'!770:770,"AAAAAH//7kw=",0)</f>
        <v>0</v>
      </c>
      <c r="BZ299" t="e">
        <f>AND('PROG FORM COMPLEM'!B770,"AAAAAH//7k0=")</f>
        <v>#VALUE!</v>
      </c>
      <c r="CA299">
        <f>IF('PROG FORM COMPLEM'!771:771,"AAAAAH//7k4=",0)</f>
        <v>0</v>
      </c>
      <c r="CB299" t="e">
        <f>AND('PROG FORM COMPLEM'!B771,"AAAAAH//7k8=")</f>
        <v>#VALUE!</v>
      </c>
      <c r="CC299">
        <f>IF('PROG FORM COMPLEM'!772:772,"AAAAAH//7lA=",0)</f>
        <v>0</v>
      </c>
      <c r="CD299" t="e">
        <f>AND('PROG FORM COMPLEM'!B772,"AAAAAH//7lE=")</f>
        <v>#VALUE!</v>
      </c>
      <c r="CE299">
        <f>IF('PROG FORM COMPLEM'!773:773,"AAAAAH//7lI=",0)</f>
        <v>0</v>
      </c>
      <c r="CF299" t="e">
        <f>AND('PROG FORM COMPLEM'!B773,"AAAAAH//7lM=")</f>
        <v>#VALUE!</v>
      </c>
      <c r="CG299">
        <f>IF('PROG FORM COMPLEM'!774:774,"AAAAAH//7lQ=",0)</f>
        <v>0</v>
      </c>
      <c r="CH299" t="e">
        <f>AND('PROG FORM COMPLEM'!B774,"AAAAAH//7lU=")</f>
        <v>#VALUE!</v>
      </c>
      <c r="CI299">
        <f>IF('PROG FORM COMPLEM'!775:775,"AAAAAH//7lY=",0)</f>
        <v>0</v>
      </c>
      <c r="CJ299" t="e">
        <f>AND('PROG FORM COMPLEM'!B775,"AAAAAH//7lc=")</f>
        <v>#VALUE!</v>
      </c>
      <c r="CK299">
        <f>IF('PROG FORM COMPLEM'!776:776,"AAAAAH//7lg=",0)</f>
        <v>0</v>
      </c>
      <c r="CL299" t="e">
        <f>AND('PROG FORM COMPLEM'!B776,"AAAAAH//7lk=")</f>
        <v>#VALUE!</v>
      </c>
      <c r="CM299">
        <f>IF('PROG FORM COMPLEM'!777:777,"AAAAAH//7lo=",0)</f>
        <v>0</v>
      </c>
      <c r="CN299" t="e">
        <f>AND('PROG FORM COMPLEM'!B777,"AAAAAH//7ls=")</f>
        <v>#VALUE!</v>
      </c>
      <c r="CO299">
        <f>IF('PROG FORM COMPLEM'!778:778,"AAAAAH//7lw=",0)</f>
        <v>0</v>
      </c>
      <c r="CP299" t="e">
        <f>AND('PROG FORM COMPLEM'!B778,"AAAAAH//7l0=")</f>
        <v>#VALUE!</v>
      </c>
      <c r="CQ299">
        <f>IF('PROG FORM COMPLEM'!779:779,"AAAAAH//7l4=",0)</f>
        <v>0</v>
      </c>
      <c r="CR299" t="e">
        <f>AND('PROG FORM COMPLEM'!B779,"AAAAAH//7l8=")</f>
        <v>#VALUE!</v>
      </c>
      <c r="CS299">
        <f>IF('PROG FORM COMPLEM'!780:780,"AAAAAH//7mA=",0)</f>
        <v>0</v>
      </c>
      <c r="CT299" t="e">
        <f>AND('PROG FORM COMPLEM'!B780,"AAAAAH//7mE=")</f>
        <v>#VALUE!</v>
      </c>
      <c r="CU299">
        <f>IF('PROG FORM COMPLEM'!781:781,"AAAAAH//7mI=",0)</f>
        <v>0</v>
      </c>
      <c r="CV299" t="e">
        <f>AND('PROG FORM COMPLEM'!B781,"AAAAAH//7mM=")</f>
        <v>#VALUE!</v>
      </c>
      <c r="CW299">
        <f>IF('PROG FORM COMPLEM'!782:782,"AAAAAH//7mQ=",0)</f>
        <v>0</v>
      </c>
      <c r="CX299" t="e">
        <f>AND('PROG FORM COMPLEM'!B782,"AAAAAH//7mU=")</f>
        <v>#VALUE!</v>
      </c>
      <c r="CY299">
        <f>IF('PROG FORM COMPLEM'!783:783,"AAAAAH//7mY=",0)</f>
        <v>0</v>
      </c>
      <c r="CZ299" t="e">
        <f>AND('PROG FORM COMPLEM'!B783,"AAAAAH//7mc=")</f>
        <v>#VALUE!</v>
      </c>
      <c r="DA299">
        <f>IF('PROG FORM COMPLEM'!784:784,"AAAAAH//7mg=",0)</f>
        <v>0</v>
      </c>
      <c r="DB299" t="e">
        <f>AND('PROG FORM COMPLEM'!B784,"AAAAAH//7mk=")</f>
        <v>#VALUE!</v>
      </c>
      <c r="DC299">
        <f>IF('PROG FORM COMPLEM'!785:785,"AAAAAH//7mo=",0)</f>
        <v>0</v>
      </c>
      <c r="DD299" t="e">
        <f>AND('PROG FORM COMPLEM'!B785,"AAAAAH//7ms=")</f>
        <v>#VALUE!</v>
      </c>
      <c r="DE299">
        <f>IF('PROG FORM COMPLEM'!786:786,"AAAAAH//7mw=",0)</f>
        <v>0</v>
      </c>
      <c r="DF299" t="e">
        <f>AND('PROG FORM COMPLEM'!B786,"AAAAAH//7m0=")</f>
        <v>#VALUE!</v>
      </c>
      <c r="DG299">
        <f>IF('PROG FORM COMPLEM'!787:787,"AAAAAH//7m4=",0)</f>
        <v>0</v>
      </c>
      <c r="DH299" t="e">
        <f>AND('PROG FORM COMPLEM'!B787,"AAAAAH//7m8=")</f>
        <v>#VALUE!</v>
      </c>
      <c r="DI299">
        <f>IF('PROG FORM COMPLEM'!788:788,"AAAAAH//7nA=",0)</f>
        <v>0</v>
      </c>
      <c r="DJ299" t="e">
        <f>AND('PROG FORM COMPLEM'!B788,"AAAAAH//7nE=")</f>
        <v>#VALUE!</v>
      </c>
      <c r="DK299">
        <f>IF('PROG FORM COMPLEM'!789:789,"AAAAAH//7nI=",0)</f>
        <v>0</v>
      </c>
      <c r="DL299" t="e">
        <f>AND('PROG FORM COMPLEM'!B789,"AAAAAH//7nM=")</f>
        <v>#VALUE!</v>
      </c>
      <c r="DM299">
        <f>IF('PROG FORM COMPLEM'!790:790,"AAAAAH//7nQ=",0)</f>
        <v>0</v>
      </c>
      <c r="DN299" t="e">
        <f>AND('PROG FORM COMPLEM'!B790,"AAAAAH//7nU=")</f>
        <v>#VALUE!</v>
      </c>
      <c r="DO299">
        <f>IF('PROG FORM COMPLEM'!791:791,"AAAAAH//7nY=",0)</f>
        <v>0</v>
      </c>
      <c r="DP299" t="e">
        <f>AND('PROG FORM COMPLEM'!B791,"AAAAAH//7nc=")</f>
        <v>#VALUE!</v>
      </c>
      <c r="DQ299">
        <f>IF('PROG FORM COMPLEM'!792:792,"AAAAAH//7ng=",0)</f>
        <v>0</v>
      </c>
      <c r="DR299" t="e">
        <f>AND('PROG FORM COMPLEM'!B792,"AAAAAH//7nk=")</f>
        <v>#VALUE!</v>
      </c>
      <c r="DS299">
        <f>IF('PROG FORM COMPLEM'!793:793,"AAAAAH//7no=",0)</f>
        <v>0</v>
      </c>
      <c r="DT299" t="e">
        <f>AND('PROG FORM COMPLEM'!B793,"AAAAAH//7ns=")</f>
        <v>#VALUE!</v>
      </c>
      <c r="DU299">
        <f>IF('PROG FORM COMPLEM'!794:794,"AAAAAH//7nw=",0)</f>
        <v>0</v>
      </c>
      <c r="DV299" t="e">
        <f>AND('PROG FORM COMPLEM'!B794,"AAAAAH//7n0=")</f>
        <v>#VALUE!</v>
      </c>
      <c r="DW299">
        <f>IF('PROG FORM COMPLEM'!795:795,"AAAAAH//7n4=",0)</f>
        <v>0</v>
      </c>
      <c r="DX299" t="e">
        <f>AND('PROG FORM COMPLEM'!B795,"AAAAAH//7n8=")</f>
        <v>#VALUE!</v>
      </c>
      <c r="DY299">
        <f>IF('PROG FORM COMPLEM'!796:796,"AAAAAH//7oA=",0)</f>
        <v>0</v>
      </c>
      <c r="DZ299" t="e">
        <f>AND('PROG FORM COMPLEM'!B796,"AAAAAH//7oE=")</f>
        <v>#VALUE!</v>
      </c>
      <c r="EA299">
        <f>IF('PROG FORM COMPLEM'!797:797,"AAAAAH//7oI=",0)</f>
        <v>0</v>
      </c>
      <c r="EB299" t="e">
        <f>AND('PROG FORM COMPLEM'!B797,"AAAAAH//7oM=")</f>
        <v>#VALUE!</v>
      </c>
      <c r="EC299">
        <f>IF('PROG FORM COMPLEM'!798:798,"AAAAAH//7oQ=",0)</f>
        <v>0</v>
      </c>
      <c r="ED299" t="e">
        <f>AND('PROG FORM COMPLEM'!B798,"AAAAAH//7oU=")</f>
        <v>#VALUE!</v>
      </c>
      <c r="EE299">
        <f>IF('PROG FORM COMPLEM'!799:799,"AAAAAH//7oY=",0)</f>
        <v>0</v>
      </c>
      <c r="EF299" t="e">
        <f>AND('PROG FORM COMPLEM'!B799,"AAAAAH//7oc=")</f>
        <v>#VALUE!</v>
      </c>
      <c r="EG299">
        <f>IF('PROG FORM COMPLEM'!800:800,"AAAAAH//7og=",0)</f>
        <v>0</v>
      </c>
      <c r="EH299" t="e">
        <f>AND('PROG FORM COMPLEM'!B800,"AAAAAH//7ok=")</f>
        <v>#VALUE!</v>
      </c>
      <c r="EI299">
        <f>IF('PROG FORM COMPLEM'!801:801,"AAAAAH//7oo=",0)</f>
        <v>0</v>
      </c>
      <c r="EJ299" t="e">
        <f>AND('PROG FORM COMPLEM'!B801,"AAAAAH//7os=")</f>
        <v>#VALUE!</v>
      </c>
      <c r="EK299">
        <f>IF('PROG FORM COMPLEM'!A:A,"AAAAAH//7ow=",0)</f>
        <v>0</v>
      </c>
      <c r="EL299">
        <f>IF('PROG FORM COMPLEM'!B:B,"AAAAAH//7o0=",0)</f>
        <v>0</v>
      </c>
      <c r="EM299">
        <f>IF('PROG FORM COMPLEM'!C:C,"AAAAAH//7o4=",0)</f>
        <v>0</v>
      </c>
      <c r="EN299">
        <f>IF('PROG FORM COMPLEM'!D:D,"AAAAAH//7o8=",0)</f>
        <v>0</v>
      </c>
      <c r="EO299">
        <f>IF('PROG FORM COMPLEM'!E:E,"AAAAAH//7pA=",0)</f>
        <v>0</v>
      </c>
      <c r="EP299">
        <f>IF('PROG FORM COMPLEM'!F:F,"AAAAAH//7pE=",0)</f>
        <v>0</v>
      </c>
      <c r="EQ299">
        <f>IF('PROG FORM COMPLEM'!G:G,"AAAAAH//7pI=",0)</f>
        <v>0</v>
      </c>
      <c r="ER299">
        <f>IF('PROG FORM COMPLEM'!H:H,"AAAAAH//7pM=",0)</f>
        <v>0</v>
      </c>
      <c r="ES299">
        <f>IF('PROG FORM COMPLEM'!I:I,"AAAAAH//7pQ=",0)</f>
        <v>0</v>
      </c>
      <c r="ET299">
        <f>IF('PROG FORM COMPLEM'!J:J,"AAAAAH//7pU=",0)</f>
        <v>0</v>
      </c>
      <c r="EU299">
        <f>IF('PROG FORM COMPLEM'!K:K,"AAAAAH//7pY=",0)</f>
        <v>0</v>
      </c>
      <c r="EV299">
        <f>IF('PROG FORM COMPLEM'!L:L,"AAAAAH//7pc=",0)</f>
        <v>0</v>
      </c>
      <c r="EW299">
        <f>IF('PROG FORM COMPLEM'!M:M,"AAAAAH//7pg=",0)</f>
        <v>0</v>
      </c>
      <c r="EX299">
        <f>IF('PROG FORM COMPLEM'!N:N,"AAAAAH//7pk=",0)</f>
        <v>0</v>
      </c>
      <c r="EY299">
        <f>IF('PROG FORM COMPLEM'!O:O,"AAAAAH//7po=",0)</f>
        <v>0</v>
      </c>
      <c r="EZ299">
        <f>IF('PROG FORM COMPLEM'!P:P,"AAAAAH//7ps=",0)</f>
        <v>0</v>
      </c>
      <c r="FA299">
        <f>IF('PROG FORM COMPLEM'!Q:Q,"AAAAAH//7pw=",0)</f>
        <v>0</v>
      </c>
      <c r="FB299">
        <f>IF('PROG FORM COMPLEM'!R:R,"AAAAAH//7p0=",0)</f>
        <v>0</v>
      </c>
      <c r="FC299">
        <f>IF('PROG FORM COMPLEM'!S:S,"AAAAAH//7p4=",0)</f>
        <v>0</v>
      </c>
      <c r="FD299">
        <f>IF('PROG FORM COMPLEM'!T:T,"AAAAAH//7p8=",0)</f>
        <v>0</v>
      </c>
      <c r="FE299">
        <f>IF('PROG FORM COMPLEM'!U:U,"AAAAAH//7qA=",0)</f>
        <v>0</v>
      </c>
      <c r="FF299">
        <f>IF('PROG FORM COMPLEM'!V:V,"AAAAAH//7qE=",0)</f>
        <v>0</v>
      </c>
      <c r="FG299">
        <f>IF('PROG FORM COMPLEM'!W:W,"AAAAAH//7qI=",0)</f>
        <v>0</v>
      </c>
      <c r="FH299" t="s">
        <v>594</v>
      </c>
      <c r="FI299" t="s">
        <v>595</v>
      </c>
      <c r="FJ299" t="e">
        <f>IF("N",'PROG FORM COMPLEM'!_xlnm._FilterDatabase,"AAAAAH//7qU=")</f>
        <v>#VALUE!</v>
      </c>
      <c r="FK299" t="e">
        <f>IF("N",_xlnm._FilterDatabase,"AAAAAH//7qY=")</f>
        <v>#VALUE!</v>
      </c>
      <c r="FL299" t="e">
        <f>IF("N",'Calendario Académico 2014'!_xlnm.Print_Area,"AAAAAH//7qc=")</f>
        <v>#VALUE!</v>
      </c>
      <c r="FM299" t="e">
        <f>IF("N",'PROG FORMACIÓN TITULADA'!_xlnm.Print_Area,"AAAAAH//7qg=")</f>
        <v>#VALUE!</v>
      </c>
      <c r="FN299" t="e">
        <f>IF("N",_xlnm.Print_Area,"AAAAAH//7qk=")</f>
        <v>#VALUE!</v>
      </c>
    </row>
    <row r="300" spans="1:256" x14ac:dyDescent="0.2">
      <c r="A300" t="e">
        <f>IF('POTENCIAL HORAS'!40:40,"AAAAAA7f/wA=",0)</f>
        <v>#VALUE!</v>
      </c>
      <c r="B300" t="e">
        <f>AND('POTENCIAL HORAS'!A40,"AAAAAA7f/wE=")</f>
        <v>#VALUE!</v>
      </c>
      <c r="C300" t="e">
        <f>AND('POTENCIAL HORAS'!B40,"AAAAAA7f/wI=")</f>
        <v>#VALUE!</v>
      </c>
      <c r="D300" t="e">
        <f>AND('POTENCIAL HORAS'!C40,"AAAAAA7f/wM=")</f>
        <v>#VALUE!</v>
      </c>
      <c r="E300" t="e">
        <f>AND('POTENCIAL HORAS'!D40,"AAAAAA7f/wQ=")</f>
        <v>#VALUE!</v>
      </c>
      <c r="F300" t="e">
        <f>AND('POTENCIAL HORAS'!E40,"AAAAAA7f/wU=")</f>
        <v>#VALUE!</v>
      </c>
      <c r="G300" t="e">
        <f>AND('POTENCIAL HORAS'!F40,"AAAAAA7f/wY=")</f>
        <v>#VALUE!</v>
      </c>
      <c r="H300" t="e">
        <f>AND('POTENCIAL HORAS'!G40,"AAAAAA7f/wc=")</f>
        <v>#VALUE!</v>
      </c>
      <c r="I300" t="e">
        <f>AND('POTENCIAL HORAS'!H40,"AAAAAA7f/wg=")</f>
        <v>#VALUE!</v>
      </c>
      <c r="J300" t="e">
        <f>AND('POTENCIAL HORAS'!I40,"AAAAAA7f/wk=")</f>
        <v>#VALUE!</v>
      </c>
      <c r="K300" t="e">
        <f>AND('POTENCIAL HORAS'!J40,"AAAAAA7f/wo=")</f>
        <v>#VALUE!</v>
      </c>
      <c r="L300" t="e">
        <f>AND('POTENCIAL HORAS'!K40,"AAAAAA7f/ws=")</f>
        <v>#VALUE!</v>
      </c>
      <c r="M300" t="e">
        <f>AND('POTENCIAL HORAS'!L40,"AAAAAA7f/ww=")</f>
        <v>#VALUE!</v>
      </c>
      <c r="N300" t="e">
        <f>AND('POTENCIAL HORAS'!M40,"AAAAAA7f/w0=")</f>
        <v>#VALUE!</v>
      </c>
      <c r="O300" t="e">
        <f>AND('POTENCIAL HORAS'!N40,"AAAAAA7f/w4=")</f>
        <v>#VALUE!</v>
      </c>
      <c r="P300" t="e">
        <f>AND('POTENCIAL HORAS'!O40,"AAAAAA7f/w8=")</f>
        <v>#VALUE!</v>
      </c>
      <c r="Q300" t="e">
        <f>AND('POTENCIAL HORAS'!P40,"AAAAAA7f/xA=")</f>
        <v>#VALUE!</v>
      </c>
      <c r="R300" t="e">
        <f>AND('POTENCIAL HORAS'!#REF!,"AAAAAA7f/xE=")</f>
        <v>#REF!</v>
      </c>
      <c r="S300" t="e">
        <f>AND('POTENCIAL HORAS'!#REF!,"AAAAAA7f/xI=")</f>
        <v>#REF!</v>
      </c>
      <c r="T300" t="e">
        <f>AND('POTENCIAL HORAS'!#REF!,"AAAAAA7f/xM=")</f>
        <v>#REF!</v>
      </c>
      <c r="U300" t="e">
        <f>AND('POTENCIAL HORAS'!#REF!,"AAAAAA7f/xQ=")</f>
        <v>#REF!</v>
      </c>
      <c r="V300" t="e">
        <f>AND('POTENCIAL HORAS'!#REF!,"AAAAAA7f/xU=")</f>
        <v>#REF!</v>
      </c>
      <c r="W300" t="e">
        <f>AND('POTENCIAL HORAS'!#REF!,"AAAAAA7f/xY=")</f>
        <v>#REF!</v>
      </c>
      <c r="X300" t="e">
        <f>AND('POTENCIAL HORAS'!#REF!,"AAAAAA7f/xc=")</f>
        <v>#REF!</v>
      </c>
      <c r="Y300" t="e">
        <f>AND('POTENCIAL HORAS'!#REF!,"AAAAAA7f/xg=")</f>
        <v>#REF!</v>
      </c>
      <c r="Z300" t="e">
        <f>AND('POTENCIAL HORAS'!#REF!,"AAAAAA7f/xk=")</f>
        <v>#REF!</v>
      </c>
      <c r="AA300" t="e">
        <f>AND('POTENCIAL HORAS'!#REF!,"AAAAAA7f/xo=")</f>
        <v>#REF!</v>
      </c>
      <c r="AB300" t="e">
        <f>AND('POTENCIAL HORAS'!#REF!,"AAAAAA7f/xs=")</f>
        <v>#REF!</v>
      </c>
      <c r="AC300" t="e">
        <f>AND('POTENCIAL HORAS'!#REF!,"AAAAAA7f/xw=")</f>
        <v>#REF!</v>
      </c>
      <c r="AD300" t="e">
        <f>AND('POTENCIAL HORAS'!#REF!,"AAAAAA7f/x0=")</f>
        <v>#REF!</v>
      </c>
      <c r="AE300" t="e">
        <f>AND('POTENCIAL HORAS'!#REF!,"AAAAAA7f/x4=")</f>
        <v>#REF!</v>
      </c>
      <c r="AF300" t="e">
        <f>AND('POTENCIAL HORAS'!#REF!,"AAAAAA7f/x8=")</f>
        <v>#REF!</v>
      </c>
      <c r="AG300" t="e">
        <f>AND('POTENCIAL HORAS'!#REF!,"AAAAAA7f/yA=")</f>
        <v>#REF!</v>
      </c>
      <c r="AH300" t="e">
        <f>AND('POTENCIAL HORAS'!#REF!,"AAAAAA7f/yE=")</f>
        <v>#REF!</v>
      </c>
      <c r="AI300" t="e">
        <f>AND('POTENCIAL HORAS'!#REF!,"AAAAAA7f/yI=")</f>
        <v>#REF!</v>
      </c>
      <c r="AJ300" t="e">
        <f>AND('POTENCIAL HORAS'!#REF!,"AAAAAA7f/yM=")</f>
        <v>#REF!</v>
      </c>
      <c r="AK300" t="e">
        <f>AND('POTENCIAL HORAS'!#REF!,"AAAAAA7f/yQ=")</f>
        <v>#REF!</v>
      </c>
      <c r="AL300" t="e">
        <f>AND('POTENCIAL HORAS'!Q40,"AAAAAA7f/yU=")</f>
        <v>#VALUE!</v>
      </c>
      <c r="AM300" t="e">
        <f>AND('POTENCIAL HORAS'!R40,"AAAAAA7f/yY=")</f>
        <v>#VALUE!</v>
      </c>
      <c r="AN300" t="e">
        <f>AND('POTENCIAL HORAS'!#REF!,"AAAAAA7f/yc=")</f>
        <v>#REF!</v>
      </c>
      <c r="AO300" t="e">
        <f>AND('POTENCIAL HORAS'!#REF!,"AAAAAA7f/yg=")</f>
        <v>#REF!</v>
      </c>
      <c r="AP300" t="e">
        <f>AND('POTENCIAL HORAS'!#REF!,"AAAAAA7f/yk=")</f>
        <v>#REF!</v>
      </c>
      <c r="AQ300" t="e">
        <f>IF('POTENCIAL HORAS'!#REF!,"AAAAAA7f/yo=",0)</f>
        <v>#REF!</v>
      </c>
      <c r="AR300" t="e">
        <f>AND('POTENCIAL HORAS'!#REF!,"AAAAAA7f/ys=")</f>
        <v>#REF!</v>
      </c>
      <c r="AS300" t="e">
        <f>AND('POTENCIAL HORAS'!#REF!,"AAAAAA7f/yw=")</f>
        <v>#REF!</v>
      </c>
      <c r="AT300" t="e">
        <f>AND('POTENCIAL HORAS'!#REF!,"AAAAAA7f/y0=")</f>
        <v>#REF!</v>
      </c>
      <c r="AU300" t="e">
        <f>AND('POTENCIAL HORAS'!#REF!,"AAAAAA7f/y4=")</f>
        <v>#REF!</v>
      </c>
      <c r="AV300" t="e">
        <f>AND('POTENCIAL HORAS'!#REF!,"AAAAAA7f/y8=")</f>
        <v>#REF!</v>
      </c>
      <c r="AW300" t="e">
        <f>AND('POTENCIAL HORAS'!#REF!,"AAAAAA7f/zA=")</f>
        <v>#REF!</v>
      </c>
      <c r="AX300" t="e">
        <f>AND('POTENCIAL HORAS'!#REF!,"AAAAAA7f/zE=")</f>
        <v>#REF!</v>
      </c>
      <c r="AY300" t="e">
        <f>AND('POTENCIAL HORAS'!#REF!,"AAAAAA7f/zI=")</f>
        <v>#REF!</v>
      </c>
      <c r="AZ300" t="e">
        <f>AND('POTENCIAL HORAS'!#REF!,"AAAAAA7f/zM=")</f>
        <v>#REF!</v>
      </c>
      <c r="BA300" t="e">
        <f>AND('POTENCIAL HORAS'!#REF!,"AAAAAA7f/zQ=")</f>
        <v>#REF!</v>
      </c>
      <c r="BB300" t="e">
        <f>AND('POTENCIAL HORAS'!#REF!,"AAAAAA7f/zU=")</f>
        <v>#REF!</v>
      </c>
      <c r="BC300" t="e">
        <f>AND('POTENCIAL HORAS'!#REF!,"AAAAAA7f/zY=")</f>
        <v>#REF!</v>
      </c>
      <c r="BD300" t="e">
        <f>AND('POTENCIAL HORAS'!#REF!,"AAAAAA7f/zc=")</f>
        <v>#REF!</v>
      </c>
      <c r="BE300" t="e">
        <f>AND('POTENCIAL HORAS'!#REF!,"AAAAAA7f/zg=")</f>
        <v>#REF!</v>
      </c>
      <c r="BF300" t="e">
        <f>AND('POTENCIAL HORAS'!#REF!,"AAAAAA7f/zk=")</f>
        <v>#REF!</v>
      </c>
      <c r="BG300" t="e">
        <f>AND('POTENCIAL HORAS'!#REF!,"AAAAAA7f/zo=")</f>
        <v>#REF!</v>
      </c>
      <c r="BH300" t="e">
        <f>AND('POTENCIAL HORAS'!#REF!,"AAAAAA7f/zs=")</f>
        <v>#REF!</v>
      </c>
      <c r="BI300" t="e">
        <f>AND('POTENCIAL HORAS'!#REF!,"AAAAAA7f/zw=")</f>
        <v>#REF!</v>
      </c>
      <c r="BJ300" t="e">
        <f>AND('POTENCIAL HORAS'!#REF!,"AAAAAA7f/z0=")</f>
        <v>#REF!</v>
      </c>
      <c r="BK300" t="e">
        <f>AND('POTENCIAL HORAS'!#REF!,"AAAAAA7f/z4=")</f>
        <v>#REF!</v>
      </c>
      <c r="BL300" t="e">
        <f>AND('POTENCIAL HORAS'!#REF!,"AAAAAA7f/z8=")</f>
        <v>#REF!</v>
      </c>
      <c r="BM300" t="e">
        <f>AND('POTENCIAL HORAS'!#REF!,"AAAAAA7f/0A=")</f>
        <v>#REF!</v>
      </c>
      <c r="BN300" t="e">
        <f>AND('POTENCIAL HORAS'!#REF!,"AAAAAA7f/0E=")</f>
        <v>#REF!</v>
      </c>
      <c r="BO300" t="e">
        <f>AND('POTENCIAL HORAS'!#REF!,"AAAAAA7f/0I=")</f>
        <v>#REF!</v>
      </c>
      <c r="BP300" t="e">
        <f>AND('POTENCIAL HORAS'!#REF!,"AAAAAA7f/0M=")</f>
        <v>#REF!</v>
      </c>
      <c r="BQ300" t="e">
        <f>AND('POTENCIAL HORAS'!#REF!,"AAAAAA7f/0Q=")</f>
        <v>#REF!</v>
      </c>
      <c r="BR300" t="e">
        <f>AND('POTENCIAL HORAS'!#REF!,"AAAAAA7f/0U=")</f>
        <v>#REF!</v>
      </c>
      <c r="BS300" t="e">
        <f>AND('POTENCIAL HORAS'!#REF!,"AAAAAA7f/0Y=")</f>
        <v>#REF!</v>
      </c>
      <c r="BT300" t="e">
        <f>AND('POTENCIAL HORAS'!#REF!,"AAAAAA7f/0c=")</f>
        <v>#REF!</v>
      </c>
      <c r="BU300" t="e">
        <f>AND('POTENCIAL HORAS'!#REF!,"AAAAAA7f/0g=")</f>
        <v>#REF!</v>
      </c>
      <c r="BV300" t="e">
        <f>AND('POTENCIAL HORAS'!#REF!,"AAAAAA7f/0k=")</f>
        <v>#REF!</v>
      </c>
      <c r="BW300" t="e">
        <f>AND('POTENCIAL HORAS'!#REF!,"AAAAAA7f/0o=")</f>
        <v>#REF!</v>
      </c>
      <c r="BX300" t="e">
        <f>AND('POTENCIAL HORAS'!#REF!,"AAAAAA7f/0s=")</f>
        <v>#REF!</v>
      </c>
      <c r="BY300" t="e">
        <f>AND('POTENCIAL HORAS'!#REF!,"AAAAAA7f/0w=")</f>
        <v>#REF!</v>
      </c>
      <c r="BZ300" t="e">
        <f>AND('POTENCIAL HORAS'!#REF!,"AAAAAA7f/00=")</f>
        <v>#REF!</v>
      </c>
      <c r="CA300" t="e">
        <f>AND('POTENCIAL HORAS'!#REF!,"AAAAAA7f/04=")</f>
        <v>#REF!</v>
      </c>
      <c r="CB300" t="e">
        <f>AND('POTENCIAL HORAS'!#REF!,"AAAAAA7f/08=")</f>
        <v>#REF!</v>
      </c>
      <c r="CC300" t="e">
        <f>AND('POTENCIAL HORAS'!#REF!,"AAAAAA7f/1A=")</f>
        <v>#REF!</v>
      </c>
      <c r="CD300" t="e">
        <f>IF('POTENCIAL HORAS'!#REF!,"AAAAAA7f/1E=",0)</f>
        <v>#REF!</v>
      </c>
      <c r="CE300" t="e">
        <f>AND('POTENCIAL HORAS'!#REF!,"AAAAAA7f/1I=")</f>
        <v>#REF!</v>
      </c>
      <c r="CF300" t="e">
        <f>AND('POTENCIAL HORAS'!#REF!,"AAAAAA7f/1M=")</f>
        <v>#REF!</v>
      </c>
      <c r="CG300" t="e">
        <f>AND('POTENCIAL HORAS'!#REF!,"AAAAAA7f/1Q=")</f>
        <v>#REF!</v>
      </c>
      <c r="CH300" t="e">
        <f>AND('POTENCIAL HORAS'!#REF!,"AAAAAA7f/1U=")</f>
        <v>#REF!</v>
      </c>
      <c r="CI300" t="e">
        <f>AND('POTENCIAL HORAS'!#REF!,"AAAAAA7f/1Y=")</f>
        <v>#REF!</v>
      </c>
      <c r="CJ300" t="e">
        <f>AND('POTENCIAL HORAS'!#REF!,"AAAAAA7f/1c=")</f>
        <v>#REF!</v>
      </c>
      <c r="CK300" t="e">
        <f>AND('POTENCIAL HORAS'!#REF!,"AAAAAA7f/1g=")</f>
        <v>#REF!</v>
      </c>
      <c r="CL300" t="e">
        <f>AND('POTENCIAL HORAS'!#REF!,"AAAAAA7f/1k=")</f>
        <v>#REF!</v>
      </c>
      <c r="CM300" t="e">
        <f>AND('POTENCIAL HORAS'!#REF!,"AAAAAA7f/1o=")</f>
        <v>#REF!</v>
      </c>
      <c r="CN300" t="e">
        <f>AND('POTENCIAL HORAS'!#REF!,"AAAAAA7f/1s=")</f>
        <v>#REF!</v>
      </c>
      <c r="CO300" t="e">
        <f>AND('POTENCIAL HORAS'!#REF!,"AAAAAA7f/1w=")</f>
        <v>#REF!</v>
      </c>
      <c r="CP300" t="e">
        <f>AND('POTENCIAL HORAS'!#REF!,"AAAAAA7f/10=")</f>
        <v>#REF!</v>
      </c>
      <c r="CQ300" t="e">
        <f>AND('POTENCIAL HORAS'!#REF!,"AAAAAA7f/14=")</f>
        <v>#REF!</v>
      </c>
      <c r="CR300" t="e">
        <f>AND('POTENCIAL HORAS'!#REF!,"AAAAAA7f/18=")</f>
        <v>#REF!</v>
      </c>
      <c r="CS300" t="e">
        <f>AND('POTENCIAL HORAS'!#REF!,"AAAAAA7f/2A=")</f>
        <v>#REF!</v>
      </c>
      <c r="CT300" t="e">
        <f>AND('POTENCIAL HORAS'!#REF!,"AAAAAA7f/2E=")</f>
        <v>#REF!</v>
      </c>
      <c r="CU300" t="e">
        <f>AND('POTENCIAL HORAS'!#REF!,"AAAAAA7f/2I=")</f>
        <v>#REF!</v>
      </c>
      <c r="CV300" t="e">
        <f>AND('POTENCIAL HORAS'!#REF!,"AAAAAA7f/2M=")</f>
        <v>#REF!</v>
      </c>
      <c r="CW300" t="e">
        <f>AND('POTENCIAL HORAS'!#REF!,"AAAAAA7f/2Q=")</f>
        <v>#REF!</v>
      </c>
      <c r="CX300" t="e">
        <f>AND('POTENCIAL HORAS'!#REF!,"AAAAAA7f/2U=")</f>
        <v>#REF!</v>
      </c>
      <c r="CY300" t="e">
        <f>AND('POTENCIAL HORAS'!#REF!,"AAAAAA7f/2Y=")</f>
        <v>#REF!</v>
      </c>
      <c r="CZ300" t="e">
        <f>AND('POTENCIAL HORAS'!#REF!,"AAAAAA7f/2c=")</f>
        <v>#REF!</v>
      </c>
      <c r="DA300" t="e">
        <f>AND('POTENCIAL HORAS'!#REF!,"AAAAAA7f/2g=")</f>
        <v>#REF!</v>
      </c>
      <c r="DB300" t="e">
        <f>AND('POTENCIAL HORAS'!#REF!,"AAAAAA7f/2k=")</f>
        <v>#REF!</v>
      </c>
      <c r="DC300" t="e">
        <f>AND('POTENCIAL HORAS'!#REF!,"AAAAAA7f/2o=")</f>
        <v>#REF!</v>
      </c>
      <c r="DD300" t="e">
        <f>AND('POTENCIAL HORAS'!#REF!,"AAAAAA7f/2s=")</f>
        <v>#REF!</v>
      </c>
      <c r="DE300" t="e">
        <f>AND('POTENCIAL HORAS'!#REF!,"AAAAAA7f/2w=")</f>
        <v>#REF!</v>
      </c>
      <c r="DF300" t="e">
        <f>AND('POTENCIAL HORAS'!#REF!,"AAAAAA7f/20=")</f>
        <v>#REF!</v>
      </c>
      <c r="DG300" t="e">
        <f>AND('POTENCIAL HORAS'!#REF!,"AAAAAA7f/24=")</f>
        <v>#REF!</v>
      </c>
      <c r="DH300" t="e">
        <f>AND('POTENCIAL HORAS'!#REF!,"AAAAAA7f/28=")</f>
        <v>#REF!</v>
      </c>
      <c r="DI300" t="e">
        <f>AND('POTENCIAL HORAS'!#REF!,"AAAAAA7f/3A=")</f>
        <v>#REF!</v>
      </c>
      <c r="DJ300" t="e">
        <f>AND('POTENCIAL HORAS'!#REF!,"AAAAAA7f/3E=")</f>
        <v>#REF!</v>
      </c>
      <c r="DK300" t="e">
        <f>AND('POTENCIAL HORAS'!#REF!,"AAAAAA7f/3I=")</f>
        <v>#REF!</v>
      </c>
      <c r="DL300" t="e">
        <f>AND('POTENCIAL HORAS'!#REF!,"AAAAAA7f/3M=")</f>
        <v>#REF!</v>
      </c>
      <c r="DM300" t="e">
        <f>AND('POTENCIAL HORAS'!#REF!,"AAAAAA7f/3Q=")</f>
        <v>#REF!</v>
      </c>
      <c r="DN300" t="e">
        <f>AND('POTENCIAL HORAS'!#REF!,"AAAAAA7f/3U=")</f>
        <v>#REF!</v>
      </c>
      <c r="DO300" t="e">
        <f>AND('POTENCIAL HORAS'!#REF!,"AAAAAA7f/3Y=")</f>
        <v>#REF!</v>
      </c>
      <c r="DP300" t="e">
        <f>AND('POTENCIAL HORAS'!#REF!,"AAAAAA7f/3c=")</f>
        <v>#REF!</v>
      </c>
      <c r="DQ300" t="e">
        <f>IF('POTENCIAL HORAS'!#REF!,"AAAAAA7f/3g=",0)</f>
        <v>#REF!</v>
      </c>
      <c r="DR300" t="e">
        <f>AND('POTENCIAL HORAS'!#REF!,"AAAAAA7f/3k=")</f>
        <v>#REF!</v>
      </c>
      <c r="DS300" t="e">
        <f>AND('POTENCIAL HORAS'!#REF!,"AAAAAA7f/3o=")</f>
        <v>#REF!</v>
      </c>
      <c r="DT300" t="e">
        <f>AND('POTENCIAL HORAS'!#REF!,"AAAAAA7f/3s=")</f>
        <v>#REF!</v>
      </c>
      <c r="DU300" t="e">
        <f>AND('POTENCIAL HORAS'!#REF!,"AAAAAA7f/3w=")</f>
        <v>#REF!</v>
      </c>
      <c r="DV300" t="e">
        <f>AND('POTENCIAL HORAS'!#REF!,"AAAAAA7f/30=")</f>
        <v>#REF!</v>
      </c>
      <c r="DW300" t="e">
        <f>AND('POTENCIAL HORAS'!#REF!,"AAAAAA7f/34=")</f>
        <v>#REF!</v>
      </c>
      <c r="DX300" t="e">
        <f>AND('POTENCIAL HORAS'!#REF!,"AAAAAA7f/38=")</f>
        <v>#REF!</v>
      </c>
      <c r="DY300" t="e">
        <f>AND('POTENCIAL HORAS'!#REF!,"AAAAAA7f/4A=")</f>
        <v>#REF!</v>
      </c>
      <c r="DZ300" t="e">
        <f>AND('POTENCIAL HORAS'!#REF!,"AAAAAA7f/4E=")</f>
        <v>#REF!</v>
      </c>
      <c r="EA300" t="e">
        <f>AND('POTENCIAL HORAS'!#REF!,"AAAAAA7f/4I=")</f>
        <v>#REF!</v>
      </c>
      <c r="EB300" t="e">
        <f>AND('POTENCIAL HORAS'!#REF!,"AAAAAA7f/4M=")</f>
        <v>#REF!</v>
      </c>
      <c r="EC300" t="e">
        <f>AND('POTENCIAL HORAS'!#REF!,"AAAAAA7f/4Q=")</f>
        <v>#REF!</v>
      </c>
      <c r="ED300" t="e">
        <f>AND('POTENCIAL HORAS'!#REF!,"AAAAAA7f/4U=")</f>
        <v>#REF!</v>
      </c>
      <c r="EE300" t="e">
        <f>AND('POTENCIAL HORAS'!#REF!,"AAAAAA7f/4Y=")</f>
        <v>#REF!</v>
      </c>
      <c r="EF300" t="e">
        <f>AND('POTENCIAL HORAS'!#REF!,"AAAAAA7f/4c=")</f>
        <v>#REF!</v>
      </c>
      <c r="EG300" t="e">
        <f>AND('POTENCIAL HORAS'!#REF!,"AAAAAA7f/4g=")</f>
        <v>#REF!</v>
      </c>
      <c r="EH300" t="e">
        <f>AND('POTENCIAL HORAS'!#REF!,"AAAAAA7f/4k=")</f>
        <v>#REF!</v>
      </c>
      <c r="EI300" t="e">
        <f>AND('POTENCIAL HORAS'!#REF!,"AAAAAA7f/4o=")</f>
        <v>#REF!</v>
      </c>
      <c r="EJ300" t="e">
        <f>AND('POTENCIAL HORAS'!#REF!,"AAAAAA7f/4s=")</f>
        <v>#REF!</v>
      </c>
      <c r="EK300" t="e">
        <f>AND('POTENCIAL HORAS'!#REF!,"AAAAAA7f/4w=")</f>
        <v>#REF!</v>
      </c>
      <c r="EL300" t="e">
        <f>AND('POTENCIAL HORAS'!#REF!,"AAAAAA7f/40=")</f>
        <v>#REF!</v>
      </c>
      <c r="EM300" t="e">
        <f>AND('POTENCIAL HORAS'!#REF!,"AAAAAA7f/44=")</f>
        <v>#REF!</v>
      </c>
      <c r="EN300" t="e">
        <f>AND('POTENCIAL HORAS'!#REF!,"AAAAAA7f/48=")</f>
        <v>#REF!</v>
      </c>
      <c r="EO300" t="e">
        <f>AND('POTENCIAL HORAS'!#REF!,"AAAAAA7f/5A=")</f>
        <v>#REF!</v>
      </c>
      <c r="EP300" t="e">
        <f>AND('POTENCIAL HORAS'!#REF!,"AAAAAA7f/5E=")</f>
        <v>#REF!</v>
      </c>
      <c r="EQ300" t="e">
        <f>AND('POTENCIAL HORAS'!#REF!,"AAAAAA7f/5I=")</f>
        <v>#REF!</v>
      </c>
      <c r="ER300" t="e">
        <f>AND('POTENCIAL HORAS'!#REF!,"AAAAAA7f/5M=")</f>
        <v>#REF!</v>
      </c>
      <c r="ES300" t="e">
        <f>AND('POTENCIAL HORAS'!#REF!,"AAAAAA7f/5Q=")</f>
        <v>#REF!</v>
      </c>
      <c r="ET300" t="e">
        <f>AND('POTENCIAL HORAS'!#REF!,"AAAAAA7f/5U=")</f>
        <v>#REF!</v>
      </c>
      <c r="EU300" t="e">
        <f>AND('POTENCIAL HORAS'!#REF!,"AAAAAA7f/5Y=")</f>
        <v>#REF!</v>
      </c>
      <c r="EV300" t="e">
        <f>AND('POTENCIAL HORAS'!#REF!,"AAAAAA7f/5c=")</f>
        <v>#REF!</v>
      </c>
      <c r="EW300" t="e">
        <f>AND('POTENCIAL HORAS'!#REF!,"AAAAAA7f/5g=")</f>
        <v>#REF!</v>
      </c>
      <c r="EX300" t="e">
        <f>AND('POTENCIAL HORAS'!#REF!,"AAAAAA7f/5k=")</f>
        <v>#REF!</v>
      </c>
      <c r="EY300" t="e">
        <f>AND('POTENCIAL HORAS'!#REF!,"AAAAAA7f/5o=")</f>
        <v>#REF!</v>
      </c>
      <c r="EZ300" t="e">
        <f>AND('POTENCIAL HORAS'!#REF!,"AAAAAA7f/5s=")</f>
        <v>#REF!</v>
      </c>
      <c r="FA300" t="e">
        <f>AND('POTENCIAL HORAS'!#REF!,"AAAAAA7f/5w=")</f>
        <v>#REF!</v>
      </c>
      <c r="FB300" t="e">
        <f>AND('POTENCIAL HORAS'!#REF!,"AAAAAA7f/50=")</f>
        <v>#REF!</v>
      </c>
      <c r="FC300" t="e">
        <f>AND('POTENCIAL HORAS'!#REF!,"AAAAAA7f/54=")</f>
        <v>#REF!</v>
      </c>
      <c r="FD300" t="e">
        <f>IF('POTENCIAL HORAS'!#REF!,"AAAAAA7f/58=",0)</f>
        <v>#REF!</v>
      </c>
      <c r="FE300" t="e">
        <f>AND('POTENCIAL HORAS'!#REF!,"AAAAAA7f/6A=")</f>
        <v>#REF!</v>
      </c>
      <c r="FF300" t="e">
        <f>AND('POTENCIAL HORAS'!#REF!,"AAAAAA7f/6E=")</f>
        <v>#REF!</v>
      </c>
      <c r="FG300" t="e">
        <f>AND('POTENCIAL HORAS'!#REF!,"AAAAAA7f/6I=")</f>
        <v>#REF!</v>
      </c>
      <c r="FH300" t="e">
        <f>AND('POTENCIAL HORAS'!#REF!,"AAAAAA7f/6M=")</f>
        <v>#REF!</v>
      </c>
      <c r="FI300" t="e">
        <f>AND('POTENCIAL HORAS'!#REF!,"AAAAAA7f/6Q=")</f>
        <v>#REF!</v>
      </c>
      <c r="FJ300" t="e">
        <f>AND('POTENCIAL HORAS'!#REF!,"AAAAAA7f/6U=")</f>
        <v>#REF!</v>
      </c>
      <c r="FK300" t="e">
        <f>AND('POTENCIAL HORAS'!#REF!,"AAAAAA7f/6Y=")</f>
        <v>#REF!</v>
      </c>
      <c r="FL300" t="e">
        <f>AND('POTENCIAL HORAS'!#REF!,"AAAAAA7f/6c=")</f>
        <v>#REF!</v>
      </c>
      <c r="FM300" t="e">
        <f>AND('POTENCIAL HORAS'!#REF!,"AAAAAA7f/6g=")</f>
        <v>#REF!</v>
      </c>
      <c r="FN300" t="e">
        <f>AND('POTENCIAL HORAS'!#REF!,"AAAAAA7f/6k=")</f>
        <v>#REF!</v>
      </c>
      <c r="FO300" t="e">
        <f>AND('POTENCIAL HORAS'!#REF!,"AAAAAA7f/6o=")</f>
        <v>#REF!</v>
      </c>
      <c r="FP300" t="e">
        <f>AND('POTENCIAL HORAS'!#REF!,"AAAAAA7f/6s=")</f>
        <v>#REF!</v>
      </c>
      <c r="FQ300" t="e">
        <f>AND('POTENCIAL HORAS'!#REF!,"AAAAAA7f/6w=")</f>
        <v>#REF!</v>
      </c>
      <c r="FR300" t="e">
        <f>AND('POTENCIAL HORAS'!#REF!,"AAAAAA7f/60=")</f>
        <v>#REF!</v>
      </c>
      <c r="FS300" t="e">
        <f>AND('POTENCIAL HORAS'!#REF!,"AAAAAA7f/64=")</f>
        <v>#REF!</v>
      </c>
      <c r="FT300" t="e">
        <f>AND('POTENCIAL HORAS'!#REF!,"AAAAAA7f/68=")</f>
        <v>#REF!</v>
      </c>
      <c r="FU300" t="e">
        <f>AND('POTENCIAL HORAS'!#REF!,"AAAAAA7f/7A=")</f>
        <v>#REF!</v>
      </c>
      <c r="FV300" t="e">
        <f>AND('POTENCIAL HORAS'!#REF!,"AAAAAA7f/7E=")</f>
        <v>#REF!</v>
      </c>
      <c r="FW300" t="e">
        <f>AND('POTENCIAL HORAS'!#REF!,"AAAAAA7f/7I=")</f>
        <v>#REF!</v>
      </c>
      <c r="FX300" t="e">
        <f>AND('POTENCIAL HORAS'!#REF!,"AAAAAA7f/7M=")</f>
        <v>#REF!</v>
      </c>
      <c r="FY300" t="e">
        <f>AND('POTENCIAL HORAS'!#REF!,"AAAAAA7f/7Q=")</f>
        <v>#REF!</v>
      </c>
      <c r="FZ300" t="e">
        <f>AND('POTENCIAL HORAS'!#REF!,"AAAAAA7f/7U=")</f>
        <v>#REF!</v>
      </c>
      <c r="GA300" t="e">
        <f>AND('POTENCIAL HORAS'!#REF!,"AAAAAA7f/7Y=")</f>
        <v>#REF!</v>
      </c>
      <c r="GB300" t="e">
        <f>AND('POTENCIAL HORAS'!#REF!,"AAAAAA7f/7c=")</f>
        <v>#REF!</v>
      </c>
      <c r="GC300" t="e">
        <f>AND('POTENCIAL HORAS'!#REF!,"AAAAAA7f/7g=")</f>
        <v>#REF!</v>
      </c>
      <c r="GD300" t="e">
        <f>AND('POTENCIAL HORAS'!#REF!,"AAAAAA7f/7k=")</f>
        <v>#REF!</v>
      </c>
      <c r="GE300" t="e">
        <f>AND('POTENCIAL HORAS'!#REF!,"AAAAAA7f/7o=")</f>
        <v>#REF!</v>
      </c>
      <c r="GF300" t="e">
        <f>AND('POTENCIAL HORAS'!#REF!,"AAAAAA7f/7s=")</f>
        <v>#REF!</v>
      </c>
      <c r="GG300" t="e">
        <f>AND('POTENCIAL HORAS'!#REF!,"AAAAAA7f/7w=")</f>
        <v>#REF!</v>
      </c>
      <c r="GH300" t="e">
        <f>AND('POTENCIAL HORAS'!#REF!,"AAAAAA7f/70=")</f>
        <v>#REF!</v>
      </c>
      <c r="GI300" t="e">
        <f>AND('POTENCIAL HORAS'!#REF!,"AAAAAA7f/74=")</f>
        <v>#REF!</v>
      </c>
      <c r="GJ300" t="e">
        <f>AND('POTENCIAL HORAS'!#REF!,"AAAAAA7f/78=")</f>
        <v>#REF!</v>
      </c>
      <c r="GK300" t="e">
        <f>AND('POTENCIAL HORAS'!#REF!,"AAAAAA7f/8A=")</f>
        <v>#REF!</v>
      </c>
      <c r="GL300" t="e">
        <f>AND('POTENCIAL HORAS'!#REF!,"AAAAAA7f/8E=")</f>
        <v>#REF!</v>
      </c>
      <c r="GM300" t="e">
        <f>AND('POTENCIAL HORAS'!#REF!,"AAAAAA7f/8I=")</f>
        <v>#REF!</v>
      </c>
      <c r="GN300" t="e">
        <f>AND('POTENCIAL HORAS'!#REF!,"AAAAAA7f/8M=")</f>
        <v>#REF!</v>
      </c>
      <c r="GO300" t="e">
        <f>AND('POTENCIAL HORAS'!#REF!,"AAAAAA7f/8Q=")</f>
        <v>#REF!</v>
      </c>
      <c r="GP300" t="e">
        <f>AND('POTENCIAL HORAS'!#REF!,"AAAAAA7f/8U=")</f>
        <v>#REF!</v>
      </c>
      <c r="GQ300" t="e">
        <f>IF('POTENCIAL HORAS'!#REF!,"AAAAAA7f/8Y=",0)</f>
        <v>#REF!</v>
      </c>
      <c r="GR300" t="e">
        <f>AND('POTENCIAL HORAS'!#REF!,"AAAAAA7f/8c=")</f>
        <v>#REF!</v>
      </c>
      <c r="GS300" t="e">
        <f>AND('POTENCIAL HORAS'!#REF!,"AAAAAA7f/8g=")</f>
        <v>#REF!</v>
      </c>
      <c r="GT300" t="e">
        <f>AND('POTENCIAL HORAS'!#REF!,"AAAAAA7f/8k=")</f>
        <v>#REF!</v>
      </c>
      <c r="GU300" t="e">
        <f>AND('POTENCIAL HORAS'!#REF!,"AAAAAA7f/8o=")</f>
        <v>#REF!</v>
      </c>
      <c r="GV300" t="e">
        <f>AND('POTENCIAL HORAS'!#REF!,"AAAAAA7f/8s=")</f>
        <v>#REF!</v>
      </c>
      <c r="GW300" t="e">
        <f>AND('POTENCIAL HORAS'!#REF!,"AAAAAA7f/8w=")</f>
        <v>#REF!</v>
      </c>
      <c r="GX300" t="e">
        <f>AND('POTENCIAL HORAS'!#REF!,"AAAAAA7f/80=")</f>
        <v>#REF!</v>
      </c>
      <c r="GY300" t="e">
        <f>AND('POTENCIAL HORAS'!#REF!,"AAAAAA7f/84=")</f>
        <v>#REF!</v>
      </c>
      <c r="GZ300" t="e">
        <f>AND('POTENCIAL HORAS'!#REF!,"AAAAAA7f/88=")</f>
        <v>#REF!</v>
      </c>
      <c r="HA300" t="e">
        <f>AND('POTENCIAL HORAS'!#REF!,"AAAAAA7f/9A=")</f>
        <v>#REF!</v>
      </c>
      <c r="HB300" t="e">
        <f>AND('POTENCIAL HORAS'!#REF!,"AAAAAA7f/9E=")</f>
        <v>#REF!</v>
      </c>
      <c r="HC300" t="e">
        <f>AND('POTENCIAL HORAS'!#REF!,"AAAAAA7f/9I=")</f>
        <v>#REF!</v>
      </c>
      <c r="HD300" t="e">
        <f>AND('POTENCIAL HORAS'!#REF!,"AAAAAA7f/9M=")</f>
        <v>#REF!</v>
      </c>
      <c r="HE300" t="e">
        <f>AND('POTENCIAL HORAS'!#REF!,"AAAAAA7f/9Q=")</f>
        <v>#REF!</v>
      </c>
      <c r="HF300" t="e">
        <f>AND('POTENCIAL HORAS'!#REF!,"AAAAAA7f/9U=")</f>
        <v>#REF!</v>
      </c>
      <c r="HG300" t="e">
        <f>AND('POTENCIAL HORAS'!#REF!,"AAAAAA7f/9Y=")</f>
        <v>#REF!</v>
      </c>
      <c r="HH300" t="e">
        <f>AND('POTENCIAL HORAS'!#REF!,"AAAAAA7f/9c=")</f>
        <v>#REF!</v>
      </c>
      <c r="HI300" t="e">
        <f>AND('POTENCIAL HORAS'!#REF!,"AAAAAA7f/9g=")</f>
        <v>#REF!</v>
      </c>
      <c r="HJ300" t="e">
        <f>AND('POTENCIAL HORAS'!#REF!,"AAAAAA7f/9k=")</f>
        <v>#REF!</v>
      </c>
      <c r="HK300" t="e">
        <f>AND('POTENCIAL HORAS'!#REF!,"AAAAAA7f/9o=")</f>
        <v>#REF!</v>
      </c>
      <c r="HL300" t="e">
        <f>AND('POTENCIAL HORAS'!#REF!,"AAAAAA7f/9s=")</f>
        <v>#REF!</v>
      </c>
      <c r="HM300" t="e">
        <f>AND('POTENCIAL HORAS'!#REF!,"AAAAAA7f/9w=")</f>
        <v>#REF!</v>
      </c>
      <c r="HN300" t="e">
        <f>AND('POTENCIAL HORAS'!#REF!,"AAAAAA7f/90=")</f>
        <v>#REF!</v>
      </c>
      <c r="HO300" t="e">
        <f>AND('POTENCIAL HORAS'!#REF!,"AAAAAA7f/94=")</f>
        <v>#REF!</v>
      </c>
      <c r="HP300" t="e">
        <f>AND('POTENCIAL HORAS'!#REF!,"AAAAAA7f/98=")</f>
        <v>#REF!</v>
      </c>
      <c r="HQ300" t="e">
        <f>AND('POTENCIAL HORAS'!#REF!,"AAAAAA7f/+A=")</f>
        <v>#REF!</v>
      </c>
      <c r="HR300" t="e">
        <f>AND('POTENCIAL HORAS'!#REF!,"AAAAAA7f/+E=")</f>
        <v>#REF!</v>
      </c>
      <c r="HS300" t="e">
        <f>AND('POTENCIAL HORAS'!#REF!,"AAAAAA7f/+I=")</f>
        <v>#REF!</v>
      </c>
      <c r="HT300" t="e">
        <f>AND('POTENCIAL HORAS'!#REF!,"AAAAAA7f/+M=")</f>
        <v>#REF!</v>
      </c>
      <c r="HU300" t="e">
        <f>AND('POTENCIAL HORAS'!#REF!,"AAAAAA7f/+Q=")</f>
        <v>#REF!</v>
      </c>
      <c r="HV300" t="e">
        <f>AND('POTENCIAL HORAS'!#REF!,"AAAAAA7f/+U=")</f>
        <v>#REF!</v>
      </c>
      <c r="HW300" t="e">
        <f>AND('POTENCIAL HORAS'!#REF!,"AAAAAA7f/+Y=")</f>
        <v>#REF!</v>
      </c>
      <c r="HX300" t="e">
        <f>AND('POTENCIAL HORAS'!#REF!,"AAAAAA7f/+c=")</f>
        <v>#REF!</v>
      </c>
      <c r="HY300" t="e">
        <f>AND('POTENCIAL HORAS'!#REF!,"AAAAAA7f/+g=")</f>
        <v>#REF!</v>
      </c>
      <c r="HZ300" t="e">
        <f>AND('POTENCIAL HORAS'!#REF!,"AAAAAA7f/+k=")</f>
        <v>#REF!</v>
      </c>
      <c r="IA300" t="e">
        <f>AND('POTENCIAL HORAS'!#REF!,"AAAAAA7f/+o=")</f>
        <v>#REF!</v>
      </c>
      <c r="IB300" t="e">
        <f>AND('POTENCIAL HORAS'!#REF!,"AAAAAA7f/+s=")</f>
        <v>#REF!</v>
      </c>
      <c r="IC300" t="e">
        <f>AND('POTENCIAL HORAS'!#REF!,"AAAAAA7f/+w=")</f>
        <v>#REF!</v>
      </c>
      <c r="ID300" t="e">
        <f>IF('POTENCIAL HORAS'!#REF!,"AAAAAA7f/+0=",0)</f>
        <v>#REF!</v>
      </c>
      <c r="IE300" t="e">
        <f>AND('POTENCIAL HORAS'!#REF!,"AAAAAA7f/+4=")</f>
        <v>#REF!</v>
      </c>
      <c r="IF300" t="e">
        <f>AND('POTENCIAL HORAS'!#REF!,"AAAAAA7f/+8=")</f>
        <v>#REF!</v>
      </c>
      <c r="IG300" t="e">
        <f>AND('POTENCIAL HORAS'!#REF!,"AAAAAA7f//A=")</f>
        <v>#REF!</v>
      </c>
      <c r="IH300" t="e">
        <f>AND('POTENCIAL HORAS'!#REF!,"AAAAAA7f//E=")</f>
        <v>#REF!</v>
      </c>
      <c r="II300" t="e">
        <f>AND('POTENCIAL HORAS'!#REF!,"AAAAAA7f//I=")</f>
        <v>#REF!</v>
      </c>
      <c r="IJ300" t="e">
        <f>AND('POTENCIAL HORAS'!#REF!,"AAAAAA7f//M=")</f>
        <v>#REF!</v>
      </c>
      <c r="IK300" t="e">
        <f>AND('POTENCIAL HORAS'!#REF!,"AAAAAA7f//Q=")</f>
        <v>#REF!</v>
      </c>
      <c r="IL300" t="e">
        <f>AND('POTENCIAL HORAS'!#REF!,"AAAAAA7f//U=")</f>
        <v>#REF!</v>
      </c>
      <c r="IM300" t="e">
        <f>AND('POTENCIAL HORAS'!#REF!,"AAAAAA7f//Y=")</f>
        <v>#REF!</v>
      </c>
      <c r="IN300" t="e">
        <f>AND('POTENCIAL HORAS'!#REF!,"AAAAAA7f//c=")</f>
        <v>#REF!</v>
      </c>
      <c r="IO300" t="e">
        <f>AND('POTENCIAL HORAS'!#REF!,"AAAAAA7f//g=")</f>
        <v>#REF!</v>
      </c>
      <c r="IP300" t="e">
        <f>AND('POTENCIAL HORAS'!#REF!,"AAAAAA7f//k=")</f>
        <v>#REF!</v>
      </c>
      <c r="IQ300" t="e">
        <f>AND('POTENCIAL HORAS'!#REF!,"AAAAAA7f//o=")</f>
        <v>#REF!</v>
      </c>
      <c r="IR300" t="e">
        <f>AND('POTENCIAL HORAS'!#REF!,"AAAAAA7f//s=")</f>
        <v>#REF!</v>
      </c>
      <c r="IS300" t="e">
        <f>AND('POTENCIAL HORAS'!#REF!,"AAAAAA7f//w=")</f>
        <v>#REF!</v>
      </c>
      <c r="IT300" t="e">
        <f>AND('POTENCIAL HORAS'!#REF!,"AAAAAA7f//0=")</f>
        <v>#REF!</v>
      </c>
      <c r="IU300" t="e">
        <f>AND('POTENCIAL HORAS'!#REF!,"AAAAAA7f//4=")</f>
        <v>#REF!</v>
      </c>
      <c r="IV300" t="e">
        <f>AND('POTENCIAL HORAS'!#REF!,"AAAAAA7f//8=")</f>
        <v>#REF!</v>
      </c>
    </row>
    <row r="301" spans="1:256" x14ac:dyDescent="0.2">
      <c r="A301" t="e">
        <f>AND('POTENCIAL HORAS'!#REF!,"AAAAAHPulwA=")</f>
        <v>#REF!</v>
      </c>
      <c r="B301" t="e">
        <f>AND('POTENCIAL HORAS'!#REF!,"AAAAAHPulwE=")</f>
        <v>#REF!</v>
      </c>
      <c r="C301" t="e">
        <f>AND('POTENCIAL HORAS'!#REF!,"AAAAAHPulwI=")</f>
        <v>#REF!</v>
      </c>
      <c r="D301" t="e">
        <f>AND('POTENCIAL HORAS'!#REF!,"AAAAAHPulwM=")</f>
        <v>#REF!</v>
      </c>
      <c r="E301" t="e">
        <f>AND('POTENCIAL HORAS'!#REF!,"AAAAAHPulwQ=")</f>
        <v>#REF!</v>
      </c>
      <c r="F301" t="e">
        <f>AND('POTENCIAL HORAS'!#REF!,"AAAAAHPulwU=")</f>
        <v>#REF!</v>
      </c>
      <c r="G301" t="e">
        <f>AND('POTENCIAL HORAS'!#REF!,"AAAAAHPulwY=")</f>
        <v>#REF!</v>
      </c>
      <c r="H301" t="e">
        <f>AND('POTENCIAL HORAS'!#REF!,"AAAAAHPulwc=")</f>
        <v>#REF!</v>
      </c>
      <c r="I301" t="e">
        <f>AND('POTENCIAL HORAS'!#REF!,"AAAAAHPulwg=")</f>
        <v>#REF!</v>
      </c>
      <c r="J301" t="e">
        <f>AND('POTENCIAL HORAS'!#REF!,"AAAAAHPulwk=")</f>
        <v>#REF!</v>
      </c>
      <c r="K301" t="e">
        <f>AND('POTENCIAL HORAS'!#REF!,"AAAAAHPulwo=")</f>
        <v>#REF!</v>
      </c>
      <c r="L301" t="e">
        <f>AND('POTENCIAL HORAS'!#REF!,"AAAAAHPulws=")</f>
        <v>#REF!</v>
      </c>
      <c r="M301" t="e">
        <f>AND('POTENCIAL HORAS'!#REF!,"AAAAAHPulww=")</f>
        <v>#REF!</v>
      </c>
      <c r="N301" t="e">
        <f>AND('POTENCIAL HORAS'!#REF!,"AAAAAHPulw0=")</f>
        <v>#REF!</v>
      </c>
      <c r="O301" t="e">
        <f>AND('POTENCIAL HORAS'!#REF!,"AAAAAHPulw4=")</f>
        <v>#REF!</v>
      </c>
      <c r="P301" t="e">
        <f>AND('POTENCIAL HORAS'!#REF!,"AAAAAHPulw8=")</f>
        <v>#REF!</v>
      </c>
      <c r="Q301" t="e">
        <f>AND('POTENCIAL HORAS'!#REF!,"AAAAAHPulxA=")</f>
        <v>#REF!</v>
      </c>
      <c r="R301" t="e">
        <f>AND('POTENCIAL HORAS'!#REF!,"AAAAAHPulxE=")</f>
        <v>#REF!</v>
      </c>
      <c r="S301" t="e">
        <f>AND('POTENCIAL HORAS'!#REF!,"AAAAAHPulxI=")</f>
        <v>#REF!</v>
      </c>
      <c r="T301" t="e">
        <f>AND('POTENCIAL HORAS'!#REF!,"AAAAAHPulxM=")</f>
        <v>#REF!</v>
      </c>
      <c r="U301" t="e">
        <f>IF('POTENCIAL HORAS'!#REF!,"AAAAAHPulxQ=",0)</f>
        <v>#REF!</v>
      </c>
      <c r="V301" t="e">
        <f>AND('POTENCIAL HORAS'!#REF!,"AAAAAHPulxU=")</f>
        <v>#REF!</v>
      </c>
      <c r="W301" t="e">
        <f>AND('POTENCIAL HORAS'!#REF!,"AAAAAHPulxY=")</f>
        <v>#REF!</v>
      </c>
      <c r="X301" t="e">
        <f>AND('POTENCIAL HORAS'!#REF!,"AAAAAHPulxc=")</f>
        <v>#REF!</v>
      </c>
      <c r="Y301" t="e">
        <f>AND('POTENCIAL HORAS'!#REF!,"AAAAAHPulxg=")</f>
        <v>#REF!</v>
      </c>
      <c r="Z301" t="e">
        <f>AND('POTENCIAL HORAS'!#REF!,"AAAAAHPulxk=")</f>
        <v>#REF!</v>
      </c>
      <c r="AA301" t="e">
        <f>AND('POTENCIAL HORAS'!#REF!,"AAAAAHPulxo=")</f>
        <v>#REF!</v>
      </c>
      <c r="AB301" t="e">
        <f>AND('POTENCIAL HORAS'!#REF!,"AAAAAHPulxs=")</f>
        <v>#REF!</v>
      </c>
      <c r="AC301" t="e">
        <f>AND('POTENCIAL HORAS'!#REF!,"AAAAAHPulxw=")</f>
        <v>#REF!</v>
      </c>
      <c r="AD301" t="e">
        <f>AND('POTENCIAL HORAS'!#REF!,"AAAAAHPulx0=")</f>
        <v>#REF!</v>
      </c>
      <c r="AE301" t="e">
        <f>AND('POTENCIAL HORAS'!#REF!,"AAAAAHPulx4=")</f>
        <v>#REF!</v>
      </c>
      <c r="AF301" t="e">
        <f>AND('POTENCIAL HORAS'!#REF!,"AAAAAHPulx8=")</f>
        <v>#REF!</v>
      </c>
      <c r="AG301" t="e">
        <f>AND('POTENCIAL HORAS'!#REF!,"AAAAAHPulyA=")</f>
        <v>#REF!</v>
      </c>
      <c r="AH301" t="e">
        <f>AND('POTENCIAL HORAS'!#REF!,"AAAAAHPulyE=")</f>
        <v>#REF!</v>
      </c>
      <c r="AI301" t="e">
        <f>AND('POTENCIAL HORAS'!#REF!,"AAAAAHPulyI=")</f>
        <v>#REF!</v>
      </c>
      <c r="AJ301" t="e">
        <f>AND('POTENCIAL HORAS'!#REF!,"AAAAAHPulyM=")</f>
        <v>#REF!</v>
      </c>
      <c r="AK301" t="e">
        <f>AND('POTENCIAL HORAS'!#REF!,"AAAAAHPulyQ=")</f>
        <v>#REF!</v>
      </c>
      <c r="AL301" t="e">
        <f>AND('POTENCIAL HORAS'!#REF!,"AAAAAHPulyU=")</f>
        <v>#REF!</v>
      </c>
      <c r="AM301" t="e">
        <f>AND('POTENCIAL HORAS'!#REF!,"AAAAAHPulyY=")</f>
        <v>#REF!</v>
      </c>
      <c r="AN301" t="e">
        <f>IF('PROG FORMACIÓN TITULADA'!#REF!,"AAAAAHPulyc=",0)</f>
        <v>#REF!</v>
      </c>
      <c r="AO301" t="e">
        <f>AND('PROG FORMACIÓN TITULADA'!#REF!,"AAAAAHPulyg=")</f>
        <v>#REF!</v>
      </c>
      <c r="AP301" t="e">
        <f>AND('PROG FORMACIÓN TITULADA'!#REF!,"AAAAAHPulyk=")</f>
        <v>#REF!</v>
      </c>
      <c r="AQ301" t="e">
        <f>AND('PROG FORMACIÓN TITULADA'!#REF!,"AAAAAHPulyo=")</f>
        <v>#REF!</v>
      </c>
      <c r="AR301" t="e">
        <f>AND('PROG FORMACIÓN TITULADA'!#REF!,"AAAAAHPulys=")</f>
        <v>#REF!</v>
      </c>
      <c r="AS301" t="e">
        <f>AND('PROG FORMACIÓN TITULADA'!#REF!,"AAAAAHPulyw=")</f>
        <v>#REF!</v>
      </c>
      <c r="AT301" t="e">
        <f>AND('PROG FORMACIÓN TITULADA'!#REF!,"AAAAAHPuly0=")</f>
        <v>#REF!</v>
      </c>
      <c r="AU301" t="e">
        <f>AND('PROG FORMACIÓN TITULADA'!#REF!,"AAAAAHPuly4=")</f>
        <v>#REF!</v>
      </c>
      <c r="AV301" t="e">
        <f>AND('PROG FORMACIÓN TITULADA'!#REF!,"AAAAAHPuly8=")</f>
        <v>#REF!</v>
      </c>
      <c r="AW301" t="e">
        <f>AND('PROG FORMACIÓN TITULADA'!#REF!,"AAAAAHPulzA=")</f>
        <v>#REF!</v>
      </c>
      <c r="AX301" t="e">
        <f>AND('PROG FORMACIÓN TITULADA'!#REF!,"AAAAAHPulzE=")</f>
        <v>#REF!</v>
      </c>
      <c r="AY301" t="e">
        <f>AND('PROG FORMACIÓN TITULADA'!#REF!,"AAAAAHPulzI=")</f>
        <v>#REF!</v>
      </c>
      <c r="AZ301" t="e">
        <f>AND('PROG FORMACIÓN TITULADA'!#REF!,"AAAAAHPulzM=")</f>
        <v>#REF!</v>
      </c>
      <c r="BA301" t="e">
        <f>AND('PROG FORMACIÓN TITULADA'!#REF!,"AAAAAHPulzQ=")</f>
        <v>#REF!</v>
      </c>
      <c r="BB301" t="e">
        <f>AND('PROG FORMACIÓN TITULADA'!#REF!,"AAAAAHPulzU=")</f>
        <v>#REF!</v>
      </c>
      <c r="BC301" t="e">
        <f>AND('PROG FORMACIÓN TITULADA'!#REF!,"AAAAAHPulzY=")</f>
        <v>#REF!</v>
      </c>
      <c r="BD301" t="e">
        <f>AND('PROG FORMACIÓN TITULADA'!#REF!,"AAAAAHPulzc=")</f>
        <v>#REF!</v>
      </c>
      <c r="BE301" t="e">
        <f>AND('PROG FORMACIÓN TITULADA'!#REF!,"AAAAAHPulzg=")</f>
        <v>#REF!</v>
      </c>
      <c r="BF301" t="e">
        <f>AND('PROG FORMACIÓN TITULADA'!#REF!,"AAAAAHPulzk=")</f>
        <v>#REF!</v>
      </c>
      <c r="BG301" t="e">
        <f>AND('PROG FORMACIÓN TITULADA'!#REF!,"AAAAAHPulzo=")</f>
        <v>#REF!</v>
      </c>
      <c r="BH301" t="e">
        <f>AND('PROG FORMACIÓN TITULADA'!#REF!,"AAAAAHPulzs=")</f>
        <v>#REF!</v>
      </c>
      <c r="BI301" t="e">
        <f>AND('PROG FORMACIÓN TITULADA'!#REF!,"AAAAAHPulzw=")</f>
        <v>#REF!</v>
      </c>
      <c r="BJ301" t="e">
        <f>AND('PROG FORMACIÓN TITULADA'!#REF!,"AAAAAHPulz0=")</f>
        <v>#REF!</v>
      </c>
      <c r="BK301" t="e">
        <f>AND('PROG FORMACIÓN TITULADA'!#REF!,"AAAAAHPulz4=")</f>
        <v>#REF!</v>
      </c>
      <c r="BL301" t="e">
        <f>AND('PROG FORMACIÓN TITULADA'!#REF!,"AAAAAHPulz8=")</f>
        <v>#REF!</v>
      </c>
      <c r="BM301" t="e">
        <f>AND('PROG FORMACIÓN TITULADA'!#REF!,"AAAAAHPul0A=")</f>
        <v>#REF!</v>
      </c>
      <c r="BN301" t="e">
        <f>AND('PROG FORMACIÓN TITULADA'!#REF!,"AAAAAHPul0E=")</f>
        <v>#REF!</v>
      </c>
      <c r="BO301" t="e">
        <f>IF('PROG FORMACIÓN TITULADA'!#REF!,"AAAAAHPul0I=",0)</f>
        <v>#REF!</v>
      </c>
      <c r="BP301" t="e">
        <f>AND('PROG FORMACIÓN TITULADA'!#REF!,"AAAAAHPul0M=")</f>
        <v>#REF!</v>
      </c>
      <c r="BQ301" t="e">
        <f>AND('PROG FORMACIÓN TITULADA'!#REF!,"AAAAAHPul0Q=")</f>
        <v>#REF!</v>
      </c>
      <c r="BR301" t="e">
        <f>AND('PROG FORMACIÓN TITULADA'!#REF!,"AAAAAHPul0U=")</f>
        <v>#REF!</v>
      </c>
      <c r="BS301" t="e">
        <f>AND('PROG FORMACIÓN TITULADA'!#REF!,"AAAAAHPul0Y=")</f>
        <v>#REF!</v>
      </c>
      <c r="BT301" t="e">
        <f>AND('PROG FORMACIÓN TITULADA'!#REF!,"AAAAAHPul0c=")</f>
        <v>#REF!</v>
      </c>
      <c r="BU301" t="e">
        <f>AND('PROG FORMACIÓN TITULADA'!#REF!,"AAAAAHPul0g=")</f>
        <v>#REF!</v>
      </c>
      <c r="BV301" t="e">
        <f>AND('PROG FORMACIÓN TITULADA'!#REF!,"AAAAAHPul0k=")</f>
        <v>#REF!</v>
      </c>
      <c r="BW301" t="e">
        <f>AND('PROG FORMACIÓN TITULADA'!#REF!,"AAAAAHPul0o=")</f>
        <v>#REF!</v>
      </c>
      <c r="BX301" t="e">
        <f>AND('PROG FORMACIÓN TITULADA'!#REF!,"AAAAAHPul0s=")</f>
        <v>#REF!</v>
      </c>
      <c r="BY301" t="e">
        <f>AND('PROG FORMACIÓN TITULADA'!#REF!,"AAAAAHPul0w=")</f>
        <v>#REF!</v>
      </c>
      <c r="BZ301" t="e">
        <f>AND('PROG FORMACIÓN TITULADA'!#REF!,"AAAAAHPul00=")</f>
        <v>#REF!</v>
      </c>
      <c r="CA301" t="e">
        <f>AND('PROG FORMACIÓN TITULADA'!#REF!,"AAAAAHPul04=")</f>
        <v>#REF!</v>
      </c>
      <c r="CB301" t="e">
        <f>AND('PROG FORMACIÓN TITULADA'!#REF!,"AAAAAHPul08=")</f>
        <v>#REF!</v>
      </c>
      <c r="CC301" t="e">
        <f>AND('PROG FORMACIÓN TITULADA'!#REF!,"AAAAAHPul1A=")</f>
        <v>#REF!</v>
      </c>
      <c r="CD301" t="e">
        <f>AND('PROG FORMACIÓN TITULADA'!#REF!,"AAAAAHPul1E=")</f>
        <v>#REF!</v>
      </c>
      <c r="CE301" t="e">
        <f>AND('PROG FORMACIÓN TITULADA'!#REF!,"AAAAAHPul1I=")</f>
        <v>#REF!</v>
      </c>
      <c r="CF301" t="e">
        <f>AND('PROG FORMACIÓN TITULADA'!#REF!,"AAAAAHPul1M=")</f>
        <v>#REF!</v>
      </c>
      <c r="CG301" t="e">
        <f>AND('PROG FORMACIÓN TITULADA'!#REF!,"AAAAAHPul1Q=")</f>
        <v>#REF!</v>
      </c>
      <c r="CH301" t="e">
        <f>AND('PROG FORMACIÓN TITULADA'!#REF!,"AAAAAHPul1U=")</f>
        <v>#REF!</v>
      </c>
      <c r="CI301" t="e">
        <f>AND('PROG FORMACIÓN TITULADA'!#REF!,"AAAAAHPul1Y=")</f>
        <v>#REF!</v>
      </c>
      <c r="CJ301" t="e">
        <f>AND('PROG FORMACIÓN TITULADA'!#REF!,"AAAAAHPul1c=")</f>
        <v>#REF!</v>
      </c>
      <c r="CK301" t="e">
        <f>AND('PROG FORMACIÓN TITULADA'!#REF!,"AAAAAHPul1g=")</f>
        <v>#REF!</v>
      </c>
      <c r="CL301" t="e">
        <f>AND('PROG FORMACIÓN TITULADA'!#REF!,"AAAAAHPul1k=")</f>
        <v>#REF!</v>
      </c>
      <c r="CM301" t="e">
        <f>AND('PROG FORMACIÓN TITULADA'!#REF!,"AAAAAHPul1o=")</f>
        <v>#REF!</v>
      </c>
      <c r="CN301" t="e">
        <f>AND('PROG FORMACIÓN TITULADA'!#REF!,"AAAAAHPul1s=")</f>
        <v>#REF!</v>
      </c>
      <c r="CO301" t="e">
        <f>AND('PROG FORMACIÓN TITULADA'!#REF!,"AAAAAHPul1w=")</f>
        <v>#REF!</v>
      </c>
      <c r="CP301" t="e">
        <f>IF('PROG FORMACIÓN TITULADA'!#REF!,"AAAAAHPul10=",0)</f>
        <v>#REF!</v>
      </c>
      <c r="CQ301" t="e">
        <f>AND('PROG FORMACIÓN TITULADA'!#REF!,"AAAAAHPul14=")</f>
        <v>#REF!</v>
      </c>
      <c r="CR301" t="e">
        <f>AND('PROG FORMACIÓN TITULADA'!#REF!,"AAAAAHPul18=")</f>
        <v>#REF!</v>
      </c>
      <c r="CS301" t="e">
        <f>AND('PROG FORMACIÓN TITULADA'!#REF!,"AAAAAHPul2A=")</f>
        <v>#REF!</v>
      </c>
      <c r="CT301" t="e">
        <f>AND('PROG FORMACIÓN TITULADA'!#REF!,"AAAAAHPul2E=")</f>
        <v>#REF!</v>
      </c>
      <c r="CU301" t="e">
        <f>AND('PROG FORMACIÓN TITULADA'!#REF!,"AAAAAHPul2I=")</f>
        <v>#REF!</v>
      </c>
      <c r="CV301" t="e">
        <f>AND('PROG FORMACIÓN TITULADA'!#REF!,"AAAAAHPul2M=")</f>
        <v>#REF!</v>
      </c>
      <c r="CW301" t="e">
        <f>AND('PROG FORMACIÓN TITULADA'!#REF!,"AAAAAHPul2Q=")</f>
        <v>#REF!</v>
      </c>
      <c r="CX301" t="e">
        <f>AND('PROG FORMACIÓN TITULADA'!#REF!,"AAAAAHPul2U=")</f>
        <v>#REF!</v>
      </c>
      <c r="CY301" t="e">
        <f>AND('PROG FORMACIÓN TITULADA'!#REF!,"AAAAAHPul2Y=")</f>
        <v>#REF!</v>
      </c>
      <c r="CZ301" t="e">
        <f>AND('PROG FORMACIÓN TITULADA'!#REF!,"AAAAAHPul2c=")</f>
        <v>#REF!</v>
      </c>
      <c r="DA301" t="e">
        <f>AND('PROG FORMACIÓN TITULADA'!#REF!,"AAAAAHPul2g=")</f>
        <v>#REF!</v>
      </c>
      <c r="DB301" t="e">
        <f>AND('PROG FORMACIÓN TITULADA'!#REF!,"AAAAAHPul2k=")</f>
        <v>#REF!</v>
      </c>
      <c r="DC301" t="e">
        <f>AND('PROG FORMACIÓN TITULADA'!#REF!,"AAAAAHPul2o=")</f>
        <v>#REF!</v>
      </c>
      <c r="DD301" t="e">
        <f>AND('PROG FORMACIÓN TITULADA'!#REF!,"AAAAAHPul2s=")</f>
        <v>#REF!</v>
      </c>
      <c r="DE301" t="e">
        <f>AND('PROG FORMACIÓN TITULADA'!#REF!,"AAAAAHPul2w=")</f>
        <v>#REF!</v>
      </c>
      <c r="DF301" t="e">
        <f>AND('PROG FORMACIÓN TITULADA'!#REF!,"AAAAAHPul20=")</f>
        <v>#REF!</v>
      </c>
      <c r="DG301" t="e">
        <f>AND('PROG FORMACIÓN TITULADA'!#REF!,"AAAAAHPul24=")</f>
        <v>#REF!</v>
      </c>
      <c r="DH301" t="e">
        <f>AND('PROG FORMACIÓN TITULADA'!#REF!,"AAAAAHPul28=")</f>
        <v>#REF!</v>
      </c>
      <c r="DI301" t="e">
        <f>AND('PROG FORMACIÓN TITULADA'!#REF!,"AAAAAHPul3A=")</f>
        <v>#REF!</v>
      </c>
      <c r="DJ301" t="e">
        <f>AND('PROG FORMACIÓN TITULADA'!#REF!,"AAAAAHPul3E=")</f>
        <v>#REF!</v>
      </c>
      <c r="DK301" t="e">
        <f>AND('PROG FORMACIÓN TITULADA'!#REF!,"AAAAAHPul3I=")</f>
        <v>#REF!</v>
      </c>
      <c r="DL301" t="e">
        <f>AND('PROG FORMACIÓN TITULADA'!#REF!,"AAAAAHPul3M=")</f>
        <v>#REF!</v>
      </c>
      <c r="DM301" t="e">
        <f>AND('PROG FORMACIÓN TITULADA'!#REF!,"AAAAAHPul3Q=")</f>
        <v>#REF!</v>
      </c>
      <c r="DN301" t="e">
        <f>AND('PROG FORMACIÓN TITULADA'!#REF!,"AAAAAHPul3U=")</f>
        <v>#REF!</v>
      </c>
      <c r="DO301" t="e">
        <f>AND('PROG FORMACIÓN TITULADA'!#REF!,"AAAAAHPul3Y=")</f>
        <v>#REF!</v>
      </c>
      <c r="DP301" t="e">
        <f>AND('PROG FORMACIÓN TITULADA'!#REF!,"AAAAAHPul3c=")</f>
        <v>#REF!</v>
      </c>
      <c r="DQ301" t="e">
        <f>IF('PROG FORMACIÓN TITULADA'!#REF!,"AAAAAHPul3g=",0)</f>
        <v>#REF!</v>
      </c>
      <c r="DR301" t="e">
        <f>AND('PROG FORMACIÓN TITULADA'!#REF!,"AAAAAHPul3k=")</f>
        <v>#REF!</v>
      </c>
      <c r="DS301" t="e">
        <f>AND('PROG FORMACIÓN TITULADA'!#REF!,"AAAAAHPul3o=")</f>
        <v>#REF!</v>
      </c>
      <c r="DT301" t="e">
        <f>AND('PROG FORMACIÓN TITULADA'!#REF!,"AAAAAHPul3s=")</f>
        <v>#REF!</v>
      </c>
      <c r="DU301" t="e">
        <f>AND('PROG FORMACIÓN TITULADA'!#REF!,"AAAAAHPul3w=")</f>
        <v>#REF!</v>
      </c>
      <c r="DV301" t="e">
        <f>AND('PROG FORMACIÓN TITULADA'!#REF!,"AAAAAHPul30=")</f>
        <v>#REF!</v>
      </c>
      <c r="DW301" t="e">
        <f>AND('PROG FORMACIÓN TITULADA'!#REF!,"AAAAAHPul34=")</f>
        <v>#REF!</v>
      </c>
      <c r="DX301" t="e">
        <f>AND('PROG FORMACIÓN TITULADA'!#REF!,"AAAAAHPul38=")</f>
        <v>#REF!</v>
      </c>
      <c r="DY301" t="e">
        <f>AND('PROG FORMACIÓN TITULADA'!#REF!,"AAAAAHPul4A=")</f>
        <v>#REF!</v>
      </c>
      <c r="DZ301" t="e">
        <f>AND('PROG FORMACIÓN TITULADA'!#REF!,"AAAAAHPul4E=")</f>
        <v>#REF!</v>
      </c>
      <c r="EA301" t="e">
        <f>AND('PROG FORMACIÓN TITULADA'!#REF!,"AAAAAHPul4I=")</f>
        <v>#REF!</v>
      </c>
      <c r="EB301" t="e">
        <f>AND('PROG FORMACIÓN TITULADA'!#REF!,"AAAAAHPul4M=")</f>
        <v>#REF!</v>
      </c>
      <c r="EC301" t="e">
        <f>AND('PROG FORMACIÓN TITULADA'!#REF!,"AAAAAHPul4Q=")</f>
        <v>#REF!</v>
      </c>
      <c r="ED301" t="e">
        <f>AND('PROG FORMACIÓN TITULADA'!#REF!,"AAAAAHPul4U=")</f>
        <v>#REF!</v>
      </c>
      <c r="EE301" t="e">
        <f>AND('PROG FORMACIÓN TITULADA'!#REF!,"AAAAAHPul4Y=")</f>
        <v>#REF!</v>
      </c>
      <c r="EF301" t="e">
        <f>AND('PROG FORMACIÓN TITULADA'!#REF!,"AAAAAHPul4c=")</f>
        <v>#REF!</v>
      </c>
      <c r="EG301" t="e">
        <f>AND('PROG FORMACIÓN TITULADA'!#REF!,"AAAAAHPul4g=")</f>
        <v>#REF!</v>
      </c>
      <c r="EH301" t="e">
        <f>AND('PROG FORMACIÓN TITULADA'!#REF!,"AAAAAHPul4k=")</f>
        <v>#REF!</v>
      </c>
      <c r="EI301" t="e">
        <f>AND('PROG FORMACIÓN TITULADA'!#REF!,"AAAAAHPul4o=")</f>
        <v>#REF!</v>
      </c>
      <c r="EJ301" t="e">
        <f>AND('PROG FORMACIÓN TITULADA'!#REF!,"AAAAAHPul4s=")</f>
        <v>#REF!</v>
      </c>
      <c r="EK301" t="e">
        <f>AND('PROG FORMACIÓN TITULADA'!#REF!,"AAAAAHPul4w=")</f>
        <v>#REF!</v>
      </c>
      <c r="EL301" t="e">
        <f>AND('PROG FORMACIÓN TITULADA'!#REF!,"AAAAAHPul40=")</f>
        <v>#REF!</v>
      </c>
      <c r="EM301" t="e">
        <f>AND('PROG FORMACIÓN TITULADA'!#REF!,"AAAAAHPul44=")</f>
        <v>#REF!</v>
      </c>
      <c r="EN301" t="e">
        <f>AND('PROG FORMACIÓN TITULADA'!#REF!,"AAAAAHPul48=")</f>
        <v>#REF!</v>
      </c>
      <c r="EO301" t="e">
        <f>AND('PROG FORMACIÓN TITULADA'!#REF!,"AAAAAHPul5A=")</f>
        <v>#REF!</v>
      </c>
      <c r="EP301" t="e">
        <f>AND('PROG FORMACIÓN TITULADA'!#REF!,"AAAAAHPul5E=")</f>
        <v>#REF!</v>
      </c>
      <c r="EQ301" t="e">
        <f>AND('PROG FORMACIÓN TITULADA'!#REF!,"AAAAAHPul5I=")</f>
        <v>#REF!</v>
      </c>
      <c r="ER301" t="e">
        <f>IF('PROG FORMACIÓN TITULADA'!#REF!,"AAAAAHPul5M=",0)</f>
        <v>#REF!</v>
      </c>
      <c r="ES301" t="e">
        <f>AND('PROG FORMACIÓN TITULADA'!#REF!,"AAAAAHPul5Q=")</f>
        <v>#REF!</v>
      </c>
      <c r="ET301" t="e">
        <f>AND('PROG FORMACIÓN TITULADA'!#REF!,"AAAAAHPul5U=")</f>
        <v>#REF!</v>
      </c>
      <c r="EU301" t="e">
        <f>AND('PROG FORMACIÓN TITULADA'!#REF!,"AAAAAHPul5Y=")</f>
        <v>#REF!</v>
      </c>
      <c r="EV301" t="e">
        <f>AND('PROG FORMACIÓN TITULADA'!#REF!,"AAAAAHPul5c=")</f>
        <v>#REF!</v>
      </c>
      <c r="EW301" t="e">
        <f>AND('PROG FORMACIÓN TITULADA'!#REF!,"AAAAAHPul5g=")</f>
        <v>#REF!</v>
      </c>
      <c r="EX301" t="e">
        <f>AND('PROG FORMACIÓN TITULADA'!#REF!,"AAAAAHPul5k=")</f>
        <v>#REF!</v>
      </c>
      <c r="EY301" t="e">
        <f>AND('PROG FORMACIÓN TITULADA'!#REF!,"AAAAAHPul5o=")</f>
        <v>#REF!</v>
      </c>
      <c r="EZ301" t="e">
        <f>AND('PROG FORMACIÓN TITULADA'!#REF!,"AAAAAHPul5s=")</f>
        <v>#REF!</v>
      </c>
      <c r="FA301" t="e">
        <f>AND('PROG FORMACIÓN TITULADA'!#REF!,"AAAAAHPul5w=")</f>
        <v>#REF!</v>
      </c>
      <c r="FB301" t="e">
        <f>AND('PROG FORMACIÓN TITULADA'!#REF!,"AAAAAHPul50=")</f>
        <v>#REF!</v>
      </c>
      <c r="FC301" t="e">
        <f>AND('PROG FORMACIÓN TITULADA'!#REF!,"AAAAAHPul54=")</f>
        <v>#REF!</v>
      </c>
      <c r="FD301" t="e">
        <f>AND('PROG FORMACIÓN TITULADA'!#REF!,"AAAAAHPul58=")</f>
        <v>#REF!</v>
      </c>
      <c r="FE301" t="e">
        <f>AND('PROG FORMACIÓN TITULADA'!#REF!,"AAAAAHPul6A=")</f>
        <v>#REF!</v>
      </c>
      <c r="FF301" t="e">
        <f>AND('PROG FORMACIÓN TITULADA'!#REF!,"AAAAAHPul6E=")</f>
        <v>#REF!</v>
      </c>
      <c r="FG301" t="e">
        <f>AND('PROG FORMACIÓN TITULADA'!#REF!,"AAAAAHPul6I=")</f>
        <v>#REF!</v>
      </c>
      <c r="FH301" t="e">
        <f>AND('PROG FORMACIÓN TITULADA'!#REF!,"AAAAAHPul6M=")</f>
        <v>#REF!</v>
      </c>
      <c r="FI301" t="e">
        <f>AND('PROG FORMACIÓN TITULADA'!#REF!,"AAAAAHPul6Q=")</f>
        <v>#REF!</v>
      </c>
      <c r="FJ301" t="e">
        <f>AND('PROG FORMACIÓN TITULADA'!#REF!,"AAAAAHPul6U=")</f>
        <v>#REF!</v>
      </c>
      <c r="FK301" t="e">
        <f>AND('PROG FORMACIÓN TITULADA'!#REF!,"AAAAAHPul6Y=")</f>
        <v>#REF!</v>
      </c>
      <c r="FL301" t="e">
        <f>AND('PROG FORMACIÓN TITULADA'!#REF!,"AAAAAHPul6c=")</f>
        <v>#REF!</v>
      </c>
      <c r="FM301" t="e">
        <f>AND('PROG FORMACIÓN TITULADA'!#REF!,"AAAAAHPul6g=")</f>
        <v>#REF!</v>
      </c>
      <c r="FN301" t="e">
        <f>AND('PROG FORMACIÓN TITULADA'!#REF!,"AAAAAHPul6k=")</f>
        <v>#REF!</v>
      </c>
      <c r="FO301" t="e">
        <f>AND('PROG FORMACIÓN TITULADA'!#REF!,"AAAAAHPul6o=")</f>
        <v>#REF!</v>
      </c>
      <c r="FP301" t="e">
        <f>AND('PROG FORMACIÓN TITULADA'!#REF!,"AAAAAHPul6s=")</f>
        <v>#REF!</v>
      </c>
      <c r="FQ301" t="e">
        <f>AND('PROG FORMACIÓN TITULADA'!#REF!,"AAAAAHPul6w=")</f>
        <v>#REF!</v>
      </c>
      <c r="FR301" t="e">
        <f>AND('PROG FORMACIÓN TITULADA'!#REF!,"AAAAAHPul60=")</f>
        <v>#REF!</v>
      </c>
      <c r="FS301" t="e">
        <f>IF('PROG FORMACIÓN TITULADA'!#REF!,"AAAAAHPul64=",0)</f>
        <v>#REF!</v>
      </c>
      <c r="FT301" t="e">
        <f>AND('PROG FORMACIÓN TITULADA'!#REF!,"AAAAAHPul68=")</f>
        <v>#REF!</v>
      </c>
      <c r="FU301" t="e">
        <f>AND('PROG FORMACIÓN TITULADA'!#REF!,"AAAAAHPul7A=")</f>
        <v>#REF!</v>
      </c>
      <c r="FV301" t="e">
        <f>AND('PROG FORMACIÓN TITULADA'!#REF!,"AAAAAHPul7E=")</f>
        <v>#REF!</v>
      </c>
      <c r="FW301" t="e">
        <f>AND('PROG FORMACIÓN TITULADA'!#REF!,"AAAAAHPul7I=")</f>
        <v>#REF!</v>
      </c>
      <c r="FX301" t="e">
        <f>AND('PROG FORMACIÓN TITULADA'!#REF!,"AAAAAHPul7M=")</f>
        <v>#REF!</v>
      </c>
      <c r="FY301" t="e">
        <f>AND('PROG FORMACIÓN TITULADA'!#REF!,"AAAAAHPul7Q=")</f>
        <v>#REF!</v>
      </c>
      <c r="FZ301" t="e">
        <f>AND('PROG FORMACIÓN TITULADA'!#REF!,"AAAAAHPul7U=")</f>
        <v>#REF!</v>
      </c>
      <c r="GA301" t="e">
        <f>AND('PROG FORMACIÓN TITULADA'!#REF!,"AAAAAHPul7Y=")</f>
        <v>#REF!</v>
      </c>
      <c r="GB301" t="e">
        <f>AND('PROG FORMACIÓN TITULADA'!#REF!,"AAAAAHPul7c=")</f>
        <v>#REF!</v>
      </c>
      <c r="GC301" t="e">
        <f>AND('PROG FORMACIÓN TITULADA'!#REF!,"AAAAAHPul7g=")</f>
        <v>#REF!</v>
      </c>
      <c r="GD301" t="e">
        <f>AND('PROG FORMACIÓN TITULADA'!#REF!,"AAAAAHPul7k=")</f>
        <v>#REF!</v>
      </c>
      <c r="GE301" t="e">
        <f>AND('PROG FORMACIÓN TITULADA'!#REF!,"AAAAAHPul7o=")</f>
        <v>#REF!</v>
      </c>
      <c r="GF301" t="e">
        <f>AND('PROG FORMACIÓN TITULADA'!#REF!,"AAAAAHPul7s=")</f>
        <v>#REF!</v>
      </c>
      <c r="GG301" t="e">
        <f>AND('PROG FORMACIÓN TITULADA'!#REF!,"AAAAAHPul7w=")</f>
        <v>#REF!</v>
      </c>
      <c r="GH301" t="e">
        <f>AND('PROG FORMACIÓN TITULADA'!#REF!,"AAAAAHPul70=")</f>
        <v>#REF!</v>
      </c>
      <c r="GI301" t="e">
        <f>AND('PROG FORMACIÓN TITULADA'!#REF!,"AAAAAHPul74=")</f>
        <v>#REF!</v>
      </c>
      <c r="GJ301" t="e">
        <f>AND('PROG FORMACIÓN TITULADA'!#REF!,"AAAAAHPul78=")</f>
        <v>#REF!</v>
      </c>
      <c r="GK301" t="e">
        <f>AND('PROG FORMACIÓN TITULADA'!#REF!,"AAAAAHPul8A=")</f>
        <v>#REF!</v>
      </c>
      <c r="GL301" t="e">
        <f>AND('PROG FORMACIÓN TITULADA'!#REF!,"AAAAAHPul8E=")</f>
        <v>#REF!</v>
      </c>
      <c r="GM301" t="e">
        <f>AND('PROG FORMACIÓN TITULADA'!#REF!,"AAAAAHPul8I=")</f>
        <v>#REF!</v>
      </c>
      <c r="GN301" t="e">
        <f>AND('PROG FORMACIÓN TITULADA'!#REF!,"AAAAAHPul8M=")</f>
        <v>#REF!</v>
      </c>
      <c r="GO301" t="e">
        <f>AND('PROG FORMACIÓN TITULADA'!#REF!,"AAAAAHPul8Q=")</f>
        <v>#REF!</v>
      </c>
      <c r="GP301" t="e">
        <f>AND('PROG FORMACIÓN TITULADA'!#REF!,"AAAAAHPul8U=")</f>
        <v>#REF!</v>
      </c>
      <c r="GQ301" t="e">
        <f>AND('PROG FORMACIÓN TITULADA'!#REF!,"AAAAAHPul8Y=")</f>
        <v>#REF!</v>
      </c>
      <c r="GR301" t="e">
        <f>AND('PROG FORMACIÓN TITULADA'!#REF!,"AAAAAHPul8c=")</f>
        <v>#REF!</v>
      </c>
      <c r="GS301" t="e">
        <f>AND('PROG FORMACIÓN TITULADA'!#REF!,"AAAAAHPul8g=")</f>
        <v>#REF!</v>
      </c>
      <c r="GT301" t="e">
        <f>IF('PROG FORMACIÓN TITULADA'!#REF!,"AAAAAHPul8k=",0)</f>
        <v>#REF!</v>
      </c>
      <c r="GU301" t="e">
        <f>AND('PROG FORMACIÓN TITULADA'!#REF!,"AAAAAHPul8o=")</f>
        <v>#REF!</v>
      </c>
      <c r="GV301" t="e">
        <f>AND('PROG FORMACIÓN TITULADA'!#REF!,"AAAAAHPul8s=")</f>
        <v>#REF!</v>
      </c>
      <c r="GW301" t="e">
        <f>AND('PROG FORMACIÓN TITULADA'!#REF!,"AAAAAHPul8w=")</f>
        <v>#REF!</v>
      </c>
      <c r="GX301" t="e">
        <f>AND('PROG FORMACIÓN TITULADA'!#REF!,"AAAAAHPul80=")</f>
        <v>#REF!</v>
      </c>
      <c r="GY301" t="e">
        <f>AND('PROG FORMACIÓN TITULADA'!#REF!,"AAAAAHPul84=")</f>
        <v>#REF!</v>
      </c>
      <c r="GZ301" t="e">
        <f>AND('PROG FORMACIÓN TITULADA'!#REF!,"AAAAAHPul88=")</f>
        <v>#REF!</v>
      </c>
      <c r="HA301" t="e">
        <f>AND('PROG FORMACIÓN TITULADA'!#REF!,"AAAAAHPul9A=")</f>
        <v>#REF!</v>
      </c>
      <c r="HB301" t="e">
        <f>AND('PROG FORMACIÓN TITULADA'!#REF!,"AAAAAHPul9E=")</f>
        <v>#REF!</v>
      </c>
      <c r="HC301" t="e">
        <f>AND('PROG FORMACIÓN TITULADA'!#REF!,"AAAAAHPul9I=")</f>
        <v>#REF!</v>
      </c>
      <c r="HD301" t="e">
        <f>AND('PROG FORMACIÓN TITULADA'!#REF!,"AAAAAHPul9M=")</f>
        <v>#REF!</v>
      </c>
      <c r="HE301" t="e">
        <f>AND('PROG FORMACIÓN TITULADA'!#REF!,"AAAAAHPul9Q=")</f>
        <v>#REF!</v>
      </c>
      <c r="HF301" t="e">
        <f>AND('PROG FORMACIÓN TITULADA'!#REF!,"AAAAAHPul9U=")</f>
        <v>#REF!</v>
      </c>
      <c r="HG301" t="e">
        <f>AND('PROG FORMACIÓN TITULADA'!#REF!,"AAAAAHPul9Y=")</f>
        <v>#REF!</v>
      </c>
      <c r="HH301" t="e">
        <f>AND('PROG FORMACIÓN TITULADA'!#REF!,"AAAAAHPul9c=")</f>
        <v>#REF!</v>
      </c>
      <c r="HI301" t="e">
        <f>AND('PROG FORMACIÓN TITULADA'!#REF!,"AAAAAHPul9g=")</f>
        <v>#REF!</v>
      </c>
      <c r="HJ301" t="e">
        <f>AND('PROG FORMACIÓN TITULADA'!#REF!,"AAAAAHPul9k=")</f>
        <v>#REF!</v>
      </c>
      <c r="HK301" t="e">
        <f>AND('PROG FORMACIÓN TITULADA'!#REF!,"AAAAAHPul9o=")</f>
        <v>#REF!</v>
      </c>
      <c r="HL301" t="e">
        <f>AND('PROG FORMACIÓN TITULADA'!#REF!,"AAAAAHPul9s=")</f>
        <v>#REF!</v>
      </c>
      <c r="HM301" t="e">
        <f>AND('PROG FORMACIÓN TITULADA'!#REF!,"AAAAAHPul9w=")</f>
        <v>#REF!</v>
      </c>
      <c r="HN301" t="e">
        <f>AND('PROG FORMACIÓN TITULADA'!#REF!,"AAAAAHPul90=")</f>
        <v>#REF!</v>
      </c>
      <c r="HO301" t="e">
        <f>AND('PROG FORMACIÓN TITULADA'!#REF!,"AAAAAHPul94=")</f>
        <v>#REF!</v>
      </c>
      <c r="HP301" t="e">
        <f>AND('PROG FORMACIÓN TITULADA'!#REF!,"AAAAAHPul98=")</f>
        <v>#REF!</v>
      </c>
      <c r="HQ301" t="e">
        <f>AND('PROG FORMACIÓN TITULADA'!#REF!,"AAAAAHPul+A=")</f>
        <v>#REF!</v>
      </c>
      <c r="HR301" t="e">
        <f>AND('PROG FORMACIÓN TITULADA'!#REF!,"AAAAAHPul+E=")</f>
        <v>#REF!</v>
      </c>
      <c r="HS301" t="e">
        <f>AND('PROG FORMACIÓN TITULADA'!#REF!,"AAAAAHPul+I=")</f>
        <v>#REF!</v>
      </c>
      <c r="HT301" t="e">
        <f>AND('PROG FORMACIÓN TITULADA'!#REF!,"AAAAAHPul+M=")</f>
        <v>#REF!</v>
      </c>
      <c r="HU301" t="e">
        <f>IF('PROG FORMACIÓN TITULADA'!#REF!,"AAAAAHPul+Q=",0)</f>
        <v>#REF!</v>
      </c>
      <c r="HV301" t="e">
        <f>AND('PROG FORMACIÓN TITULADA'!#REF!,"AAAAAHPul+U=")</f>
        <v>#REF!</v>
      </c>
      <c r="HW301" t="e">
        <f>AND('PROG FORMACIÓN TITULADA'!#REF!,"AAAAAHPul+Y=")</f>
        <v>#REF!</v>
      </c>
      <c r="HX301" t="e">
        <f>AND('PROG FORMACIÓN TITULADA'!#REF!,"AAAAAHPul+c=")</f>
        <v>#REF!</v>
      </c>
      <c r="HY301" t="e">
        <f>AND('PROG FORMACIÓN TITULADA'!#REF!,"AAAAAHPul+g=")</f>
        <v>#REF!</v>
      </c>
      <c r="HZ301" t="e">
        <f>AND('PROG FORMACIÓN TITULADA'!#REF!,"AAAAAHPul+k=")</f>
        <v>#REF!</v>
      </c>
      <c r="IA301" t="e">
        <f>AND('PROG FORMACIÓN TITULADA'!#REF!,"AAAAAHPul+o=")</f>
        <v>#REF!</v>
      </c>
      <c r="IB301" t="e">
        <f>AND('PROG FORMACIÓN TITULADA'!#REF!,"AAAAAHPul+s=")</f>
        <v>#REF!</v>
      </c>
      <c r="IC301" t="e">
        <f>AND('PROG FORMACIÓN TITULADA'!#REF!,"AAAAAHPul+w=")</f>
        <v>#REF!</v>
      </c>
      <c r="ID301" t="e">
        <f>AND('PROG FORMACIÓN TITULADA'!#REF!,"AAAAAHPul+0=")</f>
        <v>#REF!</v>
      </c>
      <c r="IE301" t="e">
        <f>AND('PROG FORMACIÓN TITULADA'!#REF!,"AAAAAHPul+4=")</f>
        <v>#REF!</v>
      </c>
      <c r="IF301" t="e">
        <f>AND('PROG FORMACIÓN TITULADA'!#REF!,"AAAAAHPul+8=")</f>
        <v>#REF!</v>
      </c>
      <c r="IG301" t="e">
        <f>AND('PROG FORMACIÓN TITULADA'!#REF!,"AAAAAHPul/A=")</f>
        <v>#REF!</v>
      </c>
      <c r="IH301" t="e">
        <f>AND('PROG FORMACIÓN TITULADA'!#REF!,"AAAAAHPul/E=")</f>
        <v>#REF!</v>
      </c>
      <c r="II301" t="e">
        <f>AND('PROG FORMACIÓN TITULADA'!#REF!,"AAAAAHPul/I=")</f>
        <v>#REF!</v>
      </c>
      <c r="IJ301" t="e">
        <f>AND('PROG FORMACIÓN TITULADA'!#REF!,"AAAAAHPul/M=")</f>
        <v>#REF!</v>
      </c>
      <c r="IK301" t="e">
        <f>AND('PROG FORMACIÓN TITULADA'!#REF!,"AAAAAHPul/Q=")</f>
        <v>#REF!</v>
      </c>
      <c r="IL301" t="e">
        <f>AND('PROG FORMACIÓN TITULADA'!#REF!,"AAAAAHPul/U=")</f>
        <v>#REF!</v>
      </c>
      <c r="IM301" t="e">
        <f>AND('PROG FORMACIÓN TITULADA'!#REF!,"AAAAAHPul/Y=")</f>
        <v>#REF!</v>
      </c>
      <c r="IN301" t="e">
        <f>AND('PROG FORMACIÓN TITULADA'!#REF!,"AAAAAHPul/c=")</f>
        <v>#REF!</v>
      </c>
      <c r="IO301" t="e">
        <f>AND('PROG FORMACIÓN TITULADA'!#REF!,"AAAAAHPul/g=")</f>
        <v>#REF!</v>
      </c>
      <c r="IP301" t="e">
        <f>AND('PROG FORMACIÓN TITULADA'!#REF!,"AAAAAHPul/k=")</f>
        <v>#REF!</v>
      </c>
      <c r="IQ301" t="e">
        <f>AND('PROG FORMACIÓN TITULADA'!#REF!,"AAAAAHPul/o=")</f>
        <v>#REF!</v>
      </c>
      <c r="IR301" t="e">
        <f>AND('PROG FORMACIÓN TITULADA'!#REF!,"AAAAAHPul/s=")</f>
        <v>#REF!</v>
      </c>
      <c r="IS301" t="e">
        <f>AND('PROG FORMACIÓN TITULADA'!#REF!,"AAAAAHPul/w=")</f>
        <v>#REF!</v>
      </c>
      <c r="IT301" t="e">
        <f>AND('PROG FORMACIÓN TITULADA'!#REF!,"AAAAAHPul/0=")</f>
        <v>#REF!</v>
      </c>
      <c r="IU301" t="e">
        <f>AND('PROG FORMACIÓN TITULADA'!#REF!,"AAAAAHPul/4=")</f>
        <v>#REF!</v>
      </c>
      <c r="IV301" t="e">
        <f>IF('PROG FORMACIÓN TITULADA'!#REF!,"AAAAAHPul/8=",0)</f>
        <v>#REF!</v>
      </c>
    </row>
    <row r="302" spans="1:256" x14ac:dyDescent="0.2">
      <c r="A302" t="e">
        <f>AND('PROG FORMACIÓN TITULADA'!#REF!,"AAAAAGzHewA=")</f>
        <v>#REF!</v>
      </c>
      <c r="B302" t="e">
        <f>AND('PROG FORMACIÓN TITULADA'!#REF!,"AAAAAGzHewE=")</f>
        <v>#REF!</v>
      </c>
      <c r="C302" t="e">
        <f>AND('PROG FORMACIÓN TITULADA'!#REF!,"AAAAAGzHewI=")</f>
        <v>#REF!</v>
      </c>
      <c r="D302" t="e">
        <f>AND('PROG FORMACIÓN TITULADA'!#REF!,"AAAAAGzHewM=")</f>
        <v>#REF!</v>
      </c>
      <c r="E302" t="e">
        <f>AND('PROG FORMACIÓN TITULADA'!#REF!,"AAAAAGzHewQ=")</f>
        <v>#REF!</v>
      </c>
      <c r="F302" t="e">
        <f>AND('PROG FORMACIÓN TITULADA'!#REF!,"AAAAAGzHewU=")</f>
        <v>#REF!</v>
      </c>
      <c r="G302" t="e">
        <f>AND('PROG FORMACIÓN TITULADA'!#REF!,"AAAAAGzHewY=")</f>
        <v>#REF!</v>
      </c>
      <c r="H302" t="e">
        <f>AND('PROG FORMACIÓN TITULADA'!#REF!,"AAAAAGzHewc=")</f>
        <v>#REF!</v>
      </c>
      <c r="I302" t="e">
        <f>AND('PROG FORMACIÓN TITULADA'!#REF!,"AAAAAGzHewg=")</f>
        <v>#REF!</v>
      </c>
      <c r="J302" t="e">
        <f>AND('PROG FORMACIÓN TITULADA'!#REF!,"AAAAAGzHewk=")</f>
        <v>#REF!</v>
      </c>
      <c r="K302" t="e">
        <f>AND('PROG FORMACIÓN TITULADA'!#REF!,"AAAAAGzHewo=")</f>
        <v>#REF!</v>
      </c>
      <c r="L302" t="e">
        <f>AND('PROG FORMACIÓN TITULADA'!#REF!,"AAAAAGzHews=")</f>
        <v>#REF!</v>
      </c>
      <c r="M302" t="e">
        <f>AND('PROG FORMACIÓN TITULADA'!#REF!,"AAAAAGzHeww=")</f>
        <v>#REF!</v>
      </c>
      <c r="N302" t="e">
        <f>AND('PROG FORMACIÓN TITULADA'!#REF!,"AAAAAGzHew0=")</f>
        <v>#REF!</v>
      </c>
      <c r="O302" t="e">
        <f>AND('PROG FORMACIÓN TITULADA'!#REF!,"AAAAAGzHew4=")</f>
        <v>#REF!</v>
      </c>
      <c r="P302" t="e">
        <f>AND('PROG FORMACIÓN TITULADA'!#REF!,"AAAAAGzHew8=")</f>
        <v>#REF!</v>
      </c>
      <c r="Q302" t="e">
        <f>AND('PROG FORMACIÓN TITULADA'!#REF!,"AAAAAGzHexA=")</f>
        <v>#REF!</v>
      </c>
      <c r="R302" t="e">
        <f>AND('PROG FORMACIÓN TITULADA'!#REF!,"AAAAAGzHexE=")</f>
        <v>#REF!</v>
      </c>
      <c r="S302" t="e">
        <f>AND('PROG FORMACIÓN TITULADA'!#REF!,"AAAAAGzHexI=")</f>
        <v>#REF!</v>
      </c>
      <c r="T302" t="e">
        <f>AND('PROG FORMACIÓN TITULADA'!#REF!,"AAAAAGzHexM=")</f>
        <v>#REF!</v>
      </c>
      <c r="U302" t="e">
        <f>AND('PROG FORMACIÓN TITULADA'!#REF!,"AAAAAGzHexQ=")</f>
        <v>#REF!</v>
      </c>
      <c r="V302" t="e">
        <f>AND('PROG FORMACIÓN TITULADA'!#REF!,"AAAAAGzHexU=")</f>
        <v>#REF!</v>
      </c>
      <c r="W302" t="e">
        <f>AND('PROG FORMACIÓN TITULADA'!#REF!,"AAAAAGzHexY=")</f>
        <v>#REF!</v>
      </c>
      <c r="X302" t="e">
        <f>AND('PROG FORMACIÓN TITULADA'!#REF!,"AAAAAGzHexc=")</f>
        <v>#REF!</v>
      </c>
      <c r="Y302" t="e">
        <f>AND('PROG FORMACIÓN TITULADA'!#REF!,"AAAAAGzHexg=")</f>
        <v>#REF!</v>
      </c>
      <c r="Z302" t="e">
        <f>AND('PROG FORMACIÓN TITULADA'!#REF!,"AAAAAGzHexk=")</f>
        <v>#REF!</v>
      </c>
      <c r="AA302" t="e">
        <f>IF('PROG FORMACIÓN TITULADA'!#REF!,"AAAAAGzHexo=",0)</f>
        <v>#REF!</v>
      </c>
      <c r="AB302" t="e">
        <f>AND('PROG FORMACIÓN TITULADA'!#REF!,"AAAAAGzHexs=")</f>
        <v>#REF!</v>
      </c>
      <c r="AC302" t="e">
        <f>AND('PROG FORMACIÓN TITULADA'!#REF!,"AAAAAGzHexw=")</f>
        <v>#REF!</v>
      </c>
      <c r="AD302" t="e">
        <f>AND('PROG FORMACIÓN TITULADA'!#REF!,"AAAAAGzHex0=")</f>
        <v>#REF!</v>
      </c>
      <c r="AE302" t="e">
        <f>AND('PROG FORMACIÓN TITULADA'!#REF!,"AAAAAGzHex4=")</f>
        <v>#REF!</v>
      </c>
      <c r="AF302" t="e">
        <f>AND('PROG FORMACIÓN TITULADA'!#REF!,"AAAAAGzHex8=")</f>
        <v>#REF!</v>
      </c>
      <c r="AG302" t="e">
        <f>AND('PROG FORMACIÓN TITULADA'!#REF!,"AAAAAGzHeyA=")</f>
        <v>#REF!</v>
      </c>
      <c r="AH302" t="e">
        <f>AND('PROG FORMACIÓN TITULADA'!#REF!,"AAAAAGzHeyE=")</f>
        <v>#REF!</v>
      </c>
      <c r="AI302" t="e">
        <f>AND('PROG FORMACIÓN TITULADA'!#REF!,"AAAAAGzHeyI=")</f>
        <v>#REF!</v>
      </c>
      <c r="AJ302" t="e">
        <f>AND('PROG FORMACIÓN TITULADA'!#REF!,"AAAAAGzHeyM=")</f>
        <v>#REF!</v>
      </c>
      <c r="AK302" t="e">
        <f>AND('PROG FORMACIÓN TITULADA'!#REF!,"AAAAAGzHeyQ=")</f>
        <v>#REF!</v>
      </c>
      <c r="AL302" t="e">
        <f>AND('PROG FORMACIÓN TITULADA'!#REF!,"AAAAAGzHeyU=")</f>
        <v>#REF!</v>
      </c>
      <c r="AM302" t="e">
        <f>AND('PROG FORMACIÓN TITULADA'!#REF!,"AAAAAGzHeyY=")</f>
        <v>#REF!</v>
      </c>
      <c r="AN302" t="e">
        <f>AND('PROG FORMACIÓN TITULADA'!#REF!,"AAAAAGzHeyc=")</f>
        <v>#REF!</v>
      </c>
      <c r="AO302" t="e">
        <f>AND('PROG FORMACIÓN TITULADA'!#REF!,"AAAAAGzHeyg=")</f>
        <v>#REF!</v>
      </c>
      <c r="AP302" t="e">
        <f>AND('PROG FORMACIÓN TITULADA'!#REF!,"AAAAAGzHeyk=")</f>
        <v>#REF!</v>
      </c>
      <c r="AQ302" t="e">
        <f>AND('PROG FORMACIÓN TITULADA'!#REF!,"AAAAAGzHeyo=")</f>
        <v>#REF!</v>
      </c>
      <c r="AR302" t="e">
        <f>AND('PROG FORMACIÓN TITULADA'!#REF!,"AAAAAGzHeys=")</f>
        <v>#REF!</v>
      </c>
      <c r="AS302" t="e">
        <f>AND('PROG FORMACIÓN TITULADA'!#REF!,"AAAAAGzHeyw=")</f>
        <v>#REF!</v>
      </c>
      <c r="AT302" t="e">
        <f>AND('PROG FORMACIÓN TITULADA'!#REF!,"AAAAAGzHey0=")</f>
        <v>#REF!</v>
      </c>
      <c r="AU302" t="e">
        <f>AND('PROG FORMACIÓN TITULADA'!#REF!,"AAAAAGzHey4=")</f>
        <v>#REF!</v>
      </c>
      <c r="AV302" t="e">
        <f>AND('PROG FORMACIÓN TITULADA'!#REF!,"AAAAAGzHey8=")</f>
        <v>#REF!</v>
      </c>
      <c r="AW302" t="e">
        <f>AND('PROG FORMACIÓN TITULADA'!#REF!,"AAAAAGzHezA=")</f>
        <v>#REF!</v>
      </c>
      <c r="AX302" t="e">
        <f>AND('PROG FORMACIÓN TITULADA'!#REF!,"AAAAAGzHezE=")</f>
        <v>#REF!</v>
      </c>
      <c r="AY302" t="e">
        <f>AND('PROG FORMACIÓN TITULADA'!#REF!,"AAAAAGzHezI=")</f>
        <v>#REF!</v>
      </c>
      <c r="AZ302" t="e">
        <f>AND('PROG FORMACIÓN TITULADA'!#REF!,"AAAAAGzHezM=")</f>
        <v>#REF!</v>
      </c>
      <c r="BA302" t="e">
        <f>AND('PROG FORMACIÓN TITULADA'!#REF!,"AAAAAGzHezQ=")</f>
        <v>#REF!</v>
      </c>
      <c r="BB302" t="e">
        <f>IF('PROG FORMACIÓN TITULADA'!#REF!,"AAAAAGzHezU=",0)</f>
        <v>#REF!</v>
      </c>
      <c r="BC302" t="e">
        <f>AND('PROG FORMACIÓN TITULADA'!#REF!,"AAAAAGzHezY=")</f>
        <v>#REF!</v>
      </c>
      <c r="BD302" t="e">
        <f>AND('PROG FORMACIÓN TITULADA'!#REF!,"AAAAAGzHezc=")</f>
        <v>#REF!</v>
      </c>
      <c r="BE302" t="e">
        <f>AND('PROG FORMACIÓN TITULADA'!#REF!,"AAAAAGzHezg=")</f>
        <v>#REF!</v>
      </c>
      <c r="BF302" t="e">
        <f>AND('PROG FORMACIÓN TITULADA'!#REF!,"AAAAAGzHezk=")</f>
        <v>#REF!</v>
      </c>
      <c r="BG302" t="e">
        <f>AND('PROG FORMACIÓN TITULADA'!#REF!,"AAAAAGzHezo=")</f>
        <v>#REF!</v>
      </c>
      <c r="BH302" t="e">
        <f>AND('PROG FORMACIÓN TITULADA'!#REF!,"AAAAAGzHezs=")</f>
        <v>#REF!</v>
      </c>
      <c r="BI302" t="e">
        <f>AND('PROG FORMACIÓN TITULADA'!#REF!,"AAAAAGzHezw=")</f>
        <v>#REF!</v>
      </c>
      <c r="BJ302" t="e">
        <f>AND('PROG FORMACIÓN TITULADA'!#REF!,"AAAAAGzHez0=")</f>
        <v>#REF!</v>
      </c>
      <c r="BK302" t="e">
        <f>AND('PROG FORMACIÓN TITULADA'!#REF!,"AAAAAGzHez4=")</f>
        <v>#REF!</v>
      </c>
      <c r="BL302" t="e">
        <f>AND('PROG FORMACIÓN TITULADA'!#REF!,"AAAAAGzHez8=")</f>
        <v>#REF!</v>
      </c>
      <c r="BM302" t="e">
        <f>AND('PROG FORMACIÓN TITULADA'!#REF!,"AAAAAGzHe0A=")</f>
        <v>#REF!</v>
      </c>
      <c r="BN302" t="e">
        <f>AND('PROG FORMACIÓN TITULADA'!#REF!,"AAAAAGzHe0E=")</f>
        <v>#REF!</v>
      </c>
      <c r="BO302" t="e">
        <f>AND('PROG FORMACIÓN TITULADA'!#REF!,"AAAAAGzHe0I=")</f>
        <v>#REF!</v>
      </c>
      <c r="BP302" t="e">
        <f>AND('PROG FORMACIÓN TITULADA'!#REF!,"AAAAAGzHe0M=")</f>
        <v>#REF!</v>
      </c>
      <c r="BQ302" t="e">
        <f>AND('PROG FORMACIÓN TITULADA'!#REF!,"AAAAAGzHe0Q=")</f>
        <v>#REF!</v>
      </c>
      <c r="BR302" t="e">
        <f>AND('PROG FORMACIÓN TITULADA'!#REF!,"AAAAAGzHe0U=")</f>
        <v>#REF!</v>
      </c>
      <c r="BS302" t="e">
        <f>AND('PROG FORMACIÓN TITULADA'!#REF!,"AAAAAGzHe0Y=")</f>
        <v>#REF!</v>
      </c>
      <c r="BT302" t="e">
        <f>AND('PROG FORMACIÓN TITULADA'!#REF!,"AAAAAGzHe0c=")</f>
        <v>#REF!</v>
      </c>
      <c r="BU302" t="e">
        <f>AND('PROG FORMACIÓN TITULADA'!#REF!,"AAAAAGzHe0g=")</f>
        <v>#REF!</v>
      </c>
      <c r="BV302" t="e">
        <f>AND('PROG FORMACIÓN TITULADA'!#REF!,"AAAAAGzHe0k=")</f>
        <v>#REF!</v>
      </c>
      <c r="BW302" t="e">
        <f>AND('PROG FORMACIÓN TITULADA'!#REF!,"AAAAAGzHe0o=")</f>
        <v>#REF!</v>
      </c>
      <c r="BX302" t="e">
        <f>AND('PROG FORMACIÓN TITULADA'!#REF!,"AAAAAGzHe0s=")</f>
        <v>#REF!</v>
      </c>
      <c r="BY302" t="e">
        <f>AND('PROG FORMACIÓN TITULADA'!#REF!,"AAAAAGzHe0w=")</f>
        <v>#REF!</v>
      </c>
      <c r="BZ302" t="e">
        <f>AND('PROG FORMACIÓN TITULADA'!#REF!,"AAAAAGzHe00=")</f>
        <v>#REF!</v>
      </c>
      <c r="CA302" t="e">
        <f>AND('PROG FORMACIÓN TITULADA'!#REF!,"AAAAAGzHe04=")</f>
        <v>#REF!</v>
      </c>
      <c r="CB302" t="e">
        <f>AND('PROG FORMACIÓN TITULADA'!#REF!,"AAAAAGzHe08=")</f>
        <v>#REF!</v>
      </c>
      <c r="CC302" t="e">
        <f>IF('PROG FORMACIÓN TITULADA'!#REF!,"AAAAAGzHe1A=",0)</f>
        <v>#REF!</v>
      </c>
      <c r="CD302" t="e">
        <f>AND('PROG FORMACIÓN TITULADA'!#REF!,"AAAAAGzHe1E=")</f>
        <v>#REF!</v>
      </c>
      <c r="CE302" t="e">
        <f>AND('PROG FORMACIÓN TITULADA'!#REF!,"AAAAAGzHe1I=")</f>
        <v>#REF!</v>
      </c>
      <c r="CF302" t="e">
        <f>AND('PROG FORMACIÓN TITULADA'!#REF!,"AAAAAGzHe1M=")</f>
        <v>#REF!</v>
      </c>
      <c r="CG302" t="e">
        <f>AND('PROG FORMACIÓN TITULADA'!#REF!,"AAAAAGzHe1Q=")</f>
        <v>#REF!</v>
      </c>
      <c r="CH302" t="e">
        <f>AND('PROG FORMACIÓN TITULADA'!#REF!,"AAAAAGzHe1U=")</f>
        <v>#REF!</v>
      </c>
      <c r="CI302" t="e">
        <f>AND('PROG FORMACIÓN TITULADA'!#REF!,"AAAAAGzHe1Y=")</f>
        <v>#REF!</v>
      </c>
      <c r="CJ302" t="e">
        <f>AND('PROG FORMACIÓN TITULADA'!#REF!,"AAAAAGzHe1c=")</f>
        <v>#REF!</v>
      </c>
      <c r="CK302" t="e">
        <f>AND('PROG FORMACIÓN TITULADA'!#REF!,"AAAAAGzHe1g=")</f>
        <v>#REF!</v>
      </c>
      <c r="CL302" t="e">
        <f>AND('PROG FORMACIÓN TITULADA'!#REF!,"AAAAAGzHe1k=")</f>
        <v>#REF!</v>
      </c>
      <c r="CM302" t="e">
        <f>AND('PROG FORMACIÓN TITULADA'!#REF!,"AAAAAGzHe1o=")</f>
        <v>#REF!</v>
      </c>
      <c r="CN302" t="e">
        <f>AND('PROG FORMACIÓN TITULADA'!#REF!,"AAAAAGzHe1s=")</f>
        <v>#REF!</v>
      </c>
      <c r="CO302" t="e">
        <f>AND('PROG FORMACIÓN TITULADA'!#REF!,"AAAAAGzHe1w=")</f>
        <v>#REF!</v>
      </c>
      <c r="CP302" t="e">
        <f>AND('PROG FORMACIÓN TITULADA'!#REF!,"AAAAAGzHe10=")</f>
        <v>#REF!</v>
      </c>
      <c r="CQ302" t="e">
        <f>AND('PROG FORMACIÓN TITULADA'!#REF!,"AAAAAGzHe14=")</f>
        <v>#REF!</v>
      </c>
      <c r="CR302" t="e">
        <f>AND('PROG FORMACIÓN TITULADA'!#REF!,"AAAAAGzHe18=")</f>
        <v>#REF!</v>
      </c>
      <c r="CS302" t="e">
        <f>AND('PROG FORMACIÓN TITULADA'!#REF!,"AAAAAGzHe2A=")</f>
        <v>#REF!</v>
      </c>
      <c r="CT302" t="e">
        <f>AND('PROG FORMACIÓN TITULADA'!#REF!,"AAAAAGzHe2E=")</f>
        <v>#REF!</v>
      </c>
      <c r="CU302" t="e">
        <f>AND('PROG FORMACIÓN TITULADA'!#REF!,"AAAAAGzHe2I=")</f>
        <v>#REF!</v>
      </c>
      <c r="CV302" t="e">
        <f>AND('PROG FORMACIÓN TITULADA'!#REF!,"AAAAAGzHe2M=")</f>
        <v>#REF!</v>
      </c>
      <c r="CW302" t="e">
        <f>AND('PROG FORMACIÓN TITULADA'!#REF!,"AAAAAGzHe2Q=")</f>
        <v>#REF!</v>
      </c>
      <c r="CX302" t="e">
        <f>AND('PROG FORMACIÓN TITULADA'!#REF!,"AAAAAGzHe2U=")</f>
        <v>#REF!</v>
      </c>
      <c r="CY302" t="e">
        <f>AND('PROG FORMACIÓN TITULADA'!#REF!,"AAAAAGzHe2Y=")</f>
        <v>#REF!</v>
      </c>
      <c r="CZ302" t="e">
        <f>AND('PROG FORMACIÓN TITULADA'!#REF!,"AAAAAGzHe2c=")</f>
        <v>#REF!</v>
      </c>
      <c r="DA302" t="e">
        <f>AND('PROG FORMACIÓN TITULADA'!#REF!,"AAAAAGzHe2g=")</f>
        <v>#REF!</v>
      </c>
      <c r="DB302" t="e">
        <f>AND('PROG FORMACIÓN TITULADA'!#REF!,"AAAAAGzHe2k=")</f>
        <v>#REF!</v>
      </c>
      <c r="DC302" t="e">
        <f>AND('PROG FORMACIÓN TITULADA'!#REF!,"AAAAAGzHe2o=")</f>
        <v>#REF!</v>
      </c>
      <c r="DD302" t="e">
        <f>IF('PROG FORMACIÓN TITULADA'!#REF!,"AAAAAGzHe2s=",0)</f>
        <v>#REF!</v>
      </c>
      <c r="DE302" t="e">
        <f>AND('PROG FORMACIÓN TITULADA'!#REF!,"AAAAAGzHe2w=")</f>
        <v>#REF!</v>
      </c>
      <c r="DF302" t="e">
        <f>AND('PROG FORMACIÓN TITULADA'!#REF!,"AAAAAGzHe20=")</f>
        <v>#REF!</v>
      </c>
      <c r="DG302" t="e">
        <f>AND('PROG FORMACIÓN TITULADA'!#REF!,"AAAAAGzHe24=")</f>
        <v>#REF!</v>
      </c>
      <c r="DH302" t="e">
        <f>AND('PROG FORMACIÓN TITULADA'!#REF!,"AAAAAGzHe28=")</f>
        <v>#REF!</v>
      </c>
      <c r="DI302" t="e">
        <f>AND('PROG FORMACIÓN TITULADA'!#REF!,"AAAAAGzHe3A=")</f>
        <v>#REF!</v>
      </c>
      <c r="DJ302" t="e">
        <f>AND('PROG FORMACIÓN TITULADA'!#REF!,"AAAAAGzHe3E=")</f>
        <v>#REF!</v>
      </c>
      <c r="DK302" t="e">
        <f>AND('PROG FORMACIÓN TITULADA'!#REF!,"AAAAAGzHe3I=")</f>
        <v>#REF!</v>
      </c>
      <c r="DL302" t="e">
        <f>AND('PROG FORMACIÓN TITULADA'!#REF!,"AAAAAGzHe3M=")</f>
        <v>#REF!</v>
      </c>
      <c r="DM302" t="e">
        <f>AND('PROG FORMACIÓN TITULADA'!#REF!,"AAAAAGzHe3Q=")</f>
        <v>#REF!</v>
      </c>
      <c r="DN302" t="e">
        <f>AND('PROG FORMACIÓN TITULADA'!#REF!,"AAAAAGzHe3U=")</f>
        <v>#REF!</v>
      </c>
      <c r="DO302" t="e">
        <f>AND('PROG FORMACIÓN TITULADA'!#REF!,"AAAAAGzHe3Y=")</f>
        <v>#REF!</v>
      </c>
      <c r="DP302" t="e">
        <f>AND('PROG FORMACIÓN TITULADA'!#REF!,"AAAAAGzHe3c=")</f>
        <v>#REF!</v>
      </c>
      <c r="DQ302" t="e">
        <f>AND('PROG FORMACIÓN TITULADA'!#REF!,"AAAAAGzHe3g=")</f>
        <v>#REF!</v>
      </c>
      <c r="DR302" t="e">
        <f>AND('PROG FORMACIÓN TITULADA'!#REF!,"AAAAAGzHe3k=")</f>
        <v>#REF!</v>
      </c>
      <c r="DS302" t="e">
        <f>AND('PROG FORMACIÓN TITULADA'!#REF!,"AAAAAGzHe3o=")</f>
        <v>#REF!</v>
      </c>
      <c r="DT302" t="e">
        <f>AND('PROG FORMACIÓN TITULADA'!#REF!,"AAAAAGzHe3s=")</f>
        <v>#REF!</v>
      </c>
      <c r="DU302" t="e">
        <f>AND('PROG FORMACIÓN TITULADA'!#REF!,"AAAAAGzHe3w=")</f>
        <v>#REF!</v>
      </c>
      <c r="DV302" t="e">
        <f>AND('PROG FORMACIÓN TITULADA'!#REF!,"AAAAAGzHe30=")</f>
        <v>#REF!</v>
      </c>
      <c r="DW302" t="e">
        <f>AND('PROG FORMACIÓN TITULADA'!#REF!,"AAAAAGzHe34=")</f>
        <v>#REF!</v>
      </c>
      <c r="DX302" t="e">
        <f>AND('PROG FORMACIÓN TITULADA'!#REF!,"AAAAAGzHe38=")</f>
        <v>#REF!</v>
      </c>
      <c r="DY302" t="e">
        <f>AND('PROG FORMACIÓN TITULADA'!#REF!,"AAAAAGzHe4A=")</f>
        <v>#REF!</v>
      </c>
      <c r="DZ302" t="e">
        <f>AND('PROG FORMACIÓN TITULADA'!#REF!,"AAAAAGzHe4E=")</f>
        <v>#REF!</v>
      </c>
      <c r="EA302" t="e">
        <f>AND('PROG FORMACIÓN TITULADA'!#REF!,"AAAAAGzHe4I=")</f>
        <v>#REF!</v>
      </c>
      <c r="EB302" t="e">
        <f>AND('PROG FORMACIÓN TITULADA'!#REF!,"AAAAAGzHe4M=")</f>
        <v>#REF!</v>
      </c>
      <c r="EC302" t="e">
        <f>AND('PROG FORMACIÓN TITULADA'!#REF!,"AAAAAGzHe4Q=")</f>
        <v>#REF!</v>
      </c>
      <c r="ED302" t="e">
        <f>AND('PROG FORMACIÓN TITULADA'!#REF!,"AAAAAGzHe4U=")</f>
        <v>#REF!</v>
      </c>
      <c r="EE302" t="e">
        <f>IF('PROG FORMACIÓN TITULADA'!#REF!,"AAAAAGzHe4Y=",0)</f>
        <v>#REF!</v>
      </c>
      <c r="EF302" t="e">
        <f>AND('PROG FORMACIÓN TITULADA'!#REF!,"AAAAAGzHe4c=")</f>
        <v>#REF!</v>
      </c>
      <c r="EG302" t="e">
        <f>AND('PROG FORMACIÓN TITULADA'!#REF!,"AAAAAGzHe4g=")</f>
        <v>#REF!</v>
      </c>
      <c r="EH302" t="e">
        <f>AND('PROG FORMACIÓN TITULADA'!#REF!,"AAAAAGzHe4k=")</f>
        <v>#REF!</v>
      </c>
      <c r="EI302" t="e">
        <f>AND('PROG FORMACIÓN TITULADA'!#REF!,"AAAAAGzHe4o=")</f>
        <v>#REF!</v>
      </c>
      <c r="EJ302" t="e">
        <f>AND('PROG FORMACIÓN TITULADA'!#REF!,"AAAAAGzHe4s=")</f>
        <v>#REF!</v>
      </c>
      <c r="EK302" t="e">
        <f>AND('PROG FORMACIÓN TITULADA'!#REF!,"AAAAAGzHe4w=")</f>
        <v>#REF!</v>
      </c>
      <c r="EL302" t="e">
        <f>AND('PROG FORMACIÓN TITULADA'!#REF!,"AAAAAGzHe40=")</f>
        <v>#REF!</v>
      </c>
      <c r="EM302" t="e">
        <f>AND('PROG FORMACIÓN TITULADA'!#REF!,"AAAAAGzHe44=")</f>
        <v>#REF!</v>
      </c>
      <c r="EN302" t="e">
        <f>AND('PROG FORMACIÓN TITULADA'!#REF!,"AAAAAGzHe48=")</f>
        <v>#REF!</v>
      </c>
      <c r="EO302" t="e">
        <f>AND('PROG FORMACIÓN TITULADA'!#REF!,"AAAAAGzHe5A=")</f>
        <v>#REF!</v>
      </c>
      <c r="EP302" t="e">
        <f>AND('PROG FORMACIÓN TITULADA'!#REF!,"AAAAAGzHe5E=")</f>
        <v>#REF!</v>
      </c>
      <c r="EQ302" t="e">
        <f>AND('PROG FORMACIÓN TITULADA'!#REF!,"AAAAAGzHe5I=")</f>
        <v>#REF!</v>
      </c>
      <c r="ER302" t="e">
        <f>AND('PROG FORMACIÓN TITULADA'!#REF!,"AAAAAGzHe5M=")</f>
        <v>#REF!</v>
      </c>
      <c r="ES302" t="e">
        <f>AND('PROG FORMACIÓN TITULADA'!#REF!,"AAAAAGzHe5Q=")</f>
        <v>#REF!</v>
      </c>
      <c r="ET302" t="e">
        <f>AND('PROG FORMACIÓN TITULADA'!#REF!,"AAAAAGzHe5U=")</f>
        <v>#REF!</v>
      </c>
      <c r="EU302" t="e">
        <f>AND('PROG FORMACIÓN TITULADA'!#REF!,"AAAAAGzHe5Y=")</f>
        <v>#REF!</v>
      </c>
      <c r="EV302" t="e">
        <f>AND('PROG FORMACIÓN TITULADA'!#REF!,"AAAAAGzHe5c=")</f>
        <v>#REF!</v>
      </c>
      <c r="EW302" t="e">
        <f>AND('PROG FORMACIÓN TITULADA'!#REF!,"AAAAAGzHe5g=")</f>
        <v>#REF!</v>
      </c>
      <c r="EX302" t="e">
        <f>AND('PROG FORMACIÓN TITULADA'!#REF!,"AAAAAGzHe5k=")</f>
        <v>#REF!</v>
      </c>
      <c r="EY302" t="e">
        <f>AND('PROG FORMACIÓN TITULADA'!#REF!,"AAAAAGzHe5o=")</f>
        <v>#REF!</v>
      </c>
      <c r="EZ302" t="e">
        <f>AND('PROG FORMACIÓN TITULADA'!#REF!,"AAAAAGzHe5s=")</f>
        <v>#REF!</v>
      </c>
      <c r="FA302" t="e">
        <f>AND('PROG FORMACIÓN TITULADA'!#REF!,"AAAAAGzHe5w=")</f>
        <v>#REF!</v>
      </c>
      <c r="FB302" t="e">
        <f>AND('PROG FORMACIÓN TITULADA'!#REF!,"AAAAAGzHe50=")</f>
        <v>#REF!</v>
      </c>
      <c r="FC302" t="e">
        <f>AND('PROG FORMACIÓN TITULADA'!#REF!,"AAAAAGzHe54=")</f>
        <v>#REF!</v>
      </c>
      <c r="FD302" t="e">
        <f>AND('PROG FORMACIÓN TITULADA'!#REF!,"AAAAAGzHe58=")</f>
        <v>#REF!</v>
      </c>
      <c r="FE302" t="e">
        <f>AND('PROG FORMACIÓN TITULADA'!#REF!,"AAAAAGzHe6A=")</f>
        <v>#REF!</v>
      </c>
      <c r="FF302" t="e">
        <f>IF('PROG FORMACIÓN TITULADA'!#REF!,"AAAAAGzHe6E=",0)</f>
        <v>#REF!</v>
      </c>
      <c r="FG302" t="e">
        <f>AND('PROG FORMACIÓN TITULADA'!#REF!,"AAAAAGzHe6I=")</f>
        <v>#REF!</v>
      </c>
      <c r="FH302" t="e">
        <f>AND('PROG FORMACIÓN TITULADA'!#REF!,"AAAAAGzHe6M=")</f>
        <v>#REF!</v>
      </c>
      <c r="FI302" t="e">
        <f>AND('PROG FORMACIÓN TITULADA'!#REF!,"AAAAAGzHe6Q=")</f>
        <v>#REF!</v>
      </c>
      <c r="FJ302" t="e">
        <f>AND('PROG FORMACIÓN TITULADA'!#REF!,"AAAAAGzHe6U=")</f>
        <v>#REF!</v>
      </c>
      <c r="FK302" t="e">
        <f>AND('PROG FORMACIÓN TITULADA'!#REF!,"AAAAAGzHe6Y=")</f>
        <v>#REF!</v>
      </c>
      <c r="FL302" t="e">
        <f>AND('PROG FORMACIÓN TITULADA'!#REF!,"AAAAAGzHe6c=")</f>
        <v>#REF!</v>
      </c>
      <c r="FM302" t="e">
        <f>AND('PROG FORMACIÓN TITULADA'!#REF!,"AAAAAGzHe6g=")</f>
        <v>#REF!</v>
      </c>
      <c r="FN302" t="e">
        <f>AND('PROG FORMACIÓN TITULADA'!#REF!,"AAAAAGzHe6k=")</f>
        <v>#REF!</v>
      </c>
      <c r="FO302" t="e">
        <f>AND('PROG FORMACIÓN TITULADA'!#REF!,"AAAAAGzHe6o=")</f>
        <v>#REF!</v>
      </c>
      <c r="FP302" t="e">
        <f>AND('PROG FORMACIÓN TITULADA'!#REF!,"AAAAAGzHe6s=")</f>
        <v>#REF!</v>
      </c>
      <c r="FQ302" t="e">
        <f>AND('PROG FORMACIÓN TITULADA'!#REF!,"AAAAAGzHe6w=")</f>
        <v>#REF!</v>
      </c>
      <c r="FR302" t="e">
        <f>AND('PROG FORMACIÓN TITULADA'!#REF!,"AAAAAGzHe60=")</f>
        <v>#REF!</v>
      </c>
      <c r="FS302" t="e">
        <f>AND('PROG FORMACIÓN TITULADA'!#REF!,"AAAAAGzHe64=")</f>
        <v>#REF!</v>
      </c>
      <c r="FT302" t="e">
        <f>AND('PROG FORMACIÓN TITULADA'!#REF!,"AAAAAGzHe68=")</f>
        <v>#REF!</v>
      </c>
      <c r="FU302" t="e">
        <f>AND('PROG FORMACIÓN TITULADA'!#REF!,"AAAAAGzHe7A=")</f>
        <v>#REF!</v>
      </c>
      <c r="FV302" t="e">
        <f>AND('PROG FORMACIÓN TITULADA'!#REF!,"AAAAAGzHe7E=")</f>
        <v>#REF!</v>
      </c>
      <c r="FW302" t="e">
        <f>AND('PROG FORMACIÓN TITULADA'!#REF!,"AAAAAGzHe7I=")</f>
        <v>#REF!</v>
      </c>
      <c r="FX302" t="e">
        <f>AND('PROG FORMACIÓN TITULADA'!#REF!,"AAAAAGzHe7M=")</f>
        <v>#REF!</v>
      </c>
      <c r="FY302" t="e">
        <f>AND('PROG FORMACIÓN TITULADA'!#REF!,"AAAAAGzHe7Q=")</f>
        <v>#REF!</v>
      </c>
      <c r="FZ302" t="e">
        <f>AND('PROG FORMACIÓN TITULADA'!#REF!,"AAAAAGzHe7U=")</f>
        <v>#REF!</v>
      </c>
      <c r="GA302" t="e">
        <f>AND('PROG FORMACIÓN TITULADA'!#REF!,"AAAAAGzHe7Y=")</f>
        <v>#REF!</v>
      </c>
      <c r="GB302" t="e">
        <f>AND('PROG FORMACIÓN TITULADA'!#REF!,"AAAAAGzHe7c=")</f>
        <v>#REF!</v>
      </c>
      <c r="GC302" t="e">
        <f>AND('PROG FORMACIÓN TITULADA'!#REF!,"AAAAAGzHe7g=")</f>
        <v>#REF!</v>
      </c>
      <c r="GD302" t="e">
        <f>AND('PROG FORMACIÓN TITULADA'!#REF!,"AAAAAGzHe7k=")</f>
        <v>#REF!</v>
      </c>
      <c r="GE302" t="e">
        <f>AND('PROG FORMACIÓN TITULADA'!#REF!,"AAAAAGzHe7o=")</f>
        <v>#REF!</v>
      </c>
      <c r="GF302" t="e">
        <f>AND('PROG FORMACIÓN TITULADA'!#REF!,"AAAAAGzHe7s=")</f>
        <v>#REF!</v>
      </c>
      <c r="GG302" t="e">
        <f>IF('PROG FORMACIÓN TITULADA'!#REF!,"AAAAAGzHe7w=",0)</f>
        <v>#REF!</v>
      </c>
      <c r="GH302" t="e">
        <f>AND('PROG FORMACIÓN TITULADA'!#REF!,"AAAAAGzHe70=")</f>
        <v>#REF!</v>
      </c>
      <c r="GI302" t="e">
        <f>AND('PROG FORMACIÓN TITULADA'!#REF!,"AAAAAGzHe74=")</f>
        <v>#REF!</v>
      </c>
      <c r="GJ302" t="e">
        <f>AND('PROG FORMACIÓN TITULADA'!#REF!,"AAAAAGzHe78=")</f>
        <v>#REF!</v>
      </c>
      <c r="GK302" t="e">
        <f>AND('PROG FORMACIÓN TITULADA'!#REF!,"AAAAAGzHe8A=")</f>
        <v>#REF!</v>
      </c>
      <c r="GL302" t="e">
        <f>AND('PROG FORMACIÓN TITULADA'!#REF!,"AAAAAGzHe8E=")</f>
        <v>#REF!</v>
      </c>
      <c r="GM302" t="e">
        <f>AND('PROG FORMACIÓN TITULADA'!#REF!,"AAAAAGzHe8I=")</f>
        <v>#REF!</v>
      </c>
      <c r="GN302" t="e">
        <f>AND('PROG FORMACIÓN TITULADA'!#REF!,"AAAAAGzHe8M=")</f>
        <v>#REF!</v>
      </c>
      <c r="GO302" t="e">
        <f>AND('PROG FORMACIÓN TITULADA'!#REF!,"AAAAAGzHe8Q=")</f>
        <v>#REF!</v>
      </c>
      <c r="GP302" t="e">
        <f>AND('PROG FORMACIÓN TITULADA'!#REF!,"AAAAAGzHe8U=")</f>
        <v>#REF!</v>
      </c>
      <c r="GQ302" t="e">
        <f>AND('PROG FORMACIÓN TITULADA'!#REF!,"AAAAAGzHe8Y=")</f>
        <v>#REF!</v>
      </c>
      <c r="GR302" t="e">
        <f>AND('PROG FORMACIÓN TITULADA'!#REF!,"AAAAAGzHe8c=")</f>
        <v>#REF!</v>
      </c>
      <c r="GS302" t="e">
        <f>AND('PROG FORMACIÓN TITULADA'!#REF!,"AAAAAGzHe8g=")</f>
        <v>#REF!</v>
      </c>
      <c r="GT302" t="e">
        <f>AND('PROG FORMACIÓN TITULADA'!#REF!,"AAAAAGzHe8k=")</f>
        <v>#REF!</v>
      </c>
      <c r="GU302" t="e">
        <f>AND('PROG FORMACIÓN TITULADA'!#REF!,"AAAAAGzHe8o=")</f>
        <v>#REF!</v>
      </c>
      <c r="GV302" t="e">
        <f>AND('PROG FORMACIÓN TITULADA'!#REF!,"AAAAAGzHe8s=")</f>
        <v>#REF!</v>
      </c>
      <c r="GW302" t="e">
        <f>AND('PROG FORMACIÓN TITULADA'!#REF!,"AAAAAGzHe8w=")</f>
        <v>#REF!</v>
      </c>
      <c r="GX302" t="e">
        <f>AND('PROG FORMACIÓN TITULADA'!#REF!,"AAAAAGzHe80=")</f>
        <v>#REF!</v>
      </c>
      <c r="GY302" t="e">
        <f>AND('PROG FORMACIÓN TITULADA'!#REF!,"AAAAAGzHe84=")</f>
        <v>#REF!</v>
      </c>
      <c r="GZ302" t="e">
        <f>AND('PROG FORMACIÓN TITULADA'!#REF!,"AAAAAGzHe88=")</f>
        <v>#REF!</v>
      </c>
      <c r="HA302" t="e">
        <f>AND('PROG FORMACIÓN TITULADA'!#REF!,"AAAAAGzHe9A=")</f>
        <v>#REF!</v>
      </c>
      <c r="HB302" t="e">
        <f>AND('PROG FORMACIÓN TITULADA'!#REF!,"AAAAAGzHe9E=")</f>
        <v>#REF!</v>
      </c>
      <c r="HC302" t="e">
        <f>AND('PROG FORMACIÓN TITULADA'!#REF!,"AAAAAGzHe9I=")</f>
        <v>#REF!</v>
      </c>
      <c r="HD302" t="e">
        <f>AND('PROG FORMACIÓN TITULADA'!#REF!,"AAAAAGzHe9M=")</f>
        <v>#REF!</v>
      </c>
      <c r="HE302" t="e">
        <f>AND('PROG FORMACIÓN TITULADA'!#REF!,"AAAAAGzHe9Q=")</f>
        <v>#REF!</v>
      </c>
      <c r="HF302" t="e">
        <f>AND('PROG FORMACIÓN TITULADA'!#REF!,"AAAAAGzHe9U=")</f>
        <v>#REF!</v>
      </c>
      <c r="HG302" t="e">
        <f>AND('PROG FORMACIÓN TITULADA'!#REF!,"AAAAAGzHe9Y=")</f>
        <v>#REF!</v>
      </c>
      <c r="HH302" t="e">
        <f>IF('PROG FORMACIÓN TITULADA'!#REF!,"AAAAAGzHe9c=",0)</f>
        <v>#REF!</v>
      </c>
      <c r="HI302" t="e">
        <f>AND('PROG FORMACIÓN TITULADA'!#REF!,"AAAAAGzHe9g=")</f>
        <v>#REF!</v>
      </c>
      <c r="HJ302" t="e">
        <f>AND('PROG FORMACIÓN TITULADA'!#REF!,"AAAAAGzHe9k=")</f>
        <v>#REF!</v>
      </c>
      <c r="HK302" t="e">
        <f>AND('PROG FORMACIÓN TITULADA'!#REF!,"AAAAAGzHe9o=")</f>
        <v>#REF!</v>
      </c>
      <c r="HL302" t="e">
        <f>AND('PROG FORMACIÓN TITULADA'!#REF!,"AAAAAGzHe9s=")</f>
        <v>#REF!</v>
      </c>
      <c r="HM302" t="e">
        <f>AND('PROG FORMACIÓN TITULADA'!#REF!,"AAAAAGzHe9w=")</f>
        <v>#REF!</v>
      </c>
      <c r="HN302" t="e">
        <f>AND('PROG FORMACIÓN TITULADA'!#REF!,"AAAAAGzHe90=")</f>
        <v>#REF!</v>
      </c>
      <c r="HO302" t="e">
        <f>AND('PROG FORMACIÓN TITULADA'!#REF!,"AAAAAGzHe94=")</f>
        <v>#REF!</v>
      </c>
      <c r="HP302" t="e">
        <f>AND('PROG FORMACIÓN TITULADA'!#REF!,"AAAAAGzHe98=")</f>
        <v>#REF!</v>
      </c>
      <c r="HQ302" t="e">
        <f>AND('PROG FORMACIÓN TITULADA'!#REF!,"AAAAAGzHe+A=")</f>
        <v>#REF!</v>
      </c>
      <c r="HR302" t="e">
        <f>AND('PROG FORMACIÓN TITULADA'!#REF!,"AAAAAGzHe+E=")</f>
        <v>#REF!</v>
      </c>
      <c r="HS302" t="e">
        <f>AND('PROG FORMACIÓN TITULADA'!#REF!,"AAAAAGzHe+I=")</f>
        <v>#REF!</v>
      </c>
      <c r="HT302" t="e">
        <f>AND('PROG FORMACIÓN TITULADA'!#REF!,"AAAAAGzHe+M=")</f>
        <v>#REF!</v>
      </c>
      <c r="HU302" t="e">
        <f>AND('PROG FORMACIÓN TITULADA'!#REF!,"AAAAAGzHe+Q=")</f>
        <v>#REF!</v>
      </c>
      <c r="HV302" t="e">
        <f>AND('PROG FORMACIÓN TITULADA'!#REF!,"AAAAAGzHe+U=")</f>
        <v>#REF!</v>
      </c>
      <c r="HW302" t="e">
        <f>AND('PROG FORMACIÓN TITULADA'!#REF!,"AAAAAGzHe+Y=")</f>
        <v>#REF!</v>
      </c>
      <c r="HX302" t="e">
        <f>AND('PROG FORMACIÓN TITULADA'!#REF!,"AAAAAGzHe+c=")</f>
        <v>#REF!</v>
      </c>
      <c r="HY302" t="e">
        <f>AND('PROG FORMACIÓN TITULADA'!#REF!,"AAAAAGzHe+g=")</f>
        <v>#REF!</v>
      </c>
      <c r="HZ302" t="e">
        <f>AND('PROG FORMACIÓN TITULADA'!#REF!,"AAAAAGzHe+k=")</f>
        <v>#REF!</v>
      </c>
      <c r="IA302" t="e">
        <f>AND('PROG FORMACIÓN TITULADA'!#REF!,"AAAAAGzHe+o=")</f>
        <v>#REF!</v>
      </c>
      <c r="IB302" t="e">
        <f>AND('PROG FORMACIÓN TITULADA'!#REF!,"AAAAAGzHe+s=")</f>
        <v>#REF!</v>
      </c>
      <c r="IC302" t="e">
        <f>AND('PROG FORMACIÓN TITULADA'!#REF!,"AAAAAGzHe+w=")</f>
        <v>#REF!</v>
      </c>
      <c r="ID302" t="e">
        <f>AND('PROG FORMACIÓN TITULADA'!#REF!,"AAAAAGzHe+0=")</f>
        <v>#REF!</v>
      </c>
      <c r="IE302" t="e">
        <f>AND('PROG FORMACIÓN TITULADA'!#REF!,"AAAAAGzHe+4=")</f>
        <v>#REF!</v>
      </c>
      <c r="IF302" t="e">
        <f>AND('PROG FORMACIÓN TITULADA'!#REF!,"AAAAAGzHe+8=")</f>
        <v>#REF!</v>
      </c>
      <c r="IG302" t="e">
        <f>AND('PROG FORMACIÓN TITULADA'!#REF!,"AAAAAGzHe/A=")</f>
        <v>#REF!</v>
      </c>
      <c r="IH302" t="e">
        <f>AND('PROG FORMACIÓN TITULADA'!#REF!,"AAAAAGzHe/E=")</f>
        <v>#REF!</v>
      </c>
      <c r="II302" t="e">
        <f>IF('PROG FORMACIÓN TITULADA'!#REF!,"AAAAAGzHe/I=",0)</f>
        <v>#REF!</v>
      </c>
      <c r="IJ302" t="e">
        <f>AND('PROG FORMACIÓN TITULADA'!#REF!,"AAAAAGzHe/M=")</f>
        <v>#REF!</v>
      </c>
      <c r="IK302" t="e">
        <f>AND('PROG FORMACIÓN TITULADA'!#REF!,"AAAAAGzHe/Q=")</f>
        <v>#REF!</v>
      </c>
      <c r="IL302" t="e">
        <f>AND('PROG FORMACIÓN TITULADA'!#REF!,"AAAAAGzHe/U=")</f>
        <v>#REF!</v>
      </c>
      <c r="IM302" t="e">
        <f>AND('PROG FORMACIÓN TITULADA'!#REF!,"AAAAAGzHe/Y=")</f>
        <v>#REF!</v>
      </c>
      <c r="IN302" t="e">
        <f>AND('PROG FORMACIÓN TITULADA'!#REF!,"AAAAAGzHe/c=")</f>
        <v>#REF!</v>
      </c>
      <c r="IO302" t="e">
        <f>AND('PROG FORMACIÓN TITULADA'!#REF!,"AAAAAGzHe/g=")</f>
        <v>#REF!</v>
      </c>
      <c r="IP302" t="e">
        <f>AND('PROG FORMACIÓN TITULADA'!#REF!,"AAAAAGzHe/k=")</f>
        <v>#REF!</v>
      </c>
      <c r="IQ302" t="e">
        <f>AND('PROG FORMACIÓN TITULADA'!#REF!,"AAAAAGzHe/o=")</f>
        <v>#REF!</v>
      </c>
      <c r="IR302" t="e">
        <f>AND('PROG FORMACIÓN TITULADA'!#REF!,"AAAAAGzHe/s=")</f>
        <v>#REF!</v>
      </c>
      <c r="IS302" t="e">
        <f>AND('PROG FORMACIÓN TITULADA'!#REF!,"AAAAAGzHe/w=")</f>
        <v>#REF!</v>
      </c>
      <c r="IT302" t="e">
        <f>AND('PROG FORMACIÓN TITULADA'!#REF!,"AAAAAGzHe/0=")</f>
        <v>#REF!</v>
      </c>
      <c r="IU302" t="e">
        <f>AND('PROG FORMACIÓN TITULADA'!#REF!,"AAAAAGzHe/4=")</f>
        <v>#REF!</v>
      </c>
      <c r="IV302" t="e">
        <f>AND('PROG FORMACIÓN TITULADA'!#REF!,"AAAAAGzHe/8=")</f>
        <v>#REF!</v>
      </c>
    </row>
    <row r="303" spans="1:256" x14ac:dyDescent="0.2">
      <c r="A303" t="e">
        <f>AND('PROG FORMACIÓN TITULADA'!#REF!,"AAAAAB+3/gA=")</f>
        <v>#REF!</v>
      </c>
      <c r="B303" t="e">
        <f>AND('PROG FORMACIÓN TITULADA'!#REF!,"AAAAAB+3/gE=")</f>
        <v>#REF!</v>
      </c>
      <c r="C303" t="e">
        <f>AND('PROG FORMACIÓN TITULADA'!#REF!,"AAAAAB+3/gI=")</f>
        <v>#REF!</v>
      </c>
      <c r="D303" t="e">
        <f>AND('PROG FORMACIÓN TITULADA'!#REF!,"AAAAAB+3/gM=")</f>
        <v>#REF!</v>
      </c>
      <c r="E303" t="e">
        <f>AND('PROG FORMACIÓN TITULADA'!#REF!,"AAAAAB+3/gQ=")</f>
        <v>#REF!</v>
      </c>
      <c r="F303" t="e">
        <f>AND('PROG FORMACIÓN TITULADA'!#REF!,"AAAAAB+3/gU=")</f>
        <v>#REF!</v>
      </c>
      <c r="G303" t="e">
        <f>AND('PROG FORMACIÓN TITULADA'!#REF!,"AAAAAB+3/gY=")</f>
        <v>#REF!</v>
      </c>
      <c r="H303" t="e">
        <f>AND('PROG FORMACIÓN TITULADA'!#REF!,"AAAAAB+3/gc=")</f>
        <v>#REF!</v>
      </c>
      <c r="I303" t="e">
        <f>AND('PROG FORMACIÓN TITULADA'!#REF!,"AAAAAB+3/gg=")</f>
        <v>#REF!</v>
      </c>
      <c r="J303" t="e">
        <f>AND('PROG FORMACIÓN TITULADA'!#REF!,"AAAAAB+3/gk=")</f>
        <v>#REF!</v>
      </c>
      <c r="K303" t="e">
        <f>AND('PROG FORMACIÓN TITULADA'!#REF!,"AAAAAB+3/go=")</f>
        <v>#REF!</v>
      </c>
      <c r="L303" t="e">
        <f>AND('PROG FORMACIÓN TITULADA'!#REF!,"AAAAAB+3/gs=")</f>
        <v>#REF!</v>
      </c>
      <c r="M303" t="e">
        <f>AND('PROG FORMACIÓN TITULADA'!#REF!,"AAAAAB+3/gw=")</f>
        <v>#REF!</v>
      </c>
      <c r="N303" t="e">
        <f>IF('PROG FORMACIÓN TITULADA'!#REF!,"AAAAAB+3/g0=",0)</f>
        <v>#REF!</v>
      </c>
      <c r="O303" t="e">
        <f>AND('PROG FORMACIÓN TITULADA'!#REF!,"AAAAAB+3/g4=")</f>
        <v>#REF!</v>
      </c>
      <c r="P303" t="e">
        <f>AND('PROG FORMACIÓN TITULADA'!#REF!,"AAAAAB+3/g8=")</f>
        <v>#REF!</v>
      </c>
      <c r="Q303" t="e">
        <f>AND('PROG FORMACIÓN TITULADA'!#REF!,"AAAAAB+3/hA=")</f>
        <v>#REF!</v>
      </c>
      <c r="R303" t="e">
        <f>AND('PROG FORMACIÓN TITULADA'!#REF!,"AAAAAB+3/hE=")</f>
        <v>#REF!</v>
      </c>
      <c r="S303" t="e">
        <f>AND('PROG FORMACIÓN TITULADA'!#REF!,"AAAAAB+3/hI=")</f>
        <v>#REF!</v>
      </c>
      <c r="T303" t="e">
        <f>AND('PROG FORMACIÓN TITULADA'!#REF!,"AAAAAB+3/hM=")</f>
        <v>#REF!</v>
      </c>
      <c r="U303" t="e">
        <f>AND('PROG FORMACIÓN TITULADA'!#REF!,"AAAAAB+3/hQ=")</f>
        <v>#REF!</v>
      </c>
      <c r="V303" t="e">
        <f>AND('PROG FORMACIÓN TITULADA'!#REF!,"AAAAAB+3/hU=")</f>
        <v>#REF!</v>
      </c>
      <c r="W303" t="e">
        <f>AND('PROG FORMACIÓN TITULADA'!#REF!,"AAAAAB+3/hY=")</f>
        <v>#REF!</v>
      </c>
      <c r="X303" t="e">
        <f>AND('PROG FORMACIÓN TITULADA'!#REF!,"AAAAAB+3/hc=")</f>
        <v>#REF!</v>
      </c>
      <c r="Y303" t="e">
        <f>AND('PROG FORMACIÓN TITULADA'!#REF!,"AAAAAB+3/hg=")</f>
        <v>#REF!</v>
      </c>
      <c r="Z303" t="e">
        <f>AND('PROG FORMACIÓN TITULADA'!#REF!,"AAAAAB+3/hk=")</f>
        <v>#REF!</v>
      </c>
      <c r="AA303" t="e">
        <f>AND('PROG FORMACIÓN TITULADA'!#REF!,"AAAAAB+3/ho=")</f>
        <v>#REF!</v>
      </c>
      <c r="AB303" t="e">
        <f>AND('PROG FORMACIÓN TITULADA'!#REF!,"AAAAAB+3/hs=")</f>
        <v>#REF!</v>
      </c>
      <c r="AC303" t="e">
        <f>AND('PROG FORMACIÓN TITULADA'!#REF!,"AAAAAB+3/hw=")</f>
        <v>#REF!</v>
      </c>
      <c r="AD303" t="e">
        <f>AND('PROG FORMACIÓN TITULADA'!#REF!,"AAAAAB+3/h0=")</f>
        <v>#REF!</v>
      </c>
      <c r="AE303" t="e">
        <f>AND('PROG FORMACIÓN TITULADA'!#REF!,"AAAAAB+3/h4=")</f>
        <v>#REF!</v>
      </c>
      <c r="AF303" t="e">
        <f>AND('PROG FORMACIÓN TITULADA'!#REF!,"AAAAAB+3/h8=")</f>
        <v>#REF!</v>
      </c>
      <c r="AG303" t="e">
        <f>AND('PROG FORMACIÓN TITULADA'!#REF!,"AAAAAB+3/iA=")</f>
        <v>#REF!</v>
      </c>
      <c r="AH303" t="e">
        <f>AND('PROG FORMACIÓN TITULADA'!#REF!,"AAAAAB+3/iE=")</f>
        <v>#REF!</v>
      </c>
      <c r="AI303" t="e">
        <f>AND('PROG FORMACIÓN TITULADA'!#REF!,"AAAAAB+3/iI=")</f>
        <v>#REF!</v>
      </c>
      <c r="AJ303" t="e">
        <f>AND('PROG FORMACIÓN TITULADA'!#REF!,"AAAAAB+3/iM=")</f>
        <v>#REF!</v>
      </c>
      <c r="AK303" t="e">
        <f>AND('PROG FORMACIÓN TITULADA'!#REF!,"AAAAAB+3/iQ=")</f>
        <v>#REF!</v>
      </c>
      <c r="AL303" t="e">
        <f>AND('PROG FORMACIÓN TITULADA'!#REF!,"AAAAAB+3/iU=")</f>
        <v>#REF!</v>
      </c>
      <c r="AM303" t="e">
        <f>AND('PROG FORMACIÓN TITULADA'!#REF!,"AAAAAB+3/iY=")</f>
        <v>#REF!</v>
      </c>
      <c r="AN303" t="e">
        <f>AND('PROG FORMACIÓN TITULADA'!#REF!,"AAAAAB+3/ic=")</f>
        <v>#REF!</v>
      </c>
      <c r="AO303" t="e">
        <f>IF('PROG FORMACIÓN TITULADA'!#REF!,"AAAAAB+3/ig=",0)</f>
        <v>#REF!</v>
      </c>
      <c r="AP303" t="e">
        <f>AND('PROG FORMACIÓN TITULADA'!#REF!,"AAAAAB+3/ik=")</f>
        <v>#REF!</v>
      </c>
      <c r="AQ303" t="e">
        <f>AND('PROG FORMACIÓN TITULADA'!#REF!,"AAAAAB+3/io=")</f>
        <v>#REF!</v>
      </c>
      <c r="AR303" t="e">
        <f>AND('PROG FORMACIÓN TITULADA'!#REF!,"AAAAAB+3/is=")</f>
        <v>#REF!</v>
      </c>
      <c r="AS303" t="e">
        <f>AND('PROG FORMACIÓN TITULADA'!#REF!,"AAAAAB+3/iw=")</f>
        <v>#REF!</v>
      </c>
      <c r="AT303" t="e">
        <f>AND('PROG FORMACIÓN TITULADA'!#REF!,"AAAAAB+3/i0=")</f>
        <v>#REF!</v>
      </c>
      <c r="AU303" t="e">
        <f>AND('PROG FORMACIÓN TITULADA'!#REF!,"AAAAAB+3/i4=")</f>
        <v>#REF!</v>
      </c>
      <c r="AV303" t="e">
        <f>AND('PROG FORMACIÓN TITULADA'!#REF!,"AAAAAB+3/i8=")</f>
        <v>#REF!</v>
      </c>
      <c r="AW303" t="e">
        <f>AND('PROG FORMACIÓN TITULADA'!#REF!,"AAAAAB+3/jA=")</f>
        <v>#REF!</v>
      </c>
      <c r="AX303" t="e">
        <f>AND('PROG FORMACIÓN TITULADA'!#REF!,"AAAAAB+3/jE=")</f>
        <v>#REF!</v>
      </c>
      <c r="AY303" t="e">
        <f>AND('PROG FORMACIÓN TITULADA'!#REF!,"AAAAAB+3/jI=")</f>
        <v>#REF!</v>
      </c>
      <c r="AZ303" t="e">
        <f>AND('PROG FORMACIÓN TITULADA'!#REF!,"AAAAAB+3/jM=")</f>
        <v>#REF!</v>
      </c>
      <c r="BA303" t="e">
        <f>AND('PROG FORMACIÓN TITULADA'!#REF!,"AAAAAB+3/jQ=")</f>
        <v>#REF!</v>
      </c>
      <c r="BB303" t="e">
        <f>AND('PROG FORMACIÓN TITULADA'!#REF!,"AAAAAB+3/jU=")</f>
        <v>#REF!</v>
      </c>
      <c r="BC303" t="e">
        <f>AND('PROG FORMACIÓN TITULADA'!#REF!,"AAAAAB+3/jY=")</f>
        <v>#REF!</v>
      </c>
      <c r="BD303" t="e">
        <f>AND('PROG FORMACIÓN TITULADA'!#REF!,"AAAAAB+3/jc=")</f>
        <v>#REF!</v>
      </c>
      <c r="BE303" t="e">
        <f>AND('PROG FORMACIÓN TITULADA'!#REF!,"AAAAAB+3/jg=")</f>
        <v>#REF!</v>
      </c>
      <c r="BF303" t="e">
        <f>AND('PROG FORMACIÓN TITULADA'!#REF!,"AAAAAB+3/jk=")</f>
        <v>#REF!</v>
      </c>
      <c r="BG303" t="e">
        <f>AND('PROG FORMACIÓN TITULADA'!#REF!,"AAAAAB+3/jo=")</f>
        <v>#REF!</v>
      </c>
      <c r="BH303" t="e">
        <f>AND('PROG FORMACIÓN TITULADA'!#REF!,"AAAAAB+3/js=")</f>
        <v>#REF!</v>
      </c>
      <c r="BI303" t="e">
        <f>AND('PROG FORMACIÓN TITULADA'!#REF!,"AAAAAB+3/jw=")</f>
        <v>#REF!</v>
      </c>
      <c r="BJ303" t="e">
        <f>AND('PROG FORMACIÓN TITULADA'!#REF!,"AAAAAB+3/j0=")</f>
        <v>#REF!</v>
      </c>
      <c r="BK303" t="e">
        <f>AND('PROG FORMACIÓN TITULADA'!#REF!,"AAAAAB+3/j4=")</f>
        <v>#REF!</v>
      </c>
      <c r="BL303" t="e">
        <f>AND('PROG FORMACIÓN TITULADA'!#REF!,"AAAAAB+3/j8=")</f>
        <v>#REF!</v>
      </c>
      <c r="BM303" t="e">
        <f>AND('PROG FORMACIÓN TITULADA'!#REF!,"AAAAAB+3/kA=")</f>
        <v>#REF!</v>
      </c>
      <c r="BN303" t="e">
        <f>AND('PROG FORMACIÓN TITULADA'!#REF!,"AAAAAB+3/kE=")</f>
        <v>#REF!</v>
      </c>
      <c r="BO303" t="e">
        <f>AND('PROG FORMACIÓN TITULADA'!#REF!,"AAAAAB+3/kI=")</f>
        <v>#REF!</v>
      </c>
      <c r="BP303" t="e">
        <f>IF('PROG FORMACIÓN TITULADA'!#REF!,"AAAAAB+3/kM=",0)</f>
        <v>#REF!</v>
      </c>
      <c r="BQ303" t="e">
        <f>AND('PROG FORMACIÓN TITULADA'!#REF!,"AAAAAB+3/kQ=")</f>
        <v>#REF!</v>
      </c>
      <c r="BR303" t="e">
        <f>AND('PROG FORMACIÓN TITULADA'!#REF!,"AAAAAB+3/kU=")</f>
        <v>#REF!</v>
      </c>
      <c r="BS303" t="e">
        <f>AND('PROG FORMACIÓN TITULADA'!#REF!,"AAAAAB+3/kY=")</f>
        <v>#REF!</v>
      </c>
      <c r="BT303" t="e">
        <f>AND('PROG FORMACIÓN TITULADA'!#REF!,"AAAAAB+3/kc=")</f>
        <v>#REF!</v>
      </c>
      <c r="BU303" t="e">
        <f>AND('PROG FORMACIÓN TITULADA'!#REF!,"AAAAAB+3/kg=")</f>
        <v>#REF!</v>
      </c>
      <c r="BV303" t="e">
        <f>AND('PROG FORMACIÓN TITULADA'!#REF!,"AAAAAB+3/kk=")</f>
        <v>#REF!</v>
      </c>
      <c r="BW303" t="e">
        <f>AND('PROG FORMACIÓN TITULADA'!#REF!,"AAAAAB+3/ko=")</f>
        <v>#REF!</v>
      </c>
      <c r="BX303" t="e">
        <f>AND('PROG FORMACIÓN TITULADA'!#REF!,"AAAAAB+3/ks=")</f>
        <v>#REF!</v>
      </c>
      <c r="BY303" t="e">
        <f>AND('PROG FORMACIÓN TITULADA'!#REF!,"AAAAAB+3/kw=")</f>
        <v>#REF!</v>
      </c>
      <c r="BZ303" t="e">
        <f>AND('PROG FORMACIÓN TITULADA'!#REF!,"AAAAAB+3/k0=")</f>
        <v>#REF!</v>
      </c>
      <c r="CA303" t="e">
        <f>AND('PROG FORMACIÓN TITULADA'!#REF!,"AAAAAB+3/k4=")</f>
        <v>#REF!</v>
      </c>
      <c r="CB303" t="e">
        <f>AND('PROG FORMACIÓN TITULADA'!#REF!,"AAAAAB+3/k8=")</f>
        <v>#REF!</v>
      </c>
      <c r="CC303" t="e">
        <f>AND('PROG FORMACIÓN TITULADA'!#REF!,"AAAAAB+3/lA=")</f>
        <v>#REF!</v>
      </c>
      <c r="CD303" t="e">
        <f>AND('PROG FORMACIÓN TITULADA'!#REF!,"AAAAAB+3/lE=")</f>
        <v>#REF!</v>
      </c>
      <c r="CE303" t="e">
        <f>AND('PROG FORMACIÓN TITULADA'!#REF!,"AAAAAB+3/lI=")</f>
        <v>#REF!</v>
      </c>
      <c r="CF303" t="e">
        <f>AND('PROG FORMACIÓN TITULADA'!#REF!,"AAAAAB+3/lM=")</f>
        <v>#REF!</v>
      </c>
      <c r="CG303" t="e">
        <f>AND('PROG FORMACIÓN TITULADA'!#REF!,"AAAAAB+3/lQ=")</f>
        <v>#REF!</v>
      </c>
      <c r="CH303" t="e">
        <f>AND('PROG FORMACIÓN TITULADA'!#REF!,"AAAAAB+3/lU=")</f>
        <v>#REF!</v>
      </c>
      <c r="CI303" t="e">
        <f>AND('PROG FORMACIÓN TITULADA'!#REF!,"AAAAAB+3/lY=")</f>
        <v>#REF!</v>
      </c>
      <c r="CJ303" t="e">
        <f>AND('PROG FORMACIÓN TITULADA'!#REF!,"AAAAAB+3/lc=")</f>
        <v>#REF!</v>
      </c>
      <c r="CK303" t="e">
        <f>AND('PROG FORMACIÓN TITULADA'!#REF!,"AAAAAB+3/lg=")</f>
        <v>#REF!</v>
      </c>
      <c r="CL303" t="e">
        <f>AND('PROG FORMACIÓN TITULADA'!#REF!,"AAAAAB+3/lk=")</f>
        <v>#REF!</v>
      </c>
      <c r="CM303" t="e">
        <f>AND('PROG FORMACIÓN TITULADA'!#REF!,"AAAAAB+3/lo=")</f>
        <v>#REF!</v>
      </c>
      <c r="CN303" t="e">
        <f>AND('PROG FORMACIÓN TITULADA'!#REF!,"AAAAAB+3/ls=")</f>
        <v>#REF!</v>
      </c>
      <c r="CO303" t="e">
        <f>AND('PROG FORMACIÓN TITULADA'!#REF!,"AAAAAB+3/lw=")</f>
        <v>#REF!</v>
      </c>
      <c r="CP303" t="e">
        <f>AND('PROG FORMACIÓN TITULADA'!#REF!,"AAAAAB+3/l0=")</f>
        <v>#REF!</v>
      </c>
      <c r="CQ303" t="e">
        <f>IF('PROG FORMACIÓN TITULADA'!#REF!,"AAAAAB+3/l4=",0)</f>
        <v>#REF!</v>
      </c>
      <c r="CR303" t="e">
        <f>AND('PROG FORMACIÓN TITULADA'!#REF!,"AAAAAB+3/l8=")</f>
        <v>#REF!</v>
      </c>
      <c r="CS303" t="e">
        <f>AND('PROG FORMACIÓN TITULADA'!#REF!,"AAAAAB+3/mA=")</f>
        <v>#REF!</v>
      </c>
      <c r="CT303" t="e">
        <f>AND('PROG FORMACIÓN TITULADA'!#REF!,"AAAAAB+3/mE=")</f>
        <v>#REF!</v>
      </c>
      <c r="CU303" t="e">
        <f>AND('PROG FORMACIÓN TITULADA'!#REF!,"AAAAAB+3/mI=")</f>
        <v>#REF!</v>
      </c>
      <c r="CV303" t="e">
        <f>AND('PROG FORMACIÓN TITULADA'!#REF!,"AAAAAB+3/mM=")</f>
        <v>#REF!</v>
      </c>
      <c r="CW303" t="e">
        <f>AND('PROG FORMACIÓN TITULADA'!#REF!,"AAAAAB+3/mQ=")</f>
        <v>#REF!</v>
      </c>
      <c r="CX303" t="e">
        <f>AND('PROG FORMACIÓN TITULADA'!#REF!,"AAAAAB+3/mU=")</f>
        <v>#REF!</v>
      </c>
      <c r="CY303" t="e">
        <f>AND('PROG FORMACIÓN TITULADA'!#REF!,"AAAAAB+3/mY=")</f>
        <v>#REF!</v>
      </c>
      <c r="CZ303" t="e">
        <f>AND('PROG FORMACIÓN TITULADA'!#REF!,"AAAAAB+3/mc=")</f>
        <v>#REF!</v>
      </c>
      <c r="DA303" t="e">
        <f>AND('PROG FORMACIÓN TITULADA'!#REF!,"AAAAAB+3/mg=")</f>
        <v>#REF!</v>
      </c>
      <c r="DB303" t="e">
        <f>AND('PROG FORMACIÓN TITULADA'!#REF!,"AAAAAB+3/mk=")</f>
        <v>#REF!</v>
      </c>
      <c r="DC303" t="e">
        <f>AND('PROG FORMACIÓN TITULADA'!#REF!,"AAAAAB+3/mo=")</f>
        <v>#REF!</v>
      </c>
      <c r="DD303" t="e">
        <f>AND('PROG FORMACIÓN TITULADA'!#REF!,"AAAAAB+3/ms=")</f>
        <v>#REF!</v>
      </c>
      <c r="DE303" t="e">
        <f>AND('PROG FORMACIÓN TITULADA'!#REF!,"AAAAAB+3/mw=")</f>
        <v>#REF!</v>
      </c>
      <c r="DF303" t="e">
        <f>AND('PROG FORMACIÓN TITULADA'!#REF!,"AAAAAB+3/m0=")</f>
        <v>#REF!</v>
      </c>
      <c r="DG303" t="e">
        <f>AND('PROG FORMACIÓN TITULADA'!#REF!,"AAAAAB+3/m4=")</f>
        <v>#REF!</v>
      </c>
      <c r="DH303" t="e">
        <f>AND('PROG FORMACIÓN TITULADA'!#REF!,"AAAAAB+3/m8=")</f>
        <v>#REF!</v>
      </c>
      <c r="DI303" t="e">
        <f>AND('PROG FORMACIÓN TITULADA'!#REF!,"AAAAAB+3/nA=")</f>
        <v>#REF!</v>
      </c>
      <c r="DJ303" t="e">
        <f>AND('PROG FORMACIÓN TITULADA'!#REF!,"AAAAAB+3/nE=")</f>
        <v>#REF!</v>
      </c>
      <c r="DK303" t="e">
        <f>AND('PROG FORMACIÓN TITULADA'!#REF!,"AAAAAB+3/nI=")</f>
        <v>#REF!</v>
      </c>
      <c r="DL303" t="e">
        <f>AND('PROG FORMACIÓN TITULADA'!#REF!,"AAAAAB+3/nM=")</f>
        <v>#REF!</v>
      </c>
      <c r="DM303" t="e">
        <f>AND('PROG FORMACIÓN TITULADA'!#REF!,"AAAAAB+3/nQ=")</f>
        <v>#REF!</v>
      </c>
      <c r="DN303" t="e">
        <f>AND('PROG FORMACIÓN TITULADA'!#REF!,"AAAAAB+3/nU=")</f>
        <v>#REF!</v>
      </c>
      <c r="DO303" t="e">
        <f>AND('PROG FORMACIÓN TITULADA'!#REF!,"AAAAAB+3/nY=")</f>
        <v>#REF!</v>
      </c>
      <c r="DP303" t="e">
        <f>AND('PROG FORMACIÓN TITULADA'!#REF!,"AAAAAB+3/nc=")</f>
        <v>#REF!</v>
      </c>
      <c r="DQ303" t="e">
        <f>AND('PROG FORMACIÓN TITULADA'!#REF!,"AAAAAB+3/ng=")</f>
        <v>#REF!</v>
      </c>
      <c r="DR303" t="e">
        <f>IF('PROG FORMACIÓN TITULADA'!#REF!,"AAAAAB+3/nk=",0)</f>
        <v>#REF!</v>
      </c>
      <c r="DS303" t="e">
        <f>AND('PROG FORMACIÓN TITULADA'!#REF!,"AAAAAB+3/no=")</f>
        <v>#REF!</v>
      </c>
      <c r="DT303" t="e">
        <f>AND('PROG FORMACIÓN TITULADA'!#REF!,"AAAAAB+3/ns=")</f>
        <v>#REF!</v>
      </c>
      <c r="DU303" t="e">
        <f>AND('PROG FORMACIÓN TITULADA'!#REF!,"AAAAAB+3/nw=")</f>
        <v>#REF!</v>
      </c>
      <c r="DV303" t="e">
        <f>AND('PROG FORMACIÓN TITULADA'!#REF!,"AAAAAB+3/n0=")</f>
        <v>#REF!</v>
      </c>
      <c r="DW303" t="e">
        <f>AND('PROG FORMACIÓN TITULADA'!#REF!,"AAAAAB+3/n4=")</f>
        <v>#REF!</v>
      </c>
      <c r="DX303" t="e">
        <f>AND('PROG FORMACIÓN TITULADA'!#REF!,"AAAAAB+3/n8=")</f>
        <v>#REF!</v>
      </c>
      <c r="DY303" t="e">
        <f>AND('PROG FORMACIÓN TITULADA'!#REF!,"AAAAAB+3/oA=")</f>
        <v>#REF!</v>
      </c>
      <c r="DZ303" t="e">
        <f>AND('PROG FORMACIÓN TITULADA'!#REF!,"AAAAAB+3/oE=")</f>
        <v>#REF!</v>
      </c>
      <c r="EA303" t="e">
        <f>AND('PROG FORMACIÓN TITULADA'!#REF!,"AAAAAB+3/oI=")</f>
        <v>#REF!</v>
      </c>
      <c r="EB303" t="e">
        <f>AND('PROG FORMACIÓN TITULADA'!#REF!,"AAAAAB+3/oM=")</f>
        <v>#REF!</v>
      </c>
      <c r="EC303" t="e">
        <f>AND('PROG FORMACIÓN TITULADA'!#REF!,"AAAAAB+3/oQ=")</f>
        <v>#REF!</v>
      </c>
      <c r="ED303" t="e">
        <f>AND('PROG FORMACIÓN TITULADA'!#REF!,"AAAAAB+3/oU=")</f>
        <v>#REF!</v>
      </c>
      <c r="EE303" t="e">
        <f>AND('PROG FORMACIÓN TITULADA'!#REF!,"AAAAAB+3/oY=")</f>
        <v>#REF!</v>
      </c>
      <c r="EF303" t="e">
        <f>AND('PROG FORMACIÓN TITULADA'!#REF!,"AAAAAB+3/oc=")</f>
        <v>#REF!</v>
      </c>
      <c r="EG303" t="e">
        <f>AND('PROG FORMACIÓN TITULADA'!#REF!,"AAAAAB+3/og=")</f>
        <v>#REF!</v>
      </c>
      <c r="EH303" t="e">
        <f>AND('PROG FORMACIÓN TITULADA'!#REF!,"AAAAAB+3/ok=")</f>
        <v>#REF!</v>
      </c>
      <c r="EI303" t="e">
        <f>AND('PROG FORMACIÓN TITULADA'!#REF!,"AAAAAB+3/oo=")</f>
        <v>#REF!</v>
      </c>
      <c r="EJ303" t="e">
        <f>AND('PROG FORMACIÓN TITULADA'!#REF!,"AAAAAB+3/os=")</f>
        <v>#REF!</v>
      </c>
      <c r="EK303" t="e">
        <f>AND('PROG FORMACIÓN TITULADA'!#REF!,"AAAAAB+3/ow=")</f>
        <v>#REF!</v>
      </c>
      <c r="EL303" t="e">
        <f>AND('PROG FORMACIÓN TITULADA'!#REF!,"AAAAAB+3/o0=")</f>
        <v>#REF!</v>
      </c>
      <c r="EM303" t="e">
        <f>AND('PROG FORMACIÓN TITULADA'!#REF!,"AAAAAB+3/o4=")</f>
        <v>#REF!</v>
      </c>
      <c r="EN303" t="e">
        <f>AND('PROG FORMACIÓN TITULADA'!#REF!,"AAAAAB+3/o8=")</f>
        <v>#REF!</v>
      </c>
      <c r="EO303" t="e">
        <f>AND('PROG FORMACIÓN TITULADA'!#REF!,"AAAAAB+3/pA=")</f>
        <v>#REF!</v>
      </c>
      <c r="EP303" t="e">
        <f>AND('PROG FORMACIÓN TITULADA'!#REF!,"AAAAAB+3/pE=")</f>
        <v>#REF!</v>
      </c>
      <c r="EQ303" t="e">
        <f>AND('PROG FORMACIÓN TITULADA'!#REF!,"AAAAAB+3/pI=")</f>
        <v>#REF!</v>
      </c>
      <c r="ER303" t="e">
        <f>AND('PROG FORMACIÓN TITULADA'!#REF!,"AAAAAB+3/pM=")</f>
        <v>#REF!</v>
      </c>
      <c r="ES303" t="e">
        <f>IF('PROG FORMACIÓN TITULADA'!#REF!,"AAAAAB+3/pQ=",0)</f>
        <v>#REF!</v>
      </c>
      <c r="ET303" t="e">
        <f>AND('PROG FORMACIÓN TITULADA'!#REF!,"AAAAAB+3/pU=")</f>
        <v>#REF!</v>
      </c>
      <c r="EU303" t="e">
        <f>AND('PROG FORMACIÓN TITULADA'!#REF!,"AAAAAB+3/pY=")</f>
        <v>#REF!</v>
      </c>
      <c r="EV303" t="e">
        <f>AND('PROG FORMACIÓN TITULADA'!#REF!,"AAAAAB+3/pc=")</f>
        <v>#REF!</v>
      </c>
      <c r="EW303" t="e">
        <f>AND('PROG FORMACIÓN TITULADA'!#REF!,"AAAAAB+3/pg=")</f>
        <v>#REF!</v>
      </c>
      <c r="EX303" t="e">
        <f>AND('PROG FORMACIÓN TITULADA'!#REF!,"AAAAAB+3/pk=")</f>
        <v>#REF!</v>
      </c>
      <c r="EY303" t="e">
        <f>AND('PROG FORMACIÓN TITULADA'!#REF!,"AAAAAB+3/po=")</f>
        <v>#REF!</v>
      </c>
      <c r="EZ303" t="e">
        <f>AND('PROG FORMACIÓN TITULADA'!#REF!,"AAAAAB+3/ps=")</f>
        <v>#REF!</v>
      </c>
      <c r="FA303" t="e">
        <f>AND('PROG FORMACIÓN TITULADA'!#REF!,"AAAAAB+3/pw=")</f>
        <v>#REF!</v>
      </c>
      <c r="FB303" t="e">
        <f>AND('PROG FORMACIÓN TITULADA'!#REF!,"AAAAAB+3/p0=")</f>
        <v>#REF!</v>
      </c>
      <c r="FC303" t="e">
        <f>AND('PROG FORMACIÓN TITULADA'!#REF!,"AAAAAB+3/p4=")</f>
        <v>#REF!</v>
      </c>
      <c r="FD303" t="e">
        <f>AND('PROG FORMACIÓN TITULADA'!#REF!,"AAAAAB+3/p8=")</f>
        <v>#REF!</v>
      </c>
      <c r="FE303" t="e">
        <f>AND('PROG FORMACIÓN TITULADA'!#REF!,"AAAAAB+3/qA=")</f>
        <v>#REF!</v>
      </c>
      <c r="FF303" t="e">
        <f>AND('PROG FORMACIÓN TITULADA'!#REF!,"AAAAAB+3/qE=")</f>
        <v>#REF!</v>
      </c>
      <c r="FG303" t="e">
        <f>AND('PROG FORMACIÓN TITULADA'!#REF!,"AAAAAB+3/qI=")</f>
        <v>#REF!</v>
      </c>
      <c r="FH303" t="e">
        <f>AND('PROG FORMACIÓN TITULADA'!#REF!,"AAAAAB+3/qM=")</f>
        <v>#REF!</v>
      </c>
      <c r="FI303" t="e">
        <f>AND('PROG FORMACIÓN TITULADA'!#REF!,"AAAAAB+3/qQ=")</f>
        <v>#REF!</v>
      </c>
      <c r="FJ303" t="e">
        <f>AND('PROG FORMACIÓN TITULADA'!#REF!,"AAAAAB+3/qU=")</f>
        <v>#REF!</v>
      </c>
      <c r="FK303" t="e">
        <f>AND('PROG FORMACIÓN TITULADA'!#REF!,"AAAAAB+3/qY=")</f>
        <v>#REF!</v>
      </c>
      <c r="FL303" t="e">
        <f>AND('PROG FORMACIÓN TITULADA'!#REF!,"AAAAAB+3/qc=")</f>
        <v>#REF!</v>
      </c>
      <c r="FM303" t="e">
        <f>AND('PROG FORMACIÓN TITULADA'!#REF!,"AAAAAB+3/qg=")</f>
        <v>#REF!</v>
      </c>
      <c r="FN303" t="e">
        <f>AND('PROG FORMACIÓN TITULADA'!#REF!,"AAAAAB+3/qk=")</f>
        <v>#REF!</v>
      </c>
      <c r="FO303" t="e">
        <f>AND('PROG FORMACIÓN TITULADA'!#REF!,"AAAAAB+3/qo=")</f>
        <v>#REF!</v>
      </c>
      <c r="FP303" t="e">
        <f>AND('PROG FORMACIÓN TITULADA'!#REF!,"AAAAAB+3/qs=")</f>
        <v>#REF!</v>
      </c>
      <c r="FQ303" t="e">
        <f>AND('PROG FORMACIÓN TITULADA'!#REF!,"AAAAAB+3/qw=")</f>
        <v>#REF!</v>
      </c>
      <c r="FR303" t="e">
        <f>AND('PROG FORMACIÓN TITULADA'!#REF!,"AAAAAB+3/q0=")</f>
        <v>#REF!</v>
      </c>
      <c r="FS303" t="e">
        <f>AND('PROG FORMACIÓN TITULADA'!#REF!,"AAAAAB+3/q4=")</f>
        <v>#REF!</v>
      </c>
      <c r="FT303" t="e">
        <f>AND('PROG FORMACIÓN TITULADA'!#REF!,"AAAAAB+3/q8=")</f>
        <v>#REF!</v>
      </c>
      <c r="FU303" t="e">
        <f>AND('PROG FORMACIÓN TITULADA'!C433,"AAAAAB+3/rA=")</f>
        <v>#VALUE!</v>
      </c>
      <c r="FV303" t="e">
        <f>AND('PROG FORMACIÓN TITULADA'!#REF!,"AAAAAB+3/rE=")</f>
        <v>#REF!</v>
      </c>
      <c r="FW303" t="e">
        <f>AND('PROG FORMACIÓN TITULADA'!C434,"AAAAAB+3/rI=")</f>
        <v>#VALUE!</v>
      </c>
      <c r="FX303" t="e">
        <f>AND('PROG FORMACIÓN TITULADA'!C435,"AAAAAB+3/rM=")</f>
        <v>#VALUE!</v>
      </c>
      <c r="FY303" t="e">
        <f>AND('PROG FORMACIÓN TITULADA'!C436,"AAAAAB+3/rQ=")</f>
        <v>#VALUE!</v>
      </c>
      <c r="FZ303" t="e">
        <f>AND('PROG FORMACIÓN TITULADA'!C437,"AAAAAB+3/rU=")</f>
        <v>#VALUE!</v>
      </c>
      <c r="GA303" t="e">
        <f>AND('PROG FORMACIÓN TITULADA'!C438,"AAAAAB+3/rY=")</f>
        <v>#VALUE!</v>
      </c>
      <c r="GB303" t="e">
        <f>AND('PROG FORMACIÓN TITULADA'!C439,"AAAAAB+3/rc=")</f>
        <v>#VALUE!</v>
      </c>
      <c r="GC303" t="e">
        <f>AND('PROG FORMACIÓN TITULADA'!C440,"AAAAAB+3/rg=")</f>
        <v>#VALUE!</v>
      </c>
      <c r="GD303" t="e">
        <f>AND('PROG FORMACIÓN TITULADA'!C441,"AAAAAB+3/rk=")</f>
        <v>#VALUE!</v>
      </c>
      <c r="GE303" t="e">
        <f>AND('PROG FORMACIÓN TITULADA'!#REF!,"AAAAAB+3/ro=")</f>
        <v>#REF!</v>
      </c>
      <c r="GF303" t="e">
        <f>AND('PROG FORMACIÓN TITULADA'!#REF!,"AAAAAB+3/rs=")</f>
        <v>#REF!</v>
      </c>
      <c r="GG303" t="e">
        <f>AND('PROG FORMACIÓN TITULADA'!C442,"AAAAAB+3/rw=")</f>
        <v>#VALUE!</v>
      </c>
      <c r="GH303" t="e">
        <f>AND('PROG FORMACIÓN TITULADA'!C443,"AAAAAB+3/r0=")</f>
        <v>#VALUE!</v>
      </c>
      <c r="GI303" t="e">
        <f>AND('PROG FORMACIÓN TITULADA'!#REF!,"AAAAAB+3/r4=")</f>
        <v>#REF!</v>
      </c>
      <c r="GJ303" t="e">
        <f>AND('PROG FORMACIÓN TITULADA'!C444,"AAAAAB+3/r8=")</f>
        <v>#VALUE!</v>
      </c>
      <c r="GK303" t="e">
        <f>AND('PROG FORMACIÓN TITULADA'!C445,"AAAAAB+3/sA=")</f>
        <v>#VALUE!</v>
      </c>
      <c r="GL303" t="e">
        <f>AND('PROG FORMACIÓN TITULADA'!C446,"AAAAAB+3/sE=")</f>
        <v>#VALUE!</v>
      </c>
      <c r="GM303" t="e">
        <f>AND('PROG FORMACIÓN TITULADA'!C447,"AAAAAB+3/sI=")</f>
        <v>#VALUE!</v>
      </c>
      <c r="GN303" t="e">
        <f>AND('PROG FORMACIÓN TITULADA'!C448,"AAAAAB+3/sM=")</f>
        <v>#VALUE!</v>
      </c>
      <c r="GO303" t="e">
        <f>AND('PROG FORMACIÓN TITULADA'!C449,"AAAAAB+3/sQ=")</f>
        <v>#VALUE!</v>
      </c>
      <c r="GP303" t="e">
        <f>AND('PROG FORMACIÓN TITULADA'!C450,"AAAAAB+3/sU=")</f>
        <v>#VALUE!</v>
      </c>
      <c r="GQ303" t="e">
        <f>AND('PROG FORMACIÓN TITULADA'!C451,"AAAAAB+3/sY=")</f>
        <v>#VALUE!</v>
      </c>
      <c r="GR303" t="e">
        <f>AND('PROG FORMACIÓN TITULADA'!C452,"AAAAAB+3/sc=")</f>
        <v>#VALUE!</v>
      </c>
      <c r="GS303" t="e">
        <f>AND('PROG FORMACIÓN TITULADA'!C453,"AAAAAB+3/sg=")</f>
        <v>#VALUE!</v>
      </c>
      <c r="GT303" t="e">
        <f>AND('PROG FORMACIÓN TITULADA'!C454,"AAAAAB+3/sk=")</f>
        <v>#VALUE!</v>
      </c>
      <c r="GU303" t="e">
        <f>AND('PROG FORMACIÓN TITULADA'!C455,"AAAAAB+3/so=")</f>
        <v>#VALUE!</v>
      </c>
      <c r="GV303" t="e">
        <f>AND('PROG FORMACIÓN TITULADA'!#REF!,"AAAAAB+3/ss=")</f>
        <v>#REF!</v>
      </c>
      <c r="GW303" t="e">
        <f>AND('PROG FORMACIÓN TITULADA'!C456,"AAAAAB+3/sw=")</f>
        <v>#VALUE!</v>
      </c>
      <c r="GX303" t="e">
        <f>AND('PROG FORMACIÓN TITULADA'!#REF!,"AAAAAB+3/s0=")</f>
        <v>#REF!</v>
      </c>
      <c r="GY303" t="e">
        <f>AND('PROG FORMACIÓN TITULADA'!C457,"AAAAAB+3/s4=")</f>
        <v>#VALUE!</v>
      </c>
      <c r="GZ303" t="e">
        <f>AND('PROG FORMACIÓN TITULADA'!C458,"AAAAAB+3/s8=")</f>
        <v>#VALUE!</v>
      </c>
      <c r="HA303" t="e">
        <f>AND('PROG FORMACIÓN TITULADA'!C459,"AAAAAB+3/tA=")</f>
        <v>#VALUE!</v>
      </c>
      <c r="HB303" t="e">
        <f>AND('PROG FORMACIÓN TITULADA'!#REF!,"AAAAAB+3/tE=")</f>
        <v>#REF!</v>
      </c>
      <c r="HC303" t="e">
        <f>AND('PROG FORMACIÓN TITULADA'!C460,"AAAAAB+3/tI=")</f>
        <v>#VALUE!</v>
      </c>
      <c r="HD303" t="e">
        <f>AND('PROG FORMACIÓN TITULADA'!C461,"AAAAAB+3/tM=")</f>
        <v>#VALUE!</v>
      </c>
      <c r="HE303" t="e">
        <f>AND('PROG FORMACIÓN TITULADA'!C462,"AAAAAB+3/tQ=")</f>
        <v>#VALUE!</v>
      </c>
      <c r="HF303" t="e">
        <f>AND('PROG FORMACIÓN TITULADA'!C463,"AAAAAB+3/tU=")</f>
        <v>#VALUE!</v>
      </c>
      <c r="HG303" t="e">
        <f>AND('PROG FORMACIÓN TITULADA'!C464,"AAAAAB+3/tY=")</f>
        <v>#VALUE!</v>
      </c>
      <c r="HH303" t="e">
        <f>AND('PROG FORMACIÓN TITULADA'!C465,"AAAAAB+3/tc=")</f>
        <v>#VALUE!</v>
      </c>
      <c r="HI303" t="e">
        <f>AND('PROG FORMACIÓN TITULADA'!C466,"AAAAAB+3/tg=")</f>
        <v>#VALUE!</v>
      </c>
      <c r="HJ303" t="e">
        <f>AND('PROG FORMACIÓN TITULADA'!C467,"AAAAAB+3/tk=")</f>
        <v>#VALUE!</v>
      </c>
      <c r="HK303" t="e">
        <f>AND('PROG FORMACIÓN TITULADA'!C468,"AAAAAB+3/to=")</f>
        <v>#VALUE!</v>
      </c>
      <c r="HL303" t="e">
        <f>AND('PROG FORMACIÓN TITULADA'!C469,"AAAAAB+3/ts=")</f>
        <v>#VALUE!</v>
      </c>
      <c r="HM303" t="e">
        <f>AND('PROG FORMACIÓN TITULADA'!C470,"AAAAAB+3/tw=")</f>
        <v>#VALUE!</v>
      </c>
      <c r="HN303" t="e">
        <f>AND('PROG FORMACIÓN TITULADA'!C471,"AAAAAB+3/t0=")</f>
        <v>#VALUE!</v>
      </c>
      <c r="HO303" t="e">
        <f>AND('PROG FORMACIÓN TITULADA'!C472,"AAAAAB+3/t4=")</f>
        <v>#VALUE!</v>
      </c>
      <c r="HP303" t="e">
        <f>AND('PROG FORMACIÓN TITULADA'!C473,"AAAAAB+3/t8=")</f>
        <v>#VALUE!</v>
      </c>
      <c r="HQ303" t="e">
        <f>AND('PROG FORMACIÓN TITULADA'!C474,"AAAAAB+3/uA=")</f>
        <v>#VALUE!</v>
      </c>
      <c r="HR303" t="s">
        <v>600</v>
      </c>
      <c r="HS303" t="s">
        <v>601</v>
      </c>
      <c r="HT303" t="e">
        <f>IF("N",'Calendario Académico 2014'!_xlnm.Print_Area,"AAAAAB+3/uM=")</f>
        <v>#VALUE!</v>
      </c>
      <c r="HU303" t="e">
        <f>IF("N",'PROG FORMACIÓN TITULADA'!_xlnm.Print_Area,"AAAAAB+3/uQ=")</f>
        <v>#VALUE!</v>
      </c>
      <c r="HV303" t="e">
        <f>IF("N",_xlnm.Print_Area,"AAAAAB+3/uU=")</f>
        <v>#VALUE!</v>
      </c>
    </row>
    <row r="304" spans="1:256" x14ac:dyDescent="0.2">
      <c r="A304" t="e">
        <f>IF('POTENCIAL HORAS'!17:17,"AAAAAF/X/gA=",0)</f>
        <v>#VALUE!</v>
      </c>
      <c r="B304" t="e">
        <f>AND('POTENCIAL HORAS'!A17,"AAAAAF/X/gE=")</f>
        <v>#VALUE!</v>
      </c>
      <c r="C304" t="e">
        <f>AND('POTENCIAL HORAS'!B17,"AAAAAF/X/gI=")</f>
        <v>#VALUE!</v>
      </c>
      <c r="D304" t="e">
        <f>AND('POTENCIAL HORAS'!C17,"AAAAAF/X/gM=")</f>
        <v>#VALUE!</v>
      </c>
      <c r="E304" t="e">
        <f>AND('POTENCIAL HORAS'!D17,"AAAAAF/X/gQ=")</f>
        <v>#VALUE!</v>
      </c>
      <c r="F304" t="e">
        <f>AND('POTENCIAL HORAS'!E17,"AAAAAF/X/gU=")</f>
        <v>#VALUE!</v>
      </c>
      <c r="G304" t="e">
        <f>AND('POTENCIAL HORAS'!F17,"AAAAAF/X/gY=")</f>
        <v>#VALUE!</v>
      </c>
      <c r="H304" t="e">
        <f>AND('POTENCIAL HORAS'!G17,"AAAAAF/X/gc=")</f>
        <v>#VALUE!</v>
      </c>
      <c r="I304" t="e">
        <f>AND('POTENCIAL HORAS'!H17,"AAAAAF/X/gg=")</f>
        <v>#VALUE!</v>
      </c>
      <c r="J304" t="e">
        <f>AND('POTENCIAL HORAS'!I17,"AAAAAF/X/gk=")</f>
        <v>#VALUE!</v>
      </c>
      <c r="K304" t="e">
        <f>AND('POTENCIAL HORAS'!J17,"AAAAAF/X/go=")</f>
        <v>#VALUE!</v>
      </c>
      <c r="L304" t="e">
        <f>AND('POTENCIAL HORAS'!K17,"AAAAAF/X/gs=")</f>
        <v>#VALUE!</v>
      </c>
      <c r="M304" t="e">
        <f>AND('POTENCIAL HORAS'!L17,"AAAAAF/X/gw=")</f>
        <v>#VALUE!</v>
      </c>
      <c r="N304" t="e">
        <f>AND('POTENCIAL HORAS'!M17,"AAAAAF/X/g0=")</f>
        <v>#VALUE!</v>
      </c>
      <c r="O304" t="e">
        <f>AND('POTENCIAL HORAS'!N17,"AAAAAF/X/g4=")</f>
        <v>#VALUE!</v>
      </c>
      <c r="P304" t="e">
        <f>AND('POTENCIAL HORAS'!O17,"AAAAAF/X/g8=")</f>
        <v>#VALUE!</v>
      </c>
      <c r="Q304" t="e">
        <f>AND('POTENCIAL HORAS'!P17,"AAAAAF/X/hA=")</f>
        <v>#VALUE!</v>
      </c>
      <c r="R304" t="e">
        <f>AND('POTENCIAL HORAS'!#REF!,"AAAAAF/X/hE=")</f>
        <v>#REF!</v>
      </c>
      <c r="S304" t="e">
        <f>AND('POTENCIAL HORAS'!#REF!,"AAAAAF/X/hI=")</f>
        <v>#REF!</v>
      </c>
      <c r="T304" t="e">
        <f>AND('POTENCIAL HORAS'!#REF!,"AAAAAF/X/hM=")</f>
        <v>#REF!</v>
      </c>
      <c r="U304" t="e">
        <f>AND('POTENCIAL HORAS'!#REF!,"AAAAAF/X/hQ=")</f>
        <v>#REF!</v>
      </c>
      <c r="V304" t="e">
        <f>AND('POTENCIAL HORAS'!#REF!,"AAAAAF/X/hU=")</f>
        <v>#REF!</v>
      </c>
      <c r="W304" t="e">
        <f>AND('POTENCIAL HORAS'!#REF!,"AAAAAF/X/hY=")</f>
        <v>#REF!</v>
      </c>
      <c r="X304" t="e">
        <f>AND('POTENCIAL HORAS'!#REF!,"AAAAAF/X/hc=")</f>
        <v>#REF!</v>
      </c>
      <c r="Y304" t="e">
        <f>AND('POTENCIAL HORAS'!#REF!,"AAAAAF/X/hg=")</f>
        <v>#REF!</v>
      </c>
      <c r="Z304" t="e">
        <f>AND('POTENCIAL HORAS'!#REF!,"AAAAAF/X/hk=")</f>
        <v>#REF!</v>
      </c>
      <c r="AA304" t="e">
        <f>AND('POTENCIAL HORAS'!#REF!,"AAAAAF/X/ho=")</f>
        <v>#REF!</v>
      </c>
      <c r="AB304" t="e">
        <f>AND('POTENCIAL HORAS'!#REF!,"AAAAAF/X/hs=")</f>
        <v>#REF!</v>
      </c>
      <c r="AC304" t="e">
        <f>AND('POTENCIAL HORAS'!#REF!,"AAAAAF/X/hw=")</f>
        <v>#REF!</v>
      </c>
      <c r="AD304" t="e">
        <f>AND('POTENCIAL HORAS'!#REF!,"AAAAAF/X/h0=")</f>
        <v>#REF!</v>
      </c>
      <c r="AE304" t="e">
        <f>AND('POTENCIAL HORAS'!#REF!,"AAAAAF/X/h4=")</f>
        <v>#REF!</v>
      </c>
      <c r="AF304" t="e">
        <f>AND('POTENCIAL HORAS'!#REF!,"AAAAAF/X/h8=")</f>
        <v>#REF!</v>
      </c>
      <c r="AG304" t="e">
        <f>AND('POTENCIAL HORAS'!#REF!,"AAAAAF/X/iA=")</f>
        <v>#REF!</v>
      </c>
      <c r="AH304" t="e">
        <f>AND('POTENCIAL HORAS'!#REF!,"AAAAAF/X/iE=")</f>
        <v>#REF!</v>
      </c>
      <c r="AI304" t="e">
        <f>AND('POTENCIAL HORAS'!#REF!,"AAAAAF/X/iI=")</f>
        <v>#REF!</v>
      </c>
      <c r="AJ304" t="e">
        <f>AND('POTENCIAL HORAS'!#REF!,"AAAAAF/X/iM=")</f>
        <v>#REF!</v>
      </c>
      <c r="AK304" t="e">
        <f>AND('POTENCIAL HORAS'!#REF!,"AAAAAF/X/iQ=")</f>
        <v>#REF!</v>
      </c>
      <c r="AL304" t="e">
        <f>AND('POTENCIAL HORAS'!Q17,"AAAAAF/X/iU=")</f>
        <v>#VALUE!</v>
      </c>
      <c r="AM304" t="e">
        <f>AND('POTENCIAL HORAS'!R17,"AAAAAF/X/iY=")</f>
        <v>#VALUE!</v>
      </c>
      <c r="AN304" t="e">
        <f>IF('POTENCIAL HORAS'!#REF!,"AAAAAF/X/ic=",0)</f>
        <v>#REF!</v>
      </c>
      <c r="AO304" t="e">
        <f>AND('POTENCIAL HORAS'!#REF!,"AAAAAF/X/ig=")</f>
        <v>#REF!</v>
      </c>
      <c r="AP304" t="e">
        <f>AND('POTENCIAL HORAS'!#REF!,"AAAAAF/X/ik=")</f>
        <v>#REF!</v>
      </c>
      <c r="AQ304" t="e">
        <f>AND('POTENCIAL HORAS'!#REF!,"AAAAAF/X/io=")</f>
        <v>#REF!</v>
      </c>
      <c r="AR304" t="e">
        <f>AND('POTENCIAL HORAS'!#REF!,"AAAAAF/X/is=")</f>
        <v>#REF!</v>
      </c>
      <c r="AS304" t="e">
        <f>AND('POTENCIAL HORAS'!#REF!,"AAAAAF/X/iw=")</f>
        <v>#REF!</v>
      </c>
      <c r="AT304" t="e">
        <f>AND('POTENCIAL HORAS'!#REF!,"AAAAAF/X/i0=")</f>
        <v>#REF!</v>
      </c>
      <c r="AU304" t="e">
        <f>AND('POTENCIAL HORAS'!#REF!,"AAAAAF/X/i4=")</f>
        <v>#REF!</v>
      </c>
      <c r="AV304" t="e">
        <f>AND('POTENCIAL HORAS'!#REF!,"AAAAAF/X/i8=")</f>
        <v>#REF!</v>
      </c>
      <c r="AW304" t="e">
        <f>AND('POTENCIAL HORAS'!#REF!,"AAAAAF/X/jA=")</f>
        <v>#REF!</v>
      </c>
      <c r="AX304" t="e">
        <f>AND('POTENCIAL HORAS'!#REF!,"AAAAAF/X/jE=")</f>
        <v>#REF!</v>
      </c>
      <c r="AY304" t="e">
        <f>AND('POTENCIAL HORAS'!#REF!,"AAAAAF/X/jI=")</f>
        <v>#REF!</v>
      </c>
      <c r="AZ304" t="e">
        <f>AND('POTENCIAL HORAS'!#REF!,"AAAAAF/X/jM=")</f>
        <v>#REF!</v>
      </c>
      <c r="BA304" t="e">
        <f>AND('POTENCIAL HORAS'!#REF!,"AAAAAF/X/jQ=")</f>
        <v>#REF!</v>
      </c>
      <c r="BB304" t="e">
        <f>AND('POTENCIAL HORAS'!#REF!,"AAAAAF/X/jU=")</f>
        <v>#REF!</v>
      </c>
      <c r="BC304" t="e">
        <f>AND('POTENCIAL HORAS'!#REF!,"AAAAAF/X/jY=")</f>
        <v>#REF!</v>
      </c>
      <c r="BD304" t="e">
        <f>AND('POTENCIAL HORAS'!#REF!,"AAAAAF/X/jc=")</f>
        <v>#REF!</v>
      </c>
      <c r="BE304" t="e">
        <f>AND('POTENCIAL HORAS'!#REF!,"AAAAAF/X/jg=")</f>
        <v>#REF!</v>
      </c>
      <c r="BF304" t="e">
        <f>AND('POTENCIAL HORAS'!#REF!,"AAAAAF/X/jk=")</f>
        <v>#REF!</v>
      </c>
      <c r="BG304" t="e">
        <f>AND('POTENCIAL HORAS'!#REF!,"AAAAAF/X/jo=")</f>
        <v>#REF!</v>
      </c>
      <c r="BH304" t="e">
        <f>AND('POTENCIAL HORAS'!#REF!,"AAAAAF/X/js=")</f>
        <v>#REF!</v>
      </c>
      <c r="BI304" t="e">
        <f>AND('POTENCIAL HORAS'!#REF!,"AAAAAF/X/jw=")</f>
        <v>#REF!</v>
      </c>
      <c r="BJ304" t="e">
        <f>AND('POTENCIAL HORAS'!#REF!,"AAAAAF/X/j0=")</f>
        <v>#REF!</v>
      </c>
      <c r="BK304" t="e">
        <f>AND('POTENCIAL HORAS'!#REF!,"AAAAAF/X/j4=")</f>
        <v>#REF!</v>
      </c>
      <c r="BL304" t="e">
        <f>AND('POTENCIAL HORAS'!#REF!,"AAAAAF/X/j8=")</f>
        <v>#REF!</v>
      </c>
      <c r="BM304" t="e">
        <f>AND('POTENCIAL HORAS'!#REF!,"AAAAAF/X/kA=")</f>
        <v>#REF!</v>
      </c>
      <c r="BN304" t="e">
        <f>AND('POTENCIAL HORAS'!#REF!,"AAAAAF/X/kE=")</f>
        <v>#REF!</v>
      </c>
      <c r="BO304" t="e">
        <f>AND('POTENCIAL HORAS'!#REF!,"AAAAAF/X/kI=")</f>
        <v>#REF!</v>
      </c>
      <c r="BP304" t="e">
        <f>AND('POTENCIAL HORAS'!#REF!,"AAAAAF/X/kM=")</f>
        <v>#REF!</v>
      </c>
      <c r="BQ304" t="e">
        <f>AND('POTENCIAL HORAS'!#REF!,"AAAAAF/X/kQ=")</f>
        <v>#REF!</v>
      </c>
      <c r="BR304" t="e">
        <f>AND('POTENCIAL HORAS'!#REF!,"AAAAAF/X/kU=")</f>
        <v>#REF!</v>
      </c>
      <c r="BS304" t="e">
        <f>AND('POTENCIAL HORAS'!#REF!,"AAAAAF/X/kY=")</f>
        <v>#REF!</v>
      </c>
      <c r="BT304" t="e">
        <f>AND('POTENCIAL HORAS'!#REF!,"AAAAAF/X/kc=")</f>
        <v>#REF!</v>
      </c>
      <c r="BU304" t="e">
        <f>AND('POTENCIAL HORAS'!#REF!,"AAAAAF/X/kg=")</f>
        <v>#REF!</v>
      </c>
      <c r="BV304" t="e">
        <f>AND('POTENCIAL HORAS'!#REF!,"AAAAAF/X/kk=")</f>
        <v>#REF!</v>
      </c>
      <c r="BW304" t="e">
        <f>AND('POTENCIAL HORAS'!#REF!,"AAAAAF/X/ko=")</f>
        <v>#REF!</v>
      </c>
      <c r="BX304" t="e">
        <f>AND('POTENCIAL HORAS'!#REF!,"AAAAAF/X/ks=")</f>
        <v>#REF!</v>
      </c>
      <c r="BY304" t="e">
        <f>AND('POTENCIAL HORAS'!#REF!,"AAAAAF/X/kw=")</f>
        <v>#REF!</v>
      </c>
      <c r="BZ304" t="e">
        <f>AND('POTENCIAL HORAS'!#REF!,"AAAAAF/X/k0=")</f>
        <v>#REF!</v>
      </c>
      <c r="CA304">
        <f>IF('POTENCIAL HORAS'!296:296,"AAAAAF/X/k4=",0)</f>
        <v>0</v>
      </c>
      <c r="CB304" t="e">
        <f>AND('POTENCIAL HORAS'!A296,"AAAAAF/X/k8=")</f>
        <v>#VALUE!</v>
      </c>
      <c r="CC304" t="e">
        <f>AND('POTENCIAL HORAS'!B296,"AAAAAF/X/lA=")</f>
        <v>#VALUE!</v>
      </c>
      <c r="CD304" t="e">
        <f>AND('POTENCIAL HORAS'!C296,"AAAAAF/X/lE=")</f>
        <v>#VALUE!</v>
      </c>
      <c r="CE304" t="e">
        <f>AND('POTENCIAL HORAS'!D296,"AAAAAF/X/lI=")</f>
        <v>#VALUE!</v>
      </c>
      <c r="CF304" t="e">
        <f>AND('POTENCIAL HORAS'!E296,"AAAAAF/X/lM=")</f>
        <v>#VALUE!</v>
      </c>
      <c r="CG304" t="e">
        <f>AND('POTENCIAL HORAS'!F296,"AAAAAF/X/lQ=")</f>
        <v>#VALUE!</v>
      </c>
      <c r="CH304" t="e">
        <f>AND('POTENCIAL HORAS'!G296,"AAAAAF/X/lU=")</f>
        <v>#VALUE!</v>
      </c>
      <c r="CI304" t="e">
        <f>AND('POTENCIAL HORAS'!H296,"AAAAAF/X/lY=")</f>
        <v>#VALUE!</v>
      </c>
      <c r="CJ304" t="e">
        <f>AND('POTENCIAL HORAS'!I296,"AAAAAF/X/lc=")</f>
        <v>#VALUE!</v>
      </c>
      <c r="CK304" t="e">
        <f>AND('POTENCIAL HORAS'!J296,"AAAAAF/X/lg=")</f>
        <v>#VALUE!</v>
      </c>
      <c r="CL304" t="e">
        <f>AND('POTENCIAL HORAS'!K296,"AAAAAF/X/lk=")</f>
        <v>#VALUE!</v>
      </c>
      <c r="CM304" t="e">
        <f>AND('POTENCIAL HORAS'!L296,"AAAAAF/X/lo=")</f>
        <v>#VALUE!</v>
      </c>
      <c r="CN304" t="e">
        <f>AND('POTENCIAL HORAS'!M296,"AAAAAF/X/ls=")</f>
        <v>#VALUE!</v>
      </c>
      <c r="CO304" t="e">
        <f>AND('POTENCIAL HORAS'!N296,"AAAAAF/X/lw=")</f>
        <v>#VALUE!</v>
      </c>
      <c r="CP304" t="e">
        <f>AND('POTENCIAL HORAS'!O296,"AAAAAF/X/l0=")</f>
        <v>#VALUE!</v>
      </c>
      <c r="CQ304" t="e">
        <f>AND('POTENCIAL HORAS'!P296,"AAAAAF/X/l4=")</f>
        <v>#VALUE!</v>
      </c>
      <c r="CR304" t="e">
        <f>AND('POTENCIAL HORAS'!#REF!,"AAAAAF/X/l8=")</f>
        <v>#REF!</v>
      </c>
      <c r="CS304" t="e">
        <f>AND('POTENCIAL HORAS'!#REF!,"AAAAAF/X/mA=")</f>
        <v>#REF!</v>
      </c>
      <c r="CT304" t="e">
        <f>AND('POTENCIAL HORAS'!#REF!,"AAAAAF/X/mE=")</f>
        <v>#REF!</v>
      </c>
      <c r="CU304" t="e">
        <f>AND('POTENCIAL HORAS'!#REF!,"AAAAAF/X/mI=")</f>
        <v>#REF!</v>
      </c>
      <c r="CV304" t="e">
        <f>AND('POTENCIAL HORAS'!#REF!,"AAAAAF/X/mM=")</f>
        <v>#REF!</v>
      </c>
      <c r="CW304" t="e">
        <f>AND('POTENCIAL HORAS'!#REF!,"AAAAAF/X/mQ=")</f>
        <v>#REF!</v>
      </c>
      <c r="CX304" t="e">
        <f>AND('POTENCIAL HORAS'!#REF!,"AAAAAF/X/mU=")</f>
        <v>#REF!</v>
      </c>
      <c r="CY304" t="e">
        <f>AND('POTENCIAL HORAS'!#REF!,"AAAAAF/X/mY=")</f>
        <v>#REF!</v>
      </c>
      <c r="CZ304" t="e">
        <f>AND('POTENCIAL HORAS'!#REF!,"AAAAAF/X/mc=")</f>
        <v>#REF!</v>
      </c>
      <c r="DA304" t="e">
        <f>AND('POTENCIAL HORAS'!#REF!,"AAAAAF/X/mg=")</f>
        <v>#REF!</v>
      </c>
      <c r="DB304" t="e">
        <f>AND('POTENCIAL HORAS'!#REF!,"AAAAAF/X/mk=")</f>
        <v>#REF!</v>
      </c>
      <c r="DC304" t="e">
        <f>AND('POTENCIAL HORAS'!#REF!,"AAAAAF/X/mo=")</f>
        <v>#REF!</v>
      </c>
      <c r="DD304" t="e">
        <f>AND('POTENCIAL HORAS'!#REF!,"AAAAAF/X/ms=")</f>
        <v>#REF!</v>
      </c>
      <c r="DE304" t="e">
        <f>AND('POTENCIAL HORAS'!#REF!,"AAAAAF/X/mw=")</f>
        <v>#REF!</v>
      </c>
      <c r="DF304" t="e">
        <f>AND('POTENCIAL HORAS'!#REF!,"AAAAAF/X/m0=")</f>
        <v>#REF!</v>
      </c>
      <c r="DG304" t="e">
        <f>AND('POTENCIAL HORAS'!#REF!,"AAAAAF/X/m4=")</f>
        <v>#REF!</v>
      </c>
      <c r="DH304" t="e">
        <f>AND('POTENCIAL HORAS'!#REF!,"AAAAAF/X/m8=")</f>
        <v>#REF!</v>
      </c>
      <c r="DI304" t="e">
        <f>AND('POTENCIAL HORAS'!#REF!,"AAAAAF/X/nA=")</f>
        <v>#REF!</v>
      </c>
      <c r="DJ304" t="e">
        <f>AND('POTENCIAL HORAS'!#REF!,"AAAAAF/X/nE=")</f>
        <v>#REF!</v>
      </c>
      <c r="DK304" t="e">
        <f>AND('POTENCIAL HORAS'!#REF!,"AAAAAF/X/nI=")</f>
        <v>#REF!</v>
      </c>
      <c r="DL304" t="e">
        <f>AND('POTENCIAL HORAS'!Q296,"AAAAAF/X/nM=")</f>
        <v>#VALUE!</v>
      </c>
      <c r="DM304" t="e">
        <f>AND('POTENCIAL HORAS'!R296,"AAAAAF/X/nQ=")</f>
        <v>#VALUE!</v>
      </c>
      <c r="DN304">
        <f>IF('POTENCIAL HORAS'!297:297,"AAAAAF/X/nU=",0)</f>
        <v>0</v>
      </c>
      <c r="DO304" t="e">
        <f>AND('POTENCIAL HORAS'!A297,"AAAAAF/X/nY=")</f>
        <v>#VALUE!</v>
      </c>
      <c r="DP304" t="e">
        <f>AND('POTENCIAL HORAS'!B297,"AAAAAF/X/nc=")</f>
        <v>#VALUE!</v>
      </c>
      <c r="DQ304" t="e">
        <f>AND('POTENCIAL HORAS'!C297,"AAAAAF/X/ng=")</f>
        <v>#VALUE!</v>
      </c>
      <c r="DR304" t="e">
        <f>AND('POTENCIAL HORAS'!D297,"AAAAAF/X/nk=")</f>
        <v>#VALUE!</v>
      </c>
      <c r="DS304" t="e">
        <f>AND('POTENCIAL HORAS'!E297,"AAAAAF/X/no=")</f>
        <v>#VALUE!</v>
      </c>
      <c r="DT304" t="e">
        <f>AND('POTENCIAL HORAS'!F297,"AAAAAF/X/ns=")</f>
        <v>#VALUE!</v>
      </c>
      <c r="DU304" t="e">
        <f>AND('POTENCIAL HORAS'!G297,"AAAAAF/X/nw=")</f>
        <v>#VALUE!</v>
      </c>
      <c r="DV304" t="e">
        <f>AND('POTENCIAL HORAS'!H297,"AAAAAF/X/n0=")</f>
        <v>#VALUE!</v>
      </c>
      <c r="DW304" t="e">
        <f>AND('POTENCIAL HORAS'!I297,"AAAAAF/X/n4=")</f>
        <v>#VALUE!</v>
      </c>
      <c r="DX304" t="e">
        <f>AND('POTENCIAL HORAS'!J297,"AAAAAF/X/n8=")</f>
        <v>#VALUE!</v>
      </c>
      <c r="DY304" t="e">
        <f>AND('POTENCIAL HORAS'!K297,"AAAAAF/X/oA=")</f>
        <v>#VALUE!</v>
      </c>
      <c r="DZ304" t="e">
        <f>AND('POTENCIAL HORAS'!L297,"AAAAAF/X/oE=")</f>
        <v>#VALUE!</v>
      </c>
      <c r="EA304" t="e">
        <f>AND('POTENCIAL HORAS'!M297,"AAAAAF/X/oI=")</f>
        <v>#VALUE!</v>
      </c>
      <c r="EB304" t="e">
        <f>AND('POTENCIAL HORAS'!N297,"AAAAAF/X/oM=")</f>
        <v>#VALUE!</v>
      </c>
      <c r="EC304" t="e">
        <f>AND('POTENCIAL HORAS'!O297,"AAAAAF/X/oQ=")</f>
        <v>#VALUE!</v>
      </c>
      <c r="ED304" t="e">
        <f>AND('POTENCIAL HORAS'!P297,"AAAAAF/X/oU=")</f>
        <v>#VALUE!</v>
      </c>
      <c r="EE304" t="e">
        <f>AND('POTENCIAL HORAS'!#REF!,"AAAAAF/X/oY=")</f>
        <v>#REF!</v>
      </c>
      <c r="EF304" t="e">
        <f>AND('POTENCIAL HORAS'!#REF!,"AAAAAF/X/oc=")</f>
        <v>#REF!</v>
      </c>
      <c r="EG304" t="e">
        <f>AND('POTENCIAL HORAS'!#REF!,"AAAAAF/X/og=")</f>
        <v>#REF!</v>
      </c>
      <c r="EH304" t="e">
        <f>AND('POTENCIAL HORAS'!#REF!,"AAAAAF/X/ok=")</f>
        <v>#REF!</v>
      </c>
      <c r="EI304" t="e">
        <f>AND('POTENCIAL HORAS'!#REF!,"AAAAAF/X/oo=")</f>
        <v>#REF!</v>
      </c>
      <c r="EJ304" t="e">
        <f>AND('POTENCIAL HORAS'!#REF!,"AAAAAF/X/os=")</f>
        <v>#REF!</v>
      </c>
      <c r="EK304" t="e">
        <f>AND('POTENCIAL HORAS'!#REF!,"AAAAAF/X/ow=")</f>
        <v>#REF!</v>
      </c>
      <c r="EL304" t="e">
        <f>AND('POTENCIAL HORAS'!#REF!,"AAAAAF/X/o0=")</f>
        <v>#REF!</v>
      </c>
      <c r="EM304" t="e">
        <f>AND('POTENCIAL HORAS'!#REF!,"AAAAAF/X/o4=")</f>
        <v>#REF!</v>
      </c>
      <c r="EN304" t="e">
        <f>AND('POTENCIAL HORAS'!#REF!,"AAAAAF/X/o8=")</f>
        <v>#REF!</v>
      </c>
      <c r="EO304" t="e">
        <f>AND('POTENCIAL HORAS'!#REF!,"AAAAAF/X/pA=")</f>
        <v>#REF!</v>
      </c>
      <c r="EP304" t="e">
        <f>AND('POTENCIAL HORAS'!#REF!,"AAAAAF/X/pE=")</f>
        <v>#REF!</v>
      </c>
      <c r="EQ304" t="e">
        <f>AND('POTENCIAL HORAS'!#REF!,"AAAAAF/X/pI=")</f>
        <v>#REF!</v>
      </c>
      <c r="ER304" t="e">
        <f>AND('POTENCIAL HORAS'!#REF!,"AAAAAF/X/pM=")</f>
        <v>#REF!</v>
      </c>
      <c r="ES304" t="e">
        <f>AND('POTENCIAL HORAS'!#REF!,"AAAAAF/X/pQ=")</f>
        <v>#REF!</v>
      </c>
      <c r="ET304" t="e">
        <f>AND('POTENCIAL HORAS'!#REF!,"AAAAAF/X/pU=")</f>
        <v>#REF!</v>
      </c>
      <c r="EU304" t="e">
        <f>AND('POTENCIAL HORAS'!#REF!,"AAAAAF/X/pY=")</f>
        <v>#REF!</v>
      </c>
      <c r="EV304" t="e">
        <f>AND('POTENCIAL HORAS'!#REF!,"AAAAAF/X/pc=")</f>
        <v>#REF!</v>
      </c>
      <c r="EW304" t="e">
        <f>AND('POTENCIAL HORAS'!#REF!,"AAAAAF/X/pg=")</f>
        <v>#REF!</v>
      </c>
      <c r="EX304" t="e">
        <f>AND('POTENCIAL HORAS'!#REF!,"AAAAAF/X/pk=")</f>
        <v>#REF!</v>
      </c>
      <c r="EY304" t="e">
        <f>AND('POTENCIAL HORAS'!Q297,"AAAAAF/X/po=")</f>
        <v>#VALUE!</v>
      </c>
      <c r="EZ304" t="e">
        <f>AND('POTENCIAL HORAS'!R297,"AAAAAF/X/ps=")</f>
        <v>#VALUE!</v>
      </c>
      <c r="FA304">
        <f>IF('POTENCIAL HORAS'!302:302,"AAAAAF/X/pw=",0)</f>
        <v>0</v>
      </c>
      <c r="FB304" t="e">
        <f>AND('POTENCIAL HORAS'!A302,"AAAAAF/X/p0=")</f>
        <v>#VALUE!</v>
      </c>
      <c r="FC304" t="e">
        <f>AND('POTENCIAL HORAS'!B302,"AAAAAF/X/p4=")</f>
        <v>#VALUE!</v>
      </c>
      <c r="FD304" t="e">
        <f>AND('POTENCIAL HORAS'!C302,"AAAAAF/X/p8=")</f>
        <v>#VALUE!</v>
      </c>
      <c r="FE304" t="e">
        <f>AND('POTENCIAL HORAS'!D302,"AAAAAF/X/qA=")</f>
        <v>#VALUE!</v>
      </c>
      <c r="FF304" t="e">
        <f>AND('POTENCIAL HORAS'!E302,"AAAAAF/X/qE=")</f>
        <v>#VALUE!</v>
      </c>
      <c r="FG304" t="e">
        <f>AND('POTENCIAL HORAS'!F302,"AAAAAF/X/qI=")</f>
        <v>#VALUE!</v>
      </c>
      <c r="FH304" t="e">
        <f>AND('POTENCIAL HORAS'!G302,"AAAAAF/X/qM=")</f>
        <v>#VALUE!</v>
      </c>
      <c r="FI304" t="e">
        <f>AND('POTENCIAL HORAS'!H302,"AAAAAF/X/qQ=")</f>
        <v>#VALUE!</v>
      </c>
      <c r="FJ304" t="e">
        <f>AND('POTENCIAL HORAS'!I302,"AAAAAF/X/qU=")</f>
        <v>#VALUE!</v>
      </c>
      <c r="FK304" t="e">
        <f>AND('POTENCIAL HORAS'!J302,"AAAAAF/X/qY=")</f>
        <v>#VALUE!</v>
      </c>
      <c r="FL304" t="e">
        <f>AND('POTENCIAL HORAS'!K302,"AAAAAF/X/qc=")</f>
        <v>#VALUE!</v>
      </c>
      <c r="FM304" t="e">
        <f>AND('POTENCIAL HORAS'!L302,"AAAAAF/X/qg=")</f>
        <v>#VALUE!</v>
      </c>
      <c r="FN304" t="e">
        <f>AND('POTENCIAL HORAS'!M302,"AAAAAF/X/qk=")</f>
        <v>#VALUE!</v>
      </c>
      <c r="FO304" t="e">
        <f>AND('POTENCIAL HORAS'!N302,"AAAAAF/X/qo=")</f>
        <v>#VALUE!</v>
      </c>
      <c r="FP304" t="e">
        <f>AND('POTENCIAL HORAS'!O302,"AAAAAF/X/qs=")</f>
        <v>#VALUE!</v>
      </c>
      <c r="FQ304" t="e">
        <f>AND('POTENCIAL HORAS'!P302,"AAAAAF/X/qw=")</f>
        <v>#VALUE!</v>
      </c>
      <c r="FR304" t="e">
        <f>AND('POTENCIAL HORAS'!#REF!,"AAAAAF/X/q0=")</f>
        <v>#REF!</v>
      </c>
      <c r="FS304" t="e">
        <f>AND('POTENCIAL HORAS'!#REF!,"AAAAAF/X/q4=")</f>
        <v>#REF!</v>
      </c>
      <c r="FT304" t="e">
        <f>AND('POTENCIAL HORAS'!#REF!,"AAAAAF/X/q8=")</f>
        <v>#REF!</v>
      </c>
      <c r="FU304" t="e">
        <f>AND('POTENCIAL HORAS'!#REF!,"AAAAAF/X/rA=")</f>
        <v>#REF!</v>
      </c>
      <c r="FV304" t="e">
        <f>AND('POTENCIAL HORAS'!#REF!,"AAAAAF/X/rE=")</f>
        <v>#REF!</v>
      </c>
      <c r="FW304" t="e">
        <f>AND('POTENCIAL HORAS'!#REF!,"AAAAAF/X/rI=")</f>
        <v>#REF!</v>
      </c>
      <c r="FX304" t="e">
        <f>AND('POTENCIAL HORAS'!#REF!,"AAAAAF/X/rM=")</f>
        <v>#REF!</v>
      </c>
      <c r="FY304" t="e">
        <f>AND('POTENCIAL HORAS'!#REF!,"AAAAAF/X/rQ=")</f>
        <v>#REF!</v>
      </c>
      <c r="FZ304" t="e">
        <f>AND('POTENCIAL HORAS'!#REF!,"AAAAAF/X/rU=")</f>
        <v>#REF!</v>
      </c>
      <c r="GA304" t="e">
        <f>AND('POTENCIAL HORAS'!#REF!,"AAAAAF/X/rY=")</f>
        <v>#REF!</v>
      </c>
      <c r="GB304" t="e">
        <f>AND('POTENCIAL HORAS'!#REF!,"AAAAAF/X/rc=")</f>
        <v>#REF!</v>
      </c>
      <c r="GC304" t="e">
        <f>AND('POTENCIAL HORAS'!#REF!,"AAAAAF/X/rg=")</f>
        <v>#REF!</v>
      </c>
      <c r="GD304" t="e">
        <f>AND('POTENCIAL HORAS'!#REF!,"AAAAAF/X/rk=")</f>
        <v>#REF!</v>
      </c>
      <c r="GE304" t="e">
        <f>AND('POTENCIAL HORAS'!#REF!,"AAAAAF/X/ro=")</f>
        <v>#REF!</v>
      </c>
      <c r="GF304" t="e">
        <f>AND('POTENCIAL HORAS'!#REF!,"AAAAAF/X/rs=")</f>
        <v>#REF!</v>
      </c>
      <c r="GG304" t="e">
        <f>AND('POTENCIAL HORAS'!#REF!,"AAAAAF/X/rw=")</f>
        <v>#REF!</v>
      </c>
      <c r="GH304" t="e">
        <f>AND('POTENCIAL HORAS'!#REF!,"AAAAAF/X/r0=")</f>
        <v>#REF!</v>
      </c>
      <c r="GI304" t="e">
        <f>AND('POTENCIAL HORAS'!#REF!,"AAAAAF/X/r4=")</f>
        <v>#REF!</v>
      </c>
      <c r="GJ304" t="e">
        <f>AND('POTENCIAL HORAS'!#REF!,"AAAAAF/X/r8=")</f>
        <v>#REF!</v>
      </c>
      <c r="GK304" t="e">
        <f>AND('POTENCIAL HORAS'!#REF!,"AAAAAF/X/sA=")</f>
        <v>#REF!</v>
      </c>
      <c r="GL304" t="e">
        <f>AND('POTENCIAL HORAS'!Q302,"AAAAAF/X/sE=")</f>
        <v>#VALUE!</v>
      </c>
      <c r="GM304" t="e">
        <f>AND('POTENCIAL HORAS'!R302,"AAAAAF/X/sI=")</f>
        <v>#VALUE!</v>
      </c>
      <c r="GN304" t="e">
        <f>IF('POTENCIAL HORAS'!#REF!,"AAAAAF/X/sM=",0)</f>
        <v>#REF!</v>
      </c>
      <c r="GO304" t="e">
        <f>AND('POTENCIAL HORAS'!#REF!,"AAAAAF/X/sQ=")</f>
        <v>#REF!</v>
      </c>
      <c r="GP304" t="e">
        <f>AND('POTENCIAL HORAS'!#REF!,"AAAAAF/X/sU=")</f>
        <v>#REF!</v>
      </c>
      <c r="GQ304" t="e">
        <f>AND('POTENCIAL HORAS'!#REF!,"AAAAAF/X/sY=")</f>
        <v>#REF!</v>
      </c>
      <c r="GR304" t="e">
        <f>AND('POTENCIAL HORAS'!#REF!,"AAAAAF/X/sc=")</f>
        <v>#REF!</v>
      </c>
      <c r="GS304" t="e">
        <f>AND('POTENCIAL HORAS'!#REF!,"AAAAAF/X/sg=")</f>
        <v>#REF!</v>
      </c>
      <c r="GT304" t="e">
        <f>AND('POTENCIAL HORAS'!#REF!,"AAAAAF/X/sk=")</f>
        <v>#REF!</v>
      </c>
      <c r="GU304" t="e">
        <f>AND('POTENCIAL HORAS'!#REF!,"AAAAAF/X/so=")</f>
        <v>#REF!</v>
      </c>
      <c r="GV304" t="e">
        <f>AND('POTENCIAL HORAS'!#REF!,"AAAAAF/X/ss=")</f>
        <v>#REF!</v>
      </c>
      <c r="GW304" t="e">
        <f>AND('POTENCIAL HORAS'!#REF!,"AAAAAF/X/sw=")</f>
        <v>#REF!</v>
      </c>
      <c r="GX304" t="e">
        <f>AND('POTENCIAL HORAS'!#REF!,"AAAAAF/X/s0=")</f>
        <v>#REF!</v>
      </c>
      <c r="GY304" t="e">
        <f>AND('POTENCIAL HORAS'!#REF!,"AAAAAF/X/s4=")</f>
        <v>#REF!</v>
      </c>
      <c r="GZ304" t="e">
        <f>AND('POTENCIAL HORAS'!#REF!,"AAAAAF/X/s8=")</f>
        <v>#REF!</v>
      </c>
      <c r="HA304" t="e">
        <f>AND('POTENCIAL HORAS'!#REF!,"AAAAAF/X/tA=")</f>
        <v>#REF!</v>
      </c>
      <c r="HB304" t="e">
        <f>AND('POTENCIAL HORAS'!#REF!,"AAAAAF/X/tE=")</f>
        <v>#REF!</v>
      </c>
      <c r="HC304" t="e">
        <f>AND('POTENCIAL HORAS'!#REF!,"AAAAAF/X/tI=")</f>
        <v>#REF!</v>
      </c>
      <c r="HD304" t="e">
        <f>AND('POTENCIAL HORAS'!#REF!,"AAAAAF/X/tM=")</f>
        <v>#REF!</v>
      </c>
      <c r="HE304" t="e">
        <f>AND('POTENCIAL HORAS'!#REF!,"AAAAAF/X/tQ=")</f>
        <v>#REF!</v>
      </c>
      <c r="HF304" t="e">
        <f>AND('POTENCIAL HORAS'!#REF!,"AAAAAF/X/tU=")</f>
        <v>#REF!</v>
      </c>
      <c r="HG304" t="e">
        <f>AND('POTENCIAL HORAS'!#REF!,"AAAAAF/X/tY=")</f>
        <v>#REF!</v>
      </c>
      <c r="HH304" t="e">
        <f>AND('POTENCIAL HORAS'!#REF!,"AAAAAF/X/tc=")</f>
        <v>#REF!</v>
      </c>
      <c r="HI304" t="e">
        <f>AND('POTENCIAL HORAS'!#REF!,"AAAAAF/X/tg=")</f>
        <v>#REF!</v>
      </c>
      <c r="HJ304" t="e">
        <f>AND('POTENCIAL HORAS'!#REF!,"AAAAAF/X/tk=")</f>
        <v>#REF!</v>
      </c>
      <c r="HK304" t="e">
        <f>AND('POTENCIAL HORAS'!#REF!,"AAAAAF/X/to=")</f>
        <v>#REF!</v>
      </c>
      <c r="HL304" t="e">
        <f>AND('POTENCIAL HORAS'!#REF!,"AAAAAF/X/ts=")</f>
        <v>#REF!</v>
      </c>
      <c r="HM304" t="e">
        <f>AND('POTENCIAL HORAS'!#REF!,"AAAAAF/X/tw=")</f>
        <v>#REF!</v>
      </c>
      <c r="HN304" t="e">
        <f>AND('POTENCIAL HORAS'!#REF!,"AAAAAF/X/t0=")</f>
        <v>#REF!</v>
      </c>
      <c r="HO304" t="e">
        <f>AND('POTENCIAL HORAS'!#REF!,"AAAAAF/X/t4=")</f>
        <v>#REF!</v>
      </c>
      <c r="HP304" t="e">
        <f>AND('POTENCIAL HORAS'!#REF!,"AAAAAF/X/t8=")</f>
        <v>#REF!</v>
      </c>
      <c r="HQ304" t="e">
        <f>AND('POTENCIAL HORAS'!#REF!,"AAAAAF/X/uA=")</f>
        <v>#REF!</v>
      </c>
      <c r="HR304" t="e">
        <f>AND('POTENCIAL HORAS'!#REF!,"AAAAAF/X/uE=")</f>
        <v>#REF!</v>
      </c>
      <c r="HS304" t="e">
        <f>AND('POTENCIAL HORAS'!#REF!,"AAAAAF/X/uI=")</f>
        <v>#REF!</v>
      </c>
      <c r="HT304" t="e">
        <f>AND('POTENCIAL HORAS'!#REF!,"AAAAAF/X/uM=")</f>
        <v>#REF!</v>
      </c>
      <c r="HU304" t="e">
        <f>AND('POTENCIAL HORAS'!#REF!,"AAAAAF/X/uQ=")</f>
        <v>#REF!</v>
      </c>
      <c r="HV304" t="e">
        <f>AND('POTENCIAL HORAS'!#REF!,"AAAAAF/X/uU=")</f>
        <v>#REF!</v>
      </c>
      <c r="HW304" t="e">
        <f>AND('POTENCIAL HORAS'!#REF!,"AAAAAF/X/uY=")</f>
        <v>#REF!</v>
      </c>
      <c r="HX304" t="e">
        <f>AND('POTENCIAL HORAS'!#REF!,"AAAAAF/X/uc=")</f>
        <v>#REF!</v>
      </c>
      <c r="HY304" t="e">
        <f>AND('POTENCIAL HORAS'!#REF!,"AAAAAF/X/ug=")</f>
        <v>#REF!</v>
      </c>
      <c r="HZ304" t="e">
        <f>AND('POTENCIAL HORAS'!#REF!,"AAAAAF/X/uk=")</f>
        <v>#REF!</v>
      </c>
      <c r="IA304" t="e">
        <f>IF('POTENCIAL HORAS'!#REF!,"AAAAAF/X/uo=",0)</f>
        <v>#REF!</v>
      </c>
      <c r="IB304" t="e">
        <f>AND('POTENCIAL HORAS'!#REF!,"AAAAAF/X/us=")</f>
        <v>#REF!</v>
      </c>
      <c r="IC304" t="e">
        <f>AND('POTENCIAL HORAS'!#REF!,"AAAAAF/X/uw=")</f>
        <v>#REF!</v>
      </c>
      <c r="ID304" t="e">
        <f>AND('POTENCIAL HORAS'!#REF!,"AAAAAF/X/u0=")</f>
        <v>#REF!</v>
      </c>
      <c r="IE304" t="e">
        <f>AND('POTENCIAL HORAS'!#REF!,"AAAAAF/X/u4=")</f>
        <v>#REF!</v>
      </c>
      <c r="IF304" t="e">
        <f>AND('POTENCIAL HORAS'!#REF!,"AAAAAF/X/u8=")</f>
        <v>#REF!</v>
      </c>
      <c r="IG304" t="e">
        <f>AND('POTENCIAL HORAS'!#REF!,"AAAAAF/X/vA=")</f>
        <v>#REF!</v>
      </c>
      <c r="IH304" t="e">
        <f>AND('POTENCIAL HORAS'!#REF!,"AAAAAF/X/vE=")</f>
        <v>#REF!</v>
      </c>
      <c r="II304" t="e">
        <f>AND('POTENCIAL HORAS'!#REF!,"AAAAAF/X/vI=")</f>
        <v>#REF!</v>
      </c>
      <c r="IJ304" t="e">
        <f>AND('POTENCIAL HORAS'!#REF!,"AAAAAF/X/vM=")</f>
        <v>#REF!</v>
      </c>
      <c r="IK304" t="e">
        <f>AND('POTENCIAL HORAS'!#REF!,"AAAAAF/X/vQ=")</f>
        <v>#REF!</v>
      </c>
      <c r="IL304" t="e">
        <f>AND('POTENCIAL HORAS'!#REF!,"AAAAAF/X/vU=")</f>
        <v>#REF!</v>
      </c>
      <c r="IM304" t="e">
        <f>AND('POTENCIAL HORAS'!#REF!,"AAAAAF/X/vY=")</f>
        <v>#REF!</v>
      </c>
      <c r="IN304" t="e">
        <f>AND('POTENCIAL HORAS'!#REF!,"AAAAAF/X/vc=")</f>
        <v>#REF!</v>
      </c>
      <c r="IO304" t="e">
        <f>AND('POTENCIAL HORAS'!#REF!,"AAAAAF/X/vg=")</f>
        <v>#REF!</v>
      </c>
      <c r="IP304" t="e">
        <f>AND('POTENCIAL HORAS'!#REF!,"AAAAAF/X/vk=")</f>
        <v>#REF!</v>
      </c>
      <c r="IQ304" t="e">
        <f>AND('POTENCIAL HORAS'!#REF!,"AAAAAF/X/vo=")</f>
        <v>#REF!</v>
      </c>
      <c r="IR304" t="e">
        <f>AND('POTENCIAL HORAS'!#REF!,"AAAAAF/X/vs=")</f>
        <v>#REF!</v>
      </c>
      <c r="IS304" t="e">
        <f>AND('POTENCIAL HORAS'!#REF!,"AAAAAF/X/vw=")</f>
        <v>#REF!</v>
      </c>
      <c r="IT304" t="e">
        <f>AND('POTENCIAL HORAS'!#REF!,"AAAAAF/X/v0=")</f>
        <v>#REF!</v>
      </c>
      <c r="IU304" t="e">
        <f>AND('POTENCIAL HORAS'!#REF!,"AAAAAF/X/v4=")</f>
        <v>#REF!</v>
      </c>
      <c r="IV304" t="e">
        <f>AND('POTENCIAL HORAS'!#REF!,"AAAAAF/X/v8=")</f>
        <v>#REF!</v>
      </c>
    </row>
    <row r="305" spans="1:256" x14ac:dyDescent="0.2">
      <c r="A305" t="e">
        <f>AND('POTENCIAL HORAS'!#REF!,"AAAAAHun/gA=")</f>
        <v>#REF!</v>
      </c>
      <c r="B305" t="e">
        <f>AND('POTENCIAL HORAS'!#REF!,"AAAAAHun/gE=")</f>
        <v>#REF!</v>
      </c>
      <c r="C305" t="e">
        <f>AND('POTENCIAL HORAS'!#REF!,"AAAAAHun/gI=")</f>
        <v>#REF!</v>
      </c>
      <c r="D305" t="e">
        <f>AND('POTENCIAL HORAS'!#REF!,"AAAAAHun/gM=")</f>
        <v>#REF!</v>
      </c>
      <c r="E305" t="e">
        <f>AND('POTENCIAL HORAS'!#REF!,"AAAAAHun/gQ=")</f>
        <v>#REF!</v>
      </c>
      <c r="F305" t="e">
        <f>AND('POTENCIAL HORAS'!#REF!,"AAAAAHun/gU=")</f>
        <v>#REF!</v>
      </c>
      <c r="G305" t="e">
        <f>AND('POTENCIAL HORAS'!#REF!,"AAAAAHun/gY=")</f>
        <v>#REF!</v>
      </c>
      <c r="H305" t="e">
        <f>AND('POTENCIAL HORAS'!#REF!,"AAAAAHun/gc=")</f>
        <v>#REF!</v>
      </c>
      <c r="I305" t="e">
        <f>AND('POTENCIAL HORAS'!#REF!,"AAAAAHun/gg=")</f>
        <v>#REF!</v>
      </c>
      <c r="J305" t="e">
        <f>AND('POTENCIAL HORAS'!#REF!,"AAAAAHun/gk=")</f>
        <v>#REF!</v>
      </c>
      <c r="K305" t="e">
        <f>AND('POTENCIAL HORAS'!#REF!,"AAAAAHun/go=")</f>
        <v>#REF!</v>
      </c>
      <c r="L305" t="e">
        <f>AND('POTENCIAL HORAS'!#REF!,"AAAAAHun/gs=")</f>
        <v>#REF!</v>
      </c>
      <c r="M305" t="e">
        <f>AND('POTENCIAL HORAS'!#REF!,"AAAAAHun/gw=")</f>
        <v>#REF!</v>
      </c>
      <c r="N305" t="e">
        <f>AND('POTENCIAL HORAS'!#REF!,"AAAAAHun/g0=")</f>
        <v>#REF!</v>
      </c>
      <c r="O305" t="e">
        <f>AND('POTENCIAL HORAS'!#REF!,"AAAAAHun/g4=")</f>
        <v>#REF!</v>
      </c>
      <c r="P305" t="e">
        <f>AND('POTENCIAL HORAS'!#REF!,"AAAAAHun/g8=")</f>
        <v>#REF!</v>
      </c>
      <c r="Q305" t="e">
        <f>AND('POTENCIAL HORAS'!#REF!,"AAAAAHun/hA=")</f>
        <v>#REF!</v>
      </c>
      <c r="R305" t="e">
        <f>IF('PROG FORMACIÓN TITULADA'!#REF!,"AAAAAHun/hE=",0)</f>
        <v>#REF!</v>
      </c>
      <c r="S305" t="e">
        <f>AND('PROG FORMACIÓN TITULADA'!#REF!,"AAAAAHun/hI=")</f>
        <v>#REF!</v>
      </c>
      <c r="T305" t="e">
        <f>AND('PROG FORMACIÓN TITULADA'!#REF!,"AAAAAHun/hM=")</f>
        <v>#REF!</v>
      </c>
      <c r="U305" t="e">
        <f>AND('PROG FORMACIÓN TITULADA'!#REF!,"AAAAAHun/hQ=")</f>
        <v>#REF!</v>
      </c>
      <c r="V305" t="e">
        <f>AND('PROG FORMACIÓN TITULADA'!#REF!,"AAAAAHun/hU=")</f>
        <v>#REF!</v>
      </c>
      <c r="W305" t="e">
        <f>AND('PROG FORMACIÓN TITULADA'!#REF!,"AAAAAHun/hY=")</f>
        <v>#REF!</v>
      </c>
      <c r="X305" t="e">
        <f>AND('PROG FORMACIÓN TITULADA'!#REF!,"AAAAAHun/hc=")</f>
        <v>#REF!</v>
      </c>
      <c r="Y305" t="e">
        <f>AND('PROG FORMACIÓN TITULADA'!#REF!,"AAAAAHun/hg=")</f>
        <v>#REF!</v>
      </c>
      <c r="Z305" t="e">
        <f>AND('PROG FORMACIÓN TITULADA'!#REF!,"AAAAAHun/hk=")</f>
        <v>#REF!</v>
      </c>
      <c r="AA305" t="e">
        <f>AND('PROG FORMACIÓN TITULADA'!#REF!,"AAAAAHun/ho=")</f>
        <v>#REF!</v>
      </c>
      <c r="AB305" t="e">
        <f>AND('PROG FORMACIÓN TITULADA'!#REF!,"AAAAAHun/hs=")</f>
        <v>#REF!</v>
      </c>
      <c r="AC305" t="e">
        <f>AND('PROG FORMACIÓN TITULADA'!#REF!,"AAAAAHun/hw=")</f>
        <v>#REF!</v>
      </c>
      <c r="AD305" t="e">
        <f>AND('PROG FORMACIÓN TITULADA'!#REF!,"AAAAAHun/h0=")</f>
        <v>#REF!</v>
      </c>
      <c r="AE305" t="e">
        <f>AND('PROG FORMACIÓN TITULADA'!#REF!,"AAAAAHun/h4=")</f>
        <v>#REF!</v>
      </c>
      <c r="AF305" t="e">
        <f>AND('PROG FORMACIÓN TITULADA'!#REF!,"AAAAAHun/h8=")</f>
        <v>#REF!</v>
      </c>
      <c r="AG305" t="e">
        <f>AND('PROG FORMACIÓN TITULADA'!#REF!,"AAAAAHun/iA=")</f>
        <v>#REF!</v>
      </c>
      <c r="AH305" t="e">
        <f>AND('PROG FORMACIÓN TITULADA'!#REF!,"AAAAAHun/iE=")</f>
        <v>#REF!</v>
      </c>
      <c r="AI305" t="e">
        <f>AND('PROG FORMACIÓN TITULADA'!#REF!,"AAAAAHun/iI=")</f>
        <v>#REF!</v>
      </c>
      <c r="AJ305" t="e">
        <f>AND('PROG FORMACIÓN TITULADA'!#REF!,"AAAAAHun/iM=")</f>
        <v>#REF!</v>
      </c>
      <c r="AK305" t="e">
        <f>AND('PROG FORMACIÓN TITULADA'!#REF!,"AAAAAHun/iQ=")</f>
        <v>#REF!</v>
      </c>
      <c r="AL305" t="e">
        <f>AND('PROG FORMACIÓN TITULADA'!#REF!,"AAAAAHun/iU=")</f>
        <v>#REF!</v>
      </c>
      <c r="AM305" t="e">
        <f>AND('PROG FORMACIÓN TITULADA'!#REF!,"AAAAAHun/iY=")</f>
        <v>#REF!</v>
      </c>
      <c r="AN305" t="e">
        <f>AND('PROG FORMACIÓN TITULADA'!#REF!,"AAAAAHun/ic=")</f>
        <v>#REF!</v>
      </c>
      <c r="AO305" t="e">
        <f>AND('PROG FORMACIÓN TITULADA'!#REF!,"AAAAAHun/ig=")</f>
        <v>#REF!</v>
      </c>
      <c r="AP305" t="e">
        <f>AND('PROG FORMACIÓN TITULADA'!#REF!,"AAAAAHun/ik=")</f>
        <v>#REF!</v>
      </c>
      <c r="AQ305" t="e">
        <f>AND('PROG FORMACIÓN TITULADA'!#REF!,"AAAAAHun/io=")</f>
        <v>#REF!</v>
      </c>
      <c r="AR305" t="e">
        <f>AND('PROG FORMACIÓN TITULADA'!#REF!,"AAAAAHun/is=")</f>
        <v>#REF!</v>
      </c>
      <c r="AS305" t="e">
        <f>IF('PROG FORMACIÓN TITULADA'!#REF!,"AAAAAHun/iw=",0)</f>
        <v>#REF!</v>
      </c>
      <c r="AT305" t="e">
        <f>AND('PROG FORMACIÓN TITULADA'!#REF!,"AAAAAHun/i0=")</f>
        <v>#REF!</v>
      </c>
      <c r="AU305" t="e">
        <f>AND('PROG FORMACIÓN TITULADA'!#REF!,"AAAAAHun/i4=")</f>
        <v>#REF!</v>
      </c>
      <c r="AV305" t="e">
        <f>AND('PROG FORMACIÓN TITULADA'!#REF!,"AAAAAHun/i8=")</f>
        <v>#REF!</v>
      </c>
      <c r="AW305" t="e">
        <f>AND('PROG FORMACIÓN TITULADA'!#REF!,"AAAAAHun/jA=")</f>
        <v>#REF!</v>
      </c>
      <c r="AX305" t="e">
        <f>AND('PROG FORMACIÓN TITULADA'!#REF!,"AAAAAHun/jE=")</f>
        <v>#REF!</v>
      </c>
      <c r="AY305" t="e">
        <f>AND('PROG FORMACIÓN TITULADA'!#REF!,"AAAAAHun/jI=")</f>
        <v>#REF!</v>
      </c>
      <c r="AZ305" t="e">
        <f>AND('PROG FORMACIÓN TITULADA'!#REF!,"AAAAAHun/jM=")</f>
        <v>#REF!</v>
      </c>
      <c r="BA305" t="e">
        <f>AND('PROG FORMACIÓN TITULADA'!#REF!,"AAAAAHun/jQ=")</f>
        <v>#REF!</v>
      </c>
      <c r="BB305" t="e">
        <f>AND('PROG FORMACIÓN TITULADA'!#REF!,"AAAAAHun/jU=")</f>
        <v>#REF!</v>
      </c>
      <c r="BC305" t="e">
        <f>AND('PROG FORMACIÓN TITULADA'!#REF!,"AAAAAHun/jY=")</f>
        <v>#REF!</v>
      </c>
      <c r="BD305" t="e">
        <f>AND('PROG FORMACIÓN TITULADA'!#REF!,"AAAAAHun/jc=")</f>
        <v>#REF!</v>
      </c>
      <c r="BE305" t="e">
        <f>AND('PROG FORMACIÓN TITULADA'!#REF!,"AAAAAHun/jg=")</f>
        <v>#REF!</v>
      </c>
      <c r="BF305" t="e">
        <f>AND('PROG FORMACIÓN TITULADA'!#REF!,"AAAAAHun/jk=")</f>
        <v>#REF!</v>
      </c>
      <c r="BG305" t="e">
        <f>AND('PROG FORMACIÓN TITULADA'!#REF!,"AAAAAHun/jo=")</f>
        <v>#REF!</v>
      </c>
      <c r="BH305" t="e">
        <f>AND('PROG FORMACIÓN TITULADA'!#REF!,"AAAAAHun/js=")</f>
        <v>#REF!</v>
      </c>
      <c r="BI305" t="e">
        <f>AND('PROG FORMACIÓN TITULADA'!#REF!,"AAAAAHun/jw=")</f>
        <v>#REF!</v>
      </c>
      <c r="BJ305" t="e">
        <f>AND('PROG FORMACIÓN TITULADA'!#REF!,"AAAAAHun/j0=")</f>
        <v>#REF!</v>
      </c>
      <c r="BK305" t="e">
        <f>AND('PROG FORMACIÓN TITULADA'!#REF!,"AAAAAHun/j4=")</f>
        <v>#REF!</v>
      </c>
      <c r="BL305" t="e">
        <f>AND('PROG FORMACIÓN TITULADA'!#REF!,"AAAAAHun/j8=")</f>
        <v>#REF!</v>
      </c>
      <c r="BM305" t="e">
        <f>AND('PROG FORMACIÓN TITULADA'!#REF!,"AAAAAHun/kA=")</f>
        <v>#REF!</v>
      </c>
      <c r="BN305" t="e">
        <f>AND('PROG FORMACIÓN TITULADA'!#REF!,"AAAAAHun/kE=")</f>
        <v>#REF!</v>
      </c>
      <c r="BO305" t="e">
        <f>AND('PROG FORMACIÓN TITULADA'!#REF!,"AAAAAHun/kI=")</f>
        <v>#REF!</v>
      </c>
      <c r="BP305" t="e">
        <f>AND('PROG FORMACIÓN TITULADA'!#REF!,"AAAAAHun/kM=")</f>
        <v>#REF!</v>
      </c>
      <c r="BQ305" t="e">
        <f>AND('PROG FORMACIÓN TITULADA'!#REF!,"AAAAAHun/kQ=")</f>
        <v>#REF!</v>
      </c>
      <c r="BR305" t="e">
        <f>AND('PROG FORMACIÓN TITULADA'!#REF!,"AAAAAHun/kU=")</f>
        <v>#REF!</v>
      </c>
      <c r="BS305" t="e">
        <f>AND('PROG FORMACIÓN TITULADA'!#REF!,"AAAAAHun/kY=")</f>
        <v>#REF!</v>
      </c>
      <c r="BT305" t="e">
        <f>IF('PROG FORMACIÓN TITULADA'!#REF!,"AAAAAHun/kc=",0)</f>
        <v>#REF!</v>
      </c>
      <c r="BU305" t="e">
        <f>AND('PROG FORMACIÓN TITULADA'!#REF!,"AAAAAHun/kg=")</f>
        <v>#REF!</v>
      </c>
      <c r="BV305" t="e">
        <f>AND('PROG FORMACIÓN TITULADA'!#REF!,"AAAAAHun/kk=")</f>
        <v>#REF!</v>
      </c>
      <c r="BW305" t="e">
        <f>AND('PROG FORMACIÓN TITULADA'!#REF!,"AAAAAHun/ko=")</f>
        <v>#REF!</v>
      </c>
      <c r="BX305" t="e">
        <f>AND('PROG FORMACIÓN TITULADA'!#REF!,"AAAAAHun/ks=")</f>
        <v>#REF!</v>
      </c>
      <c r="BY305" t="e">
        <f>AND('PROG FORMACIÓN TITULADA'!#REF!,"AAAAAHun/kw=")</f>
        <v>#REF!</v>
      </c>
      <c r="BZ305" t="e">
        <f>AND('PROG FORMACIÓN TITULADA'!#REF!,"AAAAAHun/k0=")</f>
        <v>#REF!</v>
      </c>
      <c r="CA305" t="e">
        <f>AND('PROG FORMACIÓN TITULADA'!#REF!,"AAAAAHun/k4=")</f>
        <v>#REF!</v>
      </c>
      <c r="CB305" t="e">
        <f>AND('PROG FORMACIÓN TITULADA'!#REF!,"AAAAAHun/k8=")</f>
        <v>#REF!</v>
      </c>
      <c r="CC305" t="e">
        <f>AND('PROG FORMACIÓN TITULADA'!#REF!,"AAAAAHun/lA=")</f>
        <v>#REF!</v>
      </c>
      <c r="CD305" t="e">
        <f>AND('PROG FORMACIÓN TITULADA'!#REF!,"AAAAAHun/lE=")</f>
        <v>#REF!</v>
      </c>
      <c r="CE305" t="e">
        <f>AND('PROG FORMACIÓN TITULADA'!#REF!,"AAAAAHun/lI=")</f>
        <v>#REF!</v>
      </c>
      <c r="CF305" t="e">
        <f>AND('PROG FORMACIÓN TITULADA'!#REF!,"AAAAAHun/lM=")</f>
        <v>#REF!</v>
      </c>
      <c r="CG305" t="e">
        <f>AND('PROG FORMACIÓN TITULADA'!#REF!,"AAAAAHun/lQ=")</f>
        <v>#REF!</v>
      </c>
      <c r="CH305" t="e">
        <f>AND('PROG FORMACIÓN TITULADA'!#REF!,"AAAAAHun/lU=")</f>
        <v>#REF!</v>
      </c>
      <c r="CI305" t="e">
        <f>AND('PROG FORMACIÓN TITULADA'!#REF!,"AAAAAHun/lY=")</f>
        <v>#REF!</v>
      </c>
      <c r="CJ305" t="e">
        <f>AND('PROG FORMACIÓN TITULADA'!#REF!,"AAAAAHun/lc=")</f>
        <v>#REF!</v>
      </c>
      <c r="CK305" t="e">
        <f>AND('PROG FORMACIÓN TITULADA'!#REF!,"AAAAAHun/lg=")</f>
        <v>#REF!</v>
      </c>
      <c r="CL305" t="e">
        <f>AND('PROG FORMACIÓN TITULADA'!#REF!,"AAAAAHun/lk=")</f>
        <v>#REF!</v>
      </c>
      <c r="CM305" t="e">
        <f>AND('PROG FORMACIÓN TITULADA'!#REF!,"AAAAAHun/lo=")</f>
        <v>#REF!</v>
      </c>
      <c r="CN305" t="e">
        <f>AND('PROG FORMACIÓN TITULADA'!#REF!,"AAAAAHun/ls=")</f>
        <v>#REF!</v>
      </c>
      <c r="CO305" t="e">
        <f>AND('PROG FORMACIÓN TITULADA'!#REF!,"AAAAAHun/lw=")</f>
        <v>#REF!</v>
      </c>
      <c r="CP305" t="e">
        <f>AND('PROG FORMACIÓN TITULADA'!#REF!,"AAAAAHun/l0=")</f>
        <v>#REF!</v>
      </c>
      <c r="CQ305" t="e">
        <f>AND('PROG FORMACIÓN TITULADA'!#REF!,"AAAAAHun/l4=")</f>
        <v>#REF!</v>
      </c>
      <c r="CR305" t="e">
        <f>AND('PROG FORMACIÓN TITULADA'!#REF!,"AAAAAHun/l8=")</f>
        <v>#REF!</v>
      </c>
      <c r="CS305" t="e">
        <f>AND('PROG FORMACIÓN TITULADA'!#REF!,"AAAAAHun/mA=")</f>
        <v>#REF!</v>
      </c>
      <c r="CT305" t="e">
        <f>AND('PROG FORMACIÓN TITULADA'!#REF!,"AAAAAHun/mE=")</f>
        <v>#REF!</v>
      </c>
      <c r="CU305" t="e">
        <f>IF('PROG FORMACIÓN TITULADA'!#REF!,"AAAAAHun/mI=",0)</f>
        <v>#REF!</v>
      </c>
      <c r="CV305" t="e">
        <f>AND('PROG FORMACIÓN TITULADA'!#REF!,"AAAAAHun/mM=")</f>
        <v>#REF!</v>
      </c>
      <c r="CW305" t="e">
        <f>AND('PROG FORMACIÓN TITULADA'!#REF!,"AAAAAHun/mQ=")</f>
        <v>#REF!</v>
      </c>
      <c r="CX305" t="e">
        <f>AND('PROG FORMACIÓN TITULADA'!#REF!,"AAAAAHun/mU=")</f>
        <v>#REF!</v>
      </c>
      <c r="CY305" t="e">
        <f>AND('PROG FORMACIÓN TITULADA'!#REF!,"AAAAAHun/mY=")</f>
        <v>#REF!</v>
      </c>
      <c r="CZ305" t="e">
        <f>AND('PROG FORMACIÓN TITULADA'!#REF!,"AAAAAHun/mc=")</f>
        <v>#REF!</v>
      </c>
      <c r="DA305" t="e">
        <f>AND('PROG FORMACIÓN TITULADA'!#REF!,"AAAAAHun/mg=")</f>
        <v>#REF!</v>
      </c>
      <c r="DB305" t="e">
        <f>AND('PROG FORMACIÓN TITULADA'!#REF!,"AAAAAHun/mk=")</f>
        <v>#REF!</v>
      </c>
      <c r="DC305" t="e">
        <f>AND('PROG FORMACIÓN TITULADA'!#REF!,"AAAAAHun/mo=")</f>
        <v>#REF!</v>
      </c>
      <c r="DD305" t="e">
        <f>AND('PROG FORMACIÓN TITULADA'!#REF!,"AAAAAHun/ms=")</f>
        <v>#REF!</v>
      </c>
      <c r="DE305" t="e">
        <f>AND('PROG FORMACIÓN TITULADA'!#REF!,"AAAAAHun/mw=")</f>
        <v>#REF!</v>
      </c>
      <c r="DF305" t="e">
        <f>AND('PROG FORMACIÓN TITULADA'!#REF!,"AAAAAHun/m0=")</f>
        <v>#REF!</v>
      </c>
      <c r="DG305" t="e">
        <f>AND('PROG FORMACIÓN TITULADA'!#REF!,"AAAAAHun/m4=")</f>
        <v>#REF!</v>
      </c>
      <c r="DH305" t="e">
        <f>AND('PROG FORMACIÓN TITULADA'!#REF!,"AAAAAHun/m8=")</f>
        <v>#REF!</v>
      </c>
      <c r="DI305" t="e">
        <f>AND('PROG FORMACIÓN TITULADA'!#REF!,"AAAAAHun/nA=")</f>
        <v>#REF!</v>
      </c>
      <c r="DJ305" t="e">
        <f>AND('PROG FORMACIÓN TITULADA'!#REF!,"AAAAAHun/nE=")</f>
        <v>#REF!</v>
      </c>
      <c r="DK305" t="e">
        <f>AND('PROG FORMACIÓN TITULADA'!#REF!,"AAAAAHun/nI=")</f>
        <v>#REF!</v>
      </c>
      <c r="DL305" t="e">
        <f>AND('PROG FORMACIÓN TITULADA'!#REF!,"AAAAAHun/nM=")</f>
        <v>#REF!</v>
      </c>
      <c r="DM305" t="e">
        <f>AND('PROG FORMACIÓN TITULADA'!#REF!,"AAAAAHun/nQ=")</f>
        <v>#REF!</v>
      </c>
      <c r="DN305" t="e">
        <f>AND('PROG FORMACIÓN TITULADA'!#REF!,"AAAAAHun/nU=")</f>
        <v>#REF!</v>
      </c>
      <c r="DO305" t="e">
        <f>AND('PROG FORMACIÓN TITULADA'!#REF!,"AAAAAHun/nY=")</f>
        <v>#REF!</v>
      </c>
      <c r="DP305" t="e">
        <f>AND('PROG FORMACIÓN TITULADA'!#REF!,"AAAAAHun/nc=")</f>
        <v>#REF!</v>
      </c>
      <c r="DQ305" t="e">
        <f>AND('PROG FORMACIÓN TITULADA'!#REF!,"AAAAAHun/ng=")</f>
        <v>#REF!</v>
      </c>
      <c r="DR305" t="e">
        <f>AND('PROG FORMACIÓN TITULADA'!#REF!,"AAAAAHun/nk=")</f>
        <v>#REF!</v>
      </c>
      <c r="DS305" t="e">
        <f>AND('PROG FORMACIÓN TITULADA'!#REF!,"AAAAAHun/no=")</f>
        <v>#REF!</v>
      </c>
      <c r="DT305" t="e">
        <f>AND('PROG FORMACIÓN TITULADA'!#REF!,"AAAAAHun/ns=")</f>
        <v>#REF!</v>
      </c>
      <c r="DU305" t="e">
        <f>AND('PROG FORMACIÓN TITULADA'!#REF!,"AAAAAHun/nw=")</f>
        <v>#REF!</v>
      </c>
      <c r="DV305" t="e">
        <f>IF('PROG FORMACIÓN TITULADA'!#REF!,"AAAAAHun/n0=",0)</f>
        <v>#REF!</v>
      </c>
      <c r="DW305" t="e">
        <f>AND('PROG FORMACIÓN TITULADA'!#REF!,"AAAAAHun/n4=")</f>
        <v>#REF!</v>
      </c>
      <c r="DX305" t="e">
        <f>AND('PROG FORMACIÓN TITULADA'!#REF!,"AAAAAHun/n8=")</f>
        <v>#REF!</v>
      </c>
      <c r="DY305" t="e">
        <f>AND('PROG FORMACIÓN TITULADA'!#REF!,"AAAAAHun/oA=")</f>
        <v>#REF!</v>
      </c>
      <c r="DZ305" t="e">
        <f>AND('PROG FORMACIÓN TITULADA'!#REF!,"AAAAAHun/oE=")</f>
        <v>#REF!</v>
      </c>
      <c r="EA305" t="e">
        <f>AND('PROG FORMACIÓN TITULADA'!#REF!,"AAAAAHun/oI=")</f>
        <v>#REF!</v>
      </c>
      <c r="EB305" t="e">
        <f>AND('PROG FORMACIÓN TITULADA'!#REF!,"AAAAAHun/oM=")</f>
        <v>#REF!</v>
      </c>
      <c r="EC305" t="e">
        <f>AND('PROG FORMACIÓN TITULADA'!#REF!,"AAAAAHun/oQ=")</f>
        <v>#REF!</v>
      </c>
      <c r="ED305" t="e">
        <f>AND('PROG FORMACIÓN TITULADA'!#REF!,"AAAAAHun/oU=")</f>
        <v>#REF!</v>
      </c>
      <c r="EE305" t="e">
        <f>AND('PROG FORMACIÓN TITULADA'!#REF!,"AAAAAHun/oY=")</f>
        <v>#REF!</v>
      </c>
      <c r="EF305" t="e">
        <f>AND('PROG FORMACIÓN TITULADA'!#REF!,"AAAAAHun/oc=")</f>
        <v>#REF!</v>
      </c>
      <c r="EG305" t="e">
        <f>AND('PROG FORMACIÓN TITULADA'!#REF!,"AAAAAHun/og=")</f>
        <v>#REF!</v>
      </c>
      <c r="EH305" t="e">
        <f>AND('PROG FORMACIÓN TITULADA'!#REF!,"AAAAAHun/ok=")</f>
        <v>#REF!</v>
      </c>
      <c r="EI305" t="e">
        <f>AND('PROG FORMACIÓN TITULADA'!#REF!,"AAAAAHun/oo=")</f>
        <v>#REF!</v>
      </c>
      <c r="EJ305" t="e">
        <f>AND('PROG FORMACIÓN TITULADA'!#REF!,"AAAAAHun/os=")</f>
        <v>#REF!</v>
      </c>
      <c r="EK305" t="e">
        <f>AND('PROG FORMACIÓN TITULADA'!#REF!,"AAAAAHun/ow=")</f>
        <v>#REF!</v>
      </c>
      <c r="EL305" t="e">
        <f>AND('PROG FORMACIÓN TITULADA'!#REF!,"AAAAAHun/o0=")</f>
        <v>#REF!</v>
      </c>
      <c r="EM305" t="e">
        <f>AND('PROG FORMACIÓN TITULADA'!#REF!,"AAAAAHun/o4=")</f>
        <v>#REF!</v>
      </c>
      <c r="EN305" t="e">
        <f>AND('PROG FORMACIÓN TITULADA'!#REF!,"AAAAAHun/o8=")</f>
        <v>#REF!</v>
      </c>
      <c r="EO305" t="e">
        <f>AND('PROG FORMACIÓN TITULADA'!#REF!,"AAAAAHun/pA=")</f>
        <v>#REF!</v>
      </c>
      <c r="EP305" t="e">
        <f>AND('PROG FORMACIÓN TITULADA'!#REF!,"AAAAAHun/pE=")</f>
        <v>#REF!</v>
      </c>
      <c r="EQ305" t="e">
        <f>AND('PROG FORMACIÓN TITULADA'!#REF!,"AAAAAHun/pI=")</f>
        <v>#REF!</v>
      </c>
      <c r="ER305" t="e">
        <f>AND('PROG FORMACIÓN TITULADA'!#REF!,"AAAAAHun/pM=")</f>
        <v>#REF!</v>
      </c>
      <c r="ES305" t="e">
        <f>AND('PROG FORMACIÓN TITULADA'!#REF!,"AAAAAHun/pQ=")</f>
        <v>#REF!</v>
      </c>
      <c r="ET305" t="e">
        <f>AND('PROG FORMACIÓN TITULADA'!#REF!,"AAAAAHun/pU=")</f>
        <v>#REF!</v>
      </c>
      <c r="EU305" t="e">
        <f>AND('PROG FORMACIÓN TITULADA'!#REF!,"AAAAAHun/pY=")</f>
        <v>#REF!</v>
      </c>
      <c r="EV305" t="e">
        <f>AND('PROG FORMACIÓN TITULADA'!#REF!,"AAAAAHun/pc=")</f>
        <v>#REF!</v>
      </c>
      <c r="EW305" t="e">
        <f>IF('PROG FORMACIÓN TITULADA'!#REF!,"AAAAAHun/pg=",0)</f>
        <v>#REF!</v>
      </c>
      <c r="EX305" t="e">
        <f>AND('PROG FORMACIÓN TITULADA'!#REF!,"AAAAAHun/pk=")</f>
        <v>#REF!</v>
      </c>
      <c r="EY305" t="e">
        <f>AND('PROG FORMACIÓN TITULADA'!#REF!,"AAAAAHun/po=")</f>
        <v>#REF!</v>
      </c>
      <c r="EZ305" t="e">
        <f>AND('PROG FORMACIÓN TITULADA'!#REF!,"AAAAAHun/ps=")</f>
        <v>#REF!</v>
      </c>
      <c r="FA305" t="e">
        <f>AND('PROG FORMACIÓN TITULADA'!#REF!,"AAAAAHun/pw=")</f>
        <v>#REF!</v>
      </c>
      <c r="FB305" t="e">
        <f>AND('PROG FORMACIÓN TITULADA'!#REF!,"AAAAAHun/p0=")</f>
        <v>#REF!</v>
      </c>
      <c r="FC305" t="e">
        <f>AND('PROG FORMACIÓN TITULADA'!#REF!,"AAAAAHun/p4=")</f>
        <v>#REF!</v>
      </c>
      <c r="FD305" t="e">
        <f>AND('PROG FORMACIÓN TITULADA'!#REF!,"AAAAAHun/p8=")</f>
        <v>#REF!</v>
      </c>
      <c r="FE305" t="e">
        <f>AND('PROG FORMACIÓN TITULADA'!#REF!,"AAAAAHun/qA=")</f>
        <v>#REF!</v>
      </c>
      <c r="FF305" t="e">
        <f>AND('PROG FORMACIÓN TITULADA'!#REF!,"AAAAAHun/qE=")</f>
        <v>#REF!</v>
      </c>
      <c r="FG305" t="e">
        <f>AND('PROG FORMACIÓN TITULADA'!#REF!,"AAAAAHun/qI=")</f>
        <v>#REF!</v>
      </c>
      <c r="FH305" t="e">
        <f>AND('PROG FORMACIÓN TITULADA'!#REF!,"AAAAAHun/qM=")</f>
        <v>#REF!</v>
      </c>
      <c r="FI305" t="e">
        <f>AND('PROG FORMACIÓN TITULADA'!#REF!,"AAAAAHun/qQ=")</f>
        <v>#REF!</v>
      </c>
      <c r="FJ305" t="e">
        <f>AND('PROG FORMACIÓN TITULADA'!#REF!,"AAAAAHun/qU=")</f>
        <v>#REF!</v>
      </c>
      <c r="FK305" t="e">
        <f>AND('PROG FORMACIÓN TITULADA'!#REF!,"AAAAAHun/qY=")</f>
        <v>#REF!</v>
      </c>
      <c r="FL305" t="e">
        <f>AND('PROG FORMACIÓN TITULADA'!#REF!,"AAAAAHun/qc=")</f>
        <v>#REF!</v>
      </c>
      <c r="FM305" t="e">
        <f>AND('PROG FORMACIÓN TITULADA'!#REF!,"AAAAAHun/qg=")</f>
        <v>#REF!</v>
      </c>
      <c r="FN305" t="e">
        <f>AND('PROG FORMACIÓN TITULADA'!#REF!,"AAAAAHun/qk=")</f>
        <v>#REF!</v>
      </c>
      <c r="FO305" t="e">
        <f>AND('PROG FORMACIÓN TITULADA'!#REF!,"AAAAAHun/qo=")</f>
        <v>#REF!</v>
      </c>
      <c r="FP305" t="e">
        <f>AND('PROG FORMACIÓN TITULADA'!#REF!,"AAAAAHun/qs=")</f>
        <v>#REF!</v>
      </c>
      <c r="FQ305" t="e">
        <f>AND('PROG FORMACIÓN TITULADA'!#REF!,"AAAAAHun/qw=")</f>
        <v>#REF!</v>
      </c>
      <c r="FR305" t="e">
        <f>AND('PROG FORMACIÓN TITULADA'!#REF!,"AAAAAHun/q0=")</f>
        <v>#REF!</v>
      </c>
      <c r="FS305" t="e">
        <f>AND('PROG FORMACIÓN TITULADA'!#REF!,"AAAAAHun/q4=")</f>
        <v>#REF!</v>
      </c>
      <c r="FT305" t="e">
        <f>AND('PROG FORMACIÓN TITULADA'!#REF!,"AAAAAHun/q8=")</f>
        <v>#REF!</v>
      </c>
      <c r="FU305" t="e">
        <f>AND('PROG FORMACIÓN TITULADA'!#REF!,"AAAAAHun/rA=")</f>
        <v>#REF!</v>
      </c>
      <c r="FV305" t="e">
        <f>AND('PROG FORMACIÓN TITULADA'!#REF!,"AAAAAHun/rE=")</f>
        <v>#REF!</v>
      </c>
      <c r="FW305" t="e">
        <f>AND('PROG FORMACIÓN TITULADA'!#REF!,"AAAAAHun/rI=")</f>
        <v>#REF!</v>
      </c>
      <c r="FX305" t="e">
        <f>IF('PROG FORMACIÓN TITULADA'!#REF!,"AAAAAHun/rM=",0)</f>
        <v>#REF!</v>
      </c>
      <c r="FY305" t="e">
        <f>AND('PROG FORMACIÓN TITULADA'!#REF!,"AAAAAHun/rQ=")</f>
        <v>#REF!</v>
      </c>
      <c r="FZ305" t="e">
        <f>AND('PROG FORMACIÓN TITULADA'!#REF!,"AAAAAHun/rU=")</f>
        <v>#REF!</v>
      </c>
      <c r="GA305" t="e">
        <f>AND('PROG FORMACIÓN TITULADA'!#REF!,"AAAAAHun/rY=")</f>
        <v>#REF!</v>
      </c>
      <c r="GB305" t="e">
        <f>AND('PROG FORMACIÓN TITULADA'!#REF!,"AAAAAHun/rc=")</f>
        <v>#REF!</v>
      </c>
      <c r="GC305" t="e">
        <f>AND('PROG FORMACIÓN TITULADA'!#REF!,"AAAAAHun/rg=")</f>
        <v>#REF!</v>
      </c>
      <c r="GD305" t="e">
        <f>AND('PROG FORMACIÓN TITULADA'!#REF!,"AAAAAHun/rk=")</f>
        <v>#REF!</v>
      </c>
      <c r="GE305" t="e">
        <f>AND('PROG FORMACIÓN TITULADA'!#REF!,"AAAAAHun/ro=")</f>
        <v>#REF!</v>
      </c>
      <c r="GF305" t="e">
        <f>AND('PROG FORMACIÓN TITULADA'!#REF!,"AAAAAHun/rs=")</f>
        <v>#REF!</v>
      </c>
      <c r="GG305" t="e">
        <f>AND('PROG FORMACIÓN TITULADA'!#REF!,"AAAAAHun/rw=")</f>
        <v>#REF!</v>
      </c>
      <c r="GH305" t="e">
        <f>AND('PROG FORMACIÓN TITULADA'!#REF!,"AAAAAHun/r0=")</f>
        <v>#REF!</v>
      </c>
      <c r="GI305" t="e">
        <f>AND('PROG FORMACIÓN TITULADA'!#REF!,"AAAAAHun/r4=")</f>
        <v>#REF!</v>
      </c>
      <c r="GJ305" t="e">
        <f>AND('PROG FORMACIÓN TITULADA'!#REF!,"AAAAAHun/r8=")</f>
        <v>#REF!</v>
      </c>
      <c r="GK305" t="e">
        <f>AND('PROG FORMACIÓN TITULADA'!#REF!,"AAAAAHun/sA=")</f>
        <v>#REF!</v>
      </c>
      <c r="GL305" t="e">
        <f>AND('PROG FORMACIÓN TITULADA'!#REF!,"AAAAAHun/sE=")</f>
        <v>#REF!</v>
      </c>
      <c r="GM305" t="e">
        <f>AND('PROG FORMACIÓN TITULADA'!#REF!,"AAAAAHun/sI=")</f>
        <v>#REF!</v>
      </c>
      <c r="GN305" t="e">
        <f>AND('PROG FORMACIÓN TITULADA'!#REF!,"AAAAAHun/sM=")</f>
        <v>#REF!</v>
      </c>
      <c r="GO305" t="e">
        <f>AND('PROG FORMACIÓN TITULADA'!#REF!,"AAAAAHun/sQ=")</f>
        <v>#REF!</v>
      </c>
      <c r="GP305" t="e">
        <f>AND('PROG FORMACIÓN TITULADA'!#REF!,"AAAAAHun/sU=")</f>
        <v>#REF!</v>
      </c>
      <c r="GQ305" t="e">
        <f>AND('PROG FORMACIÓN TITULADA'!#REF!,"AAAAAHun/sY=")</f>
        <v>#REF!</v>
      </c>
      <c r="GR305" t="e">
        <f>AND('PROG FORMACIÓN TITULADA'!#REF!,"AAAAAHun/sc=")</f>
        <v>#REF!</v>
      </c>
      <c r="GS305" t="e">
        <f>AND('PROG FORMACIÓN TITULADA'!#REF!,"AAAAAHun/sg=")</f>
        <v>#REF!</v>
      </c>
      <c r="GT305" t="e">
        <f>AND('PROG FORMACIÓN TITULADA'!#REF!,"AAAAAHun/sk=")</f>
        <v>#REF!</v>
      </c>
      <c r="GU305" t="e">
        <f>AND('PROG FORMACIÓN TITULADA'!#REF!,"AAAAAHun/so=")</f>
        <v>#REF!</v>
      </c>
      <c r="GV305" t="e">
        <f>AND('PROG FORMACIÓN TITULADA'!#REF!,"AAAAAHun/ss=")</f>
        <v>#REF!</v>
      </c>
      <c r="GW305" t="e">
        <f>AND('PROG FORMACIÓN TITULADA'!#REF!,"AAAAAHun/sw=")</f>
        <v>#REF!</v>
      </c>
      <c r="GX305" t="e">
        <f>AND('PROG FORMACIÓN TITULADA'!#REF!,"AAAAAHun/s0=")</f>
        <v>#REF!</v>
      </c>
      <c r="GY305" t="e">
        <f>IF('PROG FORMACIÓN TITULADA'!#REF!,"AAAAAHun/s4=",0)</f>
        <v>#REF!</v>
      </c>
      <c r="GZ305" t="e">
        <f>AND('PROG FORMACIÓN TITULADA'!#REF!,"AAAAAHun/s8=")</f>
        <v>#REF!</v>
      </c>
      <c r="HA305" t="e">
        <f>AND('PROG FORMACIÓN TITULADA'!#REF!,"AAAAAHun/tA=")</f>
        <v>#REF!</v>
      </c>
      <c r="HB305" t="e">
        <f>AND('PROG FORMACIÓN TITULADA'!#REF!,"AAAAAHun/tE=")</f>
        <v>#REF!</v>
      </c>
      <c r="HC305" t="e">
        <f>AND('PROG FORMACIÓN TITULADA'!#REF!,"AAAAAHun/tI=")</f>
        <v>#REF!</v>
      </c>
      <c r="HD305" t="e">
        <f>AND('PROG FORMACIÓN TITULADA'!#REF!,"AAAAAHun/tM=")</f>
        <v>#REF!</v>
      </c>
      <c r="HE305" t="e">
        <f>AND('PROG FORMACIÓN TITULADA'!#REF!,"AAAAAHun/tQ=")</f>
        <v>#REF!</v>
      </c>
      <c r="HF305" t="e">
        <f>AND('PROG FORMACIÓN TITULADA'!#REF!,"AAAAAHun/tU=")</f>
        <v>#REF!</v>
      </c>
      <c r="HG305" t="e">
        <f>AND('PROG FORMACIÓN TITULADA'!#REF!,"AAAAAHun/tY=")</f>
        <v>#REF!</v>
      </c>
      <c r="HH305" t="e">
        <f>AND('PROG FORMACIÓN TITULADA'!#REF!,"AAAAAHun/tc=")</f>
        <v>#REF!</v>
      </c>
      <c r="HI305" t="e">
        <f>AND('PROG FORMACIÓN TITULADA'!#REF!,"AAAAAHun/tg=")</f>
        <v>#REF!</v>
      </c>
      <c r="HJ305" t="e">
        <f>AND('PROG FORMACIÓN TITULADA'!#REF!,"AAAAAHun/tk=")</f>
        <v>#REF!</v>
      </c>
      <c r="HK305" t="e">
        <f>AND('PROG FORMACIÓN TITULADA'!#REF!,"AAAAAHun/to=")</f>
        <v>#REF!</v>
      </c>
      <c r="HL305" t="e">
        <f>AND('PROG FORMACIÓN TITULADA'!#REF!,"AAAAAHun/ts=")</f>
        <v>#REF!</v>
      </c>
      <c r="HM305" t="e">
        <f>AND('PROG FORMACIÓN TITULADA'!#REF!,"AAAAAHun/tw=")</f>
        <v>#REF!</v>
      </c>
      <c r="HN305" t="e">
        <f>AND('PROG FORMACIÓN TITULADA'!#REF!,"AAAAAHun/t0=")</f>
        <v>#REF!</v>
      </c>
      <c r="HO305" t="e">
        <f>AND('PROG FORMACIÓN TITULADA'!#REF!,"AAAAAHun/t4=")</f>
        <v>#REF!</v>
      </c>
      <c r="HP305" t="e">
        <f>AND('PROG FORMACIÓN TITULADA'!#REF!,"AAAAAHun/t8=")</f>
        <v>#REF!</v>
      </c>
      <c r="HQ305" t="e">
        <f>AND('PROG FORMACIÓN TITULADA'!#REF!,"AAAAAHun/uA=")</f>
        <v>#REF!</v>
      </c>
      <c r="HR305" t="e">
        <f>AND('PROG FORMACIÓN TITULADA'!#REF!,"AAAAAHun/uE=")</f>
        <v>#REF!</v>
      </c>
      <c r="HS305" t="e">
        <f>AND('PROG FORMACIÓN TITULADA'!#REF!,"AAAAAHun/uI=")</f>
        <v>#REF!</v>
      </c>
      <c r="HT305" t="e">
        <f>AND('PROG FORMACIÓN TITULADA'!#REF!,"AAAAAHun/uM=")</f>
        <v>#REF!</v>
      </c>
      <c r="HU305" t="e">
        <f>AND('PROG FORMACIÓN TITULADA'!#REF!,"AAAAAHun/uQ=")</f>
        <v>#REF!</v>
      </c>
      <c r="HV305" t="e">
        <f>AND('PROG FORMACIÓN TITULADA'!#REF!,"AAAAAHun/uU=")</f>
        <v>#REF!</v>
      </c>
      <c r="HW305" t="e">
        <f>AND('PROG FORMACIÓN TITULADA'!#REF!,"AAAAAHun/uY=")</f>
        <v>#REF!</v>
      </c>
      <c r="HX305" t="e">
        <f>AND('PROG FORMACIÓN TITULADA'!#REF!,"AAAAAHun/uc=")</f>
        <v>#REF!</v>
      </c>
      <c r="HY305" t="e">
        <f>AND('PROG FORMACIÓN TITULADA'!#REF!,"AAAAAHun/ug=")</f>
        <v>#REF!</v>
      </c>
      <c r="HZ305" t="e">
        <f>IF('PROG FORMACIÓN TITULADA'!#REF!,"AAAAAHun/uk=",0)</f>
        <v>#REF!</v>
      </c>
      <c r="IA305" t="e">
        <f>AND('PROG FORMACIÓN TITULADA'!#REF!,"AAAAAHun/uo=")</f>
        <v>#REF!</v>
      </c>
      <c r="IB305" t="e">
        <f>AND('PROG FORMACIÓN TITULADA'!#REF!,"AAAAAHun/us=")</f>
        <v>#REF!</v>
      </c>
      <c r="IC305" t="e">
        <f>AND('PROG FORMACIÓN TITULADA'!#REF!,"AAAAAHun/uw=")</f>
        <v>#REF!</v>
      </c>
      <c r="ID305" t="e">
        <f>AND('PROG FORMACIÓN TITULADA'!#REF!,"AAAAAHun/u0=")</f>
        <v>#REF!</v>
      </c>
      <c r="IE305" t="e">
        <f>AND('PROG FORMACIÓN TITULADA'!#REF!,"AAAAAHun/u4=")</f>
        <v>#REF!</v>
      </c>
      <c r="IF305" t="e">
        <f>AND('PROG FORMACIÓN TITULADA'!#REF!,"AAAAAHun/u8=")</f>
        <v>#REF!</v>
      </c>
      <c r="IG305" t="e">
        <f>AND('PROG FORMACIÓN TITULADA'!#REF!,"AAAAAHun/vA=")</f>
        <v>#REF!</v>
      </c>
      <c r="IH305" t="e">
        <f>AND('PROG FORMACIÓN TITULADA'!#REF!,"AAAAAHun/vE=")</f>
        <v>#REF!</v>
      </c>
      <c r="II305" t="e">
        <f>AND('PROG FORMACIÓN TITULADA'!#REF!,"AAAAAHun/vI=")</f>
        <v>#REF!</v>
      </c>
      <c r="IJ305" t="e">
        <f>AND('PROG FORMACIÓN TITULADA'!#REF!,"AAAAAHun/vM=")</f>
        <v>#REF!</v>
      </c>
      <c r="IK305" t="e">
        <f>AND('PROG FORMACIÓN TITULADA'!#REF!,"AAAAAHun/vQ=")</f>
        <v>#REF!</v>
      </c>
      <c r="IL305" t="e">
        <f>AND('PROG FORMACIÓN TITULADA'!#REF!,"AAAAAHun/vU=")</f>
        <v>#REF!</v>
      </c>
      <c r="IM305" t="e">
        <f>AND('PROG FORMACIÓN TITULADA'!#REF!,"AAAAAHun/vY=")</f>
        <v>#REF!</v>
      </c>
      <c r="IN305" t="e">
        <f>AND('PROG FORMACIÓN TITULADA'!#REF!,"AAAAAHun/vc=")</f>
        <v>#REF!</v>
      </c>
      <c r="IO305" t="e">
        <f>AND('PROG FORMACIÓN TITULADA'!#REF!,"AAAAAHun/vg=")</f>
        <v>#REF!</v>
      </c>
      <c r="IP305" t="e">
        <f>AND('PROG FORMACIÓN TITULADA'!#REF!,"AAAAAHun/vk=")</f>
        <v>#REF!</v>
      </c>
      <c r="IQ305" t="e">
        <f>AND('PROG FORMACIÓN TITULADA'!#REF!,"AAAAAHun/vo=")</f>
        <v>#REF!</v>
      </c>
      <c r="IR305" t="e">
        <f>AND('PROG FORMACIÓN TITULADA'!#REF!,"AAAAAHun/vs=")</f>
        <v>#REF!</v>
      </c>
      <c r="IS305" t="e">
        <f>AND('PROG FORMACIÓN TITULADA'!#REF!,"AAAAAHun/vw=")</f>
        <v>#REF!</v>
      </c>
      <c r="IT305" t="e">
        <f>AND('PROG FORMACIÓN TITULADA'!#REF!,"AAAAAHun/v0=")</f>
        <v>#REF!</v>
      </c>
      <c r="IU305" t="e">
        <f>AND('PROG FORMACIÓN TITULADA'!#REF!,"AAAAAHun/v4=")</f>
        <v>#REF!</v>
      </c>
      <c r="IV305" t="e">
        <f>AND('PROG FORMACIÓN TITULADA'!#REF!,"AAAAAHun/v8=")</f>
        <v>#REF!</v>
      </c>
    </row>
    <row r="306" spans="1:256" x14ac:dyDescent="0.2">
      <c r="A306" t="e">
        <f>AND('PROG FORMACIÓN TITULADA'!#REF!,"AAAAAHf7ugA=")</f>
        <v>#REF!</v>
      </c>
      <c r="B306" t="e">
        <f>AND('PROG FORMACIÓN TITULADA'!#REF!,"AAAAAHf7ugE=")</f>
        <v>#REF!</v>
      </c>
      <c r="C306" t="e">
        <f>AND('PROG FORMACIÓN TITULADA'!#REF!,"AAAAAHf7ugI=")</f>
        <v>#REF!</v>
      </c>
      <c r="D306" t="e">
        <f>AND('PROG FORMACIÓN TITULADA'!#REF!,"AAAAAHf7ugM=")</f>
        <v>#REF!</v>
      </c>
      <c r="E306" t="e">
        <f>IF('PROG FORMACIÓN TITULADA'!#REF!,"AAAAAHf7ugQ=",0)</f>
        <v>#REF!</v>
      </c>
      <c r="F306" t="e">
        <f>AND('PROG FORMACIÓN TITULADA'!#REF!,"AAAAAHf7ugU=")</f>
        <v>#REF!</v>
      </c>
      <c r="G306" t="e">
        <f>AND('PROG FORMACIÓN TITULADA'!#REF!,"AAAAAHf7ugY=")</f>
        <v>#REF!</v>
      </c>
      <c r="H306" t="e">
        <f>AND('PROG FORMACIÓN TITULADA'!#REF!,"AAAAAHf7ugc=")</f>
        <v>#REF!</v>
      </c>
      <c r="I306" t="e">
        <f>AND('PROG FORMACIÓN TITULADA'!#REF!,"AAAAAHf7ugg=")</f>
        <v>#REF!</v>
      </c>
      <c r="J306" t="e">
        <f>AND('PROG FORMACIÓN TITULADA'!#REF!,"AAAAAHf7ugk=")</f>
        <v>#REF!</v>
      </c>
      <c r="K306" t="e">
        <f>AND('PROG FORMACIÓN TITULADA'!#REF!,"AAAAAHf7ugo=")</f>
        <v>#REF!</v>
      </c>
      <c r="L306" t="e">
        <f>AND('PROG FORMACIÓN TITULADA'!#REF!,"AAAAAHf7ugs=")</f>
        <v>#REF!</v>
      </c>
      <c r="M306" t="e">
        <f>AND('PROG FORMACIÓN TITULADA'!#REF!,"AAAAAHf7ugw=")</f>
        <v>#REF!</v>
      </c>
      <c r="N306" t="e">
        <f>AND('PROG FORMACIÓN TITULADA'!#REF!,"AAAAAHf7ug0=")</f>
        <v>#REF!</v>
      </c>
      <c r="O306" t="e">
        <f>AND('PROG FORMACIÓN TITULADA'!#REF!,"AAAAAHf7ug4=")</f>
        <v>#REF!</v>
      </c>
      <c r="P306" t="e">
        <f>AND('PROG FORMACIÓN TITULADA'!#REF!,"AAAAAHf7ug8=")</f>
        <v>#REF!</v>
      </c>
      <c r="Q306" t="e">
        <f>AND('PROG FORMACIÓN TITULADA'!#REF!,"AAAAAHf7uhA=")</f>
        <v>#REF!</v>
      </c>
      <c r="R306" t="e">
        <f>AND('PROG FORMACIÓN TITULADA'!#REF!,"AAAAAHf7uhE=")</f>
        <v>#REF!</v>
      </c>
      <c r="S306" t="e">
        <f>AND('PROG FORMACIÓN TITULADA'!#REF!,"AAAAAHf7uhI=")</f>
        <v>#REF!</v>
      </c>
      <c r="T306" t="e">
        <f>AND('PROG FORMACIÓN TITULADA'!#REF!,"AAAAAHf7uhM=")</f>
        <v>#REF!</v>
      </c>
      <c r="U306" t="e">
        <f>AND('PROG FORMACIÓN TITULADA'!#REF!,"AAAAAHf7uhQ=")</f>
        <v>#REF!</v>
      </c>
      <c r="V306" t="e">
        <f>AND('PROG FORMACIÓN TITULADA'!#REF!,"AAAAAHf7uhU=")</f>
        <v>#REF!</v>
      </c>
      <c r="W306" t="e">
        <f>AND('PROG FORMACIÓN TITULADA'!#REF!,"AAAAAHf7uhY=")</f>
        <v>#REF!</v>
      </c>
      <c r="X306" t="e">
        <f>AND('PROG FORMACIÓN TITULADA'!#REF!,"AAAAAHf7uhc=")</f>
        <v>#REF!</v>
      </c>
      <c r="Y306" t="e">
        <f>AND('PROG FORMACIÓN TITULADA'!#REF!,"AAAAAHf7uhg=")</f>
        <v>#REF!</v>
      </c>
      <c r="Z306" t="e">
        <f>AND('PROG FORMACIÓN TITULADA'!#REF!,"AAAAAHf7uhk=")</f>
        <v>#REF!</v>
      </c>
      <c r="AA306" t="e">
        <f>AND('PROG FORMACIÓN TITULADA'!#REF!,"AAAAAHf7uho=")</f>
        <v>#REF!</v>
      </c>
      <c r="AB306" t="e">
        <f>AND('PROG FORMACIÓN TITULADA'!#REF!,"AAAAAHf7uhs=")</f>
        <v>#REF!</v>
      </c>
      <c r="AC306" t="e">
        <f>AND('PROG FORMACIÓN TITULADA'!#REF!,"AAAAAHf7uhw=")</f>
        <v>#REF!</v>
      </c>
      <c r="AD306" t="e">
        <f>AND('PROG FORMACIÓN TITULADA'!#REF!,"AAAAAHf7uh0=")</f>
        <v>#REF!</v>
      </c>
      <c r="AE306" t="e">
        <f>AND('PROG FORMACIÓN TITULADA'!#REF!,"AAAAAHf7uh4=")</f>
        <v>#REF!</v>
      </c>
      <c r="AF306" t="e">
        <f>IF('PROG FORMACIÓN TITULADA'!#REF!,"AAAAAHf7uh8=",0)</f>
        <v>#REF!</v>
      </c>
      <c r="AG306" t="e">
        <f>AND('PROG FORMACIÓN TITULADA'!#REF!,"AAAAAHf7uiA=")</f>
        <v>#REF!</v>
      </c>
      <c r="AH306" t="e">
        <f>AND('PROG FORMACIÓN TITULADA'!#REF!,"AAAAAHf7uiE=")</f>
        <v>#REF!</v>
      </c>
      <c r="AI306" t="e">
        <f>AND('PROG FORMACIÓN TITULADA'!#REF!,"AAAAAHf7uiI=")</f>
        <v>#REF!</v>
      </c>
      <c r="AJ306" t="e">
        <f>AND('PROG FORMACIÓN TITULADA'!#REF!,"AAAAAHf7uiM=")</f>
        <v>#REF!</v>
      </c>
      <c r="AK306" t="e">
        <f>AND('PROG FORMACIÓN TITULADA'!#REF!,"AAAAAHf7uiQ=")</f>
        <v>#REF!</v>
      </c>
      <c r="AL306" t="e">
        <f>AND('PROG FORMACIÓN TITULADA'!#REF!,"AAAAAHf7uiU=")</f>
        <v>#REF!</v>
      </c>
      <c r="AM306" t="e">
        <f>AND('PROG FORMACIÓN TITULADA'!#REF!,"AAAAAHf7uiY=")</f>
        <v>#REF!</v>
      </c>
      <c r="AN306" t="e">
        <f>AND('PROG FORMACIÓN TITULADA'!#REF!,"AAAAAHf7uic=")</f>
        <v>#REF!</v>
      </c>
      <c r="AO306" t="e">
        <f>AND('PROG FORMACIÓN TITULADA'!#REF!,"AAAAAHf7uig=")</f>
        <v>#REF!</v>
      </c>
      <c r="AP306" t="e">
        <f>AND('PROG FORMACIÓN TITULADA'!#REF!,"AAAAAHf7uik=")</f>
        <v>#REF!</v>
      </c>
      <c r="AQ306" t="e">
        <f>AND('PROG FORMACIÓN TITULADA'!#REF!,"AAAAAHf7uio=")</f>
        <v>#REF!</v>
      </c>
      <c r="AR306" t="e">
        <f>AND('PROG FORMACIÓN TITULADA'!#REF!,"AAAAAHf7uis=")</f>
        <v>#REF!</v>
      </c>
      <c r="AS306" t="e">
        <f>AND('PROG FORMACIÓN TITULADA'!#REF!,"AAAAAHf7uiw=")</f>
        <v>#REF!</v>
      </c>
      <c r="AT306" t="e">
        <f>AND('PROG FORMACIÓN TITULADA'!#REF!,"AAAAAHf7ui0=")</f>
        <v>#REF!</v>
      </c>
      <c r="AU306" t="e">
        <f>AND('PROG FORMACIÓN TITULADA'!#REF!,"AAAAAHf7ui4=")</f>
        <v>#REF!</v>
      </c>
      <c r="AV306" t="e">
        <f>AND('PROG FORMACIÓN TITULADA'!#REF!,"AAAAAHf7ui8=")</f>
        <v>#REF!</v>
      </c>
      <c r="AW306" t="e">
        <f>AND('PROG FORMACIÓN TITULADA'!#REF!,"AAAAAHf7ujA=")</f>
        <v>#REF!</v>
      </c>
      <c r="AX306" t="e">
        <f>AND('PROG FORMACIÓN TITULADA'!#REF!,"AAAAAHf7ujE=")</f>
        <v>#REF!</v>
      </c>
      <c r="AY306" t="e">
        <f>AND('PROG FORMACIÓN TITULADA'!#REF!,"AAAAAHf7ujI=")</f>
        <v>#REF!</v>
      </c>
      <c r="AZ306" t="e">
        <f>AND('PROG FORMACIÓN TITULADA'!#REF!,"AAAAAHf7ujM=")</f>
        <v>#REF!</v>
      </c>
      <c r="BA306" t="e">
        <f>AND('PROG FORMACIÓN TITULADA'!#REF!,"AAAAAHf7ujQ=")</f>
        <v>#REF!</v>
      </c>
      <c r="BB306" t="e">
        <f>AND('PROG FORMACIÓN TITULADA'!#REF!,"AAAAAHf7ujU=")</f>
        <v>#REF!</v>
      </c>
      <c r="BC306" t="e">
        <f>AND('PROG FORMACIÓN TITULADA'!#REF!,"AAAAAHf7ujY=")</f>
        <v>#REF!</v>
      </c>
      <c r="BD306" t="e">
        <f>AND('PROG FORMACIÓN TITULADA'!#REF!,"AAAAAHf7ujc=")</f>
        <v>#REF!</v>
      </c>
      <c r="BE306" t="e">
        <f>AND('PROG FORMACIÓN TITULADA'!#REF!,"AAAAAHf7ujg=")</f>
        <v>#REF!</v>
      </c>
      <c r="BF306" t="e">
        <f>AND('PROG FORMACIÓN TITULADA'!#REF!,"AAAAAHf7ujk=")</f>
        <v>#REF!</v>
      </c>
      <c r="BG306" t="e">
        <f>IF('PROG FORMACIÓN TITULADA'!#REF!,"AAAAAHf7ujo=",0)</f>
        <v>#REF!</v>
      </c>
      <c r="BH306" t="e">
        <f>AND('PROG FORMACIÓN TITULADA'!#REF!,"AAAAAHf7ujs=")</f>
        <v>#REF!</v>
      </c>
      <c r="BI306" t="e">
        <f>AND('PROG FORMACIÓN TITULADA'!#REF!,"AAAAAHf7ujw=")</f>
        <v>#REF!</v>
      </c>
      <c r="BJ306" t="e">
        <f>AND('PROG FORMACIÓN TITULADA'!#REF!,"AAAAAHf7uj0=")</f>
        <v>#REF!</v>
      </c>
      <c r="BK306" t="e">
        <f>AND('PROG FORMACIÓN TITULADA'!#REF!,"AAAAAHf7uj4=")</f>
        <v>#REF!</v>
      </c>
      <c r="BL306" t="e">
        <f>AND('PROG FORMACIÓN TITULADA'!#REF!,"AAAAAHf7uj8=")</f>
        <v>#REF!</v>
      </c>
      <c r="BM306" t="e">
        <f>AND('PROG FORMACIÓN TITULADA'!#REF!,"AAAAAHf7ukA=")</f>
        <v>#REF!</v>
      </c>
      <c r="BN306" t="e">
        <f>AND('PROG FORMACIÓN TITULADA'!#REF!,"AAAAAHf7ukE=")</f>
        <v>#REF!</v>
      </c>
      <c r="BO306" t="e">
        <f>AND('PROG FORMACIÓN TITULADA'!#REF!,"AAAAAHf7ukI=")</f>
        <v>#REF!</v>
      </c>
      <c r="BP306" t="e">
        <f>AND('PROG FORMACIÓN TITULADA'!#REF!,"AAAAAHf7ukM=")</f>
        <v>#REF!</v>
      </c>
      <c r="BQ306" t="e">
        <f>AND('PROG FORMACIÓN TITULADA'!#REF!,"AAAAAHf7ukQ=")</f>
        <v>#REF!</v>
      </c>
      <c r="BR306" t="e">
        <f>AND('PROG FORMACIÓN TITULADA'!#REF!,"AAAAAHf7ukU=")</f>
        <v>#REF!</v>
      </c>
      <c r="BS306" t="e">
        <f>AND('PROG FORMACIÓN TITULADA'!#REF!,"AAAAAHf7ukY=")</f>
        <v>#REF!</v>
      </c>
      <c r="BT306" t="e">
        <f>AND('PROG FORMACIÓN TITULADA'!#REF!,"AAAAAHf7ukc=")</f>
        <v>#REF!</v>
      </c>
      <c r="BU306" t="e">
        <f>AND('PROG FORMACIÓN TITULADA'!#REF!,"AAAAAHf7ukg=")</f>
        <v>#REF!</v>
      </c>
      <c r="BV306" t="e">
        <f>AND('PROG FORMACIÓN TITULADA'!#REF!,"AAAAAHf7ukk=")</f>
        <v>#REF!</v>
      </c>
      <c r="BW306" t="e">
        <f>AND('PROG FORMACIÓN TITULADA'!#REF!,"AAAAAHf7uko=")</f>
        <v>#REF!</v>
      </c>
      <c r="BX306" t="e">
        <f>AND('PROG FORMACIÓN TITULADA'!#REF!,"AAAAAHf7uks=")</f>
        <v>#REF!</v>
      </c>
      <c r="BY306" t="e">
        <f>AND('PROG FORMACIÓN TITULADA'!#REF!,"AAAAAHf7ukw=")</f>
        <v>#REF!</v>
      </c>
      <c r="BZ306" t="e">
        <f>AND('PROG FORMACIÓN TITULADA'!#REF!,"AAAAAHf7uk0=")</f>
        <v>#REF!</v>
      </c>
      <c r="CA306" t="e">
        <f>AND('PROG FORMACIÓN TITULADA'!#REF!,"AAAAAHf7uk4=")</f>
        <v>#REF!</v>
      </c>
      <c r="CB306" t="e">
        <f>AND('PROG FORMACIÓN TITULADA'!#REF!,"AAAAAHf7uk8=")</f>
        <v>#REF!</v>
      </c>
      <c r="CC306" t="e">
        <f>AND('PROG FORMACIÓN TITULADA'!#REF!,"AAAAAHf7ulA=")</f>
        <v>#REF!</v>
      </c>
      <c r="CD306" t="e">
        <f>AND('PROG FORMACIÓN TITULADA'!#REF!,"AAAAAHf7ulE=")</f>
        <v>#REF!</v>
      </c>
      <c r="CE306" t="e">
        <f>AND('PROG FORMACIÓN TITULADA'!#REF!,"AAAAAHf7ulI=")</f>
        <v>#REF!</v>
      </c>
      <c r="CF306" t="e">
        <f>AND('PROG FORMACIÓN TITULADA'!#REF!,"AAAAAHf7ulM=")</f>
        <v>#REF!</v>
      </c>
      <c r="CG306" t="e">
        <f>AND('PROG FORMACIÓN TITULADA'!#REF!,"AAAAAHf7ulQ=")</f>
        <v>#REF!</v>
      </c>
      <c r="CH306" t="e">
        <f>IF('PROG FORMACIÓN TITULADA'!#REF!,"AAAAAHf7ulU=",0)</f>
        <v>#REF!</v>
      </c>
      <c r="CI306" t="e">
        <f>AND('PROG FORMACIÓN TITULADA'!#REF!,"AAAAAHf7ulY=")</f>
        <v>#REF!</v>
      </c>
      <c r="CJ306" t="e">
        <f>AND('PROG FORMACIÓN TITULADA'!#REF!,"AAAAAHf7ulc=")</f>
        <v>#REF!</v>
      </c>
      <c r="CK306" t="e">
        <f>AND('PROG FORMACIÓN TITULADA'!#REF!,"AAAAAHf7ulg=")</f>
        <v>#REF!</v>
      </c>
      <c r="CL306" t="e">
        <f>AND('PROG FORMACIÓN TITULADA'!#REF!,"AAAAAHf7ulk=")</f>
        <v>#REF!</v>
      </c>
      <c r="CM306" t="e">
        <f>AND('PROG FORMACIÓN TITULADA'!#REF!,"AAAAAHf7ulo=")</f>
        <v>#REF!</v>
      </c>
      <c r="CN306" t="e">
        <f>AND('PROG FORMACIÓN TITULADA'!#REF!,"AAAAAHf7uls=")</f>
        <v>#REF!</v>
      </c>
      <c r="CO306" t="e">
        <f>AND('PROG FORMACIÓN TITULADA'!#REF!,"AAAAAHf7ulw=")</f>
        <v>#REF!</v>
      </c>
      <c r="CP306" t="e">
        <f>AND('PROG FORMACIÓN TITULADA'!#REF!,"AAAAAHf7ul0=")</f>
        <v>#REF!</v>
      </c>
      <c r="CQ306" t="e">
        <f>AND('PROG FORMACIÓN TITULADA'!#REF!,"AAAAAHf7ul4=")</f>
        <v>#REF!</v>
      </c>
      <c r="CR306" t="e">
        <f>AND('PROG FORMACIÓN TITULADA'!#REF!,"AAAAAHf7ul8=")</f>
        <v>#REF!</v>
      </c>
      <c r="CS306" t="e">
        <f>AND('PROG FORMACIÓN TITULADA'!#REF!,"AAAAAHf7umA=")</f>
        <v>#REF!</v>
      </c>
      <c r="CT306" t="e">
        <f>AND('PROG FORMACIÓN TITULADA'!#REF!,"AAAAAHf7umE=")</f>
        <v>#REF!</v>
      </c>
      <c r="CU306" t="e">
        <f>AND('PROG FORMACIÓN TITULADA'!#REF!,"AAAAAHf7umI=")</f>
        <v>#REF!</v>
      </c>
      <c r="CV306" t="e">
        <f>AND('PROG FORMACIÓN TITULADA'!#REF!,"AAAAAHf7umM=")</f>
        <v>#REF!</v>
      </c>
      <c r="CW306" t="e">
        <f>AND('PROG FORMACIÓN TITULADA'!#REF!,"AAAAAHf7umQ=")</f>
        <v>#REF!</v>
      </c>
      <c r="CX306" t="e">
        <f>AND('PROG FORMACIÓN TITULADA'!#REF!,"AAAAAHf7umU=")</f>
        <v>#REF!</v>
      </c>
      <c r="CY306" t="e">
        <f>AND('PROG FORMACIÓN TITULADA'!#REF!,"AAAAAHf7umY=")</f>
        <v>#REF!</v>
      </c>
      <c r="CZ306" t="e">
        <f>AND('PROG FORMACIÓN TITULADA'!#REF!,"AAAAAHf7umc=")</f>
        <v>#REF!</v>
      </c>
      <c r="DA306" t="e">
        <f>AND('PROG FORMACIÓN TITULADA'!#REF!,"AAAAAHf7umg=")</f>
        <v>#REF!</v>
      </c>
      <c r="DB306" t="e">
        <f>AND('PROG FORMACIÓN TITULADA'!#REF!,"AAAAAHf7umk=")</f>
        <v>#REF!</v>
      </c>
      <c r="DC306" t="e">
        <f>AND('PROG FORMACIÓN TITULADA'!#REF!,"AAAAAHf7umo=")</f>
        <v>#REF!</v>
      </c>
      <c r="DD306" t="e">
        <f>AND('PROG FORMACIÓN TITULADA'!#REF!,"AAAAAHf7ums=")</f>
        <v>#REF!</v>
      </c>
      <c r="DE306" t="e">
        <f>AND('PROG FORMACIÓN TITULADA'!#REF!,"AAAAAHf7umw=")</f>
        <v>#REF!</v>
      </c>
      <c r="DF306" t="e">
        <f>AND('PROG FORMACIÓN TITULADA'!#REF!,"AAAAAHf7um0=")</f>
        <v>#REF!</v>
      </c>
      <c r="DG306" t="e">
        <f>AND('PROG FORMACIÓN TITULADA'!#REF!,"AAAAAHf7um4=")</f>
        <v>#REF!</v>
      </c>
      <c r="DH306" t="e">
        <f>AND('PROG FORMACIÓN TITULADA'!#REF!,"AAAAAHf7um8=")</f>
        <v>#REF!</v>
      </c>
      <c r="DI306" t="e">
        <f>IF('PROG FORMACIÓN TITULADA'!#REF!,"AAAAAHf7unA=",0)</f>
        <v>#REF!</v>
      </c>
      <c r="DJ306" t="e">
        <f>AND('PROG FORMACIÓN TITULADA'!#REF!,"AAAAAHf7unE=")</f>
        <v>#REF!</v>
      </c>
      <c r="DK306" t="e">
        <f>AND('PROG FORMACIÓN TITULADA'!#REF!,"AAAAAHf7unI=")</f>
        <v>#REF!</v>
      </c>
      <c r="DL306" t="e">
        <f>AND('PROG FORMACIÓN TITULADA'!#REF!,"AAAAAHf7unM=")</f>
        <v>#REF!</v>
      </c>
      <c r="DM306" t="e">
        <f>AND('PROG FORMACIÓN TITULADA'!#REF!,"AAAAAHf7unQ=")</f>
        <v>#REF!</v>
      </c>
      <c r="DN306" t="e">
        <f>AND('PROG FORMACIÓN TITULADA'!#REF!,"AAAAAHf7unU=")</f>
        <v>#REF!</v>
      </c>
      <c r="DO306" t="e">
        <f>AND('PROG FORMACIÓN TITULADA'!#REF!,"AAAAAHf7unY=")</f>
        <v>#REF!</v>
      </c>
      <c r="DP306" t="e">
        <f>AND('PROG FORMACIÓN TITULADA'!#REF!,"AAAAAHf7unc=")</f>
        <v>#REF!</v>
      </c>
      <c r="DQ306" t="e">
        <f>AND('PROG FORMACIÓN TITULADA'!#REF!,"AAAAAHf7ung=")</f>
        <v>#REF!</v>
      </c>
      <c r="DR306" t="e">
        <f>AND('PROG FORMACIÓN TITULADA'!#REF!,"AAAAAHf7unk=")</f>
        <v>#REF!</v>
      </c>
      <c r="DS306" t="e">
        <f>AND('PROG FORMACIÓN TITULADA'!#REF!,"AAAAAHf7uno=")</f>
        <v>#REF!</v>
      </c>
      <c r="DT306" t="e">
        <f>AND('PROG FORMACIÓN TITULADA'!#REF!,"AAAAAHf7uns=")</f>
        <v>#REF!</v>
      </c>
      <c r="DU306" t="e">
        <f>AND('PROG FORMACIÓN TITULADA'!#REF!,"AAAAAHf7unw=")</f>
        <v>#REF!</v>
      </c>
      <c r="DV306" t="e">
        <f>AND('PROG FORMACIÓN TITULADA'!#REF!,"AAAAAHf7un0=")</f>
        <v>#REF!</v>
      </c>
      <c r="DW306" t="e">
        <f>AND('PROG FORMACIÓN TITULADA'!#REF!,"AAAAAHf7un4=")</f>
        <v>#REF!</v>
      </c>
      <c r="DX306" t="e">
        <f>AND('PROG FORMACIÓN TITULADA'!#REF!,"AAAAAHf7un8=")</f>
        <v>#REF!</v>
      </c>
      <c r="DY306" t="e">
        <f>AND('PROG FORMACIÓN TITULADA'!#REF!,"AAAAAHf7uoA=")</f>
        <v>#REF!</v>
      </c>
      <c r="DZ306" t="e">
        <f>AND('PROG FORMACIÓN TITULADA'!#REF!,"AAAAAHf7uoE=")</f>
        <v>#REF!</v>
      </c>
      <c r="EA306" t="e">
        <f>AND('PROG FORMACIÓN TITULADA'!#REF!,"AAAAAHf7uoI=")</f>
        <v>#REF!</v>
      </c>
      <c r="EB306" t="e">
        <f>AND('PROG FORMACIÓN TITULADA'!#REF!,"AAAAAHf7uoM=")</f>
        <v>#REF!</v>
      </c>
      <c r="EC306" t="e">
        <f>AND('PROG FORMACIÓN TITULADA'!#REF!,"AAAAAHf7uoQ=")</f>
        <v>#REF!</v>
      </c>
      <c r="ED306" t="e">
        <f>AND('PROG FORMACIÓN TITULADA'!#REF!,"AAAAAHf7uoU=")</f>
        <v>#REF!</v>
      </c>
      <c r="EE306" t="e">
        <f>AND('PROG FORMACIÓN TITULADA'!#REF!,"AAAAAHf7uoY=")</f>
        <v>#REF!</v>
      </c>
      <c r="EF306" t="e">
        <f>AND('PROG FORMACIÓN TITULADA'!#REF!,"AAAAAHf7uoc=")</f>
        <v>#REF!</v>
      </c>
      <c r="EG306" t="e">
        <f>AND('PROG FORMACIÓN TITULADA'!#REF!,"AAAAAHf7uog=")</f>
        <v>#REF!</v>
      </c>
      <c r="EH306" t="e">
        <f>AND('PROG FORMACIÓN TITULADA'!#REF!,"AAAAAHf7uok=")</f>
        <v>#REF!</v>
      </c>
      <c r="EI306" t="e">
        <f>AND('PROG FORMACIÓN TITULADA'!#REF!,"AAAAAHf7uoo=")</f>
        <v>#REF!</v>
      </c>
      <c r="EJ306" t="e">
        <f>IF('PROG FORMACIÓN TITULADA'!#REF!,"AAAAAHf7uos=",0)</f>
        <v>#REF!</v>
      </c>
      <c r="EK306" t="e">
        <f>AND('PROG FORMACIÓN TITULADA'!#REF!,"AAAAAHf7uow=")</f>
        <v>#REF!</v>
      </c>
      <c r="EL306" t="e">
        <f>AND('PROG FORMACIÓN TITULADA'!#REF!,"AAAAAHf7uo0=")</f>
        <v>#REF!</v>
      </c>
      <c r="EM306" t="e">
        <f>AND('PROG FORMACIÓN TITULADA'!#REF!,"AAAAAHf7uo4=")</f>
        <v>#REF!</v>
      </c>
      <c r="EN306" t="e">
        <f>AND('PROG FORMACIÓN TITULADA'!#REF!,"AAAAAHf7uo8=")</f>
        <v>#REF!</v>
      </c>
      <c r="EO306" t="e">
        <f>AND('PROG FORMACIÓN TITULADA'!#REF!,"AAAAAHf7upA=")</f>
        <v>#REF!</v>
      </c>
      <c r="EP306" t="e">
        <f>AND('PROG FORMACIÓN TITULADA'!#REF!,"AAAAAHf7upE=")</f>
        <v>#REF!</v>
      </c>
      <c r="EQ306" t="e">
        <f>AND('PROG FORMACIÓN TITULADA'!#REF!,"AAAAAHf7upI=")</f>
        <v>#REF!</v>
      </c>
      <c r="ER306" t="e">
        <f>AND('PROG FORMACIÓN TITULADA'!#REF!,"AAAAAHf7upM=")</f>
        <v>#REF!</v>
      </c>
      <c r="ES306" t="e">
        <f>AND('PROG FORMACIÓN TITULADA'!#REF!,"AAAAAHf7upQ=")</f>
        <v>#REF!</v>
      </c>
      <c r="ET306" t="e">
        <f>AND('PROG FORMACIÓN TITULADA'!#REF!,"AAAAAHf7upU=")</f>
        <v>#REF!</v>
      </c>
      <c r="EU306" t="e">
        <f>AND('PROG FORMACIÓN TITULADA'!#REF!,"AAAAAHf7upY=")</f>
        <v>#REF!</v>
      </c>
      <c r="EV306" t="e">
        <f>AND('PROG FORMACIÓN TITULADA'!#REF!,"AAAAAHf7upc=")</f>
        <v>#REF!</v>
      </c>
      <c r="EW306" t="e">
        <f>AND('PROG FORMACIÓN TITULADA'!#REF!,"AAAAAHf7upg=")</f>
        <v>#REF!</v>
      </c>
      <c r="EX306" t="e">
        <f>AND('PROG FORMACIÓN TITULADA'!#REF!,"AAAAAHf7upk=")</f>
        <v>#REF!</v>
      </c>
      <c r="EY306" t="e">
        <f>AND('PROG FORMACIÓN TITULADA'!#REF!,"AAAAAHf7upo=")</f>
        <v>#REF!</v>
      </c>
      <c r="EZ306" t="e">
        <f>AND('PROG FORMACIÓN TITULADA'!#REF!,"AAAAAHf7ups=")</f>
        <v>#REF!</v>
      </c>
      <c r="FA306" t="e">
        <f>AND('PROG FORMACIÓN TITULADA'!#REF!,"AAAAAHf7upw=")</f>
        <v>#REF!</v>
      </c>
      <c r="FB306" t="e">
        <f>AND('PROG FORMACIÓN TITULADA'!#REF!,"AAAAAHf7up0=")</f>
        <v>#REF!</v>
      </c>
      <c r="FC306" t="e">
        <f>AND('PROG FORMACIÓN TITULADA'!#REF!,"AAAAAHf7up4=")</f>
        <v>#REF!</v>
      </c>
      <c r="FD306" t="e">
        <f>AND('PROG FORMACIÓN TITULADA'!#REF!,"AAAAAHf7up8=")</f>
        <v>#REF!</v>
      </c>
      <c r="FE306" t="e">
        <f>AND('PROG FORMACIÓN TITULADA'!#REF!,"AAAAAHf7uqA=")</f>
        <v>#REF!</v>
      </c>
      <c r="FF306" t="e">
        <f>AND('PROG FORMACIÓN TITULADA'!#REF!,"AAAAAHf7uqE=")</f>
        <v>#REF!</v>
      </c>
      <c r="FG306" t="e">
        <f>AND('PROG FORMACIÓN TITULADA'!#REF!,"AAAAAHf7uqI=")</f>
        <v>#REF!</v>
      </c>
      <c r="FH306" t="e">
        <f>AND('PROG FORMACIÓN TITULADA'!#REF!,"AAAAAHf7uqM=")</f>
        <v>#REF!</v>
      </c>
      <c r="FI306" t="e">
        <f>AND('PROG FORMACIÓN TITULADA'!#REF!,"AAAAAHf7uqQ=")</f>
        <v>#REF!</v>
      </c>
      <c r="FJ306" t="e">
        <f>AND('PROG FORMACIÓN TITULADA'!#REF!,"AAAAAHf7uqU=")</f>
        <v>#REF!</v>
      </c>
      <c r="FK306" t="e">
        <f>IF('PROG FORMACIÓN TITULADA'!#REF!,"AAAAAHf7uqY=",0)</f>
        <v>#REF!</v>
      </c>
      <c r="FL306" t="e">
        <f>AND('PROG FORMACIÓN TITULADA'!#REF!,"AAAAAHf7uqc=")</f>
        <v>#REF!</v>
      </c>
      <c r="FM306" t="e">
        <f>AND('PROG FORMACIÓN TITULADA'!#REF!,"AAAAAHf7uqg=")</f>
        <v>#REF!</v>
      </c>
      <c r="FN306" t="e">
        <f>AND('PROG FORMACIÓN TITULADA'!#REF!,"AAAAAHf7uqk=")</f>
        <v>#REF!</v>
      </c>
      <c r="FO306" t="e">
        <f>AND('PROG FORMACIÓN TITULADA'!#REF!,"AAAAAHf7uqo=")</f>
        <v>#REF!</v>
      </c>
      <c r="FP306" t="e">
        <f>AND('PROG FORMACIÓN TITULADA'!#REF!,"AAAAAHf7uqs=")</f>
        <v>#REF!</v>
      </c>
      <c r="FQ306" t="e">
        <f>AND('PROG FORMACIÓN TITULADA'!#REF!,"AAAAAHf7uqw=")</f>
        <v>#REF!</v>
      </c>
      <c r="FR306" t="e">
        <f>AND('PROG FORMACIÓN TITULADA'!#REF!,"AAAAAHf7uq0=")</f>
        <v>#REF!</v>
      </c>
      <c r="FS306" t="e">
        <f>AND('PROG FORMACIÓN TITULADA'!#REF!,"AAAAAHf7uq4=")</f>
        <v>#REF!</v>
      </c>
      <c r="FT306" t="e">
        <f>AND('PROG FORMACIÓN TITULADA'!#REF!,"AAAAAHf7uq8=")</f>
        <v>#REF!</v>
      </c>
      <c r="FU306" t="e">
        <f>AND('PROG FORMACIÓN TITULADA'!#REF!,"AAAAAHf7urA=")</f>
        <v>#REF!</v>
      </c>
      <c r="FV306" t="e">
        <f>AND('PROG FORMACIÓN TITULADA'!#REF!,"AAAAAHf7urE=")</f>
        <v>#REF!</v>
      </c>
      <c r="FW306" t="e">
        <f>AND('PROG FORMACIÓN TITULADA'!#REF!,"AAAAAHf7urI=")</f>
        <v>#REF!</v>
      </c>
      <c r="FX306" t="e">
        <f>AND('PROG FORMACIÓN TITULADA'!#REF!,"AAAAAHf7urM=")</f>
        <v>#REF!</v>
      </c>
      <c r="FY306" t="e">
        <f>AND('PROG FORMACIÓN TITULADA'!#REF!,"AAAAAHf7urQ=")</f>
        <v>#REF!</v>
      </c>
      <c r="FZ306" t="e">
        <f>AND('PROG FORMACIÓN TITULADA'!#REF!,"AAAAAHf7urU=")</f>
        <v>#REF!</v>
      </c>
      <c r="GA306" t="e">
        <f>AND('PROG FORMACIÓN TITULADA'!#REF!,"AAAAAHf7urY=")</f>
        <v>#REF!</v>
      </c>
      <c r="GB306" t="e">
        <f>AND('PROG FORMACIÓN TITULADA'!#REF!,"AAAAAHf7urc=")</f>
        <v>#REF!</v>
      </c>
      <c r="GC306" t="e">
        <f>AND('PROG FORMACIÓN TITULADA'!#REF!,"AAAAAHf7urg=")</f>
        <v>#REF!</v>
      </c>
      <c r="GD306" t="e">
        <f>AND('PROG FORMACIÓN TITULADA'!#REF!,"AAAAAHf7urk=")</f>
        <v>#REF!</v>
      </c>
      <c r="GE306" t="e">
        <f>AND('PROG FORMACIÓN TITULADA'!#REF!,"AAAAAHf7uro=")</f>
        <v>#REF!</v>
      </c>
      <c r="GF306" t="e">
        <f>AND('PROG FORMACIÓN TITULADA'!#REF!,"AAAAAHf7urs=")</f>
        <v>#REF!</v>
      </c>
      <c r="GG306" t="e">
        <f>AND('PROG FORMACIÓN TITULADA'!#REF!,"AAAAAHf7urw=")</f>
        <v>#REF!</v>
      </c>
      <c r="GH306" t="e">
        <f>AND('PROG FORMACIÓN TITULADA'!#REF!,"AAAAAHf7ur0=")</f>
        <v>#REF!</v>
      </c>
      <c r="GI306" t="e">
        <f>AND('PROG FORMACIÓN TITULADA'!#REF!,"AAAAAHf7ur4=")</f>
        <v>#REF!</v>
      </c>
      <c r="GJ306" t="e">
        <f>AND('PROG FORMACIÓN TITULADA'!#REF!,"AAAAAHf7ur8=")</f>
        <v>#REF!</v>
      </c>
      <c r="GK306" t="e">
        <f>AND('PROG FORMACIÓN TITULADA'!#REF!,"AAAAAHf7usA=")</f>
        <v>#REF!</v>
      </c>
      <c r="GL306" t="e">
        <f>IF('PROG FORMACIÓN TITULADA'!#REF!,"AAAAAHf7usE=",0)</f>
        <v>#REF!</v>
      </c>
      <c r="GM306" t="e">
        <f>AND('PROG FORMACIÓN TITULADA'!#REF!,"AAAAAHf7usI=")</f>
        <v>#REF!</v>
      </c>
      <c r="GN306" t="e">
        <f>AND('PROG FORMACIÓN TITULADA'!#REF!,"AAAAAHf7usM=")</f>
        <v>#REF!</v>
      </c>
      <c r="GO306" t="e">
        <f>AND('PROG FORMACIÓN TITULADA'!#REF!,"AAAAAHf7usQ=")</f>
        <v>#REF!</v>
      </c>
      <c r="GP306" t="e">
        <f>AND('PROG FORMACIÓN TITULADA'!#REF!,"AAAAAHf7usU=")</f>
        <v>#REF!</v>
      </c>
      <c r="GQ306" t="e">
        <f>AND('PROG FORMACIÓN TITULADA'!#REF!,"AAAAAHf7usY=")</f>
        <v>#REF!</v>
      </c>
      <c r="GR306" t="e">
        <f>AND('PROG FORMACIÓN TITULADA'!#REF!,"AAAAAHf7usc=")</f>
        <v>#REF!</v>
      </c>
      <c r="GS306" t="e">
        <f>AND('PROG FORMACIÓN TITULADA'!#REF!,"AAAAAHf7usg=")</f>
        <v>#REF!</v>
      </c>
      <c r="GT306" t="e">
        <f>AND('PROG FORMACIÓN TITULADA'!#REF!,"AAAAAHf7usk=")</f>
        <v>#REF!</v>
      </c>
      <c r="GU306" t="e">
        <f>AND('PROG FORMACIÓN TITULADA'!#REF!,"AAAAAHf7uso=")</f>
        <v>#REF!</v>
      </c>
      <c r="GV306" t="e">
        <f>AND('PROG FORMACIÓN TITULADA'!#REF!,"AAAAAHf7uss=")</f>
        <v>#REF!</v>
      </c>
      <c r="GW306" t="e">
        <f>AND('PROG FORMACIÓN TITULADA'!#REF!,"AAAAAHf7usw=")</f>
        <v>#REF!</v>
      </c>
      <c r="GX306" t="e">
        <f>AND('PROG FORMACIÓN TITULADA'!#REF!,"AAAAAHf7us0=")</f>
        <v>#REF!</v>
      </c>
      <c r="GY306" t="e">
        <f>AND('PROG FORMACIÓN TITULADA'!#REF!,"AAAAAHf7us4=")</f>
        <v>#REF!</v>
      </c>
      <c r="GZ306" t="e">
        <f>AND('PROG FORMACIÓN TITULADA'!#REF!,"AAAAAHf7us8=")</f>
        <v>#REF!</v>
      </c>
      <c r="HA306" t="e">
        <f>AND('PROG FORMACIÓN TITULADA'!#REF!,"AAAAAHf7utA=")</f>
        <v>#REF!</v>
      </c>
      <c r="HB306" t="e">
        <f>AND('PROG FORMACIÓN TITULADA'!#REF!,"AAAAAHf7utE=")</f>
        <v>#REF!</v>
      </c>
      <c r="HC306" t="e">
        <f>AND('PROG FORMACIÓN TITULADA'!#REF!,"AAAAAHf7utI=")</f>
        <v>#REF!</v>
      </c>
      <c r="HD306" t="e">
        <f>AND('PROG FORMACIÓN TITULADA'!#REF!,"AAAAAHf7utM=")</f>
        <v>#REF!</v>
      </c>
      <c r="HE306" t="e">
        <f>AND('PROG FORMACIÓN TITULADA'!#REF!,"AAAAAHf7utQ=")</f>
        <v>#REF!</v>
      </c>
      <c r="HF306" t="e">
        <f>AND('PROG FORMACIÓN TITULADA'!#REF!,"AAAAAHf7utU=")</f>
        <v>#REF!</v>
      </c>
      <c r="HG306" t="e">
        <f>AND('PROG FORMACIÓN TITULADA'!#REF!,"AAAAAHf7utY=")</f>
        <v>#REF!</v>
      </c>
      <c r="HH306" t="e">
        <f>AND('PROG FORMACIÓN TITULADA'!#REF!,"AAAAAHf7utc=")</f>
        <v>#REF!</v>
      </c>
      <c r="HI306" t="e">
        <f>AND('PROG FORMACIÓN TITULADA'!#REF!,"AAAAAHf7utg=")</f>
        <v>#REF!</v>
      </c>
      <c r="HJ306" t="e">
        <f>AND('PROG FORMACIÓN TITULADA'!#REF!,"AAAAAHf7utk=")</f>
        <v>#REF!</v>
      </c>
      <c r="HK306" t="e">
        <f>AND('PROG FORMACIÓN TITULADA'!#REF!,"AAAAAHf7uto=")</f>
        <v>#REF!</v>
      </c>
      <c r="HL306" t="e">
        <f>AND('PROG FORMACIÓN TITULADA'!#REF!,"AAAAAHf7uts=")</f>
        <v>#REF!</v>
      </c>
      <c r="HM306" t="e">
        <f>IF('PROG FORMACIÓN TITULADA'!#REF!,"AAAAAHf7utw=",0)</f>
        <v>#REF!</v>
      </c>
      <c r="HN306" t="e">
        <f>AND('PROG FORMACIÓN TITULADA'!#REF!,"AAAAAHf7ut0=")</f>
        <v>#REF!</v>
      </c>
      <c r="HO306" t="e">
        <f>AND('PROG FORMACIÓN TITULADA'!#REF!,"AAAAAHf7ut4=")</f>
        <v>#REF!</v>
      </c>
      <c r="HP306" t="e">
        <f>AND('PROG FORMACIÓN TITULADA'!#REF!,"AAAAAHf7ut8=")</f>
        <v>#REF!</v>
      </c>
      <c r="HQ306" t="e">
        <f>AND('PROG FORMACIÓN TITULADA'!#REF!,"AAAAAHf7uuA=")</f>
        <v>#REF!</v>
      </c>
      <c r="HR306" t="e">
        <f>AND('PROG FORMACIÓN TITULADA'!#REF!,"AAAAAHf7uuE=")</f>
        <v>#REF!</v>
      </c>
      <c r="HS306" t="e">
        <f>AND('PROG FORMACIÓN TITULADA'!#REF!,"AAAAAHf7uuI=")</f>
        <v>#REF!</v>
      </c>
      <c r="HT306" t="e">
        <f>AND('PROG FORMACIÓN TITULADA'!#REF!,"AAAAAHf7uuM=")</f>
        <v>#REF!</v>
      </c>
      <c r="HU306" t="e">
        <f>AND('PROG FORMACIÓN TITULADA'!#REF!,"AAAAAHf7uuQ=")</f>
        <v>#REF!</v>
      </c>
      <c r="HV306" t="e">
        <f>AND('PROG FORMACIÓN TITULADA'!#REF!,"AAAAAHf7uuU=")</f>
        <v>#REF!</v>
      </c>
      <c r="HW306" t="e">
        <f>AND('PROG FORMACIÓN TITULADA'!#REF!,"AAAAAHf7uuY=")</f>
        <v>#REF!</v>
      </c>
      <c r="HX306" t="e">
        <f>AND('PROG FORMACIÓN TITULADA'!#REF!,"AAAAAHf7uuc=")</f>
        <v>#REF!</v>
      </c>
      <c r="HY306" t="e">
        <f>AND('PROG FORMACIÓN TITULADA'!#REF!,"AAAAAHf7uug=")</f>
        <v>#REF!</v>
      </c>
      <c r="HZ306" t="e">
        <f>AND('PROG FORMACIÓN TITULADA'!#REF!,"AAAAAHf7uuk=")</f>
        <v>#REF!</v>
      </c>
      <c r="IA306" t="e">
        <f>AND('PROG FORMACIÓN TITULADA'!#REF!,"AAAAAHf7uuo=")</f>
        <v>#REF!</v>
      </c>
      <c r="IB306" t="e">
        <f>AND('PROG FORMACIÓN TITULADA'!#REF!,"AAAAAHf7uus=")</f>
        <v>#REF!</v>
      </c>
      <c r="IC306" t="e">
        <f>AND('PROG FORMACIÓN TITULADA'!#REF!,"AAAAAHf7uuw=")</f>
        <v>#REF!</v>
      </c>
      <c r="ID306" t="e">
        <f>AND('PROG FORMACIÓN TITULADA'!#REF!,"AAAAAHf7uu0=")</f>
        <v>#REF!</v>
      </c>
      <c r="IE306" t="e">
        <f>AND('PROG FORMACIÓN TITULADA'!#REF!,"AAAAAHf7uu4=")</f>
        <v>#REF!</v>
      </c>
      <c r="IF306" t="e">
        <f>AND('PROG FORMACIÓN TITULADA'!#REF!,"AAAAAHf7uu8=")</f>
        <v>#REF!</v>
      </c>
      <c r="IG306" t="e">
        <f>AND('PROG FORMACIÓN TITULADA'!#REF!,"AAAAAHf7uvA=")</f>
        <v>#REF!</v>
      </c>
      <c r="IH306" t="e">
        <f>AND('PROG FORMACIÓN TITULADA'!#REF!,"AAAAAHf7uvE=")</f>
        <v>#REF!</v>
      </c>
      <c r="II306" t="e">
        <f>AND('PROG FORMACIÓN TITULADA'!#REF!,"AAAAAHf7uvI=")</f>
        <v>#REF!</v>
      </c>
      <c r="IJ306" t="e">
        <f>AND('PROG FORMACIÓN TITULADA'!#REF!,"AAAAAHf7uvM=")</f>
        <v>#REF!</v>
      </c>
      <c r="IK306" t="e">
        <f>AND('PROG FORMACIÓN TITULADA'!#REF!,"AAAAAHf7uvQ=")</f>
        <v>#REF!</v>
      </c>
      <c r="IL306" t="e">
        <f>AND('PROG FORMACIÓN TITULADA'!#REF!,"AAAAAHf7uvU=")</f>
        <v>#REF!</v>
      </c>
      <c r="IM306" t="e">
        <f>AND('PROG FORMACIÓN TITULADA'!#REF!,"AAAAAHf7uvY=")</f>
        <v>#REF!</v>
      </c>
      <c r="IN306" t="e">
        <f>IF('PROG FORMACIÓN TITULADA'!#REF!,"AAAAAHf7uvc=",0)</f>
        <v>#REF!</v>
      </c>
      <c r="IO306" t="e">
        <f>AND('PROG FORMACIÓN TITULADA'!#REF!,"AAAAAHf7uvg=")</f>
        <v>#REF!</v>
      </c>
      <c r="IP306" t="e">
        <f>AND('PROG FORMACIÓN TITULADA'!#REF!,"AAAAAHf7uvk=")</f>
        <v>#REF!</v>
      </c>
      <c r="IQ306" t="e">
        <f>AND('PROG FORMACIÓN TITULADA'!#REF!,"AAAAAHf7uvo=")</f>
        <v>#REF!</v>
      </c>
      <c r="IR306" t="e">
        <f>AND('PROG FORMACIÓN TITULADA'!#REF!,"AAAAAHf7uvs=")</f>
        <v>#REF!</v>
      </c>
      <c r="IS306" t="e">
        <f>AND('PROG FORMACIÓN TITULADA'!#REF!,"AAAAAHf7uvw=")</f>
        <v>#REF!</v>
      </c>
      <c r="IT306" t="e">
        <f>AND('PROG FORMACIÓN TITULADA'!#REF!,"AAAAAHf7uv0=")</f>
        <v>#REF!</v>
      </c>
      <c r="IU306" t="e">
        <f>AND('PROG FORMACIÓN TITULADA'!#REF!,"AAAAAHf7uv4=")</f>
        <v>#REF!</v>
      </c>
      <c r="IV306" t="e">
        <f>AND('PROG FORMACIÓN TITULADA'!#REF!,"AAAAAHf7uv8=")</f>
        <v>#REF!</v>
      </c>
    </row>
    <row r="307" spans="1:256" x14ac:dyDescent="0.2">
      <c r="A307" t="e">
        <f>AND('PROG FORMACIÓN TITULADA'!#REF!,"AAAAAEPz+wA=")</f>
        <v>#REF!</v>
      </c>
      <c r="B307" t="e">
        <f>AND('PROG FORMACIÓN TITULADA'!#REF!,"AAAAAEPz+wE=")</f>
        <v>#REF!</v>
      </c>
      <c r="C307" t="e">
        <f>AND('PROG FORMACIÓN TITULADA'!#REF!,"AAAAAEPz+wI=")</f>
        <v>#REF!</v>
      </c>
      <c r="D307" t="e">
        <f>AND('PROG FORMACIÓN TITULADA'!#REF!,"AAAAAEPz+wM=")</f>
        <v>#REF!</v>
      </c>
      <c r="E307" t="e">
        <f>AND('PROG FORMACIÓN TITULADA'!#REF!,"AAAAAEPz+wQ=")</f>
        <v>#REF!</v>
      </c>
      <c r="F307" t="e">
        <f>AND('PROG FORMACIÓN TITULADA'!#REF!,"AAAAAEPz+wU=")</f>
        <v>#REF!</v>
      </c>
      <c r="G307" t="e">
        <f>AND('PROG FORMACIÓN TITULADA'!#REF!,"AAAAAEPz+wY=")</f>
        <v>#REF!</v>
      </c>
      <c r="H307" t="e">
        <f>AND('PROG FORMACIÓN TITULADA'!#REF!,"AAAAAEPz+wc=")</f>
        <v>#REF!</v>
      </c>
      <c r="I307" t="e">
        <f>AND('PROG FORMACIÓN TITULADA'!#REF!,"AAAAAEPz+wg=")</f>
        <v>#REF!</v>
      </c>
      <c r="J307" t="e">
        <f>AND('PROG FORMACIÓN TITULADA'!#REF!,"AAAAAEPz+wk=")</f>
        <v>#REF!</v>
      </c>
      <c r="K307" t="e">
        <f>AND('PROG FORMACIÓN TITULADA'!#REF!,"AAAAAEPz+wo=")</f>
        <v>#REF!</v>
      </c>
      <c r="L307" t="e">
        <f>AND('PROG FORMACIÓN TITULADA'!#REF!,"AAAAAEPz+ws=")</f>
        <v>#REF!</v>
      </c>
      <c r="M307" t="e">
        <f>AND('PROG FORMACIÓN TITULADA'!#REF!,"AAAAAEPz+ww=")</f>
        <v>#REF!</v>
      </c>
      <c r="N307" t="e">
        <f>AND('PROG FORMACIÓN TITULADA'!#REF!,"AAAAAEPz+w0=")</f>
        <v>#REF!</v>
      </c>
      <c r="O307" t="e">
        <f>AND('PROG FORMACIÓN TITULADA'!#REF!,"AAAAAEPz+w4=")</f>
        <v>#REF!</v>
      </c>
      <c r="P307" t="e">
        <f>AND('PROG FORMACIÓN TITULADA'!#REF!,"AAAAAEPz+w8=")</f>
        <v>#REF!</v>
      </c>
      <c r="Q307" t="e">
        <f>AND('PROG FORMACIÓN TITULADA'!#REF!,"AAAAAEPz+xA=")</f>
        <v>#REF!</v>
      </c>
      <c r="R307" t="e">
        <f>AND('PROG FORMACIÓN TITULADA'!#REF!,"AAAAAEPz+xE=")</f>
        <v>#REF!</v>
      </c>
      <c r="S307" t="e">
        <f>IF('PROG FORMACIÓN TITULADA'!#REF!,"AAAAAEPz+xI=",0)</f>
        <v>#REF!</v>
      </c>
      <c r="T307" t="e">
        <f>AND('PROG FORMACIÓN TITULADA'!#REF!,"AAAAAEPz+xM=")</f>
        <v>#REF!</v>
      </c>
      <c r="U307" t="e">
        <f>AND('PROG FORMACIÓN TITULADA'!#REF!,"AAAAAEPz+xQ=")</f>
        <v>#REF!</v>
      </c>
      <c r="V307" t="e">
        <f>AND('PROG FORMACIÓN TITULADA'!#REF!,"AAAAAEPz+xU=")</f>
        <v>#REF!</v>
      </c>
      <c r="W307" t="e">
        <f>AND('PROG FORMACIÓN TITULADA'!#REF!,"AAAAAEPz+xY=")</f>
        <v>#REF!</v>
      </c>
      <c r="X307" t="e">
        <f>AND('PROG FORMACIÓN TITULADA'!#REF!,"AAAAAEPz+xc=")</f>
        <v>#REF!</v>
      </c>
      <c r="Y307" t="e">
        <f>AND('PROG FORMACIÓN TITULADA'!#REF!,"AAAAAEPz+xg=")</f>
        <v>#REF!</v>
      </c>
      <c r="Z307" t="e">
        <f>AND('PROG FORMACIÓN TITULADA'!#REF!,"AAAAAEPz+xk=")</f>
        <v>#REF!</v>
      </c>
      <c r="AA307" t="e">
        <f>AND('PROG FORMACIÓN TITULADA'!#REF!,"AAAAAEPz+xo=")</f>
        <v>#REF!</v>
      </c>
      <c r="AB307" t="e">
        <f>AND('PROG FORMACIÓN TITULADA'!#REF!,"AAAAAEPz+xs=")</f>
        <v>#REF!</v>
      </c>
      <c r="AC307" t="e">
        <f>AND('PROG FORMACIÓN TITULADA'!#REF!,"AAAAAEPz+xw=")</f>
        <v>#REF!</v>
      </c>
      <c r="AD307" t="e">
        <f>AND('PROG FORMACIÓN TITULADA'!#REF!,"AAAAAEPz+x0=")</f>
        <v>#REF!</v>
      </c>
      <c r="AE307" t="e">
        <f>AND('PROG FORMACIÓN TITULADA'!#REF!,"AAAAAEPz+x4=")</f>
        <v>#REF!</v>
      </c>
      <c r="AF307" t="e">
        <f>AND('PROG FORMACIÓN TITULADA'!#REF!,"AAAAAEPz+x8=")</f>
        <v>#REF!</v>
      </c>
      <c r="AG307" t="e">
        <f>AND('PROG FORMACIÓN TITULADA'!#REF!,"AAAAAEPz+yA=")</f>
        <v>#REF!</v>
      </c>
      <c r="AH307" t="e">
        <f>AND('PROG FORMACIÓN TITULADA'!#REF!,"AAAAAEPz+yE=")</f>
        <v>#REF!</v>
      </c>
      <c r="AI307" t="e">
        <f>AND('PROG FORMACIÓN TITULADA'!#REF!,"AAAAAEPz+yI=")</f>
        <v>#REF!</v>
      </c>
      <c r="AJ307" t="e">
        <f>AND('PROG FORMACIÓN TITULADA'!#REF!,"AAAAAEPz+yM=")</f>
        <v>#REF!</v>
      </c>
      <c r="AK307" t="e">
        <f>AND('PROG FORMACIÓN TITULADA'!#REF!,"AAAAAEPz+yQ=")</f>
        <v>#REF!</v>
      </c>
      <c r="AL307" t="e">
        <f>AND('PROG FORMACIÓN TITULADA'!#REF!,"AAAAAEPz+yU=")</f>
        <v>#REF!</v>
      </c>
      <c r="AM307" t="e">
        <f>AND('PROG FORMACIÓN TITULADA'!#REF!,"AAAAAEPz+yY=")</f>
        <v>#REF!</v>
      </c>
      <c r="AN307" t="e">
        <f>AND('PROG FORMACIÓN TITULADA'!#REF!,"AAAAAEPz+yc=")</f>
        <v>#REF!</v>
      </c>
      <c r="AO307" t="e">
        <f>AND('PROG FORMACIÓN TITULADA'!#REF!,"AAAAAEPz+yg=")</f>
        <v>#REF!</v>
      </c>
      <c r="AP307" t="e">
        <f>AND('PROG FORMACIÓN TITULADA'!#REF!,"AAAAAEPz+yk=")</f>
        <v>#REF!</v>
      </c>
      <c r="AQ307" t="e">
        <f>AND('PROG FORMACIÓN TITULADA'!#REF!,"AAAAAEPz+yo=")</f>
        <v>#REF!</v>
      </c>
      <c r="AR307" t="e">
        <f>AND('PROG FORMACIÓN TITULADA'!#REF!,"AAAAAEPz+ys=")</f>
        <v>#REF!</v>
      </c>
      <c r="AS307" t="e">
        <f>AND('PROG FORMACIÓN TITULADA'!#REF!,"AAAAAEPz+yw=")</f>
        <v>#REF!</v>
      </c>
      <c r="AT307" t="e">
        <f>IF('PROG FORMACIÓN TITULADA'!#REF!,"AAAAAEPz+y0=",0)</f>
        <v>#REF!</v>
      </c>
      <c r="AU307" t="e">
        <f>AND('PROG FORMACIÓN TITULADA'!#REF!,"AAAAAEPz+y4=")</f>
        <v>#REF!</v>
      </c>
      <c r="AV307" t="e">
        <f>AND('PROG FORMACIÓN TITULADA'!#REF!,"AAAAAEPz+y8=")</f>
        <v>#REF!</v>
      </c>
      <c r="AW307" t="e">
        <f>AND('PROG FORMACIÓN TITULADA'!#REF!,"AAAAAEPz+zA=")</f>
        <v>#REF!</v>
      </c>
      <c r="AX307" t="e">
        <f>AND('PROG FORMACIÓN TITULADA'!#REF!,"AAAAAEPz+zE=")</f>
        <v>#REF!</v>
      </c>
      <c r="AY307" t="e">
        <f>AND('PROG FORMACIÓN TITULADA'!#REF!,"AAAAAEPz+zI=")</f>
        <v>#REF!</v>
      </c>
      <c r="AZ307" t="e">
        <f>AND('PROG FORMACIÓN TITULADA'!#REF!,"AAAAAEPz+zM=")</f>
        <v>#REF!</v>
      </c>
      <c r="BA307" t="e">
        <f>AND('PROG FORMACIÓN TITULADA'!#REF!,"AAAAAEPz+zQ=")</f>
        <v>#REF!</v>
      </c>
      <c r="BB307" t="e">
        <f>AND('PROG FORMACIÓN TITULADA'!#REF!,"AAAAAEPz+zU=")</f>
        <v>#REF!</v>
      </c>
      <c r="BC307" t="e">
        <f>AND('PROG FORMACIÓN TITULADA'!#REF!,"AAAAAEPz+zY=")</f>
        <v>#REF!</v>
      </c>
      <c r="BD307" t="e">
        <f>AND('PROG FORMACIÓN TITULADA'!#REF!,"AAAAAEPz+zc=")</f>
        <v>#REF!</v>
      </c>
      <c r="BE307" t="e">
        <f>AND('PROG FORMACIÓN TITULADA'!#REF!,"AAAAAEPz+zg=")</f>
        <v>#REF!</v>
      </c>
      <c r="BF307" t="e">
        <f>AND('PROG FORMACIÓN TITULADA'!#REF!,"AAAAAEPz+zk=")</f>
        <v>#REF!</v>
      </c>
      <c r="BG307" t="e">
        <f>AND('PROG FORMACIÓN TITULADA'!#REF!,"AAAAAEPz+zo=")</f>
        <v>#REF!</v>
      </c>
      <c r="BH307" t="e">
        <f>AND('PROG FORMACIÓN TITULADA'!#REF!,"AAAAAEPz+zs=")</f>
        <v>#REF!</v>
      </c>
      <c r="BI307" t="e">
        <f>AND('PROG FORMACIÓN TITULADA'!#REF!,"AAAAAEPz+zw=")</f>
        <v>#REF!</v>
      </c>
      <c r="BJ307" t="e">
        <f>AND('PROG FORMACIÓN TITULADA'!#REF!,"AAAAAEPz+z0=")</f>
        <v>#REF!</v>
      </c>
      <c r="BK307" t="e">
        <f>AND('PROG FORMACIÓN TITULADA'!#REF!,"AAAAAEPz+z4=")</f>
        <v>#REF!</v>
      </c>
      <c r="BL307" t="e">
        <f>AND('PROG FORMACIÓN TITULADA'!#REF!,"AAAAAEPz+z8=")</f>
        <v>#REF!</v>
      </c>
      <c r="BM307" t="e">
        <f>AND('PROG FORMACIÓN TITULADA'!#REF!,"AAAAAEPz+0A=")</f>
        <v>#REF!</v>
      </c>
      <c r="BN307" t="e">
        <f>AND('PROG FORMACIÓN TITULADA'!#REF!,"AAAAAEPz+0E=")</f>
        <v>#REF!</v>
      </c>
      <c r="BO307" t="e">
        <f>AND('PROG FORMACIÓN TITULADA'!#REF!,"AAAAAEPz+0I=")</f>
        <v>#REF!</v>
      </c>
      <c r="BP307" t="e">
        <f>AND('PROG FORMACIÓN TITULADA'!#REF!,"AAAAAEPz+0M=")</f>
        <v>#REF!</v>
      </c>
      <c r="BQ307" t="e">
        <f>AND('PROG FORMACIÓN TITULADA'!#REF!,"AAAAAEPz+0Q=")</f>
        <v>#REF!</v>
      </c>
      <c r="BR307" t="e">
        <f>AND('PROG FORMACIÓN TITULADA'!#REF!,"AAAAAEPz+0U=")</f>
        <v>#REF!</v>
      </c>
      <c r="BS307" t="e">
        <f>AND('PROG FORMACIÓN TITULADA'!#REF!,"AAAAAEPz+0Y=")</f>
        <v>#REF!</v>
      </c>
      <c r="BT307" t="e">
        <f>AND('PROG FORMACIÓN TITULADA'!#REF!,"AAAAAEPz+0c=")</f>
        <v>#REF!</v>
      </c>
      <c r="BU307" t="e">
        <f>IF('PROG FORMACIÓN TITULADA'!#REF!,"AAAAAEPz+0g=",0)</f>
        <v>#REF!</v>
      </c>
      <c r="BV307" t="e">
        <f>AND('PROG FORMACIÓN TITULADA'!#REF!,"AAAAAEPz+0k=")</f>
        <v>#REF!</v>
      </c>
      <c r="BW307" t="e">
        <f>AND('PROG FORMACIÓN TITULADA'!#REF!,"AAAAAEPz+0o=")</f>
        <v>#REF!</v>
      </c>
      <c r="BX307" t="e">
        <f>AND('PROG FORMACIÓN TITULADA'!#REF!,"AAAAAEPz+0s=")</f>
        <v>#REF!</v>
      </c>
      <c r="BY307" t="e">
        <f>AND('PROG FORMACIÓN TITULADA'!#REF!,"AAAAAEPz+0w=")</f>
        <v>#REF!</v>
      </c>
      <c r="BZ307" t="e">
        <f>AND('PROG FORMACIÓN TITULADA'!#REF!,"AAAAAEPz+00=")</f>
        <v>#REF!</v>
      </c>
      <c r="CA307" t="e">
        <f>AND('PROG FORMACIÓN TITULADA'!#REF!,"AAAAAEPz+04=")</f>
        <v>#REF!</v>
      </c>
      <c r="CB307" t="e">
        <f>AND('PROG FORMACIÓN TITULADA'!#REF!,"AAAAAEPz+08=")</f>
        <v>#REF!</v>
      </c>
      <c r="CC307" t="e">
        <f>AND('PROG FORMACIÓN TITULADA'!#REF!,"AAAAAEPz+1A=")</f>
        <v>#REF!</v>
      </c>
      <c r="CD307" t="e">
        <f>AND('PROG FORMACIÓN TITULADA'!#REF!,"AAAAAEPz+1E=")</f>
        <v>#REF!</v>
      </c>
      <c r="CE307" t="e">
        <f>AND('PROG FORMACIÓN TITULADA'!#REF!,"AAAAAEPz+1I=")</f>
        <v>#REF!</v>
      </c>
      <c r="CF307" t="e">
        <f>AND('PROG FORMACIÓN TITULADA'!#REF!,"AAAAAEPz+1M=")</f>
        <v>#REF!</v>
      </c>
      <c r="CG307" t="e">
        <f>AND('PROG FORMACIÓN TITULADA'!#REF!,"AAAAAEPz+1Q=")</f>
        <v>#REF!</v>
      </c>
      <c r="CH307" t="e">
        <f>AND('PROG FORMACIÓN TITULADA'!#REF!,"AAAAAEPz+1U=")</f>
        <v>#REF!</v>
      </c>
      <c r="CI307" t="e">
        <f>AND('PROG FORMACIÓN TITULADA'!#REF!,"AAAAAEPz+1Y=")</f>
        <v>#REF!</v>
      </c>
      <c r="CJ307" t="e">
        <f>AND('PROG FORMACIÓN TITULADA'!#REF!,"AAAAAEPz+1c=")</f>
        <v>#REF!</v>
      </c>
      <c r="CK307" t="e">
        <f>AND('PROG FORMACIÓN TITULADA'!#REF!,"AAAAAEPz+1g=")</f>
        <v>#REF!</v>
      </c>
      <c r="CL307" t="e">
        <f>AND('PROG FORMACIÓN TITULADA'!#REF!,"AAAAAEPz+1k=")</f>
        <v>#REF!</v>
      </c>
      <c r="CM307" t="e">
        <f>AND('PROG FORMACIÓN TITULADA'!#REF!,"AAAAAEPz+1o=")</f>
        <v>#REF!</v>
      </c>
      <c r="CN307" t="e">
        <f>AND('PROG FORMACIÓN TITULADA'!#REF!,"AAAAAEPz+1s=")</f>
        <v>#REF!</v>
      </c>
      <c r="CO307" t="e">
        <f>AND('PROG FORMACIÓN TITULADA'!#REF!,"AAAAAEPz+1w=")</f>
        <v>#REF!</v>
      </c>
      <c r="CP307" t="e">
        <f>AND('PROG FORMACIÓN TITULADA'!#REF!,"AAAAAEPz+10=")</f>
        <v>#REF!</v>
      </c>
      <c r="CQ307" t="e">
        <f>AND('PROG FORMACIÓN TITULADA'!#REF!,"AAAAAEPz+14=")</f>
        <v>#REF!</v>
      </c>
      <c r="CR307" t="e">
        <f>AND('PROG FORMACIÓN TITULADA'!#REF!,"AAAAAEPz+18=")</f>
        <v>#REF!</v>
      </c>
      <c r="CS307" t="e">
        <f>AND('PROG FORMACIÓN TITULADA'!#REF!,"AAAAAEPz+2A=")</f>
        <v>#REF!</v>
      </c>
      <c r="CT307" t="e">
        <f>AND('PROG FORMACIÓN TITULADA'!#REF!,"AAAAAEPz+2E=")</f>
        <v>#REF!</v>
      </c>
      <c r="CU307" t="e">
        <f>AND('PROG FORMACIÓN TITULADA'!#REF!,"AAAAAEPz+2I=")</f>
        <v>#REF!</v>
      </c>
      <c r="CV307" t="e">
        <f>IF('PROG FORMACIÓN TITULADA'!#REF!,"AAAAAEPz+2M=",0)</f>
        <v>#REF!</v>
      </c>
      <c r="CW307" t="e">
        <f>AND('PROG FORMACIÓN TITULADA'!#REF!,"AAAAAEPz+2Q=")</f>
        <v>#REF!</v>
      </c>
      <c r="CX307" t="e">
        <f>AND('PROG FORMACIÓN TITULADA'!#REF!,"AAAAAEPz+2U=")</f>
        <v>#REF!</v>
      </c>
      <c r="CY307" t="e">
        <f>AND('PROG FORMACIÓN TITULADA'!#REF!,"AAAAAEPz+2Y=")</f>
        <v>#REF!</v>
      </c>
      <c r="CZ307" t="e">
        <f>AND('PROG FORMACIÓN TITULADA'!#REF!,"AAAAAEPz+2c=")</f>
        <v>#REF!</v>
      </c>
      <c r="DA307" t="e">
        <f>AND('PROG FORMACIÓN TITULADA'!#REF!,"AAAAAEPz+2g=")</f>
        <v>#REF!</v>
      </c>
      <c r="DB307" t="e">
        <f>AND('PROG FORMACIÓN TITULADA'!#REF!,"AAAAAEPz+2k=")</f>
        <v>#REF!</v>
      </c>
      <c r="DC307" t="e">
        <f>AND('PROG FORMACIÓN TITULADA'!#REF!,"AAAAAEPz+2o=")</f>
        <v>#REF!</v>
      </c>
      <c r="DD307" t="e">
        <f>AND('PROG FORMACIÓN TITULADA'!#REF!,"AAAAAEPz+2s=")</f>
        <v>#REF!</v>
      </c>
      <c r="DE307" t="e">
        <f>AND('PROG FORMACIÓN TITULADA'!#REF!,"AAAAAEPz+2w=")</f>
        <v>#REF!</v>
      </c>
      <c r="DF307" t="e">
        <f>AND('PROG FORMACIÓN TITULADA'!#REF!,"AAAAAEPz+20=")</f>
        <v>#REF!</v>
      </c>
      <c r="DG307" t="e">
        <f>AND('PROG FORMACIÓN TITULADA'!#REF!,"AAAAAEPz+24=")</f>
        <v>#REF!</v>
      </c>
      <c r="DH307" t="e">
        <f>AND('PROG FORMACIÓN TITULADA'!#REF!,"AAAAAEPz+28=")</f>
        <v>#REF!</v>
      </c>
      <c r="DI307" t="e">
        <f>AND('PROG FORMACIÓN TITULADA'!#REF!,"AAAAAEPz+3A=")</f>
        <v>#REF!</v>
      </c>
      <c r="DJ307" t="e">
        <f>AND('PROG FORMACIÓN TITULADA'!#REF!,"AAAAAEPz+3E=")</f>
        <v>#REF!</v>
      </c>
      <c r="DK307" t="e">
        <f>AND('PROG FORMACIÓN TITULADA'!#REF!,"AAAAAEPz+3I=")</f>
        <v>#REF!</v>
      </c>
      <c r="DL307" t="e">
        <f>AND('PROG FORMACIÓN TITULADA'!#REF!,"AAAAAEPz+3M=")</f>
        <v>#REF!</v>
      </c>
      <c r="DM307" t="e">
        <f>AND('PROG FORMACIÓN TITULADA'!#REF!,"AAAAAEPz+3Q=")</f>
        <v>#REF!</v>
      </c>
      <c r="DN307" t="e">
        <f>AND('PROG FORMACIÓN TITULADA'!#REF!,"AAAAAEPz+3U=")</f>
        <v>#REF!</v>
      </c>
      <c r="DO307" t="e">
        <f>AND('PROG FORMACIÓN TITULADA'!#REF!,"AAAAAEPz+3Y=")</f>
        <v>#REF!</v>
      </c>
      <c r="DP307" t="e">
        <f>AND('PROG FORMACIÓN TITULADA'!#REF!,"AAAAAEPz+3c=")</f>
        <v>#REF!</v>
      </c>
      <c r="DQ307" t="e">
        <f>AND('PROG FORMACIÓN TITULADA'!#REF!,"AAAAAEPz+3g=")</f>
        <v>#REF!</v>
      </c>
      <c r="DR307" t="e">
        <f>AND('PROG FORMACIÓN TITULADA'!#REF!,"AAAAAEPz+3k=")</f>
        <v>#REF!</v>
      </c>
      <c r="DS307" t="e">
        <f>AND('PROG FORMACIÓN TITULADA'!#REF!,"AAAAAEPz+3o=")</f>
        <v>#REF!</v>
      </c>
      <c r="DT307" t="e">
        <f>AND('PROG FORMACIÓN TITULADA'!#REF!,"AAAAAEPz+3s=")</f>
        <v>#REF!</v>
      </c>
      <c r="DU307" t="e">
        <f>AND('PROG FORMACIÓN TITULADA'!#REF!,"AAAAAEPz+3w=")</f>
        <v>#REF!</v>
      </c>
      <c r="DV307" t="e">
        <f>AND('PROG FORMACIÓN TITULADA'!#REF!,"AAAAAEPz+30=")</f>
        <v>#REF!</v>
      </c>
      <c r="DW307" t="e">
        <f>IF('PROG FORMACIÓN TITULADA'!#REF!,"AAAAAEPz+34=",0)</f>
        <v>#REF!</v>
      </c>
      <c r="DX307" t="e">
        <f>AND('PROG FORMACIÓN TITULADA'!#REF!,"AAAAAEPz+38=")</f>
        <v>#REF!</v>
      </c>
      <c r="DY307" t="e">
        <f>AND('PROG FORMACIÓN TITULADA'!#REF!,"AAAAAEPz+4A=")</f>
        <v>#REF!</v>
      </c>
      <c r="DZ307" t="e">
        <f>AND('PROG FORMACIÓN TITULADA'!#REF!,"AAAAAEPz+4E=")</f>
        <v>#REF!</v>
      </c>
      <c r="EA307" t="e">
        <f>AND('PROG FORMACIÓN TITULADA'!#REF!,"AAAAAEPz+4I=")</f>
        <v>#REF!</v>
      </c>
      <c r="EB307" t="e">
        <f>AND('PROG FORMACIÓN TITULADA'!#REF!,"AAAAAEPz+4M=")</f>
        <v>#REF!</v>
      </c>
      <c r="EC307" t="e">
        <f>AND('PROG FORMACIÓN TITULADA'!#REF!,"AAAAAEPz+4Q=")</f>
        <v>#REF!</v>
      </c>
      <c r="ED307" t="e">
        <f>AND('PROG FORMACIÓN TITULADA'!#REF!,"AAAAAEPz+4U=")</f>
        <v>#REF!</v>
      </c>
      <c r="EE307" t="e">
        <f>AND('PROG FORMACIÓN TITULADA'!#REF!,"AAAAAEPz+4Y=")</f>
        <v>#REF!</v>
      </c>
      <c r="EF307" t="e">
        <f>AND('PROG FORMACIÓN TITULADA'!#REF!,"AAAAAEPz+4c=")</f>
        <v>#REF!</v>
      </c>
      <c r="EG307" t="e">
        <f>AND('PROG FORMACIÓN TITULADA'!#REF!,"AAAAAEPz+4g=")</f>
        <v>#REF!</v>
      </c>
      <c r="EH307" t="e">
        <f>AND('PROG FORMACIÓN TITULADA'!#REF!,"AAAAAEPz+4k=")</f>
        <v>#REF!</v>
      </c>
      <c r="EI307" t="e">
        <f>AND('PROG FORMACIÓN TITULADA'!#REF!,"AAAAAEPz+4o=")</f>
        <v>#REF!</v>
      </c>
      <c r="EJ307" t="e">
        <f>AND('PROG FORMACIÓN TITULADA'!#REF!,"AAAAAEPz+4s=")</f>
        <v>#REF!</v>
      </c>
      <c r="EK307" t="e">
        <f>AND('PROG FORMACIÓN TITULADA'!#REF!,"AAAAAEPz+4w=")</f>
        <v>#REF!</v>
      </c>
      <c r="EL307" t="e">
        <f>AND('PROG FORMACIÓN TITULADA'!#REF!,"AAAAAEPz+40=")</f>
        <v>#REF!</v>
      </c>
      <c r="EM307" t="e">
        <f>AND('PROG FORMACIÓN TITULADA'!#REF!,"AAAAAEPz+44=")</f>
        <v>#REF!</v>
      </c>
      <c r="EN307" t="e">
        <f>AND('PROG FORMACIÓN TITULADA'!#REF!,"AAAAAEPz+48=")</f>
        <v>#REF!</v>
      </c>
      <c r="EO307" t="e">
        <f>AND('PROG FORMACIÓN TITULADA'!#REF!,"AAAAAEPz+5A=")</f>
        <v>#REF!</v>
      </c>
      <c r="EP307" t="e">
        <f>AND('PROG FORMACIÓN TITULADA'!#REF!,"AAAAAEPz+5E=")</f>
        <v>#REF!</v>
      </c>
      <c r="EQ307" t="e">
        <f>AND('PROG FORMACIÓN TITULADA'!#REF!,"AAAAAEPz+5I=")</f>
        <v>#REF!</v>
      </c>
      <c r="ER307" t="e">
        <f>AND('PROG FORMACIÓN TITULADA'!#REF!,"AAAAAEPz+5M=")</f>
        <v>#REF!</v>
      </c>
      <c r="ES307" t="e">
        <f>AND('PROG FORMACIÓN TITULADA'!#REF!,"AAAAAEPz+5Q=")</f>
        <v>#REF!</v>
      </c>
      <c r="ET307" t="e">
        <f>AND('PROG FORMACIÓN TITULADA'!#REF!,"AAAAAEPz+5U=")</f>
        <v>#REF!</v>
      </c>
      <c r="EU307" t="e">
        <f>AND('PROG FORMACIÓN TITULADA'!#REF!,"AAAAAEPz+5Y=")</f>
        <v>#REF!</v>
      </c>
      <c r="EV307" t="e">
        <f>AND('PROG FORMACIÓN TITULADA'!#REF!,"AAAAAEPz+5c=")</f>
        <v>#REF!</v>
      </c>
      <c r="EW307" t="e">
        <f>AND('PROG FORMACIÓN TITULADA'!#REF!,"AAAAAEPz+5g=")</f>
        <v>#REF!</v>
      </c>
      <c r="EX307" t="e">
        <f>IF('PROG FORMACIÓN TITULADA'!#REF!,"AAAAAEPz+5k=",0)</f>
        <v>#REF!</v>
      </c>
      <c r="EY307" t="e">
        <f>AND('PROG FORMACIÓN TITULADA'!#REF!,"AAAAAEPz+5o=")</f>
        <v>#REF!</v>
      </c>
      <c r="EZ307" t="e">
        <f>AND('PROG FORMACIÓN TITULADA'!#REF!,"AAAAAEPz+5s=")</f>
        <v>#REF!</v>
      </c>
      <c r="FA307" t="e">
        <f>AND('PROG FORMACIÓN TITULADA'!#REF!,"AAAAAEPz+5w=")</f>
        <v>#REF!</v>
      </c>
      <c r="FB307" t="e">
        <f>AND('PROG FORMACIÓN TITULADA'!#REF!,"AAAAAEPz+50=")</f>
        <v>#REF!</v>
      </c>
      <c r="FC307" t="e">
        <f>AND('PROG FORMACIÓN TITULADA'!#REF!,"AAAAAEPz+54=")</f>
        <v>#REF!</v>
      </c>
      <c r="FD307" t="e">
        <f>AND('PROG FORMACIÓN TITULADA'!#REF!,"AAAAAEPz+58=")</f>
        <v>#REF!</v>
      </c>
      <c r="FE307" t="e">
        <f>AND('PROG FORMACIÓN TITULADA'!#REF!,"AAAAAEPz+6A=")</f>
        <v>#REF!</v>
      </c>
      <c r="FF307" t="e">
        <f>AND('PROG FORMACIÓN TITULADA'!#REF!,"AAAAAEPz+6E=")</f>
        <v>#REF!</v>
      </c>
      <c r="FG307" t="e">
        <f>AND('PROG FORMACIÓN TITULADA'!#REF!,"AAAAAEPz+6I=")</f>
        <v>#REF!</v>
      </c>
      <c r="FH307" t="e">
        <f>AND('PROG FORMACIÓN TITULADA'!#REF!,"AAAAAEPz+6M=")</f>
        <v>#REF!</v>
      </c>
      <c r="FI307" t="e">
        <f>AND('PROG FORMACIÓN TITULADA'!#REF!,"AAAAAEPz+6Q=")</f>
        <v>#REF!</v>
      </c>
      <c r="FJ307" t="e">
        <f>AND('PROG FORMACIÓN TITULADA'!#REF!,"AAAAAEPz+6U=")</f>
        <v>#REF!</v>
      </c>
      <c r="FK307" t="e">
        <f>AND('PROG FORMACIÓN TITULADA'!#REF!,"AAAAAEPz+6Y=")</f>
        <v>#REF!</v>
      </c>
      <c r="FL307" t="e">
        <f>AND('PROG FORMACIÓN TITULADA'!#REF!,"AAAAAEPz+6c=")</f>
        <v>#REF!</v>
      </c>
      <c r="FM307" t="e">
        <f>AND('PROG FORMACIÓN TITULADA'!#REF!,"AAAAAEPz+6g=")</f>
        <v>#REF!</v>
      </c>
      <c r="FN307" t="e">
        <f>AND('PROG FORMACIÓN TITULADA'!#REF!,"AAAAAEPz+6k=")</f>
        <v>#REF!</v>
      </c>
      <c r="FO307" t="e">
        <f>AND('PROG FORMACIÓN TITULADA'!#REF!,"AAAAAEPz+6o=")</f>
        <v>#REF!</v>
      </c>
      <c r="FP307" t="e">
        <f>AND('PROG FORMACIÓN TITULADA'!#REF!,"AAAAAEPz+6s=")</f>
        <v>#REF!</v>
      </c>
      <c r="FQ307" t="e">
        <f>AND('PROG FORMACIÓN TITULADA'!#REF!,"AAAAAEPz+6w=")</f>
        <v>#REF!</v>
      </c>
      <c r="FR307" t="e">
        <f>AND('PROG FORMACIÓN TITULADA'!#REF!,"AAAAAEPz+60=")</f>
        <v>#REF!</v>
      </c>
      <c r="FS307" t="e">
        <f>AND('PROG FORMACIÓN TITULADA'!#REF!,"AAAAAEPz+64=")</f>
        <v>#REF!</v>
      </c>
      <c r="FT307" t="e">
        <f>AND('PROG FORMACIÓN TITULADA'!#REF!,"AAAAAEPz+68=")</f>
        <v>#REF!</v>
      </c>
      <c r="FU307" t="e">
        <f>AND('PROG FORMACIÓN TITULADA'!#REF!,"AAAAAEPz+7A=")</f>
        <v>#REF!</v>
      </c>
      <c r="FV307" t="e">
        <f>AND('PROG FORMACIÓN TITULADA'!#REF!,"AAAAAEPz+7E=")</f>
        <v>#REF!</v>
      </c>
      <c r="FW307" t="e">
        <f>AND('PROG FORMACIÓN TITULADA'!#REF!,"AAAAAEPz+7I=")</f>
        <v>#REF!</v>
      </c>
      <c r="FX307" t="e">
        <f>AND('PROG FORMACIÓN TITULADA'!#REF!,"AAAAAEPz+7M=")</f>
        <v>#REF!</v>
      </c>
      <c r="FY307" t="e">
        <f>IF('PROG FORMACIÓN TITULADA'!#REF!,"AAAAAEPz+7Q=",0)</f>
        <v>#REF!</v>
      </c>
      <c r="FZ307" t="e">
        <f>AND('PROG FORMACIÓN TITULADA'!#REF!,"AAAAAEPz+7U=")</f>
        <v>#REF!</v>
      </c>
      <c r="GA307" t="e">
        <f>AND('PROG FORMACIÓN TITULADA'!#REF!,"AAAAAEPz+7Y=")</f>
        <v>#REF!</v>
      </c>
      <c r="GB307" t="e">
        <f>AND('PROG FORMACIÓN TITULADA'!#REF!,"AAAAAEPz+7c=")</f>
        <v>#REF!</v>
      </c>
      <c r="GC307" t="e">
        <f>AND('PROG FORMACIÓN TITULADA'!#REF!,"AAAAAEPz+7g=")</f>
        <v>#REF!</v>
      </c>
      <c r="GD307" t="e">
        <f>AND('PROG FORMACIÓN TITULADA'!#REF!,"AAAAAEPz+7k=")</f>
        <v>#REF!</v>
      </c>
      <c r="GE307" t="e">
        <f>AND('PROG FORMACIÓN TITULADA'!#REF!,"AAAAAEPz+7o=")</f>
        <v>#REF!</v>
      </c>
      <c r="GF307" t="e">
        <f>AND('PROG FORMACIÓN TITULADA'!#REF!,"AAAAAEPz+7s=")</f>
        <v>#REF!</v>
      </c>
      <c r="GG307" t="e">
        <f>AND('PROG FORMACIÓN TITULADA'!#REF!,"AAAAAEPz+7w=")</f>
        <v>#REF!</v>
      </c>
      <c r="GH307" t="e">
        <f>AND('PROG FORMACIÓN TITULADA'!#REF!,"AAAAAEPz+70=")</f>
        <v>#REF!</v>
      </c>
      <c r="GI307" t="e">
        <f>AND('PROG FORMACIÓN TITULADA'!#REF!,"AAAAAEPz+74=")</f>
        <v>#REF!</v>
      </c>
      <c r="GJ307" t="e">
        <f>AND('PROG FORMACIÓN TITULADA'!#REF!,"AAAAAEPz+78=")</f>
        <v>#REF!</v>
      </c>
      <c r="GK307" t="e">
        <f>AND('PROG FORMACIÓN TITULADA'!#REF!,"AAAAAEPz+8A=")</f>
        <v>#REF!</v>
      </c>
      <c r="GL307" t="e">
        <f>AND('PROG FORMACIÓN TITULADA'!#REF!,"AAAAAEPz+8E=")</f>
        <v>#REF!</v>
      </c>
      <c r="GM307" t="e">
        <f>AND('PROG FORMACIÓN TITULADA'!#REF!,"AAAAAEPz+8I=")</f>
        <v>#REF!</v>
      </c>
      <c r="GN307" t="e">
        <f>AND('PROG FORMACIÓN TITULADA'!#REF!,"AAAAAEPz+8M=")</f>
        <v>#REF!</v>
      </c>
      <c r="GO307" t="e">
        <f>AND('PROG FORMACIÓN TITULADA'!#REF!,"AAAAAEPz+8Q=")</f>
        <v>#REF!</v>
      </c>
      <c r="GP307" t="e">
        <f>AND('PROG FORMACIÓN TITULADA'!#REF!,"AAAAAEPz+8U=")</f>
        <v>#REF!</v>
      </c>
      <c r="GQ307" t="e">
        <f>AND('PROG FORMACIÓN TITULADA'!#REF!,"AAAAAEPz+8Y=")</f>
        <v>#REF!</v>
      </c>
      <c r="GR307" t="e">
        <f>AND('PROG FORMACIÓN TITULADA'!#REF!,"AAAAAEPz+8c=")</f>
        <v>#REF!</v>
      </c>
      <c r="GS307" t="e">
        <f>AND('PROG FORMACIÓN TITULADA'!#REF!,"AAAAAEPz+8g=")</f>
        <v>#REF!</v>
      </c>
      <c r="GT307" t="e">
        <f>AND('PROG FORMACIÓN TITULADA'!#REF!,"AAAAAEPz+8k=")</f>
        <v>#REF!</v>
      </c>
      <c r="GU307" t="e">
        <f>AND('PROG FORMACIÓN TITULADA'!#REF!,"AAAAAEPz+8o=")</f>
        <v>#REF!</v>
      </c>
      <c r="GV307" t="e">
        <f>AND('PROG FORMACIÓN TITULADA'!#REF!,"AAAAAEPz+8s=")</f>
        <v>#REF!</v>
      </c>
      <c r="GW307" t="e">
        <f>AND('PROG FORMACIÓN TITULADA'!#REF!,"AAAAAEPz+8w=")</f>
        <v>#REF!</v>
      </c>
      <c r="GX307" t="e">
        <f>AND('PROG FORMACIÓN TITULADA'!#REF!,"AAAAAEPz+80=")</f>
        <v>#REF!</v>
      </c>
      <c r="GY307" t="e">
        <f>AND('PROG FORMACIÓN TITULADA'!#REF!,"AAAAAEPz+84=")</f>
        <v>#REF!</v>
      </c>
      <c r="GZ307" t="e">
        <f>IF('PROG FORMACIÓN TITULADA'!#REF!,"AAAAAEPz+88=",0)</f>
        <v>#REF!</v>
      </c>
      <c r="HA307" t="e">
        <f>AND('PROG FORMACIÓN TITULADA'!#REF!,"AAAAAEPz+9A=")</f>
        <v>#REF!</v>
      </c>
      <c r="HB307" t="e">
        <f>AND('PROG FORMACIÓN TITULADA'!#REF!,"AAAAAEPz+9E=")</f>
        <v>#REF!</v>
      </c>
      <c r="HC307" t="e">
        <f>AND('PROG FORMACIÓN TITULADA'!#REF!,"AAAAAEPz+9I=")</f>
        <v>#REF!</v>
      </c>
      <c r="HD307" t="e">
        <f>AND('PROG FORMACIÓN TITULADA'!#REF!,"AAAAAEPz+9M=")</f>
        <v>#REF!</v>
      </c>
      <c r="HE307" t="e">
        <f>AND('PROG FORMACIÓN TITULADA'!#REF!,"AAAAAEPz+9Q=")</f>
        <v>#REF!</v>
      </c>
      <c r="HF307" t="e">
        <f>AND('PROG FORMACIÓN TITULADA'!#REF!,"AAAAAEPz+9U=")</f>
        <v>#REF!</v>
      </c>
      <c r="HG307" t="e">
        <f>AND('PROG FORMACIÓN TITULADA'!#REF!,"AAAAAEPz+9Y=")</f>
        <v>#REF!</v>
      </c>
      <c r="HH307" t="e">
        <f>AND('PROG FORMACIÓN TITULADA'!#REF!,"AAAAAEPz+9c=")</f>
        <v>#REF!</v>
      </c>
      <c r="HI307" t="e">
        <f>AND('PROG FORMACIÓN TITULADA'!#REF!,"AAAAAEPz+9g=")</f>
        <v>#REF!</v>
      </c>
      <c r="HJ307" t="e">
        <f>AND('PROG FORMACIÓN TITULADA'!#REF!,"AAAAAEPz+9k=")</f>
        <v>#REF!</v>
      </c>
      <c r="HK307" t="e">
        <f>AND('PROG FORMACIÓN TITULADA'!#REF!,"AAAAAEPz+9o=")</f>
        <v>#REF!</v>
      </c>
      <c r="HL307" t="e">
        <f>AND('PROG FORMACIÓN TITULADA'!#REF!,"AAAAAEPz+9s=")</f>
        <v>#REF!</v>
      </c>
      <c r="HM307" t="e">
        <f>AND('PROG FORMACIÓN TITULADA'!#REF!,"AAAAAEPz+9w=")</f>
        <v>#REF!</v>
      </c>
      <c r="HN307" t="e">
        <f>AND('PROG FORMACIÓN TITULADA'!#REF!,"AAAAAEPz+90=")</f>
        <v>#REF!</v>
      </c>
      <c r="HO307" t="e">
        <f>AND('PROG FORMACIÓN TITULADA'!#REF!,"AAAAAEPz+94=")</f>
        <v>#REF!</v>
      </c>
      <c r="HP307" t="e">
        <f>AND('PROG FORMACIÓN TITULADA'!#REF!,"AAAAAEPz+98=")</f>
        <v>#REF!</v>
      </c>
      <c r="HQ307" t="e">
        <f>AND('PROG FORMACIÓN TITULADA'!#REF!,"AAAAAEPz++A=")</f>
        <v>#REF!</v>
      </c>
      <c r="HR307" t="e">
        <f>AND('PROG FORMACIÓN TITULADA'!#REF!,"AAAAAEPz++E=")</f>
        <v>#REF!</v>
      </c>
      <c r="HS307" t="e">
        <f>AND('PROG FORMACIÓN TITULADA'!#REF!,"AAAAAEPz++I=")</f>
        <v>#REF!</v>
      </c>
      <c r="HT307" t="e">
        <f>AND('PROG FORMACIÓN TITULADA'!#REF!,"AAAAAEPz++M=")</f>
        <v>#REF!</v>
      </c>
      <c r="HU307" t="e">
        <f>AND('PROG FORMACIÓN TITULADA'!#REF!,"AAAAAEPz++Q=")</f>
        <v>#REF!</v>
      </c>
      <c r="HV307" t="e">
        <f>AND('PROG FORMACIÓN TITULADA'!#REF!,"AAAAAEPz++U=")</f>
        <v>#REF!</v>
      </c>
      <c r="HW307" t="e">
        <f>AND('PROG FORMACIÓN TITULADA'!#REF!,"AAAAAEPz++Y=")</f>
        <v>#REF!</v>
      </c>
      <c r="HX307" t="e">
        <f>AND('PROG FORMACIÓN TITULADA'!#REF!,"AAAAAEPz++c=")</f>
        <v>#REF!</v>
      </c>
      <c r="HY307" t="e">
        <f>AND('PROG FORMACIÓN TITULADA'!#REF!,"AAAAAEPz++g=")</f>
        <v>#REF!</v>
      </c>
      <c r="HZ307" t="e">
        <f>AND('PROG FORMACIÓN TITULADA'!#REF!,"AAAAAEPz++k=")</f>
        <v>#REF!</v>
      </c>
      <c r="IA307" t="e">
        <f>IF('PROG FORMACIÓN TITULADA'!#REF!,"AAAAAEPz++o=",0)</f>
        <v>#REF!</v>
      </c>
      <c r="IB307" t="e">
        <f>AND('PROG FORMACIÓN TITULADA'!#REF!,"AAAAAEPz++s=")</f>
        <v>#REF!</v>
      </c>
      <c r="IC307" t="e">
        <f>AND('PROG FORMACIÓN TITULADA'!#REF!,"AAAAAEPz++w=")</f>
        <v>#REF!</v>
      </c>
      <c r="ID307" t="e">
        <f>AND('PROG FORMACIÓN TITULADA'!#REF!,"AAAAAEPz++0=")</f>
        <v>#REF!</v>
      </c>
      <c r="IE307" t="e">
        <f>AND('PROG FORMACIÓN TITULADA'!#REF!,"AAAAAEPz++4=")</f>
        <v>#REF!</v>
      </c>
      <c r="IF307" t="e">
        <f>AND('PROG FORMACIÓN TITULADA'!#REF!,"AAAAAEPz++8=")</f>
        <v>#REF!</v>
      </c>
      <c r="IG307" t="e">
        <f>AND('PROG FORMACIÓN TITULADA'!#REF!,"AAAAAEPz+/A=")</f>
        <v>#REF!</v>
      </c>
      <c r="IH307" t="e">
        <f>AND('PROG FORMACIÓN TITULADA'!#REF!,"AAAAAEPz+/E=")</f>
        <v>#REF!</v>
      </c>
      <c r="II307" t="e">
        <f>AND('PROG FORMACIÓN TITULADA'!#REF!,"AAAAAEPz+/I=")</f>
        <v>#REF!</v>
      </c>
      <c r="IJ307" t="e">
        <f>AND('PROG FORMACIÓN TITULADA'!#REF!,"AAAAAEPz+/M=")</f>
        <v>#REF!</v>
      </c>
      <c r="IK307" t="e">
        <f>AND('PROG FORMACIÓN TITULADA'!#REF!,"AAAAAEPz+/Q=")</f>
        <v>#REF!</v>
      </c>
      <c r="IL307" t="e">
        <f>AND('PROG FORMACIÓN TITULADA'!#REF!,"AAAAAEPz+/U=")</f>
        <v>#REF!</v>
      </c>
      <c r="IM307" t="e">
        <f>AND('PROG FORMACIÓN TITULADA'!#REF!,"AAAAAEPz+/Y=")</f>
        <v>#REF!</v>
      </c>
      <c r="IN307" t="e">
        <f>AND('PROG FORMACIÓN TITULADA'!#REF!,"AAAAAEPz+/c=")</f>
        <v>#REF!</v>
      </c>
      <c r="IO307" t="e">
        <f>AND('PROG FORMACIÓN TITULADA'!#REF!,"AAAAAEPz+/g=")</f>
        <v>#REF!</v>
      </c>
      <c r="IP307" t="e">
        <f>AND('PROG FORMACIÓN TITULADA'!#REF!,"AAAAAEPz+/k=")</f>
        <v>#REF!</v>
      </c>
      <c r="IQ307" t="e">
        <f>AND('PROG FORMACIÓN TITULADA'!#REF!,"AAAAAEPz+/o=")</f>
        <v>#REF!</v>
      </c>
      <c r="IR307" t="e">
        <f>AND('PROG FORMACIÓN TITULADA'!#REF!,"AAAAAEPz+/s=")</f>
        <v>#REF!</v>
      </c>
      <c r="IS307" t="e">
        <f>AND('PROG FORMACIÓN TITULADA'!#REF!,"AAAAAEPz+/w=")</f>
        <v>#REF!</v>
      </c>
      <c r="IT307" t="e">
        <f>AND('PROG FORMACIÓN TITULADA'!#REF!,"AAAAAEPz+/0=")</f>
        <v>#REF!</v>
      </c>
      <c r="IU307" t="e">
        <f>AND('PROG FORMACIÓN TITULADA'!#REF!,"AAAAAEPz+/4=")</f>
        <v>#REF!</v>
      </c>
      <c r="IV307" t="e">
        <f>AND('PROG FORMACIÓN TITULADA'!#REF!,"AAAAAEPz+/8=")</f>
        <v>#REF!</v>
      </c>
    </row>
    <row r="308" spans="1:256" x14ac:dyDescent="0.2">
      <c r="A308" t="e">
        <f>AND('PROG FORMACIÓN TITULADA'!#REF!,"AAAAADf3ewA=")</f>
        <v>#REF!</v>
      </c>
      <c r="B308" t="e">
        <f>AND('PROG FORMACIÓN TITULADA'!#REF!,"AAAAADf3ewE=")</f>
        <v>#REF!</v>
      </c>
      <c r="C308" t="e">
        <f>AND('PROG FORMACIÓN TITULADA'!#REF!,"AAAAADf3ewI=")</f>
        <v>#REF!</v>
      </c>
      <c r="D308" t="e">
        <f>AND('PROG FORMACIÓN TITULADA'!#REF!,"AAAAADf3ewM=")</f>
        <v>#REF!</v>
      </c>
      <c r="E308" t="e">
        <f>AND('PROG FORMACIÓN TITULADA'!#REF!,"AAAAADf3ewQ=")</f>
        <v>#REF!</v>
      </c>
      <c r="F308" t="e">
        <f>IF('PROG FORMACIÓN TITULADA'!#REF!,"AAAAADf3ewU=",0)</f>
        <v>#REF!</v>
      </c>
      <c r="G308" t="e">
        <f>AND('PROG FORMACIÓN TITULADA'!#REF!,"AAAAADf3ewY=")</f>
        <v>#REF!</v>
      </c>
      <c r="H308" t="e">
        <f>AND('PROG FORMACIÓN TITULADA'!#REF!,"AAAAADf3ewc=")</f>
        <v>#REF!</v>
      </c>
      <c r="I308" t="e">
        <f>AND('PROG FORMACIÓN TITULADA'!#REF!,"AAAAADf3ewg=")</f>
        <v>#REF!</v>
      </c>
      <c r="J308" t="e">
        <f>AND('PROG FORMACIÓN TITULADA'!#REF!,"AAAAADf3ewk=")</f>
        <v>#REF!</v>
      </c>
      <c r="K308" t="e">
        <f>AND('PROG FORMACIÓN TITULADA'!#REF!,"AAAAADf3ewo=")</f>
        <v>#REF!</v>
      </c>
      <c r="L308" t="e">
        <f>AND('PROG FORMACIÓN TITULADA'!#REF!,"AAAAADf3ews=")</f>
        <v>#REF!</v>
      </c>
      <c r="M308" t="e">
        <f>AND('PROG FORMACIÓN TITULADA'!#REF!,"AAAAADf3eww=")</f>
        <v>#REF!</v>
      </c>
      <c r="N308" t="e">
        <f>AND('PROG FORMACIÓN TITULADA'!#REF!,"AAAAADf3ew0=")</f>
        <v>#REF!</v>
      </c>
      <c r="O308" t="e">
        <f>AND('PROG FORMACIÓN TITULADA'!#REF!,"AAAAADf3ew4=")</f>
        <v>#REF!</v>
      </c>
      <c r="P308" t="e">
        <f>AND('PROG FORMACIÓN TITULADA'!#REF!,"AAAAADf3ew8=")</f>
        <v>#REF!</v>
      </c>
      <c r="Q308" t="e">
        <f>AND('PROG FORMACIÓN TITULADA'!#REF!,"AAAAADf3exA=")</f>
        <v>#REF!</v>
      </c>
      <c r="R308" t="e">
        <f>AND('PROG FORMACIÓN TITULADA'!#REF!,"AAAAADf3exE=")</f>
        <v>#REF!</v>
      </c>
      <c r="S308" t="e">
        <f>AND('PROG FORMACIÓN TITULADA'!#REF!,"AAAAADf3exI=")</f>
        <v>#REF!</v>
      </c>
      <c r="T308" t="e">
        <f>AND('PROG FORMACIÓN TITULADA'!#REF!,"AAAAADf3exM=")</f>
        <v>#REF!</v>
      </c>
      <c r="U308" t="e">
        <f>AND('PROG FORMACIÓN TITULADA'!#REF!,"AAAAADf3exQ=")</f>
        <v>#REF!</v>
      </c>
      <c r="V308" t="e">
        <f>AND('PROG FORMACIÓN TITULADA'!#REF!,"AAAAADf3exU=")</f>
        <v>#REF!</v>
      </c>
      <c r="W308" t="e">
        <f>AND('PROG FORMACIÓN TITULADA'!#REF!,"AAAAADf3exY=")</f>
        <v>#REF!</v>
      </c>
      <c r="X308" t="e">
        <f>AND('PROG FORMACIÓN TITULADA'!#REF!,"AAAAADf3exc=")</f>
        <v>#REF!</v>
      </c>
      <c r="Y308" t="e">
        <f>AND('PROG FORMACIÓN TITULADA'!#REF!,"AAAAADf3exg=")</f>
        <v>#REF!</v>
      </c>
      <c r="Z308" t="e">
        <f>AND('PROG FORMACIÓN TITULADA'!#REF!,"AAAAADf3exk=")</f>
        <v>#REF!</v>
      </c>
      <c r="AA308" t="e">
        <f>AND('PROG FORMACIÓN TITULADA'!#REF!,"AAAAADf3exo=")</f>
        <v>#REF!</v>
      </c>
      <c r="AB308" t="e">
        <f>AND('PROG FORMACIÓN TITULADA'!#REF!,"AAAAADf3exs=")</f>
        <v>#REF!</v>
      </c>
      <c r="AC308" t="e">
        <f>AND('PROG FORMACIÓN TITULADA'!#REF!,"AAAAADf3exw=")</f>
        <v>#REF!</v>
      </c>
      <c r="AD308" t="e">
        <f>AND('PROG FORMACIÓN TITULADA'!#REF!,"AAAAADf3ex0=")</f>
        <v>#REF!</v>
      </c>
      <c r="AE308" t="e">
        <f>AND('PROG FORMACIÓN TITULADA'!#REF!,"AAAAADf3ex4=")</f>
        <v>#REF!</v>
      </c>
      <c r="AF308" t="e">
        <f>AND('PROG FORMACIÓN TITULADA'!#REF!,"AAAAADf3ex8=")</f>
        <v>#REF!</v>
      </c>
      <c r="AG308" t="e">
        <f>IF('PROG FORMACIÓN TITULADA'!#REF!,"AAAAADf3eyA=",0)</f>
        <v>#REF!</v>
      </c>
      <c r="AH308" t="e">
        <f>AND('PROG FORMACIÓN TITULADA'!#REF!,"AAAAADf3eyE=")</f>
        <v>#REF!</v>
      </c>
      <c r="AI308" t="e">
        <f>AND('PROG FORMACIÓN TITULADA'!#REF!,"AAAAADf3eyI=")</f>
        <v>#REF!</v>
      </c>
      <c r="AJ308" t="e">
        <f>AND('PROG FORMACIÓN TITULADA'!#REF!,"AAAAADf3eyM=")</f>
        <v>#REF!</v>
      </c>
      <c r="AK308" t="e">
        <f>AND('PROG FORMACIÓN TITULADA'!#REF!,"AAAAADf3eyQ=")</f>
        <v>#REF!</v>
      </c>
      <c r="AL308" t="e">
        <f>AND('PROG FORMACIÓN TITULADA'!#REF!,"AAAAADf3eyU=")</f>
        <v>#REF!</v>
      </c>
      <c r="AM308" t="e">
        <f>AND('PROG FORMACIÓN TITULADA'!#REF!,"AAAAADf3eyY=")</f>
        <v>#REF!</v>
      </c>
      <c r="AN308" t="e">
        <f>AND('PROG FORMACIÓN TITULADA'!#REF!,"AAAAADf3eyc=")</f>
        <v>#REF!</v>
      </c>
      <c r="AO308" t="e">
        <f>AND('PROG FORMACIÓN TITULADA'!#REF!,"AAAAADf3eyg=")</f>
        <v>#REF!</v>
      </c>
      <c r="AP308" t="e">
        <f>AND('PROG FORMACIÓN TITULADA'!#REF!,"AAAAADf3eyk=")</f>
        <v>#REF!</v>
      </c>
      <c r="AQ308" t="e">
        <f>AND('PROG FORMACIÓN TITULADA'!#REF!,"AAAAADf3eyo=")</f>
        <v>#REF!</v>
      </c>
      <c r="AR308" t="e">
        <f>AND('PROG FORMACIÓN TITULADA'!#REF!,"AAAAADf3eys=")</f>
        <v>#REF!</v>
      </c>
      <c r="AS308" t="e">
        <f>AND('PROG FORMACIÓN TITULADA'!#REF!,"AAAAADf3eyw=")</f>
        <v>#REF!</v>
      </c>
      <c r="AT308" t="e">
        <f>AND('PROG FORMACIÓN TITULADA'!#REF!,"AAAAADf3ey0=")</f>
        <v>#REF!</v>
      </c>
      <c r="AU308" t="e">
        <f>AND('PROG FORMACIÓN TITULADA'!#REF!,"AAAAADf3ey4=")</f>
        <v>#REF!</v>
      </c>
      <c r="AV308" t="e">
        <f>AND('PROG FORMACIÓN TITULADA'!#REF!,"AAAAADf3ey8=")</f>
        <v>#REF!</v>
      </c>
      <c r="AW308" t="e">
        <f>AND('PROG FORMACIÓN TITULADA'!#REF!,"AAAAADf3ezA=")</f>
        <v>#REF!</v>
      </c>
      <c r="AX308" t="e">
        <f>AND('PROG FORMACIÓN TITULADA'!#REF!,"AAAAADf3ezE=")</f>
        <v>#REF!</v>
      </c>
      <c r="AY308" t="e">
        <f>AND('PROG FORMACIÓN TITULADA'!#REF!,"AAAAADf3ezI=")</f>
        <v>#REF!</v>
      </c>
      <c r="AZ308" t="e">
        <f>AND('PROG FORMACIÓN TITULADA'!#REF!,"AAAAADf3ezM=")</f>
        <v>#REF!</v>
      </c>
      <c r="BA308" t="e">
        <f>AND('PROG FORMACIÓN TITULADA'!#REF!,"AAAAADf3ezQ=")</f>
        <v>#REF!</v>
      </c>
      <c r="BB308" t="e">
        <f>AND('PROG FORMACIÓN TITULADA'!#REF!,"AAAAADf3ezU=")</f>
        <v>#REF!</v>
      </c>
      <c r="BC308" t="e">
        <f>AND('PROG FORMACIÓN TITULADA'!#REF!,"AAAAADf3ezY=")</f>
        <v>#REF!</v>
      </c>
      <c r="BD308" t="e">
        <f>AND('PROG FORMACIÓN TITULADA'!#REF!,"AAAAADf3ezc=")</f>
        <v>#REF!</v>
      </c>
      <c r="BE308" t="e">
        <f>AND('PROG FORMACIÓN TITULADA'!#REF!,"AAAAADf3ezg=")</f>
        <v>#REF!</v>
      </c>
      <c r="BF308" t="e">
        <f>AND('PROG FORMACIÓN TITULADA'!#REF!,"AAAAADf3ezk=")</f>
        <v>#REF!</v>
      </c>
      <c r="BG308" t="e">
        <f>AND('PROG FORMACIÓN TITULADA'!#REF!,"AAAAADf3ezo=")</f>
        <v>#REF!</v>
      </c>
      <c r="BH308" t="e">
        <f>IF('PROG FORMACIÓN TITULADA'!#REF!,"AAAAADf3ezs=",0)</f>
        <v>#REF!</v>
      </c>
      <c r="BI308" t="e">
        <f>AND('PROG FORMACIÓN TITULADA'!#REF!,"AAAAADf3ezw=")</f>
        <v>#REF!</v>
      </c>
      <c r="BJ308" t="e">
        <f>AND('PROG FORMACIÓN TITULADA'!#REF!,"AAAAADf3ez0=")</f>
        <v>#REF!</v>
      </c>
      <c r="BK308" t="e">
        <f>AND('PROG FORMACIÓN TITULADA'!#REF!,"AAAAADf3ez4=")</f>
        <v>#REF!</v>
      </c>
      <c r="BL308" t="e">
        <f>AND('PROG FORMACIÓN TITULADA'!#REF!,"AAAAADf3ez8=")</f>
        <v>#REF!</v>
      </c>
      <c r="BM308" t="e">
        <f>AND('PROG FORMACIÓN TITULADA'!#REF!,"AAAAADf3e0A=")</f>
        <v>#REF!</v>
      </c>
      <c r="BN308" t="e">
        <f>AND('PROG FORMACIÓN TITULADA'!#REF!,"AAAAADf3e0E=")</f>
        <v>#REF!</v>
      </c>
      <c r="BO308" t="e">
        <f>AND('PROG FORMACIÓN TITULADA'!#REF!,"AAAAADf3e0I=")</f>
        <v>#REF!</v>
      </c>
      <c r="BP308" t="e">
        <f>AND('PROG FORMACIÓN TITULADA'!#REF!,"AAAAADf3e0M=")</f>
        <v>#REF!</v>
      </c>
      <c r="BQ308" t="e">
        <f>AND('PROG FORMACIÓN TITULADA'!#REF!,"AAAAADf3e0Q=")</f>
        <v>#REF!</v>
      </c>
      <c r="BR308" t="e">
        <f>AND('PROG FORMACIÓN TITULADA'!#REF!,"AAAAADf3e0U=")</f>
        <v>#REF!</v>
      </c>
      <c r="BS308" t="e">
        <f>AND('PROG FORMACIÓN TITULADA'!#REF!,"AAAAADf3e0Y=")</f>
        <v>#REF!</v>
      </c>
      <c r="BT308" t="e">
        <f>AND('PROG FORMACIÓN TITULADA'!#REF!,"AAAAADf3e0c=")</f>
        <v>#REF!</v>
      </c>
      <c r="BU308" t="e">
        <f>AND('PROG FORMACIÓN TITULADA'!#REF!,"AAAAADf3e0g=")</f>
        <v>#REF!</v>
      </c>
      <c r="BV308" t="e">
        <f>AND('PROG FORMACIÓN TITULADA'!#REF!,"AAAAADf3e0k=")</f>
        <v>#REF!</v>
      </c>
      <c r="BW308" t="e">
        <f>AND('PROG FORMACIÓN TITULADA'!#REF!,"AAAAADf3e0o=")</f>
        <v>#REF!</v>
      </c>
      <c r="BX308" t="e">
        <f>AND('PROG FORMACIÓN TITULADA'!#REF!,"AAAAADf3e0s=")</f>
        <v>#REF!</v>
      </c>
      <c r="BY308" t="e">
        <f>AND('PROG FORMACIÓN TITULADA'!#REF!,"AAAAADf3e0w=")</f>
        <v>#REF!</v>
      </c>
      <c r="BZ308" t="e">
        <f>AND('PROG FORMACIÓN TITULADA'!#REF!,"AAAAADf3e00=")</f>
        <v>#REF!</v>
      </c>
      <c r="CA308" t="e">
        <f>AND('PROG FORMACIÓN TITULADA'!#REF!,"AAAAADf3e04=")</f>
        <v>#REF!</v>
      </c>
      <c r="CB308" t="e">
        <f>AND('PROG FORMACIÓN TITULADA'!#REF!,"AAAAADf3e08=")</f>
        <v>#REF!</v>
      </c>
      <c r="CC308" t="e">
        <f>AND('PROG FORMACIÓN TITULADA'!#REF!,"AAAAADf3e1A=")</f>
        <v>#REF!</v>
      </c>
      <c r="CD308" t="e">
        <f>AND('PROG FORMACIÓN TITULADA'!#REF!,"AAAAADf3e1E=")</f>
        <v>#REF!</v>
      </c>
      <c r="CE308" t="e">
        <f>AND('PROG FORMACIÓN TITULADA'!#REF!,"AAAAADf3e1I=")</f>
        <v>#REF!</v>
      </c>
      <c r="CF308" t="e">
        <f>AND('PROG FORMACIÓN TITULADA'!#REF!,"AAAAADf3e1M=")</f>
        <v>#REF!</v>
      </c>
      <c r="CG308" t="e">
        <f>AND('PROG FORMACIÓN TITULADA'!#REF!,"AAAAADf3e1Q=")</f>
        <v>#REF!</v>
      </c>
      <c r="CH308" t="e">
        <f>AND('PROG FORMACIÓN TITULADA'!#REF!,"AAAAADf3e1U=")</f>
        <v>#REF!</v>
      </c>
      <c r="CI308" t="e">
        <f>IF('PROG FORMACIÓN TITULADA'!#REF!,"AAAAADf3e1Y=",0)</f>
        <v>#REF!</v>
      </c>
      <c r="CJ308" t="e">
        <f>AND('PROG FORMACIÓN TITULADA'!#REF!,"AAAAADf3e1c=")</f>
        <v>#REF!</v>
      </c>
      <c r="CK308" t="e">
        <f>AND('PROG FORMACIÓN TITULADA'!#REF!,"AAAAADf3e1g=")</f>
        <v>#REF!</v>
      </c>
      <c r="CL308" t="e">
        <f>AND('PROG FORMACIÓN TITULADA'!#REF!,"AAAAADf3e1k=")</f>
        <v>#REF!</v>
      </c>
      <c r="CM308" t="e">
        <f>AND('PROG FORMACIÓN TITULADA'!#REF!,"AAAAADf3e1o=")</f>
        <v>#REF!</v>
      </c>
      <c r="CN308" t="e">
        <f>AND('PROG FORMACIÓN TITULADA'!#REF!,"AAAAADf3e1s=")</f>
        <v>#REF!</v>
      </c>
      <c r="CO308" t="e">
        <f>AND('PROG FORMACIÓN TITULADA'!#REF!,"AAAAADf3e1w=")</f>
        <v>#REF!</v>
      </c>
      <c r="CP308" t="e">
        <f>AND('PROG FORMACIÓN TITULADA'!#REF!,"AAAAADf3e10=")</f>
        <v>#REF!</v>
      </c>
      <c r="CQ308" t="e">
        <f>AND('PROG FORMACIÓN TITULADA'!#REF!,"AAAAADf3e14=")</f>
        <v>#REF!</v>
      </c>
      <c r="CR308" t="e">
        <f>AND('PROG FORMACIÓN TITULADA'!#REF!,"AAAAADf3e18=")</f>
        <v>#REF!</v>
      </c>
      <c r="CS308" t="e">
        <f>AND('PROG FORMACIÓN TITULADA'!#REF!,"AAAAADf3e2A=")</f>
        <v>#REF!</v>
      </c>
      <c r="CT308" t="e">
        <f>AND('PROG FORMACIÓN TITULADA'!#REF!,"AAAAADf3e2E=")</f>
        <v>#REF!</v>
      </c>
      <c r="CU308" t="e">
        <f>AND('PROG FORMACIÓN TITULADA'!#REF!,"AAAAADf3e2I=")</f>
        <v>#REF!</v>
      </c>
      <c r="CV308" t="e">
        <f>AND('PROG FORMACIÓN TITULADA'!#REF!,"AAAAADf3e2M=")</f>
        <v>#REF!</v>
      </c>
      <c r="CW308" t="e">
        <f>AND('PROG FORMACIÓN TITULADA'!#REF!,"AAAAADf3e2Q=")</f>
        <v>#REF!</v>
      </c>
      <c r="CX308" t="e">
        <f>AND('PROG FORMACIÓN TITULADA'!#REF!,"AAAAADf3e2U=")</f>
        <v>#REF!</v>
      </c>
      <c r="CY308" t="e">
        <f>AND('PROG FORMACIÓN TITULADA'!#REF!,"AAAAADf3e2Y=")</f>
        <v>#REF!</v>
      </c>
      <c r="CZ308" t="e">
        <f>AND('PROG FORMACIÓN TITULADA'!#REF!,"AAAAADf3e2c=")</f>
        <v>#REF!</v>
      </c>
      <c r="DA308" t="e">
        <f>AND('PROG FORMACIÓN TITULADA'!#REF!,"AAAAADf3e2g=")</f>
        <v>#REF!</v>
      </c>
      <c r="DB308" t="e">
        <f>AND('PROG FORMACIÓN TITULADA'!#REF!,"AAAAADf3e2k=")</f>
        <v>#REF!</v>
      </c>
      <c r="DC308" t="e">
        <f>AND('PROG FORMACIÓN TITULADA'!#REF!,"AAAAADf3e2o=")</f>
        <v>#REF!</v>
      </c>
      <c r="DD308" t="e">
        <f>AND('PROG FORMACIÓN TITULADA'!#REF!,"AAAAADf3e2s=")</f>
        <v>#REF!</v>
      </c>
      <c r="DE308" t="e">
        <f>AND('PROG FORMACIÓN TITULADA'!#REF!,"AAAAADf3e2w=")</f>
        <v>#REF!</v>
      </c>
      <c r="DF308" t="e">
        <f>AND('PROG FORMACIÓN TITULADA'!#REF!,"AAAAADf3e20=")</f>
        <v>#REF!</v>
      </c>
      <c r="DG308" t="e">
        <f>AND('PROG FORMACIÓN TITULADA'!#REF!,"AAAAADf3e24=")</f>
        <v>#REF!</v>
      </c>
      <c r="DH308" t="e">
        <f>AND('PROG FORMACIÓN TITULADA'!#REF!,"AAAAADf3e28=")</f>
        <v>#REF!</v>
      </c>
      <c r="DI308" t="e">
        <f>AND('PROG FORMACIÓN TITULADA'!#REF!,"AAAAADf3e3A=")</f>
        <v>#REF!</v>
      </c>
      <c r="DJ308" t="e">
        <f>IF('PROG FORMACIÓN TITULADA'!#REF!,"AAAAADf3e3E=",0)</f>
        <v>#REF!</v>
      </c>
      <c r="DK308" t="e">
        <f>AND('PROG FORMACIÓN TITULADA'!#REF!,"AAAAADf3e3I=")</f>
        <v>#REF!</v>
      </c>
      <c r="DL308" t="e">
        <f>AND('PROG FORMACIÓN TITULADA'!#REF!,"AAAAADf3e3M=")</f>
        <v>#REF!</v>
      </c>
      <c r="DM308" t="e">
        <f>AND('PROG FORMACIÓN TITULADA'!#REF!,"AAAAADf3e3Q=")</f>
        <v>#REF!</v>
      </c>
      <c r="DN308" t="e">
        <f>AND('PROG FORMACIÓN TITULADA'!#REF!,"AAAAADf3e3U=")</f>
        <v>#REF!</v>
      </c>
      <c r="DO308" t="e">
        <f>AND('PROG FORMACIÓN TITULADA'!#REF!,"AAAAADf3e3Y=")</f>
        <v>#REF!</v>
      </c>
      <c r="DP308" t="e">
        <f>AND('PROG FORMACIÓN TITULADA'!#REF!,"AAAAADf3e3c=")</f>
        <v>#REF!</v>
      </c>
      <c r="DQ308" t="e">
        <f>AND('PROG FORMACIÓN TITULADA'!#REF!,"AAAAADf3e3g=")</f>
        <v>#REF!</v>
      </c>
      <c r="DR308" t="e">
        <f>AND('PROG FORMACIÓN TITULADA'!#REF!,"AAAAADf3e3k=")</f>
        <v>#REF!</v>
      </c>
      <c r="DS308" t="e">
        <f>AND('PROG FORMACIÓN TITULADA'!#REF!,"AAAAADf3e3o=")</f>
        <v>#REF!</v>
      </c>
      <c r="DT308" t="e">
        <f>AND('PROG FORMACIÓN TITULADA'!#REF!,"AAAAADf3e3s=")</f>
        <v>#REF!</v>
      </c>
      <c r="DU308" t="e">
        <f>AND('PROG FORMACIÓN TITULADA'!#REF!,"AAAAADf3e3w=")</f>
        <v>#REF!</v>
      </c>
      <c r="DV308" t="e">
        <f>AND('PROG FORMACIÓN TITULADA'!#REF!,"AAAAADf3e30=")</f>
        <v>#REF!</v>
      </c>
      <c r="DW308" t="e">
        <f>AND('PROG FORMACIÓN TITULADA'!#REF!,"AAAAADf3e34=")</f>
        <v>#REF!</v>
      </c>
      <c r="DX308" t="e">
        <f>AND('PROG FORMACIÓN TITULADA'!#REF!,"AAAAADf3e38=")</f>
        <v>#REF!</v>
      </c>
      <c r="DY308" t="e">
        <f>AND('PROG FORMACIÓN TITULADA'!#REF!,"AAAAADf3e4A=")</f>
        <v>#REF!</v>
      </c>
      <c r="DZ308" t="e">
        <f>AND('PROG FORMACIÓN TITULADA'!#REF!,"AAAAADf3e4E=")</f>
        <v>#REF!</v>
      </c>
      <c r="EA308" t="e">
        <f>AND('PROG FORMACIÓN TITULADA'!#REF!,"AAAAADf3e4I=")</f>
        <v>#REF!</v>
      </c>
      <c r="EB308" t="e">
        <f>AND('PROG FORMACIÓN TITULADA'!#REF!,"AAAAADf3e4M=")</f>
        <v>#REF!</v>
      </c>
      <c r="EC308" t="e">
        <f>AND('PROG FORMACIÓN TITULADA'!#REF!,"AAAAADf3e4Q=")</f>
        <v>#REF!</v>
      </c>
      <c r="ED308" t="e">
        <f>AND('PROG FORMACIÓN TITULADA'!#REF!,"AAAAADf3e4U=")</f>
        <v>#REF!</v>
      </c>
      <c r="EE308" t="e">
        <f>AND('PROG FORMACIÓN TITULADA'!#REF!,"AAAAADf3e4Y=")</f>
        <v>#REF!</v>
      </c>
      <c r="EF308" t="e">
        <f>AND('PROG FORMACIÓN TITULADA'!#REF!,"AAAAADf3e4c=")</f>
        <v>#REF!</v>
      </c>
      <c r="EG308" t="e">
        <f>AND('PROG FORMACIÓN TITULADA'!#REF!,"AAAAADf3e4g=")</f>
        <v>#REF!</v>
      </c>
      <c r="EH308" t="e">
        <f>AND('PROG FORMACIÓN TITULADA'!#REF!,"AAAAADf3e4k=")</f>
        <v>#REF!</v>
      </c>
      <c r="EI308" t="e">
        <f>AND('PROG FORMACIÓN TITULADA'!#REF!,"AAAAADf3e4o=")</f>
        <v>#REF!</v>
      </c>
      <c r="EJ308" t="e">
        <f>AND('PROG FORMACIÓN TITULADA'!#REF!,"AAAAADf3e4s=")</f>
        <v>#REF!</v>
      </c>
      <c r="EK308" t="e">
        <f>IF('PROG FORMACIÓN TITULADA'!#REF!,"AAAAADf3e4w=",0)</f>
        <v>#REF!</v>
      </c>
      <c r="EL308" t="e">
        <f>AND('PROG FORMACIÓN TITULADA'!#REF!,"AAAAADf3e40=")</f>
        <v>#REF!</v>
      </c>
      <c r="EM308" t="e">
        <f>AND('PROG FORMACIÓN TITULADA'!#REF!,"AAAAADf3e44=")</f>
        <v>#REF!</v>
      </c>
      <c r="EN308" t="e">
        <f>AND('PROG FORMACIÓN TITULADA'!#REF!,"AAAAADf3e48=")</f>
        <v>#REF!</v>
      </c>
      <c r="EO308" t="e">
        <f>AND('PROG FORMACIÓN TITULADA'!#REF!,"AAAAADf3e5A=")</f>
        <v>#REF!</v>
      </c>
      <c r="EP308" t="e">
        <f>AND('PROG FORMACIÓN TITULADA'!#REF!,"AAAAADf3e5E=")</f>
        <v>#REF!</v>
      </c>
      <c r="EQ308" t="e">
        <f>AND('PROG FORMACIÓN TITULADA'!#REF!,"AAAAADf3e5I=")</f>
        <v>#REF!</v>
      </c>
      <c r="ER308" t="e">
        <f>AND('PROG FORMACIÓN TITULADA'!#REF!,"AAAAADf3e5M=")</f>
        <v>#REF!</v>
      </c>
      <c r="ES308" t="e">
        <f>AND('PROG FORMACIÓN TITULADA'!#REF!,"AAAAADf3e5Q=")</f>
        <v>#REF!</v>
      </c>
      <c r="ET308" t="e">
        <f>AND('PROG FORMACIÓN TITULADA'!#REF!,"AAAAADf3e5U=")</f>
        <v>#REF!</v>
      </c>
      <c r="EU308" t="e">
        <f>AND('PROG FORMACIÓN TITULADA'!#REF!,"AAAAADf3e5Y=")</f>
        <v>#REF!</v>
      </c>
      <c r="EV308" t="e">
        <f>AND('PROG FORMACIÓN TITULADA'!#REF!,"AAAAADf3e5c=")</f>
        <v>#REF!</v>
      </c>
      <c r="EW308" t="e">
        <f>AND('PROG FORMACIÓN TITULADA'!#REF!,"AAAAADf3e5g=")</f>
        <v>#REF!</v>
      </c>
      <c r="EX308" t="e">
        <f>AND('PROG FORMACIÓN TITULADA'!#REF!,"AAAAADf3e5k=")</f>
        <v>#REF!</v>
      </c>
      <c r="EY308" t="e">
        <f>AND('PROG FORMACIÓN TITULADA'!#REF!,"AAAAADf3e5o=")</f>
        <v>#REF!</v>
      </c>
      <c r="EZ308" t="e">
        <f>AND('PROG FORMACIÓN TITULADA'!#REF!,"AAAAADf3e5s=")</f>
        <v>#REF!</v>
      </c>
      <c r="FA308" t="e">
        <f>AND('PROG FORMACIÓN TITULADA'!#REF!,"AAAAADf3e5w=")</f>
        <v>#REF!</v>
      </c>
      <c r="FB308" t="e">
        <f>AND('PROG FORMACIÓN TITULADA'!#REF!,"AAAAADf3e50=")</f>
        <v>#REF!</v>
      </c>
      <c r="FC308" t="e">
        <f>AND('PROG FORMACIÓN TITULADA'!#REF!,"AAAAADf3e54=")</f>
        <v>#REF!</v>
      </c>
      <c r="FD308" t="e">
        <f>AND('PROG FORMACIÓN TITULADA'!#REF!,"AAAAADf3e58=")</f>
        <v>#REF!</v>
      </c>
      <c r="FE308" t="e">
        <f>AND('PROG FORMACIÓN TITULADA'!#REF!,"AAAAADf3e6A=")</f>
        <v>#REF!</v>
      </c>
      <c r="FF308" t="e">
        <f>AND('PROG FORMACIÓN TITULADA'!#REF!,"AAAAADf3e6E=")</f>
        <v>#REF!</v>
      </c>
      <c r="FG308" t="e">
        <f>AND('PROG FORMACIÓN TITULADA'!#REF!,"AAAAADf3e6I=")</f>
        <v>#REF!</v>
      </c>
      <c r="FH308" t="e">
        <f>AND('PROG FORMACIÓN TITULADA'!#REF!,"AAAAADf3e6M=")</f>
        <v>#REF!</v>
      </c>
      <c r="FI308" t="e">
        <f>AND('PROG FORMACIÓN TITULADA'!#REF!,"AAAAADf3e6Q=")</f>
        <v>#REF!</v>
      </c>
      <c r="FJ308" t="e">
        <f>AND('PROG FORMACIÓN TITULADA'!#REF!,"AAAAADf3e6U=")</f>
        <v>#REF!</v>
      </c>
      <c r="FK308" t="e">
        <f>AND('PROG FORMACIÓN TITULADA'!#REF!,"AAAAADf3e6Y=")</f>
        <v>#REF!</v>
      </c>
      <c r="FL308" t="e">
        <f>IF('PROG FORMACIÓN TITULADA'!#REF!,"AAAAADf3e6c=",0)</f>
        <v>#REF!</v>
      </c>
      <c r="FM308" t="e">
        <f>AND('PROG FORMACIÓN TITULADA'!#REF!,"AAAAADf3e6g=")</f>
        <v>#REF!</v>
      </c>
      <c r="FN308" t="e">
        <f>AND('PROG FORMACIÓN TITULADA'!#REF!,"AAAAADf3e6k=")</f>
        <v>#REF!</v>
      </c>
      <c r="FO308" t="e">
        <f>AND('PROG FORMACIÓN TITULADA'!#REF!,"AAAAADf3e6o=")</f>
        <v>#REF!</v>
      </c>
      <c r="FP308" t="e">
        <f>AND('PROG FORMACIÓN TITULADA'!#REF!,"AAAAADf3e6s=")</f>
        <v>#REF!</v>
      </c>
      <c r="FQ308" t="e">
        <f>AND('PROG FORMACIÓN TITULADA'!#REF!,"AAAAADf3e6w=")</f>
        <v>#REF!</v>
      </c>
      <c r="FR308" t="e">
        <f>AND('PROG FORMACIÓN TITULADA'!#REF!,"AAAAADf3e60=")</f>
        <v>#REF!</v>
      </c>
      <c r="FS308" t="e">
        <f>AND('PROG FORMACIÓN TITULADA'!#REF!,"AAAAADf3e64=")</f>
        <v>#REF!</v>
      </c>
      <c r="FT308" t="e">
        <f>AND('PROG FORMACIÓN TITULADA'!#REF!,"AAAAADf3e68=")</f>
        <v>#REF!</v>
      </c>
      <c r="FU308" t="e">
        <f>AND('PROG FORMACIÓN TITULADA'!#REF!,"AAAAADf3e7A=")</f>
        <v>#REF!</v>
      </c>
      <c r="FV308" t="e">
        <f>AND('PROG FORMACIÓN TITULADA'!#REF!,"AAAAADf3e7E=")</f>
        <v>#REF!</v>
      </c>
      <c r="FW308" t="e">
        <f>AND('PROG FORMACIÓN TITULADA'!#REF!,"AAAAADf3e7I=")</f>
        <v>#REF!</v>
      </c>
      <c r="FX308" t="e">
        <f>AND('PROG FORMACIÓN TITULADA'!#REF!,"AAAAADf3e7M=")</f>
        <v>#REF!</v>
      </c>
      <c r="FY308" t="e">
        <f>AND('PROG FORMACIÓN TITULADA'!#REF!,"AAAAADf3e7Q=")</f>
        <v>#REF!</v>
      </c>
      <c r="FZ308" t="e">
        <f>AND('PROG FORMACIÓN TITULADA'!#REF!,"AAAAADf3e7U=")</f>
        <v>#REF!</v>
      </c>
      <c r="GA308" t="e">
        <f>AND('PROG FORMACIÓN TITULADA'!#REF!,"AAAAADf3e7Y=")</f>
        <v>#REF!</v>
      </c>
      <c r="GB308" t="e">
        <f>AND('PROG FORMACIÓN TITULADA'!#REF!,"AAAAADf3e7c=")</f>
        <v>#REF!</v>
      </c>
      <c r="GC308" t="e">
        <f>AND('PROG FORMACIÓN TITULADA'!#REF!,"AAAAADf3e7g=")</f>
        <v>#REF!</v>
      </c>
      <c r="GD308" t="e">
        <f>AND('PROG FORMACIÓN TITULADA'!#REF!,"AAAAADf3e7k=")</f>
        <v>#REF!</v>
      </c>
      <c r="GE308" t="e">
        <f>AND('PROG FORMACIÓN TITULADA'!#REF!,"AAAAADf3e7o=")</f>
        <v>#REF!</v>
      </c>
      <c r="GF308" t="e">
        <f>AND('PROG FORMACIÓN TITULADA'!#REF!,"AAAAADf3e7s=")</f>
        <v>#REF!</v>
      </c>
      <c r="GG308" t="e">
        <f>AND('PROG FORMACIÓN TITULADA'!#REF!,"AAAAADf3e7w=")</f>
        <v>#REF!</v>
      </c>
      <c r="GH308" t="e">
        <f>AND('PROG FORMACIÓN TITULADA'!#REF!,"AAAAADf3e70=")</f>
        <v>#REF!</v>
      </c>
      <c r="GI308" t="e">
        <f>AND('PROG FORMACIÓN TITULADA'!#REF!,"AAAAADf3e74=")</f>
        <v>#REF!</v>
      </c>
      <c r="GJ308" t="e">
        <f>AND('PROG FORMACIÓN TITULADA'!#REF!,"AAAAADf3e78=")</f>
        <v>#REF!</v>
      </c>
      <c r="GK308" t="e">
        <f>AND('PROG FORMACIÓN TITULADA'!#REF!,"AAAAADf3e8A=")</f>
        <v>#REF!</v>
      </c>
      <c r="GL308" t="e">
        <f>AND('PROG FORMACIÓN TITULADA'!#REF!,"AAAAADf3e8E=")</f>
        <v>#REF!</v>
      </c>
      <c r="GM308" t="e">
        <f>IF('PROG FORMACIÓN TITULADA'!#REF!,"AAAAADf3e8I=",0)</f>
        <v>#REF!</v>
      </c>
      <c r="GN308" t="e">
        <f>AND('PROG FORMACIÓN TITULADA'!#REF!,"AAAAADf3e8M=")</f>
        <v>#REF!</v>
      </c>
      <c r="GO308" t="e">
        <f>AND('PROG FORMACIÓN TITULADA'!#REF!,"AAAAADf3e8Q=")</f>
        <v>#REF!</v>
      </c>
      <c r="GP308" t="e">
        <f>AND('PROG FORMACIÓN TITULADA'!#REF!,"AAAAADf3e8U=")</f>
        <v>#REF!</v>
      </c>
      <c r="GQ308" t="e">
        <f>AND('PROG FORMACIÓN TITULADA'!#REF!,"AAAAADf3e8Y=")</f>
        <v>#REF!</v>
      </c>
      <c r="GR308" t="e">
        <f>AND('PROG FORMACIÓN TITULADA'!#REF!,"AAAAADf3e8c=")</f>
        <v>#REF!</v>
      </c>
      <c r="GS308" t="e">
        <f>AND('PROG FORMACIÓN TITULADA'!#REF!,"AAAAADf3e8g=")</f>
        <v>#REF!</v>
      </c>
      <c r="GT308" t="e">
        <f>AND('PROG FORMACIÓN TITULADA'!#REF!,"AAAAADf3e8k=")</f>
        <v>#REF!</v>
      </c>
      <c r="GU308" t="e">
        <f>AND('PROG FORMACIÓN TITULADA'!#REF!,"AAAAADf3e8o=")</f>
        <v>#REF!</v>
      </c>
      <c r="GV308" t="e">
        <f>AND('PROG FORMACIÓN TITULADA'!#REF!,"AAAAADf3e8s=")</f>
        <v>#REF!</v>
      </c>
      <c r="GW308" t="e">
        <f>AND('PROG FORMACIÓN TITULADA'!#REF!,"AAAAADf3e8w=")</f>
        <v>#REF!</v>
      </c>
      <c r="GX308" t="e">
        <f>AND('PROG FORMACIÓN TITULADA'!#REF!,"AAAAADf3e80=")</f>
        <v>#REF!</v>
      </c>
      <c r="GY308" t="e">
        <f>AND('PROG FORMACIÓN TITULADA'!#REF!,"AAAAADf3e84=")</f>
        <v>#REF!</v>
      </c>
      <c r="GZ308" t="e">
        <f>AND('PROG FORMACIÓN TITULADA'!#REF!,"AAAAADf3e88=")</f>
        <v>#REF!</v>
      </c>
      <c r="HA308" t="e">
        <f>AND('PROG FORMACIÓN TITULADA'!#REF!,"AAAAADf3e9A=")</f>
        <v>#REF!</v>
      </c>
      <c r="HB308" t="e">
        <f>AND('PROG FORMACIÓN TITULADA'!#REF!,"AAAAADf3e9E=")</f>
        <v>#REF!</v>
      </c>
      <c r="HC308" t="e">
        <f>AND('PROG FORMACIÓN TITULADA'!#REF!,"AAAAADf3e9I=")</f>
        <v>#REF!</v>
      </c>
      <c r="HD308" t="e">
        <f>AND('PROG FORMACIÓN TITULADA'!#REF!,"AAAAADf3e9M=")</f>
        <v>#REF!</v>
      </c>
      <c r="HE308" t="e">
        <f>AND('PROG FORMACIÓN TITULADA'!#REF!,"AAAAADf3e9Q=")</f>
        <v>#REF!</v>
      </c>
      <c r="HF308" t="e">
        <f>AND('PROG FORMACIÓN TITULADA'!#REF!,"AAAAADf3e9U=")</f>
        <v>#REF!</v>
      </c>
      <c r="HG308" t="e">
        <f>AND('PROG FORMACIÓN TITULADA'!#REF!,"AAAAADf3e9Y=")</f>
        <v>#REF!</v>
      </c>
      <c r="HH308" t="e">
        <f>AND('PROG FORMACIÓN TITULADA'!#REF!,"AAAAADf3e9c=")</f>
        <v>#REF!</v>
      </c>
      <c r="HI308" t="e">
        <f>AND('PROG FORMACIÓN TITULADA'!#REF!,"AAAAADf3e9g=")</f>
        <v>#REF!</v>
      </c>
      <c r="HJ308" t="e">
        <f>AND('PROG FORMACIÓN TITULADA'!#REF!,"AAAAADf3e9k=")</f>
        <v>#REF!</v>
      </c>
      <c r="HK308" t="e">
        <f>AND('PROG FORMACIÓN TITULADA'!#REF!,"AAAAADf3e9o=")</f>
        <v>#REF!</v>
      </c>
      <c r="HL308" t="e">
        <f>AND('PROG FORMACIÓN TITULADA'!#REF!,"AAAAADf3e9s=")</f>
        <v>#REF!</v>
      </c>
      <c r="HM308" t="e">
        <f>AND('PROG FORMACIÓN TITULADA'!#REF!,"AAAAADf3e9w=")</f>
        <v>#REF!</v>
      </c>
      <c r="HN308" t="e">
        <f>IF('PROG FORMACIÓN TITULADA'!#REF!,"AAAAADf3e90=",0)</f>
        <v>#REF!</v>
      </c>
      <c r="HO308" t="e">
        <f>AND('PROG FORMACIÓN TITULADA'!#REF!,"AAAAADf3e94=")</f>
        <v>#REF!</v>
      </c>
      <c r="HP308" t="e">
        <f>AND('PROG FORMACIÓN TITULADA'!#REF!,"AAAAADf3e98=")</f>
        <v>#REF!</v>
      </c>
      <c r="HQ308" t="e">
        <f>AND('PROG FORMACIÓN TITULADA'!#REF!,"AAAAADf3e+A=")</f>
        <v>#REF!</v>
      </c>
      <c r="HR308" t="e">
        <f>AND('PROG FORMACIÓN TITULADA'!#REF!,"AAAAADf3e+E=")</f>
        <v>#REF!</v>
      </c>
      <c r="HS308" t="e">
        <f>AND('PROG FORMACIÓN TITULADA'!#REF!,"AAAAADf3e+I=")</f>
        <v>#REF!</v>
      </c>
      <c r="HT308" t="e">
        <f>AND('PROG FORMACIÓN TITULADA'!#REF!,"AAAAADf3e+M=")</f>
        <v>#REF!</v>
      </c>
      <c r="HU308" t="e">
        <f>AND('PROG FORMACIÓN TITULADA'!#REF!,"AAAAADf3e+Q=")</f>
        <v>#REF!</v>
      </c>
      <c r="HV308" t="e">
        <f>AND('PROG FORMACIÓN TITULADA'!#REF!,"AAAAADf3e+U=")</f>
        <v>#REF!</v>
      </c>
      <c r="HW308" t="e">
        <f>AND('PROG FORMACIÓN TITULADA'!#REF!,"AAAAADf3e+Y=")</f>
        <v>#REF!</v>
      </c>
      <c r="HX308" t="e">
        <f>AND('PROG FORMACIÓN TITULADA'!#REF!,"AAAAADf3e+c=")</f>
        <v>#REF!</v>
      </c>
      <c r="HY308" t="e">
        <f>AND('PROG FORMACIÓN TITULADA'!#REF!,"AAAAADf3e+g=")</f>
        <v>#REF!</v>
      </c>
      <c r="HZ308" t="e">
        <f>AND('PROG FORMACIÓN TITULADA'!#REF!,"AAAAADf3e+k=")</f>
        <v>#REF!</v>
      </c>
      <c r="IA308" t="e">
        <f>AND('PROG FORMACIÓN TITULADA'!#REF!,"AAAAADf3e+o=")</f>
        <v>#REF!</v>
      </c>
      <c r="IB308" t="e">
        <f>AND('PROG FORMACIÓN TITULADA'!#REF!,"AAAAADf3e+s=")</f>
        <v>#REF!</v>
      </c>
      <c r="IC308" t="e">
        <f>AND('PROG FORMACIÓN TITULADA'!#REF!,"AAAAADf3e+w=")</f>
        <v>#REF!</v>
      </c>
      <c r="ID308" t="e">
        <f>AND('PROG FORMACIÓN TITULADA'!#REF!,"AAAAADf3e+0=")</f>
        <v>#REF!</v>
      </c>
      <c r="IE308" t="e">
        <f>AND('PROG FORMACIÓN TITULADA'!#REF!,"AAAAADf3e+4=")</f>
        <v>#REF!</v>
      </c>
      <c r="IF308" t="e">
        <f>AND('PROG FORMACIÓN TITULADA'!#REF!,"AAAAADf3e+8=")</f>
        <v>#REF!</v>
      </c>
      <c r="IG308" t="e">
        <f>AND('PROG FORMACIÓN TITULADA'!#REF!,"AAAAADf3e/A=")</f>
        <v>#REF!</v>
      </c>
      <c r="IH308" t="e">
        <f>AND('PROG FORMACIÓN TITULADA'!#REF!,"AAAAADf3e/E=")</f>
        <v>#REF!</v>
      </c>
      <c r="II308" t="e">
        <f>AND('PROG FORMACIÓN TITULADA'!#REF!,"AAAAADf3e/I=")</f>
        <v>#REF!</v>
      </c>
      <c r="IJ308" t="e">
        <f>AND('PROG FORMACIÓN TITULADA'!#REF!,"AAAAADf3e/M=")</f>
        <v>#REF!</v>
      </c>
      <c r="IK308" t="e">
        <f>AND('PROG FORMACIÓN TITULADA'!#REF!,"AAAAADf3e/Q=")</f>
        <v>#REF!</v>
      </c>
      <c r="IL308" t="e">
        <f>AND('PROG FORMACIÓN TITULADA'!#REF!,"AAAAADf3e/U=")</f>
        <v>#REF!</v>
      </c>
      <c r="IM308" t="e">
        <f>AND('PROG FORMACIÓN TITULADA'!#REF!,"AAAAADf3e/Y=")</f>
        <v>#REF!</v>
      </c>
      <c r="IN308" t="e">
        <f>AND('PROG FORMACIÓN TITULADA'!#REF!,"AAAAADf3e/c=")</f>
        <v>#REF!</v>
      </c>
      <c r="IO308" t="e">
        <f>IF('PROG FORMACIÓN TITULADA'!#REF!,"AAAAADf3e/g=",0)</f>
        <v>#REF!</v>
      </c>
      <c r="IP308" t="e">
        <f>AND('PROG FORMACIÓN TITULADA'!#REF!,"AAAAADf3e/k=")</f>
        <v>#REF!</v>
      </c>
      <c r="IQ308" t="e">
        <f>AND('PROG FORMACIÓN TITULADA'!#REF!,"AAAAADf3e/o=")</f>
        <v>#REF!</v>
      </c>
      <c r="IR308" t="e">
        <f>AND('PROG FORMACIÓN TITULADA'!#REF!,"AAAAADf3e/s=")</f>
        <v>#REF!</v>
      </c>
      <c r="IS308" t="e">
        <f>AND('PROG FORMACIÓN TITULADA'!#REF!,"AAAAADf3e/w=")</f>
        <v>#REF!</v>
      </c>
      <c r="IT308" t="e">
        <f>AND('PROG FORMACIÓN TITULADA'!#REF!,"AAAAADf3e/0=")</f>
        <v>#REF!</v>
      </c>
      <c r="IU308" t="e">
        <f>AND('PROG FORMACIÓN TITULADA'!#REF!,"AAAAADf3e/4=")</f>
        <v>#REF!</v>
      </c>
      <c r="IV308" t="e">
        <f>AND('PROG FORMACIÓN TITULADA'!#REF!,"AAAAADf3e/8=")</f>
        <v>#REF!</v>
      </c>
    </row>
    <row r="309" spans="1:256" x14ac:dyDescent="0.2">
      <c r="A309" t="e">
        <f>AND('PROG FORMACIÓN TITULADA'!#REF!,"AAAAAHl73wA=")</f>
        <v>#REF!</v>
      </c>
      <c r="B309" t="e">
        <f>AND('PROG FORMACIÓN TITULADA'!#REF!,"AAAAAHl73wE=")</f>
        <v>#REF!</v>
      </c>
      <c r="C309" t="e">
        <f>AND('PROG FORMACIÓN TITULADA'!#REF!,"AAAAAHl73wI=")</f>
        <v>#REF!</v>
      </c>
      <c r="D309" t="e">
        <f>AND('PROG FORMACIÓN TITULADA'!#REF!,"AAAAAHl73wM=")</f>
        <v>#REF!</v>
      </c>
      <c r="E309" t="e">
        <f>AND('PROG FORMACIÓN TITULADA'!#REF!,"AAAAAHl73wQ=")</f>
        <v>#REF!</v>
      </c>
      <c r="F309" t="e">
        <f>AND('PROG FORMACIÓN TITULADA'!#REF!,"AAAAAHl73wU=")</f>
        <v>#REF!</v>
      </c>
      <c r="G309" t="e">
        <f>AND('PROG FORMACIÓN TITULADA'!#REF!,"AAAAAHl73wY=")</f>
        <v>#REF!</v>
      </c>
      <c r="H309" t="e">
        <f>AND('PROG FORMACIÓN TITULADA'!#REF!,"AAAAAHl73wc=")</f>
        <v>#REF!</v>
      </c>
      <c r="I309" t="e">
        <f>AND('PROG FORMACIÓN TITULADA'!#REF!,"AAAAAHl73wg=")</f>
        <v>#REF!</v>
      </c>
      <c r="J309" t="e">
        <f>AND('PROG FORMACIÓN TITULADA'!#REF!,"AAAAAHl73wk=")</f>
        <v>#REF!</v>
      </c>
      <c r="K309" t="e">
        <f>AND('PROG FORMACIÓN TITULADA'!#REF!,"AAAAAHl73wo=")</f>
        <v>#REF!</v>
      </c>
      <c r="L309" t="e">
        <f>AND('PROG FORMACIÓN TITULADA'!#REF!,"AAAAAHl73ws=")</f>
        <v>#REF!</v>
      </c>
      <c r="M309" t="e">
        <f>AND('PROG FORMACIÓN TITULADA'!#REF!,"AAAAAHl73ww=")</f>
        <v>#REF!</v>
      </c>
      <c r="N309" t="e">
        <f>AND('PROG FORMACIÓN TITULADA'!#REF!,"AAAAAHl73w0=")</f>
        <v>#REF!</v>
      </c>
      <c r="O309" t="e">
        <f>AND('PROG FORMACIÓN TITULADA'!#REF!,"AAAAAHl73w4=")</f>
        <v>#REF!</v>
      </c>
      <c r="P309" t="e">
        <f>AND('PROG FORMACIÓN TITULADA'!#REF!,"AAAAAHl73w8=")</f>
        <v>#REF!</v>
      </c>
      <c r="Q309" t="e">
        <f>AND('PROG FORMACIÓN TITULADA'!#REF!,"AAAAAHl73xA=")</f>
        <v>#REF!</v>
      </c>
      <c r="R309" t="e">
        <f>AND('PROG FORMACIÓN TITULADA'!#REF!,"AAAAAHl73xE=")</f>
        <v>#REF!</v>
      </c>
      <c r="S309" t="e">
        <f>AND('PROG FORMACIÓN TITULADA'!#REF!,"AAAAAHl73xI=")</f>
        <v>#REF!</v>
      </c>
      <c r="T309" t="e">
        <f>IF('PROG FORMACIÓN TITULADA'!#REF!,"AAAAAHl73xM=",0)</f>
        <v>#REF!</v>
      </c>
      <c r="U309" t="e">
        <f>AND('PROG FORMACIÓN TITULADA'!#REF!,"AAAAAHl73xQ=")</f>
        <v>#REF!</v>
      </c>
      <c r="V309" t="e">
        <f>AND('PROG FORMACIÓN TITULADA'!#REF!,"AAAAAHl73xU=")</f>
        <v>#REF!</v>
      </c>
      <c r="W309" t="e">
        <f>AND('PROG FORMACIÓN TITULADA'!#REF!,"AAAAAHl73xY=")</f>
        <v>#REF!</v>
      </c>
      <c r="X309" t="e">
        <f>AND('PROG FORMACIÓN TITULADA'!#REF!,"AAAAAHl73xc=")</f>
        <v>#REF!</v>
      </c>
      <c r="Y309" t="e">
        <f>AND('PROG FORMACIÓN TITULADA'!#REF!,"AAAAAHl73xg=")</f>
        <v>#REF!</v>
      </c>
      <c r="Z309" t="e">
        <f>AND('PROG FORMACIÓN TITULADA'!#REF!,"AAAAAHl73xk=")</f>
        <v>#REF!</v>
      </c>
      <c r="AA309" t="e">
        <f>AND('PROG FORMACIÓN TITULADA'!#REF!,"AAAAAHl73xo=")</f>
        <v>#REF!</v>
      </c>
      <c r="AB309" t="e">
        <f>AND('PROG FORMACIÓN TITULADA'!#REF!,"AAAAAHl73xs=")</f>
        <v>#REF!</v>
      </c>
      <c r="AC309" t="e">
        <f>AND('PROG FORMACIÓN TITULADA'!#REF!,"AAAAAHl73xw=")</f>
        <v>#REF!</v>
      </c>
      <c r="AD309" t="e">
        <f>AND('PROG FORMACIÓN TITULADA'!#REF!,"AAAAAHl73x0=")</f>
        <v>#REF!</v>
      </c>
      <c r="AE309" t="e">
        <f>AND('PROG FORMACIÓN TITULADA'!#REF!,"AAAAAHl73x4=")</f>
        <v>#REF!</v>
      </c>
      <c r="AF309" t="e">
        <f>AND('PROG FORMACIÓN TITULADA'!#REF!,"AAAAAHl73x8=")</f>
        <v>#REF!</v>
      </c>
      <c r="AG309" t="e">
        <f>AND('PROG FORMACIÓN TITULADA'!#REF!,"AAAAAHl73yA=")</f>
        <v>#REF!</v>
      </c>
      <c r="AH309" t="e">
        <f>AND('PROG FORMACIÓN TITULADA'!#REF!,"AAAAAHl73yE=")</f>
        <v>#REF!</v>
      </c>
      <c r="AI309" t="e">
        <f>AND('PROG FORMACIÓN TITULADA'!#REF!,"AAAAAHl73yI=")</f>
        <v>#REF!</v>
      </c>
      <c r="AJ309" t="e">
        <f>AND('PROG FORMACIÓN TITULADA'!#REF!,"AAAAAHl73yM=")</f>
        <v>#REF!</v>
      </c>
      <c r="AK309" t="e">
        <f>AND('PROG FORMACIÓN TITULADA'!#REF!,"AAAAAHl73yQ=")</f>
        <v>#REF!</v>
      </c>
      <c r="AL309" t="e">
        <f>AND('PROG FORMACIÓN TITULADA'!#REF!,"AAAAAHl73yU=")</f>
        <v>#REF!</v>
      </c>
      <c r="AM309" t="e">
        <f>AND('PROG FORMACIÓN TITULADA'!#REF!,"AAAAAHl73yY=")</f>
        <v>#REF!</v>
      </c>
      <c r="AN309" t="e">
        <f>AND('PROG FORMACIÓN TITULADA'!#REF!,"AAAAAHl73yc=")</f>
        <v>#REF!</v>
      </c>
      <c r="AO309" t="e">
        <f>AND('PROG FORMACIÓN TITULADA'!#REF!,"AAAAAHl73yg=")</f>
        <v>#REF!</v>
      </c>
      <c r="AP309" t="e">
        <f>AND('PROG FORMACIÓN TITULADA'!#REF!,"AAAAAHl73yk=")</f>
        <v>#REF!</v>
      </c>
      <c r="AQ309" t="e">
        <f>AND('PROG FORMACIÓN TITULADA'!#REF!,"AAAAAHl73yo=")</f>
        <v>#REF!</v>
      </c>
      <c r="AR309" t="e">
        <f>AND('PROG FORMACIÓN TITULADA'!#REF!,"AAAAAHl73ys=")</f>
        <v>#REF!</v>
      </c>
      <c r="AS309" t="e">
        <f>AND('PROG FORMACIÓN TITULADA'!#REF!,"AAAAAHl73yw=")</f>
        <v>#REF!</v>
      </c>
      <c r="AT309" t="e">
        <f>AND('PROG FORMACIÓN TITULADA'!#REF!,"AAAAAHl73y0=")</f>
        <v>#REF!</v>
      </c>
      <c r="AU309" t="e">
        <f>IF('PROG FORMACIÓN TITULADA'!#REF!,"AAAAAHl73y4=",0)</f>
        <v>#REF!</v>
      </c>
      <c r="AV309" t="e">
        <f>AND('PROG FORMACIÓN TITULADA'!#REF!,"AAAAAHl73y8=")</f>
        <v>#REF!</v>
      </c>
      <c r="AW309" t="e">
        <f>AND('PROG FORMACIÓN TITULADA'!#REF!,"AAAAAHl73zA=")</f>
        <v>#REF!</v>
      </c>
      <c r="AX309" t="e">
        <f>AND('PROG FORMACIÓN TITULADA'!#REF!,"AAAAAHl73zE=")</f>
        <v>#REF!</v>
      </c>
      <c r="AY309" t="e">
        <f>AND('PROG FORMACIÓN TITULADA'!#REF!,"AAAAAHl73zI=")</f>
        <v>#REF!</v>
      </c>
      <c r="AZ309" t="e">
        <f>AND('PROG FORMACIÓN TITULADA'!#REF!,"AAAAAHl73zM=")</f>
        <v>#REF!</v>
      </c>
      <c r="BA309" t="e">
        <f>AND('PROG FORMACIÓN TITULADA'!#REF!,"AAAAAHl73zQ=")</f>
        <v>#REF!</v>
      </c>
      <c r="BB309" t="e">
        <f>AND('PROG FORMACIÓN TITULADA'!#REF!,"AAAAAHl73zU=")</f>
        <v>#REF!</v>
      </c>
      <c r="BC309" t="e">
        <f>AND('PROG FORMACIÓN TITULADA'!#REF!,"AAAAAHl73zY=")</f>
        <v>#REF!</v>
      </c>
      <c r="BD309" t="e">
        <f>AND('PROG FORMACIÓN TITULADA'!#REF!,"AAAAAHl73zc=")</f>
        <v>#REF!</v>
      </c>
      <c r="BE309" t="e">
        <f>AND('PROG FORMACIÓN TITULADA'!#REF!,"AAAAAHl73zg=")</f>
        <v>#REF!</v>
      </c>
      <c r="BF309" t="e">
        <f>AND('PROG FORMACIÓN TITULADA'!#REF!,"AAAAAHl73zk=")</f>
        <v>#REF!</v>
      </c>
      <c r="BG309" t="e">
        <f>AND('PROG FORMACIÓN TITULADA'!#REF!,"AAAAAHl73zo=")</f>
        <v>#REF!</v>
      </c>
      <c r="BH309" t="e">
        <f>AND('PROG FORMACIÓN TITULADA'!#REF!,"AAAAAHl73zs=")</f>
        <v>#REF!</v>
      </c>
      <c r="BI309" t="e">
        <f>AND('PROG FORMACIÓN TITULADA'!#REF!,"AAAAAHl73zw=")</f>
        <v>#REF!</v>
      </c>
      <c r="BJ309" t="e">
        <f>AND('PROG FORMACIÓN TITULADA'!#REF!,"AAAAAHl73z0=")</f>
        <v>#REF!</v>
      </c>
      <c r="BK309" t="e">
        <f>AND('PROG FORMACIÓN TITULADA'!#REF!,"AAAAAHl73z4=")</f>
        <v>#REF!</v>
      </c>
      <c r="BL309" t="e">
        <f>AND('PROG FORMACIÓN TITULADA'!#REF!,"AAAAAHl73z8=")</f>
        <v>#REF!</v>
      </c>
      <c r="BM309" t="e">
        <f>AND('PROG FORMACIÓN TITULADA'!#REF!,"AAAAAHl730A=")</f>
        <v>#REF!</v>
      </c>
      <c r="BN309" t="e">
        <f>AND('PROG FORMACIÓN TITULADA'!#REF!,"AAAAAHl730E=")</f>
        <v>#REF!</v>
      </c>
      <c r="BO309" t="e">
        <f>AND('PROG FORMACIÓN TITULADA'!#REF!,"AAAAAHl730I=")</f>
        <v>#REF!</v>
      </c>
      <c r="BP309" t="e">
        <f>AND('PROG FORMACIÓN TITULADA'!#REF!,"AAAAAHl730M=")</f>
        <v>#REF!</v>
      </c>
      <c r="BQ309" t="e">
        <f>AND('PROG FORMACIÓN TITULADA'!#REF!,"AAAAAHl730Q=")</f>
        <v>#REF!</v>
      </c>
      <c r="BR309" t="e">
        <f>AND('PROG FORMACIÓN TITULADA'!#REF!,"AAAAAHl730U=")</f>
        <v>#REF!</v>
      </c>
      <c r="BS309" t="e">
        <f>AND('PROG FORMACIÓN TITULADA'!#REF!,"AAAAAHl730Y=")</f>
        <v>#REF!</v>
      </c>
      <c r="BT309" t="e">
        <f>AND('PROG FORMACIÓN TITULADA'!#REF!,"AAAAAHl730c=")</f>
        <v>#REF!</v>
      </c>
      <c r="BU309" t="e">
        <f>AND('PROG FORMACIÓN TITULADA'!#REF!,"AAAAAHl730g=")</f>
        <v>#REF!</v>
      </c>
      <c r="BV309" t="e">
        <f>IF('PROG FORMACIÓN TITULADA'!#REF!,"AAAAAHl730k=",0)</f>
        <v>#REF!</v>
      </c>
      <c r="BW309" t="e">
        <f>AND('PROG FORMACIÓN TITULADA'!#REF!,"AAAAAHl730o=")</f>
        <v>#REF!</v>
      </c>
      <c r="BX309" t="e">
        <f>AND('PROG FORMACIÓN TITULADA'!#REF!,"AAAAAHl730s=")</f>
        <v>#REF!</v>
      </c>
      <c r="BY309" t="e">
        <f>AND('PROG FORMACIÓN TITULADA'!#REF!,"AAAAAHl730w=")</f>
        <v>#REF!</v>
      </c>
      <c r="BZ309" t="e">
        <f>AND('PROG FORMACIÓN TITULADA'!#REF!,"AAAAAHl7300=")</f>
        <v>#REF!</v>
      </c>
      <c r="CA309" t="e">
        <f>AND('PROG FORMACIÓN TITULADA'!#REF!,"AAAAAHl7304=")</f>
        <v>#REF!</v>
      </c>
      <c r="CB309" t="e">
        <f>AND('PROG FORMACIÓN TITULADA'!#REF!,"AAAAAHl7308=")</f>
        <v>#REF!</v>
      </c>
      <c r="CC309" t="e">
        <f>AND('PROG FORMACIÓN TITULADA'!#REF!,"AAAAAHl731A=")</f>
        <v>#REF!</v>
      </c>
      <c r="CD309" t="e">
        <f>AND('PROG FORMACIÓN TITULADA'!#REF!,"AAAAAHl731E=")</f>
        <v>#REF!</v>
      </c>
      <c r="CE309" t="e">
        <f>AND('PROG FORMACIÓN TITULADA'!#REF!,"AAAAAHl731I=")</f>
        <v>#REF!</v>
      </c>
      <c r="CF309" t="e">
        <f>AND('PROG FORMACIÓN TITULADA'!#REF!,"AAAAAHl731M=")</f>
        <v>#REF!</v>
      </c>
      <c r="CG309" t="e">
        <f>AND('PROG FORMACIÓN TITULADA'!#REF!,"AAAAAHl731Q=")</f>
        <v>#REF!</v>
      </c>
      <c r="CH309" t="e">
        <f>AND('PROG FORMACIÓN TITULADA'!#REF!,"AAAAAHl731U=")</f>
        <v>#REF!</v>
      </c>
      <c r="CI309" t="e">
        <f>AND('PROG FORMACIÓN TITULADA'!#REF!,"AAAAAHl731Y=")</f>
        <v>#REF!</v>
      </c>
      <c r="CJ309" t="e">
        <f>AND('PROG FORMACIÓN TITULADA'!#REF!,"AAAAAHl731c=")</f>
        <v>#REF!</v>
      </c>
      <c r="CK309" t="e">
        <f>AND('PROG FORMACIÓN TITULADA'!#REF!,"AAAAAHl731g=")</f>
        <v>#REF!</v>
      </c>
      <c r="CL309" t="e">
        <f>AND('PROG FORMACIÓN TITULADA'!#REF!,"AAAAAHl731k=")</f>
        <v>#REF!</v>
      </c>
      <c r="CM309" t="e">
        <f>AND('PROG FORMACIÓN TITULADA'!#REF!,"AAAAAHl731o=")</f>
        <v>#REF!</v>
      </c>
      <c r="CN309" t="e">
        <f>AND('PROG FORMACIÓN TITULADA'!#REF!,"AAAAAHl731s=")</f>
        <v>#REF!</v>
      </c>
      <c r="CO309" t="e">
        <f>AND('PROG FORMACIÓN TITULADA'!#REF!,"AAAAAHl731w=")</f>
        <v>#REF!</v>
      </c>
      <c r="CP309" t="e">
        <f>AND('PROG FORMACIÓN TITULADA'!#REF!,"AAAAAHl7310=")</f>
        <v>#REF!</v>
      </c>
      <c r="CQ309" t="e">
        <f>AND('PROG FORMACIÓN TITULADA'!#REF!,"AAAAAHl7314=")</f>
        <v>#REF!</v>
      </c>
      <c r="CR309" t="e">
        <f>AND('PROG FORMACIÓN TITULADA'!#REF!,"AAAAAHl7318=")</f>
        <v>#REF!</v>
      </c>
      <c r="CS309" t="e">
        <f>AND('PROG FORMACIÓN TITULADA'!#REF!,"AAAAAHl732A=")</f>
        <v>#REF!</v>
      </c>
      <c r="CT309" t="e">
        <f>AND('PROG FORMACIÓN TITULADA'!#REF!,"AAAAAHl732E=")</f>
        <v>#REF!</v>
      </c>
      <c r="CU309" t="e">
        <f>AND('PROG FORMACIÓN TITULADA'!#REF!,"AAAAAHl732I=")</f>
        <v>#REF!</v>
      </c>
      <c r="CV309" t="e">
        <f>AND('PROG FORMACIÓN TITULADA'!#REF!,"AAAAAHl732M=")</f>
        <v>#REF!</v>
      </c>
      <c r="CW309" t="e">
        <f>IF('PROG FORMACIÓN TITULADA'!#REF!,"AAAAAHl732Q=",0)</f>
        <v>#REF!</v>
      </c>
      <c r="CX309" t="e">
        <f>AND('PROG FORMACIÓN TITULADA'!#REF!,"AAAAAHl732U=")</f>
        <v>#REF!</v>
      </c>
      <c r="CY309" t="e">
        <f>AND('PROG FORMACIÓN TITULADA'!#REF!,"AAAAAHl732Y=")</f>
        <v>#REF!</v>
      </c>
      <c r="CZ309" t="e">
        <f>AND('PROG FORMACIÓN TITULADA'!#REF!,"AAAAAHl732c=")</f>
        <v>#REF!</v>
      </c>
      <c r="DA309" t="e">
        <f>AND('PROG FORMACIÓN TITULADA'!#REF!,"AAAAAHl732g=")</f>
        <v>#REF!</v>
      </c>
      <c r="DB309" t="e">
        <f>AND('PROG FORMACIÓN TITULADA'!#REF!,"AAAAAHl732k=")</f>
        <v>#REF!</v>
      </c>
      <c r="DC309" t="e">
        <f>AND('PROG FORMACIÓN TITULADA'!#REF!,"AAAAAHl732o=")</f>
        <v>#REF!</v>
      </c>
      <c r="DD309" t="e">
        <f>AND('PROG FORMACIÓN TITULADA'!#REF!,"AAAAAHl732s=")</f>
        <v>#REF!</v>
      </c>
      <c r="DE309" t="e">
        <f>AND('PROG FORMACIÓN TITULADA'!#REF!,"AAAAAHl732w=")</f>
        <v>#REF!</v>
      </c>
      <c r="DF309" t="e">
        <f>AND('PROG FORMACIÓN TITULADA'!#REF!,"AAAAAHl7320=")</f>
        <v>#REF!</v>
      </c>
      <c r="DG309" t="e">
        <f>AND('PROG FORMACIÓN TITULADA'!#REF!,"AAAAAHl7324=")</f>
        <v>#REF!</v>
      </c>
      <c r="DH309" t="e">
        <f>AND('PROG FORMACIÓN TITULADA'!#REF!,"AAAAAHl7328=")</f>
        <v>#REF!</v>
      </c>
      <c r="DI309" t="e">
        <f>AND('PROG FORMACIÓN TITULADA'!#REF!,"AAAAAHl733A=")</f>
        <v>#REF!</v>
      </c>
      <c r="DJ309" t="e">
        <f>AND('PROG FORMACIÓN TITULADA'!#REF!,"AAAAAHl733E=")</f>
        <v>#REF!</v>
      </c>
      <c r="DK309" t="e">
        <f>AND('PROG FORMACIÓN TITULADA'!#REF!,"AAAAAHl733I=")</f>
        <v>#REF!</v>
      </c>
      <c r="DL309" t="e">
        <f>AND('PROG FORMACIÓN TITULADA'!#REF!,"AAAAAHl733M=")</f>
        <v>#REF!</v>
      </c>
      <c r="DM309" t="e">
        <f>AND('PROG FORMACIÓN TITULADA'!#REF!,"AAAAAHl733Q=")</f>
        <v>#REF!</v>
      </c>
      <c r="DN309" t="e">
        <f>AND('PROG FORMACIÓN TITULADA'!#REF!,"AAAAAHl733U=")</f>
        <v>#REF!</v>
      </c>
      <c r="DO309" t="e">
        <f>AND('PROG FORMACIÓN TITULADA'!#REF!,"AAAAAHl733Y=")</f>
        <v>#REF!</v>
      </c>
      <c r="DP309" t="e">
        <f>AND('PROG FORMACIÓN TITULADA'!#REF!,"AAAAAHl733c=")</f>
        <v>#REF!</v>
      </c>
      <c r="DQ309" t="e">
        <f>AND('PROG FORMACIÓN TITULADA'!#REF!,"AAAAAHl733g=")</f>
        <v>#REF!</v>
      </c>
      <c r="DR309" t="e">
        <f>AND('PROG FORMACIÓN TITULADA'!#REF!,"AAAAAHl733k=")</f>
        <v>#REF!</v>
      </c>
      <c r="DS309" t="e">
        <f>AND('PROG FORMACIÓN TITULADA'!#REF!,"AAAAAHl733o=")</f>
        <v>#REF!</v>
      </c>
      <c r="DT309" t="e">
        <f>AND('PROG FORMACIÓN TITULADA'!#REF!,"AAAAAHl733s=")</f>
        <v>#REF!</v>
      </c>
      <c r="DU309" t="e">
        <f>AND('PROG FORMACIÓN TITULADA'!#REF!,"AAAAAHl733w=")</f>
        <v>#REF!</v>
      </c>
      <c r="DV309" t="e">
        <f>AND('PROG FORMACIÓN TITULADA'!#REF!,"AAAAAHl7330=")</f>
        <v>#REF!</v>
      </c>
      <c r="DW309" t="e">
        <f>AND('PROG FORMACIÓN TITULADA'!#REF!,"AAAAAHl7334=")</f>
        <v>#REF!</v>
      </c>
      <c r="DX309" t="e">
        <f>IF('PROG FORMACIÓN TITULADA'!#REF!,"AAAAAHl7338=",0)</f>
        <v>#REF!</v>
      </c>
      <c r="DY309" t="e">
        <f>AND('PROG FORMACIÓN TITULADA'!#REF!,"AAAAAHl734A=")</f>
        <v>#REF!</v>
      </c>
      <c r="DZ309" t="e">
        <f>AND('PROG FORMACIÓN TITULADA'!#REF!,"AAAAAHl734E=")</f>
        <v>#REF!</v>
      </c>
      <c r="EA309" t="e">
        <f>AND('PROG FORMACIÓN TITULADA'!#REF!,"AAAAAHl734I=")</f>
        <v>#REF!</v>
      </c>
      <c r="EB309" t="e">
        <f>AND('PROG FORMACIÓN TITULADA'!#REF!,"AAAAAHl734M=")</f>
        <v>#REF!</v>
      </c>
      <c r="EC309" t="e">
        <f>AND('PROG FORMACIÓN TITULADA'!#REF!,"AAAAAHl734Q=")</f>
        <v>#REF!</v>
      </c>
      <c r="ED309" t="e">
        <f>AND('PROG FORMACIÓN TITULADA'!#REF!,"AAAAAHl734U=")</f>
        <v>#REF!</v>
      </c>
      <c r="EE309" t="e">
        <f>AND('PROG FORMACIÓN TITULADA'!#REF!,"AAAAAHl734Y=")</f>
        <v>#REF!</v>
      </c>
      <c r="EF309" t="e">
        <f>AND('PROG FORMACIÓN TITULADA'!#REF!,"AAAAAHl734c=")</f>
        <v>#REF!</v>
      </c>
      <c r="EG309" t="e">
        <f>AND('PROG FORMACIÓN TITULADA'!#REF!,"AAAAAHl734g=")</f>
        <v>#REF!</v>
      </c>
      <c r="EH309" t="e">
        <f>AND('PROG FORMACIÓN TITULADA'!#REF!,"AAAAAHl734k=")</f>
        <v>#REF!</v>
      </c>
      <c r="EI309" t="e">
        <f>AND('PROG FORMACIÓN TITULADA'!#REF!,"AAAAAHl734o=")</f>
        <v>#REF!</v>
      </c>
      <c r="EJ309" t="e">
        <f>AND('PROG FORMACIÓN TITULADA'!#REF!,"AAAAAHl734s=")</f>
        <v>#REF!</v>
      </c>
      <c r="EK309" t="e">
        <f>AND('PROG FORMACIÓN TITULADA'!#REF!,"AAAAAHl734w=")</f>
        <v>#REF!</v>
      </c>
      <c r="EL309" t="e">
        <f>AND('PROG FORMACIÓN TITULADA'!#REF!,"AAAAAHl7340=")</f>
        <v>#REF!</v>
      </c>
      <c r="EM309" t="e">
        <f>AND('PROG FORMACIÓN TITULADA'!#REF!,"AAAAAHl7344=")</f>
        <v>#REF!</v>
      </c>
      <c r="EN309" t="e">
        <f>AND('PROG FORMACIÓN TITULADA'!#REF!,"AAAAAHl7348=")</f>
        <v>#REF!</v>
      </c>
      <c r="EO309" t="e">
        <f>AND('PROG FORMACIÓN TITULADA'!#REF!,"AAAAAHl735A=")</f>
        <v>#REF!</v>
      </c>
      <c r="EP309" t="e">
        <f>AND('PROG FORMACIÓN TITULADA'!#REF!,"AAAAAHl735E=")</f>
        <v>#REF!</v>
      </c>
      <c r="EQ309" t="e">
        <f>AND('PROG FORMACIÓN TITULADA'!#REF!,"AAAAAHl735I=")</f>
        <v>#REF!</v>
      </c>
      <c r="ER309" t="e">
        <f>AND('PROG FORMACIÓN TITULADA'!#REF!,"AAAAAHl735M=")</f>
        <v>#REF!</v>
      </c>
      <c r="ES309" t="e">
        <f>AND('PROG FORMACIÓN TITULADA'!#REF!,"AAAAAHl735Q=")</f>
        <v>#REF!</v>
      </c>
      <c r="ET309" t="e">
        <f>AND('PROG FORMACIÓN TITULADA'!#REF!,"AAAAAHl735U=")</f>
        <v>#REF!</v>
      </c>
      <c r="EU309" t="e">
        <f>AND('PROG FORMACIÓN TITULADA'!#REF!,"AAAAAHl735Y=")</f>
        <v>#REF!</v>
      </c>
      <c r="EV309" t="e">
        <f>AND('PROG FORMACIÓN TITULADA'!#REF!,"AAAAAHl735c=")</f>
        <v>#REF!</v>
      </c>
      <c r="EW309" t="e">
        <f>AND('PROG FORMACIÓN TITULADA'!#REF!,"AAAAAHl735g=")</f>
        <v>#REF!</v>
      </c>
      <c r="EX309" t="e">
        <f>AND('PROG FORMACIÓN TITULADA'!#REF!,"AAAAAHl735k=")</f>
        <v>#REF!</v>
      </c>
      <c r="EY309" t="e">
        <f>IF('PROG FORMACIÓN TITULADA'!#REF!,"AAAAAHl735o=",0)</f>
        <v>#REF!</v>
      </c>
      <c r="EZ309" t="e">
        <f>AND('PROG FORMACIÓN TITULADA'!#REF!,"AAAAAHl735s=")</f>
        <v>#REF!</v>
      </c>
      <c r="FA309" t="e">
        <f>AND('PROG FORMACIÓN TITULADA'!#REF!,"AAAAAHl735w=")</f>
        <v>#REF!</v>
      </c>
      <c r="FB309" t="e">
        <f>AND('PROG FORMACIÓN TITULADA'!#REF!,"AAAAAHl7350=")</f>
        <v>#REF!</v>
      </c>
      <c r="FC309" t="e">
        <f>AND('PROG FORMACIÓN TITULADA'!#REF!,"AAAAAHl7354=")</f>
        <v>#REF!</v>
      </c>
      <c r="FD309" t="e">
        <f>AND('PROG FORMACIÓN TITULADA'!#REF!,"AAAAAHl7358=")</f>
        <v>#REF!</v>
      </c>
      <c r="FE309" t="e">
        <f>AND('PROG FORMACIÓN TITULADA'!#REF!,"AAAAAHl736A=")</f>
        <v>#REF!</v>
      </c>
      <c r="FF309" t="e">
        <f>AND('PROG FORMACIÓN TITULADA'!#REF!,"AAAAAHl736E=")</f>
        <v>#REF!</v>
      </c>
      <c r="FG309" t="e">
        <f>AND('PROG FORMACIÓN TITULADA'!#REF!,"AAAAAHl736I=")</f>
        <v>#REF!</v>
      </c>
      <c r="FH309" t="e">
        <f>AND('PROG FORMACIÓN TITULADA'!#REF!,"AAAAAHl736M=")</f>
        <v>#REF!</v>
      </c>
      <c r="FI309" t="e">
        <f>AND('PROG FORMACIÓN TITULADA'!#REF!,"AAAAAHl736Q=")</f>
        <v>#REF!</v>
      </c>
      <c r="FJ309" t="e">
        <f>AND('PROG FORMACIÓN TITULADA'!#REF!,"AAAAAHl736U=")</f>
        <v>#REF!</v>
      </c>
      <c r="FK309" t="e">
        <f>AND('PROG FORMACIÓN TITULADA'!#REF!,"AAAAAHl736Y=")</f>
        <v>#REF!</v>
      </c>
      <c r="FL309" t="e">
        <f>AND('PROG FORMACIÓN TITULADA'!#REF!,"AAAAAHl736c=")</f>
        <v>#REF!</v>
      </c>
      <c r="FM309" t="e">
        <f>AND('PROG FORMACIÓN TITULADA'!#REF!,"AAAAAHl736g=")</f>
        <v>#REF!</v>
      </c>
      <c r="FN309" t="e">
        <f>AND('PROG FORMACIÓN TITULADA'!#REF!,"AAAAAHl736k=")</f>
        <v>#REF!</v>
      </c>
      <c r="FO309" t="e">
        <f>AND('PROG FORMACIÓN TITULADA'!#REF!,"AAAAAHl736o=")</f>
        <v>#REF!</v>
      </c>
      <c r="FP309" t="e">
        <f>AND('PROG FORMACIÓN TITULADA'!#REF!,"AAAAAHl736s=")</f>
        <v>#REF!</v>
      </c>
      <c r="FQ309" t="e">
        <f>AND('PROG FORMACIÓN TITULADA'!#REF!,"AAAAAHl736w=")</f>
        <v>#REF!</v>
      </c>
      <c r="FR309" t="e">
        <f>AND('PROG FORMACIÓN TITULADA'!#REF!,"AAAAAHl7360=")</f>
        <v>#REF!</v>
      </c>
      <c r="FS309" t="e">
        <f>AND('PROG FORMACIÓN TITULADA'!#REF!,"AAAAAHl7364=")</f>
        <v>#REF!</v>
      </c>
      <c r="FT309" t="e">
        <f>AND('PROG FORMACIÓN TITULADA'!#REF!,"AAAAAHl7368=")</f>
        <v>#REF!</v>
      </c>
      <c r="FU309" t="e">
        <f>AND('PROG FORMACIÓN TITULADA'!#REF!,"AAAAAHl737A=")</f>
        <v>#REF!</v>
      </c>
      <c r="FV309" t="e">
        <f>AND('PROG FORMACIÓN TITULADA'!#REF!,"AAAAAHl737E=")</f>
        <v>#REF!</v>
      </c>
      <c r="FW309" t="e">
        <f>AND('PROG FORMACIÓN TITULADA'!#REF!,"AAAAAHl737I=")</f>
        <v>#REF!</v>
      </c>
      <c r="FX309" t="e">
        <f>AND('PROG FORMACIÓN TITULADA'!#REF!,"AAAAAHl737M=")</f>
        <v>#REF!</v>
      </c>
      <c r="FY309" t="e">
        <f>AND('PROG FORMACIÓN TITULADA'!#REF!,"AAAAAHl737Q=")</f>
        <v>#REF!</v>
      </c>
      <c r="FZ309" t="e">
        <f>IF('PROG FORMACIÓN TITULADA'!#REF!,"AAAAAHl737U=",0)</f>
        <v>#REF!</v>
      </c>
      <c r="GA309" t="e">
        <f>AND('PROG FORMACIÓN TITULADA'!#REF!,"AAAAAHl737Y=")</f>
        <v>#REF!</v>
      </c>
      <c r="GB309" t="e">
        <f>AND('PROG FORMACIÓN TITULADA'!#REF!,"AAAAAHl737c=")</f>
        <v>#REF!</v>
      </c>
      <c r="GC309" t="e">
        <f>AND('PROG FORMACIÓN TITULADA'!#REF!,"AAAAAHl737g=")</f>
        <v>#REF!</v>
      </c>
      <c r="GD309" t="e">
        <f>AND('PROG FORMACIÓN TITULADA'!#REF!,"AAAAAHl737k=")</f>
        <v>#REF!</v>
      </c>
      <c r="GE309" t="e">
        <f>AND('PROG FORMACIÓN TITULADA'!#REF!,"AAAAAHl737o=")</f>
        <v>#REF!</v>
      </c>
      <c r="GF309" t="e">
        <f>AND('PROG FORMACIÓN TITULADA'!#REF!,"AAAAAHl737s=")</f>
        <v>#REF!</v>
      </c>
      <c r="GG309" t="e">
        <f>AND('PROG FORMACIÓN TITULADA'!#REF!,"AAAAAHl737w=")</f>
        <v>#REF!</v>
      </c>
      <c r="GH309" t="e">
        <f>AND('PROG FORMACIÓN TITULADA'!#REF!,"AAAAAHl7370=")</f>
        <v>#REF!</v>
      </c>
      <c r="GI309" t="e">
        <f>AND('PROG FORMACIÓN TITULADA'!#REF!,"AAAAAHl7374=")</f>
        <v>#REF!</v>
      </c>
      <c r="GJ309" t="e">
        <f>AND('PROG FORMACIÓN TITULADA'!#REF!,"AAAAAHl7378=")</f>
        <v>#REF!</v>
      </c>
      <c r="GK309" t="e">
        <f>AND('PROG FORMACIÓN TITULADA'!#REF!,"AAAAAHl738A=")</f>
        <v>#REF!</v>
      </c>
      <c r="GL309" t="e">
        <f>AND('PROG FORMACIÓN TITULADA'!#REF!,"AAAAAHl738E=")</f>
        <v>#REF!</v>
      </c>
      <c r="GM309" t="e">
        <f>AND('PROG FORMACIÓN TITULADA'!#REF!,"AAAAAHl738I=")</f>
        <v>#REF!</v>
      </c>
      <c r="GN309" t="e">
        <f>AND('PROG FORMACIÓN TITULADA'!#REF!,"AAAAAHl738M=")</f>
        <v>#REF!</v>
      </c>
      <c r="GO309" t="e">
        <f>AND('PROG FORMACIÓN TITULADA'!#REF!,"AAAAAHl738Q=")</f>
        <v>#REF!</v>
      </c>
      <c r="GP309" t="e">
        <f>AND('PROG FORMACIÓN TITULADA'!#REF!,"AAAAAHl738U=")</f>
        <v>#REF!</v>
      </c>
      <c r="GQ309" t="e">
        <f>AND('PROG FORMACIÓN TITULADA'!#REF!,"AAAAAHl738Y=")</f>
        <v>#REF!</v>
      </c>
      <c r="GR309" t="e">
        <f>AND('PROG FORMACIÓN TITULADA'!#REF!,"AAAAAHl738c=")</f>
        <v>#REF!</v>
      </c>
      <c r="GS309" t="e">
        <f>AND('PROG FORMACIÓN TITULADA'!#REF!,"AAAAAHl738g=")</f>
        <v>#REF!</v>
      </c>
      <c r="GT309" t="e">
        <f>AND('PROG FORMACIÓN TITULADA'!#REF!,"AAAAAHl738k=")</f>
        <v>#REF!</v>
      </c>
      <c r="GU309" t="e">
        <f>AND('PROG FORMACIÓN TITULADA'!#REF!,"AAAAAHl738o=")</f>
        <v>#REF!</v>
      </c>
      <c r="GV309" t="e">
        <f>AND('PROG FORMACIÓN TITULADA'!#REF!,"AAAAAHl738s=")</f>
        <v>#REF!</v>
      </c>
      <c r="GW309" t="e">
        <f>AND('PROG FORMACIÓN TITULADA'!#REF!,"AAAAAHl738w=")</f>
        <v>#REF!</v>
      </c>
      <c r="GX309" t="e">
        <f>AND('PROG FORMACIÓN TITULADA'!#REF!,"AAAAAHl7380=")</f>
        <v>#REF!</v>
      </c>
      <c r="GY309" t="e">
        <f>AND('PROG FORMACIÓN TITULADA'!#REF!,"AAAAAHl7384=")</f>
        <v>#REF!</v>
      </c>
      <c r="GZ309" t="e">
        <f>AND('PROG FORMACIÓN TITULADA'!#REF!,"AAAAAHl7388=")</f>
        <v>#REF!</v>
      </c>
      <c r="HA309" t="e">
        <f>IF('PROG FORMACIÓN TITULADA'!#REF!,"AAAAAHl739A=",0)</f>
        <v>#REF!</v>
      </c>
      <c r="HB309" t="e">
        <f>AND('PROG FORMACIÓN TITULADA'!#REF!,"AAAAAHl739E=")</f>
        <v>#REF!</v>
      </c>
      <c r="HC309" t="e">
        <f>AND('PROG FORMACIÓN TITULADA'!#REF!,"AAAAAHl739I=")</f>
        <v>#REF!</v>
      </c>
      <c r="HD309" t="e">
        <f>AND('PROG FORMACIÓN TITULADA'!#REF!,"AAAAAHl739M=")</f>
        <v>#REF!</v>
      </c>
      <c r="HE309" t="e">
        <f>AND('PROG FORMACIÓN TITULADA'!#REF!,"AAAAAHl739Q=")</f>
        <v>#REF!</v>
      </c>
      <c r="HF309" t="e">
        <f>AND('PROG FORMACIÓN TITULADA'!#REF!,"AAAAAHl739U=")</f>
        <v>#REF!</v>
      </c>
      <c r="HG309" t="e">
        <f>AND('PROG FORMACIÓN TITULADA'!#REF!,"AAAAAHl739Y=")</f>
        <v>#REF!</v>
      </c>
      <c r="HH309" t="e">
        <f>AND('PROG FORMACIÓN TITULADA'!#REF!,"AAAAAHl739c=")</f>
        <v>#REF!</v>
      </c>
      <c r="HI309" t="e">
        <f>AND('PROG FORMACIÓN TITULADA'!#REF!,"AAAAAHl739g=")</f>
        <v>#REF!</v>
      </c>
      <c r="HJ309" t="e">
        <f>AND('PROG FORMACIÓN TITULADA'!#REF!,"AAAAAHl739k=")</f>
        <v>#REF!</v>
      </c>
      <c r="HK309" t="e">
        <f>AND('PROG FORMACIÓN TITULADA'!#REF!,"AAAAAHl739o=")</f>
        <v>#REF!</v>
      </c>
      <c r="HL309" t="e">
        <f>AND('PROG FORMACIÓN TITULADA'!#REF!,"AAAAAHl739s=")</f>
        <v>#REF!</v>
      </c>
      <c r="HM309" t="e">
        <f>AND('PROG FORMACIÓN TITULADA'!#REF!,"AAAAAHl739w=")</f>
        <v>#REF!</v>
      </c>
      <c r="HN309" t="e">
        <f>AND('PROG FORMACIÓN TITULADA'!#REF!,"AAAAAHl7390=")</f>
        <v>#REF!</v>
      </c>
      <c r="HO309" t="e">
        <f>AND('PROG FORMACIÓN TITULADA'!#REF!,"AAAAAHl7394=")</f>
        <v>#REF!</v>
      </c>
      <c r="HP309" t="e">
        <f>AND('PROG FORMACIÓN TITULADA'!#REF!,"AAAAAHl7398=")</f>
        <v>#REF!</v>
      </c>
      <c r="HQ309" t="e">
        <f>AND('PROG FORMACIÓN TITULADA'!#REF!,"AAAAAHl73+A=")</f>
        <v>#REF!</v>
      </c>
      <c r="HR309" t="e">
        <f>AND('PROG FORMACIÓN TITULADA'!#REF!,"AAAAAHl73+E=")</f>
        <v>#REF!</v>
      </c>
      <c r="HS309" t="e">
        <f>AND('PROG FORMACIÓN TITULADA'!#REF!,"AAAAAHl73+I=")</f>
        <v>#REF!</v>
      </c>
      <c r="HT309" t="e">
        <f>AND('PROG FORMACIÓN TITULADA'!#REF!,"AAAAAHl73+M=")</f>
        <v>#REF!</v>
      </c>
      <c r="HU309" t="e">
        <f>AND('PROG FORMACIÓN TITULADA'!#REF!,"AAAAAHl73+Q=")</f>
        <v>#REF!</v>
      </c>
      <c r="HV309" t="e">
        <f>AND('PROG FORMACIÓN TITULADA'!#REF!,"AAAAAHl73+U=")</f>
        <v>#REF!</v>
      </c>
      <c r="HW309" t="e">
        <f>AND('PROG FORMACIÓN TITULADA'!#REF!,"AAAAAHl73+Y=")</f>
        <v>#REF!</v>
      </c>
      <c r="HX309" t="e">
        <f>AND('PROG FORMACIÓN TITULADA'!#REF!,"AAAAAHl73+c=")</f>
        <v>#REF!</v>
      </c>
      <c r="HY309" t="e">
        <f>AND('PROG FORMACIÓN TITULADA'!#REF!,"AAAAAHl73+g=")</f>
        <v>#REF!</v>
      </c>
      <c r="HZ309" t="e">
        <f>AND('PROG FORMACIÓN TITULADA'!#REF!,"AAAAAHl73+k=")</f>
        <v>#REF!</v>
      </c>
      <c r="IA309" t="e">
        <f>AND('PROG FORMACIÓN TITULADA'!#REF!,"AAAAAHl73+o=")</f>
        <v>#REF!</v>
      </c>
      <c r="IB309" t="e">
        <f>IF('PROG FORMACIÓN TITULADA'!#REF!,"AAAAAHl73+s=",0)</f>
        <v>#REF!</v>
      </c>
      <c r="IC309" t="e">
        <f>AND('PROG FORMACIÓN TITULADA'!#REF!,"AAAAAHl73+w=")</f>
        <v>#REF!</v>
      </c>
      <c r="ID309" t="e">
        <f>AND('PROG FORMACIÓN TITULADA'!#REF!,"AAAAAHl73+0=")</f>
        <v>#REF!</v>
      </c>
      <c r="IE309" t="e">
        <f>AND('PROG FORMACIÓN TITULADA'!#REF!,"AAAAAHl73+4=")</f>
        <v>#REF!</v>
      </c>
      <c r="IF309" t="e">
        <f>AND('PROG FORMACIÓN TITULADA'!#REF!,"AAAAAHl73+8=")</f>
        <v>#REF!</v>
      </c>
      <c r="IG309" t="e">
        <f>AND('PROG FORMACIÓN TITULADA'!#REF!,"AAAAAHl73/A=")</f>
        <v>#REF!</v>
      </c>
      <c r="IH309" t="e">
        <f>AND('PROG FORMACIÓN TITULADA'!#REF!,"AAAAAHl73/E=")</f>
        <v>#REF!</v>
      </c>
      <c r="II309" t="e">
        <f>AND('PROG FORMACIÓN TITULADA'!#REF!,"AAAAAHl73/I=")</f>
        <v>#REF!</v>
      </c>
      <c r="IJ309" t="e">
        <f>AND('PROG FORMACIÓN TITULADA'!#REF!,"AAAAAHl73/M=")</f>
        <v>#REF!</v>
      </c>
      <c r="IK309" t="e">
        <f>AND('PROG FORMACIÓN TITULADA'!#REF!,"AAAAAHl73/Q=")</f>
        <v>#REF!</v>
      </c>
      <c r="IL309" t="e">
        <f>AND('PROG FORMACIÓN TITULADA'!#REF!,"AAAAAHl73/U=")</f>
        <v>#REF!</v>
      </c>
      <c r="IM309" t="e">
        <f>AND('PROG FORMACIÓN TITULADA'!#REF!,"AAAAAHl73/Y=")</f>
        <v>#REF!</v>
      </c>
      <c r="IN309" t="e">
        <f>AND('PROG FORMACIÓN TITULADA'!#REF!,"AAAAAHl73/c=")</f>
        <v>#REF!</v>
      </c>
      <c r="IO309" t="e">
        <f>AND('PROG FORMACIÓN TITULADA'!#REF!,"AAAAAHl73/g=")</f>
        <v>#REF!</v>
      </c>
      <c r="IP309" t="e">
        <f>AND('PROG FORMACIÓN TITULADA'!#REF!,"AAAAAHl73/k=")</f>
        <v>#REF!</v>
      </c>
      <c r="IQ309" t="e">
        <f>AND('PROG FORMACIÓN TITULADA'!#REF!,"AAAAAHl73/o=")</f>
        <v>#REF!</v>
      </c>
      <c r="IR309" t="e">
        <f>AND('PROG FORMACIÓN TITULADA'!#REF!,"AAAAAHl73/s=")</f>
        <v>#REF!</v>
      </c>
      <c r="IS309" t="e">
        <f>AND('PROG FORMACIÓN TITULADA'!#REF!,"AAAAAHl73/w=")</f>
        <v>#REF!</v>
      </c>
      <c r="IT309" t="e">
        <f>AND('PROG FORMACIÓN TITULADA'!#REF!,"AAAAAHl73/0=")</f>
        <v>#REF!</v>
      </c>
      <c r="IU309" t="e">
        <f>AND('PROG FORMACIÓN TITULADA'!#REF!,"AAAAAHl73/4=")</f>
        <v>#REF!</v>
      </c>
      <c r="IV309" t="e">
        <f>AND('PROG FORMACIÓN TITULADA'!#REF!,"AAAAAHl73/8=")</f>
        <v>#REF!</v>
      </c>
    </row>
    <row r="310" spans="1:256" x14ac:dyDescent="0.2">
      <c r="A310" t="e">
        <f>AND('PROG FORMACIÓN TITULADA'!#REF!,"AAAAAFfm/wA=")</f>
        <v>#REF!</v>
      </c>
      <c r="B310" t="e">
        <f>AND('PROG FORMACIÓN TITULADA'!#REF!,"AAAAAFfm/wE=")</f>
        <v>#REF!</v>
      </c>
      <c r="C310" t="e">
        <f>AND('PROG FORMACIÓN TITULADA'!#REF!,"AAAAAFfm/wI=")</f>
        <v>#REF!</v>
      </c>
      <c r="D310" t="e">
        <f>AND('PROG FORMACIÓN TITULADA'!#REF!,"AAAAAFfm/wM=")</f>
        <v>#REF!</v>
      </c>
      <c r="E310" t="e">
        <f>AND('PROG FORMACIÓN TITULADA'!#REF!,"AAAAAFfm/wQ=")</f>
        <v>#REF!</v>
      </c>
      <c r="F310" t="e">
        <f>AND('PROG FORMACIÓN TITULADA'!#REF!,"AAAAAFfm/wU=")</f>
        <v>#REF!</v>
      </c>
      <c r="G310" t="e">
        <f>IF('PROG FORMACIÓN TITULADA'!#REF!,"AAAAAFfm/wY=",0)</f>
        <v>#REF!</v>
      </c>
      <c r="H310" t="e">
        <f>AND('PROG FORMACIÓN TITULADA'!#REF!,"AAAAAFfm/wc=")</f>
        <v>#REF!</v>
      </c>
      <c r="I310" t="e">
        <f>AND('PROG FORMACIÓN TITULADA'!#REF!,"AAAAAFfm/wg=")</f>
        <v>#REF!</v>
      </c>
      <c r="J310" t="e">
        <f>AND('PROG FORMACIÓN TITULADA'!#REF!,"AAAAAFfm/wk=")</f>
        <v>#REF!</v>
      </c>
      <c r="K310" t="e">
        <f>AND('PROG FORMACIÓN TITULADA'!#REF!,"AAAAAFfm/wo=")</f>
        <v>#REF!</v>
      </c>
      <c r="L310" t="e">
        <f>AND('PROG FORMACIÓN TITULADA'!#REF!,"AAAAAFfm/ws=")</f>
        <v>#REF!</v>
      </c>
      <c r="M310" t="e">
        <f>AND('PROG FORMACIÓN TITULADA'!#REF!,"AAAAAFfm/ww=")</f>
        <v>#REF!</v>
      </c>
      <c r="N310" t="e">
        <f>AND('PROG FORMACIÓN TITULADA'!#REF!,"AAAAAFfm/w0=")</f>
        <v>#REF!</v>
      </c>
      <c r="O310" t="e">
        <f>AND('PROG FORMACIÓN TITULADA'!#REF!,"AAAAAFfm/w4=")</f>
        <v>#REF!</v>
      </c>
      <c r="P310" t="e">
        <f>AND('PROG FORMACIÓN TITULADA'!#REF!,"AAAAAFfm/w8=")</f>
        <v>#REF!</v>
      </c>
      <c r="Q310" t="e">
        <f>AND('PROG FORMACIÓN TITULADA'!#REF!,"AAAAAFfm/xA=")</f>
        <v>#REF!</v>
      </c>
      <c r="R310" t="e">
        <f>AND('PROG FORMACIÓN TITULADA'!#REF!,"AAAAAFfm/xE=")</f>
        <v>#REF!</v>
      </c>
      <c r="S310" t="e">
        <f>AND('PROG FORMACIÓN TITULADA'!#REF!,"AAAAAFfm/xI=")</f>
        <v>#REF!</v>
      </c>
      <c r="T310" t="e">
        <f>AND('PROG FORMACIÓN TITULADA'!#REF!,"AAAAAFfm/xM=")</f>
        <v>#REF!</v>
      </c>
      <c r="U310" t="e">
        <f>AND('PROG FORMACIÓN TITULADA'!#REF!,"AAAAAFfm/xQ=")</f>
        <v>#REF!</v>
      </c>
      <c r="V310" t="e">
        <f>AND('PROG FORMACIÓN TITULADA'!#REF!,"AAAAAFfm/xU=")</f>
        <v>#REF!</v>
      </c>
      <c r="W310" t="e">
        <f>AND('PROG FORMACIÓN TITULADA'!#REF!,"AAAAAFfm/xY=")</f>
        <v>#REF!</v>
      </c>
      <c r="X310" t="e">
        <f>AND('PROG FORMACIÓN TITULADA'!#REF!,"AAAAAFfm/xc=")</f>
        <v>#REF!</v>
      </c>
      <c r="Y310" t="e">
        <f>AND('PROG FORMACIÓN TITULADA'!#REF!,"AAAAAFfm/xg=")</f>
        <v>#REF!</v>
      </c>
      <c r="Z310" t="e">
        <f>AND('PROG FORMACIÓN TITULADA'!#REF!,"AAAAAFfm/xk=")</f>
        <v>#REF!</v>
      </c>
      <c r="AA310" t="e">
        <f>AND('PROG FORMACIÓN TITULADA'!#REF!,"AAAAAFfm/xo=")</f>
        <v>#REF!</v>
      </c>
      <c r="AB310" t="e">
        <f>AND('PROG FORMACIÓN TITULADA'!#REF!,"AAAAAFfm/xs=")</f>
        <v>#REF!</v>
      </c>
      <c r="AC310" t="e">
        <f>AND('PROG FORMACIÓN TITULADA'!#REF!,"AAAAAFfm/xw=")</f>
        <v>#REF!</v>
      </c>
      <c r="AD310" t="e">
        <f>AND('PROG FORMACIÓN TITULADA'!#REF!,"AAAAAFfm/x0=")</f>
        <v>#REF!</v>
      </c>
      <c r="AE310" t="e">
        <f>AND('PROG FORMACIÓN TITULADA'!#REF!,"AAAAAFfm/x4=")</f>
        <v>#REF!</v>
      </c>
      <c r="AF310" t="e">
        <f>AND('PROG FORMACIÓN TITULADA'!#REF!,"AAAAAFfm/x8=")</f>
        <v>#REF!</v>
      </c>
      <c r="AG310" t="e">
        <f>AND('PROG FORMACIÓN TITULADA'!#REF!,"AAAAAFfm/yA=")</f>
        <v>#REF!</v>
      </c>
      <c r="AH310" t="e">
        <f>IF('PROG FORMACIÓN TITULADA'!#REF!,"AAAAAFfm/yE=",0)</f>
        <v>#REF!</v>
      </c>
      <c r="AI310" t="e">
        <f>AND('PROG FORMACIÓN TITULADA'!#REF!,"AAAAAFfm/yI=")</f>
        <v>#REF!</v>
      </c>
      <c r="AJ310" t="e">
        <f>AND('PROG FORMACIÓN TITULADA'!#REF!,"AAAAAFfm/yM=")</f>
        <v>#REF!</v>
      </c>
      <c r="AK310" t="e">
        <f>AND('PROG FORMACIÓN TITULADA'!#REF!,"AAAAAFfm/yQ=")</f>
        <v>#REF!</v>
      </c>
      <c r="AL310" t="e">
        <f>AND('PROG FORMACIÓN TITULADA'!#REF!,"AAAAAFfm/yU=")</f>
        <v>#REF!</v>
      </c>
      <c r="AM310" t="e">
        <f>AND('PROG FORMACIÓN TITULADA'!#REF!,"AAAAAFfm/yY=")</f>
        <v>#REF!</v>
      </c>
      <c r="AN310" t="e">
        <f>AND('PROG FORMACIÓN TITULADA'!#REF!,"AAAAAFfm/yc=")</f>
        <v>#REF!</v>
      </c>
      <c r="AO310" t="e">
        <f>AND('PROG FORMACIÓN TITULADA'!#REF!,"AAAAAFfm/yg=")</f>
        <v>#REF!</v>
      </c>
      <c r="AP310" t="e">
        <f>AND('PROG FORMACIÓN TITULADA'!#REF!,"AAAAAFfm/yk=")</f>
        <v>#REF!</v>
      </c>
      <c r="AQ310" t="e">
        <f>AND('PROG FORMACIÓN TITULADA'!#REF!,"AAAAAFfm/yo=")</f>
        <v>#REF!</v>
      </c>
      <c r="AR310" t="e">
        <f>AND('PROG FORMACIÓN TITULADA'!#REF!,"AAAAAFfm/ys=")</f>
        <v>#REF!</v>
      </c>
      <c r="AS310" t="e">
        <f>AND('PROG FORMACIÓN TITULADA'!#REF!,"AAAAAFfm/yw=")</f>
        <v>#REF!</v>
      </c>
      <c r="AT310" t="e">
        <f>AND('PROG FORMACIÓN TITULADA'!#REF!,"AAAAAFfm/y0=")</f>
        <v>#REF!</v>
      </c>
      <c r="AU310" t="e">
        <f>AND('PROG FORMACIÓN TITULADA'!#REF!,"AAAAAFfm/y4=")</f>
        <v>#REF!</v>
      </c>
      <c r="AV310" t="e">
        <f>AND('PROG FORMACIÓN TITULADA'!#REF!,"AAAAAFfm/y8=")</f>
        <v>#REF!</v>
      </c>
      <c r="AW310" t="e">
        <f>AND('PROG FORMACIÓN TITULADA'!#REF!,"AAAAAFfm/zA=")</f>
        <v>#REF!</v>
      </c>
      <c r="AX310" t="e">
        <f>AND('PROG FORMACIÓN TITULADA'!#REF!,"AAAAAFfm/zE=")</f>
        <v>#REF!</v>
      </c>
      <c r="AY310" t="e">
        <f>AND('PROG FORMACIÓN TITULADA'!#REF!,"AAAAAFfm/zI=")</f>
        <v>#REF!</v>
      </c>
      <c r="AZ310" t="e">
        <f>AND('PROG FORMACIÓN TITULADA'!#REF!,"AAAAAFfm/zM=")</f>
        <v>#REF!</v>
      </c>
      <c r="BA310" t="e">
        <f>AND('PROG FORMACIÓN TITULADA'!#REF!,"AAAAAFfm/zQ=")</f>
        <v>#REF!</v>
      </c>
      <c r="BB310" t="e">
        <f>AND('PROG FORMACIÓN TITULADA'!#REF!,"AAAAAFfm/zU=")</f>
        <v>#REF!</v>
      </c>
      <c r="BC310" t="e">
        <f>AND('PROG FORMACIÓN TITULADA'!#REF!,"AAAAAFfm/zY=")</f>
        <v>#REF!</v>
      </c>
      <c r="BD310" t="e">
        <f>AND('PROG FORMACIÓN TITULADA'!#REF!,"AAAAAFfm/zc=")</f>
        <v>#REF!</v>
      </c>
      <c r="BE310" t="e">
        <f>AND('PROG FORMACIÓN TITULADA'!#REF!,"AAAAAFfm/zg=")</f>
        <v>#REF!</v>
      </c>
      <c r="BF310" t="e">
        <f>AND('PROG FORMACIÓN TITULADA'!#REF!,"AAAAAFfm/zk=")</f>
        <v>#REF!</v>
      </c>
      <c r="BG310" t="e">
        <f>AND('PROG FORMACIÓN TITULADA'!#REF!,"AAAAAFfm/zo=")</f>
        <v>#REF!</v>
      </c>
      <c r="BH310" t="e">
        <f>AND('PROG FORMACIÓN TITULADA'!#REF!,"AAAAAFfm/zs=")</f>
        <v>#REF!</v>
      </c>
      <c r="BI310" t="e">
        <f>IF('PROG FORMACIÓN TITULADA'!#REF!,"AAAAAFfm/zw=",0)</f>
        <v>#REF!</v>
      </c>
      <c r="BJ310" t="e">
        <f>AND('PROG FORMACIÓN TITULADA'!#REF!,"AAAAAFfm/z0=")</f>
        <v>#REF!</v>
      </c>
      <c r="BK310" t="e">
        <f>AND('PROG FORMACIÓN TITULADA'!#REF!,"AAAAAFfm/z4=")</f>
        <v>#REF!</v>
      </c>
      <c r="BL310" t="e">
        <f>AND('PROG FORMACIÓN TITULADA'!#REF!,"AAAAAFfm/z8=")</f>
        <v>#REF!</v>
      </c>
      <c r="BM310" t="e">
        <f>AND('PROG FORMACIÓN TITULADA'!#REF!,"AAAAAFfm/0A=")</f>
        <v>#REF!</v>
      </c>
      <c r="BN310" t="e">
        <f>AND('PROG FORMACIÓN TITULADA'!#REF!,"AAAAAFfm/0E=")</f>
        <v>#REF!</v>
      </c>
      <c r="BO310" t="e">
        <f>AND('PROG FORMACIÓN TITULADA'!#REF!,"AAAAAFfm/0I=")</f>
        <v>#REF!</v>
      </c>
      <c r="BP310" t="e">
        <f>AND('PROG FORMACIÓN TITULADA'!#REF!,"AAAAAFfm/0M=")</f>
        <v>#REF!</v>
      </c>
      <c r="BQ310" t="e">
        <f>AND('PROG FORMACIÓN TITULADA'!#REF!,"AAAAAFfm/0Q=")</f>
        <v>#REF!</v>
      </c>
      <c r="BR310" t="e">
        <f>AND('PROG FORMACIÓN TITULADA'!#REF!,"AAAAAFfm/0U=")</f>
        <v>#REF!</v>
      </c>
      <c r="BS310" t="e">
        <f>AND('PROG FORMACIÓN TITULADA'!#REF!,"AAAAAFfm/0Y=")</f>
        <v>#REF!</v>
      </c>
      <c r="BT310" t="e">
        <f>AND('PROG FORMACIÓN TITULADA'!#REF!,"AAAAAFfm/0c=")</f>
        <v>#REF!</v>
      </c>
      <c r="BU310" t="e">
        <f>AND('PROG FORMACIÓN TITULADA'!#REF!,"AAAAAFfm/0g=")</f>
        <v>#REF!</v>
      </c>
      <c r="BV310" t="e">
        <f>AND('PROG FORMACIÓN TITULADA'!#REF!,"AAAAAFfm/0k=")</f>
        <v>#REF!</v>
      </c>
      <c r="BW310" t="e">
        <f>AND('PROG FORMACIÓN TITULADA'!#REF!,"AAAAAFfm/0o=")</f>
        <v>#REF!</v>
      </c>
      <c r="BX310" t="e">
        <f>AND('PROG FORMACIÓN TITULADA'!#REF!,"AAAAAFfm/0s=")</f>
        <v>#REF!</v>
      </c>
      <c r="BY310" t="e">
        <f>AND('PROG FORMACIÓN TITULADA'!#REF!,"AAAAAFfm/0w=")</f>
        <v>#REF!</v>
      </c>
      <c r="BZ310" t="e">
        <f>AND('PROG FORMACIÓN TITULADA'!#REF!,"AAAAAFfm/00=")</f>
        <v>#REF!</v>
      </c>
      <c r="CA310" t="e">
        <f>AND('PROG FORMACIÓN TITULADA'!#REF!,"AAAAAFfm/04=")</f>
        <v>#REF!</v>
      </c>
      <c r="CB310" t="e">
        <f>AND('PROG FORMACIÓN TITULADA'!#REF!,"AAAAAFfm/08=")</f>
        <v>#REF!</v>
      </c>
      <c r="CC310" t="e">
        <f>AND('PROG FORMACIÓN TITULADA'!#REF!,"AAAAAFfm/1A=")</f>
        <v>#REF!</v>
      </c>
      <c r="CD310" t="e">
        <f>AND('PROG FORMACIÓN TITULADA'!#REF!,"AAAAAFfm/1E=")</f>
        <v>#REF!</v>
      </c>
      <c r="CE310" t="e">
        <f>AND('PROG FORMACIÓN TITULADA'!#REF!,"AAAAAFfm/1I=")</f>
        <v>#REF!</v>
      </c>
      <c r="CF310" t="e">
        <f>AND('PROG FORMACIÓN TITULADA'!#REF!,"AAAAAFfm/1M=")</f>
        <v>#REF!</v>
      </c>
      <c r="CG310" t="e">
        <f>AND('PROG FORMACIÓN TITULADA'!#REF!,"AAAAAFfm/1Q=")</f>
        <v>#REF!</v>
      </c>
      <c r="CH310" t="e">
        <f>AND('PROG FORMACIÓN TITULADA'!#REF!,"AAAAAFfm/1U=")</f>
        <v>#REF!</v>
      </c>
      <c r="CI310" t="e">
        <f>AND('PROG FORMACIÓN TITULADA'!#REF!,"AAAAAFfm/1Y=")</f>
        <v>#REF!</v>
      </c>
      <c r="CJ310" t="e">
        <f>IF('PROG FORMACIÓN TITULADA'!#REF!,"AAAAAFfm/1c=",0)</f>
        <v>#REF!</v>
      </c>
      <c r="CK310" t="e">
        <f>AND('PROG FORMACIÓN TITULADA'!#REF!,"AAAAAFfm/1g=")</f>
        <v>#REF!</v>
      </c>
      <c r="CL310" t="e">
        <f>AND('PROG FORMACIÓN TITULADA'!#REF!,"AAAAAFfm/1k=")</f>
        <v>#REF!</v>
      </c>
      <c r="CM310" t="e">
        <f>AND('PROG FORMACIÓN TITULADA'!#REF!,"AAAAAFfm/1o=")</f>
        <v>#REF!</v>
      </c>
      <c r="CN310" t="e">
        <f>AND('PROG FORMACIÓN TITULADA'!#REF!,"AAAAAFfm/1s=")</f>
        <v>#REF!</v>
      </c>
      <c r="CO310" t="e">
        <f>AND('PROG FORMACIÓN TITULADA'!#REF!,"AAAAAFfm/1w=")</f>
        <v>#REF!</v>
      </c>
      <c r="CP310" t="e">
        <f>AND('PROG FORMACIÓN TITULADA'!#REF!,"AAAAAFfm/10=")</f>
        <v>#REF!</v>
      </c>
      <c r="CQ310" t="e">
        <f>AND('PROG FORMACIÓN TITULADA'!#REF!,"AAAAAFfm/14=")</f>
        <v>#REF!</v>
      </c>
      <c r="CR310" t="e">
        <f>AND('PROG FORMACIÓN TITULADA'!#REF!,"AAAAAFfm/18=")</f>
        <v>#REF!</v>
      </c>
      <c r="CS310" t="e">
        <f>AND('PROG FORMACIÓN TITULADA'!#REF!,"AAAAAFfm/2A=")</f>
        <v>#REF!</v>
      </c>
      <c r="CT310" t="e">
        <f>AND('PROG FORMACIÓN TITULADA'!#REF!,"AAAAAFfm/2E=")</f>
        <v>#REF!</v>
      </c>
      <c r="CU310" t="e">
        <f>AND('PROG FORMACIÓN TITULADA'!#REF!,"AAAAAFfm/2I=")</f>
        <v>#REF!</v>
      </c>
      <c r="CV310" t="e">
        <f>AND('PROG FORMACIÓN TITULADA'!#REF!,"AAAAAFfm/2M=")</f>
        <v>#REF!</v>
      </c>
      <c r="CW310" t="e">
        <f>AND('PROG FORMACIÓN TITULADA'!#REF!,"AAAAAFfm/2Q=")</f>
        <v>#REF!</v>
      </c>
      <c r="CX310" t="e">
        <f>AND('PROG FORMACIÓN TITULADA'!#REF!,"AAAAAFfm/2U=")</f>
        <v>#REF!</v>
      </c>
      <c r="CY310" t="e">
        <f>AND('PROG FORMACIÓN TITULADA'!#REF!,"AAAAAFfm/2Y=")</f>
        <v>#REF!</v>
      </c>
      <c r="CZ310" t="e">
        <f>AND('PROG FORMACIÓN TITULADA'!#REF!,"AAAAAFfm/2c=")</f>
        <v>#REF!</v>
      </c>
      <c r="DA310" t="e">
        <f>AND('PROG FORMACIÓN TITULADA'!#REF!,"AAAAAFfm/2g=")</f>
        <v>#REF!</v>
      </c>
      <c r="DB310" t="e">
        <f>AND('PROG FORMACIÓN TITULADA'!#REF!,"AAAAAFfm/2k=")</f>
        <v>#REF!</v>
      </c>
      <c r="DC310" t="e">
        <f>AND('PROG FORMACIÓN TITULADA'!#REF!,"AAAAAFfm/2o=")</f>
        <v>#REF!</v>
      </c>
      <c r="DD310" t="e">
        <f>AND('PROG FORMACIÓN TITULADA'!#REF!,"AAAAAFfm/2s=")</f>
        <v>#REF!</v>
      </c>
      <c r="DE310" t="e">
        <f>AND('PROG FORMACIÓN TITULADA'!#REF!,"AAAAAFfm/2w=")</f>
        <v>#REF!</v>
      </c>
      <c r="DF310" t="e">
        <f>AND('PROG FORMACIÓN TITULADA'!#REF!,"AAAAAFfm/20=")</f>
        <v>#REF!</v>
      </c>
      <c r="DG310" t="e">
        <f>AND('PROG FORMACIÓN TITULADA'!#REF!,"AAAAAFfm/24=")</f>
        <v>#REF!</v>
      </c>
      <c r="DH310" t="e">
        <f>AND('PROG FORMACIÓN TITULADA'!#REF!,"AAAAAFfm/28=")</f>
        <v>#REF!</v>
      </c>
      <c r="DI310" t="e">
        <f>AND('PROG FORMACIÓN TITULADA'!#REF!,"AAAAAFfm/3A=")</f>
        <v>#REF!</v>
      </c>
      <c r="DJ310" t="e">
        <f>AND('PROG FORMACIÓN TITULADA'!#REF!,"AAAAAFfm/3E=")</f>
        <v>#REF!</v>
      </c>
      <c r="DK310" t="e">
        <f>IF('PROG FORMACIÓN TITULADA'!#REF!,"AAAAAFfm/3I=",0)</f>
        <v>#REF!</v>
      </c>
      <c r="DL310" t="e">
        <f>AND('PROG FORMACIÓN TITULADA'!#REF!,"AAAAAFfm/3M=")</f>
        <v>#REF!</v>
      </c>
      <c r="DM310" t="e">
        <f>AND('PROG FORMACIÓN TITULADA'!#REF!,"AAAAAFfm/3Q=")</f>
        <v>#REF!</v>
      </c>
      <c r="DN310" t="e">
        <f>AND('PROG FORMACIÓN TITULADA'!#REF!,"AAAAAFfm/3U=")</f>
        <v>#REF!</v>
      </c>
      <c r="DO310" t="e">
        <f>AND('PROG FORMACIÓN TITULADA'!#REF!,"AAAAAFfm/3Y=")</f>
        <v>#REF!</v>
      </c>
      <c r="DP310" t="e">
        <f>AND('PROG FORMACIÓN TITULADA'!#REF!,"AAAAAFfm/3c=")</f>
        <v>#REF!</v>
      </c>
      <c r="DQ310" t="e">
        <f>AND('PROG FORMACIÓN TITULADA'!#REF!,"AAAAAFfm/3g=")</f>
        <v>#REF!</v>
      </c>
      <c r="DR310" t="e">
        <f>AND('PROG FORMACIÓN TITULADA'!#REF!,"AAAAAFfm/3k=")</f>
        <v>#REF!</v>
      </c>
      <c r="DS310" t="e">
        <f>AND('PROG FORMACIÓN TITULADA'!#REF!,"AAAAAFfm/3o=")</f>
        <v>#REF!</v>
      </c>
      <c r="DT310" t="e">
        <f>AND('PROG FORMACIÓN TITULADA'!#REF!,"AAAAAFfm/3s=")</f>
        <v>#REF!</v>
      </c>
      <c r="DU310" t="e">
        <f>AND('PROG FORMACIÓN TITULADA'!#REF!,"AAAAAFfm/3w=")</f>
        <v>#REF!</v>
      </c>
      <c r="DV310" t="e">
        <f>AND('PROG FORMACIÓN TITULADA'!#REF!,"AAAAAFfm/30=")</f>
        <v>#REF!</v>
      </c>
      <c r="DW310" t="e">
        <f>AND('PROG FORMACIÓN TITULADA'!#REF!,"AAAAAFfm/34=")</f>
        <v>#REF!</v>
      </c>
      <c r="DX310" t="e">
        <f>AND('PROG FORMACIÓN TITULADA'!#REF!,"AAAAAFfm/38=")</f>
        <v>#REF!</v>
      </c>
      <c r="DY310" t="e">
        <f>AND('PROG FORMACIÓN TITULADA'!#REF!,"AAAAAFfm/4A=")</f>
        <v>#REF!</v>
      </c>
      <c r="DZ310" t="e">
        <f>AND('PROG FORMACIÓN TITULADA'!#REF!,"AAAAAFfm/4E=")</f>
        <v>#REF!</v>
      </c>
      <c r="EA310" t="e">
        <f>AND('PROG FORMACIÓN TITULADA'!#REF!,"AAAAAFfm/4I=")</f>
        <v>#REF!</v>
      </c>
      <c r="EB310" t="e">
        <f>AND('PROG FORMACIÓN TITULADA'!#REF!,"AAAAAFfm/4M=")</f>
        <v>#REF!</v>
      </c>
      <c r="EC310" t="e">
        <f>AND('PROG FORMACIÓN TITULADA'!#REF!,"AAAAAFfm/4Q=")</f>
        <v>#REF!</v>
      </c>
      <c r="ED310" t="e">
        <f>AND('PROG FORMACIÓN TITULADA'!#REF!,"AAAAAFfm/4U=")</f>
        <v>#REF!</v>
      </c>
      <c r="EE310" t="e">
        <f>AND('PROG FORMACIÓN TITULADA'!#REF!,"AAAAAFfm/4Y=")</f>
        <v>#REF!</v>
      </c>
      <c r="EF310" t="e">
        <f>AND('PROG FORMACIÓN TITULADA'!#REF!,"AAAAAFfm/4c=")</f>
        <v>#REF!</v>
      </c>
      <c r="EG310" t="e">
        <f>AND('PROG FORMACIÓN TITULADA'!#REF!,"AAAAAFfm/4g=")</f>
        <v>#REF!</v>
      </c>
      <c r="EH310" t="e">
        <f>AND('PROG FORMACIÓN TITULADA'!#REF!,"AAAAAFfm/4k=")</f>
        <v>#REF!</v>
      </c>
      <c r="EI310" t="e">
        <f>AND('PROG FORMACIÓN TITULADA'!#REF!,"AAAAAFfm/4o=")</f>
        <v>#REF!</v>
      </c>
      <c r="EJ310" t="e">
        <f>AND('PROG FORMACIÓN TITULADA'!#REF!,"AAAAAFfm/4s=")</f>
        <v>#REF!</v>
      </c>
      <c r="EK310" t="e">
        <f>AND('PROG FORMACIÓN TITULADA'!#REF!,"AAAAAFfm/4w=")</f>
        <v>#REF!</v>
      </c>
      <c r="EL310" t="e">
        <f>IF('PROG FORMACIÓN TITULADA'!#REF!,"AAAAAFfm/40=",0)</f>
        <v>#REF!</v>
      </c>
      <c r="EM310" t="e">
        <f>AND('PROG FORMACIÓN TITULADA'!#REF!,"AAAAAFfm/44=")</f>
        <v>#REF!</v>
      </c>
      <c r="EN310" t="e">
        <f>AND('PROG FORMACIÓN TITULADA'!#REF!,"AAAAAFfm/48=")</f>
        <v>#REF!</v>
      </c>
      <c r="EO310" t="e">
        <f>AND('PROG FORMACIÓN TITULADA'!#REF!,"AAAAAFfm/5A=")</f>
        <v>#REF!</v>
      </c>
      <c r="EP310" t="e">
        <f>AND('PROG FORMACIÓN TITULADA'!#REF!,"AAAAAFfm/5E=")</f>
        <v>#REF!</v>
      </c>
      <c r="EQ310" t="e">
        <f>AND('PROG FORMACIÓN TITULADA'!#REF!,"AAAAAFfm/5I=")</f>
        <v>#REF!</v>
      </c>
      <c r="ER310" t="e">
        <f>AND('PROG FORMACIÓN TITULADA'!#REF!,"AAAAAFfm/5M=")</f>
        <v>#REF!</v>
      </c>
      <c r="ES310" t="e">
        <f>AND('PROG FORMACIÓN TITULADA'!#REF!,"AAAAAFfm/5Q=")</f>
        <v>#REF!</v>
      </c>
      <c r="ET310" t="e">
        <f>AND('PROG FORMACIÓN TITULADA'!#REF!,"AAAAAFfm/5U=")</f>
        <v>#REF!</v>
      </c>
      <c r="EU310" t="e">
        <f>AND('PROG FORMACIÓN TITULADA'!#REF!,"AAAAAFfm/5Y=")</f>
        <v>#REF!</v>
      </c>
      <c r="EV310" t="e">
        <f>AND('PROG FORMACIÓN TITULADA'!#REF!,"AAAAAFfm/5c=")</f>
        <v>#REF!</v>
      </c>
      <c r="EW310" t="e">
        <f>AND('PROG FORMACIÓN TITULADA'!#REF!,"AAAAAFfm/5g=")</f>
        <v>#REF!</v>
      </c>
      <c r="EX310" t="e">
        <f>AND('PROG FORMACIÓN TITULADA'!#REF!,"AAAAAFfm/5k=")</f>
        <v>#REF!</v>
      </c>
      <c r="EY310" t="e">
        <f>AND('PROG FORMACIÓN TITULADA'!#REF!,"AAAAAFfm/5o=")</f>
        <v>#REF!</v>
      </c>
      <c r="EZ310" t="e">
        <f>AND('PROG FORMACIÓN TITULADA'!#REF!,"AAAAAFfm/5s=")</f>
        <v>#REF!</v>
      </c>
      <c r="FA310" t="e">
        <f>AND('PROG FORMACIÓN TITULADA'!#REF!,"AAAAAFfm/5w=")</f>
        <v>#REF!</v>
      </c>
      <c r="FB310" t="e">
        <f>AND('PROG FORMACIÓN TITULADA'!#REF!,"AAAAAFfm/50=")</f>
        <v>#REF!</v>
      </c>
      <c r="FC310" t="e">
        <f>AND('PROG FORMACIÓN TITULADA'!#REF!,"AAAAAFfm/54=")</f>
        <v>#REF!</v>
      </c>
      <c r="FD310" t="e">
        <f>AND('PROG FORMACIÓN TITULADA'!#REF!,"AAAAAFfm/58=")</f>
        <v>#REF!</v>
      </c>
      <c r="FE310" t="e">
        <f>AND('PROG FORMACIÓN TITULADA'!#REF!,"AAAAAFfm/6A=")</f>
        <v>#REF!</v>
      </c>
      <c r="FF310" t="e">
        <f>AND('PROG FORMACIÓN TITULADA'!#REF!,"AAAAAFfm/6E=")</f>
        <v>#REF!</v>
      </c>
      <c r="FG310" t="e">
        <f>AND('PROG FORMACIÓN TITULADA'!#REF!,"AAAAAFfm/6I=")</f>
        <v>#REF!</v>
      </c>
      <c r="FH310" t="e">
        <f>AND('PROG FORMACIÓN TITULADA'!#REF!,"AAAAAFfm/6M=")</f>
        <v>#REF!</v>
      </c>
      <c r="FI310" t="e">
        <f>AND('PROG FORMACIÓN TITULADA'!#REF!,"AAAAAFfm/6Q=")</f>
        <v>#REF!</v>
      </c>
      <c r="FJ310" t="e">
        <f>AND('PROG FORMACIÓN TITULADA'!#REF!,"AAAAAFfm/6U=")</f>
        <v>#REF!</v>
      </c>
      <c r="FK310" t="e">
        <f>AND('PROG FORMACIÓN TITULADA'!#REF!,"AAAAAFfm/6Y=")</f>
        <v>#REF!</v>
      </c>
      <c r="FL310" t="e">
        <f>AND('PROG FORMACIÓN TITULADA'!#REF!,"AAAAAFfm/6c=")</f>
        <v>#REF!</v>
      </c>
      <c r="FM310" t="e">
        <f>IF('PROG FORMACIÓN TITULADA'!#REF!,"AAAAAFfm/6g=",0)</f>
        <v>#REF!</v>
      </c>
      <c r="FN310" t="e">
        <f>AND('PROG FORMACIÓN TITULADA'!#REF!,"AAAAAFfm/6k=")</f>
        <v>#REF!</v>
      </c>
      <c r="FO310" t="e">
        <f>AND('PROG FORMACIÓN TITULADA'!#REF!,"AAAAAFfm/6o=")</f>
        <v>#REF!</v>
      </c>
      <c r="FP310" t="e">
        <f>AND('PROG FORMACIÓN TITULADA'!#REF!,"AAAAAFfm/6s=")</f>
        <v>#REF!</v>
      </c>
      <c r="FQ310" t="e">
        <f>AND('PROG FORMACIÓN TITULADA'!#REF!,"AAAAAFfm/6w=")</f>
        <v>#REF!</v>
      </c>
      <c r="FR310" t="e">
        <f>AND('PROG FORMACIÓN TITULADA'!#REF!,"AAAAAFfm/60=")</f>
        <v>#REF!</v>
      </c>
      <c r="FS310" t="e">
        <f>AND('PROG FORMACIÓN TITULADA'!#REF!,"AAAAAFfm/64=")</f>
        <v>#REF!</v>
      </c>
      <c r="FT310" t="e">
        <f>AND('PROG FORMACIÓN TITULADA'!#REF!,"AAAAAFfm/68=")</f>
        <v>#REF!</v>
      </c>
      <c r="FU310" t="e">
        <f>AND('PROG FORMACIÓN TITULADA'!#REF!,"AAAAAFfm/7A=")</f>
        <v>#REF!</v>
      </c>
      <c r="FV310" t="e">
        <f>AND('PROG FORMACIÓN TITULADA'!#REF!,"AAAAAFfm/7E=")</f>
        <v>#REF!</v>
      </c>
      <c r="FW310" t="e">
        <f>AND('PROG FORMACIÓN TITULADA'!#REF!,"AAAAAFfm/7I=")</f>
        <v>#REF!</v>
      </c>
      <c r="FX310" t="e">
        <f>AND('PROG FORMACIÓN TITULADA'!#REF!,"AAAAAFfm/7M=")</f>
        <v>#REF!</v>
      </c>
      <c r="FY310" t="e">
        <f>AND('PROG FORMACIÓN TITULADA'!#REF!,"AAAAAFfm/7Q=")</f>
        <v>#REF!</v>
      </c>
      <c r="FZ310" t="e">
        <f>AND('PROG FORMACIÓN TITULADA'!#REF!,"AAAAAFfm/7U=")</f>
        <v>#REF!</v>
      </c>
      <c r="GA310" t="e">
        <f>AND('PROG FORMACIÓN TITULADA'!#REF!,"AAAAAFfm/7Y=")</f>
        <v>#REF!</v>
      </c>
      <c r="GB310" t="e">
        <f>AND('PROG FORMACIÓN TITULADA'!#REF!,"AAAAAFfm/7c=")</f>
        <v>#REF!</v>
      </c>
      <c r="GC310" t="e">
        <f>AND('PROG FORMACIÓN TITULADA'!#REF!,"AAAAAFfm/7g=")</f>
        <v>#REF!</v>
      </c>
      <c r="GD310" t="e">
        <f>AND('PROG FORMACIÓN TITULADA'!#REF!,"AAAAAFfm/7k=")</f>
        <v>#REF!</v>
      </c>
      <c r="GE310" t="e">
        <f>AND('PROG FORMACIÓN TITULADA'!#REF!,"AAAAAFfm/7o=")</f>
        <v>#REF!</v>
      </c>
      <c r="GF310" t="e">
        <f>AND('PROG FORMACIÓN TITULADA'!#REF!,"AAAAAFfm/7s=")</f>
        <v>#REF!</v>
      </c>
      <c r="GG310" t="e">
        <f>AND('PROG FORMACIÓN TITULADA'!#REF!,"AAAAAFfm/7w=")</f>
        <v>#REF!</v>
      </c>
      <c r="GH310" t="e">
        <f>AND('PROG FORMACIÓN TITULADA'!#REF!,"AAAAAFfm/70=")</f>
        <v>#REF!</v>
      </c>
      <c r="GI310" t="e">
        <f>AND('PROG FORMACIÓN TITULADA'!#REF!,"AAAAAFfm/74=")</f>
        <v>#REF!</v>
      </c>
      <c r="GJ310" t="e">
        <f>AND('PROG FORMACIÓN TITULADA'!#REF!,"AAAAAFfm/78=")</f>
        <v>#REF!</v>
      </c>
      <c r="GK310" t="e">
        <f>AND('PROG FORMACIÓN TITULADA'!#REF!,"AAAAAFfm/8A=")</f>
        <v>#REF!</v>
      </c>
      <c r="GL310" t="e">
        <f>AND('PROG FORMACIÓN TITULADA'!#REF!,"AAAAAFfm/8E=")</f>
        <v>#REF!</v>
      </c>
      <c r="GM310" t="e">
        <f>AND('PROG FORMACIÓN TITULADA'!#REF!,"AAAAAFfm/8I=")</f>
        <v>#REF!</v>
      </c>
      <c r="GN310" t="e">
        <f>IF('PROG FORMACIÓN TITULADA'!#REF!,"AAAAAFfm/8M=",0)</f>
        <v>#REF!</v>
      </c>
      <c r="GO310" t="e">
        <f>AND('PROG FORMACIÓN TITULADA'!#REF!,"AAAAAFfm/8Q=")</f>
        <v>#REF!</v>
      </c>
      <c r="GP310" t="e">
        <f>AND('PROG FORMACIÓN TITULADA'!#REF!,"AAAAAFfm/8U=")</f>
        <v>#REF!</v>
      </c>
      <c r="GQ310" t="e">
        <f>AND('PROG FORMACIÓN TITULADA'!#REF!,"AAAAAFfm/8Y=")</f>
        <v>#REF!</v>
      </c>
      <c r="GR310" t="e">
        <f>AND('PROG FORMACIÓN TITULADA'!#REF!,"AAAAAFfm/8c=")</f>
        <v>#REF!</v>
      </c>
      <c r="GS310" t="e">
        <f>AND('PROG FORMACIÓN TITULADA'!#REF!,"AAAAAFfm/8g=")</f>
        <v>#REF!</v>
      </c>
      <c r="GT310" t="e">
        <f>AND('PROG FORMACIÓN TITULADA'!#REF!,"AAAAAFfm/8k=")</f>
        <v>#REF!</v>
      </c>
      <c r="GU310" t="e">
        <f>AND('PROG FORMACIÓN TITULADA'!#REF!,"AAAAAFfm/8o=")</f>
        <v>#REF!</v>
      </c>
      <c r="GV310" t="e">
        <f>AND('PROG FORMACIÓN TITULADA'!#REF!,"AAAAAFfm/8s=")</f>
        <v>#REF!</v>
      </c>
      <c r="GW310" t="e">
        <f>AND('PROG FORMACIÓN TITULADA'!#REF!,"AAAAAFfm/8w=")</f>
        <v>#REF!</v>
      </c>
      <c r="GX310" t="e">
        <f>AND('PROG FORMACIÓN TITULADA'!#REF!,"AAAAAFfm/80=")</f>
        <v>#REF!</v>
      </c>
      <c r="GY310" t="e">
        <f>AND('PROG FORMACIÓN TITULADA'!#REF!,"AAAAAFfm/84=")</f>
        <v>#REF!</v>
      </c>
      <c r="GZ310" t="e">
        <f>AND('PROG FORMACIÓN TITULADA'!#REF!,"AAAAAFfm/88=")</f>
        <v>#REF!</v>
      </c>
      <c r="HA310" t="e">
        <f>AND('PROG FORMACIÓN TITULADA'!#REF!,"AAAAAFfm/9A=")</f>
        <v>#REF!</v>
      </c>
      <c r="HB310" t="e">
        <f>AND('PROG FORMACIÓN TITULADA'!#REF!,"AAAAAFfm/9E=")</f>
        <v>#REF!</v>
      </c>
      <c r="HC310" t="e">
        <f>AND('PROG FORMACIÓN TITULADA'!#REF!,"AAAAAFfm/9I=")</f>
        <v>#REF!</v>
      </c>
      <c r="HD310" t="e">
        <f>AND('PROG FORMACIÓN TITULADA'!#REF!,"AAAAAFfm/9M=")</f>
        <v>#REF!</v>
      </c>
      <c r="HE310" t="e">
        <f>AND('PROG FORMACIÓN TITULADA'!#REF!,"AAAAAFfm/9Q=")</f>
        <v>#REF!</v>
      </c>
      <c r="HF310" t="e">
        <f>AND('PROG FORMACIÓN TITULADA'!#REF!,"AAAAAFfm/9U=")</f>
        <v>#REF!</v>
      </c>
      <c r="HG310" t="e">
        <f>AND('PROG FORMACIÓN TITULADA'!#REF!,"AAAAAFfm/9Y=")</f>
        <v>#REF!</v>
      </c>
      <c r="HH310" t="e">
        <f>AND('PROG FORMACIÓN TITULADA'!#REF!,"AAAAAFfm/9c=")</f>
        <v>#REF!</v>
      </c>
      <c r="HI310" t="e">
        <f>AND('PROG FORMACIÓN TITULADA'!#REF!,"AAAAAFfm/9g=")</f>
        <v>#REF!</v>
      </c>
      <c r="HJ310" t="e">
        <f>AND('PROG FORMACIÓN TITULADA'!#REF!,"AAAAAFfm/9k=")</f>
        <v>#REF!</v>
      </c>
      <c r="HK310" t="e">
        <f>AND('PROG FORMACIÓN TITULADA'!#REF!,"AAAAAFfm/9o=")</f>
        <v>#REF!</v>
      </c>
      <c r="HL310" t="e">
        <f>AND('PROG FORMACIÓN TITULADA'!#REF!,"AAAAAFfm/9s=")</f>
        <v>#REF!</v>
      </c>
      <c r="HM310" t="e">
        <f>AND('PROG FORMACIÓN TITULADA'!#REF!,"AAAAAFfm/9w=")</f>
        <v>#REF!</v>
      </c>
      <c r="HN310" t="e">
        <f>AND('PROG FORMACIÓN TITULADA'!#REF!,"AAAAAFfm/90=")</f>
        <v>#REF!</v>
      </c>
      <c r="HO310" t="e">
        <f>IF('PROG FORMACIÓN TITULADA'!#REF!,"AAAAAFfm/94=",0)</f>
        <v>#REF!</v>
      </c>
      <c r="HP310" t="e">
        <f>AND('PROG FORMACIÓN TITULADA'!#REF!,"AAAAAFfm/98=")</f>
        <v>#REF!</v>
      </c>
      <c r="HQ310" t="e">
        <f>AND('PROG FORMACIÓN TITULADA'!#REF!,"AAAAAFfm/+A=")</f>
        <v>#REF!</v>
      </c>
      <c r="HR310" t="e">
        <f>AND('PROG FORMACIÓN TITULADA'!#REF!,"AAAAAFfm/+E=")</f>
        <v>#REF!</v>
      </c>
      <c r="HS310" t="e">
        <f>AND('PROG FORMACIÓN TITULADA'!#REF!,"AAAAAFfm/+I=")</f>
        <v>#REF!</v>
      </c>
      <c r="HT310" t="e">
        <f>AND('PROG FORMACIÓN TITULADA'!#REF!,"AAAAAFfm/+M=")</f>
        <v>#REF!</v>
      </c>
      <c r="HU310" t="e">
        <f>AND('PROG FORMACIÓN TITULADA'!#REF!,"AAAAAFfm/+Q=")</f>
        <v>#REF!</v>
      </c>
      <c r="HV310" t="e">
        <f>AND('PROG FORMACIÓN TITULADA'!#REF!,"AAAAAFfm/+U=")</f>
        <v>#REF!</v>
      </c>
      <c r="HW310" t="e">
        <f>AND('PROG FORMACIÓN TITULADA'!#REF!,"AAAAAFfm/+Y=")</f>
        <v>#REF!</v>
      </c>
      <c r="HX310" t="e">
        <f>AND('PROG FORMACIÓN TITULADA'!#REF!,"AAAAAFfm/+c=")</f>
        <v>#REF!</v>
      </c>
      <c r="HY310" t="e">
        <f>AND('PROG FORMACIÓN TITULADA'!#REF!,"AAAAAFfm/+g=")</f>
        <v>#REF!</v>
      </c>
      <c r="HZ310" t="e">
        <f>AND('PROG FORMACIÓN TITULADA'!#REF!,"AAAAAFfm/+k=")</f>
        <v>#REF!</v>
      </c>
      <c r="IA310" t="e">
        <f>AND('PROG FORMACIÓN TITULADA'!#REF!,"AAAAAFfm/+o=")</f>
        <v>#REF!</v>
      </c>
      <c r="IB310" t="e">
        <f>AND('PROG FORMACIÓN TITULADA'!#REF!,"AAAAAFfm/+s=")</f>
        <v>#REF!</v>
      </c>
      <c r="IC310" t="e">
        <f>AND('PROG FORMACIÓN TITULADA'!#REF!,"AAAAAFfm/+w=")</f>
        <v>#REF!</v>
      </c>
      <c r="ID310" t="e">
        <f>AND('PROG FORMACIÓN TITULADA'!#REF!,"AAAAAFfm/+0=")</f>
        <v>#REF!</v>
      </c>
      <c r="IE310" t="e">
        <f>AND('PROG FORMACIÓN TITULADA'!#REF!,"AAAAAFfm/+4=")</f>
        <v>#REF!</v>
      </c>
      <c r="IF310" t="e">
        <f>AND('PROG FORMACIÓN TITULADA'!#REF!,"AAAAAFfm/+8=")</f>
        <v>#REF!</v>
      </c>
      <c r="IG310" t="e">
        <f>AND('PROG FORMACIÓN TITULADA'!#REF!,"AAAAAFfm//A=")</f>
        <v>#REF!</v>
      </c>
      <c r="IH310" t="e">
        <f>AND('PROG FORMACIÓN TITULADA'!#REF!,"AAAAAFfm//E=")</f>
        <v>#REF!</v>
      </c>
      <c r="II310" t="e">
        <f>AND('PROG FORMACIÓN TITULADA'!#REF!,"AAAAAFfm//I=")</f>
        <v>#REF!</v>
      </c>
      <c r="IJ310" t="e">
        <f>AND('PROG FORMACIÓN TITULADA'!#REF!,"AAAAAFfm//M=")</f>
        <v>#REF!</v>
      </c>
      <c r="IK310" t="e">
        <f>AND('PROG FORMACIÓN TITULADA'!#REF!,"AAAAAFfm//Q=")</f>
        <v>#REF!</v>
      </c>
      <c r="IL310" t="e">
        <f>AND('PROG FORMACIÓN TITULADA'!#REF!,"AAAAAFfm//U=")</f>
        <v>#REF!</v>
      </c>
      <c r="IM310" t="e">
        <f>AND('PROG FORMACIÓN TITULADA'!#REF!,"AAAAAFfm//Y=")</f>
        <v>#REF!</v>
      </c>
      <c r="IN310" t="e">
        <f>AND('PROG FORMACIÓN TITULADA'!#REF!,"AAAAAFfm//c=")</f>
        <v>#REF!</v>
      </c>
      <c r="IO310" t="e">
        <f>AND('PROG FORMACIÓN TITULADA'!#REF!,"AAAAAFfm//g=")</f>
        <v>#REF!</v>
      </c>
      <c r="IP310" t="e">
        <f>IF('PROG FORMACIÓN TITULADA'!#REF!,"AAAAAFfm//k=",0)</f>
        <v>#REF!</v>
      </c>
      <c r="IQ310" t="e">
        <f>AND('PROG FORMACIÓN TITULADA'!#REF!,"AAAAAFfm//o=")</f>
        <v>#REF!</v>
      </c>
      <c r="IR310" t="e">
        <f>AND('PROG FORMACIÓN TITULADA'!#REF!,"AAAAAFfm//s=")</f>
        <v>#REF!</v>
      </c>
      <c r="IS310" t="e">
        <f>AND('PROG FORMACIÓN TITULADA'!#REF!,"AAAAAFfm//w=")</f>
        <v>#REF!</v>
      </c>
      <c r="IT310" t="e">
        <f>AND('PROG FORMACIÓN TITULADA'!#REF!,"AAAAAFfm//0=")</f>
        <v>#REF!</v>
      </c>
      <c r="IU310" t="e">
        <f>AND('PROG FORMACIÓN TITULADA'!#REF!,"AAAAAFfm//4=")</f>
        <v>#REF!</v>
      </c>
      <c r="IV310" t="e">
        <f>AND('PROG FORMACIÓN TITULADA'!#REF!,"AAAAAFfm//8=")</f>
        <v>#REF!</v>
      </c>
    </row>
    <row r="311" spans="1:256" x14ac:dyDescent="0.2">
      <c r="A311" t="e">
        <f>AND('PROG FORMACIÓN TITULADA'!#REF!,"AAAAAHjc/AA=")</f>
        <v>#REF!</v>
      </c>
      <c r="B311" t="e">
        <f>AND('PROG FORMACIÓN TITULADA'!#REF!,"AAAAAHjc/AE=")</f>
        <v>#REF!</v>
      </c>
      <c r="C311" t="e">
        <f>AND('PROG FORMACIÓN TITULADA'!#REF!,"AAAAAHjc/AI=")</f>
        <v>#REF!</v>
      </c>
      <c r="D311" t="e">
        <f>AND('PROG FORMACIÓN TITULADA'!#REF!,"AAAAAHjc/AM=")</f>
        <v>#REF!</v>
      </c>
      <c r="E311" t="e">
        <f>AND('PROG FORMACIÓN TITULADA'!#REF!,"AAAAAHjc/AQ=")</f>
        <v>#REF!</v>
      </c>
      <c r="F311" t="e">
        <f>AND('PROG FORMACIÓN TITULADA'!#REF!,"AAAAAHjc/AU=")</f>
        <v>#REF!</v>
      </c>
      <c r="G311" t="e">
        <f>AND('PROG FORMACIÓN TITULADA'!#REF!,"AAAAAHjc/AY=")</f>
        <v>#REF!</v>
      </c>
      <c r="H311" t="e">
        <f>AND('PROG FORMACIÓN TITULADA'!#REF!,"AAAAAHjc/Ac=")</f>
        <v>#REF!</v>
      </c>
      <c r="I311" t="e">
        <f>AND('PROG FORMACIÓN TITULADA'!#REF!,"AAAAAHjc/Ag=")</f>
        <v>#REF!</v>
      </c>
      <c r="J311" t="e">
        <f>AND('PROG FORMACIÓN TITULADA'!#REF!,"AAAAAHjc/Ak=")</f>
        <v>#REF!</v>
      </c>
      <c r="K311" t="e">
        <f>AND('PROG FORMACIÓN TITULADA'!#REF!,"AAAAAHjc/Ao=")</f>
        <v>#REF!</v>
      </c>
      <c r="L311" t="e">
        <f>AND('PROG FORMACIÓN TITULADA'!#REF!,"AAAAAHjc/As=")</f>
        <v>#REF!</v>
      </c>
      <c r="M311" t="e">
        <f>AND('PROG FORMACIÓN TITULADA'!#REF!,"AAAAAHjc/Aw=")</f>
        <v>#REF!</v>
      </c>
      <c r="N311" t="e">
        <f>AND('PROG FORMACIÓN TITULADA'!#REF!,"AAAAAHjc/A0=")</f>
        <v>#REF!</v>
      </c>
      <c r="O311" t="e">
        <f>AND('PROG FORMACIÓN TITULADA'!#REF!,"AAAAAHjc/A4=")</f>
        <v>#REF!</v>
      </c>
      <c r="P311" t="e">
        <f>AND('PROG FORMACIÓN TITULADA'!#REF!,"AAAAAHjc/A8=")</f>
        <v>#REF!</v>
      </c>
      <c r="Q311" t="e">
        <f>AND('PROG FORMACIÓN TITULADA'!#REF!,"AAAAAHjc/BA=")</f>
        <v>#REF!</v>
      </c>
      <c r="R311" t="e">
        <f>AND('PROG FORMACIÓN TITULADA'!#REF!,"AAAAAHjc/BE=")</f>
        <v>#REF!</v>
      </c>
      <c r="S311" t="e">
        <f>AND('PROG FORMACIÓN TITULADA'!#REF!,"AAAAAHjc/BI=")</f>
        <v>#REF!</v>
      </c>
      <c r="T311" t="e">
        <f>AND('PROG FORMACIÓN TITULADA'!#REF!,"AAAAAHjc/BM=")</f>
        <v>#REF!</v>
      </c>
      <c r="U311" t="e">
        <f>IF('PROG FORMACIÓN TITULADA'!#REF!,"AAAAAHjc/BQ=",0)</f>
        <v>#REF!</v>
      </c>
      <c r="V311" t="e">
        <f>AND('PROG FORMACIÓN TITULADA'!#REF!,"AAAAAHjc/BU=")</f>
        <v>#REF!</v>
      </c>
      <c r="W311" t="e">
        <f>AND('PROG FORMACIÓN TITULADA'!#REF!,"AAAAAHjc/BY=")</f>
        <v>#REF!</v>
      </c>
      <c r="X311" t="e">
        <f>AND('PROG FORMACIÓN TITULADA'!#REF!,"AAAAAHjc/Bc=")</f>
        <v>#REF!</v>
      </c>
      <c r="Y311" t="e">
        <f>AND('PROG FORMACIÓN TITULADA'!#REF!,"AAAAAHjc/Bg=")</f>
        <v>#REF!</v>
      </c>
      <c r="Z311" t="e">
        <f>AND('PROG FORMACIÓN TITULADA'!#REF!,"AAAAAHjc/Bk=")</f>
        <v>#REF!</v>
      </c>
      <c r="AA311" t="e">
        <f>AND('PROG FORMACIÓN TITULADA'!#REF!,"AAAAAHjc/Bo=")</f>
        <v>#REF!</v>
      </c>
      <c r="AB311" t="e">
        <f>AND('PROG FORMACIÓN TITULADA'!#REF!,"AAAAAHjc/Bs=")</f>
        <v>#REF!</v>
      </c>
      <c r="AC311" t="e">
        <f>AND('PROG FORMACIÓN TITULADA'!#REF!,"AAAAAHjc/Bw=")</f>
        <v>#REF!</v>
      </c>
      <c r="AD311" t="e">
        <f>AND('PROG FORMACIÓN TITULADA'!#REF!,"AAAAAHjc/B0=")</f>
        <v>#REF!</v>
      </c>
      <c r="AE311" t="e">
        <f>AND('PROG FORMACIÓN TITULADA'!#REF!,"AAAAAHjc/B4=")</f>
        <v>#REF!</v>
      </c>
      <c r="AF311" t="e">
        <f>AND('PROG FORMACIÓN TITULADA'!#REF!,"AAAAAHjc/B8=")</f>
        <v>#REF!</v>
      </c>
      <c r="AG311" t="e">
        <f>AND('PROG FORMACIÓN TITULADA'!#REF!,"AAAAAHjc/CA=")</f>
        <v>#REF!</v>
      </c>
      <c r="AH311" t="e">
        <f>AND('PROG FORMACIÓN TITULADA'!#REF!,"AAAAAHjc/CE=")</f>
        <v>#REF!</v>
      </c>
      <c r="AI311" t="e">
        <f>AND('PROG FORMACIÓN TITULADA'!#REF!,"AAAAAHjc/CI=")</f>
        <v>#REF!</v>
      </c>
      <c r="AJ311" t="e">
        <f>AND('PROG FORMACIÓN TITULADA'!#REF!,"AAAAAHjc/CM=")</f>
        <v>#REF!</v>
      </c>
      <c r="AK311" t="e">
        <f>AND('PROG FORMACIÓN TITULADA'!#REF!,"AAAAAHjc/CQ=")</f>
        <v>#REF!</v>
      </c>
      <c r="AL311" t="e">
        <f>AND('PROG FORMACIÓN TITULADA'!#REF!,"AAAAAHjc/CU=")</f>
        <v>#REF!</v>
      </c>
      <c r="AM311" t="e">
        <f>AND('PROG FORMACIÓN TITULADA'!#REF!,"AAAAAHjc/CY=")</f>
        <v>#REF!</v>
      </c>
      <c r="AN311" t="e">
        <f>AND('PROG FORMACIÓN TITULADA'!#REF!,"AAAAAHjc/Cc=")</f>
        <v>#REF!</v>
      </c>
      <c r="AO311" t="e">
        <f>AND('PROG FORMACIÓN TITULADA'!#REF!,"AAAAAHjc/Cg=")</f>
        <v>#REF!</v>
      </c>
      <c r="AP311" t="e">
        <f>AND('PROG FORMACIÓN TITULADA'!#REF!,"AAAAAHjc/Ck=")</f>
        <v>#REF!</v>
      </c>
      <c r="AQ311" t="e">
        <f>AND('PROG FORMACIÓN TITULADA'!#REF!,"AAAAAHjc/Co=")</f>
        <v>#REF!</v>
      </c>
      <c r="AR311" t="e">
        <f>AND('PROG FORMACIÓN TITULADA'!#REF!,"AAAAAHjc/Cs=")</f>
        <v>#REF!</v>
      </c>
      <c r="AS311" t="e">
        <f>AND('PROG FORMACIÓN TITULADA'!#REF!,"AAAAAHjc/Cw=")</f>
        <v>#REF!</v>
      </c>
      <c r="AT311" t="e">
        <f>AND('PROG FORMACIÓN TITULADA'!#REF!,"AAAAAHjc/C0=")</f>
        <v>#REF!</v>
      </c>
      <c r="AU311" t="e">
        <f>AND('PROG FORMACIÓN TITULADA'!#REF!,"AAAAAHjc/C4=")</f>
        <v>#REF!</v>
      </c>
      <c r="AV311" t="e">
        <f>IF('PROG FORMACIÓN TITULADA'!#REF!,"AAAAAHjc/C8=",0)</f>
        <v>#REF!</v>
      </c>
      <c r="AW311" t="e">
        <f>AND('PROG FORMACIÓN TITULADA'!#REF!,"AAAAAHjc/DA=")</f>
        <v>#REF!</v>
      </c>
      <c r="AX311" t="e">
        <f>AND('PROG FORMACIÓN TITULADA'!#REF!,"AAAAAHjc/DE=")</f>
        <v>#REF!</v>
      </c>
      <c r="AY311" t="e">
        <f>AND('PROG FORMACIÓN TITULADA'!#REF!,"AAAAAHjc/DI=")</f>
        <v>#REF!</v>
      </c>
      <c r="AZ311" t="e">
        <f>AND('PROG FORMACIÓN TITULADA'!#REF!,"AAAAAHjc/DM=")</f>
        <v>#REF!</v>
      </c>
      <c r="BA311" t="e">
        <f>AND('PROG FORMACIÓN TITULADA'!#REF!,"AAAAAHjc/DQ=")</f>
        <v>#REF!</v>
      </c>
      <c r="BB311" t="e">
        <f>AND('PROG FORMACIÓN TITULADA'!#REF!,"AAAAAHjc/DU=")</f>
        <v>#REF!</v>
      </c>
      <c r="BC311" t="e">
        <f>AND('PROG FORMACIÓN TITULADA'!#REF!,"AAAAAHjc/DY=")</f>
        <v>#REF!</v>
      </c>
      <c r="BD311" t="e">
        <f>AND('PROG FORMACIÓN TITULADA'!#REF!,"AAAAAHjc/Dc=")</f>
        <v>#REF!</v>
      </c>
      <c r="BE311" t="e">
        <f>AND('PROG FORMACIÓN TITULADA'!#REF!,"AAAAAHjc/Dg=")</f>
        <v>#REF!</v>
      </c>
      <c r="BF311" t="e">
        <f>AND('PROG FORMACIÓN TITULADA'!#REF!,"AAAAAHjc/Dk=")</f>
        <v>#REF!</v>
      </c>
      <c r="BG311" t="e">
        <f>AND('PROG FORMACIÓN TITULADA'!#REF!,"AAAAAHjc/Do=")</f>
        <v>#REF!</v>
      </c>
      <c r="BH311" t="e">
        <f>AND('PROG FORMACIÓN TITULADA'!#REF!,"AAAAAHjc/Ds=")</f>
        <v>#REF!</v>
      </c>
      <c r="BI311" t="e">
        <f>AND('PROG FORMACIÓN TITULADA'!#REF!,"AAAAAHjc/Dw=")</f>
        <v>#REF!</v>
      </c>
      <c r="BJ311" t="e">
        <f>AND('PROG FORMACIÓN TITULADA'!#REF!,"AAAAAHjc/D0=")</f>
        <v>#REF!</v>
      </c>
      <c r="BK311" t="e">
        <f>AND('PROG FORMACIÓN TITULADA'!#REF!,"AAAAAHjc/D4=")</f>
        <v>#REF!</v>
      </c>
      <c r="BL311" t="e">
        <f>AND('PROG FORMACIÓN TITULADA'!#REF!,"AAAAAHjc/D8=")</f>
        <v>#REF!</v>
      </c>
      <c r="BM311" t="e">
        <f>AND('PROG FORMACIÓN TITULADA'!#REF!,"AAAAAHjc/EA=")</f>
        <v>#REF!</v>
      </c>
      <c r="BN311" t="e">
        <f>AND('PROG FORMACIÓN TITULADA'!#REF!,"AAAAAHjc/EE=")</f>
        <v>#REF!</v>
      </c>
      <c r="BO311" t="e">
        <f>AND('PROG FORMACIÓN TITULADA'!#REF!,"AAAAAHjc/EI=")</f>
        <v>#REF!</v>
      </c>
      <c r="BP311" t="e">
        <f>AND('PROG FORMACIÓN TITULADA'!#REF!,"AAAAAHjc/EM=")</f>
        <v>#REF!</v>
      </c>
      <c r="BQ311" t="e">
        <f>AND('PROG FORMACIÓN TITULADA'!#REF!,"AAAAAHjc/EQ=")</f>
        <v>#REF!</v>
      </c>
      <c r="BR311" t="e">
        <f>AND('PROG FORMACIÓN TITULADA'!#REF!,"AAAAAHjc/EU=")</f>
        <v>#REF!</v>
      </c>
      <c r="BS311" t="e">
        <f>AND('PROG FORMACIÓN TITULADA'!#REF!,"AAAAAHjc/EY=")</f>
        <v>#REF!</v>
      </c>
      <c r="BT311" t="e">
        <f>AND('PROG FORMACIÓN TITULADA'!#REF!,"AAAAAHjc/Ec=")</f>
        <v>#REF!</v>
      </c>
      <c r="BU311" t="e">
        <f>AND('PROG FORMACIÓN TITULADA'!#REF!,"AAAAAHjc/Eg=")</f>
        <v>#REF!</v>
      </c>
      <c r="BV311" t="e">
        <f>AND('PROG FORMACIÓN TITULADA'!#REF!,"AAAAAHjc/Ek=")</f>
        <v>#REF!</v>
      </c>
      <c r="BW311" t="e">
        <f>IF('PROG FORMACIÓN TITULADA'!#REF!,"AAAAAHjc/Eo=",0)</f>
        <v>#REF!</v>
      </c>
      <c r="BX311" t="e">
        <f>AND('PROG FORMACIÓN TITULADA'!#REF!,"AAAAAHjc/Es=")</f>
        <v>#REF!</v>
      </c>
      <c r="BY311" t="e">
        <f>AND('PROG FORMACIÓN TITULADA'!#REF!,"AAAAAHjc/Ew=")</f>
        <v>#REF!</v>
      </c>
      <c r="BZ311" t="e">
        <f>AND('PROG FORMACIÓN TITULADA'!#REF!,"AAAAAHjc/E0=")</f>
        <v>#REF!</v>
      </c>
      <c r="CA311" t="e">
        <f>AND('PROG FORMACIÓN TITULADA'!#REF!,"AAAAAHjc/E4=")</f>
        <v>#REF!</v>
      </c>
      <c r="CB311" t="e">
        <f>AND('PROG FORMACIÓN TITULADA'!#REF!,"AAAAAHjc/E8=")</f>
        <v>#REF!</v>
      </c>
      <c r="CC311" t="e">
        <f>AND('PROG FORMACIÓN TITULADA'!#REF!,"AAAAAHjc/FA=")</f>
        <v>#REF!</v>
      </c>
      <c r="CD311" t="e">
        <f>AND('PROG FORMACIÓN TITULADA'!#REF!,"AAAAAHjc/FE=")</f>
        <v>#REF!</v>
      </c>
      <c r="CE311" t="e">
        <f>AND('PROG FORMACIÓN TITULADA'!#REF!,"AAAAAHjc/FI=")</f>
        <v>#REF!</v>
      </c>
      <c r="CF311" t="e">
        <f>AND('PROG FORMACIÓN TITULADA'!#REF!,"AAAAAHjc/FM=")</f>
        <v>#REF!</v>
      </c>
      <c r="CG311" t="e">
        <f>AND('PROG FORMACIÓN TITULADA'!#REF!,"AAAAAHjc/FQ=")</f>
        <v>#REF!</v>
      </c>
      <c r="CH311" t="e">
        <f>AND('PROG FORMACIÓN TITULADA'!#REF!,"AAAAAHjc/FU=")</f>
        <v>#REF!</v>
      </c>
      <c r="CI311" t="e">
        <f>AND('PROG FORMACIÓN TITULADA'!#REF!,"AAAAAHjc/FY=")</f>
        <v>#REF!</v>
      </c>
      <c r="CJ311" t="e">
        <f>AND('PROG FORMACIÓN TITULADA'!#REF!,"AAAAAHjc/Fc=")</f>
        <v>#REF!</v>
      </c>
      <c r="CK311" t="e">
        <f>AND('PROG FORMACIÓN TITULADA'!#REF!,"AAAAAHjc/Fg=")</f>
        <v>#REF!</v>
      </c>
      <c r="CL311" t="e">
        <f>AND('PROG FORMACIÓN TITULADA'!#REF!,"AAAAAHjc/Fk=")</f>
        <v>#REF!</v>
      </c>
      <c r="CM311" t="e">
        <f>AND('PROG FORMACIÓN TITULADA'!#REF!,"AAAAAHjc/Fo=")</f>
        <v>#REF!</v>
      </c>
      <c r="CN311" t="e">
        <f>AND('PROG FORMACIÓN TITULADA'!#REF!,"AAAAAHjc/Fs=")</f>
        <v>#REF!</v>
      </c>
      <c r="CO311" t="e">
        <f>AND('PROG FORMACIÓN TITULADA'!#REF!,"AAAAAHjc/Fw=")</f>
        <v>#REF!</v>
      </c>
      <c r="CP311" t="e">
        <f>AND('PROG FORMACIÓN TITULADA'!#REF!,"AAAAAHjc/F0=")</f>
        <v>#REF!</v>
      </c>
      <c r="CQ311" t="e">
        <f>AND('PROG FORMACIÓN TITULADA'!#REF!,"AAAAAHjc/F4=")</f>
        <v>#REF!</v>
      </c>
      <c r="CR311" t="e">
        <f>AND('PROG FORMACIÓN TITULADA'!#REF!,"AAAAAHjc/F8=")</f>
        <v>#REF!</v>
      </c>
      <c r="CS311" t="e">
        <f>AND('PROG FORMACIÓN TITULADA'!#REF!,"AAAAAHjc/GA=")</f>
        <v>#REF!</v>
      </c>
      <c r="CT311" t="e">
        <f>AND('PROG FORMACIÓN TITULADA'!#REF!,"AAAAAHjc/GE=")</f>
        <v>#REF!</v>
      </c>
      <c r="CU311" t="e">
        <f>AND('PROG FORMACIÓN TITULADA'!#REF!,"AAAAAHjc/GI=")</f>
        <v>#REF!</v>
      </c>
      <c r="CV311" t="e">
        <f>AND('PROG FORMACIÓN TITULADA'!#REF!,"AAAAAHjc/GM=")</f>
        <v>#REF!</v>
      </c>
      <c r="CW311" t="e">
        <f>AND('PROG FORMACIÓN TITULADA'!#REF!,"AAAAAHjc/GQ=")</f>
        <v>#REF!</v>
      </c>
      <c r="CX311" t="e">
        <f>IF('PROG FORMACIÓN TITULADA'!#REF!,"AAAAAHjc/GU=",0)</f>
        <v>#REF!</v>
      </c>
      <c r="CY311" t="e">
        <f>AND('PROG FORMACIÓN TITULADA'!#REF!,"AAAAAHjc/GY=")</f>
        <v>#REF!</v>
      </c>
      <c r="CZ311" t="e">
        <f>AND('PROG FORMACIÓN TITULADA'!#REF!,"AAAAAHjc/Gc=")</f>
        <v>#REF!</v>
      </c>
      <c r="DA311" t="e">
        <f>AND('PROG FORMACIÓN TITULADA'!#REF!,"AAAAAHjc/Gg=")</f>
        <v>#REF!</v>
      </c>
      <c r="DB311" t="e">
        <f>AND('PROG FORMACIÓN TITULADA'!#REF!,"AAAAAHjc/Gk=")</f>
        <v>#REF!</v>
      </c>
      <c r="DC311" t="e">
        <f>AND('PROG FORMACIÓN TITULADA'!#REF!,"AAAAAHjc/Go=")</f>
        <v>#REF!</v>
      </c>
      <c r="DD311" t="e">
        <f>AND('PROG FORMACIÓN TITULADA'!#REF!,"AAAAAHjc/Gs=")</f>
        <v>#REF!</v>
      </c>
      <c r="DE311" t="e">
        <f>AND('PROG FORMACIÓN TITULADA'!#REF!,"AAAAAHjc/Gw=")</f>
        <v>#REF!</v>
      </c>
      <c r="DF311" t="e">
        <f>AND('PROG FORMACIÓN TITULADA'!#REF!,"AAAAAHjc/G0=")</f>
        <v>#REF!</v>
      </c>
      <c r="DG311" t="e">
        <f>AND('PROG FORMACIÓN TITULADA'!#REF!,"AAAAAHjc/G4=")</f>
        <v>#REF!</v>
      </c>
      <c r="DH311" t="e">
        <f>AND('PROG FORMACIÓN TITULADA'!#REF!,"AAAAAHjc/G8=")</f>
        <v>#REF!</v>
      </c>
      <c r="DI311" t="e">
        <f>AND('PROG FORMACIÓN TITULADA'!#REF!,"AAAAAHjc/HA=")</f>
        <v>#REF!</v>
      </c>
      <c r="DJ311" t="e">
        <f>AND('PROG FORMACIÓN TITULADA'!#REF!,"AAAAAHjc/HE=")</f>
        <v>#REF!</v>
      </c>
      <c r="DK311" t="e">
        <f>AND('PROG FORMACIÓN TITULADA'!#REF!,"AAAAAHjc/HI=")</f>
        <v>#REF!</v>
      </c>
      <c r="DL311" t="e">
        <f>AND('PROG FORMACIÓN TITULADA'!#REF!,"AAAAAHjc/HM=")</f>
        <v>#REF!</v>
      </c>
      <c r="DM311" t="e">
        <f>AND('PROG FORMACIÓN TITULADA'!#REF!,"AAAAAHjc/HQ=")</f>
        <v>#REF!</v>
      </c>
      <c r="DN311" t="e">
        <f>AND('PROG FORMACIÓN TITULADA'!#REF!,"AAAAAHjc/HU=")</f>
        <v>#REF!</v>
      </c>
      <c r="DO311" t="e">
        <f>AND('PROG FORMACIÓN TITULADA'!#REF!,"AAAAAHjc/HY=")</f>
        <v>#REF!</v>
      </c>
      <c r="DP311" t="e">
        <f>AND('PROG FORMACIÓN TITULADA'!#REF!,"AAAAAHjc/Hc=")</f>
        <v>#REF!</v>
      </c>
      <c r="DQ311" t="e">
        <f>AND('PROG FORMACIÓN TITULADA'!#REF!,"AAAAAHjc/Hg=")</f>
        <v>#REF!</v>
      </c>
      <c r="DR311" t="e">
        <f>AND('PROG FORMACIÓN TITULADA'!#REF!,"AAAAAHjc/Hk=")</f>
        <v>#REF!</v>
      </c>
      <c r="DS311" t="e">
        <f>AND('PROG FORMACIÓN TITULADA'!#REF!,"AAAAAHjc/Ho=")</f>
        <v>#REF!</v>
      </c>
      <c r="DT311" t="e">
        <f>AND('PROG FORMACIÓN TITULADA'!#REF!,"AAAAAHjc/Hs=")</f>
        <v>#REF!</v>
      </c>
      <c r="DU311" t="e">
        <f>AND('PROG FORMACIÓN TITULADA'!#REF!,"AAAAAHjc/Hw=")</f>
        <v>#REF!</v>
      </c>
      <c r="DV311" t="e">
        <f>AND('PROG FORMACIÓN TITULADA'!#REF!,"AAAAAHjc/H0=")</f>
        <v>#REF!</v>
      </c>
      <c r="DW311" t="e">
        <f>AND('PROG FORMACIÓN TITULADA'!#REF!,"AAAAAHjc/H4=")</f>
        <v>#REF!</v>
      </c>
      <c r="DX311" t="e">
        <f>AND('PROG FORMACIÓN TITULADA'!#REF!,"AAAAAHjc/H8=")</f>
        <v>#REF!</v>
      </c>
      <c r="DY311" t="e">
        <f>IF('PROG FORMACIÓN TITULADA'!#REF!,"AAAAAHjc/IA=",0)</f>
        <v>#REF!</v>
      </c>
      <c r="DZ311" t="e">
        <f>AND('PROG FORMACIÓN TITULADA'!#REF!,"AAAAAHjc/IE=")</f>
        <v>#REF!</v>
      </c>
      <c r="EA311" t="e">
        <f>AND('PROG FORMACIÓN TITULADA'!#REF!,"AAAAAHjc/II=")</f>
        <v>#REF!</v>
      </c>
      <c r="EB311" t="e">
        <f>AND('PROG FORMACIÓN TITULADA'!#REF!,"AAAAAHjc/IM=")</f>
        <v>#REF!</v>
      </c>
      <c r="EC311" t="e">
        <f>AND('PROG FORMACIÓN TITULADA'!#REF!,"AAAAAHjc/IQ=")</f>
        <v>#REF!</v>
      </c>
      <c r="ED311" t="e">
        <f>AND('PROG FORMACIÓN TITULADA'!#REF!,"AAAAAHjc/IU=")</f>
        <v>#REF!</v>
      </c>
      <c r="EE311" t="e">
        <f>AND('PROG FORMACIÓN TITULADA'!#REF!,"AAAAAHjc/IY=")</f>
        <v>#REF!</v>
      </c>
      <c r="EF311" t="e">
        <f>AND('PROG FORMACIÓN TITULADA'!#REF!,"AAAAAHjc/Ic=")</f>
        <v>#REF!</v>
      </c>
      <c r="EG311" t="e">
        <f>AND('PROG FORMACIÓN TITULADA'!#REF!,"AAAAAHjc/Ig=")</f>
        <v>#REF!</v>
      </c>
      <c r="EH311" t="e">
        <f>AND('PROG FORMACIÓN TITULADA'!#REF!,"AAAAAHjc/Ik=")</f>
        <v>#REF!</v>
      </c>
      <c r="EI311" t="e">
        <f>AND('PROG FORMACIÓN TITULADA'!#REF!,"AAAAAHjc/Io=")</f>
        <v>#REF!</v>
      </c>
      <c r="EJ311" t="e">
        <f>AND('PROG FORMACIÓN TITULADA'!#REF!,"AAAAAHjc/Is=")</f>
        <v>#REF!</v>
      </c>
      <c r="EK311" t="e">
        <f>AND('PROG FORMACIÓN TITULADA'!#REF!,"AAAAAHjc/Iw=")</f>
        <v>#REF!</v>
      </c>
      <c r="EL311" t="e">
        <f>AND('PROG FORMACIÓN TITULADA'!#REF!,"AAAAAHjc/I0=")</f>
        <v>#REF!</v>
      </c>
      <c r="EM311" t="e">
        <f>AND('PROG FORMACIÓN TITULADA'!#REF!,"AAAAAHjc/I4=")</f>
        <v>#REF!</v>
      </c>
      <c r="EN311" t="e">
        <f>AND('PROG FORMACIÓN TITULADA'!#REF!,"AAAAAHjc/I8=")</f>
        <v>#REF!</v>
      </c>
      <c r="EO311" t="e">
        <f>AND('PROG FORMACIÓN TITULADA'!#REF!,"AAAAAHjc/JA=")</f>
        <v>#REF!</v>
      </c>
      <c r="EP311" t="e">
        <f>AND('PROG FORMACIÓN TITULADA'!#REF!,"AAAAAHjc/JE=")</f>
        <v>#REF!</v>
      </c>
      <c r="EQ311" t="e">
        <f>AND('PROG FORMACIÓN TITULADA'!#REF!,"AAAAAHjc/JI=")</f>
        <v>#REF!</v>
      </c>
      <c r="ER311" t="e">
        <f>AND('PROG FORMACIÓN TITULADA'!#REF!,"AAAAAHjc/JM=")</f>
        <v>#REF!</v>
      </c>
      <c r="ES311" t="e">
        <f>AND('PROG FORMACIÓN TITULADA'!#REF!,"AAAAAHjc/JQ=")</f>
        <v>#REF!</v>
      </c>
      <c r="ET311" t="e">
        <f>AND('PROG FORMACIÓN TITULADA'!#REF!,"AAAAAHjc/JU=")</f>
        <v>#REF!</v>
      </c>
      <c r="EU311" t="e">
        <f>AND('PROG FORMACIÓN TITULADA'!#REF!,"AAAAAHjc/JY=")</f>
        <v>#REF!</v>
      </c>
      <c r="EV311" t="e">
        <f>AND('PROG FORMACIÓN TITULADA'!#REF!,"AAAAAHjc/Jc=")</f>
        <v>#REF!</v>
      </c>
      <c r="EW311" t="e">
        <f>AND('PROG FORMACIÓN TITULADA'!#REF!,"AAAAAHjc/Jg=")</f>
        <v>#REF!</v>
      </c>
      <c r="EX311" t="e">
        <f>AND('PROG FORMACIÓN TITULADA'!#REF!,"AAAAAHjc/Jk=")</f>
        <v>#REF!</v>
      </c>
      <c r="EY311" t="e">
        <f>AND('PROG FORMACIÓN TITULADA'!#REF!,"AAAAAHjc/Jo=")</f>
        <v>#REF!</v>
      </c>
      <c r="EZ311" t="e">
        <f>IF('PROG FORMACIÓN TITULADA'!#REF!,"AAAAAHjc/Js=",0)</f>
        <v>#REF!</v>
      </c>
      <c r="FA311" t="e">
        <f>AND('PROG FORMACIÓN TITULADA'!#REF!,"AAAAAHjc/Jw=")</f>
        <v>#REF!</v>
      </c>
      <c r="FB311" t="e">
        <f>AND('PROG FORMACIÓN TITULADA'!#REF!,"AAAAAHjc/J0=")</f>
        <v>#REF!</v>
      </c>
      <c r="FC311" t="e">
        <f>AND('PROG FORMACIÓN TITULADA'!#REF!,"AAAAAHjc/J4=")</f>
        <v>#REF!</v>
      </c>
      <c r="FD311" t="e">
        <f>AND('PROG FORMACIÓN TITULADA'!#REF!,"AAAAAHjc/J8=")</f>
        <v>#REF!</v>
      </c>
      <c r="FE311" t="e">
        <f>AND('PROG FORMACIÓN TITULADA'!#REF!,"AAAAAHjc/KA=")</f>
        <v>#REF!</v>
      </c>
      <c r="FF311" t="e">
        <f>AND('PROG FORMACIÓN TITULADA'!#REF!,"AAAAAHjc/KE=")</f>
        <v>#REF!</v>
      </c>
      <c r="FG311" t="e">
        <f>AND('PROG FORMACIÓN TITULADA'!#REF!,"AAAAAHjc/KI=")</f>
        <v>#REF!</v>
      </c>
      <c r="FH311" t="e">
        <f>AND('PROG FORMACIÓN TITULADA'!#REF!,"AAAAAHjc/KM=")</f>
        <v>#REF!</v>
      </c>
      <c r="FI311" t="e">
        <f>AND('PROG FORMACIÓN TITULADA'!#REF!,"AAAAAHjc/KQ=")</f>
        <v>#REF!</v>
      </c>
      <c r="FJ311" t="e">
        <f>AND('PROG FORMACIÓN TITULADA'!#REF!,"AAAAAHjc/KU=")</f>
        <v>#REF!</v>
      </c>
      <c r="FK311" t="e">
        <f>AND('PROG FORMACIÓN TITULADA'!#REF!,"AAAAAHjc/KY=")</f>
        <v>#REF!</v>
      </c>
      <c r="FL311" t="e">
        <f>AND('PROG FORMACIÓN TITULADA'!#REF!,"AAAAAHjc/Kc=")</f>
        <v>#REF!</v>
      </c>
      <c r="FM311" t="e">
        <f>AND('PROG FORMACIÓN TITULADA'!#REF!,"AAAAAHjc/Kg=")</f>
        <v>#REF!</v>
      </c>
      <c r="FN311" t="e">
        <f>AND('PROG FORMACIÓN TITULADA'!#REF!,"AAAAAHjc/Kk=")</f>
        <v>#REF!</v>
      </c>
      <c r="FO311" t="e">
        <f>AND('PROG FORMACIÓN TITULADA'!#REF!,"AAAAAHjc/Ko=")</f>
        <v>#REF!</v>
      </c>
      <c r="FP311" t="e">
        <f>AND('PROG FORMACIÓN TITULADA'!#REF!,"AAAAAHjc/Ks=")</f>
        <v>#REF!</v>
      </c>
      <c r="FQ311" t="e">
        <f>AND('PROG FORMACIÓN TITULADA'!#REF!,"AAAAAHjc/Kw=")</f>
        <v>#REF!</v>
      </c>
      <c r="FR311" t="e">
        <f>AND('PROG FORMACIÓN TITULADA'!#REF!,"AAAAAHjc/K0=")</f>
        <v>#REF!</v>
      </c>
      <c r="FS311" t="e">
        <f>AND('PROG FORMACIÓN TITULADA'!#REF!,"AAAAAHjc/K4=")</f>
        <v>#REF!</v>
      </c>
      <c r="FT311" t="e">
        <f>AND('PROG FORMACIÓN TITULADA'!#REF!,"AAAAAHjc/K8=")</f>
        <v>#REF!</v>
      </c>
      <c r="FU311" t="e">
        <f>AND('PROG FORMACIÓN TITULADA'!#REF!,"AAAAAHjc/LA=")</f>
        <v>#REF!</v>
      </c>
      <c r="FV311" t="e">
        <f>AND('PROG FORMACIÓN TITULADA'!#REF!,"AAAAAHjc/LE=")</f>
        <v>#REF!</v>
      </c>
      <c r="FW311" t="e">
        <f>AND('PROG FORMACIÓN TITULADA'!#REF!,"AAAAAHjc/LI=")</f>
        <v>#REF!</v>
      </c>
      <c r="FX311" t="e">
        <f>AND('PROG FORMACIÓN TITULADA'!#REF!,"AAAAAHjc/LM=")</f>
        <v>#REF!</v>
      </c>
      <c r="FY311" t="e">
        <f>AND('PROG FORMACIÓN TITULADA'!#REF!,"AAAAAHjc/LQ=")</f>
        <v>#REF!</v>
      </c>
      <c r="FZ311" t="e">
        <f>AND('PROG FORMACIÓN TITULADA'!#REF!,"AAAAAHjc/LU=")</f>
        <v>#REF!</v>
      </c>
      <c r="GA311" t="e">
        <f>IF('PROG FORMACIÓN TITULADA'!#REF!,"AAAAAHjc/LY=",0)</f>
        <v>#REF!</v>
      </c>
      <c r="GB311" t="e">
        <f>AND('PROG FORMACIÓN TITULADA'!#REF!,"AAAAAHjc/Lc=")</f>
        <v>#REF!</v>
      </c>
      <c r="GC311" t="e">
        <f>AND('PROG FORMACIÓN TITULADA'!#REF!,"AAAAAHjc/Lg=")</f>
        <v>#REF!</v>
      </c>
      <c r="GD311" t="e">
        <f>AND('PROG FORMACIÓN TITULADA'!#REF!,"AAAAAHjc/Lk=")</f>
        <v>#REF!</v>
      </c>
      <c r="GE311" t="e">
        <f>AND('PROG FORMACIÓN TITULADA'!#REF!,"AAAAAHjc/Lo=")</f>
        <v>#REF!</v>
      </c>
      <c r="GF311" t="e">
        <f>AND('PROG FORMACIÓN TITULADA'!#REF!,"AAAAAHjc/Ls=")</f>
        <v>#REF!</v>
      </c>
      <c r="GG311" t="e">
        <f>AND('PROG FORMACIÓN TITULADA'!#REF!,"AAAAAHjc/Lw=")</f>
        <v>#REF!</v>
      </c>
      <c r="GH311" t="e">
        <f>AND('PROG FORMACIÓN TITULADA'!#REF!,"AAAAAHjc/L0=")</f>
        <v>#REF!</v>
      </c>
      <c r="GI311" t="e">
        <f>AND('PROG FORMACIÓN TITULADA'!#REF!,"AAAAAHjc/L4=")</f>
        <v>#REF!</v>
      </c>
      <c r="GJ311" t="e">
        <f>AND('PROG FORMACIÓN TITULADA'!#REF!,"AAAAAHjc/L8=")</f>
        <v>#REF!</v>
      </c>
      <c r="GK311" t="e">
        <f>AND('PROG FORMACIÓN TITULADA'!#REF!,"AAAAAHjc/MA=")</f>
        <v>#REF!</v>
      </c>
      <c r="GL311" t="e">
        <f>AND('PROG FORMACIÓN TITULADA'!#REF!,"AAAAAHjc/ME=")</f>
        <v>#REF!</v>
      </c>
      <c r="GM311" t="e">
        <f>AND('PROG FORMACIÓN TITULADA'!#REF!,"AAAAAHjc/MI=")</f>
        <v>#REF!</v>
      </c>
      <c r="GN311" t="e">
        <f>AND('PROG FORMACIÓN TITULADA'!#REF!,"AAAAAHjc/MM=")</f>
        <v>#REF!</v>
      </c>
      <c r="GO311" t="e">
        <f>AND('PROG FORMACIÓN TITULADA'!#REF!,"AAAAAHjc/MQ=")</f>
        <v>#REF!</v>
      </c>
      <c r="GP311" t="e">
        <f>AND('PROG FORMACIÓN TITULADA'!#REF!,"AAAAAHjc/MU=")</f>
        <v>#REF!</v>
      </c>
      <c r="GQ311" t="e">
        <f>AND('PROG FORMACIÓN TITULADA'!#REF!,"AAAAAHjc/MY=")</f>
        <v>#REF!</v>
      </c>
      <c r="GR311" t="e">
        <f>AND('PROG FORMACIÓN TITULADA'!#REF!,"AAAAAHjc/Mc=")</f>
        <v>#REF!</v>
      </c>
      <c r="GS311" t="e">
        <f>AND('PROG FORMACIÓN TITULADA'!#REF!,"AAAAAHjc/Mg=")</f>
        <v>#REF!</v>
      </c>
      <c r="GT311" t="e">
        <f>AND('PROG FORMACIÓN TITULADA'!#REF!,"AAAAAHjc/Mk=")</f>
        <v>#REF!</v>
      </c>
      <c r="GU311" t="e">
        <f>AND('PROG FORMACIÓN TITULADA'!#REF!,"AAAAAHjc/Mo=")</f>
        <v>#REF!</v>
      </c>
      <c r="GV311" t="e">
        <f>AND('PROG FORMACIÓN TITULADA'!#REF!,"AAAAAHjc/Ms=")</f>
        <v>#REF!</v>
      </c>
      <c r="GW311" t="e">
        <f>AND('PROG FORMACIÓN TITULADA'!#REF!,"AAAAAHjc/Mw=")</f>
        <v>#REF!</v>
      </c>
      <c r="GX311" t="e">
        <f>AND('PROG FORMACIÓN TITULADA'!#REF!,"AAAAAHjc/M0=")</f>
        <v>#REF!</v>
      </c>
      <c r="GY311" t="e">
        <f>AND('PROG FORMACIÓN TITULADA'!#REF!,"AAAAAHjc/M4=")</f>
        <v>#REF!</v>
      </c>
      <c r="GZ311" t="e">
        <f>AND('PROG FORMACIÓN TITULADA'!#REF!,"AAAAAHjc/M8=")</f>
        <v>#REF!</v>
      </c>
      <c r="HA311" t="e">
        <f>AND('PROG FORMACIÓN TITULADA'!#REF!,"AAAAAHjc/NA=")</f>
        <v>#REF!</v>
      </c>
      <c r="HB311" t="e">
        <f>IF('PROG FORMACIÓN TITULADA'!#REF!,"AAAAAHjc/NE=",0)</f>
        <v>#REF!</v>
      </c>
      <c r="HC311" t="e">
        <f>AND('PROG FORMACIÓN TITULADA'!#REF!,"AAAAAHjc/NI=")</f>
        <v>#REF!</v>
      </c>
      <c r="HD311" t="e">
        <f>AND('PROG FORMACIÓN TITULADA'!#REF!,"AAAAAHjc/NM=")</f>
        <v>#REF!</v>
      </c>
      <c r="HE311" t="e">
        <f>AND('PROG FORMACIÓN TITULADA'!#REF!,"AAAAAHjc/NQ=")</f>
        <v>#REF!</v>
      </c>
      <c r="HF311" t="e">
        <f>AND('PROG FORMACIÓN TITULADA'!#REF!,"AAAAAHjc/NU=")</f>
        <v>#REF!</v>
      </c>
      <c r="HG311" t="e">
        <f>AND('PROG FORMACIÓN TITULADA'!#REF!,"AAAAAHjc/NY=")</f>
        <v>#REF!</v>
      </c>
      <c r="HH311" t="e">
        <f>AND('PROG FORMACIÓN TITULADA'!#REF!,"AAAAAHjc/Nc=")</f>
        <v>#REF!</v>
      </c>
      <c r="HI311" t="e">
        <f>AND('PROG FORMACIÓN TITULADA'!#REF!,"AAAAAHjc/Ng=")</f>
        <v>#REF!</v>
      </c>
      <c r="HJ311" t="e">
        <f>AND('PROG FORMACIÓN TITULADA'!#REF!,"AAAAAHjc/Nk=")</f>
        <v>#REF!</v>
      </c>
      <c r="HK311" t="e">
        <f>AND('PROG FORMACIÓN TITULADA'!#REF!,"AAAAAHjc/No=")</f>
        <v>#REF!</v>
      </c>
      <c r="HL311" t="e">
        <f>AND('PROG FORMACIÓN TITULADA'!#REF!,"AAAAAHjc/Ns=")</f>
        <v>#REF!</v>
      </c>
      <c r="HM311" t="e">
        <f>AND('PROG FORMACIÓN TITULADA'!#REF!,"AAAAAHjc/Nw=")</f>
        <v>#REF!</v>
      </c>
      <c r="HN311" t="e">
        <f>AND('PROG FORMACIÓN TITULADA'!#REF!,"AAAAAHjc/N0=")</f>
        <v>#REF!</v>
      </c>
      <c r="HO311" t="e">
        <f>AND('PROG FORMACIÓN TITULADA'!#REF!,"AAAAAHjc/N4=")</f>
        <v>#REF!</v>
      </c>
      <c r="HP311" t="e">
        <f>AND('PROG FORMACIÓN TITULADA'!#REF!,"AAAAAHjc/N8=")</f>
        <v>#REF!</v>
      </c>
      <c r="HQ311" t="e">
        <f>AND('PROG FORMACIÓN TITULADA'!#REF!,"AAAAAHjc/OA=")</f>
        <v>#REF!</v>
      </c>
      <c r="HR311" t="e">
        <f>AND('PROG FORMACIÓN TITULADA'!#REF!,"AAAAAHjc/OE=")</f>
        <v>#REF!</v>
      </c>
      <c r="HS311" t="e">
        <f>AND('PROG FORMACIÓN TITULADA'!#REF!,"AAAAAHjc/OI=")</f>
        <v>#REF!</v>
      </c>
      <c r="HT311" t="e">
        <f>AND('PROG FORMACIÓN TITULADA'!#REF!,"AAAAAHjc/OM=")</f>
        <v>#REF!</v>
      </c>
      <c r="HU311" t="e">
        <f>AND('PROG FORMACIÓN TITULADA'!#REF!,"AAAAAHjc/OQ=")</f>
        <v>#REF!</v>
      </c>
      <c r="HV311" t="e">
        <f>AND('PROG FORMACIÓN TITULADA'!#REF!,"AAAAAHjc/OU=")</f>
        <v>#REF!</v>
      </c>
      <c r="HW311" t="e">
        <f>AND('PROG FORMACIÓN TITULADA'!#REF!,"AAAAAHjc/OY=")</f>
        <v>#REF!</v>
      </c>
      <c r="HX311" t="e">
        <f>AND('PROG FORMACIÓN TITULADA'!#REF!,"AAAAAHjc/Oc=")</f>
        <v>#REF!</v>
      </c>
      <c r="HY311" t="e">
        <f>AND('PROG FORMACIÓN TITULADA'!#REF!,"AAAAAHjc/Og=")</f>
        <v>#REF!</v>
      </c>
      <c r="HZ311" t="e">
        <f>AND('PROG FORMACIÓN TITULADA'!#REF!,"AAAAAHjc/Ok=")</f>
        <v>#REF!</v>
      </c>
      <c r="IA311" t="e">
        <f>AND('PROG FORMACIÓN TITULADA'!#REF!,"AAAAAHjc/Oo=")</f>
        <v>#REF!</v>
      </c>
      <c r="IB311" t="e">
        <f>AND('PROG FORMACIÓN TITULADA'!#REF!,"AAAAAHjc/Os=")</f>
        <v>#REF!</v>
      </c>
      <c r="IC311" t="e">
        <f>IF('PROG FORMACIÓN TITULADA'!#REF!,"AAAAAHjc/Ow=",0)</f>
        <v>#REF!</v>
      </c>
      <c r="ID311" t="e">
        <f>AND('PROG FORMACIÓN TITULADA'!#REF!,"AAAAAHjc/O0=")</f>
        <v>#REF!</v>
      </c>
      <c r="IE311" t="e">
        <f>AND('PROG FORMACIÓN TITULADA'!#REF!,"AAAAAHjc/O4=")</f>
        <v>#REF!</v>
      </c>
      <c r="IF311" t="e">
        <f>AND('PROG FORMACIÓN TITULADA'!#REF!,"AAAAAHjc/O8=")</f>
        <v>#REF!</v>
      </c>
      <c r="IG311" t="e">
        <f>AND('PROG FORMACIÓN TITULADA'!#REF!,"AAAAAHjc/PA=")</f>
        <v>#REF!</v>
      </c>
      <c r="IH311" t="e">
        <f>AND('PROG FORMACIÓN TITULADA'!#REF!,"AAAAAHjc/PE=")</f>
        <v>#REF!</v>
      </c>
      <c r="II311" t="e">
        <f>AND('PROG FORMACIÓN TITULADA'!#REF!,"AAAAAHjc/PI=")</f>
        <v>#REF!</v>
      </c>
      <c r="IJ311" t="e">
        <f>AND('PROG FORMACIÓN TITULADA'!#REF!,"AAAAAHjc/PM=")</f>
        <v>#REF!</v>
      </c>
      <c r="IK311" t="e">
        <f>AND('PROG FORMACIÓN TITULADA'!#REF!,"AAAAAHjc/PQ=")</f>
        <v>#REF!</v>
      </c>
      <c r="IL311" t="e">
        <f>AND('PROG FORMACIÓN TITULADA'!#REF!,"AAAAAHjc/PU=")</f>
        <v>#REF!</v>
      </c>
      <c r="IM311" t="e">
        <f>AND('PROG FORMACIÓN TITULADA'!#REF!,"AAAAAHjc/PY=")</f>
        <v>#REF!</v>
      </c>
      <c r="IN311" t="e">
        <f>AND('PROG FORMACIÓN TITULADA'!#REF!,"AAAAAHjc/Pc=")</f>
        <v>#REF!</v>
      </c>
      <c r="IO311" t="e">
        <f>AND('PROG FORMACIÓN TITULADA'!#REF!,"AAAAAHjc/Pg=")</f>
        <v>#REF!</v>
      </c>
      <c r="IP311" t="e">
        <f>AND('PROG FORMACIÓN TITULADA'!#REF!,"AAAAAHjc/Pk=")</f>
        <v>#REF!</v>
      </c>
      <c r="IQ311" t="e">
        <f>AND('PROG FORMACIÓN TITULADA'!#REF!,"AAAAAHjc/Po=")</f>
        <v>#REF!</v>
      </c>
      <c r="IR311" t="e">
        <f>AND('PROG FORMACIÓN TITULADA'!#REF!,"AAAAAHjc/Ps=")</f>
        <v>#REF!</v>
      </c>
      <c r="IS311" t="e">
        <f>AND('PROG FORMACIÓN TITULADA'!#REF!,"AAAAAHjc/Pw=")</f>
        <v>#REF!</v>
      </c>
      <c r="IT311" t="e">
        <f>AND('PROG FORMACIÓN TITULADA'!#REF!,"AAAAAHjc/P0=")</f>
        <v>#REF!</v>
      </c>
      <c r="IU311" t="e">
        <f>AND('PROG FORMACIÓN TITULADA'!#REF!,"AAAAAHjc/P4=")</f>
        <v>#REF!</v>
      </c>
      <c r="IV311" t="e">
        <f>AND('PROG FORMACIÓN TITULADA'!#REF!,"AAAAAHjc/P8=")</f>
        <v>#REF!</v>
      </c>
    </row>
    <row r="312" spans="1:256" x14ac:dyDescent="0.2">
      <c r="A312" t="e">
        <f>AND('PROG FORMACIÓN TITULADA'!#REF!,"AAAAAH7dzQA=")</f>
        <v>#REF!</v>
      </c>
      <c r="B312" t="e">
        <f>AND('PROG FORMACIÓN TITULADA'!#REF!,"AAAAAH7dzQE=")</f>
        <v>#REF!</v>
      </c>
      <c r="C312" t="e">
        <f>AND('PROG FORMACIÓN TITULADA'!#REF!,"AAAAAH7dzQI=")</f>
        <v>#REF!</v>
      </c>
      <c r="D312" t="e">
        <f>AND('PROG FORMACIÓN TITULADA'!#REF!,"AAAAAH7dzQM=")</f>
        <v>#REF!</v>
      </c>
      <c r="E312" t="e">
        <f>AND('PROG FORMACIÓN TITULADA'!#REF!,"AAAAAH7dzQQ=")</f>
        <v>#REF!</v>
      </c>
      <c r="F312" t="e">
        <f>AND('PROG FORMACIÓN TITULADA'!#REF!,"AAAAAH7dzQU=")</f>
        <v>#REF!</v>
      </c>
      <c r="G312" t="e">
        <f>AND('PROG FORMACIÓN TITULADA'!#REF!,"AAAAAH7dzQY=")</f>
        <v>#REF!</v>
      </c>
      <c r="H312" t="e">
        <f>IF('PROG FORMACIÓN TITULADA'!#REF!,"AAAAAH7dzQc=",0)</f>
        <v>#REF!</v>
      </c>
      <c r="I312" t="e">
        <f>AND('PROG FORMACIÓN TITULADA'!#REF!,"AAAAAH7dzQg=")</f>
        <v>#REF!</v>
      </c>
      <c r="J312" t="e">
        <f>AND('PROG FORMACIÓN TITULADA'!#REF!,"AAAAAH7dzQk=")</f>
        <v>#REF!</v>
      </c>
      <c r="K312" t="e">
        <f>AND('PROG FORMACIÓN TITULADA'!#REF!,"AAAAAH7dzQo=")</f>
        <v>#REF!</v>
      </c>
      <c r="L312" t="e">
        <f>AND('PROG FORMACIÓN TITULADA'!#REF!,"AAAAAH7dzQs=")</f>
        <v>#REF!</v>
      </c>
      <c r="M312" t="e">
        <f>AND('PROG FORMACIÓN TITULADA'!#REF!,"AAAAAH7dzQw=")</f>
        <v>#REF!</v>
      </c>
      <c r="N312" t="e">
        <f>AND('PROG FORMACIÓN TITULADA'!#REF!,"AAAAAH7dzQ0=")</f>
        <v>#REF!</v>
      </c>
      <c r="O312" t="e">
        <f>AND('PROG FORMACIÓN TITULADA'!#REF!,"AAAAAH7dzQ4=")</f>
        <v>#REF!</v>
      </c>
      <c r="P312" t="e">
        <f>AND('PROG FORMACIÓN TITULADA'!#REF!,"AAAAAH7dzQ8=")</f>
        <v>#REF!</v>
      </c>
      <c r="Q312" t="e">
        <f>AND('PROG FORMACIÓN TITULADA'!#REF!,"AAAAAH7dzRA=")</f>
        <v>#REF!</v>
      </c>
      <c r="R312" t="e">
        <f>AND('PROG FORMACIÓN TITULADA'!#REF!,"AAAAAH7dzRE=")</f>
        <v>#REF!</v>
      </c>
      <c r="S312" t="e">
        <f>AND('PROG FORMACIÓN TITULADA'!#REF!,"AAAAAH7dzRI=")</f>
        <v>#REF!</v>
      </c>
      <c r="T312" t="e">
        <f>AND('PROG FORMACIÓN TITULADA'!#REF!,"AAAAAH7dzRM=")</f>
        <v>#REF!</v>
      </c>
      <c r="U312" t="e">
        <f>AND('PROG FORMACIÓN TITULADA'!#REF!,"AAAAAH7dzRQ=")</f>
        <v>#REF!</v>
      </c>
      <c r="V312" t="e">
        <f>AND('PROG FORMACIÓN TITULADA'!#REF!,"AAAAAH7dzRU=")</f>
        <v>#REF!</v>
      </c>
      <c r="W312" t="e">
        <f>AND('PROG FORMACIÓN TITULADA'!#REF!,"AAAAAH7dzRY=")</f>
        <v>#REF!</v>
      </c>
      <c r="X312" t="e">
        <f>AND('PROG FORMACIÓN TITULADA'!#REF!,"AAAAAH7dzRc=")</f>
        <v>#REF!</v>
      </c>
      <c r="Y312" t="e">
        <f>AND('PROG FORMACIÓN TITULADA'!#REF!,"AAAAAH7dzRg=")</f>
        <v>#REF!</v>
      </c>
      <c r="Z312" t="e">
        <f>AND('PROG FORMACIÓN TITULADA'!#REF!,"AAAAAH7dzRk=")</f>
        <v>#REF!</v>
      </c>
      <c r="AA312" t="e">
        <f>AND('PROG FORMACIÓN TITULADA'!#REF!,"AAAAAH7dzRo=")</f>
        <v>#REF!</v>
      </c>
      <c r="AB312" t="e">
        <f>AND('PROG FORMACIÓN TITULADA'!#REF!,"AAAAAH7dzRs=")</f>
        <v>#REF!</v>
      </c>
      <c r="AC312" t="e">
        <f>AND('PROG FORMACIÓN TITULADA'!#REF!,"AAAAAH7dzRw=")</f>
        <v>#REF!</v>
      </c>
      <c r="AD312" t="e">
        <f>AND('PROG FORMACIÓN TITULADA'!#REF!,"AAAAAH7dzR0=")</f>
        <v>#REF!</v>
      </c>
      <c r="AE312" t="e">
        <f>AND('PROG FORMACIÓN TITULADA'!#REF!,"AAAAAH7dzR4=")</f>
        <v>#REF!</v>
      </c>
      <c r="AF312" t="e">
        <f>AND('PROG FORMACIÓN TITULADA'!#REF!,"AAAAAH7dzR8=")</f>
        <v>#REF!</v>
      </c>
      <c r="AG312" t="e">
        <f>AND('PROG FORMACIÓN TITULADA'!#REF!,"AAAAAH7dzSA=")</f>
        <v>#REF!</v>
      </c>
      <c r="AH312" t="e">
        <f>AND('PROG FORMACIÓN TITULADA'!#REF!,"AAAAAH7dzSE=")</f>
        <v>#REF!</v>
      </c>
      <c r="AI312" t="e">
        <f>IF('PROG FORMACIÓN TITULADA'!#REF!,"AAAAAH7dzSI=",0)</f>
        <v>#REF!</v>
      </c>
      <c r="AJ312" t="e">
        <f>AND('PROG FORMACIÓN TITULADA'!#REF!,"AAAAAH7dzSM=")</f>
        <v>#REF!</v>
      </c>
      <c r="AK312" t="e">
        <f>AND('PROG FORMACIÓN TITULADA'!#REF!,"AAAAAH7dzSQ=")</f>
        <v>#REF!</v>
      </c>
      <c r="AL312" t="e">
        <f>AND('PROG FORMACIÓN TITULADA'!#REF!,"AAAAAH7dzSU=")</f>
        <v>#REF!</v>
      </c>
      <c r="AM312" t="e">
        <f>AND('PROG FORMACIÓN TITULADA'!#REF!,"AAAAAH7dzSY=")</f>
        <v>#REF!</v>
      </c>
      <c r="AN312" t="e">
        <f>AND('PROG FORMACIÓN TITULADA'!#REF!,"AAAAAH7dzSc=")</f>
        <v>#REF!</v>
      </c>
      <c r="AO312" t="e">
        <f>AND('PROG FORMACIÓN TITULADA'!#REF!,"AAAAAH7dzSg=")</f>
        <v>#REF!</v>
      </c>
      <c r="AP312" t="e">
        <f>AND('PROG FORMACIÓN TITULADA'!#REF!,"AAAAAH7dzSk=")</f>
        <v>#REF!</v>
      </c>
      <c r="AQ312" t="e">
        <f>AND('PROG FORMACIÓN TITULADA'!#REF!,"AAAAAH7dzSo=")</f>
        <v>#REF!</v>
      </c>
      <c r="AR312" t="e">
        <f>AND('PROG FORMACIÓN TITULADA'!#REF!,"AAAAAH7dzSs=")</f>
        <v>#REF!</v>
      </c>
      <c r="AS312" t="e">
        <f>AND('PROG FORMACIÓN TITULADA'!#REF!,"AAAAAH7dzSw=")</f>
        <v>#REF!</v>
      </c>
      <c r="AT312" t="e">
        <f>AND('PROG FORMACIÓN TITULADA'!#REF!,"AAAAAH7dzS0=")</f>
        <v>#REF!</v>
      </c>
      <c r="AU312" t="e">
        <f>AND('PROG FORMACIÓN TITULADA'!#REF!,"AAAAAH7dzS4=")</f>
        <v>#REF!</v>
      </c>
      <c r="AV312" t="e">
        <f>AND('PROG FORMACIÓN TITULADA'!#REF!,"AAAAAH7dzS8=")</f>
        <v>#REF!</v>
      </c>
      <c r="AW312" t="e">
        <f>AND('PROG FORMACIÓN TITULADA'!#REF!,"AAAAAH7dzTA=")</f>
        <v>#REF!</v>
      </c>
      <c r="AX312" t="e">
        <f>AND('PROG FORMACIÓN TITULADA'!#REF!,"AAAAAH7dzTE=")</f>
        <v>#REF!</v>
      </c>
      <c r="AY312" t="e">
        <f>AND('PROG FORMACIÓN TITULADA'!#REF!,"AAAAAH7dzTI=")</f>
        <v>#REF!</v>
      </c>
      <c r="AZ312" t="e">
        <f>AND('PROG FORMACIÓN TITULADA'!#REF!,"AAAAAH7dzTM=")</f>
        <v>#REF!</v>
      </c>
      <c r="BA312" t="e">
        <f>AND('PROG FORMACIÓN TITULADA'!#REF!,"AAAAAH7dzTQ=")</f>
        <v>#REF!</v>
      </c>
      <c r="BB312" t="e">
        <f>AND('PROG FORMACIÓN TITULADA'!#REF!,"AAAAAH7dzTU=")</f>
        <v>#REF!</v>
      </c>
      <c r="BC312" t="e">
        <f>AND('PROG FORMACIÓN TITULADA'!#REF!,"AAAAAH7dzTY=")</f>
        <v>#REF!</v>
      </c>
      <c r="BD312" t="e">
        <f>AND('PROG FORMACIÓN TITULADA'!#REF!,"AAAAAH7dzTc=")</f>
        <v>#REF!</v>
      </c>
      <c r="BE312" t="e">
        <f>AND('PROG FORMACIÓN TITULADA'!#REF!,"AAAAAH7dzTg=")</f>
        <v>#REF!</v>
      </c>
      <c r="BF312" t="e">
        <f>AND('PROG FORMACIÓN TITULADA'!#REF!,"AAAAAH7dzTk=")</f>
        <v>#REF!</v>
      </c>
      <c r="BG312" t="e">
        <f>AND('PROG FORMACIÓN TITULADA'!#REF!,"AAAAAH7dzTo=")</f>
        <v>#REF!</v>
      </c>
      <c r="BH312" t="e">
        <f>AND('PROG FORMACIÓN TITULADA'!#REF!,"AAAAAH7dzTs=")</f>
        <v>#REF!</v>
      </c>
      <c r="BI312" t="e">
        <f>AND('PROG FORMACIÓN TITULADA'!#REF!,"AAAAAH7dzTw=")</f>
        <v>#REF!</v>
      </c>
      <c r="BJ312" t="e">
        <f>IF('PROG FORMACIÓN TITULADA'!#REF!,"AAAAAH7dzT0=",0)</f>
        <v>#REF!</v>
      </c>
      <c r="BK312" t="e">
        <f>AND('PROG FORMACIÓN TITULADA'!#REF!,"AAAAAH7dzT4=")</f>
        <v>#REF!</v>
      </c>
      <c r="BL312" t="e">
        <f>AND('PROG FORMACIÓN TITULADA'!#REF!,"AAAAAH7dzT8=")</f>
        <v>#REF!</v>
      </c>
      <c r="BM312" t="e">
        <f>AND('PROG FORMACIÓN TITULADA'!#REF!,"AAAAAH7dzUA=")</f>
        <v>#REF!</v>
      </c>
      <c r="BN312" t="e">
        <f>AND('PROG FORMACIÓN TITULADA'!#REF!,"AAAAAH7dzUE=")</f>
        <v>#REF!</v>
      </c>
      <c r="BO312" t="e">
        <f>AND('PROG FORMACIÓN TITULADA'!#REF!,"AAAAAH7dzUI=")</f>
        <v>#REF!</v>
      </c>
      <c r="BP312" t="e">
        <f>AND('PROG FORMACIÓN TITULADA'!#REF!,"AAAAAH7dzUM=")</f>
        <v>#REF!</v>
      </c>
      <c r="BQ312" t="e">
        <f>AND('PROG FORMACIÓN TITULADA'!#REF!,"AAAAAH7dzUQ=")</f>
        <v>#REF!</v>
      </c>
      <c r="BR312" t="e">
        <f>AND('PROG FORMACIÓN TITULADA'!#REF!,"AAAAAH7dzUU=")</f>
        <v>#REF!</v>
      </c>
      <c r="BS312" t="e">
        <f>AND('PROG FORMACIÓN TITULADA'!#REF!,"AAAAAH7dzUY=")</f>
        <v>#REF!</v>
      </c>
      <c r="BT312" t="e">
        <f>AND('PROG FORMACIÓN TITULADA'!#REF!,"AAAAAH7dzUc=")</f>
        <v>#REF!</v>
      </c>
      <c r="BU312" t="e">
        <f>AND('PROG FORMACIÓN TITULADA'!#REF!,"AAAAAH7dzUg=")</f>
        <v>#REF!</v>
      </c>
      <c r="BV312" t="e">
        <f>AND('PROG FORMACIÓN TITULADA'!#REF!,"AAAAAH7dzUk=")</f>
        <v>#REF!</v>
      </c>
      <c r="BW312" t="e">
        <f>AND('PROG FORMACIÓN TITULADA'!#REF!,"AAAAAH7dzUo=")</f>
        <v>#REF!</v>
      </c>
      <c r="BX312" t="e">
        <f>AND('PROG FORMACIÓN TITULADA'!#REF!,"AAAAAH7dzUs=")</f>
        <v>#REF!</v>
      </c>
      <c r="BY312" t="e">
        <f>AND('PROG FORMACIÓN TITULADA'!#REF!,"AAAAAH7dzUw=")</f>
        <v>#REF!</v>
      </c>
      <c r="BZ312" t="e">
        <f>AND('PROG FORMACIÓN TITULADA'!#REF!,"AAAAAH7dzU0=")</f>
        <v>#REF!</v>
      </c>
      <c r="CA312" t="e">
        <f>AND('PROG FORMACIÓN TITULADA'!#REF!,"AAAAAH7dzU4=")</f>
        <v>#REF!</v>
      </c>
      <c r="CB312" t="e">
        <f>AND('PROG FORMACIÓN TITULADA'!#REF!,"AAAAAH7dzU8=")</f>
        <v>#REF!</v>
      </c>
      <c r="CC312" t="e">
        <f>AND('PROG FORMACIÓN TITULADA'!#REF!,"AAAAAH7dzVA=")</f>
        <v>#REF!</v>
      </c>
      <c r="CD312" t="e">
        <f>AND('PROG FORMACIÓN TITULADA'!#REF!,"AAAAAH7dzVE=")</f>
        <v>#REF!</v>
      </c>
      <c r="CE312" t="e">
        <f>AND('PROG FORMACIÓN TITULADA'!#REF!,"AAAAAH7dzVI=")</f>
        <v>#REF!</v>
      </c>
      <c r="CF312" t="e">
        <f>AND('PROG FORMACIÓN TITULADA'!#REF!,"AAAAAH7dzVM=")</f>
        <v>#REF!</v>
      </c>
      <c r="CG312" t="e">
        <f>AND('PROG FORMACIÓN TITULADA'!#REF!,"AAAAAH7dzVQ=")</f>
        <v>#REF!</v>
      </c>
      <c r="CH312" t="e">
        <f>AND('PROG FORMACIÓN TITULADA'!#REF!,"AAAAAH7dzVU=")</f>
        <v>#REF!</v>
      </c>
      <c r="CI312" t="e">
        <f>AND('PROG FORMACIÓN TITULADA'!#REF!,"AAAAAH7dzVY=")</f>
        <v>#REF!</v>
      </c>
      <c r="CJ312" t="e">
        <f>AND('PROG FORMACIÓN TITULADA'!#REF!,"AAAAAH7dzVc=")</f>
        <v>#REF!</v>
      </c>
      <c r="CK312" t="e">
        <f>IF('PROG FORMACIÓN TITULADA'!#REF!,"AAAAAH7dzVg=",0)</f>
        <v>#REF!</v>
      </c>
      <c r="CL312" t="e">
        <f>AND('PROG FORMACIÓN TITULADA'!#REF!,"AAAAAH7dzVk=")</f>
        <v>#REF!</v>
      </c>
      <c r="CM312" t="e">
        <f>AND('PROG FORMACIÓN TITULADA'!#REF!,"AAAAAH7dzVo=")</f>
        <v>#REF!</v>
      </c>
      <c r="CN312" t="e">
        <f>AND('PROG FORMACIÓN TITULADA'!#REF!,"AAAAAH7dzVs=")</f>
        <v>#REF!</v>
      </c>
      <c r="CO312" t="e">
        <f>AND('PROG FORMACIÓN TITULADA'!#REF!,"AAAAAH7dzVw=")</f>
        <v>#REF!</v>
      </c>
      <c r="CP312" t="e">
        <f>AND('PROG FORMACIÓN TITULADA'!#REF!,"AAAAAH7dzV0=")</f>
        <v>#REF!</v>
      </c>
      <c r="CQ312" t="e">
        <f>AND('PROG FORMACIÓN TITULADA'!#REF!,"AAAAAH7dzV4=")</f>
        <v>#REF!</v>
      </c>
      <c r="CR312" t="e">
        <f>AND('PROG FORMACIÓN TITULADA'!#REF!,"AAAAAH7dzV8=")</f>
        <v>#REF!</v>
      </c>
      <c r="CS312" t="e">
        <f>AND('PROG FORMACIÓN TITULADA'!#REF!,"AAAAAH7dzWA=")</f>
        <v>#REF!</v>
      </c>
      <c r="CT312" t="e">
        <f>AND('PROG FORMACIÓN TITULADA'!#REF!,"AAAAAH7dzWE=")</f>
        <v>#REF!</v>
      </c>
      <c r="CU312" t="e">
        <f>AND('PROG FORMACIÓN TITULADA'!#REF!,"AAAAAH7dzWI=")</f>
        <v>#REF!</v>
      </c>
      <c r="CV312" t="e">
        <f>AND('PROG FORMACIÓN TITULADA'!#REF!,"AAAAAH7dzWM=")</f>
        <v>#REF!</v>
      </c>
      <c r="CW312" t="e">
        <f>AND('PROG FORMACIÓN TITULADA'!#REF!,"AAAAAH7dzWQ=")</f>
        <v>#REF!</v>
      </c>
      <c r="CX312" t="e">
        <f>AND('PROG FORMACIÓN TITULADA'!#REF!,"AAAAAH7dzWU=")</f>
        <v>#REF!</v>
      </c>
      <c r="CY312" t="e">
        <f>AND('PROG FORMACIÓN TITULADA'!#REF!,"AAAAAH7dzWY=")</f>
        <v>#REF!</v>
      </c>
      <c r="CZ312" t="e">
        <f>AND('PROG FORMACIÓN TITULADA'!#REF!,"AAAAAH7dzWc=")</f>
        <v>#REF!</v>
      </c>
      <c r="DA312" t="e">
        <f>AND('PROG FORMACIÓN TITULADA'!#REF!,"AAAAAH7dzWg=")</f>
        <v>#REF!</v>
      </c>
      <c r="DB312" t="e">
        <f>AND('PROG FORMACIÓN TITULADA'!#REF!,"AAAAAH7dzWk=")</f>
        <v>#REF!</v>
      </c>
      <c r="DC312" t="e">
        <f>AND('PROG FORMACIÓN TITULADA'!#REF!,"AAAAAH7dzWo=")</f>
        <v>#REF!</v>
      </c>
      <c r="DD312" t="e">
        <f>AND('PROG FORMACIÓN TITULADA'!#REF!,"AAAAAH7dzWs=")</f>
        <v>#REF!</v>
      </c>
      <c r="DE312" t="e">
        <f>AND('PROG FORMACIÓN TITULADA'!#REF!,"AAAAAH7dzWw=")</f>
        <v>#REF!</v>
      </c>
      <c r="DF312" t="e">
        <f>AND('PROG FORMACIÓN TITULADA'!#REF!,"AAAAAH7dzW0=")</f>
        <v>#REF!</v>
      </c>
      <c r="DG312" t="e">
        <f>AND('PROG FORMACIÓN TITULADA'!#REF!,"AAAAAH7dzW4=")</f>
        <v>#REF!</v>
      </c>
      <c r="DH312" t="e">
        <f>AND('PROG FORMACIÓN TITULADA'!#REF!,"AAAAAH7dzW8=")</f>
        <v>#REF!</v>
      </c>
      <c r="DI312" t="e">
        <f>AND('PROG FORMACIÓN TITULADA'!#REF!,"AAAAAH7dzXA=")</f>
        <v>#REF!</v>
      </c>
      <c r="DJ312" t="e">
        <f>AND('PROG FORMACIÓN TITULADA'!#REF!,"AAAAAH7dzXE=")</f>
        <v>#REF!</v>
      </c>
      <c r="DK312" t="e">
        <f>AND('PROG FORMACIÓN TITULADA'!#REF!,"AAAAAH7dzXI=")</f>
        <v>#REF!</v>
      </c>
      <c r="DL312" t="e">
        <f>IF('PROG FORMACIÓN TITULADA'!#REF!,"AAAAAH7dzXM=",0)</f>
        <v>#REF!</v>
      </c>
      <c r="DM312" t="e">
        <f>AND('PROG FORMACIÓN TITULADA'!#REF!,"AAAAAH7dzXQ=")</f>
        <v>#REF!</v>
      </c>
      <c r="DN312" t="e">
        <f>AND('PROG FORMACIÓN TITULADA'!#REF!,"AAAAAH7dzXU=")</f>
        <v>#REF!</v>
      </c>
      <c r="DO312" t="e">
        <f>AND('PROG FORMACIÓN TITULADA'!#REF!,"AAAAAH7dzXY=")</f>
        <v>#REF!</v>
      </c>
      <c r="DP312" t="e">
        <f>AND('PROG FORMACIÓN TITULADA'!#REF!,"AAAAAH7dzXc=")</f>
        <v>#REF!</v>
      </c>
      <c r="DQ312" t="e">
        <f>AND('PROG FORMACIÓN TITULADA'!#REF!,"AAAAAH7dzXg=")</f>
        <v>#REF!</v>
      </c>
      <c r="DR312" t="e">
        <f>AND('PROG FORMACIÓN TITULADA'!#REF!,"AAAAAH7dzXk=")</f>
        <v>#REF!</v>
      </c>
      <c r="DS312" t="e">
        <f>AND('PROG FORMACIÓN TITULADA'!#REF!,"AAAAAH7dzXo=")</f>
        <v>#REF!</v>
      </c>
      <c r="DT312" t="e">
        <f>AND('PROG FORMACIÓN TITULADA'!#REF!,"AAAAAH7dzXs=")</f>
        <v>#REF!</v>
      </c>
      <c r="DU312" t="e">
        <f>AND('PROG FORMACIÓN TITULADA'!#REF!,"AAAAAH7dzXw=")</f>
        <v>#REF!</v>
      </c>
      <c r="DV312" t="e">
        <f>AND('PROG FORMACIÓN TITULADA'!#REF!,"AAAAAH7dzX0=")</f>
        <v>#REF!</v>
      </c>
      <c r="DW312" t="e">
        <f>AND('PROG FORMACIÓN TITULADA'!#REF!,"AAAAAH7dzX4=")</f>
        <v>#REF!</v>
      </c>
      <c r="DX312" t="e">
        <f>AND('PROG FORMACIÓN TITULADA'!#REF!,"AAAAAH7dzX8=")</f>
        <v>#REF!</v>
      </c>
      <c r="DY312" t="e">
        <f>AND('PROG FORMACIÓN TITULADA'!#REF!,"AAAAAH7dzYA=")</f>
        <v>#REF!</v>
      </c>
      <c r="DZ312" t="e">
        <f>AND('PROG FORMACIÓN TITULADA'!#REF!,"AAAAAH7dzYE=")</f>
        <v>#REF!</v>
      </c>
      <c r="EA312" t="e">
        <f>AND('PROG FORMACIÓN TITULADA'!#REF!,"AAAAAH7dzYI=")</f>
        <v>#REF!</v>
      </c>
      <c r="EB312" t="e">
        <f>AND('PROG FORMACIÓN TITULADA'!#REF!,"AAAAAH7dzYM=")</f>
        <v>#REF!</v>
      </c>
      <c r="EC312" t="e">
        <f>AND('PROG FORMACIÓN TITULADA'!#REF!,"AAAAAH7dzYQ=")</f>
        <v>#REF!</v>
      </c>
      <c r="ED312" t="e">
        <f>AND('PROG FORMACIÓN TITULADA'!#REF!,"AAAAAH7dzYU=")</f>
        <v>#REF!</v>
      </c>
      <c r="EE312" t="e">
        <f>AND('PROG FORMACIÓN TITULADA'!#REF!,"AAAAAH7dzYY=")</f>
        <v>#REF!</v>
      </c>
      <c r="EF312" t="e">
        <f>AND('PROG FORMACIÓN TITULADA'!#REF!,"AAAAAH7dzYc=")</f>
        <v>#REF!</v>
      </c>
      <c r="EG312" t="e">
        <f>AND('PROG FORMACIÓN TITULADA'!#REF!,"AAAAAH7dzYg=")</f>
        <v>#REF!</v>
      </c>
      <c r="EH312" t="e">
        <f>AND('PROG FORMACIÓN TITULADA'!#REF!,"AAAAAH7dzYk=")</f>
        <v>#REF!</v>
      </c>
      <c r="EI312" t="e">
        <f>AND('PROG FORMACIÓN TITULADA'!#REF!,"AAAAAH7dzYo=")</f>
        <v>#REF!</v>
      </c>
      <c r="EJ312" t="e">
        <f>AND('PROG FORMACIÓN TITULADA'!#REF!,"AAAAAH7dzYs=")</f>
        <v>#REF!</v>
      </c>
      <c r="EK312" t="e">
        <f>AND('PROG FORMACIÓN TITULADA'!#REF!,"AAAAAH7dzYw=")</f>
        <v>#REF!</v>
      </c>
      <c r="EL312" t="e">
        <f>AND('PROG FORMACIÓN TITULADA'!#REF!,"AAAAAH7dzY0=")</f>
        <v>#REF!</v>
      </c>
      <c r="EM312" t="e">
        <f>IF('PROG FORMACIÓN TITULADA'!#REF!,"AAAAAH7dzY4=",0)</f>
        <v>#REF!</v>
      </c>
      <c r="EN312" t="e">
        <f>AND('PROG FORMACIÓN TITULADA'!#REF!,"AAAAAH7dzY8=")</f>
        <v>#REF!</v>
      </c>
      <c r="EO312" t="e">
        <f>AND('PROG FORMACIÓN TITULADA'!#REF!,"AAAAAH7dzZA=")</f>
        <v>#REF!</v>
      </c>
      <c r="EP312" t="e">
        <f>AND('PROG FORMACIÓN TITULADA'!#REF!,"AAAAAH7dzZE=")</f>
        <v>#REF!</v>
      </c>
      <c r="EQ312" t="e">
        <f>AND('PROG FORMACIÓN TITULADA'!#REF!,"AAAAAH7dzZI=")</f>
        <v>#REF!</v>
      </c>
      <c r="ER312" t="e">
        <f>AND('PROG FORMACIÓN TITULADA'!#REF!,"AAAAAH7dzZM=")</f>
        <v>#REF!</v>
      </c>
      <c r="ES312" t="e">
        <f>AND('PROG FORMACIÓN TITULADA'!#REF!,"AAAAAH7dzZQ=")</f>
        <v>#REF!</v>
      </c>
      <c r="ET312" t="e">
        <f>AND('PROG FORMACIÓN TITULADA'!#REF!,"AAAAAH7dzZU=")</f>
        <v>#REF!</v>
      </c>
      <c r="EU312" t="e">
        <f>AND('PROG FORMACIÓN TITULADA'!#REF!,"AAAAAH7dzZY=")</f>
        <v>#REF!</v>
      </c>
      <c r="EV312" t="e">
        <f>AND('PROG FORMACIÓN TITULADA'!#REF!,"AAAAAH7dzZc=")</f>
        <v>#REF!</v>
      </c>
      <c r="EW312" t="e">
        <f>AND('PROG FORMACIÓN TITULADA'!#REF!,"AAAAAH7dzZg=")</f>
        <v>#REF!</v>
      </c>
      <c r="EX312" t="e">
        <f>AND('PROG FORMACIÓN TITULADA'!#REF!,"AAAAAH7dzZk=")</f>
        <v>#REF!</v>
      </c>
      <c r="EY312" t="e">
        <f>AND('PROG FORMACIÓN TITULADA'!#REF!,"AAAAAH7dzZo=")</f>
        <v>#REF!</v>
      </c>
      <c r="EZ312" t="e">
        <f>AND('PROG FORMACIÓN TITULADA'!#REF!,"AAAAAH7dzZs=")</f>
        <v>#REF!</v>
      </c>
      <c r="FA312" t="e">
        <f>AND('PROG FORMACIÓN TITULADA'!#REF!,"AAAAAH7dzZw=")</f>
        <v>#REF!</v>
      </c>
      <c r="FB312" t="e">
        <f>AND('PROG FORMACIÓN TITULADA'!#REF!,"AAAAAH7dzZ0=")</f>
        <v>#REF!</v>
      </c>
      <c r="FC312" t="e">
        <f>AND('PROG FORMACIÓN TITULADA'!#REF!,"AAAAAH7dzZ4=")</f>
        <v>#REF!</v>
      </c>
      <c r="FD312" t="e">
        <f>AND('PROG FORMACIÓN TITULADA'!#REF!,"AAAAAH7dzZ8=")</f>
        <v>#REF!</v>
      </c>
      <c r="FE312" t="e">
        <f>AND('PROG FORMACIÓN TITULADA'!#REF!,"AAAAAH7dzaA=")</f>
        <v>#REF!</v>
      </c>
      <c r="FF312" t="e">
        <f>AND('PROG FORMACIÓN TITULADA'!#REF!,"AAAAAH7dzaE=")</f>
        <v>#REF!</v>
      </c>
      <c r="FG312" t="e">
        <f>AND('PROG FORMACIÓN TITULADA'!#REF!,"AAAAAH7dzaI=")</f>
        <v>#REF!</v>
      </c>
      <c r="FH312" t="e">
        <f>AND('PROG FORMACIÓN TITULADA'!#REF!,"AAAAAH7dzaM=")</f>
        <v>#REF!</v>
      </c>
      <c r="FI312" t="e">
        <f>AND('PROG FORMACIÓN TITULADA'!#REF!,"AAAAAH7dzaQ=")</f>
        <v>#REF!</v>
      </c>
      <c r="FJ312" t="e">
        <f>AND('PROG FORMACIÓN TITULADA'!#REF!,"AAAAAH7dzaU=")</f>
        <v>#REF!</v>
      </c>
      <c r="FK312" t="e">
        <f>AND('PROG FORMACIÓN TITULADA'!#REF!,"AAAAAH7dzaY=")</f>
        <v>#REF!</v>
      </c>
      <c r="FL312" t="e">
        <f>AND('PROG FORMACIÓN TITULADA'!#REF!,"AAAAAH7dzac=")</f>
        <v>#REF!</v>
      </c>
      <c r="FM312" t="e">
        <f>AND('PROG FORMACIÓN TITULADA'!#REF!,"AAAAAH7dzag=")</f>
        <v>#REF!</v>
      </c>
      <c r="FN312" t="e">
        <f>IF('PROG FORMACIÓN TITULADA'!#REF!,"AAAAAH7dzak=",0)</f>
        <v>#REF!</v>
      </c>
      <c r="FO312" t="e">
        <f>AND('PROG FORMACIÓN TITULADA'!#REF!,"AAAAAH7dzao=")</f>
        <v>#REF!</v>
      </c>
      <c r="FP312" t="e">
        <f>AND('PROG FORMACIÓN TITULADA'!#REF!,"AAAAAH7dzas=")</f>
        <v>#REF!</v>
      </c>
      <c r="FQ312" t="e">
        <f>AND('PROG FORMACIÓN TITULADA'!#REF!,"AAAAAH7dzaw=")</f>
        <v>#REF!</v>
      </c>
      <c r="FR312" t="e">
        <f>AND('PROG FORMACIÓN TITULADA'!#REF!,"AAAAAH7dza0=")</f>
        <v>#REF!</v>
      </c>
      <c r="FS312" t="e">
        <f>AND('PROG FORMACIÓN TITULADA'!#REF!,"AAAAAH7dza4=")</f>
        <v>#REF!</v>
      </c>
      <c r="FT312" t="e">
        <f>AND('PROG FORMACIÓN TITULADA'!#REF!,"AAAAAH7dza8=")</f>
        <v>#REF!</v>
      </c>
      <c r="FU312" t="e">
        <f>AND('PROG FORMACIÓN TITULADA'!#REF!,"AAAAAH7dzbA=")</f>
        <v>#REF!</v>
      </c>
      <c r="FV312" t="e">
        <f>AND('PROG FORMACIÓN TITULADA'!#REF!,"AAAAAH7dzbE=")</f>
        <v>#REF!</v>
      </c>
      <c r="FW312" t="e">
        <f>AND('PROG FORMACIÓN TITULADA'!#REF!,"AAAAAH7dzbI=")</f>
        <v>#REF!</v>
      </c>
      <c r="FX312" t="e">
        <f>AND('PROG FORMACIÓN TITULADA'!#REF!,"AAAAAH7dzbM=")</f>
        <v>#REF!</v>
      </c>
      <c r="FY312" t="e">
        <f>AND('PROG FORMACIÓN TITULADA'!#REF!,"AAAAAH7dzbQ=")</f>
        <v>#REF!</v>
      </c>
      <c r="FZ312" t="e">
        <f>AND('PROG FORMACIÓN TITULADA'!#REF!,"AAAAAH7dzbU=")</f>
        <v>#REF!</v>
      </c>
      <c r="GA312" t="e">
        <f>AND('PROG FORMACIÓN TITULADA'!#REF!,"AAAAAH7dzbY=")</f>
        <v>#REF!</v>
      </c>
      <c r="GB312" t="e">
        <f>AND('PROG FORMACIÓN TITULADA'!#REF!,"AAAAAH7dzbc=")</f>
        <v>#REF!</v>
      </c>
      <c r="GC312" t="e">
        <f>AND('PROG FORMACIÓN TITULADA'!#REF!,"AAAAAH7dzbg=")</f>
        <v>#REF!</v>
      </c>
      <c r="GD312" t="e">
        <f>AND('PROG FORMACIÓN TITULADA'!#REF!,"AAAAAH7dzbk=")</f>
        <v>#REF!</v>
      </c>
      <c r="GE312" t="e">
        <f>AND('PROG FORMACIÓN TITULADA'!#REF!,"AAAAAH7dzbo=")</f>
        <v>#REF!</v>
      </c>
      <c r="GF312" t="e">
        <f>AND('PROG FORMACIÓN TITULADA'!#REF!,"AAAAAH7dzbs=")</f>
        <v>#REF!</v>
      </c>
      <c r="GG312" t="e">
        <f>AND('PROG FORMACIÓN TITULADA'!#REF!,"AAAAAH7dzbw=")</f>
        <v>#REF!</v>
      </c>
      <c r="GH312" t="e">
        <f>AND('PROG FORMACIÓN TITULADA'!#REF!,"AAAAAH7dzb0=")</f>
        <v>#REF!</v>
      </c>
      <c r="GI312" t="e">
        <f>AND('PROG FORMACIÓN TITULADA'!#REF!,"AAAAAH7dzb4=")</f>
        <v>#REF!</v>
      </c>
      <c r="GJ312" t="e">
        <f>AND('PROG FORMACIÓN TITULADA'!#REF!,"AAAAAH7dzb8=")</f>
        <v>#REF!</v>
      </c>
      <c r="GK312" t="e">
        <f>AND('PROG FORMACIÓN TITULADA'!#REF!,"AAAAAH7dzcA=")</f>
        <v>#REF!</v>
      </c>
      <c r="GL312" t="e">
        <f>AND('PROG FORMACIÓN TITULADA'!#REF!,"AAAAAH7dzcE=")</f>
        <v>#REF!</v>
      </c>
      <c r="GM312" t="e">
        <f>AND('PROG FORMACIÓN TITULADA'!#REF!,"AAAAAH7dzcI=")</f>
        <v>#REF!</v>
      </c>
      <c r="GN312" t="e">
        <f>AND('PROG FORMACIÓN TITULADA'!#REF!,"AAAAAH7dzcM=")</f>
        <v>#REF!</v>
      </c>
      <c r="GO312" t="e">
        <f>IF('PROG FORMACIÓN TITULADA'!#REF!,"AAAAAH7dzcQ=",0)</f>
        <v>#REF!</v>
      </c>
      <c r="GP312" t="e">
        <f>AND('PROG FORMACIÓN TITULADA'!#REF!,"AAAAAH7dzcU=")</f>
        <v>#REF!</v>
      </c>
      <c r="GQ312" t="e">
        <f>AND('PROG FORMACIÓN TITULADA'!#REF!,"AAAAAH7dzcY=")</f>
        <v>#REF!</v>
      </c>
      <c r="GR312" t="e">
        <f>AND('PROG FORMACIÓN TITULADA'!#REF!,"AAAAAH7dzcc=")</f>
        <v>#REF!</v>
      </c>
      <c r="GS312" t="e">
        <f>AND('PROG FORMACIÓN TITULADA'!#REF!,"AAAAAH7dzcg=")</f>
        <v>#REF!</v>
      </c>
      <c r="GT312" t="e">
        <f>AND('PROG FORMACIÓN TITULADA'!#REF!,"AAAAAH7dzck=")</f>
        <v>#REF!</v>
      </c>
      <c r="GU312" t="e">
        <f>AND('PROG FORMACIÓN TITULADA'!#REF!,"AAAAAH7dzco=")</f>
        <v>#REF!</v>
      </c>
      <c r="GV312" t="e">
        <f>AND('PROG FORMACIÓN TITULADA'!#REF!,"AAAAAH7dzcs=")</f>
        <v>#REF!</v>
      </c>
      <c r="GW312" t="e">
        <f>AND('PROG FORMACIÓN TITULADA'!#REF!,"AAAAAH7dzcw=")</f>
        <v>#REF!</v>
      </c>
      <c r="GX312" t="e">
        <f>AND('PROG FORMACIÓN TITULADA'!#REF!,"AAAAAH7dzc0=")</f>
        <v>#REF!</v>
      </c>
      <c r="GY312" t="e">
        <f>AND('PROG FORMACIÓN TITULADA'!#REF!,"AAAAAH7dzc4=")</f>
        <v>#REF!</v>
      </c>
      <c r="GZ312" t="e">
        <f>AND('PROG FORMACIÓN TITULADA'!#REF!,"AAAAAH7dzc8=")</f>
        <v>#REF!</v>
      </c>
      <c r="HA312" t="e">
        <f>AND('PROG FORMACIÓN TITULADA'!#REF!,"AAAAAH7dzdA=")</f>
        <v>#REF!</v>
      </c>
      <c r="HB312" t="e">
        <f>AND('PROG FORMACIÓN TITULADA'!#REF!,"AAAAAH7dzdE=")</f>
        <v>#REF!</v>
      </c>
      <c r="HC312" t="e">
        <f>AND('PROG FORMACIÓN TITULADA'!#REF!,"AAAAAH7dzdI=")</f>
        <v>#REF!</v>
      </c>
      <c r="HD312" t="e">
        <f>AND('PROG FORMACIÓN TITULADA'!#REF!,"AAAAAH7dzdM=")</f>
        <v>#REF!</v>
      </c>
      <c r="HE312" t="e">
        <f>AND('PROG FORMACIÓN TITULADA'!#REF!,"AAAAAH7dzdQ=")</f>
        <v>#REF!</v>
      </c>
      <c r="HF312" t="e">
        <f>AND('PROG FORMACIÓN TITULADA'!#REF!,"AAAAAH7dzdU=")</f>
        <v>#REF!</v>
      </c>
      <c r="HG312" t="e">
        <f>AND('PROG FORMACIÓN TITULADA'!#REF!,"AAAAAH7dzdY=")</f>
        <v>#REF!</v>
      </c>
      <c r="HH312" t="e">
        <f>AND('PROG FORMACIÓN TITULADA'!#REF!,"AAAAAH7dzdc=")</f>
        <v>#REF!</v>
      </c>
      <c r="HI312" t="e">
        <f>AND('PROG FORMACIÓN TITULADA'!#REF!,"AAAAAH7dzdg=")</f>
        <v>#REF!</v>
      </c>
      <c r="HJ312" t="e">
        <f>AND('PROG FORMACIÓN TITULADA'!#REF!,"AAAAAH7dzdk=")</f>
        <v>#REF!</v>
      </c>
      <c r="HK312" t="e">
        <f>AND('PROG FORMACIÓN TITULADA'!#REF!,"AAAAAH7dzdo=")</f>
        <v>#REF!</v>
      </c>
      <c r="HL312" t="e">
        <f>AND('PROG FORMACIÓN TITULADA'!#REF!,"AAAAAH7dzds=")</f>
        <v>#REF!</v>
      </c>
      <c r="HM312" t="e">
        <f>AND('PROG FORMACIÓN TITULADA'!#REF!,"AAAAAH7dzdw=")</f>
        <v>#REF!</v>
      </c>
      <c r="HN312" t="e">
        <f>AND('PROG FORMACIÓN TITULADA'!#REF!,"AAAAAH7dzd0=")</f>
        <v>#REF!</v>
      </c>
      <c r="HO312" t="e">
        <f>AND('PROG FORMACIÓN TITULADA'!#REF!,"AAAAAH7dzd4=")</f>
        <v>#REF!</v>
      </c>
      <c r="HP312" t="e">
        <f>IF('PROG FORMACIÓN TITULADA'!#REF!,"AAAAAH7dzd8=",0)</f>
        <v>#REF!</v>
      </c>
      <c r="HQ312" t="e">
        <f>AND('PROG FORMACIÓN TITULADA'!#REF!,"AAAAAH7dzeA=")</f>
        <v>#REF!</v>
      </c>
      <c r="HR312" t="e">
        <f>AND('PROG FORMACIÓN TITULADA'!#REF!,"AAAAAH7dzeE=")</f>
        <v>#REF!</v>
      </c>
      <c r="HS312" t="e">
        <f>AND('PROG FORMACIÓN TITULADA'!#REF!,"AAAAAH7dzeI=")</f>
        <v>#REF!</v>
      </c>
      <c r="HT312" t="e">
        <f>AND('PROG FORMACIÓN TITULADA'!#REF!,"AAAAAH7dzeM=")</f>
        <v>#REF!</v>
      </c>
      <c r="HU312" t="e">
        <f>AND('PROG FORMACIÓN TITULADA'!#REF!,"AAAAAH7dzeQ=")</f>
        <v>#REF!</v>
      </c>
      <c r="HV312" t="e">
        <f>AND('PROG FORMACIÓN TITULADA'!#REF!,"AAAAAH7dzeU=")</f>
        <v>#REF!</v>
      </c>
      <c r="HW312" t="e">
        <f>AND('PROG FORMACIÓN TITULADA'!#REF!,"AAAAAH7dzeY=")</f>
        <v>#REF!</v>
      </c>
      <c r="HX312" t="e">
        <f>AND('PROG FORMACIÓN TITULADA'!#REF!,"AAAAAH7dzec=")</f>
        <v>#REF!</v>
      </c>
      <c r="HY312" t="e">
        <f>AND('PROG FORMACIÓN TITULADA'!#REF!,"AAAAAH7dzeg=")</f>
        <v>#REF!</v>
      </c>
      <c r="HZ312" t="e">
        <f>AND('PROG FORMACIÓN TITULADA'!#REF!,"AAAAAH7dzek=")</f>
        <v>#REF!</v>
      </c>
      <c r="IA312" t="e">
        <f>AND('PROG FORMACIÓN TITULADA'!#REF!,"AAAAAH7dzeo=")</f>
        <v>#REF!</v>
      </c>
      <c r="IB312" t="e">
        <f>AND('PROG FORMACIÓN TITULADA'!#REF!,"AAAAAH7dzes=")</f>
        <v>#REF!</v>
      </c>
      <c r="IC312" t="e">
        <f>AND('PROG FORMACIÓN TITULADA'!#REF!,"AAAAAH7dzew=")</f>
        <v>#REF!</v>
      </c>
      <c r="ID312" t="e">
        <f>AND('PROG FORMACIÓN TITULADA'!#REF!,"AAAAAH7dze0=")</f>
        <v>#REF!</v>
      </c>
      <c r="IE312" t="e">
        <f>AND('PROG FORMACIÓN TITULADA'!#REF!,"AAAAAH7dze4=")</f>
        <v>#REF!</v>
      </c>
      <c r="IF312" t="e">
        <f>AND('PROG FORMACIÓN TITULADA'!#REF!,"AAAAAH7dze8=")</f>
        <v>#REF!</v>
      </c>
      <c r="IG312" t="e">
        <f>AND('PROG FORMACIÓN TITULADA'!#REF!,"AAAAAH7dzfA=")</f>
        <v>#REF!</v>
      </c>
      <c r="IH312" t="e">
        <f>AND('PROG FORMACIÓN TITULADA'!#REF!,"AAAAAH7dzfE=")</f>
        <v>#REF!</v>
      </c>
      <c r="II312" t="e">
        <f>AND('PROG FORMACIÓN TITULADA'!#REF!,"AAAAAH7dzfI=")</f>
        <v>#REF!</v>
      </c>
      <c r="IJ312" t="e">
        <f>AND('PROG FORMACIÓN TITULADA'!#REF!,"AAAAAH7dzfM=")</f>
        <v>#REF!</v>
      </c>
      <c r="IK312" t="e">
        <f>AND('PROG FORMACIÓN TITULADA'!#REF!,"AAAAAH7dzfQ=")</f>
        <v>#REF!</v>
      </c>
      <c r="IL312" t="e">
        <f>AND('PROG FORMACIÓN TITULADA'!#REF!,"AAAAAH7dzfU=")</f>
        <v>#REF!</v>
      </c>
      <c r="IM312" t="e">
        <f>AND('PROG FORMACIÓN TITULADA'!#REF!,"AAAAAH7dzfY=")</f>
        <v>#REF!</v>
      </c>
      <c r="IN312" t="e">
        <f>AND('PROG FORMACIÓN TITULADA'!#REF!,"AAAAAH7dzfc=")</f>
        <v>#REF!</v>
      </c>
      <c r="IO312" t="e">
        <f>AND('PROG FORMACIÓN TITULADA'!#REF!,"AAAAAH7dzfg=")</f>
        <v>#REF!</v>
      </c>
      <c r="IP312" t="e">
        <f>AND('PROG FORMACIÓN TITULADA'!#REF!,"AAAAAH7dzfk=")</f>
        <v>#REF!</v>
      </c>
      <c r="IQ312" t="e">
        <f>IF('PROG FORMACIÓN TITULADA'!#REF!,"AAAAAH7dzfo=",0)</f>
        <v>#REF!</v>
      </c>
      <c r="IR312" t="e">
        <f>AND('PROG FORMACIÓN TITULADA'!#REF!,"AAAAAH7dzfs=")</f>
        <v>#REF!</v>
      </c>
      <c r="IS312" t="e">
        <f>AND('PROG FORMACIÓN TITULADA'!#REF!,"AAAAAH7dzfw=")</f>
        <v>#REF!</v>
      </c>
      <c r="IT312" t="e">
        <f>AND('PROG FORMACIÓN TITULADA'!#REF!,"AAAAAH7dzf0=")</f>
        <v>#REF!</v>
      </c>
      <c r="IU312" t="e">
        <f>AND('PROG FORMACIÓN TITULADA'!#REF!,"AAAAAH7dzf4=")</f>
        <v>#REF!</v>
      </c>
      <c r="IV312" t="e">
        <f>AND('PROG FORMACIÓN TITULADA'!#REF!,"AAAAAH7dzf8=")</f>
        <v>#REF!</v>
      </c>
    </row>
    <row r="313" spans="1:256" x14ac:dyDescent="0.2">
      <c r="A313" t="e">
        <f>AND('PROG FORMACIÓN TITULADA'!#REF!,"AAAAAHbx6wA=")</f>
        <v>#REF!</v>
      </c>
      <c r="B313" t="e">
        <f>AND('PROG FORMACIÓN TITULADA'!#REF!,"AAAAAHbx6wE=")</f>
        <v>#REF!</v>
      </c>
      <c r="C313" t="e">
        <f>AND('PROG FORMACIÓN TITULADA'!#REF!,"AAAAAHbx6wI=")</f>
        <v>#REF!</v>
      </c>
      <c r="D313" t="e">
        <f>AND('PROG FORMACIÓN TITULADA'!#REF!,"AAAAAHbx6wM=")</f>
        <v>#REF!</v>
      </c>
      <c r="E313" t="e">
        <f>AND('PROG FORMACIÓN TITULADA'!#REF!,"AAAAAHbx6wQ=")</f>
        <v>#REF!</v>
      </c>
      <c r="F313" t="e">
        <f>AND('PROG FORMACIÓN TITULADA'!#REF!,"AAAAAHbx6wU=")</f>
        <v>#REF!</v>
      </c>
      <c r="G313" t="e">
        <f>AND('PROG FORMACIÓN TITULADA'!#REF!,"AAAAAHbx6wY=")</f>
        <v>#REF!</v>
      </c>
      <c r="H313" t="e">
        <f>AND('PROG FORMACIÓN TITULADA'!#REF!,"AAAAAHbx6wc=")</f>
        <v>#REF!</v>
      </c>
      <c r="I313" t="e">
        <f>AND('PROG FORMACIÓN TITULADA'!#REF!,"AAAAAHbx6wg=")</f>
        <v>#REF!</v>
      </c>
      <c r="J313" t="e">
        <f>AND('PROG FORMACIÓN TITULADA'!#REF!,"AAAAAHbx6wk=")</f>
        <v>#REF!</v>
      </c>
      <c r="K313" t="e">
        <f>AND('PROG FORMACIÓN TITULADA'!#REF!,"AAAAAHbx6wo=")</f>
        <v>#REF!</v>
      </c>
      <c r="L313" t="e">
        <f>AND('PROG FORMACIÓN TITULADA'!#REF!,"AAAAAHbx6ws=")</f>
        <v>#REF!</v>
      </c>
      <c r="M313" t="e">
        <f>AND('PROG FORMACIÓN TITULADA'!#REF!,"AAAAAHbx6ww=")</f>
        <v>#REF!</v>
      </c>
      <c r="N313" t="e">
        <f>AND('PROG FORMACIÓN TITULADA'!#REF!,"AAAAAHbx6w0=")</f>
        <v>#REF!</v>
      </c>
      <c r="O313" t="e">
        <f>AND('PROG FORMACIÓN TITULADA'!#REF!,"AAAAAHbx6w4=")</f>
        <v>#REF!</v>
      </c>
      <c r="P313" t="e">
        <f>AND('PROG FORMACIÓN TITULADA'!#REF!,"AAAAAHbx6w8=")</f>
        <v>#REF!</v>
      </c>
      <c r="Q313" t="e">
        <f>AND('PROG FORMACIÓN TITULADA'!#REF!,"AAAAAHbx6xA=")</f>
        <v>#REF!</v>
      </c>
      <c r="R313" t="e">
        <f>AND('PROG FORMACIÓN TITULADA'!#REF!,"AAAAAHbx6xE=")</f>
        <v>#REF!</v>
      </c>
      <c r="S313" t="e">
        <f>AND('PROG FORMACIÓN TITULADA'!#REF!,"AAAAAHbx6xI=")</f>
        <v>#REF!</v>
      </c>
      <c r="T313" t="e">
        <f>AND('PROG FORMACIÓN TITULADA'!#REF!,"AAAAAHbx6xM=")</f>
        <v>#REF!</v>
      </c>
      <c r="U313" t="e">
        <f>AND('PROG FORMACIÓN TITULADA'!#REF!,"AAAAAHbx6xQ=")</f>
        <v>#REF!</v>
      </c>
      <c r="V313" t="e">
        <f>IF('PROG FORMACIÓN TITULADA'!#REF!,"AAAAAHbx6xU=",0)</f>
        <v>#REF!</v>
      </c>
      <c r="W313" t="e">
        <f>AND('PROG FORMACIÓN TITULADA'!#REF!,"AAAAAHbx6xY=")</f>
        <v>#REF!</v>
      </c>
      <c r="X313" t="e">
        <f>AND('PROG FORMACIÓN TITULADA'!#REF!,"AAAAAHbx6xc=")</f>
        <v>#REF!</v>
      </c>
      <c r="Y313" t="e">
        <f>AND('PROG FORMACIÓN TITULADA'!#REF!,"AAAAAHbx6xg=")</f>
        <v>#REF!</v>
      </c>
      <c r="Z313" t="e">
        <f>AND('PROG FORMACIÓN TITULADA'!#REF!,"AAAAAHbx6xk=")</f>
        <v>#REF!</v>
      </c>
      <c r="AA313" t="e">
        <f>AND('PROG FORMACIÓN TITULADA'!#REF!,"AAAAAHbx6xo=")</f>
        <v>#REF!</v>
      </c>
      <c r="AB313" t="e">
        <f>AND('PROG FORMACIÓN TITULADA'!#REF!,"AAAAAHbx6xs=")</f>
        <v>#REF!</v>
      </c>
      <c r="AC313" t="e">
        <f>AND('PROG FORMACIÓN TITULADA'!#REF!,"AAAAAHbx6xw=")</f>
        <v>#REF!</v>
      </c>
      <c r="AD313" t="e">
        <f>AND('PROG FORMACIÓN TITULADA'!#REF!,"AAAAAHbx6x0=")</f>
        <v>#REF!</v>
      </c>
      <c r="AE313" t="e">
        <f>AND('PROG FORMACIÓN TITULADA'!#REF!,"AAAAAHbx6x4=")</f>
        <v>#REF!</v>
      </c>
      <c r="AF313" t="e">
        <f>AND('PROG FORMACIÓN TITULADA'!#REF!,"AAAAAHbx6x8=")</f>
        <v>#REF!</v>
      </c>
      <c r="AG313" t="e">
        <f>AND('PROG FORMACIÓN TITULADA'!#REF!,"AAAAAHbx6yA=")</f>
        <v>#REF!</v>
      </c>
      <c r="AH313" t="e">
        <f>AND('PROG FORMACIÓN TITULADA'!#REF!,"AAAAAHbx6yE=")</f>
        <v>#REF!</v>
      </c>
      <c r="AI313" t="e">
        <f>AND('PROG FORMACIÓN TITULADA'!#REF!,"AAAAAHbx6yI=")</f>
        <v>#REF!</v>
      </c>
      <c r="AJ313" t="e">
        <f>AND('PROG FORMACIÓN TITULADA'!#REF!,"AAAAAHbx6yM=")</f>
        <v>#REF!</v>
      </c>
      <c r="AK313" t="e">
        <f>AND('PROG FORMACIÓN TITULADA'!#REF!,"AAAAAHbx6yQ=")</f>
        <v>#REF!</v>
      </c>
      <c r="AL313" t="e">
        <f>AND('PROG FORMACIÓN TITULADA'!#REF!,"AAAAAHbx6yU=")</f>
        <v>#REF!</v>
      </c>
      <c r="AM313" t="e">
        <f>AND('PROG FORMACIÓN TITULADA'!#REF!,"AAAAAHbx6yY=")</f>
        <v>#REF!</v>
      </c>
      <c r="AN313" t="e">
        <f>AND('PROG FORMACIÓN TITULADA'!#REF!,"AAAAAHbx6yc=")</f>
        <v>#REF!</v>
      </c>
      <c r="AO313" t="e">
        <f>AND('PROG FORMACIÓN TITULADA'!#REF!,"AAAAAHbx6yg=")</f>
        <v>#REF!</v>
      </c>
      <c r="AP313" t="e">
        <f>AND('PROG FORMACIÓN TITULADA'!#REF!,"AAAAAHbx6yk=")</f>
        <v>#REF!</v>
      </c>
      <c r="AQ313" t="e">
        <f>AND('PROG FORMACIÓN TITULADA'!#REF!,"AAAAAHbx6yo=")</f>
        <v>#REF!</v>
      </c>
      <c r="AR313" t="e">
        <f>AND('PROG FORMACIÓN TITULADA'!#REF!,"AAAAAHbx6ys=")</f>
        <v>#REF!</v>
      </c>
      <c r="AS313" t="e">
        <f>AND('PROG FORMACIÓN TITULADA'!#REF!,"AAAAAHbx6yw=")</f>
        <v>#REF!</v>
      </c>
      <c r="AT313" t="e">
        <f>AND('PROG FORMACIÓN TITULADA'!#REF!,"AAAAAHbx6y0=")</f>
        <v>#REF!</v>
      </c>
      <c r="AU313" t="e">
        <f>AND('PROG FORMACIÓN TITULADA'!#REF!,"AAAAAHbx6y4=")</f>
        <v>#REF!</v>
      </c>
      <c r="AV313" t="e">
        <f>AND('PROG FORMACIÓN TITULADA'!#REF!,"AAAAAHbx6y8=")</f>
        <v>#REF!</v>
      </c>
      <c r="AW313" t="e">
        <f>IF('PROG FORMACIÓN TITULADA'!#REF!,"AAAAAHbx6zA=",0)</f>
        <v>#REF!</v>
      </c>
      <c r="AX313" t="e">
        <f>AND('PROG FORMACIÓN TITULADA'!#REF!,"AAAAAHbx6zE=")</f>
        <v>#REF!</v>
      </c>
      <c r="AY313" t="e">
        <f>AND('PROG FORMACIÓN TITULADA'!#REF!,"AAAAAHbx6zI=")</f>
        <v>#REF!</v>
      </c>
      <c r="AZ313" t="e">
        <f>AND('PROG FORMACIÓN TITULADA'!#REF!,"AAAAAHbx6zM=")</f>
        <v>#REF!</v>
      </c>
      <c r="BA313" t="e">
        <f>AND('PROG FORMACIÓN TITULADA'!#REF!,"AAAAAHbx6zQ=")</f>
        <v>#REF!</v>
      </c>
      <c r="BB313" t="e">
        <f>AND('PROG FORMACIÓN TITULADA'!#REF!,"AAAAAHbx6zU=")</f>
        <v>#REF!</v>
      </c>
      <c r="BC313" t="e">
        <f>AND('PROG FORMACIÓN TITULADA'!#REF!,"AAAAAHbx6zY=")</f>
        <v>#REF!</v>
      </c>
      <c r="BD313" t="e">
        <f>AND('PROG FORMACIÓN TITULADA'!#REF!,"AAAAAHbx6zc=")</f>
        <v>#REF!</v>
      </c>
      <c r="BE313" t="e">
        <f>AND('PROG FORMACIÓN TITULADA'!#REF!,"AAAAAHbx6zg=")</f>
        <v>#REF!</v>
      </c>
      <c r="BF313" t="e">
        <f>AND('PROG FORMACIÓN TITULADA'!#REF!,"AAAAAHbx6zk=")</f>
        <v>#REF!</v>
      </c>
      <c r="BG313" t="e">
        <f>AND('PROG FORMACIÓN TITULADA'!#REF!,"AAAAAHbx6zo=")</f>
        <v>#REF!</v>
      </c>
      <c r="BH313" t="e">
        <f>AND('PROG FORMACIÓN TITULADA'!#REF!,"AAAAAHbx6zs=")</f>
        <v>#REF!</v>
      </c>
      <c r="BI313" t="e">
        <f>AND('PROG FORMACIÓN TITULADA'!#REF!,"AAAAAHbx6zw=")</f>
        <v>#REF!</v>
      </c>
      <c r="BJ313" t="e">
        <f>AND('PROG FORMACIÓN TITULADA'!#REF!,"AAAAAHbx6z0=")</f>
        <v>#REF!</v>
      </c>
      <c r="BK313" t="e">
        <f>AND('PROG FORMACIÓN TITULADA'!#REF!,"AAAAAHbx6z4=")</f>
        <v>#REF!</v>
      </c>
      <c r="BL313" t="e">
        <f>AND('PROG FORMACIÓN TITULADA'!#REF!,"AAAAAHbx6z8=")</f>
        <v>#REF!</v>
      </c>
      <c r="BM313" t="e">
        <f>AND('PROG FORMACIÓN TITULADA'!#REF!,"AAAAAHbx60A=")</f>
        <v>#REF!</v>
      </c>
      <c r="BN313" t="e">
        <f>AND('PROG FORMACIÓN TITULADA'!#REF!,"AAAAAHbx60E=")</f>
        <v>#REF!</v>
      </c>
      <c r="BO313" t="e">
        <f>AND('PROG FORMACIÓN TITULADA'!#REF!,"AAAAAHbx60I=")</f>
        <v>#REF!</v>
      </c>
      <c r="BP313" t="e">
        <f>AND('PROG FORMACIÓN TITULADA'!#REF!,"AAAAAHbx60M=")</f>
        <v>#REF!</v>
      </c>
      <c r="BQ313" t="e">
        <f>AND('PROG FORMACIÓN TITULADA'!#REF!,"AAAAAHbx60Q=")</f>
        <v>#REF!</v>
      </c>
      <c r="BR313" t="e">
        <f>AND('PROG FORMACIÓN TITULADA'!#REF!,"AAAAAHbx60U=")</f>
        <v>#REF!</v>
      </c>
      <c r="BS313" t="e">
        <f>AND('PROG FORMACIÓN TITULADA'!#REF!,"AAAAAHbx60Y=")</f>
        <v>#REF!</v>
      </c>
      <c r="BT313" t="e">
        <f>AND('PROG FORMACIÓN TITULADA'!#REF!,"AAAAAHbx60c=")</f>
        <v>#REF!</v>
      </c>
      <c r="BU313" t="e">
        <f>AND('PROG FORMACIÓN TITULADA'!#REF!,"AAAAAHbx60g=")</f>
        <v>#REF!</v>
      </c>
      <c r="BV313" t="e">
        <f>AND('PROG FORMACIÓN TITULADA'!#REF!,"AAAAAHbx60k=")</f>
        <v>#REF!</v>
      </c>
      <c r="BW313" t="e">
        <f>AND('PROG FORMACIÓN TITULADA'!#REF!,"AAAAAHbx60o=")</f>
        <v>#REF!</v>
      </c>
      <c r="BX313" t="e">
        <f>IF('PROG FORMACIÓN TITULADA'!#REF!,"AAAAAHbx60s=",0)</f>
        <v>#REF!</v>
      </c>
      <c r="BY313" t="e">
        <f>AND('PROG FORMACIÓN TITULADA'!#REF!,"AAAAAHbx60w=")</f>
        <v>#REF!</v>
      </c>
      <c r="BZ313" t="e">
        <f>AND('PROG FORMACIÓN TITULADA'!#REF!,"AAAAAHbx600=")</f>
        <v>#REF!</v>
      </c>
      <c r="CA313" t="e">
        <f>AND('PROG FORMACIÓN TITULADA'!#REF!,"AAAAAHbx604=")</f>
        <v>#REF!</v>
      </c>
      <c r="CB313" t="e">
        <f>AND('PROG FORMACIÓN TITULADA'!#REF!,"AAAAAHbx608=")</f>
        <v>#REF!</v>
      </c>
      <c r="CC313" t="e">
        <f>AND('PROG FORMACIÓN TITULADA'!#REF!,"AAAAAHbx61A=")</f>
        <v>#REF!</v>
      </c>
      <c r="CD313" t="e">
        <f>AND('PROG FORMACIÓN TITULADA'!#REF!,"AAAAAHbx61E=")</f>
        <v>#REF!</v>
      </c>
      <c r="CE313" t="e">
        <f>AND('PROG FORMACIÓN TITULADA'!#REF!,"AAAAAHbx61I=")</f>
        <v>#REF!</v>
      </c>
      <c r="CF313" t="e">
        <f>AND('PROG FORMACIÓN TITULADA'!#REF!,"AAAAAHbx61M=")</f>
        <v>#REF!</v>
      </c>
      <c r="CG313" t="e">
        <f>AND('PROG FORMACIÓN TITULADA'!#REF!,"AAAAAHbx61Q=")</f>
        <v>#REF!</v>
      </c>
      <c r="CH313" t="e">
        <f>AND('PROG FORMACIÓN TITULADA'!#REF!,"AAAAAHbx61U=")</f>
        <v>#REF!</v>
      </c>
      <c r="CI313" t="e">
        <f>AND('PROG FORMACIÓN TITULADA'!#REF!,"AAAAAHbx61Y=")</f>
        <v>#REF!</v>
      </c>
      <c r="CJ313" t="e">
        <f>AND('PROG FORMACIÓN TITULADA'!#REF!,"AAAAAHbx61c=")</f>
        <v>#REF!</v>
      </c>
      <c r="CK313" t="e">
        <f>AND('PROG FORMACIÓN TITULADA'!#REF!,"AAAAAHbx61g=")</f>
        <v>#REF!</v>
      </c>
      <c r="CL313" t="e">
        <f>AND('PROG FORMACIÓN TITULADA'!#REF!,"AAAAAHbx61k=")</f>
        <v>#REF!</v>
      </c>
      <c r="CM313" t="e">
        <f>AND('PROG FORMACIÓN TITULADA'!#REF!,"AAAAAHbx61o=")</f>
        <v>#REF!</v>
      </c>
      <c r="CN313" t="e">
        <f>AND('PROG FORMACIÓN TITULADA'!#REF!,"AAAAAHbx61s=")</f>
        <v>#REF!</v>
      </c>
      <c r="CO313" t="e">
        <f>AND('PROG FORMACIÓN TITULADA'!#REF!,"AAAAAHbx61w=")</f>
        <v>#REF!</v>
      </c>
      <c r="CP313" t="e">
        <f>AND('PROG FORMACIÓN TITULADA'!#REF!,"AAAAAHbx610=")</f>
        <v>#REF!</v>
      </c>
      <c r="CQ313" t="e">
        <f>AND('PROG FORMACIÓN TITULADA'!#REF!,"AAAAAHbx614=")</f>
        <v>#REF!</v>
      </c>
      <c r="CR313" t="e">
        <f>AND('PROG FORMACIÓN TITULADA'!#REF!,"AAAAAHbx618=")</f>
        <v>#REF!</v>
      </c>
      <c r="CS313" t="e">
        <f>AND('PROG FORMACIÓN TITULADA'!#REF!,"AAAAAHbx62A=")</f>
        <v>#REF!</v>
      </c>
      <c r="CT313" t="e">
        <f>AND('PROG FORMACIÓN TITULADA'!#REF!,"AAAAAHbx62E=")</f>
        <v>#REF!</v>
      </c>
      <c r="CU313" t="e">
        <f>AND('PROG FORMACIÓN TITULADA'!#REF!,"AAAAAHbx62I=")</f>
        <v>#REF!</v>
      </c>
      <c r="CV313" t="e">
        <f>AND('PROG FORMACIÓN TITULADA'!#REF!,"AAAAAHbx62M=")</f>
        <v>#REF!</v>
      </c>
      <c r="CW313" t="e">
        <f>AND('PROG FORMACIÓN TITULADA'!#REF!,"AAAAAHbx62Q=")</f>
        <v>#REF!</v>
      </c>
      <c r="CX313" t="e">
        <f>AND('PROG FORMACIÓN TITULADA'!#REF!,"AAAAAHbx62U=")</f>
        <v>#REF!</v>
      </c>
      <c r="CY313" t="e">
        <f>IF('PROG FORMACIÓN TITULADA'!#REF!,"AAAAAHbx62Y=",0)</f>
        <v>#REF!</v>
      </c>
      <c r="CZ313" t="e">
        <f>AND('PROG FORMACIÓN TITULADA'!#REF!,"AAAAAHbx62c=")</f>
        <v>#REF!</v>
      </c>
      <c r="DA313" t="e">
        <f>AND('PROG FORMACIÓN TITULADA'!#REF!,"AAAAAHbx62g=")</f>
        <v>#REF!</v>
      </c>
      <c r="DB313" t="e">
        <f>AND('PROG FORMACIÓN TITULADA'!#REF!,"AAAAAHbx62k=")</f>
        <v>#REF!</v>
      </c>
      <c r="DC313" t="e">
        <f>AND('PROG FORMACIÓN TITULADA'!#REF!,"AAAAAHbx62o=")</f>
        <v>#REF!</v>
      </c>
      <c r="DD313" t="e">
        <f>AND('PROG FORMACIÓN TITULADA'!#REF!,"AAAAAHbx62s=")</f>
        <v>#REF!</v>
      </c>
      <c r="DE313" t="e">
        <f>AND('PROG FORMACIÓN TITULADA'!#REF!,"AAAAAHbx62w=")</f>
        <v>#REF!</v>
      </c>
      <c r="DF313" t="e">
        <f>AND('PROG FORMACIÓN TITULADA'!#REF!,"AAAAAHbx620=")</f>
        <v>#REF!</v>
      </c>
      <c r="DG313" t="e">
        <f>AND('PROG FORMACIÓN TITULADA'!#REF!,"AAAAAHbx624=")</f>
        <v>#REF!</v>
      </c>
      <c r="DH313" t="e">
        <f>AND('PROG FORMACIÓN TITULADA'!#REF!,"AAAAAHbx628=")</f>
        <v>#REF!</v>
      </c>
      <c r="DI313" t="e">
        <f>AND('PROG FORMACIÓN TITULADA'!#REF!,"AAAAAHbx63A=")</f>
        <v>#REF!</v>
      </c>
      <c r="DJ313" t="e">
        <f>AND('PROG FORMACIÓN TITULADA'!#REF!,"AAAAAHbx63E=")</f>
        <v>#REF!</v>
      </c>
      <c r="DK313" t="e">
        <f>AND('PROG FORMACIÓN TITULADA'!#REF!,"AAAAAHbx63I=")</f>
        <v>#REF!</v>
      </c>
      <c r="DL313" t="e">
        <f>AND('PROG FORMACIÓN TITULADA'!#REF!,"AAAAAHbx63M=")</f>
        <v>#REF!</v>
      </c>
      <c r="DM313" t="e">
        <f>AND('PROG FORMACIÓN TITULADA'!#REF!,"AAAAAHbx63Q=")</f>
        <v>#REF!</v>
      </c>
      <c r="DN313" t="e">
        <f>AND('PROG FORMACIÓN TITULADA'!#REF!,"AAAAAHbx63U=")</f>
        <v>#REF!</v>
      </c>
      <c r="DO313" t="e">
        <f>AND('PROG FORMACIÓN TITULADA'!#REF!,"AAAAAHbx63Y=")</f>
        <v>#REF!</v>
      </c>
      <c r="DP313" t="e">
        <f>AND('PROG FORMACIÓN TITULADA'!#REF!,"AAAAAHbx63c=")</f>
        <v>#REF!</v>
      </c>
      <c r="DQ313" t="e">
        <f>AND('PROG FORMACIÓN TITULADA'!#REF!,"AAAAAHbx63g=")</f>
        <v>#REF!</v>
      </c>
      <c r="DR313" t="e">
        <f>AND('PROG FORMACIÓN TITULADA'!#REF!,"AAAAAHbx63k=")</f>
        <v>#REF!</v>
      </c>
      <c r="DS313" t="e">
        <f>AND('PROG FORMACIÓN TITULADA'!#REF!,"AAAAAHbx63o=")</f>
        <v>#REF!</v>
      </c>
      <c r="DT313" t="e">
        <f>AND('PROG FORMACIÓN TITULADA'!#REF!,"AAAAAHbx63s=")</f>
        <v>#REF!</v>
      </c>
      <c r="DU313" t="e">
        <f>AND('PROG FORMACIÓN TITULADA'!#REF!,"AAAAAHbx63w=")</f>
        <v>#REF!</v>
      </c>
      <c r="DV313" t="e">
        <f>AND('PROG FORMACIÓN TITULADA'!#REF!,"AAAAAHbx630=")</f>
        <v>#REF!</v>
      </c>
      <c r="DW313" t="e">
        <f>AND('PROG FORMACIÓN TITULADA'!#REF!,"AAAAAHbx634=")</f>
        <v>#REF!</v>
      </c>
      <c r="DX313" t="e">
        <f>AND('PROG FORMACIÓN TITULADA'!#REF!,"AAAAAHbx638=")</f>
        <v>#REF!</v>
      </c>
      <c r="DY313" t="e">
        <f>AND('PROG FORMACIÓN TITULADA'!#REF!,"AAAAAHbx64A=")</f>
        <v>#REF!</v>
      </c>
      <c r="DZ313" t="e">
        <f>IF('PROG FORMACIÓN TITULADA'!#REF!,"AAAAAHbx64E=",0)</f>
        <v>#REF!</v>
      </c>
      <c r="EA313" t="e">
        <f>AND('PROG FORMACIÓN TITULADA'!#REF!,"AAAAAHbx64I=")</f>
        <v>#REF!</v>
      </c>
      <c r="EB313" t="e">
        <f>AND('PROG FORMACIÓN TITULADA'!#REF!,"AAAAAHbx64M=")</f>
        <v>#REF!</v>
      </c>
      <c r="EC313" t="e">
        <f>AND('PROG FORMACIÓN TITULADA'!#REF!,"AAAAAHbx64Q=")</f>
        <v>#REF!</v>
      </c>
      <c r="ED313" t="e">
        <f>AND('PROG FORMACIÓN TITULADA'!#REF!,"AAAAAHbx64U=")</f>
        <v>#REF!</v>
      </c>
      <c r="EE313" t="e">
        <f>AND('PROG FORMACIÓN TITULADA'!#REF!,"AAAAAHbx64Y=")</f>
        <v>#REF!</v>
      </c>
      <c r="EF313" t="e">
        <f>AND('PROG FORMACIÓN TITULADA'!#REF!,"AAAAAHbx64c=")</f>
        <v>#REF!</v>
      </c>
      <c r="EG313" t="e">
        <f>AND('PROG FORMACIÓN TITULADA'!#REF!,"AAAAAHbx64g=")</f>
        <v>#REF!</v>
      </c>
      <c r="EH313" t="e">
        <f>AND('PROG FORMACIÓN TITULADA'!#REF!,"AAAAAHbx64k=")</f>
        <v>#REF!</v>
      </c>
      <c r="EI313" t="e">
        <f>AND('PROG FORMACIÓN TITULADA'!#REF!,"AAAAAHbx64o=")</f>
        <v>#REF!</v>
      </c>
      <c r="EJ313" t="e">
        <f>AND('PROG FORMACIÓN TITULADA'!#REF!,"AAAAAHbx64s=")</f>
        <v>#REF!</v>
      </c>
      <c r="EK313" t="e">
        <f>AND('PROG FORMACIÓN TITULADA'!#REF!,"AAAAAHbx64w=")</f>
        <v>#REF!</v>
      </c>
      <c r="EL313" t="e">
        <f>AND('PROG FORMACIÓN TITULADA'!#REF!,"AAAAAHbx640=")</f>
        <v>#REF!</v>
      </c>
      <c r="EM313" t="e">
        <f>AND('PROG FORMACIÓN TITULADA'!#REF!,"AAAAAHbx644=")</f>
        <v>#REF!</v>
      </c>
      <c r="EN313" t="e">
        <f>AND('PROG FORMACIÓN TITULADA'!#REF!,"AAAAAHbx648=")</f>
        <v>#REF!</v>
      </c>
      <c r="EO313" t="e">
        <f>AND('PROG FORMACIÓN TITULADA'!#REF!,"AAAAAHbx65A=")</f>
        <v>#REF!</v>
      </c>
      <c r="EP313" t="e">
        <f>AND('PROG FORMACIÓN TITULADA'!#REF!,"AAAAAHbx65E=")</f>
        <v>#REF!</v>
      </c>
      <c r="EQ313" t="e">
        <f>AND('PROG FORMACIÓN TITULADA'!#REF!,"AAAAAHbx65I=")</f>
        <v>#REF!</v>
      </c>
      <c r="ER313" t="e">
        <f>AND('PROG FORMACIÓN TITULADA'!#REF!,"AAAAAHbx65M=")</f>
        <v>#REF!</v>
      </c>
      <c r="ES313" t="e">
        <f>AND('PROG FORMACIÓN TITULADA'!#REF!,"AAAAAHbx65Q=")</f>
        <v>#REF!</v>
      </c>
      <c r="ET313" t="e">
        <f>AND('PROG FORMACIÓN TITULADA'!#REF!,"AAAAAHbx65U=")</f>
        <v>#REF!</v>
      </c>
      <c r="EU313" t="e">
        <f>AND('PROG FORMACIÓN TITULADA'!#REF!,"AAAAAHbx65Y=")</f>
        <v>#REF!</v>
      </c>
      <c r="EV313" t="e">
        <f>AND('PROG FORMACIÓN TITULADA'!#REF!,"AAAAAHbx65c=")</f>
        <v>#REF!</v>
      </c>
      <c r="EW313" t="e">
        <f>AND('PROG FORMACIÓN TITULADA'!#REF!,"AAAAAHbx65g=")</f>
        <v>#REF!</v>
      </c>
      <c r="EX313" t="e">
        <f>AND('PROG FORMACIÓN TITULADA'!#REF!,"AAAAAHbx65k=")</f>
        <v>#REF!</v>
      </c>
      <c r="EY313" t="e">
        <f>AND('PROG FORMACIÓN TITULADA'!#REF!,"AAAAAHbx65o=")</f>
        <v>#REF!</v>
      </c>
      <c r="EZ313" t="e">
        <f>AND('PROG FORMACIÓN TITULADA'!#REF!,"AAAAAHbx65s=")</f>
        <v>#REF!</v>
      </c>
      <c r="FA313" t="e">
        <f>IF('PROG FORMACIÓN TITULADA'!#REF!,"AAAAAHbx65w=",0)</f>
        <v>#REF!</v>
      </c>
      <c r="FB313" t="e">
        <f>AND('PROG FORMACIÓN TITULADA'!#REF!,"AAAAAHbx650=")</f>
        <v>#REF!</v>
      </c>
      <c r="FC313" t="e">
        <f>AND('PROG FORMACIÓN TITULADA'!#REF!,"AAAAAHbx654=")</f>
        <v>#REF!</v>
      </c>
      <c r="FD313" t="e">
        <f>AND('PROG FORMACIÓN TITULADA'!#REF!,"AAAAAHbx658=")</f>
        <v>#REF!</v>
      </c>
      <c r="FE313" t="e">
        <f>AND('PROG FORMACIÓN TITULADA'!#REF!,"AAAAAHbx66A=")</f>
        <v>#REF!</v>
      </c>
      <c r="FF313" t="e">
        <f>AND('PROG FORMACIÓN TITULADA'!#REF!,"AAAAAHbx66E=")</f>
        <v>#REF!</v>
      </c>
      <c r="FG313" t="e">
        <f>AND('PROG FORMACIÓN TITULADA'!#REF!,"AAAAAHbx66I=")</f>
        <v>#REF!</v>
      </c>
      <c r="FH313" t="e">
        <f>AND('PROG FORMACIÓN TITULADA'!#REF!,"AAAAAHbx66M=")</f>
        <v>#REF!</v>
      </c>
      <c r="FI313" t="e">
        <f>AND('PROG FORMACIÓN TITULADA'!#REF!,"AAAAAHbx66Q=")</f>
        <v>#REF!</v>
      </c>
      <c r="FJ313" t="e">
        <f>AND('PROG FORMACIÓN TITULADA'!#REF!,"AAAAAHbx66U=")</f>
        <v>#REF!</v>
      </c>
      <c r="FK313" t="e">
        <f>AND('PROG FORMACIÓN TITULADA'!#REF!,"AAAAAHbx66Y=")</f>
        <v>#REF!</v>
      </c>
      <c r="FL313" t="e">
        <f>AND('PROG FORMACIÓN TITULADA'!#REF!,"AAAAAHbx66c=")</f>
        <v>#REF!</v>
      </c>
      <c r="FM313" t="e">
        <f>AND('PROG FORMACIÓN TITULADA'!#REF!,"AAAAAHbx66g=")</f>
        <v>#REF!</v>
      </c>
      <c r="FN313" t="e">
        <f>AND('PROG FORMACIÓN TITULADA'!#REF!,"AAAAAHbx66k=")</f>
        <v>#REF!</v>
      </c>
      <c r="FO313" t="e">
        <f>AND('PROG FORMACIÓN TITULADA'!#REF!,"AAAAAHbx66o=")</f>
        <v>#REF!</v>
      </c>
      <c r="FP313" t="e">
        <f>AND('PROG FORMACIÓN TITULADA'!#REF!,"AAAAAHbx66s=")</f>
        <v>#REF!</v>
      </c>
      <c r="FQ313" t="e">
        <f>AND('PROG FORMACIÓN TITULADA'!#REF!,"AAAAAHbx66w=")</f>
        <v>#REF!</v>
      </c>
      <c r="FR313" t="e">
        <f>AND('PROG FORMACIÓN TITULADA'!#REF!,"AAAAAHbx660=")</f>
        <v>#REF!</v>
      </c>
      <c r="FS313" t="e">
        <f>AND('PROG FORMACIÓN TITULADA'!#REF!,"AAAAAHbx664=")</f>
        <v>#REF!</v>
      </c>
      <c r="FT313" t="e">
        <f>AND('PROG FORMACIÓN TITULADA'!#REF!,"AAAAAHbx668=")</f>
        <v>#REF!</v>
      </c>
      <c r="FU313" t="e">
        <f>AND('PROG FORMACIÓN TITULADA'!#REF!,"AAAAAHbx67A=")</f>
        <v>#REF!</v>
      </c>
      <c r="FV313" t="e">
        <f>AND('PROG FORMACIÓN TITULADA'!#REF!,"AAAAAHbx67E=")</f>
        <v>#REF!</v>
      </c>
      <c r="FW313" t="e">
        <f>AND('PROG FORMACIÓN TITULADA'!#REF!,"AAAAAHbx67I=")</f>
        <v>#REF!</v>
      </c>
      <c r="FX313" t="e">
        <f>AND('PROG FORMACIÓN TITULADA'!#REF!,"AAAAAHbx67M=")</f>
        <v>#REF!</v>
      </c>
      <c r="FY313" t="e">
        <f>AND('PROG FORMACIÓN TITULADA'!#REF!,"AAAAAHbx67Q=")</f>
        <v>#REF!</v>
      </c>
      <c r="FZ313" t="e">
        <f>AND('PROG FORMACIÓN TITULADA'!#REF!,"AAAAAHbx67U=")</f>
        <v>#REF!</v>
      </c>
      <c r="GA313" t="e">
        <f>AND('PROG FORMACIÓN TITULADA'!#REF!,"AAAAAHbx67Y=")</f>
        <v>#REF!</v>
      </c>
      <c r="GB313" t="e">
        <f>IF('PROG FORMACIÓN TITULADA'!#REF!,"AAAAAHbx67c=",0)</f>
        <v>#REF!</v>
      </c>
      <c r="GC313" t="e">
        <f>AND('PROG FORMACIÓN TITULADA'!#REF!,"AAAAAHbx67g=")</f>
        <v>#REF!</v>
      </c>
      <c r="GD313" t="e">
        <f>AND('PROG FORMACIÓN TITULADA'!#REF!,"AAAAAHbx67k=")</f>
        <v>#REF!</v>
      </c>
      <c r="GE313" t="e">
        <f>AND('PROG FORMACIÓN TITULADA'!#REF!,"AAAAAHbx67o=")</f>
        <v>#REF!</v>
      </c>
      <c r="GF313" t="e">
        <f>AND('PROG FORMACIÓN TITULADA'!#REF!,"AAAAAHbx67s=")</f>
        <v>#REF!</v>
      </c>
      <c r="GG313" t="e">
        <f>AND('PROG FORMACIÓN TITULADA'!#REF!,"AAAAAHbx67w=")</f>
        <v>#REF!</v>
      </c>
      <c r="GH313" t="e">
        <f>AND('PROG FORMACIÓN TITULADA'!#REF!,"AAAAAHbx670=")</f>
        <v>#REF!</v>
      </c>
      <c r="GI313" t="e">
        <f>AND('PROG FORMACIÓN TITULADA'!#REF!,"AAAAAHbx674=")</f>
        <v>#REF!</v>
      </c>
      <c r="GJ313" t="e">
        <f>AND('PROG FORMACIÓN TITULADA'!#REF!,"AAAAAHbx678=")</f>
        <v>#REF!</v>
      </c>
      <c r="GK313" t="e">
        <f>AND('PROG FORMACIÓN TITULADA'!#REF!,"AAAAAHbx68A=")</f>
        <v>#REF!</v>
      </c>
      <c r="GL313" t="e">
        <f>AND('PROG FORMACIÓN TITULADA'!#REF!,"AAAAAHbx68E=")</f>
        <v>#REF!</v>
      </c>
      <c r="GM313" t="e">
        <f>AND('PROG FORMACIÓN TITULADA'!#REF!,"AAAAAHbx68I=")</f>
        <v>#REF!</v>
      </c>
      <c r="GN313" t="e">
        <f>AND('PROG FORMACIÓN TITULADA'!#REF!,"AAAAAHbx68M=")</f>
        <v>#REF!</v>
      </c>
      <c r="GO313" t="e">
        <f>AND('PROG FORMACIÓN TITULADA'!#REF!,"AAAAAHbx68Q=")</f>
        <v>#REF!</v>
      </c>
      <c r="GP313" t="e">
        <f>AND('PROG FORMACIÓN TITULADA'!#REF!,"AAAAAHbx68U=")</f>
        <v>#REF!</v>
      </c>
      <c r="GQ313" t="e">
        <f>AND('PROG FORMACIÓN TITULADA'!#REF!,"AAAAAHbx68Y=")</f>
        <v>#REF!</v>
      </c>
      <c r="GR313" t="e">
        <f>AND('PROG FORMACIÓN TITULADA'!#REF!,"AAAAAHbx68c=")</f>
        <v>#REF!</v>
      </c>
      <c r="GS313" t="e">
        <f>AND('PROG FORMACIÓN TITULADA'!#REF!,"AAAAAHbx68g=")</f>
        <v>#REF!</v>
      </c>
      <c r="GT313" t="e">
        <f>AND('PROG FORMACIÓN TITULADA'!#REF!,"AAAAAHbx68k=")</f>
        <v>#REF!</v>
      </c>
      <c r="GU313" t="e">
        <f>AND('PROG FORMACIÓN TITULADA'!#REF!,"AAAAAHbx68o=")</f>
        <v>#REF!</v>
      </c>
      <c r="GV313" t="e">
        <f>AND('PROG FORMACIÓN TITULADA'!#REF!,"AAAAAHbx68s=")</f>
        <v>#REF!</v>
      </c>
      <c r="GW313" t="e">
        <f>AND('PROG FORMACIÓN TITULADA'!#REF!,"AAAAAHbx68w=")</f>
        <v>#REF!</v>
      </c>
      <c r="GX313" t="e">
        <f>AND('PROG FORMACIÓN TITULADA'!#REF!,"AAAAAHbx680=")</f>
        <v>#REF!</v>
      </c>
      <c r="GY313" t="e">
        <f>AND('PROG FORMACIÓN TITULADA'!#REF!,"AAAAAHbx684=")</f>
        <v>#REF!</v>
      </c>
      <c r="GZ313" t="e">
        <f>AND('PROG FORMACIÓN TITULADA'!#REF!,"AAAAAHbx688=")</f>
        <v>#REF!</v>
      </c>
      <c r="HA313" t="e">
        <f>AND('PROG FORMACIÓN TITULADA'!#REF!,"AAAAAHbx69A=")</f>
        <v>#REF!</v>
      </c>
      <c r="HB313" t="e">
        <f>AND('PROG FORMACIÓN TITULADA'!#REF!,"AAAAAHbx69E=")</f>
        <v>#REF!</v>
      </c>
      <c r="HC313" t="e">
        <f>IF('PROG FORMACIÓN TITULADA'!#REF!,"AAAAAHbx69I=",0)</f>
        <v>#REF!</v>
      </c>
      <c r="HD313" t="e">
        <f>AND('PROG FORMACIÓN TITULADA'!#REF!,"AAAAAHbx69M=")</f>
        <v>#REF!</v>
      </c>
      <c r="HE313" t="e">
        <f>AND('PROG FORMACIÓN TITULADA'!#REF!,"AAAAAHbx69Q=")</f>
        <v>#REF!</v>
      </c>
      <c r="HF313" t="e">
        <f>AND('PROG FORMACIÓN TITULADA'!#REF!,"AAAAAHbx69U=")</f>
        <v>#REF!</v>
      </c>
      <c r="HG313" t="e">
        <f>AND('PROG FORMACIÓN TITULADA'!#REF!,"AAAAAHbx69Y=")</f>
        <v>#REF!</v>
      </c>
      <c r="HH313" t="e">
        <f>AND('PROG FORMACIÓN TITULADA'!#REF!,"AAAAAHbx69c=")</f>
        <v>#REF!</v>
      </c>
      <c r="HI313" t="e">
        <f>AND('PROG FORMACIÓN TITULADA'!#REF!,"AAAAAHbx69g=")</f>
        <v>#REF!</v>
      </c>
      <c r="HJ313" t="e">
        <f>AND('PROG FORMACIÓN TITULADA'!#REF!,"AAAAAHbx69k=")</f>
        <v>#REF!</v>
      </c>
      <c r="HK313" t="e">
        <f>AND('PROG FORMACIÓN TITULADA'!#REF!,"AAAAAHbx69o=")</f>
        <v>#REF!</v>
      </c>
      <c r="HL313" t="e">
        <f>AND('PROG FORMACIÓN TITULADA'!#REF!,"AAAAAHbx69s=")</f>
        <v>#REF!</v>
      </c>
      <c r="HM313" t="e">
        <f>AND('PROG FORMACIÓN TITULADA'!#REF!,"AAAAAHbx69w=")</f>
        <v>#REF!</v>
      </c>
      <c r="HN313" t="e">
        <f>AND('PROG FORMACIÓN TITULADA'!#REF!,"AAAAAHbx690=")</f>
        <v>#REF!</v>
      </c>
      <c r="HO313" t="e">
        <f>AND('PROG FORMACIÓN TITULADA'!#REF!,"AAAAAHbx694=")</f>
        <v>#REF!</v>
      </c>
      <c r="HP313" t="e">
        <f>AND('PROG FORMACIÓN TITULADA'!#REF!,"AAAAAHbx698=")</f>
        <v>#REF!</v>
      </c>
      <c r="HQ313" t="e">
        <f>AND('PROG FORMACIÓN TITULADA'!#REF!,"AAAAAHbx6+A=")</f>
        <v>#REF!</v>
      </c>
      <c r="HR313" t="e">
        <f>AND('PROG FORMACIÓN TITULADA'!#REF!,"AAAAAHbx6+E=")</f>
        <v>#REF!</v>
      </c>
      <c r="HS313" t="e">
        <f>AND('PROG FORMACIÓN TITULADA'!#REF!,"AAAAAHbx6+I=")</f>
        <v>#REF!</v>
      </c>
      <c r="HT313" t="e">
        <f>AND('PROG FORMACIÓN TITULADA'!#REF!,"AAAAAHbx6+M=")</f>
        <v>#REF!</v>
      </c>
      <c r="HU313" t="e">
        <f>AND('PROG FORMACIÓN TITULADA'!#REF!,"AAAAAHbx6+Q=")</f>
        <v>#REF!</v>
      </c>
      <c r="HV313" t="e">
        <f>AND('PROG FORMACIÓN TITULADA'!#REF!,"AAAAAHbx6+U=")</f>
        <v>#REF!</v>
      </c>
      <c r="HW313" t="e">
        <f>AND('PROG FORMACIÓN TITULADA'!#REF!,"AAAAAHbx6+Y=")</f>
        <v>#REF!</v>
      </c>
      <c r="HX313" t="e">
        <f>AND('PROG FORMACIÓN TITULADA'!#REF!,"AAAAAHbx6+c=")</f>
        <v>#REF!</v>
      </c>
      <c r="HY313" t="e">
        <f>AND('PROG FORMACIÓN TITULADA'!#REF!,"AAAAAHbx6+g=")</f>
        <v>#REF!</v>
      </c>
      <c r="HZ313" t="e">
        <f>AND('PROG FORMACIÓN TITULADA'!#REF!,"AAAAAHbx6+k=")</f>
        <v>#REF!</v>
      </c>
      <c r="IA313" t="e">
        <f>AND('PROG FORMACIÓN TITULADA'!#REF!,"AAAAAHbx6+o=")</f>
        <v>#REF!</v>
      </c>
      <c r="IB313" t="e">
        <f>AND('PROG FORMACIÓN TITULADA'!#REF!,"AAAAAHbx6+s=")</f>
        <v>#REF!</v>
      </c>
      <c r="IC313" t="e">
        <f>AND('PROG FORMACIÓN TITULADA'!#REF!,"AAAAAHbx6+w=")</f>
        <v>#REF!</v>
      </c>
      <c r="ID313" t="e">
        <f>IF('PROG FORMACIÓN TITULADA'!#REF!,"AAAAAHbx6+0=",0)</f>
        <v>#REF!</v>
      </c>
      <c r="IE313" t="e">
        <f>AND('PROG FORMACIÓN TITULADA'!#REF!,"AAAAAHbx6+4=")</f>
        <v>#REF!</v>
      </c>
      <c r="IF313" t="e">
        <f>AND('PROG FORMACIÓN TITULADA'!#REF!,"AAAAAHbx6+8=")</f>
        <v>#REF!</v>
      </c>
      <c r="IG313" t="e">
        <f>AND('PROG FORMACIÓN TITULADA'!#REF!,"AAAAAHbx6/A=")</f>
        <v>#REF!</v>
      </c>
      <c r="IH313" t="e">
        <f>AND('PROG FORMACIÓN TITULADA'!#REF!,"AAAAAHbx6/E=")</f>
        <v>#REF!</v>
      </c>
      <c r="II313" t="e">
        <f>AND('PROG FORMACIÓN TITULADA'!#REF!,"AAAAAHbx6/I=")</f>
        <v>#REF!</v>
      </c>
      <c r="IJ313" t="e">
        <f>AND('PROG FORMACIÓN TITULADA'!#REF!,"AAAAAHbx6/M=")</f>
        <v>#REF!</v>
      </c>
      <c r="IK313" t="e">
        <f>AND('PROG FORMACIÓN TITULADA'!#REF!,"AAAAAHbx6/Q=")</f>
        <v>#REF!</v>
      </c>
      <c r="IL313" t="e">
        <f>AND('PROG FORMACIÓN TITULADA'!#REF!,"AAAAAHbx6/U=")</f>
        <v>#REF!</v>
      </c>
      <c r="IM313" t="e">
        <f>AND('PROG FORMACIÓN TITULADA'!#REF!,"AAAAAHbx6/Y=")</f>
        <v>#REF!</v>
      </c>
      <c r="IN313" t="e">
        <f>AND('PROG FORMACIÓN TITULADA'!#REF!,"AAAAAHbx6/c=")</f>
        <v>#REF!</v>
      </c>
      <c r="IO313" t="e">
        <f>AND('PROG FORMACIÓN TITULADA'!#REF!,"AAAAAHbx6/g=")</f>
        <v>#REF!</v>
      </c>
      <c r="IP313" t="e">
        <f>AND('PROG FORMACIÓN TITULADA'!#REF!,"AAAAAHbx6/k=")</f>
        <v>#REF!</v>
      </c>
      <c r="IQ313" t="e">
        <f>AND('PROG FORMACIÓN TITULADA'!#REF!,"AAAAAHbx6/o=")</f>
        <v>#REF!</v>
      </c>
      <c r="IR313" t="e">
        <f>AND('PROG FORMACIÓN TITULADA'!#REF!,"AAAAAHbx6/s=")</f>
        <v>#REF!</v>
      </c>
      <c r="IS313" t="e">
        <f>AND('PROG FORMACIÓN TITULADA'!#REF!,"AAAAAHbx6/w=")</f>
        <v>#REF!</v>
      </c>
      <c r="IT313" t="e">
        <f>AND('PROG FORMACIÓN TITULADA'!#REF!,"AAAAAHbx6/0=")</f>
        <v>#REF!</v>
      </c>
      <c r="IU313" t="e">
        <f>AND('PROG FORMACIÓN TITULADA'!#REF!,"AAAAAHbx6/4=")</f>
        <v>#REF!</v>
      </c>
      <c r="IV313" t="e">
        <f>AND('PROG FORMACIÓN TITULADA'!#REF!,"AAAAAHbx6/8=")</f>
        <v>#REF!</v>
      </c>
    </row>
    <row r="314" spans="1:256" x14ac:dyDescent="0.2">
      <c r="A314" t="e">
        <f>AND('PROG FORMACIÓN TITULADA'!#REF!,"AAAAAH/fdwA=")</f>
        <v>#REF!</v>
      </c>
      <c r="B314" t="e">
        <f>AND('PROG FORMACIÓN TITULADA'!#REF!,"AAAAAH/fdwE=")</f>
        <v>#REF!</v>
      </c>
      <c r="C314" t="e">
        <f>AND('PROG FORMACIÓN TITULADA'!#REF!,"AAAAAH/fdwI=")</f>
        <v>#REF!</v>
      </c>
      <c r="D314" t="e">
        <f>AND('PROG FORMACIÓN TITULADA'!#REF!,"AAAAAH/fdwM=")</f>
        <v>#REF!</v>
      </c>
      <c r="E314" t="e">
        <f>AND('PROG FORMACIÓN TITULADA'!#REF!,"AAAAAH/fdwQ=")</f>
        <v>#REF!</v>
      </c>
      <c r="F314" t="e">
        <f>AND('PROG FORMACIÓN TITULADA'!#REF!,"AAAAAH/fdwU=")</f>
        <v>#REF!</v>
      </c>
      <c r="G314" t="e">
        <f>AND('PROG FORMACIÓN TITULADA'!#REF!,"AAAAAH/fdwY=")</f>
        <v>#REF!</v>
      </c>
      <c r="H314" t="e">
        <f>AND('PROG FORMACIÓN TITULADA'!#REF!,"AAAAAH/fdwc=")</f>
        <v>#REF!</v>
      </c>
      <c r="I314" t="e">
        <f>IF('PROG FORMACIÓN TITULADA'!#REF!,"AAAAAH/fdwg=",0)</f>
        <v>#REF!</v>
      </c>
      <c r="J314" t="e">
        <f>AND('PROG FORMACIÓN TITULADA'!#REF!,"AAAAAH/fdwk=")</f>
        <v>#REF!</v>
      </c>
      <c r="K314" t="e">
        <f>AND('PROG FORMACIÓN TITULADA'!#REF!,"AAAAAH/fdwo=")</f>
        <v>#REF!</v>
      </c>
      <c r="L314" t="e">
        <f>AND('PROG FORMACIÓN TITULADA'!#REF!,"AAAAAH/fdws=")</f>
        <v>#REF!</v>
      </c>
      <c r="M314" t="e">
        <f>AND('PROG FORMACIÓN TITULADA'!#REF!,"AAAAAH/fdww=")</f>
        <v>#REF!</v>
      </c>
      <c r="N314" t="e">
        <f>AND('PROG FORMACIÓN TITULADA'!#REF!,"AAAAAH/fdw0=")</f>
        <v>#REF!</v>
      </c>
      <c r="O314" t="e">
        <f>AND('PROG FORMACIÓN TITULADA'!#REF!,"AAAAAH/fdw4=")</f>
        <v>#REF!</v>
      </c>
      <c r="P314" t="e">
        <f>AND('PROG FORMACIÓN TITULADA'!#REF!,"AAAAAH/fdw8=")</f>
        <v>#REF!</v>
      </c>
      <c r="Q314" t="e">
        <f>AND('PROG FORMACIÓN TITULADA'!#REF!,"AAAAAH/fdxA=")</f>
        <v>#REF!</v>
      </c>
      <c r="R314" t="e">
        <f>AND('PROG FORMACIÓN TITULADA'!#REF!,"AAAAAH/fdxE=")</f>
        <v>#REF!</v>
      </c>
      <c r="S314" t="e">
        <f>AND('PROG FORMACIÓN TITULADA'!#REF!,"AAAAAH/fdxI=")</f>
        <v>#REF!</v>
      </c>
      <c r="T314" t="e">
        <f>AND('PROG FORMACIÓN TITULADA'!#REF!,"AAAAAH/fdxM=")</f>
        <v>#REF!</v>
      </c>
      <c r="U314" t="e">
        <f>AND('PROG FORMACIÓN TITULADA'!#REF!,"AAAAAH/fdxQ=")</f>
        <v>#REF!</v>
      </c>
      <c r="V314" t="e">
        <f>AND('PROG FORMACIÓN TITULADA'!#REF!,"AAAAAH/fdxU=")</f>
        <v>#REF!</v>
      </c>
      <c r="W314" t="e">
        <f>AND('PROG FORMACIÓN TITULADA'!#REF!,"AAAAAH/fdxY=")</f>
        <v>#REF!</v>
      </c>
      <c r="X314" t="e">
        <f>AND('PROG FORMACIÓN TITULADA'!#REF!,"AAAAAH/fdxc=")</f>
        <v>#REF!</v>
      </c>
      <c r="Y314" t="e">
        <f>AND('PROG FORMACIÓN TITULADA'!#REF!,"AAAAAH/fdxg=")</f>
        <v>#REF!</v>
      </c>
      <c r="Z314" t="e">
        <f>AND('PROG FORMACIÓN TITULADA'!#REF!,"AAAAAH/fdxk=")</f>
        <v>#REF!</v>
      </c>
      <c r="AA314" t="e">
        <f>AND('PROG FORMACIÓN TITULADA'!#REF!,"AAAAAH/fdxo=")</f>
        <v>#REF!</v>
      </c>
      <c r="AB314" t="e">
        <f>AND('PROG FORMACIÓN TITULADA'!#REF!,"AAAAAH/fdxs=")</f>
        <v>#REF!</v>
      </c>
      <c r="AC314" t="e">
        <f>AND('PROG FORMACIÓN TITULADA'!#REF!,"AAAAAH/fdxw=")</f>
        <v>#REF!</v>
      </c>
      <c r="AD314" t="e">
        <f>AND('PROG FORMACIÓN TITULADA'!#REF!,"AAAAAH/fdx0=")</f>
        <v>#REF!</v>
      </c>
      <c r="AE314" t="e">
        <f>AND('PROG FORMACIÓN TITULADA'!#REF!,"AAAAAH/fdx4=")</f>
        <v>#REF!</v>
      </c>
      <c r="AF314" t="e">
        <f>AND('PROG FORMACIÓN TITULADA'!#REF!,"AAAAAH/fdx8=")</f>
        <v>#REF!</v>
      </c>
      <c r="AG314" t="e">
        <f>AND('PROG FORMACIÓN TITULADA'!#REF!,"AAAAAH/fdyA=")</f>
        <v>#REF!</v>
      </c>
      <c r="AH314" t="e">
        <f>AND('PROG FORMACIÓN TITULADA'!#REF!,"AAAAAH/fdyE=")</f>
        <v>#REF!</v>
      </c>
      <c r="AI314" t="e">
        <f>AND('PROG FORMACIÓN TITULADA'!#REF!,"AAAAAH/fdyI=")</f>
        <v>#REF!</v>
      </c>
      <c r="AJ314" t="e">
        <f>IF('PROG FORMACIÓN TITULADA'!#REF!,"AAAAAH/fdyM=",0)</f>
        <v>#REF!</v>
      </c>
      <c r="AK314" t="e">
        <f>AND('PROG FORMACIÓN TITULADA'!#REF!,"AAAAAH/fdyQ=")</f>
        <v>#REF!</v>
      </c>
      <c r="AL314" t="e">
        <f>AND('PROG FORMACIÓN TITULADA'!#REF!,"AAAAAH/fdyU=")</f>
        <v>#REF!</v>
      </c>
      <c r="AM314" t="e">
        <f>AND('PROG FORMACIÓN TITULADA'!#REF!,"AAAAAH/fdyY=")</f>
        <v>#REF!</v>
      </c>
      <c r="AN314" t="e">
        <f>AND('PROG FORMACIÓN TITULADA'!#REF!,"AAAAAH/fdyc=")</f>
        <v>#REF!</v>
      </c>
      <c r="AO314" t="e">
        <f>AND('PROG FORMACIÓN TITULADA'!#REF!,"AAAAAH/fdyg=")</f>
        <v>#REF!</v>
      </c>
      <c r="AP314" t="e">
        <f>AND('PROG FORMACIÓN TITULADA'!#REF!,"AAAAAH/fdyk=")</f>
        <v>#REF!</v>
      </c>
      <c r="AQ314" t="e">
        <f>AND('PROG FORMACIÓN TITULADA'!#REF!,"AAAAAH/fdyo=")</f>
        <v>#REF!</v>
      </c>
      <c r="AR314" t="e">
        <f>AND('PROG FORMACIÓN TITULADA'!#REF!,"AAAAAH/fdys=")</f>
        <v>#REF!</v>
      </c>
      <c r="AS314" t="e">
        <f>AND('PROG FORMACIÓN TITULADA'!#REF!,"AAAAAH/fdyw=")</f>
        <v>#REF!</v>
      </c>
      <c r="AT314" t="e">
        <f>AND('PROG FORMACIÓN TITULADA'!#REF!,"AAAAAH/fdy0=")</f>
        <v>#REF!</v>
      </c>
      <c r="AU314" t="e">
        <f>AND('PROG FORMACIÓN TITULADA'!#REF!,"AAAAAH/fdy4=")</f>
        <v>#REF!</v>
      </c>
      <c r="AV314" t="e">
        <f>AND('PROG FORMACIÓN TITULADA'!#REF!,"AAAAAH/fdy8=")</f>
        <v>#REF!</v>
      </c>
      <c r="AW314" t="e">
        <f>AND('PROG FORMACIÓN TITULADA'!#REF!,"AAAAAH/fdzA=")</f>
        <v>#REF!</v>
      </c>
      <c r="AX314" t="e">
        <f>AND('PROG FORMACIÓN TITULADA'!#REF!,"AAAAAH/fdzE=")</f>
        <v>#REF!</v>
      </c>
      <c r="AY314" t="e">
        <f>AND('PROG FORMACIÓN TITULADA'!#REF!,"AAAAAH/fdzI=")</f>
        <v>#REF!</v>
      </c>
      <c r="AZ314" t="e">
        <f>AND('PROG FORMACIÓN TITULADA'!#REF!,"AAAAAH/fdzM=")</f>
        <v>#REF!</v>
      </c>
      <c r="BA314" t="e">
        <f>AND('PROG FORMACIÓN TITULADA'!#REF!,"AAAAAH/fdzQ=")</f>
        <v>#REF!</v>
      </c>
      <c r="BB314" t="e">
        <f>AND('PROG FORMACIÓN TITULADA'!#REF!,"AAAAAH/fdzU=")</f>
        <v>#REF!</v>
      </c>
      <c r="BC314" t="e">
        <f>AND('PROG FORMACIÓN TITULADA'!#REF!,"AAAAAH/fdzY=")</f>
        <v>#REF!</v>
      </c>
      <c r="BD314" t="e">
        <f>AND('PROG FORMACIÓN TITULADA'!#REF!,"AAAAAH/fdzc=")</f>
        <v>#REF!</v>
      </c>
      <c r="BE314" t="e">
        <f>AND('PROG FORMACIÓN TITULADA'!#REF!,"AAAAAH/fdzg=")</f>
        <v>#REF!</v>
      </c>
      <c r="BF314" t="e">
        <f>AND('PROG FORMACIÓN TITULADA'!#REF!,"AAAAAH/fdzk=")</f>
        <v>#REF!</v>
      </c>
      <c r="BG314" t="e">
        <f>AND('PROG FORMACIÓN TITULADA'!#REF!,"AAAAAH/fdzo=")</f>
        <v>#REF!</v>
      </c>
      <c r="BH314" t="e">
        <f>AND('PROG FORMACIÓN TITULADA'!#REF!,"AAAAAH/fdzs=")</f>
        <v>#REF!</v>
      </c>
      <c r="BI314" t="e">
        <f>AND('PROG FORMACIÓN TITULADA'!#REF!,"AAAAAH/fdzw=")</f>
        <v>#REF!</v>
      </c>
      <c r="BJ314" t="e">
        <f>AND('PROG FORMACIÓN TITULADA'!#REF!,"AAAAAH/fdz0=")</f>
        <v>#REF!</v>
      </c>
      <c r="BK314" t="e">
        <f>IF('PROG FORMACIÓN TITULADA'!#REF!,"AAAAAH/fdz4=",0)</f>
        <v>#REF!</v>
      </c>
      <c r="BL314" t="e">
        <f>AND('PROG FORMACIÓN TITULADA'!#REF!,"AAAAAH/fdz8=")</f>
        <v>#REF!</v>
      </c>
      <c r="BM314" t="e">
        <f>AND('PROG FORMACIÓN TITULADA'!#REF!,"AAAAAH/fd0A=")</f>
        <v>#REF!</v>
      </c>
      <c r="BN314" t="e">
        <f>AND('PROG FORMACIÓN TITULADA'!#REF!,"AAAAAH/fd0E=")</f>
        <v>#REF!</v>
      </c>
      <c r="BO314" t="e">
        <f>AND('PROG FORMACIÓN TITULADA'!#REF!,"AAAAAH/fd0I=")</f>
        <v>#REF!</v>
      </c>
      <c r="BP314" t="e">
        <f>AND('PROG FORMACIÓN TITULADA'!#REF!,"AAAAAH/fd0M=")</f>
        <v>#REF!</v>
      </c>
      <c r="BQ314" t="e">
        <f>AND('PROG FORMACIÓN TITULADA'!#REF!,"AAAAAH/fd0Q=")</f>
        <v>#REF!</v>
      </c>
      <c r="BR314" t="e">
        <f>AND('PROG FORMACIÓN TITULADA'!#REF!,"AAAAAH/fd0U=")</f>
        <v>#REF!</v>
      </c>
      <c r="BS314" t="e">
        <f>AND('PROG FORMACIÓN TITULADA'!#REF!,"AAAAAH/fd0Y=")</f>
        <v>#REF!</v>
      </c>
      <c r="BT314" t="e">
        <f>AND('PROG FORMACIÓN TITULADA'!#REF!,"AAAAAH/fd0c=")</f>
        <v>#REF!</v>
      </c>
      <c r="BU314" t="e">
        <f>AND('PROG FORMACIÓN TITULADA'!#REF!,"AAAAAH/fd0g=")</f>
        <v>#REF!</v>
      </c>
      <c r="BV314" t="e">
        <f>AND('PROG FORMACIÓN TITULADA'!#REF!,"AAAAAH/fd0k=")</f>
        <v>#REF!</v>
      </c>
      <c r="BW314" t="e">
        <f>AND('PROG FORMACIÓN TITULADA'!#REF!,"AAAAAH/fd0o=")</f>
        <v>#REF!</v>
      </c>
      <c r="BX314" t="e">
        <f>AND('PROG FORMACIÓN TITULADA'!#REF!,"AAAAAH/fd0s=")</f>
        <v>#REF!</v>
      </c>
      <c r="BY314" t="e">
        <f>AND('PROG FORMACIÓN TITULADA'!#REF!,"AAAAAH/fd0w=")</f>
        <v>#REF!</v>
      </c>
      <c r="BZ314" t="e">
        <f>AND('PROG FORMACIÓN TITULADA'!#REF!,"AAAAAH/fd00=")</f>
        <v>#REF!</v>
      </c>
      <c r="CA314" t="e">
        <f>AND('PROG FORMACIÓN TITULADA'!#REF!,"AAAAAH/fd04=")</f>
        <v>#REF!</v>
      </c>
      <c r="CB314" t="e">
        <f>AND('PROG FORMACIÓN TITULADA'!#REF!,"AAAAAH/fd08=")</f>
        <v>#REF!</v>
      </c>
      <c r="CC314" t="e">
        <f>AND('PROG FORMACIÓN TITULADA'!#REF!,"AAAAAH/fd1A=")</f>
        <v>#REF!</v>
      </c>
      <c r="CD314" t="e">
        <f>AND('PROG FORMACIÓN TITULADA'!#REF!,"AAAAAH/fd1E=")</f>
        <v>#REF!</v>
      </c>
      <c r="CE314" t="e">
        <f>AND('PROG FORMACIÓN TITULADA'!#REF!,"AAAAAH/fd1I=")</f>
        <v>#REF!</v>
      </c>
      <c r="CF314" t="e">
        <f>AND('PROG FORMACIÓN TITULADA'!#REF!,"AAAAAH/fd1M=")</f>
        <v>#REF!</v>
      </c>
      <c r="CG314" t="e">
        <f>AND('PROG FORMACIÓN TITULADA'!#REF!,"AAAAAH/fd1Q=")</f>
        <v>#REF!</v>
      </c>
      <c r="CH314" t="e">
        <f>AND('PROG FORMACIÓN TITULADA'!#REF!,"AAAAAH/fd1U=")</f>
        <v>#REF!</v>
      </c>
      <c r="CI314" t="e">
        <f>AND('PROG FORMACIÓN TITULADA'!#REF!,"AAAAAH/fd1Y=")</f>
        <v>#REF!</v>
      </c>
      <c r="CJ314" t="e">
        <f>AND('PROG FORMACIÓN TITULADA'!#REF!,"AAAAAH/fd1c=")</f>
        <v>#REF!</v>
      </c>
      <c r="CK314" t="e">
        <f>AND('PROG FORMACIÓN TITULADA'!#REF!,"AAAAAH/fd1g=")</f>
        <v>#REF!</v>
      </c>
      <c r="CL314" t="e">
        <f>IF('PROG FORMACIÓN TITULADA'!#REF!,"AAAAAH/fd1k=",0)</f>
        <v>#REF!</v>
      </c>
      <c r="CM314" t="e">
        <f>AND('PROG FORMACIÓN TITULADA'!#REF!,"AAAAAH/fd1o=")</f>
        <v>#REF!</v>
      </c>
      <c r="CN314" t="e">
        <f>AND('PROG FORMACIÓN TITULADA'!#REF!,"AAAAAH/fd1s=")</f>
        <v>#REF!</v>
      </c>
      <c r="CO314" t="e">
        <f>AND('PROG FORMACIÓN TITULADA'!#REF!,"AAAAAH/fd1w=")</f>
        <v>#REF!</v>
      </c>
      <c r="CP314" t="e">
        <f>AND('PROG FORMACIÓN TITULADA'!#REF!,"AAAAAH/fd10=")</f>
        <v>#REF!</v>
      </c>
      <c r="CQ314" t="e">
        <f>AND('PROG FORMACIÓN TITULADA'!#REF!,"AAAAAH/fd14=")</f>
        <v>#REF!</v>
      </c>
      <c r="CR314" t="e">
        <f>AND('PROG FORMACIÓN TITULADA'!#REF!,"AAAAAH/fd18=")</f>
        <v>#REF!</v>
      </c>
      <c r="CS314" t="e">
        <f>AND('PROG FORMACIÓN TITULADA'!#REF!,"AAAAAH/fd2A=")</f>
        <v>#REF!</v>
      </c>
      <c r="CT314" t="e">
        <f>AND('PROG FORMACIÓN TITULADA'!#REF!,"AAAAAH/fd2E=")</f>
        <v>#REF!</v>
      </c>
      <c r="CU314" t="e">
        <f>AND('PROG FORMACIÓN TITULADA'!#REF!,"AAAAAH/fd2I=")</f>
        <v>#REF!</v>
      </c>
      <c r="CV314" t="e">
        <f>AND('PROG FORMACIÓN TITULADA'!#REF!,"AAAAAH/fd2M=")</f>
        <v>#REF!</v>
      </c>
      <c r="CW314" t="e">
        <f>AND('PROG FORMACIÓN TITULADA'!#REF!,"AAAAAH/fd2Q=")</f>
        <v>#REF!</v>
      </c>
      <c r="CX314" t="e">
        <f>AND('PROG FORMACIÓN TITULADA'!#REF!,"AAAAAH/fd2U=")</f>
        <v>#REF!</v>
      </c>
      <c r="CY314" t="e">
        <f>AND('PROG FORMACIÓN TITULADA'!#REF!,"AAAAAH/fd2Y=")</f>
        <v>#REF!</v>
      </c>
      <c r="CZ314" t="e">
        <f>AND('PROG FORMACIÓN TITULADA'!#REF!,"AAAAAH/fd2c=")</f>
        <v>#REF!</v>
      </c>
      <c r="DA314" t="e">
        <f>AND('PROG FORMACIÓN TITULADA'!#REF!,"AAAAAH/fd2g=")</f>
        <v>#REF!</v>
      </c>
      <c r="DB314" t="e">
        <f>AND('PROG FORMACIÓN TITULADA'!#REF!,"AAAAAH/fd2k=")</f>
        <v>#REF!</v>
      </c>
      <c r="DC314" t="e">
        <f>AND('PROG FORMACIÓN TITULADA'!#REF!,"AAAAAH/fd2o=")</f>
        <v>#REF!</v>
      </c>
      <c r="DD314" t="e">
        <f>AND('PROG FORMACIÓN TITULADA'!#REF!,"AAAAAH/fd2s=")</f>
        <v>#REF!</v>
      </c>
      <c r="DE314" t="e">
        <f>AND('PROG FORMACIÓN TITULADA'!#REF!,"AAAAAH/fd2w=")</f>
        <v>#REF!</v>
      </c>
      <c r="DF314" t="e">
        <f>AND('PROG FORMACIÓN TITULADA'!#REF!,"AAAAAH/fd20=")</f>
        <v>#REF!</v>
      </c>
      <c r="DG314" t="e">
        <f>AND('PROG FORMACIÓN TITULADA'!#REF!,"AAAAAH/fd24=")</f>
        <v>#REF!</v>
      </c>
      <c r="DH314" t="e">
        <f>AND('PROG FORMACIÓN TITULADA'!#REF!,"AAAAAH/fd28=")</f>
        <v>#REF!</v>
      </c>
      <c r="DI314" t="e">
        <f>AND('PROG FORMACIÓN TITULADA'!#REF!,"AAAAAH/fd3A=")</f>
        <v>#REF!</v>
      </c>
      <c r="DJ314" t="e">
        <f>AND('PROG FORMACIÓN TITULADA'!#REF!,"AAAAAH/fd3E=")</f>
        <v>#REF!</v>
      </c>
      <c r="DK314" t="e">
        <f>AND('PROG FORMACIÓN TITULADA'!#REF!,"AAAAAH/fd3I=")</f>
        <v>#REF!</v>
      </c>
      <c r="DL314" t="e">
        <f>AND('PROG FORMACIÓN TITULADA'!#REF!,"AAAAAH/fd3M=")</f>
        <v>#REF!</v>
      </c>
      <c r="DM314" t="e">
        <f>IF('PROG FORMACIÓN TITULADA'!#REF!,"AAAAAH/fd3Q=",0)</f>
        <v>#REF!</v>
      </c>
      <c r="DN314" t="e">
        <f>AND('PROG FORMACIÓN TITULADA'!#REF!,"AAAAAH/fd3U=")</f>
        <v>#REF!</v>
      </c>
      <c r="DO314" t="e">
        <f>AND('PROG FORMACIÓN TITULADA'!#REF!,"AAAAAH/fd3Y=")</f>
        <v>#REF!</v>
      </c>
      <c r="DP314" t="e">
        <f>AND('PROG FORMACIÓN TITULADA'!#REF!,"AAAAAH/fd3c=")</f>
        <v>#REF!</v>
      </c>
      <c r="DQ314" t="e">
        <f>AND('PROG FORMACIÓN TITULADA'!#REF!,"AAAAAH/fd3g=")</f>
        <v>#REF!</v>
      </c>
      <c r="DR314" t="e">
        <f>AND('PROG FORMACIÓN TITULADA'!#REF!,"AAAAAH/fd3k=")</f>
        <v>#REF!</v>
      </c>
      <c r="DS314" t="e">
        <f>AND('PROG FORMACIÓN TITULADA'!#REF!,"AAAAAH/fd3o=")</f>
        <v>#REF!</v>
      </c>
      <c r="DT314" t="e">
        <f>AND('PROG FORMACIÓN TITULADA'!#REF!,"AAAAAH/fd3s=")</f>
        <v>#REF!</v>
      </c>
      <c r="DU314" t="e">
        <f>AND('PROG FORMACIÓN TITULADA'!#REF!,"AAAAAH/fd3w=")</f>
        <v>#REF!</v>
      </c>
      <c r="DV314" t="e">
        <f>AND('PROG FORMACIÓN TITULADA'!#REF!,"AAAAAH/fd30=")</f>
        <v>#REF!</v>
      </c>
      <c r="DW314" t="e">
        <f>AND('PROG FORMACIÓN TITULADA'!#REF!,"AAAAAH/fd34=")</f>
        <v>#REF!</v>
      </c>
      <c r="DX314" t="e">
        <f>AND('PROG FORMACIÓN TITULADA'!#REF!,"AAAAAH/fd38=")</f>
        <v>#REF!</v>
      </c>
      <c r="DY314" t="e">
        <f>AND('PROG FORMACIÓN TITULADA'!#REF!,"AAAAAH/fd4A=")</f>
        <v>#REF!</v>
      </c>
      <c r="DZ314" t="e">
        <f>AND('PROG FORMACIÓN TITULADA'!#REF!,"AAAAAH/fd4E=")</f>
        <v>#REF!</v>
      </c>
      <c r="EA314" t="e">
        <f>AND('PROG FORMACIÓN TITULADA'!#REF!,"AAAAAH/fd4I=")</f>
        <v>#REF!</v>
      </c>
      <c r="EB314" t="e">
        <f>AND('PROG FORMACIÓN TITULADA'!#REF!,"AAAAAH/fd4M=")</f>
        <v>#REF!</v>
      </c>
      <c r="EC314" t="e">
        <f>AND('PROG FORMACIÓN TITULADA'!#REF!,"AAAAAH/fd4Q=")</f>
        <v>#REF!</v>
      </c>
      <c r="ED314" t="e">
        <f>AND('PROG FORMACIÓN TITULADA'!#REF!,"AAAAAH/fd4U=")</f>
        <v>#REF!</v>
      </c>
      <c r="EE314" t="e">
        <f>AND('PROG FORMACIÓN TITULADA'!#REF!,"AAAAAH/fd4Y=")</f>
        <v>#REF!</v>
      </c>
      <c r="EF314" t="e">
        <f>AND('PROG FORMACIÓN TITULADA'!#REF!,"AAAAAH/fd4c=")</f>
        <v>#REF!</v>
      </c>
      <c r="EG314" t="e">
        <f>AND('PROG FORMACIÓN TITULADA'!#REF!,"AAAAAH/fd4g=")</f>
        <v>#REF!</v>
      </c>
      <c r="EH314" t="e">
        <f>AND('PROG FORMACIÓN TITULADA'!#REF!,"AAAAAH/fd4k=")</f>
        <v>#REF!</v>
      </c>
      <c r="EI314" t="e">
        <f>AND('PROG FORMACIÓN TITULADA'!#REF!,"AAAAAH/fd4o=")</f>
        <v>#REF!</v>
      </c>
      <c r="EJ314" t="e">
        <f>AND('PROG FORMACIÓN TITULADA'!#REF!,"AAAAAH/fd4s=")</f>
        <v>#REF!</v>
      </c>
      <c r="EK314" t="e">
        <f>AND('PROG FORMACIÓN TITULADA'!#REF!,"AAAAAH/fd4w=")</f>
        <v>#REF!</v>
      </c>
      <c r="EL314" t="e">
        <f>AND('PROG FORMACIÓN TITULADA'!#REF!,"AAAAAH/fd40=")</f>
        <v>#REF!</v>
      </c>
      <c r="EM314" t="e">
        <f>AND('PROG FORMACIÓN TITULADA'!#REF!,"AAAAAH/fd44=")</f>
        <v>#REF!</v>
      </c>
      <c r="EN314" t="e">
        <f>IF('PROG FORMACIÓN TITULADA'!#REF!,"AAAAAH/fd48=",0)</f>
        <v>#REF!</v>
      </c>
      <c r="EO314" t="e">
        <f>AND('PROG FORMACIÓN TITULADA'!#REF!,"AAAAAH/fd5A=")</f>
        <v>#REF!</v>
      </c>
      <c r="EP314" t="e">
        <f>AND('PROG FORMACIÓN TITULADA'!#REF!,"AAAAAH/fd5E=")</f>
        <v>#REF!</v>
      </c>
      <c r="EQ314" t="e">
        <f>AND('PROG FORMACIÓN TITULADA'!#REF!,"AAAAAH/fd5I=")</f>
        <v>#REF!</v>
      </c>
      <c r="ER314" t="e">
        <f>AND('PROG FORMACIÓN TITULADA'!#REF!,"AAAAAH/fd5M=")</f>
        <v>#REF!</v>
      </c>
      <c r="ES314" t="e">
        <f>AND('PROG FORMACIÓN TITULADA'!#REF!,"AAAAAH/fd5Q=")</f>
        <v>#REF!</v>
      </c>
      <c r="ET314" t="e">
        <f>AND('PROG FORMACIÓN TITULADA'!#REF!,"AAAAAH/fd5U=")</f>
        <v>#REF!</v>
      </c>
      <c r="EU314" t="e">
        <f>AND('PROG FORMACIÓN TITULADA'!#REF!,"AAAAAH/fd5Y=")</f>
        <v>#REF!</v>
      </c>
      <c r="EV314" t="e">
        <f>AND('PROG FORMACIÓN TITULADA'!#REF!,"AAAAAH/fd5c=")</f>
        <v>#REF!</v>
      </c>
      <c r="EW314" t="e">
        <f>AND('PROG FORMACIÓN TITULADA'!#REF!,"AAAAAH/fd5g=")</f>
        <v>#REF!</v>
      </c>
      <c r="EX314" t="e">
        <f>AND('PROG FORMACIÓN TITULADA'!#REF!,"AAAAAH/fd5k=")</f>
        <v>#REF!</v>
      </c>
      <c r="EY314" t="e">
        <f>AND('PROG FORMACIÓN TITULADA'!#REF!,"AAAAAH/fd5o=")</f>
        <v>#REF!</v>
      </c>
      <c r="EZ314" t="e">
        <f>AND('PROG FORMACIÓN TITULADA'!#REF!,"AAAAAH/fd5s=")</f>
        <v>#REF!</v>
      </c>
      <c r="FA314" t="e">
        <f>AND('PROG FORMACIÓN TITULADA'!#REF!,"AAAAAH/fd5w=")</f>
        <v>#REF!</v>
      </c>
      <c r="FB314" t="e">
        <f>AND('PROG FORMACIÓN TITULADA'!#REF!,"AAAAAH/fd50=")</f>
        <v>#REF!</v>
      </c>
      <c r="FC314" t="e">
        <f>AND('PROG FORMACIÓN TITULADA'!#REF!,"AAAAAH/fd54=")</f>
        <v>#REF!</v>
      </c>
      <c r="FD314" t="e">
        <f>AND('PROG FORMACIÓN TITULADA'!#REF!,"AAAAAH/fd58=")</f>
        <v>#REF!</v>
      </c>
      <c r="FE314" t="e">
        <f>AND('PROG FORMACIÓN TITULADA'!#REF!,"AAAAAH/fd6A=")</f>
        <v>#REF!</v>
      </c>
      <c r="FF314" t="e">
        <f>AND('PROG FORMACIÓN TITULADA'!#REF!,"AAAAAH/fd6E=")</f>
        <v>#REF!</v>
      </c>
      <c r="FG314" t="e">
        <f>AND('PROG FORMACIÓN TITULADA'!#REF!,"AAAAAH/fd6I=")</f>
        <v>#REF!</v>
      </c>
      <c r="FH314" t="e">
        <f>AND('PROG FORMACIÓN TITULADA'!#REF!,"AAAAAH/fd6M=")</f>
        <v>#REF!</v>
      </c>
      <c r="FI314" t="e">
        <f>AND('PROG FORMACIÓN TITULADA'!#REF!,"AAAAAH/fd6Q=")</f>
        <v>#REF!</v>
      </c>
      <c r="FJ314" t="e">
        <f>AND('PROG FORMACIÓN TITULADA'!#REF!,"AAAAAH/fd6U=")</f>
        <v>#REF!</v>
      </c>
      <c r="FK314" t="e">
        <f>AND('PROG FORMACIÓN TITULADA'!#REF!,"AAAAAH/fd6Y=")</f>
        <v>#REF!</v>
      </c>
      <c r="FL314" t="e">
        <f>AND('PROG FORMACIÓN TITULADA'!#REF!,"AAAAAH/fd6c=")</f>
        <v>#REF!</v>
      </c>
      <c r="FM314" t="e">
        <f>AND('PROG FORMACIÓN TITULADA'!#REF!,"AAAAAH/fd6g=")</f>
        <v>#REF!</v>
      </c>
      <c r="FN314" t="e">
        <f>AND('PROG FORMACIÓN TITULADA'!#REF!,"AAAAAH/fd6k=")</f>
        <v>#REF!</v>
      </c>
      <c r="FO314" t="e">
        <f>IF('PROG FORMACIÓN TITULADA'!#REF!,"AAAAAH/fd6o=",0)</f>
        <v>#REF!</v>
      </c>
      <c r="FP314" t="e">
        <f>AND('PROG FORMACIÓN TITULADA'!#REF!,"AAAAAH/fd6s=")</f>
        <v>#REF!</v>
      </c>
      <c r="FQ314" t="e">
        <f>AND('PROG FORMACIÓN TITULADA'!#REF!,"AAAAAH/fd6w=")</f>
        <v>#REF!</v>
      </c>
      <c r="FR314" t="e">
        <f>AND('PROG FORMACIÓN TITULADA'!#REF!,"AAAAAH/fd60=")</f>
        <v>#REF!</v>
      </c>
      <c r="FS314" t="e">
        <f>AND('PROG FORMACIÓN TITULADA'!#REF!,"AAAAAH/fd64=")</f>
        <v>#REF!</v>
      </c>
      <c r="FT314" t="e">
        <f>AND('PROG FORMACIÓN TITULADA'!#REF!,"AAAAAH/fd68=")</f>
        <v>#REF!</v>
      </c>
      <c r="FU314" t="e">
        <f>AND('PROG FORMACIÓN TITULADA'!#REF!,"AAAAAH/fd7A=")</f>
        <v>#REF!</v>
      </c>
      <c r="FV314" t="e">
        <f>AND('PROG FORMACIÓN TITULADA'!#REF!,"AAAAAH/fd7E=")</f>
        <v>#REF!</v>
      </c>
      <c r="FW314" t="e">
        <f>AND('PROG FORMACIÓN TITULADA'!#REF!,"AAAAAH/fd7I=")</f>
        <v>#REF!</v>
      </c>
      <c r="FX314" t="e">
        <f>AND('PROG FORMACIÓN TITULADA'!#REF!,"AAAAAH/fd7M=")</f>
        <v>#REF!</v>
      </c>
      <c r="FY314" t="e">
        <f>AND('PROG FORMACIÓN TITULADA'!#REF!,"AAAAAH/fd7Q=")</f>
        <v>#REF!</v>
      </c>
      <c r="FZ314" t="e">
        <f>AND('PROG FORMACIÓN TITULADA'!#REF!,"AAAAAH/fd7U=")</f>
        <v>#REF!</v>
      </c>
      <c r="GA314" t="e">
        <f>AND('PROG FORMACIÓN TITULADA'!#REF!,"AAAAAH/fd7Y=")</f>
        <v>#REF!</v>
      </c>
      <c r="GB314" t="e">
        <f>AND('PROG FORMACIÓN TITULADA'!#REF!,"AAAAAH/fd7c=")</f>
        <v>#REF!</v>
      </c>
      <c r="GC314" t="e">
        <f>AND('PROG FORMACIÓN TITULADA'!#REF!,"AAAAAH/fd7g=")</f>
        <v>#REF!</v>
      </c>
      <c r="GD314" t="e">
        <f>AND('PROG FORMACIÓN TITULADA'!#REF!,"AAAAAH/fd7k=")</f>
        <v>#REF!</v>
      </c>
      <c r="GE314" t="e">
        <f>AND('PROG FORMACIÓN TITULADA'!#REF!,"AAAAAH/fd7o=")</f>
        <v>#REF!</v>
      </c>
      <c r="GF314" t="e">
        <f>AND('PROG FORMACIÓN TITULADA'!#REF!,"AAAAAH/fd7s=")</f>
        <v>#REF!</v>
      </c>
      <c r="GG314" t="e">
        <f>AND('PROG FORMACIÓN TITULADA'!#REF!,"AAAAAH/fd7w=")</f>
        <v>#REF!</v>
      </c>
      <c r="GH314" t="e">
        <f>AND('PROG FORMACIÓN TITULADA'!#REF!,"AAAAAH/fd70=")</f>
        <v>#REF!</v>
      </c>
      <c r="GI314" t="e">
        <f>AND('PROG FORMACIÓN TITULADA'!#REF!,"AAAAAH/fd74=")</f>
        <v>#REF!</v>
      </c>
      <c r="GJ314" t="e">
        <f>AND('PROG FORMACIÓN TITULADA'!#REF!,"AAAAAH/fd78=")</f>
        <v>#REF!</v>
      </c>
      <c r="GK314" t="e">
        <f>AND('PROG FORMACIÓN TITULADA'!#REF!,"AAAAAH/fd8A=")</f>
        <v>#REF!</v>
      </c>
      <c r="GL314" t="e">
        <f>AND('PROG FORMACIÓN TITULADA'!#REF!,"AAAAAH/fd8E=")</f>
        <v>#REF!</v>
      </c>
      <c r="GM314" t="e">
        <f>AND('PROG FORMACIÓN TITULADA'!#REF!,"AAAAAH/fd8I=")</f>
        <v>#REF!</v>
      </c>
      <c r="GN314" t="e">
        <f>AND('PROG FORMACIÓN TITULADA'!#REF!,"AAAAAH/fd8M=")</f>
        <v>#REF!</v>
      </c>
      <c r="GO314" t="e">
        <f>AND('PROG FORMACIÓN TITULADA'!#REF!,"AAAAAH/fd8Q=")</f>
        <v>#REF!</v>
      </c>
      <c r="GP314" t="e">
        <f>IF('PROG FORMACIÓN TITULADA'!#REF!,"AAAAAH/fd8U=",0)</f>
        <v>#REF!</v>
      </c>
      <c r="GQ314" t="e">
        <f>AND('PROG FORMACIÓN TITULADA'!#REF!,"AAAAAH/fd8Y=")</f>
        <v>#REF!</v>
      </c>
      <c r="GR314" t="e">
        <f>AND('PROG FORMACIÓN TITULADA'!#REF!,"AAAAAH/fd8c=")</f>
        <v>#REF!</v>
      </c>
      <c r="GS314" t="e">
        <f>AND('PROG FORMACIÓN TITULADA'!#REF!,"AAAAAH/fd8g=")</f>
        <v>#REF!</v>
      </c>
      <c r="GT314" t="e">
        <f>AND('PROG FORMACIÓN TITULADA'!#REF!,"AAAAAH/fd8k=")</f>
        <v>#REF!</v>
      </c>
      <c r="GU314" t="e">
        <f>AND('PROG FORMACIÓN TITULADA'!#REF!,"AAAAAH/fd8o=")</f>
        <v>#REF!</v>
      </c>
      <c r="GV314" t="e">
        <f>AND('PROG FORMACIÓN TITULADA'!#REF!,"AAAAAH/fd8s=")</f>
        <v>#REF!</v>
      </c>
      <c r="GW314" t="e">
        <f>AND('PROG FORMACIÓN TITULADA'!#REF!,"AAAAAH/fd8w=")</f>
        <v>#REF!</v>
      </c>
      <c r="GX314" t="e">
        <f>AND('PROG FORMACIÓN TITULADA'!#REF!,"AAAAAH/fd80=")</f>
        <v>#REF!</v>
      </c>
      <c r="GY314" t="e">
        <f>AND('PROG FORMACIÓN TITULADA'!#REF!,"AAAAAH/fd84=")</f>
        <v>#REF!</v>
      </c>
      <c r="GZ314" t="e">
        <f>AND('PROG FORMACIÓN TITULADA'!#REF!,"AAAAAH/fd88=")</f>
        <v>#REF!</v>
      </c>
      <c r="HA314" t="e">
        <f>AND('PROG FORMACIÓN TITULADA'!#REF!,"AAAAAH/fd9A=")</f>
        <v>#REF!</v>
      </c>
      <c r="HB314" t="e">
        <f>AND('PROG FORMACIÓN TITULADA'!#REF!,"AAAAAH/fd9E=")</f>
        <v>#REF!</v>
      </c>
      <c r="HC314" t="e">
        <f>AND('PROG FORMACIÓN TITULADA'!#REF!,"AAAAAH/fd9I=")</f>
        <v>#REF!</v>
      </c>
      <c r="HD314" t="e">
        <f>AND('PROG FORMACIÓN TITULADA'!#REF!,"AAAAAH/fd9M=")</f>
        <v>#REF!</v>
      </c>
      <c r="HE314" t="e">
        <f>AND('PROG FORMACIÓN TITULADA'!#REF!,"AAAAAH/fd9Q=")</f>
        <v>#REF!</v>
      </c>
      <c r="HF314" t="e">
        <f>AND('PROG FORMACIÓN TITULADA'!#REF!,"AAAAAH/fd9U=")</f>
        <v>#REF!</v>
      </c>
      <c r="HG314" t="e">
        <f>AND('PROG FORMACIÓN TITULADA'!#REF!,"AAAAAH/fd9Y=")</f>
        <v>#REF!</v>
      </c>
      <c r="HH314" t="e">
        <f>AND('PROG FORMACIÓN TITULADA'!#REF!,"AAAAAH/fd9c=")</f>
        <v>#REF!</v>
      </c>
      <c r="HI314" t="e">
        <f>AND('PROG FORMACIÓN TITULADA'!#REF!,"AAAAAH/fd9g=")</f>
        <v>#REF!</v>
      </c>
      <c r="HJ314" t="e">
        <f>AND('PROG FORMACIÓN TITULADA'!#REF!,"AAAAAH/fd9k=")</f>
        <v>#REF!</v>
      </c>
      <c r="HK314" t="e">
        <f>AND('PROG FORMACIÓN TITULADA'!#REF!,"AAAAAH/fd9o=")</f>
        <v>#REF!</v>
      </c>
      <c r="HL314" t="e">
        <f>AND('PROG FORMACIÓN TITULADA'!#REF!,"AAAAAH/fd9s=")</f>
        <v>#REF!</v>
      </c>
      <c r="HM314" t="e">
        <f>AND('PROG FORMACIÓN TITULADA'!#REF!,"AAAAAH/fd9w=")</f>
        <v>#REF!</v>
      </c>
      <c r="HN314" t="e">
        <f>AND('PROG FORMACIÓN TITULADA'!#REF!,"AAAAAH/fd90=")</f>
        <v>#REF!</v>
      </c>
      <c r="HO314" t="e">
        <f>AND('PROG FORMACIÓN TITULADA'!#REF!,"AAAAAH/fd94=")</f>
        <v>#REF!</v>
      </c>
      <c r="HP314" t="e">
        <f>AND('PROG FORMACIÓN TITULADA'!#REF!,"AAAAAH/fd98=")</f>
        <v>#REF!</v>
      </c>
      <c r="HQ314" t="e">
        <f>IF('PROG FORMACIÓN TITULADA'!#REF!,"AAAAAH/fd+A=",0)</f>
        <v>#REF!</v>
      </c>
      <c r="HR314" t="e">
        <f>AND('PROG FORMACIÓN TITULADA'!#REF!,"AAAAAH/fd+E=")</f>
        <v>#REF!</v>
      </c>
      <c r="HS314" t="e">
        <f>AND('PROG FORMACIÓN TITULADA'!#REF!,"AAAAAH/fd+I=")</f>
        <v>#REF!</v>
      </c>
      <c r="HT314" t="e">
        <f>AND('PROG FORMACIÓN TITULADA'!#REF!,"AAAAAH/fd+M=")</f>
        <v>#REF!</v>
      </c>
      <c r="HU314" t="e">
        <f>AND('PROG FORMACIÓN TITULADA'!#REF!,"AAAAAH/fd+Q=")</f>
        <v>#REF!</v>
      </c>
      <c r="HV314" t="e">
        <f>AND('PROG FORMACIÓN TITULADA'!#REF!,"AAAAAH/fd+U=")</f>
        <v>#REF!</v>
      </c>
      <c r="HW314" t="e">
        <f>AND('PROG FORMACIÓN TITULADA'!#REF!,"AAAAAH/fd+Y=")</f>
        <v>#REF!</v>
      </c>
      <c r="HX314" t="e">
        <f>AND('PROG FORMACIÓN TITULADA'!#REF!,"AAAAAH/fd+c=")</f>
        <v>#REF!</v>
      </c>
      <c r="HY314" t="e">
        <f>AND('PROG FORMACIÓN TITULADA'!#REF!,"AAAAAH/fd+g=")</f>
        <v>#REF!</v>
      </c>
      <c r="HZ314" t="e">
        <f>AND('PROG FORMACIÓN TITULADA'!#REF!,"AAAAAH/fd+k=")</f>
        <v>#REF!</v>
      </c>
      <c r="IA314" t="e">
        <f>AND('PROG FORMACIÓN TITULADA'!#REF!,"AAAAAH/fd+o=")</f>
        <v>#REF!</v>
      </c>
      <c r="IB314" t="e">
        <f>AND('PROG FORMACIÓN TITULADA'!#REF!,"AAAAAH/fd+s=")</f>
        <v>#REF!</v>
      </c>
      <c r="IC314" t="e">
        <f>AND('PROG FORMACIÓN TITULADA'!#REF!,"AAAAAH/fd+w=")</f>
        <v>#REF!</v>
      </c>
      <c r="ID314" t="e">
        <f>AND('PROG FORMACIÓN TITULADA'!#REF!,"AAAAAH/fd+0=")</f>
        <v>#REF!</v>
      </c>
      <c r="IE314" t="e">
        <f>AND('PROG FORMACIÓN TITULADA'!#REF!,"AAAAAH/fd+4=")</f>
        <v>#REF!</v>
      </c>
      <c r="IF314" t="e">
        <f>AND('PROG FORMACIÓN TITULADA'!#REF!,"AAAAAH/fd+8=")</f>
        <v>#REF!</v>
      </c>
      <c r="IG314" t="e">
        <f>AND('PROG FORMACIÓN TITULADA'!#REF!,"AAAAAH/fd/A=")</f>
        <v>#REF!</v>
      </c>
      <c r="IH314" t="e">
        <f>AND('PROG FORMACIÓN TITULADA'!#REF!,"AAAAAH/fd/E=")</f>
        <v>#REF!</v>
      </c>
      <c r="II314" t="e">
        <f>AND('PROG FORMACIÓN TITULADA'!#REF!,"AAAAAH/fd/I=")</f>
        <v>#REF!</v>
      </c>
      <c r="IJ314" t="e">
        <f>AND('PROG FORMACIÓN TITULADA'!#REF!,"AAAAAH/fd/M=")</f>
        <v>#REF!</v>
      </c>
      <c r="IK314" t="e">
        <f>AND('PROG FORMACIÓN TITULADA'!#REF!,"AAAAAH/fd/Q=")</f>
        <v>#REF!</v>
      </c>
      <c r="IL314" t="e">
        <f>AND('PROG FORMACIÓN TITULADA'!#REF!,"AAAAAH/fd/U=")</f>
        <v>#REF!</v>
      </c>
      <c r="IM314" t="e">
        <f>AND('PROG FORMACIÓN TITULADA'!#REF!,"AAAAAH/fd/Y=")</f>
        <v>#REF!</v>
      </c>
      <c r="IN314" t="e">
        <f>AND('PROG FORMACIÓN TITULADA'!#REF!,"AAAAAH/fd/c=")</f>
        <v>#REF!</v>
      </c>
      <c r="IO314" t="e">
        <f>AND('PROG FORMACIÓN TITULADA'!#REF!,"AAAAAH/fd/g=")</f>
        <v>#REF!</v>
      </c>
      <c r="IP314" t="e">
        <f>AND('PROG FORMACIÓN TITULADA'!#REF!,"AAAAAH/fd/k=")</f>
        <v>#REF!</v>
      </c>
      <c r="IQ314" t="e">
        <f>AND('PROG FORMACIÓN TITULADA'!#REF!,"AAAAAH/fd/o=")</f>
        <v>#REF!</v>
      </c>
      <c r="IR314" t="e">
        <f>IF('PROG FORMACIÓN TITULADA'!#REF!,"AAAAAH/fd/s=",0)</f>
        <v>#REF!</v>
      </c>
      <c r="IS314" t="e">
        <f>AND('PROG FORMACIÓN TITULADA'!#REF!,"AAAAAH/fd/w=")</f>
        <v>#REF!</v>
      </c>
      <c r="IT314" t="e">
        <f>AND('PROG FORMACIÓN TITULADA'!#REF!,"AAAAAH/fd/0=")</f>
        <v>#REF!</v>
      </c>
      <c r="IU314" t="e">
        <f>AND('PROG FORMACIÓN TITULADA'!#REF!,"AAAAAH/fd/4=")</f>
        <v>#REF!</v>
      </c>
      <c r="IV314" t="e">
        <f>AND('PROG FORMACIÓN TITULADA'!#REF!,"AAAAAH/fd/8=")</f>
        <v>#REF!</v>
      </c>
    </row>
    <row r="315" spans="1:256" x14ac:dyDescent="0.2">
      <c r="A315" t="e">
        <f>AND('PROG FORMACIÓN TITULADA'!#REF!,"AAAAAH/SfwA=")</f>
        <v>#REF!</v>
      </c>
      <c r="B315" t="e">
        <f>AND('PROG FORMACIÓN TITULADA'!#REF!,"AAAAAH/SfwE=")</f>
        <v>#REF!</v>
      </c>
      <c r="C315" t="e">
        <f>AND('PROG FORMACIÓN TITULADA'!#REF!,"AAAAAH/SfwI=")</f>
        <v>#REF!</v>
      </c>
      <c r="D315" t="e">
        <f>AND('PROG FORMACIÓN TITULADA'!#REF!,"AAAAAH/SfwM=")</f>
        <v>#REF!</v>
      </c>
      <c r="E315" t="e">
        <f>AND('PROG FORMACIÓN TITULADA'!#REF!,"AAAAAH/SfwQ=")</f>
        <v>#REF!</v>
      </c>
      <c r="F315" t="e">
        <f>AND('PROG FORMACIÓN TITULADA'!#REF!,"AAAAAH/SfwU=")</f>
        <v>#REF!</v>
      </c>
      <c r="G315" t="e">
        <f>AND('PROG FORMACIÓN TITULADA'!#REF!,"AAAAAH/SfwY=")</f>
        <v>#REF!</v>
      </c>
      <c r="H315" t="e">
        <f>AND('PROG FORMACIÓN TITULADA'!#REF!,"AAAAAH/Sfwc=")</f>
        <v>#REF!</v>
      </c>
      <c r="I315" t="e">
        <f>AND('PROG FORMACIÓN TITULADA'!#REF!,"AAAAAH/Sfwg=")</f>
        <v>#REF!</v>
      </c>
      <c r="J315" t="e">
        <f>AND('PROG FORMACIÓN TITULADA'!#REF!,"AAAAAH/Sfwk=")</f>
        <v>#REF!</v>
      </c>
      <c r="K315" t="e">
        <f>AND('PROG FORMACIÓN TITULADA'!#REF!,"AAAAAH/Sfwo=")</f>
        <v>#REF!</v>
      </c>
      <c r="L315" t="e">
        <f>AND('PROG FORMACIÓN TITULADA'!#REF!,"AAAAAH/Sfws=")</f>
        <v>#REF!</v>
      </c>
      <c r="M315" t="e">
        <f>AND('PROG FORMACIÓN TITULADA'!#REF!,"AAAAAH/Sfww=")</f>
        <v>#REF!</v>
      </c>
      <c r="N315" t="e">
        <f>AND('PROG FORMACIÓN TITULADA'!#REF!,"AAAAAH/Sfw0=")</f>
        <v>#REF!</v>
      </c>
      <c r="O315" t="e">
        <f>AND('PROG FORMACIÓN TITULADA'!#REF!,"AAAAAH/Sfw4=")</f>
        <v>#REF!</v>
      </c>
      <c r="P315" t="e">
        <f>AND('PROG FORMACIÓN TITULADA'!#REF!,"AAAAAH/Sfw8=")</f>
        <v>#REF!</v>
      </c>
      <c r="Q315" t="e">
        <f>AND('PROG FORMACIÓN TITULADA'!#REF!,"AAAAAH/SfxA=")</f>
        <v>#REF!</v>
      </c>
      <c r="R315" t="e">
        <f>AND('PROG FORMACIÓN TITULADA'!#REF!,"AAAAAH/SfxE=")</f>
        <v>#REF!</v>
      </c>
      <c r="S315" t="e">
        <f>AND('PROG FORMACIÓN TITULADA'!#REF!,"AAAAAH/SfxI=")</f>
        <v>#REF!</v>
      </c>
      <c r="T315" t="e">
        <f>AND('PROG FORMACIÓN TITULADA'!#REF!,"AAAAAH/SfxM=")</f>
        <v>#REF!</v>
      </c>
      <c r="U315" t="e">
        <f>AND('PROG FORMACIÓN TITULADA'!#REF!,"AAAAAH/SfxQ=")</f>
        <v>#REF!</v>
      </c>
      <c r="V315" t="e">
        <f>AND('PROG FORMACIÓN TITULADA'!#REF!,"AAAAAH/SfxU=")</f>
        <v>#REF!</v>
      </c>
      <c r="W315" t="e">
        <f>IF('PROG FORMACIÓN TITULADA'!#REF!,"AAAAAH/SfxY=",0)</f>
        <v>#REF!</v>
      </c>
      <c r="X315" t="e">
        <f>AND('PROG FORMACIÓN TITULADA'!#REF!,"AAAAAH/Sfxc=")</f>
        <v>#REF!</v>
      </c>
      <c r="Y315" t="e">
        <f>AND('PROG FORMACIÓN TITULADA'!#REF!,"AAAAAH/Sfxg=")</f>
        <v>#REF!</v>
      </c>
      <c r="Z315" t="e">
        <f>AND('PROG FORMACIÓN TITULADA'!#REF!,"AAAAAH/Sfxk=")</f>
        <v>#REF!</v>
      </c>
      <c r="AA315" t="e">
        <f>AND('PROG FORMACIÓN TITULADA'!#REF!,"AAAAAH/Sfxo=")</f>
        <v>#REF!</v>
      </c>
      <c r="AB315" t="e">
        <f>AND('PROG FORMACIÓN TITULADA'!#REF!,"AAAAAH/Sfxs=")</f>
        <v>#REF!</v>
      </c>
      <c r="AC315" t="e">
        <f>AND('PROG FORMACIÓN TITULADA'!#REF!,"AAAAAH/Sfxw=")</f>
        <v>#REF!</v>
      </c>
      <c r="AD315" t="e">
        <f>AND('PROG FORMACIÓN TITULADA'!#REF!,"AAAAAH/Sfx0=")</f>
        <v>#REF!</v>
      </c>
      <c r="AE315" t="e">
        <f>AND('PROG FORMACIÓN TITULADA'!#REF!,"AAAAAH/Sfx4=")</f>
        <v>#REF!</v>
      </c>
      <c r="AF315" t="e">
        <f>AND('PROG FORMACIÓN TITULADA'!#REF!,"AAAAAH/Sfx8=")</f>
        <v>#REF!</v>
      </c>
      <c r="AG315" t="e">
        <f>AND('PROG FORMACIÓN TITULADA'!#REF!,"AAAAAH/SfyA=")</f>
        <v>#REF!</v>
      </c>
      <c r="AH315" t="e">
        <f>AND('PROG FORMACIÓN TITULADA'!#REF!,"AAAAAH/SfyE=")</f>
        <v>#REF!</v>
      </c>
      <c r="AI315" t="e">
        <f>AND('PROG FORMACIÓN TITULADA'!#REF!,"AAAAAH/SfyI=")</f>
        <v>#REF!</v>
      </c>
      <c r="AJ315" t="e">
        <f>AND('PROG FORMACIÓN TITULADA'!#REF!,"AAAAAH/SfyM=")</f>
        <v>#REF!</v>
      </c>
      <c r="AK315" t="e">
        <f>AND('PROG FORMACIÓN TITULADA'!#REF!,"AAAAAH/SfyQ=")</f>
        <v>#REF!</v>
      </c>
      <c r="AL315" t="e">
        <f>AND('PROG FORMACIÓN TITULADA'!#REF!,"AAAAAH/SfyU=")</f>
        <v>#REF!</v>
      </c>
      <c r="AM315" t="e">
        <f>AND('PROG FORMACIÓN TITULADA'!#REF!,"AAAAAH/SfyY=")</f>
        <v>#REF!</v>
      </c>
      <c r="AN315" t="e">
        <f>AND('PROG FORMACIÓN TITULADA'!#REF!,"AAAAAH/Sfyc=")</f>
        <v>#REF!</v>
      </c>
      <c r="AO315" t="e">
        <f>AND('PROG FORMACIÓN TITULADA'!#REF!,"AAAAAH/Sfyg=")</f>
        <v>#REF!</v>
      </c>
      <c r="AP315" t="e">
        <f>AND('PROG FORMACIÓN TITULADA'!#REF!,"AAAAAH/Sfyk=")</f>
        <v>#REF!</v>
      </c>
      <c r="AQ315" t="e">
        <f>AND('PROG FORMACIÓN TITULADA'!#REF!,"AAAAAH/Sfyo=")</f>
        <v>#REF!</v>
      </c>
      <c r="AR315" t="e">
        <f>AND('PROG FORMACIÓN TITULADA'!#REF!,"AAAAAH/Sfys=")</f>
        <v>#REF!</v>
      </c>
      <c r="AS315" t="e">
        <f>AND('PROG FORMACIÓN TITULADA'!#REF!,"AAAAAH/Sfyw=")</f>
        <v>#REF!</v>
      </c>
      <c r="AT315" t="e">
        <f>AND('PROG FORMACIÓN TITULADA'!#REF!,"AAAAAH/Sfy0=")</f>
        <v>#REF!</v>
      </c>
      <c r="AU315" t="e">
        <f>AND('PROG FORMACIÓN TITULADA'!#REF!,"AAAAAH/Sfy4=")</f>
        <v>#REF!</v>
      </c>
      <c r="AV315" t="e">
        <f>AND('PROG FORMACIÓN TITULADA'!#REF!,"AAAAAH/Sfy8=")</f>
        <v>#REF!</v>
      </c>
      <c r="AW315" t="e">
        <f>AND('PROG FORMACIÓN TITULADA'!#REF!,"AAAAAH/SfzA=")</f>
        <v>#REF!</v>
      </c>
      <c r="AX315" t="e">
        <f>IF('PROG FORMACIÓN TITULADA'!#REF!,"AAAAAH/SfzE=",0)</f>
        <v>#REF!</v>
      </c>
      <c r="AY315" t="e">
        <f>AND('PROG FORMACIÓN TITULADA'!#REF!,"AAAAAH/SfzI=")</f>
        <v>#REF!</v>
      </c>
      <c r="AZ315" t="e">
        <f>AND('PROG FORMACIÓN TITULADA'!#REF!,"AAAAAH/SfzM=")</f>
        <v>#REF!</v>
      </c>
      <c r="BA315" t="e">
        <f>AND('PROG FORMACIÓN TITULADA'!#REF!,"AAAAAH/SfzQ=")</f>
        <v>#REF!</v>
      </c>
      <c r="BB315" t="e">
        <f>AND('PROG FORMACIÓN TITULADA'!#REF!,"AAAAAH/SfzU=")</f>
        <v>#REF!</v>
      </c>
      <c r="BC315" t="e">
        <f>AND('PROG FORMACIÓN TITULADA'!#REF!,"AAAAAH/SfzY=")</f>
        <v>#REF!</v>
      </c>
      <c r="BD315" t="e">
        <f>AND('PROG FORMACIÓN TITULADA'!#REF!,"AAAAAH/Sfzc=")</f>
        <v>#REF!</v>
      </c>
      <c r="BE315" t="e">
        <f>AND('PROG FORMACIÓN TITULADA'!#REF!,"AAAAAH/Sfzg=")</f>
        <v>#REF!</v>
      </c>
      <c r="BF315" t="e">
        <f>AND('PROG FORMACIÓN TITULADA'!#REF!,"AAAAAH/Sfzk=")</f>
        <v>#REF!</v>
      </c>
      <c r="BG315" t="e">
        <f>AND('PROG FORMACIÓN TITULADA'!#REF!,"AAAAAH/Sfzo=")</f>
        <v>#REF!</v>
      </c>
      <c r="BH315" t="e">
        <f>AND('PROG FORMACIÓN TITULADA'!#REF!,"AAAAAH/Sfzs=")</f>
        <v>#REF!</v>
      </c>
      <c r="BI315" t="e">
        <f>AND('PROG FORMACIÓN TITULADA'!#REF!,"AAAAAH/Sfzw=")</f>
        <v>#REF!</v>
      </c>
      <c r="BJ315" t="e">
        <f>AND('PROG FORMACIÓN TITULADA'!#REF!,"AAAAAH/Sfz0=")</f>
        <v>#REF!</v>
      </c>
      <c r="BK315" t="e">
        <f>AND('PROG FORMACIÓN TITULADA'!#REF!,"AAAAAH/Sfz4=")</f>
        <v>#REF!</v>
      </c>
      <c r="BL315" t="e">
        <f>AND('PROG FORMACIÓN TITULADA'!#REF!,"AAAAAH/Sfz8=")</f>
        <v>#REF!</v>
      </c>
      <c r="BM315" t="e">
        <f>AND('PROG FORMACIÓN TITULADA'!#REF!,"AAAAAH/Sf0A=")</f>
        <v>#REF!</v>
      </c>
      <c r="BN315" t="e">
        <f>AND('PROG FORMACIÓN TITULADA'!#REF!,"AAAAAH/Sf0E=")</f>
        <v>#REF!</v>
      </c>
      <c r="BO315" t="e">
        <f>AND('PROG FORMACIÓN TITULADA'!#REF!,"AAAAAH/Sf0I=")</f>
        <v>#REF!</v>
      </c>
      <c r="BP315" t="e">
        <f>AND('PROG FORMACIÓN TITULADA'!#REF!,"AAAAAH/Sf0M=")</f>
        <v>#REF!</v>
      </c>
      <c r="BQ315" t="e">
        <f>AND('PROG FORMACIÓN TITULADA'!#REF!,"AAAAAH/Sf0Q=")</f>
        <v>#REF!</v>
      </c>
      <c r="BR315" t="e">
        <f>AND('PROG FORMACIÓN TITULADA'!#REF!,"AAAAAH/Sf0U=")</f>
        <v>#REF!</v>
      </c>
      <c r="BS315" t="e">
        <f>AND('PROG FORMACIÓN TITULADA'!#REF!,"AAAAAH/Sf0Y=")</f>
        <v>#REF!</v>
      </c>
      <c r="BT315" t="e">
        <f>AND('PROG FORMACIÓN TITULADA'!#REF!,"AAAAAH/Sf0c=")</f>
        <v>#REF!</v>
      </c>
      <c r="BU315" t="e">
        <f>AND('PROG FORMACIÓN TITULADA'!#REF!,"AAAAAH/Sf0g=")</f>
        <v>#REF!</v>
      </c>
      <c r="BV315" t="e">
        <f>AND('PROG FORMACIÓN TITULADA'!#REF!,"AAAAAH/Sf0k=")</f>
        <v>#REF!</v>
      </c>
      <c r="BW315" t="e">
        <f>AND('PROG FORMACIÓN TITULADA'!#REF!,"AAAAAH/Sf0o=")</f>
        <v>#REF!</v>
      </c>
      <c r="BX315" t="e">
        <f>AND('PROG FORMACIÓN TITULADA'!#REF!,"AAAAAH/Sf0s=")</f>
        <v>#REF!</v>
      </c>
      <c r="BY315" t="e">
        <f>IF('PROG FORMACIÓN TITULADA'!#REF!,"AAAAAH/Sf0w=",0)</f>
        <v>#REF!</v>
      </c>
      <c r="BZ315" t="e">
        <f>AND('PROG FORMACIÓN TITULADA'!#REF!,"AAAAAH/Sf00=")</f>
        <v>#REF!</v>
      </c>
      <c r="CA315" t="e">
        <f>AND('PROG FORMACIÓN TITULADA'!#REF!,"AAAAAH/Sf04=")</f>
        <v>#REF!</v>
      </c>
      <c r="CB315" t="e">
        <f>AND('PROG FORMACIÓN TITULADA'!#REF!,"AAAAAH/Sf08=")</f>
        <v>#REF!</v>
      </c>
      <c r="CC315" t="e">
        <f>AND('PROG FORMACIÓN TITULADA'!#REF!,"AAAAAH/Sf1A=")</f>
        <v>#REF!</v>
      </c>
      <c r="CD315" t="e">
        <f>AND('PROG FORMACIÓN TITULADA'!#REF!,"AAAAAH/Sf1E=")</f>
        <v>#REF!</v>
      </c>
      <c r="CE315" t="e">
        <f>AND('PROG FORMACIÓN TITULADA'!#REF!,"AAAAAH/Sf1I=")</f>
        <v>#REF!</v>
      </c>
      <c r="CF315" t="e">
        <f>AND('PROG FORMACIÓN TITULADA'!#REF!,"AAAAAH/Sf1M=")</f>
        <v>#REF!</v>
      </c>
      <c r="CG315" t="e">
        <f>AND('PROG FORMACIÓN TITULADA'!#REF!,"AAAAAH/Sf1Q=")</f>
        <v>#REF!</v>
      </c>
      <c r="CH315" t="e">
        <f>AND('PROG FORMACIÓN TITULADA'!#REF!,"AAAAAH/Sf1U=")</f>
        <v>#REF!</v>
      </c>
      <c r="CI315" t="e">
        <f>AND('PROG FORMACIÓN TITULADA'!#REF!,"AAAAAH/Sf1Y=")</f>
        <v>#REF!</v>
      </c>
      <c r="CJ315" t="e">
        <f>AND('PROG FORMACIÓN TITULADA'!#REF!,"AAAAAH/Sf1c=")</f>
        <v>#REF!</v>
      </c>
      <c r="CK315" t="e">
        <f>AND('PROG FORMACIÓN TITULADA'!#REF!,"AAAAAH/Sf1g=")</f>
        <v>#REF!</v>
      </c>
      <c r="CL315" t="e">
        <f>AND('PROG FORMACIÓN TITULADA'!#REF!,"AAAAAH/Sf1k=")</f>
        <v>#REF!</v>
      </c>
      <c r="CM315" t="e">
        <f>AND('PROG FORMACIÓN TITULADA'!#REF!,"AAAAAH/Sf1o=")</f>
        <v>#REF!</v>
      </c>
      <c r="CN315" t="e">
        <f>AND('PROG FORMACIÓN TITULADA'!#REF!,"AAAAAH/Sf1s=")</f>
        <v>#REF!</v>
      </c>
      <c r="CO315" t="e">
        <f>AND('PROG FORMACIÓN TITULADA'!#REF!,"AAAAAH/Sf1w=")</f>
        <v>#REF!</v>
      </c>
      <c r="CP315" t="e">
        <f>AND('PROG FORMACIÓN TITULADA'!#REF!,"AAAAAH/Sf10=")</f>
        <v>#REF!</v>
      </c>
      <c r="CQ315" t="e">
        <f>AND('PROG FORMACIÓN TITULADA'!#REF!,"AAAAAH/Sf14=")</f>
        <v>#REF!</v>
      </c>
      <c r="CR315" t="e">
        <f>AND('PROG FORMACIÓN TITULADA'!#REF!,"AAAAAH/Sf18=")</f>
        <v>#REF!</v>
      </c>
      <c r="CS315" t="e">
        <f>AND('PROG FORMACIÓN TITULADA'!#REF!,"AAAAAH/Sf2A=")</f>
        <v>#REF!</v>
      </c>
      <c r="CT315" t="e">
        <f>AND('PROG FORMACIÓN TITULADA'!#REF!,"AAAAAH/Sf2E=")</f>
        <v>#REF!</v>
      </c>
      <c r="CU315" t="e">
        <f>AND('PROG FORMACIÓN TITULADA'!#REF!,"AAAAAH/Sf2I=")</f>
        <v>#REF!</v>
      </c>
      <c r="CV315" t="e">
        <f>AND('PROG FORMACIÓN TITULADA'!#REF!,"AAAAAH/Sf2M=")</f>
        <v>#REF!</v>
      </c>
      <c r="CW315" t="e">
        <f>AND('PROG FORMACIÓN TITULADA'!#REF!,"AAAAAH/Sf2Q=")</f>
        <v>#REF!</v>
      </c>
      <c r="CX315" t="e">
        <f>AND('PROG FORMACIÓN TITULADA'!#REF!,"AAAAAH/Sf2U=")</f>
        <v>#REF!</v>
      </c>
      <c r="CY315" t="e">
        <f>AND('PROG FORMACIÓN TITULADA'!#REF!,"AAAAAH/Sf2Y=")</f>
        <v>#REF!</v>
      </c>
      <c r="CZ315" t="e">
        <f>IF('PROG FORMACIÓN TITULADA'!#REF!,"AAAAAH/Sf2c=",0)</f>
        <v>#REF!</v>
      </c>
      <c r="DA315" t="e">
        <f>AND('PROG FORMACIÓN TITULADA'!#REF!,"AAAAAH/Sf2g=")</f>
        <v>#REF!</v>
      </c>
      <c r="DB315" t="e">
        <f>AND('PROG FORMACIÓN TITULADA'!#REF!,"AAAAAH/Sf2k=")</f>
        <v>#REF!</v>
      </c>
      <c r="DC315" t="e">
        <f>AND('PROG FORMACIÓN TITULADA'!#REF!,"AAAAAH/Sf2o=")</f>
        <v>#REF!</v>
      </c>
      <c r="DD315" t="e">
        <f>AND('PROG FORMACIÓN TITULADA'!#REF!,"AAAAAH/Sf2s=")</f>
        <v>#REF!</v>
      </c>
      <c r="DE315" t="e">
        <f>AND('PROG FORMACIÓN TITULADA'!#REF!,"AAAAAH/Sf2w=")</f>
        <v>#REF!</v>
      </c>
      <c r="DF315" t="e">
        <f>AND('PROG FORMACIÓN TITULADA'!#REF!,"AAAAAH/Sf20=")</f>
        <v>#REF!</v>
      </c>
      <c r="DG315" t="e">
        <f>AND('PROG FORMACIÓN TITULADA'!#REF!,"AAAAAH/Sf24=")</f>
        <v>#REF!</v>
      </c>
      <c r="DH315" t="e">
        <f>AND('PROG FORMACIÓN TITULADA'!#REF!,"AAAAAH/Sf28=")</f>
        <v>#REF!</v>
      </c>
      <c r="DI315" t="e">
        <f>AND('PROG FORMACIÓN TITULADA'!#REF!,"AAAAAH/Sf3A=")</f>
        <v>#REF!</v>
      </c>
      <c r="DJ315" t="e">
        <f>AND('PROG FORMACIÓN TITULADA'!#REF!,"AAAAAH/Sf3E=")</f>
        <v>#REF!</v>
      </c>
      <c r="DK315" t="e">
        <f>AND('PROG FORMACIÓN TITULADA'!#REF!,"AAAAAH/Sf3I=")</f>
        <v>#REF!</v>
      </c>
      <c r="DL315" t="e">
        <f>AND('PROG FORMACIÓN TITULADA'!#REF!,"AAAAAH/Sf3M=")</f>
        <v>#REF!</v>
      </c>
      <c r="DM315" t="e">
        <f>AND('PROG FORMACIÓN TITULADA'!#REF!,"AAAAAH/Sf3Q=")</f>
        <v>#REF!</v>
      </c>
      <c r="DN315" t="e">
        <f>AND('PROG FORMACIÓN TITULADA'!#REF!,"AAAAAH/Sf3U=")</f>
        <v>#REF!</v>
      </c>
      <c r="DO315" t="e">
        <f>AND('PROG FORMACIÓN TITULADA'!#REF!,"AAAAAH/Sf3Y=")</f>
        <v>#REF!</v>
      </c>
      <c r="DP315" t="e">
        <f>AND('PROG FORMACIÓN TITULADA'!#REF!,"AAAAAH/Sf3c=")</f>
        <v>#REF!</v>
      </c>
      <c r="DQ315" t="e">
        <f>AND('PROG FORMACIÓN TITULADA'!#REF!,"AAAAAH/Sf3g=")</f>
        <v>#REF!</v>
      </c>
      <c r="DR315" t="e">
        <f>AND('PROG FORMACIÓN TITULADA'!#REF!,"AAAAAH/Sf3k=")</f>
        <v>#REF!</v>
      </c>
      <c r="DS315" t="e">
        <f>AND('PROG FORMACIÓN TITULADA'!#REF!,"AAAAAH/Sf3o=")</f>
        <v>#REF!</v>
      </c>
      <c r="DT315" t="e">
        <f>AND('PROG FORMACIÓN TITULADA'!#REF!,"AAAAAH/Sf3s=")</f>
        <v>#REF!</v>
      </c>
      <c r="DU315" t="e">
        <f>AND('PROG FORMACIÓN TITULADA'!#REF!,"AAAAAH/Sf3w=")</f>
        <v>#REF!</v>
      </c>
      <c r="DV315" t="e">
        <f>AND('PROG FORMACIÓN TITULADA'!#REF!,"AAAAAH/Sf30=")</f>
        <v>#REF!</v>
      </c>
      <c r="DW315" t="e">
        <f>AND('PROG FORMACIÓN TITULADA'!#REF!,"AAAAAH/Sf34=")</f>
        <v>#REF!</v>
      </c>
      <c r="DX315" t="e">
        <f>AND('PROG FORMACIÓN TITULADA'!#REF!,"AAAAAH/Sf38=")</f>
        <v>#REF!</v>
      </c>
      <c r="DY315" t="e">
        <f>AND('PROG FORMACIÓN TITULADA'!#REF!,"AAAAAH/Sf4A=")</f>
        <v>#REF!</v>
      </c>
      <c r="DZ315" t="e">
        <f>AND('PROG FORMACIÓN TITULADA'!#REF!,"AAAAAH/Sf4E=")</f>
        <v>#REF!</v>
      </c>
      <c r="EA315" t="e">
        <f>IF('PROG FORMACIÓN TITULADA'!#REF!,"AAAAAH/Sf4I=",0)</f>
        <v>#REF!</v>
      </c>
      <c r="EB315" t="e">
        <f>AND('PROG FORMACIÓN TITULADA'!#REF!,"AAAAAH/Sf4M=")</f>
        <v>#REF!</v>
      </c>
      <c r="EC315" t="e">
        <f>AND('PROG FORMACIÓN TITULADA'!#REF!,"AAAAAH/Sf4Q=")</f>
        <v>#REF!</v>
      </c>
      <c r="ED315" t="e">
        <f>AND('PROG FORMACIÓN TITULADA'!#REF!,"AAAAAH/Sf4U=")</f>
        <v>#REF!</v>
      </c>
      <c r="EE315" t="e">
        <f>AND('PROG FORMACIÓN TITULADA'!#REF!,"AAAAAH/Sf4Y=")</f>
        <v>#REF!</v>
      </c>
      <c r="EF315" t="e">
        <f>AND('PROG FORMACIÓN TITULADA'!#REF!,"AAAAAH/Sf4c=")</f>
        <v>#REF!</v>
      </c>
      <c r="EG315" t="e">
        <f>AND('PROG FORMACIÓN TITULADA'!#REF!,"AAAAAH/Sf4g=")</f>
        <v>#REF!</v>
      </c>
      <c r="EH315" t="e">
        <f>AND('PROG FORMACIÓN TITULADA'!#REF!,"AAAAAH/Sf4k=")</f>
        <v>#REF!</v>
      </c>
      <c r="EI315" t="e">
        <f>AND('PROG FORMACIÓN TITULADA'!#REF!,"AAAAAH/Sf4o=")</f>
        <v>#REF!</v>
      </c>
      <c r="EJ315" t="e">
        <f>AND('PROG FORMACIÓN TITULADA'!#REF!,"AAAAAH/Sf4s=")</f>
        <v>#REF!</v>
      </c>
      <c r="EK315" t="e">
        <f>AND('PROG FORMACIÓN TITULADA'!#REF!,"AAAAAH/Sf4w=")</f>
        <v>#REF!</v>
      </c>
      <c r="EL315" t="e">
        <f>AND('PROG FORMACIÓN TITULADA'!#REF!,"AAAAAH/Sf40=")</f>
        <v>#REF!</v>
      </c>
      <c r="EM315" t="e">
        <f>AND('PROG FORMACIÓN TITULADA'!#REF!,"AAAAAH/Sf44=")</f>
        <v>#REF!</v>
      </c>
      <c r="EN315" t="e">
        <f>AND('PROG FORMACIÓN TITULADA'!#REF!,"AAAAAH/Sf48=")</f>
        <v>#REF!</v>
      </c>
      <c r="EO315" t="e">
        <f>AND('PROG FORMACIÓN TITULADA'!#REF!,"AAAAAH/Sf5A=")</f>
        <v>#REF!</v>
      </c>
      <c r="EP315" t="e">
        <f>AND('PROG FORMACIÓN TITULADA'!#REF!,"AAAAAH/Sf5E=")</f>
        <v>#REF!</v>
      </c>
      <c r="EQ315" t="e">
        <f>AND('PROG FORMACIÓN TITULADA'!#REF!,"AAAAAH/Sf5I=")</f>
        <v>#REF!</v>
      </c>
      <c r="ER315" t="e">
        <f>AND('PROG FORMACIÓN TITULADA'!#REF!,"AAAAAH/Sf5M=")</f>
        <v>#REF!</v>
      </c>
      <c r="ES315" t="e">
        <f>AND('PROG FORMACIÓN TITULADA'!#REF!,"AAAAAH/Sf5Q=")</f>
        <v>#REF!</v>
      </c>
      <c r="ET315" t="e">
        <f>AND('PROG FORMACIÓN TITULADA'!#REF!,"AAAAAH/Sf5U=")</f>
        <v>#REF!</v>
      </c>
      <c r="EU315" t="e">
        <f>AND('PROG FORMACIÓN TITULADA'!#REF!,"AAAAAH/Sf5Y=")</f>
        <v>#REF!</v>
      </c>
      <c r="EV315" t="e">
        <f>AND('PROG FORMACIÓN TITULADA'!#REF!,"AAAAAH/Sf5c=")</f>
        <v>#REF!</v>
      </c>
      <c r="EW315" t="e">
        <f>AND('PROG FORMACIÓN TITULADA'!#REF!,"AAAAAH/Sf5g=")</f>
        <v>#REF!</v>
      </c>
      <c r="EX315" t="e">
        <f>AND('PROG FORMACIÓN TITULADA'!#REF!,"AAAAAH/Sf5k=")</f>
        <v>#REF!</v>
      </c>
      <c r="EY315" t="e">
        <f>AND('PROG FORMACIÓN TITULADA'!#REF!,"AAAAAH/Sf5o=")</f>
        <v>#REF!</v>
      </c>
      <c r="EZ315" t="e">
        <f>AND('PROG FORMACIÓN TITULADA'!#REF!,"AAAAAH/Sf5s=")</f>
        <v>#REF!</v>
      </c>
      <c r="FA315" t="e">
        <f>AND('PROG FORMACIÓN TITULADA'!#REF!,"AAAAAH/Sf5w=")</f>
        <v>#REF!</v>
      </c>
      <c r="FB315" t="e">
        <f>IF('PROG FORMACIÓN TITULADA'!#REF!,"AAAAAH/Sf50=",0)</f>
        <v>#REF!</v>
      </c>
      <c r="FC315" t="e">
        <f>AND('PROG FORMACIÓN TITULADA'!#REF!,"AAAAAH/Sf54=")</f>
        <v>#REF!</v>
      </c>
      <c r="FD315" t="e">
        <f>AND('PROG FORMACIÓN TITULADA'!#REF!,"AAAAAH/Sf58=")</f>
        <v>#REF!</v>
      </c>
      <c r="FE315" t="e">
        <f>AND('PROG FORMACIÓN TITULADA'!#REF!,"AAAAAH/Sf6A=")</f>
        <v>#REF!</v>
      </c>
      <c r="FF315" t="e">
        <f>AND('PROG FORMACIÓN TITULADA'!#REF!,"AAAAAH/Sf6E=")</f>
        <v>#REF!</v>
      </c>
      <c r="FG315" t="e">
        <f>AND('PROG FORMACIÓN TITULADA'!#REF!,"AAAAAH/Sf6I=")</f>
        <v>#REF!</v>
      </c>
      <c r="FH315" t="e">
        <f>AND('PROG FORMACIÓN TITULADA'!#REF!,"AAAAAH/Sf6M=")</f>
        <v>#REF!</v>
      </c>
      <c r="FI315" t="e">
        <f>AND('PROG FORMACIÓN TITULADA'!#REF!,"AAAAAH/Sf6Q=")</f>
        <v>#REF!</v>
      </c>
      <c r="FJ315" t="e">
        <f>AND('PROG FORMACIÓN TITULADA'!#REF!,"AAAAAH/Sf6U=")</f>
        <v>#REF!</v>
      </c>
      <c r="FK315" t="e">
        <f>AND('PROG FORMACIÓN TITULADA'!#REF!,"AAAAAH/Sf6Y=")</f>
        <v>#REF!</v>
      </c>
      <c r="FL315" t="e">
        <f>AND('PROG FORMACIÓN TITULADA'!#REF!,"AAAAAH/Sf6c=")</f>
        <v>#REF!</v>
      </c>
      <c r="FM315" t="e">
        <f>AND('PROG FORMACIÓN TITULADA'!#REF!,"AAAAAH/Sf6g=")</f>
        <v>#REF!</v>
      </c>
      <c r="FN315" t="e">
        <f>AND('PROG FORMACIÓN TITULADA'!#REF!,"AAAAAH/Sf6k=")</f>
        <v>#REF!</v>
      </c>
      <c r="FO315" t="e">
        <f>AND('PROG FORMACIÓN TITULADA'!#REF!,"AAAAAH/Sf6o=")</f>
        <v>#REF!</v>
      </c>
      <c r="FP315" t="e">
        <f>AND('PROG FORMACIÓN TITULADA'!#REF!,"AAAAAH/Sf6s=")</f>
        <v>#REF!</v>
      </c>
      <c r="FQ315" t="e">
        <f>AND('PROG FORMACIÓN TITULADA'!#REF!,"AAAAAH/Sf6w=")</f>
        <v>#REF!</v>
      </c>
      <c r="FR315" t="e">
        <f>AND('PROG FORMACIÓN TITULADA'!#REF!,"AAAAAH/Sf60=")</f>
        <v>#REF!</v>
      </c>
      <c r="FS315" t="e">
        <f>AND('PROG FORMACIÓN TITULADA'!#REF!,"AAAAAH/Sf64=")</f>
        <v>#REF!</v>
      </c>
      <c r="FT315" t="e">
        <f>AND('PROG FORMACIÓN TITULADA'!#REF!,"AAAAAH/Sf68=")</f>
        <v>#REF!</v>
      </c>
      <c r="FU315" t="e">
        <f>AND('PROG FORMACIÓN TITULADA'!#REF!,"AAAAAH/Sf7A=")</f>
        <v>#REF!</v>
      </c>
      <c r="FV315" t="e">
        <f>AND('PROG FORMACIÓN TITULADA'!#REF!,"AAAAAH/Sf7E=")</f>
        <v>#REF!</v>
      </c>
      <c r="FW315" t="e">
        <f>AND('PROG FORMACIÓN TITULADA'!#REF!,"AAAAAH/Sf7I=")</f>
        <v>#REF!</v>
      </c>
      <c r="FX315" t="e">
        <f>AND('PROG FORMACIÓN TITULADA'!#REF!,"AAAAAH/Sf7M=")</f>
        <v>#REF!</v>
      </c>
      <c r="FY315" t="e">
        <f>AND('PROG FORMACIÓN TITULADA'!#REF!,"AAAAAH/Sf7Q=")</f>
        <v>#REF!</v>
      </c>
      <c r="FZ315" t="e">
        <f>AND('PROG FORMACIÓN TITULADA'!#REF!,"AAAAAH/Sf7U=")</f>
        <v>#REF!</v>
      </c>
      <c r="GA315" t="e">
        <f>AND('PROG FORMACIÓN TITULADA'!#REF!,"AAAAAH/Sf7Y=")</f>
        <v>#REF!</v>
      </c>
      <c r="GB315" t="e">
        <f>AND('PROG FORMACIÓN TITULADA'!#REF!,"AAAAAH/Sf7c=")</f>
        <v>#REF!</v>
      </c>
      <c r="GC315" t="e">
        <f>IF('PROG FORMACIÓN TITULADA'!#REF!,"AAAAAH/Sf7g=",0)</f>
        <v>#REF!</v>
      </c>
      <c r="GD315" t="e">
        <f>AND('PROG FORMACIÓN TITULADA'!#REF!,"AAAAAH/Sf7k=")</f>
        <v>#REF!</v>
      </c>
      <c r="GE315" t="e">
        <f>AND('PROG FORMACIÓN TITULADA'!#REF!,"AAAAAH/Sf7o=")</f>
        <v>#REF!</v>
      </c>
      <c r="GF315" t="e">
        <f>AND('PROG FORMACIÓN TITULADA'!#REF!,"AAAAAH/Sf7s=")</f>
        <v>#REF!</v>
      </c>
      <c r="GG315" t="e">
        <f>AND('PROG FORMACIÓN TITULADA'!#REF!,"AAAAAH/Sf7w=")</f>
        <v>#REF!</v>
      </c>
      <c r="GH315" t="e">
        <f>AND('PROG FORMACIÓN TITULADA'!#REF!,"AAAAAH/Sf70=")</f>
        <v>#REF!</v>
      </c>
      <c r="GI315" t="e">
        <f>AND('PROG FORMACIÓN TITULADA'!#REF!,"AAAAAH/Sf74=")</f>
        <v>#REF!</v>
      </c>
      <c r="GJ315" t="e">
        <f>AND('PROG FORMACIÓN TITULADA'!#REF!,"AAAAAH/Sf78=")</f>
        <v>#REF!</v>
      </c>
      <c r="GK315" t="e">
        <f>AND('PROG FORMACIÓN TITULADA'!#REF!,"AAAAAH/Sf8A=")</f>
        <v>#REF!</v>
      </c>
      <c r="GL315" t="e">
        <f>AND('PROG FORMACIÓN TITULADA'!#REF!,"AAAAAH/Sf8E=")</f>
        <v>#REF!</v>
      </c>
      <c r="GM315" t="e">
        <f>AND('PROG FORMACIÓN TITULADA'!#REF!,"AAAAAH/Sf8I=")</f>
        <v>#REF!</v>
      </c>
      <c r="GN315" t="e">
        <f>AND('PROG FORMACIÓN TITULADA'!#REF!,"AAAAAH/Sf8M=")</f>
        <v>#REF!</v>
      </c>
      <c r="GO315" t="e">
        <f>AND('PROG FORMACIÓN TITULADA'!#REF!,"AAAAAH/Sf8Q=")</f>
        <v>#REF!</v>
      </c>
      <c r="GP315" t="e">
        <f>AND('PROG FORMACIÓN TITULADA'!#REF!,"AAAAAH/Sf8U=")</f>
        <v>#REF!</v>
      </c>
      <c r="GQ315" t="e">
        <f>AND('PROG FORMACIÓN TITULADA'!#REF!,"AAAAAH/Sf8Y=")</f>
        <v>#REF!</v>
      </c>
      <c r="GR315" t="e">
        <f>AND('PROG FORMACIÓN TITULADA'!#REF!,"AAAAAH/Sf8c=")</f>
        <v>#REF!</v>
      </c>
      <c r="GS315" t="e">
        <f>AND('PROG FORMACIÓN TITULADA'!#REF!,"AAAAAH/Sf8g=")</f>
        <v>#REF!</v>
      </c>
      <c r="GT315" t="e">
        <f>AND('PROG FORMACIÓN TITULADA'!#REF!,"AAAAAH/Sf8k=")</f>
        <v>#REF!</v>
      </c>
      <c r="GU315" t="e">
        <f>AND('PROG FORMACIÓN TITULADA'!#REF!,"AAAAAH/Sf8o=")</f>
        <v>#REF!</v>
      </c>
      <c r="GV315" t="e">
        <f>AND('PROG FORMACIÓN TITULADA'!#REF!,"AAAAAH/Sf8s=")</f>
        <v>#REF!</v>
      </c>
      <c r="GW315" t="e">
        <f>AND('PROG FORMACIÓN TITULADA'!#REF!,"AAAAAH/Sf8w=")</f>
        <v>#REF!</v>
      </c>
      <c r="GX315" t="e">
        <f>AND('PROG FORMACIÓN TITULADA'!#REF!,"AAAAAH/Sf80=")</f>
        <v>#REF!</v>
      </c>
      <c r="GY315" t="e">
        <f>AND('PROG FORMACIÓN TITULADA'!#REF!,"AAAAAH/Sf84=")</f>
        <v>#REF!</v>
      </c>
      <c r="GZ315" t="e">
        <f>AND('PROG FORMACIÓN TITULADA'!#REF!,"AAAAAH/Sf88=")</f>
        <v>#REF!</v>
      </c>
      <c r="HA315" t="e">
        <f>AND('PROG FORMACIÓN TITULADA'!#REF!,"AAAAAH/Sf9A=")</f>
        <v>#REF!</v>
      </c>
      <c r="HB315" t="e">
        <f>AND('PROG FORMACIÓN TITULADA'!#REF!,"AAAAAH/Sf9E=")</f>
        <v>#REF!</v>
      </c>
      <c r="HC315" t="e">
        <f>AND('PROG FORMACIÓN TITULADA'!#REF!,"AAAAAH/Sf9I=")</f>
        <v>#REF!</v>
      </c>
      <c r="HD315" t="e">
        <f>IF('PROG FORMACIÓN TITULADA'!#REF!,"AAAAAH/Sf9M=",0)</f>
        <v>#REF!</v>
      </c>
      <c r="HE315" t="e">
        <f>AND('PROG FORMACIÓN TITULADA'!#REF!,"AAAAAH/Sf9Q=")</f>
        <v>#REF!</v>
      </c>
      <c r="HF315" t="e">
        <f>AND('PROG FORMACIÓN TITULADA'!#REF!,"AAAAAH/Sf9U=")</f>
        <v>#REF!</v>
      </c>
      <c r="HG315" t="e">
        <f>AND('PROG FORMACIÓN TITULADA'!#REF!,"AAAAAH/Sf9Y=")</f>
        <v>#REF!</v>
      </c>
      <c r="HH315" t="e">
        <f>AND('PROG FORMACIÓN TITULADA'!#REF!,"AAAAAH/Sf9c=")</f>
        <v>#REF!</v>
      </c>
      <c r="HI315" t="e">
        <f>AND('PROG FORMACIÓN TITULADA'!#REF!,"AAAAAH/Sf9g=")</f>
        <v>#REF!</v>
      </c>
      <c r="HJ315" t="e">
        <f>AND('PROG FORMACIÓN TITULADA'!#REF!,"AAAAAH/Sf9k=")</f>
        <v>#REF!</v>
      </c>
      <c r="HK315" t="e">
        <f>AND('PROG FORMACIÓN TITULADA'!#REF!,"AAAAAH/Sf9o=")</f>
        <v>#REF!</v>
      </c>
      <c r="HL315" t="e">
        <f>AND('PROG FORMACIÓN TITULADA'!#REF!,"AAAAAH/Sf9s=")</f>
        <v>#REF!</v>
      </c>
      <c r="HM315" t="e">
        <f>AND('PROG FORMACIÓN TITULADA'!#REF!,"AAAAAH/Sf9w=")</f>
        <v>#REF!</v>
      </c>
      <c r="HN315" t="e">
        <f>AND('PROG FORMACIÓN TITULADA'!#REF!,"AAAAAH/Sf90=")</f>
        <v>#REF!</v>
      </c>
      <c r="HO315" t="e">
        <f>AND('PROG FORMACIÓN TITULADA'!#REF!,"AAAAAH/Sf94=")</f>
        <v>#REF!</v>
      </c>
      <c r="HP315" t="e">
        <f>AND('PROG FORMACIÓN TITULADA'!#REF!,"AAAAAH/Sf98=")</f>
        <v>#REF!</v>
      </c>
      <c r="HQ315" t="e">
        <f>AND('PROG FORMACIÓN TITULADA'!#REF!,"AAAAAH/Sf+A=")</f>
        <v>#REF!</v>
      </c>
      <c r="HR315" t="e">
        <f>AND('PROG FORMACIÓN TITULADA'!#REF!,"AAAAAH/Sf+E=")</f>
        <v>#REF!</v>
      </c>
      <c r="HS315" t="e">
        <f>AND('PROG FORMACIÓN TITULADA'!#REF!,"AAAAAH/Sf+I=")</f>
        <v>#REF!</v>
      </c>
      <c r="HT315" t="e">
        <f>AND('PROG FORMACIÓN TITULADA'!#REF!,"AAAAAH/Sf+M=")</f>
        <v>#REF!</v>
      </c>
      <c r="HU315" t="e">
        <f>AND('PROG FORMACIÓN TITULADA'!#REF!,"AAAAAH/Sf+Q=")</f>
        <v>#REF!</v>
      </c>
      <c r="HV315" t="e">
        <f>AND('PROG FORMACIÓN TITULADA'!#REF!,"AAAAAH/Sf+U=")</f>
        <v>#REF!</v>
      </c>
      <c r="HW315" t="e">
        <f>AND('PROG FORMACIÓN TITULADA'!#REF!,"AAAAAH/Sf+Y=")</f>
        <v>#REF!</v>
      </c>
      <c r="HX315" t="e">
        <f>AND('PROG FORMACIÓN TITULADA'!#REF!,"AAAAAH/Sf+c=")</f>
        <v>#REF!</v>
      </c>
      <c r="HY315" t="e">
        <f>AND('PROG FORMACIÓN TITULADA'!#REF!,"AAAAAH/Sf+g=")</f>
        <v>#REF!</v>
      </c>
      <c r="HZ315" t="e">
        <f>AND('PROG FORMACIÓN TITULADA'!#REF!,"AAAAAH/Sf+k=")</f>
        <v>#REF!</v>
      </c>
      <c r="IA315" t="e">
        <f>AND('PROG FORMACIÓN TITULADA'!#REF!,"AAAAAH/Sf+o=")</f>
        <v>#REF!</v>
      </c>
      <c r="IB315" t="e">
        <f>AND('PROG FORMACIÓN TITULADA'!#REF!,"AAAAAH/Sf+s=")</f>
        <v>#REF!</v>
      </c>
      <c r="IC315" t="e">
        <f>AND('PROG FORMACIÓN TITULADA'!#REF!,"AAAAAH/Sf+w=")</f>
        <v>#REF!</v>
      </c>
      <c r="ID315" t="e">
        <f>AND('PROG FORMACIÓN TITULADA'!#REF!,"AAAAAH/Sf+0=")</f>
        <v>#REF!</v>
      </c>
      <c r="IE315" t="e">
        <f>IF('PROG FORMACIÓN TITULADA'!#REF!,"AAAAAH/Sf+4=",0)</f>
        <v>#REF!</v>
      </c>
      <c r="IF315" t="e">
        <f>AND('PROG FORMACIÓN TITULADA'!#REF!,"AAAAAH/Sf+8=")</f>
        <v>#REF!</v>
      </c>
      <c r="IG315" t="e">
        <f>AND('PROG FORMACIÓN TITULADA'!#REF!,"AAAAAH/Sf/A=")</f>
        <v>#REF!</v>
      </c>
      <c r="IH315" t="e">
        <f>AND('PROG FORMACIÓN TITULADA'!#REF!,"AAAAAH/Sf/E=")</f>
        <v>#REF!</v>
      </c>
      <c r="II315" t="e">
        <f>AND('PROG FORMACIÓN TITULADA'!#REF!,"AAAAAH/Sf/I=")</f>
        <v>#REF!</v>
      </c>
      <c r="IJ315" t="e">
        <f>AND('PROG FORMACIÓN TITULADA'!#REF!,"AAAAAH/Sf/M=")</f>
        <v>#REF!</v>
      </c>
      <c r="IK315" t="e">
        <f>AND('PROG FORMACIÓN TITULADA'!#REF!,"AAAAAH/Sf/Q=")</f>
        <v>#REF!</v>
      </c>
      <c r="IL315" t="e">
        <f>AND('PROG FORMACIÓN TITULADA'!#REF!,"AAAAAH/Sf/U=")</f>
        <v>#REF!</v>
      </c>
      <c r="IM315" t="e">
        <f>AND('PROG FORMACIÓN TITULADA'!#REF!,"AAAAAH/Sf/Y=")</f>
        <v>#REF!</v>
      </c>
      <c r="IN315" t="e">
        <f>AND('PROG FORMACIÓN TITULADA'!#REF!,"AAAAAH/Sf/c=")</f>
        <v>#REF!</v>
      </c>
      <c r="IO315" t="e">
        <f>AND('PROG FORMACIÓN TITULADA'!#REF!,"AAAAAH/Sf/g=")</f>
        <v>#REF!</v>
      </c>
      <c r="IP315" t="e">
        <f>AND('PROG FORMACIÓN TITULADA'!#REF!,"AAAAAH/Sf/k=")</f>
        <v>#REF!</v>
      </c>
      <c r="IQ315" t="e">
        <f>AND('PROG FORMACIÓN TITULADA'!#REF!,"AAAAAH/Sf/o=")</f>
        <v>#REF!</v>
      </c>
      <c r="IR315" t="e">
        <f>AND('PROG FORMACIÓN TITULADA'!#REF!,"AAAAAH/Sf/s=")</f>
        <v>#REF!</v>
      </c>
      <c r="IS315" t="e">
        <f>AND('PROG FORMACIÓN TITULADA'!#REF!,"AAAAAH/Sf/w=")</f>
        <v>#REF!</v>
      </c>
      <c r="IT315" t="e">
        <f>AND('PROG FORMACIÓN TITULADA'!#REF!,"AAAAAH/Sf/0=")</f>
        <v>#REF!</v>
      </c>
      <c r="IU315" t="e">
        <f>AND('PROG FORMACIÓN TITULADA'!#REF!,"AAAAAH/Sf/4=")</f>
        <v>#REF!</v>
      </c>
      <c r="IV315" t="e">
        <f>AND('PROG FORMACIÓN TITULADA'!#REF!,"AAAAAH/Sf/8=")</f>
        <v>#REF!</v>
      </c>
    </row>
    <row r="316" spans="1:256" x14ac:dyDescent="0.2">
      <c r="A316" t="e">
        <f>AND('PROG FORMACIÓN TITULADA'!#REF!,"AAAAAFb38gA=")</f>
        <v>#REF!</v>
      </c>
      <c r="B316" t="e">
        <f>AND('PROG FORMACIÓN TITULADA'!#REF!,"AAAAAFb38gE=")</f>
        <v>#REF!</v>
      </c>
      <c r="C316" t="e">
        <f>AND('PROG FORMACIÓN TITULADA'!#REF!,"AAAAAFb38gI=")</f>
        <v>#REF!</v>
      </c>
      <c r="D316" t="e">
        <f>AND('PROG FORMACIÓN TITULADA'!#REF!,"AAAAAFb38gM=")</f>
        <v>#REF!</v>
      </c>
      <c r="E316" t="e">
        <f>AND('PROG FORMACIÓN TITULADA'!#REF!,"AAAAAFb38gQ=")</f>
        <v>#REF!</v>
      </c>
      <c r="F316" t="e">
        <f>AND('PROG FORMACIÓN TITULADA'!#REF!,"AAAAAFb38gU=")</f>
        <v>#REF!</v>
      </c>
      <c r="G316" t="e">
        <f>AND('PROG FORMACIÓN TITULADA'!#REF!,"AAAAAFb38gY=")</f>
        <v>#REF!</v>
      </c>
      <c r="H316" t="e">
        <f>AND('PROG FORMACIÓN TITULADA'!#REF!,"AAAAAFb38gc=")</f>
        <v>#REF!</v>
      </c>
      <c r="I316" t="e">
        <f>AND('PROG FORMACIÓN TITULADA'!#REF!,"AAAAAFb38gg=")</f>
        <v>#REF!</v>
      </c>
      <c r="J316" t="e">
        <f>IF('PROG FORMACIÓN TITULADA'!#REF!,"AAAAAFb38gk=",0)</f>
        <v>#REF!</v>
      </c>
      <c r="K316" t="e">
        <f>AND('PROG FORMACIÓN TITULADA'!#REF!,"AAAAAFb38go=")</f>
        <v>#REF!</v>
      </c>
      <c r="L316" t="e">
        <f>AND('PROG FORMACIÓN TITULADA'!#REF!,"AAAAAFb38gs=")</f>
        <v>#REF!</v>
      </c>
      <c r="M316" t="e">
        <f>AND('PROG FORMACIÓN TITULADA'!#REF!,"AAAAAFb38gw=")</f>
        <v>#REF!</v>
      </c>
      <c r="N316" t="e">
        <f>AND('PROG FORMACIÓN TITULADA'!#REF!,"AAAAAFb38g0=")</f>
        <v>#REF!</v>
      </c>
      <c r="O316" t="e">
        <f>AND('PROG FORMACIÓN TITULADA'!#REF!,"AAAAAFb38g4=")</f>
        <v>#REF!</v>
      </c>
      <c r="P316" t="e">
        <f>AND('PROG FORMACIÓN TITULADA'!#REF!,"AAAAAFb38g8=")</f>
        <v>#REF!</v>
      </c>
      <c r="Q316" t="e">
        <f>AND('PROG FORMACIÓN TITULADA'!#REF!,"AAAAAFb38hA=")</f>
        <v>#REF!</v>
      </c>
      <c r="R316" t="e">
        <f>AND('PROG FORMACIÓN TITULADA'!#REF!,"AAAAAFb38hE=")</f>
        <v>#REF!</v>
      </c>
      <c r="S316" t="e">
        <f>AND('PROG FORMACIÓN TITULADA'!#REF!,"AAAAAFb38hI=")</f>
        <v>#REF!</v>
      </c>
      <c r="T316" t="e">
        <f>AND('PROG FORMACIÓN TITULADA'!#REF!,"AAAAAFb38hM=")</f>
        <v>#REF!</v>
      </c>
      <c r="U316" t="e">
        <f>AND('PROG FORMACIÓN TITULADA'!#REF!,"AAAAAFb38hQ=")</f>
        <v>#REF!</v>
      </c>
      <c r="V316" t="e">
        <f>AND('PROG FORMACIÓN TITULADA'!#REF!,"AAAAAFb38hU=")</f>
        <v>#REF!</v>
      </c>
      <c r="W316" t="e">
        <f>AND('PROG FORMACIÓN TITULADA'!#REF!,"AAAAAFb38hY=")</f>
        <v>#REF!</v>
      </c>
      <c r="X316" t="e">
        <f>AND('PROG FORMACIÓN TITULADA'!#REF!,"AAAAAFb38hc=")</f>
        <v>#REF!</v>
      </c>
      <c r="Y316" t="e">
        <f>AND('PROG FORMACIÓN TITULADA'!#REF!,"AAAAAFb38hg=")</f>
        <v>#REF!</v>
      </c>
      <c r="Z316" t="e">
        <f>AND('PROG FORMACIÓN TITULADA'!#REF!,"AAAAAFb38hk=")</f>
        <v>#REF!</v>
      </c>
      <c r="AA316" t="e">
        <f>AND('PROG FORMACIÓN TITULADA'!#REF!,"AAAAAFb38ho=")</f>
        <v>#REF!</v>
      </c>
      <c r="AB316" t="e">
        <f>AND('PROG FORMACIÓN TITULADA'!#REF!,"AAAAAFb38hs=")</f>
        <v>#REF!</v>
      </c>
      <c r="AC316" t="e">
        <f>AND('PROG FORMACIÓN TITULADA'!#REF!,"AAAAAFb38hw=")</f>
        <v>#REF!</v>
      </c>
      <c r="AD316" t="e">
        <f>AND('PROG FORMACIÓN TITULADA'!#REF!,"AAAAAFb38h0=")</f>
        <v>#REF!</v>
      </c>
      <c r="AE316" t="e">
        <f>AND('PROG FORMACIÓN TITULADA'!#REF!,"AAAAAFb38h4=")</f>
        <v>#REF!</v>
      </c>
      <c r="AF316" t="e">
        <f>AND('PROG FORMACIÓN TITULADA'!#REF!,"AAAAAFb38h8=")</f>
        <v>#REF!</v>
      </c>
      <c r="AG316" t="e">
        <f>AND('PROG FORMACIÓN TITULADA'!#REF!,"AAAAAFb38iA=")</f>
        <v>#REF!</v>
      </c>
      <c r="AH316" t="e">
        <f>AND('PROG FORMACIÓN TITULADA'!#REF!,"AAAAAFb38iE=")</f>
        <v>#REF!</v>
      </c>
      <c r="AI316" t="e">
        <f>AND('PROG FORMACIÓN TITULADA'!#REF!,"AAAAAFb38iI=")</f>
        <v>#REF!</v>
      </c>
      <c r="AJ316" t="e">
        <f>AND('PROG FORMACIÓN TITULADA'!#REF!,"AAAAAFb38iM=")</f>
        <v>#REF!</v>
      </c>
      <c r="AK316" t="e">
        <f>IF('PROG FORMACIÓN TITULADA'!#REF!,"AAAAAFb38iQ=",0)</f>
        <v>#REF!</v>
      </c>
      <c r="AL316" t="e">
        <f>AND('PROG FORMACIÓN TITULADA'!#REF!,"AAAAAFb38iU=")</f>
        <v>#REF!</v>
      </c>
      <c r="AM316" t="e">
        <f>AND('PROG FORMACIÓN TITULADA'!#REF!,"AAAAAFb38iY=")</f>
        <v>#REF!</v>
      </c>
      <c r="AN316" t="e">
        <f>AND('PROG FORMACIÓN TITULADA'!#REF!,"AAAAAFb38ic=")</f>
        <v>#REF!</v>
      </c>
      <c r="AO316" t="e">
        <f>AND('PROG FORMACIÓN TITULADA'!#REF!,"AAAAAFb38ig=")</f>
        <v>#REF!</v>
      </c>
      <c r="AP316" t="e">
        <f>AND('PROG FORMACIÓN TITULADA'!#REF!,"AAAAAFb38ik=")</f>
        <v>#REF!</v>
      </c>
      <c r="AQ316" t="e">
        <f>AND('PROG FORMACIÓN TITULADA'!#REF!,"AAAAAFb38io=")</f>
        <v>#REF!</v>
      </c>
      <c r="AR316" t="e">
        <f>AND('PROG FORMACIÓN TITULADA'!#REF!,"AAAAAFb38is=")</f>
        <v>#REF!</v>
      </c>
      <c r="AS316" t="e">
        <f>AND('PROG FORMACIÓN TITULADA'!#REF!,"AAAAAFb38iw=")</f>
        <v>#REF!</v>
      </c>
      <c r="AT316" t="e">
        <f>AND('PROG FORMACIÓN TITULADA'!#REF!,"AAAAAFb38i0=")</f>
        <v>#REF!</v>
      </c>
      <c r="AU316" t="e">
        <f>AND('PROG FORMACIÓN TITULADA'!#REF!,"AAAAAFb38i4=")</f>
        <v>#REF!</v>
      </c>
      <c r="AV316" t="e">
        <f>AND('PROG FORMACIÓN TITULADA'!#REF!,"AAAAAFb38i8=")</f>
        <v>#REF!</v>
      </c>
      <c r="AW316" t="e">
        <f>AND('PROG FORMACIÓN TITULADA'!#REF!,"AAAAAFb38jA=")</f>
        <v>#REF!</v>
      </c>
      <c r="AX316" t="e">
        <f>AND('PROG FORMACIÓN TITULADA'!#REF!,"AAAAAFb38jE=")</f>
        <v>#REF!</v>
      </c>
      <c r="AY316" t="e">
        <f>AND('PROG FORMACIÓN TITULADA'!#REF!,"AAAAAFb38jI=")</f>
        <v>#REF!</v>
      </c>
      <c r="AZ316" t="e">
        <f>AND('PROG FORMACIÓN TITULADA'!#REF!,"AAAAAFb38jM=")</f>
        <v>#REF!</v>
      </c>
      <c r="BA316" t="e">
        <f>AND('PROG FORMACIÓN TITULADA'!#REF!,"AAAAAFb38jQ=")</f>
        <v>#REF!</v>
      </c>
      <c r="BB316" t="e">
        <f>AND('PROG FORMACIÓN TITULADA'!#REF!,"AAAAAFb38jU=")</f>
        <v>#REF!</v>
      </c>
      <c r="BC316" t="e">
        <f>AND('PROG FORMACIÓN TITULADA'!#REF!,"AAAAAFb38jY=")</f>
        <v>#REF!</v>
      </c>
      <c r="BD316" t="e">
        <f>AND('PROG FORMACIÓN TITULADA'!#REF!,"AAAAAFb38jc=")</f>
        <v>#REF!</v>
      </c>
      <c r="BE316" t="e">
        <f>AND('PROG FORMACIÓN TITULADA'!#REF!,"AAAAAFb38jg=")</f>
        <v>#REF!</v>
      </c>
      <c r="BF316" t="e">
        <f>AND('PROG FORMACIÓN TITULADA'!#REF!,"AAAAAFb38jk=")</f>
        <v>#REF!</v>
      </c>
      <c r="BG316" t="e">
        <f>AND('PROG FORMACIÓN TITULADA'!#REF!,"AAAAAFb38jo=")</f>
        <v>#REF!</v>
      </c>
      <c r="BH316" t="e">
        <f>AND('PROG FORMACIÓN TITULADA'!#REF!,"AAAAAFb38js=")</f>
        <v>#REF!</v>
      </c>
      <c r="BI316" t="e">
        <f>AND('PROG FORMACIÓN TITULADA'!#REF!,"AAAAAFb38jw=")</f>
        <v>#REF!</v>
      </c>
      <c r="BJ316" t="e">
        <f>AND('PROG FORMACIÓN TITULADA'!#REF!,"AAAAAFb38j0=")</f>
        <v>#REF!</v>
      </c>
      <c r="BK316" t="e">
        <f>AND('PROG FORMACIÓN TITULADA'!#REF!,"AAAAAFb38j4=")</f>
        <v>#REF!</v>
      </c>
      <c r="BL316" t="e">
        <f>IF('PROG FORMACIÓN TITULADA'!#REF!,"AAAAAFb38j8=",0)</f>
        <v>#REF!</v>
      </c>
      <c r="BM316" t="e">
        <f>AND('PROG FORMACIÓN TITULADA'!#REF!,"AAAAAFb38kA=")</f>
        <v>#REF!</v>
      </c>
      <c r="BN316" t="e">
        <f>AND('PROG FORMACIÓN TITULADA'!#REF!,"AAAAAFb38kE=")</f>
        <v>#REF!</v>
      </c>
      <c r="BO316" t="e">
        <f>AND('PROG FORMACIÓN TITULADA'!#REF!,"AAAAAFb38kI=")</f>
        <v>#REF!</v>
      </c>
      <c r="BP316" t="e">
        <f>AND('PROG FORMACIÓN TITULADA'!#REF!,"AAAAAFb38kM=")</f>
        <v>#REF!</v>
      </c>
      <c r="BQ316" t="e">
        <f>AND('PROG FORMACIÓN TITULADA'!#REF!,"AAAAAFb38kQ=")</f>
        <v>#REF!</v>
      </c>
      <c r="BR316" t="e">
        <f>AND('PROG FORMACIÓN TITULADA'!#REF!,"AAAAAFb38kU=")</f>
        <v>#REF!</v>
      </c>
      <c r="BS316" t="e">
        <f>AND('PROG FORMACIÓN TITULADA'!#REF!,"AAAAAFb38kY=")</f>
        <v>#REF!</v>
      </c>
      <c r="BT316" t="e">
        <f>AND('PROG FORMACIÓN TITULADA'!#REF!,"AAAAAFb38kc=")</f>
        <v>#REF!</v>
      </c>
      <c r="BU316" t="e">
        <f>AND('PROG FORMACIÓN TITULADA'!#REF!,"AAAAAFb38kg=")</f>
        <v>#REF!</v>
      </c>
      <c r="BV316" t="e">
        <f>AND('PROG FORMACIÓN TITULADA'!#REF!,"AAAAAFb38kk=")</f>
        <v>#REF!</v>
      </c>
      <c r="BW316" t="e">
        <f>AND('PROG FORMACIÓN TITULADA'!#REF!,"AAAAAFb38ko=")</f>
        <v>#REF!</v>
      </c>
      <c r="BX316" t="e">
        <f>AND('PROG FORMACIÓN TITULADA'!#REF!,"AAAAAFb38ks=")</f>
        <v>#REF!</v>
      </c>
      <c r="BY316" t="e">
        <f>AND('PROG FORMACIÓN TITULADA'!#REF!,"AAAAAFb38kw=")</f>
        <v>#REF!</v>
      </c>
      <c r="BZ316" t="e">
        <f>AND('PROG FORMACIÓN TITULADA'!#REF!,"AAAAAFb38k0=")</f>
        <v>#REF!</v>
      </c>
      <c r="CA316" t="e">
        <f>AND('PROG FORMACIÓN TITULADA'!#REF!,"AAAAAFb38k4=")</f>
        <v>#REF!</v>
      </c>
      <c r="CB316" t="e">
        <f>AND('PROG FORMACIÓN TITULADA'!#REF!,"AAAAAFb38k8=")</f>
        <v>#REF!</v>
      </c>
      <c r="CC316" t="e">
        <f>AND('PROG FORMACIÓN TITULADA'!#REF!,"AAAAAFb38lA=")</f>
        <v>#REF!</v>
      </c>
      <c r="CD316" t="e">
        <f>AND('PROG FORMACIÓN TITULADA'!#REF!,"AAAAAFb38lE=")</f>
        <v>#REF!</v>
      </c>
      <c r="CE316" t="e">
        <f>AND('PROG FORMACIÓN TITULADA'!#REF!,"AAAAAFb38lI=")</f>
        <v>#REF!</v>
      </c>
      <c r="CF316" t="e">
        <f>AND('PROG FORMACIÓN TITULADA'!#REF!,"AAAAAFb38lM=")</f>
        <v>#REF!</v>
      </c>
      <c r="CG316" t="e">
        <f>AND('PROG FORMACIÓN TITULADA'!#REF!,"AAAAAFb38lQ=")</f>
        <v>#REF!</v>
      </c>
      <c r="CH316" t="e">
        <f>AND('PROG FORMACIÓN TITULADA'!#REF!,"AAAAAFb38lU=")</f>
        <v>#REF!</v>
      </c>
      <c r="CI316" t="e">
        <f>AND('PROG FORMACIÓN TITULADA'!#REF!,"AAAAAFb38lY=")</f>
        <v>#REF!</v>
      </c>
      <c r="CJ316" t="e">
        <f>AND('PROG FORMACIÓN TITULADA'!#REF!,"AAAAAFb38lc=")</f>
        <v>#REF!</v>
      </c>
      <c r="CK316" t="e">
        <f>AND('PROG FORMACIÓN TITULADA'!#REF!,"AAAAAFb38lg=")</f>
        <v>#REF!</v>
      </c>
      <c r="CL316" t="e">
        <f>AND('PROG FORMACIÓN TITULADA'!#REF!,"AAAAAFb38lk=")</f>
        <v>#REF!</v>
      </c>
      <c r="CM316" t="e">
        <f>IF('PROG FORMACIÓN TITULADA'!#REF!,"AAAAAFb38lo=",0)</f>
        <v>#REF!</v>
      </c>
      <c r="CN316" t="e">
        <f>AND('PROG FORMACIÓN TITULADA'!#REF!,"AAAAAFb38ls=")</f>
        <v>#REF!</v>
      </c>
      <c r="CO316" t="e">
        <f>AND('PROG FORMACIÓN TITULADA'!#REF!,"AAAAAFb38lw=")</f>
        <v>#REF!</v>
      </c>
      <c r="CP316" t="e">
        <f>AND('PROG FORMACIÓN TITULADA'!#REF!,"AAAAAFb38l0=")</f>
        <v>#REF!</v>
      </c>
      <c r="CQ316" t="e">
        <f>AND('PROG FORMACIÓN TITULADA'!#REF!,"AAAAAFb38l4=")</f>
        <v>#REF!</v>
      </c>
      <c r="CR316" t="e">
        <f>AND('PROG FORMACIÓN TITULADA'!#REF!,"AAAAAFb38l8=")</f>
        <v>#REF!</v>
      </c>
      <c r="CS316" t="e">
        <f>AND('PROG FORMACIÓN TITULADA'!#REF!,"AAAAAFb38mA=")</f>
        <v>#REF!</v>
      </c>
      <c r="CT316" t="e">
        <f>AND('PROG FORMACIÓN TITULADA'!#REF!,"AAAAAFb38mE=")</f>
        <v>#REF!</v>
      </c>
      <c r="CU316" t="e">
        <f>AND('PROG FORMACIÓN TITULADA'!#REF!,"AAAAAFb38mI=")</f>
        <v>#REF!</v>
      </c>
      <c r="CV316" t="e">
        <f>AND('PROG FORMACIÓN TITULADA'!#REF!,"AAAAAFb38mM=")</f>
        <v>#REF!</v>
      </c>
      <c r="CW316" t="e">
        <f>AND('PROG FORMACIÓN TITULADA'!#REF!,"AAAAAFb38mQ=")</f>
        <v>#REF!</v>
      </c>
      <c r="CX316" t="e">
        <f>AND('PROG FORMACIÓN TITULADA'!#REF!,"AAAAAFb38mU=")</f>
        <v>#REF!</v>
      </c>
      <c r="CY316" t="e">
        <f>AND('PROG FORMACIÓN TITULADA'!#REF!,"AAAAAFb38mY=")</f>
        <v>#REF!</v>
      </c>
      <c r="CZ316" t="e">
        <f>AND('PROG FORMACIÓN TITULADA'!#REF!,"AAAAAFb38mc=")</f>
        <v>#REF!</v>
      </c>
      <c r="DA316" t="e">
        <f>AND('PROG FORMACIÓN TITULADA'!#REF!,"AAAAAFb38mg=")</f>
        <v>#REF!</v>
      </c>
      <c r="DB316" t="e">
        <f>AND('PROG FORMACIÓN TITULADA'!#REF!,"AAAAAFb38mk=")</f>
        <v>#REF!</v>
      </c>
      <c r="DC316" t="e">
        <f>AND('PROG FORMACIÓN TITULADA'!#REF!,"AAAAAFb38mo=")</f>
        <v>#REF!</v>
      </c>
      <c r="DD316" t="e">
        <f>AND('PROG FORMACIÓN TITULADA'!#REF!,"AAAAAFb38ms=")</f>
        <v>#REF!</v>
      </c>
      <c r="DE316" t="e">
        <f>AND('PROG FORMACIÓN TITULADA'!#REF!,"AAAAAFb38mw=")</f>
        <v>#REF!</v>
      </c>
      <c r="DF316" t="e">
        <f>AND('PROG FORMACIÓN TITULADA'!#REF!,"AAAAAFb38m0=")</f>
        <v>#REF!</v>
      </c>
      <c r="DG316" t="e">
        <f>AND('PROG FORMACIÓN TITULADA'!#REF!,"AAAAAFb38m4=")</f>
        <v>#REF!</v>
      </c>
      <c r="DH316" t="e">
        <f>AND('PROG FORMACIÓN TITULADA'!#REF!,"AAAAAFb38m8=")</f>
        <v>#REF!</v>
      </c>
      <c r="DI316" t="e">
        <f>AND('PROG FORMACIÓN TITULADA'!#REF!,"AAAAAFb38nA=")</f>
        <v>#REF!</v>
      </c>
      <c r="DJ316" t="e">
        <f>AND('PROG FORMACIÓN TITULADA'!#REF!,"AAAAAFb38nE=")</f>
        <v>#REF!</v>
      </c>
      <c r="DK316" t="e">
        <f>AND('PROG FORMACIÓN TITULADA'!#REF!,"AAAAAFb38nI=")</f>
        <v>#REF!</v>
      </c>
      <c r="DL316" t="e">
        <f>AND('PROG FORMACIÓN TITULADA'!#REF!,"AAAAAFb38nM=")</f>
        <v>#REF!</v>
      </c>
      <c r="DM316" t="e">
        <f>AND('PROG FORMACIÓN TITULADA'!#REF!,"AAAAAFb38nQ=")</f>
        <v>#REF!</v>
      </c>
      <c r="DN316" t="e">
        <f>IF('PROG FORMACIÓN TITULADA'!#REF!,"AAAAAFb38nU=",0)</f>
        <v>#REF!</v>
      </c>
      <c r="DO316" t="e">
        <f>AND('PROG FORMACIÓN TITULADA'!#REF!,"AAAAAFb38nY=")</f>
        <v>#REF!</v>
      </c>
      <c r="DP316" t="e">
        <f>AND('PROG FORMACIÓN TITULADA'!#REF!,"AAAAAFb38nc=")</f>
        <v>#REF!</v>
      </c>
      <c r="DQ316" t="e">
        <f>AND('PROG FORMACIÓN TITULADA'!#REF!,"AAAAAFb38ng=")</f>
        <v>#REF!</v>
      </c>
      <c r="DR316" t="e">
        <f>AND('PROG FORMACIÓN TITULADA'!#REF!,"AAAAAFb38nk=")</f>
        <v>#REF!</v>
      </c>
      <c r="DS316" t="e">
        <f>AND('PROG FORMACIÓN TITULADA'!#REF!,"AAAAAFb38no=")</f>
        <v>#REF!</v>
      </c>
      <c r="DT316" t="e">
        <f>AND('PROG FORMACIÓN TITULADA'!#REF!,"AAAAAFb38ns=")</f>
        <v>#REF!</v>
      </c>
      <c r="DU316" t="e">
        <f>AND('PROG FORMACIÓN TITULADA'!#REF!,"AAAAAFb38nw=")</f>
        <v>#REF!</v>
      </c>
      <c r="DV316" t="e">
        <f>AND('PROG FORMACIÓN TITULADA'!#REF!,"AAAAAFb38n0=")</f>
        <v>#REF!</v>
      </c>
      <c r="DW316" t="e">
        <f>AND('PROG FORMACIÓN TITULADA'!#REF!,"AAAAAFb38n4=")</f>
        <v>#REF!</v>
      </c>
      <c r="DX316" t="e">
        <f>AND('PROG FORMACIÓN TITULADA'!#REF!,"AAAAAFb38n8=")</f>
        <v>#REF!</v>
      </c>
      <c r="DY316" t="e">
        <f>AND('PROG FORMACIÓN TITULADA'!#REF!,"AAAAAFb38oA=")</f>
        <v>#REF!</v>
      </c>
      <c r="DZ316" t="e">
        <f>AND('PROG FORMACIÓN TITULADA'!#REF!,"AAAAAFb38oE=")</f>
        <v>#REF!</v>
      </c>
      <c r="EA316" t="e">
        <f>AND('PROG FORMACIÓN TITULADA'!#REF!,"AAAAAFb38oI=")</f>
        <v>#REF!</v>
      </c>
      <c r="EB316" t="e">
        <f>AND('PROG FORMACIÓN TITULADA'!#REF!,"AAAAAFb38oM=")</f>
        <v>#REF!</v>
      </c>
      <c r="EC316" t="e">
        <f>AND('PROG FORMACIÓN TITULADA'!#REF!,"AAAAAFb38oQ=")</f>
        <v>#REF!</v>
      </c>
      <c r="ED316" t="e">
        <f>AND('PROG FORMACIÓN TITULADA'!#REF!,"AAAAAFb38oU=")</f>
        <v>#REF!</v>
      </c>
      <c r="EE316" t="e">
        <f>AND('PROG FORMACIÓN TITULADA'!#REF!,"AAAAAFb38oY=")</f>
        <v>#REF!</v>
      </c>
      <c r="EF316" t="e">
        <f>AND('PROG FORMACIÓN TITULADA'!#REF!,"AAAAAFb38oc=")</f>
        <v>#REF!</v>
      </c>
      <c r="EG316" t="e">
        <f>AND('PROG FORMACIÓN TITULADA'!#REF!,"AAAAAFb38og=")</f>
        <v>#REF!</v>
      </c>
      <c r="EH316" t="e">
        <f>AND('PROG FORMACIÓN TITULADA'!#REF!,"AAAAAFb38ok=")</f>
        <v>#REF!</v>
      </c>
      <c r="EI316" t="e">
        <f>AND('PROG FORMACIÓN TITULADA'!#REF!,"AAAAAFb38oo=")</f>
        <v>#REF!</v>
      </c>
      <c r="EJ316" t="e">
        <f>AND('PROG FORMACIÓN TITULADA'!#REF!,"AAAAAFb38os=")</f>
        <v>#REF!</v>
      </c>
      <c r="EK316" t="e">
        <f>AND('PROG FORMACIÓN TITULADA'!#REF!,"AAAAAFb38ow=")</f>
        <v>#REF!</v>
      </c>
      <c r="EL316" t="e">
        <f>AND('PROG FORMACIÓN TITULADA'!#REF!,"AAAAAFb38o0=")</f>
        <v>#REF!</v>
      </c>
      <c r="EM316" t="e">
        <f>AND('PROG FORMACIÓN TITULADA'!#REF!,"AAAAAFb38o4=")</f>
        <v>#REF!</v>
      </c>
      <c r="EN316" t="e">
        <f>AND('PROG FORMACIÓN TITULADA'!#REF!,"AAAAAFb38o8=")</f>
        <v>#REF!</v>
      </c>
      <c r="EO316" t="e">
        <f>IF('PROG FORMACIÓN TITULADA'!#REF!,"AAAAAFb38pA=",0)</f>
        <v>#REF!</v>
      </c>
      <c r="EP316" t="e">
        <f>AND('PROG FORMACIÓN TITULADA'!#REF!,"AAAAAFb38pE=")</f>
        <v>#REF!</v>
      </c>
      <c r="EQ316" t="e">
        <f>AND('PROG FORMACIÓN TITULADA'!#REF!,"AAAAAFb38pI=")</f>
        <v>#REF!</v>
      </c>
      <c r="ER316" t="e">
        <f>AND('PROG FORMACIÓN TITULADA'!#REF!,"AAAAAFb38pM=")</f>
        <v>#REF!</v>
      </c>
      <c r="ES316" t="e">
        <f>AND('PROG FORMACIÓN TITULADA'!#REF!,"AAAAAFb38pQ=")</f>
        <v>#REF!</v>
      </c>
      <c r="ET316" t="e">
        <f>AND('PROG FORMACIÓN TITULADA'!#REF!,"AAAAAFb38pU=")</f>
        <v>#REF!</v>
      </c>
      <c r="EU316" t="e">
        <f>AND('PROG FORMACIÓN TITULADA'!#REF!,"AAAAAFb38pY=")</f>
        <v>#REF!</v>
      </c>
      <c r="EV316" t="e">
        <f>AND('PROG FORMACIÓN TITULADA'!#REF!,"AAAAAFb38pc=")</f>
        <v>#REF!</v>
      </c>
      <c r="EW316" t="e">
        <f>AND('PROG FORMACIÓN TITULADA'!#REF!,"AAAAAFb38pg=")</f>
        <v>#REF!</v>
      </c>
      <c r="EX316" t="e">
        <f>AND('PROG FORMACIÓN TITULADA'!#REF!,"AAAAAFb38pk=")</f>
        <v>#REF!</v>
      </c>
      <c r="EY316" t="e">
        <f>AND('PROG FORMACIÓN TITULADA'!#REF!,"AAAAAFb38po=")</f>
        <v>#REF!</v>
      </c>
      <c r="EZ316" t="e">
        <f>AND('PROG FORMACIÓN TITULADA'!#REF!,"AAAAAFb38ps=")</f>
        <v>#REF!</v>
      </c>
      <c r="FA316" t="e">
        <f>AND('PROG FORMACIÓN TITULADA'!#REF!,"AAAAAFb38pw=")</f>
        <v>#REF!</v>
      </c>
      <c r="FB316" t="e">
        <f>AND('PROG FORMACIÓN TITULADA'!#REF!,"AAAAAFb38p0=")</f>
        <v>#REF!</v>
      </c>
      <c r="FC316" t="e">
        <f>AND('PROG FORMACIÓN TITULADA'!#REF!,"AAAAAFb38p4=")</f>
        <v>#REF!</v>
      </c>
      <c r="FD316" t="e">
        <f>AND('PROG FORMACIÓN TITULADA'!#REF!,"AAAAAFb38p8=")</f>
        <v>#REF!</v>
      </c>
      <c r="FE316" t="e">
        <f>AND('PROG FORMACIÓN TITULADA'!#REF!,"AAAAAFb38qA=")</f>
        <v>#REF!</v>
      </c>
      <c r="FF316" t="e">
        <f>AND('PROG FORMACIÓN TITULADA'!#REF!,"AAAAAFb38qE=")</f>
        <v>#REF!</v>
      </c>
      <c r="FG316" t="e">
        <f>AND('PROG FORMACIÓN TITULADA'!#REF!,"AAAAAFb38qI=")</f>
        <v>#REF!</v>
      </c>
      <c r="FH316" t="e">
        <f>AND('PROG FORMACIÓN TITULADA'!#REF!,"AAAAAFb38qM=")</f>
        <v>#REF!</v>
      </c>
      <c r="FI316" t="e">
        <f>AND('PROG FORMACIÓN TITULADA'!#REF!,"AAAAAFb38qQ=")</f>
        <v>#REF!</v>
      </c>
      <c r="FJ316" t="e">
        <f>AND('PROG FORMACIÓN TITULADA'!#REF!,"AAAAAFb38qU=")</f>
        <v>#REF!</v>
      </c>
      <c r="FK316" t="e">
        <f>AND('PROG FORMACIÓN TITULADA'!#REF!,"AAAAAFb38qY=")</f>
        <v>#REF!</v>
      </c>
      <c r="FL316" t="e">
        <f>AND('PROG FORMACIÓN TITULADA'!#REF!,"AAAAAFb38qc=")</f>
        <v>#REF!</v>
      </c>
      <c r="FM316" t="e">
        <f>AND('PROG FORMACIÓN TITULADA'!#REF!,"AAAAAFb38qg=")</f>
        <v>#REF!</v>
      </c>
      <c r="FN316" t="e">
        <f>AND('PROG FORMACIÓN TITULADA'!#REF!,"AAAAAFb38qk=")</f>
        <v>#REF!</v>
      </c>
      <c r="FO316" t="e">
        <f>AND('PROG FORMACIÓN TITULADA'!#REF!,"AAAAAFb38qo=")</f>
        <v>#REF!</v>
      </c>
      <c r="FP316" t="e">
        <f>IF('PROG FORMACIÓN TITULADA'!#REF!,"AAAAAFb38qs=",0)</f>
        <v>#REF!</v>
      </c>
      <c r="FQ316" t="e">
        <f>AND('PROG FORMACIÓN TITULADA'!#REF!,"AAAAAFb38qw=")</f>
        <v>#REF!</v>
      </c>
      <c r="FR316" t="e">
        <f>AND('PROG FORMACIÓN TITULADA'!#REF!,"AAAAAFb38q0=")</f>
        <v>#REF!</v>
      </c>
      <c r="FS316" t="e">
        <f>AND('PROG FORMACIÓN TITULADA'!#REF!,"AAAAAFb38q4=")</f>
        <v>#REF!</v>
      </c>
      <c r="FT316" t="e">
        <f>AND('PROG FORMACIÓN TITULADA'!#REF!,"AAAAAFb38q8=")</f>
        <v>#REF!</v>
      </c>
      <c r="FU316" t="e">
        <f>AND('PROG FORMACIÓN TITULADA'!#REF!,"AAAAAFb38rA=")</f>
        <v>#REF!</v>
      </c>
      <c r="FV316" t="e">
        <f>AND('PROG FORMACIÓN TITULADA'!#REF!,"AAAAAFb38rE=")</f>
        <v>#REF!</v>
      </c>
      <c r="FW316" t="e">
        <f>AND('PROG FORMACIÓN TITULADA'!#REF!,"AAAAAFb38rI=")</f>
        <v>#REF!</v>
      </c>
      <c r="FX316" t="e">
        <f>AND('PROG FORMACIÓN TITULADA'!#REF!,"AAAAAFb38rM=")</f>
        <v>#REF!</v>
      </c>
      <c r="FY316" t="e">
        <f>AND('PROG FORMACIÓN TITULADA'!#REF!,"AAAAAFb38rQ=")</f>
        <v>#REF!</v>
      </c>
      <c r="FZ316" t="e">
        <f>AND('PROG FORMACIÓN TITULADA'!#REF!,"AAAAAFb38rU=")</f>
        <v>#REF!</v>
      </c>
      <c r="GA316" t="e">
        <f>AND('PROG FORMACIÓN TITULADA'!#REF!,"AAAAAFb38rY=")</f>
        <v>#REF!</v>
      </c>
      <c r="GB316" t="e">
        <f>AND('PROG FORMACIÓN TITULADA'!#REF!,"AAAAAFb38rc=")</f>
        <v>#REF!</v>
      </c>
      <c r="GC316" t="e">
        <f>AND('PROG FORMACIÓN TITULADA'!#REF!,"AAAAAFb38rg=")</f>
        <v>#REF!</v>
      </c>
      <c r="GD316" t="e">
        <f>AND('PROG FORMACIÓN TITULADA'!#REF!,"AAAAAFb38rk=")</f>
        <v>#REF!</v>
      </c>
      <c r="GE316" t="e">
        <f>AND('PROG FORMACIÓN TITULADA'!#REF!,"AAAAAFb38ro=")</f>
        <v>#REF!</v>
      </c>
      <c r="GF316" t="e">
        <f>AND('PROG FORMACIÓN TITULADA'!#REF!,"AAAAAFb38rs=")</f>
        <v>#REF!</v>
      </c>
      <c r="GG316" t="e">
        <f>AND('PROG FORMACIÓN TITULADA'!#REF!,"AAAAAFb38rw=")</f>
        <v>#REF!</v>
      </c>
      <c r="GH316" t="e">
        <f>AND('PROG FORMACIÓN TITULADA'!#REF!,"AAAAAFb38r0=")</f>
        <v>#REF!</v>
      </c>
      <c r="GI316" t="e">
        <f>AND('PROG FORMACIÓN TITULADA'!#REF!,"AAAAAFb38r4=")</f>
        <v>#REF!</v>
      </c>
      <c r="GJ316" t="e">
        <f>AND('PROG FORMACIÓN TITULADA'!#REF!,"AAAAAFb38r8=")</f>
        <v>#REF!</v>
      </c>
      <c r="GK316" t="e">
        <f>AND('PROG FORMACIÓN TITULADA'!#REF!,"AAAAAFb38sA=")</f>
        <v>#REF!</v>
      </c>
      <c r="GL316" t="e">
        <f>AND('PROG FORMACIÓN TITULADA'!#REF!,"AAAAAFb38sE=")</f>
        <v>#REF!</v>
      </c>
      <c r="GM316" t="e">
        <f>AND('PROG FORMACIÓN TITULADA'!#REF!,"AAAAAFb38sI=")</f>
        <v>#REF!</v>
      </c>
      <c r="GN316" t="e">
        <f>AND('PROG FORMACIÓN TITULADA'!#REF!,"AAAAAFb38sM=")</f>
        <v>#REF!</v>
      </c>
      <c r="GO316" t="e">
        <f>AND('PROG FORMACIÓN TITULADA'!#REF!,"AAAAAFb38sQ=")</f>
        <v>#REF!</v>
      </c>
      <c r="GP316" t="e">
        <f>AND('PROG FORMACIÓN TITULADA'!#REF!,"AAAAAFb38sU=")</f>
        <v>#REF!</v>
      </c>
      <c r="GQ316" t="e">
        <f>IF('PROG FORMACIÓN TITULADA'!#REF!,"AAAAAFb38sY=",0)</f>
        <v>#REF!</v>
      </c>
      <c r="GR316" t="e">
        <f>AND('PROG FORMACIÓN TITULADA'!#REF!,"AAAAAFb38sc=")</f>
        <v>#REF!</v>
      </c>
      <c r="GS316" t="e">
        <f>AND('PROG FORMACIÓN TITULADA'!#REF!,"AAAAAFb38sg=")</f>
        <v>#REF!</v>
      </c>
      <c r="GT316" t="e">
        <f>AND('PROG FORMACIÓN TITULADA'!#REF!,"AAAAAFb38sk=")</f>
        <v>#REF!</v>
      </c>
      <c r="GU316" t="e">
        <f>AND('PROG FORMACIÓN TITULADA'!#REF!,"AAAAAFb38so=")</f>
        <v>#REF!</v>
      </c>
      <c r="GV316" t="e">
        <f>AND('PROG FORMACIÓN TITULADA'!#REF!,"AAAAAFb38ss=")</f>
        <v>#REF!</v>
      </c>
      <c r="GW316" t="e">
        <f>AND('PROG FORMACIÓN TITULADA'!#REF!,"AAAAAFb38sw=")</f>
        <v>#REF!</v>
      </c>
      <c r="GX316" t="e">
        <f>AND('PROG FORMACIÓN TITULADA'!#REF!,"AAAAAFb38s0=")</f>
        <v>#REF!</v>
      </c>
      <c r="GY316" t="e">
        <f>AND('PROG FORMACIÓN TITULADA'!#REF!,"AAAAAFb38s4=")</f>
        <v>#REF!</v>
      </c>
      <c r="GZ316" t="e">
        <f>AND('PROG FORMACIÓN TITULADA'!#REF!,"AAAAAFb38s8=")</f>
        <v>#REF!</v>
      </c>
      <c r="HA316" t="e">
        <f>AND('PROG FORMACIÓN TITULADA'!#REF!,"AAAAAFb38tA=")</f>
        <v>#REF!</v>
      </c>
      <c r="HB316" t="e">
        <f>AND('PROG FORMACIÓN TITULADA'!#REF!,"AAAAAFb38tE=")</f>
        <v>#REF!</v>
      </c>
      <c r="HC316" t="e">
        <f>AND('PROG FORMACIÓN TITULADA'!#REF!,"AAAAAFb38tI=")</f>
        <v>#REF!</v>
      </c>
      <c r="HD316" t="e">
        <f>AND('PROG FORMACIÓN TITULADA'!#REF!,"AAAAAFb38tM=")</f>
        <v>#REF!</v>
      </c>
      <c r="HE316" t="e">
        <f>AND('PROG FORMACIÓN TITULADA'!#REF!,"AAAAAFb38tQ=")</f>
        <v>#REF!</v>
      </c>
      <c r="HF316" t="e">
        <f>AND('PROG FORMACIÓN TITULADA'!#REF!,"AAAAAFb38tU=")</f>
        <v>#REF!</v>
      </c>
      <c r="HG316" t="e">
        <f>AND('PROG FORMACIÓN TITULADA'!#REF!,"AAAAAFb38tY=")</f>
        <v>#REF!</v>
      </c>
      <c r="HH316" t="e">
        <f>AND('PROG FORMACIÓN TITULADA'!#REF!,"AAAAAFb38tc=")</f>
        <v>#REF!</v>
      </c>
      <c r="HI316" t="e">
        <f>AND('PROG FORMACIÓN TITULADA'!#REF!,"AAAAAFb38tg=")</f>
        <v>#REF!</v>
      </c>
      <c r="HJ316" t="e">
        <f>AND('PROG FORMACIÓN TITULADA'!#REF!,"AAAAAFb38tk=")</f>
        <v>#REF!</v>
      </c>
      <c r="HK316" t="e">
        <f>AND('PROG FORMACIÓN TITULADA'!#REF!,"AAAAAFb38to=")</f>
        <v>#REF!</v>
      </c>
      <c r="HL316" t="e">
        <f>AND('PROG FORMACIÓN TITULADA'!#REF!,"AAAAAFb38ts=")</f>
        <v>#REF!</v>
      </c>
      <c r="HM316" t="e">
        <f>AND('PROG FORMACIÓN TITULADA'!#REF!,"AAAAAFb38tw=")</f>
        <v>#REF!</v>
      </c>
      <c r="HN316" t="e">
        <f>AND('PROG FORMACIÓN TITULADA'!#REF!,"AAAAAFb38t0=")</f>
        <v>#REF!</v>
      </c>
      <c r="HO316" t="e">
        <f>AND('PROG FORMACIÓN TITULADA'!#REF!,"AAAAAFb38t4=")</f>
        <v>#REF!</v>
      </c>
      <c r="HP316" t="e">
        <f>AND('PROG FORMACIÓN TITULADA'!#REF!,"AAAAAFb38t8=")</f>
        <v>#REF!</v>
      </c>
      <c r="HQ316" t="e">
        <f>AND('PROG FORMACIÓN TITULADA'!#REF!,"AAAAAFb38uA=")</f>
        <v>#REF!</v>
      </c>
      <c r="HR316" t="e">
        <f>IF('PROG FORMACIÓN TITULADA'!#REF!,"AAAAAFb38uE=",0)</f>
        <v>#REF!</v>
      </c>
      <c r="HS316" t="e">
        <f>AND('PROG FORMACIÓN TITULADA'!#REF!,"AAAAAFb38uI=")</f>
        <v>#REF!</v>
      </c>
      <c r="HT316" t="e">
        <f>AND('PROG FORMACIÓN TITULADA'!#REF!,"AAAAAFb38uM=")</f>
        <v>#REF!</v>
      </c>
      <c r="HU316" t="e">
        <f>AND('PROG FORMACIÓN TITULADA'!#REF!,"AAAAAFb38uQ=")</f>
        <v>#REF!</v>
      </c>
      <c r="HV316" t="e">
        <f>AND('PROG FORMACIÓN TITULADA'!#REF!,"AAAAAFb38uU=")</f>
        <v>#REF!</v>
      </c>
      <c r="HW316" t="e">
        <f>AND('PROG FORMACIÓN TITULADA'!#REF!,"AAAAAFb38uY=")</f>
        <v>#REF!</v>
      </c>
      <c r="HX316" t="e">
        <f>AND('PROG FORMACIÓN TITULADA'!#REF!,"AAAAAFb38uc=")</f>
        <v>#REF!</v>
      </c>
      <c r="HY316" t="e">
        <f>AND('PROG FORMACIÓN TITULADA'!#REF!,"AAAAAFb38ug=")</f>
        <v>#REF!</v>
      </c>
      <c r="HZ316" t="e">
        <f>AND('PROG FORMACIÓN TITULADA'!#REF!,"AAAAAFb38uk=")</f>
        <v>#REF!</v>
      </c>
      <c r="IA316" t="e">
        <f>AND('PROG FORMACIÓN TITULADA'!#REF!,"AAAAAFb38uo=")</f>
        <v>#REF!</v>
      </c>
      <c r="IB316" t="e">
        <f>AND('PROG FORMACIÓN TITULADA'!#REF!,"AAAAAFb38us=")</f>
        <v>#REF!</v>
      </c>
      <c r="IC316" t="e">
        <f>AND('PROG FORMACIÓN TITULADA'!#REF!,"AAAAAFb38uw=")</f>
        <v>#REF!</v>
      </c>
      <c r="ID316" t="e">
        <f>AND('PROG FORMACIÓN TITULADA'!#REF!,"AAAAAFb38u0=")</f>
        <v>#REF!</v>
      </c>
      <c r="IE316" t="e">
        <f>AND('PROG FORMACIÓN TITULADA'!#REF!,"AAAAAFb38u4=")</f>
        <v>#REF!</v>
      </c>
      <c r="IF316" t="e">
        <f>AND('PROG FORMACIÓN TITULADA'!#REF!,"AAAAAFb38u8=")</f>
        <v>#REF!</v>
      </c>
      <c r="IG316" t="e">
        <f>AND('PROG FORMACIÓN TITULADA'!#REF!,"AAAAAFb38vA=")</f>
        <v>#REF!</v>
      </c>
      <c r="IH316" t="e">
        <f>AND('PROG FORMACIÓN TITULADA'!#REF!,"AAAAAFb38vE=")</f>
        <v>#REF!</v>
      </c>
      <c r="II316" t="e">
        <f>AND('PROG FORMACIÓN TITULADA'!#REF!,"AAAAAFb38vI=")</f>
        <v>#REF!</v>
      </c>
      <c r="IJ316" t="e">
        <f>AND('PROG FORMACIÓN TITULADA'!#REF!,"AAAAAFb38vM=")</f>
        <v>#REF!</v>
      </c>
      <c r="IK316" t="e">
        <f>AND('PROG FORMACIÓN TITULADA'!#REF!,"AAAAAFb38vQ=")</f>
        <v>#REF!</v>
      </c>
      <c r="IL316" t="e">
        <f>AND('PROG FORMACIÓN TITULADA'!#REF!,"AAAAAFb38vU=")</f>
        <v>#REF!</v>
      </c>
      <c r="IM316" t="e">
        <f>AND('PROG FORMACIÓN TITULADA'!#REF!,"AAAAAFb38vY=")</f>
        <v>#REF!</v>
      </c>
      <c r="IN316" t="e">
        <f>AND('PROG FORMACIÓN TITULADA'!#REF!,"AAAAAFb38vc=")</f>
        <v>#REF!</v>
      </c>
      <c r="IO316" t="e">
        <f>AND('PROG FORMACIÓN TITULADA'!#REF!,"AAAAAFb38vg=")</f>
        <v>#REF!</v>
      </c>
      <c r="IP316" t="e">
        <f>AND('PROG FORMACIÓN TITULADA'!#REF!,"AAAAAFb38vk=")</f>
        <v>#REF!</v>
      </c>
      <c r="IQ316" t="e">
        <f>AND('PROG FORMACIÓN TITULADA'!#REF!,"AAAAAFb38vo=")</f>
        <v>#REF!</v>
      </c>
      <c r="IR316" t="e">
        <f>AND('PROG FORMACIÓN TITULADA'!#REF!,"AAAAAFb38vs=")</f>
        <v>#REF!</v>
      </c>
      <c r="IS316" t="e">
        <f>IF('PROG FORMACIÓN TITULADA'!#REF!,"AAAAAFb38vw=",0)</f>
        <v>#REF!</v>
      </c>
      <c r="IT316" t="e">
        <f>AND('PROG FORMACIÓN TITULADA'!#REF!,"AAAAAFb38v0=")</f>
        <v>#REF!</v>
      </c>
      <c r="IU316" t="e">
        <f>AND('PROG FORMACIÓN TITULADA'!#REF!,"AAAAAFb38v4=")</f>
        <v>#REF!</v>
      </c>
      <c r="IV316" t="e">
        <f>AND('PROG FORMACIÓN TITULADA'!#REF!,"AAAAAFb38v8=")</f>
        <v>#REF!</v>
      </c>
    </row>
    <row r="317" spans="1:256" x14ac:dyDescent="0.2">
      <c r="A317" t="e">
        <f>AND('PROG FORMACIÓN TITULADA'!#REF!,"AAAAAGjLaQA=")</f>
        <v>#REF!</v>
      </c>
      <c r="B317" t="e">
        <f>AND('PROG FORMACIÓN TITULADA'!#REF!,"AAAAAGjLaQE=")</f>
        <v>#REF!</v>
      </c>
      <c r="C317" t="e">
        <f>AND('PROG FORMACIÓN TITULADA'!#REF!,"AAAAAGjLaQI=")</f>
        <v>#REF!</v>
      </c>
      <c r="D317" t="e">
        <f>AND('PROG FORMACIÓN TITULADA'!#REF!,"AAAAAGjLaQM=")</f>
        <v>#REF!</v>
      </c>
      <c r="E317" t="e">
        <f>AND('PROG FORMACIÓN TITULADA'!#REF!,"AAAAAGjLaQQ=")</f>
        <v>#REF!</v>
      </c>
      <c r="F317" t="e">
        <f>AND('PROG FORMACIÓN TITULADA'!#REF!,"AAAAAGjLaQU=")</f>
        <v>#REF!</v>
      </c>
      <c r="G317" t="e">
        <f>AND('PROG FORMACIÓN TITULADA'!#REF!,"AAAAAGjLaQY=")</f>
        <v>#REF!</v>
      </c>
      <c r="H317" t="e">
        <f>AND('PROG FORMACIÓN TITULADA'!#REF!,"AAAAAGjLaQc=")</f>
        <v>#REF!</v>
      </c>
      <c r="I317" t="e">
        <f>AND('PROG FORMACIÓN TITULADA'!#REF!,"AAAAAGjLaQg=")</f>
        <v>#REF!</v>
      </c>
      <c r="J317" t="e">
        <f>AND('PROG FORMACIÓN TITULADA'!#REF!,"AAAAAGjLaQk=")</f>
        <v>#REF!</v>
      </c>
      <c r="K317" t="e">
        <f>AND('PROG FORMACIÓN TITULADA'!#REF!,"AAAAAGjLaQo=")</f>
        <v>#REF!</v>
      </c>
      <c r="L317" t="e">
        <f>AND('PROG FORMACIÓN TITULADA'!#REF!,"AAAAAGjLaQs=")</f>
        <v>#REF!</v>
      </c>
      <c r="M317" t="e">
        <f>AND('PROG FORMACIÓN TITULADA'!#REF!,"AAAAAGjLaQw=")</f>
        <v>#REF!</v>
      </c>
      <c r="N317" t="e">
        <f>AND('PROG FORMACIÓN TITULADA'!#REF!,"AAAAAGjLaQ0=")</f>
        <v>#REF!</v>
      </c>
      <c r="O317" t="e">
        <f>AND('PROG FORMACIÓN TITULADA'!#REF!,"AAAAAGjLaQ4=")</f>
        <v>#REF!</v>
      </c>
      <c r="P317" t="e">
        <f>AND('PROG FORMACIÓN TITULADA'!#REF!,"AAAAAGjLaQ8=")</f>
        <v>#REF!</v>
      </c>
      <c r="Q317" t="e">
        <f>AND('PROG FORMACIÓN TITULADA'!#REF!,"AAAAAGjLaRA=")</f>
        <v>#REF!</v>
      </c>
      <c r="R317" t="e">
        <f>AND('PROG FORMACIÓN TITULADA'!#REF!,"AAAAAGjLaRE=")</f>
        <v>#REF!</v>
      </c>
      <c r="S317" t="e">
        <f>AND('PROG FORMACIÓN TITULADA'!#REF!,"AAAAAGjLaRI=")</f>
        <v>#REF!</v>
      </c>
      <c r="T317" t="e">
        <f>AND('PROG FORMACIÓN TITULADA'!#REF!,"AAAAAGjLaRM=")</f>
        <v>#REF!</v>
      </c>
      <c r="U317" t="e">
        <f>AND('PROG FORMACIÓN TITULADA'!#REF!,"AAAAAGjLaRQ=")</f>
        <v>#REF!</v>
      </c>
      <c r="V317" t="e">
        <f>AND('PROG FORMACIÓN TITULADA'!#REF!,"AAAAAGjLaRU=")</f>
        <v>#REF!</v>
      </c>
      <c r="W317" t="e">
        <f>AND('PROG FORMACIÓN TITULADA'!#REF!,"AAAAAGjLaRY=")</f>
        <v>#REF!</v>
      </c>
      <c r="X317" t="e">
        <f>IF('PROG FORMACIÓN TITULADA'!#REF!,"AAAAAGjLaRc=",0)</f>
        <v>#REF!</v>
      </c>
      <c r="Y317" t="e">
        <f>AND('PROG FORMACIÓN TITULADA'!#REF!,"AAAAAGjLaRg=")</f>
        <v>#REF!</v>
      </c>
      <c r="Z317" t="e">
        <f>AND('PROG FORMACIÓN TITULADA'!#REF!,"AAAAAGjLaRk=")</f>
        <v>#REF!</v>
      </c>
      <c r="AA317" t="e">
        <f>AND('PROG FORMACIÓN TITULADA'!#REF!,"AAAAAGjLaRo=")</f>
        <v>#REF!</v>
      </c>
      <c r="AB317" t="e">
        <f>AND('PROG FORMACIÓN TITULADA'!#REF!,"AAAAAGjLaRs=")</f>
        <v>#REF!</v>
      </c>
      <c r="AC317" t="e">
        <f>AND('PROG FORMACIÓN TITULADA'!#REF!,"AAAAAGjLaRw=")</f>
        <v>#REF!</v>
      </c>
      <c r="AD317" t="e">
        <f>AND('PROG FORMACIÓN TITULADA'!#REF!,"AAAAAGjLaR0=")</f>
        <v>#REF!</v>
      </c>
      <c r="AE317" t="e">
        <f>AND('PROG FORMACIÓN TITULADA'!#REF!,"AAAAAGjLaR4=")</f>
        <v>#REF!</v>
      </c>
      <c r="AF317" t="e">
        <f>AND('PROG FORMACIÓN TITULADA'!#REF!,"AAAAAGjLaR8=")</f>
        <v>#REF!</v>
      </c>
      <c r="AG317" t="e">
        <f>AND('PROG FORMACIÓN TITULADA'!#REF!,"AAAAAGjLaSA=")</f>
        <v>#REF!</v>
      </c>
      <c r="AH317" t="e">
        <f>AND('PROG FORMACIÓN TITULADA'!#REF!,"AAAAAGjLaSE=")</f>
        <v>#REF!</v>
      </c>
      <c r="AI317" t="e">
        <f>AND('PROG FORMACIÓN TITULADA'!#REF!,"AAAAAGjLaSI=")</f>
        <v>#REF!</v>
      </c>
      <c r="AJ317" t="e">
        <f>AND('PROG FORMACIÓN TITULADA'!#REF!,"AAAAAGjLaSM=")</f>
        <v>#REF!</v>
      </c>
      <c r="AK317" t="e">
        <f>AND('PROG FORMACIÓN TITULADA'!#REF!,"AAAAAGjLaSQ=")</f>
        <v>#REF!</v>
      </c>
      <c r="AL317" t="e">
        <f>AND('PROG FORMACIÓN TITULADA'!#REF!,"AAAAAGjLaSU=")</f>
        <v>#REF!</v>
      </c>
      <c r="AM317" t="e">
        <f>AND('PROG FORMACIÓN TITULADA'!#REF!,"AAAAAGjLaSY=")</f>
        <v>#REF!</v>
      </c>
      <c r="AN317" t="e">
        <f>AND('PROG FORMACIÓN TITULADA'!#REF!,"AAAAAGjLaSc=")</f>
        <v>#REF!</v>
      </c>
      <c r="AO317" t="e">
        <f>AND('PROG FORMACIÓN TITULADA'!#REF!,"AAAAAGjLaSg=")</f>
        <v>#REF!</v>
      </c>
      <c r="AP317" t="e">
        <f>AND('PROG FORMACIÓN TITULADA'!#REF!,"AAAAAGjLaSk=")</f>
        <v>#REF!</v>
      </c>
      <c r="AQ317" t="e">
        <f>AND('PROG FORMACIÓN TITULADA'!#REF!,"AAAAAGjLaSo=")</f>
        <v>#REF!</v>
      </c>
      <c r="AR317" t="e">
        <f>AND('PROG FORMACIÓN TITULADA'!#REF!,"AAAAAGjLaSs=")</f>
        <v>#REF!</v>
      </c>
      <c r="AS317" t="e">
        <f>AND('PROG FORMACIÓN TITULADA'!#REF!,"AAAAAGjLaSw=")</f>
        <v>#REF!</v>
      </c>
      <c r="AT317" t="e">
        <f>AND('PROG FORMACIÓN TITULADA'!#REF!,"AAAAAGjLaS0=")</f>
        <v>#REF!</v>
      </c>
      <c r="AU317" t="e">
        <f>AND('PROG FORMACIÓN TITULADA'!#REF!,"AAAAAGjLaS4=")</f>
        <v>#REF!</v>
      </c>
      <c r="AV317" t="e">
        <f>AND('PROG FORMACIÓN TITULADA'!#REF!,"AAAAAGjLaS8=")</f>
        <v>#REF!</v>
      </c>
      <c r="AW317" t="e">
        <f>AND('PROG FORMACIÓN TITULADA'!#REF!,"AAAAAGjLaTA=")</f>
        <v>#REF!</v>
      </c>
      <c r="AX317" t="e">
        <f>AND('PROG FORMACIÓN TITULADA'!#REF!,"AAAAAGjLaTE=")</f>
        <v>#REF!</v>
      </c>
      <c r="AY317" t="e">
        <f>IF('PROG FORMACIÓN TITULADA'!#REF!,"AAAAAGjLaTI=",0)</f>
        <v>#REF!</v>
      </c>
      <c r="AZ317" t="e">
        <f>AND('PROG FORMACIÓN TITULADA'!#REF!,"AAAAAGjLaTM=")</f>
        <v>#REF!</v>
      </c>
      <c r="BA317" t="e">
        <f>AND('PROG FORMACIÓN TITULADA'!#REF!,"AAAAAGjLaTQ=")</f>
        <v>#REF!</v>
      </c>
      <c r="BB317" t="e">
        <f>AND('PROG FORMACIÓN TITULADA'!#REF!,"AAAAAGjLaTU=")</f>
        <v>#REF!</v>
      </c>
      <c r="BC317" t="e">
        <f>AND('PROG FORMACIÓN TITULADA'!#REF!,"AAAAAGjLaTY=")</f>
        <v>#REF!</v>
      </c>
      <c r="BD317" t="e">
        <f>AND('PROG FORMACIÓN TITULADA'!#REF!,"AAAAAGjLaTc=")</f>
        <v>#REF!</v>
      </c>
      <c r="BE317" t="e">
        <f>AND('PROG FORMACIÓN TITULADA'!#REF!,"AAAAAGjLaTg=")</f>
        <v>#REF!</v>
      </c>
      <c r="BF317" t="e">
        <f>AND('PROG FORMACIÓN TITULADA'!#REF!,"AAAAAGjLaTk=")</f>
        <v>#REF!</v>
      </c>
      <c r="BG317" t="e">
        <f>AND('PROG FORMACIÓN TITULADA'!#REF!,"AAAAAGjLaTo=")</f>
        <v>#REF!</v>
      </c>
      <c r="BH317" t="e">
        <f>AND('PROG FORMACIÓN TITULADA'!#REF!,"AAAAAGjLaTs=")</f>
        <v>#REF!</v>
      </c>
      <c r="BI317" t="e">
        <f>AND('PROG FORMACIÓN TITULADA'!#REF!,"AAAAAGjLaTw=")</f>
        <v>#REF!</v>
      </c>
      <c r="BJ317" t="e">
        <f>AND('PROG FORMACIÓN TITULADA'!#REF!,"AAAAAGjLaT0=")</f>
        <v>#REF!</v>
      </c>
      <c r="BK317" t="e">
        <f>AND('PROG FORMACIÓN TITULADA'!#REF!,"AAAAAGjLaT4=")</f>
        <v>#REF!</v>
      </c>
      <c r="BL317" t="e">
        <f>AND('PROG FORMACIÓN TITULADA'!#REF!,"AAAAAGjLaT8=")</f>
        <v>#REF!</v>
      </c>
      <c r="BM317" t="e">
        <f>AND('PROG FORMACIÓN TITULADA'!#REF!,"AAAAAGjLaUA=")</f>
        <v>#REF!</v>
      </c>
      <c r="BN317" t="e">
        <f>AND('PROG FORMACIÓN TITULADA'!#REF!,"AAAAAGjLaUE=")</f>
        <v>#REF!</v>
      </c>
      <c r="BO317" t="e">
        <f>AND('PROG FORMACIÓN TITULADA'!#REF!,"AAAAAGjLaUI=")</f>
        <v>#REF!</v>
      </c>
      <c r="BP317" t="e">
        <f>AND('PROG FORMACIÓN TITULADA'!#REF!,"AAAAAGjLaUM=")</f>
        <v>#REF!</v>
      </c>
      <c r="BQ317" t="e">
        <f>AND('PROG FORMACIÓN TITULADA'!#REF!,"AAAAAGjLaUQ=")</f>
        <v>#REF!</v>
      </c>
      <c r="BR317" t="e">
        <f>AND('PROG FORMACIÓN TITULADA'!#REF!,"AAAAAGjLaUU=")</f>
        <v>#REF!</v>
      </c>
      <c r="BS317" t="e">
        <f>AND('PROG FORMACIÓN TITULADA'!#REF!,"AAAAAGjLaUY=")</f>
        <v>#REF!</v>
      </c>
      <c r="BT317" t="e">
        <f>AND('PROG FORMACIÓN TITULADA'!#REF!,"AAAAAGjLaUc=")</f>
        <v>#REF!</v>
      </c>
      <c r="BU317" t="e">
        <f>AND('PROG FORMACIÓN TITULADA'!#REF!,"AAAAAGjLaUg=")</f>
        <v>#REF!</v>
      </c>
      <c r="BV317" t="e">
        <f>AND('PROG FORMACIÓN TITULADA'!#REF!,"AAAAAGjLaUk=")</f>
        <v>#REF!</v>
      </c>
      <c r="BW317" t="e">
        <f>AND('PROG FORMACIÓN TITULADA'!#REF!,"AAAAAGjLaUo=")</f>
        <v>#REF!</v>
      </c>
      <c r="BX317" t="e">
        <f>AND('PROG FORMACIÓN TITULADA'!#REF!,"AAAAAGjLaUs=")</f>
        <v>#REF!</v>
      </c>
      <c r="BY317" t="e">
        <f>AND('PROG FORMACIÓN TITULADA'!#REF!,"AAAAAGjLaUw=")</f>
        <v>#REF!</v>
      </c>
      <c r="BZ317" t="e">
        <f>IF('PROG FORMACIÓN TITULADA'!#REF!,"AAAAAGjLaU0=",0)</f>
        <v>#REF!</v>
      </c>
      <c r="CA317" t="e">
        <f>AND('PROG FORMACIÓN TITULADA'!#REF!,"AAAAAGjLaU4=")</f>
        <v>#REF!</v>
      </c>
      <c r="CB317" t="e">
        <f>AND('PROG FORMACIÓN TITULADA'!#REF!,"AAAAAGjLaU8=")</f>
        <v>#REF!</v>
      </c>
      <c r="CC317" t="e">
        <f>AND('PROG FORMACIÓN TITULADA'!#REF!,"AAAAAGjLaVA=")</f>
        <v>#REF!</v>
      </c>
      <c r="CD317" t="e">
        <f>AND('PROG FORMACIÓN TITULADA'!#REF!,"AAAAAGjLaVE=")</f>
        <v>#REF!</v>
      </c>
      <c r="CE317" t="e">
        <f>AND('PROG FORMACIÓN TITULADA'!#REF!,"AAAAAGjLaVI=")</f>
        <v>#REF!</v>
      </c>
      <c r="CF317" t="e">
        <f>AND('PROG FORMACIÓN TITULADA'!#REF!,"AAAAAGjLaVM=")</f>
        <v>#REF!</v>
      </c>
      <c r="CG317" t="e">
        <f>AND('PROG FORMACIÓN TITULADA'!#REF!,"AAAAAGjLaVQ=")</f>
        <v>#REF!</v>
      </c>
      <c r="CH317" t="e">
        <f>AND('PROG FORMACIÓN TITULADA'!#REF!,"AAAAAGjLaVU=")</f>
        <v>#REF!</v>
      </c>
      <c r="CI317" t="e">
        <f>AND('PROG FORMACIÓN TITULADA'!#REF!,"AAAAAGjLaVY=")</f>
        <v>#REF!</v>
      </c>
      <c r="CJ317" t="e">
        <f>AND('PROG FORMACIÓN TITULADA'!#REF!,"AAAAAGjLaVc=")</f>
        <v>#REF!</v>
      </c>
      <c r="CK317" t="e">
        <f>AND('PROG FORMACIÓN TITULADA'!#REF!,"AAAAAGjLaVg=")</f>
        <v>#REF!</v>
      </c>
      <c r="CL317" t="e">
        <f>AND('PROG FORMACIÓN TITULADA'!#REF!,"AAAAAGjLaVk=")</f>
        <v>#REF!</v>
      </c>
      <c r="CM317" t="e">
        <f>AND('PROG FORMACIÓN TITULADA'!#REF!,"AAAAAGjLaVo=")</f>
        <v>#REF!</v>
      </c>
      <c r="CN317" t="e">
        <f>AND('PROG FORMACIÓN TITULADA'!#REF!,"AAAAAGjLaVs=")</f>
        <v>#REF!</v>
      </c>
      <c r="CO317" t="e">
        <f>AND('PROG FORMACIÓN TITULADA'!#REF!,"AAAAAGjLaVw=")</f>
        <v>#REF!</v>
      </c>
      <c r="CP317" t="e">
        <f>AND('PROG FORMACIÓN TITULADA'!#REF!,"AAAAAGjLaV0=")</f>
        <v>#REF!</v>
      </c>
      <c r="CQ317" t="e">
        <f>AND('PROG FORMACIÓN TITULADA'!#REF!,"AAAAAGjLaV4=")</f>
        <v>#REF!</v>
      </c>
      <c r="CR317" t="e">
        <f>AND('PROG FORMACIÓN TITULADA'!#REF!,"AAAAAGjLaV8=")</f>
        <v>#REF!</v>
      </c>
      <c r="CS317" t="e">
        <f>AND('PROG FORMACIÓN TITULADA'!#REF!,"AAAAAGjLaWA=")</f>
        <v>#REF!</v>
      </c>
      <c r="CT317" t="e">
        <f>AND('PROG FORMACIÓN TITULADA'!#REF!,"AAAAAGjLaWE=")</f>
        <v>#REF!</v>
      </c>
      <c r="CU317" t="e">
        <f>AND('PROG FORMACIÓN TITULADA'!#REF!,"AAAAAGjLaWI=")</f>
        <v>#REF!</v>
      </c>
      <c r="CV317" t="e">
        <f>AND('PROG FORMACIÓN TITULADA'!#REF!,"AAAAAGjLaWM=")</f>
        <v>#REF!</v>
      </c>
      <c r="CW317" t="e">
        <f>AND('PROG FORMACIÓN TITULADA'!#REF!,"AAAAAGjLaWQ=")</f>
        <v>#REF!</v>
      </c>
      <c r="CX317" t="e">
        <f>AND('PROG FORMACIÓN TITULADA'!#REF!,"AAAAAGjLaWU=")</f>
        <v>#REF!</v>
      </c>
      <c r="CY317" t="e">
        <f>AND('PROG FORMACIÓN TITULADA'!#REF!,"AAAAAGjLaWY=")</f>
        <v>#REF!</v>
      </c>
      <c r="CZ317" t="e">
        <f>AND('PROG FORMACIÓN TITULADA'!#REF!,"AAAAAGjLaWc=")</f>
        <v>#REF!</v>
      </c>
      <c r="DA317" t="e">
        <f>IF('PROG FORMACIÓN TITULADA'!#REF!,"AAAAAGjLaWg=",0)</f>
        <v>#REF!</v>
      </c>
      <c r="DB317" t="e">
        <f>AND('PROG FORMACIÓN TITULADA'!#REF!,"AAAAAGjLaWk=")</f>
        <v>#REF!</v>
      </c>
      <c r="DC317" t="e">
        <f>AND('PROG FORMACIÓN TITULADA'!#REF!,"AAAAAGjLaWo=")</f>
        <v>#REF!</v>
      </c>
      <c r="DD317" t="e">
        <f>AND('PROG FORMACIÓN TITULADA'!#REF!,"AAAAAGjLaWs=")</f>
        <v>#REF!</v>
      </c>
      <c r="DE317" t="e">
        <f>AND('PROG FORMACIÓN TITULADA'!#REF!,"AAAAAGjLaWw=")</f>
        <v>#REF!</v>
      </c>
      <c r="DF317" t="e">
        <f>AND('PROG FORMACIÓN TITULADA'!#REF!,"AAAAAGjLaW0=")</f>
        <v>#REF!</v>
      </c>
      <c r="DG317" t="e">
        <f>AND('PROG FORMACIÓN TITULADA'!#REF!,"AAAAAGjLaW4=")</f>
        <v>#REF!</v>
      </c>
      <c r="DH317" t="e">
        <f>AND('PROG FORMACIÓN TITULADA'!#REF!,"AAAAAGjLaW8=")</f>
        <v>#REF!</v>
      </c>
      <c r="DI317" t="e">
        <f>AND('PROG FORMACIÓN TITULADA'!#REF!,"AAAAAGjLaXA=")</f>
        <v>#REF!</v>
      </c>
      <c r="DJ317" t="e">
        <f>AND('PROG FORMACIÓN TITULADA'!#REF!,"AAAAAGjLaXE=")</f>
        <v>#REF!</v>
      </c>
      <c r="DK317" t="e">
        <f>AND('PROG FORMACIÓN TITULADA'!#REF!,"AAAAAGjLaXI=")</f>
        <v>#REF!</v>
      </c>
      <c r="DL317" t="e">
        <f>AND('PROG FORMACIÓN TITULADA'!#REF!,"AAAAAGjLaXM=")</f>
        <v>#REF!</v>
      </c>
      <c r="DM317" t="e">
        <f>AND('PROG FORMACIÓN TITULADA'!#REF!,"AAAAAGjLaXQ=")</f>
        <v>#REF!</v>
      </c>
      <c r="DN317" t="e">
        <f>AND('PROG FORMACIÓN TITULADA'!#REF!,"AAAAAGjLaXU=")</f>
        <v>#REF!</v>
      </c>
      <c r="DO317" t="e">
        <f>AND('PROG FORMACIÓN TITULADA'!#REF!,"AAAAAGjLaXY=")</f>
        <v>#REF!</v>
      </c>
      <c r="DP317" t="e">
        <f>AND('PROG FORMACIÓN TITULADA'!#REF!,"AAAAAGjLaXc=")</f>
        <v>#REF!</v>
      </c>
      <c r="DQ317" t="e">
        <f>AND('PROG FORMACIÓN TITULADA'!#REF!,"AAAAAGjLaXg=")</f>
        <v>#REF!</v>
      </c>
      <c r="DR317" t="e">
        <f>AND('PROG FORMACIÓN TITULADA'!#REF!,"AAAAAGjLaXk=")</f>
        <v>#REF!</v>
      </c>
      <c r="DS317" t="e">
        <f>AND('PROG FORMACIÓN TITULADA'!#REF!,"AAAAAGjLaXo=")</f>
        <v>#REF!</v>
      </c>
      <c r="DT317" t="e">
        <f>AND('PROG FORMACIÓN TITULADA'!#REF!,"AAAAAGjLaXs=")</f>
        <v>#REF!</v>
      </c>
      <c r="DU317" t="e">
        <f>AND('PROG FORMACIÓN TITULADA'!#REF!,"AAAAAGjLaXw=")</f>
        <v>#REF!</v>
      </c>
      <c r="DV317" t="e">
        <f>AND('PROG FORMACIÓN TITULADA'!#REF!,"AAAAAGjLaX0=")</f>
        <v>#REF!</v>
      </c>
      <c r="DW317" t="e">
        <f>AND('PROG FORMACIÓN TITULADA'!#REF!,"AAAAAGjLaX4=")</f>
        <v>#REF!</v>
      </c>
      <c r="DX317" t="e">
        <f>AND('PROG FORMACIÓN TITULADA'!#REF!,"AAAAAGjLaX8=")</f>
        <v>#REF!</v>
      </c>
      <c r="DY317" t="e">
        <f>AND('PROG FORMACIÓN TITULADA'!#REF!,"AAAAAGjLaYA=")</f>
        <v>#REF!</v>
      </c>
      <c r="DZ317" t="e">
        <f>AND('PROG FORMACIÓN TITULADA'!#REF!,"AAAAAGjLaYE=")</f>
        <v>#REF!</v>
      </c>
      <c r="EA317" t="e">
        <f>AND('PROG FORMACIÓN TITULADA'!#REF!,"AAAAAGjLaYI=")</f>
        <v>#REF!</v>
      </c>
      <c r="EB317" t="e">
        <f>IF('PROG FORMACIÓN TITULADA'!#REF!,"AAAAAGjLaYM=",0)</f>
        <v>#REF!</v>
      </c>
      <c r="EC317" t="e">
        <f>AND('PROG FORMACIÓN TITULADA'!#REF!,"AAAAAGjLaYQ=")</f>
        <v>#REF!</v>
      </c>
      <c r="ED317" t="e">
        <f>AND('PROG FORMACIÓN TITULADA'!#REF!,"AAAAAGjLaYU=")</f>
        <v>#REF!</v>
      </c>
      <c r="EE317" t="e">
        <f>AND('PROG FORMACIÓN TITULADA'!#REF!,"AAAAAGjLaYY=")</f>
        <v>#REF!</v>
      </c>
      <c r="EF317" t="e">
        <f>AND('PROG FORMACIÓN TITULADA'!#REF!,"AAAAAGjLaYc=")</f>
        <v>#REF!</v>
      </c>
      <c r="EG317" t="e">
        <f>AND('PROG FORMACIÓN TITULADA'!#REF!,"AAAAAGjLaYg=")</f>
        <v>#REF!</v>
      </c>
      <c r="EH317" t="e">
        <f>AND('PROG FORMACIÓN TITULADA'!#REF!,"AAAAAGjLaYk=")</f>
        <v>#REF!</v>
      </c>
      <c r="EI317" t="e">
        <f>AND('PROG FORMACIÓN TITULADA'!#REF!,"AAAAAGjLaYo=")</f>
        <v>#REF!</v>
      </c>
      <c r="EJ317" t="e">
        <f>AND('PROG FORMACIÓN TITULADA'!#REF!,"AAAAAGjLaYs=")</f>
        <v>#REF!</v>
      </c>
      <c r="EK317" t="e">
        <f>AND('PROG FORMACIÓN TITULADA'!#REF!,"AAAAAGjLaYw=")</f>
        <v>#REF!</v>
      </c>
      <c r="EL317" t="e">
        <f>AND('PROG FORMACIÓN TITULADA'!#REF!,"AAAAAGjLaY0=")</f>
        <v>#REF!</v>
      </c>
      <c r="EM317" t="e">
        <f>AND('PROG FORMACIÓN TITULADA'!#REF!,"AAAAAGjLaY4=")</f>
        <v>#REF!</v>
      </c>
      <c r="EN317" t="e">
        <f>AND('PROG FORMACIÓN TITULADA'!#REF!,"AAAAAGjLaY8=")</f>
        <v>#REF!</v>
      </c>
      <c r="EO317" t="e">
        <f>AND('PROG FORMACIÓN TITULADA'!#REF!,"AAAAAGjLaZA=")</f>
        <v>#REF!</v>
      </c>
      <c r="EP317" t="e">
        <f>AND('PROG FORMACIÓN TITULADA'!#REF!,"AAAAAGjLaZE=")</f>
        <v>#REF!</v>
      </c>
      <c r="EQ317" t="e">
        <f>AND('PROG FORMACIÓN TITULADA'!#REF!,"AAAAAGjLaZI=")</f>
        <v>#REF!</v>
      </c>
      <c r="ER317" t="e">
        <f>AND('PROG FORMACIÓN TITULADA'!#REF!,"AAAAAGjLaZM=")</f>
        <v>#REF!</v>
      </c>
      <c r="ES317" t="e">
        <f>AND('PROG FORMACIÓN TITULADA'!#REF!,"AAAAAGjLaZQ=")</f>
        <v>#REF!</v>
      </c>
      <c r="ET317" t="e">
        <f>AND('PROG FORMACIÓN TITULADA'!#REF!,"AAAAAGjLaZU=")</f>
        <v>#REF!</v>
      </c>
      <c r="EU317" t="e">
        <f>AND('PROG FORMACIÓN TITULADA'!#REF!,"AAAAAGjLaZY=")</f>
        <v>#REF!</v>
      </c>
      <c r="EV317" t="e">
        <f>AND('PROG FORMACIÓN TITULADA'!#REF!,"AAAAAGjLaZc=")</f>
        <v>#REF!</v>
      </c>
      <c r="EW317" t="e">
        <f>AND('PROG FORMACIÓN TITULADA'!#REF!,"AAAAAGjLaZg=")</f>
        <v>#REF!</v>
      </c>
      <c r="EX317" t="e">
        <f>AND('PROG FORMACIÓN TITULADA'!#REF!,"AAAAAGjLaZk=")</f>
        <v>#REF!</v>
      </c>
      <c r="EY317" t="e">
        <f>AND('PROG FORMACIÓN TITULADA'!#REF!,"AAAAAGjLaZo=")</f>
        <v>#REF!</v>
      </c>
      <c r="EZ317" t="e">
        <f>AND('PROG FORMACIÓN TITULADA'!#REF!,"AAAAAGjLaZs=")</f>
        <v>#REF!</v>
      </c>
      <c r="FA317" t="e">
        <f>AND('PROG FORMACIÓN TITULADA'!#REF!,"AAAAAGjLaZw=")</f>
        <v>#REF!</v>
      </c>
      <c r="FB317" t="e">
        <f>AND('PROG FORMACIÓN TITULADA'!#REF!,"AAAAAGjLaZ0=")</f>
        <v>#REF!</v>
      </c>
      <c r="FC317" t="e">
        <f>IF('PROG FORMACIÓN TITULADA'!#REF!,"AAAAAGjLaZ4=",0)</f>
        <v>#REF!</v>
      </c>
      <c r="FD317" t="e">
        <f>AND('PROG FORMACIÓN TITULADA'!#REF!,"AAAAAGjLaZ8=")</f>
        <v>#REF!</v>
      </c>
      <c r="FE317" t="e">
        <f>AND('PROG FORMACIÓN TITULADA'!#REF!,"AAAAAGjLaaA=")</f>
        <v>#REF!</v>
      </c>
      <c r="FF317" t="e">
        <f>AND('PROG FORMACIÓN TITULADA'!#REF!,"AAAAAGjLaaE=")</f>
        <v>#REF!</v>
      </c>
      <c r="FG317" t="e">
        <f>AND('PROG FORMACIÓN TITULADA'!#REF!,"AAAAAGjLaaI=")</f>
        <v>#REF!</v>
      </c>
      <c r="FH317" t="e">
        <f>AND('PROG FORMACIÓN TITULADA'!#REF!,"AAAAAGjLaaM=")</f>
        <v>#REF!</v>
      </c>
      <c r="FI317" t="e">
        <f>AND('PROG FORMACIÓN TITULADA'!#REF!,"AAAAAGjLaaQ=")</f>
        <v>#REF!</v>
      </c>
      <c r="FJ317" t="e">
        <f>AND('PROG FORMACIÓN TITULADA'!#REF!,"AAAAAGjLaaU=")</f>
        <v>#REF!</v>
      </c>
      <c r="FK317" t="e">
        <f>AND('PROG FORMACIÓN TITULADA'!#REF!,"AAAAAGjLaaY=")</f>
        <v>#REF!</v>
      </c>
      <c r="FL317" t="e">
        <f>AND('PROG FORMACIÓN TITULADA'!#REF!,"AAAAAGjLaac=")</f>
        <v>#REF!</v>
      </c>
      <c r="FM317" t="e">
        <f>AND('PROG FORMACIÓN TITULADA'!#REF!,"AAAAAGjLaag=")</f>
        <v>#REF!</v>
      </c>
      <c r="FN317" t="e">
        <f>AND('PROG FORMACIÓN TITULADA'!#REF!,"AAAAAGjLaak=")</f>
        <v>#REF!</v>
      </c>
      <c r="FO317" t="e">
        <f>AND('PROG FORMACIÓN TITULADA'!#REF!,"AAAAAGjLaao=")</f>
        <v>#REF!</v>
      </c>
      <c r="FP317" t="e">
        <f>AND('PROG FORMACIÓN TITULADA'!#REF!,"AAAAAGjLaas=")</f>
        <v>#REF!</v>
      </c>
      <c r="FQ317" t="e">
        <f>AND('PROG FORMACIÓN TITULADA'!#REF!,"AAAAAGjLaaw=")</f>
        <v>#REF!</v>
      </c>
      <c r="FR317" t="e">
        <f>AND('PROG FORMACIÓN TITULADA'!#REF!,"AAAAAGjLaa0=")</f>
        <v>#REF!</v>
      </c>
      <c r="FS317" t="e">
        <f>AND('PROG FORMACIÓN TITULADA'!#REF!,"AAAAAGjLaa4=")</f>
        <v>#REF!</v>
      </c>
      <c r="FT317" t="e">
        <f>AND('PROG FORMACIÓN TITULADA'!#REF!,"AAAAAGjLaa8=")</f>
        <v>#REF!</v>
      </c>
      <c r="FU317" t="e">
        <f>AND('PROG FORMACIÓN TITULADA'!#REF!,"AAAAAGjLabA=")</f>
        <v>#REF!</v>
      </c>
      <c r="FV317" t="e">
        <f>AND('PROG FORMACIÓN TITULADA'!#REF!,"AAAAAGjLabE=")</f>
        <v>#REF!</v>
      </c>
      <c r="FW317" t="e">
        <f>AND('PROG FORMACIÓN TITULADA'!#REF!,"AAAAAGjLabI=")</f>
        <v>#REF!</v>
      </c>
      <c r="FX317" t="e">
        <f>AND('PROG FORMACIÓN TITULADA'!#REF!,"AAAAAGjLabM=")</f>
        <v>#REF!</v>
      </c>
      <c r="FY317" t="e">
        <f>AND('PROG FORMACIÓN TITULADA'!#REF!,"AAAAAGjLabQ=")</f>
        <v>#REF!</v>
      </c>
      <c r="FZ317" t="e">
        <f>AND('PROG FORMACIÓN TITULADA'!#REF!,"AAAAAGjLabU=")</f>
        <v>#REF!</v>
      </c>
      <c r="GA317" t="e">
        <f>AND('PROG FORMACIÓN TITULADA'!#REF!,"AAAAAGjLabY=")</f>
        <v>#REF!</v>
      </c>
      <c r="GB317" t="e">
        <f>AND('PROG FORMACIÓN TITULADA'!#REF!,"AAAAAGjLabc=")</f>
        <v>#REF!</v>
      </c>
      <c r="GC317" t="e">
        <f>AND('PROG FORMACIÓN TITULADA'!#REF!,"AAAAAGjLabg=")</f>
        <v>#REF!</v>
      </c>
      <c r="GD317" t="e">
        <f>IF('PROG FORMACIÓN TITULADA'!#REF!,"AAAAAGjLabk=",0)</f>
        <v>#REF!</v>
      </c>
      <c r="GE317" t="e">
        <f>AND('PROG FORMACIÓN TITULADA'!#REF!,"AAAAAGjLabo=")</f>
        <v>#REF!</v>
      </c>
      <c r="GF317" t="e">
        <f>AND('PROG FORMACIÓN TITULADA'!#REF!,"AAAAAGjLabs=")</f>
        <v>#REF!</v>
      </c>
      <c r="GG317" t="e">
        <f>AND('PROG FORMACIÓN TITULADA'!#REF!,"AAAAAGjLabw=")</f>
        <v>#REF!</v>
      </c>
      <c r="GH317" t="e">
        <f>AND('PROG FORMACIÓN TITULADA'!#REF!,"AAAAAGjLab0=")</f>
        <v>#REF!</v>
      </c>
      <c r="GI317" t="e">
        <f>AND('PROG FORMACIÓN TITULADA'!#REF!,"AAAAAGjLab4=")</f>
        <v>#REF!</v>
      </c>
      <c r="GJ317" t="e">
        <f>AND('PROG FORMACIÓN TITULADA'!#REF!,"AAAAAGjLab8=")</f>
        <v>#REF!</v>
      </c>
      <c r="GK317" t="e">
        <f>AND('PROG FORMACIÓN TITULADA'!#REF!,"AAAAAGjLacA=")</f>
        <v>#REF!</v>
      </c>
      <c r="GL317" t="e">
        <f>AND('PROG FORMACIÓN TITULADA'!#REF!,"AAAAAGjLacE=")</f>
        <v>#REF!</v>
      </c>
      <c r="GM317" t="e">
        <f>AND('PROG FORMACIÓN TITULADA'!#REF!,"AAAAAGjLacI=")</f>
        <v>#REF!</v>
      </c>
      <c r="GN317" t="e">
        <f>AND('PROG FORMACIÓN TITULADA'!#REF!,"AAAAAGjLacM=")</f>
        <v>#REF!</v>
      </c>
      <c r="GO317" t="e">
        <f>AND('PROG FORMACIÓN TITULADA'!#REF!,"AAAAAGjLacQ=")</f>
        <v>#REF!</v>
      </c>
      <c r="GP317" t="e">
        <f>AND('PROG FORMACIÓN TITULADA'!#REF!,"AAAAAGjLacU=")</f>
        <v>#REF!</v>
      </c>
      <c r="GQ317" t="e">
        <f>AND('PROG FORMACIÓN TITULADA'!#REF!,"AAAAAGjLacY=")</f>
        <v>#REF!</v>
      </c>
      <c r="GR317" t="e">
        <f>AND('PROG FORMACIÓN TITULADA'!#REF!,"AAAAAGjLacc=")</f>
        <v>#REF!</v>
      </c>
      <c r="GS317" t="e">
        <f>AND('PROG FORMACIÓN TITULADA'!#REF!,"AAAAAGjLacg=")</f>
        <v>#REF!</v>
      </c>
      <c r="GT317" t="e">
        <f>AND('PROG FORMACIÓN TITULADA'!#REF!,"AAAAAGjLack=")</f>
        <v>#REF!</v>
      </c>
      <c r="GU317" t="e">
        <f>AND('PROG FORMACIÓN TITULADA'!#REF!,"AAAAAGjLaco=")</f>
        <v>#REF!</v>
      </c>
      <c r="GV317" t="e">
        <f>AND('PROG FORMACIÓN TITULADA'!#REF!,"AAAAAGjLacs=")</f>
        <v>#REF!</v>
      </c>
      <c r="GW317" t="e">
        <f>AND('PROG FORMACIÓN TITULADA'!#REF!,"AAAAAGjLacw=")</f>
        <v>#REF!</v>
      </c>
      <c r="GX317" t="e">
        <f>AND('PROG FORMACIÓN TITULADA'!#REF!,"AAAAAGjLac0=")</f>
        <v>#REF!</v>
      </c>
      <c r="GY317" t="e">
        <f>AND('PROG FORMACIÓN TITULADA'!#REF!,"AAAAAGjLac4=")</f>
        <v>#REF!</v>
      </c>
      <c r="GZ317" t="e">
        <f>AND('PROG FORMACIÓN TITULADA'!#REF!,"AAAAAGjLac8=")</f>
        <v>#REF!</v>
      </c>
      <c r="HA317" t="e">
        <f>AND('PROG FORMACIÓN TITULADA'!#REF!,"AAAAAGjLadA=")</f>
        <v>#REF!</v>
      </c>
      <c r="HB317" t="e">
        <f>AND('PROG FORMACIÓN TITULADA'!#REF!,"AAAAAGjLadE=")</f>
        <v>#REF!</v>
      </c>
      <c r="HC317" t="e">
        <f>AND('PROG FORMACIÓN TITULADA'!#REF!,"AAAAAGjLadI=")</f>
        <v>#REF!</v>
      </c>
      <c r="HD317" t="e">
        <f>AND('PROG FORMACIÓN TITULADA'!#REF!,"AAAAAGjLadM=")</f>
        <v>#REF!</v>
      </c>
      <c r="HE317" t="e">
        <f>IF('PROG FORMACIÓN TITULADA'!#REF!,"AAAAAGjLadQ=",0)</f>
        <v>#REF!</v>
      </c>
      <c r="HF317" t="e">
        <f>AND('PROG FORMACIÓN TITULADA'!#REF!,"AAAAAGjLadU=")</f>
        <v>#REF!</v>
      </c>
      <c r="HG317" t="e">
        <f>AND('PROG FORMACIÓN TITULADA'!#REF!,"AAAAAGjLadY=")</f>
        <v>#REF!</v>
      </c>
      <c r="HH317" t="e">
        <f>AND('PROG FORMACIÓN TITULADA'!#REF!,"AAAAAGjLadc=")</f>
        <v>#REF!</v>
      </c>
      <c r="HI317" t="e">
        <f>AND('PROG FORMACIÓN TITULADA'!#REF!,"AAAAAGjLadg=")</f>
        <v>#REF!</v>
      </c>
      <c r="HJ317" t="e">
        <f>AND('PROG FORMACIÓN TITULADA'!#REF!,"AAAAAGjLadk=")</f>
        <v>#REF!</v>
      </c>
      <c r="HK317" t="e">
        <f>AND('PROG FORMACIÓN TITULADA'!#REF!,"AAAAAGjLado=")</f>
        <v>#REF!</v>
      </c>
      <c r="HL317" t="e">
        <f>AND('PROG FORMACIÓN TITULADA'!#REF!,"AAAAAGjLads=")</f>
        <v>#REF!</v>
      </c>
      <c r="HM317" t="e">
        <f>AND('PROG FORMACIÓN TITULADA'!#REF!,"AAAAAGjLadw=")</f>
        <v>#REF!</v>
      </c>
      <c r="HN317" t="e">
        <f>AND('PROG FORMACIÓN TITULADA'!#REF!,"AAAAAGjLad0=")</f>
        <v>#REF!</v>
      </c>
      <c r="HO317" t="e">
        <f>AND('PROG FORMACIÓN TITULADA'!#REF!,"AAAAAGjLad4=")</f>
        <v>#REF!</v>
      </c>
      <c r="HP317" t="e">
        <f>AND('PROG FORMACIÓN TITULADA'!#REF!,"AAAAAGjLad8=")</f>
        <v>#REF!</v>
      </c>
      <c r="HQ317" t="e">
        <f>AND('PROG FORMACIÓN TITULADA'!#REF!,"AAAAAGjLaeA=")</f>
        <v>#REF!</v>
      </c>
      <c r="HR317" t="e">
        <f>AND('PROG FORMACIÓN TITULADA'!#REF!,"AAAAAGjLaeE=")</f>
        <v>#REF!</v>
      </c>
      <c r="HS317" t="e">
        <f>AND('PROG FORMACIÓN TITULADA'!#REF!,"AAAAAGjLaeI=")</f>
        <v>#REF!</v>
      </c>
      <c r="HT317" t="e">
        <f>AND('PROG FORMACIÓN TITULADA'!#REF!,"AAAAAGjLaeM=")</f>
        <v>#REF!</v>
      </c>
      <c r="HU317" t="e">
        <f>AND('PROG FORMACIÓN TITULADA'!#REF!,"AAAAAGjLaeQ=")</f>
        <v>#REF!</v>
      </c>
      <c r="HV317" t="e">
        <f>AND('PROG FORMACIÓN TITULADA'!#REF!,"AAAAAGjLaeU=")</f>
        <v>#REF!</v>
      </c>
      <c r="HW317" t="e">
        <f>AND('PROG FORMACIÓN TITULADA'!#REF!,"AAAAAGjLaeY=")</f>
        <v>#REF!</v>
      </c>
      <c r="HX317" t="e">
        <f>AND('PROG FORMACIÓN TITULADA'!#REF!,"AAAAAGjLaec=")</f>
        <v>#REF!</v>
      </c>
      <c r="HY317" t="e">
        <f>AND('PROG FORMACIÓN TITULADA'!#REF!,"AAAAAGjLaeg=")</f>
        <v>#REF!</v>
      </c>
      <c r="HZ317" t="e">
        <f>AND('PROG FORMACIÓN TITULADA'!#REF!,"AAAAAGjLaek=")</f>
        <v>#REF!</v>
      </c>
      <c r="IA317" t="e">
        <f>AND('PROG FORMACIÓN TITULADA'!#REF!,"AAAAAGjLaeo=")</f>
        <v>#REF!</v>
      </c>
      <c r="IB317" t="e">
        <f>AND('PROG FORMACIÓN TITULADA'!#REF!,"AAAAAGjLaes=")</f>
        <v>#REF!</v>
      </c>
      <c r="IC317" t="e">
        <f>AND('PROG FORMACIÓN TITULADA'!#REF!,"AAAAAGjLaew=")</f>
        <v>#REF!</v>
      </c>
      <c r="ID317" t="e">
        <f>AND('PROG FORMACIÓN TITULADA'!#REF!,"AAAAAGjLae0=")</f>
        <v>#REF!</v>
      </c>
      <c r="IE317" t="e">
        <f>AND('PROG FORMACIÓN TITULADA'!#REF!,"AAAAAGjLae4=")</f>
        <v>#REF!</v>
      </c>
      <c r="IF317" t="e">
        <f>IF('PROG FORMACIÓN TITULADA'!#REF!,"AAAAAGjLae8=",0)</f>
        <v>#REF!</v>
      </c>
      <c r="IG317" t="e">
        <f>AND('PROG FORMACIÓN TITULADA'!#REF!,"AAAAAGjLafA=")</f>
        <v>#REF!</v>
      </c>
      <c r="IH317" t="e">
        <f>AND('PROG FORMACIÓN TITULADA'!#REF!,"AAAAAGjLafE=")</f>
        <v>#REF!</v>
      </c>
      <c r="II317" t="e">
        <f>AND('PROG FORMACIÓN TITULADA'!#REF!,"AAAAAGjLafI=")</f>
        <v>#REF!</v>
      </c>
      <c r="IJ317" t="e">
        <f>AND('PROG FORMACIÓN TITULADA'!#REF!,"AAAAAGjLafM=")</f>
        <v>#REF!</v>
      </c>
      <c r="IK317" t="e">
        <f>AND('PROG FORMACIÓN TITULADA'!#REF!,"AAAAAGjLafQ=")</f>
        <v>#REF!</v>
      </c>
      <c r="IL317" t="e">
        <f>AND('PROG FORMACIÓN TITULADA'!#REF!,"AAAAAGjLafU=")</f>
        <v>#REF!</v>
      </c>
      <c r="IM317" t="e">
        <f>AND('PROG FORMACIÓN TITULADA'!#REF!,"AAAAAGjLafY=")</f>
        <v>#REF!</v>
      </c>
      <c r="IN317" t="e">
        <f>AND('PROG FORMACIÓN TITULADA'!#REF!,"AAAAAGjLafc=")</f>
        <v>#REF!</v>
      </c>
      <c r="IO317" t="e">
        <f>AND('PROG FORMACIÓN TITULADA'!#REF!,"AAAAAGjLafg=")</f>
        <v>#REF!</v>
      </c>
      <c r="IP317" t="e">
        <f>AND('PROG FORMACIÓN TITULADA'!#REF!,"AAAAAGjLafk=")</f>
        <v>#REF!</v>
      </c>
      <c r="IQ317" t="e">
        <f>AND('PROG FORMACIÓN TITULADA'!#REF!,"AAAAAGjLafo=")</f>
        <v>#REF!</v>
      </c>
      <c r="IR317" t="e">
        <f>AND('PROG FORMACIÓN TITULADA'!#REF!,"AAAAAGjLafs=")</f>
        <v>#REF!</v>
      </c>
      <c r="IS317" t="e">
        <f>AND('PROG FORMACIÓN TITULADA'!#REF!,"AAAAAGjLafw=")</f>
        <v>#REF!</v>
      </c>
      <c r="IT317" t="e">
        <f>AND('PROG FORMACIÓN TITULADA'!#REF!,"AAAAAGjLaf0=")</f>
        <v>#REF!</v>
      </c>
      <c r="IU317" t="e">
        <f>AND('PROG FORMACIÓN TITULADA'!#REF!,"AAAAAGjLaf4=")</f>
        <v>#REF!</v>
      </c>
      <c r="IV317" t="e">
        <f>AND('PROG FORMACIÓN TITULADA'!#REF!,"AAAAAGjLaf8=")</f>
        <v>#REF!</v>
      </c>
    </row>
    <row r="318" spans="1:256" x14ac:dyDescent="0.2">
      <c r="A318" t="e">
        <f>AND('PROG FORMACIÓN TITULADA'!#REF!,"AAAAAGHnjwA=")</f>
        <v>#REF!</v>
      </c>
      <c r="B318" t="e">
        <f>AND('PROG FORMACIÓN TITULADA'!#REF!,"AAAAAGHnjwE=")</f>
        <v>#REF!</v>
      </c>
      <c r="C318" t="e">
        <f>AND('PROG FORMACIÓN TITULADA'!#REF!,"AAAAAGHnjwI=")</f>
        <v>#REF!</v>
      </c>
      <c r="D318" t="e">
        <f>AND('PROG FORMACIÓN TITULADA'!#REF!,"AAAAAGHnjwM=")</f>
        <v>#REF!</v>
      </c>
      <c r="E318" t="e">
        <f>AND('PROG FORMACIÓN TITULADA'!#REF!,"AAAAAGHnjwQ=")</f>
        <v>#REF!</v>
      </c>
      <c r="F318" t="e">
        <f>AND('PROG FORMACIÓN TITULADA'!#REF!,"AAAAAGHnjwU=")</f>
        <v>#REF!</v>
      </c>
      <c r="G318" t="e">
        <f>AND('PROG FORMACIÓN TITULADA'!#REF!,"AAAAAGHnjwY=")</f>
        <v>#REF!</v>
      </c>
      <c r="H318" t="e">
        <f>AND('PROG FORMACIÓN TITULADA'!#REF!,"AAAAAGHnjwc=")</f>
        <v>#REF!</v>
      </c>
      <c r="I318" t="e">
        <f>AND('PROG FORMACIÓN TITULADA'!#REF!,"AAAAAGHnjwg=")</f>
        <v>#REF!</v>
      </c>
      <c r="J318" t="e">
        <f>AND('PROG FORMACIÓN TITULADA'!#REF!,"AAAAAGHnjwk=")</f>
        <v>#REF!</v>
      </c>
      <c r="K318" t="e">
        <f>IF('PROG FORMACIÓN TITULADA'!#REF!,"AAAAAGHnjwo=",0)</f>
        <v>#REF!</v>
      </c>
      <c r="L318" t="e">
        <f>AND('PROG FORMACIÓN TITULADA'!#REF!,"AAAAAGHnjws=")</f>
        <v>#REF!</v>
      </c>
      <c r="M318" t="e">
        <f>AND('PROG FORMACIÓN TITULADA'!#REF!,"AAAAAGHnjww=")</f>
        <v>#REF!</v>
      </c>
      <c r="N318" t="e">
        <f>AND('PROG FORMACIÓN TITULADA'!#REF!,"AAAAAGHnjw0=")</f>
        <v>#REF!</v>
      </c>
      <c r="O318" t="e">
        <f>AND('PROG FORMACIÓN TITULADA'!#REF!,"AAAAAGHnjw4=")</f>
        <v>#REF!</v>
      </c>
      <c r="P318" t="e">
        <f>AND('PROG FORMACIÓN TITULADA'!#REF!,"AAAAAGHnjw8=")</f>
        <v>#REF!</v>
      </c>
      <c r="Q318" t="e">
        <f>AND('PROG FORMACIÓN TITULADA'!#REF!,"AAAAAGHnjxA=")</f>
        <v>#REF!</v>
      </c>
      <c r="R318" t="e">
        <f>AND('PROG FORMACIÓN TITULADA'!#REF!,"AAAAAGHnjxE=")</f>
        <v>#REF!</v>
      </c>
      <c r="S318" t="e">
        <f>AND('PROG FORMACIÓN TITULADA'!#REF!,"AAAAAGHnjxI=")</f>
        <v>#REF!</v>
      </c>
      <c r="T318" t="e">
        <f>AND('PROG FORMACIÓN TITULADA'!#REF!,"AAAAAGHnjxM=")</f>
        <v>#REF!</v>
      </c>
      <c r="U318" t="e">
        <f>AND('PROG FORMACIÓN TITULADA'!#REF!,"AAAAAGHnjxQ=")</f>
        <v>#REF!</v>
      </c>
      <c r="V318" t="e">
        <f>AND('PROG FORMACIÓN TITULADA'!#REF!,"AAAAAGHnjxU=")</f>
        <v>#REF!</v>
      </c>
      <c r="W318" t="e">
        <f>AND('PROG FORMACIÓN TITULADA'!#REF!,"AAAAAGHnjxY=")</f>
        <v>#REF!</v>
      </c>
      <c r="X318" t="e">
        <f>AND('PROG FORMACIÓN TITULADA'!#REF!,"AAAAAGHnjxc=")</f>
        <v>#REF!</v>
      </c>
      <c r="Y318" t="e">
        <f>AND('PROG FORMACIÓN TITULADA'!#REF!,"AAAAAGHnjxg=")</f>
        <v>#REF!</v>
      </c>
      <c r="Z318" t="e">
        <f>AND('PROG FORMACIÓN TITULADA'!#REF!,"AAAAAGHnjxk=")</f>
        <v>#REF!</v>
      </c>
      <c r="AA318" t="e">
        <f>AND('PROG FORMACIÓN TITULADA'!#REF!,"AAAAAGHnjxo=")</f>
        <v>#REF!</v>
      </c>
      <c r="AB318" t="e">
        <f>AND('PROG FORMACIÓN TITULADA'!#REF!,"AAAAAGHnjxs=")</f>
        <v>#REF!</v>
      </c>
      <c r="AC318" t="e">
        <f>AND('PROG FORMACIÓN TITULADA'!#REF!,"AAAAAGHnjxw=")</f>
        <v>#REF!</v>
      </c>
      <c r="AD318" t="e">
        <f>AND('PROG FORMACIÓN TITULADA'!#REF!,"AAAAAGHnjx0=")</f>
        <v>#REF!</v>
      </c>
      <c r="AE318" t="e">
        <f>AND('PROG FORMACIÓN TITULADA'!#REF!,"AAAAAGHnjx4=")</f>
        <v>#REF!</v>
      </c>
      <c r="AF318" t="e">
        <f>AND('PROG FORMACIÓN TITULADA'!#REF!,"AAAAAGHnjx8=")</f>
        <v>#REF!</v>
      </c>
      <c r="AG318" t="e">
        <f>AND('PROG FORMACIÓN TITULADA'!#REF!,"AAAAAGHnjyA=")</f>
        <v>#REF!</v>
      </c>
      <c r="AH318" t="e">
        <f>AND('PROG FORMACIÓN TITULADA'!#REF!,"AAAAAGHnjyE=")</f>
        <v>#REF!</v>
      </c>
      <c r="AI318" t="e">
        <f>AND('PROG FORMACIÓN TITULADA'!#REF!,"AAAAAGHnjyI=")</f>
        <v>#REF!</v>
      </c>
      <c r="AJ318" t="e">
        <f>AND('PROG FORMACIÓN TITULADA'!#REF!,"AAAAAGHnjyM=")</f>
        <v>#REF!</v>
      </c>
      <c r="AK318" t="e">
        <f>AND('PROG FORMACIÓN TITULADA'!#REF!,"AAAAAGHnjyQ=")</f>
        <v>#REF!</v>
      </c>
      <c r="AL318" t="e">
        <f>IF('PROG FORMACIÓN TITULADA'!#REF!,"AAAAAGHnjyU=",0)</f>
        <v>#REF!</v>
      </c>
      <c r="AM318" t="e">
        <f>AND('PROG FORMACIÓN TITULADA'!#REF!,"AAAAAGHnjyY=")</f>
        <v>#REF!</v>
      </c>
      <c r="AN318" t="e">
        <f>AND('PROG FORMACIÓN TITULADA'!#REF!,"AAAAAGHnjyc=")</f>
        <v>#REF!</v>
      </c>
      <c r="AO318" t="e">
        <f>AND('PROG FORMACIÓN TITULADA'!#REF!,"AAAAAGHnjyg=")</f>
        <v>#REF!</v>
      </c>
      <c r="AP318" t="e">
        <f>AND('PROG FORMACIÓN TITULADA'!#REF!,"AAAAAGHnjyk=")</f>
        <v>#REF!</v>
      </c>
      <c r="AQ318" t="e">
        <f>AND('PROG FORMACIÓN TITULADA'!#REF!,"AAAAAGHnjyo=")</f>
        <v>#REF!</v>
      </c>
      <c r="AR318" t="e">
        <f>AND('PROG FORMACIÓN TITULADA'!#REF!,"AAAAAGHnjys=")</f>
        <v>#REF!</v>
      </c>
      <c r="AS318" t="e">
        <f>AND('PROG FORMACIÓN TITULADA'!#REF!,"AAAAAGHnjyw=")</f>
        <v>#REF!</v>
      </c>
      <c r="AT318" t="e">
        <f>AND('PROG FORMACIÓN TITULADA'!#REF!,"AAAAAGHnjy0=")</f>
        <v>#REF!</v>
      </c>
      <c r="AU318" t="e">
        <f>AND('PROG FORMACIÓN TITULADA'!#REF!,"AAAAAGHnjy4=")</f>
        <v>#REF!</v>
      </c>
      <c r="AV318" t="e">
        <f>AND('PROG FORMACIÓN TITULADA'!#REF!,"AAAAAGHnjy8=")</f>
        <v>#REF!</v>
      </c>
      <c r="AW318" t="e">
        <f>AND('PROG FORMACIÓN TITULADA'!#REF!,"AAAAAGHnjzA=")</f>
        <v>#REF!</v>
      </c>
      <c r="AX318" t="e">
        <f>AND('PROG FORMACIÓN TITULADA'!#REF!,"AAAAAGHnjzE=")</f>
        <v>#REF!</v>
      </c>
      <c r="AY318" t="e">
        <f>AND('PROG FORMACIÓN TITULADA'!#REF!,"AAAAAGHnjzI=")</f>
        <v>#REF!</v>
      </c>
      <c r="AZ318" t="e">
        <f>AND('PROG FORMACIÓN TITULADA'!#REF!,"AAAAAGHnjzM=")</f>
        <v>#REF!</v>
      </c>
      <c r="BA318" t="e">
        <f>AND('PROG FORMACIÓN TITULADA'!#REF!,"AAAAAGHnjzQ=")</f>
        <v>#REF!</v>
      </c>
      <c r="BB318" t="e">
        <f>AND('PROG FORMACIÓN TITULADA'!#REF!,"AAAAAGHnjzU=")</f>
        <v>#REF!</v>
      </c>
      <c r="BC318" t="e">
        <f>AND('PROG FORMACIÓN TITULADA'!#REF!,"AAAAAGHnjzY=")</f>
        <v>#REF!</v>
      </c>
      <c r="BD318" t="e">
        <f>AND('PROG FORMACIÓN TITULADA'!#REF!,"AAAAAGHnjzc=")</f>
        <v>#REF!</v>
      </c>
      <c r="BE318" t="e">
        <f>AND('PROG FORMACIÓN TITULADA'!#REF!,"AAAAAGHnjzg=")</f>
        <v>#REF!</v>
      </c>
      <c r="BF318" t="e">
        <f>AND('PROG FORMACIÓN TITULADA'!#REF!,"AAAAAGHnjzk=")</f>
        <v>#REF!</v>
      </c>
      <c r="BG318" t="e">
        <f>AND('PROG FORMACIÓN TITULADA'!#REF!,"AAAAAGHnjzo=")</f>
        <v>#REF!</v>
      </c>
      <c r="BH318" t="e">
        <f>AND('PROG FORMACIÓN TITULADA'!#REF!,"AAAAAGHnjzs=")</f>
        <v>#REF!</v>
      </c>
      <c r="BI318" t="e">
        <f>AND('PROG FORMACIÓN TITULADA'!#REF!,"AAAAAGHnjzw=")</f>
        <v>#REF!</v>
      </c>
      <c r="BJ318" t="e">
        <f>AND('PROG FORMACIÓN TITULADA'!#REF!,"AAAAAGHnjz0=")</f>
        <v>#REF!</v>
      </c>
      <c r="BK318" t="e">
        <f>AND('PROG FORMACIÓN TITULADA'!#REF!,"AAAAAGHnjz4=")</f>
        <v>#REF!</v>
      </c>
      <c r="BL318" t="e">
        <f>AND('PROG FORMACIÓN TITULADA'!#REF!,"AAAAAGHnjz8=")</f>
        <v>#REF!</v>
      </c>
      <c r="BM318" t="e">
        <f>IF('PROG FORMACIÓN TITULADA'!#REF!,"AAAAAGHnj0A=",0)</f>
        <v>#REF!</v>
      </c>
      <c r="BN318" t="e">
        <f>AND('PROG FORMACIÓN TITULADA'!#REF!,"AAAAAGHnj0E=")</f>
        <v>#REF!</v>
      </c>
      <c r="BO318" t="e">
        <f>AND('PROG FORMACIÓN TITULADA'!#REF!,"AAAAAGHnj0I=")</f>
        <v>#REF!</v>
      </c>
      <c r="BP318" t="e">
        <f>AND('PROG FORMACIÓN TITULADA'!#REF!,"AAAAAGHnj0M=")</f>
        <v>#REF!</v>
      </c>
      <c r="BQ318" t="e">
        <f>AND('PROG FORMACIÓN TITULADA'!#REF!,"AAAAAGHnj0Q=")</f>
        <v>#REF!</v>
      </c>
      <c r="BR318" t="e">
        <f>AND('PROG FORMACIÓN TITULADA'!#REF!,"AAAAAGHnj0U=")</f>
        <v>#REF!</v>
      </c>
      <c r="BS318" t="e">
        <f>AND('PROG FORMACIÓN TITULADA'!#REF!,"AAAAAGHnj0Y=")</f>
        <v>#REF!</v>
      </c>
      <c r="BT318" t="e">
        <f>AND('PROG FORMACIÓN TITULADA'!#REF!,"AAAAAGHnj0c=")</f>
        <v>#REF!</v>
      </c>
      <c r="BU318" t="e">
        <f>AND('PROG FORMACIÓN TITULADA'!#REF!,"AAAAAGHnj0g=")</f>
        <v>#REF!</v>
      </c>
      <c r="BV318" t="e">
        <f>AND('PROG FORMACIÓN TITULADA'!#REF!,"AAAAAGHnj0k=")</f>
        <v>#REF!</v>
      </c>
      <c r="BW318" t="e">
        <f>AND('PROG FORMACIÓN TITULADA'!#REF!,"AAAAAGHnj0o=")</f>
        <v>#REF!</v>
      </c>
      <c r="BX318" t="e">
        <f>AND('PROG FORMACIÓN TITULADA'!#REF!,"AAAAAGHnj0s=")</f>
        <v>#REF!</v>
      </c>
      <c r="BY318" t="e">
        <f>AND('PROG FORMACIÓN TITULADA'!#REF!,"AAAAAGHnj0w=")</f>
        <v>#REF!</v>
      </c>
      <c r="BZ318" t="e">
        <f>AND('PROG FORMACIÓN TITULADA'!#REF!,"AAAAAGHnj00=")</f>
        <v>#REF!</v>
      </c>
      <c r="CA318" t="e">
        <f>AND('PROG FORMACIÓN TITULADA'!#REF!,"AAAAAGHnj04=")</f>
        <v>#REF!</v>
      </c>
      <c r="CB318" t="e">
        <f>AND('PROG FORMACIÓN TITULADA'!#REF!,"AAAAAGHnj08=")</f>
        <v>#REF!</v>
      </c>
      <c r="CC318" t="e">
        <f>AND('PROG FORMACIÓN TITULADA'!#REF!,"AAAAAGHnj1A=")</f>
        <v>#REF!</v>
      </c>
      <c r="CD318" t="e">
        <f>AND('PROG FORMACIÓN TITULADA'!#REF!,"AAAAAGHnj1E=")</f>
        <v>#REF!</v>
      </c>
      <c r="CE318" t="e">
        <f>AND('PROG FORMACIÓN TITULADA'!#REF!,"AAAAAGHnj1I=")</f>
        <v>#REF!</v>
      </c>
      <c r="CF318" t="e">
        <f>AND('PROG FORMACIÓN TITULADA'!#REF!,"AAAAAGHnj1M=")</f>
        <v>#REF!</v>
      </c>
      <c r="CG318" t="e">
        <f>AND('PROG FORMACIÓN TITULADA'!#REF!,"AAAAAGHnj1Q=")</f>
        <v>#REF!</v>
      </c>
      <c r="CH318" t="e">
        <f>AND('PROG FORMACIÓN TITULADA'!#REF!,"AAAAAGHnj1U=")</f>
        <v>#REF!</v>
      </c>
      <c r="CI318" t="e">
        <f>AND('PROG FORMACIÓN TITULADA'!#REF!,"AAAAAGHnj1Y=")</f>
        <v>#REF!</v>
      </c>
      <c r="CJ318" t="e">
        <f>AND('PROG FORMACIÓN TITULADA'!#REF!,"AAAAAGHnj1c=")</f>
        <v>#REF!</v>
      </c>
      <c r="CK318" t="e">
        <f>AND('PROG FORMACIÓN TITULADA'!#REF!,"AAAAAGHnj1g=")</f>
        <v>#REF!</v>
      </c>
      <c r="CL318" t="e">
        <f>AND('PROG FORMACIÓN TITULADA'!#REF!,"AAAAAGHnj1k=")</f>
        <v>#REF!</v>
      </c>
      <c r="CM318" t="e">
        <f>AND('PROG FORMACIÓN TITULADA'!#REF!,"AAAAAGHnj1o=")</f>
        <v>#REF!</v>
      </c>
      <c r="CN318" t="e">
        <f>IF('PROG FORMACIÓN TITULADA'!#REF!,"AAAAAGHnj1s=",0)</f>
        <v>#REF!</v>
      </c>
      <c r="CO318" t="e">
        <f>AND('PROG FORMACIÓN TITULADA'!#REF!,"AAAAAGHnj1w=")</f>
        <v>#REF!</v>
      </c>
      <c r="CP318" t="e">
        <f>AND('PROG FORMACIÓN TITULADA'!#REF!,"AAAAAGHnj10=")</f>
        <v>#REF!</v>
      </c>
      <c r="CQ318" t="e">
        <f>AND('PROG FORMACIÓN TITULADA'!#REF!,"AAAAAGHnj14=")</f>
        <v>#REF!</v>
      </c>
      <c r="CR318" t="e">
        <f>AND('PROG FORMACIÓN TITULADA'!#REF!,"AAAAAGHnj18=")</f>
        <v>#REF!</v>
      </c>
      <c r="CS318" t="e">
        <f>AND('PROG FORMACIÓN TITULADA'!#REF!,"AAAAAGHnj2A=")</f>
        <v>#REF!</v>
      </c>
      <c r="CT318" t="e">
        <f>AND('PROG FORMACIÓN TITULADA'!#REF!,"AAAAAGHnj2E=")</f>
        <v>#REF!</v>
      </c>
      <c r="CU318" t="e">
        <f>AND('PROG FORMACIÓN TITULADA'!#REF!,"AAAAAGHnj2I=")</f>
        <v>#REF!</v>
      </c>
      <c r="CV318" t="e">
        <f>AND('PROG FORMACIÓN TITULADA'!#REF!,"AAAAAGHnj2M=")</f>
        <v>#REF!</v>
      </c>
      <c r="CW318" t="e">
        <f>AND('PROG FORMACIÓN TITULADA'!#REF!,"AAAAAGHnj2Q=")</f>
        <v>#REF!</v>
      </c>
      <c r="CX318" t="e">
        <f>AND('PROG FORMACIÓN TITULADA'!#REF!,"AAAAAGHnj2U=")</f>
        <v>#REF!</v>
      </c>
      <c r="CY318" t="e">
        <f>AND('PROG FORMACIÓN TITULADA'!#REF!,"AAAAAGHnj2Y=")</f>
        <v>#REF!</v>
      </c>
      <c r="CZ318" t="e">
        <f>AND('PROG FORMACIÓN TITULADA'!#REF!,"AAAAAGHnj2c=")</f>
        <v>#REF!</v>
      </c>
      <c r="DA318" t="e">
        <f>AND('PROG FORMACIÓN TITULADA'!#REF!,"AAAAAGHnj2g=")</f>
        <v>#REF!</v>
      </c>
      <c r="DB318" t="e">
        <f>AND('PROG FORMACIÓN TITULADA'!#REF!,"AAAAAGHnj2k=")</f>
        <v>#REF!</v>
      </c>
      <c r="DC318" t="e">
        <f>AND('PROG FORMACIÓN TITULADA'!#REF!,"AAAAAGHnj2o=")</f>
        <v>#REF!</v>
      </c>
      <c r="DD318" t="e">
        <f>AND('PROG FORMACIÓN TITULADA'!#REF!,"AAAAAGHnj2s=")</f>
        <v>#REF!</v>
      </c>
      <c r="DE318" t="e">
        <f>AND('PROG FORMACIÓN TITULADA'!#REF!,"AAAAAGHnj2w=")</f>
        <v>#REF!</v>
      </c>
      <c r="DF318" t="e">
        <f>AND('PROG FORMACIÓN TITULADA'!#REF!,"AAAAAGHnj20=")</f>
        <v>#REF!</v>
      </c>
      <c r="DG318" t="e">
        <f>AND('PROG FORMACIÓN TITULADA'!#REF!,"AAAAAGHnj24=")</f>
        <v>#REF!</v>
      </c>
      <c r="DH318" t="e">
        <f>AND('PROG FORMACIÓN TITULADA'!#REF!,"AAAAAGHnj28=")</f>
        <v>#REF!</v>
      </c>
      <c r="DI318" t="e">
        <f>AND('PROG FORMACIÓN TITULADA'!#REF!,"AAAAAGHnj3A=")</f>
        <v>#REF!</v>
      </c>
      <c r="DJ318" t="e">
        <f>AND('PROG FORMACIÓN TITULADA'!#REF!,"AAAAAGHnj3E=")</f>
        <v>#REF!</v>
      </c>
      <c r="DK318" t="e">
        <f>AND('PROG FORMACIÓN TITULADA'!#REF!,"AAAAAGHnj3I=")</f>
        <v>#REF!</v>
      </c>
      <c r="DL318" t="e">
        <f>AND('PROG FORMACIÓN TITULADA'!#REF!,"AAAAAGHnj3M=")</f>
        <v>#REF!</v>
      </c>
      <c r="DM318" t="e">
        <f>AND('PROG FORMACIÓN TITULADA'!#REF!,"AAAAAGHnj3Q=")</f>
        <v>#REF!</v>
      </c>
      <c r="DN318" t="e">
        <f>AND('PROG FORMACIÓN TITULADA'!#REF!,"AAAAAGHnj3U=")</f>
        <v>#REF!</v>
      </c>
      <c r="DO318" t="e">
        <f>IF('PROG FORMACIÓN TITULADA'!#REF!,"AAAAAGHnj3Y=",0)</f>
        <v>#REF!</v>
      </c>
      <c r="DP318" t="e">
        <f>AND('PROG FORMACIÓN TITULADA'!#REF!,"AAAAAGHnj3c=")</f>
        <v>#REF!</v>
      </c>
      <c r="DQ318" t="e">
        <f>AND('PROG FORMACIÓN TITULADA'!#REF!,"AAAAAGHnj3g=")</f>
        <v>#REF!</v>
      </c>
      <c r="DR318" t="e">
        <f>AND('PROG FORMACIÓN TITULADA'!#REF!,"AAAAAGHnj3k=")</f>
        <v>#REF!</v>
      </c>
      <c r="DS318" t="e">
        <f>AND('PROG FORMACIÓN TITULADA'!#REF!,"AAAAAGHnj3o=")</f>
        <v>#REF!</v>
      </c>
      <c r="DT318" t="e">
        <f>AND('PROG FORMACIÓN TITULADA'!#REF!,"AAAAAGHnj3s=")</f>
        <v>#REF!</v>
      </c>
      <c r="DU318" t="e">
        <f>AND('PROG FORMACIÓN TITULADA'!#REF!,"AAAAAGHnj3w=")</f>
        <v>#REF!</v>
      </c>
      <c r="DV318" t="e">
        <f>AND('PROG FORMACIÓN TITULADA'!#REF!,"AAAAAGHnj30=")</f>
        <v>#REF!</v>
      </c>
      <c r="DW318" t="e">
        <f>AND('PROG FORMACIÓN TITULADA'!#REF!,"AAAAAGHnj34=")</f>
        <v>#REF!</v>
      </c>
      <c r="DX318" t="e">
        <f>AND('PROG FORMACIÓN TITULADA'!#REF!,"AAAAAGHnj38=")</f>
        <v>#REF!</v>
      </c>
      <c r="DY318" t="e">
        <f>AND('PROG FORMACIÓN TITULADA'!#REF!,"AAAAAGHnj4A=")</f>
        <v>#REF!</v>
      </c>
      <c r="DZ318" t="e">
        <f>AND('PROG FORMACIÓN TITULADA'!#REF!,"AAAAAGHnj4E=")</f>
        <v>#REF!</v>
      </c>
      <c r="EA318" t="e">
        <f>AND('PROG FORMACIÓN TITULADA'!#REF!,"AAAAAGHnj4I=")</f>
        <v>#REF!</v>
      </c>
      <c r="EB318" t="e">
        <f>AND('PROG FORMACIÓN TITULADA'!#REF!,"AAAAAGHnj4M=")</f>
        <v>#REF!</v>
      </c>
      <c r="EC318" t="e">
        <f>AND('PROG FORMACIÓN TITULADA'!#REF!,"AAAAAGHnj4Q=")</f>
        <v>#REF!</v>
      </c>
      <c r="ED318" t="e">
        <f>AND('PROG FORMACIÓN TITULADA'!#REF!,"AAAAAGHnj4U=")</f>
        <v>#REF!</v>
      </c>
      <c r="EE318" t="e">
        <f>AND('PROG FORMACIÓN TITULADA'!#REF!,"AAAAAGHnj4Y=")</f>
        <v>#REF!</v>
      </c>
      <c r="EF318" t="e">
        <f>AND('PROG FORMACIÓN TITULADA'!#REF!,"AAAAAGHnj4c=")</f>
        <v>#REF!</v>
      </c>
      <c r="EG318" t="e">
        <f>AND('PROG FORMACIÓN TITULADA'!#REF!,"AAAAAGHnj4g=")</f>
        <v>#REF!</v>
      </c>
      <c r="EH318" t="e">
        <f>AND('PROG FORMACIÓN TITULADA'!#REF!,"AAAAAGHnj4k=")</f>
        <v>#REF!</v>
      </c>
      <c r="EI318" t="e">
        <f>AND('PROG FORMACIÓN TITULADA'!#REF!,"AAAAAGHnj4o=")</f>
        <v>#REF!</v>
      </c>
      <c r="EJ318" t="e">
        <f>AND('PROG FORMACIÓN TITULADA'!#REF!,"AAAAAGHnj4s=")</f>
        <v>#REF!</v>
      </c>
      <c r="EK318" t="e">
        <f>AND('PROG FORMACIÓN TITULADA'!#REF!,"AAAAAGHnj4w=")</f>
        <v>#REF!</v>
      </c>
      <c r="EL318" t="e">
        <f>AND('PROG FORMACIÓN TITULADA'!#REF!,"AAAAAGHnj40=")</f>
        <v>#REF!</v>
      </c>
      <c r="EM318" t="e">
        <f>AND('PROG FORMACIÓN TITULADA'!#REF!,"AAAAAGHnj44=")</f>
        <v>#REF!</v>
      </c>
      <c r="EN318" t="e">
        <f>AND('PROG FORMACIÓN TITULADA'!#REF!,"AAAAAGHnj48=")</f>
        <v>#REF!</v>
      </c>
      <c r="EO318" t="e">
        <f>AND('PROG FORMACIÓN TITULADA'!#REF!,"AAAAAGHnj5A=")</f>
        <v>#REF!</v>
      </c>
      <c r="EP318" t="e">
        <f>IF('PROG FORMACIÓN TITULADA'!#REF!,"AAAAAGHnj5E=",0)</f>
        <v>#REF!</v>
      </c>
      <c r="EQ318" t="e">
        <f>AND('PROG FORMACIÓN TITULADA'!#REF!,"AAAAAGHnj5I=")</f>
        <v>#REF!</v>
      </c>
      <c r="ER318" t="e">
        <f>AND('PROG FORMACIÓN TITULADA'!#REF!,"AAAAAGHnj5M=")</f>
        <v>#REF!</v>
      </c>
      <c r="ES318" t="e">
        <f>AND('PROG FORMACIÓN TITULADA'!#REF!,"AAAAAGHnj5Q=")</f>
        <v>#REF!</v>
      </c>
      <c r="ET318" t="e">
        <f>AND('PROG FORMACIÓN TITULADA'!#REF!,"AAAAAGHnj5U=")</f>
        <v>#REF!</v>
      </c>
      <c r="EU318" t="e">
        <f>AND('PROG FORMACIÓN TITULADA'!#REF!,"AAAAAGHnj5Y=")</f>
        <v>#REF!</v>
      </c>
      <c r="EV318" t="e">
        <f>AND('PROG FORMACIÓN TITULADA'!#REF!,"AAAAAGHnj5c=")</f>
        <v>#REF!</v>
      </c>
      <c r="EW318" t="e">
        <f>AND('PROG FORMACIÓN TITULADA'!#REF!,"AAAAAGHnj5g=")</f>
        <v>#REF!</v>
      </c>
      <c r="EX318" t="e">
        <f>AND('PROG FORMACIÓN TITULADA'!#REF!,"AAAAAGHnj5k=")</f>
        <v>#REF!</v>
      </c>
      <c r="EY318" t="e">
        <f>AND('PROG FORMACIÓN TITULADA'!#REF!,"AAAAAGHnj5o=")</f>
        <v>#REF!</v>
      </c>
      <c r="EZ318" t="e">
        <f>AND('PROG FORMACIÓN TITULADA'!#REF!,"AAAAAGHnj5s=")</f>
        <v>#REF!</v>
      </c>
      <c r="FA318" t="e">
        <f>AND('PROG FORMACIÓN TITULADA'!#REF!,"AAAAAGHnj5w=")</f>
        <v>#REF!</v>
      </c>
      <c r="FB318" t="e">
        <f>AND('PROG FORMACIÓN TITULADA'!#REF!,"AAAAAGHnj50=")</f>
        <v>#REF!</v>
      </c>
      <c r="FC318" t="e">
        <f>AND('PROG FORMACIÓN TITULADA'!#REF!,"AAAAAGHnj54=")</f>
        <v>#REF!</v>
      </c>
      <c r="FD318" t="e">
        <f>AND('PROG FORMACIÓN TITULADA'!#REF!,"AAAAAGHnj58=")</f>
        <v>#REF!</v>
      </c>
      <c r="FE318" t="e">
        <f>AND('PROG FORMACIÓN TITULADA'!#REF!,"AAAAAGHnj6A=")</f>
        <v>#REF!</v>
      </c>
      <c r="FF318" t="e">
        <f>AND('PROG FORMACIÓN TITULADA'!#REF!,"AAAAAGHnj6E=")</f>
        <v>#REF!</v>
      </c>
      <c r="FG318" t="e">
        <f>AND('PROG FORMACIÓN TITULADA'!#REF!,"AAAAAGHnj6I=")</f>
        <v>#REF!</v>
      </c>
      <c r="FH318" t="e">
        <f>AND('PROG FORMACIÓN TITULADA'!#REF!,"AAAAAGHnj6M=")</f>
        <v>#REF!</v>
      </c>
      <c r="FI318" t="e">
        <f>AND('PROG FORMACIÓN TITULADA'!#REF!,"AAAAAGHnj6Q=")</f>
        <v>#REF!</v>
      </c>
      <c r="FJ318" t="e">
        <f>AND('PROG FORMACIÓN TITULADA'!#REF!,"AAAAAGHnj6U=")</f>
        <v>#REF!</v>
      </c>
      <c r="FK318" t="e">
        <f>AND('PROG FORMACIÓN TITULADA'!#REF!,"AAAAAGHnj6Y=")</f>
        <v>#REF!</v>
      </c>
      <c r="FL318" t="e">
        <f>AND('PROG FORMACIÓN TITULADA'!#REF!,"AAAAAGHnj6c=")</f>
        <v>#REF!</v>
      </c>
      <c r="FM318" t="e">
        <f>AND('PROG FORMACIÓN TITULADA'!#REF!,"AAAAAGHnj6g=")</f>
        <v>#REF!</v>
      </c>
      <c r="FN318" t="e">
        <f>AND('PROG FORMACIÓN TITULADA'!#REF!,"AAAAAGHnj6k=")</f>
        <v>#REF!</v>
      </c>
      <c r="FO318" t="e">
        <f>AND('PROG FORMACIÓN TITULADA'!#REF!,"AAAAAGHnj6o=")</f>
        <v>#REF!</v>
      </c>
      <c r="FP318" t="e">
        <f>AND('PROG FORMACIÓN TITULADA'!#REF!,"AAAAAGHnj6s=")</f>
        <v>#REF!</v>
      </c>
      <c r="FQ318" t="e">
        <f>IF('PROG FORMACIÓN TITULADA'!#REF!,"AAAAAGHnj6w=",0)</f>
        <v>#REF!</v>
      </c>
      <c r="FR318" t="e">
        <f>AND('PROG FORMACIÓN TITULADA'!#REF!,"AAAAAGHnj60=")</f>
        <v>#REF!</v>
      </c>
      <c r="FS318" t="e">
        <f>AND('PROG FORMACIÓN TITULADA'!#REF!,"AAAAAGHnj64=")</f>
        <v>#REF!</v>
      </c>
      <c r="FT318" t="e">
        <f>AND('PROG FORMACIÓN TITULADA'!#REF!,"AAAAAGHnj68=")</f>
        <v>#REF!</v>
      </c>
      <c r="FU318" t="e">
        <f>AND('PROG FORMACIÓN TITULADA'!#REF!,"AAAAAGHnj7A=")</f>
        <v>#REF!</v>
      </c>
      <c r="FV318" t="e">
        <f>AND('PROG FORMACIÓN TITULADA'!#REF!,"AAAAAGHnj7E=")</f>
        <v>#REF!</v>
      </c>
      <c r="FW318" t="e">
        <f>AND('PROG FORMACIÓN TITULADA'!#REF!,"AAAAAGHnj7I=")</f>
        <v>#REF!</v>
      </c>
      <c r="FX318" t="e">
        <f>AND('PROG FORMACIÓN TITULADA'!#REF!,"AAAAAGHnj7M=")</f>
        <v>#REF!</v>
      </c>
      <c r="FY318" t="e">
        <f>AND('PROG FORMACIÓN TITULADA'!#REF!,"AAAAAGHnj7Q=")</f>
        <v>#REF!</v>
      </c>
      <c r="FZ318" t="e">
        <f>AND('PROG FORMACIÓN TITULADA'!#REF!,"AAAAAGHnj7U=")</f>
        <v>#REF!</v>
      </c>
      <c r="GA318" t="e">
        <f>AND('PROG FORMACIÓN TITULADA'!#REF!,"AAAAAGHnj7Y=")</f>
        <v>#REF!</v>
      </c>
      <c r="GB318" t="e">
        <f>AND('PROG FORMACIÓN TITULADA'!#REF!,"AAAAAGHnj7c=")</f>
        <v>#REF!</v>
      </c>
      <c r="GC318" t="e">
        <f>AND('PROG FORMACIÓN TITULADA'!#REF!,"AAAAAGHnj7g=")</f>
        <v>#REF!</v>
      </c>
      <c r="GD318" t="e">
        <f>AND('PROG FORMACIÓN TITULADA'!#REF!,"AAAAAGHnj7k=")</f>
        <v>#REF!</v>
      </c>
      <c r="GE318" t="e">
        <f>AND('PROG FORMACIÓN TITULADA'!#REF!,"AAAAAGHnj7o=")</f>
        <v>#REF!</v>
      </c>
      <c r="GF318" t="e">
        <f>AND('PROG FORMACIÓN TITULADA'!#REF!,"AAAAAGHnj7s=")</f>
        <v>#REF!</v>
      </c>
      <c r="GG318" t="e">
        <f>AND('PROG FORMACIÓN TITULADA'!#REF!,"AAAAAGHnj7w=")</f>
        <v>#REF!</v>
      </c>
      <c r="GH318" t="e">
        <f>AND('PROG FORMACIÓN TITULADA'!#REF!,"AAAAAGHnj70=")</f>
        <v>#REF!</v>
      </c>
      <c r="GI318" t="e">
        <f>AND('PROG FORMACIÓN TITULADA'!#REF!,"AAAAAGHnj74=")</f>
        <v>#REF!</v>
      </c>
      <c r="GJ318" t="e">
        <f>AND('PROG FORMACIÓN TITULADA'!#REF!,"AAAAAGHnj78=")</f>
        <v>#REF!</v>
      </c>
      <c r="GK318" t="e">
        <f>AND('PROG FORMACIÓN TITULADA'!#REF!,"AAAAAGHnj8A=")</f>
        <v>#REF!</v>
      </c>
      <c r="GL318" t="e">
        <f>AND('PROG FORMACIÓN TITULADA'!#REF!,"AAAAAGHnj8E=")</f>
        <v>#REF!</v>
      </c>
      <c r="GM318" t="e">
        <f>AND('PROG FORMACIÓN TITULADA'!#REF!,"AAAAAGHnj8I=")</f>
        <v>#REF!</v>
      </c>
      <c r="GN318" t="e">
        <f>AND('PROG FORMACIÓN TITULADA'!#REF!,"AAAAAGHnj8M=")</f>
        <v>#REF!</v>
      </c>
      <c r="GO318" t="e">
        <f>AND('PROG FORMACIÓN TITULADA'!#REF!,"AAAAAGHnj8Q=")</f>
        <v>#REF!</v>
      </c>
      <c r="GP318" t="e">
        <f>AND('PROG FORMACIÓN TITULADA'!#REF!,"AAAAAGHnj8U=")</f>
        <v>#REF!</v>
      </c>
      <c r="GQ318" t="e">
        <f>AND('PROG FORMACIÓN TITULADA'!#REF!,"AAAAAGHnj8Y=")</f>
        <v>#REF!</v>
      </c>
      <c r="GR318" t="e">
        <f>IF('PROG FORMACIÓN TITULADA'!#REF!,"AAAAAGHnj8c=",0)</f>
        <v>#REF!</v>
      </c>
      <c r="GS318" t="e">
        <f>AND('PROG FORMACIÓN TITULADA'!#REF!,"AAAAAGHnj8g=")</f>
        <v>#REF!</v>
      </c>
      <c r="GT318" t="e">
        <f>AND('PROG FORMACIÓN TITULADA'!#REF!,"AAAAAGHnj8k=")</f>
        <v>#REF!</v>
      </c>
      <c r="GU318" t="e">
        <f>AND('PROG FORMACIÓN TITULADA'!#REF!,"AAAAAGHnj8o=")</f>
        <v>#REF!</v>
      </c>
      <c r="GV318" t="e">
        <f>AND('PROG FORMACIÓN TITULADA'!#REF!,"AAAAAGHnj8s=")</f>
        <v>#REF!</v>
      </c>
      <c r="GW318" t="e">
        <f>AND('PROG FORMACIÓN TITULADA'!#REF!,"AAAAAGHnj8w=")</f>
        <v>#REF!</v>
      </c>
      <c r="GX318" t="e">
        <f>AND('PROG FORMACIÓN TITULADA'!#REF!,"AAAAAGHnj80=")</f>
        <v>#REF!</v>
      </c>
      <c r="GY318" t="e">
        <f>AND('PROG FORMACIÓN TITULADA'!#REF!,"AAAAAGHnj84=")</f>
        <v>#REF!</v>
      </c>
      <c r="GZ318" t="e">
        <f>AND('PROG FORMACIÓN TITULADA'!#REF!,"AAAAAGHnj88=")</f>
        <v>#REF!</v>
      </c>
      <c r="HA318" t="e">
        <f>AND('PROG FORMACIÓN TITULADA'!#REF!,"AAAAAGHnj9A=")</f>
        <v>#REF!</v>
      </c>
      <c r="HB318" t="e">
        <f>AND('PROG FORMACIÓN TITULADA'!#REF!,"AAAAAGHnj9E=")</f>
        <v>#REF!</v>
      </c>
      <c r="HC318" t="e">
        <f>AND('PROG FORMACIÓN TITULADA'!#REF!,"AAAAAGHnj9I=")</f>
        <v>#REF!</v>
      </c>
      <c r="HD318" t="e">
        <f>AND('PROG FORMACIÓN TITULADA'!#REF!,"AAAAAGHnj9M=")</f>
        <v>#REF!</v>
      </c>
      <c r="HE318" t="e">
        <f>AND('PROG FORMACIÓN TITULADA'!#REF!,"AAAAAGHnj9Q=")</f>
        <v>#REF!</v>
      </c>
      <c r="HF318" t="e">
        <f>AND('PROG FORMACIÓN TITULADA'!#REF!,"AAAAAGHnj9U=")</f>
        <v>#REF!</v>
      </c>
      <c r="HG318" t="e">
        <f>AND('PROG FORMACIÓN TITULADA'!#REF!,"AAAAAGHnj9Y=")</f>
        <v>#REF!</v>
      </c>
      <c r="HH318" t="e">
        <f>AND('PROG FORMACIÓN TITULADA'!#REF!,"AAAAAGHnj9c=")</f>
        <v>#REF!</v>
      </c>
      <c r="HI318" t="e">
        <f>AND('PROG FORMACIÓN TITULADA'!#REF!,"AAAAAGHnj9g=")</f>
        <v>#REF!</v>
      </c>
      <c r="HJ318" t="e">
        <f>AND('PROG FORMACIÓN TITULADA'!#REF!,"AAAAAGHnj9k=")</f>
        <v>#REF!</v>
      </c>
      <c r="HK318" t="e">
        <f>AND('PROG FORMACIÓN TITULADA'!#REF!,"AAAAAGHnj9o=")</f>
        <v>#REF!</v>
      </c>
      <c r="HL318" t="e">
        <f>AND('PROG FORMACIÓN TITULADA'!#REF!,"AAAAAGHnj9s=")</f>
        <v>#REF!</v>
      </c>
      <c r="HM318" t="e">
        <f>AND('PROG FORMACIÓN TITULADA'!#REF!,"AAAAAGHnj9w=")</f>
        <v>#REF!</v>
      </c>
      <c r="HN318" t="e">
        <f>AND('PROG FORMACIÓN TITULADA'!#REF!,"AAAAAGHnj90=")</f>
        <v>#REF!</v>
      </c>
      <c r="HO318" t="e">
        <f>AND('PROG FORMACIÓN TITULADA'!#REF!,"AAAAAGHnj94=")</f>
        <v>#REF!</v>
      </c>
      <c r="HP318" t="e">
        <f>AND('PROG FORMACIÓN TITULADA'!#REF!,"AAAAAGHnj98=")</f>
        <v>#REF!</v>
      </c>
      <c r="HQ318" t="e">
        <f>AND('PROG FORMACIÓN TITULADA'!#REF!,"AAAAAGHnj+A=")</f>
        <v>#REF!</v>
      </c>
      <c r="HR318" t="e">
        <f>AND('PROG FORMACIÓN TITULADA'!#REF!,"AAAAAGHnj+E=")</f>
        <v>#REF!</v>
      </c>
      <c r="HS318" t="e">
        <f>IF('PROG FORMACIÓN TITULADA'!#REF!,"AAAAAGHnj+I=",0)</f>
        <v>#REF!</v>
      </c>
      <c r="HT318" t="e">
        <f>AND('PROG FORMACIÓN TITULADA'!#REF!,"AAAAAGHnj+M=")</f>
        <v>#REF!</v>
      </c>
      <c r="HU318" t="e">
        <f>AND('PROG FORMACIÓN TITULADA'!#REF!,"AAAAAGHnj+Q=")</f>
        <v>#REF!</v>
      </c>
      <c r="HV318" t="e">
        <f>AND('PROG FORMACIÓN TITULADA'!#REF!,"AAAAAGHnj+U=")</f>
        <v>#REF!</v>
      </c>
      <c r="HW318" t="e">
        <f>AND('PROG FORMACIÓN TITULADA'!#REF!,"AAAAAGHnj+Y=")</f>
        <v>#REF!</v>
      </c>
      <c r="HX318" t="e">
        <f>AND('PROG FORMACIÓN TITULADA'!#REF!,"AAAAAGHnj+c=")</f>
        <v>#REF!</v>
      </c>
      <c r="HY318" t="e">
        <f>AND('PROG FORMACIÓN TITULADA'!#REF!,"AAAAAGHnj+g=")</f>
        <v>#REF!</v>
      </c>
      <c r="HZ318" t="e">
        <f>AND('PROG FORMACIÓN TITULADA'!#REF!,"AAAAAGHnj+k=")</f>
        <v>#REF!</v>
      </c>
      <c r="IA318" t="e">
        <f>AND('PROG FORMACIÓN TITULADA'!#REF!,"AAAAAGHnj+o=")</f>
        <v>#REF!</v>
      </c>
      <c r="IB318" t="e">
        <f>AND('PROG FORMACIÓN TITULADA'!#REF!,"AAAAAGHnj+s=")</f>
        <v>#REF!</v>
      </c>
      <c r="IC318" t="e">
        <f>AND('PROG FORMACIÓN TITULADA'!#REF!,"AAAAAGHnj+w=")</f>
        <v>#REF!</v>
      </c>
      <c r="ID318" t="e">
        <f>AND('PROG FORMACIÓN TITULADA'!#REF!,"AAAAAGHnj+0=")</f>
        <v>#REF!</v>
      </c>
      <c r="IE318" t="e">
        <f>AND('PROG FORMACIÓN TITULADA'!#REF!,"AAAAAGHnj+4=")</f>
        <v>#REF!</v>
      </c>
      <c r="IF318" t="e">
        <f>AND('PROG FORMACIÓN TITULADA'!#REF!,"AAAAAGHnj+8=")</f>
        <v>#REF!</v>
      </c>
      <c r="IG318" t="e">
        <f>AND('PROG FORMACIÓN TITULADA'!#REF!,"AAAAAGHnj/A=")</f>
        <v>#REF!</v>
      </c>
      <c r="IH318" t="e">
        <f>AND('PROG FORMACIÓN TITULADA'!#REF!,"AAAAAGHnj/E=")</f>
        <v>#REF!</v>
      </c>
      <c r="II318" t="e">
        <f>AND('PROG FORMACIÓN TITULADA'!#REF!,"AAAAAGHnj/I=")</f>
        <v>#REF!</v>
      </c>
      <c r="IJ318" t="e">
        <f>AND('PROG FORMACIÓN TITULADA'!#REF!,"AAAAAGHnj/M=")</f>
        <v>#REF!</v>
      </c>
      <c r="IK318" t="e">
        <f>AND('PROG FORMACIÓN TITULADA'!#REF!,"AAAAAGHnj/Q=")</f>
        <v>#REF!</v>
      </c>
      <c r="IL318" t="e">
        <f>AND('PROG FORMACIÓN TITULADA'!#REF!,"AAAAAGHnj/U=")</f>
        <v>#REF!</v>
      </c>
      <c r="IM318" t="e">
        <f>AND('PROG FORMACIÓN TITULADA'!#REF!,"AAAAAGHnj/Y=")</f>
        <v>#REF!</v>
      </c>
      <c r="IN318" t="e">
        <f>AND('PROG FORMACIÓN TITULADA'!#REF!,"AAAAAGHnj/c=")</f>
        <v>#REF!</v>
      </c>
      <c r="IO318" t="e">
        <f>AND('PROG FORMACIÓN TITULADA'!#REF!,"AAAAAGHnj/g=")</f>
        <v>#REF!</v>
      </c>
      <c r="IP318" t="e">
        <f>AND('PROG FORMACIÓN TITULADA'!#REF!,"AAAAAGHnj/k=")</f>
        <v>#REF!</v>
      </c>
      <c r="IQ318" t="e">
        <f>AND('PROG FORMACIÓN TITULADA'!#REF!,"AAAAAGHnj/o=")</f>
        <v>#REF!</v>
      </c>
      <c r="IR318" t="e">
        <f>AND('PROG FORMACIÓN TITULADA'!#REF!,"AAAAAGHnj/s=")</f>
        <v>#REF!</v>
      </c>
      <c r="IS318" t="e">
        <f>AND('PROG FORMACIÓN TITULADA'!#REF!,"AAAAAGHnj/w=")</f>
        <v>#REF!</v>
      </c>
      <c r="IT318" t="e">
        <f>IF('PROG FORMACIÓN TITULADA'!#REF!,"AAAAAGHnj/0=",0)</f>
        <v>#REF!</v>
      </c>
      <c r="IU318" t="e">
        <f>AND('PROG FORMACIÓN TITULADA'!#REF!,"AAAAAGHnj/4=")</f>
        <v>#REF!</v>
      </c>
      <c r="IV318" t="e">
        <f>AND('PROG FORMACIÓN TITULADA'!#REF!,"AAAAAGHnj/8=")</f>
        <v>#REF!</v>
      </c>
    </row>
    <row r="319" spans="1:256" x14ac:dyDescent="0.2">
      <c r="A319" t="e">
        <f>AND('PROG FORMACIÓN TITULADA'!#REF!,"AAAAAEf//QA=")</f>
        <v>#REF!</v>
      </c>
      <c r="B319" t="e">
        <f>AND('PROG FORMACIÓN TITULADA'!#REF!,"AAAAAEf//QE=")</f>
        <v>#REF!</v>
      </c>
      <c r="C319" t="e">
        <f>AND('PROG FORMACIÓN TITULADA'!#REF!,"AAAAAEf//QI=")</f>
        <v>#REF!</v>
      </c>
      <c r="D319" t="e">
        <f>AND('PROG FORMACIÓN TITULADA'!#REF!,"AAAAAEf//QM=")</f>
        <v>#REF!</v>
      </c>
      <c r="E319" t="e">
        <f>AND('PROG FORMACIÓN TITULADA'!#REF!,"AAAAAEf//QQ=")</f>
        <v>#REF!</v>
      </c>
      <c r="F319" t="e">
        <f>AND('PROG FORMACIÓN TITULADA'!#REF!,"AAAAAEf//QU=")</f>
        <v>#REF!</v>
      </c>
      <c r="G319" t="e">
        <f>AND('PROG FORMACIÓN TITULADA'!#REF!,"AAAAAEf//QY=")</f>
        <v>#REF!</v>
      </c>
      <c r="H319" t="e">
        <f>AND('PROG FORMACIÓN TITULADA'!#REF!,"AAAAAEf//Qc=")</f>
        <v>#REF!</v>
      </c>
      <c r="I319" t="e">
        <f>AND('PROG FORMACIÓN TITULADA'!#REF!,"AAAAAEf//Qg=")</f>
        <v>#REF!</v>
      </c>
      <c r="J319" t="e">
        <f>AND('PROG FORMACIÓN TITULADA'!#REF!,"AAAAAEf//Qk=")</f>
        <v>#REF!</v>
      </c>
      <c r="K319" t="e">
        <f>AND('PROG FORMACIÓN TITULADA'!#REF!,"AAAAAEf//Qo=")</f>
        <v>#REF!</v>
      </c>
      <c r="L319" t="e">
        <f>AND('PROG FORMACIÓN TITULADA'!#REF!,"AAAAAEf//Qs=")</f>
        <v>#REF!</v>
      </c>
      <c r="M319" t="e">
        <f>AND('PROG FORMACIÓN TITULADA'!#REF!,"AAAAAEf//Qw=")</f>
        <v>#REF!</v>
      </c>
      <c r="N319" t="e">
        <f>AND('PROG FORMACIÓN TITULADA'!#REF!,"AAAAAEf//Q0=")</f>
        <v>#REF!</v>
      </c>
      <c r="O319" t="e">
        <f>AND('PROG FORMACIÓN TITULADA'!#REF!,"AAAAAEf//Q4=")</f>
        <v>#REF!</v>
      </c>
      <c r="P319" t="e">
        <f>AND('PROG FORMACIÓN TITULADA'!#REF!,"AAAAAEf//Q8=")</f>
        <v>#REF!</v>
      </c>
      <c r="Q319" t="e">
        <f>AND('PROG FORMACIÓN TITULADA'!#REF!,"AAAAAEf//RA=")</f>
        <v>#REF!</v>
      </c>
      <c r="R319" t="e">
        <f>AND('PROG FORMACIÓN TITULADA'!#REF!,"AAAAAEf//RE=")</f>
        <v>#REF!</v>
      </c>
      <c r="S319" t="e">
        <f>AND('PROG FORMACIÓN TITULADA'!#REF!,"AAAAAEf//RI=")</f>
        <v>#REF!</v>
      </c>
      <c r="T319" t="e">
        <f>AND('PROG FORMACIÓN TITULADA'!#REF!,"AAAAAEf//RM=")</f>
        <v>#REF!</v>
      </c>
      <c r="U319" t="e">
        <f>AND('PROG FORMACIÓN TITULADA'!#REF!,"AAAAAEf//RQ=")</f>
        <v>#REF!</v>
      </c>
      <c r="V319" t="e">
        <f>AND('PROG FORMACIÓN TITULADA'!#REF!,"AAAAAEf//RU=")</f>
        <v>#REF!</v>
      </c>
      <c r="W319" t="e">
        <f>AND('PROG FORMACIÓN TITULADA'!#REF!,"AAAAAEf//RY=")</f>
        <v>#REF!</v>
      </c>
      <c r="X319" t="e">
        <f>AND('PROG FORMACIÓN TITULADA'!#REF!,"AAAAAEf//Rc=")</f>
        <v>#REF!</v>
      </c>
      <c r="Y319" t="e">
        <f>IF('PROG FORMACIÓN TITULADA'!#REF!,"AAAAAEf//Rg=",0)</f>
        <v>#REF!</v>
      </c>
      <c r="Z319" t="e">
        <f>AND('PROG FORMACIÓN TITULADA'!#REF!,"AAAAAEf//Rk=")</f>
        <v>#REF!</v>
      </c>
      <c r="AA319" t="e">
        <f>AND('PROG FORMACIÓN TITULADA'!#REF!,"AAAAAEf//Ro=")</f>
        <v>#REF!</v>
      </c>
      <c r="AB319" t="e">
        <f>AND('PROG FORMACIÓN TITULADA'!#REF!,"AAAAAEf//Rs=")</f>
        <v>#REF!</v>
      </c>
      <c r="AC319" t="e">
        <f>AND('PROG FORMACIÓN TITULADA'!#REF!,"AAAAAEf//Rw=")</f>
        <v>#REF!</v>
      </c>
      <c r="AD319" t="e">
        <f>AND('PROG FORMACIÓN TITULADA'!#REF!,"AAAAAEf//R0=")</f>
        <v>#REF!</v>
      </c>
      <c r="AE319" t="e">
        <f>AND('PROG FORMACIÓN TITULADA'!#REF!,"AAAAAEf//R4=")</f>
        <v>#REF!</v>
      </c>
      <c r="AF319" t="e">
        <f>AND('PROG FORMACIÓN TITULADA'!#REF!,"AAAAAEf//R8=")</f>
        <v>#REF!</v>
      </c>
      <c r="AG319" t="e">
        <f>AND('PROG FORMACIÓN TITULADA'!#REF!,"AAAAAEf//SA=")</f>
        <v>#REF!</v>
      </c>
      <c r="AH319" t="e">
        <f>AND('PROG FORMACIÓN TITULADA'!#REF!,"AAAAAEf//SE=")</f>
        <v>#REF!</v>
      </c>
      <c r="AI319" t="e">
        <f>AND('PROG FORMACIÓN TITULADA'!#REF!,"AAAAAEf//SI=")</f>
        <v>#REF!</v>
      </c>
      <c r="AJ319" t="e">
        <f>AND('PROG FORMACIÓN TITULADA'!#REF!,"AAAAAEf//SM=")</f>
        <v>#REF!</v>
      </c>
      <c r="AK319" t="e">
        <f>AND('PROG FORMACIÓN TITULADA'!#REF!,"AAAAAEf//SQ=")</f>
        <v>#REF!</v>
      </c>
      <c r="AL319" t="e">
        <f>AND('PROG FORMACIÓN TITULADA'!#REF!,"AAAAAEf//SU=")</f>
        <v>#REF!</v>
      </c>
      <c r="AM319" t="e">
        <f>AND('PROG FORMACIÓN TITULADA'!#REF!,"AAAAAEf//SY=")</f>
        <v>#REF!</v>
      </c>
      <c r="AN319" t="e">
        <f>AND('PROG FORMACIÓN TITULADA'!#REF!,"AAAAAEf//Sc=")</f>
        <v>#REF!</v>
      </c>
      <c r="AO319" t="e">
        <f>AND('PROG FORMACIÓN TITULADA'!#REF!,"AAAAAEf//Sg=")</f>
        <v>#REF!</v>
      </c>
      <c r="AP319" t="e">
        <f>AND('PROG FORMACIÓN TITULADA'!#REF!,"AAAAAEf//Sk=")</f>
        <v>#REF!</v>
      </c>
      <c r="AQ319" t="e">
        <f>AND('PROG FORMACIÓN TITULADA'!#REF!,"AAAAAEf//So=")</f>
        <v>#REF!</v>
      </c>
      <c r="AR319" t="e">
        <f>AND('PROG FORMACIÓN TITULADA'!#REF!,"AAAAAEf//Ss=")</f>
        <v>#REF!</v>
      </c>
      <c r="AS319" t="e">
        <f>AND('PROG FORMACIÓN TITULADA'!#REF!,"AAAAAEf//Sw=")</f>
        <v>#REF!</v>
      </c>
      <c r="AT319" t="e">
        <f>AND('PROG FORMACIÓN TITULADA'!#REF!,"AAAAAEf//S0=")</f>
        <v>#REF!</v>
      </c>
      <c r="AU319" t="e">
        <f>AND('PROG FORMACIÓN TITULADA'!#REF!,"AAAAAEf//S4=")</f>
        <v>#REF!</v>
      </c>
      <c r="AV319" t="e">
        <f>AND('PROG FORMACIÓN TITULADA'!#REF!,"AAAAAEf//S8=")</f>
        <v>#REF!</v>
      </c>
      <c r="AW319" t="e">
        <f>AND('PROG FORMACIÓN TITULADA'!#REF!,"AAAAAEf//TA=")</f>
        <v>#REF!</v>
      </c>
      <c r="AX319" t="e">
        <f>AND('PROG FORMACIÓN TITULADA'!#REF!,"AAAAAEf//TE=")</f>
        <v>#REF!</v>
      </c>
      <c r="AY319" t="e">
        <f>AND('PROG FORMACIÓN TITULADA'!#REF!,"AAAAAEf//TI=")</f>
        <v>#REF!</v>
      </c>
      <c r="AZ319" t="e">
        <f>IF('PROG FORMACIÓN TITULADA'!#REF!,"AAAAAEf//TM=",0)</f>
        <v>#REF!</v>
      </c>
      <c r="BA319" t="e">
        <f>AND('PROG FORMACIÓN TITULADA'!#REF!,"AAAAAEf//TQ=")</f>
        <v>#REF!</v>
      </c>
      <c r="BB319" t="e">
        <f>AND('PROG FORMACIÓN TITULADA'!#REF!,"AAAAAEf//TU=")</f>
        <v>#REF!</v>
      </c>
      <c r="BC319" t="e">
        <f>AND('PROG FORMACIÓN TITULADA'!#REF!,"AAAAAEf//TY=")</f>
        <v>#REF!</v>
      </c>
      <c r="BD319" t="e">
        <f>AND('PROG FORMACIÓN TITULADA'!#REF!,"AAAAAEf//Tc=")</f>
        <v>#REF!</v>
      </c>
      <c r="BE319" t="e">
        <f>AND('PROG FORMACIÓN TITULADA'!#REF!,"AAAAAEf//Tg=")</f>
        <v>#REF!</v>
      </c>
      <c r="BF319" t="e">
        <f>AND('PROG FORMACIÓN TITULADA'!#REF!,"AAAAAEf//Tk=")</f>
        <v>#REF!</v>
      </c>
      <c r="BG319" t="e">
        <f>AND('PROG FORMACIÓN TITULADA'!#REF!,"AAAAAEf//To=")</f>
        <v>#REF!</v>
      </c>
      <c r="BH319" t="e">
        <f>AND('PROG FORMACIÓN TITULADA'!#REF!,"AAAAAEf//Ts=")</f>
        <v>#REF!</v>
      </c>
      <c r="BI319" t="e">
        <f>AND('PROG FORMACIÓN TITULADA'!#REF!,"AAAAAEf//Tw=")</f>
        <v>#REF!</v>
      </c>
      <c r="BJ319" t="e">
        <f>AND('PROG FORMACIÓN TITULADA'!#REF!,"AAAAAEf//T0=")</f>
        <v>#REF!</v>
      </c>
      <c r="BK319" t="e">
        <f>AND('PROG FORMACIÓN TITULADA'!#REF!,"AAAAAEf//T4=")</f>
        <v>#REF!</v>
      </c>
      <c r="BL319" t="e">
        <f>AND('PROG FORMACIÓN TITULADA'!#REF!,"AAAAAEf//T8=")</f>
        <v>#REF!</v>
      </c>
      <c r="BM319" t="e">
        <f>AND('PROG FORMACIÓN TITULADA'!#REF!,"AAAAAEf//UA=")</f>
        <v>#REF!</v>
      </c>
      <c r="BN319" t="e">
        <f>AND('PROG FORMACIÓN TITULADA'!#REF!,"AAAAAEf//UE=")</f>
        <v>#REF!</v>
      </c>
      <c r="BO319" t="e">
        <f>AND('PROG FORMACIÓN TITULADA'!#REF!,"AAAAAEf//UI=")</f>
        <v>#REF!</v>
      </c>
      <c r="BP319" t="e">
        <f>AND('PROG FORMACIÓN TITULADA'!#REF!,"AAAAAEf//UM=")</f>
        <v>#REF!</v>
      </c>
      <c r="BQ319" t="e">
        <f>AND('PROG FORMACIÓN TITULADA'!#REF!,"AAAAAEf//UQ=")</f>
        <v>#REF!</v>
      </c>
      <c r="BR319" t="e">
        <f>AND('PROG FORMACIÓN TITULADA'!#REF!,"AAAAAEf//UU=")</f>
        <v>#REF!</v>
      </c>
      <c r="BS319" t="e">
        <f>AND('PROG FORMACIÓN TITULADA'!#REF!,"AAAAAEf//UY=")</f>
        <v>#REF!</v>
      </c>
      <c r="BT319" t="e">
        <f>AND('PROG FORMACIÓN TITULADA'!#REF!,"AAAAAEf//Uc=")</f>
        <v>#REF!</v>
      </c>
      <c r="BU319" t="e">
        <f>AND('PROG FORMACIÓN TITULADA'!#REF!,"AAAAAEf//Ug=")</f>
        <v>#REF!</v>
      </c>
      <c r="BV319" t="e">
        <f>AND('PROG FORMACIÓN TITULADA'!#REF!,"AAAAAEf//Uk=")</f>
        <v>#REF!</v>
      </c>
      <c r="BW319" t="e">
        <f>AND('PROG FORMACIÓN TITULADA'!#REF!,"AAAAAEf//Uo=")</f>
        <v>#REF!</v>
      </c>
      <c r="BX319" t="e">
        <f>AND('PROG FORMACIÓN TITULADA'!#REF!,"AAAAAEf//Us=")</f>
        <v>#REF!</v>
      </c>
      <c r="BY319" t="e">
        <f>AND('PROG FORMACIÓN TITULADA'!#REF!,"AAAAAEf//Uw=")</f>
        <v>#REF!</v>
      </c>
      <c r="BZ319" t="e">
        <f>AND('PROG FORMACIÓN TITULADA'!#REF!,"AAAAAEf//U0=")</f>
        <v>#REF!</v>
      </c>
      <c r="CA319" t="e">
        <f>IF('PROG FORMACIÓN TITULADA'!#REF!,"AAAAAEf//U4=",0)</f>
        <v>#REF!</v>
      </c>
      <c r="CB319" t="e">
        <f>AND('PROG FORMACIÓN TITULADA'!#REF!,"AAAAAEf//U8=")</f>
        <v>#REF!</v>
      </c>
      <c r="CC319" t="e">
        <f>AND('PROG FORMACIÓN TITULADA'!#REF!,"AAAAAEf//VA=")</f>
        <v>#REF!</v>
      </c>
      <c r="CD319" t="e">
        <f>AND('PROG FORMACIÓN TITULADA'!#REF!,"AAAAAEf//VE=")</f>
        <v>#REF!</v>
      </c>
      <c r="CE319" t="e">
        <f>AND('PROG FORMACIÓN TITULADA'!#REF!,"AAAAAEf//VI=")</f>
        <v>#REF!</v>
      </c>
      <c r="CF319" t="e">
        <f>AND('PROG FORMACIÓN TITULADA'!#REF!,"AAAAAEf//VM=")</f>
        <v>#REF!</v>
      </c>
      <c r="CG319" t="e">
        <f>AND('PROG FORMACIÓN TITULADA'!#REF!,"AAAAAEf//VQ=")</f>
        <v>#REF!</v>
      </c>
      <c r="CH319" t="e">
        <f>AND('PROG FORMACIÓN TITULADA'!#REF!,"AAAAAEf//VU=")</f>
        <v>#REF!</v>
      </c>
      <c r="CI319" t="e">
        <f>AND('PROG FORMACIÓN TITULADA'!#REF!,"AAAAAEf//VY=")</f>
        <v>#REF!</v>
      </c>
      <c r="CJ319" t="e">
        <f>AND('PROG FORMACIÓN TITULADA'!#REF!,"AAAAAEf//Vc=")</f>
        <v>#REF!</v>
      </c>
      <c r="CK319" t="e">
        <f>AND('PROG FORMACIÓN TITULADA'!#REF!,"AAAAAEf//Vg=")</f>
        <v>#REF!</v>
      </c>
      <c r="CL319" t="e">
        <f>AND('PROG FORMACIÓN TITULADA'!#REF!,"AAAAAEf//Vk=")</f>
        <v>#REF!</v>
      </c>
      <c r="CM319" t="e">
        <f>AND('PROG FORMACIÓN TITULADA'!#REF!,"AAAAAEf//Vo=")</f>
        <v>#REF!</v>
      </c>
      <c r="CN319" t="e">
        <f>AND('PROG FORMACIÓN TITULADA'!#REF!,"AAAAAEf//Vs=")</f>
        <v>#REF!</v>
      </c>
      <c r="CO319" t="e">
        <f>AND('PROG FORMACIÓN TITULADA'!#REF!,"AAAAAEf//Vw=")</f>
        <v>#REF!</v>
      </c>
      <c r="CP319" t="e">
        <f>AND('PROG FORMACIÓN TITULADA'!#REF!,"AAAAAEf//V0=")</f>
        <v>#REF!</v>
      </c>
      <c r="CQ319" t="e">
        <f>AND('PROG FORMACIÓN TITULADA'!#REF!,"AAAAAEf//V4=")</f>
        <v>#REF!</v>
      </c>
      <c r="CR319" t="e">
        <f>AND('PROG FORMACIÓN TITULADA'!#REF!,"AAAAAEf//V8=")</f>
        <v>#REF!</v>
      </c>
      <c r="CS319" t="e">
        <f>AND('PROG FORMACIÓN TITULADA'!#REF!,"AAAAAEf//WA=")</f>
        <v>#REF!</v>
      </c>
      <c r="CT319" t="e">
        <f>AND('PROG FORMACIÓN TITULADA'!#REF!,"AAAAAEf//WE=")</f>
        <v>#REF!</v>
      </c>
      <c r="CU319" t="e">
        <f>AND('PROG FORMACIÓN TITULADA'!#REF!,"AAAAAEf//WI=")</f>
        <v>#REF!</v>
      </c>
      <c r="CV319" t="e">
        <f>AND('PROG FORMACIÓN TITULADA'!#REF!,"AAAAAEf//WM=")</f>
        <v>#REF!</v>
      </c>
      <c r="CW319" t="e">
        <f>AND('PROG FORMACIÓN TITULADA'!#REF!,"AAAAAEf//WQ=")</f>
        <v>#REF!</v>
      </c>
      <c r="CX319" t="e">
        <f>AND('PROG FORMACIÓN TITULADA'!#REF!,"AAAAAEf//WU=")</f>
        <v>#REF!</v>
      </c>
      <c r="CY319" t="e">
        <f>AND('PROG FORMACIÓN TITULADA'!#REF!,"AAAAAEf//WY=")</f>
        <v>#REF!</v>
      </c>
      <c r="CZ319" t="e">
        <f>AND('PROG FORMACIÓN TITULADA'!#REF!,"AAAAAEf//Wc=")</f>
        <v>#REF!</v>
      </c>
      <c r="DA319" t="e">
        <f>AND('PROG FORMACIÓN TITULADA'!#REF!,"AAAAAEf//Wg=")</f>
        <v>#REF!</v>
      </c>
      <c r="DB319" t="e">
        <f>IF('PROG FORMACIÓN TITULADA'!#REF!,"AAAAAEf//Wk=",0)</f>
        <v>#REF!</v>
      </c>
      <c r="DC319" t="e">
        <f>AND('PROG FORMACIÓN TITULADA'!#REF!,"AAAAAEf//Wo=")</f>
        <v>#REF!</v>
      </c>
      <c r="DD319" t="e">
        <f>AND('PROG FORMACIÓN TITULADA'!#REF!,"AAAAAEf//Ws=")</f>
        <v>#REF!</v>
      </c>
      <c r="DE319" t="e">
        <f>AND('PROG FORMACIÓN TITULADA'!#REF!,"AAAAAEf//Ww=")</f>
        <v>#REF!</v>
      </c>
      <c r="DF319" t="e">
        <f>AND('PROG FORMACIÓN TITULADA'!#REF!,"AAAAAEf//W0=")</f>
        <v>#REF!</v>
      </c>
      <c r="DG319" t="e">
        <f>AND('PROG FORMACIÓN TITULADA'!#REF!,"AAAAAEf//W4=")</f>
        <v>#REF!</v>
      </c>
      <c r="DH319" t="e">
        <f>AND('PROG FORMACIÓN TITULADA'!#REF!,"AAAAAEf//W8=")</f>
        <v>#REF!</v>
      </c>
      <c r="DI319" t="e">
        <f>AND('PROG FORMACIÓN TITULADA'!#REF!,"AAAAAEf//XA=")</f>
        <v>#REF!</v>
      </c>
      <c r="DJ319" t="e">
        <f>AND('PROG FORMACIÓN TITULADA'!#REF!,"AAAAAEf//XE=")</f>
        <v>#REF!</v>
      </c>
      <c r="DK319" t="e">
        <f>AND('PROG FORMACIÓN TITULADA'!#REF!,"AAAAAEf//XI=")</f>
        <v>#REF!</v>
      </c>
      <c r="DL319" t="e">
        <f>AND('PROG FORMACIÓN TITULADA'!#REF!,"AAAAAEf//XM=")</f>
        <v>#REF!</v>
      </c>
      <c r="DM319" t="e">
        <f>AND('PROG FORMACIÓN TITULADA'!#REF!,"AAAAAEf//XQ=")</f>
        <v>#REF!</v>
      </c>
      <c r="DN319" t="e">
        <f>AND('PROG FORMACIÓN TITULADA'!#REF!,"AAAAAEf//XU=")</f>
        <v>#REF!</v>
      </c>
      <c r="DO319" t="e">
        <f>AND('PROG FORMACIÓN TITULADA'!#REF!,"AAAAAEf//XY=")</f>
        <v>#REF!</v>
      </c>
      <c r="DP319" t="e">
        <f>AND('PROG FORMACIÓN TITULADA'!#REF!,"AAAAAEf//Xc=")</f>
        <v>#REF!</v>
      </c>
      <c r="DQ319" t="e">
        <f>AND('PROG FORMACIÓN TITULADA'!#REF!,"AAAAAEf//Xg=")</f>
        <v>#REF!</v>
      </c>
      <c r="DR319" t="e">
        <f>AND('PROG FORMACIÓN TITULADA'!#REF!,"AAAAAEf//Xk=")</f>
        <v>#REF!</v>
      </c>
      <c r="DS319" t="e">
        <f>AND('PROG FORMACIÓN TITULADA'!#REF!,"AAAAAEf//Xo=")</f>
        <v>#REF!</v>
      </c>
      <c r="DT319" t="e">
        <f>AND('PROG FORMACIÓN TITULADA'!#REF!,"AAAAAEf//Xs=")</f>
        <v>#REF!</v>
      </c>
      <c r="DU319" t="e">
        <f>AND('PROG FORMACIÓN TITULADA'!#REF!,"AAAAAEf//Xw=")</f>
        <v>#REF!</v>
      </c>
      <c r="DV319" t="e">
        <f>AND('PROG FORMACIÓN TITULADA'!#REF!,"AAAAAEf//X0=")</f>
        <v>#REF!</v>
      </c>
      <c r="DW319" t="e">
        <f>AND('PROG FORMACIÓN TITULADA'!#REF!,"AAAAAEf//X4=")</f>
        <v>#REF!</v>
      </c>
      <c r="DX319" t="e">
        <f>AND('PROG FORMACIÓN TITULADA'!#REF!,"AAAAAEf//X8=")</f>
        <v>#REF!</v>
      </c>
      <c r="DY319" t="e">
        <f>AND('PROG FORMACIÓN TITULADA'!#REF!,"AAAAAEf//YA=")</f>
        <v>#REF!</v>
      </c>
      <c r="DZ319" t="e">
        <f>AND('PROG FORMACIÓN TITULADA'!#REF!,"AAAAAEf//YE=")</f>
        <v>#REF!</v>
      </c>
      <c r="EA319" t="e">
        <f>AND('PROG FORMACIÓN TITULADA'!#REF!,"AAAAAEf//YI=")</f>
        <v>#REF!</v>
      </c>
      <c r="EB319" t="e">
        <f>AND('PROG FORMACIÓN TITULADA'!#REF!,"AAAAAEf//YM=")</f>
        <v>#REF!</v>
      </c>
      <c r="EC319" t="e">
        <f>IF('PROG FORMACIÓN TITULADA'!#REF!,"AAAAAEf//YQ=",0)</f>
        <v>#REF!</v>
      </c>
      <c r="ED319" t="e">
        <f>AND('PROG FORMACIÓN TITULADA'!#REF!,"AAAAAEf//YU=")</f>
        <v>#REF!</v>
      </c>
      <c r="EE319" t="e">
        <f>AND('PROG FORMACIÓN TITULADA'!#REF!,"AAAAAEf//YY=")</f>
        <v>#REF!</v>
      </c>
      <c r="EF319" t="e">
        <f>AND('PROG FORMACIÓN TITULADA'!#REF!,"AAAAAEf//Yc=")</f>
        <v>#REF!</v>
      </c>
      <c r="EG319" t="e">
        <f>AND('PROG FORMACIÓN TITULADA'!#REF!,"AAAAAEf//Yg=")</f>
        <v>#REF!</v>
      </c>
      <c r="EH319" t="e">
        <f>AND('PROG FORMACIÓN TITULADA'!#REF!,"AAAAAEf//Yk=")</f>
        <v>#REF!</v>
      </c>
      <c r="EI319" t="e">
        <f>AND('PROG FORMACIÓN TITULADA'!#REF!,"AAAAAEf//Yo=")</f>
        <v>#REF!</v>
      </c>
      <c r="EJ319" t="e">
        <f>AND('PROG FORMACIÓN TITULADA'!#REF!,"AAAAAEf//Ys=")</f>
        <v>#REF!</v>
      </c>
      <c r="EK319" t="e">
        <f>AND('PROG FORMACIÓN TITULADA'!#REF!,"AAAAAEf//Yw=")</f>
        <v>#REF!</v>
      </c>
      <c r="EL319" t="e">
        <f>AND('PROG FORMACIÓN TITULADA'!#REF!,"AAAAAEf//Y0=")</f>
        <v>#REF!</v>
      </c>
      <c r="EM319" t="e">
        <f>AND('PROG FORMACIÓN TITULADA'!#REF!,"AAAAAEf//Y4=")</f>
        <v>#REF!</v>
      </c>
      <c r="EN319" t="e">
        <f>AND('PROG FORMACIÓN TITULADA'!#REF!,"AAAAAEf//Y8=")</f>
        <v>#REF!</v>
      </c>
      <c r="EO319" t="e">
        <f>AND('PROG FORMACIÓN TITULADA'!#REF!,"AAAAAEf//ZA=")</f>
        <v>#REF!</v>
      </c>
      <c r="EP319" t="e">
        <f>AND('PROG FORMACIÓN TITULADA'!#REF!,"AAAAAEf//ZE=")</f>
        <v>#REF!</v>
      </c>
      <c r="EQ319" t="e">
        <f>AND('PROG FORMACIÓN TITULADA'!#REF!,"AAAAAEf//ZI=")</f>
        <v>#REF!</v>
      </c>
      <c r="ER319" t="e">
        <f>AND('PROG FORMACIÓN TITULADA'!#REF!,"AAAAAEf//ZM=")</f>
        <v>#REF!</v>
      </c>
      <c r="ES319" t="e">
        <f>AND('PROG FORMACIÓN TITULADA'!#REF!,"AAAAAEf//ZQ=")</f>
        <v>#REF!</v>
      </c>
      <c r="ET319" t="e">
        <f>AND('PROG FORMACIÓN TITULADA'!#REF!,"AAAAAEf//ZU=")</f>
        <v>#REF!</v>
      </c>
      <c r="EU319" t="e">
        <f>AND('PROG FORMACIÓN TITULADA'!#REF!,"AAAAAEf//ZY=")</f>
        <v>#REF!</v>
      </c>
      <c r="EV319" t="e">
        <f>AND('PROG FORMACIÓN TITULADA'!#REF!,"AAAAAEf//Zc=")</f>
        <v>#REF!</v>
      </c>
      <c r="EW319" t="e">
        <f>AND('PROG FORMACIÓN TITULADA'!#REF!,"AAAAAEf//Zg=")</f>
        <v>#REF!</v>
      </c>
      <c r="EX319" t="e">
        <f>AND('PROG FORMACIÓN TITULADA'!#REF!,"AAAAAEf//Zk=")</f>
        <v>#REF!</v>
      </c>
      <c r="EY319" t="e">
        <f>AND('PROG FORMACIÓN TITULADA'!#REF!,"AAAAAEf//Zo=")</f>
        <v>#REF!</v>
      </c>
      <c r="EZ319" t="e">
        <f>AND('PROG FORMACIÓN TITULADA'!#REF!,"AAAAAEf//Zs=")</f>
        <v>#REF!</v>
      </c>
      <c r="FA319" t="e">
        <f>AND('PROG FORMACIÓN TITULADA'!#REF!,"AAAAAEf//Zw=")</f>
        <v>#REF!</v>
      </c>
      <c r="FB319" t="e">
        <f>AND('PROG FORMACIÓN TITULADA'!#REF!,"AAAAAEf//Z0=")</f>
        <v>#REF!</v>
      </c>
      <c r="FC319" t="e">
        <f>AND('PROG FORMACIÓN TITULADA'!#REF!,"AAAAAEf//Z4=")</f>
        <v>#REF!</v>
      </c>
      <c r="FD319" t="e">
        <f>IF('PROG FORMACIÓN TITULADA'!#REF!,"AAAAAEf//Z8=",0)</f>
        <v>#REF!</v>
      </c>
      <c r="FE319" t="e">
        <f>AND('PROG FORMACIÓN TITULADA'!#REF!,"AAAAAEf//aA=")</f>
        <v>#REF!</v>
      </c>
      <c r="FF319" t="e">
        <f>AND('PROG FORMACIÓN TITULADA'!#REF!,"AAAAAEf//aE=")</f>
        <v>#REF!</v>
      </c>
      <c r="FG319" t="e">
        <f>AND('PROG FORMACIÓN TITULADA'!#REF!,"AAAAAEf//aI=")</f>
        <v>#REF!</v>
      </c>
      <c r="FH319" t="e">
        <f>AND('PROG FORMACIÓN TITULADA'!#REF!,"AAAAAEf//aM=")</f>
        <v>#REF!</v>
      </c>
      <c r="FI319" t="e">
        <f>AND('PROG FORMACIÓN TITULADA'!#REF!,"AAAAAEf//aQ=")</f>
        <v>#REF!</v>
      </c>
      <c r="FJ319" t="e">
        <f>AND('PROG FORMACIÓN TITULADA'!#REF!,"AAAAAEf//aU=")</f>
        <v>#REF!</v>
      </c>
      <c r="FK319" t="e">
        <f>AND('PROG FORMACIÓN TITULADA'!#REF!,"AAAAAEf//aY=")</f>
        <v>#REF!</v>
      </c>
      <c r="FL319" t="e">
        <f>AND('PROG FORMACIÓN TITULADA'!#REF!,"AAAAAEf//ac=")</f>
        <v>#REF!</v>
      </c>
      <c r="FM319" t="e">
        <f>AND('PROG FORMACIÓN TITULADA'!#REF!,"AAAAAEf//ag=")</f>
        <v>#REF!</v>
      </c>
      <c r="FN319" t="e">
        <f>AND('PROG FORMACIÓN TITULADA'!#REF!,"AAAAAEf//ak=")</f>
        <v>#REF!</v>
      </c>
      <c r="FO319" t="e">
        <f>AND('PROG FORMACIÓN TITULADA'!#REF!,"AAAAAEf//ao=")</f>
        <v>#REF!</v>
      </c>
      <c r="FP319" t="e">
        <f>AND('PROG FORMACIÓN TITULADA'!#REF!,"AAAAAEf//as=")</f>
        <v>#REF!</v>
      </c>
      <c r="FQ319" t="e">
        <f>AND('PROG FORMACIÓN TITULADA'!#REF!,"AAAAAEf//aw=")</f>
        <v>#REF!</v>
      </c>
      <c r="FR319" t="e">
        <f>AND('PROG FORMACIÓN TITULADA'!#REF!,"AAAAAEf//a0=")</f>
        <v>#REF!</v>
      </c>
      <c r="FS319" t="e">
        <f>AND('PROG FORMACIÓN TITULADA'!#REF!,"AAAAAEf//a4=")</f>
        <v>#REF!</v>
      </c>
      <c r="FT319" t="e">
        <f>AND('PROG FORMACIÓN TITULADA'!#REF!,"AAAAAEf//a8=")</f>
        <v>#REF!</v>
      </c>
      <c r="FU319" t="e">
        <f>AND('PROG FORMACIÓN TITULADA'!#REF!,"AAAAAEf//bA=")</f>
        <v>#REF!</v>
      </c>
      <c r="FV319" t="e">
        <f>AND('PROG FORMACIÓN TITULADA'!#REF!,"AAAAAEf//bE=")</f>
        <v>#REF!</v>
      </c>
      <c r="FW319" t="e">
        <f>AND('PROG FORMACIÓN TITULADA'!#REF!,"AAAAAEf//bI=")</f>
        <v>#REF!</v>
      </c>
      <c r="FX319" t="e">
        <f>AND('PROG FORMACIÓN TITULADA'!#REF!,"AAAAAEf//bM=")</f>
        <v>#REF!</v>
      </c>
      <c r="FY319" t="e">
        <f>AND('PROG FORMACIÓN TITULADA'!#REF!,"AAAAAEf//bQ=")</f>
        <v>#REF!</v>
      </c>
      <c r="FZ319" t="e">
        <f>AND('PROG FORMACIÓN TITULADA'!#REF!,"AAAAAEf//bU=")</f>
        <v>#REF!</v>
      </c>
      <c r="GA319" t="e">
        <f>AND('PROG FORMACIÓN TITULADA'!#REF!,"AAAAAEf//bY=")</f>
        <v>#REF!</v>
      </c>
      <c r="GB319" t="e">
        <f>AND('PROG FORMACIÓN TITULADA'!#REF!,"AAAAAEf//bc=")</f>
        <v>#REF!</v>
      </c>
      <c r="GC319" t="e">
        <f>AND('PROG FORMACIÓN TITULADA'!#REF!,"AAAAAEf//bg=")</f>
        <v>#REF!</v>
      </c>
      <c r="GD319" t="e">
        <f>AND('PROG FORMACIÓN TITULADA'!#REF!,"AAAAAEf//bk=")</f>
        <v>#REF!</v>
      </c>
      <c r="GE319" t="e">
        <f>IF('PROG FORMACIÓN TITULADA'!#REF!,"AAAAAEf//bo=",0)</f>
        <v>#REF!</v>
      </c>
      <c r="GF319" t="e">
        <f>AND('PROG FORMACIÓN TITULADA'!#REF!,"AAAAAEf//bs=")</f>
        <v>#REF!</v>
      </c>
      <c r="GG319" t="e">
        <f>AND('PROG FORMACIÓN TITULADA'!#REF!,"AAAAAEf//bw=")</f>
        <v>#REF!</v>
      </c>
      <c r="GH319" t="e">
        <f>AND('PROG FORMACIÓN TITULADA'!#REF!,"AAAAAEf//b0=")</f>
        <v>#REF!</v>
      </c>
      <c r="GI319" t="e">
        <f>AND('PROG FORMACIÓN TITULADA'!#REF!,"AAAAAEf//b4=")</f>
        <v>#REF!</v>
      </c>
      <c r="GJ319" t="e">
        <f>AND('PROG FORMACIÓN TITULADA'!#REF!,"AAAAAEf//b8=")</f>
        <v>#REF!</v>
      </c>
      <c r="GK319" t="e">
        <f>AND('PROG FORMACIÓN TITULADA'!#REF!,"AAAAAEf//cA=")</f>
        <v>#REF!</v>
      </c>
      <c r="GL319" t="e">
        <f>AND('PROG FORMACIÓN TITULADA'!#REF!,"AAAAAEf//cE=")</f>
        <v>#REF!</v>
      </c>
      <c r="GM319" t="e">
        <f>AND('PROG FORMACIÓN TITULADA'!#REF!,"AAAAAEf//cI=")</f>
        <v>#REF!</v>
      </c>
      <c r="GN319" t="e">
        <f>AND('PROG FORMACIÓN TITULADA'!#REF!,"AAAAAEf//cM=")</f>
        <v>#REF!</v>
      </c>
      <c r="GO319" t="e">
        <f>AND('PROG FORMACIÓN TITULADA'!#REF!,"AAAAAEf//cQ=")</f>
        <v>#REF!</v>
      </c>
      <c r="GP319" t="e">
        <f>AND('PROG FORMACIÓN TITULADA'!#REF!,"AAAAAEf//cU=")</f>
        <v>#REF!</v>
      </c>
      <c r="GQ319" t="e">
        <f>AND('PROG FORMACIÓN TITULADA'!#REF!,"AAAAAEf//cY=")</f>
        <v>#REF!</v>
      </c>
      <c r="GR319" t="e">
        <f>AND('PROG FORMACIÓN TITULADA'!#REF!,"AAAAAEf//cc=")</f>
        <v>#REF!</v>
      </c>
      <c r="GS319" t="e">
        <f>AND('PROG FORMACIÓN TITULADA'!#REF!,"AAAAAEf//cg=")</f>
        <v>#REF!</v>
      </c>
      <c r="GT319" t="e">
        <f>AND('PROG FORMACIÓN TITULADA'!#REF!,"AAAAAEf//ck=")</f>
        <v>#REF!</v>
      </c>
      <c r="GU319" t="e">
        <f>AND('PROG FORMACIÓN TITULADA'!#REF!,"AAAAAEf//co=")</f>
        <v>#REF!</v>
      </c>
      <c r="GV319" t="e">
        <f>AND('PROG FORMACIÓN TITULADA'!#REF!,"AAAAAEf//cs=")</f>
        <v>#REF!</v>
      </c>
      <c r="GW319" t="e">
        <f>AND('PROG FORMACIÓN TITULADA'!#REF!,"AAAAAEf//cw=")</f>
        <v>#REF!</v>
      </c>
      <c r="GX319" t="e">
        <f>AND('PROG FORMACIÓN TITULADA'!#REF!,"AAAAAEf//c0=")</f>
        <v>#REF!</v>
      </c>
      <c r="GY319" t="e">
        <f>AND('PROG FORMACIÓN TITULADA'!#REF!,"AAAAAEf//c4=")</f>
        <v>#REF!</v>
      </c>
      <c r="GZ319" t="e">
        <f>AND('PROG FORMACIÓN TITULADA'!#REF!,"AAAAAEf//c8=")</f>
        <v>#REF!</v>
      </c>
      <c r="HA319" t="e">
        <f>AND('PROG FORMACIÓN TITULADA'!#REF!,"AAAAAEf//dA=")</f>
        <v>#REF!</v>
      </c>
      <c r="HB319" t="e">
        <f>AND('PROG FORMACIÓN TITULADA'!#REF!,"AAAAAEf//dE=")</f>
        <v>#REF!</v>
      </c>
      <c r="HC319" t="e">
        <f>AND('PROG FORMACIÓN TITULADA'!#REF!,"AAAAAEf//dI=")</f>
        <v>#REF!</v>
      </c>
      <c r="HD319" t="e">
        <f>AND('PROG FORMACIÓN TITULADA'!#REF!,"AAAAAEf//dM=")</f>
        <v>#REF!</v>
      </c>
      <c r="HE319" t="e">
        <f>AND('PROG FORMACIÓN TITULADA'!#REF!,"AAAAAEf//dQ=")</f>
        <v>#REF!</v>
      </c>
      <c r="HF319" t="e">
        <f>IF('PROG FORMACIÓN TITULADA'!#REF!,"AAAAAEf//dU=",0)</f>
        <v>#REF!</v>
      </c>
      <c r="HG319" t="e">
        <f>AND('PROG FORMACIÓN TITULADA'!#REF!,"AAAAAEf//dY=")</f>
        <v>#REF!</v>
      </c>
      <c r="HH319" t="e">
        <f>AND('PROG FORMACIÓN TITULADA'!#REF!,"AAAAAEf//dc=")</f>
        <v>#REF!</v>
      </c>
      <c r="HI319" t="e">
        <f>AND('PROG FORMACIÓN TITULADA'!#REF!,"AAAAAEf//dg=")</f>
        <v>#REF!</v>
      </c>
      <c r="HJ319" t="e">
        <f>AND('PROG FORMACIÓN TITULADA'!#REF!,"AAAAAEf//dk=")</f>
        <v>#REF!</v>
      </c>
      <c r="HK319" t="e">
        <f>AND('PROG FORMACIÓN TITULADA'!#REF!,"AAAAAEf//do=")</f>
        <v>#REF!</v>
      </c>
      <c r="HL319" t="e">
        <f>AND('PROG FORMACIÓN TITULADA'!#REF!,"AAAAAEf//ds=")</f>
        <v>#REF!</v>
      </c>
      <c r="HM319" t="e">
        <f>AND('PROG FORMACIÓN TITULADA'!#REF!,"AAAAAEf//dw=")</f>
        <v>#REF!</v>
      </c>
      <c r="HN319" t="e">
        <f>AND('PROG FORMACIÓN TITULADA'!#REF!,"AAAAAEf//d0=")</f>
        <v>#REF!</v>
      </c>
      <c r="HO319" t="e">
        <f>AND('PROG FORMACIÓN TITULADA'!#REF!,"AAAAAEf//d4=")</f>
        <v>#REF!</v>
      </c>
      <c r="HP319" t="e">
        <f>AND('PROG FORMACIÓN TITULADA'!#REF!,"AAAAAEf//d8=")</f>
        <v>#REF!</v>
      </c>
      <c r="HQ319" t="e">
        <f>AND('PROG FORMACIÓN TITULADA'!#REF!,"AAAAAEf//eA=")</f>
        <v>#REF!</v>
      </c>
      <c r="HR319" t="e">
        <f>AND('PROG FORMACIÓN TITULADA'!#REF!,"AAAAAEf//eE=")</f>
        <v>#REF!</v>
      </c>
      <c r="HS319" t="e">
        <f>AND('PROG FORMACIÓN TITULADA'!#REF!,"AAAAAEf//eI=")</f>
        <v>#REF!</v>
      </c>
      <c r="HT319" t="e">
        <f>AND('PROG FORMACIÓN TITULADA'!#REF!,"AAAAAEf//eM=")</f>
        <v>#REF!</v>
      </c>
      <c r="HU319" t="e">
        <f>AND('PROG FORMACIÓN TITULADA'!#REF!,"AAAAAEf//eQ=")</f>
        <v>#REF!</v>
      </c>
      <c r="HV319" t="e">
        <f>AND('PROG FORMACIÓN TITULADA'!#REF!,"AAAAAEf//eU=")</f>
        <v>#REF!</v>
      </c>
      <c r="HW319" t="e">
        <f>AND('PROG FORMACIÓN TITULADA'!#REF!,"AAAAAEf//eY=")</f>
        <v>#REF!</v>
      </c>
      <c r="HX319" t="e">
        <f>AND('PROG FORMACIÓN TITULADA'!#REF!,"AAAAAEf//ec=")</f>
        <v>#REF!</v>
      </c>
      <c r="HY319" t="e">
        <f>AND('PROG FORMACIÓN TITULADA'!#REF!,"AAAAAEf//eg=")</f>
        <v>#REF!</v>
      </c>
      <c r="HZ319" t="e">
        <f>AND('PROG FORMACIÓN TITULADA'!#REF!,"AAAAAEf//ek=")</f>
        <v>#REF!</v>
      </c>
      <c r="IA319" t="e">
        <f>AND('PROG FORMACIÓN TITULADA'!#REF!,"AAAAAEf//eo=")</f>
        <v>#REF!</v>
      </c>
      <c r="IB319" t="e">
        <f>AND('PROG FORMACIÓN TITULADA'!#REF!,"AAAAAEf//es=")</f>
        <v>#REF!</v>
      </c>
      <c r="IC319" t="e">
        <f>AND('PROG FORMACIÓN TITULADA'!#REF!,"AAAAAEf//ew=")</f>
        <v>#REF!</v>
      </c>
      <c r="ID319" t="e">
        <f>AND('PROG FORMACIÓN TITULADA'!#REF!,"AAAAAEf//e0=")</f>
        <v>#REF!</v>
      </c>
      <c r="IE319" t="e">
        <f>AND('PROG FORMACIÓN TITULADA'!#REF!,"AAAAAEf//e4=")</f>
        <v>#REF!</v>
      </c>
      <c r="IF319" t="e">
        <f>AND('PROG FORMACIÓN TITULADA'!#REF!,"AAAAAEf//e8=")</f>
        <v>#REF!</v>
      </c>
      <c r="IG319" t="e">
        <f>IF('PROG FORMACIÓN TITULADA'!#REF!,"AAAAAEf//fA=",0)</f>
        <v>#REF!</v>
      </c>
      <c r="IH319" t="e">
        <f>AND('PROG FORMACIÓN TITULADA'!#REF!,"AAAAAEf//fE=")</f>
        <v>#REF!</v>
      </c>
      <c r="II319" t="e">
        <f>AND('PROG FORMACIÓN TITULADA'!#REF!,"AAAAAEf//fI=")</f>
        <v>#REF!</v>
      </c>
      <c r="IJ319" t="e">
        <f>AND('PROG FORMACIÓN TITULADA'!#REF!,"AAAAAEf//fM=")</f>
        <v>#REF!</v>
      </c>
      <c r="IK319" t="e">
        <f>AND('PROG FORMACIÓN TITULADA'!#REF!,"AAAAAEf//fQ=")</f>
        <v>#REF!</v>
      </c>
      <c r="IL319" t="e">
        <f>AND('PROG FORMACIÓN TITULADA'!#REF!,"AAAAAEf//fU=")</f>
        <v>#REF!</v>
      </c>
      <c r="IM319" t="e">
        <f>AND('PROG FORMACIÓN TITULADA'!#REF!,"AAAAAEf//fY=")</f>
        <v>#REF!</v>
      </c>
      <c r="IN319" t="e">
        <f>AND('PROG FORMACIÓN TITULADA'!#REF!,"AAAAAEf//fc=")</f>
        <v>#REF!</v>
      </c>
      <c r="IO319" t="e">
        <f>AND('PROG FORMACIÓN TITULADA'!#REF!,"AAAAAEf//fg=")</f>
        <v>#REF!</v>
      </c>
      <c r="IP319" t="e">
        <f>AND('PROG FORMACIÓN TITULADA'!#REF!,"AAAAAEf//fk=")</f>
        <v>#REF!</v>
      </c>
      <c r="IQ319" t="e">
        <f>AND('PROG FORMACIÓN TITULADA'!#REF!,"AAAAAEf//fo=")</f>
        <v>#REF!</v>
      </c>
      <c r="IR319" t="e">
        <f>AND('PROG FORMACIÓN TITULADA'!#REF!,"AAAAAEf//fs=")</f>
        <v>#REF!</v>
      </c>
      <c r="IS319" t="e">
        <f>AND('PROG FORMACIÓN TITULADA'!#REF!,"AAAAAEf//fw=")</f>
        <v>#REF!</v>
      </c>
      <c r="IT319" t="e">
        <f>AND('PROG FORMACIÓN TITULADA'!#REF!,"AAAAAEf//f0=")</f>
        <v>#REF!</v>
      </c>
      <c r="IU319" t="e">
        <f>AND('PROG FORMACIÓN TITULADA'!#REF!,"AAAAAEf//f4=")</f>
        <v>#REF!</v>
      </c>
      <c r="IV319" t="e">
        <f>AND('PROG FORMACIÓN TITULADA'!#REF!,"AAAAAEf//f8=")</f>
        <v>#REF!</v>
      </c>
    </row>
    <row r="320" spans="1:256" x14ac:dyDescent="0.2">
      <c r="A320" t="e">
        <f>AND('PROG FORMACIÓN TITULADA'!#REF!,"AAAAAH+v1QA=")</f>
        <v>#REF!</v>
      </c>
      <c r="B320" t="e">
        <f>AND('PROG FORMACIÓN TITULADA'!#REF!,"AAAAAH+v1QE=")</f>
        <v>#REF!</v>
      </c>
      <c r="C320" t="e">
        <f>AND('PROG FORMACIÓN TITULADA'!#REF!,"AAAAAH+v1QI=")</f>
        <v>#REF!</v>
      </c>
      <c r="D320" t="e">
        <f>AND('PROG FORMACIÓN TITULADA'!#REF!,"AAAAAH+v1QM=")</f>
        <v>#REF!</v>
      </c>
      <c r="E320" t="e">
        <f>AND('PROG FORMACIÓN TITULADA'!#REF!,"AAAAAH+v1QQ=")</f>
        <v>#REF!</v>
      </c>
      <c r="F320" t="e">
        <f>AND('PROG FORMACIÓN TITULADA'!#REF!,"AAAAAH+v1QU=")</f>
        <v>#REF!</v>
      </c>
      <c r="G320" t="e">
        <f>AND('PROG FORMACIÓN TITULADA'!#REF!,"AAAAAH+v1QY=")</f>
        <v>#REF!</v>
      </c>
      <c r="H320" t="e">
        <f>AND('PROG FORMACIÓN TITULADA'!#REF!,"AAAAAH+v1Qc=")</f>
        <v>#REF!</v>
      </c>
      <c r="I320" t="e">
        <f>AND('PROG FORMACIÓN TITULADA'!#REF!,"AAAAAH+v1Qg=")</f>
        <v>#REF!</v>
      </c>
      <c r="J320" t="e">
        <f>AND('PROG FORMACIÓN TITULADA'!#REF!,"AAAAAH+v1Qk=")</f>
        <v>#REF!</v>
      </c>
      <c r="K320" t="e">
        <f>AND('PROG FORMACIÓN TITULADA'!#REF!,"AAAAAH+v1Qo=")</f>
        <v>#REF!</v>
      </c>
      <c r="L320" t="e">
        <f>IF('PROG FORMACIÓN TITULADA'!#REF!,"AAAAAH+v1Qs=",0)</f>
        <v>#REF!</v>
      </c>
      <c r="M320" t="e">
        <f>AND('PROG FORMACIÓN TITULADA'!#REF!,"AAAAAH+v1Qw=")</f>
        <v>#REF!</v>
      </c>
      <c r="N320" t="e">
        <f>AND('PROG FORMACIÓN TITULADA'!#REF!,"AAAAAH+v1Q0=")</f>
        <v>#REF!</v>
      </c>
      <c r="O320" t="e">
        <f>AND('PROG FORMACIÓN TITULADA'!#REF!,"AAAAAH+v1Q4=")</f>
        <v>#REF!</v>
      </c>
      <c r="P320" t="e">
        <f>AND('PROG FORMACIÓN TITULADA'!#REF!,"AAAAAH+v1Q8=")</f>
        <v>#REF!</v>
      </c>
      <c r="Q320" t="e">
        <f>AND('PROG FORMACIÓN TITULADA'!#REF!,"AAAAAH+v1RA=")</f>
        <v>#REF!</v>
      </c>
      <c r="R320" t="e">
        <f>AND('PROG FORMACIÓN TITULADA'!#REF!,"AAAAAH+v1RE=")</f>
        <v>#REF!</v>
      </c>
      <c r="S320" t="e">
        <f>AND('PROG FORMACIÓN TITULADA'!#REF!,"AAAAAH+v1RI=")</f>
        <v>#REF!</v>
      </c>
      <c r="T320" t="e">
        <f>AND('PROG FORMACIÓN TITULADA'!#REF!,"AAAAAH+v1RM=")</f>
        <v>#REF!</v>
      </c>
      <c r="U320" t="e">
        <f>AND('PROG FORMACIÓN TITULADA'!#REF!,"AAAAAH+v1RQ=")</f>
        <v>#REF!</v>
      </c>
      <c r="V320" t="e">
        <f>AND('PROG FORMACIÓN TITULADA'!#REF!,"AAAAAH+v1RU=")</f>
        <v>#REF!</v>
      </c>
      <c r="W320" t="e">
        <f>AND('PROG FORMACIÓN TITULADA'!#REF!,"AAAAAH+v1RY=")</f>
        <v>#REF!</v>
      </c>
      <c r="X320" t="e">
        <f>AND('PROG FORMACIÓN TITULADA'!#REF!,"AAAAAH+v1Rc=")</f>
        <v>#REF!</v>
      </c>
      <c r="Y320" t="e">
        <f>AND('PROG FORMACIÓN TITULADA'!#REF!,"AAAAAH+v1Rg=")</f>
        <v>#REF!</v>
      </c>
      <c r="Z320" t="e">
        <f>AND('PROG FORMACIÓN TITULADA'!#REF!,"AAAAAH+v1Rk=")</f>
        <v>#REF!</v>
      </c>
      <c r="AA320" t="e">
        <f>AND('PROG FORMACIÓN TITULADA'!#REF!,"AAAAAH+v1Ro=")</f>
        <v>#REF!</v>
      </c>
      <c r="AB320" t="e">
        <f>AND('PROG FORMACIÓN TITULADA'!#REF!,"AAAAAH+v1Rs=")</f>
        <v>#REF!</v>
      </c>
      <c r="AC320" t="e">
        <f>AND('PROG FORMACIÓN TITULADA'!#REF!,"AAAAAH+v1Rw=")</f>
        <v>#REF!</v>
      </c>
      <c r="AD320" t="e">
        <f>AND('PROG FORMACIÓN TITULADA'!#REF!,"AAAAAH+v1R0=")</f>
        <v>#REF!</v>
      </c>
      <c r="AE320" t="e">
        <f>AND('PROG FORMACIÓN TITULADA'!#REF!,"AAAAAH+v1R4=")</f>
        <v>#REF!</v>
      </c>
      <c r="AF320" t="e">
        <f>AND('PROG FORMACIÓN TITULADA'!#REF!,"AAAAAH+v1R8=")</f>
        <v>#REF!</v>
      </c>
      <c r="AG320" t="e">
        <f>AND('PROG FORMACIÓN TITULADA'!#REF!,"AAAAAH+v1SA=")</f>
        <v>#REF!</v>
      </c>
      <c r="AH320" t="e">
        <f>AND('PROG FORMACIÓN TITULADA'!#REF!,"AAAAAH+v1SE=")</f>
        <v>#REF!</v>
      </c>
      <c r="AI320" t="e">
        <f>AND('PROG FORMACIÓN TITULADA'!#REF!,"AAAAAH+v1SI=")</f>
        <v>#REF!</v>
      </c>
      <c r="AJ320" t="e">
        <f>AND('PROG FORMACIÓN TITULADA'!#REF!,"AAAAAH+v1SM=")</f>
        <v>#REF!</v>
      </c>
      <c r="AK320" t="e">
        <f>AND('PROG FORMACIÓN TITULADA'!#REF!,"AAAAAH+v1SQ=")</f>
        <v>#REF!</v>
      </c>
      <c r="AL320" t="e">
        <f>AND('PROG FORMACIÓN TITULADA'!#REF!,"AAAAAH+v1SU=")</f>
        <v>#REF!</v>
      </c>
      <c r="AM320" t="e">
        <f>IF('PROG FORMACIÓN TITULADA'!#REF!,"AAAAAH+v1SY=",0)</f>
        <v>#REF!</v>
      </c>
      <c r="AN320" t="e">
        <f>AND('PROG FORMACIÓN TITULADA'!#REF!,"AAAAAH+v1Sc=")</f>
        <v>#REF!</v>
      </c>
      <c r="AO320" t="e">
        <f>AND('PROG FORMACIÓN TITULADA'!#REF!,"AAAAAH+v1Sg=")</f>
        <v>#REF!</v>
      </c>
      <c r="AP320" t="e">
        <f>AND('PROG FORMACIÓN TITULADA'!#REF!,"AAAAAH+v1Sk=")</f>
        <v>#REF!</v>
      </c>
      <c r="AQ320" t="e">
        <f>AND('PROG FORMACIÓN TITULADA'!#REF!,"AAAAAH+v1So=")</f>
        <v>#REF!</v>
      </c>
      <c r="AR320" t="e">
        <f>AND('PROG FORMACIÓN TITULADA'!#REF!,"AAAAAH+v1Ss=")</f>
        <v>#REF!</v>
      </c>
      <c r="AS320" t="e">
        <f>AND('PROG FORMACIÓN TITULADA'!#REF!,"AAAAAH+v1Sw=")</f>
        <v>#REF!</v>
      </c>
      <c r="AT320" t="e">
        <f>AND('PROG FORMACIÓN TITULADA'!#REF!,"AAAAAH+v1S0=")</f>
        <v>#REF!</v>
      </c>
      <c r="AU320" t="e">
        <f>AND('PROG FORMACIÓN TITULADA'!#REF!,"AAAAAH+v1S4=")</f>
        <v>#REF!</v>
      </c>
      <c r="AV320" t="e">
        <f>AND('PROG FORMACIÓN TITULADA'!#REF!,"AAAAAH+v1S8=")</f>
        <v>#REF!</v>
      </c>
      <c r="AW320" t="e">
        <f>AND('PROG FORMACIÓN TITULADA'!#REF!,"AAAAAH+v1TA=")</f>
        <v>#REF!</v>
      </c>
      <c r="AX320" t="e">
        <f>AND('PROG FORMACIÓN TITULADA'!#REF!,"AAAAAH+v1TE=")</f>
        <v>#REF!</v>
      </c>
      <c r="AY320" t="e">
        <f>AND('PROG FORMACIÓN TITULADA'!#REF!,"AAAAAH+v1TI=")</f>
        <v>#REF!</v>
      </c>
      <c r="AZ320" t="e">
        <f>AND('PROG FORMACIÓN TITULADA'!#REF!,"AAAAAH+v1TM=")</f>
        <v>#REF!</v>
      </c>
      <c r="BA320" t="e">
        <f>AND('PROG FORMACIÓN TITULADA'!#REF!,"AAAAAH+v1TQ=")</f>
        <v>#REF!</v>
      </c>
      <c r="BB320" t="e">
        <f>AND('PROG FORMACIÓN TITULADA'!#REF!,"AAAAAH+v1TU=")</f>
        <v>#REF!</v>
      </c>
      <c r="BC320" t="e">
        <f>AND('PROG FORMACIÓN TITULADA'!#REF!,"AAAAAH+v1TY=")</f>
        <v>#REF!</v>
      </c>
      <c r="BD320" t="e">
        <f>AND('PROG FORMACIÓN TITULADA'!#REF!,"AAAAAH+v1Tc=")</f>
        <v>#REF!</v>
      </c>
      <c r="BE320" t="e">
        <f>AND('PROG FORMACIÓN TITULADA'!#REF!,"AAAAAH+v1Tg=")</f>
        <v>#REF!</v>
      </c>
      <c r="BF320" t="e">
        <f>AND('PROG FORMACIÓN TITULADA'!#REF!,"AAAAAH+v1Tk=")</f>
        <v>#REF!</v>
      </c>
      <c r="BG320" t="e">
        <f>AND('PROG FORMACIÓN TITULADA'!#REF!,"AAAAAH+v1To=")</f>
        <v>#REF!</v>
      </c>
      <c r="BH320" t="e">
        <f>AND('PROG FORMACIÓN TITULADA'!#REF!,"AAAAAH+v1Ts=")</f>
        <v>#REF!</v>
      </c>
      <c r="BI320" t="e">
        <f>AND('PROG FORMACIÓN TITULADA'!#REF!,"AAAAAH+v1Tw=")</f>
        <v>#REF!</v>
      </c>
      <c r="BJ320" t="e">
        <f>AND('PROG FORMACIÓN TITULADA'!#REF!,"AAAAAH+v1T0=")</f>
        <v>#REF!</v>
      </c>
      <c r="BK320" t="e">
        <f>AND('PROG FORMACIÓN TITULADA'!#REF!,"AAAAAH+v1T4=")</f>
        <v>#REF!</v>
      </c>
      <c r="BL320" t="e">
        <f>AND('PROG FORMACIÓN TITULADA'!#REF!,"AAAAAH+v1T8=")</f>
        <v>#REF!</v>
      </c>
      <c r="BM320" t="e">
        <f>AND('PROG FORMACIÓN TITULADA'!#REF!,"AAAAAH+v1UA=")</f>
        <v>#REF!</v>
      </c>
      <c r="BN320" t="e">
        <f>IF('PROG FORMACIÓN TITULADA'!#REF!,"AAAAAH+v1UE=",0)</f>
        <v>#REF!</v>
      </c>
      <c r="BO320" t="e">
        <f>AND('PROG FORMACIÓN TITULADA'!#REF!,"AAAAAH+v1UI=")</f>
        <v>#REF!</v>
      </c>
      <c r="BP320" t="e">
        <f>AND('PROG FORMACIÓN TITULADA'!#REF!,"AAAAAH+v1UM=")</f>
        <v>#REF!</v>
      </c>
      <c r="BQ320" t="e">
        <f>AND('PROG FORMACIÓN TITULADA'!#REF!,"AAAAAH+v1UQ=")</f>
        <v>#REF!</v>
      </c>
      <c r="BR320" t="e">
        <f>AND('PROG FORMACIÓN TITULADA'!#REF!,"AAAAAH+v1UU=")</f>
        <v>#REF!</v>
      </c>
      <c r="BS320" t="e">
        <f>AND('PROG FORMACIÓN TITULADA'!#REF!,"AAAAAH+v1UY=")</f>
        <v>#REF!</v>
      </c>
      <c r="BT320" t="e">
        <f>AND('PROG FORMACIÓN TITULADA'!#REF!,"AAAAAH+v1Uc=")</f>
        <v>#REF!</v>
      </c>
      <c r="BU320" t="e">
        <f>AND('PROG FORMACIÓN TITULADA'!#REF!,"AAAAAH+v1Ug=")</f>
        <v>#REF!</v>
      </c>
      <c r="BV320" t="e">
        <f>AND('PROG FORMACIÓN TITULADA'!#REF!,"AAAAAH+v1Uk=")</f>
        <v>#REF!</v>
      </c>
      <c r="BW320" t="e">
        <f>AND('PROG FORMACIÓN TITULADA'!#REF!,"AAAAAH+v1Uo=")</f>
        <v>#REF!</v>
      </c>
      <c r="BX320" t="e">
        <f>AND('PROG FORMACIÓN TITULADA'!#REF!,"AAAAAH+v1Us=")</f>
        <v>#REF!</v>
      </c>
      <c r="BY320" t="e">
        <f>AND('PROG FORMACIÓN TITULADA'!#REF!,"AAAAAH+v1Uw=")</f>
        <v>#REF!</v>
      </c>
      <c r="BZ320" t="e">
        <f>AND('PROG FORMACIÓN TITULADA'!#REF!,"AAAAAH+v1U0=")</f>
        <v>#REF!</v>
      </c>
      <c r="CA320" t="e">
        <f>AND('PROG FORMACIÓN TITULADA'!#REF!,"AAAAAH+v1U4=")</f>
        <v>#REF!</v>
      </c>
      <c r="CB320" t="e">
        <f>AND('PROG FORMACIÓN TITULADA'!#REF!,"AAAAAH+v1U8=")</f>
        <v>#REF!</v>
      </c>
      <c r="CC320" t="e">
        <f>AND('PROG FORMACIÓN TITULADA'!#REF!,"AAAAAH+v1VA=")</f>
        <v>#REF!</v>
      </c>
      <c r="CD320" t="e">
        <f>AND('PROG FORMACIÓN TITULADA'!#REF!,"AAAAAH+v1VE=")</f>
        <v>#REF!</v>
      </c>
      <c r="CE320" t="e">
        <f>AND('PROG FORMACIÓN TITULADA'!#REF!,"AAAAAH+v1VI=")</f>
        <v>#REF!</v>
      </c>
      <c r="CF320" t="e">
        <f>AND('PROG FORMACIÓN TITULADA'!#REF!,"AAAAAH+v1VM=")</f>
        <v>#REF!</v>
      </c>
      <c r="CG320" t="e">
        <f>AND('PROG FORMACIÓN TITULADA'!#REF!,"AAAAAH+v1VQ=")</f>
        <v>#REF!</v>
      </c>
      <c r="CH320" t="e">
        <f>AND('PROG FORMACIÓN TITULADA'!#REF!,"AAAAAH+v1VU=")</f>
        <v>#REF!</v>
      </c>
      <c r="CI320" t="e">
        <f>AND('PROG FORMACIÓN TITULADA'!#REF!,"AAAAAH+v1VY=")</f>
        <v>#REF!</v>
      </c>
      <c r="CJ320" t="e">
        <f>AND('PROG FORMACIÓN TITULADA'!#REF!,"AAAAAH+v1Vc=")</f>
        <v>#REF!</v>
      </c>
      <c r="CK320" t="e">
        <f>AND('PROG FORMACIÓN TITULADA'!#REF!,"AAAAAH+v1Vg=")</f>
        <v>#REF!</v>
      </c>
      <c r="CL320" t="e">
        <f>AND('PROG FORMACIÓN TITULADA'!#REF!,"AAAAAH+v1Vk=")</f>
        <v>#REF!</v>
      </c>
      <c r="CM320" t="e">
        <f>AND('PROG FORMACIÓN TITULADA'!#REF!,"AAAAAH+v1Vo=")</f>
        <v>#REF!</v>
      </c>
      <c r="CN320" t="e">
        <f>AND('PROG FORMACIÓN TITULADA'!#REF!,"AAAAAH+v1Vs=")</f>
        <v>#REF!</v>
      </c>
      <c r="CO320" t="e">
        <f>IF('PROG FORMACIÓN TITULADA'!#REF!,"AAAAAH+v1Vw=",0)</f>
        <v>#REF!</v>
      </c>
      <c r="CP320" t="e">
        <f>AND('PROG FORMACIÓN TITULADA'!#REF!,"AAAAAH+v1V0=")</f>
        <v>#REF!</v>
      </c>
      <c r="CQ320" t="e">
        <f>AND('PROG FORMACIÓN TITULADA'!#REF!,"AAAAAH+v1V4=")</f>
        <v>#REF!</v>
      </c>
      <c r="CR320" t="e">
        <f>AND('PROG FORMACIÓN TITULADA'!#REF!,"AAAAAH+v1V8=")</f>
        <v>#REF!</v>
      </c>
      <c r="CS320" t="e">
        <f>AND('PROG FORMACIÓN TITULADA'!#REF!,"AAAAAH+v1WA=")</f>
        <v>#REF!</v>
      </c>
      <c r="CT320" t="e">
        <f>AND('PROG FORMACIÓN TITULADA'!#REF!,"AAAAAH+v1WE=")</f>
        <v>#REF!</v>
      </c>
      <c r="CU320" t="e">
        <f>AND('PROG FORMACIÓN TITULADA'!#REF!,"AAAAAH+v1WI=")</f>
        <v>#REF!</v>
      </c>
      <c r="CV320" t="e">
        <f>AND('PROG FORMACIÓN TITULADA'!#REF!,"AAAAAH+v1WM=")</f>
        <v>#REF!</v>
      </c>
      <c r="CW320" t="e">
        <f>AND('PROG FORMACIÓN TITULADA'!#REF!,"AAAAAH+v1WQ=")</f>
        <v>#REF!</v>
      </c>
      <c r="CX320" t="e">
        <f>AND('PROG FORMACIÓN TITULADA'!#REF!,"AAAAAH+v1WU=")</f>
        <v>#REF!</v>
      </c>
      <c r="CY320" t="e">
        <f>AND('PROG FORMACIÓN TITULADA'!#REF!,"AAAAAH+v1WY=")</f>
        <v>#REF!</v>
      </c>
      <c r="CZ320" t="e">
        <f>AND('PROG FORMACIÓN TITULADA'!#REF!,"AAAAAH+v1Wc=")</f>
        <v>#REF!</v>
      </c>
      <c r="DA320" t="e">
        <f>AND('PROG FORMACIÓN TITULADA'!#REF!,"AAAAAH+v1Wg=")</f>
        <v>#REF!</v>
      </c>
      <c r="DB320" t="e">
        <f>AND('PROG FORMACIÓN TITULADA'!#REF!,"AAAAAH+v1Wk=")</f>
        <v>#REF!</v>
      </c>
      <c r="DC320" t="e">
        <f>AND('PROG FORMACIÓN TITULADA'!#REF!,"AAAAAH+v1Wo=")</f>
        <v>#REF!</v>
      </c>
      <c r="DD320" t="e">
        <f>AND('PROG FORMACIÓN TITULADA'!#REF!,"AAAAAH+v1Ws=")</f>
        <v>#REF!</v>
      </c>
      <c r="DE320" t="e">
        <f>AND('PROG FORMACIÓN TITULADA'!#REF!,"AAAAAH+v1Ww=")</f>
        <v>#REF!</v>
      </c>
      <c r="DF320" t="e">
        <f>AND('PROG FORMACIÓN TITULADA'!#REF!,"AAAAAH+v1W0=")</f>
        <v>#REF!</v>
      </c>
      <c r="DG320" t="e">
        <f>AND('PROG FORMACIÓN TITULADA'!#REF!,"AAAAAH+v1W4=")</f>
        <v>#REF!</v>
      </c>
      <c r="DH320" t="e">
        <f>AND('PROG FORMACIÓN TITULADA'!#REF!,"AAAAAH+v1W8=")</f>
        <v>#REF!</v>
      </c>
      <c r="DI320" t="e">
        <f>AND('PROG FORMACIÓN TITULADA'!#REF!,"AAAAAH+v1XA=")</f>
        <v>#REF!</v>
      </c>
      <c r="DJ320" t="e">
        <f>AND('PROG FORMACIÓN TITULADA'!#REF!,"AAAAAH+v1XE=")</f>
        <v>#REF!</v>
      </c>
      <c r="DK320" t="e">
        <f>AND('PROG FORMACIÓN TITULADA'!#REF!,"AAAAAH+v1XI=")</f>
        <v>#REF!</v>
      </c>
      <c r="DL320" t="e">
        <f>AND('PROG FORMACIÓN TITULADA'!#REF!,"AAAAAH+v1XM=")</f>
        <v>#REF!</v>
      </c>
      <c r="DM320" t="e">
        <f>AND('PROG FORMACIÓN TITULADA'!#REF!,"AAAAAH+v1XQ=")</f>
        <v>#REF!</v>
      </c>
      <c r="DN320" t="e">
        <f>AND('PROG FORMACIÓN TITULADA'!#REF!,"AAAAAH+v1XU=")</f>
        <v>#REF!</v>
      </c>
      <c r="DO320" t="e">
        <f>AND('PROG FORMACIÓN TITULADA'!#REF!,"AAAAAH+v1XY=")</f>
        <v>#REF!</v>
      </c>
      <c r="DP320" t="e">
        <f>IF('PROG FORMACIÓN TITULADA'!#REF!,"AAAAAH+v1Xc=",0)</f>
        <v>#REF!</v>
      </c>
      <c r="DQ320" t="e">
        <f>AND('PROG FORMACIÓN TITULADA'!#REF!,"AAAAAH+v1Xg=")</f>
        <v>#REF!</v>
      </c>
      <c r="DR320" t="e">
        <f>AND('PROG FORMACIÓN TITULADA'!#REF!,"AAAAAH+v1Xk=")</f>
        <v>#REF!</v>
      </c>
      <c r="DS320" t="e">
        <f>AND('PROG FORMACIÓN TITULADA'!#REF!,"AAAAAH+v1Xo=")</f>
        <v>#REF!</v>
      </c>
      <c r="DT320" t="e">
        <f>AND('PROG FORMACIÓN TITULADA'!#REF!,"AAAAAH+v1Xs=")</f>
        <v>#REF!</v>
      </c>
      <c r="DU320" t="e">
        <f>AND('PROG FORMACIÓN TITULADA'!#REF!,"AAAAAH+v1Xw=")</f>
        <v>#REF!</v>
      </c>
      <c r="DV320" t="e">
        <f>AND('PROG FORMACIÓN TITULADA'!#REF!,"AAAAAH+v1X0=")</f>
        <v>#REF!</v>
      </c>
      <c r="DW320" t="e">
        <f>AND('PROG FORMACIÓN TITULADA'!#REF!,"AAAAAH+v1X4=")</f>
        <v>#REF!</v>
      </c>
      <c r="DX320" t="e">
        <f>AND('PROG FORMACIÓN TITULADA'!#REF!,"AAAAAH+v1X8=")</f>
        <v>#REF!</v>
      </c>
      <c r="DY320" t="e">
        <f>AND('PROG FORMACIÓN TITULADA'!#REF!,"AAAAAH+v1YA=")</f>
        <v>#REF!</v>
      </c>
      <c r="DZ320" t="e">
        <f>AND('PROG FORMACIÓN TITULADA'!#REF!,"AAAAAH+v1YE=")</f>
        <v>#REF!</v>
      </c>
      <c r="EA320" t="e">
        <f>AND('PROG FORMACIÓN TITULADA'!#REF!,"AAAAAH+v1YI=")</f>
        <v>#REF!</v>
      </c>
      <c r="EB320" t="e">
        <f>AND('PROG FORMACIÓN TITULADA'!#REF!,"AAAAAH+v1YM=")</f>
        <v>#REF!</v>
      </c>
      <c r="EC320" t="e">
        <f>AND('PROG FORMACIÓN TITULADA'!#REF!,"AAAAAH+v1YQ=")</f>
        <v>#REF!</v>
      </c>
      <c r="ED320" t="e">
        <f>AND('PROG FORMACIÓN TITULADA'!#REF!,"AAAAAH+v1YU=")</f>
        <v>#REF!</v>
      </c>
      <c r="EE320" t="e">
        <f>AND('PROG FORMACIÓN TITULADA'!#REF!,"AAAAAH+v1YY=")</f>
        <v>#REF!</v>
      </c>
      <c r="EF320" t="e">
        <f>AND('PROG FORMACIÓN TITULADA'!#REF!,"AAAAAH+v1Yc=")</f>
        <v>#REF!</v>
      </c>
      <c r="EG320" t="e">
        <f>AND('PROG FORMACIÓN TITULADA'!#REF!,"AAAAAH+v1Yg=")</f>
        <v>#REF!</v>
      </c>
      <c r="EH320" t="e">
        <f>AND('PROG FORMACIÓN TITULADA'!#REF!,"AAAAAH+v1Yk=")</f>
        <v>#REF!</v>
      </c>
      <c r="EI320" t="e">
        <f>AND('PROG FORMACIÓN TITULADA'!#REF!,"AAAAAH+v1Yo=")</f>
        <v>#REF!</v>
      </c>
      <c r="EJ320" t="e">
        <f>AND('PROG FORMACIÓN TITULADA'!#REF!,"AAAAAH+v1Ys=")</f>
        <v>#REF!</v>
      </c>
      <c r="EK320" t="e">
        <f>AND('PROG FORMACIÓN TITULADA'!#REF!,"AAAAAH+v1Yw=")</f>
        <v>#REF!</v>
      </c>
      <c r="EL320" t="e">
        <f>AND('PROG FORMACIÓN TITULADA'!#REF!,"AAAAAH+v1Y0=")</f>
        <v>#REF!</v>
      </c>
      <c r="EM320" t="e">
        <f>AND('PROG FORMACIÓN TITULADA'!#REF!,"AAAAAH+v1Y4=")</f>
        <v>#REF!</v>
      </c>
      <c r="EN320" t="e">
        <f>AND('PROG FORMACIÓN TITULADA'!#REF!,"AAAAAH+v1Y8=")</f>
        <v>#REF!</v>
      </c>
      <c r="EO320" t="e">
        <f>AND('PROG FORMACIÓN TITULADA'!#REF!,"AAAAAH+v1ZA=")</f>
        <v>#REF!</v>
      </c>
      <c r="EP320" t="e">
        <f>AND('PROG FORMACIÓN TITULADA'!#REF!,"AAAAAH+v1ZE=")</f>
        <v>#REF!</v>
      </c>
      <c r="EQ320" t="e">
        <f>IF('PROG FORMACIÓN TITULADA'!#REF!,"AAAAAH+v1ZI=",0)</f>
        <v>#REF!</v>
      </c>
      <c r="ER320" t="e">
        <f>AND('PROG FORMACIÓN TITULADA'!#REF!,"AAAAAH+v1ZM=")</f>
        <v>#REF!</v>
      </c>
      <c r="ES320" t="e">
        <f>AND('PROG FORMACIÓN TITULADA'!#REF!,"AAAAAH+v1ZQ=")</f>
        <v>#REF!</v>
      </c>
      <c r="ET320" t="e">
        <f>AND('PROG FORMACIÓN TITULADA'!#REF!,"AAAAAH+v1ZU=")</f>
        <v>#REF!</v>
      </c>
      <c r="EU320" t="e">
        <f>AND('PROG FORMACIÓN TITULADA'!#REF!,"AAAAAH+v1ZY=")</f>
        <v>#REF!</v>
      </c>
      <c r="EV320" t="e">
        <f>AND('PROG FORMACIÓN TITULADA'!#REF!,"AAAAAH+v1Zc=")</f>
        <v>#REF!</v>
      </c>
      <c r="EW320" t="e">
        <f>AND('PROG FORMACIÓN TITULADA'!#REF!,"AAAAAH+v1Zg=")</f>
        <v>#REF!</v>
      </c>
      <c r="EX320" t="e">
        <f>AND('PROG FORMACIÓN TITULADA'!#REF!,"AAAAAH+v1Zk=")</f>
        <v>#REF!</v>
      </c>
      <c r="EY320" t="e">
        <f>AND('PROG FORMACIÓN TITULADA'!#REF!,"AAAAAH+v1Zo=")</f>
        <v>#REF!</v>
      </c>
      <c r="EZ320" t="e">
        <f>AND('PROG FORMACIÓN TITULADA'!#REF!,"AAAAAH+v1Zs=")</f>
        <v>#REF!</v>
      </c>
      <c r="FA320" t="e">
        <f>AND('PROG FORMACIÓN TITULADA'!#REF!,"AAAAAH+v1Zw=")</f>
        <v>#REF!</v>
      </c>
      <c r="FB320" t="e">
        <f>AND('PROG FORMACIÓN TITULADA'!#REF!,"AAAAAH+v1Z0=")</f>
        <v>#REF!</v>
      </c>
      <c r="FC320" t="e">
        <f>AND('PROG FORMACIÓN TITULADA'!#REF!,"AAAAAH+v1Z4=")</f>
        <v>#REF!</v>
      </c>
      <c r="FD320" t="e">
        <f>AND('PROG FORMACIÓN TITULADA'!#REF!,"AAAAAH+v1Z8=")</f>
        <v>#REF!</v>
      </c>
      <c r="FE320" t="e">
        <f>AND('PROG FORMACIÓN TITULADA'!#REF!,"AAAAAH+v1aA=")</f>
        <v>#REF!</v>
      </c>
      <c r="FF320" t="e">
        <f>AND('PROG FORMACIÓN TITULADA'!#REF!,"AAAAAH+v1aE=")</f>
        <v>#REF!</v>
      </c>
      <c r="FG320" t="e">
        <f>AND('PROG FORMACIÓN TITULADA'!#REF!,"AAAAAH+v1aI=")</f>
        <v>#REF!</v>
      </c>
      <c r="FH320" t="e">
        <f>AND('PROG FORMACIÓN TITULADA'!#REF!,"AAAAAH+v1aM=")</f>
        <v>#REF!</v>
      </c>
      <c r="FI320" t="e">
        <f>AND('PROG FORMACIÓN TITULADA'!#REF!,"AAAAAH+v1aQ=")</f>
        <v>#REF!</v>
      </c>
      <c r="FJ320" t="e">
        <f>AND('PROG FORMACIÓN TITULADA'!#REF!,"AAAAAH+v1aU=")</f>
        <v>#REF!</v>
      </c>
      <c r="FK320" t="e">
        <f>AND('PROG FORMACIÓN TITULADA'!#REF!,"AAAAAH+v1aY=")</f>
        <v>#REF!</v>
      </c>
      <c r="FL320" t="e">
        <f>AND('PROG FORMACIÓN TITULADA'!#REF!,"AAAAAH+v1ac=")</f>
        <v>#REF!</v>
      </c>
      <c r="FM320" t="e">
        <f>AND('PROG FORMACIÓN TITULADA'!#REF!,"AAAAAH+v1ag=")</f>
        <v>#REF!</v>
      </c>
      <c r="FN320" t="e">
        <f>AND('PROG FORMACIÓN TITULADA'!#REF!,"AAAAAH+v1ak=")</f>
        <v>#REF!</v>
      </c>
      <c r="FO320" t="e">
        <f>AND('PROG FORMACIÓN TITULADA'!#REF!,"AAAAAH+v1ao=")</f>
        <v>#REF!</v>
      </c>
      <c r="FP320" t="e">
        <f>AND('PROG FORMACIÓN TITULADA'!#REF!,"AAAAAH+v1as=")</f>
        <v>#REF!</v>
      </c>
      <c r="FQ320" t="e">
        <f>AND('PROG FORMACIÓN TITULADA'!#REF!,"AAAAAH+v1aw=")</f>
        <v>#REF!</v>
      </c>
      <c r="FR320" t="e">
        <f>IF('PROG FORMACIÓN TITULADA'!#REF!,"AAAAAH+v1a0=",0)</f>
        <v>#REF!</v>
      </c>
      <c r="FS320" t="e">
        <f>AND('PROG FORMACIÓN TITULADA'!#REF!,"AAAAAH+v1a4=")</f>
        <v>#REF!</v>
      </c>
      <c r="FT320" t="e">
        <f>AND('PROG FORMACIÓN TITULADA'!#REF!,"AAAAAH+v1a8=")</f>
        <v>#REF!</v>
      </c>
      <c r="FU320" t="e">
        <f>AND('PROG FORMACIÓN TITULADA'!#REF!,"AAAAAH+v1bA=")</f>
        <v>#REF!</v>
      </c>
      <c r="FV320" t="e">
        <f>AND('PROG FORMACIÓN TITULADA'!#REF!,"AAAAAH+v1bE=")</f>
        <v>#REF!</v>
      </c>
      <c r="FW320" t="e">
        <f>AND('PROG FORMACIÓN TITULADA'!#REF!,"AAAAAH+v1bI=")</f>
        <v>#REF!</v>
      </c>
      <c r="FX320" t="e">
        <f>AND('PROG FORMACIÓN TITULADA'!#REF!,"AAAAAH+v1bM=")</f>
        <v>#REF!</v>
      </c>
      <c r="FY320" t="e">
        <f>AND('PROG FORMACIÓN TITULADA'!#REF!,"AAAAAH+v1bQ=")</f>
        <v>#REF!</v>
      </c>
      <c r="FZ320" t="e">
        <f>AND('PROG FORMACIÓN TITULADA'!#REF!,"AAAAAH+v1bU=")</f>
        <v>#REF!</v>
      </c>
      <c r="GA320" t="e">
        <f>AND('PROG FORMACIÓN TITULADA'!#REF!,"AAAAAH+v1bY=")</f>
        <v>#REF!</v>
      </c>
      <c r="GB320" t="e">
        <f>AND('PROG FORMACIÓN TITULADA'!#REF!,"AAAAAH+v1bc=")</f>
        <v>#REF!</v>
      </c>
      <c r="GC320" t="e">
        <f>AND('PROG FORMACIÓN TITULADA'!#REF!,"AAAAAH+v1bg=")</f>
        <v>#REF!</v>
      </c>
      <c r="GD320" t="e">
        <f>AND('PROG FORMACIÓN TITULADA'!#REF!,"AAAAAH+v1bk=")</f>
        <v>#REF!</v>
      </c>
      <c r="GE320" t="e">
        <f>AND('PROG FORMACIÓN TITULADA'!#REF!,"AAAAAH+v1bo=")</f>
        <v>#REF!</v>
      </c>
      <c r="GF320" t="e">
        <f>AND('PROG FORMACIÓN TITULADA'!#REF!,"AAAAAH+v1bs=")</f>
        <v>#REF!</v>
      </c>
      <c r="GG320" t="e">
        <f>AND('PROG FORMACIÓN TITULADA'!#REF!,"AAAAAH+v1bw=")</f>
        <v>#REF!</v>
      </c>
      <c r="GH320" t="e">
        <f>AND('PROG FORMACIÓN TITULADA'!#REF!,"AAAAAH+v1b0=")</f>
        <v>#REF!</v>
      </c>
      <c r="GI320" t="e">
        <f>AND('PROG FORMACIÓN TITULADA'!#REF!,"AAAAAH+v1b4=")</f>
        <v>#REF!</v>
      </c>
      <c r="GJ320" t="e">
        <f>AND('PROG FORMACIÓN TITULADA'!#REF!,"AAAAAH+v1b8=")</f>
        <v>#REF!</v>
      </c>
      <c r="GK320" t="e">
        <f>AND('PROG FORMACIÓN TITULADA'!#REF!,"AAAAAH+v1cA=")</f>
        <v>#REF!</v>
      </c>
      <c r="GL320" t="e">
        <f>AND('PROG FORMACIÓN TITULADA'!#REF!,"AAAAAH+v1cE=")</f>
        <v>#REF!</v>
      </c>
      <c r="GM320" t="e">
        <f>AND('PROG FORMACIÓN TITULADA'!#REF!,"AAAAAH+v1cI=")</f>
        <v>#REF!</v>
      </c>
      <c r="GN320" t="e">
        <f>AND('PROG FORMACIÓN TITULADA'!#REF!,"AAAAAH+v1cM=")</f>
        <v>#REF!</v>
      </c>
      <c r="GO320" t="e">
        <f>AND('PROG FORMACIÓN TITULADA'!#REF!,"AAAAAH+v1cQ=")</f>
        <v>#REF!</v>
      </c>
      <c r="GP320" t="e">
        <f>AND('PROG FORMACIÓN TITULADA'!#REF!,"AAAAAH+v1cU=")</f>
        <v>#REF!</v>
      </c>
      <c r="GQ320" t="e">
        <f>AND('PROG FORMACIÓN TITULADA'!#REF!,"AAAAAH+v1cY=")</f>
        <v>#REF!</v>
      </c>
      <c r="GR320" t="e">
        <f>AND('PROG FORMACIÓN TITULADA'!#REF!,"AAAAAH+v1cc=")</f>
        <v>#REF!</v>
      </c>
      <c r="GS320" t="e">
        <f>IF('PROG FORMACIÓN TITULADA'!#REF!,"AAAAAH+v1cg=",0)</f>
        <v>#REF!</v>
      </c>
      <c r="GT320" t="e">
        <f>AND('PROG FORMACIÓN TITULADA'!#REF!,"AAAAAH+v1ck=")</f>
        <v>#REF!</v>
      </c>
      <c r="GU320" t="e">
        <f>AND('PROG FORMACIÓN TITULADA'!#REF!,"AAAAAH+v1co=")</f>
        <v>#REF!</v>
      </c>
      <c r="GV320" t="e">
        <f>AND('PROG FORMACIÓN TITULADA'!#REF!,"AAAAAH+v1cs=")</f>
        <v>#REF!</v>
      </c>
      <c r="GW320" t="e">
        <f>AND('PROG FORMACIÓN TITULADA'!#REF!,"AAAAAH+v1cw=")</f>
        <v>#REF!</v>
      </c>
      <c r="GX320" t="e">
        <f>AND('PROG FORMACIÓN TITULADA'!#REF!,"AAAAAH+v1c0=")</f>
        <v>#REF!</v>
      </c>
      <c r="GY320" t="e">
        <f>AND('PROG FORMACIÓN TITULADA'!#REF!,"AAAAAH+v1c4=")</f>
        <v>#REF!</v>
      </c>
      <c r="GZ320" t="e">
        <f>AND('PROG FORMACIÓN TITULADA'!#REF!,"AAAAAH+v1c8=")</f>
        <v>#REF!</v>
      </c>
      <c r="HA320" t="e">
        <f>AND('PROG FORMACIÓN TITULADA'!#REF!,"AAAAAH+v1dA=")</f>
        <v>#REF!</v>
      </c>
      <c r="HB320" t="e">
        <f>AND('PROG FORMACIÓN TITULADA'!#REF!,"AAAAAH+v1dE=")</f>
        <v>#REF!</v>
      </c>
      <c r="HC320" t="e">
        <f>AND('PROG FORMACIÓN TITULADA'!#REF!,"AAAAAH+v1dI=")</f>
        <v>#REF!</v>
      </c>
      <c r="HD320" t="e">
        <f>AND('PROG FORMACIÓN TITULADA'!#REF!,"AAAAAH+v1dM=")</f>
        <v>#REF!</v>
      </c>
      <c r="HE320" t="e">
        <f>AND('PROG FORMACIÓN TITULADA'!#REF!,"AAAAAH+v1dQ=")</f>
        <v>#REF!</v>
      </c>
      <c r="HF320" t="e">
        <f>AND('PROG FORMACIÓN TITULADA'!#REF!,"AAAAAH+v1dU=")</f>
        <v>#REF!</v>
      </c>
      <c r="HG320" t="e">
        <f>AND('PROG FORMACIÓN TITULADA'!#REF!,"AAAAAH+v1dY=")</f>
        <v>#REF!</v>
      </c>
      <c r="HH320" t="e">
        <f>AND('PROG FORMACIÓN TITULADA'!#REF!,"AAAAAH+v1dc=")</f>
        <v>#REF!</v>
      </c>
      <c r="HI320" t="e">
        <f>AND('PROG FORMACIÓN TITULADA'!#REF!,"AAAAAH+v1dg=")</f>
        <v>#REF!</v>
      </c>
      <c r="HJ320" t="e">
        <f>AND('PROG FORMACIÓN TITULADA'!#REF!,"AAAAAH+v1dk=")</f>
        <v>#REF!</v>
      </c>
      <c r="HK320" t="e">
        <f>AND('PROG FORMACIÓN TITULADA'!#REF!,"AAAAAH+v1do=")</f>
        <v>#REF!</v>
      </c>
      <c r="HL320" t="e">
        <f>AND('PROG FORMACIÓN TITULADA'!#REF!,"AAAAAH+v1ds=")</f>
        <v>#REF!</v>
      </c>
      <c r="HM320" t="e">
        <f>AND('PROG FORMACIÓN TITULADA'!#REF!,"AAAAAH+v1dw=")</f>
        <v>#REF!</v>
      </c>
      <c r="HN320" t="e">
        <f>AND('PROG FORMACIÓN TITULADA'!#REF!,"AAAAAH+v1d0=")</f>
        <v>#REF!</v>
      </c>
      <c r="HO320" t="e">
        <f>AND('PROG FORMACIÓN TITULADA'!#REF!,"AAAAAH+v1d4=")</f>
        <v>#REF!</v>
      </c>
      <c r="HP320" t="e">
        <f>AND('PROG FORMACIÓN TITULADA'!#REF!,"AAAAAH+v1d8=")</f>
        <v>#REF!</v>
      </c>
      <c r="HQ320" t="e">
        <f>AND('PROG FORMACIÓN TITULADA'!#REF!,"AAAAAH+v1eA=")</f>
        <v>#REF!</v>
      </c>
      <c r="HR320" t="e">
        <f>AND('PROG FORMACIÓN TITULADA'!#REF!,"AAAAAH+v1eE=")</f>
        <v>#REF!</v>
      </c>
      <c r="HS320" t="e">
        <f>AND('PROG FORMACIÓN TITULADA'!#REF!,"AAAAAH+v1eI=")</f>
        <v>#REF!</v>
      </c>
      <c r="HT320" t="e">
        <f>IF('PROG FORMACIÓN TITULADA'!#REF!,"AAAAAH+v1eM=",0)</f>
        <v>#REF!</v>
      </c>
      <c r="HU320" t="e">
        <f>AND('PROG FORMACIÓN TITULADA'!#REF!,"AAAAAH+v1eQ=")</f>
        <v>#REF!</v>
      </c>
      <c r="HV320" t="e">
        <f>AND('PROG FORMACIÓN TITULADA'!#REF!,"AAAAAH+v1eU=")</f>
        <v>#REF!</v>
      </c>
      <c r="HW320" t="e">
        <f>AND('PROG FORMACIÓN TITULADA'!#REF!,"AAAAAH+v1eY=")</f>
        <v>#REF!</v>
      </c>
      <c r="HX320" t="e">
        <f>AND('PROG FORMACIÓN TITULADA'!#REF!,"AAAAAH+v1ec=")</f>
        <v>#REF!</v>
      </c>
      <c r="HY320" t="e">
        <f>AND('PROG FORMACIÓN TITULADA'!#REF!,"AAAAAH+v1eg=")</f>
        <v>#REF!</v>
      </c>
      <c r="HZ320" t="e">
        <f>AND('PROG FORMACIÓN TITULADA'!#REF!,"AAAAAH+v1ek=")</f>
        <v>#REF!</v>
      </c>
      <c r="IA320" t="e">
        <f>AND('PROG FORMACIÓN TITULADA'!#REF!,"AAAAAH+v1eo=")</f>
        <v>#REF!</v>
      </c>
      <c r="IB320" t="e">
        <f>AND('PROG FORMACIÓN TITULADA'!#REF!,"AAAAAH+v1es=")</f>
        <v>#REF!</v>
      </c>
      <c r="IC320" t="e">
        <f>AND('PROG FORMACIÓN TITULADA'!#REF!,"AAAAAH+v1ew=")</f>
        <v>#REF!</v>
      </c>
      <c r="ID320" t="e">
        <f>AND('PROG FORMACIÓN TITULADA'!#REF!,"AAAAAH+v1e0=")</f>
        <v>#REF!</v>
      </c>
      <c r="IE320" t="e">
        <f>AND('PROG FORMACIÓN TITULADA'!#REF!,"AAAAAH+v1e4=")</f>
        <v>#REF!</v>
      </c>
      <c r="IF320" t="e">
        <f>AND('PROG FORMACIÓN TITULADA'!#REF!,"AAAAAH+v1e8=")</f>
        <v>#REF!</v>
      </c>
      <c r="IG320" t="e">
        <f>AND('PROG FORMACIÓN TITULADA'!#REF!,"AAAAAH+v1fA=")</f>
        <v>#REF!</v>
      </c>
      <c r="IH320" t="e">
        <f>AND('PROG FORMACIÓN TITULADA'!#REF!,"AAAAAH+v1fE=")</f>
        <v>#REF!</v>
      </c>
      <c r="II320" t="e">
        <f>AND('PROG FORMACIÓN TITULADA'!#REF!,"AAAAAH+v1fI=")</f>
        <v>#REF!</v>
      </c>
      <c r="IJ320" t="e">
        <f>AND('PROG FORMACIÓN TITULADA'!#REF!,"AAAAAH+v1fM=")</f>
        <v>#REF!</v>
      </c>
      <c r="IK320" t="e">
        <f>AND('PROG FORMACIÓN TITULADA'!#REF!,"AAAAAH+v1fQ=")</f>
        <v>#REF!</v>
      </c>
      <c r="IL320" t="e">
        <f>AND('PROG FORMACIÓN TITULADA'!#REF!,"AAAAAH+v1fU=")</f>
        <v>#REF!</v>
      </c>
      <c r="IM320" t="e">
        <f>AND('PROG FORMACIÓN TITULADA'!#REF!,"AAAAAH+v1fY=")</f>
        <v>#REF!</v>
      </c>
      <c r="IN320" t="e">
        <f>AND('PROG FORMACIÓN TITULADA'!#REF!,"AAAAAH+v1fc=")</f>
        <v>#REF!</v>
      </c>
      <c r="IO320" t="e">
        <f>AND('PROG FORMACIÓN TITULADA'!#REF!,"AAAAAH+v1fg=")</f>
        <v>#REF!</v>
      </c>
      <c r="IP320" t="e">
        <f>AND('PROG FORMACIÓN TITULADA'!#REF!,"AAAAAH+v1fk=")</f>
        <v>#REF!</v>
      </c>
      <c r="IQ320" t="e">
        <f>AND('PROG FORMACIÓN TITULADA'!#REF!,"AAAAAH+v1fo=")</f>
        <v>#REF!</v>
      </c>
      <c r="IR320" t="e">
        <f>AND('PROG FORMACIÓN TITULADA'!#REF!,"AAAAAH+v1fs=")</f>
        <v>#REF!</v>
      </c>
      <c r="IS320" t="e">
        <f>AND('PROG FORMACIÓN TITULADA'!#REF!,"AAAAAH+v1fw=")</f>
        <v>#REF!</v>
      </c>
      <c r="IT320" t="e">
        <f>AND('PROG FORMACIÓN TITULADA'!#REF!,"AAAAAH+v1f0=")</f>
        <v>#REF!</v>
      </c>
      <c r="IU320" t="e">
        <f>IF('PROG FORMACIÓN TITULADA'!#REF!,"AAAAAH+v1f4=",0)</f>
        <v>#REF!</v>
      </c>
      <c r="IV320" t="e">
        <f>AND('PROG FORMACIÓN TITULADA'!#REF!,"AAAAAH+v1f8=")</f>
        <v>#REF!</v>
      </c>
    </row>
    <row r="321" spans="1:256" x14ac:dyDescent="0.2">
      <c r="A321" t="e">
        <f>AND('PROG FORMACIÓN TITULADA'!#REF!,"AAAAAG7d/wA=")</f>
        <v>#REF!</v>
      </c>
      <c r="B321" t="e">
        <f>AND('PROG FORMACIÓN TITULADA'!#REF!,"AAAAAG7d/wE=")</f>
        <v>#REF!</v>
      </c>
      <c r="C321" t="e">
        <f>AND('PROG FORMACIÓN TITULADA'!#REF!,"AAAAAG7d/wI=")</f>
        <v>#REF!</v>
      </c>
      <c r="D321" t="e">
        <f>AND('PROG FORMACIÓN TITULADA'!#REF!,"AAAAAG7d/wM=")</f>
        <v>#REF!</v>
      </c>
      <c r="E321" t="e">
        <f>AND('PROG FORMACIÓN TITULADA'!#REF!,"AAAAAG7d/wQ=")</f>
        <v>#REF!</v>
      </c>
      <c r="F321" t="e">
        <f>AND('PROG FORMACIÓN TITULADA'!#REF!,"AAAAAG7d/wU=")</f>
        <v>#REF!</v>
      </c>
      <c r="G321" t="e">
        <f>AND('PROG FORMACIÓN TITULADA'!#REF!,"AAAAAG7d/wY=")</f>
        <v>#REF!</v>
      </c>
      <c r="H321" t="e">
        <f>AND('PROG FORMACIÓN TITULADA'!#REF!,"AAAAAG7d/wc=")</f>
        <v>#REF!</v>
      </c>
      <c r="I321" t="e">
        <f>AND('PROG FORMACIÓN TITULADA'!#REF!,"AAAAAG7d/wg=")</f>
        <v>#REF!</v>
      </c>
      <c r="J321" t="e">
        <f>AND('PROG FORMACIÓN TITULADA'!#REF!,"AAAAAG7d/wk=")</f>
        <v>#REF!</v>
      </c>
      <c r="K321" t="e">
        <f>AND('PROG FORMACIÓN TITULADA'!#REF!,"AAAAAG7d/wo=")</f>
        <v>#REF!</v>
      </c>
      <c r="L321" t="e">
        <f>AND('PROG FORMACIÓN TITULADA'!#REF!,"AAAAAG7d/ws=")</f>
        <v>#REF!</v>
      </c>
      <c r="M321" t="e">
        <f>AND('PROG FORMACIÓN TITULADA'!#REF!,"AAAAAG7d/ww=")</f>
        <v>#REF!</v>
      </c>
      <c r="N321" t="e">
        <f>AND('PROG FORMACIÓN TITULADA'!#REF!,"AAAAAG7d/w0=")</f>
        <v>#REF!</v>
      </c>
      <c r="O321" t="e">
        <f>AND('PROG FORMACIÓN TITULADA'!#REF!,"AAAAAG7d/w4=")</f>
        <v>#REF!</v>
      </c>
      <c r="P321" t="e">
        <f>AND('PROG FORMACIÓN TITULADA'!#REF!,"AAAAAG7d/w8=")</f>
        <v>#REF!</v>
      </c>
      <c r="Q321" t="e">
        <f>AND('PROG FORMACIÓN TITULADA'!#REF!,"AAAAAG7d/xA=")</f>
        <v>#REF!</v>
      </c>
      <c r="R321" t="e">
        <f>AND('PROG FORMACIÓN TITULADA'!#REF!,"AAAAAG7d/xE=")</f>
        <v>#REF!</v>
      </c>
      <c r="S321" t="e">
        <f>AND('PROG FORMACIÓN TITULADA'!#REF!,"AAAAAG7d/xI=")</f>
        <v>#REF!</v>
      </c>
      <c r="T321" t="e">
        <f>AND('PROG FORMACIÓN TITULADA'!#REF!,"AAAAAG7d/xM=")</f>
        <v>#REF!</v>
      </c>
      <c r="U321" t="e">
        <f>AND('PROG FORMACIÓN TITULADA'!#REF!,"AAAAAG7d/xQ=")</f>
        <v>#REF!</v>
      </c>
      <c r="V321" t="e">
        <f>AND('PROG FORMACIÓN TITULADA'!#REF!,"AAAAAG7d/xU=")</f>
        <v>#REF!</v>
      </c>
      <c r="W321" t="e">
        <f>AND('PROG FORMACIÓN TITULADA'!#REF!,"AAAAAG7d/xY=")</f>
        <v>#REF!</v>
      </c>
      <c r="X321" t="e">
        <f>AND('PROG FORMACIÓN TITULADA'!#REF!,"AAAAAG7d/xc=")</f>
        <v>#REF!</v>
      </c>
      <c r="Y321" t="e">
        <f>AND('PROG FORMACIÓN TITULADA'!#REF!,"AAAAAG7d/xg=")</f>
        <v>#REF!</v>
      </c>
      <c r="Z321" t="e">
        <f>IF('PROG FORMACIÓN TITULADA'!#REF!,"AAAAAG7d/xk=",0)</f>
        <v>#REF!</v>
      </c>
      <c r="AA321" t="e">
        <f>AND('PROG FORMACIÓN TITULADA'!#REF!,"AAAAAG7d/xo=")</f>
        <v>#REF!</v>
      </c>
      <c r="AB321" t="e">
        <f>AND('PROG FORMACIÓN TITULADA'!#REF!,"AAAAAG7d/xs=")</f>
        <v>#REF!</v>
      </c>
      <c r="AC321" t="e">
        <f>AND('PROG FORMACIÓN TITULADA'!#REF!,"AAAAAG7d/xw=")</f>
        <v>#REF!</v>
      </c>
      <c r="AD321" t="e">
        <f>AND('PROG FORMACIÓN TITULADA'!#REF!,"AAAAAG7d/x0=")</f>
        <v>#REF!</v>
      </c>
      <c r="AE321" t="e">
        <f>AND('PROG FORMACIÓN TITULADA'!#REF!,"AAAAAG7d/x4=")</f>
        <v>#REF!</v>
      </c>
      <c r="AF321" t="e">
        <f>AND('PROG FORMACIÓN TITULADA'!#REF!,"AAAAAG7d/x8=")</f>
        <v>#REF!</v>
      </c>
      <c r="AG321" t="e">
        <f>AND('PROG FORMACIÓN TITULADA'!#REF!,"AAAAAG7d/yA=")</f>
        <v>#REF!</v>
      </c>
      <c r="AH321" t="e">
        <f>AND('PROG FORMACIÓN TITULADA'!#REF!,"AAAAAG7d/yE=")</f>
        <v>#REF!</v>
      </c>
      <c r="AI321" t="e">
        <f>AND('PROG FORMACIÓN TITULADA'!#REF!,"AAAAAG7d/yI=")</f>
        <v>#REF!</v>
      </c>
      <c r="AJ321" t="e">
        <f>AND('PROG FORMACIÓN TITULADA'!#REF!,"AAAAAG7d/yM=")</f>
        <v>#REF!</v>
      </c>
      <c r="AK321" t="e">
        <f>AND('PROG FORMACIÓN TITULADA'!#REF!,"AAAAAG7d/yQ=")</f>
        <v>#REF!</v>
      </c>
      <c r="AL321" t="e">
        <f>AND('PROG FORMACIÓN TITULADA'!#REF!,"AAAAAG7d/yU=")</f>
        <v>#REF!</v>
      </c>
      <c r="AM321" t="e">
        <f>AND('PROG FORMACIÓN TITULADA'!#REF!,"AAAAAG7d/yY=")</f>
        <v>#REF!</v>
      </c>
      <c r="AN321" t="e">
        <f>AND('PROG FORMACIÓN TITULADA'!#REF!,"AAAAAG7d/yc=")</f>
        <v>#REF!</v>
      </c>
      <c r="AO321" t="e">
        <f>AND('PROG FORMACIÓN TITULADA'!#REF!,"AAAAAG7d/yg=")</f>
        <v>#REF!</v>
      </c>
      <c r="AP321" t="e">
        <f>AND('PROG FORMACIÓN TITULADA'!#REF!,"AAAAAG7d/yk=")</f>
        <v>#REF!</v>
      </c>
      <c r="AQ321" t="e">
        <f>AND('PROG FORMACIÓN TITULADA'!#REF!,"AAAAAG7d/yo=")</f>
        <v>#REF!</v>
      </c>
      <c r="AR321" t="e">
        <f>AND('PROG FORMACIÓN TITULADA'!#REF!,"AAAAAG7d/ys=")</f>
        <v>#REF!</v>
      </c>
      <c r="AS321" t="e">
        <f>AND('PROG FORMACIÓN TITULADA'!#REF!,"AAAAAG7d/yw=")</f>
        <v>#REF!</v>
      </c>
      <c r="AT321" t="e">
        <f>AND('PROG FORMACIÓN TITULADA'!#REF!,"AAAAAG7d/y0=")</f>
        <v>#REF!</v>
      </c>
      <c r="AU321" t="e">
        <f>AND('PROG FORMACIÓN TITULADA'!#REF!,"AAAAAG7d/y4=")</f>
        <v>#REF!</v>
      </c>
      <c r="AV321" t="e">
        <f>AND('PROG FORMACIÓN TITULADA'!#REF!,"AAAAAG7d/y8=")</f>
        <v>#REF!</v>
      </c>
      <c r="AW321" t="e">
        <f>AND('PROG FORMACIÓN TITULADA'!#REF!,"AAAAAG7d/zA=")</f>
        <v>#REF!</v>
      </c>
      <c r="AX321" t="e">
        <f>AND('PROG FORMACIÓN TITULADA'!#REF!,"AAAAAG7d/zE=")</f>
        <v>#REF!</v>
      </c>
      <c r="AY321" t="e">
        <f>AND('PROG FORMACIÓN TITULADA'!#REF!,"AAAAAG7d/zI=")</f>
        <v>#REF!</v>
      </c>
      <c r="AZ321" t="e">
        <f>AND('PROG FORMACIÓN TITULADA'!#REF!,"AAAAAG7d/zM=")</f>
        <v>#REF!</v>
      </c>
      <c r="BA321" t="e">
        <f>IF('PROG FORMACIÓN TITULADA'!#REF!,"AAAAAG7d/zQ=",0)</f>
        <v>#REF!</v>
      </c>
      <c r="BB321" t="e">
        <f>AND('PROG FORMACIÓN TITULADA'!#REF!,"AAAAAG7d/zU=")</f>
        <v>#REF!</v>
      </c>
      <c r="BC321" t="e">
        <f>AND('PROG FORMACIÓN TITULADA'!#REF!,"AAAAAG7d/zY=")</f>
        <v>#REF!</v>
      </c>
      <c r="BD321" t="e">
        <f>AND('PROG FORMACIÓN TITULADA'!#REF!,"AAAAAG7d/zc=")</f>
        <v>#REF!</v>
      </c>
      <c r="BE321" t="e">
        <f>AND('PROG FORMACIÓN TITULADA'!#REF!,"AAAAAG7d/zg=")</f>
        <v>#REF!</v>
      </c>
      <c r="BF321" t="e">
        <f>AND('PROG FORMACIÓN TITULADA'!#REF!,"AAAAAG7d/zk=")</f>
        <v>#REF!</v>
      </c>
      <c r="BG321" t="e">
        <f>AND('PROG FORMACIÓN TITULADA'!#REF!,"AAAAAG7d/zo=")</f>
        <v>#REF!</v>
      </c>
      <c r="BH321" t="e">
        <f>AND('PROG FORMACIÓN TITULADA'!#REF!,"AAAAAG7d/zs=")</f>
        <v>#REF!</v>
      </c>
      <c r="BI321" t="e">
        <f>AND('PROG FORMACIÓN TITULADA'!#REF!,"AAAAAG7d/zw=")</f>
        <v>#REF!</v>
      </c>
      <c r="BJ321" t="e">
        <f>AND('PROG FORMACIÓN TITULADA'!#REF!,"AAAAAG7d/z0=")</f>
        <v>#REF!</v>
      </c>
      <c r="BK321" t="e">
        <f>AND('PROG FORMACIÓN TITULADA'!#REF!,"AAAAAG7d/z4=")</f>
        <v>#REF!</v>
      </c>
      <c r="BL321" t="e">
        <f>AND('PROG FORMACIÓN TITULADA'!#REF!,"AAAAAG7d/z8=")</f>
        <v>#REF!</v>
      </c>
      <c r="BM321" t="e">
        <f>AND('PROG FORMACIÓN TITULADA'!#REF!,"AAAAAG7d/0A=")</f>
        <v>#REF!</v>
      </c>
      <c r="BN321" t="e">
        <f>AND('PROG FORMACIÓN TITULADA'!#REF!,"AAAAAG7d/0E=")</f>
        <v>#REF!</v>
      </c>
      <c r="BO321" t="e">
        <f>AND('PROG FORMACIÓN TITULADA'!#REF!,"AAAAAG7d/0I=")</f>
        <v>#REF!</v>
      </c>
      <c r="BP321" t="e">
        <f>AND('PROG FORMACIÓN TITULADA'!#REF!,"AAAAAG7d/0M=")</f>
        <v>#REF!</v>
      </c>
      <c r="BQ321" t="e">
        <f>AND('PROG FORMACIÓN TITULADA'!#REF!,"AAAAAG7d/0Q=")</f>
        <v>#REF!</v>
      </c>
      <c r="BR321" t="e">
        <f>AND('PROG FORMACIÓN TITULADA'!#REF!,"AAAAAG7d/0U=")</f>
        <v>#REF!</v>
      </c>
      <c r="BS321" t="e">
        <f>AND('PROG FORMACIÓN TITULADA'!#REF!,"AAAAAG7d/0Y=")</f>
        <v>#REF!</v>
      </c>
      <c r="BT321" t="e">
        <f>AND('PROG FORMACIÓN TITULADA'!#REF!,"AAAAAG7d/0c=")</f>
        <v>#REF!</v>
      </c>
      <c r="BU321" t="e">
        <f>AND('PROG FORMACIÓN TITULADA'!#REF!,"AAAAAG7d/0g=")</f>
        <v>#REF!</v>
      </c>
      <c r="BV321" t="e">
        <f>AND('PROG FORMACIÓN TITULADA'!#REF!,"AAAAAG7d/0k=")</f>
        <v>#REF!</v>
      </c>
      <c r="BW321" t="e">
        <f>AND('PROG FORMACIÓN TITULADA'!#REF!,"AAAAAG7d/0o=")</f>
        <v>#REF!</v>
      </c>
      <c r="BX321" t="e">
        <f>AND('PROG FORMACIÓN TITULADA'!#REF!,"AAAAAG7d/0s=")</f>
        <v>#REF!</v>
      </c>
      <c r="BY321" t="e">
        <f>AND('PROG FORMACIÓN TITULADA'!#REF!,"AAAAAG7d/0w=")</f>
        <v>#REF!</v>
      </c>
      <c r="BZ321" t="e">
        <f>AND('PROG FORMACIÓN TITULADA'!#REF!,"AAAAAG7d/00=")</f>
        <v>#REF!</v>
      </c>
      <c r="CA321" t="e">
        <f>AND('PROG FORMACIÓN TITULADA'!#REF!,"AAAAAG7d/04=")</f>
        <v>#REF!</v>
      </c>
      <c r="CB321" t="e">
        <f>IF('PROG FORMACIÓN TITULADA'!#REF!,"AAAAAG7d/08=",0)</f>
        <v>#REF!</v>
      </c>
      <c r="CC321" t="e">
        <f>AND('PROG FORMACIÓN TITULADA'!#REF!,"AAAAAG7d/1A=")</f>
        <v>#REF!</v>
      </c>
      <c r="CD321" t="e">
        <f>AND('PROG FORMACIÓN TITULADA'!#REF!,"AAAAAG7d/1E=")</f>
        <v>#REF!</v>
      </c>
      <c r="CE321" t="e">
        <f>AND('PROG FORMACIÓN TITULADA'!#REF!,"AAAAAG7d/1I=")</f>
        <v>#REF!</v>
      </c>
      <c r="CF321" t="e">
        <f>AND('PROG FORMACIÓN TITULADA'!#REF!,"AAAAAG7d/1M=")</f>
        <v>#REF!</v>
      </c>
      <c r="CG321" t="e">
        <f>AND('PROG FORMACIÓN TITULADA'!#REF!,"AAAAAG7d/1Q=")</f>
        <v>#REF!</v>
      </c>
      <c r="CH321" t="e">
        <f>AND('PROG FORMACIÓN TITULADA'!#REF!,"AAAAAG7d/1U=")</f>
        <v>#REF!</v>
      </c>
      <c r="CI321" t="e">
        <f>AND('PROG FORMACIÓN TITULADA'!#REF!,"AAAAAG7d/1Y=")</f>
        <v>#REF!</v>
      </c>
      <c r="CJ321" t="e">
        <f>AND('PROG FORMACIÓN TITULADA'!#REF!,"AAAAAG7d/1c=")</f>
        <v>#REF!</v>
      </c>
      <c r="CK321" t="e">
        <f>AND('PROG FORMACIÓN TITULADA'!#REF!,"AAAAAG7d/1g=")</f>
        <v>#REF!</v>
      </c>
      <c r="CL321" t="e">
        <f>AND('PROG FORMACIÓN TITULADA'!#REF!,"AAAAAG7d/1k=")</f>
        <v>#REF!</v>
      </c>
      <c r="CM321" t="e">
        <f>AND('PROG FORMACIÓN TITULADA'!#REF!,"AAAAAG7d/1o=")</f>
        <v>#REF!</v>
      </c>
      <c r="CN321" t="e">
        <f>AND('PROG FORMACIÓN TITULADA'!#REF!,"AAAAAG7d/1s=")</f>
        <v>#REF!</v>
      </c>
      <c r="CO321" t="e">
        <f>AND('PROG FORMACIÓN TITULADA'!#REF!,"AAAAAG7d/1w=")</f>
        <v>#REF!</v>
      </c>
      <c r="CP321" t="e">
        <f>AND('PROG FORMACIÓN TITULADA'!#REF!,"AAAAAG7d/10=")</f>
        <v>#REF!</v>
      </c>
      <c r="CQ321" t="e">
        <f>AND('PROG FORMACIÓN TITULADA'!#REF!,"AAAAAG7d/14=")</f>
        <v>#REF!</v>
      </c>
      <c r="CR321" t="e">
        <f>AND('PROG FORMACIÓN TITULADA'!#REF!,"AAAAAG7d/18=")</f>
        <v>#REF!</v>
      </c>
      <c r="CS321" t="e">
        <f>AND('PROG FORMACIÓN TITULADA'!#REF!,"AAAAAG7d/2A=")</f>
        <v>#REF!</v>
      </c>
      <c r="CT321" t="e">
        <f>AND('PROG FORMACIÓN TITULADA'!#REF!,"AAAAAG7d/2E=")</f>
        <v>#REF!</v>
      </c>
      <c r="CU321" t="e">
        <f>AND('PROG FORMACIÓN TITULADA'!#REF!,"AAAAAG7d/2I=")</f>
        <v>#REF!</v>
      </c>
      <c r="CV321" t="e">
        <f>AND('PROG FORMACIÓN TITULADA'!#REF!,"AAAAAG7d/2M=")</f>
        <v>#REF!</v>
      </c>
      <c r="CW321" t="e">
        <f>AND('PROG FORMACIÓN TITULADA'!#REF!,"AAAAAG7d/2Q=")</f>
        <v>#REF!</v>
      </c>
      <c r="CX321" t="e">
        <f>AND('PROG FORMACIÓN TITULADA'!#REF!,"AAAAAG7d/2U=")</f>
        <v>#REF!</v>
      </c>
      <c r="CY321" t="e">
        <f>AND('PROG FORMACIÓN TITULADA'!#REF!,"AAAAAG7d/2Y=")</f>
        <v>#REF!</v>
      </c>
      <c r="CZ321" t="e">
        <f>AND('PROG FORMACIÓN TITULADA'!#REF!,"AAAAAG7d/2c=")</f>
        <v>#REF!</v>
      </c>
      <c r="DA321" t="e">
        <f>AND('PROG FORMACIÓN TITULADA'!#REF!,"AAAAAG7d/2g=")</f>
        <v>#REF!</v>
      </c>
      <c r="DB321" t="e">
        <f>AND('PROG FORMACIÓN TITULADA'!#REF!,"AAAAAG7d/2k=")</f>
        <v>#REF!</v>
      </c>
      <c r="DC321" t="e">
        <f>IF('PROG FORMACIÓN TITULADA'!#REF!,"AAAAAG7d/2o=",0)</f>
        <v>#REF!</v>
      </c>
      <c r="DD321" t="e">
        <f>AND('PROG FORMACIÓN TITULADA'!#REF!,"AAAAAG7d/2s=")</f>
        <v>#REF!</v>
      </c>
      <c r="DE321" t="e">
        <f>AND('PROG FORMACIÓN TITULADA'!#REF!,"AAAAAG7d/2w=")</f>
        <v>#REF!</v>
      </c>
      <c r="DF321" t="e">
        <f>AND('PROG FORMACIÓN TITULADA'!#REF!,"AAAAAG7d/20=")</f>
        <v>#REF!</v>
      </c>
      <c r="DG321" t="e">
        <f>AND('PROG FORMACIÓN TITULADA'!#REF!,"AAAAAG7d/24=")</f>
        <v>#REF!</v>
      </c>
      <c r="DH321" t="e">
        <f>AND('PROG FORMACIÓN TITULADA'!#REF!,"AAAAAG7d/28=")</f>
        <v>#REF!</v>
      </c>
      <c r="DI321" t="e">
        <f>AND('PROG FORMACIÓN TITULADA'!#REF!,"AAAAAG7d/3A=")</f>
        <v>#REF!</v>
      </c>
      <c r="DJ321" t="e">
        <f>AND('PROG FORMACIÓN TITULADA'!#REF!,"AAAAAG7d/3E=")</f>
        <v>#REF!</v>
      </c>
      <c r="DK321" t="e">
        <f>AND('PROG FORMACIÓN TITULADA'!#REF!,"AAAAAG7d/3I=")</f>
        <v>#REF!</v>
      </c>
      <c r="DL321" t="e">
        <f>AND('PROG FORMACIÓN TITULADA'!#REF!,"AAAAAG7d/3M=")</f>
        <v>#REF!</v>
      </c>
      <c r="DM321" t="e">
        <f>AND('PROG FORMACIÓN TITULADA'!#REF!,"AAAAAG7d/3Q=")</f>
        <v>#REF!</v>
      </c>
      <c r="DN321" t="e">
        <f>AND('PROG FORMACIÓN TITULADA'!#REF!,"AAAAAG7d/3U=")</f>
        <v>#REF!</v>
      </c>
      <c r="DO321" t="e">
        <f>AND('PROG FORMACIÓN TITULADA'!#REF!,"AAAAAG7d/3Y=")</f>
        <v>#REF!</v>
      </c>
      <c r="DP321" t="e">
        <f>AND('PROG FORMACIÓN TITULADA'!#REF!,"AAAAAG7d/3c=")</f>
        <v>#REF!</v>
      </c>
      <c r="DQ321" t="e">
        <f>AND('PROG FORMACIÓN TITULADA'!#REF!,"AAAAAG7d/3g=")</f>
        <v>#REF!</v>
      </c>
      <c r="DR321" t="e">
        <f>AND('PROG FORMACIÓN TITULADA'!#REF!,"AAAAAG7d/3k=")</f>
        <v>#REF!</v>
      </c>
      <c r="DS321" t="e">
        <f>AND('PROG FORMACIÓN TITULADA'!#REF!,"AAAAAG7d/3o=")</f>
        <v>#REF!</v>
      </c>
      <c r="DT321" t="e">
        <f>AND('PROG FORMACIÓN TITULADA'!#REF!,"AAAAAG7d/3s=")</f>
        <v>#REF!</v>
      </c>
      <c r="DU321" t="e">
        <f>AND('PROG FORMACIÓN TITULADA'!#REF!,"AAAAAG7d/3w=")</f>
        <v>#REF!</v>
      </c>
      <c r="DV321" t="e">
        <f>AND('PROG FORMACIÓN TITULADA'!#REF!,"AAAAAG7d/30=")</f>
        <v>#REF!</v>
      </c>
      <c r="DW321" t="e">
        <f>AND('PROG FORMACIÓN TITULADA'!#REF!,"AAAAAG7d/34=")</f>
        <v>#REF!</v>
      </c>
      <c r="DX321" t="e">
        <f>AND('PROG FORMACIÓN TITULADA'!#REF!,"AAAAAG7d/38=")</f>
        <v>#REF!</v>
      </c>
      <c r="DY321" t="e">
        <f>AND('PROG FORMACIÓN TITULADA'!#REF!,"AAAAAG7d/4A=")</f>
        <v>#REF!</v>
      </c>
      <c r="DZ321" t="e">
        <f>AND('PROG FORMACIÓN TITULADA'!#REF!,"AAAAAG7d/4E=")</f>
        <v>#REF!</v>
      </c>
      <c r="EA321" t="e">
        <f>AND('PROG FORMACIÓN TITULADA'!#REF!,"AAAAAG7d/4I=")</f>
        <v>#REF!</v>
      </c>
      <c r="EB321" t="e">
        <f>AND('PROG FORMACIÓN TITULADA'!#REF!,"AAAAAG7d/4M=")</f>
        <v>#REF!</v>
      </c>
      <c r="EC321" t="e">
        <f>AND('PROG FORMACIÓN TITULADA'!#REF!,"AAAAAG7d/4Q=")</f>
        <v>#REF!</v>
      </c>
      <c r="ED321" t="e">
        <f>IF('PROG FORMACIÓN TITULADA'!#REF!,"AAAAAG7d/4U=",0)</f>
        <v>#REF!</v>
      </c>
      <c r="EE321" t="e">
        <f>AND('PROG FORMACIÓN TITULADA'!#REF!,"AAAAAG7d/4Y=")</f>
        <v>#REF!</v>
      </c>
      <c r="EF321" t="e">
        <f>AND('PROG FORMACIÓN TITULADA'!#REF!,"AAAAAG7d/4c=")</f>
        <v>#REF!</v>
      </c>
      <c r="EG321" t="e">
        <f>AND('PROG FORMACIÓN TITULADA'!#REF!,"AAAAAG7d/4g=")</f>
        <v>#REF!</v>
      </c>
      <c r="EH321" t="e">
        <f>AND('PROG FORMACIÓN TITULADA'!#REF!,"AAAAAG7d/4k=")</f>
        <v>#REF!</v>
      </c>
      <c r="EI321" t="e">
        <f>AND('PROG FORMACIÓN TITULADA'!#REF!,"AAAAAG7d/4o=")</f>
        <v>#REF!</v>
      </c>
      <c r="EJ321" t="e">
        <f>AND('PROG FORMACIÓN TITULADA'!#REF!,"AAAAAG7d/4s=")</f>
        <v>#REF!</v>
      </c>
      <c r="EK321" t="e">
        <f>AND('PROG FORMACIÓN TITULADA'!#REF!,"AAAAAG7d/4w=")</f>
        <v>#REF!</v>
      </c>
      <c r="EL321" t="e">
        <f>AND('PROG FORMACIÓN TITULADA'!#REF!,"AAAAAG7d/40=")</f>
        <v>#REF!</v>
      </c>
      <c r="EM321" t="e">
        <f>AND('PROG FORMACIÓN TITULADA'!#REF!,"AAAAAG7d/44=")</f>
        <v>#REF!</v>
      </c>
      <c r="EN321" t="e">
        <f>AND('PROG FORMACIÓN TITULADA'!#REF!,"AAAAAG7d/48=")</f>
        <v>#REF!</v>
      </c>
      <c r="EO321" t="e">
        <f>AND('PROG FORMACIÓN TITULADA'!#REF!,"AAAAAG7d/5A=")</f>
        <v>#REF!</v>
      </c>
      <c r="EP321" t="e">
        <f>AND('PROG FORMACIÓN TITULADA'!#REF!,"AAAAAG7d/5E=")</f>
        <v>#REF!</v>
      </c>
      <c r="EQ321" t="e">
        <f>AND('PROG FORMACIÓN TITULADA'!#REF!,"AAAAAG7d/5I=")</f>
        <v>#REF!</v>
      </c>
      <c r="ER321" t="e">
        <f>AND('PROG FORMACIÓN TITULADA'!#REF!,"AAAAAG7d/5M=")</f>
        <v>#REF!</v>
      </c>
      <c r="ES321" t="e">
        <f>AND('PROG FORMACIÓN TITULADA'!#REF!,"AAAAAG7d/5Q=")</f>
        <v>#REF!</v>
      </c>
      <c r="ET321" t="e">
        <f>AND('PROG FORMACIÓN TITULADA'!#REF!,"AAAAAG7d/5U=")</f>
        <v>#REF!</v>
      </c>
      <c r="EU321" t="e">
        <f>AND('PROG FORMACIÓN TITULADA'!#REF!,"AAAAAG7d/5Y=")</f>
        <v>#REF!</v>
      </c>
      <c r="EV321" t="e">
        <f>AND('PROG FORMACIÓN TITULADA'!#REF!,"AAAAAG7d/5c=")</f>
        <v>#REF!</v>
      </c>
      <c r="EW321" t="e">
        <f>AND('PROG FORMACIÓN TITULADA'!#REF!,"AAAAAG7d/5g=")</f>
        <v>#REF!</v>
      </c>
      <c r="EX321" t="e">
        <f>AND('PROG FORMACIÓN TITULADA'!#REF!,"AAAAAG7d/5k=")</f>
        <v>#REF!</v>
      </c>
      <c r="EY321" t="e">
        <f>AND('PROG FORMACIÓN TITULADA'!#REF!,"AAAAAG7d/5o=")</f>
        <v>#REF!</v>
      </c>
      <c r="EZ321" t="e">
        <f>AND('PROG FORMACIÓN TITULADA'!#REF!,"AAAAAG7d/5s=")</f>
        <v>#REF!</v>
      </c>
      <c r="FA321" t="e">
        <f>AND('PROG FORMACIÓN TITULADA'!#REF!,"AAAAAG7d/5w=")</f>
        <v>#REF!</v>
      </c>
      <c r="FB321" t="e">
        <f>AND('PROG FORMACIÓN TITULADA'!#REF!,"AAAAAG7d/50=")</f>
        <v>#REF!</v>
      </c>
      <c r="FC321" t="e">
        <f>AND('PROG FORMACIÓN TITULADA'!#REF!,"AAAAAG7d/54=")</f>
        <v>#REF!</v>
      </c>
      <c r="FD321" t="e">
        <f>AND('PROG FORMACIÓN TITULADA'!#REF!,"AAAAAG7d/58=")</f>
        <v>#REF!</v>
      </c>
      <c r="FE321" t="e">
        <f>IF('PROG FORMACIÓN TITULADA'!#REF!,"AAAAAG7d/6A=",0)</f>
        <v>#REF!</v>
      </c>
      <c r="FF321" t="e">
        <f>AND('PROG FORMACIÓN TITULADA'!#REF!,"AAAAAG7d/6E=")</f>
        <v>#REF!</v>
      </c>
      <c r="FG321" t="e">
        <f>AND('PROG FORMACIÓN TITULADA'!#REF!,"AAAAAG7d/6I=")</f>
        <v>#REF!</v>
      </c>
      <c r="FH321" t="e">
        <f>AND('PROG FORMACIÓN TITULADA'!#REF!,"AAAAAG7d/6M=")</f>
        <v>#REF!</v>
      </c>
      <c r="FI321" t="e">
        <f>AND('PROG FORMACIÓN TITULADA'!#REF!,"AAAAAG7d/6Q=")</f>
        <v>#REF!</v>
      </c>
      <c r="FJ321" t="e">
        <f>AND('PROG FORMACIÓN TITULADA'!#REF!,"AAAAAG7d/6U=")</f>
        <v>#REF!</v>
      </c>
      <c r="FK321" t="e">
        <f>AND('PROG FORMACIÓN TITULADA'!#REF!,"AAAAAG7d/6Y=")</f>
        <v>#REF!</v>
      </c>
      <c r="FL321" t="e">
        <f>AND('PROG FORMACIÓN TITULADA'!#REF!,"AAAAAG7d/6c=")</f>
        <v>#REF!</v>
      </c>
      <c r="FM321" t="e">
        <f>AND('PROG FORMACIÓN TITULADA'!#REF!,"AAAAAG7d/6g=")</f>
        <v>#REF!</v>
      </c>
      <c r="FN321" t="e">
        <f>AND('PROG FORMACIÓN TITULADA'!#REF!,"AAAAAG7d/6k=")</f>
        <v>#REF!</v>
      </c>
      <c r="FO321" t="e">
        <f>AND('PROG FORMACIÓN TITULADA'!#REF!,"AAAAAG7d/6o=")</f>
        <v>#REF!</v>
      </c>
      <c r="FP321" t="e">
        <f>AND('PROG FORMACIÓN TITULADA'!#REF!,"AAAAAG7d/6s=")</f>
        <v>#REF!</v>
      </c>
      <c r="FQ321" t="e">
        <f>AND('PROG FORMACIÓN TITULADA'!#REF!,"AAAAAG7d/6w=")</f>
        <v>#REF!</v>
      </c>
      <c r="FR321" t="e">
        <f>AND('PROG FORMACIÓN TITULADA'!#REF!,"AAAAAG7d/60=")</f>
        <v>#REF!</v>
      </c>
      <c r="FS321" t="e">
        <f>AND('PROG FORMACIÓN TITULADA'!#REF!,"AAAAAG7d/64=")</f>
        <v>#REF!</v>
      </c>
      <c r="FT321" t="e">
        <f>AND('PROG FORMACIÓN TITULADA'!#REF!,"AAAAAG7d/68=")</f>
        <v>#REF!</v>
      </c>
      <c r="FU321" t="e">
        <f>AND('PROG FORMACIÓN TITULADA'!#REF!,"AAAAAG7d/7A=")</f>
        <v>#REF!</v>
      </c>
      <c r="FV321" t="e">
        <f>AND('PROG FORMACIÓN TITULADA'!#REF!,"AAAAAG7d/7E=")</f>
        <v>#REF!</v>
      </c>
      <c r="FW321" t="e">
        <f>AND('PROG FORMACIÓN TITULADA'!#REF!,"AAAAAG7d/7I=")</f>
        <v>#REF!</v>
      </c>
      <c r="FX321" t="e">
        <f>AND('PROG FORMACIÓN TITULADA'!#REF!,"AAAAAG7d/7M=")</f>
        <v>#REF!</v>
      </c>
      <c r="FY321" t="e">
        <f>AND('PROG FORMACIÓN TITULADA'!#REF!,"AAAAAG7d/7Q=")</f>
        <v>#REF!</v>
      </c>
      <c r="FZ321" t="e">
        <f>AND('PROG FORMACIÓN TITULADA'!#REF!,"AAAAAG7d/7U=")</f>
        <v>#REF!</v>
      </c>
      <c r="GA321" t="e">
        <f>AND('PROG FORMACIÓN TITULADA'!#REF!,"AAAAAG7d/7Y=")</f>
        <v>#REF!</v>
      </c>
      <c r="GB321" t="e">
        <f>AND('PROG FORMACIÓN TITULADA'!#REF!,"AAAAAG7d/7c=")</f>
        <v>#REF!</v>
      </c>
      <c r="GC321" t="e">
        <f>AND('PROG FORMACIÓN TITULADA'!#REF!,"AAAAAG7d/7g=")</f>
        <v>#REF!</v>
      </c>
      <c r="GD321" t="e">
        <f>AND('PROG FORMACIÓN TITULADA'!#REF!,"AAAAAG7d/7k=")</f>
        <v>#REF!</v>
      </c>
      <c r="GE321" t="e">
        <f>AND('PROG FORMACIÓN TITULADA'!#REF!,"AAAAAG7d/7o=")</f>
        <v>#REF!</v>
      </c>
      <c r="GF321" t="e">
        <f>IF('PROG FORMACIÓN TITULADA'!#REF!,"AAAAAG7d/7s=",0)</f>
        <v>#REF!</v>
      </c>
      <c r="GG321" t="e">
        <f>AND('PROG FORMACIÓN TITULADA'!#REF!,"AAAAAG7d/7w=")</f>
        <v>#REF!</v>
      </c>
      <c r="GH321" t="e">
        <f>AND('PROG FORMACIÓN TITULADA'!#REF!,"AAAAAG7d/70=")</f>
        <v>#REF!</v>
      </c>
      <c r="GI321" t="e">
        <f>AND('PROG FORMACIÓN TITULADA'!#REF!,"AAAAAG7d/74=")</f>
        <v>#REF!</v>
      </c>
      <c r="GJ321" t="e">
        <f>AND('PROG FORMACIÓN TITULADA'!#REF!,"AAAAAG7d/78=")</f>
        <v>#REF!</v>
      </c>
      <c r="GK321" t="e">
        <f>AND('PROG FORMACIÓN TITULADA'!#REF!,"AAAAAG7d/8A=")</f>
        <v>#REF!</v>
      </c>
      <c r="GL321" t="e">
        <f>AND('PROG FORMACIÓN TITULADA'!#REF!,"AAAAAG7d/8E=")</f>
        <v>#REF!</v>
      </c>
      <c r="GM321" t="e">
        <f>AND('PROG FORMACIÓN TITULADA'!#REF!,"AAAAAG7d/8I=")</f>
        <v>#REF!</v>
      </c>
      <c r="GN321" t="e">
        <f>AND('PROG FORMACIÓN TITULADA'!#REF!,"AAAAAG7d/8M=")</f>
        <v>#REF!</v>
      </c>
      <c r="GO321" t="e">
        <f>AND('PROG FORMACIÓN TITULADA'!#REF!,"AAAAAG7d/8Q=")</f>
        <v>#REF!</v>
      </c>
      <c r="GP321" t="e">
        <f>AND('PROG FORMACIÓN TITULADA'!#REF!,"AAAAAG7d/8U=")</f>
        <v>#REF!</v>
      </c>
      <c r="GQ321" t="e">
        <f>AND('PROG FORMACIÓN TITULADA'!#REF!,"AAAAAG7d/8Y=")</f>
        <v>#REF!</v>
      </c>
      <c r="GR321" t="e">
        <f>AND('PROG FORMACIÓN TITULADA'!#REF!,"AAAAAG7d/8c=")</f>
        <v>#REF!</v>
      </c>
      <c r="GS321" t="e">
        <f>AND('PROG FORMACIÓN TITULADA'!#REF!,"AAAAAG7d/8g=")</f>
        <v>#REF!</v>
      </c>
      <c r="GT321" t="e">
        <f>AND('PROG FORMACIÓN TITULADA'!#REF!,"AAAAAG7d/8k=")</f>
        <v>#REF!</v>
      </c>
      <c r="GU321" t="e">
        <f>AND('PROG FORMACIÓN TITULADA'!#REF!,"AAAAAG7d/8o=")</f>
        <v>#REF!</v>
      </c>
      <c r="GV321" t="e">
        <f>AND('PROG FORMACIÓN TITULADA'!#REF!,"AAAAAG7d/8s=")</f>
        <v>#REF!</v>
      </c>
      <c r="GW321" t="e">
        <f>AND('PROG FORMACIÓN TITULADA'!#REF!,"AAAAAG7d/8w=")</f>
        <v>#REF!</v>
      </c>
      <c r="GX321" t="e">
        <f>AND('PROG FORMACIÓN TITULADA'!#REF!,"AAAAAG7d/80=")</f>
        <v>#REF!</v>
      </c>
      <c r="GY321" t="e">
        <f>AND('PROG FORMACIÓN TITULADA'!#REF!,"AAAAAG7d/84=")</f>
        <v>#REF!</v>
      </c>
      <c r="GZ321" t="e">
        <f>AND('PROG FORMACIÓN TITULADA'!#REF!,"AAAAAG7d/88=")</f>
        <v>#REF!</v>
      </c>
      <c r="HA321" t="e">
        <f>AND('PROG FORMACIÓN TITULADA'!#REF!,"AAAAAG7d/9A=")</f>
        <v>#REF!</v>
      </c>
      <c r="HB321" t="e">
        <f>AND('PROG FORMACIÓN TITULADA'!#REF!,"AAAAAG7d/9E=")</f>
        <v>#REF!</v>
      </c>
      <c r="HC321" t="e">
        <f>AND('PROG FORMACIÓN TITULADA'!#REF!,"AAAAAG7d/9I=")</f>
        <v>#REF!</v>
      </c>
      <c r="HD321" t="e">
        <f>AND('PROG FORMACIÓN TITULADA'!#REF!,"AAAAAG7d/9M=")</f>
        <v>#REF!</v>
      </c>
      <c r="HE321" t="e">
        <f>AND('PROG FORMACIÓN TITULADA'!#REF!,"AAAAAG7d/9Q=")</f>
        <v>#REF!</v>
      </c>
      <c r="HF321" t="e">
        <f>AND('PROG FORMACIÓN TITULADA'!#REF!,"AAAAAG7d/9U=")</f>
        <v>#REF!</v>
      </c>
      <c r="HG321" t="e">
        <f>IF('PROG FORMACIÓN TITULADA'!#REF!,"AAAAAG7d/9Y=",0)</f>
        <v>#REF!</v>
      </c>
      <c r="HH321" t="e">
        <f>AND('PROG FORMACIÓN TITULADA'!#REF!,"AAAAAG7d/9c=")</f>
        <v>#REF!</v>
      </c>
      <c r="HI321" t="e">
        <f>AND('PROG FORMACIÓN TITULADA'!#REF!,"AAAAAG7d/9g=")</f>
        <v>#REF!</v>
      </c>
      <c r="HJ321" t="e">
        <f>AND('PROG FORMACIÓN TITULADA'!#REF!,"AAAAAG7d/9k=")</f>
        <v>#REF!</v>
      </c>
      <c r="HK321" t="e">
        <f>AND('PROG FORMACIÓN TITULADA'!#REF!,"AAAAAG7d/9o=")</f>
        <v>#REF!</v>
      </c>
      <c r="HL321" t="e">
        <f>AND('PROG FORMACIÓN TITULADA'!#REF!,"AAAAAG7d/9s=")</f>
        <v>#REF!</v>
      </c>
      <c r="HM321" t="e">
        <f>AND('PROG FORMACIÓN TITULADA'!#REF!,"AAAAAG7d/9w=")</f>
        <v>#REF!</v>
      </c>
      <c r="HN321" t="e">
        <f>AND('PROG FORMACIÓN TITULADA'!#REF!,"AAAAAG7d/90=")</f>
        <v>#REF!</v>
      </c>
      <c r="HO321" t="e">
        <f>AND('PROG FORMACIÓN TITULADA'!#REF!,"AAAAAG7d/94=")</f>
        <v>#REF!</v>
      </c>
      <c r="HP321" t="e">
        <f>AND('PROG FORMACIÓN TITULADA'!#REF!,"AAAAAG7d/98=")</f>
        <v>#REF!</v>
      </c>
      <c r="HQ321" t="e">
        <f>AND('PROG FORMACIÓN TITULADA'!#REF!,"AAAAAG7d/+A=")</f>
        <v>#REF!</v>
      </c>
      <c r="HR321" t="e">
        <f>AND('PROG FORMACIÓN TITULADA'!#REF!,"AAAAAG7d/+E=")</f>
        <v>#REF!</v>
      </c>
      <c r="HS321" t="e">
        <f>AND('PROG FORMACIÓN TITULADA'!#REF!,"AAAAAG7d/+I=")</f>
        <v>#REF!</v>
      </c>
      <c r="HT321" t="e">
        <f>AND('PROG FORMACIÓN TITULADA'!#REF!,"AAAAAG7d/+M=")</f>
        <v>#REF!</v>
      </c>
      <c r="HU321" t="e">
        <f>AND('PROG FORMACIÓN TITULADA'!#REF!,"AAAAAG7d/+Q=")</f>
        <v>#REF!</v>
      </c>
      <c r="HV321" t="e">
        <f>AND('PROG FORMACIÓN TITULADA'!#REF!,"AAAAAG7d/+U=")</f>
        <v>#REF!</v>
      </c>
      <c r="HW321" t="e">
        <f>AND('PROG FORMACIÓN TITULADA'!#REF!,"AAAAAG7d/+Y=")</f>
        <v>#REF!</v>
      </c>
      <c r="HX321" t="e">
        <f>AND('PROG FORMACIÓN TITULADA'!#REF!,"AAAAAG7d/+c=")</f>
        <v>#REF!</v>
      </c>
      <c r="HY321" t="e">
        <f>AND('PROG FORMACIÓN TITULADA'!#REF!,"AAAAAG7d/+g=")</f>
        <v>#REF!</v>
      </c>
      <c r="HZ321" t="e">
        <f>AND('PROG FORMACIÓN TITULADA'!#REF!,"AAAAAG7d/+k=")</f>
        <v>#REF!</v>
      </c>
      <c r="IA321" t="e">
        <f>AND('PROG FORMACIÓN TITULADA'!#REF!,"AAAAAG7d/+o=")</f>
        <v>#REF!</v>
      </c>
      <c r="IB321" t="e">
        <f>AND('PROG FORMACIÓN TITULADA'!#REF!,"AAAAAG7d/+s=")</f>
        <v>#REF!</v>
      </c>
      <c r="IC321" t="e">
        <f>AND('PROG FORMACIÓN TITULADA'!#REF!,"AAAAAG7d/+w=")</f>
        <v>#REF!</v>
      </c>
      <c r="ID321" t="e">
        <f>AND('PROG FORMACIÓN TITULADA'!#REF!,"AAAAAG7d/+0=")</f>
        <v>#REF!</v>
      </c>
      <c r="IE321" t="e">
        <f>AND('PROG FORMACIÓN TITULADA'!#REF!,"AAAAAG7d/+4=")</f>
        <v>#REF!</v>
      </c>
      <c r="IF321" t="e">
        <f>AND('PROG FORMACIÓN TITULADA'!#REF!,"AAAAAG7d/+8=")</f>
        <v>#REF!</v>
      </c>
      <c r="IG321" t="e">
        <f>AND('PROG FORMACIÓN TITULADA'!#REF!,"AAAAAG7d//A=")</f>
        <v>#REF!</v>
      </c>
      <c r="IH321" t="e">
        <f>IF('PROG FORMACIÓN TITULADA'!#REF!,"AAAAAG7d//E=",0)</f>
        <v>#REF!</v>
      </c>
      <c r="II321" t="e">
        <f>AND('PROG FORMACIÓN TITULADA'!#REF!,"AAAAAG7d//I=")</f>
        <v>#REF!</v>
      </c>
      <c r="IJ321" t="e">
        <f>AND('PROG FORMACIÓN TITULADA'!#REF!,"AAAAAG7d//M=")</f>
        <v>#REF!</v>
      </c>
      <c r="IK321" t="e">
        <f>AND('PROG FORMACIÓN TITULADA'!#REF!,"AAAAAG7d//Q=")</f>
        <v>#REF!</v>
      </c>
      <c r="IL321" t="e">
        <f>AND('PROG FORMACIÓN TITULADA'!#REF!,"AAAAAG7d//U=")</f>
        <v>#REF!</v>
      </c>
      <c r="IM321" t="e">
        <f>AND('PROG FORMACIÓN TITULADA'!#REF!,"AAAAAG7d//Y=")</f>
        <v>#REF!</v>
      </c>
      <c r="IN321" t="e">
        <f>AND('PROG FORMACIÓN TITULADA'!#REF!,"AAAAAG7d//c=")</f>
        <v>#REF!</v>
      </c>
      <c r="IO321" t="e">
        <f>AND('PROG FORMACIÓN TITULADA'!#REF!,"AAAAAG7d//g=")</f>
        <v>#REF!</v>
      </c>
      <c r="IP321" t="e">
        <f>AND('PROG FORMACIÓN TITULADA'!#REF!,"AAAAAG7d//k=")</f>
        <v>#REF!</v>
      </c>
      <c r="IQ321" t="e">
        <f>AND('PROG FORMACIÓN TITULADA'!#REF!,"AAAAAG7d//o=")</f>
        <v>#REF!</v>
      </c>
      <c r="IR321" t="e">
        <f>AND('PROG FORMACIÓN TITULADA'!#REF!,"AAAAAG7d//s=")</f>
        <v>#REF!</v>
      </c>
      <c r="IS321" t="e">
        <f>AND('PROG FORMACIÓN TITULADA'!#REF!,"AAAAAG7d//w=")</f>
        <v>#REF!</v>
      </c>
      <c r="IT321" t="e">
        <f>AND('PROG FORMACIÓN TITULADA'!#REF!,"AAAAAG7d//0=")</f>
        <v>#REF!</v>
      </c>
      <c r="IU321" t="e">
        <f>AND('PROG FORMACIÓN TITULADA'!#REF!,"AAAAAG7d//4=")</f>
        <v>#REF!</v>
      </c>
      <c r="IV321" t="e">
        <f>AND('PROG FORMACIÓN TITULADA'!#REF!,"AAAAAG7d//8=")</f>
        <v>#REF!</v>
      </c>
    </row>
    <row r="322" spans="1:256" x14ac:dyDescent="0.2">
      <c r="A322" t="e">
        <f>AND('PROG FORMACIÓN TITULADA'!#REF!,"AAAAAH/u3gA=")</f>
        <v>#REF!</v>
      </c>
      <c r="B322" t="e">
        <f>AND('PROG FORMACIÓN TITULADA'!#REF!,"AAAAAH/u3gE=")</f>
        <v>#REF!</v>
      </c>
      <c r="C322" t="e">
        <f>AND('PROG FORMACIÓN TITULADA'!#REF!,"AAAAAH/u3gI=")</f>
        <v>#REF!</v>
      </c>
      <c r="D322" t="e">
        <f>AND('PROG FORMACIÓN TITULADA'!#REF!,"AAAAAH/u3gM=")</f>
        <v>#REF!</v>
      </c>
      <c r="E322" t="e">
        <f>AND('PROG FORMACIÓN TITULADA'!#REF!,"AAAAAH/u3gQ=")</f>
        <v>#REF!</v>
      </c>
      <c r="F322" t="e">
        <f>AND('PROG FORMACIÓN TITULADA'!#REF!,"AAAAAH/u3gU=")</f>
        <v>#REF!</v>
      </c>
      <c r="G322" t="e">
        <f>AND('PROG FORMACIÓN TITULADA'!#REF!,"AAAAAH/u3gY=")</f>
        <v>#REF!</v>
      </c>
      <c r="H322" t="e">
        <f>AND('PROG FORMACIÓN TITULADA'!#REF!,"AAAAAH/u3gc=")</f>
        <v>#REF!</v>
      </c>
      <c r="I322" t="e">
        <f>AND('PROG FORMACIÓN TITULADA'!#REF!,"AAAAAH/u3gg=")</f>
        <v>#REF!</v>
      </c>
      <c r="J322" t="e">
        <f>AND('PROG FORMACIÓN TITULADA'!#REF!,"AAAAAH/u3gk=")</f>
        <v>#REF!</v>
      </c>
      <c r="K322" t="e">
        <f>AND('PROG FORMACIÓN TITULADA'!#REF!,"AAAAAH/u3go=")</f>
        <v>#REF!</v>
      </c>
      <c r="L322" t="e">
        <f>AND('PROG FORMACIÓN TITULADA'!#REF!,"AAAAAH/u3gs=")</f>
        <v>#REF!</v>
      </c>
      <c r="M322" t="e">
        <f>IF('PROG FORMACIÓN TITULADA'!#REF!,"AAAAAH/u3gw=",0)</f>
        <v>#REF!</v>
      </c>
      <c r="N322" t="e">
        <f>AND('PROG FORMACIÓN TITULADA'!#REF!,"AAAAAH/u3g0=")</f>
        <v>#REF!</v>
      </c>
      <c r="O322" t="e">
        <f>AND('PROG FORMACIÓN TITULADA'!#REF!,"AAAAAH/u3g4=")</f>
        <v>#REF!</v>
      </c>
      <c r="P322" t="e">
        <f>AND('PROG FORMACIÓN TITULADA'!#REF!,"AAAAAH/u3g8=")</f>
        <v>#REF!</v>
      </c>
      <c r="Q322" t="e">
        <f>AND('PROG FORMACIÓN TITULADA'!#REF!,"AAAAAH/u3hA=")</f>
        <v>#REF!</v>
      </c>
      <c r="R322" t="e">
        <f>AND('PROG FORMACIÓN TITULADA'!#REF!,"AAAAAH/u3hE=")</f>
        <v>#REF!</v>
      </c>
      <c r="S322" t="e">
        <f>AND('PROG FORMACIÓN TITULADA'!#REF!,"AAAAAH/u3hI=")</f>
        <v>#REF!</v>
      </c>
      <c r="T322" t="e">
        <f>AND('PROG FORMACIÓN TITULADA'!#REF!,"AAAAAH/u3hM=")</f>
        <v>#REF!</v>
      </c>
      <c r="U322" t="e">
        <f>AND('PROG FORMACIÓN TITULADA'!#REF!,"AAAAAH/u3hQ=")</f>
        <v>#REF!</v>
      </c>
      <c r="V322" t="e">
        <f>AND('PROG FORMACIÓN TITULADA'!#REF!,"AAAAAH/u3hU=")</f>
        <v>#REF!</v>
      </c>
      <c r="W322" t="e">
        <f>AND('PROG FORMACIÓN TITULADA'!#REF!,"AAAAAH/u3hY=")</f>
        <v>#REF!</v>
      </c>
      <c r="X322" t="e">
        <f>AND('PROG FORMACIÓN TITULADA'!#REF!,"AAAAAH/u3hc=")</f>
        <v>#REF!</v>
      </c>
      <c r="Y322" t="e">
        <f>AND('PROG FORMACIÓN TITULADA'!#REF!,"AAAAAH/u3hg=")</f>
        <v>#REF!</v>
      </c>
      <c r="Z322" t="e">
        <f>AND('PROG FORMACIÓN TITULADA'!#REF!,"AAAAAH/u3hk=")</f>
        <v>#REF!</v>
      </c>
      <c r="AA322" t="e">
        <f>AND('PROG FORMACIÓN TITULADA'!#REF!,"AAAAAH/u3ho=")</f>
        <v>#REF!</v>
      </c>
      <c r="AB322" t="e">
        <f>AND('PROG FORMACIÓN TITULADA'!#REF!,"AAAAAH/u3hs=")</f>
        <v>#REF!</v>
      </c>
      <c r="AC322" t="e">
        <f>AND('PROG FORMACIÓN TITULADA'!#REF!,"AAAAAH/u3hw=")</f>
        <v>#REF!</v>
      </c>
      <c r="AD322" t="e">
        <f>AND('PROG FORMACIÓN TITULADA'!#REF!,"AAAAAH/u3h0=")</f>
        <v>#REF!</v>
      </c>
      <c r="AE322" t="e">
        <f>AND('PROG FORMACIÓN TITULADA'!#REF!,"AAAAAH/u3h4=")</f>
        <v>#REF!</v>
      </c>
      <c r="AF322" t="e">
        <f>AND('PROG FORMACIÓN TITULADA'!#REF!,"AAAAAH/u3h8=")</f>
        <v>#REF!</v>
      </c>
      <c r="AG322" t="e">
        <f>AND('PROG FORMACIÓN TITULADA'!#REF!,"AAAAAH/u3iA=")</f>
        <v>#REF!</v>
      </c>
      <c r="AH322" t="e">
        <f>AND('PROG FORMACIÓN TITULADA'!#REF!,"AAAAAH/u3iE=")</f>
        <v>#REF!</v>
      </c>
      <c r="AI322" t="e">
        <f>AND('PROG FORMACIÓN TITULADA'!#REF!,"AAAAAH/u3iI=")</f>
        <v>#REF!</v>
      </c>
      <c r="AJ322" t="e">
        <f>AND('PROG FORMACIÓN TITULADA'!#REF!,"AAAAAH/u3iM=")</f>
        <v>#REF!</v>
      </c>
      <c r="AK322" t="e">
        <f>AND('PROG FORMACIÓN TITULADA'!#REF!,"AAAAAH/u3iQ=")</f>
        <v>#REF!</v>
      </c>
      <c r="AL322" t="e">
        <f>AND('PROG FORMACIÓN TITULADA'!#REF!,"AAAAAH/u3iU=")</f>
        <v>#REF!</v>
      </c>
      <c r="AM322" t="e">
        <f>AND('PROG FORMACIÓN TITULADA'!#REF!,"AAAAAH/u3iY=")</f>
        <v>#REF!</v>
      </c>
      <c r="AN322" t="e">
        <f>IF('PROG FORMACIÓN TITULADA'!#REF!,"AAAAAH/u3ic=",0)</f>
        <v>#REF!</v>
      </c>
      <c r="AO322" t="e">
        <f>AND('PROG FORMACIÓN TITULADA'!#REF!,"AAAAAH/u3ig=")</f>
        <v>#REF!</v>
      </c>
      <c r="AP322" t="e">
        <f>AND('PROG FORMACIÓN TITULADA'!#REF!,"AAAAAH/u3ik=")</f>
        <v>#REF!</v>
      </c>
      <c r="AQ322" t="e">
        <f>AND('PROG FORMACIÓN TITULADA'!#REF!,"AAAAAH/u3io=")</f>
        <v>#REF!</v>
      </c>
      <c r="AR322" t="e">
        <f>AND('PROG FORMACIÓN TITULADA'!#REF!,"AAAAAH/u3is=")</f>
        <v>#REF!</v>
      </c>
      <c r="AS322" t="e">
        <f>AND('PROG FORMACIÓN TITULADA'!#REF!,"AAAAAH/u3iw=")</f>
        <v>#REF!</v>
      </c>
      <c r="AT322" t="e">
        <f>AND('PROG FORMACIÓN TITULADA'!#REF!,"AAAAAH/u3i0=")</f>
        <v>#REF!</v>
      </c>
      <c r="AU322" t="e">
        <f>AND('PROG FORMACIÓN TITULADA'!#REF!,"AAAAAH/u3i4=")</f>
        <v>#REF!</v>
      </c>
      <c r="AV322" t="e">
        <f>AND('PROG FORMACIÓN TITULADA'!#REF!,"AAAAAH/u3i8=")</f>
        <v>#REF!</v>
      </c>
      <c r="AW322" t="e">
        <f>AND('PROG FORMACIÓN TITULADA'!#REF!,"AAAAAH/u3jA=")</f>
        <v>#REF!</v>
      </c>
      <c r="AX322" t="e">
        <f>AND('PROG FORMACIÓN TITULADA'!#REF!,"AAAAAH/u3jE=")</f>
        <v>#REF!</v>
      </c>
      <c r="AY322" t="e">
        <f>AND('PROG FORMACIÓN TITULADA'!#REF!,"AAAAAH/u3jI=")</f>
        <v>#REF!</v>
      </c>
      <c r="AZ322" t="e">
        <f>AND('PROG FORMACIÓN TITULADA'!#REF!,"AAAAAH/u3jM=")</f>
        <v>#REF!</v>
      </c>
      <c r="BA322" t="e">
        <f>AND('PROG FORMACIÓN TITULADA'!#REF!,"AAAAAH/u3jQ=")</f>
        <v>#REF!</v>
      </c>
      <c r="BB322" t="e">
        <f>AND('PROG FORMACIÓN TITULADA'!#REF!,"AAAAAH/u3jU=")</f>
        <v>#REF!</v>
      </c>
      <c r="BC322" t="e">
        <f>AND('PROG FORMACIÓN TITULADA'!#REF!,"AAAAAH/u3jY=")</f>
        <v>#REF!</v>
      </c>
      <c r="BD322" t="e">
        <f>AND('PROG FORMACIÓN TITULADA'!#REF!,"AAAAAH/u3jc=")</f>
        <v>#REF!</v>
      </c>
      <c r="BE322" t="e">
        <f>AND('PROG FORMACIÓN TITULADA'!#REF!,"AAAAAH/u3jg=")</f>
        <v>#REF!</v>
      </c>
      <c r="BF322" t="e">
        <f>AND('PROG FORMACIÓN TITULADA'!#REF!,"AAAAAH/u3jk=")</f>
        <v>#REF!</v>
      </c>
      <c r="BG322" t="e">
        <f>AND('PROG FORMACIÓN TITULADA'!#REF!,"AAAAAH/u3jo=")</f>
        <v>#REF!</v>
      </c>
      <c r="BH322" t="e">
        <f>AND('PROG FORMACIÓN TITULADA'!#REF!,"AAAAAH/u3js=")</f>
        <v>#REF!</v>
      </c>
      <c r="BI322" t="e">
        <f>AND('PROG FORMACIÓN TITULADA'!#REF!,"AAAAAH/u3jw=")</f>
        <v>#REF!</v>
      </c>
      <c r="BJ322" t="e">
        <f>AND('PROG FORMACIÓN TITULADA'!#REF!,"AAAAAH/u3j0=")</f>
        <v>#REF!</v>
      </c>
      <c r="BK322" t="e">
        <f>AND('PROG FORMACIÓN TITULADA'!#REF!,"AAAAAH/u3j4=")</f>
        <v>#REF!</v>
      </c>
      <c r="BL322" t="e">
        <f>AND('PROG FORMACIÓN TITULADA'!#REF!,"AAAAAH/u3j8=")</f>
        <v>#REF!</v>
      </c>
      <c r="BM322" t="e">
        <f>AND('PROG FORMACIÓN TITULADA'!#REF!,"AAAAAH/u3kA=")</f>
        <v>#REF!</v>
      </c>
      <c r="BN322" t="e">
        <f>AND('PROG FORMACIÓN TITULADA'!#REF!,"AAAAAH/u3kE=")</f>
        <v>#REF!</v>
      </c>
      <c r="BO322" t="e">
        <f>IF('PROG FORMACIÓN TITULADA'!#REF!,"AAAAAH/u3kI=",0)</f>
        <v>#REF!</v>
      </c>
      <c r="BP322" t="e">
        <f>AND('PROG FORMACIÓN TITULADA'!#REF!,"AAAAAH/u3kM=")</f>
        <v>#REF!</v>
      </c>
      <c r="BQ322" t="e">
        <f>AND('PROG FORMACIÓN TITULADA'!#REF!,"AAAAAH/u3kQ=")</f>
        <v>#REF!</v>
      </c>
      <c r="BR322" t="e">
        <f>AND('PROG FORMACIÓN TITULADA'!#REF!,"AAAAAH/u3kU=")</f>
        <v>#REF!</v>
      </c>
      <c r="BS322" t="e">
        <f>AND('PROG FORMACIÓN TITULADA'!#REF!,"AAAAAH/u3kY=")</f>
        <v>#REF!</v>
      </c>
      <c r="BT322" t="e">
        <f>AND('PROG FORMACIÓN TITULADA'!#REF!,"AAAAAH/u3kc=")</f>
        <v>#REF!</v>
      </c>
      <c r="BU322" t="e">
        <f>AND('PROG FORMACIÓN TITULADA'!#REF!,"AAAAAH/u3kg=")</f>
        <v>#REF!</v>
      </c>
      <c r="BV322" t="e">
        <f>AND('PROG FORMACIÓN TITULADA'!#REF!,"AAAAAH/u3kk=")</f>
        <v>#REF!</v>
      </c>
      <c r="BW322" t="e">
        <f>AND('PROG FORMACIÓN TITULADA'!#REF!,"AAAAAH/u3ko=")</f>
        <v>#REF!</v>
      </c>
      <c r="BX322" t="e">
        <f>AND('PROG FORMACIÓN TITULADA'!#REF!,"AAAAAH/u3ks=")</f>
        <v>#REF!</v>
      </c>
      <c r="BY322" t="e">
        <f>AND('PROG FORMACIÓN TITULADA'!#REF!,"AAAAAH/u3kw=")</f>
        <v>#REF!</v>
      </c>
      <c r="BZ322" t="e">
        <f>AND('PROG FORMACIÓN TITULADA'!#REF!,"AAAAAH/u3k0=")</f>
        <v>#REF!</v>
      </c>
      <c r="CA322" t="e">
        <f>AND('PROG FORMACIÓN TITULADA'!#REF!,"AAAAAH/u3k4=")</f>
        <v>#REF!</v>
      </c>
      <c r="CB322" t="e">
        <f>AND('PROG FORMACIÓN TITULADA'!#REF!,"AAAAAH/u3k8=")</f>
        <v>#REF!</v>
      </c>
      <c r="CC322" t="e">
        <f>AND('PROG FORMACIÓN TITULADA'!#REF!,"AAAAAH/u3lA=")</f>
        <v>#REF!</v>
      </c>
      <c r="CD322" t="e">
        <f>AND('PROG FORMACIÓN TITULADA'!#REF!,"AAAAAH/u3lE=")</f>
        <v>#REF!</v>
      </c>
      <c r="CE322" t="e">
        <f>AND('PROG FORMACIÓN TITULADA'!#REF!,"AAAAAH/u3lI=")</f>
        <v>#REF!</v>
      </c>
      <c r="CF322" t="e">
        <f>AND('PROG FORMACIÓN TITULADA'!#REF!,"AAAAAH/u3lM=")</f>
        <v>#REF!</v>
      </c>
      <c r="CG322" t="e">
        <f>AND('PROG FORMACIÓN TITULADA'!#REF!,"AAAAAH/u3lQ=")</f>
        <v>#REF!</v>
      </c>
      <c r="CH322" t="e">
        <f>AND('PROG FORMACIÓN TITULADA'!#REF!,"AAAAAH/u3lU=")</f>
        <v>#REF!</v>
      </c>
      <c r="CI322" t="e">
        <f>AND('PROG FORMACIÓN TITULADA'!#REF!,"AAAAAH/u3lY=")</f>
        <v>#REF!</v>
      </c>
      <c r="CJ322" t="e">
        <f>AND('PROG FORMACIÓN TITULADA'!#REF!,"AAAAAH/u3lc=")</f>
        <v>#REF!</v>
      </c>
      <c r="CK322" t="e">
        <f>AND('PROG FORMACIÓN TITULADA'!#REF!,"AAAAAH/u3lg=")</f>
        <v>#REF!</v>
      </c>
      <c r="CL322" t="e">
        <f>AND('PROG FORMACIÓN TITULADA'!#REF!,"AAAAAH/u3lk=")</f>
        <v>#REF!</v>
      </c>
      <c r="CM322" t="e">
        <f>AND('PROG FORMACIÓN TITULADA'!#REF!,"AAAAAH/u3lo=")</f>
        <v>#REF!</v>
      </c>
      <c r="CN322" t="e">
        <f>AND('PROG FORMACIÓN TITULADA'!#REF!,"AAAAAH/u3ls=")</f>
        <v>#REF!</v>
      </c>
      <c r="CO322" t="e">
        <f>AND('PROG FORMACIÓN TITULADA'!#REF!,"AAAAAH/u3lw=")</f>
        <v>#REF!</v>
      </c>
      <c r="CP322" t="e">
        <f>IF('PROG FORMACIÓN TITULADA'!#REF!,"AAAAAH/u3l0=",0)</f>
        <v>#REF!</v>
      </c>
      <c r="CQ322" t="e">
        <f>AND('PROG FORMACIÓN TITULADA'!#REF!,"AAAAAH/u3l4=")</f>
        <v>#REF!</v>
      </c>
      <c r="CR322" t="e">
        <f>AND('PROG FORMACIÓN TITULADA'!#REF!,"AAAAAH/u3l8=")</f>
        <v>#REF!</v>
      </c>
      <c r="CS322" t="e">
        <f>AND('PROG FORMACIÓN TITULADA'!#REF!,"AAAAAH/u3mA=")</f>
        <v>#REF!</v>
      </c>
      <c r="CT322" t="e">
        <f>AND('PROG FORMACIÓN TITULADA'!#REF!,"AAAAAH/u3mE=")</f>
        <v>#REF!</v>
      </c>
      <c r="CU322" t="e">
        <f>AND('PROG FORMACIÓN TITULADA'!#REF!,"AAAAAH/u3mI=")</f>
        <v>#REF!</v>
      </c>
      <c r="CV322" t="e">
        <f>AND('PROG FORMACIÓN TITULADA'!#REF!,"AAAAAH/u3mM=")</f>
        <v>#REF!</v>
      </c>
      <c r="CW322" t="e">
        <f>AND('PROG FORMACIÓN TITULADA'!#REF!,"AAAAAH/u3mQ=")</f>
        <v>#REF!</v>
      </c>
      <c r="CX322" t="e">
        <f>AND('PROG FORMACIÓN TITULADA'!#REF!,"AAAAAH/u3mU=")</f>
        <v>#REF!</v>
      </c>
      <c r="CY322" t="e">
        <f>AND('PROG FORMACIÓN TITULADA'!#REF!,"AAAAAH/u3mY=")</f>
        <v>#REF!</v>
      </c>
      <c r="CZ322" t="e">
        <f>AND('PROG FORMACIÓN TITULADA'!#REF!,"AAAAAH/u3mc=")</f>
        <v>#REF!</v>
      </c>
      <c r="DA322" t="e">
        <f>AND('PROG FORMACIÓN TITULADA'!#REF!,"AAAAAH/u3mg=")</f>
        <v>#REF!</v>
      </c>
      <c r="DB322" t="e">
        <f>AND('PROG FORMACIÓN TITULADA'!#REF!,"AAAAAH/u3mk=")</f>
        <v>#REF!</v>
      </c>
      <c r="DC322" t="e">
        <f>AND('PROG FORMACIÓN TITULADA'!#REF!,"AAAAAH/u3mo=")</f>
        <v>#REF!</v>
      </c>
      <c r="DD322" t="e">
        <f>AND('PROG FORMACIÓN TITULADA'!#REF!,"AAAAAH/u3ms=")</f>
        <v>#REF!</v>
      </c>
      <c r="DE322" t="e">
        <f>AND('PROG FORMACIÓN TITULADA'!#REF!,"AAAAAH/u3mw=")</f>
        <v>#REF!</v>
      </c>
      <c r="DF322" t="e">
        <f>AND('PROG FORMACIÓN TITULADA'!#REF!,"AAAAAH/u3m0=")</f>
        <v>#REF!</v>
      </c>
      <c r="DG322" t="e">
        <f>AND('PROG FORMACIÓN TITULADA'!#REF!,"AAAAAH/u3m4=")</f>
        <v>#REF!</v>
      </c>
      <c r="DH322" t="e">
        <f>AND('PROG FORMACIÓN TITULADA'!#REF!,"AAAAAH/u3m8=")</f>
        <v>#REF!</v>
      </c>
      <c r="DI322" t="e">
        <f>AND('PROG FORMACIÓN TITULADA'!#REF!,"AAAAAH/u3nA=")</f>
        <v>#REF!</v>
      </c>
      <c r="DJ322" t="e">
        <f>AND('PROG FORMACIÓN TITULADA'!#REF!,"AAAAAH/u3nE=")</f>
        <v>#REF!</v>
      </c>
      <c r="DK322" t="e">
        <f>AND('PROG FORMACIÓN TITULADA'!#REF!,"AAAAAH/u3nI=")</f>
        <v>#REF!</v>
      </c>
      <c r="DL322" t="e">
        <f>AND('PROG FORMACIÓN TITULADA'!#REF!,"AAAAAH/u3nM=")</f>
        <v>#REF!</v>
      </c>
      <c r="DM322" t="e">
        <f>AND('PROG FORMACIÓN TITULADA'!#REF!,"AAAAAH/u3nQ=")</f>
        <v>#REF!</v>
      </c>
      <c r="DN322" t="e">
        <f>AND('PROG FORMACIÓN TITULADA'!#REF!,"AAAAAH/u3nU=")</f>
        <v>#REF!</v>
      </c>
      <c r="DO322" t="e">
        <f>AND('PROG FORMACIÓN TITULADA'!#REF!,"AAAAAH/u3nY=")</f>
        <v>#REF!</v>
      </c>
      <c r="DP322" t="e">
        <f>AND('PROG FORMACIÓN TITULADA'!#REF!,"AAAAAH/u3nc=")</f>
        <v>#REF!</v>
      </c>
      <c r="DQ322" t="e">
        <f>IF('PROG FORMACIÓN TITULADA'!#REF!,"AAAAAH/u3ng=",0)</f>
        <v>#REF!</v>
      </c>
      <c r="DR322" t="e">
        <f>AND('PROG FORMACIÓN TITULADA'!#REF!,"AAAAAH/u3nk=")</f>
        <v>#REF!</v>
      </c>
      <c r="DS322" t="e">
        <f>AND('PROG FORMACIÓN TITULADA'!#REF!,"AAAAAH/u3no=")</f>
        <v>#REF!</v>
      </c>
      <c r="DT322" t="e">
        <f>AND('PROG FORMACIÓN TITULADA'!#REF!,"AAAAAH/u3ns=")</f>
        <v>#REF!</v>
      </c>
      <c r="DU322" t="e">
        <f>AND('PROG FORMACIÓN TITULADA'!#REF!,"AAAAAH/u3nw=")</f>
        <v>#REF!</v>
      </c>
      <c r="DV322" t="e">
        <f>AND('PROG FORMACIÓN TITULADA'!#REF!,"AAAAAH/u3n0=")</f>
        <v>#REF!</v>
      </c>
      <c r="DW322" t="e">
        <f>AND('PROG FORMACIÓN TITULADA'!#REF!,"AAAAAH/u3n4=")</f>
        <v>#REF!</v>
      </c>
      <c r="DX322" t="e">
        <f>AND('PROG FORMACIÓN TITULADA'!#REF!,"AAAAAH/u3n8=")</f>
        <v>#REF!</v>
      </c>
      <c r="DY322" t="e">
        <f>AND('PROG FORMACIÓN TITULADA'!#REF!,"AAAAAH/u3oA=")</f>
        <v>#REF!</v>
      </c>
      <c r="DZ322" t="e">
        <f>AND('PROG FORMACIÓN TITULADA'!#REF!,"AAAAAH/u3oE=")</f>
        <v>#REF!</v>
      </c>
      <c r="EA322" t="e">
        <f>AND('PROG FORMACIÓN TITULADA'!#REF!,"AAAAAH/u3oI=")</f>
        <v>#REF!</v>
      </c>
      <c r="EB322" t="e">
        <f>AND('PROG FORMACIÓN TITULADA'!#REF!,"AAAAAH/u3oM=")</f>
        <v>#REF!</v>
      </c>
      <c r="EC322" t="e">
        <f>AND('PROG FORMACIÓN TITULADA'!#REF!,"AAAAAH/u3oQ=")</f>
        <v>#REF!</v>
      </c>
      <c r="ED322" t="e">
        <f>AND('PROG FORMACIÓN TITULADA'!#REF!,"AAAAAH/u3oU=")</f>
        <v>#REF!</v>
      </c>
      <c r="EE322" t="e">
        <f>AND('PROG FORMACIÓN TITULADA'!#REF!,"AAAAAH/u3oY=")</f>
        <v>#REF!</v>
      </c>
      <c r="EF322" t="e">
        <f>AND('PROG FORMACIÓN TITULADA'!#REF!,"AAAAAH/u3oc=")</f>
        <v>#REF!</v>
      </c>
      <c r="EG322" t="e">
        <f>AND('PROG FORMACIÓN TITULADA'!#REF!,"AAAAAH/u3og=")</f>
        <v>#REF!</v>
      </c>
      <c r="EH322" t="e">
        <f>AND('PROG FORMACIÓN TITULADA'!#REF!,"AAAAAH/u3ok=")</f>
        <v>#REF!</v>
      </c>
      <c r="EI322" t="e">
        <f>AND('PROG FORMACIÓN TITULADA'!#REF!,"AAAAAH/u3oo=")</f>
        <v>#REF!</v>
      </c>
      <c r="EJ322" t="e">
        <f>AND('PROG FORMACIÓN TITULADA'!#REF!,"AAAAAH/u3os=")</f>
        <v>#REF!</v>
      </c>
      <c r="EK322" t="e">
        <f>AND('PROG FORMACIÓN TITULADA'!#REF!,"AAAAAH/u3ow=")</f>
        <v>#REF!</v>
      </c>
      <c r="EL322" t="e">
        <f>AND('PROG FORMACIÓN TITULADA'!#REF!,"AAAAAH/u3o0=")</f>
        <v>#REF!</v>
      </c>
      <c r="EM322" t="e">
        <f>AND('PROG FORMACIÓN TITULADA'!#REF!,"AAAAAH/u3o4=")</f>
        <v>#REF!</v>
      </c>
      <c r="EN322" t="e">
        <f>AND('PROG FORMACIÓN TITULADA'!#REF!,"AAAAAH/u3o8=")</f>
        <v>#REF!</v>
      </c>
      <c r="EO322" t="e">
        <f>AND('PROG FORMACIÓN TITULADA'!#REF!,"AAAAAH/u3pA=")</f>
        <v>#REF!</v>
      </c>
      <c r="EP322" t="e">
        <f>AND('PROG FORMACIÓN TITULADA'!#REF!,"AAAAAH/u3pE=")</f>
        <v>#REF!</v>
      </c>
      <c r="EQ322" t="e">
        <f>AND('PROG FORMACIÓN TITULADA'!#REF!,"AAAAAH/u3pI=")</f>
        <v>#REF!</v>
      </c>
      <c r="ER322" t="e">
        <f>IF('PROG FORMACIÓN TITULADA'!#REF!,"AAAAAH/u3pM=",0)</f>
        <v>#REF!</v>
      </c>
      <c r="ES322" t="e">
        <f>AND('PROG FORMACIÓN TITULADA'!#REF!,"AAAAAH/u3pQ=")</f>
        <v>#REF!</v>
      </c>
      <c r="ET322" t="e">
        <f>AND('PROG FORMACIÓN TITULADA'!#REF!,"AAAAAH/u3pU=")</f>
        <v>#REF!</v>
      </c>
      <c r="EU322" t="e">
        <f>AND('PROG FORMACIÓN TITULADA'!#REF!,"AAAAAH/u3pY=")</f>
        <v>#REF!</v>
      </c>
      <c r="EV322" t="e">
        <f>AND('PROG FORMACIÓN TITULADA'!#REF!,"AAAAAH/u3pc=")</f>
        <v>#REF!</v>
      </c>
      <c r="EW322" t="e">
        <f>AND('PROG FORMACIÓN TITULADA'!#REF!,"AAAAAH/u3pg=")</f>
        <v>#REF!</v>
      </c>
      <c r="EX322" t="e">
        <f>AND('PROG FORMACIÓN TITULADA'!#REF!,"AAAAAH/u3pk=")</f>
        <v>#REF!</v>
      </c>
      <c r="EY322" t="e">
        <f>AND('PROG FORMACIÓN TITULADA'!#REF!,"AAAAAH/u3po=")</f>
        <v>#REF!</v>
      </c>
      <c r="EZ322" t="e">
        <f>AND('PROG FORMACIÓN TITULADA'!#REF!,"AAAAAH/u3ps=")</f>
        <v>#REF!</v>
      </c>
      <c r="FA322" t="e">
        <f>AND('PROG FORMACIÓN TITULADA'!#REF!,"AAAAAH/u3pw=")</f>
        <v>#REF!</v>
      </c>
      <c r="FB322" t="e">
        <f>AND('PROG FORMACIÓN TITULADA'!#REF!,"AAAAAH/u3p0=")</f>
        <v>#REF!</v>
      </c>
      <c r="FC322" t="e">
        <f>AND('PROG FORMACIÓN TITULADA'!#REF!,"AAAAAH/u3p4=")</f>
        <v>#REF!</v>
      </c>
      <c r="FD322" t="e">
        <f>AND('PROG FORMACIÓN TITULADA'!#REF!,"AAAAAH/u3p8=")</f>
        <v>#REF!</v>
      </c>
      <c r="FE322" t="e">
        <f>AND('PROG FORMACIÓN TITULADA'!#REF!,"AAAAAH/u3qA=")</f>
        <v>#REF!</v>
      </c>
      <c r="FF322" t="e">
        <f>AND('PROG FORMACIÓN TITULADA'!#REF!,"AAAAAH/u3qE=")</f>
        <v>#REF!</v>
      </c>
      <c r="FG322" t="e">
        <f>AND('PROG FORMACIÓN TITULADA'!#REF!,"AAAAAH/u3qI=")</f>
        <v>#REF!</v>
      </c>
      <c r="FH322" t="e">
        <f>AND('PROG FORMACIÓN TITULADA'!#REF!,"AAAAAH/u3qM=")</f>
        <v>#REF!</v>
      </c>
      <c r="FI322" t="e">
        <f>AND('PROG FORMACIÓN TITULADA'!#REF!,"AAAAAH/u3qQ=")</f>
        <v>#REF!</v>
      </c>
      <c r="FJ322" t="e">
        <f>AND('PROG FORMACIÓN TITULADA'!#REF!,"AAAAAH/u3qU=")</f>
        <v>#REF!</v>
      </c>
      <c r="FK322" t="e">
        <f>AND('PROG FORMACIÓN TITULADA'!#REF!,"AAAAAH/u3qY=")</f>
        <v>#REF!</v>
      </c>
      <c r="FL322" t="e">
        <f>AND('PROG FORMACIÓN TITULADA'!#REF!,"AAAAAH/u3qc=")</f>
        <v>#REF!</v>
      </c>
      <c r="FM322" t="e">
        <f>AND('PROG FORMACIÓN TITULADA'!#REF!,"AAAAAH/u3qg=")</f>
        <v>#REF!</v>
      </c>
      <c r="FN322" t="e">
        <f>AND('PROG FORMACIÓN TITULADA'!#REF!,"AAAAAH/u3qk=")</f>
        <v>#REF!</v>
      </c>
      <c r="FO322" t="e">
        <f>AND('PROG FORMACIÓN TITULADA'!#REF!,"AAAAAH/u3qo=")</f>
        <v>#REF!</v>
      </c>
      <c r="FP322" t="e">
        <f>AND('PROG FORMACIÓN TITULADA'!#REF!,"AAAAAH/u3qs=")</f>
        <v>#REF!</v>
      </c>
      <c r="FQ322" t="e">
        <f>AND('PROG FORMACIÓN TITULADA'!#REF!,"AAAAAH/u3qw=")</f>
        <v>#REF!</v>
      </c>
      <c r="FR322" t="e">
        <f>AND('PROG FORMACIÓN TITULADA'!#REF!,"AAAAAH/u3q0=")</f>
        <v>#REF!</v>
      </c>
      <c r="FS322" t="e">
        <f>IF('PROG FORMACIÓN TITULADA'!#REF!,"AAAAAH/u3q4=",0)</f>
        <v>#REF!</v>
      </c>
      <c r="FT322" t="e">
        <f>AND('PROG FORMACIÓN TITULADA'!#REF!,"AAAAAH/u3q8=")</f>
        <v>#REF!</v>
      </c>
      <c r="FU322" t="e">
        <f>AND('PROG FORMACIÓN TITULADA'!#REF!,"AAAAAH/u3rA=")</f>
        <v>#REF!</v>
      </c>
      <c r="FV322" t="e">
        <f>AND('PROG FORMACIÓN TITULADA'!#REF!,"AAAAAH/u3rE=")</f>
        <v>#REF!</v>
      </c>
      <c r="FW322" t="e">
        <f>AND('PROG FORMACIÓN TITULADA'!#REF!,"AAAAAH/u3rI=")</f>
        <v>#REF!</v>
      </c>
      <c r="FX322" t="e">
        <f>AND('PROG FORMACIÓN TITULADA'!#REF!,"AAAAAH/u3rM=")</f>
        <v>#REF!</v>
      </c>
      <c r="FY322" t="e">
        <f>AND('PROG FORMACIÓN TITULADA'!#REF!,"AAAAAH/u3rQ=")</f>
        <v>#REF!</v>
      </c>
      <c r="FZ322" t="e">
        <f>AND('PROG FORMACIÓN TITULADA'!#REF!,"AAAAAH/u3rU=")</f>
        <v>#REF!</v>
      </c>
      <c r="GA322" t="e">
        <f>AND('PROG FORMACIÓN TITULADA'!#REF!,"AAAAAH/u3rY=")</f>
        <v>#REF!</v>
      </c>
      <c r="GB322" t="e">
        <f>AND('PROG FORMACIÓN TITULADA'!#REF!,"AAAAAH/u3rc=")</f>
        <v>#REF!</v>
      </c>
      <c r="GC322" t="e">
        <f>AND('PROG FORMACIÓN TITULADA'!#REF!,"AAAAAH/u3rg=")</f>
        <v>#REF!</v>
      </c>
      <c r="GD322" t="e">
        <f>AND('PROG FORMACIÓN TITULADA'!#REF!,"AAAAAH/u3rk=")</f>
        <v>#REF!</v>
      </c>
      <c r="GE322" t="e">
        <f>AND('PROG FORMACIÓN TITULADA'!#REF!,"AAAAAH/u3ro=")</f>
        <v>#REF!</v>
      </c>
      <c r="GF322" t="e">
        <f>AND('PROG FORMACIÓN TITULADA'!#REF!,"AAAAAH/u3rs=")</f>
        <v>#REF!</v>
      </c>
      <c r="GG322" t="e">
        <f>AND('PROG FORMACIÓN TITULADA'!#REF!,"AAAAAH/u3rw=")</f>
        <v>#REF!</v>
      </c>
      <c r="GH322" t="e">
        <f>AND('PROG FORMACIÓN TITULADA'!#REF!,"AAAAAH/u3r0=")</f>
        <v>#REF!</v>
      </c>
      <c r="GI322" t="e">
        <f>AND('PROG FORMACIÓN TITULADA'!#REF!,"AAAAAH/u3r4=")</f>
        <v>#REF!</v>
      </c>
      <c r="GJ322" t="e">
        <f>AND('PROG FORMACIÓN TITULADA'!#REF!,"AAAAAH/u3r8=")</f>
        <v>#REF!</v>
      </c>
      <c r="GK322" t="e">
        <f>AND('PROG FORMACIÓN TITULADA'!#REF!,"AAAAAH/u3sA=")</f>
        <v>#REF!</v>
      </c>
      <c r="GL322" t="e">
        <f>AND('PROG FORMACIÓN TITULADA'!#REF!,"AAAAAH/u3sE=")</f>
        <v>#REF!</v>
      </c>
      <c r="GM322" t="e">
        <f>AND('PROG FORMACIÓN TITULADA'!#REF!,"AAAAAH/u3sI=")</f>
        <v>#REF!</v>
      </c>
      <c r="GN322" t="e">
        <f>AND('PROG FORMACIÓN TITULADA'!#REF!,"AAAAAH/u3sM=")</f>
        <v>#REF!</v>
      </c>
      <c r="GO322" t="e">
        <f>AND('PROG FORMACIÓN TITULADA'!#REF!,"AAAAAH/u3sQ=")</f>
        <v>#REF!</v>
      </c>
      <c r="GP322" t="e">
        <f>AND('PROG FORMACIÓN TITULADA'!#REF!,"AAAAAH/u3sU=")</f>
        <v>#REF!</v>
      </c>
      <c r="GQ322" t="e">
        <f>AND('PROG FORMACIÓN TITULADA'!#REF!,"AAAAAH/u3sY=")</f>
        <v>#REF!</v>
      </c>
      <c r="GR322" t="e">
        <f>AND('PROG FORMACIÓN TITULADA'!#REF!,"AAAAAH/u3sc=")</f>
        <v>#REF!</v>
      </c>
      <c r="GS322" t="e">
        <f>AND('PROG FORMACIÓN TITULADA'!#REF!,"AAAAAH/u3sg=")</f>
        <v>#REF!</v>
      </c>
      <c r="GT322" t="e">
        <f>IF('PROG FORMACIÓN TITULADA'!#REF!,"AAAAAH/u3sk=",0)</f>
        <v>#REF!</v>
      </c>
      <c r="GU322" t="e">
        <f>AND('PROG FORMACIÓN TITULADA'!#REF!,"AAAAAH/u3so=")</f>
        <v>#REF!</v>
      </c>
      <c r="GV322" t="e">
        <f>AND('PROG FORMACIÓN TITULADA'!#REF!,"AAAAAH/u3ss=")</f>
        <v>#REF!</v>
      </c>
      <c r="GW322" t="e">
        <f>AND('PROG FORMACIÓN TITULADA'!#REF!,"AAAAAH/u3sw=")</f>
        <v>#REF!</v>
      </c>
      <c r="GX322" t="e">
        <f>AND('PROG FORMACIÓN TITULADA'!#REF!,"AAAAAH/u3s0=")</f>
        <v>#REF!</v>
      </c>
      <c r="GY322" t="e">
        <f>AND('PROG FORMACIÓN TITULADA'!#REF!,"AAAAAH/u3s4=")</f>
        <v>#REF!</v>
      </c>
      <c r="GZ322" t="e">
        <f>AND('PROG FORMACIÓN TITULADA'!#REF!,"AAAAAH/u3s8=")</f>
        <v>#REF!</v>
      </c>
      <c r="HA322" t="e">
        <f>AND('PROG FORMACIÓN TITULADA'!#REF!,"AAAAAH/u3tA=")</f>
        <v>#REF!</v>
      </c>
      <c r="HB322" t="e">
        <f>AND('PROG FORMACIÓN TITULADA'!#REF!,"AAAAAH/u3tE=")</f>
        <v>#REF!</v>
      </c>
      <c r="HC322" t="e">
        <f>AND('PROG FORMACIÓN TITULADA'!#REF!,"AAAAAH/u3tI=")</f>
        <v>#REF!</v>
      </c>
      <c r="HD322" t="e">
        <f>AND('PROG FORMACIÓN TITULADA'!#REF!,"AAAAAH/u3tM=")</f>
        <v>#REF!</v>
      </c>
      <c r="HE322" t="e">
        <f>AND('PROG FORMACIÓN TITULADA'!#REF!,"AAAAAH/u3tQ=")</f>
        <v>#REF!</v>
      </c>
      <c r="HF322" t="e">
        <f>AND('PROG FORMACIÓN TITULADA'!#REF!,"AAAAAH/u3tU=")</f>
        <v>#REF!</v>
      </c>
      <c r="HG322" t="e">
        <f>AND('PROG FORMACIÓN TITULADA'!#REF!,"AAAAAH/u3tY=")</f>
        <v>#REF!</v>
      </c>
      <c r="HH322" t="e">
        <f>AND('PROG FORMACIÓN TITULADA'!#REF!,"AAAAAH/u3tc=")</f>
        <v>#REF!</v>
      </c>
      <c r="HI322" t="e">
        <f>AND('PROG FORMACIÓN TITULADA'!#REF!,"AAAAAH/u3tg=")</f>
        <v>#REF!</v>
      </c>
      <c r="HJ322" t="e">
        <f>AND('PROG FORMACIÓN TITULADA'!#REF!,"AAAAAH/u3tk=")</f>
        <v>#REF!</v>
      </c>
      <c r="HK322" t="e">
        <f>AND('PROG FORMACIÓN TITULADA'!#REF!,"AAAAAH/u3to=")</f>
        <v>#REF!</v>
      </c>
      <c r="HL322" t="e">
        <f>AND('PROG FORMACIÓN TITULADA'!#REF!,"AAAAAH/u3ts=")</f>
        <v>#REF!</v>
      </c>
      <c r="HM322" t="e">
        <f>AND('PROG FORMACIÓN TITULADA'!#REF!,"AAAAAH/u3tw=")</f>
        <v>#REF!</v>
      </c>
      <c r="HN322" t="e">
        <f>AND('PROG FORMACIÓN TITULADA'!#REF!,"AAAAAH/u3t0=")</f>
        <v>#REF!</v>
      </c>
      <c r="HO322" t="e">
        <f>AND('PROG FORMACIÓN TITULADA'!#REF!,"AAAAAH/u3t4=")</f>
        <v>#REF!</v>
      </c>
      <c r="HP322" t="e">
        <f>AND('PROG FORMACIÓN TITULADA'!#REF!,"AAAAAH/u3t8=")</f>
        <v>#REF!</v>
      </c>
      <c r="HQ322" t="e">
        <f>AND('PROG FORMACIÓN TITULADA'!#REF!,"AAAAAH/u3uA=")</f>
        <v>#REF!</v>
      </c>
      <c r="HR322" t="e">
        <f>AND('PROG FORMACIÓN TITULADA'!#REF!,"AAAAAH/u3uE=")</f>
        <v>#REF!</v>
      </c>
      <c r="HS322" t="e">
        <f>AND('PROG FORMACIÓN TITULADA'!#REF!,"AAAAAH/u3uI=")</f>
        <v>#REF!</v>
      </c>
      <c r="HT322" t="e">
        <f>AND('PROG FORMACIÓN TITULADA'!#REF!,"AAAAAH/u3uM=")</f>
        <v>#REF!</v>
      </c>
      <c r="HU322" t="e">
        <f>IF('PROG FORMACIÓN TITULADA'!#REF!,"AAAAAH/u3uQ=",0)</f>
        <v>#REF!</v>
      </c>
      <c r="HV322" t="e">
        <f>AND('PROG FORMACIÓN TITULADA'!#REF!,"AAAAAH/u3uU=")</f>
        <v>#REF!</v>
      </c>
      <c r="HW322" t="e">
        <f>AND('PROG FORMACIÓN TITULADA'!#REF!,"AAAAAH/u3uY=")</f>
        <v>#REF!</v>
      </c>
      <c r="HX322" t="e">
        <f>AND('PROG FORMACIÓN TITULADA'!#REF!,"AAAAAH/u3uc=")</f>
        <v>#REF!</v>
      </c>
      <c r="HY322" t="e">
        <f>AND('PROG FORMACIÓN TITULADA'!#REF!,"AAAAAH/u3ug=")</f>
        <v>#REF!</v>
      </c>
      <c r="HZ322" t="e">
        <f>AND('PROG FORMACIÓN TITULADA'!#REF!,"AAAAAH/u3uk=")</f>
        <v>#REF!</v>
      </c>
      <c r="IA322" t="e">
        <f>AND('PROG FORMACIÓN TITULADA'!#REF!,"AAAAAH/u3uo=")</f>
        <v>#REF!</v>
      </c>
      <c r="IB322" t="e">
        <f>AND('PROG FORMACIÓN TITULADA'!#REF!,"AAAAAH/u3us=")</f>
        <v>#REF!</v>
      </c>
      <c r="IC322" t="e">
        <f>AND('PROG FORMACIÓN TITULADA'!#REF!,"AAAAAH/u3uw=")</f>
        <v>#REF!</v>
      </c>
      <c r="ID322" t="e">
        <f>AND('PROG FORMACIÓN TITULADA'!#REF!,"AAAAAH/u3u0=")</f>
        <v>#REF!</v>
      </c>
      <c r="IE322" t="e">
        <f>AND('PROG FORMACIÓN TITULADA'!#REF!,"AAAAAH/u3u4=")</f>
        <v>#REF!</v>
      </c>
      <c r="IF322" t="e">
        <f>AND('PROG FORMACIÓN TITULADA'!#REF!,"AAAAAH/u3u8=")</f>
        <v>#REF!</v>
      </c>
      <c r="IG322" t="e">
        <f>AND('PROG FORMACIÓN TITULADA'!#REF!,"AAAAAH/u3vA=")</f>
        <v>#REF!</v>
      </c>
      <c r="IH322" t="e">
        <f>AND('PROG FORMACIÓN TITULADA'!#REF!,"AAAAAH/u3vE=")</f>
        <v>#REF!</v>
      </c>
      <c r="II322" t="e">
        <f>AND('PROG FORMACIÓN TITULADA'!#REF!,"AAAAAH/u3vI=")</f>
        <v>#REF!</v>
      </c>
      <c r="IJ322" t="e">
        <f>AND('PROG FORMACIÓN TITULADA'!#REF!,"AAAAAH/u3vM=")</f>
        <v>#REF!</v>
      </c>
      <c r="IK322" t="e">
        <f>AND('PROG FORMACIÓN TITULADA'!#REF!,"AAAAAH/u3vQ=")</f>
        <v>#REF!</v>
      </c>
      <c r="IL322" t="e">
        <f>AND('PROG FORMACIÓN TITULADA'!#REF!,"AAAAAH/u3vU=")</f>
        <v>#REF!</v>
      </c>
      <c r="IM322" t="e">
        <f>AND('PROG FORMACIÓN TITULADA'!#REF!,"AAAAAH/u3vY=")</f>
        <v>#REF!</v>
      </c>
      <c r="IN322" t="e">
        <f>AND('PROG FORMACIÓN TITULADA'!#REF!,"AAAAAH/u3vc=")</f>
        <v>#REF!</v>
      </c>
      <c r="IO322" t="e">
        <f>AND('PROG FORMACIÓN TITULADA'!#REF!,"AAAAAH/u3vg=")</f>
        <v>#REF!</v>
      </c>
      <c r="IP322" t="e">
        <f>AND('PROG FORMACIÓN TITULADA'!#REF!,"AAAAAH/u3vk=")</f>
        <v>#REF!</v>
      </c>
      <c r="IQ322" t="e">
        <f>AND('PROG FORMACIÓN TITULADA'!#REF!,"AAAAAH/u3vo=")</f>
        <v>#REF!</v>
      </c>
      <c r="IR322" t="e">
        <f>AND('PROG FORMACIÓN TITULADA'!#REF!,"AAAAAH/u3vs=")</f>
        <v>#REF!</v>
      </c>
      <c r="IS322" t="e">
        <f>AND('PROG FORMACIÓN TITULADA'!#REF!,"AAAAAH/u3vw=")</f>
        <v>#REF!</v>
      </c>
      <c r="IT322" t="e">
        <f>AND('PROG FORMACIÓN TITULADA'!#REF!,"AAAAAH/u3v0=")</f>
        <v>#REF!</v>
      </c>
      <c r="IU322" t="e">
        <f>AND('PROG FORMACIÓN TITULADA'!#REF!,"AAAAAH/u3v4=")</f>
        <v>#REF!</v>
      </c>
      <c r="IV322" t="e">
        <f>IF('PROG FORMACIÓN TITULADA'!#REF!,"AAAAAH/u3v8=",0)</f>
        <v>#REF!</v>
      </c>
    </row>
    <row r="323" spans="1:256" x14ac:dyDescent="0.2">
      <c r="A323" t="e">
        <f>AND('PROG FORMACIÓN TITULADA'!#REF!,"AAAAAHv+uwA=")</f>
        <v>#REF!</v>
      </c>
      <c r="B323" t="e">
        <f>AND('PROG FORMACIÓN TITULADA'!#REF!,"AAAAAHv+uwE=")</f>
        <v>#REF!</v>
      </c>
      <c r="C323" t="e">
        <f>AND('PROG FORMACIÓN TITULADA'!#REF!,"AAAAAHv+uwI=")</f>
        <v>#REF!</v>
      </c>
      <c r="D323" t="e">
        <f>AND('PROG FORMACIÓN TITULADA'!#REF!,"AAAAAHv+uwM=")</f>
        <v>#REF!</v>
      </c>
      <c r="E323" t="e">
        <f>AND('PROG FORMACIÓN TITULADA'!#REF!,"AAAAAHv+uwQ=")</f>
        <v>#REF!</v>
      </c>
      <c r="F323" t="e">
        <f>AND('PROG FORMACIÓN TITULADA'!#REF!,"AAAAAHv+uwU=")</f>
        <v>#REF!</v>
      </c>
      <c r="G323" t="e">
        <f>AND('PROG FORMACIÓN TITULADA'!#REF!,"AAAAAHv+uwY=")</f>
        <v>#REF!</v>
      </c>
      <c r="H323" t="e">
        <f>AND('PROG FORMACIÓN TITULADA'!#REF!,"AAAAAHv+uwc=")</f>
        <v>#REF!</v>
      </c>
      <c r="I323" t="e">
        <f>AND('PROG FORMACIÓN TITULADA'!#REF!,"AAAAAHv+uwg=")</f>
        <v>#REF!</v>
      </c>
      <c r="J323" t="e">
        <f>AND('PROG FORMACIÓN TITULADA'!#REF!,"AAAAAHv+uwk=")</f>
        <v>#REF!</v>
      </c>
      <c r="K323" t="e">
        <f>AND('PROG FORMACIÓN TITULADA'!#REF!,"AAAAAHv+uwo=")</f>
        <v>#REF!</v>
      </c>
      <c r="L323" t="e">
        <f>AND('PROG FORMACIÓN TITULADA'!#REF!,"AAAAAHv+uws=")</f>
        <v>#REF!</v>
      </c>
      <c r="M323" t="e">
        <f>AND('PROG FORMACIÓN TITULADA'!#REF!,"AAAAAHv+uww=")</f>
        <v>#REF!</v>
      </c>
      <c r="N323" t="e">
        <f>AND('PROG FORMACIÓN TITULADA'!#REF!,"AAAAAHv+uw0=")</f>
        <v>#REF!</v>
      </c>
      <c r="O323" t="e">
        <f>AND('PROG FORMACIÓN TITULADA'!#REF!,"AAAAAHv+uw4=")</f>
        <v>#REF!</v>
      </c>
      <c r="P323" t="e">
        <f>AND('PROG FORMACIÓN TITULADA'!#REF!,"AAAAAHv+uw8=")</f>
        <v>#REF!</v>
      </c>
      <c r="Q323" t="e">
        <f>AND('PROG FORMACIÓN TITULADA'!#REF!,"AAAAAHv+uxA=")</f>
        <v>#REF!</v>
      </c>
      <c r="R323" t="e">
        <f>AND('PROG FORMACIÓN TITULADA'!#REF!,"AAAAAHv+uxE=")</f>
        <v>#REF!</v>
      </c>
      <c r="S323" t="e">
        <f>AND('PROG FORMACIÓN TITULADA'!#REF!,"AAAAAHv+uxI=")</f>
        <v>#REF!</v>
      </c>
      <c r="T323" t="e">
        <f>AND('PROG FORMACIÓN TITULADA'!#REF!,"AAAAAHv+uxM=")</f>
        <v>#REF!</v>
      </c>
      <c r="U323" t="e">
        <f>AND('PROG FORMACIÓN TITULADA'!#REF!,"AAAAAHv+uxQ=")</f>
        <v>#REF!</v>
      </c>
      <c r="V323" t="e">
        <f>AND('PROG FORMACIÓN TITULADA'!#REF!,"AAAAAHv+uxU=")</f>
        <v>#REF!</v>
      </c>
      <c r="W323" t="e">
        <f>AND('PROG FORMACIÓN TITULADA'!#REF!,"AAAAAHv+uxY=")</f>
        <v>#REF!</v>
      </c>
      <c r="X323" t="e">
        <f>AND('PROG FORMACIÓN TITULADA'!#REF!,"AAAAAHv+uxc=")</f>
        <v>#REF!</v>
      </c>
      <c r="Y323" t="e">
        <f>AND('PROG FORMACIÓN TITULADA'!#REF!,"AAAAAHv+uxg=")</f>
        <v>#REF!</v>
      </c>
      <c r="Z323" t="e">
        <f>AND('PROG FORMACIÓN TITULADA'!#REF!,"AAAAAHv+uxk=")</f>
        <v>#REF!</v>
      </c>
      <c r="AA323" t="e">
        <f>IF('PROG FORMACIÓN TITULADA'!#REF!,"AAAAAHv+uxo=",0)</f>
        <v>#REF!</v>
      </c>
      <c r="AB323" t="e">
        <f>AND('PROG FORMACIÓN TITULADA'!#REF!,"AAAAAHv+uxs=")</f>
        <v>#REF!</v>
      </c>
      <c r="AC323" t="e">
        <f>AND('PROG FORMACIÓN TITULADA'!#REF!,"AAAAAHv+uxw=")</f>
        <v>#REF!</v>
      </c>
      <c r="AD323" t="e">
        <f>AND('PROG FORMACIÓN TITULADA'!#REF!,"AAAAAHv+ux0=")</f>
        <v>#REF!</v>
      </c>
      <c r="AE323" t="e">
        <f>AND('PROG FORMACIÓN TITULADA'!#REF!,"AAAAAHv+ux4=")</f>
        <v>#REF!</v>
      </c>
      <c r="AF323" t="e">
        <f>AND('PROG FORMACIÓN TITULADA'!#REF!,"AAAAAHv+ux8=")</f>
        <v>#REF!</v>
      </c>
      <c r="AG323" t="e">
        <f>AND('PROG FORMACIÓN TITULADA'!#REF!,"AAAAAHv+uyA=")</f>
        <v>#REF!</v>
      </c>
      <c r="AH323" t="e">
        <f>AND('PROG FORMACIÓN TITULADA'!#REF!,"AAAAAHv+uyE=")</f>
        <v>#REF!</v>
      </c>
      <c r="AI323" t="e">
        <f>AND('PROG FORMACIÓN TITULADA'!#REF!,"AAAAAHv+uyI=")</f>
        <v>#REF!</v>
      </c>
      <c r="AJ323" t="e">
        <f>AND('PROG FORMACIÓN TITULADA'!#REF!,"AAAAAHv+uyM=")</f>
        <v>#REF!</v>
      </c>
      <c r="AK323" t="e">
        <f>AND('PROG FORMACIÓN TITULADA'!#REF!,"AAAAAHv+uyQ=")</f>
        <v>#REF!</v>
      </c>
      <c r="AL323" t="e">
        <f>AND('PROG FORMACIÓN TITULADA'!#REF!,"AAAAAHv+uyU=")</f>
        <v>#REF!</v>
      </c>
      <c r="AM323" t="e">
        <f>AND('PROG FORMACIÓN TITULADA'!#REF!,"AAAAAHv+uyY=")</f>
        <v>#REF!</v>
      </c>
      <c r="AN323" t="e">
        <f>AND('PROG FORMACIÓN TITULADA'!#REF!,"AAAAAHv+uyc=")</f>
        <v>#REF!</v>
      </c>
      <c r="AO323" t="e">
        <f>AND('PROG FORMACIÓN TITULADA'!#REF!,"AAAAAHv+uyg=")</f>
        <v>#REF!</v>
      </c>
      <c r="AP323" t="e">
        <f>AND('PROG FORMACIÓN TITULADA'!#REF!,"AAAAAHv+uyk=")</f>
        <v>#REF!</v>
      </c>
      <c r="AQ323" t="e">
        <f>AND('PROG FORMACIÓN TITULADA'!#REF!,"AAAAAHv+uyo=")</f>
        <v>#REF!</v>
      </c>
      <c r="AR323" t="e">
        <f>AND('PROG FORMACIÓN TITULADA'!#REF!,"AAAAAHv+uys=")</f>
        <v>#REF!</v>
      </c>
      <c r="AS323" t="e">
        <f>AND('PROG FORMACIÓN TITULADA'!#REF!,"AAAAAHv+uyw=")</f>
        <v>#REF!</v>
      </c>
      <c r="AT323" t="e">
        <f>AND('PROG FORMACIÓN TITULADA'!#REF!,"AAAAAHv+uy0=")</f>
        <v>#REF!</v>
      </c>
      <c r="AU323" t="e">
        <f>AND('PROG FORMACIÓN TITULADA'!#REF!,"AAAAAHv+uy4=")</f>
        <v>#REF!</v>
      </c>
      <c r="AV323" t="e">
        <f>AND('PROG FORMACIÓN TITULADA'!#REF!,"AAAAAHv+uy8=")</f>
        <v>#REF!</v>
      </c>
      <c r="AW323" t="e">
        <f>AND('PROG FORMACIÓN TITULADA'!#REF!,"AAAAAHv+uzA=")</f>
        <v>#REF!</v>
      </c>
      <c r="AX323" t="e">
        <f>AND('PROG FORMACIÓN TITULADA'!#REF!,"AAAAAHv+uzE=")</f>
        <v>#REF!</v>
      </c>
      <c r="AY323" t="e">
        <f>AND('PROG FORMACIÓN TITULADA'!#REF!,"AAAAAHv+uzI=")</f>
        <v>#REF!</v>
      </c>
      <c r="AZ323" t="e">
        <f>AND('PROG FORMACIÓN TITULADA'!#REF!,"AAAAAHv+uzM=")</f>
        <v>#REF!</v>
      </c>
      <c r="BA323" t="e">
        <f>AND('PROG FORMACIÓN TITULADA'!#REF!,"AAAAAHv+uzQ=")</f>
        <v>#REF!</v>
      </c>
      <c r="BB323" t="e">
        <f>IF('PROG FORMACIÓN TITULADA'!#REF!,"AAAAAHv+uzU=",0)</f>
        <v>#REF!</v>
      </c>
      <c r="BC323" t="e">
        <f>AND('PROG FORMACIÓN TITULADA'!#REF!,"AAAAAHv+uzY=")</f>
        <v>#REF!</v>
      </c>
      <c r="BD323" t="e">
        <f>AND('PROG FORMACIÓN TITULADA'!#REF!,"AAAAAHv+uzc=")</f>
        <v>#REF!</v>
      </c>
      <c r="BE323" t="e">
        <f>AND('PROG FORMACIÓN TITULADA'!#REF!,"AAAAAHv+uzg=")</f>
        <v>#REF!</v>
      </c>
      <c r="BF323" t="e">
        <f>AND('PROG FORMACIÓN TITULADA'!#REF!,"AAAAAHv+uzk=")</f>
        <v>#REF!</v>
      </c>
      <c r="BG323" t="e">
        <f>AND('PROG FORMACIÓN TITULADA'!#REF!,"AAAAAHv+uzo=")</f>
        <v>#REF!</v>
      </c>
      <c r="BH323" t="e">
        <f>AND('PROG FORMACIÓN TITULADA'!#REF!,"AAAAAHv+uzs=")</f>
        <v>#REF!</v>
      </c>
      <c r="BI323" t="e">
        <f>AND('PROG FORMACIÓN TITULADA'!#REF!,"AAAAAHv+uzw=")</f>
        <v>#REF!</v>
      </c>
      <c r="BJ323" t="e">
        <f>AND('PROG FORMACIÓN TITULADA'!#REF!,"AAAAAHv+uz0=")</f>
        <v>#REF!</v>
      </c>
      <c r="BK323" t="e">
        <f>AND('PROG FORMACIÓN TITULADA'!#REF!,"AAAAAHv+uz4=")</f>
        <v>#REF!</v>
      </c>
      <c r="BL323" t="e">
        <f>AND('PROG FORMACIÓN TITULADA'!#REF!,"AAAAAHv+uz8=")</f>
        <v>#REF!</v>
      </c>
      <c r="BM323" t="e">
        <f>AND('PROG FORMACIÓN TITULADA'!#REF!,"AAAAAHv+u0A=")</f>
        <v>#REF!</v>
      </c>
      <c r="BN323" t="e">
        <f>AND('PROG FORMACIÓN TITULADA'!#REF!,"AAAAAHv+u0E=")</f>
        <v>#REF!</v>
      </c>
      <c r="BO323" t="e">
        <f>AND('PROG FORMACIÓN TITULADA'!#REF!,"AAAAAHv+u0I=")</f>
        <v>#REF!</v>
      </c>
      <c r="BP323" t="e">
        <f>AND('PROG FORMACIÓN TITULADA'!#REF!,"AAAAAHv+u0M=")</f>
        <v>#REF!</v>
      </c>
      <c r="BQ323" t="e">
        <f>AND('PROG FORMACIÓN TITULADA'!#REF!,"AAAAAHv+u0Q=")</f>
        <v>#REF!</v>
      </c>
      <c r="BR323" t="e">
        <f>AND('PROG FORMACIÓN TITULADA'!#REF!,"AAAAAHv+u0U=")</f>
        <v>#REF!</v>
      </c>
      <c r="BS323" t="e">
        <f>AND('PROG FORMACIÓN TITULADA'!#REF!,"AAAAAHv+u0Y=")</f>
        <v>#REF!</v>
      </c>
      <c r="BT323" t="e">
        <f>AND('PROG FORMACIÓN TITULADA'!#REF!,"AAAAAHv+u0c=")</f>
        <v>#REF!</v>
      </c>
      <c r="BU323" t="e">
        <f>AND('PROG FORMACIÓN TITULADA'!#REF!,"AAAAAHv+u0g=")</f>
        <v>#REF!</v>
      </c>
      <c r="BV323" t="e">
        <f>AND('PROG FORMACIÓN TITULADA'!#REF!,"AAAAAHv+u0k=")</f>
        <v>#REF!</v>
      </c>
      <c r="BW323" t="e">
        <f>AND('PROG FORMACIÓN TITULADA'!#REF!,"AAAAAHv+u0o=")</f>
        <v>#REF!</v>
      </c>
      <c r="BX323" t="e">
        <f>AND('PROG FORMACIÓN TITULADA'!#REF!,"AAAAAHv+u0s=")</f>
        <v>#REF!</v>
      </c>
      <c r="BY323" t="e">
        <f>AND('PROG FORMACIÓN TITULADA'!#REF!,"AAAAAHv+u0w=")</f>
        <v>#REF!</v>
      </c>
      <c r="BZ323" t="e">
        <f>AND('PROG FORMACIÓN TITULADA'!#REF!,"AAAAAHv+u00=")</f>
        <v>#REF!</v>
      </c>
      <c r="CA323" t="e">
        <f>AND('PROG FORMACIÓN TITULADA'!#REF!,"AAAAAHv+u04=")</f>
        <v>#REF!</v>
      </c>
      <c r="CB323" t="e">
        <f>AND('PROG FORMACIÓN TITULADA'!#REF!,"AAAAAHv+u08=")</f>
        <v>#REF!</v>
      </c>
      <c r="CC323" t="e">
        <f>IF('PROG FORMACIÓN TITULADA'!#REF!,"AAAAAHv+u1A=",0)</f>
        <v>#REF!</v>
      </c>
      <c r="CD323" t="e">
        <f>AND('PROG FORMACIÓN TITULADA'!#REF!,"AAAAAHv+u1E=")</f>
        <v>#REF!</v>
      </c>
      <c r="CE323" t="e">
        <f>AND('PROG FORMACIÓN TITULADA'!#REF!,"AAAAAHv+u1I=")</f>
        <v>#REF!</v>
      </c>
      <c r="CF323" t="e">
        <f>AND('PROG FORMACIÓN TITULADA'!#REF!,"AAAAAHv+u1M=")</f>
        <v>#REF!</v>
      </c>
      <c r="CG323" t="e">
        <f>AND('PROG FORMACIÓN TITULADA'!#REF!,"AAAAAHv+u1Q=")</f>
        <v>#REF!</v>
      </c>
      <c r="CH323" t="e">
        <f>AND('PROG FORMACIÓN TITULADA'!#REF!,"AAAAAHv+u1U=")</f>
        <v>#REF!</v>
      </c>
      <c r="CI323" t="e">
        <f>AND('PROG FORMACIÓN TITULADA'!#REF!,"AAAAAHv+u1Y=")</f>
        <v>#REF!</v>
      </c>
      <c r="CJ323" t="e">
        <f>AND('PROG FORMACIÓN TITULADA'!#REF!,"AAAAAHv+u1c=")</f>
        <v>#REF!</v>
      </c>
      <c r="CK323" t="e">
        <f>AND('PROG FORMACIÓN TITULADA'!#REF!,"AAAAAHv+u1g=")</f>
        <v>#REF!</v>
      </c>
      <c r="CL323" t="e">
        <f>AND('PROG FORMACIÓN TITULADA'!#REF!,"AAAAAHv+u1k=")</f>
        <v>#REF!</v>
      </c>
      <c r="CM323" t="e">
        <f>AND('PROG FORMACIÓN TITULADA'!#REF!,"AAAAAHv+u1o=")</f>
        <v>#REF!</v>
      </c>
      <c r="CN323" t="e">
        <f>AND('PROG FORMACIÓN TITULADA'!#REF!,"AAAAAHv+u1s=")</f>
        <v>#REF!</v>
      </c>
      <c r="CO323" t="e">
        <f>AND('PROG FORMACIÓN TITULADA'!#REF!,"AAAAAHv+u1w=")</f>
        <v>#REF!</v>
      </c>
      <c r="CP323" t="e">
        <f>AND('PROG FORMACIÓN TITULADA'!#REF!,"AAAAAHv+u10=")</f>
        <v>#REF!</v>
      </c>
      <c r="CQ323" t="e">
        <f>AND('PROG FORMACIÓN TITULADA'!#REF!,"AAAAAHv+u14=")</f>
        <v>#REF!</v>
      </c>
      <c r="CR323" t="e">
        <f>AND('PROG FORMACIÓN TITULADA'!#REF!,"AAAAAHv+u18=")</f>
        <v>#REF!</v>
      </c>
      <c r="CS323" t="e">
        <f>AND('PROG FORMACIÓN TITULADA'!#REF!,"AAAAAHv+u2A=")</f>
        <v>#REF!</v>
      </c>
      <c r="CT323" t="e">
        <f>AND('PROG FORMACIÓN TITULADA'!#REF!,"AAAAAHv+u2E=")</f>
        <v>#REF!</v>
      </c>
      <c r="CU323" t="e">
        <f>AND('PROG FORMACIÓN TITULADA'!#REF!,"AAAAAHv+u2I=")</f>
        <v>#REF!</v>
      </c>
      <c r="CV323" t="e">
        <f>AND('PROG FORMACIÓN TITULADA'!#REF!,"AAAAAHv+u2M=")</f>
        <v>#REF!</v>
      </c>
      <c r="CW323" t="e">
        <f>AND('PROG FORMACIÓN TITULADA'!#REF!,"AAAAAHv+u2Q=")</f>
        <v>#REF!</v>
      </c>
      <c r="CX323" t="e">
        <f>AND('PROG FORMACIÓN TITULADA'!#REF!,"AAAAAHv+u2U=")</f>
        <v>#REF!</v>
      </c>
      <c r="CY323" t="e">
        <f>AND('PROG FORMACIÓN TITULADA'!#REF!,"AAAAAHv+u2Y=")</f>
        <v>#REF!</v>
      </c>
      <c r="CZ323" t="e">
        <f>AND('PROG FORMACIÓN TITULADA'!#REF!,"AAAAAHv+u2c=")</f>
        <v>#REF!</v>
      </c>
      <c r="DA323" t="e">
        <f>AND('PROG FORMACIÓN TITULADA'!#REF!,"AAAAAHv+u2g=")</f>
        <v>#REF!</v>
      </c>
      <c r="DB323" t="e">
        <f>AND('PROG FORMACIÓN TITULADA'!#REF!,"AAAAAHv+u2k=")</f>
        <v>#REF!</v>
      </c>
      <c r="DC323" t="e">
        <f>AND('PROG FORMACIÓN TITULADA'!#REF!,"AAAAAHv+u2o=")</f>
        <v>#REF!</v>
      </c>
      <c r="DD323" t="e">
        <f>IF('PROG FORMACIÓN TITULADA'!#REF!,"AAAAAHv+u2s=",0)</f>
        <v>#REF!</v>
      </c>
      <c r="DE323" t="e">
        <f>AND('PROG FORMACIÓN TITULADA'!#REF!,"AAAAAHv+u2w=")</f>
        <v>#REF!</v>
      </c>
      <c r="DF323" t="e">
        <f>AND('PROG FORMACIÓN TITULADA'!#REF!,"AAAAAHv+u20=")</f>
        <v>#REF!</v>
      </c>
      <c r="DG323" t="e">
        <f>AND('PROG FORMACIÓN TITULADA'!#REF!,"AAAAAHv+u24=")</f>
        <v>#REF!</v>
      </c>
      <c r="DH323" t="e">
        <f>AND('PROG FORMACIÓN TITULADA'!#REF!,"AAAAAHv+u28=")</f>
        <v>#REF!</v>
      </c>
      <c r="DI323" t="e">
        <f>AND('PROG FORMACIÓN TITULADA'!#REF!,"AAAAAHv+u3A=")</f>
        <v>#REF!</v>
      </c>
      <c r="DJ323" t="e">
        <f>AND('PROG FORMACIÓN TITULADA'!#REF!,"AAAAAHv+u3E=")</f>
        <v>#REF!</v>
      </c>
      <c r="DK323" t="e">
        <f>AND('PROG FORMACIÓN TITULADA'!#REF!,"AAAAAHv+u3I=")</f>
        <v>#REF!</v>
      </c>
      <c r="DL323" t="e">
        <f>AND('PROG FORMACIÓN TITULADA'!#REF!,"AAAAAHv+u3M=")</f>
        <v>#REF!</v>
      </c>
      <c r="DM323" t="e">
        <f>AND('PROG FORMACIÓN TITULADA'!#REF!,"AAAAAHv+u3Q=")</f>
        <v>#REF!</v>
      </c>
      <c r="DN323" t="e">
        <f>AND('PROG FORMACIÓN TITULADA'!#REF!,"AAAAAHv+u3U=")</f>
        <v>#REF!</v>
      </c>
      <c r="DO323" t="e">
        <f>AND('PROG FORMACIÓN TITULADA'!#REF!,"AAAAAHv+u3Y=")</f>
        <v>#REF!</v>
      </c>
      <c r="DP323" t="e">
        <f>AND('PROG FORMACIÓN TITULADA'!#REF!,"AAAAAHv+u3c=")</f>
        <v>#REF!</v>
      </c>
      <c r="DQ323" t="e">
        <f>AND('PROG FORMACIÓN TITULADA'!#REF!,"AAAAAHv+u3g=")</f>
        <v>#REF!</v>
      </c>
      <c r="DR323" t="e">
        <f>AND('PROG FORMACIÓN TITULADA'!#REF!,"AAAAAHv+u3k=")</f>
        <v>#REF!</v>
      </c>
      <c r="DS323" t="e">
        <f>AND('PROG FORMACIÓN TITULADA'!#REF!,"AAAAAHv+u3o=")</f>
        <v>#REF!</v>
      </c>
      <c r="DT323" t="e">
        <f>AND('PROG FORMACIÓN TITULADA'!#REF!,"AAAAAHv+u3s=")</f>
        <v>#REF!</v>
      </c>
      <c r="DU323" t="e">
        <f>AND('PROG FORMACIÓN TITULADA'!#REF!,"AAAAAHv+u3w=")</f>
        <v>#REF!</v>
      </c>
      <c r="DV323" t="e">
        <f>AND('PROG FORMACIÓN TITULADA'!#REF!,"AAAAAHv+u30=")</f>
        <v>#REF!</v>
      </c>
      <c r="DW323" t="e">
        <f>AND('PROG FORMACIÓN TITULADA'!#REF!,"AAAAAHv+u34=")</f>
        <v>#REF!</v>
      </c>
      <c r="DX323" t="e">
        <f>AND('PROG FORMACIÓN TITULADA'!#REF!,"AAAAAHv+u38=")</f>
        <v>#REF!</v>
      </c>
      <c r="DY323" t="e">
        <f>AND('PROG FORMACIÓN TITULADA'!#REF!,"AAAAAHv+u4A=")</f>
        <v>#REF!</v>
      </c>
      <c r="DZ323" t="e">
        <f>AND('PROG FORMACIÓN TITULADA'!#REF!,"AAAAAHv+u4E=")</f>
        <v>#REF!</v>
      </c>
      <c r="EA323" t="e">
        <f>AND('PROG FORMACIÓN TITULADA'!#REF!,"AAAAAHv+u4I=")</f>
        <v>#REF!</v>
      </c>
      <c r="EB323" t="e">
        <f>AND('PROG FORMACIÓN TITULADA'!#REF!,"AAAAAHv+u4M=")</f>
        <v>#REF!</v>
      </c>
      <c r="EC323" t="e">
        <f>AND('PROG FORMACIÓN TITULADA'!#REF!,"AAAAAHv+u4Q=")</f>
        <v>#REF!</v>
      </c>
      <c r="ED323" t="e">
        <f>AND('PROG FORMACIÓN TITULADA'!#REF!,"AAAAAHv+u4U=")</f>
        <v>#REF!</v>
      </c>
      <c r="EE323" t="e">
        <f>IF('PROG FORMACIÓN TITULADA'!#REF!,"AAAAAHv+u4Y=",0)</f>
        <v>#REF!</v>
      </c>
      <c r="EF323" t="e">
        <f>AND('PROG FORMACIÓN TITULADA'!#REF!,"AAAAAHv+u4c=")</f>
        <v>#REF!</v>
      </c>
      <c r="EG323" t="e">
        <f>AND('PROG FORMACIÓN TITULADA'!#REF!,"AAAAAHv+u4g=")</f>
        <v>#REF!</v>
      </c>
      <c r="EH323" t="e">
        <f>AND('PROG FORMACIÓN TITULADA'!#REF!,"AAAAAHv+u4k=")</f>
        <v>#REF!</v>
      </c>
      <c r="EI323" t="e">
        <f>AND('PROG FORMACIÓN TITULADA'!#REF!,"AAAAAHv+u4o=")</f>
        <v>#REF!</v>
      </c>
      <c r="EJ323" t="e">
        <f>AND('PROG FORMACIÓN TITULADA'!#REF!,"AAAAAHv+u4s=")</f>
        <v>#REF!</v>
      </c>
      <c r="EK323" t="e">
        <f>AND('PROG FORMACIÓN TITULADA'!#REF!,"AAAAAHv+u4w=")</f>
        <v>#REF!</v>
      </c>
      <c r="EL323" t="e">
        <f>AND('PROG FORMACIÓN TITULADA'!#REF!,"AAAAAHv+u40=")</f>
        <v>#REF!</v>
      </c>
      <c r="EM323" t="e">
        <f>AND('PROG FORMACIÓN TITULADA'!#REF!,"AAAAAHv+u44=")</f>
        <v>#REF!</v>
      </c>
      <c r="EN323" t="e">
        <f>AND('PROG FORMACIÓN TITULADA'!#REF!,"AAAAAHv+u48=")</f>
        <v>#REF!</v>
      </c>
      <c r="EO323" t="e">
        <f>AND('PROG FORMACIÓN TITULADA'!#REF!,"AAAAAHv+u5A=")</f>
        <v>#REF!</v>
      </c>
      <c r="EP323" t="e">
        <f>AND('PROG FORMACIÓN TITULADA'!#REF!,"AAAAAHv+u5E=")</f>
        <v>#REF!</v>
      </c>
      <c r="EQ323" t="e">
        <f>AND('PROG FORMACIÓN TITULADA'!#REF!,"AAAAAHv+u5I=")</f>
        <v>#REF!</v>
      </c>
      <c r="ER323" t="e">
        <f>AND('PROG FORMACIÓN TITULADA'!#REF!,"AAAAAHv+u5M=")</f>
        <v>#REF!</v>
      </c>
      <c r="ES323" t="e">
        <f>AND('PROG FORMACIÓN TITULADA'!#REF!,"AAAAAHv+u5Q=")</f>
        <v>#REF!</v>
      </c>
      <c r="ET323" t="e">
        <f>AND('PROG FORMACIÓN TITULADA'!#REF!,"AAAAAHv+u5U=")</f>
        <v>#REF!</v>
      </c>
      <c r="EU323" t="e">
        <f>AND('PROG FORMACIÓN TITULADA'!#REF!,"AAAAAHv+u5Y=")</f>
        <v>#REF!</v>
      </c>
      <c r="EV323" t="e">
        <f>AND('PROG FORMACIÓN TITULADA'!#REF!,"AAAAAHv+u5c=")</f>
        <v>#REF!</v>
      </c>
      <c r="EW323" t="e">
        <f>AND('PROG FORMACIÓN TITULADA'!#REF!,"AAAAAHv+u5g=")</f>
        <v>#REF!</v>
      </c>
      <c r="EX323" t="e">
        <f>AND('PROG FORMACIÓN TITULADA'!#REF!,"AAAAAHv+u5k=")</f>
        <v>#REF!</v>
      </c>
      <c r="EY323" t="e">
        <f>AND('PROG FORMACIÓN TITULADA'!#REF!,"AAAAAHv+u5o=")</f>
        <v>#REF!</v>
      </c>
      <c r="EZ323" t="e">
        <f>AND('PROG FORMACIÓN TITULADA'!#REF!,"AAAAAHv+u5s=")</f>
        <v>#REF!</v>
      </c>
      <c r="FA323" t="e">
        <f>AND('PROG FORMACIÓN TITULADA'!#REF!,"AAAAAHv+u5w=")</f>
        <v>#REF!</v>
      </c>
      <c r="FB323" t="e">
        <f>AND('PROG FORMACIÓN TITULADA'!#REF!,"AAAAAHv+u50=")</f>
        <v>#REF!</v>
      </c>
      <c r="FC323" t="e">
        <f>AND('PROG FORMACIÓN TITULADA'!#REF!,"AAAAAHv+u54=")</f>
        <v>#REF!</v>
      </c>
      <c r="FD323" t="e">
        <f>AND('PROG FORMACIÓN TITULADA'!#REF!,"AAAAAHv+u58=")</f>
        <v>#REF!</v>
      </c>
      <c r="FE323" t="e">
        <f>AND('PROG FORMACIÓN TITULADA'!#REF!,"AAAAAHv+u6A=")</f>
        <v>#REF!</v>
      </c>
      <c r="FF323" t="e">
        <f>IF('PROG FORMACIÓN TITULADA'!#REF!,"AAAAAHv+u6E=",0)</f>
        <v>#REF!</v>
      </c>
      <c r="FG323" t="e">
        <f>AND('PROG FORMACIÓN TITULADA'!#REF!,"AAAAAHv+u6I=")</f>
        <v>#REF!</v>
      </c>
      <c r="FH323" t="e">
        <f>AND('PROG FORMACIÓN TITULADA'!#REF!,"AAAAAHv+u6M=")</f>
        <v>#REF!</v>
      </c>
      <c r="FI323" t="e">
        <f>AND('PROG FORMACIÓN TITULADA'!#REF!,"AAAAAHv+u6Q=")</f>
        <v>#REF!</v>
      </c>
      <c r="FJ323" t="e">
        <f>AND('PROG FORMACIÓN TITULADA'!#REF!,"AAAAAHv+u6U=")</f>
        <v>#REF!</v>
      </c>
      <c r="FK323" t="e">
        <f>AND('PROG FORMACIÓN TITULADA'!#REF!,"AAAAAHv+u6Y=")</f>
        <v>#REF!</v>
      </c>
      <c r="FL323" t="e">
        <f>AND('PROG FORMACIÓN TITULADA'!#REF!,"AAAAAHv+u6c=")</f>
        <v>#REF!</v>
      </c>
      <c r="FM323" t="e">
        <f>AND('PROG FORMACIÓN TITULADA'!#REF!,"AAAAAHv+u6g=")</f>
        <v>#REF!</v>
      </c>
      <c r="FN323" t="e">
        <f>AND('PROG FORMACIÓN TITULADA'!#REF!,"AAAAAHv+u6k=")</f>
        <v>#REF!</v>
      </c>
      <c r="FO323" t="e">
        <f>AND('PROG FORMACIÓN TITULADA'!#REF!,"AAAAAHv+u6o=")</f>
        <v>#REF!</v>
      </c>
      <c r="FP323" t="e">
        <f>AND('PROG FORMACIÓN TITULADA'!#REF!,"AAAAAHv+u6s=")</f>
        <v>#REF!</v>
      </c>
      <c r="FQ323" t="e">
        <f>AND('PROG FORMACIÓN TITULADA'!#REF!,"AAAAAHv+u6w=")</f>
        <v>#REF!</v>
      </c>
      <c r="FR323" t="e">
        <f>AND('PROG FORMACIÓN TITULADA'!#REF!,"AAAAAHv+u60=")</f>
        <v>#REF!</v>
      </c>
      <c r="FS323" t="e">
        <f>AND('PROG FORMACIÓN TITULADA'!#REF!,"AAAAAHv+u64=")</f>
        <v>#REF!</v>
      </c>
      <c r="FT323" t="e">
        <f>AND('PROG FORMACIÓN TITULADA'!#REF!,"AAAAAHv+u68=")</f>
        <v>#REF!</v>
      </c>
      <c r="FU323" t="e">
        <f>AND('PROG FORMACIÓN TITULADA'!#REF!,"AAAAAHv+u7A=")</f>
        <v>#REF!</v>
      </c>
      <c r="FV323" t="e">
        <f>AND('PROG FORMACIÓN TITULADA'!#REF!,"AAAAAHv+u7E=")</f>
        <v>#REF!</v>
      </c>
      <c r="FW323" t="e">
        <f>AND('PROG FORMACIÓN TITULADA'!#REF!,"AAAAAHv+u7I=")</f>
        <v>#REF!</v>
      </c>
      <c r="FX323" t="e">
        <f>AND('PROG FORMACIÓN TITULADA'!#REF!,"AAAAAHv+u7M=")</f>
        <v>#REF!</v>
      </c>
      <c r="FY323" t="e">
        <f>AND('PROG FORMACIÓN TITULADA'!#REF!,"AAAAAHv+u7Q=")</f>
        <v>#REF!</v>
      </c>
      <c r="FZ323" t="e">
        <f>AND('PROG FORMACIÓN TITULADA'!#REF!,"AAAAAHv+u7U=")</f>
        <v>#REF!</v>
      </c>
      <c r="GA323" t="e">
        <f>AND('PROG FORMACIÓN TITULADA'!#REF!,"AAAAAHv+u7Y=")</f>
        <v>#REF!</v>
      </c>
      <c r="GB323" t="e">
        <f>AND('PROG FORMACIÓN TITULADA'!#REF!,"AAAAAHv+u7c=")</f>
        <v>#REF!</v>
      </c>
      <c r="GC323" t="e">
        <f>AND('PROG FORMACIÓN TITULADA'!#REF!,"AAAAAHv+u7g=")</f>
        <v>#REF!</v>
      </c>
      <c r="GD323" t="e">
        <f>AND('PROG FORMACIÓN TITULADA'!#REF!,"AAAAAHv+u7k=")</f>
        <v>#REF!</v>
      </c>
      <c r="GE323" t="e">
        <f>AND('PROG FORMACIÓN TITULADA'!#REF!,"AAAAAHv+u7o=")</f>
        <v>#REF!</v>
      </c>
      <c r="GF323" t="e">
        <f>AND('PROG FORMACIÓN TITULADA'!#REF!,"AAAAAHv+u7s=")</f>
        <v>#REF!</v>
      </c>
      <c r="GG323" t="e">
        <f>IF('PROG FORMACIÓN TITULADA'!#REF!,"AAAAAHv+u7w=",0)</f>
        <v>#REF!</v>
      </c>
      <c r="GH323" t="e">
        <f>AND('PROG FORMACIÓN TITULADA'!#REF!,"AAAAAHv+u70=")</f>
        <v>#REF!</v>
      </c>
      <c r="GI323" t="e">
        <f>AND('PROG FORMACIÓN TITULADA'!#REF!,"AAAAAHv+u74=")</f>
        <v>#REF!</v>
      </c>
      <c r="GJ323" t="e">
        <f>AND('PROG FORMACIÓN TITULADA'!#REF!,"AAAAAHv+u78=")</f>
        <v>#REF!</v>
      </c>
      <c r="GK323" t="e">
        <f>AND('PROG FORMACIÓN TITULADA'!#REF!,"AAAAAHv+u8A=")</f>
        <v>#REF!</v>
      </c>
      <c r="GL323" t="e">
        <f>AND('PROG FORMACIÓN TITULADA'!#REF!,"AAAAAHv+u8E=")</f>
        <v>#REF!</v>
      </c>
      <c r="GM323" t="e">
        <f>AND('PROG FORMACIÓN TITULADA'!#REF!,"AAAAAHv+u8I=")</f>
        <v>#REF!</v>
      </c>
      <c r="GN323" t="e">
        <f>AND('PROG FORMACIÓN TITULADA'!#REF!,"AAAAAHv+u8M=")</f>
        <v>#REF!</v>
      </c>
      <c r="GO323" t="e">
        <f>AND('PROG FORMACIÓN TITULADA'!#REF!,"AAAAAHv+u8Q=")</f>
        <v>#REF!</v>
      </c>
      <c r="GP323" t="e">
        <f>AND('PROG FORMACIÓN TITULADA'!#REF!,"AAAAAHv+u8U=")</f>
        <v>#REF!</v>
      </c>
      <c r="GQ323" t="e">
        <f>AND('PROG FORMACIÓN TITULADA'!#REF!,"AAAAAHv+u8Y=")</f>
        <v>#REF!</v>
      </c>
      <c r="GR323" t="e">
        <f>AND('PROG FORMACIÓN TITULADA'!#REF!,"AAAAAHv+u8c=")</f>
        <v>#REF!</v>
      </c>
      <c r="GS323" t="e">
        <f>AND('PROG FORMACIÓN TITULADA'!#REF!,"AAAAAHv+u8g=")</f>
        <v>#REF!</v>
      </c>
      <c r="GT323" t="e">
        <f>AND('PROG FORMACIÓN TITULADA'!#REF!,"AAAAAHv+u8k=")</f>
        <v>#REF!</v>
      </c>
      <c r="GU323" t="e">
        <f>AND('PROG FORMACIÓN TITULADA'!#REF!,"AAAAAHv+u8o=")</f>
        <v>#REF!</v>
      </c>
      <c r="GV323" t="e">
        <f>AND('PROG FORMACIÓN TITULADA'!#REF!,"AAAAAHv+u8s=")</f>
        <v>#REF!</v>
      </c>
      <c r="GW323" t="e">
        <f>AND('PROG FORMACIÓN TITULADA'!#REF!,"AAAAAHv+u8w=")</f>
        <v>#REF!</v>
      </c>
      <c r="GX323" t="e">
        <f>AND('PROG FORMACIÓN TITULADA'!#REF!,"AAAAAHv+u80=")</f>
        <v>#REF!</v>
      </c>
      <c r="GY323" t="e">
        <f>AND('PROG FORMACIÓN TITULADA'!#REF!,"AAAAAHv+u84=")</f>
        <v>#REF!</v>
      </c>
      <c r="GZ323" t="e">
        <f>AND('PROG FORMACIÓN TITULADA'!#REF!,"AAAAAHv+u88=")</f>
        <v>#REF!</v>
      </c>
      <c r="HA323" t="e">
        <f>AND('PROG FORMACIÓN TITULADA'!#REF!,"AAAAAHv+u9A=")</f>
        <v>#REF!</v>
      </c>
      <c r="HB323" t="e">
        <f>AND('PROG FORMACIÓN TITULADA'!#REF!,"AAAAAHv+u9E=")</f>
        <v>#REF!</v>
      </c>
      <c r="HC323" t="e">
        <f>AND('PROG FORMACIÓN TITULADA'!#REF!,"AAAAAHv+u9I=")</f>
        <v>#REF!</v>
      </c>
      <c r="HD323" t="e">
        <f>AND('PROG FORMACIÓN TITULADA'!#REF!,"AAAAAHv+u9M=")</f>
        <v>#REF!</v>
      </c>
      <c r="HE323" t="e">
        <f>AND('PROG FORMACIÓN TITULADA'!#REF!,"AAAAAHv+u9Q=")</f>
        <v>#REF!</v>
      </c>
      <c r="HF323" t="e">
        <f>AND('PROG FORMACIÓN TITULADA'!#REF!,"AAAAAHv+u9U=")</f>
        <v>#REF!</v>
      </c>
      <c r="HG323" t="e">
        <f>AND('PROG FORMACIÓN TITULADA'!#REF!,"AAAAAHv+u9Y=")</f>
        <v>#REF!</v>
      </c>
      <c r="HH323" t="e">
        <f>IF('PROG FORMACIÓN TITULADA'!#REF!,"AAAAAHv+u9c=",0)</f>
        <v>#REF!</v>
      </c>
      <c r="HI323" t="e">
        <f>AND('PROG FORMACIÓN TITULADA'!#REF!,"AAAAAHv+u9g=")</f>
        <v>#REF!</v>
      </c>
      <c r="HJ323" t="e">
        <f>AND('PROG FORMACIÓN TITULADA'!#REF!,"AAAAAHv+u9k=")</f>
        <v>#REF!</v>
      </c>
      <c r="HK323" t="e">
        <f>AND('PROG FORMACIÓN TITULADA'!#REF!,"AAAAAHv+u9o=")</f>
        <v>#REF!</v>
      </c>
      <c r="HL323" t="e">
        <f>AND('PROG FORMACIÓN TITULADA'!#REF!,"AAAAAHv+u9s=")</f>
        <v>#REF!</v>
      </c>
      <c r="HM323" t="e">
        <f>AND('PROG FORMACIÓN TITULADA'!#REF!,"AAAAAHv+u9w=")</f>
        <v>#REF!</v>
      </c>
      <c r="HN323" t="e">
        <f>AND('PROG FORMACIÓN TITULADA'!#REF!,"AAAAAHv+u90=")</f>
        <v>#REF!</v>
      </c>
      <c r="HO323" t="e">
        <f>AND('PROG FORMACIÓN TITULADA'!#REF!,"AAAAAHv+u94=")</f>
        <v>#REF!</v>
      </c>
      <c r="HP323" t="e">
        <f>AND('PROG FORMACIÓN TITULADA'!#REF!,"AAAAAHv+u98=")</f>
        <v>#REF!</v>
      </c>
      <c r="HQ323" t="e">
        <f>AND('PROG FORMACIÓN TITULADA'!#REF!,"AAAAAHv+u+A=")</f>
        <v>#REF!</v>
      </c>
      <c r="HR323" t="e">
        <f>AND('PROG FORMACIÓN TITULADA'!#REF!,"AAAAAHv+u+E=")</f>
        <v>#REF!</v>
      </c>
      <c r="HS323" t="e">
        <f>AND('PROG FORMACIÓN TITULADA'!#REF!,"AAAAAHv+u+I=")</f>
        <v>#REF!</v>
      </c>
      <c r="HT323" t="e">
        <f>AND('PROG FORMACIÓN TITULADA'!#REF!,"AAAAAHv+u+M=")</f>
        <v>#REF!</v>
      </c>
      <c r="HU323" t="e">
        <f>AND('PROG FORMACIÓN TITULADA'!#REF!,"AAAAAHv+u+Q=")</f>
        <v>#REF!</v>
      </c>
      <c r="HV323" t="e">
        <f>AND('PROG FORMACIÓN TITULADA'!#REF!,"AAAAAHv+u+U=")</f>
        <v>#REF!</v>
      </c>
      <c r="HW323" t="e">
        <f>AND('PROG FORMACIÓN TITULADA'!#REF!,"AAAAAHv+u+Y=")</f>
        <v>#REF!</v>
      </c>
      <c r="HX323" t="e">
        <f>AND('PROG FORMACIÓN TITULADA'!#REF!,"AAAAAHv+u+c=")</f>
        <v>#REF!</v>
      </c>
      <c r="HY323" t="e">
        <f>AND('PROG FORMACIÓN TITULADA'!#REF!,"AAAAAHv+u+g=")</f>
        <v>#REF!</v>
      </c>
      <c r="HZ323" t="e">
        <f>AND('PROG FORMACIÓN TITULADA'!#REF!,"AAAAAHv+u+k=")</f>
        <v>#REF!</v>
      </c>
      <c r="IA323" t="e">
        <f>AND('PROG FORMACIÓN TITULADA'!#REF!,"AAAAAHv+u+o=")</f>
        <v>#REF!</v>
      </c>
      <c r="IB323" t="e">
        <f>AND('PROG FORMACIÓN TITULADA'!#REF!,"AAAAAHv+u+s=")</f>
        <v>#REF!</v>
      </c>
      <c r="IC323" t="e">
        <f>AND('PROG FORMACIÓN TITULADA'!#REF!,"AAAAAHv+u+w=")</f>
        <v>#REF!</v>
      </c>
      <c r="ID323" t="e">
        <f>AND('PROG FORMACIÓN TITULADA'!#REF!,"AAAAAHv+u+0=")</f>
        <v>#REF!</v>
      </c>
      <c r="IE323" t="e">
        <f>AND('PROG FORMACIÓN TITULADA'!#REF!,"AAAAAHv+u+4=")</f>
        <v>#REF!</v>
      </c>
      <c r="IF323" t="e">
        <f>AND('PROG FORMACIÓN TITULADA'!#REF!,"AAAAAHv+u+8=")</f>
        <v>#REF!</v>
      </c>
      <c r="IG323" t="e">
        <f>AND('PROG FORMACIÓN TITULADA'!#REF!,"AAAAAHv+u/A=")</f>
        <v>#REF!</v>
      </c>
      <c r="IH323" t="e">
        <f>AND('PROG FORMACIÓN TITULADA'!#REF!,"AAAAAHv+u/E=")</f>
        <v>#REF!</v>
      </c>
      <c r="II323" t="e">
        <f>IF('PROG FORMACIÓN TITULADA'!#REF!,"AAAAAHv+u/I=",0)</f>
        <v>#REF!</v>
      </c>
      <c r="IJ323" t="e">
        <f>AND('PROG FORMACIÓN TITULADA'!#REF!,"AAAAAHv+u/M=")</f>
        <v>#REF!</v>
      </c>
      <c r="IK323" t="e">
        <f>AND('PROG FORMACIÓN TITULADA'!#REF!,"AAAAAHv+u/Q=")</f>
        <v>#REF!</v>
      </c>
      <c r="IL323" t="e">
        <f>AND('PROG FORMACIÓN TITULADA'!#REF!,"AAAAAHv+u/U=")</f>
        <v>#REF!</v>
      </c>
      <c r="IM323" t="e">
        <f>AND('PROG FORMACIÓN TITULADA'!#REF!,"AAAAAHv+u/Y=")</f>
        <v>#REF!</v>
      </c>
      <c r="IN323" t="e">
        <f>AND('PROG FORMACIÓN TITULADA'!#REF!,"AAAAAHv+u/c=")</f>
        <v>#REF!</v>
      </c>
      <c r="IO323" t="e">
        <f>AND('PROG FORMACIÓN TITULADA'!#REF!,"AAAAAHv+u/g=")</f>
        <v>#REF!</v>
      </c>
      <c r="IP323" t="e">
        <f>AND('PROG FORMACIÓN TITULADA'!#REF!,"AAAAAHv+u/k=")</f>
        <v>#REF!</v>
      </c>
      <c r="IQ323" t="e">
        <f>AND('PROG FORMACIÓN TITULADA'!#REF!,"AAAAAHv+u/o=")</f>
        <v>#REF!</v>
      </c>
      <c r="IR323" t="e">
        <f>AND('PROG FORMACIÓN TITULADA'!#REF!,"AAAAAHv+u/s=")</f>
        <v>#REF!</v>
      </c>
      <c r="IS323" t="e">
        <f>AND('PROG FORMACIÓN TITULADA'!#REF!,"AAAAAHv+u/w=")</f>
        <v>#REF!</v>
      </c>
      <c r="IT323" t="e">
        <f>AND('PROG FORMACIÓN TITULADA'!#REF!,"AAAAAHv+u/0=")</f>
        <v>#REF!</v>
      </c>
      <c r="IU323" t="e">
        <f>AND('PROG FORMACIÓN TITULADA'!#REF!,"AAAAAHv+u/4=")</f>
        <v>#REF!</v>
      </c>
      <c r="IV323" t="e">
        <f>AND('PROG FORMACIÓN TITULADA'!#REF!,"AAAAAHv+u/8=")</f>
        <v>#REF!</v>
      </c>
    </row>
    <row r="324" spans="1:256" x14ac:dyDescent="0.2">
      <c r="A324" t="e">
        <f>AND('PROG FORMACIÓN TITULADA'!#REF!,"AAAAAG4e7wA=")</f>
        <v>#REF!</v>
      </c>
      <c r="B324" t="e">
        <f>AND('PROG FORMACIÓN TITULADA'!#REF!,"AAAAAG4e7wE=")</f>
        <v>#REF!</v>
      </c>
      <c r="C324" t="e">
        <f>AND('PROG FORMACIÓN TITULADA'!#REF!,"AAAAAG4e7wI=")</f>
        <v>#REF!</v>
      </c>
      <c r="D324" t="e">
        <f>AND('PROG FORMACIÓN TITULADA'!#REF!,"AAAAAG4e7wM=")</f>
        <v>#REF!</v>
      </c>
      <c r="E324" t="e">
        <f>AND('PROG FORMACIÓN TITULADA'!#REF!,"AAAAAG4e7wQ=")</f>
        <v>#REF!</v>
      </c>
      <c r="F324" t="e">
        <f>AND('PROG FORMACIÓN TITULADA'!#REF!,"AAAAAG4e7wU=")</f>
        <v>#REF!</v>
      </c>
      <c r="G324" t="e">
        <f>AND('PROG FORMACIÓN TITULADA'!#REF!,"AAAAAG4e7wY=")</f>
        <v>#REF!</v>
      </c>
      <c r="H324" t="e">
        <f>AND('PROG FORMACIÓN TITULADA'!#REF!,"AAAAAG4e7wc=")</f>
        <v>#REF!</v>
      </c>
      <c r="I324" t="e">
        <f>AND('PROG FORMACIÓN TITULADA'!#REF!,"AAAAAG4e7wg=")</f>
        <v>#REF!</v>
      </c>
      <c r="J324" t="e">
        <f>AND('PROG FORMACIÓN TITULADA'!#REF!,"AAAAAG4e7wk=")</f>
        <v>#REF!</v>
      </c>
      <c r="K324" t="e">
        <f>AND('PROG FORMACIÓN TITULADA'!#REF!,"AAAAAG4e7wo=")</f>
        <v>#REF!</v>
      </c>
      <c r="L324" t="e">
        <f>AND('PROG FORMACIÓN TITULADA'!#REF!,"AAAAAG4e7ws=")</f>
        <v>#REF!</v>
      </c>
      <c r="M324" t="e">
        <f>AND('PROG FORMACIÓN TITULADA'!#REF!,"AAAAAG4e7ww=")</f>
        <v>#REF!</v>
      </c>
      <c r="N324" t="e">
        <f>IF('PROG FORMACIÓN TITULADA'!#REF!,"AAAAAG4e7w0=",0)</f>
        <v>#REF!</v>
      </c>
      <c r="O324" t="e">
        <f>AND('PROG FORMACIÓN TITULADA'!#REF!,"AAAAAG4e7w4=")</f>
        <v>#REF!</v>
      </c>
      <c r="P324" t="e">
        <f>AND('PROG FORMACIÓN TITULADA'!#REF!,"AAAAAG4e7w8=")</f>
        <v>#REF!</v>
      </c>
      <c r="Q324" t="e">
        <f>AND('PROG FORMACIÓN TITULADA'!#REF!,"AAAAAG4e7xA=")</f>
        <v>#REF!</v>
      </c>
      <c r="R324" t="e">
        <f>AND('PROG FORMACIÓN TITULADA'!#REF!,"AAAAAG4e7xE=")</f>
        <v>#REF!</v>
      </c>
      <c r="S324" t="e">
        <f>AND('PROG FORMACIÓN TITULADA'!#REF!,"AAAAAG4e7xI=")</f>
        <v>#REF!</v>
      </c>
      <c r="T324" t="e">
        <f>AND('PROG FORMACIÓN TITULADA'!#REF!,"AAAAAG4e7xM=")</f>
        <v>#REF!</v>
      </c>
      <c r="U324" t="e">
        <f>AND('PROG FORMACIÓN TITULADA'!#REF!,"AAAAAG4e7xQ=")</f>
        <v>#REF!</v>
      </c>
      <c r="V324" t="e">
        <f>AND('PROG FORMACIÓN TITULADA'!#REF!,"AAAAAG4e7xU=")</f>
        <v>#REF!</v>
      </c>
      <c r="W324" t="e">
        <f>AND('PROG FORMACIÓN TITULADA'!#REF!,"AAAAAG4e7xY=")</f>
        <v>#REF!</v>
      </c>
      <c r="X324" t="e">
        <f>AND('PROG FORMACIÓN TITULADA'!#REF!,"AAAAAG4e7xc=")</f>
        <v>#REF!</v>
      </c>
      <c r="Y324" t="e">
        <f>AND('PROG FORMACIÓN TITULADA'!#REF!,"AAAAAG4e7xg=")</f>
        <v>#REF!</v>
      </c>
      <c r="Z324" t="e">
        <f>AND('PROG FORMACIÓN TITULADA'!#REF!,"AAAAAG4e7xk=")</f>
        <v>#REF!</v>
      </c>
      <c r="AA324" t="e">
        <f>AND('PROG FORMACIÓN TITULADA'!#REF!,"AAAAAG4e7xo=")</f>
        <v>#REF!</v>
      </c>
      <c r="AB324" t="e">
        <f>AND('PROG FORMACIÓN TITULADA'!#REF!,"AAAAAG4e7xs=")</f>
        <v>#REF!</v>
      </c>
      <c r="AC324" t="e">
        <f>AND('PROG FORMACIÓN TITULADA'!#REF!,"AAAAAG4e7xw=")</f>
        <v>#REF!</v>
      </c>
      <c r="AD324" t="e">
        <f>AND('PROG FORMACIÓN TITULADA'!#REF!,"AAAAAG4e7x0=")</f>
        <v>#REF!</v>
      </c>
      <c r="AE324" t="e">
        <f>AND('PROG FORMACIÓN TITULADA'!#REF!,"AAAAAG4e7x4=")</f>
        <v>#REF!</v>
      </c>
      <c r="AF324" t="e">
        <f>AND('PROG FORMACIÓN TITULADA'!#REF!,"AAAAAG4e7x8=")</f>
        <v>#REF!</v>
      </c>
      <c r="AG324" t="e">
        <f>AND('PROG FORMACIÓN TITULADA'!#REF!,"AAAAAG4e7yA=")</f>
        <v>#REF!</v>
      </c>
      <c r="AH324" t="e">
        <f>AND('PROG FORMACIÓN TITULADA'!#REF!,"AAAAAG4e7yE=")</f>
        <v>#REF!</v>
      </c>
      <c r="AI324" t="e">
        <f>AND('PROG FORMACIÓN TITULADA'!#REF!,"AAAAAG4e7yI=")</f>
        <v>#REF!</v>
      </c>
      <c r="AJ324" t="e">
        <f>AND('PROG FORMACIÓN TITULADA'!#REF!,"AAAAAG4e7yM=")</f>
        <v>#REF!</v>
      </c>
      <c r="AK324" t="e">
        <f>AND('PROG FORMACIÓN TITULADA'!#REF!,"AAAAAG4e7yQ=")</f>
        <v>#REF!</v>
      </c>
      <c r="AL324" t="e">
        <f>AND('PROG FORMACIÓN TITULADA'!#REF!,"AAAAAG4e7yU=")</f>
        <v>#REF!</v>
      </c>
      <c r="AM324" t="e">
        <f>AND('PROG FORMACIÓN TITULADA'!#REF!,"AAAAAG4e7yY=")</f>
        <v>#REF!</v>
      </c>
      <c r="AN324" t="e">
        <f>AND('PROG FORMACIÓN TITULADA'!#REF!,"AAAAAG4e7yc=")</f>
        <v>#REF!</v>
      </c>
      <c r="AO324" t="e">
        <f>IF('PROG FORMACIÓN TITULADA'!#REF!,"AAAAAG4e7yg=",0)</f>
        <v>#REF!</v>
      </c>
      <c r="AP324" t="e">
        <f>AND('PROG FORMACIÓN TITULADA'!#REF!,"AAAAAG4e7yk=")</f>
        <v>#REF!</v>
      </c>
      <c r="AQ324" t="e">
        <f>AND('PROG FORMACIÓN TITULADA'!#REF!,"AAAAAG4e7yo=")</f>
        <v>#REF!</v>
      </c>
      <c r="AR324" t="e">
        <f>AND('PROG FORMACIÓN TITULADA'!#REF!,"AAAAAG4e7ys=")</f>
        <v>#REF!</v>
      </c>
      <c r="AS324" t="e">
        <f>AND('PROG FORMACIÓN TITULADA'!#REF!,"AAAAAG4e7yw=")</f>
        <v>#REF!</v>
      </c>
      <c r="AT324" t="e">
        <f>AND('PROG FORMACIÓN TITULADA'!#REF!,"AAAAAG4e7y0=")</f>
        <v>#REF!</v>
      </c>
      <c r="AU324" t="e">
        <f>AND('PROG FORMACIÓN TITULADA'!#REF!,"AAAAAG4e7y4=")</f>
        <v>#REF!</v>
      </c>
      <c r="AV324" t="e">
        <f>AND('PROG FORMACIÓN TITULADA'!#REF!,"AAAAAG4e7y8=")</f>
        <v>#REF!</v>
      </c>
      <c r="AW324" t="e">
        <f>AND('PROG FORMACIÓN TITULADA'!#REF!,"AAAAAG4e7zA=")</f>
        <v>#REF!</v>
      </c>
      <c r="AX324" t="e">
        <f>AND('PROG FORMACIÓN TITULADA'!#REF!,"AAAAAG4e7zE=")</f>
        <v>#REF!</v>
      </c>
      <c r="AY324" t="e">
        <f>AND('PROG FORMACIÓN TITULADA'!#REF!,"AAAAAG4e7zI=")</f>
        <v>#REF!</v>
      </c>
      <c r="AZ324" t="e">
        <f>AND('PROG FORMACIÓN TITULADA'!#REF!,"AAAAAG4e7zM=")</f>
        <v>#REF!</v>
      </c>
      <c r="BA324" t="e">
        <f>AND('PROG FORMACIÓN TITULADA'!#REF!,"AAAAAG4e7zQ=")</f>
        <v>#REF!</v>
      </c>
      <c r="BB324" t="e">
        <f>AND('PROG FORMACIÓN TITULADA'!#REF!,"AAAAAG4e7zU=")</f>
        <v>#REF!</v>
      </c>
      <c r="BC324" t="e">
        <f>AND('PROG FORMACIÓN TITULADA'!#REF!,"AAAAAG4e7zY=")</f>
        <v>#REF!</v>
      </c>
      <c r="BD324" t="e">
        <f>AND('PROG FORMACIÓN TITULADA'!#REF!,"AAAAAG4e7zc=")</f>
        <v>#REF!</v>
      </c>
      <c r="BE324" t="e">
        <f>AND('PROG FORMACIÓN TITULADA'!#REF!,"AAAAAG4e7zg=")</f>
        <v>#REF!</v>
      </c>
      <c r="BF324" t="e">
        <f>AND('PROG FORMACIÓN TITULADA'!#REF!,"AAAAAG4e7zk=")</f>
        <v>#REF!</v>
      </c>
      <c r="BG324" t="e">
        <f>AND('PROG FORMACIÓN TITULADA'!#REF!,"AAAAAG4e7zo=")</f>
        <v>#REF!</v>
      </c>
      <c r="BH324" t="e">
        <f>AND('PROG FORMACIÓN TITULADA'!#REF!,"AAAAAG4e7zs=")</f>
        <v>#REF!</v>
      </c>
      <c r="BI324" t="e">
        <f>AND('PROG FORMACIÓN TITULADA'!#REF!,"AAAAAG4e7zw=")</f>
        <v>#REF!</v>
      </c>
      <c r="BJ324" t="e">
        <f>AND('PROG FORMACIÓN TITULADA'!#REF!,"AAAAAG4e7z0=")</f>
        <v>#REF!</v>
      </c>
      <c r="BK324" t="e">
        <f>AND('PROG FORMACIÓN TITULADA'!#REF!,"AAAAAG4e7z4=")</f>
        <v>#REF!</v>
      </c>
      <c r="BL324" t="e">
        <f>AND('PROG FORMACIÓN TITULADA'!#REF!,"AAAAAG4e7z8=")</f>
        <v>#REF!</v>
      </c>
      <c r="BM324" t="e">
        <f>AND('PROG FORMACIÓN TITULADA'!#REF!,"AAAAAG4e70A=")</f>
        <v>#REF!</v>
      </c>
      <c r="BN324" t="e">
        <f>AND('PROG FORMACIÓN TITULADA'!#REF!,"AAAAAG4e70E=")</f>
        <v>#REF!</v>
      </c>
      <c r="BO324" t="e">
        <f>AND('PROG FORMACIÓN TITULADA'!#REF!,"AAAAAG4e70I=")</f>
        <v>#REF!</v>
      </c>
      <c r="BP324" t="e">
        <f>IF('PROG FORMACIÓN TITULADA'!#REF!,"AAAAAG4e70M=",0)</f>
        <v>#REF!</v>
      </c>
      <c r="BQ324" t="e">
        <f>AND('PROG FORMACIÓN TITULADA'!#REF!,"AAAAAG4e70Q=")</f>
        <v>#REF!</v>
      </c>
      <c r="BR324" t="e">
        <f>AND('PROG FORMACIÓN TITULADA'!#REF!,"AAAAAG4e70U=")</f>
        <v>#REF!</v>
      </c>
      <c r="BS324" t="e">
        <f>AND('PROG FORMACIÓN TITULADA'!#REF!,"AAAAAG4e70Y=")</f>
        <v>#REF!</v>
      </c>
      <c r="BT324" t="e">
        <f>AND('PROG FORMACIÓN TITULADA'!#REF!,"AAAAAG4e70c=")</f>
        <v>#REF!</v>
      </c>
      <c r="BU324" t="e">
        <f>AND('PROG FORMACIÓN TITULADA'!#REF!,"AAAAAG4e70g=")</f>
        <v>#REF!</v>
      </c>
      <c r="BV324" t="e">
        <f>AND('PROG FORMACIÓN TITULADA'!#REF!,"AAAAAG4e70k=")</f>
        <v>#REF!</v>
      </c>
      <c r="BW324" t="e">
        <f>AND('PROG FORMACIÓN TITULADA'!#REF!,"AAAAAG4e70o=")</f>
        <v>#REF!</v>
      </c>
      <c r="BX324" t="e">
        <f>AND('PROG FORMACIÓN TITULADA'!#REF!,"AAAAAG4e70s=")</f>
        <v>#REF!</v>
      </c>
      <c r="BY324" t="e">
        <f>AND('PROG FORMACIÓN TITULADA'!#REF!,"AAAAAG4e70w=")</f>
        <v>#REF!</v>
      </c>
      <c r="BZ324" t="e">
        <f>AND('PROG FORMACIÓN TITULADA'!#REF!,"AAAAAG4e700=")</f>
        <v>#REF!</v>
      </c>
      <c r="CA324" t="e">
        <f>AND('PROG FORMACIÓN TITULADA'!#REF!,"AAAAAG4e704=")</f>
        <v>#REF!</v>
      </c>
      <c r="CB324" t="e">
        <f>AND('PROG FORMACIÓN TITULADA'!#REF!,"AAAAAG4e708=")</f>
        <v>#REF!</v>
      </c>
      <c r="CC324" t="e">
        <f>AND('PROG FORMACIÓN TITULADA'!#REF!,"AAAAAG4e71A=")</f>
        <v>#REF!</v>
      </c>
      <c r="CD324" t="e">
        <f>AND('PROG FORMACIÓN TITULADA'!#REF!,"AAAAAG4e71E=")</f>
        <v>#REF!</v>
      </c>
      <c r="CE324" t="e">
        <f>AND('PROG FORMACIÓN TITULADA'!#REF!,"AAAAAG4e71I=")</f>
        <v>#REF!</v>
      </c>
      <c r="CF324" t="e">
        <f>AND('PROG FORMACIÓN TITULADA'!#REF!,"AAAAAG4e71M=")</f>
        <v>#REF!</v>
      </c>
      <c r="CG324" t="e">
        <f>AND('PROG FORMACIÓN TITULADA'!#REF!,"AAAAAG4e71Q=")</f>
        <v>#REF!</v>
      </c>
      <c r="CH324" t="e">
        <f>AND('PROG FORMACIÓN TITULADA'!#REF!,"AAAAAG4e71U=")</f>
        <v>#REF!</v>
      </c>
      <c r="CI324" t="e">
        <f>AND('PROG FORMACIÓN TITULADA'!#REF!,"AAAAAG4e71Y=")</f>
        <v>#REF!</v>
      </c>
      <c r="CJ324" t="e">
        <f>AND('PROG FORMACIÓN TITULADA'!#REF!,"AAAAAG4e71c=")</f>
        <v>#REF!</v>
      </c>
      <c r="CK324" t="e">
        <f>AND('PROG FORMACIÓN TITULADA'!#REF!,"AAAAAG4e71g=")</f>
        <v>#REF!</v>
      </c>
      <c r="CL324" t="e">
        <f>AND('PROG FORMACIÓN TITULADA'!#REF!,"AAAAAG4e71k=")</f>
        <v>#REF!</v>
      </c>
      <c r="CM324" t="e">
        <f>AND('PROG FORMACIÓN TITULADA'!#REF!,"AAAAAG4e71o=")</f>
        <v>#REF!</v>
      </c>
      <c r="CN324" t="e">
        <f>AND('PROG FORMACIÓN TITULADA'!#REF!,"AAAAAG4e71s=")</f>
        <v>#REF!</v>
      </c>
      <c r="CO324" t="e">
        <f>AND('PROG FORMACIÓN TITULADA'!#REF!,"AAAAAG4e71w=")</f>
        <v>#REF!</v>
      </c>
      <c r="CP324" t="e">
        <f>AND('PROG FORMACIÓN TITULADA'!#REF!,"AAAAAG4e710=")</f>
        <v>#REF!</v>
      </c>
      <c r="CQ324" t="e">
        <f>IF('PROG FORMACIÓN TITULADA'!#REF!,"AAAAAG4e714=",0)</f>
        <v>#REF!</v>
      </c>
      <c r="CR324" t="e">
        <f>AND('PROG FORMACIÓN TITULADA'!#REF!,"AAAAAG4e718=")</f>
        <v>#REF!</v>
      </c>
      <c r="CS324" t="e">
        <f>AND('PROG FORMACIÓN TITULADA'!#REF!,"AAAAAG4e72A=")</f>
        <v>#REF!</v>
      </c>
      <c r="CT324" t="e">
        <f>AND('PROG FORMACIÓN TITULADA'!#REF!,"AAAAAG4e72E=")</f>
        <v>#REF!</v>
      </c>
      <c r="CU324" t="e">
        <f>AND('PROG FORMACIÓN TITULADA'!#REF!,"AAAAAG4e72I=")</f>
        <v>#REF!</v>
      </c>
      <c r="CV324" t="e">
        <f>AND('PROG FORMACIÓN TITULADA'!#REF!,"AAAAAG4e72M=")</f>
        <v>#REF!</v>
      </c>
      <c r="CW324" t="e">
        <f>AND('PROG FORMACIÓN TITULADA'!#REF!,"AAAAAG4e72Q=")</f>
        <v>#REF!</v>
      </c>
      <c r="CX324" t="e">
        <f>AND('PROG FORMACIÓN TITULADA'!#REF!,"AAAAAG4e72U=")</f>
        <v>#REF!</v>
      </c>
      <c r="CY324" t="e">
        <f>AND('PROG FORMACIÓN TITULADA'!#REF!,"AAAAAG4e72Y=")</f>
        <v>#REF!</v>
      </c>
      <c r="CZ324" t="e">
        <f>AND('PROG FORMACIÓN TITULADA'!#REF!,"AAAAAG4e72c=")</f>
        <v>#REF!</v>
      </c>
      <c r="DA324" t="e">
        <f>AND('PROG FORMACIÓN TITULADA'!#REF!,"AAAAAG4e72g=")</f>
        <v>#REF!</v>
      </c>
      <c r="DB324" t="e">
        <f>AND('PROG FORMACIÓN TITULADA'!#REF!,"AAAAAG4e72k=")</f>
        <v>#REF!</v>
      </c>
      <c r="DC324" t="e">
        <f>AND('PROG FORMACIÓN TITULADA'!#REF!,"AAAAAG4e72o=")</f>
        <v>#REF!</v>
      </c>
      <c r="DD324" t="e">
        <f>AND('PROG FORMACIÓN TITULADA'!#REF!,"AAAAAG4e72s=")</f>
        <v>#REF!</v>
      </c>
      <c r="DE324" t="e">
        <f>AND('PROG FORMACIÓN TITULADA'!#REF!,"AAAAAG4e72w=")</f>
        <v>#REF!</v>
      </c>
      <c r="DF324" t="e">
        <f>AND('PROG FORMACIÓN TITULADA'!#REF!,"AAAAAG4e720=")</f>
        <v>#REF!</v>
      </c>
      <c r="DG324" t="e">
        <f>AND('PROG FORMACIÓN TITULADA'!#REF!,"AAAAAG4e724=")</f>
        <v>#REF!</v>
      </c>
      <c r="DH324" t="e">
        <f>AND('PROG FORMACIÓN TITULADA'!#REF!,"AAAAAG4e728=")</f>
        <v>#REF!</v>
      </c>
      <c r="DI324" t="e">
        <f>AND('PROG FORMACIÓN TITULADA'!#REF!,"AAAAAG4e73A=")</f>
        <v>#REF!</v>
      </c>
      <c r="DJ324" t="e">
        <f>AND('PROG FORMACIÓN TITULADA'!#REF!,"AAAAAG4e73E=")</f>
        <v>#REF!</v>
      </c>
      <c r="DK324" t="e">
        <f>AND('PROG FORMACIÓN TITULADA'!#REF!,"AAAAAG4e73I=")</f>
        <v>#REF!</v>
      </c>
      <c r="DL324" t="e">
        <f>AND('PROG FORMACIÓN TITULADA'!#REF!,"AAAAAG4e73M=")</f>
        <v>#REF!</v>
      </c>
      <c r="DM324" t="e">
        <f>AND('PROG FORMACIÓN TITULADA'!#REF!,"AAAAAG4e73Q=")</f>
        <v>#REF!</v>
      </c>
      <c r="DN324" t="e">
        <f>AND('PROG FORMACIÓN TITULADA'!#REF!,"AAAAAG4e73U=")</f>
        <v>#REF!</v>
      </c>
      <c r="DO324" t="e">
        <f>AND('PROG FORMACIÓN TITULADA'!#REF!,"AAAAAG4e73Y=")</f>
        <v>#REF!</v>
      </c>
      <c r="DP324" t="e">
        <f>AND('PROG FORMACIÓN TITULADA'!#REF!,"AAAAAG4e73c=")</f>
        <v>#REF!</v>
      </c>
      <c r="DQ324" t="e">
        <f>AND('PROG FORMACIÓN TITULADA'!#REF!,"AAAAAG4e73g=")</f>
        <v>#REF!</v>
      </c>
      <c r="DR324" t="e">
        <f>IF('PROG FORMACIÓN TITULADA'!#REF!,"AAAAAG4e73k=",0)</f>
        <v>#REF!</v>
      </c>
      <c r="DS324" t="e">
        <f>AND('PROG FORMACIÓN TITULADA'!#REF!,"AAAAAG4e73o=")</f>
        <v>#REF!</v>
      </c>
      <c r="DT324" t="e">
        <f>AND('PROG FORMACIÓN TITULADA'!#REF!,"AAAAAG4e73s=")</f>
        <v>#REF!</v>
      </c>
      <c r="DU324" t="e">
        <f>AND('PROG FORMACIÓN TITULADA'!#REF!,"AAAAAG4e73w=")</f>
        <v>#REF!</v>
      </c>
      <c r="DV324" t="e">
        <f>AND('PROG FORMACIÓN TITULADA'!#REF!,"AAAAAG4e730=")</f>
        <v>#REF!</v>
      </c>
      <c r="DW324" t="e">
        <f>AND('PROG FORMACIÓN TITULADA'!#REF!,"AAAAAG4e734=")</f>
        <v>#REF!</v>
      </c>
      <c r="DX324" t="e">
        <f>AND('PROG FORMACIÓN TITULADA'!#REF!,"AAAAAG4e738=")</f>
        <v>#REF!</v>
      </c>
      <c r="DY324" t="e">
        <f>AND('PROG FORMACIÓN TITULADA'!#REF!,"AAAAAG4e74A=")</f>
        <v>#REF!</v>
      </c>
      <c r="DZ324" t="e">
        <f>AND('PROG FORMACIÓN TITULADA'!#REF!,"AAAAAG4e74E=")</f>
        <v>#REF!</v>
      </c>
      <c r="EA324" t="e">
        <f>AND('PROG FORMACIÓN TITULADA'!#REF!,"AAAAAG4e74I=")</f>
        <v>#REF!</v>
      </c>
      <c r="EB324" t="e">
        <f>AND('PROG FORMACIÓN TITULADA'!#REF!,"AAAAAG4e74M=")</f>
        <v>#REF!</v>
      </c>
      <c r="EC324" t="e">
        <f>AND('PROG FORMACIÓN TITULADA'!#REF!,"AAAAAG4e74Q=")</f>
        <v>#REF!</v>
      </c>
      <c r="ED324" t="e">
        <f>AND('PROG FORMACIÓN TITULADA'!#REF!,"AAAAAG4e74U=")</f>
        <v>#REF!</v>
      </c>
      <c r="EE324" t="e">
        <f>AND('PROG FORMACIÓN TITULADA'!#REF!,"AAAAAG4e74Y=")</f>
        <v>#REF!</v>
      </c>
      <c r="EF324" t="e">
        <f>AND('PROG FORMACIÓN TITULADA'!#REF!,"AAAAAG4e74c=")</f>
        <v>#REF!</v>
      </c>
      <c r="EG324" t="e">
        <f>AND('PROG FORMACIÓN TITULADA'!#REF!,"AAAAAG4e74g=")</f>
        <v>#REF!</v>
      </c>
      <c r="EH324" t="e">
        <f>AND('PROG FORMACIÓN TITULADA'!#REF!,"AAAAAG4e74k=")</f>
        <v>#REF!</v>
      </c>
      <c r="EI324" t="e">
        <f>AND('PROG FORMACIÓN TITULADA'!#REF!,"AAAAAG4e74o=")</f>
        <v>#REF!</v>
      </c>
      <c r="EJ324" t="e">
        <f>AND('PROG FORMACIÓN TITULADA'!#REF!,"AAAAAG4e74s=")</f>
        <v>#REF!</v>
      </c>
      <c r="EK324" t="e">
        <f>AND('PROG FORMACIÓN TITULADA'!#REF!,"AAAAAG4e74w=")</f>
        <v>#REF!</v>
      </c>
      <c r="EL324" t="e">
        <f>AND('PROG FORMACIÓN TITULADA'!#REF!,"AAAAAG4e740=")</f>
        <v>#REF!</v>
      </c>
      <c r="EM324" t="e">
        <f>AND('PROG FORMACIÓN TITULADA'!#REF!,"AAAAAG4e744=")</f>
        <v>#REF!</v>
      </c>
      <c r="EN324" t="e">
        <f>AND('PROG FORMACIÓN TITULADA'!#REF!,"AAAAAG4e748=")</f>
        <v>#REF!</v>
      </c>
      <c r="EO324" t="e">
        <f>AND('PROG FORMACIÓN TITULADA'!#REF!,"AAAAAG4e75A=")</f>
        <v>#REF!</v>
      </c>
      <c r="EP324" t="e">
        <f>AND('PROG FORMACIÓN TITULADA'!#REF!,"AAAAAG4e75E=")</f>
        <v>#REF!</v>
      </c>
      <c r="EQ324" t="e">
        <f>AND('PROG FORMACIÓN TITULADA'!#REF!,"AAAAAG4e75I=")</f>
        <v>#REF!</v>
      </c>
      <c r="ER324" t="e">
        <f>AND('PROG FORMACIÓN TITULADA'!#REF!,"AAAAAG4e75M=")</f>
        <v>#REF!</v>
      </c>
      <c r="ES324" t="e">
        <f>IF('PROG FORMACIÓN TITULADA'!#REF!,"AAAAAG4e75Q=",0)</f>
        <v>#REF!</v>
      </c>
      <c r="ET324" t="e">
        <f>AND('PROG FORMACIÓN TITULADA'!#REF!,"AAAAAG4e75U=")</f>
        <v>#REF!</v>
      </c>
      <c r="EU324" t="e">
        <f>AND('PROG FORMACIÓN TITULADA'!#REF!,"AAAAAG4e75Y=")</f>
        <v>#REF!</v>
      </c>
      <c r="EV324" t="e">
        <f>AND('PROG FORMACIÓN TITULADA'!#REF!,"AAAAAG4e75c=")</f>
        <v>#REF!</v>
      </c>
      <c r="EW324" t="e">
        <f>AND('PROG FORMACIÓN TITULADA'!#REF!,"AAAAAG4e75g=")</f>
        <v>#REF!</v>
      </c>
      <c r="EX324" t="e">
        <f>AND('PROG FORMACIÓN TITULADA'!#REF!,"AAAAAG4e75k=")</f>
        <v>#REF!</v>
      </c>
      <c r="EY324" t="e">
        <f>AND('PROG FORMACIÓN TITULADA'!#REF!,"AAAAAG4e75o=")</f>
        <v>#REF!</v>
      </c>
      <c r="EZ324" t="e">
        <f>AND('PROG FORMACIÓN TITULADA'!#REF!,"AAAAAG4e75s=")</f>
        <v>#REF!</v>
      </c>
      <c r="FA324" t="e">
        <f>AND('PROG FORMACIÓN TITULADA'!#REF!,"AAAAAG4e75w=")</f>
        <v>#REF!</v>
      </c>
      <c r="FB324" t="e">
        <f>AND('PROG FORMACIÓN TITULADA'!#REF!,"AAAAAG4e750=")</f>
        <v>#REF!</v>
      </c>
      <c r="FC324" t="e">
        <f>AND('PROG FORMACIÓN TITULADA'!#REF!,"AAAAAG4e754=")</f>
        <v>#REF!</v>
      </c>
      <c r="FD324" t="e">
        <f>AND('PROG FORMACIÓN TITULADA'!#REF!,"AAAAAG4e758=")</f>
        <v>#REF!</v>
      </c>
      <c r="FE324" t="e">
        <f>AND('PROG FORMACIÓN TITULADA'!#REF!,"AAAAAG4e76A=")</f>
        <v>#REF!</v>
      </c>
      <c r="FF324" t="e">
        <f>AND('PROG FORMACIÓN TITULADA'!#REF!,"AAAAAG4e76E=")</f>
        <v>#REF!</v>
      </c>
      <c r="FG324" t="e">
        <f>AND('PROG FORMACIÓN TITULADA'!#REF!,"AAAAAG4e76I=")</f>
        <v>#REF!</v>
      </c>
      <c r="FH324" t="e">
        <f>AND('PROG FORMACIÓN TITULADA'!#REF!,"AAAAAG4e76M=")</f>
        <v>#REF!</v>
      </c>
      <c r="FI324" t="e">
        <f>AND('PROG FORMACIÓN TITULADA'!#REF!,"AAAAAG4e76Q=")</f>
        <v>#REF!</v>
      </c>
      <c r="FJ324" t="e">
        <f>AND('PROG FORMACIÓN TITULADA'!#REF!,"AAAAAG4e76U=")</f>
        <v>#REF!</v>
      </c>
      <c r="FK324" t="e">
        <f>AND('PROG FORMACIÓN TITULADA'!#REF!,"AAAAAG4e76Y=")</f>
        <v>#REF!</v>
      </c>
      <c r="FL324" t="e">
        <f>AND('PROG FORMACIÓN TITULADA'!#REF!,"AAAAAG4e76c=")</f>
        <v>#REF!</v>
      </c>
      <c r="FM324" t="e">
        <f>AND('PROG FORMACIÓN TITULADA'!#REF!,"AAAAAG4e76g=")</f>
        <v>#REF!</v>
      </c>
      <c r="FN324" t="e">
        <f>AND('PROG FORMACIÓN TITULADA'!#REF!,"AAAAAG4e76k=")</f>
        <v>#REF!</v>
      </c>
      <c r="FO324" t="e">
        <f>AND('PROG FORMACIÓN TITULADA'!#REF!,"AAAAAG4e76o=")</f>
        <v>#REF!</v>
      </c>
      <c r="FP324" t="e">
        <f>AND('PROG FORMACIÓN TITULADA'!#REF!,"AAAAAG4e76s=")</f>
        <v>#REF!</v>
      </c>
      <c r="FQ324" t="e">
        <f>AND('PROG FORMACIÓN TITULADA'!#REF!,"AAAAAG4e76w=")</f>
        <v>#REF!</v>
      </c>
      <c r="FR324" t="e">
        <f>AND('PROG FORMACIÓN TITULADA'!#REF!,"AAAAAG4e760=")</f>
        <v>#REF!</v>
      </c>
      <c r="FS324" t="e">
        <f>AND('PROG FORMACIÓN TITULADA'!#REF!,"AAAAAG4e764=")</f>
        <v>#REF!</v>
      </c>
      <c r="FT324" t="e">
        <f>IF('PROG FORMACIÓN TITULADA'!#REF!,"AAAAAG4e768=",0)</f>
        <v>#REF!</v>
      </c>
      <c r="FU324" t="e">
        <f>AND('PROG FORMACIÓN TITULADA'!#REF!,"AAAAAG4e77A=")</f>
        <v>#REF!</v>
      </c>
      <c r="FV324" t="e">
        <f>AND('PROG FORMACIÓN TITULADA'!#REF!,"AAAAAG4e77E=")</f>
        <v>#REF!</v>
      </c>
      <c r="FW324" t="e">
        <f>AND('PROG FORMACIÓN TITULADA'!#REF!,"AAAAAG4e77I=")</f>
        <v>#REF!</v>
      </c>
      <c r="FX324" t="e">
        <f>AND('PROG FORMACIÓN TITULADA'!#REF!,"AAAAAG4e77M=")</f>
        <v>#REF!</v>
      </c>
      <c r="FY324" t="e">
        <f>AND('PROG FORMACIÓN TITULADA'!#REF!,"AAAAAG4e77Q=")</f>
        <v>#REF!</v>
      </c>
      <c r="FZ324" t="e">
        <f>AND('PROG FORMACIÓN TITULADA'!#REF!,"AAAAAG4e77U=")</f>
        <v>#REF!</v>
      </c>
      <c r="GA324" t="e">
        <f>AND('PROG FORMACIÓN TITULADA'!#REF!,"AAAAAG4e77Y=")</f>
        <v>#REF!</v>
      </c>
      <c r="GB324" t="e">
        <f>AND('PROG FORMACIÓN TITULADA'!#REF!,"AAAAAG4e77c=")</f>
        <v>#REF!</v>
      </c>
      <c r="GC324" t="e">
        <f>AND('PROG FORMACIÓN TITULADA'!#REF!,"AAAAAG4e77g=")</f>
        <v>#REF!</v>
      </c>
      <c r="GD324" t="e">
        <f>AND('PROG FORMACIÓN TITULADA'!#REF!,"AAAAAG4e77k=")</f>
        <v>#REF!</v>
      </c>
      <c r="GE324" t="e">
        <f>AND('PROG FORMACIÓN TITULADA'!#REF!,"AAAAAG4e77o=")</f>
        <v>#REF!</v>
      </c>
      <c r="GF324" t="e">
        <f>AND('PROG FORMACIÓN TITULADA'!#REF!,"AAAAAG4e77s=")</f>
        <v>#REF!</v>
      </c>
      <c r="GG324" t="e">
        <f>AND('PROG FORMACIÓN TITULADA'!#REF!,"AAAAAG4e77w=")</f>
        <v>#REF!</v>
      </c>
      <c r="GH324" t="e">
        <f>AND('PROG FORMACIÓN TITULADA'!#REF!,"AAAAAG4e770=")</f>
        <v>#REF!</v>
      </c>
      <c r="GI324" t="e">
        <f>AND('PROG FORMACIÓN TITULADA'!#REF!,"AAAAAG4e774=")</f>
        <v>#REF!</v>
      </c>
      <c r="GJ324" t="e">
        <f>AND('PROG FORMACIÓN TITULADA'!#REF!,"AAAAAG4e778=")</f>
        <v>#REF!</v>
      </c>
      <c r="GK324" t="e">
        <f>AND('PROG FORMACIÓN TITULADA'!#REF!,"AAAAAG4e78A=")</f>
        <v>#REF!</v>
      </c>
      <c r="GL324" t="e">
        <f>AND('PROG FORMACIÓN TITULADA'!#REF!,"AAAAAG4e78E=")</f>
        <v>#REF!</v>
      </c>
      <c r="GM324" t="e">
        <f>AND('PROG FORMACIÓN TITULADA'!#REF!,"AAAAAG4e78I=")</f>
        <v>#REF!</v>
      </c>
      <c r="GN324" t="e">
        <f>AND('PROG FORMACIÓN TITULADA'!#REF!,"AAAAAG4e78M=")</f>
        <v>#REF!</v>
      </c>
      <c r="GO324" t="e">
        <f>AND('PROG FORMACIÓN TITULADA'!#REF!,"AAAAAG4e78Q=")</f>
        <v>#REF!</v>
      </c>
      <c r="GP324" t="e">
        <f>AND('PROG FORMACIÓN TITULADA'!#REF!,"AAAAAG4e78U=")</f>
        <v>#REF!</v>
      </c>
      <c r="GQ324" t="e">
        <f>AND('PROG FORMACIÓN TITULADA'!#REF!,"AAAAAG4e78Y=")</f>
        <v>#REF!</v>
      </c>
      <c r="GR324" t="e">
        <f>AND('PROG FORMACIÓN TITULADA'!#REF!,"AAAAAG4e78c=")</f>
        <v>#REF!</v>
      </c>
      <c r="GS324" t="e">
        <f>AND('PROG FORMACIÓN TITULADA'!#REF!,"AAAAAG4e78g=")</f>
        <v>#REF!</v>
      </c>
      <c r="GT324" t="e">
        <f>AND('PROG FORMACIÓN TITULADA'!#REF!,"AAAAAG4e78k=")</f>
        <v>#REF!</v>
      </c>
      <c r="GU324" t="e">
        <f>IF('PROG FORMACIÓN TITULADA'!#REF!,"AAAAAG4e78o=",0)</f>
        <v>#REF!</v>
      </c>
      <c r="GV324" t="e">
        <f>AND('PROG FORMACIÓN TITULADA'!#REF!,"AAAAAG4e78s=")</f>
        <v>#REF!</v>
      </c>
      <c r="GW324" t="e">
        <f>AND('PROG FORMACIÓN TITULADA'!#REF!,"AAAAAG4e78w=")</f>
        <v>#REF!</v>
      </c>
      <c r="GX324" t="e">
        <f>AND('PROG FORMACIÓN TITULADA'!#REF!,"AAAAAG4e780=")</f>
        <v>#REF!</v>
      </c>
      <c r="GY324" t="e">
        <f>AND('PROG FORMACIÓN TITULADA'!#REF!,"AAAAAG4e784=")</f>
        <v>#REF!</v>
      </c>
      <c r="GZ324" t="e">
        <f>AND('PROG FORMACIÓN TITULADA'!#REF!,"AAAAAG4e788=")</f>
        <v>#REF!</v>
      </c>
      <c r="HA324" t="e">
        <f>AND('PROG FORMACIÓN TITULADA'!#REF!,"AAAAAG4e79A=")</f>
        <v>#REF!</v>
      </c>
      <c r="HB324" t="e">
        <f>AND('PROG FORMACIÓN TITULADA'!#REF!,"AAAAAG4e79E=")</f>
        <v>#REF!</v>
      </c>
      <c r="HC324" t="e">
        <f>AND('PROG FORMACIÓN TITULADA'!#REF!,"AAAAAG4e79I=")</f>
        <v>#REF!</v>
      </c>
      <c r="HD324" t="e">
        <f>AND('PROG FORMACIÓN TITULADA'!#REF!,"AAAAAG4e79M=")</f>
        <v>#REF!</v>
      </c>
      <c r="HE324" t="e">
        <f>AND('PROG FORMACIÓN TITULADA'!#REF!,"AAAAAG4e79Q=")</f>
        <v>#REF!</v>
      </c>
      <c r="HF324" t="e">
        <f>AND('PROG FORMACIÓN TITULADA'!#REF!,"AAAAAG4e79U=")</f>
        <v>#REF!</v>
      </c>
      <c r="HG324" t="e">
        <f>AND('PROG FORMACIÓN TITULADA'!#REF!,"AAAAAG4e79Y=")</f>
        <v>#REF!</v>
      </c>
      <c r="HH324" t="e">
        <f>AND('PROG FORMACIÓN TITULADA'!#REF!,"AAAAAG4e79c=")</f>
        <v>#REF!</v>
      </c>
      <c r="HI324" t="e">
        <f>AND('PROG FORMACIÓN TITULADA'!#REF!,"AAAAAG4e79g=")</f>
        <v>#REF!</v>
      </c>
      <c r="HJ324" t="e">
        <f>AND('PROG FORMACIÓN TITULADA'!#REF!,"AAAAAG4e79k=")</f>
        <v>#REF!</v>
      </c>
      <c r="HK324" t="e">
        <f>AND('PROG FORMACIÓN TITULADA'!#REF!,"AAAAAG4e79o=")</f>
        <v>#REF!</v>
      </c>
      <c r="HL324" t="e">
        <f>AND('PROG FORMACIÓN TITULADA'!#REF!,"AAAAAG4e79s=")</f>
        <v>#REF!</v>
      </c>
      <c r="HM324" t="e">
        <f>AND('PROG FORMACIÓN TITULADA'!#REF!,"AAAAAG4e79w=")</f>
        <v>#REF!</v>
      </c>
      <c r="HN324" t="e">
        <f>AND('PROG FORMACIÓN TITULADA'!#REF!,"AAAAAG4e790=")</f>
        <v>#REF!</v>
      </c>
      <c r="HO324" t="e">
        <f>AND('PROG FORMACIÓN TITULADA'!#REF!,"AAAAAG4e794=")</f>
        <v>#REF!</v>
      </c>
      <c r="HP324" t="e">
        <f>AND('PROG FORMACIÓN TITULADA'!#REF!,"AAAAAG4e798=")</f>
        <v>#REF!</v>
      </c>
      <c r="HQ324" t="e">
        <f>AND('PROG FORMACIÓN TITULADA'!#REF!,"AAAAAG4e7+A=")</f>
        <v>#REF!</v>
      </c>
      <c r="HR324" t="e">
        <f>AND('PROG FORMACIÓN TITULADA'!#REF!,"AAAAAG4e7+E=")</f>
        <v>#REF!</v>
      </c>
      <c r="HS324" t="e">
        <f>AND('PROG FORMACIÓN TITULADA'!#REF!,"AAAAAG4e7+I=")</f>
        <v>#REF!</v>
      </c>
      <c r="HT324" t="e">
        <f>AND('PROG FORMACIÓN TITULADA'!#REF!,"AAAAAG4e7+M=")</f>
        <v>#REF!</v>
      </c>
      <c r="HU324" t="e">
        <f>AND('PROG FORMACIÓN TITULADA'!#REF!,"AAAAAG4e7+Q=")</f>
        <v>#REF!</v>
      </c>
      <c r="HV324" t="e">
        <f>IF('PROG FORMACIÓN TITULADA'!#REF!,"AAAAAG4e7+U=",0)</f>
        <v>#REF!</v>
      </c>
      <c r="HW324" t="e">
        <f>AND('PROG FORMACIÓN TITULADA'!#REF!,"AAAAAG4e7+Y=")</f>
        <v>#REF!</v>
      </c>
      <c r="HX324" t="e">
        <f>AND('PROG FORMACIÓN TITULADA'!#REF!,"AAAAAG4e7+c=")</f>
        <v>#REF!</v>
      </c>
      <c r="HY324" t="e">
        <f>AND('PROG FORMACIÓN TITULADA'!#REF!,"AAAAAG4e7+g=")</f>
        <v>#REF!</v>
      </c>
      <c r="HZ324" t="e">
        <f>AND('PROG FORMACIÓN TITULADA'!#REF!,"AAAAAG4e7+k=")</f>
        <v>#REF!</v>
      </c>
      <c r="IA324" t="e">
        <f>AND('PROG FORMACIÓN TITULADA'!#REF!,"AAAAAG4e7+o=")</f>
        <v>#REF!</v>
      </c>
      <c r="IB324" t="e">
        <f>AND('PROG FORMACIÓN TITULADA'!#REF!,"AAAAAG4e7+s=")</f>
        <v>#REF!</v>
      </c>
      <c r="IC324" t="e">
        <f>AND('PROG FORMACIÓN TITULADA'!#REF!,"AAAAAG4e7+w=")</f>
        <v>#REF!</v>
      </c>
      <c r="ID324" t="e">
        <f>AND('PROG FORMACIÓN TITULADA'!#REF!,"AAAAAG4e7+0=")</f>
        <v>#REF!</v>
      </c>
      <c r="IE324" t="e">
        <f>AND('PROG FORMACIÓN TITULADA'!#REF!,"AAAAAG4e7+4=")</f>
        <v>#REF!</v>
      </c>
      <c r="IF324" t="e">
        <f>AND('PROG FORMACIÓN TITULADA'!#REF!,"AAAAAG4e7+8=")</f>
        <v>#REF!</v>
      </c>
      <c r="IG324" t="e">
        <f>AND('PROG FORMACIÓN TITULADA'!#REF!,"AAAAAG4e7/A=")</f>
        <v>#REF!</v>
      </c>
      <c r="IH324" t="e">
        <f>AND('PROG FORMACIÓN TITULADA'!#REF!,"AAAAAG4e7/E=")</f>
        <v>#REF!</v>
      </c>
      <c r="II324" t="e">
        <f>AND('PROG FORMACIÓN TITULADA'!#REF!,"AAAAAG4e7/I=")</f>
        <v>#REF!</v>
      </c>
      <c r="IJ324" t="e">
        <f>AND('PROG FORMACIÓN TITULADA'!#REF!,"AAAAAG4e7/M=")</f>
        <v>#REF!</v>
      </c>
      <c r="IK324" t="e">
        <f>AND('PROG FORMACIÓN TITULADA'!#REF!,"AAAAAG4e7/Q=")</f>
        <v>#REF!</v>
      </c>
      <c r="IL324" t="e">
        <f>AND('PROG FORMACIÓN TITULADA'!#REF!,"AAAAAG4e7/U=")</f>
        <v>#REF!</v>
      </c>
      <c r="IM324" t="e">
        <f>AND('PROG FORMACIÓN TITULADA'!#REF!,"AAAAAG4e7/Y=")</f>
        <v>#REF!</v>
      </c>
      <c r="IN324" t="e">
        <f>AND('PROG FORMACIÓN TITULADA'!#REF!,"AAAAAG4e7/c=")</f>
        <v>#REF!</v>
      </c>
      <c r="IO324" t="e">
        <f>AND('PROG FORMACIÓN TITULADA'!#REF!,"AAAAAG4e7/g=")</f>
        <v>#REF!</v>
      </c>
      <c r="IP324" t="e">
        <f>AND('PROG FORMACIÓN TITULADA'!#REF!,"AAAAAG4e7/k=")</f>
        <v>#REF!</v>
      </c>
      <c r="IQ324" t="e">
        <f>AND('PROG FORMACIÓN TITULADA'!#REF!,"AAAAAG4e7/o=")</f>
        <v>#REF!</v>
      </c>
      <c r="IR324" t="e">
        <f>AND('PROG FORMACIÓN TITULADA'!#REF!,"AAAAAG4e7/s=")</f>
        <v>#REF!</v>
      </c>
      <c r="IS324" t="e">
        <f>AND('PROG FORMACIÓN TITULADA'!#REF!,"AAAAAG4e7/w=")</f>
        <v>#REF!</v>
      </c>
      <c r="IT324" t="e">
        <f>AND('PROG FORMACIÓN TITULADA'!#REF!,"AAAAAG4e7/0=")</f>
        <v>#REF!</v>
      </c>
      <c r="IU324" t="e">
        <f>AND('PROG FORMACIÓN TITULADA'!#REF!,"AAAAAG4e7/4=")</f>
        <v>#REF!</v>
      </c>
      <c r="IV324" t="e">
        <f>AND('PROG FORMACIÓN TITULADA'!#REF!,"AAAAAG4e7/8=")</f>
        <v>#REF!</v>
      </c>
    </row>
    <row r="325" spans="1:256" x14ac:dyDescent="0.2">
      <c r="A325" t="e">
        <f>IF('PROG FORMACIÓN TITULADA'!#REF!,"AAAAAH/f7QA=",0)</f>
        <v>#REF!</v>
      </c>
      <c r="B325" t="e">
        <f>AND('PROG FORMACIÓN TITULADA'!#REF!,"AAAAAH/f7QE=")</f>
        <v>#REF!</v>
      </c>
      <c r="C325" t="e">
        <f>AND('PROG FORMACIÓN TITULADA'!#REF!,"AAAAAH/f7QI=")</f>
        <v>#REF!</v>
      </c>
      <c r="D325" t="e">
        <f>AND('PROG FORMACIÓN TITULADA'!#REF!,"AAAAAH/f7QM=")</f>
        <v>#REF!</v>
      </c>
      <c r="E325" t="e">
        <f>AND('PROG FORMACIÓN TITULADA'!#REF!,"AAAAAH/f7QQ=")</f>
        <v>#REF!</v>
      </c>
      <c r="F325" t="e">
        <f>AND('PROG FORMACIÓN TITULADA'!#REF!,"AAAAAH/f7QU=")</f>
        <v>#REF!</v>
      </c>
      <c r="G325" t="e">
        <f>AND('PROG FORMACIÓN TITULADA'!#REF!,"AAAAAH/f7QY=")</f>
        <v>#REF!</v>
      </c>
      <c r="H325" t="e">
        <f>AND('PROG FORMACIÓN TITULADA'!#REF!,"AAAAAH/f7Qc=")</f>
        <v>#REF!</v>
      </c>
      <c r="I325" t="e">
        <f>AND('PROG FORMACIÓN TITULADA'!#REF!,"AAAAAH/f7Qg=")</f>
        <v>#REF!</v>
      </c>
      <c r="J325" t="e">
        <f>AND('PROG FORMACIÓN TITULADA'!#REF!,"AAAAAH/f7Qk=")</f>
        <v>#REF!</v>
      </c>
      <c r="K325" t="e">
        <f>AND('PROG FORMACIÓN TITULADA'!#REF!,"AAAAAH/f7Qo=")</f>
        <v>#REF!</v>
      </c>
      <c r="L325" t="e">
        <f>AND('PROG FORMACIÓN TITULADA'!#REF!,"AAAAAH/f7Qs=")</f>
        <v>#REF!</v>
      </c>
      <c r="M325" t="e">
        <f>AND('PROG FORMACIÓN TITULADA'!#REF!,"AAAAAH/f7Qw=")</f>
        <v>#REF!</v>
      </c>
      <c r="N325" t="e">
        <f>AND('PROG FORMACIÓN TITULADA'!#REF!,"AAAAAH/f7Q0=")</f>
        <v>#REF!</v>
      </c>
      <c r="O325" t="e">
        <f>AND('PROG FORMACIÓN TITULADA'!#REF!,"AAAAAH/f7Q4=")</f>
        <v>#REF!</v>
      </c>
      <c r="P325" t="e">
        <f>AND('PROG FORMACIÓN TITULADA'!#REF!,"AAAAAH/f7Q8=")</f>
        <v>#REF!</v>
      </c>
      <c r="Q325" t="e">
        <f>AND('PROG FORMACIÓN TITULADA'!#REF!,"AAAAAH/f7RA=")</f>
        <v>#REF!</v>
      </c>
      <c r="R325" t="e">
        <f>AND('PROG FORMACIÓN TITULADA'!#REF!,"AAAAAH/f7RE=")</f>
        <v>#REF!</v>
      </c>
      <c r="S325" t="e">
        <f>AND('PROG FORMACIÓN TITULADA'!#REF!,"AAAAAH/f7RI=")</f>
        <v>#REF!</v>
      </c>
      <c r="T325" t="e">
        <f>AND('PROG FORMACIÓN TITULADA'!#REF!,"AAAAAH/f7RM=")</f>
        <v>#REF!</v>
      </c>
      <c r="U325" t="e">
        <f>AND('PROG FORMACIÓN TITULADA'!#REF!,"AAAAAH/f7RQ=")</f>
        <v>#REF!</v>
      </c>
      <c r="V325" t="e">
        <f>AND('PROG FORMACIÓN TITULADA'!#REF!,"AAAAAH/f7RU=")</f>
        <v>#REF!</v>
      </c>
      <c r="W325" t="e">
        <f>AND('PROG FORMACIÓN TITULADA'!#REF!,"AAAAAH/f7RY=")</f>
        <v>#REF!</v>
      </c>
      <c r="X325" t="e">
        <f>AND('PROG FORMACIÓN TITULADA'!#REF!,"AAAAAH/f7Rc=")</f>
        <v>#REF!</v>
      </c>
      <c r="Y325" t="e">
        <f>AND('PROG FORMACIÓN TITULADA'!#REF!,"AAAAAH/f7Rg=")</f>
        <v>#REF!</v>
      </c>
      <c r="Z325" t="e">
        <f>AND('PROG FORMACIÓN TITULADA'!#REF!,"AAAAAH/f7Rk=")</f>
        <v>#REF!</v>
      </c>
      <c r="AA325" t="e">
        <f>AND('PROG FORMACIÓN TITULADA'!#REF!,"AAAAAH/f7Ro=")</f>
        <v>#REF!</v>
      </c>
      <c r="AB325" t="e">
        <f>IF('PROG FORMACIÓN TITULADA'!#REF!,"AAAAAH/f7Rs=",0)</f>
        <v>#REF!</v>
      </c>
      <c r="AC325" t="e">
        <f>AND('PROG FORMACIÓN TITULADA'!#REF!,"AAAAAH/f7Rw=")</f>
        <v>#REF!</v>
      </c>
      <c r="AD325" t="e">
        <f>AND('PROG FORMACIÓN TITULADA'!#REF!,"AAAAAH/f7R0=")</f>
        <v>#REF!</v>
      </c>
      <c r="AE325" t="e">
        <f>AND('PROG FORMACIÓN TITULADA'!#REF!,"AAAAAH/f7R4=")</f>
        <v>#REF!</v>
      </c>
      <c r="AF325" t="e">
        <f>AND('PROG FORMACIÓN TITULADA'!#REF!,"AAAAAH/f7R8=")</f>
        <v>#REF!</v>
      </c>
      <c r="AG325" t="e">
        <f>AND('PROG FORMACIÓN TITULADA'!#REF!,"AAAAAH/f7SA=")</f>
        <v>#REF!</v>
      </c>
      <c r="AH325" t="e">
        <f>AND('PROG FORMACIÓN TITULADA'!#REF!,"AAAAAH/f7SE=")</f>
        <v>#REF!</v>
      </c>
      <c r="AI325" t="e">
        <f>AND('PROG FORMACIÓN TITULADA'!#REF!,"AAAAAH/f7SI=")</f>
        <v>#REF!</v>
      </c>
      <c r="AJ325" t="e">
        <f>AND('PROG FORMACIÓN TITULADA'!#REF!,"AAAAAH/f7SM=")</f>
        <v>#REF!</v>
      </c>
      <c r="AK325" t="e">
        <f>AND('PROG FORMACIÓN TITULADA'!#REF!,"AAAAAH/f7SQ=")</f>
        <v>#REF!</v>
      </c>
      <c r="AL325" t="e">
        <f>AND('PROG FORMACIÓN TITULADA'!#REF!,"AAAAAH/f7SU=")</f>
        <v>#REF!</v>
      </c>
      <c r="AM325" t="e">
        <f>AND('PROG FORMACIÓN TITULADA'!#REF!,"AAAAAH/f7SY=")</f>
        <v>#REF!</v>
      </c>
      <c r="AN325" t="e">
        <f>AND('PROG FORMACIÓN TITULADA'!#REF!,"AAAAAH/f7Sc=")</f>
        <v>#REF!</v>
      </c>
      <c r="AO325" t="e">
        <f>AND('PROG FORMACIÓN TITULADA'!#REF!,"AAAAAH/f7Sg=")</f>
        <v>#REF!</v>
      </c>
      <c r="AP325" t="e">
        <f>AND('PROG FORMACIÓN TITULADA'!#REF!,"AAAAAH/f7Sk=")</f>
        <v>#REF!</v>
      </c>
      <c r="AQ325" t="e">
        <f>AND('PROG FORMACIÓN TITULADA'!#REF!,"AAAAAH/f7So=")</f>
        <v>#REF!</v>
      </c>
      <c r="AR325" t="e">
        <f>AND('PROG FORMACIÓN TITULADA'!#REF!,"AAAAAH/f7Ss=")</f>
        <v>#REF!</v>
      </c>
      <c r="AS325" t="e">
        <f>AND('PROG FORMACIÓN TITULADA'!#REF!,"AAAAAH/f7Sw=")</f>
        <v>#REF!</v>
      </c>
      <c r="AT325" t="e">
        <f>AND('PROG FORMACIÓN TITULADA'!#REF!,"AAAAAH/f7S0=")</f>
        <v>#REF!</v>
      </c>
      <c r="AU325" t="e">
        <f>AND('PROG FORMACIÓN TITULADA'!#REF!,"AAAAAH/f7S4=")</f>
        <v>#REF!</v>
      </c>
      <c r="AV325" t="e">
        <f>AND('PROG FORMACIÓN TITULADA'!#REF!,"AAAAAH/f7S8=")</f>
        <v>#REF!</v>
      </c>
      <c r="AW325" t="e">
        <f>AND('PROG FORMACIÓN TITULADA'!#REF!,"AAAAAH/f7TA=")</f>
        <v>#REF!</v>
      </c>
      <c r="AX325" t="e">
        <f>AND('PROG FORMACIÓN TITULADA'!#REF!,"AAAAAH/f7TE=")</f>
        <v>#REF!</v>
      </c>
      <c r="AY325" t="e">
        <f>AND('PROG FORMACIÓN TITULADA'!#REF!,"AAAAAH/f7TI=")</f>
        <v>#REF!</v>
      </c>
      <c r="AZ325" t="e">
        <f>AND('PROG FORMACIÓN TITULADA'!#REF!,"AAAAAH/f7TM=")</f>
        <v>#REF!</v>
      </c>
      <c r="BA325" t="e">
        <f>AND('PROG FORMACIÓN TITULADA'!#REF!,"AAAAAH/f7TQ=")</f>
        <v>#REF!</v>
      </c>
      <c r="BB325" t="e">
        <f>AND('PROG FORMACIÓN TITULADA'!#REF!,"AAAAAH/f7TU=")</f>
        <v>#REF!</v>
      </c>
      <c r="BC325" t="e">
        <f>IF('PROG FORMACIÓN TITULADA'!#REF!,"AAAAAH/f7TY=",0)</f>
        <v>#REF!</v>
      </c>
      <c r="BD325" t="e">
        <f>AND('PROG FORMACIÓN TITULADA'!#REF!,"AAAAAH/f7Tc=")</f>
        <v>#REF!</v>
      </c>
      <c r="BE325" t="e">
        <f>AND('PROG FORMACIÓN TITULADA'!#REF!,"AAAAAH/f7Tg=")</f>
        <v>#REF!</v>
      </c>
      <c r="BF325" t="e">
        <f>AND('PROG FORMACIÓN TITULADA'!#REF!,"AAAAAH/f7Tk=")</f>
        <v>#REF!</v>
      </c>
      <c r="BG325" t="e">
        <f>AND('PROG FORMACIÓN TITULADA'!#REF!,"AAAAAH/f7To=")</f>
        <v>#REF!</v>
      </c>
      <c r="BH325" t="e">
        <f>AND('PROG FORMACIÓN TITULADA'!#REF!,"AAAAAH/f7Ts=")</f>
        <v>#REF!</v>
      </c>
      <c r="BI325" t="e">
        <f>AND('PROG FORMACIÓN TITULADA'!#REF!,"AAAAAH/f7Tw=")</f>
        <v>#REF!</v>
      </c>
      <c r="BJ325" t="e">
        <f>AND('PROG FORMACIÓN TITULADA'!#REF!,"AAAAAH/f7T0=")</f>
        <v>#REF!</v>
      </c>
      <c r="BK325" t="e">
        <f>AND('PROG FORMACIÓN TITULADA'!#REF!,"AAAAAH/f7T4=")</f>
        <v>#REF!</v>
      </c>
      <c r="BL325" t="e">
        <f>AND('PROG FORMACIÓN TITULADA'!#REF!,"AAAAAH/f7T8=")</f>
        <v>#REF!</v>
      </c>
      <c r="BM325" t="e">
        <f>AND('PROG FORMACIÓN TITULADA'!#REF!,"AAAAAH/f7UA=")</f>
        <v>#REF!</v>
      </c>
      <c r="BN325" t="e">
        <f>AND('PROG FORMACIÓN TITULADA'!#REF!,"AAAAAH/f7UE=")</f>
        <v>#REF!</v>
      </c>
      <c r="BO325" t="e">
        <f>AND('PROG FORMACIÓN TITULADA'!#REF!,"AAAAAH/f7UI=")</f>
        <v>#REF!</v>
      </c>
      <c r="BP325" t="e">
        <f>AND('PROG FORMACIÓN TITULADA'!#REF!,"AAAAAH/f7UM=")</f>
        <v>#REF!</v>
      </c>
      <c r="BQ325" t="e">
        <f>AND('PROG FORMACIÓN TITULADA'!#REF!,"AAAAAH/f7UQ=")</f>
        <v>#REF!</v>
      </c>
      <c r="BR325" t="e">
        <f>AND('PROG FORMACIÓN TITULADA'!#REF!,"AAAAAH/f7UU=")</f>
        <v>#REF!</v>
      </c>
      <c r="BS325" t="e">
        <f>AND('PROG FORMACIÓN TITULADA'!#REF!,"AAAAAH/f7UY=")</f>
        <v>#REF!</v>
      </c>
      <c r="BT325" t="e">
        <f>AND('PROG FORMACIÓN TITULADA'!#REF!,"AAAAAH/f7Uc=")</f>
        <v>#REF!</v>
      </c>
      <c r="BU325" t="e">
        <f>AND('PROG FORMACIÓN TITULADA'!#REF!,"AAAAAH/f7Ug=")</f>
        <v>#REF!</v>
      </c>
      <c r="BV325" t="e">
        <f>AND('PROG FORMACIÓN TITULADA'!#REF!,"AAAAAH/f7Uk=")</f>
        <v>#REF!</v>
      </c>
      <c r="BW325" t="e">
        <f>AND('PROG FORMACIÓN TITULADA'!#REF!,"AAAAAH/f7Uo=")</f>
        <v>#REF!</v>
      </c>
      <c r="BX325" t="e">
        <f>AND('PROG FORMACIÓN TITULADA'!#REF!,"AAAAAH/f7Us=")</f>
        <v>#REF!</v>
      </c>
      <c r="BY325" t="e">
        <f>AND('PROG FORMACIÓN TITULADA'!#REF!,"AAAAAH/f7Uw=")</f>
        <v>#REF!</v>
      </c>
      <c r="BZ325" t="e">
        <f>AND('PROG FORMACIÓN TITULADA'!#REF!,"AAAAAH/f7U0=")</f>
        <v>#REF!</v>
      </c>
      <c r="CA325" t="e">
        <f>AND('PROG FORMACIÓN TITULADA'!#REF!,"AAAAAH/f7U4=")</f>
        <v>#REF!</v>
      </c>
      <c r="CB325" t="e">
        <f>AND('PROG FORMACIÓN TITULADA'!#REF!,"AAAAAH/f7U8=")</f>
        <v>#REF!</v>
      </c>
      <c r="CC325" t="e">
        <f>AND('PROG FORMACIÓN TITULADA'!#REF!,"AAAAAH/f7VA=")</f>
        <v>#REF!</v>
      </c>
      <c r="CD325" t="e">
        <f>IF('PROG FORMACIÓN TITULADA'!#REF!,"AAAAAH/f7VE=",0)</f>
        <v>#REF!</v>
      </c>
      <c r="CE325" t="e">
        <f>AND('PROG FORMACIÓN TITULADA'!#REF!,"AAAAAH/f7VI=")</f>
        <v>#REF!</v>
      </c>
      <c r="CF325" t="e">
        <f>AND('PROG FORMACIÓN TITULADA'!#REF!,"AAAAAH/f7VM=")</f>
        <v>#REF!</v>
      </c>
      <c r="CG325" t="e">
        <f>AND('PROG FORMACIÓN TITULADA'!#REF!,"AAAAAH/f7VQ=")</f>
        <v>#REF!</v>
      </c>
      <c r="CH325" t="e">
        <f>AND('PROG FORMACIÓN TITULADA'!#REF!,"AAAAAH/f7VU=")</f>
        <v>#REF!</v>
      </c>
      <c r="CI325" t="e">
        <f>AND('PROG FORMACIÓN TITULADA'!#REF!,"AAAAAH/f7VY=")</f>
        <v>#REF!</v>
      </c>
      <c r="CJ325" t="e">
        <f>AND('PROG FORMACIÓN TITULADA'!#REF!,"AAAAAH/f7Vc=")</f>
        <v>#REF!</v>
      </c>
      <c r="CK325" t="e">
        <f>AND('PROG FORMACIÓN TITULADA'!#REF!,"AAAAAH/f7Vg=")</f>
        <v>#REF!</v>
      </c>
      <c r="CL325" t="e">
        <f>AND('PROG FORMACIÓN TITULADA'!#REF!,"AAAAAH/f7Vk=")</f>
        <v>#REF!</v>
      </c>
      <c r="CM325" t="e">
        <f>AND('PROG FORMACIÓN TITULADA'!#REF!,"AAAAAH/f7Vo=")</f>
        <v>#REF!</v>
      </c>
      <c r="CN325" t="e">
        <f>AND('PROG FORMACIÓN TITULADA'!#REF!,"AAAAAH/f7Vs=")</f>
        <v>#REF!</v>
      </c>
      <c r="CO325" t="e">
        <f>AND('PROG FORMACIÓN TITULADA'!#REF!,"AAAAAH/f7Vw=")</f>
        <v>#REF!</v>
      </c>
      <c r="CP325" t="e">
        <f>AND('PROG FORMACIÓN TITULADA'!#REF!,"AAAAAH/f7V0=")</f>
        <v>#REF!</v>
      </c>
      <c r="CQ325" t="e">
        <f>AND('PROG FORMACIÓN TITULADA'!#REF!,"AAAAAH/f7V4=")</f>
        <v>#REF!</v>
      </c>
      <c r="CR325" t="e">
        <f>AND('PROG FORMACIÓN TITULADA'!#REF!,"AAAAAH/f7V8=")</f>
        <v>#REF!</v>
      </c>
      <c r="CS325" t="e">
        <f>AND('PROG FORMACIÓN TITULADA'!#REF!,"AAAAAH/f7WA=")</f>
        <v>#REF!</v>
      </c>
      <c r="CT325" t="e">
        <f>AND('PROG FORMACIÓN TITULADA'!#REF!,"AAAAAH/f7WE=")</f>
        <v>#REF!</v>
      </c>
      <c r="CU325" t="e">
        <f>AND('PROG FORMACIÓN TITULADA'!#REF!,"AAAAAH/f7WI=")</f>
        <v>#REF!</v>
      </c>
      <c r="CV325" t="e">
        <f>AND('PROG FORMACIÓN TITULADA'!#REF!,"AAAAAH/f7WM=")</f>
        <v>#REF!</v>
      </c>
      <c r="CW325" t="e">
        <f>AND('PROG FORMACIÓN TITULADA'!#REF!,"AAAAAH/f7WQ=")</f>
        <v>#REF!</v>
      </c>
      <c r="CX325" t="e">
        <f>AND('PROG FORMACIÓN TITULADA'!#REF!,"AAAAAH/f7WU=")</f>
        <v>#REF!</v>
      </c>
      <c r="CY325" t="e">
        <f>AND('PROG FORMACIÓN TITULADA'!#REF!,"AAAAAH/f7WY=")</f>
        <v>#REF!</v>
      </c>
      <c r="CZ325" t="e">
        <f>AND('PROG FORMACIÓN TITULADA'!#REF!,"AAAAAH/f7Wc=")</f>
        <v>#REF!</v>
      </c>
      <c r="DA325" t="e">
        <f>AND('PROG FORMACIÓN TITULADA'!#REF!,"AAAAAH/f7Wg=")</f>
        <v>#REF!</v>
      </c>
      <c r="DB325" t="e">
        <f>AND('PROG FORMACIÓN TITULADA'!#REF!,"AAAAAH/f7Wk=")</f>
        <v>#REF!</v>
      </c>
      <c r="DC325" t="e">
        <f>AND('PROG FORMACIÓN TITULADA'!#REF!,"AAAAAH/f7Wo=")</f>
        <v>#REF!</v>
      </c>
      <c r="DD325" t="e">
        <f>AND('PROG FORMACIÓN TITULADA'!#REF!,"AAAAAH/f7Ws=")</f>
        <v>#REF!</v>
      </c>
      <c r="DE325" t="e">
        <f>IF('PROG FORMACIÓN TITULADA'!#REF!,"AAAAAH/f7Ww=",0)</f>
        <v>#REF!</v>
      </c>
      <c r="DF325" t="e">
        <f>AND('PROG FORMACIÓN TITULADA'!#REF!,"AAAAAH/f7W0=")</f>
        <v>#REF!</v>
      </c>
      <c r="DG325" t="e">
        <f>AND('PROG FORMACIÓN TITULADA'!#REF!,"AAAAAH/f7W4=")</f>
        <v>#REF!</v>
      </c>
      <c r="DH325" t="e">
        <f>AND('PROG FORMACIÓN TITULADA'!#REF!,"AAAAAH/f7W8=")</f>
        <v>#REF!</v>
      </c>
      <c r="DI325" t="e">
        <f>AND('PROG FORMACIÓN TITULADA'!#REF!,"AAAAAH/f7XA=")</f>
        <v>#REF!</v>
      </c>
      <c r="DJ325" t="e">
        <f>AND('PROG FORMACIÓN TITULADA'!#REF!,"AAAAAH/f7XE=")</f>
        <v>#REF!</v>
      </c>
      <c r="DK325" t="e">
        <f>AND('PROG FORMACIÓN TITULADA'!#REF!,"AAAAAH/f7XI=")</f>
        <v>#REF!</v>
      </c>
      <c r="DL325" t="e">
        <f>AND('PROG FORMACIÓN TITULADA'!#REF!,"AAAAAH/f7XM=")</f>
        <v>#REF!</v>
      </c>
      <c r="DM325" t="e">
        <f>AND('PROG FORMACIÓN TITULADA'!#REF!,"AAAAAH/f7XQ=")</f>
        <v>#REF!</v>
      </c>
      <c r="DN325" t="e">
        <f>AND('PROG FORMACIÓN TITULADA'!#REF!,"AAAAAH/f7XU=")</f>
        <v>#REF!</v>
      </c>
      <c r="DO325" t="e">
        <f>AND('PROG FORMACIÓN TITULADA'!#REF!,"AAAAAH/f7XY=")</f>
        <v>#REF!</v>
      </c>
      <c r="DP325" t="e">
        <f>AND('PROG FORMACIÓN TITULADA'!#REF!,"AAAAAH/f7Xc=")</f>
        <v>#REF!</v>
      </c>
      <c r="DQ325" t="e">
        <f>AND('PROG FORMACIÓN TITULADA'!#REF!,"AAAAAH/f7Xg=")</f>
        <v>#REF!</v>
      </c>
      <c r="DR325" t="e">
        <f>AND('PROG FORMACIÓN TITULADA'!#REF!,"AAAAAH/f7Xk=")</f>
        <v>#REF!</v>
      </c>
      <c r="DS325" t="e">
        <f>AND('PROG FORMACIÓN TITULADA'!#REF!,"AAAAAH/f7Xo=")</f>
        <v>#REF!</v>
      </c>
      <c r="DT325" t="e">
        <f>AND('PROG FORMACIÓN TITULADA'!#REF!,"AAAAAH/f7Xs=")</f>
        <v>#REF!</v>
      </c>
      <c r="DU325" t="e">
        <f>AND('PROG FORMACIÓN TITULADA'!#REF!,"AAAAAH/f7Xw=")</f>
        <v>#REF!</v>
      </c>
      <c r="DV325" t="e">
        <f>AND('PROG FORMACIÓN TITULADA'!#REF!,"AAAAAH/f7X0=")</f>
        <v>#REF!</v>
      </c>
      <c r="DW325" t="e">
        <f>AND('PROG FORMACIÓN TITULADA'!#REF!,"AAAAAH/f7X4=")</f>
        <v>#REF!</v>
      </c>
      <c r="DX325" t="e">
        <f>AND('PROG FORMACIÓN TITULADA'!#REF!,"AAAAAH/f7X8=")</f>
        <v>#REF!</v>
      </c>
      <c r="DY325" t="e">
        <f>AND('PROG FORMACIÓN TITULADA'!#REF!,"AAAAAH/f7YA=")</f>
        <v>#REF!</v>
      </c>
      <c r="DZ325" t="e">
        <f>AND('PROG FORMACIÓN TITULADA'!#REF!,"AAAAAH/f7YE=")</f>
        <v>#REF!</v>
      </c>
      <c r="EA325" t="e">
        <f>AND('PROG FORMACIÓN TITULADA'!#REF!,"AAAAAH/f7YI=")</f>
        <v>#REF!</v>
      </c>
      <c r="EB325" t="e">
        <f>AND('PROG FORMACIÓN TITULADA'!#REF!,"AAAAAH/f7YM=")</f>
        <v>#REF!</v>
      </c>
      <c r="EC325" t="e">
        <f>AND('PROG FORMACIÓN TITULADA'!#REF!,"AAAAAH/f7YQ=")</f>
        <v>#REF!</v>
      </c>
      <c r="ED325" t="e">
        <f>AND('PROG FORMACIÓN TITULADA'!#REF!,"AAAAAH/f7YU=")</f>
        <v>#REF!</v>
      </c>
      <c r="EE325" t="e">
        <f>AND('PROG FORMACIÓN TITULADA'!#REF!,"AAAAAH/f7YY=")</f>
        <v>#REF!</v>
      </c>
      <c r="EF325" t="e">
        <f>IF('PROG FORMACIÓN TITULADA'!#REF!,"AAAAAH/f7Yc=",0)</f>
        <v>#REF!</v>
      </c>
      <c r="EG325" t="e">
        <f>AND('PROG FORMACIÓN TITULADA'!#REF!,"AAAAAH/f7Yg=")</f>
        <v>#REF!</v>
      </c>
      <c r="EH325" t="e">
        <f>AND('PROG FORMACIÓN TITULADA'!#REF!,"AAAAAH/f7Yk=")</f>
        <v>#REF!</v>
      </c>
      <c r="EI325" t="e">
        <f>AND('PROG FORMACIÓN TITULADA'!#REF!,"AAAAAH/f7Yo=")</f>
        <v>#REF!</v>
      </c>
      <c r="EJ325" t="e">
        <f>AND('PROG FORMACIÓN TITULADA'!#REF!,"AAAAAH/f7Ys=")</f>
        <v>#REF!</v>
      </c>
      <c r="EK325" t="e">
        <f>AND('PROG FORMACIÓN TITULADA'!#REF!,"AAAAAH/f7Yw=")</f>
        <v>#REF!</v>
      </c>
      <c r="EL325" t="e">
        <f>AND('PROG FORMACIÓN TITULADA'!#REF!,"AAAAAH/f7Y0=")</f>
        <v>#REF!</v>
      </c>
      <c r="EM325" t="e">
        <f>AND('PROG FORMACIÓN TITULADA'!#REF!,"AAAAAH/f7Y4=")</f>
        <v>#REF!</v>
      </c>
      <c r="EN325" t="e">
        <f>AND('PROG FORMACIÓN TITULADA'!#REF!,"AAAAAH/f7Y8=")</f>
        <v>#REF!</v>
      </c>
      <c r="EO325" t="e">
        <f>AND('PROG FORMACIÓN TITULADA'!#REF!,"AAAAAH/f7ZA=")</f>
        <v>#REF!</v>
      </c>
      <c r="EP325" t="e">
        <f>AND('PROG FORMACIÓN TITULADA'!#REF!,"AAAAAH/f7ZE=")</f>
        <v>#REF!</v>
      </c>
      <c r="EQ325" t="e">
        <f>AND('PROG FORMACIÓN TITULADA'!#REF!,"AAAAAH/f7ZI=")</f>
        <v>#REF!</v>
      </c>
      <c r="ER325" t="e">
        <f>AND('PROG FORMACIÓN TITULADA'!#REF!,"AAAAAH/f7ZM=")</f>
        <v>#REF!</v>
      </c>
      <c r="ES325" t="e">
        <f>AND('PROG FORMACIÓN TITULADA'!#REF!,"AAAAAH/f7ZQ=")</f>
        <v>#REF!</v>
      </c>
      <c r="ET325" t="e">
        <f>AND('PROG FORMACIÓN TITULADA'!#REF!,"AAAAAH/f7ZU=")</f>
        <v>#REF!</v>
      </c>
      <c r="EU325" t="e">
        <f>AND('PROG FORMACIÓN TITULADA'!#REF!,"AAAAAH/f7ZY=")</f>
        <v>#REF!</v>
      </c>
      <c r="EV325" t="e">
        <f>AND('PROG FORMACIÓN TITULADA'!#REF!,"AAAAAH/f7Zc=")</f>
        <v>#REF!</v>
      </c>
      <c r="EW325" t="e">
        <f>AND('PROG FORMACIÓN TITULADA'!#REF!,"AAAAAH/f7Zg=")</f>
        <v>#REF!</v>
      </c>
      <c r="EX325" t="e">
        <f>AND('PROG FORMACIÓN TITULADA'!#REF!,"AAAAAH/f7Zk=")</f>
        <v>#REF!</v>
      </c>
      <c r="EY325" t="e">
        <f>AND('PROG FORMACIÓN TITULADA'!#REF!,"AAAAAH/f7Zo=")</f>
        <v>#REF!</v>
      </c>
      <c r="EZ325" t="e">
        <f>AND('PROG FORMACIÓN TITULADA'!#REF!,"AAAAAH/f7Zs=")</f>
        <v>#REF!</v>
      </c>
      <c r="FA325" t="e">
        <f>AND('PROG FORMACIÓN TITULADA'!#REF!,"AAAAAH/f7Zw=")</f>
        <v>#REF!</v>
      </c>
      <c r="FB325" t="e">
        <f>AND('PROG FORMACIÓN TITULADA'!#REF!,"AAAAAH/f7Z0=")</f>
        <v>#REF!</v>
      </c>
      <c r="FC325" t="e">
        <f>AND('PROG FORMACIÓN TITULADA'!#REF!,"AAAAAH/f7Z4=")</f>
        <v>#REF!</v>
      </c>
      <c r="FD325" t="e">
        <f>AND('PROG FORMACIÓN TITULADA'!#REF!,"AAAAAH/f7Z8=")</f>
        <v>#REF!</v>
      </c>
      <c r="FE325" t="e">
        <f>AND('PROG FORMACIÓN TITULADA'!#REF!,"AAAAAH/f7aA=")</f>
        <v>#REF!</v>
      </c>
      <c r="FF325" t="e">
        <f>AND('PROG FORMACIÓN TITULADA'!#REF!,"AAAAAH/f7aE=")</f>
        <v>#REF!</v>
      </c>
      <c r="FG325" t="e">
        <f>IF('PROG FORMACIÓN TITULADA'!#REF!,"AAAAAH/f7aI=",0)</f>
        <v>#REF!</v>
      </c>
      <c r="FH325" t="e">
        <f>AND('PROG FORMACIÓN TITULADA'!#REF!,"AAAAAH/f7aM=")</f>
        <v>#REF!</v>
      </c>
      <c r="FI325" t="e">
        <f>AND('PROG FORMACIÓN TITULADA'!#REF!,"AAAAAH/f7aQ=")</f>
        <v>#REF!</v>
      </c>
      <c r="FJ325" t="e">
        <f>AND('PROG FORMACIÓN TITULADA'!#REF!,"AAAAAH/f7aU=")</f>
        <v>#REF!</v>
      </c>
      <c r="FK325" t="e">
        <f>AND('PROG FORMACIÓN TITULADA'!#REF!,"AAAAAH/f7aY=")</f>
        <v>#REF!</v>
      </c>
      <c r="FL325" t="e">
        <f>AND('PROG FORMACIÓN TITULADA'!#REF!,"AAAAAH/f7ac=")</f>
        <v>#REF!</v>
      </c>
      <c r="FM325" t="e">
        <f>AND('PROG FORMACIÓN TITULADA'!#REF!,"AAAAAH/f7ag=")</f>
        <v>#REF!</v>
      </c>
      <c r="FN325" t="e">
        <f>AND('PROG FORMACIÓN TITULADA'!#REF!,"AAAAAH/f7ak=")</f>
        <v>#REF!</v>
      </c>
      <c r="FO325" t="e">
        <f>AND('PROG FORMACIÓN TITULADA'!#REF!,"AAAAAH/f7ao=")</f>
        <v>#REF!</v>
      </c>
      <c r="FP325" t="e">
        <f>AND('PROG FORMACIÓN TITULADA'!#REF!,"AAAAAH/f7as=")</f>
        <v>#REF!</v>
      </c>
      <c r="FQ325" t="e">
        <f>AND('PROG FORMACIÓN TITULADA'!#REF!,"AAAAAH/f7aw=")</f>
        <v>#REF!</v>
      </c>
      <c r="FR325" t="e">
        <f>AND('PROG FORMACIÓN TITULADA'!#REF!,"AAAAAH/f7a0=")</f>
        <v>#REF!</v>
      </c>
      <c r="FS325" t="e">
        <f>AND('PROG FORMACIÓN TITULADA'!#REF!,"AAAAAH/f7a4=")</f>
        <v>#REF!</v>
      </c>
      <c r="FT325" t="e">
        <f>AND('PROG FORMACIÓN TITULADA'!#REF!,"AAAAAH/f7a8=")</f>
        <v>#REF!</v>
      </c>
      <c r="FU325" t="e">
        <f>AND('PROG FORMACIÓN TITULADA'!#REF!,"AAAAAH/f7bA=")</f>
        <v>#REF!</v>
      </c>
      <c r="FV325" t="e">
        <f>AND('PROG FORMACIÓN TITULADA'!#REF!,"AAAAAH/f7bE=")</f>
        <v>#REF!</v>
      </c>
      <c r="FW325" t="e">
        <f>AND('PROG FORMACIÓN TITULADA'!#REF!,"AAAAAH/f7bI=")</f>
        <v>#REF!</v>
      </c>
      <c r="FX325" t="e">
        <f>AND('PROG FORMACIÓN TITULADA'!#REF!,"AAAAAH/f7bM=")</f>
        <v>#REF!</v>
      </c>
      <c r="FY325" t="e">
        <f>AND('PROG FORMACIÓN TITULADA'!#REF!,"AAAAAH/f7bQ=")</f>
        <v>#REF!</v>
      </c>
      <c r="FZ325" t="e">
        <f>AND('PROG FORMACIÓN TITULADA'!#REF!,"AAAAAH/f7bU=")</f>
        <v>#REF!</v>
      </c>
      <c r="GA325" t="e">
        <f>AND('PROG FORMACIÓN TITULADA'!#REF!,"AAAAAH/f7bY=")</f>
        <v>#REF!</v>
      </c>
      <c r="GB325" t="e">
        <f>AND('PROG FORMACIÓN TITULADA'!#REF!,"AAAAAH/f7bc=")</f>
        <v>#REF!</v>
      </c>
      <c r="GC325" t="e">
        <f>AND('PROG FORMACIÓN TITULADA'!#REF!,"AAAAAH/f7bg=")</f>
        <v>#REF!</v>
      </c>
      <c r="GD325" t="e">
        <f>AND('PROG FORMACIÓN TITULADA'!#REF!,"AAAAAH/f7bk=")</f>
        <v>#REF!</v>
      </c>
      <c r="GE325" t="e">
        <f>AND('PROG FORMACIÓN TITULADA'!#REF!,"AAAAAH/f7bo=")</f>
        <v>#REF!</v>
      </c>
      <c r="GF325" t="e">
        <f>AND('PROG FORMACIÓN TITULADA'!#REF!,"AAAAAH/f7bs=")</f>
        <v>#REF!</v>
      </c>
      <c r="GG325" t="e">
        <f>AND('PROG FORMACIÓN TITULADA'!#REF!,"AAAAAH/f7bw=")</f>
        <v>#REF!</v>
      </c>
      <c r="GH325" t="e">
        <f>IF('PROG FORMACIÓN TITULADA'!#REF!,"AAAAAH/f7b0=",0)</f>
        <v>#REF!</v>
      </c>
      <c r="GI325" t="e">
        <f>AND('PROG FORMACIÓN TITULADA'!#REF!,"AAAAAH/f7b4=")</f>
        <v>#REF!</v>
      </c>
      <c r="GJ325" t="e">
        <f>AND('PROG FORMACIÓN TITULADA'!#REF!,"AAAAAH/f7b8=")</f>
        <v>#REF!</v>
      </c>
      <c r="GK325" t="e">
        <f>AND('PROG FORMACIÓN TITULADA'!#REF!,"AAAAAH/f7cA=")</f>
        <v>#REF!</v>
      </c>
      <c r="GL325" t="e">
        <f>AND('PROG FORMACIÓN TITULADA'!#REF!,"AAAAAH/f7cE=")</f>
        <v>#REF!</v>
      </c>
      <c r="GM325" t="e">
        <f>AND('PROG FORMACIÓN TITULADA'!#REF!,"AAAAAH/f7cI=")</f>
        <v>#REF!</v>
      </c>
      <c r="GN325" t="e">
        <f>AND('PROG FORMACIÓN TITULADA'!#REF!,"AAAAAH/f7cM=")</f>
        <v>#REF!</v>
      </c>
      <c r="GO325" t="e">
        <f>AND('PROG FORMACIÓN TITULADA'!#REF!,"AAAAAH/f7cQ=")</f>
        <v>#REF!</v>
      </c>
      <c r="GP325" t="e">
        <f>AND('PROG FORMACIÓN TITULADA'!#REF!,"AAAAAH/f7cU=")</f>
        <v>#REF!</v>
      </c>
      <c r="GQ325" t="e">
        <f>AND('PROG FORMACIÓN TITULADA'!#REF!,"AAAAAH/f7cY=")</f>
        <v>#REF!</v>
      </c>
      <c r="GR325" t="e">
        <f>AND('PROG FORMACIÓN TITULADA'!#REF!,"AAAAAH/f7cc=")</f>
        <v>#REF!</v>
      </c>
      <c r="GS325" t="e">
        <f>AND('PROG FORMACIÓN TITULADA'!#REF!,"AAAAAH/f7cg=")</f>
        <v>#REF!</v>
      </c>
      <c r="GT325" t="e">
        <f>AND('PROG FORMACIÓN TITULADA'!#REF!,"AAAAAH/f7ck=")</f>
        <v>#REF!</v>
      </c>
      <c r="GU325" t="e">
        <f>AND('PROG FORMACIÓN TITULADA'!#REF!,"AAAAAH/f7co=")</f>
        <v>#REF!</v>
      </c>
      <c r="GV325" t="e">
        <f>AND('PROG FORMACIÓN TITULADA'!#REF!,"AAAAAH/f7cs=")</f>
        <v>#REF!</v>
      </c>
      <c r="GW325" t="e">
        <f>AND('PROG FORMACIÓN TITULADA'!#REF!,"AAAAAH/f7cw=")</f>
        <v>#REF!</v>
      </c>
      <c r="GX325" t="e">
        <f>AND('PROG FORMACIÓN TITULADA'!#REF!,"AAAAAH/f7c0=")</f>
        <v>#REF!</v>
      </c>
      <c r="GY325" t="e">
        <f>AND('PROG FORMACIÓN TITULADA'!#REF!,"AAAAAH/f7c4=")</f>
        <v>#REF!</v>
      </c>
      <c r="GZ325" t="e">
        <f>AND('PROG FORMACIÓN TITULADA'!#REF!,"AAAAAH/f7c8=")</f>
        <v>#REF!</v>
      </c>
      <c r="HA325" t="e">
        <f>AND('PROG FORMACIÓN TITULADA'!#REF!,"AAAAAH/f7dA=")</f>
        <v>#REF!</v>
      </c>
      <c r="HB325" t="e">
        <f>AND('PROG FORMACIÓN TITULADA'!#REF!,"AAAAAH/f7dE=")</f>
        <v>#REF!</v>
      </c>
      <c r="HC325" t="e">
        <f>AND('PROG FORMACIÓN TITULADA'!#REF!,"AAAAAH/f7dI=")</f>
        <v>#REF!</v>
      </c>
      <c r="HD325" t="e">
        <f>AND('PROG FORMACIÓN TITULADA'!#REF!,"AAAAAH/f7dM=")</f>
        <v>#REF!</v>
      </c>
      <c r="HE325" t="e">
        <f>AND('PROG FORMACIÓN TITULADA'!#REF!,"AAAAAH/f7dQ=")</f>
        <v>#REF!</v>
      </c>
      <c r="HF325" t="e">
        <f>AND('PROG FORMACIÓN TITULADA'!#REF!,"AAAAAH/f7dU=")</f>
        <v>#REF!</v>
      </c>
      <c r="HG325" t="e">
        <f>AND('PROG FORMACIÓN TITULADA'!#REF!,"AAAAAH/f7dY=")</f>
        <v>#REF!</v>
      </c>
      <c r="HH325" t="e">
        <f>AND('PROG FORMACIÓN TITULADA'!#REF!,"AAAAAH/f7dc=")</f>
        <v>#REF!</v>
      </c>
      <c r="HI325" t="e">
        <f>IF('PROG FORMACIÓN TITULADA'!#REF!,"AAAAAH/f7dg=",0)</f>
        <v>#REF!</v>
      </c>
      <c r="HJ325" t="e">
        <f>AND('PROG FORMACIÓN TITULADA'!#REF!,"AAAAAH/f7dk=")</f>
        <v>#REF!</v>
      </c>
      <c r="HK325" t="e">
        <f>AND('PROG FORMACIÓN TITULADA'!#REF!,"AAAAAH/f7do=")</f>
        <v>#REF!</v>
      </c>
      <c r="HL325" t="e">
        <f>AND('PROG FORMACIÓN TITULADA'!#REF!,"AAAAAH/f7ds=")</f>
        <v>#REF!</v>
      </c>
      <c r="HM325" t="e">
        <f>AND('PROG FORMACIÓN TITULADA'!#REF!,"AAAAAH/f7dw=")</f>
        <v>#REF!</v>
      </c>
      <c r="HN325" t="e">
        <f>AND('PROG FORMACIÓN TITULADA'!#REF!,"AAAAAH/f7d0=")</f>
        <v>#REF!</v>
      </c>
      <c r="HO325" t="e">
        <f>AND('PROG FORMACIÓN TITULADA'!#REF!,"AAAAAH/f7d4=")</f>
        <v>#REF!</v>
      </c>
      <c r="HP325" t="e">
        <f>AND('PROG FORMACIÓN TITULADA'!#REF!,"AAAAAH/f7d8=")</f>
        <v>#REF!</v>
      </c>
      <c r="HQ325" t="e">
        <f>AND('PROG FORMACIÓN TITULADA'!#REF!,"AAAAAH/f7eA=")</f>
        <v>#REF!</v>
      </c>
      <c r="HR325" t="e">
        <f>AND('PROG FORMACIÓN TITULADA'!#REF!,"AAAAAH/f7eE=")</f>
        <v>#REF!</v>
      </c>
      <c r="HS325" t="e">
        <f>AND('PROG FORMACIÓN TITULADA'!#REF!,"AAAAAH/f7eI=")</f>
        <v>#REF!</v>
      </c>
      <c r="HT325" t="e">
        <f>AND('PROG FORMACIÓN TITULADA'!#REF!,"AAAAAH/f7eM=")</f>
        <v>#REF!</v>
      </c>
      <c r="HU325" t="e">
        <f>AND('PROG FORMACIÓN TITULADA'!#REF!,"AAAAAH/f7eQ=")</f>
        <v>#REF!</v>
      </c>
      <c r="HV325" t="e">
        <f>AND('PROG FORMACIÓN TITULADA'!#REF!,"AAAAAH/f7eU=")</f>
        <v>#REF!</v>
      </c>
      <c r="HW325" t="e">
        <f>AND('PROG FORMACIÓN TITULADA'!#REF!,"AAAAAH/f7eY=")</f>
        <v>#REF!</v>
      </c>
      <c r="HX325" t="e">
        <f>AND('PROG FORMACIÓN TITULADA'!#REF!,"AAAAAH/f7ec=")</f>
        <v>#REF!</v>
      </c>
      <c r="HY325" t="e">
        <f>AND('PROG FORMACIÓN TITULADA'!#REF!,"AAAAAH/f7eg=")</f>
        <v>#REF!</v>
      </c>
      <c r="HZ325" t="e">
        <f>AND('PROG FORMACIÓN TITULADA'!#REF!,"AAAAAH/f7ek=")</f>
        <v>#REF!</v>
      </c>
      <c r="IA325" t="e">
        <f>AND('PROG FORMACIÓN TITULADA'!#REF!,"AAAAAH/f7eo=")</f>
        <v>#REF!</v>
      </c>
      <c r="IB325" t="e">
        <f>AND('PROG FORMACIÓN TITULADA'!#REF!,"AAAAAH/f7es=")</f>
        <v>#REF!</v>
      </c>
      <c r="IC325" t="e">
        <f>AND('PROG FORMACIÓN TITULADA'!#REF!,"AAAAAH/f7ew=")</f>
        <v>#REF!</v>
      </c>
      <c r="ID325" t="e">
        <f>AND('PROG FORMACIÓN TITULADA'!#REF!,"AAAAAH/f7e0=")</f>
        <v>#REF!</v>
      </c>
      <c r="IE325" t="e">
        <f>AND('PROG FORMACIÓN TITULADA'!#REF!,"AAAAAH/f7e4=")</f>
        <v>#REF!</v>
      </c>
      <c r="IF325" t="e">
        <f>AND('PROG FORMACIÓN TITULADA'!#REF!,"AAAAAH/f7e8=")</f>
        <v>#REF!</v>
      </c>
      <c r="IG325" t="e">
        <f>AND('PROG FORMACIÓN TITULADA'!#REF!,"AAAAAH/f7fA=")</f>
        <v>#REF!</v>
      </c>
      <c r="IH325" t="e">
        <f>AND('PROG FORMACIÓN TITULADA'!#REF!,"AAAAAH/f7fE=")</f>
        <v>#REF!</v>
      </c>
      <c r="II325" t="e">
        <f>AND('PROG FORMACIÓN TITULADA'!#REF!,"AAAAAH/f7fI=")</f>
        <v>#REF!</v>
      </c>
      <c r="IJ325" t="e">
        <f>IF('PROG FORMACIÓN TITULADA'!#REF!,"AAAAAH/f7fM=",0)</f>
        <v>#REF!</v>
      </c>
      <c r="IK325" t="e">
        <f>AND('PROG FORMACIÓN TITULADA'!#REF!,"AAAAAH/f7fQ=")</f>
        <v>#REF!</v>
      </c>
      <c r="IL325" t="e">
        <f>AND('PROG FORMACIÓN TITULADA'!#REF!,"AAAAAH/f7fU=")</f>
        <v>#REF!</v>
      </c>
      <c r="IM325" t="e">
        <f>AND('PROG FORMACIÓN TITULADA'!#REF!,"AAAAAH/f7fY=")</f>
        <v>#REF!</v>
      </c>
      <c r="IN325" t="e">
        <f>AND('PROG FORMACIÓN TITULADA'!#REF!,"AAAAAH/f7fc=")</f>
        <v>#REF!</v>
      </c>
      <c r="IO325" t="e">
        <f>AND('PROG FORMACIÓN TITULADA'!#REF!,"AAAAAH/f7fg=")</f>
        <v>#REF!</v>
      </c>
      <c r="IP325" t="e">
        <f>AND('PROG FORMACIÓN TITULADA'!#REF!,"AAAAAH/f7fk=")</f>
        <v>#REF!</v>
      </c>
      <c r="IQ325" t="e">
        <f>AND('PROG FORMACIÓN TITULADA'!#REF!,"AAAAAH/f7fo=")</f>
        <v>#REF!</v>
      </c>
      <c r="IR325" t="e">
        <f>AND('PROG FORMACIÓN TITULADA'!#REF!,"AAAAAH/f7fs=")</f>
        <v>#REF!</v>
      </c>
      <c r="IS325" t="e">
        <f>AND('PROG FORMACIÓN TITULADA'!#REF!,"AAAAAH/f7fw=")</f>
        <v>#REF!</v>
      </c>
      <c r="IT325" t="e">
        <f>AND('PROG FORMACIÓN TITULADA'!#REF!,"AAAAAH/f7f0=")</f>
        <v>#REF!</v>
      </c>
      <c r="IU325" t="e">
        <f>AND('PROG FORMACIÓN TITULADA'!#REF!,"AAAAAH/f7f4=")</f>
        <v>#REF!</v>
      </c>
      <c r="IV325" t="e">
        <f>AND('PROG FORMACIÓN TITULADA'!#REF!,"AAAAAH/f7f8=")</f>
        <v>#REF!</v>
      </c>
    </row>
    <row r="326" spans="1:256" x14ac:dyDescent="0.2">
      <c r="A326" t="e">
        <f>AND('PROG FORMACIÓN TITULADA'!#REF!,"AAAAACl9vgA=")</f>
        <v>#REF!</v>
      </c>
      <c r="B326" t="e">
        <f>AND('PROG FORMACIÓN TITULADA'!#REF!,"AAAAACl9vgE=")</f>
        <v>#REF!</v>
      </c>
      <c r="C326" t="e">
        <f>AND('PROG FORMACIÓN TITULADA'!#REF!,"AAAAACl9vgI=")</f>
        <v>#REF!</v>
      </c>
      <c r="D326" t="e">
        <f>AND('PROG FORMACIÓN TITULADA'!#REF!,"AAAAACl9vgM=")</f>
        <v>#REF!</v>
      </c>
      <c r="E326" t="e">
        <f>AND('PROG FORMACIÓN TITULADA'!#REF!,"AAAAACl9vgQ=")</f>
        <v>#REF!</v>
      </c>
      <c r="F326" t="e">
        <f>AND('PROG FORMACIÓN TITULADA'!#REF!,"AAAAACl9vgU=")</f>
        <v>#REF!</v>
      </c>
      <c r="G326" t="e">
        <f>AND('PROG FORMACIÓN TITULADA'!#REF!,"AAAAACl9vgY=")</f>
        <v>#REF!</v>
      </c>
      <c r="H326" t="e">
        <f>AND('PROG FORMACIÓN TITULADA'!#REF!,"AAAAACl9vgc=")</f>
        <v>#REF!</v>
      </c>
      <c r="I326" t="e">
        <f>AND('PROG FORMACIÓN TITULADA'!#REF!,"AAAAACl9vgg=")</f>
        <v>#REF!</v>
      </c>
      <c r="J326" t="e">
        <f>AND('PROG FORMACIÓN TITULADA'!#REF!,"AAAAACl9vgk=")</f>
        <v>#REF!</v>
      </c>
      <c r="K326" t="e">
        <f>AND('PROG FORMACIÓN TITULADA'!#REF!,"AAAAACl9vgo=")</f>
        <v>#REF!</v>
      </c>
      <c r="L326" t="e">
        <f>AND('PROG FORMACIÓN TITULADA'!#REF!,"AAAAACl9vgs=")</f>
        <v>#REF!</v>
      </c>
      <c r="M326" t="e">
        <f>AND('PROG FORMACIÓN TITULADA'!#REF!,"AAAAACl9vgw=")</f>
        <v>#REF!</v>
      </c>
      <c r="N326" t="e">
        <f>AND('PROG FORMACIÓN TITULADA'!#REF!,"AAAAACl9vg0=")</f>
        <v>#REF!</v>
      </c>
      <c r="O326" t="e">
        <f>IF('PROG FORMACIÓN TITULADA'!#REF!,"AAAAACl9vg4=",0)</f>
        <v>#REF!</v>
      </c>
      <c r="P326" t="e">
        <f>AND('PROG FORMACIÓN TITULADA'!#REF!,"AAAAACl9vg8=")</f>
        <v>#REF!</v>
      </c>
      <c r="Q326" t="e">
        <f>AND('PROG FORMACIÓN TITULADA'!#REF!,"AAAAACl9vhA=")</f>
        <v>#REF!</v>
      </c>
      <c r="R326" t="e">
        <f>AND('PROG FORMACIÓN TITULADA'!#REF!,"AAAAACl9vhE=")</f>
        <v>#REF!</v>
      </c>
      <c r="S326" t="e">
        <f>AND('PROG FORMACIÓN TITULADA'!#REF!,"AAAAACl9vhI=")</f>
        <v>#REF!</v>
      </c>
      <c r="T326" t="e">
        <f>AND('PROG FORMACIÓN TITULADA'!#REF!,"AAAAACl9vhM=")</f>
        <v>#REF!</v>
      </c>
      <c r="U326" t="e">
        <f>AND('PROG FORMACIÓN TITULADA'!#REF!,"AAAAACl9vhQ=")</f>
        <v>#REF!</v>
      </c>
      <c r="V326" t="e">
        <f>AND('PROG FORMACIÓN TITULADA'!#REF!,"AAAAACl9vhU=")</f>
        <v>#REF!</v>
      </c>
      <c r="W326" t="e">
        <f>AND('PROG FORMACIÓN TITULADA'!#REF!,"AAAAACl9vhY=")</f>
        <v>#REF!</v>
      </c>
      <c r="X326" t="e">
        <f>AND('PROG FORMACIÓN TITULADA'!#REF!,"AAAAACl9vhc=")</f>
        <v>#REF!</v>
      </c>
      <c r="Y326" t="e">
        <f>AND('PROG FORMACIÓN TITULADA'!#REF!,"AAAAACl9vhg=")</f>
        <v>#REF!</v>
      </c>
      <c r="Z326" t="e">
        <f>AND('PROG FORMACIÓN TITULADA'!#REF!,"AAAAACl9vhk=")</f>
        <v>#REF!</v>
      </c>
      <c r="AA326" t="e">
        <f>AND('PROG FORMACIÓN TITULADA'!#REF!,"AAAAACl9vho=")</f>
        <v>#REF!</v>
      </c>
      <c r="AB326" t="e">
        <f>AND('PROG FORMACIÓN TITULADA'!#REF!,"AAAAACl9vhs=")</f>
        <v>#REF!</v>
      </c>
      <c r="AC326" t="e">
        <f>AND('PROG FORMACIÓN TITULADA'!#REF!,"AAAAACl9vhw=")</f>
        <v>#REF!</v>
      </c>
      <c r="AD326" t="e">
        <f>AND('PROG FORMACIÓN TITULADA'!#REF!,"AAAAACl9vh0=")</f>
        <v>#REF!</v>
      </c>
      <c r="AE326" t="e">
        <f>AND('PROG FORMACIÓN TITULADA'!#REF!,"AAAAACl9vh4=")</f>
        <v>#REF!</v>
      </c>
      <c r="AF326" t="e">
        <f>AND('PROG FORMACIÓN TITULADA'!#REF!,"AAAAACl9vh8=")</f>
        <v>#REF!</v>
      </c>
      <c r="AG326" t="e">
        <f>AND('PROG FORMACIÓN TITULADA'!#REF!,"AAAAACl9viA=")</f>
        <v>#REF!</v>
      </c>
      <c r="AH326" t="e">
        <f>AND('PROG FORMACIÓN TITULADA'!#REF!,"AAAAACl9viE=")</f>
        <v>#REF!</v>
      </c>
      <c r="AI326" t="e">
        <f>AND('PROG FORMACIÓN TITULADA'!#REF!,"AAAAACl9viI=")</f>
        <v>#REF!</v>
      </c>
      <c r="AJ326" t="e">
        <f>AND('PROG FORMACIÓN TITULADA'!#REF!,"AAAAACl9viM=")</f>
        <v>#REF!</v>
      </c>
      <c r="AK326" t="e">
        <f>AND('PROG FORMACIÓN TITULADA'!#REF!,"AAAAACl9viQ=")</f>
        <v>#REF!</v>
      </c>
      <c r="AL326" t="e">
        <f>AND('PROG FORMACIÓN TITULADA'!#REF!,"AAAAACl9viU=")</f>
        <v>#REF!</v>
      </c>
      <c r="AM326" t="e">
        <f>AND('PROG FORMACIÓN TITULADA'!#REF!,"AAAAACl9viY=")</f>
        <v>#REF!</v>
      </c>
      <c r="AN326" t="e">
        <f>AND('PROG FORMACIÓN TITULADA'!#REF!,"AAAAACl9vic=")</f>
        <v>#REF!</v>
      </c>
      <c r="AO326" t="e">
        <f>AND('PROG FORMACIÓN TITULADA'!#REF!,"AAAAACl9vig=")</f>
        <v>#REF!</v>
      </c>
      <c r="AP326" t="e">
        <f>IF('PROG FORMACIÓN TITULADA'!#REF!,"AAAAACl9vik=",0)</f>
        <v>#REF!</v>
      </c>
      <c r="AQ326" t="e">
        <f>AND('PROG FORMACIÓN TITULADA'!#REF!,"AAAAACl9vio=")</f>
        <v>#REF!</v>
      </c>
      <c r="AR326" t="e">
        <f>AND('PROG FORMACIÓN TITULADA'!#REF!,"AAAAACl9vis=")</f>
        <v>#REF!</v>
      </c>
      <c r="AS326" t="e">
        <f>AND('PROG FORMACIÓN TITULADA'!#REF!,"AAAAACl9viw=")</f>
        <v>#REF!</v>
      </c>
      <c r="AT326" t="e">
        <f>AND('PROG FORMACIÓN TITULADA'!#REF!,"AAAAACl9vi0=")</f>
        <v>#REF!</v>
      </c>
      <c r="AU326" t="e">
        <f>AND('PROG FORMACIÓN TITULADA'!#REF!,"AAAAACl9vi4=")</f>
        <v>#REF!</v>
      </c>
      <c r="AV326" t="e">
        <f>AND('PROG FORMACIÓN TITULADA'!#REF!,"AAAAACl9vi8=")</f>
        <v>#REF!</v>
      </c>
      <c r="AW326" t="e">
        <f>AND('PROG FORMACIÓN TITULADA'!#REF!,"AAAAACl9vjA=")</f>
        <v>#REF!</v>
      </c>
      <c r="AX326" t="e">
        <f>AND('PROG FORMACIÓN TITULADA'!#REF!,"AAAAACl9vjE=")</f>
        <v>#REF!</v>
      </c>
      <c r="AY326" t="e">
        <f>AND('PROG FORMACIÓN TITULADA'!#REF!,"AAAAACl9vjI=")</f>
        <v>#REF!</v>
      </c>
      <c r="AZ326" t="e">
        <f>AND('PROG FORMACIÓN TITULADA'!#REF!,"AAAAACl9vjM=")</f>
        <v>#REF!</v>
      </c>
      <c r="BA326" t="e">
        <f>AND('PROG FORMACIÓN TITULADA'!#REF!,"AAAAACl9vjQ=")</f>
        <v>#REF!</v>
      </c>
      <c r="BB326" t="e">
        <f>AND('PROG FORMACIÓN TITULADA'!#REF!,"AAAAACl9vjU=")</f>
        <v>#REF!</v>
      </c>
      <c r="BC326" t="e">
        <f>AND('PROG FORMACIÓN TITULADA'!#REF!,"AAAAACl9vjY=")</f>
        <v>#REF!</v>
      </c>
      <c r="BD326" t="e">
        <f>AND('PROG FORMACIÓN TITULADA'!#REF!,"AAAAACl9vjc=")</f>
        <v>#REF!</v>
      </c>
      <c r="BE326" t="e">
        <f>AND('PROG FORMACIÓN TITULADA'!#REF!,"AAAAACl9vjg=")</f>
        <v>#REF!</v>
      </c>
      <c r="BF326" t="e">
        <f>AND('PROG FORMACIÓN TITULADA'!#REF!,"AAAAACl9vjk=")</f>
        <v>#REF!</v>
      </c>
      <c r="BG326" t="e">
        <f>AND('PROG FORMACIÓN TITULADA'!#REF!,"AAAAACl9vjo=")</f>
        <v>#REF!</v>
      </c>
      <c r="BH326" t="e">
        <f>AND('PROG FORMACIÓN TITULADA'!#REF!,"AAAAACl9vjs=")</f>
        <v>#REF!</v>
      </c>
      <c r="BI326" t="e">
        <f>AND('PROG FORMACIÓN TITULADA'!#REF!,"AAAAACl9vjw=")</f>
        <v>#REF!</v>
      </c>
      <c r="BJ326" t="e">
        <f>AND('PROG FORMACIÓN TITULADA'!#REF!,"AAAAACl9vj0=")</f>
        <v>#REF!</v>
      </c>
      <c r="BK326" t="e">
        <f>AND('PROG FORMACIÓN TITULADA'!#REF!,"AAAAACl9vj4=")</f>
        <v>#REF!</v>
      </c>
      <c r="BL326" t="e">
        <f>AND('PROG FORMACIÓN TITULADA'!#REF!,"AAAAACl9vj8=")</f>
        <v>#REF!</v>
      </c>
      <c r="BM326" t="e">
        <f>AND('PROG FORMACIÓN TITULADA'!#REF!,"AAAAACl9vkA=")</f>
        <v>#REF!</v>
      </c>
      <c r="BN326" t="e">
        <f>AND('PROG FORMACIÓN TITULADA'!#REF!,"AAAAACl9vkE=")</f>
        <v>#REF!</v>
      </c>
      <c r="BO326" t="e">
        <f>AND('PROG FORMACIÓN TITULADA'!#REF!,"AAAAACl9vkI=")</f>
        <v>#REF!</v>
      </c>
      <c r="BP326" t="e">
        <f>AND('PROG FORMACIÓN TITULADA'!#REF!,"AAAAACl9vkM=")</f>
        <v>#REF!</v>
      </c>
      <c r="BQ326" t="e">
        <f>IF('PROG FORMACIÓN TITULADA'!#REF!,"AAAAACl9vkQ=",0)</f>
        <v>#REF!</v>
      </c>
      <c r="BR326" t="e">
        <f>AND('PROG FORMACIÓN TITULADA'!#REF!,"AAAAACl9vkU=")</f>
        <v>#REF!</v>
      </c>
      <c r="BS326" t="e">
        <f>AND('PROG FORMACIÓN TITULADA'!#REF!,"AAAAACl9vkY=")</f>
        <v>#REF!</v>
      </c>
      <c r="BT326" t="e">
        <f>AND('PROG FORMACIÓN TITULADA'!#REF!,"AAAAACl9vkc=")</f>
        <v>#REF!</v>
      </c>
      <c r="BU326" t="e">
        <f>AND('PROG FORMACIÓN TITULADA'!#REF!,"AAAAACl9vkg=")</f>
        <v>#REF!</v>
      </c>
      <c r="BV326" t="e">
        <f>AND('PROG FORMACIÓN TITULADA'!#REF!,"AAAAACl9vkk=")</f>
        <v>#REF!</v>
      </c>
      <c r="BW326" t="e">
        <f>AND('PROG FORMACIÓN TITULADA'!#REF!,"AAAAACl9vko=")</f>
        <v>#REF!</v>
      </c>
      <c r="BX326" t="e">
        <f>AND('PROG FORMACIÓN TITULADA'!#REF!,"AAAAACl9vks=")</f>
        <v>#REF!</v>
      </c>
      <c r="BY326" t="e">
        <f>AND('PROG FORMACIÓN TITULADA'!#REF!,"AAAAACl9vkw=")</f>
        <v>#REF!</v>
      </c>
      <c r="BZ326" t="e">
        <f>AND('PROG FORMACIÓN TITULADA'!#REF!,"AAAAACl9vk0=")</f>
        <v>#REF!</v>
      </c>
      <c r="CA326" t="e">
        <f>AND('PROG FORMACIÓN TITULADA'!#REF!,"AAAAACl9vk4=")</f>
        <v>#REF!</v>
      </c>
      <c r="CB326" t="e">
        <f>AND('PROG FORMACIÓN TITULADA'!#REF!,"AAAAACl9vk8=")</f>
        <v>#REF!</v>
      </c>
      <c r="CC326" t="e">
        <f>AND('PROG FORMACIÓN TITULADA'!#REF!,"AAAAACl9vlA=")</f>
        <v>#REF!</v>
      </c>
      <c r="CD326" t="e">
        <f>AND('PROG FORMACIÓN TITULADA'!#REF!,"AAAAACl9vlE=")</f>
        <v>#REF!</v>
      </c>
      <c r="CE326" t="e">
        <f>AND('PROG FORMACIÓN TITULADA'!#REF!,"AAAAACl9vlI=")</f>
        <v>#REF!</v>
      </c>
      <c r="CF326" t="e">
        <f>AND('PROG FORMACIÓN TITULADA'!#REF!,"AAAAACl9vlM=")</f>
        <v>#REF!</v>
      </c>
      <c r="CG326" t="e">
        <f>AND('PROG FORMACIÓN TITULADA'!#REF!,"AAAAACl9vlQ=")</f>
        <v>#REF!</v>
      </c>
      <c r="CH326" t="e">
        <f>AND('PROG FORMACIÓN TITULADA'!#REF!,"AAAAACl9vlU=")</f>
        <v>#REF!</v>
      </c>
      <c r="CI326" t="e">
        <f>AND('PROG FORMACIÓN TITULADA'!#REF!,"AAAAACl9vlY=")</f>
        <v>#REF!</v>
      </c>
      <c r="CJ326" t="e">
        <f>AND('PROG FORMACIÓN TITULADA'!#REF!,"AAAAACl9vlc=")</f>
        <v>#REF!</v>
      </c>
      <c r="CK326" t="e">
        <f>AND('PROG FORMACIÓN TITULADA'!#REF!,"AAAAACl9vlg=")</f>
        <v>#REF!</v>
      </c>
      <c r="CL326" t="e">
        <f>AND('PROG FORMACIÓN TITULADA'!#REF!,"AAAAACl9vlk=")</f>
        <v>#REF!</v>
      </c>
      <c r="CM326" t="e">
        <f>AND('PROG FORMACIÓN TITULADA'!#REF!,"AAAAACl9vlo=")</f>
        <v>#REF!</v>
      </c>
      <c r="CN326" t="e">
        <f>AND('PROG FORMACIÓN TITULADA'!#REF!,"AAAAACl9vls=")</f>
        <v>#REF!</v>
      </c>
      <c r="CO326" t="e">
        <f>AND('PROG FORMACIÓN TITULADA'!#REF!,"AAAAACl9vlw=")</f>
        <v>#REF!</v>
      </c>
      <c r="CP326" t="e">
        <f>AND('PROG FORMACIÓN TITULADA'!#REF!,"AAAAACl9vl0=")</f>
        <v>#REF!</v>
      </c>
      <c r="CQ326" t="e">
        <f>AND('PROG FORMACIÓN TITULADA'!#REF!,"AAAAACl9vl4=")</f>
        <v>#REF!</v>
      </c>
      <c r="CR326" t="e">
        <f>IF('PROG FORMACIÓN TITULADA'!#REF!,"AAAAACl9vl8=",0)</f>
        <v>#REF!</v>
      </c>
      <c r="CS326" t="e">
        <f>AND('PROG FORMACIÓN TITULADA'!#REF!,"AAAAACl9vmA=")</f>
        <v>#REF!</v>
      </c>
      <c r="CT326" t="e">
        <f>AND('PROG FORMACIÓN TITULADA'!#REF!,"AAAAACl9vmE=")</f>
        <v>#REF!</v>
      </c>
      <c r="CU326" t="e">
        <f>AND('PROG FORMACIÓN TITULADA'!#REF!,"AAAAACl9vmI=")</f>
        <v>#REF!</v>
      </c>
      <c r="CV326" t="e">
        <f>AND('PROG FORMACIÓN TITULADA'!#REF!,"AAAAACl9vmM=")</f>
        <v>#REF!</v>
      </c>
      <c r="CW326" t="e">
        <f>AND('PROG FORMACIÓN TITULADA'!#REF!,"AAAAACl9vmQ=")</f>
        <v>#REF!</v>
      </c>
      <c r="CX326" t="e">
        <f>AND('PROG FORMACIÓN TITULADA'!#REF!,"AAAAACl9vmU=")</f>
        <v>#REF!</v>
      </c>
      <c r="CY326" t="e">
        <f>AND('PROG FORMACIÓN TITULADA'!#REF!,"AAAAACl9vmY=")</f>
        <v>#REF!</v>
      </c>
      <c r="CZ326" t="e">
        <f>AND('PROG FORMACIÓN TITULADA'!#REF!,"AAAAACl9vmc=")</f>
        <v>#REF!</v>
      </c>
      <c r="DA326" t="e">
        <f>AND('PROG FORMACIÓN TITULADA'!#REF!,"AAAAACl9vmg=")</f>
        <v>#REF!</v>
      </c>
      <c r="DB326" t="e">
        <f>AND('PROG FORMACIÓN TITULADA'!#REF!,"AAAAACl9vmk=")</f>
        <v>#REF!</v>
      </c>
      <c r="DC326" t="e">
        <f>AND('PROG FORMACIÓN TITULADA'!#REF!,"AAAAACl9vmo=")</f>
        <v>#REF!</v>
      </c>
      <c r="DD326" t="e">
        <f>AND('PROG FORMACIÓN TITULADA'!#REF!,"AAAAACl9vms=")</f>
        <v>#REF!</v>
      </c>
      <c r="DE326" t="e">
        <f>AND('PROG FORMACIÓN TITULADA'!#REF!,"AAAAACl9vmw=")</f>
        <v>#REF!</v>
      </c>
      <c r="DF326" t="e">
        <f>AND('PROG FORMACIÓN TITULADA'!#REF!,"AAAAACl9vm0=")</f>
        <v>#REF!</v>
      </c>
      <c r="DG326" t="e">
        <f>AND('PROG FORMACIÓN TITULADA'!#REF!,"AAAAACl9vm4=")</f>
        <v>#REF!</v>
      </c>
      <c r="DH326" t="e">
        <f>AND('PROG FORMACIÓN TITULADA'!#REF!,"AAAAACl9vm8=")</f>
        <v>#REF!</v>
      </c>
      <c r="DI326" t="e">
        <f>AND('PROG FORMACIÓN TITULADA'!#REF!,"AAAAACl9vnA=")</f>
        <v>#REF!</v>
      </c>
      <c r="DJ326" t="e">
        <f>AND('PROG FORMACIÓN TITULADA'!#REF!,"AAAAACl9vnE=")</f>
        <v>#REF!</v>
      </c>
      <c r="DK326" t="e">
        <f>AND('PROG FORMACIÓN TITULADA'!#REF!,"AAAAACl9vnI=")</f>
        <v>#REF!</v>
      </c>
      <c r="DL326" t="e">
        <f>AND('PROG FORMACIÓN TITULADA'!#REF!,"AAAAACl9vnM=")</f>
        <v>#REF!</v>
      </c>
      <c r="DM326" t="e">
        <f>AND('PROG FORMACIÓN TITULADA'!#REF!,"AAAAACl9vnQ=")</f>
        <v>#REF!</v>
      </c>
      <c r="DN326" t="e">
        <f>AND('PROG FORMACIÓN TITULADA'!#REF!,"AAAAACl9vnU=")</f>
        <v>#REF!</v>
      </c>
      <c r="DO326" t="e">
        <f>AND('PROG FORMACIÓN TITULADA'!#REF!,"AAAAACl9vnY=")</f>
        <v>#REF!</v>
      </c>
      <c r="DP326" t="e">
        <f>AND('PROG FORMACIÓN TITULADA'!#REF!,"AAAAACl9vnc=")</f>
        <v>#REF!</v>
      </c>
      <c r="DQ326" t="e">
        <f>AND('PROG FORMACIÓN TITULADA'!#REF!,"AAAAACl9vng=")</f>
        <v>#REF!</v>
      </c>
      <c r="DR326" t="e">
        <f>AND('PROG FORMACIÓN TITULADA'!#REF!,"AAAAACl9vnk=")</f>
        <v>#REF!</v>
      </c>
      <c r="DS326" t="e">
        <f>IF('PROG FORMACIÓN TITULADA'!#REF!,"AAAAACl9vno=",0)</f>
        <v>#REF!</v>
      </c>
      <c r="DT326" t="e">
        <f>AND('PROG FORMACIÓN TITULADA'!#REF!,"AAAAACl9vns=")</f>
        <v>#REF!</v>
      </c>
      <c r="DU326" t="e">
        <f>AND('PROG FORMACIÓN TITULADA'!#REF!,"AAAAACl9vnw=")</f>
        <v>#REF!</v>
      </c>
      <c r="DV326" t="e">
        <f>AND('PROG FORMACIÓN TITULADA'!#REF!,"AAAAACl9vn0=")</f>
        <v>#REF!</v>
      </c>
      <c r="DW326" t="e">
        <f>AND('PROG FORMACIÓN TITULADA'!#REF!,"AAAAACl9vn4=")</f>
        <v>#REF!</v>
      </c>
      <c r="DX326" t="e">
        <f>AND('PROG FORMACIÓN TITULADA'!#REF!,"AAAAACl9vn8=")</f>
        <v>#REF!</v>
      </c>
      <c r="DY326" t="e">
        <f>AND('PROG FORMACIÓN TITULADA'!#REF!,"AAAAACl9voA=")</f>
        <v>#REF!</v>
      </c>
      <c r="DZ326" t="e">
        <f>AND('PROG FORMACIÓN TITULADA'!#REF!,"AAAAACl9voE=")</f>
        <v>#REF!</v>
      </c>
      <c r="EA326" t="e">
        <f>AND('PROG FORMACIÓN TITULADA'!#REF!,"AAAAACl9voI=")</f>
        <v>#REF!</v>
      </c>
      <c r="EB326" t="e">
        <f>AND('PROG FORMACIÓN TITULADA'!#REF!,"AAAAACl9voM=")</f>
        <v>#REF!</v>
      </c>
      <c r="EC326" t="e">
        <f>AND('PROG FORMACIÓN TITULADA'!#REF!,"AAAAACl9voQ=")</f>
        <v>#REF!</v>
      </c>
      <c r="ED326" t="e">
        <f>AND('PROG FORMACIÓN TITULADA'!#REF!,"AAAAACl9voU=")</f>
        <v>#REF!</v>
      </c>
      <c r="EE326" t="e">
        <f>AND('PROG FORMACIÓN TITULADA'!#REF!,"AAAAACl9voY=")</f>
        <v>#REF!</v>
      </c>
      <c r="EF326" t="e">
        <f>AND('PROG FORMACIÓN TITULADA'!#REF!,"AAAAACl9voc=")</f>
        <v>#REF!</v>
      </c>
      <c r="EG326" t="e">
        <f>AND('PROG FORMACIÓN TITULADA'!#REF!,"AAAAACl9vog=")</f>
        <v>#REF!</v>
      </c>
      <c r="EH326" t="e">
        <f>AND('PROG FORMACIÓN TITULADA'!#REF!,"AAAAACl9vok=")</f>
        <v>#REF!</v>
      </c>
      <c r="EI326" t="e">
        <f>AND('PROG FORMACIÓN TITULADA'!#REF!,"AAAAACl9voo=")</f>
        <v>#REF!</v>
      </c>
      <c r="EJ326" t="e">
        <f>AND('PROG FORMACIÓN TITULADA'!#REF!,"AAAAACl9vos=")</f>
        <v>#REF!</v>
      </c>
      <c r="EK326" t="e">
        <f>AND('PROG FORMACIÓN TITULADA'!#REF!,"AAAAACl9vow=")</f>
        <v>#REF!</v>
      </c>
      <c r="EL326" t="e">
        <f>AND('PROG FORMACIÓN TITULADA'!#REF!,"AAAAACl9vo0=")</f>
        <v>#REF!</v>
      </c>
      <c r="EM326" t="e">
        <f>AND('PROG FORMACIÓN TITULADA'!#REF!,"AAAAACl9vo4=")</f>
        <v>#REF!</v>
      </c>
      <c r="EN326" t="e">
        <f>AND('PROG FORMACIÓN TITULADA'!#REF!,"AAAAACl9vo8=")</f>
        <v>#REF!</v>
      </c>
      <c r="EO326" t="e">
        <f>AND('PROG FORMACIÓN TITULADA'!#REF!,"AAAAACl9vpA=")</f>
        <v>#REF!</v>
      </c>
      <c r="EP326" t="e">
        <f>AND('PROG FORMACIÓN TITULADA'!#REF!,"AAAAACl9vpE=")</f>
        <v>#REF!</v>
      </c>
      <c r="EQ326" t="e">
        <f>AND('PROG FORMACIÓN TITULADA'!#REF!,"AAAAACl9vpI=")</f>
        <v>#REF!</v>
      </c>
      <c r="ER326" t="e">
        <f>AND('PROG FORMACIÓN TITULADA'!#REF!,"AAAAACl9vpM=")</f>
        <v>#REF!</v>
      </c>
      <c r="ES326" t="e">
        <f>AND('PROG FORMACIÓN TITULADA'!#REF!,"AAAAACl9vpQ=")</f>
        <v>#REF!</v>
      </c>
      <c r="ET326" t="e">
        <f>IF('PROG FORMACIÓN TITULADA'!#REF!,"AAAAACl9vpU=",0)</f>
        <v>#REF!</v>
      </c>
      <c r="EU326" t="e">
        <f>AND('PROG FORMACIÓN TITULADA'!#REF!,"AAAAACl9vpY=")</f>
        <v>#REF!</v>
      </c>
      <c r="EV326" t="e">
        <f>AND('PROG FORMACIÓN TITULADA'!#REF!,"AAAAACl9vpc=")</f>
        <v>#REF!</v>
      </c>
      <c r="EW326" t="e">
        <f>AND('PROG FORMACIÓN TITULADA'!#REF!,"AAAAACl9vpg=")</f>
        <v>#REF!</v>
      </c>
      <c r="EX326" t="e">
        <f>AND('PROG FORMACIÓN TITULADA'!#REF!,"AAAAACl9vpk=")</f>
        <v>#REF!</v>
      </c>
      <c r="EY326" t="e">
        <f>AND('PROG FORMACIÓN TITULADA'!#REF!,"AAAAACl9vpo=")</f>
        <v>#REF!</v>
      </c>
      <c r="EZ326" t="e">
        <f>AND('PROG FORMACIÓN TITULADA'!#REF!,"AAAAACl9vps=")</f>
        <v>#REF!</v>
      </c>
      <c r="FA326" t="e">
        <f>AND('PROG FORMACIÓN TITULADA'!#REF!,"AAAAACl9vpw=")</f>
        <v>#REF!</v>
      </c>
      <c r="FB326" t="e">
        <f>AND('PROG FORMACIÓN TITULADA'!#REF!,"AAAAACl9vp0=")</f>
        <v>#REF!</v>
      </c>
      <c r="FC326" t="e">
        <f>AND('PROG FORMACIÓN TITULADA'!#REF!,"AAAAACl9vp4=")</f>
        <v>#REF!</v>
      </c>
      <c r="FD326" t="e">
        <f>AND('PROG FORMACIÓN TITULADA'!#REF!,"AAAAACl9vp8=")</f>
        <v>#REF!</v>
      </c>
      <c r="FE326" t="e">
        <f>AND('PROG FORMACIÓN TITULADA'!#REF!,"AAAAACl9vqA=")</f>
        <v>#REF!</v>
      </c>
      <c r="FF326" t="e">
        <f>AND('PROG FORMACIÓN TITULADA'!#REF!,"AAAAACl9vqE=")</f>
        <v>#REF!</v>
      </c>
      <c r="FG326" t="e">
        <f>AND('PROG FORMACIÓN TITULADA'!#REF!,"AAAAACl9vqI=")</f>
        <v>#REF!</v>
      </c>
      <c r="FH326" t="e">
        <f>AND('PROG FORMACIÓN TITULADA'!#REF!,"AAAAACl9vqM=")</f>
        <v>#REF!</v>
      </c>
      <c r="FI326" t="e">
        <f>AND('PROG FORMACIÓN TITULADA'!#REF!,"AAAAACl9vqQ=")</f>
        <v>#REF!</v>
      </c>
      <c r="FJ326" t="e">
        <f>AND('PROG FORMACIÓN TITULADA'!#REF!,"AAAAACl9vqU=")</f>
        <v>#REF!</v>
      </c>
      <c r="FK326" t="e">
        <f>AND('PROG FORMACIÓN TITULADA'!#REF!,"AAAAACl9vqY=")</f>
        <v>#REF!</v>
      </c>
      <c r="FL326" t="e">
        <f>AND('PROG FORMACIÓN TITULADA'!#REF!,"AAAAACl9vqc=")</f>
        <v>#REF!</v>
      </c>
      <c r="FM326" t="e">
        <f>AND('PROG FORMACIÓN TITULADA'!#REF!,"AAAAACl9vqg=")</f>
        <v>#REF!</v>
      </c>
      <c r="FN326" t="e">
        <f>AND('PROG FORMACIÓN TITULADA'!#REF!,"AAAAACl9vqk=")</f>
        <v>#REF!</v>
      </c>
      <c r="FO326" t="e">
        <f>AND('PROG FORMACIÓN TITULADA'!#REF!,"AAAAACl9vqo=")</f>
        <v>#REF!</v>
      </c>
      <c r="FP326" t="e">
        <f>AND('PROG FORMACIÓN TITULADA'!#REF!,"AAAAACl9vqs=")</f>
        <v>#REF!</v>
      </c>
      <c r="FQ326" t="e">
        <f>AND('PROG FORMACIÓN TITULADA'!#REF!,"AAAAACl9vqw=")</f>
        <v>#REF!</v>
      </c>
      <c r="FR326" t="e">
        <f>AND('PROG FORMACIÓN TITULADA'!#REF!,"AAAAACl9vq0=")</f>
        <v>#REF!</v>
      </c>
      <c r="FS326" t="e">
        <f>AND('PROG FORMACIÓN TITULADA'!#REF!,"AAAAACl9vq4=")</f>
        <v>#REF!</v>
      </c>
      <c r="FT326" t="e">
        <f>AND('PROG FORMACIÓN TITULADA'!#REF!,"AAAAACl9vq8=")</f>
        <v>#REF!</v>
      </c>
      <c r="FU326" t="e">
        <f>IF('PROG FORMACIÓN TITULADA'!#REF!,"AAAAACl9vrA=",0)</f>
        <v>#REF!</v>
      </c>
      <c r="FV326" t="e">
        <f>AND('PROG FORMACIÓN TITULADA'!#REF!,"AAAAACl9vrE=")</f>
        <v>#REF!</v>
      </c>
      <c r="FW326" t="e">
        <f>AND('PROG FORMACIÓN TITULADA'!#REF!,"AAAAACl9vrI=")</f>
        <v>#REF!</v>
      </c>
      <c r="FX326" t="e">
        <f>AND('PROG FORMACIÓN TITULADA'!#REF!,"AAAAACl9vrM=")</f>
        <v>#REF!</v>
      </c>
      <c r="FY326" t="e">
        <f>AND('PROG FORMACIÓN TITULADA'!#REF!,"AAAAACl9vrQ=")</f>
        <v>#REF!</v>
      </c>
      <c r="FZ326" t="e">
        <f>AND('PROG FORMACIÓN TITULADA'!#REF!,"AAAAACl9vrU=")</f>
        <v>#REF!</v>
      </c>
      <c r="GA326" t="e">
        <f>AND('PROG FORMACIÓN TITULADA'!#REF!,"AAAAACl9vrY=")</f>
        <v>#REF!</v>
      </c>
      <c r="GB326" t="e">
        <f>AND('PROG FORMACIÓN TITULADA'!#REF!,"AAAAACl9vrc=")</f>
        <v>#REF!</v>
      </c>
      <c r="GC326" t="e">
        <f>AND('PROG FORMACIÓN TITULADA'!#REF!,"AAAAACl9vrg=")</f>
        <v>#REF!</v>
      </c>
      <c r="GD326" t="e">
        <f>AND('PROG FORMACIÓN TITULADA'!#REF!,"AAAAACl9vrk=")</f>
        <v>#REF!</v>
      </c>
      <c r="GE326" t="e">
        <f>AND('PROG FORMACIÓN TITULADA'!#REF!,"AAAAACl9vro=")</f>
        <v>#REF!</v>
      </c>
      <c r="GF326" t="e">
        <f>AND('PROG FORMACIÓN TITULADA'!#REF!,"AAAAACl9vrs=")</f>
        <v>#REF!</v>
      </c>
      <c r="GG326" t="e">
        <f>AND('PROG FORMACIÓN TITULADA'!#REF!,"AAAAACl9vrw=")</f>
        <v>#REF!</v>
      </c>
      <c r="GH326" t="e">
        <f>AND('PROG FORMACIÓN TITULADA'!#REF!,"AAAAACl9vr0=")</f>
        <v>#REF!</v>
      </c>
      <c r="GI326" t="e">
        <f>AND('PROG FORMACIÓN TITULADA'!#REF!,"AAAAACl9vr4=")</f>
        <v>#REF!</v>
      </c>
      <c r="GJ326" t="e">
        <f>AND('PROG FORMACIÓN TITULADA'!#REF!,"AAAAACl9vr8=")</f>
        <v>#REF!</v>
      </c>
      <c r="GK326" t="e">
        <f>AND('PROG FORMACIÓN TITULADA'!#REF!,"AAAAACl9vsA=")</f>
        <v>#REF!</v>
      </c>
      <c r="GL326" t="e">
        <f>AND('PROG FORMACIÓN TITULADA'!#REF!,"AAAAACl9vsE=")</f>
        <v>#REF!</v>
      </c>
      <c r="GM326" t="e">
        <f>AND('PROG FORMACIÓN TITULADA'!#REF!,"AAAAACl9vsI=")</f>
        <v>#REF!</v>
      </c>
      <c r="GN326" t="e">
        <f>AND('PROG FORMACIÓN TITULADA'!#REF!,"AAAAACl9vsM=")</f>
        <v>#REF!</v>
      </c>
      <c r="GO326" t="e">
        <f>AND('PROG FORMACIÓN TITULADA'!#REF!,"AAAAACl9vsQ=")</f>
        <v>#REF!</v>
      </c>
      <c r="GP326" t="e">
        <f>AND('PROG FORMACIÓN TITULADA'!#REF!,"AAAAACl9vsU=")</f>
        <v>#REF!</v>
      </c>
      <c r="GQ326" t="e">
        <f>AND('PROG FORMACIÓN TITULADA'!#REF!,"AAAAACl9vsY=")</f>
        <v>#REF!</v>
      </c>
      <c r="GR326" t="e">
        <f>AND('PROG FORMACIÓN TITULADA'!#REF!,"AAAAACl9vsc=")</f>
        <v>#REF!</v>
      </c>
      <c r="GS326" t="e">
        <f>AND('PROG FORMACIÓN TITULADA'!#REF!,"AAAAACl9vsg=")</f>
        <v>#REF!</v>
      </c>
      <c r="GT326" t="e">
        <f>AND('PROG FORMACIÓN TITULADA'!#REF!,"AAAAACl9vsk=")</f>
        <v>#REF!</v>
      </c>
      <c r="GU326" t="e">
        <f>AND('PROG FORMACIÓN TITULADA'!#REF!,"AAAAACl9vso=")</f>
        <v>#REF!</v>
      </c>
      <c r="GV326" t="e">
        <f>IF('PROG FORMACIÓN TITULADA'!#REF!,"AAAAACl9vss=",0)</f>
        <v>#REF!</v>
      </c>
      <c r="GW326" t="e">
        <f>AND('PROG FORMACIÓN TITULADA'!#REF!,"AAAAACl9vsw=")</f>
        <v>#REF!</v>
      </c>
      <c r="GX326" t="e">
        <f>AND('PROG FORMACIÓN TITULADA'!#REF!,"AAAAACl9vs0=")</f>
        <v>#REF!</v>
      </c>
      <c r="GY326" t="e">
        <f>AND('PROG FORMACIÓN TITULADA'!#REF!,"AAAAACl9vs4=")</f>
        <v>#REF!</v>
      </c>
      <c r="GZ326" t="e">
        <f>AND('PROG FORMACIÓN TITULADA'!#REF!,"AAAAACl9vs8=")</f>
        <v>#REF!</v>
      </c>
      <c r="HA326" t="e">
        <f>AND('PROG FORMACIÓN TITULADA'!#REF!,"AAAAACl9vtA=")</f>
        <v>#REF!</v>
      </c>
      <c r="HB326" t="e">
        <f>AND('PROG FORMACIÓN TITULADA'!#REF!,"AAAAACl9vtE=")</f>
        <v>#REF!</v>
      </c>
      <c r="HC326" t="e">
        <f>AND('PROG FORMACIÓN TITULADA'!#REF!,"AAAAACl9vtI=")</f>
        <v>#REF!</v>
      </c>
      <c r="HD326" t="e">
        <f>AND('PROG FORMACIÓN TITULADA'!#REF!,"AAAAACl9vtM=")</f>
        <v>#REF!</v>
      </c>
      <c r="HE326" t="e">
        <f>AND('PROG FORMACIÓN TITULADA'!#REF!,"AAAAACl9vtQ=")</f>
        <v>#REF!</v>
      </c>
      <c r="HF326" t="e">
        <f>AND('PROG FORMACIÓN TITULADA'!#REF!,"AAAAACl9vtU=")</f>
        <v>#REF!</v>
      </c>
      <c r="HG326" t="e">
        <f>AND('PROG FORMACIÓN TITULADA'!#REF!,"AAAAACl9vtY=")</f>
        <v>#REF!</v>
      </c>
      <c r="HH326" t="e">
        <f>AND('PROG FORMACIÓN TITULADA'!#REF!,"AAAAACl9vtc=")</f>
        <v>#REF!</v>
      </c>
      <c r="HI326" t="e">
        <f>AND('PROG FORMACIÓN TITULADA'!#REF!,"AAAAACl9vtg=")</f>
        <v>#REF!</v>
      </c>
      <c r="HJ326" t="e">
        <f>AND('PROG FORMACIÓN TITULADA'!#REF!,"AAAAACl9vtk=")</f>
        <v>#REF!</v>
      </c>
      <c r="HK326" t="e">
        <f>AND('PROG FORMACIÓN TITULADA'!#REF!,"AAAAACl9vto=")</f>
        <v>#REF!</v>
      </c>
      <c r="HL326" t="e">
        <f>AND('PROG FORMACIÓN TITULADA'!#REF!,"AAAAACl9vts=")</f>
        <v>#REF!</v>
      </c>
      <c r="HM326" t="e">
        <f>AND('PROG FORMACIÓN TITULADA'!#REF!,"AAAAACl9vtw=")</f>
        <v>#REF!</v>
      </c>
      <c r="HN326" t="e">
        <f>AND('PROG FORMACIÓN TITULADA'!#REF!,"AAAAACl9vt0=")</f>
        <v>#REF!</v>
      </c>
      <c r="HO326" t="e">
        <f>AND('PROG FORMACIÓN TITULADA'!#REF!,"AAAAACl9vt4=")</f>
        <v>#REF!</v>
      </c>
      <c r="HP326" t="e">
        <f>AND('PROG FORMACIÓN TITULADA'!#REF!,"AAAAACl9vt8=")</f>
        <v>#REF!</v>
      </c>
      <c r="HQ326" t="e">
        <f>AND('PROG FORMACIÓN TITULADA'!#REF!,"AAAAACl9vuA=")</f>
        <v>#REF!</v>
      </c>
      <c r="HR326" t="e">
        <f>AND('PROG FORMACIÓN TITULADA'!#REF!,"AAAAACl9vuE=")</f>
        <v>#REF!</v>
      </c>
      <c r="HS326" t="e">
        <f>AND('PROG FORMACIÓN TITULADA'!#REF!,"AAAAACl9vuI=")</f>
        <v>#REF!</v>
      </c>
      <c r="HT326" t="e">
        <f>AND('PROG FORMACIÓN TITULADA'!#REF!,"AAAAACl9vuM=")</f>
        <v>#REF!</v>
      </c>
      <c r="HU326" t="e">
        <f>AND('PROG FORMACIÓN TITULADA'!#REF!,"AAAAACl9vuQ=")</f>
        <v>#REF!</v>
      </c>
      <c r="HV326" t="e">
        <f>AND('PROG FORMACIÓN TITULADA'!#REF!,"AAAAACl9vuU=")</f>
        <v>#REF!</v>
      </c>
      <c r="HW326" t="e">
        <f>IF('PROG FORMACIÓN TITULADA'!#REF!,"AAAAACl9vuY=",0)</f>
        <v>#REF!</v>
      </c>
      <c r="HX326" t="e">
        <f>AND('PROG FORMACIÓN TITULADA'!#REF!,"AAAAACl9vuc=")</f>
        <v>#REF!</v>
      </c>
      <c r="HY326" t="e">
        <f>AND('PROG FORMACIÓN TITULADA'!#REF!,"AAAAACl9vug=")</f>
        <v>#REF!</v>
      </c>
      <c r="HZ326" t="e">
        <f>AND('PROG FORMACIÓN TITULADA'!#REF!,"AAAAACl9vuk=")</f>
        <v>#REF!</v>
      </c>
      <c r="IA326" t="e">
        <f>AND('PROG FORMACIÓN TITULADA'!#REF!,"AAAAACl9vuo=")</f>
        <v>#REF!</v>
      </c>
      <c r="IB326" t="e">
        <f>AND('PROG FORMACIÓN TITULADA'!#REF!,"AAAAACl9vus=")</f>
        <v>#REF!</v>
      </c>
      <c r="IC326" t="e">
        <f>AND('PROG FORMACIÓN TITULADA'!#REF!,"AAAAACl9vuw=")</f>
        <v>#REF!</v>
      </c>
      <c r="ID326" t="e">
        <f>AND('PROG FORMACIÓN TITULADA'!#REF!,"AAAAACl9vu0=")</f>
        <v>#REF!</v>
      </c>
      <c r="IE326" t="e">
        <f>AND('PROG FORMACIÓN TITULADA'!#REF!,"AAAAACl9vu4=")</f>
        <v>#REF!</v>
      </c>
      <c r="IF326" t="e">
        <f>AND('PROG FORMACIÓN TITULADA'!#REF!,"AAAAACl9vu8=")</f>
        <v>#REF!</v>
      </c>
      <c r="IG326" t="e">
        <f>AND('PROG FORMACIÓN TITULADA'!#REF!,"AAAAACl9vvA=")</f>
        <v>#REF!</v>
      </c>
      <c r="IH326" t="e">
        <f>AND('PROG FORMACIÓN TITULADA'!#REF!,"AAAAACl9vvE=")</f>
        <v>#REF!</v>
      </c>
      <c r="II326" t="e">
        <f>AND('PROG FORMACIÓN TITULADA'!#REF!,"AAAAACl9vvI=")</f>
        <v>#REF!</v>
      </c>
      <c r="IJ326" t="e">
        <f>AND('PROG FORMACIÓN TITULADA'!#REF!,"AAAAACl9vvM=")</f>
        <v>#REF!</v>
      </c>
      <c r="IK326" t="e">
        <f>AND('PROG FORMACIÓN TITULADA'!#REF!,"AAAAACl9vvQ=")</f>
        <v>#REF!</v>
      </c>
      <c r="IL326" t="e">
        <f>AND('PROG FORMACIÓN TITULADA'!#REF!,"AAAAACl9vvU=")</f>
        <v>#REF!</v>
      </c>
      <c r="IM326" t="e">
        <f>AND('PROG FORMACIÓN TITULADA'!#REF!,"AAAAACl9vvY=")</f>
        <v>#REF!</v>
      </c>
      <c r="IN326" t="e">
        <f>AND('PROG FORMACIÓN TITULADA'!#REF!,"AAAAACl9vvc=")</f>
        <v>#REF!</v>
      </c>
      <c r="IO326" t="e">
        <f>AND('PROG FORMACIÓN TITULADA'!#REF!,"AAAAACl9vvg=")</f>
        <v>#REF!</v>
      </c>
      <c r="IP326" t="e">
        <f>AND('PROG FORMACIÓN TITULADA'!#REF!,"AAAAACl9vvk=")</f>
        <v>#REF!</v>
      </c>
      <c r="IQ326" t="e">
        <f>AND('PROG FORMACIÓN TITULADA'!#REF!,"AAAAACl9vvo=")</f>
        <v>#REF!</v>
      </c>
      <c r="IR326" t="e">
        <f>AND('PROG FORMACIÓN TITULADA'!#REF!,"AAAAACl9vvs=")</f>
        <v>#REF!</v>
      </c>
      <c r="IS326" t="e">
        <f>AND('PROG FORMACIÓN TITULADA'!#REF!,"AAAAACl9vvw=")</f>
        <v>#REF!</v>
      </c>
      <c r="IT326" t="e">
        <f>AND('PROG FORMACIÓN TITULADA'!#REF!,"AAAAACl9vv0=")</f>
        <v>#REF!</v>
      </c>
      <c r="IU326" t="e">
        <f>AND('PROG FORMACIÓN TITULADA'!#REF!,"AAAAACl9vv4=")</f>
        <v>#REF!</v>
      </c>
      <c r="IV326" t="e">
        <f>AND('PROG FORMACIÓN TITULADA'!#REF!,"AAAAACl9vv8=")</f>
        <v>#REF!</v>
      </c>
    </row>
    <row r="327" spans="1:256" x14ac:dyDescent="0.2">
      <c r="A327" t="e">
        <f>AND('PROG FORMACIÓN TITULADA'!#REF!,"AAAAAB3wPQA=")</f>
        <v>#REF!</v>
      </c>
      <c r="B327" t="e">
        <f>IF('PROG FORMACIÓN TITULADA'!#REF!,"AAAAAB3wPQE=",0)</f>
        <v>#REF!</v>
      </c>
      <c r="C327" t="e">
        <f>AND('PROG FORMACIÓN TITULADA'!#REF!,"AAAAAB3wPQI=")</f>
        <v>#REF!</v>
      </c>
      <c r="D327" t="e">
        <f>AND('PROG FORMACIÓN TITULADA'!#REF!,"AAAAAB3wPQM=")</f>
        <v>#REF!</v>
      </c>
      <c r="E327" t="e">
        <f>AND('PROG FORMACIÓN TITULADA'!#REF!,"AAAAAB3wPQQ=")</f>
        <v>#REF!</v>
      </c>
      <c r="F327" t="e">
        <f>AND('PROG FORMACIÓN TITULADA'!#REF!,"AAAAAB3wPQU=")</f>
        <v>#REF!</v>
      </c>
      <c r="G327" t="e">
        <f>AND('PROG FORMACIÓN TITULADA'!#REF!,"AAAAAB3wPQY=")</f>
        <v>#REF!</v>
      </c>
      <c r="H327" t="e">
        <f>AND('PROG FORMACIÓN TITULADA'!#REF!,"AAAAAB3wPQc=")</f>
        <v>#REF!</v>
      </c>
      <c r="I327" t="e">
        <f>AND('PROG FORMACIÓN TITULADA'!#REF!,"AAAAAB3wPQg=")</f>
        <v>#REF!</v>
      </c>
      <c r="J327" t="e">
        <f>AND('PROG FORMACIÓN TITULADA'!#REF!,"AAAAAB3wPQk=")</f>
        <v>#REF!</v>
      </c>
      <c r="K327" t="e">
        <f>AND('PROG FORMACIÓN TITULADA'!#REF!,"AAAAAB3wPQo=")</f>
        <v>#REF!</v>
      </c>
      <c r="L327" t="e">
        <f>AND('PROG FORMACIÓN TITULADA'!#REF!,"AAAAAB3wPQs=")</f>
        <v>#REF!</v>
      </c>
      <c r="M327" t="e">
        <f>AND('PROG FORMACIÓN TITULADA'!#REF!,"AAAAAB3wPQw=")</f>
        <v>#REF!</v>
      </c>
      <c r="N327" t="e">
        <f>AND('PROG FORMACIÓN TITULADA'!#REF!,"AAAAAB3wPQ0=")</f>
        <v>#REF!</v>
      </c>
      <c r="O327" t="e">
        <f>AND('PROG FORMACIÓN TITULADA'!#REF!,"AAAAAB3wPQ4=")</f>
        <v>#REF!</v>
      </c>
      <c r="P327" t="e">
        <f>AND('PROG FORMACIÓN TITULADA'!#REF!,"AAAAAB3wPQ8=")</f>
        <v>#REF!</v>
      </c>
      <c r="Q327" t="e">
        <f>AND('PROG FORMACIÓN TITULADA'!#REF!,"AAAAAB3wPRA=")</f>
        <v>#REF!</v>
      </c>
      <c r="R327" t="e">
        <f>AND('PROG FORMACIÓN TITULADA'!#REF!,"AAAAAB3wPRE=")</f>
        <v>#REF!</v>
      </c>
      <c r="S327" t="e">
        <f>AND('PROG FORMACIÓN TITULADA'!#REF!,"AAAAAB3wPRI=")</f>
        <v>#REF!</v>
      </c>
      <c r="T327" t="e">
        <f>AND('PROG FORMACIÓN TITULADA'!#REF!,"AAAAAB3wPRM=")</f>
        <v>#REF!</v>
      </c>
      <c r="U327" t="e">
        <f>AND('PROG FORMACIÓN TITULADA'!#REF!,"AAAAAB3wPRQ=")</f>
        <v>#REF!</v>
      </c>
      <c r="V327" t="e">
        <f>AND('PROG FORMACIÓN TITULADA'!#REF!,"AAAAAB3wPRU=")</f>
        <v>#REF!</v>
      </c>
      <c r="W327" t="e">
        <f>AND('PROG FORMACIÓN TITULADA'!#REF!,"AAAAAB3wPRY=")</f>
        <v>#REF!</v>
      </c>
      <c r="X327" t="e">
        <f>AND('PROG FORMACIÓN TITULADA'!#REF!,"AAAAAB3wPRc=")</f>
        <v>#REF!</v>
      </c>
      <c r="Y327" t="e">
        <f>AND('PROG FORMACIÓN TITULADA'!#REF!,"AAAAAB3wPRg=")</f>
        <v>#REF!</v>
      </c>
      <c r="Z327" t="e">
        <f>AND('PROG FORMACIÓN TITULADA'!#REF!,"AAAAAB3wPRk=")</f>
        <v>#REF!</v>
      </c>
      <c r="AA327" t="e">
        <f>AND('PROG FORMACIÓN TITULADA'!#REF!,"AAAAAB3wPRo=")</f>
        <v>#REF!</v>
      </c>
      <c r="AB327" t="e">
        <f>AND('PROG FORMACIÓN TITULADA'!#REF!,"AAAAAB3wPRs=")</f>
        <v>#REF!</v>
      </c>
      <c r="AC327" t="e">
        <f>IF('PROG FORMACIÓN TITULADA'!#REF!,"AAAAAB3wPRw=",0)</f>
        <v>#REF!</v>
      </c>
      <c r="AD327" t="e">
        <f>AND('PROG FORMACIÓN TITULADA'!#REF!,"AAAAAB3wPR0=")</f>
        <v>#REF!</v>
      </c>
      <c r="AE327" t="e">
        <f>AND('PROG FORMACIÓN TITULADA'!#REF!,"AAAAAB3wPR4=")</f>
        <v>#REF!</v>
      </c>
      <c r="AF327" t="e">
        <f>AND('PROG FORMACIÓN TITULADA'!#REF!,"AAAAAB3wPR8=")</f>
        <v>#REF!</v>
      </c>
      <c r="AG327" t="e">
        <f>AND('PROG FORMACIÓN TITULADA'!#REF!,"AAAAAB3wPSA=")</f>
        <v>#REF!</v>
      </c>
      <c r="AH327" t="e">
        <f>AND('PROG FORMACIÓN TITULADA'!#REF!,"AAAAAB3wPSE=")</f>
        <v>#REF!</v>
      </c>
      <c r="AI327" t="e">
        <f>AND('PROG FORMACIÓN TITULADA'!#REF!,"AAAAAB3wPSI=")</f>
        <v>#REF!</v>
      </c>
      <c r="AJ327" t="e">
        <f>AND('PROG FORMACIÓN TITULADA'!#REF!,"AAAAAB3wPSM=")</f>
        <v>#REF!</v>
      </c>
      <c r="AK327" t="e">
        <f>AND('PROG FORMACIÓN TITULADA'!#REF!,"AAAAAB3wPSQ=")</f>
        <v>#REF!</v>
      </c>
      <c r="AL327" t="e">
        <f>AND('PROG FORMACIÓN TITULADA'!#REF!,"AAAAAB3wPSU=")</f>
        <v>#REF!</v>
      </c>
      <c r="AM327" t="e">
        <f>AND('PROG FORMACIÓN TITULADA'!#REF!,"AAAAAB3wPSY=")</f>
        <v>#REF!</v>
      </c>
      <c r="AN327" t="e">
        <f>AND('PROG FORMACIÓN TITULADA'!#REF!,"AAAAAB3wPSc=")</f>
        <v>#REF!</v>
      </c>
      <c r="AO327" t="e">
        <f>AND('PROG FORMACIÓN TITULADA'!#REF!,"AAAAAB3wPSg=")</f>
        <v>#REF!</v>
      </c>
      <c r="AP327" t="e">
        <f>AND('PROG FORMACIÓN TITULADA'!#REF!,"AAAAAB3wPSk=")</f>
        <v>#REF!</v>
      </c>
      <c r="AQ327" t="e">
        <f>AND('PROG FORMACIÓN TITULADA'!#REF!,"AAAAAB3wPSo=")</f>
        <v>#REF!</v>
      </c>
      <c r="AR327" t="e">
        <f>AND('PROG FORMACIÓN TITULADA'!#REF!,"AAAAAB3wPSs=")</f>
        <v>#REF!</v>
      </c>
      <c r="AS327" t="e">
        <f>AND('PROG FORMACIÓN TITULADA'!#REF!,"AAAAAB3wPSw=")</f>
        <v>#REF!</v>
      </c>
      <c r="AT327" t="e">
        <f>AND('PROG FORMACIÓN TITULADA'!#REF!,"AAAAAB3wPS0=")</f>
        <v>#REF!</v>
      </c>
      <c r="AU327" t="e">
        <f>AND('PROG FORMACIÓN TITULADA'!#REF!,"AAAAAB3wPS4=")</f>
        <v>#REF!</v>
      </c>
      <c r="AV327" t="e">
        <f>AND('PROG FORMACIÓN TITULADA'!#REF!,"AAAAAB3wPS8=")</f>
        <v>#REF!</v>
      </c>
      <c r="AW327" t="e">
        <f>AND('PROG FORMACIÓN TITULADA'!#REF!,"AAAAAB3wPTA=")</f>
        <v>#REF!</v>
      </c>
      <c r="AX327" t="e">
        <f>AND('PROG FORMACIÓN TITULADA'!#REF!,"AAAAAB3wPTE=")</f>
        <v>#REF!</v>
      </c>
      <c r="AY327" t="e">
        <f>AND('PROG FORMACIÓN TITULADA'!#REF!,"AAAAAB3wPTI=")</f>
        <v>#REF!</v>
      </c>
      <c r="AZ327" t="e">
        <f>AND('PROG FORMACIÓN TITULADA'!#REF!,"AAAAAB3wPTM=")</f>
        <v>#REF!</v>
      </c>
      <c r="BA327" t="e">
        <f>AND('PROG FORMACIÓN TITULADA'!#REF!,"AAAAAB3wPTQ=")</f>
        <v>#REF!</v>
      </c>
      <c r="BB327" t="e">
        <f>AND('PROG FORMACIÓN TITULADA'!#REF!,"AAAAAB3wPTU=")</f>
        <v>#REF!</v>
      </c>
      <c r="BC327" t="e">
        <f>AND('PROG FORMACIÓN TITULADA'!#REF!,"AAAAAB3wPTY=")</f>
        <v>#REF!</v>
      </c>
      <c r="BD327" t="e">
        <f>IF('PROG FORMACIÓN TITULADA'!#REF!,"AAAAAB3wPTc=",0)</f>
        <v>#REF!</v>
      </c>
      <c r="BE327" t="e">
        <f>AND('PROG FORMACIÓN TITULADA'!#REF!,"AAAAAB3wPTg=")</f>
        <v>#REF!</v>
      </c>
      <c r="BF327" t="e">
        <f>AND('PROG FORMACIÓN TITULADA'!#REF!,"AAAAAB3wPTk=")</f>
        <v>#REF!</v>
      </c>
      <c r="BG327" t="e">
        <f>AND('PROG FORMACIÓN TITULADA'!#REF!,"AAAAAB3wPTo=")</f>
        <v>#REF!</v>
      </c>
      <c r="BH327" t="e">
        <f>AND('PROG FORMACIÓN TITULADA'!#REF!,"AAAAAB3wPTs=")</f>
        <v>#REF!</v>
      </c>
      <c r="BI327" t="e">
        <f>AND('PROG FORMACIÓN TITULADA'!#REF!,"AAAAAB3wPTw=")</f>
        <v>#REF!</v>
      </c>
      <c r="BJ327" t="e">
        <f>AND('PROG FORMACIÓN TITULADA'!#REF!,"AAAAAB3wPT0=")</f>
        <v>#REF!</v>
      </c>
      <c r="BK327" t="e">
        <f>AND('PROG FORMACIÓN TITULADA'!#REF!,"AAAAAB3wPT4=")</f>
        <v>#REF!</v>
      </c>
      <c r="BL327" t="e">
        <f>AND('PROG FORMACIÓN TITULADA'!#REF!,"AAAAAB3wPT8=")</f>
        <v>#REF!</v>
      </c>
      <c r="BM327" t="e">
        <f>AND('PROG FORMACIÓN TITULADA'!#REF!,"AAAAAB3wPUA=")</f>
        <v>#REF!</v>
      </c>
      <c r="BN327" t="e">
        <f>AND('PROG FORMACIÓN TITULADA'!#REF!,"AAAAAB3wPUE=")</f>
        <v>#REF!</v>
      </c>
      <c r="BO327" t="e">
        <f>AND('PROG FORMACIÓN TITULADA'!#REF!,"AAAAAB3wPUI=")</f>
        <v>#REF!</v>
      </c>
      <c r="BP327" t="e">
        <f>AND('PROG FORMACIÓN TITULADA'!#REF!,"AAAAAB3wPUM=")</f>
        <v>#REF!</v>
      </c>
      <c r="BQ327" t="e">
        <f>AND('PROG FORMACIÓN TITULADA'!#REF!,"AAAAAB3wPUQ=")</f>
        <v>#REF!</v>
      </c>
      <c r="BR327" t="e">
        <f>AND('PROG FORMACIÓN TITULADA'!#REF!,"AAAAAB3wPUU=")</f>
        <v>#REF!</v>
      </c>
      <c r="BS327" t="e">
        <f>AND('PROG FORMACIÓN TITULADA'!#REF!,"AAAAAB3wPUY=")</f>
        <v>#REF!</v>
      </c>
      <c r="BT327" t="e">
        <f>AND('PROG FORMACIÓN TITULADA'!#REF!,"AAAAAB3wPUc=")</f>
        <v>#REF!</v>
      </c>
      <c r="BU327" t="e">
        <f>AND('PROG FORMACIÓN TITULADA'!#REF!,"AAAAAB3wPUg=")</f>
        <v>#REF!</v>
      </c>
      <c r="BV327" t="e">
        <f>AND('PROG FORMACIÓN TITULADA'!#REF!,"AAAAAB3wPUk=")</f>
        <v>#REF!</v>
      </c>
      <c r="BW327" t="e">
        <f>AND('PROG FORMACIÓN TITULADA'!#REF!,"AAAAAB3wPUo=")</f>
        <v>#REF!</v>
      </c>
      <c r="BX327" t="e">
        <f>AND('PROG FORMACIÓN TITULADA'!#REF!,"AAAAAB3wPUs=")</f>
        <v>#REF!</v>
      </c>
      <c r="BY327" t="e">
        <f>AND('PROG FORMACIÓN TITULADA'!#REF!,"AAAAAB3wPUw=")</f>
        <v>#REF!</v>
      </c>
      <c r="BZ327" t="e">
        <f>AND('PROG FORMACIÓN TITULADA'!#REF!,"AAAAAB3wPU0=")</f>
        <v>#REF!</v>
      </c>
      <c r="CA327" t="e">
        <f>AND('PROG FORMACIÓN TITULADA'!#REF!,"AAAAAB3wPU4=")</f>
        <v>#REF!</v>
      </c>
      <c r="CB327" t="e">
        <f>AND('PROG FORMACIÓN TITULADA'!#REF!,"AAAAAB3wPU8=")</f>
        <v>#REF!</v>
      </c>
      <c r="CC327" t="e">
        <f>AND('PROG FORMACIÓN TITULADA'!#REF!,"AAAAAB3wPVA=")</f>
        <v>#REF!</v>
      </c>
      <c r="CD327" t="e">
        <f>AND('PROG FORMACIÓN TITULADA'!#REF!,"AAAAAB3wPVE=")</f>
        <v>#REF!</v>
      </c>
      <c r="CE327" t="e">
        <f>IF('PROG FORMACIÓN TITULADA'!#REF!,"AAAAAB3wPVI=",0)</f>
        <v>#REF!</v>
      </c>
      <c r="CF327" t="e">
        <f>AND('PROG FORMACIÓN TITULADA'!#REF!,"AAAAAB3wPVM=")</f>
        <v>#REF!</v>
      </c>
      <c r="CG327" t="e">
        <f>AND('PROG FORMACIÓN TITULADA'!#REF!,"AAAAAB3wPVQ=")</f>
        <v>#REF!</v>
      </c>
      <c r="CH327" t="e">
        <f>AND('PROG FORMACIÓN TITULADA'!#REF!,"AAAAAB3wPVU=")</f>
        <v>#REF!</v>
      </c>
      <c r="CI327" t="e">
        <f>AND('PROG FORMACIÓN TITULADA'!#REF!,"AAAAAB3wPVY=")</f>
        <v>#REF!</v>
      </c>
      <c r="CJ327" t="e">
        <f>AND('PROG FORMACIÓN TITULADA'!#REF!,"AAAAAB3wPVc=")</f>
        <v>#REF!</v>
      </c>
      <c r="CK327" t="e">
        <f>AND('PROG FORMACIÓN TITULADA'!#REF!,"AAAAAB3wPVg=")</f>
        <v>#REF!</v>
      </c>
      <c r="CL327" t="e">
        <f>AND('PROG FORMACIÓN TITULADA'!#REF!,"AAAAAB3wPVk=")</f>
        <v>#REF!</v>
      </c>
      <c r="CM327" t="e">
        <f>AND('PROG FORMACIÓN TITULADA'!#REF!,"AAAAAB3wPVo=")</f>
        <v>#REF!</v>
      </c>
      <c r="CN327" t="e">
        <f>AND('PROG FORMACIÓN TITULADA'!#REF!,"AAAAAB3wPVs=")</f>
        <v>#REF!</v>
      </c>
      <c r="CO327" t="e">
        <f>AND('PROG FORMACIÓN TITULADA'!#REF!,"AAAAAB3wPVw=")</f>
        <v>#REF!</v>
      </c>
      <c r="CP327" t="e">
        <f>AND('PROG FORMACIÓN TITULADA'!#REF!,"AAAAAB3wPV0=")</f>
        <v>#REF!</v>
      </c>
      <c r="CQ327" t="e">
        <f>AND('PROG FORMACIÓN TITULADA'!#REF!,"AAAAAB3wPV4=")</f>
        <v>#REF!</v>
      </c>
      <c r="CR327" t="e">
        <f>AND('PROG FORMACIÓN TITULADA'!#REF!,"AAAAAB3wPV8=")</f>
        <v>#REF!</v>
      </c>
      <c r="CS327" t="e">
        <f>AND('PROG FORMACIÓN TITULADA'!#REF!,"AAAAAB3wPWA=")</f>
        <v>#REF!</v>
      </c>
      <c r="CT327" t="e">
        <f>AND('PROG FORMACIÓN TITULADA'!#REF!,"AAAAAB3wPWE=")</f>
        <v>#REF!</v>
      </c>
      <c r="CU327" t="e">
        <f>AND('PROG FORMACIÓN TITULADA'!#REF!,"AAAAAB3wPWI=")</f>
        <v>#REF!</v>
      </c>
      <c r="CV327" t="e">
        <f>AND('PROG FORMACIÓN TITULADA'!#REF!,"AAAAAB3wPWM=")</f>
        <v>#REF!</v>
      </c>
      <c r="CW327" t="e">
        <f>AND('PROG FORMACIÓN TITULADA'!#REF!,"AAAAAB3wPWQ=")</f>
        <v>#REF!</v>
      </c>
      <c r="CX327" t="e">
        <f>AND('PROG FORMACIÓN TITULADA'!#REF!,"AAAAAB3wPWU=")</f>
        <v>#REF!</v>
      </c>
      <c r="CY327" t="e">
        <f>AND('PROG FORMACIÓN TITULADA'!#REF!,"AAAAAB3wPWY=")</f>
        <v>#REF!</v>
      </c>
      <c r="CZ327" t="e">
        <f>AND('PROG FORMACIÓN TITULADA'!#REF!,"AAAAAB3wPWc=")</f>
        <v>#REF!</v>
      </c>
      <c r="DA327" t="e">
        <f>AND('PROG FORMACIÓN TITULADA'!#REF!,"AAAAAB3wPWg=")</f>
        <v>#REF!</v>
      </c>
      <c r="DB327" t="e">
        <f>AND('PROG FORMACIÓN TITULADA'!#REF!,"AAAAAB3wPWk=")</f>
        <v>#REF!</v>
      </c>
      <c r="DC327" t="e">
        <f>AND('PROG FORMACIÓN TITULADA'!#REF!,"AAAAAB3wPWo=")</f>
        <v>#REF!</v>
      </c>
      <c r="DD327" t="e">
        <f>AND('PROG FORMACIÓN TITULADA'!#REF!,"AAAAAB3wPWs=")</f>
        <v>#REF!</v>
      </c>
      <c r="DE327" t="e">
        <f>AND('PROG FORMACIÓN TITULADA'!#REF!,"AAAAAB3wPWw=")</f>
        <v>#REF!</v>
      </c>
      <c r="DF327" t="e">
        <f>IF('PROG FORMACIÓN TITULADA'!#REF!,"AAAAAB3wPW0=",0)</f>
        <v>#REF!</v>
      </c>
      <c r="DG327" t="e">
        <f>AND('PROG FORMACIÓN TITULADA'!#REF!,"AAAAAB3wPW4=")</f>
        <v>#REF!</v>
      </c>
      <c r="DH327" t="e">
        <f>AND('PROG FORMACIÓN TITULADA'!#REF!,"AAAAAB3wPW8=")</f>
        <v>#REF!</v>
      </c>
      <c r="DI327" t="e">
        <f>AND('PROG FORMACIÓN TITULADA'!#REF!,"AAAAAB3wPXA=")</f>
        <v>#REF!</v>
      </c>
      <c r="DJ327" t="e">
        <f>AND('PROG FORMACIÓN TITULADA'!#REF!,"AAAAAB3wPXE=")</f>
        <v>#REF!</v>
      </c>
      <c r="DK327" t="e">
        <f>AND('PROG FORMACIÓN TITULADA'!#REF!,"AAAAAB3wPXI=")</f>
        <v>#REF!</v>
      </c>
      <c r="DL327" t="e">
        <f>AND('PROG FORMACIÓN TITULADA'!#REF!,"AAAAAB3wPXM=")</f>
        <v>#REF!</v>
      </c>
      <c r="DM327" t="e">
        <f>AND('PROG FORMACIÓN TITULADA'!#REF!,"AAAAAB3wPXQ=")</f>
        <v>#REF!</v>
      </c>
      <c r="DN327" t="e">
        <f>AND('PROG FORMACIÓN TITULADA'!#REF!,"AAAAAB3wPXU=")</f>
        <v>#REF!</v>
      </c>
      <c r="DO327" t="e">
        <f>AND('PROG FORMACIÓN TITULADA'!#REF!,"AAAAAB3wPXY=")</f>
        <v>#REF!</v>
      </c>
      <c r="DP327" t="e">
        <f>AND('PROG FORMACIÓN TITULADA'!#REF!,"AAAAAB3wPXc=")</f>
        <v>#REF!</v>
      </c>
      <c r="DQ327" t="e">
        <f>AND('PROG FORMACIÓN TITULADA'!#REF!,"AAAAAB3wPXg=")</f>
        <v>#REF!</v>
      </c>
      <c r="DR327" t="e">
        <f>AND('PROG FORMACIÓN TITULADA'!#REF!,"AAAAAB3wPXk=")</f>
        <v>#REF!</v>
      </c>
      <c r="DS327" t="e">
        <f>AND('PROG FORMACIÓN TITULADA'!#REF!,"AAAAAB3wPXo=")</f>
        <v>#REF!</v>
      </c>
      <c r="DT327" t="e">
        <f>AND('PROG FORMACIÓN TITULADA'!#REF!,"AAAAAB3wPXs=")</f>
        <v>#REF!</v>
      </c>
      <c r="DU327" t="e">
        <f>AND('PROG FORMACIÓN TITULADA'!#REF!,"AAAAAB3wPXw=")</f>
        <v>#REF!</v>
      </c>
      <c r="DV327" t="e">
        <f>AND('PROG FORMACIÓN TITULADA'!#REF!,"AAAAAB3wPX0=")</f>
        <v>#REF!</v>
      </c>
      <c r="DW327" t="e">
        <f>AND('PROG FORMACIÓN TITULADA'!#REF!,"AAAAAB3wPX4=")</f>
        <v>#REF!</v>
      </c>
      <c r="DX327" t="e">
        <f>AND('PROG FORMACIÓN TITULADA'!#REF!,"AAAAAB3wPX8=")</f>
        <v>#REF!</v>
      </c>
      <c r="DY327" t="e">
        <f>AND('PROG FORMACIÓN TITULADA'!#REF!,"AAAAAB3wPYA=")</f>
        <v>#REF!</v>
      </c>
      <c r="DZ327" t="e">
        <f>AND('PROG FORMACIÓN TITULADA'!#REF!,"AAAAAB3wPYE=")</f>
        <v>#REF!</v>
      </c>
      <c r="EA327" t="e">
        <f>AND('PROG FORMACIÓN TITULADA'!#REF!,"AAAAAB3wPYI=")</f>
        <v>#REF!</v>
      </c>
      <c r="EB327" t="e">
        <f>AND('PROG FORMACIÓN TITULADA'!#REF!,"AAAAAB3wPYM=")</f>
        <v>#REF!</v>
      </c>
      <c r="EC327" t="e">
        <f>AND('PROG FORMACIÓN TITULADA'!#REF!,"AAAAAB3wPYQ=")</f>
        <v>#REF!</v>
      </c>
      <c r="ED327" t="e">
        <f>AND('PROG FORMACIÓN TITULADA'!#REF!,"AAAAAB3wPYU=")</f>
        <v>#REF!</v>
      </c>
      <c r="EE327" t="e">
        <f>AND('PROG FORMACIÓN TITULADA'!#REF!,"AAAAAB3wPYY=")</f>
        <v>#REF!</v>
      </c>
      <c r="EF327" t="e">
        <f>AND('PROG FORMACIÓN TITULADA'!#REF!,"AAAAAB3wPYc=")</f>
        <v>#REF!</v>
      </c>
      <c r="EG327" t="e">
        <f>IF('PROG FORMACIÓN TITULADA'!#REF!,"AAAAAB3wPYg=",0)</f>
        <v>#REF!</v>
      </c>
      <c r="EH327" t="e">
        <f>AND('PROG FORMACIÓN TITULADA'!#REF!,"AAAAAB3wPYk=")</f>
        <v>#REF!</v>
      </c>
      <c r="EI327" t="e">
        <f>AND('PROG FORMACIÓN TITULADA'!#REF!,"AAAAAB3wPYo=")</f>
        <v>#REF!</v>
      </c>
      <c r="EJ327" t="e">
        <f>AND('PROG FORMACIÓN TITULADA'!#REF!,"AAAAAB3wPYs=")</f>
        <v>#REF!</v>
      </c>
      <c r="EK327" t="e">
        <f>AND('PROG FORMACIÓN TITULADA'!#REF!,"AAAAAB3wPYw=")</f>
        <v>#REF!</v>
      </c>
      <c r="EL327" t="e">
        <f>AND('PROG FORMACIÓN TITULADA'!#REF!,"AAAAAB3wPY0=")</f>
        <v>#REF!</v>
      </c>
      <c r="EM327" t="e">
        <f>AND('PROG FORMACIÓN TITULADA'!#REF!,"AAAAAB3wPY4=")</f>
        <v>#REF!</v>
      </c>
      <c r="EN327" t="e">
        <f>AND('PROG FORMACIÓN TITULADA'!#REF!,"AAAAAB3wPY8=")</f>
        <v>#REF!</v>
      </c>
      <c r="EO327" t="e">
        <f>AND('PROG FORMACIÓN TITULADA'!#REF!,"AAAAAB3wPZA=")</f>
        <v>#REF!</v>
      </c>
      <c r="EP327" t="e">
        <f>AND('PROG FORMACIÓN TITULADA'!#REF!,"AAAAAB3wPZE=")</f>
        <v>#REF!</v>
      </c>
      <c r="EQ327" t="e">
        <f>AND('PROG FORMACIÓN TITULADA'!#REF!,"AAAAAB3wPZI=")</f>
        <v>#REF!</v>
      </c>
      <c r="ER327" t="e">
        <f>AND('PROG FORMACIÓN TITULADA'!#REF!,"AAAAAB3wPZM=")</f>
        <v>#REF!</v>
      </c>
      <c r="ES327" t="e">
        <f>AND('PROG FORMACIÓN TITULADA'!#REF!,"AAAAAB3wPZQ=")</f>
        <v>#REF!</v>
      </c>
      <c r="ET327" t="e">
        <f>AND('PROG FORMACIÓN TITULADA'!#REF!,"AAAAAB3wPZU=")</f>
        <v>#REF!</v>
      </c>
      <c r="EU327" t="e">
        <f>AND('PROG FORMACIÓN TITULADA'!#REF!,"AAAAAB3wPZY=")</f>
        <v>#REF!</v>
      </c>
      <c r="EV327" t="e">
        <f>AND('PROG FORMACIÓN TITULADA'!#REF!,"AAAAAB3wPZc=")</f>
        <v>#REF!</v>
      </c>
      <c r="EW327" t="e">
        <f>AND('PROG FORMACIÓN TITULADA'!#REF!,"AAAAAB3wPZg=")</f>
        <v>#REF!</v>
      </c>
      <c r="EX327" t="e">
        <f>AND('PROG FORMACIÓN TITULADA'!#REF!,"AAAAAB3wPZk=")</f>
        <v>#REF!</v>
      </c>
      <c r="EY327" t="e">
        <f>AND('PROG FORMACIÓN TITULADA'!#REF!,"AAAAAB3wPZo=")</f>
        <v>#REF!</v>
      </c>
      <c r="EZ327" t="e">
        <f>AND('PROG FORMACIÓN TITULADA'!#REF!,"AAAAAB3wPZs=")</f>
        <v>#REF!</v>
      </c>
      <c r="FA327" t="e">
        <f>AND('PROG FORMACIÓN TITULADA'!#REF!,"AAAAAB3wPZw=")</f>
        <v>#REF!</v>
      </c>
      <c r="FB327" t="e">
        <f>AND('PROG FORMACIÓN TITULADA'!#REF!,"AAAAAB3wPZ0=")</f>
        <v>#REF!</v>
      </c>
      <c r="FC327" t="e">
        <f>AND('PROG FORMACIÓN TITULADA'!#REF!,"AAAAAB3wPZ4=")</f>
        <v>#REF!</v>
      </c>
      <c r="FD327" t="e">
        <f>AND('PROG FORMACIÓN TITULADA'!#REF!,"AAAAAB3wPZ8=")</f>
        <v>#REF!</v>
      </c>
      <c r="FE327" t="e">
        <f>AND('PROG FORMACIÓN TITULADA'!#REF!,"AAAAAB3wPaA=")</f>
        <v>#REF!</v>
      </c>
      <c r="FF327" t="e">
        <f>AND('PROG FORMACIÓN TITULADA'!#REF!,"AAAAAB3wPaE=")</f>
        <v>#REF!</v>
      </c>
      <c r="FG327" t="e">
        <f>AND('PROG FORMACIÓN TITULADA'!#REF!,"AAAAAB3wPaI=")</f>
        <v>#REF!</v>
      </c>
      <c r="FH327" t="e">
        <f>IF('PROG FORMACIÓN TITULADA'!#REF!,"AAAAAB3wPaM=",0)</f>
        <v>#REF!</v>
      </c>
      <c r="FI327" t="e">
        <f>AND('PROG FORMACIÓN TITULADA'!#REF!,"AAAAAB3wPaQ=")</f>
        <v>#REF!</v>
      </c>
      <c r="FJ327" t="e">
        <f>AND('PROG FORMACIÓN TITULADA'!#REF!,"AAAAAB3wPaU=")</f>
        <v>#REF!</v>
      </c>
      <c r="FK327" t="e">
        <f>AND('PROG FORMACIÓN TITULADA'!#REF!,"AAAAAB3wPaY=")</f>
        <v>#REF!</v>
      </c>
      <c r="FL327" t="e">
        <f>AND('PROG FORMACIÓN TITULADA'!#REF!,"AAAAAB3wPac=")</f>
        <v>#REF!</v>
      </c>
      <c r="FM327" t="e">
        <f>AND('PROG FORMACIÓN TITULADA'!#REF!,"AAAAAB3wPag=")</f>
        <v>#REF!</v>
      </c>
      <c r="FN327" t="e">
        <f>AND('PROG FORMACIÓN TITULADA'!#REF!,"AAAAAB3wPak=")</f>
        <v>#REF!</v>
      </c>
      <c r="FO327" t="e">
        <f>AND('PROG FORMACIÓN TITULADA'!#REF!,"AAAAAB3wPao=")</f>
        <v>#REF!</v>
      </c>
      <c r="FP327" t="e">
        <f>AND('PROG FORMACIÓN TITULADA'!#REF!,"AAAAAB3wPas=")</f>
        <v>#REF!</v>
      </c>
      <c r="FQ327" t="e">
        <f>AND('PROG FORMACIÓN TITULADA'!#REF!,"AAAAAB3wPaw=")</f>
        <v>#REF!</v>
      </c>
      <c r="FR327" t="e">
        <f>AND('PROG FORMACIÓN TITULADA'!#REF!,"AAAAAB3wPa0=")</f>
        <v>#REF!</v>
      </c>
      <c r="FS327" t="e">
        <f>AND('PROG FORMACIÓN TITULADA'!#REF!,"AAAAAB3wPa4=")</f>
        <v>#REF!</v>
      </c>
      <c r="FT327" t="e">
        <f>AND('PROG FORMACIÓN TITULADA'!#REF!,"AAAAAB3wPa8=")</f>
        <v>#REF!</v>
      </c>
      <c r="FU327" t="e">
        <f>AND('PROG FORMACIÓN TITULADA'!#REF!,"AAAAAB3wPbA=")</f>
        <v>#REF!</v>
      </c>
      <c r="FV327" t="e">
        <f>AND('PROG FORMACIÓN TITULADA'!#REF!,"AAAAAB3wPbE=")</f>
        <v>#REF!</v>
      </c>
      <c r="FW327" t="e">
        <f>AND('PROG FORMACIÓN TITULADA'!#REF!,"AAAAAB3wPbI=")</f>
        <v>#REF!</v>
      </c>
      <c r="FX327" t="e">
        <f>AND('PROG FORMACIÓN TITULADA'!#REF!,"AAAAAB3wPbM=")</f>
        <v>#REF!</v>
      </c>
      <c r="FY327" t="e">
        <f>AND('PROG FORMACIÓN TITULADA'!#REF!,"AAAAAB3wPbQ=")</f>
        <v>#REF!</v>
      </c>
      <c r="FZ327" t="e">
        <f>AND('PROG FORMACIÓN TITULADA'!#REF!,"AAAAAB3wPbU=")</f>
        <v>#REF!</v>
      </c>
      <c r="GA327" t="e">
        <f>AND('PROG FORMACIÓN TITULADA'!#REF!,"AAAAAB3wPbY=")</f>
        <v>#REF!</v>
      </c>
      <c r="GB327" t="e">
        <f>AND('PROG FORMACIÓN TITULADA'!#REF!,"AAAAAB3wPbc=")</f>
        <v>#REF!</v>
      </c>
      <c r="GC327" t="e">
        <f>AND('PROG FORMACIÓN TITULADA'!#REF!,"AAAAAB3wPbg=")</f>
        <v>#REF!</v>
      </c>
      <c r="GD327" t="e">
        <f>AND('PROG FORMACIÓN TITULADA'!#REF!,"AAAAAB3wPbk=")</f>
        <v>#REF!</v>
      </c>
      <c r="GE327" t="e">
        <f>AND('PROG FORMACIÓN TITULADA'!#REF!,"AAAAAB3wPbo=")</f>
        <v>#REF!</v>
      </c>
      <c r="GF327" t="e">
        <f>AND('PROG FORMACIÓN TITULADA'!#REF!,"AAAAAB3wPbs=")</f>
        <v>#REF!</v>
      </c>
      <c r="GG327" t="e">
        <f>AND('PROG FORMACIÓN TITULADA'!#REF!,"AAAAAB3wPbw=")</f>
        <v>#REF!</v>
      </c>
      <c r="GH327" t="e">
        <f>AND('PROG FORMACIÓN TITULADA'!#REF!,"AAAAAB3wPb0=")</f>
        <v>#REF!</v>
      </c>
      <c r="GI327" t="e">
        <f>IF('PROG FORMACIÓN TITULADA'!#REF!,"AAAAAB3wPb4=",0)</f>
        <v>#REF!</v>
      </c>
      <c r="GJ327" t="e">
        <f>AND('PROG FORMACIÓN TITULADA'!#REF!,"AAAAAB3wPb8=")</f>
        <v>#REF!</v>
      </c>
      <c r="GK327" t="e">
        <f>AND('PROG FORMACIÓN TITULADA'!#REF!,"AAAAAB3wPcA=")</f>
        <v>#REF!</v>
      </c>
      <c r="GL327" t="e">
        <f>AND('PROG FORMACIÓN TITULADA'!#REF!,"AAAAAB3wPcE=")</f>
        <v>#REF!</v>
      </c>
      <c r="GM327" t="e">
        <f>AND('PROG FORMACIÓN TITULADA'!#REF!,"AAAAAB3wPcI=")</f>
        <v>#REF!</v>
      </c>
      <c r="GN327" t="e">
        <f>AND('PROG FORMACIÓN TITULADA'!#REF!,"AAAAAB3wPcM=")</f>
        <v>#REF!</v>
      </c>
      <c r="GO327" t="e">
        <f>AND('PROG FORMACIÓN TITULADA'!#REF!,"AAAAAB3wPcQ=")</f>
        <v>#REF!</v>
      </c>
      <c r="GP327" t="e">
        <f>AND('PROG FORMACIÓN TITULADA'!#REF!,"AAAAAB3wPcU=")</f>
        <v>#REF!</v>
      </c>
      <c r="GQ327" t="e">
        <f>AND('PROG FORMACIÓN TITULADA'!#REF!,"AAAAAB3wPcY=")</f>
        <v>#REF!</v>
      </c>
      <c r="GR327" t="e">
        <f>AND('PROG FORMACIÓN TITULADA'!#REF!,"AAAAAB3wPcc=")</f>
        <v>#REF!</v>
      </c>
      <c r="GS327" t="e">
        <f>AND('PROG FORMACIÓN TITULADA'!#REF!,"AAAAAB3wPcg=")</f>
        <v>#REF!</v>
      </c>
      <c r="GT327" t="e">
        <f>AND('PROG FORMACIÓN TITULADA'!#REF!,"AAAAAB3wPck=")</f>
        <v>#REF!</v>
      </c>
      <c r="GU327" t="e">
        <f>AND('PROG FORMACIÓN TITULADA'!#REF!,"AAAAAB3wPco=")</f>
        <v>#REF!</v>
      </c>
      <c r="GV327" t="e">
        <f>AND('PROG FORMACIÓN TITULADA'!#REF!,"AAAAAB3wPcs=")</f>
        <v>#REF!</v>
      </c>
      <c r="GW327" t="e">
        <f>AND('PROG FORMACIÓN TITULADA'!#REF!,"AAAAAB3wPcw=")</f>
        <v>#REF!</v>
      </c>
      <c r="GX327" t="e">
        <f>AND('PROG FORMACIÓN TITULADA'!#REF!,"AAAAAB3wPc0=")</f>
        <v>#REF!</v>
      </c>
      <c r="GY327" t="e">
        <f>AND('PROG FORMACIÓN TITULADA'!#REF!,"AAAAAB3wPc4=")</f>
        <v>#REF!</v>
      </c>
      <c r="GZ327" t="e">
        <f>AND('PROG FORMACIÓN TITULADA'!#REF!,"AAAAAB3wPc8=")</f>
        <v>#REF!</v>
      </c>
      <c r="HA327" t="e">
        <f>AND('PROG FORMACIÓN TITULADA'!#REF!,"AAAAAB3wPdA=")</f>
        <v>#REF!</v>
      </c>
      <c r="HB327" t="e">
        <f>AND('PROG FORMACIÓN TITULADA'!#REF!,"AAAAAB3wPdE=")</f>
        <v>#REF!</v>
      </c>
      <c r="HC327" t="e">
        <f>AND('PROG FORMACIÓN TITULADA'!#REF!,"AAAAAB3wPdI=")</f>
        <v>#REF!</v>
      </c>
      <c r="HD327" t="e">
        <f>AND('PROG FORMACIÓN TITULADA'!#REF!,"AAAAAB3wPdM=")</f>
        <v>#REF!</v>
      </c>
      <c r="HE327" t="e">
        <f>AND('PROG FORMACIÓN TITULADA'!#REF!,"AAAAAB3wPdQ=")</f>
        <v>#REF!</v>
      </c>
      <c r="HF327" t="e">
        <f>AND('PROG FORMACIÓN TITULADA'!#REF!,"AAAAAB3wPdU=")</f>
        <v>#REF!</v>
      </c>
      <c r="HG327" t="e">
        <f>AND('PROG FORMACIÓN TITULADA'!#REF!,"AAAAAB3wPdY=")</f>
        <v>#REF!</v>
      </c>
      <c r="HH327" t="e">
        <f>AND('PROG FORMACIÓN TITULADA'!#REF!,"AAAAAB3wPdc=")</f>
        <v>#REF!</v>
      </c>
      <c r="HI327" t="e">
        <f>AND('PROG FORMACIÓN TITULADA'!#REF!,"AAAAAB3wPdg=")</f>
        <v>#REF!</v>
      </c>
      <c r="HJ327" t="e">
        <f>IF('PROG FORMACIÓN TITULADA'!#REF!,"AAAAAB3wPdk=",0)</f>
        <v>#REF!</v>
      </c>
      <c r="HK327" t="e">
        <f>AND('PROG FORMACIÓN TITULADA'!#REF!,"AAAAAB3wPdo=")</f>
        <v>#REF!</v>
      </c>
      <c r="HL327" t="e">
        <f>AND('PROG FORMACIÓN TITULADA'!#REF!,"AAAAAB3wPds=")</f>
        <v>#REF!</v>
      </c>
      <c r="HM327" t="e">
        <f>AND('PROG FORMACIÓN TITULADA'!#REF!,"AAAAAB3wPdw=")</f>
        <v>#REF!</v>
      </c>
      <c r="HN327" t="e">
        <f>AND('PROG FORMACIÓN TITULADA'!#REF!,"AAAAAB3wPd0=")</f>
        <v>#REF!</v>
      </c>
      <c r="HO327" t="e">
        <f>AND('PROG FORMACIÓN TITULADA'!#REF!,"AAAAAB3wPd4=")</f>
        <v>#REF!</v>
      </c>
      <c r="HP327" t="e">
        <f>AND('PROG FORMACIÓN TITULADA'!#REF!,"AAAAAB3wPd8=")</f>
        <v>#REF!</v>
      </c>
      <c r="HQ327" t="e">
        <f>AND('PROG FORMACIÓN TITULADA'!#REF!,"AAAAAB3wPeA=")</f>
        <v>#REF!</v>
      </c>
      <c r="HR327" t="e">
        <f>AND('PROG FORMACIÓN TITULADA'!#REF!,"AAAAAB3wPeE=")</f>
        <v>#REF!</v>
      </c>
      <c r="HS327" t="e">
        <f>AND('PROG FORMACIÓN TITULADA'!#REF!,"AAAAAB3wPeI=")</f>
        <v>#REF!</v>
      </c>
      <c r="HT327" t="e">
        <f>AND('PROG FORMACIÓN TITULADA'!#REF!,"AAAAAB3wPeM=")</f>
        <v>#REF!</v>
      </c>
      <c r="HU327" t="e">
        <f>AND('PROG FORMACIÓN TITULADA'!#REF!,"AAAAAB3wPeQ=")</f>
        <v>#REF!</v>
      </c>
      <c r="HV327" t="e">
        <f>AND('PROG FORMACIÓN TITULADA'!#REF!,"AAAAAB3wPeU=")</f>
        <v>#REF!</v>
      </c>
      <c r="HW327" t="e">
        <f>AND('PROG FORMACIÓN TITULADA'!#REF!,"AAAAAB3wPeY=")</f>
        <v>#REF!</v>
      </c>
      <c r="HX327" t="e">
        <f>AND('PROG FORMACIÓN TITULADA'!#REF!,"AAAAAB3wPec=")</f>
        <v>#REF!</v>
      </c>
      <c r="HY327" t="e">
        <f>AND('PROG FORMACIÓN TITULADA'!#REF!,"AAAAAB3wPeg=")</f>
        <v>#REF!</v>
      </c>
      <c r="HZ327" t="e">
        <f>AND('PROG FORMACIÓN TITULADA'!#REF!,"AAAAAB3wPek=")</f>
        <v>#REF!</v>
      </c>
      <c r="IA327" t="e">
        <f>AND('PROG FORMACIÓN TITULADA'!#REF!,"AAAAAB3wPeo=")</f>
        <v>#REF!</v>
      </c>
      <c r="IB327" t="e">
        <f>AND('PROG FORMACIÓN TITULADA'!#REF!,"AAAAAB3wPes=")</f>
        <v>#REF!</v>
      </c>
      <c r="IC327" t="e">
        <f>AND('PROG FORMACIÓN TITULADA'!#REF!,"AAAAAB3wPew=")</f>
        <v>#REF!</v>
      </c>
      <c r="ID327" t="e">
        <f>AND('PROG FORMACIÓN TITULADA'!#REF!,"AAAAAB3wPe0=")</f>
        <v>#REF!</v>
      </c>
      <c r="IE327" t="e">
        <f>AND('PROG FORMACIÓN TITULADA'!#REF!,"AAAAAB3wPe4=")</f>
        <v>#REF!</v>
      </c>
      <c r="IF327" t="e">
        <f>AND('PROG FORMACIÓN TITULADA'!#REF!,"AAAAAB3wPe8=")</f>
        <v>#REF!</v>
      </c>
      <c r="IG327" t="e">
        <f>AND('PROG FORMACIÓN TITULADA'!#REF!,"AAAAAB3wPfA=")</f>
        <v>#REF!</v>
      </c>
      <c r="IH327" t="e">
        <f>AND('PROG FORMACIÓN TITULADA'!#REF!,"AAAAAB3wPfE=")</f>
        <v>#REF!</v>
      </c>
      <c r="II327" t="e">
        <f>AND('PROG FORMACIÓN TITULADA'!#REF!,"AAAAAB3wPfI=")</f>
        <v>#REF!</v>
      </c>
      <c r="IJ327" t="e">
        <f>AND('PROG FORMACIÓN TITULADA'!#REF!,"AAAAAB3wPfM=")</f>
        <v>#REF!</v>
      </c>
      <c r="IK327" t="e">
        <f>IF('PROG FORMACIÓN TITULADA'!#REF!,"AAAAAB3wPfQ=",0)</f>
        <v>#REF!</v>
      </c>
      <c r="IL327" t="e">
        <f>AND('PROG FORMACIÓN TITULADA'!#REF!,"AAAAAB3wPfU=")</f>
        <v>#REF!</v>
      </c>
      <c r="IM327" t="e">
        <f>AND('PROG FORMACIÓN TITULADA'!#REF!,"AAAAAB3wPfY=")</f>
        <v>#REF!</v>
      </c>
      <c r="IN327" t="e">
        <f>AND('PROG FORMACIÓN TITULADA'!#REF!,"AAAAAB3wPfc=")</f>
        <v>#REF!</v>
      </c>
      <c r="IO327" t="e">
        <f>AND('PROG FORMACIÓN TITULADA'!#REF!,"AAAAAB3wPfg=")</f>
        <v>#REF!</v>
      </c>
      <c r="IP327" t="e">
        <f>AND('PROG FORMACIÓN TITULADA'!#REF!,"AAAAAB3wPfk=")</f>
        <v>#REF!</v>
      </c>
      <c r="IQ327" t="e">
        <f>AND('PROG FORMACIÓN TITULADA'!#REF!,"AAAAAB3wPfo=")</f>
        <v>#REF!</v>
      </c>
      <c r="IR327" t="e">
        <f>AND('PROG FORMACIÓN TITULADA'!#REF!,"AAAAAB3wPfs=")</f>
        <v>#REF!</v>
      </c>
      <c r="IS327" t="e">
        <f>AND('PROG FORMACIÓN TITULADA'!#REF!,"AAAAAB3wPfw=")</f>
        <v>#REF!</v>
      </c>
      <c r="IT327" t="e">
        <f>AND('PROG FORMACIÓN TITULADA'!#REF!,"AAAAAB3wPf0=")</f>
        <v>#REF!</v>
      </c>
      <c r="IU327" t="e">
        <f>AND('PROG FORMACIÓN TITULADA'!#REF!,"AAAAAB3wPf4=")</f>
        <v>#REF!</v>
      </c>
      <c r="IV327" t="e">
        <f>AND('PROG FORMACIÓN TITULADA'!#REF!,"AAAAAB3wPf8=")</f>
        <v>#REF!</v>
      </c>
    </row>
    <row r="328" spans="1:256" x14ac:dyDescent="0.2">
      <c r="A328" t="e">
        <f>AND('PROG FORMACIÓN TITULADA'!#REF!,"AAAAAGe9ngA=")</f>
        <v>#REF!</v>
      </c>
      <c r="B328" t="e">
        <f>AND('PROG FORMACIÓN TITULADA'!#REF!,"AAAAAGe9ngE=")</f>
        <v>#REF!</v>
      </c>
      <c r="C328" t="e">
        <f>AND('PROG FORMACIÓN TITULADA'!#REF!,"AAAAAGe9ngI=")</f>
        <v>#REF!</v>
      </c>
      <c r="D328" t="e">
        <f>AND('PROG FORMACIÓN TITULADA'!#REF!,"AAAAAGe9ngM=")</f>
        <v>#REF!</v>
      </c>
      <c r="E328" t="e">
        <f>AND('PROG FORMACIÓN TITULADA'!#REF!,"AAAAAGe9ngQ=")</f>
        <v>#REF!</v>
      </c>
      <c r="F328" t="e">
        <f>AND('PROG FORMACIÓN TITULADA'!#REF!,"AAAAAGe9ngU=")</f>
        <v>#REF!</v>
      </c>
      <c r="G328" t="e">
        <f>AND('PROG FORMACIÓN TITULADA'!#REF!,"AAAAAGe9ngY=")</f>
        <v>#REF!</v>
      </c>
      <c r="H328" t="e">
        <f>AND('PROG FORMACIÓN TITULADA'!#REF!,"AAAAAGe9ngc=")</f>
        <v>#REF!</v>
      </c>
      <c r="I328" t="e">
        <f>AND('PROG FORMACIÓN TITULADA'!#REF!,"AAAAAGe9ngg=")</f>
        <v>#REF!</v>
      </c>
      <c r="J328" t="e">
        <f>AND('PROG FORMACIÓN TITULADA'!#REF!,"AAAAAGe9ngk=")</f>
        <v>#REF!</v>
      </c>
      <c r="K328" t="e">
        <f>AND('PROG FORMACIÓN TITULADA'!#REF!,"AAAAAGe9ngo=")</f>
        <v>#REF!</v>
      </c>
      <c r="L328" t="e">
        <f>AND('PROG FORMACIÓN TITULADA'!#REF!,"AAAAAGe9ngs=")</f>
        <v>#REF!</v>
      </c>
      <c r="M328" t="e">
        <f>AND('PROG FORMACIÓN TITULADA'!#REF!,"AAAAAGe9ngw=")</f>
        <v>#REF!</v>
      </c>
      <c r="N328" t="e">
        <f>AND('PROG FORMACIÓN TITULADA'!#REF!,"AAAAAGe9ng0=")</f>
        <v>#REF!</v>
      </c>
      <c r="O328" t="e">
        <f>AND('PROG FORMACIÓN TITULADA'!#REF!,"AAAAAGe9ng4=")</f>
        <v>#REF!</v>
      </c>
      <c r="P328" t="e">
        <f>IF('PROG FORMACIÓN TITULADA'!#REF!,"AAAAAGe9ng8=",0)</f>
        <v>#REF!</v>
      </c>
      <c r="Q328" t="e">
        <f>AND('PROG FORMACIÓN TITULADA'!#REF!,"AAAAAGe9nhA=")</f>
        <v>#REF!</v>
      </c>
      <c r="R328" t="e">
        <f>AND('PROG FORMACIÓN TITULADA'!#REF!,"AAAAAGe9nhE=")</f>
        <v>#REF!</v>
      </c>
      <c r="S328" t="e">
        <f>AND('PROG FORMACIÓN TITULADA'!#REF!,"AAAAAGe9nhI=")</f>
        <v>#REF!</v>
      </c>
      <c r="T328" t="e">
        <f>AND('PROG FORMACIÓN TITULADA'!#REF!,"AAAAAGe9nhM=")</f>
        <v>#REF!</v>
      </c>
      <c r="U328" t="e">
        <f>AND('PROG FORMACIÓN TITULADA'!#REF!,"AAAAAGe9nhQ=")</f>
        <v>#REF!</v>
      </c>
      <c r="V328" t="e">
        <f>AND('PROG FORMACIÓN TITULADA'!#REF!,"AAAAAGe9nhU=")</f>
        <v>#REF!</v>
      </c>
      <c r="W328" t="e">
        <f>AND('PROG FORMACIÓN TITULADA'!#REF!,"AAAAAGe9nhY=")</f>
        <v>#REF!</v>
      </c>
      <c r="X328" t="e">
        <f>AND('PROG FORMACIÓN TITULADA'!#REF!,"AAAAAGe9nhc=")</f>
        <v>#REF!</v>
      </c>
      <c r="Y328" t="e">
        <f>AND('PROG FORMACIÓN TITULADA'!#REF!,"AAAAAGe9nhg=")</f>
        <v>#REF!</v>
      </c>
      <c r="Z328" t="e">
        <f>AND('PROG FORMACIÓN TITULADA'!#REF!,"AAAAAGe9nhk=")</f>
        <v>#REF!</v>
      </c>
      <c r="AA328" t="e">
        <f>AND('PROG FORMACIÓN TITULADA'!#REF!,"AAAAAGe9nho=")</f>
        <v>#REF!</v>
      </c>
      <c r="AB328" t="e">
        <f>AND('PROG FORMACIÓN TITULADA'!#REF!,"AAAAAGe9nhs=")</f>
        <v>#REF!</v>
      </c>
      <c r="AC328" t="e">
        <f>AND('PROG FORMACIÓN TITULADA'!#REF!,"AAAAAGe9nhw=")</f>
        <v>#REF!</v>
      </c>
      <c r="AD328" t="e">
        <f>AND('PROG FORMACIÓN TITULADA'!#REF!,"AAAAAGe9nh0=")</f>
        <v>#REF!</v>
      </c>
      <c r="AE328" t="e">
        <f>AND('PROG FORMACIÓN TITULADA'!#REF!,"AAAAAGe9nh4=")</f>
        <v>#REF!</v>
      </c>
      <c r="AF328" t="e">
        <f>AND('PROG FORMACIÓN TITULADA'!#REF!,"AAAAAGe9nh8=")</f>
        <v>#REF!</v>
      </c>
      <c r="AG328" t="e">
        <f>AND('PROG FORMACIÓN TITULADA'!#REF!,"AAAAAGe9niA=")</f>
        <v>#REF!</v>
      </c>
      <c r="AH328" t="e">
        <f>AND('PROG FORMACIÓN TITULADA'!#REF!,"AAAAAGe9niE=")</f>
        <v>#REF!</v>
      </c>
      <c r="AI328" t="e">
        <f>AND('PROG FORMACIÓN TITULADA'!#REF!,"AAAAAGe9niI=")</f>
        <v>#REF!</v>
      </c>
      <c r="AJ328" t="e">
        <f>AND('PROG FORMACIÓN TITULADA'!#REF!,"AAAAAGe9niM=")</f>
        <v>#REF!</v>
      </c>
      <c r="AK328" t="e">
        <f>AND('PROG FORMACIÓN TITULADA'!#REF!,"AAAAAGe9niQ=")</f>
        <v>#REF!</v>
      </c>
      <c r="AL328" t="e">
        <f>AND('PROG FORMACIÓN TITULADA'!#REF!,"AAAAAGe9niU=")</f>
        <v>#REF!</v>
      </c>
      <c r="AM328" t="e">
        <f>AND('PROG FORMACIÓN TITULADA'!#REF!,"AAAAAGe9niY=")</f>
        <v>#REF!</v>
      </c>
      <c r="AN328" t="e">
        <f>AND('PROG FORMACIÓN TITULADA'!#REF!,"AAAAAGe9nic=")</f>
        <v>#REF!</v>
      </c>
      <c r="AO328" t="e">
        <f>AND('PROG FORMACIÓN TITULADA'!#REF!,"AAAAAGe9nig=")</f>
        <v>#REF!</v>
      </c>
      <c r="AP328" t="e">
        <f>AND('PROG FORMACIÓN TITULADA'!#REF!,"AAAAAGe9nik=")</f>
        <v>#REF!</v>
      </c>
      <c r="AQ328" t="e">
        <f>IF('PROG FORMACIÓN TITULADA'!#REF!,"AAAAAGe9nio=",0)</f>
        <v>#REF!</v>
      </c>
      <c r="AR328" t="e">
        <f>AND('PROG FORMACIÓN TITULADA'!#REF!,"AAAAAGe9nis=")</f>
        <v>#REF!</v>
      </c>
      <c r="AS328" t="e">
        <f>AND('PROG FORMACIÓN TITULADA'!#REF!,"AAAAAGe9niw=")</f>
        <v>#REF!</v>
      </c>
      <c r="AT328" t="e">
        <f>AND('PROG FORMACIÓN TITULADA'!#REF!,"AAAAAGe9ni0=")</f>
        <v>#REF!</v>
      </c>
      <c r="AU328" t="e">
        <f>AND('PROG FORMACIÓN TITULADA'!#REF!,"AAAAAGe9ni4=")</f>
        <v>#REF!</v>
      </c>
      <c r="AV328" t="e">
        <f>AND('PROG FORMACIÓN TITULADA'!#REF!,"AAAAAGe9ni8=")</f>
        <v>#REF!</v>
      </c>
      <c r="AW328" t="e">
        <f>AND('PROG FORMACIÓN TITULADA'!#REF!,"AAAAAGe9njA=")</f>
        <v>#REF!</v>
      </c>
      <c r="AX328" t="e">
        <f>AND('PROG FORMACIÓN TITULADA'!#REF!,"AAAAAGe9njE=")</f>
        <v>#REF!</v>
      </c>
      <c r="AY328" t="e">
        <f>AND('PROG FORMACIÓN TITULADA'!#REF!,"AAAAAGe9njI=")</f>
        <v>#REF!</v>
      </c>
      <c r="AZ328" t="e">
        <f>AND('PROG FORMACIÓN TITULADA'!#REF!,"AAAAAGe9njM=")</f>
        <v>#REF!</v>
      </c>
      <c r="BA328" t="e">
        <f>AND('PROG FORMACIÓN TITULADA'!#REF!,"AAAAAGe9njQ=")</f>
        <v>#REF!</v>
      </c>
      <c r="BB328" t="e">
        <f>AND('PROG FORMACIÓN TITULADA'!#REF!,"AAAAAGe9njU=")</f>
        <v>#REF!</v>
      </c>
      <c r="BC328" t="e">
        <f>AND('PROG FORMACIÓN TITULADA'!#REF!,"AAAAAGe9njY=")</f>
        <v>#REF!</v>
      </c>
      <c r="BD328" t="e">
        <f>AND('PROG FORMACIÓN TITULADA'!#REF!,"AAAAAGe9njc=")</f>
        <v>#REF!</v>
      </c>
      <c r="BE328" t="e">
        <f>AND('PROG FORMACIÓN TITULADA'!#REF!,"AAAAAGe9njg=")</f>
        <v>#REF!</v>
      </c>
      <c r="BF328" t="e">
        <f>AND('PROG FORMACIÓN TITULADA'!#REF!,"AAAAAGe9njk=")</f>
        <v>#REF!</v>
      </c>
      <c r="BG328" t="e">
        <f>AND('PROG FORMACIÓN TITULADA'!#REF!,"AAAAAGe9njo=")</f>
        <v>#REF!</v>
      </c>
      <c r="BH328" t="e">
        <f>AND('PROG FORMACIÓN TITULADA'!#REF!,"AAAAAGe9njs=")</f>
        <v>#REF!</v>
      </c>
      <c r="BI328" t="e">
        <f>AND('PROG FORMACIÓN TITULADA'!#REF!,"AAAAAGe9njw=")</f>
        <v>#REF!</v>
      </c>
      <c r="BJ328" t="e">
        <f>AND('PROG FORMACIÓN TITULADA'!#REF!,"AAAAAGe9nj0=")</f>
        <v>#REF!</v>
      </c>
      <c r="BK328" t="e">
        <f>AND('PROG FORMACIÓN TITULADA'!#REF!,"AAAAAGe9nj4=")</f>
        <v>#REF!</v>
      </c>
      <c r="BL328" t="e">
        <f>AND('PROG FORMACIÓN TITULADA'!#REF!,"AAAAAGe9nj8=")</f>
        <v>#REF!</v>
      </c>
      <c r="BM328" t="e">
        <f>AND('PROG FORMACIÓN TITULADA'!#REF!,"AAAAAGe9nkA=")</f>
        <v>#REF!</v>
      </c>
      <c r="BN328" t="e">
        <f>AND('PROG FORMACIÓN TITULADA'!#REF!,"AAAAAGe9nkE=")</f>
        <v>#REF!</v>
      </c>
      <c r="BO328" t="e">
        <f>AND('PROG FORMACIÓN TITULADA'!#REF!,"AAAAAGe9nkI=")</f>
        <v>#REF!</v>
      </c>
      <c r="BP328" t="e">
        <f>AND('PROG FORMACIÓN TITULADA'!#REF!,"AAAAAGe9nkM=")</f>
        <v>#REF!</v>
      </c>
      <c r="BQ328" t="e">
        <f>AND('PROG FORMACIÓN TITULADA'!#REF!,"AAAAAGe9nkQ=")</f>
        <v>#REF!</v>
      </c>
      <c r="BR328" t="e">
        <f>IF('PROG FORMACIÓN TITULADA'!#REF!,"AAAAAGe9nkU=",0)</f>
        <v>#REF!</v>
      </c>
      <c r="BS328" t="e">
        <f>AND('PROG FORMACIÓN TITULADA'!#REF!,"AAAAAGe9nkY=")</f>
        <v>#REF!</v>
      </c>
      <c r="BT328" t="e">
        <f>AND('PROG FORMACIÓN TITULADA'!#REF!,"AAAAAGe9nkc=")</f>
        <v>#REF!</v>
      </c>
      <c r="BU328" t="e">
        <f>AND('PROG FORMACIÓN TITULADA'!#REF!,"AAAAAGe9nkg=")</f>
        <v>#REF!</v>
      </c>
      <c r="BV328" t="e">
        <f>AND('PROG FORMACIÓN TITULADA'!#REF!,"AAAAAGe9nkk=")</f>
        <v>#REF!</v>
      </c>
      <c r="BW328" t="e">
        <f>AND('PROG FORMACIÓN TITULADA'!#REF!,"AAAAAGe9nko=")</f>
        <v>#REF!</v>
      </c>
      <c r="BX328" t="e">
        <f>AND('PROG FORMACIÓN TITULADA'!#REF!,"AAAAAGe9nks=")</f>
        <v>#REF!</v>
      </c>
      <c r="BY328" t="e">
        <f>AND('PROG FORMACIÓN TITULADA'!#REF!,"AAAAAGe9nkw=")</f>
        <v>#REF!</v>
      </c>
      <c r="BZ328" t="e">
        <f>AND('PROG FORMACIÓN TITULADA'!#REF!,"AAAAAGe9nk0=")</f>
        <v>#REF!</v>
      </c>
      <c r="CA328" t="e">
        <f>AND('PROG FORMACIÓN TITULADA'!#REF!,"AAAAAGe9nk4=")</f>
        <v>#REF!</v>
      </c>
      <c r="CB328" t="e">
        <f>AND('PROG FORMACIÓN TITULADA'!#REF!,"AAAAAGe9nk8=")</f>
        <v>#REF!</v>
      </c>
      <c r="CC328" t="e">
        <f>AND('PROG FORMACIÓN TITULADA'!#REF!,"AAAAAGe9nlA=")</f>
        <v>#REF!</v>
      </c>
      <c r="CD328" t="e">
        <f>AND('PROG FORMACIÓN TITULADA'!#REF!,"AAAAAGe9nlE=")</f>
        <v>#REF!</v>
      </c>
      <c r="CE328" t="e">
        <f>AND('PROG FORMACIÓN TITULADA'!#REF!,"AAAAAGe9nlI=")</f>
        <v>#REF!</v>
      </c>
      <c r="CF328" t="e">
        <f>AND('PROG FORMACIÓN TITULADA'!#REF!,"AAAAAGe9nlM=")</f>
        <v>#REF!</v>
      </c>
      <c r="CG328" t="e">
        <f>AND('PROG FORMACIÓN TITULADA'!#REF!,"AAAAAGe9nlQ=")</f>
        <v>#REF!</v>
      </c>
      <c r="CH328" t="e">
        <f>AND('PROG FORMACIÓN TITULADA'!#REF!,"AAAAAGe9nlU=")</f>
        <v>#REF!</v>
      </c>
      <c r="CI328" t="e">
        <f>AND('PROG FORMACIÓN TITULADA'!#REF!,"AAAAAGe9nlY=")</f>
        <v>#REF!</v>
      </c>
      <c r="CJ328" t="e">
        <f>AND('PROG FORMACIÓN TITULADA'!#REF!,"AAAAAGe9nlc=")</f>
        <v>#REF!</v>
      </c>
      <c r="CK328" t="e">
        <f>AND('PROG FORMACIÓN TITULADA'!#REF!,"AAAAAGe9nlg=")</f>
        <v>#REF!</v>
      </c>
      <c r="CL328" t="e">
        <f>AND('PROG FORMACIÓN TITULADA'!#REF!,"AAAAAGe9nlk=")</f>
        <v>#REF!</v>
      </c>
      <c r="CM328" t="e">
        <f>AND('PROG FORMACIÓN TITULADA'!#REF!,"AAAAAGe9nlo=")</f>
        <v>#REF!</v>
      </c>
      <c r="CN328" t="e">
        <f>AND('PROG FORMACIÓN TITULADA'!#REF!,"AAAAAGe9nls=")</f>
        <v>#REF!</v>
      </c>
      <c r="CO328" t="e">
        <f>AND('PROG FORMACIÓN TITULADA'!#REF!,"AAAAAGe9nlw=")</f>
        <v>#REF!</v>
      </c>
      <c r="CP328" t="e">
        <f>AND('PROG FORMACIÓN TITULADA'!#REF!,"AAAAAGe9nl0=")</f>
        <v>#REF!</v>
      </c>
      <c r="CQ328" t="e">
        <f>AND('PROG FORMACIÓN TITULADA'!#REF!,"AAAAAGe9nl4=")</f>
        <v>#REF!</v>
      </c>
      <c r="CR328" t="e">
        <f>AND('PROG FORMACIÓN TITULADA'!#REF!,"AAAAAGe9nl8=")</f>
        <v>#REF!</v>
      </c>
      <c r="CS328" t="e">
        <f>IF('PROG FORMACIÓN TITULADA'!#REF!,"AAAAAGe9nmA=",0)</f>
        <v>#REF!</v>
      </c>
      <c r="CT328" t="e">
        <f>AND('PROG FORMACIÓN TITULADA'!#REF!,"AAAAAGe9nmE=")</f>
        <v>#REF!</v>
      </c>
      <c r="CU328" t="e">
        <f>AND('PROG FORMACIÓN TITULADA'!#REF!,"AAAAAGe9nmI=")</f>
        <v>#REF!</v>
      </c>
      <c r="CV328" t="e">
        <f>AND('PROG FORMACIÓN TITULADA'!#REF!,"AAAAAGe9nmM=")</f>
        <v>#REF!</v>
      </c>
      <c r="CW328" t="e">
        <f>AND('PROG FORMACIÓN TITULADA'!#REF!,"AAAAAGe9nmQ=")</f>
        <v>#REF!</v>
      </c>
      <c r="CX328" t="e">
        <f>AND('PROG FORMACIÓN TITULADA'!#REF!,"AAAAAGe9nmU=")</f>
        <v>#REF!</v>
      </c>
      <c r="CY328" t="e">
        <f>AND('PROG FORMACIÓN TITULADA'!#REF!,"AAAAAGe9nmY=")</f>
        <v>#REF!</v>
      </c>
      <c r="CZ328" t="e">
        <f>AND('PROG FORMACIÓN TITULADA'!#REF!,"AAAAAGe9nmc=")</f>
        <v>#REF!</v>
      </c>
      <c r="DA328" t="e">
        <f>AND('PROG FORMACIÓN TITULADA'!#REF!,"AAAAAGe9nmg=")</f>
        <v>#REF!</v>
      </c>
      <c r="DB328" t="e">
        <f>AND('PROG FORMACIÓN TITULADA'!#REF!,"AAAAAGe9nmk=")</f>
        <v>#REF!</v>
      </c>
      <c r="DC328" t="e">
        <f>AND('PROG FORMACIÓN TITULADA'!#REF!,"AAAAAGe9nmo=")</f>
        <v>#REF!</v>
      </c>
      <c r="DD328" t="e">
        <f>AND('PROG FORMACIÓN TITULADA'!#REF!,"AAAAAGe9nms=")</f>
        <v>#REF!</v>
      </c>
      <c r="DE328" t="e">
        <f>AND('PROG FORMACIÓN TITULADA'!#REF!,"AAAAAGe9nmw=")</f>
        <v>#REF!</v>
      </c>
      <c r="DF328" t="e">
        <f>AND('PROG FORMACIÓN TITULADA'!#REF!,"AAAAAGe9nm0=")</f>
        <v>#REF!</v>
      </c>
      <c r="DG328" t="e">
        <f>AND('PROG FORMACIÓN TITULADA'!#REF!,"AAAAAGe9nm4=")</f>
        <v>#REF!</v>
      </c>
      <c r="DH328" t="e">
        <f>AND('PROG FORMACIÓN TITULADA'!#REF!,"AAAAAGe9nm8=")</f>
        <v>#REF!</v>
      </c>
      <c r="DI328" t="e">
        <f>AND('PROG FORMACIÓN TITULADA'!#REF!,"AAAAAGe9nnA=")</f>
        <v>#REF!</v>
      </c>
      <c r="DJ328" t="e">
        <f>AND('PROG FORMACIÓN TITULADA'!#REF!,"AAAAAGe9nnE=")</f>
        <v>#REF!</v>
      </c>
      <c r="DK328" t="e">
        <f>AND('PROG FORMACIÓN TITULADA'!#REF!,"AAAAAGe9nnI=")</f>
        <v>#REF!</v>
      </c>
      <c r="DL328" t="e">
        <f>AND('PROG FORMACIÓN TITULADA'!#REF!,"AAAAAGe9nnM=")</f>
        <v>#REF!</v>
      </c>
      <c r="DM328" t="e">
        <f>AND('PROG FORMACIÓN TITULADA'!#REF!,"AAAAAGe9nnQ=")</f>
        <v>#REF!</v>
      </c>
      <c r="DN328" t="e">
        <f>AND('PROG FORMACIÓN TITULADA'!#REF!,"AAAAAGe9nnU=")</f>
        <v>#REF!</v>
      </c>
      <c r="DO328" t="e">
        <f>AND('PROG FORMACIÓN TITULADA'!#REF!,"AAAAAGe9nnY=")</f>
        <v>#REF!</v>
      </c>
      <c r="DP328" t="e">
        <f>AND('PROG FORMACIÓN TITULADA'!#REF!,"AAAAAGe9nnc=")</f>
        <v>#REF!</v>
      </c>
      <c r="DQ328" t="e">
        <f>AND('PROG FORMACIÓN TITULADA'!#REF!,"AAAAAGe9nng=")</f>
        <v>#REF!</v>
      </c>
      <c r="DR328" t="e">
        <f>AND('PROG FORMACIÓN TITULADA'!#REF!,"AAAAAGe9nnk=")</f>
        <v>#REF!</v>
      </c>
      <c r="DS328" t="e">
        <f>AND('PROG FORMACIÓN TITULADA'!#REF!,"AAAAAGe9nno=")</f>
        <v>#REF!</v>
      </c>
      <c r="DT328" t="e">
        <f>IF('PROG FORMACIÓN TITULADA'!#REF!,"AAAAAGe9nns=",0)</f>
        <v>#REF!</v>
      </c>
      <c r="DU328" t="e">
        <f>AND('PROG FORMACIÓN TITULADA'!#REF!,"AAAAAGe9nnw=")</f>
        <v>#REF!</v>
      </c>
      <c r="DV328" t="e">
        <f>AND('PROG FORMACIÓN TITULADA'!#REF!,"AAAAAGe9nn0=")</f>
        <v>#REF!</v>
      </c>
      <c r="DW328" t="e">
        <f>AND('PROG FORMACIÓN TITULADA'!#REF!,"AAAAAGe9nn4=")</f>
        <v>#REF!</v>
      </c>
      <c r="DX328" t="e">
        <f>AND('PROG FORMACIÓN TITULADA'!#REF!,"AAAAAGe9nn8=")</f>
        <v>#REF!</v>
      </c>
      <c r="DY328" t="e">
        <f>AND('PROG FORMACIÓN TITULADA'!#REF!,"AAAAAGe9noA=")</f>
        <v>#REF!</v>
      </c>
      <c r="DZ328" t="e">
        <f>AND('PROG FORMACIÓN TITULADA'!#REF!,"AAAAAGe9noE=")</f>
        <v>#REF!</v>
      </c>
      <c r="EA328" t="e">
        <f>AND('PROG FORMACIÓN TITULADA'!#REF!,"AAAAAGe9noI=")</f>
        <v>#REF!</v>
      </c>
      <c r="EB328" t="e">
        <f>AND('PROG FORMACIÓN TITULADA'!#REF!,"AAAAAGe9noM=")</f>
        <v>#REF!</v>
      </c>
      <c r="EC328" t="e">
        <f>AND('PROG FORMACIÓN TITULADA'!#REF!,"AAAAAGe9noQ=")</f>
        <v>#REF!</v>
      </c>
      <c r="ED328" t="e">
        <f>AND('PROG FORMACIÓN TITULADA'!#REF!,"AAAAAGe9noU=")</f>
        <v>#REF!</v>
      </c>
      <c r="EE328" t="e">
        <f>AND('PROG FORMACIÓN TITULADA'!#REF!,"AAAAAGe9noY=")</f>
        <v>#REF!</v>
      </c>
      <c r="EF328" t="e">
        <f>AND('PROG FORMACIÓN TITULADA'!#REF!,"AAAAAGe9noc=")</f>
        <v>#REF!</v>
      </c>
      <c r="EG328" t="e">
        <f>AND('PROG FORMACIÓN TITULADA'!#REF!,"AAAAAGe9nog=")</f>
        <v>#REF!</v>
      </c>
      <c r="EH328" t="e">
        <f>AND('PROG FORMACIÓN TITULADA'!#REF!,"AAAAAGe9nok=")</f>
        <v>#REF!</v>
      </c>
      <c r="EI328" t="e">
        <f>AND('PROG FORMACIÓN TITULADA'!#REF!,"AAAAAGe9noo=")</f>
        <v>#REF!</v>
      </c>
      <c r="EJ328" t="e">
        <f>AND('PROG FORMACIÓN TITULADA'!#REF!,"AAAAAGe9nos=")</f>
        <v>#REF!</v>
      </c>
      <c r="EK328" t="e">
        <f>AND('PROG FORMACIÓN TITULADA'!#REF!,"AAAAAGe9now=")</f>
        <v>#REF!</v>
      </c>
      <c r="EL328" t="e">
        <f>AND('PROG FORMACIÓN TITULADA'!#REF!,"AAAAAGe9no0=")</f>
        <v>#REF!</v>
      </c>
      <c r="EM328" t="e">
        <f>AND('PROG FORMACIÓN TITULADA'!#REF!,"AAAAAGe9no4=")</f>
        <v>#REF!</v>
      </c>
      <c r="EN328" t="e">
        <f>AND('PROG FORMACIÓN TITULADA'!#REF!,"AAAAAGe9no8=")</f>
        <v>#REF!</v>
      </c>
      <c r="EO328" t="e">
        <f>AND('PROG FORMACIÓN TITULADA'!#REF!,"AAAAAGe9npA=")</f>
        <v>#REF!</v>
      </c>
      <c r="EP328" t="e">
        <f>AND('PROG FORMACIÓN TITULADA'!#REF!,"AAAAAGe9npE=")</f>
        <v>#REF!</v>
      </c>
      <c r="EQ328" t="e">
        <f>AND('PROG FORMACIÓN TITULADA'!#REF!,"AAAAAGe9npI=")</f>
        <v>#REF!</v>
      </c>
      <c r="ER328" t="e">
        <f>AND('PROG FORMACIÓN TITULADA'!#REF!,"AAAAAGe9npM=")</f>
        <v>#REF!</v>
      </c>
      <c r="ES328" t="e">
        <f>AND('PROG FORMACIÓN TITULADA'!#REF!,"AAAAAGe9npQ=")</f>
        <v>#REF!</v>
      </c>
      <c r="ET328" t="e">
        <f>AND('PROG FORMACIÓN TITULADA'!#REF!,"AAAAAGe9npU=")</f>
        <v>#REF!</v>
      </c>
      <c r="EU328" t="e">
        <f>IF('PROG FORMACIÓN TITULADA'!#REF!,"AAAAAGe9npY=",0)</f>
        <v>#REF!</v>
      </c>
      <c r="EV328" t="e">
        <f>AND('PROG FORMACIÓN TITULADA'!#REF!,"AAAAAGe9npc=")</f>
        <v>#REF!</v>
      </c>
      <c r="EW328" t="e">
        <f>AND('PROG FORMACIÓN TITULADA'!#REF!,"AAAAAGe9npg=")</f>
        <v>#REF!</v>
      </c>
      <c r="EX328" t="e">
        <f>AND('PROG FORMACIÓN TITULADA'!#REF!,"AAAAAGe9npk=")</f>
        <v>#REF!</v>
      </c>
      <c r="EY328" t="e">
        <f>AND('PROG FORMACIÓN TITULADA'!#REF!,"AAAAAGe9npo=")</f>
        <v>#REF!</v>
      </c>
      <c r="EZ328" t="e">
        <f>AND('PROG FORMACIÓN TITULADA'!#REF!,"AAAAAGe9nps=")</f>
        <v>#REF!</v>
      </c>
      <c r="FA328" t="e">
        <f>AND('PROG FORMACIÓN TITULADA'!#REF!,"AAAAAGe9npw=")</f>
        <v>#REF!</v>
      </c>
      <c r="FB328" t="e">
        <f>AND('PROG FORMACIÓN TITULADA'!#REF!,"AAAAAGe9np0=")</f>
        <v>#REF!</v>
      </c>
      <c r="FC328" t="e">
        <f>AND('PROG FORMACIÓN TITULADA'!#REF!,"AAAAAGe9np4=")</f>
        <v>#REF!</v>
      </c>
      <c r="FD328" t="e">
        <f>AND('PROG FORMACIÓN TITULADA'!#REF!,"AAAAAGe9np8=")</f>
        <v>#REF!</v>
      </c>
      <c r="FE328" t="e">
        <f>AND('PROG FORMACIÓN TITULADA'!#REF!,"AAAAAGe9nqA=")</f>
        <v>#REF!</v>
      </c>
      <c r="FF328" t="e">
        <f>AND('PROG FORMACIÓN TITULADA'!#REF!,"AAAAAGe9nqE=")</f>
        <v>#REF!</v>
      </c>
      <c r="FG328" t="e">
        <f>AND('PROG FORMACIÓN TITULADA'!#REF!,"AAAAAGe9nqI=")</f>
        <v>#REF!</v>
      </c>
      <c r="FH328" t="e">
        <f>AND('PROG FORMACIÓN TITULADA'!#REF!,"AAAAAGe9nqM=")</f>
        <v>#REF!</v>
      </c>
      <c r="FI328" t="e">
        <f>AND('PROG FORMACIÓN TITULADA'!#REF!,"AAAAAGe9nqQ=")</f>
        <v>#REF!</v>
      </c>
      <c r="FJ328" t="e">
        <f>AND('PROG FORMACIÓN TITULADA'!#REF!,"AAAAAGe9nqU=")</f>
        <v>#REF!</v>
      </c>
      <c r="FK328" t="e">
        <f>AND('PROG FORMACIÓN TITULADA'!#REF!,"AAAAAGe9nqY=")</f>
        <v>#REF!</v>
      </c>
      <c r="FL328" t="e">
        <f>AND('PROG FORMACIÓN TITULADA'!#REF!,"AAAAAGe9nqc=")</f>
        <v>#REF!</v>
      </c>
      <c r="FM328" t="e">
        <f>AND('PROG FORMACIÓN TITULADA'!#REF!,"AAAAAGe9nqg=")</f>
        <v>#REF!</v>
      </c>
      <c r="FN328" t="e">
        <f>AND('PROG FORMACIÓN TITULADA'!#REF!,"AAAAAGe9nqk=")</f>
        <v>#REF!</v>
      </c>
      <c r="FO328" t="e">
        <f>AND('PROG FORMACIÓN TITULADA'!#REF!,"AAAAAGe9nqo=")</f>
        <v>#REF!</v>
      </c>
      <c r="FP328" t="e">
        <f>AND('PROG FORMACIÓN TITULADA'!#REF!,"AAAAAGe9nqs=")</f>
        <v>#REF!</v>
      </c>
      <c r="FQ328" t="e">
        <f>AND('PROG FORMACIÓN TITULADA'!#REF!,"AAAAAGe9nqw=")</f>
        <v>#REF!</v>
      </c>
      <c r="FR328" t="e">
        <f>AND('PROG FORMACIÓN TITULADA'!#REF!,"AAAAAGe9nq0=")</f>
        <v>#REF!</v>
      </c>
      <c r="FS328" t="e">
        <f>AND('PROG FORMACIÓN TITULADA'!#REF!,"AAAAAGe9nq4=")</f>
        <v>#REF!</v>
      </c>
      <c r="FT328" t="e">
        <f>AND('PROG FORMACIÓN TITULADA'!#REF!,"AAAAAGe9nq8=")</f>
        <v>#REF!</v>
      </c>
      <c r="FU328" t="e">
        <f>AND('PROG FORMACIÓN TITULADA'!#REF!,"AAAAAGe9nrA=")</f>
        <v>#REF!</v>
      </c>
      <c r="FV328" t="e">
        <f>IF('PROG FORMACIÓN TITULADA'!#REF!,"AAAAAGe9nrE=",0)</f>
        <v>#REF!</v>
      </c>
      <c r="FW328" t="e">
        <f>AND('PROG FORMACIÓN TITULADA'!#REF!,"AAAAAGe9nrI=")</f>
        <v>#REF!</v>
      </c>
      <c r="FX328" t="e">
        <f>AND('PROG FORMACIÓN TITULADA'!#REF!,"AAAAAGe9nrM=")</f>
        <v>#REF!</v>
      </c>
      <c r="FY328" t="e">
        <f>AND('PROG FORMACIÓN TITULADA'!#REF!,"AAAAAGe9nrQ=")</f>
        <v>#REF!</v>
      </c>
      <c r="FZ328" t="e">
        <f>AND('PROG FORMACIÓN TITULADA'!#REF!,"AAAAAGe9nrU=")</f>
        <v>#REF!</v>
      </c>
      <c r="GA328" t="e">
        <f>AND('PROG FORMACIÓN TITULADA'!#REF!,"AAAAAGe9nrY=")</f>
        <v>#REF!</v>
      </c>
      <c r="GB328" t="e">
        <f>AND('PROG FORMACIÓN TITULADA'!#REF!,"AAAAAGe9nrc=")</f>
        <v>#REF!</v>
      </c>
      <c r="GC328" t="e">
        <f>AND('PROG FORMACIÓN TITULADA'!#REF!,"AAAAAGe9nrg=")</f>
        <v>#REF!</v>
      </c>
      <c r="GD328" t="e">
        <f>AND('PROG FORMACIÓN TITULADA'!#REF!,"AAAAAGe9nrk=")</f>
        <v>#REF!</v>
      </c>
      <c r="GE328" t="e">
        <f>AND('PROG FORMACIÓN TITULADA'!#REF!,"AAAAAGe9nro=")</f>
        <v>#REF!</v>
      </c>
      <c r="GF328" t="e">
        <f>AND('PROG FORMACIÓN TITULADA'!#REF!,"AAAAAGe9nrs=")</f>
        <v>#REF!</v>
      </c>
      <c r="GG328" t="e">
        <f>AND('PROG FORMACIÓN TITULADA'!#REF!,"AAAAAGe9nrw=")</f>
        <v>#REF!</v>
      </c>
      <c r="GH328" t="e">
        <f>AND('PROG FORMACIÓN TITULADA'!#REF!,"AAAAAGe9nr0=")</f>
        <v>#REF!</v>
      </c>
      <c r="GI328" t="e">
        <f>AND('PROG FORMACIÓN TITULADA'!#REF!,"AAAAAGe9nr4=")</f>
        <v>#REF!</v>
      </c>
      <c r="GJ328" t="e">
        <f>AND('PROG FORMACIÓN TITULADA'!#REF!,"AAAAAGe9nr8=")</f>
        <v>#REF!</v>
      </c>
      <c r="GK328" t="e">
        <f>AND('PROG FORMACIÓN TITULADA'!#REF!,"AAAAAGe9nsA=")</f>
        <v>#REF!</v>
      </c>
      <c r="GL328" t="e">
        <f>AND('PROG FORMACIÓN TITULADA'!#REF!,"AAAAAGe9nsE=")</f>
        <v>#REF!</v>
      </c>
      <c r="GM328" t="e">
        <f>AND('PROG FORMACIÓN TITULADA'!#REF!,"AAAAAGe9nsI=")</f>
        <v>#REF!</v>
      </c>
      <c r="GN328" t="e">
        <f>AND('PROG FORMACIÓN TITULADA'!#REF!,"AAAAAGe9nsM=")</f>
        <v>#REF!</v>
      </c>
      <c r="GO328" t="e">
        <f>AND('PROG FORMACIÓN TITULADA'!#REF!,"AAAAAGe9nsQ=")</f>
        <v>#REF!</v>
      </c>
      <c r="GP328" t="e">
        <f>AND('PROG FORMACIÓN TITULADA'!#REF!,"AAAAAGe9nsU=")</f>
        <v>#REF!</v>
      </c>
      <c r="GQ328" t="e">
        <f>AND('PROG FORMACIÓN TITULADA'!#REF!,"AAAAAGe9nsY=")</f>
        <v>#REF!</v>
      </c>
      <c r="GR328" t="e">
        <f>AND('PROG FORMACIÓN TITULADA'!#REF!,"AAAAAGe9nsc=")</f>
        <v>#REF!</v>
      </c>
      <c r="GS328" t="e">
        <f>AND('PROG FORMACIÓN TITULADA'!#REF!,"AAAAAGe9nsg=")</f>
        <v>#REF!</v>
      </c>
      <c r="GT328" t="e">
        <f>AND('PROG FORMACIÓN TITULADA'!#REF!,"AAAAAGe9nsk=")</f>
        <v>#REF!</v>
      </c>
      <c r="GU328" t="e">
        <f>AND('PROG FORMACIÓN TITULADA'!#REF!,"AAAAAGe9nso=")</f>
        <v>#REF!</v>
      </c>
      <c r="GV328" t="e">
        <f>AND('PROG FORMACIÓN TITULADA'!#REF!,"AAAAAGe9nss=")</f>
        <v>#REF!</v>
      </c>
      <c r="GW328" t="e">
        <f>IF('PROG FORMACIÓN TITULADA'!#REF!,"AAAAAGe9nsw=",0)</f>
        <v>#REF!</v>
      </c>
      <c r="GX328" t="e">
        <f>AND('PROG FORMACIÓN TITULADA'!#REF!,"AAAAAGe9ns0=")</f>
        <v>#REF!</v>
      </c>
      <c r="GY328" t="e">
        <f>AND('PROG FORMACIÓN TITULADA'!#REF!,"AAAAAGe9ns4=")</f>
        <v>#REF!</v>
      </c>
      <c r="GZ328" t="e">
        <f>AND('PROG FORMACIÓN TITULADA'!#REF!,"AAAAAGe9ns8=")</f>
        <v>#REF!</v>
      </c>
      <c r="HA328" t="e">
        <f>AND('PROG FORMACIÓN TITULADA'!#REF!,"AAAAAGe9ntA=")</f>
        <v>#REF!</v>
      </c>
      <c r="HB328" t="e">
        <f>AND('PROG FORMACIÓN TITULADA'!#REF!,"AAAAAGe9ntE=")</f>
        <v>#REF!</v>
      </c>
      <c r="HC328" t="e">
        <f>AND('PROG FORMACIÓN TITULADA'!#REF!,"AAAAAGe9ntI=")</f>
        <v>#REF!</v>
      </c>
      <c r="HD328" t="e">
        <f>AND('PROG FORMACIÓN TITULADA'!#REF!,"AAAAAGe9ntM=")</f>
        <v>#REF!</v>
      </c>
      <c r="HE328" t="e">
        <f>AND('PROG FORMACIÓN TITULADA'!#REF!,"AAAAAGe9ntQ=")</f>
        <v>#REF!</v>
      </c>
      <c r="HF328" t="e">
        <f>AND('PROG FORMACIÓN TITULADA'!#REF!,"AAAAAGe9ntU=")</f>
        <v>#REF!</v>
      </c>
      <c r="HG328" t="e">
        <f>AND('PROG FORMACIÓN TITULADA'!#REF!,"AAAAAGe9ntY=")</f>
        <v>#REF!</v>
      </c>
      <c r="HH328" t="e">
        <f>AND('PROG FORMACIÓN TITULADA'!#REF!,"AAAAAGe9ntc=")</f>
        <v>#REF!</v>
      </c>
      <c r="HI328" t="e">
        <f>AND('PROG FORMACIÓN TITULADA'!#REF!,"AAAAAGe9ntg=")</f>
        <v>#REF!</v>
      </c>
      <c r="HJ328" t="e">
        <f>AND('PROG FORMACIÓN TITULADA'!#REF!,"AAAAAGe9ntk=")</f>
        <v>#REF!</v>
      </c>
      <c r="HK328" t="e">
        <f>AND('PROG FORMACIÓN TITULADA'!#REF!,"AAAAAGe9nto=")</f>
        <v>#REF!</v>
      </c>
      <c r="HL328" t="e">
        <f>AND('PROG FORMACIÓN TITULADA'!#REF!,"AAAAAGe9nts=")</f>
        <v>#REF!</v>
      </c>
      <c r="HM328" t="e">
        <f>AND('PROG FORMACIÓN TITULADA'!#REF!,"AAAAAGe9ntw=")</f>
        <v>#REF!</v>
      </c>
      <c r="HN328" t="e">
        <f>AND('PROG FORMACIÓN TITULADA'!#REF!,"AAAAAGe9nt0=")</f>
        <v>#REF!</v>
      </c>
      <c r="HO328" t="e">
        <f>AND('PROG FORMACIÓN TITULADA'!#REF!,"AAAAAGe9nt4=")</f>
        <v>#REF!</v>
      </c>
      <c r="HP328" t="e">
        <f>AND('PROG FORMACIÓN TITULADA'!#REF!,"AAAAAGe9nt8=")</f>
        <v>#REF!</v>
      </c>
      <c r="HQ328" t="e">
        <f>AND('PROG FORMACIÓN TITULADA'!#REF!,"AAAAAGe9nuA=")</f>
        <v>#REF!</v>
      </c>
      <c r="HR328" t="e">
        <f>AND('PROG FORMACIÓN TITULADA'!#REF!,"AAAAAGe9nuE=")</f>
        <v>#REF!</v>
      </c>
      <c r="HS328" t="e">
        <f>AND('PROG FORMACIÓN TITULADA'!#REF!,"AAAAAGe9nuI=")</f>
        <v>#REF!</v>
      </c>
      <c r="HT328" t="e">
        <f>AND('PROG FORMACIÓN TITULADA'!#REF!,"AAAAAGe9nuM=")</f>
        <v>#REF!</v>
      </c>
      <c r="HU328" t="e">
        <f>AND('PROG FORMACIÓN TITULADA'!#REF!,"AAAAAGe9nuQ=")</f>
        <v>#REF!</v>
      </c>
      <c r="HV328" t="e">
        <f>AND('PROG FORMACIÓN TITULADA'!#REF!,"AAAAAGe9nuU=")</f>
        <v>#REF!</v>
      </c>
      <c r="HW328" t="e">
        <f>AND('PROG FORMACIÓN TITULADA'!#REF!,"AAAAAGe9nuY=")</f>
        <v>#REF!</v>
      </c>
      <c r="HX328" t="e">
        <f>IF('PROG FORMACIÓN TITULADA'!#REF!,"AAAAAGe9nuc=",0)</f>
        <v>#REF!</v>
      </c>
      <c r="HY328" t="e">
        <f>AND('PROG FORMACIÓN TITULADA'!#REF!,"AAAAAGe9nug=")</f>
        <v>#REF!</v>
      </c>
      <c r="HZ328" t="e">
        <f>AND('PROG FORMACIÓN TITULADA'!#REF!,"AAAAAGe9nuk=")</f>
        <v>#REF!</v>
      </c>
      <c r="IA328" t="e">
        <f>AND('PROG FORMACIÓN TITULADA'!#REF!,"AAAAAGe9nuo=")</f>
        <v>#REF!</v>
      </c>
      <c r="IB328" t="e">
        <f>AND('PROG FORMACIÓN TITULADA'!#REF!,"AAAAAGe9nus=")</f>
        <v>#REF!</v>
      </c>
      <c r="IC328" t="e">
        <f>AND('PROG FORMACIÓN TITULADA'!#REF!,"AAAAAGe9nuw=")</f>
        <v>#REF!</v>
      </c>
      <c r="ID328" t="e">
        <f>AND('PROG FORMACIÓN TITULADA'!#REF!,"AAAAAGe9nu0=")</f>
        <v>#REF!</v>
      </c>
      <c r="IE328" t="e">
        <f>AND('PROG FORMACIÓN TITULADA'!#REF!,"AAAAAGe9nu4=")</f>
        <v>#REF!</v>
      </c>
      <c r="IF328" t="e">
        <f>AND('PROG FORMACIÓN TITULADA'!#REF!,"AAAAAGe9nu8=")</f>
        <v>#REF!</v>
      </c>
      <c r="IG328" t="e">
        <f>AND('PROG FORMACIÓN TITULADA'!#REF!,"AAAAAGe9nvA=")</f>
        <v>#REF!</v>
      </c>
      <c r="IH328" t="e">
        <f>AND('PROG FORMACIÓN TITULADA'!#REF!,"AAAAAGe9nvE=")</f>
        <v>#REF!</v>
      </c>
      <c r="II328" t="e">
        <f>AND('PROG FORMACIÓN TITULADA'!#REF!,"AAAAAGe9nvI=")</f>
        <v>#REF!</v>
      </c>
      <c r="IJ328" t="e">
        <f>AND('PROG FORMACIÓN TITULADA'!#REF!,"AAAAAGe9nvM=")</f>
        <v>#REF!</v>
      </c>
      <c r="IK328" t="e">
        <f>AND('PROG FORMACIÓN TITULADA'!#REF!,"AAAAAGe9nvQ=")</f>
        <v>#REF!</v>
      </c>
      <c r="IL328" t="e">
        <f>AND('PROG FORMACIÓN TITULADA'!#REF!,"AAAAAGe9nvU=")</f>
        <v>#REF!</v>
      </c>
      <c r="IM328" t="e">
        <f>AND('PROG FORMACIÓN TITULADA'!#REF!,"AAAAAGe9nvY=")</f>
        <v>#REF!</v>
      </c>
      <c r="IN328" t="e">
        <f>AND('PROG FORMACIÓN TITULADA'!#REF!,"AAAAAGe9nvc=")</f>
        <v>#REF!</v>
      </c>
      <c r="IO328" t="e">
        <f>AND('PROG FORMACIÓN TITULADA'!#REF!,"AAAAAGe9nvg=")</f>
        <v>#REF!</v>
      </c>
      <c r="IP328" t="e">
        <f>AND('PROG FORMACIÓN TITULADA'!#REF!,"AAAAAGe9nvk=")</f>
        <v>#REF!</v>
      </c>
      <c r="IQ328" t="e">
        <f>AND('PROG FORMACIÓN TITULADA'!#REF!,"AAAAAGe9nvo=")</f>
        <v>#REF!</v>
      </c>
      <c r="IR328" t="e">
        <f>AND('PROG FORMACIÓN TITULADA'!#REF!,"AAAAAGe9nvs=")</f>
        <v>#REF!</v>
      </c>
      <c r="IS328" t="e">
        <f>AND('PROG FORMACIÓN TITULADA'!#REF!,"AAAAAGe9nvw=")</f>
        <v>#REF!</v>
      </c>
      <c r="IT328" t="e">
        <f>AND('PROG FORMACIÓN TITULADA'!#REF!,"AAAAAGe9nv0=")</f>
        <v>#REF!</v>
      </c>
      <c r="IU328" t="e">
        <f>AND('PROG FORMACIÓN TITULADA'!#REF!,"AAAAAGe9nv4=")</f>
        <v>#REF!</v>
      </c>
      <c r="IV328" t="e">
        <f>AND('PROG FORMACIÓN TITULADA'!#REF!,"AAAAAGe9nv8=")</f>
        <v>#REF!</v>
      </c>
    </row>
    <row r="329" spans="1:256" x14ac:dyDescent="0.2">
      <c r="A329" t="e">
        <f>AND('PROG FORMACIÓN TITULADA'!#REF!,"AAAAAHX3NwA=")</f>
        <v>#REF!</v>
      </c>
      <c r="B329" t="e">
        <f>AND('PROG FORMACIÓN TITULADA'!#REF!,"AAAAAHX3NwE=")</f>
        <v>#REF!</v>
      </c>
      <c r="C329" t="e">
        <f>IF('PROG FORMACIÓN TITULADA'!#REF!,"AAAAAHX3NwI=",0)</f>
        <v>#REF!</v>
      </c>
      <c r="D329" t="e">
        <f>AND('PROG FORMACIÓN TITULADA'!#REF!,"AAAAAHX3NwM=")</f>
        <v>#REF!</v>
      </c>
      <c r="E329" t="e">
        <f>AND('PROG FORMACIÓN TITULADA'!#REF!,"AAAAAHX3NwQ=")</f>
        <v>#REF!</v>
      </c>
      <c r="F329" t="e">
        <f>AND('PROG FORMACIÓN TITULADA'!#REF!,"AAAAAHX3NwU=")</f>
        <v>#REF!</v>
      </c>
      <c r="G329" t="e">
        <f>AND('PROG FORMACIÓN TITULADA'!#REF!,"AAAAAHX3NwY=")</f>
        <v>#REF!</v>
      </c>
      <c r="H329" t="e">
        <f>AND('PROG FORMACIÓN TITULADA'!#REF!,"AAAAAHX3Nwc=")</f>
        <v>#REF!</v>
      </c>
      <c r="I329" t="e">
        <f>AND('PROG FORMACIÓN TITULADA'!#REF!,"AAAAAHX3Nwg=")</f>
        <v>#REF!</v>
      </c>
      <c r="J329" t="e">
        <f>AND('PROG FORMACIÓN TITULADA'!#REF!,"AAAAAHX3Nwk=")</f>
        <v>#REF!</v>
      </c>
      <c r="K329" t="e">
        <f>AND('PROG FORMACIÓN TITULADA'!#REF!,"AAAAAHX3Nwo=")</f>
        <v>#REF!</v>
      </c>
      <c r="L329" t="e">
        <f>AND('PROG FORMACIÓN TITULADA'!#REF!,"AAAAAHX3Nws=")</f>
        <v>#REF!</v>
      </c>
      <c r="M329" t="e">
        <f>AND('PROG FORMACIÓN TITULADA'!#REF!,"AAAAAHX3Nww=")</f>
        <v>#REF!</v>
      </c>
      <c r="N329" t="e">
        <f>AND('PROG FORMACIÓN TITULADA'!#REF!,"AAAAAHX3Nw0=")</f>
        <v>#REF!</v>
      </c>
      <c r="O329" t="e">
        <f>AND('PROG FORMACIÓN TITULADA'!#REF!,"AAAAAHX3Nw4=")</f>
        <v>#REF!</v>
      </c>
      <c r="P329" t="e">
        <f>AND('PROG FORMACIÓN TITULADA'!#REF!,"AAAAAHX3Nw8=")</f>
        <v>#REF!</v>
      </c>
      <c r="Q329" t="e">
        <f>AND('PROG FORMACIÓN TITULADA'!#REF!,"AAAAAHX3NxA=")</f>
        <v>#REF!</v>
      </c>
      <c r="R329" t="e">
        <f>AND('PROG FORMACIÓN TITULADA'!#REF!,"AAAAAHX3NxE=")</f>
        <v>#REF!</v>
      </c>
      <c r="S329" t="e">
        <f>AND('PROG FORMACIÓN TITULADA'!#REF!,"AAAAAHX3NxI=")</f>
        <v>#REF!</v>
      </c>
      <c r="T329" t="e">
        <f>AND('PROG FORMACIÓN TITULADA'!#REF!,"AAAAAHX3NxM=")</f>
        <v>#REF!</v>
      </c>
      <c r="U329" t="e">
        <f>AND('PROG FORMACIÓN TITULADA'!#REF!,"AAAAAHX3NxQ=")</f>
        <v>#REF!</v>
      </c>
      <c r="V329" t="e">
        <f>AND('PROG FORMACIÓN TITULADA'!#REF!,"AAAAAHX3NxU=")</f>
        <v>#REF!</v>
      </c>
      <c r="W329" t="e">
        <f>AND('PROG FORMACIÓN TITULADA'!#REF!,"AAAAAHX3NxY=")</f>
        <v>#REF!</v>
      </c>
      <c r="X329" t="e">
        <f>AND('PROG FORMACIÓN TITULADA'!#REF!,"AAAAAHX3Nxc=")</f>
        <v>#REF!</v>
      </c>
      <c r="Y329" t="e">
        <f>AND('PROG FORMACIÓN TITULADA'!#REF!,"AAAAAHX3Nxg=")</f>
        <v>#REF!</v>
      </c>
      <c r="Z329" t="e">
        <f>AND('PROG FORMACIÓN TITULADA'!#REF!,"AAAAAHX3Nxk=")</f>
        <v>#REF!</v>
      </c>
      <c r="AA329" t="e">
        <f>AND('PROG FORMACIÓN TITULADA'!#REF!,"AAAAAHX3Nxo=")</f>
        <v>#REF!</v>
      </c>
      <c r="AB329" t="e">
        <f>AND('PROG FORMACIÓN TITULADA'!#REF!,"AAAAAHX3Nxs=")</f>
        <v>#REF!</v>
      </c>
      <c r="AC329" t="e">
        <f>AND('PROG FORMACIÓN TITULADA'!#REF!,"AAAAAHX3Nxw=")</f>
        <v>#REF!</v>
      </c>
      <c r="AD329" t="e">
        <f>IF('PROG FORMACIÓN TITULADA'!#REF!,"AAAAAHX3Nx0=",0)</f>
        <v>#REF!</v>
      </c>
      <c r="AE329" t="e">
        <f>AND('PROG FORMACIÓN TITULADA'!#REF!,"AAAAAHX3Nx4=")</f>
        <v>#REF!</v>
      </c>
      <c r="AF329" t="e">
        <f>AND('PROG FORMACIÓN TITULADA'!#REF!,"AAAAAHX3Nx8=")</f>
        <v>#REF!</v>
      </c>
      <c r="AG329" t="e">
        <f>AND('PROG FORMACIÓN TITULADA'!#REF!,"AAAAAHX3NyA=")</f>
        <v>#REF!</v>
      </c>
      <c r="AH329" t="e">
        <f>AND('PROG FORMACIÓN TITULADA'!#REF!,"AAAAAHX3NyE=")</f>
        <v>#REF!</v>
      </c>
      <c r="AI329" t="e">
        <f>AND('PROG FORMACIÓN TITULADA'!#REF!,"AAAAAHX3NyI=")</f>
        <v>#REF!</v>
      </c>
      <c r="AJ329" t="e">
        <f>AND('PROG FORMACIÓN TITULADA'!#REF!,"AAAAAHX3NyM=")</f>
        <v>#REF!</v>
      </c>
      <c r="AK329" t="e">
        <f>AND('PROG FORMACIÓN TITULADA'!#REF!,"AAAAAHX3NyQ=")</f>
        <v>#REF!</v>
      </c>
      <c r="AL329" t="e">
        <f>AND('PROG FORMACIÓN TITULADA'!#REF!,"AAAAAHX3NyU=")</f>
        <v>#REF!</v>
      </c>
      <c r="AM329" t="e">
        <f>AND('PROG FORMACIÓN TITULADA'!#REF!,"AAAAAHX3NyY=")</f>
        <v>#REF!</v>
      </c>
      <c r="AN329" t="e">
        <f>AND('PROG FORMACIÓN TITULADA'!#REF!,"AAAAAHX3Nyc=")</f>
        <v>#REF!</v>
      </c>
      <c r="AO329" t="e">
        <f>AND('PROG FORMACIÓN TITULADA'!#REF!,"AAAAAHX3Nyg=")</f>
        <v>#REF!</v>
      </c>
      <c r="AP329" t="e">
        <f>AND('PROG FORMACIÓN TITULADA'!#REF!,"AAAAAHX3Nyk=")</f>
        <v>#REF!</v>
      </c>
      <c r="AQ329" t="e">
        <f>AND('PROG FORMACIÓN TITULADA'!#REF!,"AAAAAHX3Nyo=")</f>
        <v>#REF!</v>
      </c>
      <c r="AR329" t="e">
        <f>AND('PROG FORMACIÓN TITULADA'!#REF!,"AAAAAHX3Nys=")</f>
        <v>#REF!</v>
      </c>
      <c r="AS329" t="e">
        <f>AND('PROG FORMACIÓN TITULADA'!#REF!,"AAAAAHX3Nyw=")</f>
        <v>#REF!</v>
      </c>
      <c r="AT329" t="e">
        <f>AND('PROG FORMACIÓN TITULADA'!#REF!,"AAAAAHX3Ny0=")</f>
        <v>#REF!</v>
      </c>
      <c r="AU329" t="e">
        <f>AND('PROG FORMACIÓN TITULADA'!#REF!,"AAAAAHX3Ny4=")</f>
        <v>#REF!</v>
      </c>
      <c r="AV329" t="e">
        <f>AND('PROG FORMACIÓN TITULADA'!#REF!,"AAAAAHX3Ny8=")</f>
        <v>#REF!</v>
      </c>
      <c r="AW329" t="e">
        <f>AND('PROG FORMACIÓN TITULADA'!#REF!,"AAAAAHX3NzA=")</f>
        <v>#REF!</v>
      </c>
      <c r="AX329" t="e">
        <f>AND('PROG FORMACIÓN TITULADA'!#REF!,"AAAAAHX3NzE=")</f>
        <v>#REF!</v>
      </c>
      <c r="AY329" t="e">
        <f>AND('PROG FORMACIÓN TITULADA'!#REF!,"AAAAAHX3NzI=")</f>
        <v>#REF!</v>
      </c>
      <c r="AZ329" t="e">
        <f>AND('PROG FORMACIÓN TITULADA'!#REF!,"AAAAAHX3NzM=")</f>
        <v>#REF!</v>
      </c>
      <c r="BA329" t="e">
        <f>AND('PROG FORMACIÓN TITULADA'!#REF!,"AAAAAHX3NzQ=")</f>
        <v>#REF!</v>
      </c>
      <c r="BB329" t="e">
        <f>AND('PROG FORMACIÓN TITULADA'!#REF!,"AAAAAHX3NzU=")</f>
        <v>#REF!</v>
      </c>
      <c r="BC329" t="e">
        <f>AND('PROG FORMACIÓN TITULADA'!#REF!,"AAAAAHX3NzY=")</f>
        <v>#REF!</v>
      </c>
      <c r="BD329" t="e">
        <f>AND('PROG FORMACIÓN TITULADA'!#REF!,"AAAAAHX3Nzc=")</f>
        <v>#REF!</v>
      </c>
      <c r="BE329" t="e">
        <f>IF('PROG FORMACIÓN TITULADA'!#REF!,"AAAAAHX3Nzg=",0)</f>
        <v>#REF!</v>
      </c>
      <c r="BF329" t="e">
        <f>AND('PROG FORMACIÓN TITULADA'!#REF!,"AAAAAHX3Nzk=")</f>
        <v>#REF!</v>
      </c>
      <c r="BG329" t="e">
        <f>AND('PROG FORMACIÓN TITULADA'!#REF!,"AAAAAHX3Nzo=")</f>
        <v>#REF!</v>
      </c>
      <c r="BH329" t="e">
        <f>AND('PROG FORMACIÓN TITULADA'!#REF!,"AAAAAHX3Nzs=")</f>
        <v>#REF!</v>
      </c>
      <c r="BI329" t="e">
        <f>AND('PROG FORMACIÓN TITULADA'!#REF!,"AAAAAHX3Nzw=")</f>
        <v>#REF!</v>
      </c>
      <c r="BJ329" t="e">
        <f>AND('PROG FORMACIÓN TITULADA'!#REF!,"AAAAAHX3Nz0=")</f>
        <v>#REF!</v>
      </c>
      <c r="BK329" t="e">
        <f>AND('PROG FORMACIÓN TITULADA'!#REF!,"AAAAAHX3Nz4=")</f>
        <v>#REF!</v>
      </c>
      <c r="BL329" t="e">
        <f>AND('PROG FORMACIÓN TITULADA'!#REF!,"AAAAAHX3Nz8=")</f>
        <v>#REF!</v>
      </c>
      <c r="BM329" t="e">
        <f>AND('PROG FORMACIÓN TITULADA'!#REF!,"AAAAAHX3N0A=")</f>
        <v>#REF!</v>
      </c>
      <c r="BN329" t="e">
        <f>AND('PROG FORMACIÓN TITULADA'!#REF!,"AAAAAHX3N0E=")</f>
        <v>#REF!</v>
      </c>
      <c r="BO329" t="e">
        <f>AND('PROG FORMACIÓN TITULADA'!#REF!,"AAAAAHX3N0I=")</f>
        <v>#REF!</v>
      </c>
      <c r="BP329" t="e">
        <f>AND('PROG FORMACIÓN TITULADA'!#REF!,"AAAAAHX3N0M=")</f>
        <v>#REF!</v>
      </c>
      <c r="BQ329" t="e">
        <f>AND('PROG FORMACIÓN TITULADA'!#REF!,"AAAAAHX3N0Q=")</f>
        <v>#REF!</v>
      </c>
      <c r="BR329" t="e">
        <f>AND('PROG FORMACIÓN TITULADA'!#REF!,"AAAAAHX3N0U=")</f>
        <v>#REF!</v>
      </c>
      <c r="BS329" t="e">
        <f>AND('PROG FORMACIÓN TITULADA'!#REF!,"AAAAAHX3N0Y=")</f>
        <v>#REF!</v>
      </c>
      <c r="BT329" t="e">
        <f>AND('PROG FORMACIÓN TITULADA'!#REF!,"AAAAAHX3N0c=")</f>
        <v>#REF!</v>
      </c>
      <c r="BU329" t="e">
        <f>AND('PROG FORMACIÓN TITULADA'!#REF!,"AAAAAHX3N0g=")</f>
        <v>#REF!</v>
      </c>
      <c r="BV329" t="e">
        <f>AND('PROG FORMACIÓN TITULADA'!#REF!,"AAAAAHX3N0k=")</f>
        <v>#REF!</v>
      </c>
      <c r="BW329" t="e">
        <f>AND('PROG FORMACIÓN TITULADA'!#REF!,"AAAAAHX3N0o=")</f>
        <v>#REF!</v>
      </c>
      <c r="BX329" t="e">
        <f>AND('PROG FORMACIÓN TITULADA'!#REF!,"AAAAAHX3N0s=")</f>
        <v>#REF!</v>
      </c>
      <c r="BY329" t="e">
        <f>AND('PROG FORMACIÓN TITULADA'!#REF!,"AAAAAHX3N0w=")</f>
        <v>#REF!</v>
      </c>
      <c r="BZ329" t="e">
        <f>AND('PROG FORMACIÓN TITULADA'!#REF!,"AAAAAHX3N00=")</f>
        <v>#REF!</v>
      </c>
      <c r="CA329" t="e">
        <f>AND('PROG FORMACIÓN TITULADA'!#REF!,"AAAAAHX3N04=")</f>
        <v>#REF!</v>
      </c>
      <c r="CB329" t="e">
        <f>AND('PROG FORMACIÓN TITULADA'!#REF!,"AAAAAHX3N08=")</f>
        <v>#REF!</v>
      </c>
      <c r="CC329" t="e">
        <f>AND('PROG FORMACIÓN TITULADA'!#REF!,"AAAAAHX3N1A=")</f>
        <v>#REF!</v>
      </c>
      <c r="CD329" t="e">
        <f>AND('PROG FORMACIÓN TITULADA'!#REF!,"AAAAAHX3N1E=")</f>
        <v>#REF!</v>
      </c>
      <c r="CE329" t="e">
        <f>AND('PROG FORMACIÓN TITULADA'!#REF!,"AAAAAHX3N1I=")</f>
        <v>#REF!</v>
      </c>
      <c r="CF329" t="e">
        <f>IF('PROG FORMACIÓN TITULADA'!#REF!,"AAAAAHX3N1M=",0)</f>
        <v>#REF!</v>
      </c>
      <c r="CG329" t="e">
        <f>AND('PROG FORMACIÓN TITULADA'!#REF!,"AAAAAHX3N1Q=")</f>
        <v>#REF!</v>
      </c>
      <c r="CH329" t="e">
        <f>AND('PROG FORMACIÓN TITULADA'!#REF!,"AAAAAHX3N1U=")</f>
        <v>#REF!</v>
      </c>
      <c r="CI329" t="e">
        <f>AND('PROG FORMACIÓN TITULADA'!#REF!,"AAAAAHX3N1Y=")</f>
        <v>#REF!</v>
      </c>
      <c r="CJ329" t="e">
        <f>AND('PROG FORMACIÓN TITULADA'!#REF!,"AAAAAHX3N1c=")</f>
        <v>#REF!</v>
      </c>
      <c r="CK329" t="e">
        <f>AND('PROG FORMACIÓN TITULADA'!#REF!,"AAAAAHX3N1g=")</f>
        <v>#REF!</v>
      </c>
      <c r="CL329" t="e">
        <f>AND('PROG FORMACIÓN TITULADA'!#REF!,"AAAAAHX3N1k=")</f>
        <v>#REF!</v>
      </c>
      <c r="CM329" t="e">
        <f>AND('PROG FORMACIÓN TITULADA'!#REF!,"AAAAAHX3N1o=")</f>
        <v>#REF!</v>
      </c>
      <c r="CN329" t="e">
        <f>AND('PROG FORMACIÓN TITULADA'!#REF!,"AAAAAHX3N1s=")</f>
        <v>#REF!</v>
      </c>
      <c r="CO329" t="e">
        <f>AND('PROG FORMACIÓN TITULADA'!#REF!,"AAAAAHX3N1w=")</f>
        <v>#REF!</v>
      </c>
      <c r="CP329" t="e">
        <f>AND('PROG FORMACIÓN TITULADA'!#REF!,"AAAAAHX3N10=")</f>
        <v>#REF!</v>
      </c>
      <c r="CQ329" t="e">
        <f>AND('PROG FORMACIÓN TITULADA'!#REF!,"AAAAAHX3N14=")</f>
        <v>#REF!</v>
      </c>
      <c r="CR329" t="e">
        <f>AND('PROG FORMACIÓN TITULADA'!#REF!,"AAAAAHX3N18=")</f>
        <v>#REF!</v>
      </c>
      <c r="CS329" t="e">
        <f>AND('PROG FORMACIÓN TITULADA'!#REF!,"AAAAAHX3N2A=")</f>
        <v>#REF!</v>
      </c>
      <c r="CT329" t="e">
        <f>AND('PROG FORMACIÓN TITULADA'!#REF!,"AAAAAHX3N2E=")</f>
        <v>#REF!</v>
      </c>
      <c r="CU329" t="e">
        <f>AND('PROG FORMACIÓN TITULADA'!#REF!,"AAAAAHX3N2I=")</f>
        <v>#REF!</v>
      </c>
      <c r="CV329" t="e">
        <f>AND('PROG FORMACIÓN TITULADA'!#REF!,"AAAAAHX3N2M=")</f>
        <v>#REF!</v>
      </c>
      <c r="CW329" t="e">
        <f>AND('PROG FORMACIÓN TITULADA'!#REF!,"AAAAAHX3N2Q=")</f>
        <v>#REF!</v>
      </c>
      <c r="CX329" t="e">
        <f>AND('PROG FORMACIÓN TITULADA'!#REF!,"AAAAAHX3N2U=")</f>
        <v>#REF!</v>
      </c>
      <c r="CY329" t="e">
        <f>AND('PROG FORMACIÓN TITULADA'!#REF!,"AAAAAHX3N2Y=")</f>
        <v>#REF!</v>
      </c>
      <c r="CZ329" t="e">
        <f>AND('PROG FORMACIÓN TITULADA'!#REF!,"AAAAAHX3N2c=")</f>
        <v>#REF!</v>
      </c>
      <c r="DA329" t="e">
        <f>AND('PROG FORMACIÓN TITULADA'!#REF!,"AAAAAHX3N2g=")</f>
        <v>#REF!</v>
      </c>
      <c r="DB329" t="e">
        <f>AND('PROG FORMACIÓN TITULADA'!#REF!,"AAAAAHX3N2k=")</f>
        <v>#REF!</v>
      </c>
      <c r="DC329" t="e">
        <f>AND('PROG FORMACIÓN TITULADA'!#REF!,"AAAAAHX3N2o=")</f>
        <v>#REF!</v>
      </c>
      <c r="DD329" t="e">
        <f>AND('PROG FORMACIÓN TITULADA'!#REF!,"AAAAAHX3N2s=")</f>
        <v>#REF!</v>
      </c>
      <c r="DE329" t="e">
        <f>AND('PROG FORMACIÓN TITULADA'!#REF!,"AAAAAHX3N2w=")</f>
        <v>#REF!</v>
      </c>
      <c r="DF329" t="e">
        <f>AND('PROG FORMACIÓN TITULADA'!#REF!,"AAAAAHX3N20=")</f>
        <v>#REF!</v>
      </c>
      <c r="DG329" t="e">
        <f>IF('PROG FORMACIÓN TITULADA'!#REF!,"AAAAAHX3N24=",0)</f>
        <v>#REF!</v>
      </c>
      <c r="DH329" t="e">
        <f>AND('PROG FORMACIÓN TITULADA'!#REF!,"AAAAAHX3N28=")</f>
        <v>#REF!</v>
      </c>
      <c r="DI329" t="e">
        <f>AND('PROG FORMACIÓN TITULADA'!#REF!,"AAAAAHX3N3A=")</f>
        <v>#REF!</v>
      </c>
      <c r="DJ329" t="e">
        <f>AND('PROG FORMACIÓN TITULADA'!#REF!,"AAAAAHX3N3E=")</f>
        <v>#REF!</v>
      </c>
      <c r="DK329" t="e">
        <f>AND('PROG FORMACIÓN TITULADA'!#REF!,"AAAAAHX3N3I=")</f>
        <v>#REF!</v>
      </c>
      <c r="DL329" t="e">
        <f>AND('PROG FORMACIÓN TITULADA'!#REF!,"AAAAAHX3N3M=")</f>
        <v>#REF!</v>
      </c>
      <c r="DM329" t="e">
        <f>AND('PROG FORMACIÓN TITULADA'!#REF!,"AAAAAHX3N3Q=")</f>
        <v>#REF!</v>
      </c>
      <c r="DN329" t="e">
        <f>AND('PROG FORMACIÓN TITULADA'!#REF!,"AAAAAHX3N3U=")</f>
        <v>#REF!</v>
      </c>
      <c r="DO329" t="e">
        <f>AND('PROG FORMACIÓN TITULADA'!#REF!,"AAAAAHX3N3Y=")</f>
        <v>#REF!</v>
      </c>
      <c r="DP329" t="e">
        <f>AND('PROG FORMACIÓN TITULADA'!#REF!,"AAAAAHX3N3c=")</f>
        <v>#REF!</v>
      </c>
      <c r="DQ329" t="e">
        <f>AND('PROG FORMACIÓN TITULADA'!#REF!,"AAAAAHX3N3g=")</f>
        <v>#REF!</v>
      </c>
      <c r="DR329" t="e">
        <f>AND('PROG FORMACIÓN TITULADA'!#REF!,"AAAAAHX3N3k=")</f>
        <v>#REF!</v>
      </c>
      <c r="DS329" t="e">
        <f>AND('PROG FORMACIÓN TITULADA'!#REF!,"AAAAAHX3N3o=")</f>
        <v>#REF!</v>
      </c>
      <c r="DT329" t="e">
        <f>AND('PROG FORMACIÓN TITULADA'!#REF!,"AAAAAHX3N3s=")</f>
        <v>#REF!</v>
      </c>
      <c r="DU329" t="e">
        <f>AND('PROG FORMACIÓN TITULADA'!#REF!,"AAAAAHX3N3w=")</f>
        <v>#REF!</v>
      </c>
      <c r="DV329" t="e">
        <f>AND('PROG FORMACIÓN TITULADA'!#REF!,"AAAAAHX3N30=")</f>
        <v>#REF!</v>
      </c>
      <c r="DW329" t="e">
        <f>AND('PROG FORMACIÓN TITULADA'!#REF!,"AAAAAHX3N34=")</f>
        <v>#REF!</v>
      </c>
      <c r="DX329" t="e">
        <f>AND('PROG FORMACIÓN TITULADA'!#REF!,"AAAAAHX3N38=")</f>
        <v>#REF!</v>
      </c>
      <c r="DY329" t="e">
        <f>AND('PROG FORMACIÓN TITULADA'!#REF!,"AAAAAHX3N4A=")</f>
        <v>#REF!</v>
      </c>
      <c r="DZ329" t="e">
        <f>AND('PROG FORMACIÓN TITULADA'!#REF!,"AAAAAHX3N4E=")</f>
        <v>#REF!</v>
      </c>
      <c r="EA329" t="e">
        <f>AND('PROG FORMACIÓN TITULADA'!#REF!,"AAAAAHX3N4I=")</f>
        <v>#REF!</v>
      </c>
      <c r="EB329" t="e">
        <f>AND('PROG FORMACIÓN TITULADA'!#REF!,"AAAAAHX3N4M=")</f>
        <v>#REF!</v>
      </c>
      <c r="EC329" t="e">
        <f>AND('PROG FORMACIÓN TITULADA'!#REF!,"AAAAAHX3N4Q=")</f>
        <v>#REF!</v>
      </c>
      <c r="ED329" t="e">
        <f>AND('PROG FORMACIÓN TITULADA'!#REF!,"AAAAAHX3N4U=")</f>
        <v>#REF!</v>
      </c>
      <c r="EE329" t="e">
        <f>AND('PROG FORMACIÓN TITULADA'!#REF!,"AAAAAHX3N4Y=")</f>
        <v>#REF!</v>
      </c>
      <c r="EF329" t="e">
        <f>AND('PROG FORMACIÓN TITULADA'!#REF!,"AAAAAHX3N4c=")</f>
        <v>#REF!</v>
      </c>
      <c r="EG329" t="e">
        <f>AND('PROG FORMACIÓN TITULADA'!#REF!,"AAAAAHX3N4g=")</f>
        <v>#REF!</v>
      </c>
      <c r="EH329" t="e">
        <f>IF('PROG FORMACIÓN TITULADA'!#REF!,"AAAAAHX3N4k=",0)</f>
        <v>#REF!</v>
      </c>
      <c r="EI329" t="e">
        <f>AND('PROG FORMACIÓN TITULADA'!#REF!,"AAAAAHX3N4o=")</f>
        <v>#REF!</v>
      </c>
      <c r="EJ329" t="e">
        <f>AND('PROG FORMACIÓN TITULADA'!#REF!,"AAAAAHX3N4s=")</f>
        <v>#REF!</v>
      </c>
      <c r="EK329" t="e">
        <f>AND('PROG FORMACIÓN TITULADA'!#REF!,"AAAAAHX3N4w=")</f>
        <v>#REF!</v>
      </c>
      <c r="EL329" t="e">
        <f>AND('PROG FORMACIÓN TITULADA'!#REF!,"AAAAAHX3N40=")</f>
        <v>#REF!</v>
      </c>
      <c r="EM329" t="e">
        <f>AND('PROG FORMACIÓN TITULADA'!#REF!,"AAAAAHX3N44=")</f>
        <v>#REF!</v>
      </c>
      <c r="EN329" t="e">
        <f>AND('PROG FORMACIÓN TITULADA'!#REF!,"AAAAAHX3N48=")</f>
        <v>#REF!</v>
      </c>
      <c r="EO329" t="e">
        <f>AND('PROG FORMACIÓN TITULADA'!#REF!,"AAAAAHX3N5A=")</f>
        <v>#REF!</v>
      </c>
      <c r="EP329" t="e">
        <f>AND('PROG FORMACIÓN TITULADA'!#REF!,"AAAAAHX3N5E=")</f>
        <v>#REF!</v>
      </c>
      <c r="EQ329" t="e">
        <f>AND('PROG FORMACIÓN TITULADA'!#REF!,"AAAAAHX3N5I=")</f>
        <v>#REF!</v>
      </c>
      <c r="ER329" t="e">
        <f>AND('PROG FORMACIÓN TITULADA'!#REF!,"AAAAAHX3N5M=")</f>
        <v>#REF!</v>
      </c>
      <c r="ES329" t="e">
        <f>AND('PROG FORMACIÓN TITULADA'!#REF!,"AAAAAHX3N5Q=")</f>
        <v>#REF!</v>
      </c>
      <c r="ET329" t="e">
        <f>AND('PROG FORMACIÓN TITULADA'!#REF!,"AAAAAHX3N5U=")</f>
        <v>#REF!</v>
      </c>
      <c r="EU329" t="e">
        <f>AND('PROG FORMACIÓN TITULADA'!#REF!,"AAAAAHX3N5Y=")</f>
        <v>#REF!</v>
      </c>
      <c r="EV329" t="e">
        <f>AND('PROG FORMACIÓN TITULADA'!#REF!,"AAAAAHX3N5c=")</f>
        <v>#REF!</v>
      </c>
      <c r="EW329" t="e">
        <f>AND('PROG FORMACIÓN TITULADA'!#REF!,"AAAAAHX3N5g=")</f>
        <v>#REF!</v>
      </c>
      <c r="EX329" t="e">
        <f>AND('PROG FORMACIÓN TITULADA'!#REF!,"AAAAAHX3N5k=")</f>
        <v>#REF!</v>
      </c>
      <c r="EY329" t="e">
        <f>AND('PROG FORMACIÓN TITULADA'!#REF!,"AAAAAHX3N5o=")</f>
        <v>#REF!</v>
      </c>
      <c r="EZ329" t="e">
        <f>AND('PROG FORMACIÓN TITULADA'!#REF!,"AAAAAHX3N5s=")</f>
        <v>#REF!</v>
      </c>
      <c r="FA329" t="e">
        <f>AND('PROG FORMACIÓN TITULADA'!#REF!,"AAAAAHX3N5w=")</f>
        <v>#REF!</v>
      </c>
      <c r="FB329" t="e">
        <f>AND('PROG FORMACIÓN TITULADA'!#REF!,"AAAAAHX3N50=")</f>
        <v>#REF!</v>
      </c>
      <c r="FC329" t="e">
        <f>AND('PROG FORMACIÓN TITULADA'!#REF!,"AAAAAHX3N54=")</f>
        <v>#REF!</v>
      </c>
      <c r="FD329" t="e">
        <f>AND('PROG FORMACIÓN TITULADA'!#REF!,"AAAAAHX3N58=")</f>
        <v>#REF!</v>
      </c>
      <c r="FE329" t="e">
        <f>AND('PROG FORMACIÓN TITULADA'!#REF!,"AAAAAHX3N6A=")</f>
        <v>#REF!</v>
      </c>
      <c r="FF329" t="e">
        <f>AND('PROG FORMACIÓN TITULADA'!#REF!,"AAAAAHX3N6E=")</f>
        <v>#REF!</v>
      </c>
      <c r="FG329" t="e">
        <f>AND('PROG FORMACIÓN TITULADA'!#REF!,"AAAAAHX3N6I=")</f>
        <v>#REF!</v>
      </c>
      <c r="FH329" t="e">
        <f>AND('PROG FORMACIÓN TITULADA'!#REF!,"AAAAAHX3N6M=")</f>
        <v>#REF!</v>
      </c>
      <c r="FI329" t="e">
        <f>IF('PROG FORMACIÓN TITULADA'!#REF!,"AAAAAHX3N6Q=",0)</f>
        <v>#REF!</v>
      </c>
      <c r="FJ329" t="e">
        <f>AND('PROG FORMACIÓN TITULADA'!#REF!,"AAAAAHX3N6U=")</f>
        <v>#REF!</v>
      </c>
      <c r="FK329" t="e">
        <f>AND('PROG FORMACIÓN TITULADA'!#REF!,"AAAAAHX3N6Y=")</f>
        <v>#REF!</v>
      </c>
      <c r="FL329" t="e">
        <f>AND('PROG FORMACIÓN TITULADA'!#REF!,"AAAAAHX3N6c=")</f>
        <v>#REF!</v>
      </c>
      <c r="FM329" t="e">
        <f>AND('PROG FORMACIÓN TITULADA'!#REF!,"AAAAAHX3N6g=")</f>
        <v>#REF!</v>
      </c>
      <c r="FN329" t="e">
        <f>AND('PROG FORMACIÓN TITULADA'!#REF!,"AAAAAHX3N6k=")</f>
        <v>#REF!</v>
      </c>
      <c r="FO329" t="e">
        <f>AND('PROG FORMACIÓN TITULADA'!#REF!,"AAAAAHX3N6o=")</f>
        <v>#REF!</v>
      </c>
      <c r="FP329" t="e">
        <f>AND('PROG FORMACIÓN TITULADA'!#REF!,"AAAAAHX3N6s=")</f>
        <v>#REF!</v>
      </c>
      <c r="FQ329" t="e">
        <f>AND('PROG FORMACIÓN TITULADA'!#REF!,"AAAAAHX3N6w=")</f>
        <v>#REF!</v>
      </c>
      <c r="FR329" t="e">
        <f>AND('PROG FORMACIÓN TITULADA'!#REF!,"AAAAAHX3N60=")</f>
        <v>#REF!</v>
      </c>
      <c r="FS329" t="e">
        <f>AND('PROG FORMACIÓN TITULADA'!#REF!,"AAAAAHX3N64=")</f>
        <v>#REF!</v>
      </c>
      <c r="FT329" t="e">
        <f>AND('PROG FORMACIÓN TITULADA'!#REF!,"AAAAAHX3N68=")</f>
        <v>#REF!</v>
      </c>
      <c r="FU329" t="e">
        <f>AND('PROG FORMACIÓN TITULADA'!#REF!,"AAAAAHX3N7A=")</f>
        <v>#REF!</v>
      </c>
      <c r="FV329" t="e">
        <f>AND('PROG FORMACIÓN TITULADA'!#REF!,"AAAAAHX3N7E=")</f>
        <v>#REF!</v>
      </c>
      <c r="FW329" t="e">
        <f>AND('PROG FORMACIÓN TITULADA'!#REF!,"AAAAAHX3N7I=")</f>
        <v>#REF!</v>
      </c>
      <c r="FX329" t="e">
        <f>AND('PROG FORMACIÓN TITULADA'!#REF!,"AAAAAHX3N7M=")</f>
        <v>#REF!</v>
      </c>
      <c r="FY329" t="e">
        <f>AND('PROG FORMACIÓN TITULADA'!#REF!,"AAAAAHX3N7Q=")</f>
        <v>#REF!</v>
      </c>
      <c r="FZ329" t="e">
        <f>AND('PROG FORMACIÓN TITULADA'!#REF!,"AAAAAHX3N7U=")</f>
        <v>#REF!</v>
      </c>
      <c r="GA329" t="e">
        <f>AND('PROG FORMACIÓN TITULADA'!#REF!,"AAAAAHX3N7Y=")</f>
        <v>#REF!</v>
      </c>
      <c r="GB329" t="e">
        <f>AND('PROG FORMACIÓN TITULADA'!#REF!,"AAAAAHX3N7c=")</f>
        <v>#REF!</v>
      </c>
      <c r="GC329" t="e">
        <f>AND('PROG FORMACIÓN TITULADA'!#REF!,"AAAAAHX3N7g=")</f>
        <v>#REF!</v>
      </c>
      <c r="GD329" t="e">
        <f>AND('PROG FORMACIÓN TITULADA'!#REF!,"AAAAAHX3N7k=")</f>
        <v>#REF!</v>
      </c>
      <c r="GE329" t="e">
        <f>AND('PROG FORMACIÓN TITULADA'!#REF!,"AAAAAHX3N7o=")</f>
        <v>#REF!</v>
      </c>
      <c r="GF329" t="e">
        <f>AND('PROG FORMACIÓN TITULADA'!#REF!,"AAAAAHX3N7s=")</f>
        <v>#REF!</v>
      </c>
      <c r="GG329" t="e">
        <f>AND('PROG FORMACIÓN TITULADA'!#REF!,"AAAAAHX3N7w=")</f>
        <v>#REF!</v>
      </c>
      <c r="GH329" t="e">
        <f>AND('PROG FORMACIÓN TITULADA'!#REF!,"AAAAAHX3N70=")</f>
        <v>#REF!</v>
      </c>
      <c r="GI329" t="e">
        <f>AND('PROG FORMACIÓN TITULADA'!#REF!,"AAAAAHX3N74=")</f>
        <v>#REF!</v>
      </c>
      <c r="GJ329" t="e">
        <f>IF('PROG FORMACIÓN TITULADA'!#REF!,"AAAAAHX3N78=",0)</f>
        <v>#REF!</v>
      </c>
      <c r="GK329" t="e">
        <f>AND('PROG FORMACIÓN TITULADA'!#REF!,"AAAAAHX3N8A=")</f>
        <v>#REF!</v>
      </c>
      <c r="GL329" t="e">
        <f>AND('PROG FORMACIÓN TITULADA'!#REF!,"AAAAAHX3N8E=")</f>
        <v>#REF!</v>
      </c>
      <c r="GM329" t="e">
        <f>AND('PROG FORMACIÓN TITULADA'!#REF!,"AAAAAHX3N8I=")</f>
        <v>#REF!</v>
      </c>
      <c r="GN329" t="e">
        <f>AND('PROG FORMACIÓN TITULADA'!#REF!,"AAAAAHX3N8M=")</f>
        <v>#REF!</v>
      </c>
      <c r="GO329" t="e">
        <f>AND('PROG FORMACIÓN TITULADA'!#REF!,"AAAAAHX3N8Q=")</f>
        <v>#REF!</v>
      </c>
      <c r="GP329" t="e">
        <f>AND('PROG FORMACIÓN TITULADA'!#REF!,"AAAAAHX3N8U=")</f>
        <v>#REF!</v>
      </c>
      <c r="GQ329" t="e">
        <f>AND('PROG FORMACIÓN TITULADA'!#REF!,"AAAAAHX3N8Y=")</f>
        <v>#REF!</v>
      </c>
      <c r="GR329" t="e">
        <f>AND('PROG FORMACIÓN TITULADA'!#REF!,"AAAAAHX3N8c=")</f>
        <v>#REF!</v>
      </c>
      <c r="GS329" t="e">
        <f>AND('PROG FORMACIÓN TITULADA'!#REF!,"AAAAAHX3N8g=")</f>
        <v>#REF!</v>
      </c>
      <c r="GT329" t="e">
        <f>AND('PROG FORMACIÓN TITULADA'!#REF!,"AAAAAHX3N8k=")</f>
        <v>#REF!</v>
      </c>
      <c r="GU329" t="e">
        <f>AND('PROG FORMACIÓN TITULADA'!#REF!,"AAAAAHX3N8o=")</f>
        <v>#REF!</v>
      </c>
      <c r="GV329" t="e">
        <f>AND('PROG FORMACIÓN TITULADA'!#REF!,"AAAAAHX3N8s=")</f>
        <v>#REF!</v>
      </c>
      <c r="GW329" t="e">
        <f>AND('PROG FORMACIÓN TITULADA'!#REF!,"AAAAAHX3N8w=")</f>
        <v>#REF!</v>
      </c>
      <c r="GX329" t="e">
        <f>AND('PROG FORMACIÓN TITULADA'!#REF!,"AAAAAHX3N80=")</f>
        <v>#REF!</v>
      </c>
      <c r="GY329" t="e">
        <f>AND('PROG FORMACIÓN TITULADA'!#REF!,"AAAAAHX3N84=")</f>
        <v>#REF!</v>
      </c>
      <c r="GZ329" t="e">
        <f>AND('PROG FORMACIÓN TITULADA'!#REF!,"AAAAAHX3N88=")</f>
        <v>#REF!</v>
      </c>
      <c r="HA329" t="e">
        <f>AND('PROG FORMACIÓN TITULADA'!#REF!,"AAAAAHX3N9A=")</f>
        <v>#REF!</v>
      </c>
      <c r="HB329" t="e">
        <f>AND('PROG FORMACIÓN TITULADA'!#REF!,"AAAAAHX3N9E=")</f>
        <v>#REF!</v>
      </c>
      <c r="HC329" t="e">
        <f>AND('PROG FORMACIÓN TITULADA'!#REF!,"AAAAAHX3N9I=")</f>
        <v>#REF!</v>
      </c>
      <c r="HD329" t="e">
        <f>AND('PROG FORMACIÓN TITULADA'!#REF!,"AAAAAHX3N9M=")</f>
        <v>#REF!</v>
      </c>
      <c r="HE329" t="e">
        <f>AND('PROG FORMACIÓN TITULADA'!#REF!,"AAAAAHX3N9Q=")</f>
        <v>#REF!</v>
      </c>
      <c r="HF329" t="e">
        <f>AND('PROG FORMACIÓN TITULADA'!#REF!,"AAAAAHX3N9U=")</f>
        <v>#REF!</v>
      </c>
      <c r="HG329" t="e">
        <f>AND('PROG FORMACIÓN TITULADA'!#REF!,"AAAAAHX3N9Y=")</f>
        <v>#REF!</v>
      </c>
      <c r="HH329" t="e">
        <f>AND('PROG FORMACIÓN TITULADA'!#REF!,"AAAAAHX3N9c=")</f>
        <v>#REF!</v>
      </c>
      <c r="HI329" t="e">
        <f>AND('PROG FORMACIÓN TITULADA'!#REF!,"AAAAAHX3N9g=")</f>
        <v>#REF!</v>
      </c>
      <c r="HJ329" t="e">
        <f>AND('PROG FORMACIÓN TITULADA'!#REF!,"AAAAAHX3N9k=")</f>
        <v>#REF!</v>
      </c>
      <c r="HK329" t="e">
        <f>IF('PROG FORMACIÓN TITULADA'!#REF!,"AAAAAHX3N9o=",0)</f>
        <v>#REF!</v>
      </c>
      <c r="HL329" t="e">
        <f>AND('PROG FORMACIÓN TITULADA'!#REF!,"AAAAAHX3N9s=")</f>
        <v>#REF!</v>
      </c>
      <c r="HM329" t="e">
        <f>AND('PROG FORMACIÓN TITULADA'!#REF!,"AAAAAHX3N9w=")</f>
        <v>#REF!</v>
      </c>
      <c r="HN329" t="e">
        <f>AND('PROG FORMACIÓN TITULADA'!#REF!,"AAAAAHX3N90=")</f>
        <v>#REF!</v>
      </c>
      <c r="HO329" t="e">
        <f>AND('PROG FORMACIÓN TITULADA'!#REF!,"AAAAAHX3N94=")</f>
        <v>#REF!</v>
      </c>
      <c r="HP329" t="e">
        <f>AND('PROG FORMACIÓN TITULADA'!#REF!,"AAAAAHX3N98=")</f>
        <v>#REF!</v>
      </c>
      <c r="HQ329" t="e">
        <f>AND('PROG FORMACIÓN TITULADA'!#REF!,"AAAAAHX3N+A=")</f>
        <v>#REF!</v>
      </c>
      <c r="HR329" t="e">
        <f>AND('PROG FORMACIÓN TITULADA'!#REF!,"AAAAAHX3N+E=")</f>
        <v>#REF!</v>
      </c>
      <c r="HS329" t="e">
        <f>AND('PROG FORMACIÓN TITULADA'!#REF!,"AAAAAHX3N+I=")</f>
        <v>#REF!</v>
      </c>
      <c r="HT329" t="e">
        <f>AND('PROG FORMACIÓN TITULADA'!#REF!,"AAAAAHX3N+M=")</f>
        <v>#REF!</v>
      </c>
      <c r="HU329" t="e">
        <f>AND('PROG FORMACIÓN TITULADA'!#REF!,"AAAAAHX3N+Q=")</f>
        <v>#REF!</v>
      </c>
      <c r="HV329" t="e">
        <f>AND('PROG FORMACIÓN TITULADA'!#REF!,"AAAAAHX3N+U=")</f>
        <v>#REF!</v>
      </c>
      <c r="HW329" t="e">
        <f>AND('PROG FORMACIÓN TITULADA'!#REF!,"AAAAAHX3N+Y=")</f>
        <v>#REF!</v>
      </c>
      <c r="HX329" t="e">
        <f>AND('PROG FORMACIÓN TITULADA'!#REF!,"AAAAAHX3N+c=")</f>
        <v>#REF!</v>
      </c>
      <c r="HY329" t="e">
        <f>AND('PROG FORMACIÓN TITULADA'!#REF!,"AAAAAHX3N+g=")</f>
        <v>#REF!</v>
      </c>
      <c r="HZ329" t="e">
        <f>AND('PROG FORMACIÓN TITULADA'!#REF!,"AAAAAHX3N+k=")</f>
        <v>#REF!</v>
      </c>
      <c r="IA329" t="e">
        <f>AND('PROG FORMACIÓN TITULADA'!#REF!,"AAAAAHX3N+o=")</f>
        <v>#REF!</v>
      </c>
      <c r="IB329" t="e">
        <f>AND('PROG FORMACIÓN TITULADA'!#REF!,"AAAAAHX3N+s=")</f>
        <v>#REF!</v>
      </c>
      <c r="IC329" t="e">
        <f>AND('PROG FORMACIÓN TITULADA'!#REF!,"AAAAAHX3N+w=")</f>
        <v>#REF!</v>
      </c>
      <c r="ID329" t="e">
        <f>AND('PROG FORMACIÓN TITULADA'!#REF!,"AAAAAHX3N+0=")</f>
        <v>#REF!</v>
      </c>
      <c r="IE329" t="e">
        <f>AND('PROG FORMACIÓN TITULADA'!#REF!,"AAAAAHX3N+4=")</f>
        <v>#REF!</v>
      </c>
      <c r="IF329" t="e">
        <f>AND('PROG FORMACIÓN TITULADA'!#REF!,"AAAAAHX3N+8=")</f>
        <v>#REF!</v>
      </c>
      <c r="IG329" t="e">
        <f>AND('PROG FORMACIÓN TITULADA'!#REF!,"AAAAAHX3N/A=")</f>
        <v>#REF!</v>
      </c>
      <c r="IH329" t="e">
        <f>AND('PROG FORMACIÓN TITULADA'!#REF!,"AAAAAHX3N/E=")</f>
        <v>#REF!</v>
      </c>
      <c r="II329" t="e">
        <f>AND('PROG FORMACIÓN TITULADA'!#REF!,"AAAAAHX3N/I=")</f>
        <v>#REF!</v>
      </c>
      <c r="IJ329" t="e">
        <f>AND('PROG FORMACIÓN TITULADA'!#REF!,"AAAAAHX3N/M=")</f>
        <v>#REF!</v>
      </c>
      <c r="IK329" t="e">
        <f>AND('PROG FORMACIÓN TITULADA'!#REF!,"AAAAAHX3N/Q=")</f>
        <v>#REF!</v>
      </c>
      <c r="IL329" t="e">
        <f>IF('PROG FORMACIÓN TITULADA'!#REF!,"AAAAAHX3N/U=",0)</f>
        <v>#REF!</v>
      </c>
      <c r="IM329" t="e">
        <f>AND('PROG FORMACIÓN TITULADA'!#REF!,"AAAAAHX3N/Y=")</f>
        <v>#REF!</v>
      </c>
      <c r="IN329" t="e">
        <f>AND('PROG FORMACIÓN TITULADA'!#REF!,"AAAAAHX3N/c=")</f>
        <v>#REF!</v>
      </c>
      <c r="IO329" t="e">
        <f>AND('PROG FORMACIÓN TITULADA'!#REF!,"AAAAAHX3N/g=")</f>
        <v>#REF!</v>
      </c>
      <c r="IP329" t="e">
        <f>AND('PROG FORMACIÓN TITULADA'!#REF!,"AAAAAHX3N/k=")</f>
        <v>#REF!</v>
      </c>
      <c r="IQ329" t="e">
        <f>AND('PROG FORMACIÓN TITULADA'!#REF!,"AAAAAHX3N/o=")</f>
        <v>#REF!</v>
      </c>
      <c r="IR329" t="e">
        <f>AND('PROG FORMACIÓN TITULADA'!#REF!,"AAAAAHX3N/s=")</f>
        <v>#REF!</v>
      </c>
      <c r="IS329" t="e">
        <f>AND('PROG FORMACIÓN TITULADA'!#REF!,"AAAAAHX3N/w=")</f>
        <v>#REF!</v>
      </c>
      <c r="IT329" t="e">
        <f>AND('PROG FORMACIÓN TITULADA'!#REF!,"AAAAAHX3N/0=")</f>
        <v>#REF!</v>
      </c>
      <c r="IU329" t="e">
        <f>AND('PROG FORMACIÓN TITULADA'!#REF!,"AAAAAHX3N/4=")</f>
        <v>#REF!</v>
      </c>
      <c r="IV329" t="e">
        <f>AND('PROG FORMACIÓN TITULADA'!#REF!,"AAAAAHX3N/8=")</f>
        <v>#REF!</v>
      </c>
    </row>
    <row r="330" spans="1:256" x14ac:dyDescent="0.2">
      <c r="A330" t="e">
        <f>AND('PROG FORMACIÓN TITULADA'!#REF!,"AAAAAFpvugA=")</f>
        <v>#REF!</v>
      </c>
      <c r="B330" t="e">
        <f>AND('PROG FORMACIÓN TITULADA'!#REF!,"AAAAAFpvugE=")</f>
        <v>#REF!</v>
      </c>
      <c r="C330" t="e">
        <f>AND('PROG FORMACIÓN TITULADA'!#REF!,"AAAAAFpvugI=")</f>
        <v>#REF!</v>
      </c>
      <c r="D330" t="e">
        <f>AND('PROG FORMACIÓN TITULADA'!#REF!,"AAAAAFpvugM=")</f>
        <v>#REF!</v>
      </c>
      <c r="E330" t="e">
        <f>AND('PROG FORMACIÓN TITULADA'!#REF!,"AAAAAFpvugQ=")</f>
        <v>#REF!</v>
      </c>
      <c r="F330" t="e">
        <f>AND('PROG FORMACIÓN TITULADA'!#REF!,"AAAAAFpvugU=")</f>
        <v>#REF!</v>
      </c>
      <c r="G330" t="e">
        <f>AND('PROG FORMACIÓN TITULADA'!#REF!,"AAAAAFpvugY=")</f>
        <v>#REF!</v>
      </c>
      <c r="H330" t="e">
        <f>AND('PROG FORMACIÓN TITULADA'!#REF!,"AAAAAFpvugc=")</f>
        <v>#REF!</v>
      </c>
      <c r="I330" t="e">
        <f>AND('PROG FORMACIÓN TITULADA'!#REF!,"AAAAAFpvugg=")</f>
        <v>#REF!</v>
      </c>
      <c r="J330" t="e">
        <f>AND('PROG FORMACIÓN TITULADA'!#REF!,"AAAAAFpvugk=")</f>
        <v>#REF!</v>
      </c>
      <c r="K330" t="e">
        <f>AND('PROG FORMACIÓN TITULADA'!#REF!,"AAAAAFpvugo=")</f>
        <v>#REF!</v>
      </c>
      <c r="L330" t="e">
        <f>AND('PROG FORMACIÓN TITULADA'!#REF!,"AAAAAFpvugs=")</f>
        <v>#REF!</v>
      </c>
      <c r="M330" t="e">
        <f>AND('PROG FORMACIÓN TITULADA'!#REF!,"AAAAAFpvugw=")</f>
        <v>#REF!</v>
      </c>
      <c r="N330" t="e">
        <f>AND('PROG FORMACIÓN TITULADA'!#REF!,"AAAAAFpvug0=")</f>
        <v>#REF!</v>
      </c>
      <c r="O330" t="e">
        <f>AND('PROG FORMACIÓN TITULADA'!#REF!,"AAAAAFpvug4=")</f>
        <v>#REF!</v>
      </c>
      <c r="P330" t="e">
        <f>AND('PROG FORMACIÓN TITULADA'!#REF!,"AAAAAFpvug8=")</f>
        <v>#REF!</v>
      </c>
      <c r="Q330" t="e">
        <f>IF('PROG FORMACIÓN TITULADA'!#REF!,"AAAAAFpvuhA=",0)</f>
        <v>#REF!</v>
      </c>
      <c r="R330" t="e">
        <f>AND('PROG FORMACIÓN TITULADA'!#REF!,"AAAAAFpvuhE=")</f>
        <v>#REF!</v>
      </c>
      <c r="S330" t="e">
        <f>AND('PROG FORMACIÓN TITULADA'!#REF!,"AAAAAFpvuhI=")</f>
        <v>#REF!</v>
      </c>
      <c r="T330" t="e">
        <f>AND('PROG FORMACIÓN TITULADA'!#REF!,"AAAAAFpvuhM=")</f>
        <v>#REF!</v>
      </c>
      <c r="U330" t="e">
        <f>AND('PROG FORMACIÓN TITULADA'!#REF!,"AAAAAFpvuhQ=")</f>
        <v>#REF!</v>
      </c>
      <c r="V330" t="e">
        <f>AND('PROG FORMACIÓN TITULADA'!#REF!,"AAAAAFpvuhU=")</f>
        <v>#REF!</v>
      </c>
      <c r="W330" t="e">
        <f>AND('PROG FORMACIÓN TITULADA'!#REF!,"AAAAAFpvuhY=")</f>
        <v>#REF!</v>
      </c>
      <c r="X330" t="e">
        <f>AND('PROG FORMACIÓN TITULADA'!#REF!,"AAAAAFpvuhc=")</f>
        <v>#REF!</v>
      </c>
      <c r="Y330" t="e">
        <f>AND('PROG FORMACIÓN TITULADA'!#REF!,"AAAAAFpvuhg=")</f>
        <v>#REF!</v>
      </c>
      <c r="Z330" t="e">
        <f>AND('PROG FORMACIÓN TITULADA'!#REF!,"AAAAAFpvuhk=")</f>
        <v>#REF!</v>
      </c>
      <c r="AA330" t="e">
        <f>AND('PROG FORMACIÓN TITULADA'!#REF!,"AAAAAFpvuho=")</f>
        <v>#REF!</v>
      </c>
      <c r="AB330" t="e">
        <f>AND('PROG FORMACIÓN TITULADA'!#REF!,"AAAAAFpvuhs=")</f>
        <v>#REF!</v>
      </c>
      <c r="AC330" t="e">
        <f>AND('PROG FORMACIÓN TITULADA'!#REF!,"AAAAAFpvuhw=")</f>
        <v>#REF!</v>
      </c>
      <c r="AD330" t="e">
        <f>AND('PROG FORMACIÓN TITULADA'!#REF!,"AAAAAFpvuh0=")</f>
        <v>#REF!</v>
      </c>
      <c r="AE330" t="e">
        <f>AND('PROG FORMACIÓN TITULADA'!#REF!,"AAAAAFpvuh4=")</f>
        <v>#REF!</v>
      </c>
      <c r="AF330" t="e">
        <f>AND('PROG FORMACIÓN TITULADA'!#REF!,"AAAAAFpvuh8=")</f>
        <v>#REF!</v>
      </c>
      <c r="AG330" t="e">
        <f>AND('PROG FORMACIÓN TITULADA'!#REF!,"AAAAAFpvuiA=")</f>
        <v>#REF!</v>
      </c>
      <c r="AH330" t="e">
        <f>AND('PROG FORMACIÓN TITULADA'!#REF!,"AAAAAFpvuiE=")</f>
        <v>#REF!</v>
      </c>
      <c r="AI330" t="e">
        <f>AND('PROG FORMACIÓN TITULADA'!#REF!,"AAAAAFpvuiI=")</f>
        <v>#REF!</v>
      </c>
      <c r="AJ330" t="e">
        <f>AND('PROG FORMACIÓN TITULADA'!#REF!,"AAAAAFpvuiM=")</f>
        <v>#REF!</v>
      </c>
      <c r="AK330" t="e">
        <f>AND('PROG FORMACIÓN TITULADA'!#REF!,"AAAAAFpvuiQ=")</f>
        <v>#REF!</v>
      </c>
      <c r="AL330" t="e">
        <f>AND('PROG FORMACIÓN TITULADA'!#REF!,"AAAAAFpvuiU=")</f>
        <v>#REF!</v>
      </c>
      <c r="AM330" t="e">
        <f>AND('PROG FORMACIÓN TITULADA'!#REF!,"AAAAAFpvuiY=")</f>
        <v>#REF!</v>
      </c>
      <c r="AN330" t="e">
        <f>AND('PROG FORMACIÓN TITULADA'!#REF!,"AAAAAFpvuic=")</f>
        <v>#REF!</v>
      </c>
      <c r="AO330" t="e">
        <f>AND('PROG FORMACIÓN TITULADA'!#REF!,"AAAAAFpvuig=")</f>
        <v>#REF!</v>
      </c>
      <c r="AP330" t="e">
        <f>AND('PROG FORMACIÓN TITULADA'!#REF!,"AAAAAFpvuik=")</f>
        <v>#REF!</v>
      </c>
      <c r="AQ330" t="e">
        <f>AND('PROG FORMACIÓN TITULADA'!#REF!,"AAAAAFpvuio=")</f>
        <v>#REF!</v>
      </c>
      <c r="AR330" t="e">
        <f>IF('PROG FORMACIÓN TITULADA'!#REF!,"AAAAAFpvuis=",0)</f>
        <v>#REF!</v>
      </c>
      <c r="AS330" t="e">
        <f>AND('PROG FORMACIÓN TITULADA'!#REF!,"AAAAAFpvuiw=")</f>
        <v>#REF!</v>
      </c>
      <c r="AT330" t="e">
        <f>AND('PROG FORMACIÓN TITULADA'!#REF!,"AAAAAFpvui0=")</f>
        <v>#REF!</v>
      </c>
      <c r="AU330" t="e">
        <f>AND('PROG FORMACIÓN TITULADA'!#REF!,"AAAAAFpvui4=")</f>
        <v>#REF!</v>
      </c>
      <c r="AV330" t="e">
        <f>AND('PROG FORMACIÓN TITULADA'!#REF!,"AAAAAFpvui8=")</f>
        <v>#REF!</v>
      </c>
      <c r="AW330" t="e">
        <f>AND('PROG FORMACIÓN TITULADA'!#REF!,"AAAAAFpvujA=")</f>
        <v>#REF!</v>
      </c>
      <c r="AX330" t="e">
        <f>AND('PROG FORMACIÓN TITULADA'!#REF!,"AAAAAFpvujE=")</f>
        <v>#REF!</v>
      </c>
      <c r="AY330" t="e">
        <f>AND('PROG FORMACIÓN TITULADA'!#REF!,"AAAAAFpvujI=")</f>
        <v>#REF!</v>
      </c>
      <c r="AZ330" t="e">
        <f>AND('PROG FORMACIÓN TITULADA'!#REF!,"AAAAAFpvujM=")</f>
        <v>#REF!</v>
      </c>
      <c r="BA330" t="e">
        <f>AND('PROG FORMACIÓN TITULADA'!#REF!,"AAAAAFpvujQ=")</f>
        <v>#REF!</v>
      </c>
      <c r="BB330" t="e">
        <f>AND('PROG FORMACIÓN TITULADA'!#REF!,"AAAAAFpvujU=")</f>
        <v>#REF!</v>
      </c>
      <c r="BC330" t="e">
        <f>AND('PROG FORMACIÓN TITULADA'!#REF!,"AAAAAFpvujY=")</f>
        <v>#REF!</v>
      </c>
      <c r="BD330" t="e">
        <f>AND('PROG FORMACIÓN TITULADA'!#REF!,"AAAAAFpvujc=")</f>
        <v>#REF!</v>
      </c>
      <c r="BE330" t="e">
        <f>AND('PROG FORMACIÓN TITULADA'!#REF!,"AAAAAFpvujg=")</f>
        <v>#REF!</v>
      </c>
      <c r="BF330" t="e">
        <f>AND('PROG FORMACIÓN TITULADA'!#REF!,"AAAAAFpvujk=")</f>
        <v>#REF!</v>
      </c>
      <c r="BG330" t="e">
        <f>AND('PROG FORMACIÓN TITULADA'!#REF!,"AAAAAFpvujo=")</f>
        <v>#REF!</v>
      </c>
      <c r="BH330" t="e">
        <f>AND('PROG FORMACIÓN TITULADA'!#REF!,"AAAAAFpvujs=")</f>
        <v>#REF!</v>
      </c>
      <c r="BI330" t="e">
        <f>AND('PROG FORMACIÓN TITULADA'!#REF!,"AAAAAFpvujw=")</f>
        <v>#REF!</v>
      </c>
      <c r="BJ330" t="e">
        <f>AND('PROG FORMACIÓN TITULADA'!#REF!,"AAAAAFpvuj0=")</f>
        <v>#REF!</v>
      </c>
      <c r="BK330" t="e">
        <f>AND('PROG FORMACIÓN TITULADA'!#REF!,"AAAAAFpvuj4=")</f>
        <v>#REF!</v>
      </c>
      <c r="BL330" t="e">
        <f>AND('PROG FORMACIÓN TITULADA'!#REF!,"AAAAAFpvuj8=")</f>
        <v>#REF!</v>
      </c>
      <c r="BM330" t="e">
        <f>AND('PROG FORMACIÓN TITULADA'!#REF!,"AAAAAFpvukA=")</f>
        <v>#REF!</v>
      </c>
      <c r="BN330" t="e">
        <f>AND('PROG FORMACIÓN TITULADA'!#REF!,"AAAAAFpvukE=")</f>
        <v>#REF!</v>
      </c>
      <c r="BO330" t="e">
        <f>AND('PROG FORMACIÓN TITULADA'!#REF!,"AAAAAFpvukI=")</f>
        <v>#REF!</v>
      </c>
      <c r="BP330" t="e">
        <f>AND('PROG FORMACIÓN TITULADA'!#REF!,"AAAAAFpvukM=")</f>
        <v>#REF!</v>
      </c>
      <c r="BQ330" t="e">
        <f>AND('PROG FORMACIÓN TITULADA'!#REF!,"AAAAAFpvukQ=")</f>
        <v>#REF!</v>
      </c>
      <c r="BR330" t="e">
        <f>AND('PROG FORMACIÓN TITULADA'!#REF!,"AAAAAFpvukU=")</f>
        <v>#REF!</v>
      </c>
      <c r="BS330" t="e">
        <f>IF('PROG FORMACIÓN TITULADA'!#REF!,"AAAAAFpvukY=",0)</f>
        <v>#REF!</v>
      </c>
      <c r="BT330" t="e">
        <f>AND('PROG FORMACIÓN TITULADA'!#REF!,"AAAAAFpvukc=")</f>
        <v>#REF!</v>
      </c>
      <c r="BU330" t="e">
        <f>AND('PROG FORMACIÓN TITULADA'!#REF!,"AAAAAFpvukg=")</f>
        <v>#REF!</v>
      </c>
      <c r="BV330" t="e">
        <f>AND('PROG FORMACIÓN TITULADA'!#REF!,"AAAAAFpvukk=")</f>
        <v>#REF!</v>
      </c>
      <c r="BW330" t="e">
        <f>AND('PROG FORMACIÓN TITULADA'!#REF!,"AAAAAFpvuko=")</f>
        <v>#REF!</v>
      </c>
      <c r="BX330" t="e">
        <f>AND('PROG FORMACIÓN TITULADA'!#REF!,"AAAAAFpvuks=")</f>
        <v>#REF!</v>
      </c>
      <c r="BY330" t="e">
        <f>AND('PROG FORMACIÓN TITULADA'!#REF!,"AAAAAFpvukw=")</f>
        <v>#REF!</v>
      </c>
      <c r="BZ330" t="e">
        <f>AND('PROG FORMACIÓN TITULADA'!#REF!,"AAAAAFpvuk0=")</f>
        <v>#REF!</v>
      </c>
      <c r="CA330" t="e">
        <f>AND('PROG FORMACIÓN TITULADA'!#REF!,"AAAAAFpvuk4=")</f>
        <v>#REF!</v>
      </c>
      <c r="CB330" t="e">
        <f>AND('PROG FORMACIÓN TITULADA'!#REF!,"AAAAAFpvuk8=")</f>
        <v>#REF!</v>
      </c>
      <c r="CC330" t="e">
        <f>AND('PROG FORMACIÓN TITULADA'!#REF!,"AAAAAFpvulA=")</f>
        <v>#REF!</v>
      </c>
      <c r="CD330" t="e">
        <f>AND('PROG FORMACIÓN TITULADA'!#REF!,"AAAAAFpvulE=")</f>
        <v>#REF!</v>
      </c>
      <c r="CE330" t="e">
        <f>AND('PROG FORMACIÓN TITULADA'!#REF!,"AAAAAFpvulI=")</f>
        <v>#REF!</v>
      </c>
      <c r="CF330" t="e">
        <f>AND('PROG FORMACIÓN TITULADA'!#REF!,"AAAAAFpvulM=")</f>
        <v>#REF!</v>
      </c>
      <c r="CG330" t="e">
        <f>AND('PROG FORMACIÓN TITULADA'!#REF!,"AAAAAFpvulQ=")</f>
        <v>#REF!</v>
      </c>
      <c r="CH330" t="e">
        <f>AND('PROG FORMACIÓN TITULADA'!#REF!,"AAAAAFpvulU=")</f>
        <v>#REF!</v>
      </c>
      <c r="CI330" t="e">
        <f>AND('PROG FORMACIÓN TITULADA'!#REF!,"AAAAAFpvulY=")</f>
        <v>#REF!</v>
      </c>
      <c r="CJ330" t="e">
        <f>AND('PROG FORMACIÓN TITULADA'!#REF!,"AAAAAFpvulc=")</f>
        <v>#REF!</v>
      </c>
      <c r="CK330" t="e">
        <f>AND('PROG FORMACIÓN TITULADA'!#REF!,"AAAAAFpvulg=")</f>
        <v>#REF!</v>
      </c>
      <c r="CL330" t="e">
        <f>AND('PROG FORMACIÓN TITULADA'!#REF!,"AAAAAFpvulk=")</f>
        <v>#REF!</v>
      </c>
      <c r="CM330" t="e">
        <f>AND('PROG FORMACIÓN TITULADA'!#REF!,"AAAAAFpvulo=")</f>
        <v>#REF!</v>
      </c>
      <c r="CN330" t="e">
        <f>AND('PROG FORMACIÓN TITULADA'!#REF!,"AAAAAFpvuls=")</f>
        <v>#REF!</v>
      </c>
      <c r="CO330" t="e">
        <f>AND('PROG FORMACIÓN TITULADA'!#REF!,"AAAAAFpvulw=")</f>
        <v>#REF!</v>
      </c>
      <c r="CP330" t="e">
        <f>AND('PROG FORMACIÓN TITULADA'!#REF!,"AAAAAFpvul0=")</f>
        <v>#REF!</v>
      </c>
      <c r="CQ330" t="e">
        <f>AND('PROG FORMACIÓN TITULADA'!#REF!,"AAAAAFpvul4=")</f>
        <v>#REF!</v>
      </c>
      <c r="CR330" t="e">
        <f>AND('PROG FORMACIÓN TITULADA'!#REF!,"AAAAAFpvul8=")</f>
        <v>#REF!</v>
      </c>
      <c r="CS330" t="e">
        <f>AND('PROG FORMACIÓN TITULADA'!#REF!,"AAAAAFpvumA=")</f>
        <v>#REF!</v>
      </c>
      <c r="CT330" t="e">
        <f>IF('PROG FORMACIÓN TITULADA'!#REF!,"AAAAAFpvumE=",0)</f>
        <v>#REF!</v>
      </c>
      <c r="CU330" t="e">
        <f>AND('PROG FORMACIÓN TITULADA'!#REF!,"AAAAAFpvumI=")</f>
        <v>#REF!</v>
      </c>
      <c r="CV330" t="e">
        <f>AND('PROG FORMACIÓN TITULADA'!#REF!,"AAAAAFpvumM=")</f>
        <v>#REF!</v>
      </c>
      <c r="CW330" t="e">
        <f>AND('PROG FORMACIÓN TITULADA'!#REF!,"AAAAAFpvumQ=")</f>
        <v>#REF!</v>
      </c>
      <c r="CX330" t="e">
        <f>AND('PROG FORMACIÓN TITULADA'!#REF!,"AAAAAFpvumU=")</f>
        <v>#REF!</v>
      </c>
      <c r="CY330" t="e">
        <f>AND('PROG FORMACIÓN TITULADA'!#REF!,"AAAAAFpvumY=")</f>
        <v>#REF!</v>
      </c>
      <c r="CZ330" t="e">
        <f>AND('PROG FORMACIÓN TITULADA'!#REF!,"AAAAAFpvumc=")</f>
        <v>#REF!</v>
      </c>
      <c r="DA330" t="e">
        <f>AND('PROG FORMACIÓN TITULADA'!#REF!,"AAAAAFpvumg=")</f>
        <v>#REF!</v>
      </c>
      <c r="DB330" t="e">
        <f>AND('PROG FORMACIÓN TITULADA'!#REF!,"AAAAAFpvumk=")</f>
        <v>#REF!</v>
      </c>
      <c r="DC330" t="e">
        <f>AND('PROG FORMACIÓN TITULADA'!#REF!,"AAAAAFpvumo=")</f>
        <v>#REF!</v>
      </c>
      <c r="DD330" t="e">
        <f>AND('PROG FORMACIÓN TITULADA'!#REF!,"AAAAAFpvums=")</f>
        <v>#REF!</v>
      </c>
      <c r="DE330" t="e">
        <f>AND('PROG FORMACIÓN TITULADA'!#REF!,"AAAAAFpvumw=")</f>
        <v>#REF!</v>
      </c>
      <c r="DF330" t="e">
        <f>AND('PROG FORMACIÓN TITULADA'!#REF!,"AAAAAFpvum0=")</f>
        <v>#REF!</v>
      </c>
      <c r="DG330" t="e">
        <f>AND('PROG FORMACIÓN TITULADA'!#REF!,"AAAAAFpvum4=")</f>
        <v>#REF!</v>
      </c>
      <c r="DH330" t="e">
        <f>AND('PROG FORMACIÓN TITULADA'!#REF!,"AAAAAFpvum8=")</f>
        <v>#REF!</v>
      </c>
      <c r="DI330" t="e">
        <f>AND('PROG FORMACIÓN TITULADA'!#REF!,"AAAAAFpvunA=")</f>
        <v>#REF!</v>
      </c>
      <c r="DJ330" t="e">
        <f>AND('PROG FORMACIÓN TITULADA'!#REF!,"AAAAAFpvunE=")</f>
        <v>#REF!</v>
      </c>
      <c r="DK330" t="e">
        <f>AND('PROG FORMACIÓN TITULADA'!#REF!,"AAAAAFpvunI=")</f>
        <v>#REF!</v>
      </c>
      <c r="DL330" t="e">
        <f>AND('PROG FORMACIÓN TITULADA'!#REF!,"AAAAAFpvunM=")</f>
        <v>#REF!</v>
      </c>
      <c r="DM330" t="e">
        <f>AND('PROG FORMACIÓN TITULADA'!#REF!,"AAAAAFpvunQ=")</f>
        <v>#REF!</v>
      </c>
      <c r="DN330" t="e">
        <f>AND('PROG FORMACIÓN TITULADA'!#REF!,"AAAAAFpvunU=")</f>
        <v>#REF!</v>
      </c>
      <c r="DO330" t="e">
        <f>AND('PROG FORMACIÓN TITULADA'!#REF!,"AAAAAFpvunY=")</f>
        <v>#REF!</v>
      </c>
      <c r="DP330" t="e">
        <f>AND('PROG FORMACIÓN TITULADA'!#REF!,"AAAAAFpvunc=")</f>
        <v>#REF!</v>
      </c>
      <c r="DQ330" t="e">
        <f>AND('PROG FORMACIÓN TITULADA'!#REF!,"AAAAAFpvung=")</f>
        <v>#REF!</v>
      </c>
      <c r="DR330" t="e">
        <f>AND('PROG FORMACIÓN TITULADA'!#REF!,"AAAAAFpvunk=")</f>
        <v>#REF!</v>
      </c>
      <c r="DS330" t="e">
        <f>AND('PROG FORMACIÓN TITULADA'!#REF!,"AAAAAFpvuno=")</f>
        <v>#REF!</v>
      </c>
      <c r="DT330" t="e">
        <f>AND('PROG FORMACIÓN TITULADA'!#REF!,"AAAAAFpvuns=")</f>
        <v>#REF!</v>
      </c>
      <c r="DU330" t="e">
        <f>IF('PROG FORMACIÓN TITULADA'!#REF!,"AAAAAFpvunw=",0)</f>
        <v>#REF!</v>
      </c>
      <c r="DV330" t="e">
        <f>AND('PROG FORMACIÓN TITULADA'!#REF!,"AAAAAFpvun0=")</f>
        <v>#REF!</v>
      </c>
      <c r="DW330" t="e">
        <f>AND('PROG FORMACIÓN TITULADA'!#REF!,"AAAAAFpvun4=")</f>
        <v>#REF!</v>
      </c>
      <c r="DX330" t="e">
        <f>AND('PROG FORMACIÓN TITULADA'!#REF!,"AAAAAFpvun8=")</f>
        <v>#REF!</v>
      </c>
      <c r="DY330" t="e">
        <f>AND('PROG FORMACIÓN TITULADA'!#REF!,"AAAAAFpvuoA=")</f>
        <v>#REF!</v>
      </c>
      <c r="DZ330" t="e">
        <f>AND('PROG FORMACIÓN TITULADA'!#REF!,"AAAAAFpvuoE=")</f>
        <v>#REF!</v>
      </c>
      <c r="EA330" t="e">
        <f>AND('PROG FORMACIÓN TITULADA'!#REF!,"AAAAAFpvuoI=")</f>
        <v>#REF!</v>
      </c>
      <c r="EB330" t="e">
        <f>AND('PROG FORMACIÓN TITULADA'!#REF!,"AAAAAFpvuoM=")</f>
        <v>#REF!</v>
      </c>
      <c r="EC330" t="e">
        <f>AND('PROG FORMACIÓN TITULADA'!#REF!,"AAAAAFpvuoQ=")</f>
        <v>#REF!</v>
      </c>
      <c r="ED330" t="e">
        <f>AND('PROG FORMACIÓN TITULADA'!#REF!,"AAAAAFpvuoU=")</f>
        <v>#REF!</v>
      </c>
      <c r="EE330" t="e">
        <f>AND('PROG FORMACIÓN TITULADA'!#REF!,"AAAAAFpvuoY=")</f>
        <v>#REF!</v>
      </c>
      <c r="EF330" t="e">
        <f>AND('PROG FORMACIÓN TITULADA'!#REF!,"AAAAAFpvuoc=")</f>
        <v>#REF!</v>
      </c>
      <c r="EG330" t="e">
        <f>AND('PROG FORMACIÓN TITULADA'!#REF!,"AAAAAFpvuog=")</f>
        <v>#REF!</v>
      </c>
      <c r="EH330" t="e">
        <f>AND('PROG FORMACIÓN TITULADA'!#REF!,"AAAAAFpvuok=")</f>
        <v>#REF!</v>
      </c>
      <c r="EI330" t="e">
        <f>AND('PROG FORMACIÓN TITULADA'!#REF!,"AAAAAFpvuoo=")</f>
        <v>#REF!</v>
      </c>
      <c r="EJ330" t="e">
        <f>AND('PROG FORMACIÓN TITULADA'!#REF!,"AAAAAFpvuos=")</f>
        <v>#REF!</v>
      </c>
      <c r="EK330" t="e">
        <f>AND('PROG FORMACIÓN TITULADA'!#REF!,"AAAAAFpvuow=")</f>
        <v>#REF!</v>
      </c>
      <c r="EL330" t="e">
        <f>AND('PROG FORMACIÓN TITULADA'!#REF!,"AAAAAFpvuo0=")</f>
        <v>#REF!</v>
      </c>
      <c r="EM330" t="e">
        <f>AND('PROG FORMACIÓN TITULADA'!#REF!,"AAAAAFpvuo4=")</f>
        <v>#REF!</v>
      </c>
      <c r="EN330" t="e">
        <f>AND('PROG FORMACIÓN TITULADA'!#REF!,"AAAAAFpvuo8=")</f>
        <v>#REF!</v>
      </c>
      <c r="EO330" t="e">
        <f>AND('PROG FORMACIÓN TITULADA'!#REF!,"AAAAAFpvupA=")</f>
        <v>#REF!</v>
      </c>
      <c r="EP330" t="e">
        <f>AND('PROG FORMACIÓN TITULADA'!#REF!,"AAAAAFpvupE=")</f>
        <v>#REF!</v>
      </c>
      <c r="EQ330" t="e">
        <f>AND('PROG FORMACIÓN TITULADA'!#REF!,"AAAAAFpvupI=")</f>
        <v>#REF!</v>
      </c>
      <c r="ER330" t="e">
        <f>AND('PROG FORMACIÓN TITULADA'!#REF!,"AAAAAFpvupM=")</f>
        <v>#REF!</v>
      </c>
      <c r="ES330" t="e">
        <f>AND('PROG FORMACIÓN TITULADA'!#REF!,"AAAAAFpvupQ=")</f>
        <v>#REF!</v>
      </c>
      <c r="ET330" t="e">
        <f>AND('PROG FORMACIÓN TITULADA'!#REF!,"AAAAAFpvupU=")</f>
        <v>#REF!</v>
      </c>
      <c r="EU330" t="e">
        <f>AND('PROG FORMACIÓN TITULADA'!#REF!,"AAAAAFpvupY=")</f>
        <v>#REF!</v>
      </c>
      <c r="EV330" t="e">
        <f>IF('PROG FORMACIÓN TITULADA'!#REF!,"AAAAAFpvupc=",0)</f>
        <v>#REF!</v>
      </c>
      <c r="EW330" t="e">
        <f>AND('PROG FORMACIÓN TITULADA'!#REF!,"AAAAAFpvupg=")</f>
        <v>#REF!</v>
      </c>
      <c r="EX330" t="e">
        <f>AND('PROG FORMACIÓN TITULADA'!#REF!,"AAAAAFpvupk=")</f>
        <v>#REF!</v>
      </c>
      <c r="EY330" t="e">
        <f>AND('PROG FORMACIÓN TITULADA'!#REF!,"AAAAAFpvupo=")</f>
        <v>#REF!</v>
      </c>
      <c r="EZ330" t="e">
        <f>AND('PROG FORMACIÓN TITULADA'!#REF!,"AAAAAFpvups=")</f>
        <v>#REF!</v>
      </c>
      <c r="FA330" t="e">
        <f>AND('PROG FORMACIÓN TITULADA'!#REF!,"AAAAAFpvupw=")</f>
        <v>#REF!</v>
      </c>
      <c r="FB330" t="e">
        <f>AND('PROG FORMACIÓN TITULADA'!#REF!,"AAAAAFpvup0=")</f>
        <v>#REF!</v>
      </c>
      <c r="FC330" t="e">
        <f>AND('PROG FORMACIÓN TITULADA'!#REF!,"AAAAAFpvup4=")</f>
        <v>#REF!</v>
      </c>
      <c r="FD330" t="e">
        <f>AND('PROG FORMACIÓN TITULADA'!#REF!,"AAAAAFpvup8=")</f>
        <v>#REF!</v>
      </c>
      <c r="FE330" t="e">
        <f>AND('PROG FORMACIÓN TITULADA'!#REF!,"AAAAAFpvuqA=")</f>
        <v>#REF!</v>
      </c>
      <c r="FF330" t="e">
        <f>AND('PROG FORMACIÓN TITULADA'!#REF!,"AAAAAFpvuqE=")</f>
        <v>#REF!</v>
      </c>
      <c r="FG330" t="e">
        <f>AND('PROG FORMACIÓN TITULADA'!#REF!,"AAAAAFpvuqI=")</f>
        <v>#REF!</v>
      </c>
      <c r="FH330" t="e">
        <f>AND('PROG FORMACIÓN TITULADA'!#REF!,"AAAAAFpvuqM=")</f>
        <v>#REF!</v>
      </c>
      <c r="FI330" t="e">
        <f>AND('PROG FORMACIÓN TITULADA'!#REF!,"AAAAAFpvuqQ=")</f>
        <v>#REF!</v>
      </c>
      <c r="FJ330" t="e">
        <f>AND('PROG FORMACIÓN TITULADA'!#REF!,"AAAAAFpvuqU=")</f>
        <v>#REF!</v>
      </c>
      <c r="FK330" t="e">
        <f>AND('PROG FORMACIÓN TITULADA'!#REF!,"AAAAAFpvuqY=")</f>
        <v>#REF!</v>
      </c>
      <c r="FL330" t="e">
        <f>AND('PROG FORMACIÓN TITULADA'!#REF!,"AAAAAFpvuqc=")</f>
        <v>#REF!</v>
      </c>
      <c r="FM330" t="e">
        <f>AND('PROG FORMACIÓN TITULADA'!#REF!,"AAAAAFpvuqg=")</f>
        <v>#REF!</v>
      </c>
      <c r="FN330" t="e">
        <f>AND('PROG FORMACIÓN TITULADA'!#REF!,"AAAAAFpvuqk=")</f>
        <v>#REF!</v>
      </c>
      <c r="FO330" t="e">
        <f>AND('PROG FORMACIÓN TITULADA'!#REF!,"AAAAAFpvuqo=")</f>
        <v>#REF!</v>
      </c>
      <c r="FP330" t="e">
        <f>AND('PROG FORMACIÓN TITULADA'!#REF!,"AAAAAFpvuqs=")</f>
        <v>#REF!</v>
      </c>
      <c r="FQ330" t="e">
        <f>AND('PROG FORMACIÓN TITULADA'!#REF!,"AAAAAFpvuqw=")</f>
        <v>#REF!</v>
      </c>
      <c r="FR330" t="e">
        <f>AND('PROG FORMACIÓN TITULADA'!#REF!,"AAAAAFpvuq0=")</f>
        <v>#REF!</v>
      </c>
      <c r="FS330" t="e">
        <f>AND('PROG FORMACIÓN TITULADA'!#REF!,"AAAAAFpvuq4=")</f>
        <v>#REF!</v>
      </c>
      <c r="FT330" t="e">
        <f>AND('PROG FORMACIÓN TITULADA'!#REF!,"AAAAAFpvuq8=")</f>
        <v>#REF!</v>
      </c>
      <c r="FU330" t="e">
        <f>AND('PROG FORMACIÓN TITULADA'!#REF!,"AAAAAFpvurA=")</f>
        <v>#REF!</v>
      </c>
      <c r="FV330" t="e">
        <f>AND('PROG FORMACIÓN TITULADA'!#REF!,"AAAAAFpvurE=")</f>
        <v>#REF!</v>
      </c>
      <c r="FW330" t="e">
        <f>IF('PROG FORMACIÓN TITULADA'!#REF!,"AAAAAFpvurI=",0)</f>
        <v>#REF!</v>
      </c>
      <c r="FX330" t="e">
        <f>AND('PROG FORMACIÓN TITULADA'!#REF!,"AAAAAFpvurM=")</f>
        <v>#REF!</v>
      </c>
      <c r="FY330" t="e">
        <f>AND('PROG FORMACIÓN TITULADA'!#REF!,"AAAAAFpvurQ=")</f>
        <v>#REF!</v>
      </c>
      <c r="FZ330" t="e">
        <f>AND('PROG FORMACIÓN TITULADA'!#REF!,"AAAAAFpvurU=")</f>
        <v>#REF!</v>
      </c>
      <c r="GA330" t="e">
        <f>AND('PROG FORMACIÓN TITULADA'!#REF!,"AAAAAFpvurY=")</f>
        <v>#REF!</v>
      </c>
      <c r="GB330" t="e">
        <f>AND('PROG FORMACIÓN TITULADA'!#REF!,"AAAAAFpvurc=")</f>
        <v>#REF!</v>
      </c>
      <c r="GC330" t="e">
        <f>AND('PROG FORMACIÓN TITULADA'!#REF!,"AAAAAFpvurg=")</f>
        <v>#REF!</v>
      </c>
      <c r="GD330" t="e">
        <f>AND('PROG FORMACIÓN TITULADA'!#REF!,"AAAAAFpvurk=")</f>
        <v>#REF!</v>
      </c>
      <c r="GE330" t="e">
        <f>AND('PROG FORMACIÓN TITULADA'!#REF!,"AAAAAFpvuro=")</f>
        <v>#REF!</v>
      </c>
      <c r="GF330" t="e">
        <f>AND('PROG FORMACIÓN TITULADA'!#REF!,"AAAAAFpvurs=")</f>
        <v>#REF!</v>
      </c>
      <c r="GG330" t="e">
        <f>AND('PROG FORMACIÓN TITULADA'!#REF!,"AAAAAFpvurw=")</f>
        <v>#REF!</v>
      </c>
      <c r="GH330" t="e">
        <f>AND('PROG FORMACIÓN TITULADA'!#REF!,"AAAAAFpvur0=")</f>
        <v>#REF!</v>
      </c>
      <c r="GI330" t="e">
        <f>AND('PROG FORMACIÓN TITULADA'!#REF!,"AAAAAFpvur4=")</f>
        <v>#REF!</v>
      </c>
      <c r="GJ330" t="e">
        <f>AND('PROG FORMACIÓN TITULADA'!#REF!,"AAAAAFpvur8=")</f>
        <v>#REF!</v>
      </c>
      <c r="GK330" t="e">
        <f>AND('PROG FORMACIÓN TITULADA'!#REF!,"AAAAAFpvusA=")</f>
        <v>#REF!</v>
      </c>
      <c r="GL330" t="e">
        <f>AND('PROG FORMACIÓN TITULADA'!#REF!,"AAAAAFpvusE=")</f>
        <v>#REF!</v>
      </c>
      <c r="GM330" t="e">
        <f>AND('PROG FORMACIÓN TITULADA'!#REF!,"AAAAAFpvusI=")</f>
        <v>#REF!</v>
      </c>
      <c r="GN330" t="e">
        <f>AND('PROG FORMACIÓN TITULADA'!#REF!,"AAAAAFpvusM=")</f>
        <v>#REF!</v>
      </c>
      <c r="GO330" t="e">
        <f>AND('PROG FORMACIÓN TITULADA'!#REF!,"AAAAAFpvusQ=")</f>
        <v>#REF!</v>
      </c>
      <c r="GP330" t="e">
        <f>AND('PROG FORMACIÓN TITULADA'!#REF!,"AAAAAFpvusU=")</f>
        <v>#REF!</v>
      </c>
      <c r="GQ330" t="e">
        <f>AND('PROG FORMACIÓN TITULADA'!#REF!,"AAAAAFpvusY=")</f>
        <v>#REF!</v>
      </c>
      <c r="GR330" t="e">
        <f>AND('PROG FORMACIÓN TITULADA'!#REF!,"AAAAAFpvusc=")</f>
        <v>#REF!</v>
      </c>
      <c r="GS330" t="e">
        <f>AND('PROG FORMACIÓN TITULADA'!#REF!,"AAAAAFpvusg=")</f>
        <v>#REF!</v>
      </c>
      <c r="GT330" t="e">
        <f>AND('PROG FORMACIÓN TITULADA'!#REF!,"AAAAAFpvusk=")</f>
        <v>#REF!</v>
      </c>
      <c r="GU330" t="e">
        <f>AND('PROG FORMACIÓN TITULADA'!#REF!,"AAAAAFpvuso=")</f>
        <v>#REF!</v>
      </c>
      <c r="GV330" t="e">
        <f>AND('PROG FORMACIÓN TITULADA'!#REF!,"AAAAAFpvuss=")</f>
        <v>#REF!</v>
      </c>
      <c r="GW330" t="e">
        <f>AND('PROG FORMACIÓN TITULADA'!#REF!,"AAAAAFpvusw=")</f>
        <v>#REF!</v>
      </c>
      <c r="GX330" t="e">
        <f>IF('PROG FORMACIÓN TITULADA'!#REF!,"AAAAAFpvus0=",0)</f>
        <v>#REF!</v>
      </c>
      <c r="GY330" t="e">
        <f>AND('PROG FORMACIÓN TITULADA'!#REF!,"AAAAAFpvus4=")</f>
        <v>#REF!</v>
      </c>
      <c r="GZ330" t="e">
        <f>AND('PROG FORMACIÓN TITULADA'!#REF!,"AAAAAFpvus8=")</f>
        <v>#REF!</v>
      </c>
      <c r="HA330" t="e">
        <f>AND('PROG FORMACIÓN TITULADA'!#REF!,"AAAAAFpvutA=")</f>
        <v>#REF!</v>
      </c>
      <c r="HB330" t="e">
        <f>AND('PROG FORMACIÓN TITULADA'!#REF!,"AAAAAFpvutE=")</f>
        <v>#REF!</v>
      </c>
      <c r="HC330" t="e">
        <f>AND('PROG FORMACIÓN TITULADA'!#REF!,"AAAAAFpvutI=")</f>
        <v>#REF!</v>
      </c>
      <c r="HD330" t="e">
        <f>AND('PROG FORMACIÓN TITULADA'!#REF!,"AAAAAFpvutM=")</f>
        <v>#REF!</v>
      </c>
      <c r="HE330" t="e">
        <f>AND('PROG FORMACIÓN TITULADA'!#REF!,"AAAAAFpvutQ=")</f>
        <v>#REF!</v>
      </c>
      <c r="HF330" t="e">
        <f>AND('PROG FORMACIÓN TITULADA'!#REF!,"AAAAAFpvutU=")</f>
        <v>#REF!</v>
      </c>
      <c r="HG330" t="e">
        <f>AND('PROG FORMACIÓN TITULADA'!#REF!,"AAAAAFpvutY=")</f>
        <v>#REF!</v>
      </c>
      <c r="HH330" t="e">
        <f>AND('PROG FORMACIÓN TITULADA'!#REF!,"AAAAAFpvutc=")</f>
        <v>#REF!</v>
      </c>
      <c r="HI330" t="e">
        <f>AND('PROG FORMACIÓN TITULADA'!#REF!,"AAAAAFpvutg=")</f>
        <v>#REF!</v>
      </c>
      <c r="HJ330" t="e">
        <f>AND('PROG FORMACIÓN TITULADA'!#REF!,"AAAAAFpvutk=")</f>
        <v>#REF!</v>
      </c>
      <c r="HK330" t="e">
        <f>AND('PROG FORMACIÓN TITULADA'!#REF!,"AAAAAFpvuto=")</f>
        <v>#REF!</v>
      </c>
      <c r="HL330" t="e">
        <f>AND('PROG FORMACIÓN TITULADA'!#REF!,"AAAAAFpvuts=")</f>
        <v>#REF!</v>
      </c>
      <c r="HM330" t="e">
        <f>AND('PROG FORMACIÓN TITULADA'!#REF!,"AAAAAFpvutw=")</f>
        <v>#REF!</v>
      </c>
      <c r="HN330" t="e">
        <f>AND('PROG FORMACIÓN TITULADA'!#REF!,"AAAAAFpvut0=")</f>
        <v>#REF!</v>
      </c>
      <c r="HO330" t="e">
        <f>AND('PROG FORMACIÓN TITULADA'!#REF!,"AAAAAFpvut4=")</f>
        <v>#REF!</v>
      </c>
      <c r="HP330" t="e">
        <f>AND('PROG FORMACIÓN TITULADA'!#REF!,"AAAAAFpvut8=")</f>
        <v>#REF!</v>
      </c>
      <c r="HQ330" t="e">
        <f>AND('PROG FORMACIÓN TITULADA'!#REF!,"AAAAAFpvuuA=")</f>
        <v>#REF!</v>
      </c>
      <c r="HR330" t="e">
        <f>AND('PROG FORMACIÓN TITULADA'!#REF!,"AAAAAFpvuuE=")</f>
        <v>#REF!</v>
      </c>
      <c r="HS330" t="e">
        <f>AND('PROG FORMACIÓN TITULADA'!#REF!,"AAAAAFpvuuI=")</f>
        <v>#REF!</v>
      </c>
      <c r="HT330" t="e">
        <f>AND('PROG FORMACIÓN TITULADA'!#REF!,"AAAAAFpvuuM=")</f>
        <v>#REF!</v>
      </c>
      <c r="HU330" t="e">
        <f>AND('PROG FORMACIÓN TITULADA'!#REF!,"AAAAAFpvuuQ=")</f>
        <v>#REF!</v>
      </c>
      <c r="HV330" t="e">
        <f>AND('PROG FORMACIÓN TITULADA'!#REF!,"AAAAAFpvuuU=")</f>
        <v>#REF!</v>
      </c>
      <c r="HW330" t="e">
        <f>AND('PROG FORMACIÓN TITULADA'!#REF!,"AAAAAFpvuuY=")</f>
        <v>#REF!</v>
      </c>
      <c r="HX330" t="e">
        <f>AND('PROG FORMACIÓN TITULADA'!#REF!,"AAAAAFpvuuc=")</f>
        <v>#REF!</v>
      </c>
      <c r="HY330" t="e">
        <f>IF('PROG FORMACIÓN TITULADA'!#REF!,"AAAAAFpvuug=",0)</f>
        <v>#REF!</v>
      </c>
      <c r="HZ330" t="e">
        <f>AND('PROG FORMACIÓN TITULADA'!#REF!,"AAAAAFpvuuk=")</f>
        <v>#REF!</v>
      </c>
      <c r="IA330" t="e">
        <f>AND('PROG FORMACIÓN TITULADA'!#REF!,"AAAAAFpvuuo=")</f>
        <v>#REF!</v>
      </c>
      <c r="IB330" t="e">
        <f>AND('PROG FORMACIÓN TITULADA'!#REF!,"AAAAAFpvuus=")</f>
        <v>#REF!</v>
      </c>
      <c r="IC330" t="e">
        <f>AND('PROG FORMACIÓN TITULADA'!#REF!,"AAAAAFpvuuw=")</f>
        <v>#REF!</v>
      </c>
      <c r="ID330" t="e">
        <f>AND('PROG FORMACIÓN TITULADA'!#REF!,"AAAAAFpvuu0=")</f>
        <v>#REF!</v>
      </c>
      <c r="IE330" t="e">
        <f>AND('PROG FORMACIÓN TITULADA'!#REF!,"AAAAAFpvuu4=")</f>
        <v>#REF!</v>
      </c>
      <c r="IF330" t="e">
        <f>AND('PROG FORMACIÓN TITULADA'!#REF!,"AAAAAFpvuu8=")</f>
        <v>#REF!</v>
      </c>
      <c r="IG330" t="e">
        <f>AND('PROG FORMACIÓN TITULADA'!#REF!,"AAAAAFpvuvA=")</f>
        <v>#REF!</v>
      </c>
      <c r="IH330" t="e">
        <f>AND('PROG FORMACIÓN TITULADA'!#REF!,"AAAAAFpvuvE=")</f>
        <v>#REF!</v>
      </c>
      <c r="II330" t="e">
        <f>AND('PROG FORMACIÓN TITULADA'!#REF!,"AAAAAFpvuvI=")</f>
        <v>#REF!</v>
      </c>
      <c r="IJ330" t="e">
        <f>AND('PROG FORMACIÓN TITULADA'!#REF!,"AAAAAFpvuvM=")</f>
        <v>#REF!</v>
      </c>
      <c r="IK330" t="e">
        <f>AND('PROG FORMACIÓN TITULADA'!#REF!,"AAAAAFpvuvQ=")</f>
        <v>#REF!</v>
      </c>
      <c r="IL330" t="e">
        <f>AND('PROG FORMACIÓN TITULADA'!#REF!,"AAAAAFpvuvU=")</f>
        <v>#REF!</v>
      </c>
      <c r="IM330" t="e">
        <f>AND('PROG FORMACIÓN TITULADA'!#REF!,"AAAAAFpvuvY=")</f>
        <v>#REF!</v>
      </c>
      <c r="IN330" t="e">
        <f>AND('PROG FORMACIÓN TITULADA'!#REF!,"AAAAAFpvuvc=")</f>
        <v>#REF!</v>
      </c>
      <c r="IO330" t="e">
        <f>AND('PROG FORMACIÓN TITULADA'!#REF!,"AAAAAFpvuvg=")</f>
        <v>#REF!</v>
      </c>
      <c r="IP330" t="e">
        <f>AND('PROG FORMACIÓN TITULADA'!#REF!,"AAAAAFpvuvk=")</f>
        <v>#REF!</v>
      </c>
      <c r="IQ330" t="e">
        <f>AND('PROG FORMACIÓN TITULADA'!#REF!,"AAAAAFpvuvo=")</f>
        <v>#REF!</v>
      </c>
      <c r="IR330" t="e">
        <f>AND('PROG FORMACIÓN TITULADA'!#REF!,"AAAAAFpvuvs=")</f>
        <v>#REF!</v>
      </c>
      <c r="IS330" t="e">
        <f>AND('PROG FORMACIÓN TITULADA'!#REF!,"AAAAAFpvuvw=")</f>
        <v>#REF!</v>
      </c>
      <c r="IT330" t="e">
        <f>AND('PROG FORMACIÓN TITULADA'!#REF!,"AAAAAFpvuv0=")</f>
        <v>#REF!</v>
      </c>
      <c r="IU330" t="e">
        <f>AND('PROG FORMACIÓN TITULADA'!#REF!,"AAAAAFpvuv4=")</f>
        <v>#REF!</v>
      </c>
      <c r="IV330" t="e">
        <f>AND('PROG FORMACIÓN TITULADA'!#REF!,"AAAAAFpvuv8=")</f>
        <v>#REF!</v>
      </c>
    </row>
    <row r="331" spans="1:256" x14ac:dyDescent="0.2">
      <c r="A331" t="e">
        <f>AND('PROG FORMACIÓN TITULADA'!#REF!,"AAAAAH/v3wA=")</f>
        <v>#REF!</v>
      </c>
      <c r="B331" t="e">
        <f>AND('PROG FORMACIÓN TITULADA'!#REF!,"AAAAAH/v3wE=")</f>
        <v>#REF!</v>
      </c>
      <c r="C331" t="e">
        <f>AND('PROG FORMACIÓN TITULADA'!#REF!,"AAAAAH/v3wI=")</f>
        <v>#REF!</v>
      </c>
      <c r="D331" t="e">
        <f>IF('PROG FORMACIÓN TITULADA'!#REF!,"AAAAAH/v3wM=",0)</f>
        <v>#REF!</v>
      </c>
      <c r="E331" t="e">
        <f>AND('PROG FORMACIÓN TITULADA'!#REF!,"AAAAAH/v3wQ=")</f>
        <v>#REF!</v>
      </c>
      <c r="F331" t="e">
        <f>AND('PROG FORMACIÓN TITULADA'!#REF!,"AAAAAH/v3wU=")</f>
        <v>#REF!</v>
      </c>
      <c r="G331" t="e">
        <f>AND('PROG FORMACIÓN TITULADA'!#REF!,"AAAAAH/v3wY=")</f>
        <v>#REF!</v>
      </c>
      <c r="H331" t="e">
        <f>AND('PROG FORMACIÓN TITULADA'!#REF!,"AAAAAH/v3wc=")</f>
        <v>#REF!</v>
      </c>
      <c r="I331" t="e">
        <f>AND('PROG FORMACIÓN TITULADA'!#REF!,"AAAAAH/v3wg=")</f>
        <v>#REF!</v>
      </c>
      <c r="J331" t="e">
        <f>AND('PROG FORMACIÓN TITULADA'!#REF!,"AAAAAH/v3wk=")</f>
        <v>#REF!</v>
      </c>
      <c r="K331" t="e">
        <f>AND('PROG FORMACIÓN TITULADA'!#REF!,"AAAAAH/v3wo=")</f>
        <v>#REF!</v>
      </c>
      <c r="L331" t="e">
        <f>AND('PROG FORMACIÓN TITULADA'!#REF!,"AAAAAH/v3ws=")</f>
        <v>#REF!</v>
      </c>
      <c r="M331" t="e">
        <f>AND('PROG FORMACIÓN TITULADA'!#REF!,"AAAAAH/v3ww=")</f>
        <v>#REF!</v>
      </c>
      <c r="N331" t="e">
        <f>AND('PROG FORMACIÓN TITULADA'!#REF!,"AAAAAH/v3w0=")</f>
        <v>#REF!</v>
      </c>
      <c r="O331" t="e">
        <f>AND('PROG FORMACIÓN TITULADA'!#REF!,"AAAAAH/v3w4=")</f>
        <v>#REF!</v>
      </c>
      <c r="P331" t="e">
        <f>AND('PROG FORMACIÓN TITULADA'!#REF!,"AAAAAH/v3w8=")</f>
        <v>#REF!</v>
      </c>
      <c r="Q331" t="e">
        <f>AND('PROG FORMACIÓN TITULADA'!#REF!,"AAAAAH/v3xA=")</f>
        <v>#REF!</v>
      </c>
      <c r="R331" t="e">
        <f>AND('PROG FORMACIÓN TITULADA'!#REF!,"AAAAAH/v3xE=")</f>
        <v>#REF!</v>
      </c>
      <c r="S331" t="e">
        <f>AND('PROG FORMACIÓN TITULADA'!#REF!,"AAAAAH/v3xI=")</f>
        <v>#REF!</v>
      </c>
      <c r="T331" t="e">
        <f>AND('PROG FORMACIÓN TITULADA'!#REF!,"AAAAAH/v3xM=")</f>
        <v>#REF!</v>
      </c>
      <c r="U331" t="e">
        <f>AND('PROG FORMACIÓN TITULADA'!#REF!,"AAAAAH/v3xQ=")</f>
        <v>#REF!</v>
      </c>
      <c r="V331" t="e">
        <f>AND('PROG FORMACIÓN TITULADA'!#REF!,"AAAAAH/v3xU=")</f>
        <v>#REF!</v>
      </c>
      <c r="W331" t="e">
        <f>AND('PROG FORMACIÓN TITULADA'!#REF!,"AAAAAH/v3xY=")</f>
        <v>#REF!</v>
      </c>
      <c r="X331" t="e">
        <f>AND('PROG FORMACIÓN TITULADA'!#REF!,"AAAAAH/v3xc=")</f>
        <v>#REF!</v>
      </c>
      <c r="Y331" t="e">
        <f>AND('PROG FORMACIÓN TITULADA'!#REF!,"AAAAAH/v3xg=")</f>
        <v>#REF!</v>
      </c>
      <c r="Z331" t="e">
        <f>AND('PROG FORMACIÓN TITULADA'!#REF!,"AAAAAH/v3xk=")</f>
        <v>#REF!</v>
      </c>
      <c r="AA331" t="e">
        <f>AND('PROG FORMACIÓN TITULADA'!#REF!,"AAAAAH/v3xo=")</f>
        <v>#REF!</v>
      </c>
      <c r="AB331" t="e">
        <f>AND('PROG FORMACIÓN TITULADA'!#REF!,"AAAAAH/v3xs=")</f>
        <v>#REF!</v>
      </c>
      <c r="AC331" t="e">
        <f>AND('PROG FORMACIÓN TITULADA'!#REF!,"AAAAAH/v3xw=")</f>
        <v>#REF!</v>
      </c>
      <c r="AD331" t="e">
        <f>AND('PROG FORMACIÓN TITULADA'!#REF!,"AAAAAH/v3x0=")</f>
        <v>#REF!</v>
      </c>
      <c r="AE331" t="e">
        <f>IF('PROG FORMACIÓN TITULADA'!#REF!,"AAAAAH/v3x4=",0)</f>
        <v>#REF!</v>
      </c>
      <c r="AF331" t="e">
        <f>AND('PROG FORMACIÓN TITULADA'!#REF!,"AAAAAH/v3x8=")</f>
        <v>#REF!</v>
      </c>
      <c r="AG331" t="e">
        <f>AND('PROG FORMACIÓN TITULADA'!#REF!,"AAAAAH/v3yA=")</f>
        <v>#REF!</v>
      </c>
      <c r="AH331" t="e">
        <f>AND('PROG FORMACIÓN TITULADA'!#REF!,"AAAAAH/v3yE=")</f>
        <v>#REF!</v>
      </c>
      <c r="AI331" t="e">
        <f>AND('PROG FORMACIÓN TITULADA'!#REF!,"AAAAAH/v3yI=")</f>
        <v>#REF!</v>
      </c>
      <c r="AJ331" t="e">
        <f>AND('PROG FORMACIÓN TITULADA'!#REF!,"AAAAAH/v3yM=")</f>
        <v>#REF!</v>
      </c>
      <c r="AK331" t="e">
        <f>AND('PROG FORMACIÓN TITULADA'!#REF!,"AAAAAH/v3yQ=")</f>
        <v>#REF!</v>
      </c>
      <c r="AL331" t="e">
        <f>AND('PROG FORMACIÓN TITULADA'!#REF!,"AAAAAH/v3yU=")</f>
        <v>#REF!</v>
      </c>
      <c r="AM331" t="e">
        <f>AND('PROG FORMACIÓN TITULADA'!#REF!,"AAAAAH/v3yY=")</f>
        <v>#REF!</v>
      </c>
      <c r="AN331" t="e">
        <f>AND('PROG FORMACIÓN TITULADA'!#REF!,"AAAAAH/v3yc=")</f>
        <v>#REF!</v>
      </c>
      <c r="AO331" t="e">
        <f>AND('PROG FORMACIÓN TITULADA'!#REF!,"AAAAAH/v3yg=")</f>
        <v>#REF!</v>
      </c>
      <c r="AP331" t="e">
        <f>AND('PROG FORMACIÓN TITULADA'!#REF!,"AAAAAH/v3yk=")</f>
        <v>#REF!</v>
      </c>
      <c r="AQ331" t="e">
        <f>AND('PROG FORMACIÓN TITULADA'!#REF!,"AAAAAH/v3yo=")</f>
        <v>#REF!</v>
      </c>
      <c r="AR331" t="e">
        <f>AND('PROG FORMACIÓN TITULADA'!#REF!,"AAAAAH/v3ys=")</f>
        <v>#REF!</v>
      </c>
      <c r="AS331" t="e">
        <f>AND('PROG FORMACIÓN TITULADA'!#REF!,"AAAAAH/v3yw=")</f>
        <v>#REF!</v>
      </c>
      <c r="AT331" t="e">
        <f>AND('PROG FORMACIÓN TITULADA'!#REF!,"AAAAAH/v3y0=")</f>
        <v>#REF!</v>
      </c>
      <c r="AU331" t="e">
        <f>AND('PROG FORMACIÓN TITULADA'!#REF!,"AAAAAH/v3y4=")</f>
        <v>#REF!</v>
      </c>
      <c r="AV331" t="e">
        <f>AND('PROG FORMACIÓN TITULADA'!#REF!,"AAAAAH/v3y8=")</f>
        <v>#REF!</v>
      </c>
      <c r="AW331" t="e">
        <f>AND('PROG FORMACIÓN TITULADA'!#REF!,"AAAAAH/v3zA=")</f>
        <v>#REF!</v>
      </c>
      <c r="AX331" t="e">
        <f>AND('PROG FORMACIÓN TITULADA'!#REF!,"AAAAAH/v3zE=")</f>
        <v>#REF!</v>
      </c>
      <c r="AY331" t="e">
        <f>AND('PROG FORMACIÓN TITULADA'!#REF!,"AAAAAH/v3zI=")</f>
        <v>#REF!</v>
      </c>
      <c r="AZ331" t="e">
        <f>AND('PROG FORMACIÓN TITULADA'!#REF!,"AAAAAH/v3zM=")</f>
        <v>#REF!</v>
      </c>
      <c r="BA331" t="e">
        <f>AND('PROG FORMACIÓN TITULADA'!#REF!,"AAAAAH/v3zQ=")</f>
        <v>#REF!</v>
      </c>
      <c r="BB331" t="e">
        <f>AND('PROG FORMACIÓN TITULADA'!#REF!,"AAAAAH/v3zU=")</f>
        <v>#REF!</v>
      </c>
      <c r="BC331" t="e">
        <f>AND('PROG FORMACIÓN TITULADA'!#REF!,"AAAAAH/v3zY=")</f>
        <v>#REF!</v>
      </c>
      <c r="BD331" t="e">
        <f>AND('PROG FORMACIÓN TITULADA'!#REF!,"AAAAAH/v3zc=")</f>
        <v>#REF!</v>
      </c>
      <c r="BE331" t="e">
        <f>AND('PROG FORMACIÓN TITULADA'!#REF!,"AAAAAH/v3zg=")</f>
        <v>#REF!</v>
      </c>
      <c r="BF331" t="e">
        <f>IF('PROG FORMACIÓN TITULADA'!#REF!,"AAAAAH/v3zk=",0)</f>
        <v>#REF!</v>
      </c>
      <c r="BG331" t="e">
        <f>AND('PROG FORMACIÓN TITULADA'!#REF!,"AAAAAH/v3zo=")</f>
        <v>#REF!</v>
      </c>
      <c r="BH331" t="e">
        <f>AND('PROG FORMACIÓN TITULADA'!#REF!,"AAAAAH/v3zs=")</f>
        <v>#REF!</v>
      </c>
      <c r="BI331" t="e">
        <f>AND('PROG FORMACIÓN TITULADA'!#REF!,"AAAAAH/v3zw=")</f>
        <v>#REF!</v>
      </c>
      <c r="BJ331" t="e">
        <f>AND('PROG FORMACIÓN TITULADA'!#REF!,"AAAAAH/v3z0=")</f>
        <v>#REF!</v>
      </c>
      <c r="BK331" t="e">
        <f>AND('PROG FORMACIÓN TITULADA'!#REF!,"AAAAAH/v3z4=")</f>
        <v>#REF!</v>
      </c>
      <c r="BL331" t="e">
        <f>AND('PROG FORMACIÓN TITULADA'!#REF!,"AAAAAH/v3z8=")</f>
        <v>#REF!</v>
      </c>
      <c r="BM331" t="e">
        <f>AND('PROG FORMACIÓN TITULADA'!#REF!,"AAAAAH/v30A=")</f>
        <v>#REF!</v>
      </c>
      <c r="BN331" t="e">
        <f>AND('PROG FORMACIÓN TITULADA'!#REF!,"AAAAAH/v30E=")</f>
        <v>#REF!</v>
      </c>
      <c r="BO331" t="e">
        <f>AND('PROG FORMACIÓN TITULADA'!#REF!,"AAAAAH/v30I=")</f>
        <v>#REF!</v>
      </c>
      <c r="BP331" t="e">
        <f>AND('PROG FORMACIÓN TITULADA'!#REF!,"AAAAAH/v30M=")</f>
        <v>#REF!</v>
      </c>
      <c r="BQ331" t="e">
        <f>AND('PROG FORMACIÓN TITULADA'!#REF!,"AAAAAH/v30Q=")</f>
        <v>#REF!</v>
      </c>
      <c r="BR331" t="e">
        <f>AND('PROG FORMACIÓN TITULADA'!#REF!,"AAAAAH/v30U=")</f>
        <v>#REF!</v>
      </c>
      <c r="BS331" t="e">
        <f>AND('PROG FORMACIÓN TITULADA'!#REF!,"AAAAAH/v30Y=")</f>
        <v>#REF!</v>
      </c>
      <c r="BT331" t="e">
        <f>AND('PROG FORMACIÓN TITULADA'!#REF!,"AAAAAH/v30c=")</f>
        <v>#REF!</v>
      </c>
      <c r="BU331" t="e">
        <f>AND('PROG FORMACIÓN TITULADA'!#REF!,"AAAAAH/v30g=")</f>
        <v>#REF!</v>
      </c>
      <c r="BV331" t="e">
        <f>AND('PROG FORMACIÓN TITULADA'!#REF!,"AAAAAH/v30k=")</f>
        <v>#REF!</v>
      </c>
      <c r="BW331" t="e">
        <f>AND('PROG FORMACIÓN TITULADA'!#REF!,"AAAAAH/v30o=")</f>
        <v>#REF!</v>
      </c>
      <c r="BX331" t="e">
        <f>AND('PROG FORMACIÓN TITULADA'!#REF!,"AAAAAH/v30s=")</f>
        <v>#REF!</v>
      </c>
      <c r="BY331" t="e">
        <f>AND('PROG FORMACIÓN TITULADA'!#REF!,"AAAAAH/v30w=")</f>
        <v>#REF!</v>
      </c>
      <c r="BZ331" t="e">
        <f>AND('PROG FORMACIÓN TITULADA'!#REF!,"AAAAAH/v300=")</f>
        <v>#REF!</v>
      </c>
      <c r="CA331" t="e">
        <f>AND('PROG FORMACIÓN TITULADA'!#REF!,"AAAAAH/v304=")</f>
        <v>#REF!</v>
      </c>
      <c r="CB331" t="e">
        <f>AND('PROG FORMACIÓN TITULADA'!#REF!,"AAAAAH/v308=")</f>
        <v>#REF!</v>
      </c>
      <c r="CC331" t="e">
        <f>AND('PROG FORMACIÓN TITULADA'!#REF!,"AAAAAH/v31A=")</f>
        <v>#REF!</v>
      </c>
      <c r="CD331" t="e">
        <f>AND('PROG FORMACIÓN TITULADA'!#REF!,"AAAAAH/v31E=")</f>
        <v>#REF!</v>
      </c>
      <c r="CE331" t="e">
        <f>AND('PROG FORMACIÓN TITULADA'!#REF!,"AAAAAH/v31I=")</f>
        <v>#REF!</v>
      </c>
      <c r="CF331" t="e">
        <f>AND('PROG FORMACIÓN TITULADA'!#REF!,"AAAAAH/v31M=")</f>
        <v>#REF!</v>
      </c>
      <c r="CG331" t="e">
        <f>IF('PROG FORMACIÓN TITULADA'!#REF!,"AAAAAH/v31Q=",0)</f>
        <v>#REF!</v>
      </c>
      <c r="CH331" t="e">
        <f>AND('PROG FORMACIÓN TITULADA'!#REF!,"AAAAAH/v31U=")</f>
        <v>#REF!</v>
      </c>
      <c r="CI331" t="e">
        <f>AND('PROG FORMACIÓN TITULADA'!#REF!,"AAAAAH/v31Y=")</f>
        <v>#REF!</v>
      </c>
      <c r="CJ331" t="e">
        <f>AND('PROG FORMACIÓN TITULADA'!#REF!,"AAAAAH/v31c=")</f>
        <v>#REF!</v>
      </c>
      <c r="CK331" t="e">
        <f>AND('PROG FORMACIÓN TITULADA'!#REF!,"AAAAAH/v31g=")</f>
        <v>#REF!</v>
      </c>
      <c r="CL331" t="e">
        <f>AND('PROG FORMACIÓN TITULADA'!#REF!,"AAAAAH/v31k=")</f>
        <v>#REF!</v>
      </c>
      <c r="CM331" t="e">
        <f>AND('PROG FORMACIÓN TITULADA'!#REF!,"AAAAAH/v31o=")</f>
        <v>#REF!</v>
      </c>
      <c r="CN331" t="e">
        <f>AND('PROG FORMACIÓN TITULADA'!#REF!,"AAAAAH/v31s=")</f>
        <v>#REF!</v>
      </c>
      <c r="CO331" t="e">
        <f>AND('PROG FORMACIÓN TITULADA'!#REF!,"AAAAAH/v31w=")</f>
        <v>#REF!</v>
      </c>
      <c r="CP331" t="e">
        <f>AND('PROG FORMACIÓN TITULADA'!#REF!,"AAAAAH/v310=")</f>
        <v>#REF!</v>
      </c>
      <c r="CQ331" t="e">
        <f>AND('PROG FORMACIÓN TITULADA'!#REF!,"AAAAAH/v314=")</f>
        <v>#REF!</v>
      </c>
      <c r="CR331" t="e">
        <f>AND('PROG FORMACIÓN TITULADA'!#REF!,"AAAAAH/v318=")</f>
        <v>#REF!</v>
      </c>
      <c r="CS331" t="e">
        <f>AND('PROG FORMACIÓN TITULADA'!#REF!,"AAAAAH/v32A=")</f>
        <v>#REF!</v>
      </c>
      <c r="CT331" t="e">
        <f>AND('PROG FORMACIÓN TITULADA'!#REF!,"AAAAAH/v32E=")</f>
        <v>#REF!</v>
      </c>
      <c r="CU331" t="e">
        <f>AND('PROG FORMACIÓN TITULADA'!#REF!,"AAAAAH/v32I=")</f>
        <v>#REF!</v>
      </c>
      <c r="CV331" t="e">
        <f>AND('PROG FORMACIÓN TITULADA'!#REF!,"AAAAAH/v32M=")</f>
        <v>#REF!</v>
      </c>
      <c r="CW331" t="e">
        <f>AND('PROG FORMACIÓN TITULADA'!#REF!,"AAAAAH/v32Q=")</f>
        <v>#REF!</v>
      </c>
      <c r="CX331" t="e">
        <f>AND('PROG FORMACIÓN TITULADA'!#REF!,"AAAAAH/v32U=")</f>
        <v>#REF!</v>
      </c>
      <c r="CY331" t="e">
        <f>AND('PROG FORMACIÓN TITULADA'!#REF!,"AAAAAH/v32Y=")</f>
        <v>#REF!</v>
      </c>
      <c r="CZ331" t="e">
        <f>AND('PROG FORMACIÓN TITULADA'!#REF!,"AAAAAH/v32c=")</f>
        <v>#REF!</v>
      </c>
      <c r="DA331" t="e">
        <f>AND('PROG FORMACIÓN TITULADA'!#REF!,"AAAAAH/v32g=")</f>
        <v>#REF!</v>
      </c>
      <c r="DB331" t="e">
        <f>AND('PROG FORMACIÓN TITULADA'!#REF!,"AAAAAH/v32k=")</f>
        <v>#REF!</v>
      </c>
      <c r="DC331" t="e">
        <f>AND('PROG FORMACIÓN TITULADA'!#REF!,"AAAAAH/v32o=")</f>
        <v>#REF!</v>
      </c>
      <c r="DD331" t="e">
        <f>AND('PROG FORMACIÓN TITULADA'!#REF!,"AAAAAH/v32s=")</f>
        <v>#REF!</v>
      </c>
      <c r="DE331" t="e">
        <f>AND('PROG FORMACIÓN TITULADA'!#REF!,"AAAAAH/v32w=")</f>
        <v>#REF!</v>
      </c>
      <c r="DF331" t="e">
        <f>AND('PROG FORMACIÓN TITULADA'!#REF!,"AAAAAH/v320=")</f>
        <v>#REF!</v>
      </c>
      <c r="DG331" t="e">
        <f>AND('PROG FORMACIÓN TITULADA'!#REF!,"AAAAAH/v324=")</f>
        <v>#REF!</v>
      </c>
      <c r="DH331" t="e">
        <f>IF('PROG FORMACIÓN TITULADA'!#REF!,"AAAAAH/v328=",0)</f>
        <v>#REF!</v>
      </c>
      <c r="DI331" t="e">
        <f>AND('PROG FORMACIÓN TITULADA'!#REF!,"AAAAAH/v33A=")</f>
        <v>#REF!</v>
      </c>
      <c r="DJ331" t="e">
        <f>AND('PROG FORMACIÓN TITULADA'!#REF!,"AAAAAH/v33E=")</f>
        <v>#REF!</v>
      </c>
      <c r="DK331" t="e">
        <f>AND('PROG FORMACIÓN TITULADA'!#REF!,"AAAAAH/v33I=")</f>
        <v>#REF!</v>
      </c>
      <c r="DL331" t="e">
        <f>AND('PROG FORMACIÓN TITULADA'!#REF!,"AAAAAH/v33M=")</f>
        <v>#REF!</v>
      </c>
      <c r="DM331" t="e">
        <f>AND('PROG FORMACIÓN TITULADA'!#REF!,"AAAAAH/v33Q=")</f>
        <v>#REF!</v>
      </c>
      <c r="DN331" t="e">
        <f>AND('PROG FORMACIÓN TITULADA'!#REF!,"AAAAAH/v33U=")</f>
        <v>#REF!</v>
      </c>
      <c r="DO331" t="e">
        <f>AND('PROG FORMACIÓN TITULADA'!#REF!,"AAAAAH/v33Y=")</f>
        <v>#REF!</v>
      </c>
      <c r="DP331" t="e">
        <f>AND('PROG FORMACIÓN TITULADA'!#REF!,"AAAAAH/v33c=")</f>
        <v>#REF!</v>
      </c>
      <c r="DQ331" t="e">
        <f>AND('PROG FORMACIÓN TITULADA'!#REF!,"AAAAAH/v33g=")</f>
        <v>#REF!</v>
      </c>
      <c r="DR331" t="e">
        <f>AND('PROG FORMACIÓN TITULADA'!#REF!,"AAAAAH/v33k=")</f>
        <v>#REF!</v>
      </c>
      <c r="DS331" t="e">
        <f>AND('PROG FORMACIÓN TITULADA'!#REF!,"AAAAAH/v33o=")</f>
        <v>#REF!</v>
      </c>
      <c r="DT331" t="e">
        <f>AND('PROG FORMACIÓN TITULADA'!#REF!,"AAAAAH/v33s=")</f>
        <v>#REF!</v>
      </c>
      <c r="DU331" t="e">
        <f>AND('PROG FORMACIÓN TITULADA'!#REF!,"AAAAAH/v33w=")</f>
        <v>#REF!</v>
      </c>
      <c r="DV331" t="e">
        <f>AND('PROG FORMACIÓN TITULADA'!#REF!,"AAAAAH/v330=")</f>
        <v>#REF!</v>
      </c>
      <c r="DW331" t="e">
        <f>AND('PROG FORMACIÓN TITULADA'!#REF!,"AAAAAH/v334=")</f>
        <v>#REF!</v>
      </c>
      <c r="DX331" t="e">
        <f>AND('PROG FORMACIÓN TITULADA'!#REF!,"AAAAAH/v338=")</f>
        <v>#REF!</v>
      </c>
      <c r="DY331" t="e">
        <f>AND('PROG FORMACIÓN TITULADA'!#REF!,"AAAAAH/v34A=")</f>
        <v>#REF!</v>
      </c>
      <c r="DZ331" t="e">
        <f>AND('PROG FORMACIÓN TITULADA'!#REF!,"AAAAAH/v34E=")</f>
        <v>#REF!</v>
      </c>
      <c r="EA331" t="e">
        <f>AND('PROG FORMACIÓN TITULADA'!#REF!,"AAAAAH/v34I=")</f>
        <v>#REF!</v>
      </c>
      <c r="EB331" t="e">
        <f>AND('PROG FORMACIÓN TITULADA'!#REF!,"AAAAAH/v34M=")</f>
        <v>#REF!</v>
      </c>
      <c r="EC331" t="e">
        <f>AND('PROG FORMACIÓN TITULADA'!#REF!,"AAAAAH/v34Q=")</f>
        <v>#REF!</v>
      </c>
      <c r="ED331" t="e">
        <f>AND('PROG FORMACIÓN TITULADA'!#REF!,"AAAAAH/v34U=")</f>
        <v>#REF!</v>
      </c>
      <c r="EE331" t="e">
        <f>AND('PROG FORMACIÓN TITULADA'!#REF!,"AAAAAH/v34Y=")</f>
        <v>#REF!</v>
      </c>
      <c r="EF331" t="e">
        <f>AND('PROG FORMACIÓN TITULADA'!#REF!,"AAAAAH/v34c=")</f>
        <v>#REF!</v>
      </c>
      <c r="EG331" t="e">
        <f>AND('PROG FORMACIÓN TITULADA'!#REF!,"AAAAAH/v34g=")</f>
        <v>#REF!</v>
      </c>
      <c r="EH331" t="e">
        <f>AND('PROG FORMACIÓN TITULADA'!#REF!,"AAAAAH/v34k=")</f>
        <v>#REF!</v>
      </c>
      <c r="EI331" t="e">
        <f>IF('PROG FORMACIÓN TITULADA'!#REF!,"AAAAAH/v34o=",0)</f>
        <v>#REF!</v>
      </c>
      <c r="EJ331" t="e">
        <f>AND('PROG FORMACIÓN TITULADA'!#REF!,"AAAAAH/v34s=")</f>
        <v>#REF!</v>
      </c>
      <c r="EK331" t="e">
        <f>AND('PROG FORMACIÓN TITULADA'!#REF!,"AAAAAH/v34w=")</f>
        <v>#REF!</v>
      </c>
      <c r="EL331" t="e">
        <f>AND('PROG FORMACIÓN TITULADA'!#REF!,"AAAAAH/v340=")</f>
        <v>#REF!</v>
      </c>
      <c r="EM331" t="e">
        <f>AND('PROG FORMACIÓN TITULADA'!#REF!,"AAAAAH/v344=")</f>
        <v>#REF!</v>
      </c>
      <c r="EN331" t="e">
        <f>AND('PROG FORMACIÓN TITULADA'!#REF!,"AAAAAH/v348=")</f>
        <v>#REF!</v>
      </c>
      <c r="EO331" t="e">
        <f>AND('PROG FORMACIÓN TITULADA'!#REF!,"AAAAAH/v35A=")</f>
        <v>#REF!</v>
      </c>
      <c r="EP331" t="e">
        <f>AND('PROG FORMACIÓN TITULADA'!#REF!,"AAAAAH/v35E=")</f>
        <v>#REF!</v>
      </c>
      <c r="EQ331" t="e">
        <f>AND('PROG FORMACIÓN TITULADA'!#REF!,"AAAAAH/v35I=")</f>
        <v>#REF!</v>
      </c>
      <c r="ER331" t="e">
        <f>AND('PROG FORMACIÓN TITULADA'!#REF!,"AAAAAH/v35M=")</f>
        <v>#REF!</v>
      </c>
      <c r="ES331" t="e">
        <f>AND('PROG FORMACIÓN TITULADA'!#REF!,"AAAAAH/v35Q=")</f>
        <v>#REF!</v>
      </c>
      <c r="ET331" t="e">
        <f>AND('PROG FORMACIÓN TITULADA'!#REF!,"AAAAAH/v35U=")</f>
        <v>#REF!</v>
      </c>
      <c r="EU331" t="e">
        <f>AND('PROG FORMACIÓN TITULADA'!#REF!,"AAAAAH/v35Y=")</f>
        <v>#REF!</v>
      </c>
      <c r="EV331" t="e">
        <f>AND('PROG FORMACIÓN TITULADA'!#REF!,"AAAAAH/v35c=")</f>
        <v>#REF!</v>
      </c>
      <c r="EW331" t="e">
        <f>AND('PROG FORMACIÓN TITULADA'!#REF!,"AAAAAH/v35g=")</f>
        <v>#REF!</v>
      </c>
      <c r="EX331" t="e">
        <f>AND('PROG FORMACIÓN TITULADA'!#REF!,"AAAAAH/v35k=")</f>
        <v>#REF!</v>
      </c>
      <c r="EY331" t="e">
        <f>AND('PROG FORMACIÓN TITULADA'!#REF!,"AAAAAH/v35o=")</f>
        <v>#REF!</v>
      </c>
      <c r="EZ331" t="e">
        <f>AND('PROG FORMACIÓN TITULADA'!#REF!,"AAAAAH/v35s=")</f>
        <v>#REF!</v>
      </c>
      <c r="FA331" t="e">
        <f>AND('PROG FORMACIÓN TITULADA'!#REF!,"AAAAAH/v35w=")</f>
        <v>#REF!</v>
      </c>
      <c r="FB331" t="e">
        <f>AND('PROG FORMACIÓN TITULADA'!#REF!,"AAAAAH/v350=")</f>
        <v>#REF!</v>
      </c>
      <c r="FC331" t="e">
        <f>AND('PROG FORMACIÓN TITULADA'!#REF!,"AAAAAH/v354=")</f>
        <v>#REF!</v>
      </c>
      <c r="FD331" t="e">
        <f>AND('PROG FORMACIÓN TITULADA'!#REF!,"AAAAAH/v358=")</f>
        <v>#REF!</v>
      </c>
      <c r="FE331" t="e">
        <f>AND('PROG FORMACIÓN TITULADA'!#REF!,"AAAAAH/v36A=")</f>
        <v>#REF!</v>
      </c>
      <c r="FF331" t="e">
        <f>AND('PROG FORMACIÓN TITULADA'!#REF!,"AAAAAH/v36E=")</f>
        <v>#REF!</v>
      </c>
      <c r="FG331" t="e">
        <f>AND('PROG FORMACIÓN TITULADA'!#REF!,"AAAAAH/v36I=")</f>
        <v>#REF!</v>
      </c>
      <c r="FH331" t="e">
        <f>AND('PROG FORMACIÓN TITULADA'!#REF!,"AAAAAH/v36M=")</f>
        <v>#REF!</v>
      </c>
      <c r="FI331" t="e">
        <f>AND('PROG FORMACIÓN TITULADA'!#REF!,"AAAAAH/v36Q=")</f>
        <v>#REF!</v>
      </c>
      <c r="FJ331" t="e">
        <f>IF('PROG FORMACIÓN TITULADA'!#REF!,"AAAAAH/v36U=",0)</f>
        <v>#REF!</v>
      </c>
      <c r="FK331" t="e">
        <f>AND('PROG FORMACIÓN TITULADA'!#REF!,"AAAAAH/v36Y=")</f>
        <v>#REF!</v>
      </c>
      <c r="FL331" t="e">
        <f>AND('PROG FORMACIÓN TITULADA'!#REF!,"AAAAAH/v36c=")</f>
        <v>#REF!</v>
      </c>
      <c r="FM331" t="e">
        <f>AND('PROG FORMACIÓN TITULADA'!#REF!,"AAAAAH/v36g=")</f>
        <v>#REF!</v>
      </c>
      <c r="FN331" t="e">
        <f>AND('PROG FORMACIÓN TITULADA'!#REF!,"AAAAAH/v36k=")</f>
        <v>#REF!</v>
      </c>
      <c r="FO331" t="e">
        <f>AND('PROG FORMACIÓN TITULADA'!#REF!,"AAAAAH/v36o=")</f>
        <v>#REF!</v>
      </c>
      <c r="FP331" t="e">
        <f>AND('PROG FORMACIÓN TITULADA'!#REF!,"AAAAAH/v36s=")</f>
        <v>#REF!</v>
      </c>
      <c r="FQ331" t="e">
        <f>AND('PROG FORMACIÓN TITULADA'!#REF!,"AAAAAH/v36w=")</f>
        <v>#REF!</v>
      </c>
      <c r="FR331" t="e">
        <f>AND('PROG FORMACIÓN TITULADA'!#REF!,"AAAAAH/v360=")</f>
        <v>#REF!</v>
      </c>
      <c r="FS331" t="e">
        <f>AND('PROG FORMACIÓN TITULADA'!#REF!,"AAAAAH/v364=")</f>
        <v>#REF!</v>
      </c>
      <c r="FT331" t="e">
        <f>AND('PROG FORMACIÓN TITULADA'!#REF!,"AAAAAH/v368=")</f>
        <v>#REF!</v>
      </c>
      <c r="FU331" t="e">
        <f>AND('PROG FORMACIÓN TITULADA'!#REF!,"AAAAAH/v37A=")</f>
        <v>#REF!</v>
      </c>
      <c r="FV331" t="e">
        <f>AND('PROG FORMACIÓN TITULADA'!#REF!,"AAAAAH/v37E=")</f>
        <v>#REF!</v>
      </c>
      <c r="FW331" t="e">
        <f>AND('PROG FORMACIÓN TITULADA'!#REF!,"AAAAAH/v37I=")</f>
        <v>#REF!</v>
      </c>
      <c r="FX331" t="e">
        <f>AND('PROG FORMACIÓN TITULADA'!#REF!,"AAAAAH/v37M=")</f>
        <v>#REF!</v>
      </c>
      <c r="FY331" t="e">
        <f>AND('PROG FORMACIÓN TITULADA'!#REF!,"AAAAAH/v37Q=")</f>
        <v>#REF!</v>
      </c>
      <c r="FZ331" t="e">
        <f>AND('PROG FORMACIÓN TITULADA'!#REF!,"AAAAAH/v37U=")</f>
        <v>#REF!</v>
      </c>
      <c r="GA331" t="e">
        <f>AND('PROG FORMACIÓN TITULADA'!#REF!,"AAAAAH/v37Y=")</f>
        <v>#REF!</v>
      </c>
      <c r="GB331" t="e">
        <f>AND('PROG FORMACIÓN TITULADA'!#REF!,"AAAAAH/v37c=")</f>
        <v>#REF!</v>
      </c>
      <c r="GC331" t="e">
        <f>AND('PROG FORMACIÓN TITULADA'!#REF!,"AAAAAH/v37g=")</f>
        <v>#REF!</v>
      </c>
      <c r="GD331" t="e">
        <f>AND('PROG FORMACIÓN TITULADA'!#REF!,"AAAAAH/v37k=")</f>
        <v>#REF!</v>
      </c>
      <c r="GE331" t="e">
        <f>AND('PROG FORMACIÓN TITULADA'!#REF!,"AAAAAH/v37o=")</f>
        <v>#REF!</v>
      </c>
      <c r="GF331" t="e">
        <f>AND('PROG FORMACIÓN TITULADA'!#REF!,"AAAAAH/v37s=")</f>
        <v>#REF!</v>
      </c>
      <c r="GG331" t="e">
        <f>AND('PROG FORMACIÓN TITULADA'!#REF!,"AAAAAH/v37w=")</f>
        <v>#REF!</v>
      </c>
      <c r="GH331" t="e">
        <f>AND('PROG FORMACIÓN TITULADA'!#REF!,"AAAAAH/v370=")</f>
        <v>#REF!</v>
      </c>
      <c r="GI331" t="e">
        <f>AND('PROG FORMACIÓN TITULADA'!#REF!,"AAAAAH/v374=")</f>
        <v>#REF!</v>
      </c>
      <c r="GJ331" t="e">
        <f>AND('PROG FORMACIÓN TITULADA'!#REF!,"AAAAAH/v378=")</f>
        <v>#REF!</v>
      </c>
      <c r="GK331" t="e">
        <f>IF('PROG FORMACIÓN TITULADA'!#REF!,"AAAAAH/v38A=",0)</f>
        <v>#REF!</v>
      </c>
      <c r="GL331" t="e">
        <f>AND('PROG FORMACIÓN TITULADA'!#REF!,"AAAAAH/v38E=")</f>
        <v>#REF!</v>
      </c>
      <c r="GM331" t="e">
        <f>AND('PROG FORMACIÓN TITULADA'!#REF!,"AAAAAH/v38I=")</f>
        <v>#REF!</v>
      </c>
      <c r="GN331" t="e">
        <f>AND('PROG FORMACIÓN TITULADA'!#REF!,"AAAAAH/v38M=")</f>
        <v>#REF!</v>
      </c>
      <c r="GO331" t="e">
        <f>AND('PROG FORMACIÓN TITULADA'!#REF!,"AAAAAH/v38Q=")</f>
        <v>#REF!</v>
      </c>
      <c r="GP331" t="e">
        <f>AND('PROG FORMACIÓN TITULADA'!#REF!,"AAAAAH/v38U=")</f>
        <v>#REF!</v>
      </c>
      <c r="GQ331" t="e">
        <f>AND('PROG FORMACIÓN TITULADA'!#REF!,"AAAAAH/v38Y=")</f>
        <v>#REF!</v>
      </c>
      <c r="GR331" t="e">
        <f>AND('PROG FORMACIÓN TITULADA'!#REF!,"AAAAAH/v38c=")</f>
        <v>#REF!</v>
      </c>
      <c r="GS331" t="e">
        <f>AND('PROG FORMACIÓN TITULADA'!#REF!,"AAAAAH/v38g=")</f>
        <v>#REF!</v>
      </c>
      <c r="GT331" t="e">
        <f>AND('PROG FORMACIÓN TITULADA'!#REF!,"AAAAAH/v38k=")</f>
        <v>#REF!</v>
      </c>
      <c r="GU331" t="e">
        <f>AND('PROG FORMACIÓN TITULADA'!#REF!,"AAAAAH/v38o=")</f>
        <v>#REF!</v>
      </c>
      <c r="GV331" t="e">
        <f>AND('PROG FORMACIÓN TITULADA'!#REF!,"AAAAAH/v38s=")</f>
        <v>#REF!</v>
      </c>
      <c r="GW331" t="e">
        <f>AND('PROG FORMACIÓN TITULADA'!#REF!,"AAAAAH/v38w=")</f>
        <v>#REF!</v>
      </c>
      <c r="GX331" t="e">
        <f>AND('PROG FORMACIÓN TITULADA'!#REF!,"AAAAAH/v380=")</f>
        <v>#REF!</v>
      </c>
      <c r="GY331" t="e">
        <f>AND('PROG FORMACIÓN TITULADA'!#REF!,"AAAAAH/v384=")</f>
        <v>#REF!</v>
      </c>
      <c r="GZ331" t="e">
        <f>AND('PROG FORMACIÓN TITULADA'!#REF!,"AAAAAH/v388=")</f>
        <v>#REF!</v>
      </c>
      <c r="HA331" t="e">
        <f>AND('PROG FORMACIÓN TITULADA'!#REF!,"AAAAAH/v39A=")</f>
        <v>#REF!</v>
      </c>
      <c r="HB331" t="e">
        <f>AND('PROG FORMACIÓN TITULADA'!#REF!,"AAAAAH/v39E=")</f>
        <v>#REF!</v>
      </c>
      <c r="HC331" t="e">
        <f>AND('PROG FORMACIÓN TITULADA'!#REF!,"AAAAAH/v39I=")</f>
        <v>#REF!</v>
      </c>
      <c r="HD331" t="e">
        <f>AND('PROG FORMACIÓN TITULADA'!#REF!,"AAAAAH/v39M=")</f>
        <v>#REF!</v>
      </c>
      <c r="HE331" t="e">
        <f>AND('PROG FORMACIÓN TITULADA'!#REF!,"AAAAAH/v39Q=")</f>
        <v>#REF!</v>
      </c>
      <c r="HF331" t="e">
        <f>AND('PROG FORMACIÓN TITULADA'!#REF!,"AAAAAH/v39U=")</f>
        <v>#REF!</v>
      </c>
      <c r="HG331" t="e">
        <f>AND('PROG FORMACIÓN TITULADA'!#REF!,"AAAAAH/v39Y=")</f>
        <v>#REF!</v>
      </c>
      <c r="HH331" t="e">
        <f>AND('PROG FORMACIÓN TITULADA'!#REF!,"AAAAAH/v39c=")</f>
        <v>#REF!</v>
      </c>
      <c r="HI331" t="e">
        <f>AND('PROG FORMACIÓN TITULADA'!#REF!,"AAAAAH/v39g=")</f>
        <v>#REF!</v>
      </c>
      <c r="HJ331" t="e">
        <f>AND('PROG FORMACIÓN TITULADA'!#REF!,"AAAAAH/v39k=")</f>
        <v>#REF!</v>
      </c>
      <c r="HK331" t="e">
        <f>AND('PROG FORMACIÓN TITULADA'!#REF!,"AAAAAH/v39o=")</f>
        <v>#REF!</v>
      </c>
      <c r="HL331" t="e">
        <f>IF('PROG FORMACIÓN TITULADA'!#REF!,"AAAAAH/v39s=",0)</f>
        <v>#REF!</v>
      </c>
      <c r="HM331" t="e">
        <f>AND('PROG FORMACIÓN TITULADA'!#REF!,"AAAAAH/v39w=")</f>
        <v>#REF!</v>
      </c>
      <c r="HN331" t="e">
        <f>AND('PROG FORMACIÓN TITULADA'!#REF!,"AAAAAH/v390=")</f>
        <v>#REF!</v>
      </c>
      <c r="HO331" t="e">
        <f>AND('PROG FORMACIÓN TITULADA'!#REF!,"AAAAAH/v394=")</f>
        <v>#REF!</v>
      </c>
      <c r="HP331" t="e">
        <f>AND('PROG FORMACIÓN TITULADA'!#REF!,"AAAAAH/v398=")</f>
        <v>#REF!</v>
      </c>
      <c r="HQ331" t="e">
        <f>AND('PROG FORMACIÓN TITULADA'!#REF!,"AAAAAH/v3+A=")</f>
        <v>#REF!</v>
      </c>
      <c r="HR331" t="e">
        <f>AND('PROG FORMACIÓN TITULADA'!#REF!,"AAAAAH/v3+E=")</f>
        <v>#REF!</v>
      </c>
      <c r="HS331" t="e">
        <f>AND('PROG FORMACIÓN TITULADA'!#REF!,"AAAAAH/v3+I=")</f>
        <v>#REF!</v>
      </c>
      <c r="HT331" t="e">
        <f>AND('PROG FORMACIÓN TITULADA'!#REF!,"AAAAAH/v3+M=")</f>
        <v>#REF!</v>
      </c>
      <c r="HU331" t="e">
        <f>AND('PROG FORMACIÓN TITULADA'!#REF!,"AAAAAH/v3+Q=")</f>
        <v>#REF!</v>
      </c>
      <c r="HV331" t="e">
        <f>AND('PROG FORMACIÓN TITULADA'!#REF!,"AAAAAH/v3+U=")</f>
        <v>#REF!</v>
      </c>
      <c r="HW331" t="e">
        <f>AND('PROG FORMACIÓN TITULADA'!#REF!,"AAAAAH/v3+Y=")</f>
        <v>#REF!</v>
      </c>
      <c r="HX331" t="e">
        <f>AND('PROG FORMACIÓN TITULADA'!#REF!,"AAAAAH/v3+c=")</f>
        <v>#REF!</v>
      </c>
      <c r="HY331" t="e">
        <f>AND('PROG FORMACIÓN TITULADA'!#REF!,"AAAAAH/v3+g=")</f>
        <v>#REF!</v>
      </c>
      <c r="HZ331" t="e">
        <f>AND('PROG FORMACIÓN TITULADA'!#REF!,"AAAAAH/v3+k=")</f>
        <v>#REF!</v>
      </c>
      <c r="IA331" t="e">
        <f>AND('PROG FORMACIÓN TITULADA'!#REF!,"AAAAAH/v3+o=")</f>
        <v>#REF!</v>
      </c>
      <c r="IB331" t="e">
        <f>AND('PROG FORMACIÓN TITULADA'!#REF!,"AAAAAH/v3+s=")</f>
        <v>#REF!</v>
      </c>
      <c r="IC331" t="e">
        <f>AND('PROG FORMACIÓN TITULADA'!#REF!,"AAAAAH/v3+w=")</f>
        <v>#REF!</v>
      </c>
      <c r="ID331" t="e">
        <f>AND('PROG FORMACIÓN TITULADA'!#REF!,"AAAAAH/v3+0=")</f>
        <v>#REF!</v>
      </c>
      <c r="IE331" t="e">
        <f>AND('PROG FORMACIÓN TITULADA'!#REF!,"AAAAAH/v3+4=")</f>
        <v>#REF!</v>
      </c>
      <c r="IF331" t="e">
        <f>AND('PROG FORMACIÓN TITULADA'!#REF!,"AAAAAH/v3+8=")</f>
        <v>#REF!</v>
      </c>
      <c r="IG331" t="e">
        <f>AND('PROG FORMACIÓN TITULADA'!#REF!,"AAAAAH/v3/A=")</f>
        <v>#REF!</v>
      </c>
      <c r="IH331" t="e">
        <f>AND('PROG FORMACIÓN TITULADA'!#REF!,"AAAAAH/v3/E=")</f>
        <v>#REF!</v>
      </c>
      <c r="II331" t="e">
        <f>AND('PROG FORMACIÓN TITULADA'!#REF!,"AAAAAH/v3/I=")</f>
        <v>#REF!</v>
      </c>
      <c r="IJ331" t="e">
        <f>AND('PROG FORMACIÓN TITULADA'!#REF!,"AAAAAH/v3/M=")</f>
        <v>#REF!</v>
      </c>
      <c r="IK331" t="e">
        <f>AND('PROG FORMACIÓN TITULADA'!#REF!,"AAAAAH/v3/Q=")</f>
        <v>#REF!</v>
      </c>
      <c r="IL331" t="e">
        <f>AND('PROG FORMACIÓN TITULADA'!#REF!,"AAAAAH/v3/U=")</f>
        <v>#REF!</v>
      </c>
      <c r="IM331" t="e">
        <f>IF('PROG FORMACIÓN TITULADA'!#REF!,"AAAAAH/v3/Y=",0)</f>
        <v>#REF!</v>
      </c>
      <c r="IN331" t="e">
        <f>AND('PROG FORMACIÓN TITULADA'!#REF!,"AAAAAH/v3/c=")</f>
        <v>#REF!</v>
      </c>
      <c r="IO331" t="e">
        <f>AND('PROG FORMACIÓN TITULADA'!#REF!,"AAAAAH/v3/g=")</f>
        <v>#REF!</v>
      </c>
      <c r="IP331" t="e">
        <f>AND('PROG FORMACIÓN TITULADA'!#REF!,"AAAAAH/v3/k=")</f>
        <v>#REF!</v>
      </c>
      <c r="IQ331" t="e">
        <f>AND('PROG FORMACIÓN TITULADA'!#REF!,"AAAAAH/v3/o=")</f>
        <v>#REF!</v>
      </c>
      <c r="IR331" t="e">
        <f>AND('PROG FORMACIÓN TITULADA'!#REF!,"AAAAAH/v3/s=")</f>
        <v>#REF!</v>
      </c>
      <c r="IS331" t="e">
        <f>AND('PROG FORMACIÓN TITULADA'!#REF!,"AAAAAH/v3/w=")</f>
        <v>#REF!</v>
      </c>
      <c r="IT331" t="e">
        <f>AND('PROG FORMACIÓN TITULADA'!#REF!,"AAAAAH/v3/0=")</f>
        <v>#REF!</v>
      </c>
      <c r="IU331" t="e">
        <f>AND('PROG FORMACIÓN TITULADA'!#REF!,"AAAAAH/v3/4=")</f>
        <v>#REF!</v>
      </c>
      <c r="IV331" t="e">
        <f>AND('PROG FORMACIÓN TITULADA'!#REF!,"AAAAAH/v3/8=")</f>
        <v>#REF!</v>
      </c>
    </row>
    <row r="332" spans="1:256" x14ac:dyDescent="0.2">
      <c r="A332" t="e">
        <f>AND('PROG FORMACIÓN TITULADA'!#REF!,"AAAAAB/lvQA=")</f>
        <v>#REF!</v>
      </c>
      <c r="B332" t="e">
        <f>AND('PROG FORMACIÓN TITULADA'!#REF!,"AAAAAB/lvQE=")</f>
        <v>#REF!</v>
      </c>
      <c r="C332" t="e">
        <f>AND('PROG FORMACIÓN TITULADA'!#REF!,"AAAAAB/lvQI=")</f>
        <v>#REF!</v>
      </c>
      <c r="D332" t="e">
        <f>AND('PROG FORMACIÓN TITULADA'!#REF!,"AAAAAB/lvQM=")</f>
        <v>#REF!</v>
      </c>
      <c r="E332" t="e">
        <f>AND('PROG FORMACIÓN TITULADA'!#REF!,"AAAAAB/lvQQ=")</f>
        <v>#REF!</v>
      </c>
      <c r="F332" t="e">
        <f>AND('PROG FORMACIÓN TITULADA'!#REF!,"AAAAAB/lvQU=")</f>
        <v>#REF!</v>
      </c>
      <c r="G332" t="e">
        <f>AND('PROG FORMACIÓN TITULADA'!#REF!,"AAAAAB/lvQY=")</f>
        <v>#REF!</v>
      </c>
      <c r="H332" t="e">
        <f>AND('PROG FORMACIÓN TITULADA'!#REF!,"AAAAAB/lvQc=")</f>
        <v>#REF!</v>
      </c>
      <c r="I332" t="e">
        <f>AND('PROG FORMACIÓN TITULADA'!#REF!,"AAAAAB/lvQg=")</f>
        <v>#REF!</v>
      </c>
      <c r="J332" t="e">
        <f>AND('PROG FORMACIÓN TITULADA'!#REF!,"AAAAAB/lvQk=")</f>
        <v>#REF!</v>
      </c>
      <c r="K332" t="e">
        <f>AND('PROG FORMACIÓN TITULADA'!#REF!,"AAAAAB/lvQo=")</f>
        <v>#REF!</v>
      </c>
      <c r="L332" t="e">
        <f>AND('PROG FORMACIÓN TITULADA'!#REF!,"AAAAAB/lvQs=")</f>
        <v>#REF!</v>
      </c>
      <c r="M332" t="e">
        <f>AND('PROG FORMACIÓN TITULADA'!#REF!,"AAAAAB/lvQw=")</f>
        <v>#REF!</v>
      </c>
      <c r="N332" t="e">
        <f>AND('PROG FORMACIÓN TITULADA'!#REF!,"AAAAAB/lvQ0=")</f>
        <v>#REF!</v>
      </c>
      <c r="O332" t="e">
        <f>AND('PROG FORMACIÓN TITULADA'!#REF!,"AAAAAB/lvQ4=")</f>
        <v>#REF!</v>
      </c>
      <c r="P332" t="e">
        <f>AND('PROG FORMACIÓN TITULADA'!#REF!,"AAAAAB/lvQ8=")</f>
        <v>#REF!</v>
      </c>
      <c r="Q332" t="e">
        <f>AND('PROG FORMACIÓN TITULADA'!#REF!,"AAAAAB/lvRA=")</f>
        <v>#REF!</v>
      </c>
      <c r="R332" t="e">
        <f>IF('PROG FORMACIÓN TITULADA'!#REF!,"AAAAAB/lvRE=",0)</f>
        <v>#REF!</v>
      </c>
      <c r="S332" t="e">
        <f>AND('PROG FORMACIÓN TITULADA'!#REF!,"AAAAAB/lvRI=")</f>
        <v>#REF!</v>
      </c>
      <c r="T332" t="e">
        <f>AND('PROG FORMACIÓN TITULADA'!#REF!,"AAAAAB/lvRM=")</f>
        <v>#REF!</v>
      </c>
      <c r="U332" t="e">
        <f>AND('PROG FORMACIÓN TITULADA'!#REF!,"AAAAAB/lvRQ=")</f>
        <v>#REF!</v>
      </c>
      <c r="V332" t="e">
        <f>AND('PROG FORMACIÓN TITULADA'!#REF!,"AAAAAB/lvRU=")</f>
        <v>#REF!</v>
      </c>
      <c r="W332" t="e">
        <f>AND('PROG FORMACIÓN TITULADA'!#REF!,"AAAAAB/lvRY=")</f>
        <v>#REF!</v>
      </c>
      <c r="X332" t="e">
        <f>AND('PROG FORMACIÓN TITULADA'!#REF!,"AAAAAB/lvRc=")</f>
        <v>#REF!</v>
      </c>
      <c r="Y332" t="e">
        <f>AND('PROG FORMACIÓN TITULADA'!#REF!,"AAAAAB/lvRg=")</f>
        <v>#REF!</v>
      </c>
      <c r="Z332" t="e">
        <f>AND('PROG FORMACIÓN TITULADA'!#REF!,"AAAAAB/lvRk=")</f>
        <v>#REF!</v>
      </c>
      <c r="AA332" t="e">
        <f>AND('PROG FORMACIÓN TITULADA'!#REF!,"AAAAAB/lvRo=")</f>
        <v>#REF!</v>
      </c>
      <c r="AB332" t="e">
        <f>AND('PROG FORMACIÓN TITULADA'!#REF!,"AAAAAB/lvRs=")</f>
        <v>#REF!</v>
      </c>
      <c r="AC332" t="e">
        <f>AND('PROG FORMACIÓN TITULADA'!#REF!,"AAAAAB/lvRw=")</f>
        <v>#REF!</v>
      </c>
      <c r="AD332" t="e">
        <f>AND('PROG FORMACIÓN TITULADA'!#REF!,"AAAAAB/lvR0=")</f>
        <v>#REF!</v>
      </c>
      <c r="AE332" t="e">
        <f>AND('PROG FORMACIÓN TITULADA'!#REF!,"AAAAAB/lvR4=")</f>
        <v>#REF!</v>
      </c>
      <c r="AF332" t="e">
        <f>AND('PROG FORMACIÓN TITULADA'!#REF!,"AAAAAB/lvR8=")</f>
        <v>#REF!</v>
      </c>
      <c r="AG332" t="e">
        <f>AND('PROG FORMACIÓN TITULADA'!#REF!,"AAAAAB/lvSA=")</f>
        <v>#REF!</v>
      </c>
      <c r="AH332" t="e">
        <f>AND('PROG FORMACIÓN TITULADA'!#REF!,"AAAAAB/lvSE=")</f>
        <v>#REF!</v>
      </c>
      <c r="AI332" t="e">
        <f>AND('PROG FORMACIÓN TITULADA'!#REF!,"AAAAAB/lvSI=")</f>
        <v>#REF!</v>
      </c>
      <c r="AJ332" t="e">
        <f>AND('PROG FORMACIÓN TITULADA'!#REF!,"AAAAAB/lvSM=")</f>
        <v>#REF!</v>
      </c>
      <c r="AK332" t="e">
        <f>AND('PROG FORMACIÓN TITULADA'!#REF!,"AAAAAB/lvSQ=")</f>
        <v>#REF!</v>
      </c>
      <c r="AL332" t="e">
        <f>AND('PROG FORMACIÓN TITULADA'!#REF!,"AAAAAB/lvSU=")</f>
        <v>#REF!</v>
      </c>
      <c r="AM332" t="e">
        <f>AND('PROG FORMACIÓN TITULADA'!#REF!,"AAAAAB/lvSY=")</f>
        <v>#REF!</v>
      </c>
      <c r="AN332" t="e">
        <f>AND('PROG FORMACIÓN TITULADA'!#REF!,"AAAAAB/lvSc=")</f>
        <v>#REF!</v>
      </c>
      <c r="AO332" t="e">
        <f>AND('PROG FORMACIÓN TITULADA'!#REF!,"AAAAAB/lvSg=")</f>
        <v>#REF!</v>
      </c>
      <c r="AP332" t="e">
        <f>AND('PROG FORMACIÓN TITULADA'!#REF!,"AAAAAB/lvSk=")</f>
        <v>#REF!</v>
      </c>
      <c r="AQ332" t="e">
        <f>AND('PROG FORMACIÓN TITULADA'!#REF!,"AAAAAB/lvSo=")</f>
        <v>#REF!</v>
      </c>
      <c r="AR332" t="e">
        <f>AND('PROG FORMACIÓN TITULADA'!#REF!,"AAAAAB/lvSs=")</f>
        <v>#REF!</v>
      </c>
      <c r="AS332" t="e">
        <f>IF('PROG FORMACIÓN TITULADA'!#REF!,"AAAAAB/lvSw=",0)</f>
        <v>#REF!</v>
      </c>
      <c r="AT332" t="e">
        <f>AND('PROG FORMACIÓN TITULADA'!#REF!,"AAAAAB/lvS0=")</f>
        <v>#REF!</v>
      </c>
      <c r="AU332" t="e">
        <f>AND('PROG FORMACIÓN TITULADA'!#REF!,"AAAAAB/lvS4=")</f>
        <v>#REF!</v>
      </c>
      <c r="AV332" t="e">
        <f>AND('PROG FORMACIÓN TITULADA'!#REF!,"AAAAAB/lvS8=")</f>
        <v>#REF!</v>
      </c>
      <c r="AW332" t="e">
        <f>AND('PROG FORMACIÓN TITULADA'!#REF!,"AAAAAB/lvTA=")</f>
        <v>#REF!</v>
      </c>
      <c r="AX332" t="e">
        <f>AND('PROG FORMACIÓN TITULADA'!#REF!,"AAAAAB/lvTE=")</f>
        <v>#REF!</v>
      </c>
      <c r="AY332" t="e">
        <f>AND('PROG FORMACIÓN TITULADA'!#REF!,"AAAAAB/lvTI=")</f>
        <v>#REF!</v>
      </c>
      <c r="AZ332" t="e">
        <f>AND('PROG FORMACIÓN TITULADA'!#REF!,"AAAAAB/lvTM=")</f>
        <v>#REF!</v>
      </c>
      <c r="BA332" t="e">
        <f>AND('PROG FORMACIÓN TITULADA'!#REF!,"AAAAAB/lvTQ=")</f>
        <v>#REF!</v>
      </c>
      <c r="BB332" t="e">
        <f>AND('PROG FORMACIÓN TITULADA'!#REF!,"AAAAAB/lvTU=")</f>
        <v>#REF!</v>
      </c>
      <c r="BC332" t="e">
        <f>AND('PROG FORMACIÓN TITULADA'!#REF!,"AAAAAB/lvTY=")</f>
        <v>#REF!</v>
      </c>
      <c r="BD332" t="e">
        <f>AND('PROG FORMACIÓN TITULADA'!#REF!,"AAAAAB/lvTc=")</f>
        <v>#REF!</v>
      </c>
      <c r="BE332" t="e">
        <f>AND('PROG FORMACIÓN TITULADA'!#REF!,"AAAAAB/lvTg=")</f>
        <v>#REF!</v>
      </c>
      <c r="BF332" t="e">
        <f>AND('PROG FORMACIÓN TITULADA'!#REF!,"AAAAAB/lvTk=")</f>
        <v>#REF!</v>
      </c>
      <c r="BG332" t="e">
        <f>AND('PROG FORMACIÓN TITULADA'!#REF!,"AAAAAB/lvTo=")</f>
        <v>#REF!</v>
      </c>
      <c r="BH332" t="e">
        <f>AND('PROG FORMACIÓN TITULADA'!#REF!,"AAAAAB/lvTs=")</f>
        <v>#REF!</v>
      </c>
      <c r="BI332" t="e">
        <f>AND('PROG FORMACIÓN TITULADA'!#REF!,"AAAAAB/lvTw=")</f>
        <v>#REF!</v>
      </c>
      <c r="BJ332" t="e">
        <f>AND('PROG FORMACIÓN TITULADA'!#REF!,"AAAAAB/lvT0=")</f>
        <v>#REF!</v>
      </c>
      <c r="BK332" t="e">
        <f>AND('PROG FORMACIÓN TITULADA'!#REF!,"AAAAAB/lvT4=")</f>
        <v>#REF!</v>
      </c>
      <c r="BL332" t="e">
        <f>AND('PROG FORMACIÓN TITULADA'!#REF!,"AAAAAB/lvT8=")</f>
        <v>#REF!</v>
      </c>
      <c r="BM332" t="e">
        <f>AND('PROG FORMACIÓN TITULADA'!#REF!,"AAAAAB/lvUA=")</f>
        <v>#REF!</v>
      </c>
      <c r="BN332" t="e">
        <f>AND('PROG FORMACIÓN TITULADA'!#REF!,"AAAAAB/lvUE=")</f>
        <v>#REF!</v>
      </c>
      <c r="BO332" t="e">
        <f>AND('PROG FORMACIÓN TITULADA'!#REF!,"AAAAAB/lvUI=")</f>
        <v>#REF!</v>
      </c>
      <c r="BP332" t="e">
        <f>AND('PROG FORMACIÓN TITULADA'!#REF!,"AAAAAB/lvUM=")</f>
        <v>#REF!</v>
      </c>
      <c r="BQ332" t="e">
        <f>AND('PROG FORMACIÓN TITULADA'!#REF!,"AAAAAB/lvUQ=")</f>
        <v>#REF!</v>
      </c>
      <c r="BR332" t="e">
        <f>AND('PROG FORMACIÓN TITULADA'!#REF!,"AAAAAB/lvUU=")</f>
        <v>#REF!</v>
      </c>
      <c r="BS332" t="e">
        <f>AND('PROG FORMACIÓN TITULADA'!#REF!,"AAAAAB/lvUY=")</f>
        <v>#REF!</v>
      </c>
      <c r="BT332" t="e">
        <f>IF('PROG FORMACIÓN TITULADA'!#REF!,"AAAAAB/lvUc=",0)</f>
        <v>#REF!</v>
      </c>
      <c r="BU332" t="e">
        <f>AND('PROG FORMACIÓN TITULADA'!#REF!,"AAAAAB/lvUg=")</f>
        <v>#REF!</v>
      </c>
      <c r="BV332" t="e">
        <f>AND('PROG FORMACIÓN TITULADA'!#REF!,"AAAAAB/lvUk=")</f>
        <v>#REF!</v>
      </c>
      <c r="BW332" t="e">
        <f>AND('PROG FORMACIÓN TITULADA'!#REF!,"AAAAAB/lvUo=")</f>
        <v>#REF!</v>
      </c>
      <c r="BX332" t="e">
        <f>AND('PROG FORMACIÓN TITULADA'!#REF!,"AAAAAB/lvUs=")</f>
        <v>#REF!</v>
      </c>
      <c r="BY332" t="e">
        <f>AND('PROG FORMACIÓN TITULADA'!#REF!,"AAAAAB/lvUw=")</f>
        <v>#REF!</v>
      </c>
      <c r="BZ332" t="e">
        <f>AND('PROG FORMACIÓN TITULADA'!#REF!,"AAAAAB/lvU0=")</f>
        <v>#REF!</v>
      </c>
      <c r="CA332" t="e">
        <f>AND('PROG FORMACIÓN TITULADA'!#REF!,"AAAAAB/lvU4=")</f>
        <v>#REF!</v>
      </c>
      <c r="CB332" t="e">
        <f>AND('PROG FORMACIÓN TITULADA'!#REF!,"AAAAAB/lvU8=")</f>
        <v>#REF!</v>
      </c>
      <c r="CC332" t="e">
        <f>AND('PROG FORMACIÓN TITULADA'!#REF!,"AAAAAB/lvVA=")</f>
        <v>#REF!</v>
      </c>
      <c r="CD332" t="e">
        <f>AND('PROG FORMACIÓN TITULADA'!#REF!,"AAAAAB/lvVE=")</f>
        <v>#REF!</v>
      </c>
      <c r="CE332" t="e">
        <f>AND('PROG FORMACIÓN TITULADA'!#REF!,"AAAAAB/lvVI=")</f>
        <v>#REF!</v>
      </c>
      <c r="CF332" t="e">
        <f>AND('PROG FORMACIÓN TITULADA'!#REF!,"AAAAAB/lvVM=")</f>
        <v>#REF!</v>
      </c>
      <c r="CG332" t="e">
        <f>AND('PROG FORMACIÓN TITULADA'!#REF!,"AAAAAB/lvVQ=")</f>
        <v>#REF!</v>
      </c>
      <c r="CH332" t="e">
        <f>AND('PROG FORMACIÓN TITULADA'!#REF!,"AAAAAB/lvVU=")</f>
        <v>#REF!</v>
      </c>
      <c r="CI332" t="e">
        <f>AND('PROG FORMACIÓN TITULADA'!#REF!,"AAAAAB/lvVY=")</f>
        <v>#REF!</v>
      </c>
      <c r="CJ332" t="e">
        <f>AND('PROG FORMACIÓN TITULADA'!#REF!,"AAAAAB/lvVc=")</f>
        <v>#REF!</v>
      </c>
      <c r="CK332" t="e">
        <f>AND('PROG FORMACIÓN TITULADA'!#REF!,"AAAAAB/lvVg=")</f>
        <v>#REF!</v>
      </c>
      <c r="CL332" t="e">
        <f>AND('PROG FORMACIÓN TITULADA'!#REF!,"AAAAAB/lvVk=")</f>
        <v>#REF!</v>
      </c>
      <c r="CM332" t="e">
        <f>AND('PROG FORMACIÓN TITULADA'!#REF!,"AAAAAB/lvVo=")</f>
        <v>#REF!</v>
      </c>
      <c r="CN332" t="e">
        <f>AND('PROG FORMACIÓN TITULADA'!#REF!,"AAAAAB/lvVs=")</f>
        <v>#REF!</v>
      </c>
      <c r="CO332" t="e">
        <f>AND('PROG FORMACIÓN TITULADA'!#REF!,"AAAAAB/lvVw=")</f>
        <v>#REF!</v>
      </c>
      <c r="CP332" t="e">
        <f>AND('PROG FORMACIÓN TITULADA'!#REF!,"AAAAAB/lvV0=")</f>
        <v>#REF!</v>
      </c>
      <c r="CQ332" t="e">
        <f>AND('PROG FORMACIÓN TITULADA'!#REF!,"AAAAAB/lvV4=")</f>
        <v>#REF!</v>
      </c>
      <c r="CR332" t="e">
        <f>AND('PROG FORMACIÓN TITULADA'!#REF!,"AAAAAB/lvV8=")</f>
        <v>#REF!</v>
      </c>
      <c r="CS332" t="e">
        <f>AND('PROG FORMACIÓN TITULADA'!#REF!,"AAAAAB/lvWA=")</f>
        <v>#REF!</v>
      </c>
      <c r="CT332" t="e">
        <f>AND('PROG FORMACIÓN TITULADA'!#REF!,"AAAAAB/lvWE=")</f>
        <v>#REF!</v>
      </c>
      <c r="CU332" t="e">
        <f>IF('PROG FORMACIÓN TITULADA'!#REF!,"AAAAAB/lvWI=",0)</f>
        <v>#REF!</v>
      </c>
      <c r="CV332" t="e">
        <f>AND('PROG FORMACIÓN TITULADA'!#REF!,"AAAAAB/lvWM=")</f>
        <v>#REF!</v>
      </c>
      <c r="CW332" t="e">
        <f>AND('PROG FORMACIÓN TITULADA'!#REF!,"AAAAAB/lvWQ=")</f>
        <v>#REF!</v>
      </c>
      <c r="CX332" t="e">
        <f>AND('PROG FORMACIÓN TITULADA'!#REF!,"AAAAAB/lvWU=")</f>
        <v>#REF!</v>
      </c>
      <c r="CY332" t="e">
        <f>AND('PROG FORMACIÓN TITULADA'!#REF!,"AAAAAB/lvWY=")</f>
        <v>#REF!</v>
      </c>
      <c r="CZ332" t="e">
        <f>AND('PROG FORMACIÓN TITULADA'!#REF!,"AAAAAB/lvWc=")</f>
        <v>#REF!</v>
      </c>
      <c r="DA332" t="e">
        <f>AND('PROG FORMACIÓN TITULADA'!#REF!,"AAAAAB/lvWg=")</f>
        <v>#REF!</v>
      </c>
      <c r="DB332" t="e">
        <f>AND('PROG FORMACIÓN TITULADA'!#REF!,"AAAAAB/lvWk=")</f>
        <v>#REF!</v>
      </c>
      <c r="DC332" t="e">
        <f>AND('PROG FORMACIÓN TITULADA'!#REF!,"AAAAAB/lvWo=")</f>
        <v>#REF!</v>
      </c>
      <c r="DD332" t="e">
        <f>AND('PROG FORMACIÓN TITULADA'!#REF!,"AAAAAB/lvWs=")</f>
        <v>#REF!</v>
      </c>
      <c r="DE332" t="e">
        <f>AND('PROG FORMACIÓN TITULADA'!#REF!,"AAAAAB/lvWw=")</f>
        <v>#REF!</v>
      </c>
      <c r="DF332" t="e">
        <f>AND('PROG FORMACIÓN TITULADA'!#REF!,"AAAAAB/lvW0=")</f>
        <v>#REF!</v>
      </c>
      <c r="DG332" t="e">
        <f>AND('PROG FORMACIÓN TITULADA'!#REF!,"AAAAAB/lvW4=")</f>
        <v>#REF!</v>
      </c>
      <c r="DH332" t="e">
        <f>AND('PROG FORMACIÓN TITULADA'!#REF!,"AAAAAB/lvW8=")</f>
        <v>#REF!</v>
      </c>
      <c r="DI332" t="e">
        <f>AND('PROG FORMACIÓN TITULADA'!#REF!,"AAAAAB/lvXA=")</f>
        <v>#REF!</v>
      </c>
      <c r="DJ332" t="e">
        <f>AND('PROG FORMACIÓN TITULADA'!#REF!,"AAAAAB/lvXE=")</f>
        <v>#REF!</v>
      </c>
      <c r="DK332" t="e">
        <f>AND('PROG FORMACIÓN TITULADA'!#REF!,"AAAAAB/lvXI=")</f>
        <v>#REF!</v>
      </c>
      <c r="DL332" t="e">
        <f>AND('PROG FORMACIÓN TITULADA'!#REF!,"AAAAAB/lvXM=")</f>
        <v>#REF!</v>
      </c>
      <c r="DM332" t="e">
        <f>AND('PROG FORMACIÓN TITULADA'!#REF!,"AAAAAB/lvXQ=")</f>
        <v>#REF!</v>
      </c>
      <c r="DN332" t="e">
        <f>AND('PROG FORMACIÓN TITULADA'!#REF!,"AAAAAB/lvXU=")</f>
        <v>#REF!</v>
      </c>
      <c r="DO332" t="e">
        <f>AND('PROG FORMACIÓN TITULADA'!#REF!,"AAAAAB/lvXY=")</f>
        <v>#REF!</v>
      </c>
      <c r="DP332" t="e">
        <f>AND('PROG FORMACIÓN TITULADA'!#REF!,"AAAAAB/lvXc=")</f>
        <v>#REF!</v>
      </c>
      <c r="DQ332" t="e">
        <f>AND('PROG FORMACIÓN TITULADA'!#REF!,"AAAAAB/lvXg=")</f>
        <v>#REF!</v>
      </c>
      <c r="DR332" t="e">
        <f>AND('PROG FORMACIÓN TITULADA'!#REF!,"AAAAAB/lvXk=")</f>
        <v>#REF!</v>
      </c>
      <c r="DS332" t="e">
        <f>AND('PROG FORMACIÓN TITULADA'!#REF!,"AAAAAB/lvXo=")</f>
        <v>#REF!</v>
      </c>
      <c r="DT332" t="e">
        <f>AND('PROG FORMACIÓN TITULADA'!#REF!,"AAAAAB/lvXs=")</f>
        <v>#REF!</v>
      </c>
      <c r="DU332" t="e">
        <f>AND('PROG FORMACIÓN TITULADA'!#REF!,"AAAAAB/lvXw=")</f>
        <v>#REF!</v>
      </c>
      <c r="DV332" t="e">
        <f>IF('PROG FORMACIÓN TITULADA'!#REF!,"AAAAAB/lvX0=",0)</f>
        <v>#REF!</v>
      </c>
      <c r="DW332" t="e">
        <f>AND('PROG FORMACIÓN TITULADA'!#REF!,"AAAAAB/lvX4=")</f>
        <v>#REF!</v>
      </c>
      <c r="DX332" t="e">
        <f>AND('PROG FORMACIÓN TITULADA'!#REF!,"AAAAAB/lvX8=")</f>
        <v>#REF!</v>
      </c>
      <c r="DY332" t="e">
        <f>AND('PROG FORMACIÓN TITULADA'!#REF!,"AAAAAB/lvYA=")</f>
        <v>#REF!</v>
      </c>
      <c r="DZ332" t="e">
        <f>AND('PROG FORMACIÓN TITULADA'!#REF!,"AAAAAB/lvYE=")</f>
        <v>#REF!</v>
      </c>
      <c r="EA332" t="e">
        <f>AND('PROG FORMACIÓN TITULADA'!#REF!,"AAAAAB/lvYI=")</f>
        <v>#REF!</v>
      </c>
      <c r="EB332" t="e">
        <f>AND('PROG FORMACIÓN TITULADA'!#REF!,"AAAAAB/lvYM=")</f>
        <v>#REF!</v>
      </c>
      <c r="EC332" t="e">
        <f>AND('PROG FORMACIÓN TITULADA'!#REF!,"AAAAAB/lvYQ=")</f>
        <v>#REF!</v>
      </c>
      <c r="ED332" t="e">
        <f>AND('PROG FORMACIÓN TITULADA'!#REF!,"AAAAAB/lvYU=")</f>
        <v>#REF!</v>
      </c>
      <c r="EE332" t="e">
        <f>AND('PROG FORMACIÓN TITULADA'!#REF!,"AAAAAB/lvYY=")</f>
        <v>#REF!</v>
      </c>
      <c r="EF332" t="e">
        <f>AND('PROG FORMACIÓN TITULADA'!#REF!,"AAAAAB/lvYc=")</f>
        <v>#REF!</v>
      </c>
      <c r="EG332" t="e">
        <f>AND('PROG FORMACIÓN TITULADA'!#REF!,"AAAAAB/lvYg=")</f>
        <v>#REF!</v>
      </c>
      <c r="EH332" t="e">
        <f>AND('PROG FORMACIÓN TITULADA'!#REF!,"AAAAAB/lvYk=")</f>
        <v>#REF!</v>
      </c>
      <c r="EI332" t="e">
        <f>AND('PROG FORMACIÓN TITULADA'!#REF!,"AAAAAB/lvYo=")</f>
        <v>#REF!</v>
      </c>
      <c r="EJ332" t="e">
        <f>AND('PROG FORMACIÓN TITULADA'!#REF!,"AAAAAB/lvYs=")</f>
        <v>#REF!</v>
      </c>
      <c r="EK332" t="e">
        <f>AND('PROG FORMACIÓN TITULADA'!#REF!,"AAAAAB/lvYw=")</f>
        <v>#REF!</v>
      </c>
      <c r="EL332" t="e">
        <f>AND('PROG FORMACIÓN TITULADA'!#REF!,"AAAAAB/lvY0=")</f>
        <v>#REF!</v>
      </c>
      <c r="EM332" t="e">
        <f>AND('PROG FORMACIÓN TITULADA'!#REF!,"AAAAAB/lvY4=")</f>
        <v>#REF!</v>
      </c>
      <c r="EN332" t="e">
        <f>AND('PROG FORMACIÓN TITULADA'!#REF!,"AAAAAB/lvY8=")</f>
        <v>#REF!</v>
      </c>
      <c r="EO332" t="e">
        <f>AND('PROG FORMACIÓN TITULADA'!#REF!,"AAAAAB/lvZA=")</f>
        <v>#REF!</v>
      </c>
      <c r="EP332" t="e">
        <f>AND('PROG FORMACIÓN TITULADA'!#REF!,"AAAAAB/lvZE=")</f>
        <v>#REF!</v>
      </c>
      <c r="EQ332" t="e">
        <f>AND('PROG FORMACIÓN TITULADA'!#REF!,"AAAAAB/lvZI=")</f>
        <v>#REF!</v>
      </c>
      <c r="ER332" t="e">
        <f>AND('PROG FORMACIÓN TITULADA'!#REF!,"AAAAAB/lvZM=")</f>
        <v>#REF!</v>
      </c>
      <c r="ES332" t="e">
        <f>AND('PROG FORMACIÓN TITULADA'!#REF!,"AAAAAB/lvZQ=")</f>
        <v>#REF!</v>
      </c>
      <c r="ET332" t="e">
        <f>AND('PROG FORMACIÓN TITULADA'!#REF!,"AAAAAB/lvZU=")</f>
        <v>#REF!</v>
      </c>
      <c r="EU332" t="e">
        <f>AND('PROG FORMACIÓN TITULADA'!#REF!,"AAAAAB/lvZY=")</f>
        <v>#REF!</v>
      </c>
      <c r="EV332" t="e">
        <f>AND('PROG FORMACIÓN TITULADA'!#REF!,"AAAAAB/lvZc=")</f>
        <v>#REF!</v>
      </c>
      <c r="EW332" t="e">
        <f>IF('PROG FORMACIÓN TITULADA'!#REF!,"AAAAAB/lvZg=",0)</f>
        <v>#REF!</v>
      </c>
      <c r="EX332" t="e">
        <f>AND('PROG FORMACIÓN TITULADA'!#REF!,"AAAAAB/lvZk=")</f>
        <v>#REF!</v>
      </c>
      <c r="EY332" t="e">
        <f>AND('PROG FORMACIÓN TITULADA'!#REF!,"AAAAAB/lvZo=")</f>
        <v>#REF!</v>
      </c>
      <c r="EZ332" t="e">
        <f>AND('PROG FORMACIÓN TITULADA'!#REF!,"AAAAAB/lvZs=")</f>
        <v>#REF!</v>
      </c>
      <c r="FA332" t="e">
        <f>AND('PROG FORMACIÓN TITULADA'!#REF!,"AAAAAB/lvZw=")</f>
        <v>#REF!</v>
      </c>
      <c r="FB332" t="e">
        <f>AND('PROG FORMACIÓN TITULADA'!#REF!,"AAAAAB/lvZ0=")</f>
        <v>#REF!</v>
      </c>
      <c r="FC332" t="e">
        <f>AND('PROG FORMACIÓN TITULADA'!#REF!,"AAAAAB/lvZ4=")</f>
        <v>#REF!</v>
      </c>
      <c r="FD332" t="e">
        <f>AND('PROG FORMACIÓN TITULADA'!#REF!,"AAAAAB/lvZ8=")</f>
        <v>#REF!</v>
      </c>
      <c r="FE332" t="e">
        <f>AND('PROG FORMACIÓN TITULADA'!#REF!,"AAAAAB/lvaA=")</f>
        <v>#REF!</v>
      </c>
      <c r="FF332" t="e">
        <f>AND('PROG FORMACIÓN TITULADA'!#REF!,"AAAAAB/lvaE=")</f>
        <v>#REF!</v>
      </c>
      <c r="FG332" t="e">
        <f>AND('PROG FORMACIÓN TITULADA'!#REF!,"AAAAAB/lvaI=")</f>
        <v>#REF!</v>
      </c>
      <c r="FH332" t="e">
        <f>AND('PROG FORMACIÓN TITULADA'!#REF!,"AAAAAB/lvaM=")</f>
        <v>#REF!</v>
      </c>
      <c r="FI332" t="e">
        <f>AND('PROG FORMACIÓN TITULADA'!#REF!,"AAAAAB/lvaQ=")</f>
        <v>#REF!</v>
      </c>
      <c r="FJ332" t="e">
        <f>AND('PROG FORMACIÓN TITULADA'!#REF!,"AAAAAB/lvaU=")</f>
        <v>#REF!</v>
      </c>
      <c r="FK332" t="e">
        <f>AND('PROG FORMACIÓN TITULADA'!#REF!,"AAAAAB/lvaY=")</f>
        <v>#REF!</v>
      </c>
      <c r="FL332" t="e">
        <f>AND('PROG FORMACIÓN TITULADA'!#REF!,"AAAAAB/lvac=")</f>
        <v>#REF!</v>
      </c>
      <c r="FM332" t="e">
        <f>AND('PROG FORMACIÓN TITULADA'!#REF!,"AAAAAB/lvag=")</f>
        <v>#REF!</v>
      </c>
      <c r="FN332" t="e">
        <f>AND('PROG FORMACIÓN TITULADA'!#REF!,"AAAAAB/lvak=")</f>
        <v>#REF!</v>
      </c>
      <c r="FO332" t="e">
        <f>AND('PROG FORMACIÓN TITULADA'!#REF!,"AAAAAB/lvao=")</f>
        <v>#REF!</v>
      </c>
      <c r="FP332" t="e">
        <f>AND('PROG FORMACIÓN TITULADA'!#REF!,"AAAAAB/lvas=")</f>
        <v>#REF!</v>
      </c>
      <c r="FQ332" t="e">
        <f>AND('PROG FORMACIÓN TITULADA'!#REF!,"AAAAAB/lvaw=")</f>
        <v>#REF!</v>
      </c>
      <c r="FR332" t="e">
        <f>AND('PROG FORMACIÓN TITULADA'!#REF!,"AAAAAB/lva0=")</f>
        <v>#REF!</v>
      </c>
      <c r="FS332" t="e">
        <f>AND('PROG FORMACIÓN TITULADA'!#REF!,"AAAAAB/lva4=")</f>
        <v>#REF!</v>
      </c>
      <c r="FT332" t="e">
        <f>AND('PROG FORMACIÓN TITULADA'!#REF!,"AAAAAB/lva8=")</f>
        <v>#REF!</v>
      </c>
      <c r="FU332" t="e">
        <f>AND('PROG FORMACIÓN TITULADA'!#REF!,"AAAAAB/lvbA=")</f>
        <v>#REF!</v>
      </c>
      <c r="FV332" t="e">
        <f>AND('PROG FORMACIÓN TITULADA'!#REF!,"AAAAAB/lvbE=")</f>
        <v>#REF!</v>
      </c>
      <c r="FW332" t="e">
        <f>AND('PROG FORMACIÓN TITULADA'!#REF!,"AAAAAB/lvbI=")</f>
        <v>#REF!</v>
      </c>
      <c r="FX332" t="e">
        <f>IF('PROG FORMACIÓN TITULADA'!#REF!,"AAAAAB/lvbM=",0)</f>
        <v>#REF!</v>
      </c>
      <c r="FY332" t="e">
        <f>AND('PROG FORMACIÓN TITULADA'!#REF!,"AAAAAB/lvbQ=")</f>
        <v>#REF!</v>
      </c>
      <c r="FZ332" t="e">
        <f>AND('PROG FORMACIÓN TITULADA'!#REF!,"AAAAAB/lvbU=")</f>
        <v>#REF!</v>
      </c>
      <c r="GA332" t="e">
        <f>AND('PROG FORMACIÓN TITULADA'!#REF!,"AAAAAB/lvbY=")</f>
        <v>#REF!</v>
      </c>
      <c r="GB332" t="e">
        <f>AND('PROG FORMACIÓN TITULADA'!#REF!,"AAAAAB/lvbc=")</f>
        <v>#REF!</v>
      </c>
      <c r="GC332" t="e">
        <f>AND('PROG FORMACIÓN TITULADA'!#REF!,"AAAAAB/lvbg=")</f>
        <v>#REF!</v>
      </c>
      <c r="GD332" t="e">
        <f>AND('PROG FORMACIÓN TITULADA'!#REF!,"AAAAAB/lvbk=")</f>
        <v>#REF!</v>
      </c>
      <c r="GE332" t="e">
        <f>AND('PROG FORMACIÓN TITULADA'!#REF!,"AAAAAB/lvbo=")</f>
        <v>#REF!</v>
      </c>
      <c r="GF332" t="e">
        <f>AND('PROG FORMACIÓN TITULADA'!#REF!,"AAAAAB/lvbs=")</f>
        <v>#REF!</v>
      </c>
      <c r="GG332" t="e">
        <f>AND('PROG FORMACIÓN TITULADA'!#REF!,"AAAAAB/lvbw=")</f>
        <v>#REF!</v>
      </c>
      <c r="GH332" t="e">
        <f>AND('PROG FORMACIÓN TITULADA'!#REF!,"AAAAAB/lvb0=")</f>
        <v>#REF!</v>
      </c>
      <c r="GI332" t="e">
        <f>AND('PROG FORMACIÓN TITULADA'!#REF!,"AAAAAB/lvb4=")</f>
        <v>#REF!</v>
      </c>
      <c r="GJ332" t="e">
        <f>AND('PROG FORMACIÓN TITULADA'!#REF!,"AAAAAB/lvb8=")</f>
        <v>#REF!</v>
      </c>
      <c r="GK332" t="e">
        <f>AND('PROG FORMACIÓN TITULADA'!#REF!,"AAAAAB/lvcA=")</f>
        <v>#REF!</v>
      </c>
      <c r="GL332" t="e">
        <f>AND('PROG FORMACIÓN TITULADA'!#REF!,"AAAAAB/lvcE=")</f>
        <v>#REF!</v>
      </c>
      <c r="GM332" t="e">
        <f>AND('PROG FORMACIÓN TITULADA'!#REF!,"AAAAAB/lvcI=")</f>
        <v>#REF!</v>
      </c>
      <c r="GN332" t="e">
        <f>AND('PROG FORMACIÓN TITULADA'!#REF!,"AAAAAB/lvcM=")</f>
        <v>#REF!</v>
      </c>
      <c r="GO332" t="e">
        <f>AND('PROG FORMACIÓN TITULADA'!#REF!,"AAAAAB/lvcQ=")</f>
        <v>#REF!</v>
      </c>
      <c r="GP332" t="e">
        <f>AND('PROG FORMACIÓN TITULADA'!#REF!,"AAAAAB/lvcU=")</f>
        <v>#REF!</v>
      </c>
      <c r="GQ332" t="e">
        <f>AND('PROG FORMACIÓN TITULADA'!#REF!,"AAAAAB/lvcY=")</f>
        <v>#REF!</v>
      </c>
      <c r="GR332" t="e">
        <f>AND('PROG FORMACIÓN TITULADA'!#REF!,"AAAAAB/lvcc=")</f>
        <v>#REF!</v>
      </c>
      <c r="GS332" t="e">
        <f>AND('PROG FORMACIÓN TITULADA'!#REF!,"AAAAAB/lvcg=")</f>
        <v>#REF!</v>
      </c>
      <c r="GT332" t="e">
        <f>AND('PROG FORMACIÓN TITULADA'!#REF!,"AAAAAB/lvck=")</f>
        <v>#REF!</v>
      </c>
      <c r="GU332" t="e">
        <f>AND('PROG FORMACIÓN TITULADA'!#REF!,"AAAAAB/lvco=")</f>
        <v>#REF!</v>
      </c>
      <c r="GV332" t="e">
        <f>AND('PROG FORMACIÓN TITULADA'!#REF!,"AAAAAB/lvcs=")</f>
        <v>#REF!</v>
      </c>
      <c r="GW332" t="e">
        <f>AND('PROG FORMACIÓN TITULADA'!#REF!,"AAAAAB/lvcw=")</f>
        <v>#REF!</v>
      </c>
      <c r="GX332" t="e">
        <f>AND('PROG FORMACIÓN TITULADA'!#REF!,"AAAAAB/lvc0=")</f>
        <v>#REF!</v>
      </c>
      <c r="GY332" t="e">
        <f>IF('PROG FORMACIÓN TITULADA'!#REF!,"AAAAAB/lvc4=",0)</f>
        <v>#REF!</v>
      </c>
      <c r="GZ332" t="e">
        <f>AND('PROG FORMACIÓN TITULADA'!#REF!,"AAAAAB/lvc8=")</f>
        <v>#REF!</v>
      </c>
      <c r="HA332" t="e">
        <f>AND('PROG FORMACIÓN TITULADA'!#REF!,"AAAAAB/lvdA=")</f>
        <v>#REF!</v>
      </c>
      <c r="HB332" t="e">
        <f>AND('PROG FORMACIÓN TITULADA'!#REF!,"AAAAAB/lvdE=")</f>
        <v>#REF!</v>
      </c>
      <c r="HC332" t="e">
        <f>AND('PROG FORMACIÓN TITULADA'!#REF!,"AAAAAB/lvdI=")</f>
        <v>#REF!</v>
      </c>
      <c r="HD332" t="e">
        <f>AND('PROG FORMACIÓN TITULADA'!#REF!,"AAAAAB/lvdM=")</f>
        <v>#REF!</v>
      </c>
      <c r="HE332" t="e">
        <f>AND('PROG FORMACIÓN TITULADA'!#REF!,"AAAAAB/lvdQ=")</f>
        <v>#REF!</v>
      </c>
      <c r="HF332" t="e">
        <f>AND('PROG FORMACIÓN TITULADA'!#REF!,"AAAAAB/lvdU=")</f>
        <v>#REF!</v>
      </c>
      <c r="HG332" t="e">
        <f>AND('PROG FORMACIÓN TITULADA'!#REF!,"AAAAAB/lvdY=")</f>
        <v>#REF!</v>
      </c>
      <c r="HH332" t="e">
        <f>AND('PROG FORMACIÓN TITULADA'!#REF!,"AAAAAB/lvdc=")</f>
        <v>#REF!</v>
      </c>
      <c r="HI332" t="e">
        <f>AND('PROG FORMACIÓN TITULADA'!#REF!,"AAAAAB/lvdg=")</f>
        <v>#REF!</v>
      </c>
      <c r="HJ332" t="e">
        <f>AND('PROG FORMACIÓN TITULADA'!#REF!,"AAAAAB/lvdk=")</f>
        <v>#REF!</v>
      </c>
      <c r="HK332" t="e">
        <f>AND('PROG FORMACIÓN TITULADA'!#REF!,"AAAAAB/lvdo=")</f>
        <v>#REF!</v>
      </c>
      <c r="HL332" t="e">
        <f>AND('PROG FORMACIÓN TITULADA'!#REF!,"AAAAAB/lvds=")</f>
        <v>#REF!</v>
      </c>
      <c r="HM332" t="e">
        <f>AND('PROG FORMACIÓN TITULADA'!#REF!,"AAAAAB/lvdw=")</f>
        <v>#REF!</v>
      </c>
      <c r="HN332" t="e">
        <f>AND('PROG FORMACIÓN TITULADA'!#REF!,"AAAAAB/lvd0=")</f>
        <v>#REF!</v>
      </c>
      <c r="HO332" t="e">
        <f>AND('PROG FORMACIÓN TITULADA'!#REF!,"AAAAAB/lvd4=")</f>
        <v>#REF!</v>
      </c>
      <c r="HP332" t="e">
        <f>AND('PROG FORMACIÓN TITULADA'!#REF!,"AAAAAB/lvd8=")</f>
        <v>#REF!</v>
      </c>
      <c r="HQ332" t="e">
        <f>AND('PROG FORMACIÓN TITULADA'!#REF!,"AAAAAB/lveA=")</f>
        <v>#REF!</v>
      </c>
      <c r="HR332" t="e">
        <f>AND('PROG FORMACIÓN TITULADA'!#REF!,"AAAAAB/lveE=")</f>
        <v>#REF!</v>
      </c>
      <c r="HS332" t="e">
        <f>AND('PROG FORMACIÓN TITULADA'!#REF!,"AAAAAB/lveI=")</f>
        <v>#REF!</v>
      </c>
      <c r="HT332" t="e">
        <f>AND('PROG FORMACIÓN TITULADA'!#REF!,"AAAAAB/lveM=")</f>
        <v>#REF!</v>
      </c>
      <c r="HU332" t="e">
        <f>AND('PROG FORMACIÓN TITULADA'!#REF!,"AAAAAB/lveQ=")</f>
        <v>#REF!</v>
      </c>
      <c r="HV332" t="e">
        <f>AND('PROG FORMACIÓN TITULADA'!#REF!,"AAAAAB/lveU=")</f>
        <v>#REF!</v>
      </c>
      <c r="HW332" t="e">
        <f>AND('PROG FORMACIÓN TITULADA'!#REF!,"AAAAAB/lveY=")</f>
        <v>#REF!</v>
      </c>
      <c r="HX332" t="e">
        <f>AND('PROG FORMACIÓN TITULADA'!#REF!,"AAAAAB/lvec=")</f>
        <v>#REF!</v>
      </c>
      <c r="HY332" t="e">
        <f>AND('PROG FORMACIÓN TITULADA'!#REF!,"AAAAAB/lveg=")</f>
        <v>#REF!</v>
      </c>
      <c r="HZ332" t="e">
        <f>IF('PROG FORMACIÓN TITULADA'!#REF!,"AAAAAB/lvek=",0)</f>
        <v>#REF!</v>
      </c>
      <c r="IA332" t="e">
        <f>AND('PROG FORMACIÓN TITULADA'!#REF!,"AAAAAB/lveo=")</f>
        <v>#REF!</v>
      </c>
      <c r="IB332" t="e">
        <f>AND('PROG FORMACIÓN TITULADA'!#REF!,"AAAAAB/lves=")</f>
        <v>#REF!</v>
      </c>
      <c r="IC332" t="e">
        <f>AND('PROG FORMACIÓN TITULADA'!#REF!,"AAAAAB/lvew=")</f>
        <v>#REF!</v>
      </c>
      <c r="ID332" t="e">
        <f>AND('PROG FORMACIÓN TITULADA'!#REF!,"AAAAAB/lve0=")</f>
        <v>#REF!</v>
      </c>
      <c r="IE332" t="e">
        <f>AND('PROG FORMACIÓN TITULADA'!#REF!,"AAAAAB/lve4=")</f>
        <v>#REF!</v>
      </c>
      <c r="IF332" t="e">
        <f>AND('PROG FORMACIÓN TITULADA'!#REF!,"AAAAAB/lve8=")</f>
        <v>#REF!</v>
      </c>
      <c r="IG332" t="e">
        <f>AND('PROG FORMACIÓN TITULADA'!#REF!,"AAAAAB/lvfA=")</f>
        <v>#REF!</v>
      </c>
      <c r="IH332" t="e">
        <f>AND('PROG FORMACIÓN TITULADA'!#REF!,"AAAAAB/lvfE=")</f>
        <v>#REF!</v>
      </c>
      <c r="II332" t="e">
        <f>AND('PROG FORMACIÓN TITULADA'!#REF!,"AAAAAB/lvfI=")</f>
        <v>#REF!</v>
      </c>
      <c r="IJ332" t="e">
        <f>AND('PROG FORMACIÓN TITULADA'!#REF!,"AAAAAB/lvfM=")</f>
        <v>#REF!</v>
      </c>
      <c r="IK332" t="e">
        <f>AND('PROG FORMACIÓN TITULADA'!#REF!,"AAAAAB/lvfQ=")</f>
        <v>#REF!</v>
      </c>
      <c r="IL332" t="e">
        <f>AND('PROG FORMACIÓN TITULADA'!#REF!,"AAAAAB/lvfU=")</f>
        <v>#REF!</v>
      </c>
      <c r="IM332" t="e">
        <f>AND('PROG FORMACIÓN TITULADA'!#REF!,"AAAAAB/lvfY=")</f>
        <v>#REF!</v>
      </c>
      <c r="IN332" t="e">
        <f>AND('PROG FORMACIÓN TITULADA'!#REF!,"AAAAAB/lvfc=")</f>
        <v>#REF!</v>
      </c>
      <c r="IO332" t="e">
        <f>AND('PROG FORMACIÓN TITULADA'!#REF!,"AAAAAB/lvfg=")</f>
        <v>#REF!</v>
      </c>
      <c r="IP332" t="e">
        <f>AND('PROG FORMACIÓN TITULADA'!#REF!,"AAAAAB/lvfk=")</f>
        <v>#REF!</v>
      </c>
      <c r="IQ332" t="e">
        <f>AND('PROG FORMACIÓN TITULADA'!#REF!,"AAAAAB/lvfo=")</f>
        <v>#REF!</v>
      </c>
      <c r="IR332" t="e">
        <f>AND('PROG FORMACIÓN TITULADA'!#REF!,"AAAAAB/lvfs=")</f>
        <v>#REF!</v>
      </c>
      <c r="IS332" t="e">
        <f>AND('PROG FORMACIÓN TITULADA'!#REF!,"AAAAAB/lvfw=")</f>
        <v>#REF!</v>
      </c>
      <c r="IT332" t="e">
        <f>AND('PROG FORMACIÓN TITULADA'!#REF!,"AAAAAB/lvf0=")</f>
        <v>#REF!</v>
      </c>
      <c r="IU332" t="e">
        <f>AND('PROG FORMACIÓN TITULADA'!#REF!,"AAAAAB/lvf4=")</f>
        <v>#REF!</v>
      </c>
      <c r="IV332" t="e">
        <f>AND('PROG FORMACIÓN TITULADA'!#REF!,"AAAAAB/lvf8=")</f>
        <v>#REF!</v>
      </c>
    </row>
    <row r="333" spans="1:256" x14ac:dyDescent="0.2">
      <c r="A333" t="e">
        <f>AND('PROG FORMACIÓN TITULADA'!#REF!,"AAAAAH/X9wA=")</f>
        <v>#REF!</v>
      </c>
      <c r="B333" t="e">
        <f>AND('PROG FORMACIÓN TITULADA'!#REF!,"AAAAAH/X9wE=")</f>
        <v>#REF!</v>
      </c>
      <c r="C333" t="e">
        <f>AND('PROG FORMACIÓN TITULADA'!#REF!,"AAAAAH/X9wI=")</f>
        <v>#REF!</v>
      </c>
      <c r="D333" t="e">
        <f>AND('PROG FORMACIÓN TITULADA'!#REF!,"AAAAAH/X9wM=")</f>
        <v>#REF!</v>
      </c>
      <c r="E333" t="e">
        <f>IF('PROG FORMACIÓN TITULADA'!#REF!,"AAAAAH/X9wQ=",0)</f>
        <v>#REF!</v>
      </c>
      <c r="F333" t="e">
        <f>AND('PROG FORMACIÓN TITULADA'!#REF!,"AAAAAH/X9wU=")</f>
        <v>#REF!</v>
      </c>
      <c r="G333" t="e">
        <f>AND('PROG FORMACIÓN TITULADA'!#REF!,"AAAAAH/X9wY=")</f>
        <v>#REF!</v>
      </c>
      <c r="H333" t="e">
        <f>AND('PROG FORMACIÓN TITULADA'!#REF!,"AAAAAH/X9wc=")</f>
        <v>#REF!</v>
      </c>
      <c r="I333" t="e">
        <f>AND('PROG FORMACIÓN TITULADA'!#REF!,"AAAAAH/X9wg=")</f>
        <v>#REF!</v>
      </c>
      <c r="J333" t="e">
        <f>AND('PROG FORMACIÓN TITULADA'!#REF!,"AAAAAH/X9wk=")</f>
        <v>#REF!</v>
      </c>
      <c r="K333" t="e">
        <f>AND('PROG FORMACIÓN TITULADA'!#REF!,"AAAAAH/X9wo=")</f>
        <v>#REF!</v>
      </c>
      <c r="L333" t="e">
        <f>AND('PROG FORMACIÓN TITULADA'!#REF!,"AAAAAH/X9ws=")</f>
        <v>#REF!</v>
      </c>
      <c r="M333" t="e">
        <f>AND('PROG FORMACIÓN TITULADA'!#REF!,"AAAAAH/X9ww=")</f>
        <v>#REF!</v>
      </c>
      <c r="N333" t="e">
        <f>AND('PROG FORMACIÓN TITULADA'!#REF!,"AAAAAH/X9w0=")</f>
        <v>#REF!</v>
      </c>
      <c r="O333" t="e">
        <f>AND('PROG FORMACIÓN TITULADA'!#REF!,"AAAAAH/X9w4=")</f>
        <v>#REF!</v>
      </c>
      <c r="P333" t="e">
        <f>AND('PROG FORMACIÓN TITULADA'!#REF!,"AAAAAH/X9w8=")</f>
        <v>#REF!</v>
      </c>
      <c r="Q333" t="e">
        <f>AND('PROG FORMACIÓN TITULADA'!#REF!,"AAAAAH/X9xA=")</f>
        <v>#REF!</v>
      </c>
      <c r="R333" t="e">
        <f>AND('PROG FORMACIÓN TITULADA'!#REF!,"AAAAAH/X9xE=")</f>
        <v>#REF!</v>
      </c>
      <c r="S333" t="e">
        <f>AND('PROG FORMACIÓN TITULADA'!#REF!,"AAAAAH/X9xI=")</f>
        <v>#REF!</v>
      </c>
      <c r="T333" t="e">
        <f>AND('PROG FORMACIÓN TITULADA'!#REF!,"AAAAAH/X9xM=")</f>
        <v>#REF!</v>
      </c>
      <c r="U333" t="e">
        <f>AND('PROG FORMACIÓN TITULADA'!#REF!,"AAAAAH/X9xQ=")</f>
        <v>#REF!</v>
      </c>
      <c r="V333" t="e">
        <f>AND('PROG FORMACIÓN TITULADA'!#REF!,"AAAAAH/X9xU=")</f>
        <v>#REF!</v>
      </c>
      <c r="W333" t="e">
        <f>AND('PROG FORMACIÓN TITULADA'!#REF!,"AAAAAH/X9xY=")</f>
        <v>#REF!</v>
      </c>
      <c r="X333" t="e">
        <f>AND('PROG FORMACIÓN TITULADA'!#REF!,"AAAAAH/X9xc=")</f>
        <v>#REF!</v>
      </c>
      <c r="Y333" t="e">
        <f>AND('PROG FORMACIÓN TITULADA'!#REF!,"AAAAAH/X9xg=")</f>
        <v>#REF!</v>
      </c>
      <c r="Z333" t="e">
        <f>AND('PROG FORMACIÓN TITULADA'!#REF!,"AAAAAH/X9xk=")</f>
        <v>#REF!</v>
      </c>
      <c r="AA333" t="e">
        <f>AND('PROG FORMACIÓN TITULADA'!#REF!,"AAAAAH/X9xo=")</f>
        <v>#REF!</v>
      </c>
      <c r="AB333" t="e">
        <f>AND('PROG FORMACIÓN TITULADA'!#REF!,"AAAAAH/X9xs=")</f>
        <v>#REF!</v>
      </c>
      <c r="AC333" t="e">
        <f>AND('PROG FORMACIÓN TITULADA'!#REF!,"AAAAAH/X9xw=")</f>
        <v>#REF!</v>
      </c>
      <c r="AD333" t="e">
        <f>AND('PROG FORMACIÓN TITULADA'!#REF!,"AAAAAH/X9x0=")</f>
        <v>#REF!</v>
      </c>
      <c r="AE333" t="e">
        <f>AND('PROG FORMACIÓN TITULADA'!#REF!,"AAAAAH/X9x4=")</f>
        <v>#REF!</v>
      </c>
      <c r="AF333" t="e">
        <f>IF('PROG FORMACIÓN TITULADA'!#REF!,"AAAAAH/X9x8=",0)</f>
        <v>#REF!</v>
      </c>
      <c r="AG333" t="e">
        <f>AND('PROG FORMACIÓN TITULADA'!#REF!,"AAAAAH/X9yA=")</f>
        <v>#REF!</v>
      </c>
      <c r="AH333" t="e">
        <f>AND('PROG FORMACIÓN TITULADA'!#REF!,"AAAAAH/X9yE=")</f>
        <v>#REF!</v>
      </c>
      <c r="AI333" t="e">
        <f>AND('PROG FORMACIÓN TITULADA'!#REF!,"AAAAAH/X9yI=")</f>
        <v>#REF!</v>
      </c>
      <c r="AJ333" t="e">
        <f>AND('PROG FORMACIÓN TITULADA'!#REF!,"AAAAAH/X9yM=")</f>
        <v>#REF!</v>
      </c>
      <c r="AK333" t="e">
        <f>AND('PROG FORMACIÓN TITULADA'!#REF!,"AAAAAH/X9yQ=")</f>
        <v>#REF!</v>
      </c>
      <c r="AL333" t="e">
        <f>AND('PROG FORMACIÓN TITULADA'!#REF!,"AAAAAH/X9yU=")</f>
        <v>#REF!</v>
      </c>
      <c r="AM333" t="e">
        <f>AND('PROG FORMACIÓN TITULADA'!#REF!,"AAAAAH/X9yY=")</f>
        <v>#REF!</v>
      </c>
      <c r="AN333" t="e">
        <f>AND('PROG FORMACIÓN TITULADA'!#REF!,"AAAAAH/X9yc=")</f>
        <v>#REF!</v>
      </c>
      <c r="AO333" t="e">
        <f>AND('PROG FORMACIÓN TITULADA'!#REF!,"AAAAAH/X9yg=")</f>
        <v>#REF!</v>
      </c>
      <c r="AP333" t="e">
        <f>AND('PROG FORMACIÓN TITULADA'!#REF!,"AAAAAH/X9yk=")</f>
        <v>#REF!</v>
      </c>
      <c r="AQ333" t="e">
        <f>AND('PROG FORMACIÓN TITULADA'!#REF!,"AAAAAH/X9yo=")</f>
        <v>#REF!</v>
      </c>
      <c r="AR333" t="e">
        <f>AND('PROG FORMACIÓN TITULADA'!#REF!,"AAAAAH/X9ys=")</f>
        <v>#REF!</v>
      </c>
      <c r="AS333" t="e">
        <f>AND('PROG FORMACIÓN TITULADA'!#REF!,"AAAAAH/X9yw=")</f>
        <v>#REF!</v>
      </c>
      <c r="AT333" t="e">
        <f>AND('PROG FORMACIÓN TITULADA'!#REF!,"AAAAAH/X9y0=")</f>
        <v>#REF!</v>
      </c>
      <c r="AU333" t="e">
        <f>AND('PROG FORMACIÓN TITULADA'!#REF!,"AAAAAH/X9y4=")</f>
        <v>#REF!</v>
      </c>
      <c r="AV333" t="e">
        <f>AND('PROG FORMACIÓN TITULADA'!#REF!,"AAAAAH/X9y8=")</f>
        <v>#REF!</v>
      </c>
      <c r="AW333" t="e">
        <f>AND('PROG FORMACIÓN TITULADA'!#REF!,"AAAAAH/X9zA=")</f>
        <v>#REF!</v>
      </c>
      <c r="AX333" t="e">
        <f>AND('PROG FORMACIÓN TITULADA'!#REF!,"AAAAAH/X9zE=")</f>
        <v>#REF!</v>
      </c>
      <c r="AY333" t="e">
        <f>AND('PROG FORMACIÓN TITULADA'!#REF!,"AAAAAH/X9zI=")</f>
        <v>#REF!</v>
      </c>
      <c r="AZ333" t="e">
        <f>AND('PROG FORMACIÓN TITULADA'!#REF!,"AAAAAH/X9zM=")</f>
        <v>#REF!</v>
      </c>
      <c r="BA333" t="e">
        <f>AND('PROG FORMACIÓN TITULADA'!#REF!,"AAAAAH/X9zQ=")</f>
        <v>#REF!</v>
      </c>
      <c r="BB333" t="e">
        <f>AND('PROG FORMACIÓN TITULADA'!#REF!,"AAAAAH/X9zU=")</f>
        <v>#REF!</v>
      </c>
      <c r="BC333" t="e">
        <f>AND('PROG FORMACIÓN TITULADA'!#REF!,"AAAAAH/X9zY=")</f>
        <v>#REF!</v>
      </c>
      <c r="BD333" t="e">
        <f>AND('PROG FORMACIÓN TITULADA'!#REF!,"AAAAAH/X9zc=")</f>
        <v>#REF!</v>
      </c>
      <c r="BE333" t="e">
        <f>AND('PROG FORMACIÓN TITULADA'!#REF!,"AAAAAH/X9zg=")</f>
        <v>#REF!</v>
      </c>
      <c r="BF333" t="e">
        <f>AND('PROG FORMACIÓN TITULADA'!#REF!,"AAAAAH/X9zk=")</f>
        <v>#REF!</v>
      </c>
      <c r="BG333" t="e">
        <f>IF('PROG FORMACIÓN TITULADA'!#REF!,"AAAAAH/X9zo=",0)</f>
        <v>#REF!</v>
      </c>
      <c r="BH333" t="e">
        <f>AND('PROG FORMACIÓN TITULADA'!#REF!,"AAAAAH/X9zs=")</f>
        <v>#REF!</v>
      </c>
      <c r="BI333" t="e">
        <f>AND('PROG FORMACIÓN TITULADA'!#REF!,"AAAAAH/X9zw=")</f>
        <v>#REF!</v>
      </c>
      <c r="BJ333" t="e">
        <f>AND('PROG FORMACIÓN TITULADA'!#REF!,"AAAAAH/X9z0=")</f>
        <v>#REF!</v>
      </c>
      <c r="BK333" t="e">
        <f>AND('PROG FORMACIÓN TITULADA'!#REF!,"AAAAAH/X9z4=")</f>
        <v>#REF!</v>
      </c>
      <c r="BL333" t="e">
        <f>AND('PROG FORMACIÓN TITULADA'!#REF!,"AAAAAH/X9z8=")</f>
        <v>#REF!</v>
      </c>
      <c r="BM333" t="e">
        <f>AND('PROG FORMACIÓN TITULADA'!#REF!,"AAAAAH/X90A=")</f>
        <v>#REF!</v>
      </c>
      <c r="BN333" t="e">
        <f>AND('PROG FORMACIÓN TITULADA'!#REF!,"AAAAAH/X90E=")</f>
        <v>#REF!</v>
      </c>
      <c r="BO333" t="e">
        <f>AND('PROG FORMACIÓN TITULADA'!#REF!,"AAAAAH/X90I=")</f>
        <v>#REF!</v>
      </c>
      <c r="BP333" t="e">
        <f>AND('PROG FORMACIÓN TITULADA'!#REF!,"AAAAAH/X90M=")</f>
        <v>#REF!</v>
      </c>
      <c r="BQ333" t="e">
        <f>AND('PROG FORMACIÓN TITULADA'!#REF!,"AAAAAH/X90Q=")</f>
        <v>#REF!</v>
      </c>
      <c r="BR333" t="e">
        <f>AND('PROG FORMACIÓN TITULADA'!#REF!,"AAAAAH/X90U=")</f>
        <v>#REF!</v>
      </c>
      <c r="BS333" t="e">
        <f>AND('PROG FORMACIÓN TITULADA'!#REF!,"AAAAAH/X90Y=")</f>
        <v>#REF!</v>
      </c>
      <c r="BT333" t="e">
        <f>AND('PROG FORMACIÓN TITULADA'!#REF!,"AAAAAH/X90c=")</f>
        <v>#REF!</v>
      </c>
      <c r="BU333" t="e">
        <f>AND('PROG FORMACIÓN TITULADA'!#REF!,"AAAAAH/X90g=")</f>
        <v>#REF!</v>
      </c>
      <c r="BV333" t="e">
        <f>AND('PROG FORMACIÓN TITULADA'!#REF!,"AAAAAH/X90k=")</f>
        <v>#REF!</v>
      </c>
      <c r="BW333" t="e">
        <f>AND('PROG FORMACIÓN TITULADA'!#REF!,"AAAAAH/X90o=")</f>
        <v>#REF!</v>
      </c>
      <c r="BX333" t="e">
        <f>AND('PROG FORMACIÓN TITULADA'!#REF!,"AAAAAH/X90s=")</f>
        <v>#REF!</v>
      </c>
      <c r="BY333" t="e">
        <f>AND('PROG FORMACIÓN TITULADA'!#REF!,"AAAAAH/X90w=")</f>
        <v>#REF!</v>
      </c>
      <c r="BZ333" t="e">
        <f>AND('PROG FORMACIÓN TITULADA'!#REF!,"AAAAAH/X900=")</f>
        <v>#REF!</v>
      </c>
      <c r="CA333" t="e">
        <f>AND('PROG FORMACIÓN TITULADA'!#REF!,"AAAAAH/X904=")</f>
        <v>#REF!</v>
      </c>
      <c r="CB333" t="e">
        <f>AND('PROG FORMACIÓN TITULADA'!#REF!,"AAAAAH/X908=")</f>
        <v>#REF!</v>
      </c>
      <c r="CC333" t="e">
        <f>AND('PROG FORMACIÓN TITULADA'!#REF!,"AAAAAH/X91A=")</f>
        <v>#REF!</v>
      </c>
      <c r="CD333" t="e">
        <f>AND('PROG FORMACIÓN TITULADA'!#REF!,"AAAAAH/X91E=")</f>
        <v>#REF!</v>
      </c>
      <c r="CE333" t="e">
        <f>AND('PROG FORMACIÓN TITULADA'!#REF!,"AAAAAH/X91I=")</f>
        <v>#REF!</v>
      </c>
      <c r="CF333" t="e">
        <f>AND('PROG FORMACIÓN TITULADA'!#REF!,"AAAAAH/X91M=")</f>
        <v>#REF!</v>
      </c>
      <c r="CG333" t="e">
        <f>AND('PROG FORMACIÓN TITULADA'!#REF!,"AAAAAH/X91Q=")</f>
        <v>#REF!</v>
      </c>
      <c r="CH333" t="e">
        <f>IF('PROG FORMACIÓN TITULADA'!#REF!,"AAAAAH/X91U=",0)</f>
        <v>#REF!</v>
      </c>
      <c r="CI333" t="e">
        <f>AND('PROG FORMACIÓN TITULADA'!#REF!,"AAAAAH/X91Y=")</f>
        <v>#REF!</v>
      </c>
      <c r="CJ333" t="e">
        <f>AND('PROG FORMACIÓN TITULADA'!#REF!,"AAAAAH/X91c=")</f>
        <v>#REF!</v>
      </c>
      <c r="CK333" t="e">
        <f>AND('PROG FORMACIÓN TITULADA'!#REF!,"AAAAAH/X91g=")</f>
        <v>#REF!</v>
      </c>
      <c r="CL333" t="e">
        <f>AND('PROG FORMACIÓN TITULADA'!#REF!,"AAAAAH/X91k=")</f>
        <v>#REF!</v>
      </c>
      <c r="CM333" t="e">
        <f>AND('PROG FORMACIÓN TITULADA'!#REF!,"AAAAAH/X91o=")</f>
        <v>#REF!</v>
      </c>
      <c r="CN333" t="e">
        <f>AND('PROG FORMACIÓN TITULADA'!#REF!,"AAAAAH/X91s=")</f>
        <v>#REF!</v>
      </c>
      <c r="CO333" t="e">
        <f>AND('PROG FORMACIÓN TITULADA'!#REF!,"AAAAAH/X91w=")</f>
        <v>#REF!</v>
      </c>
      <c r="CP333" t="e">
        <f>AND('PROG FORMACIÓN TITULADA'!#REF!,"AAAAAH/X910=")</f>
        <v>#REF!</v>
      </c>
      <c r="CQ333" t="e">
        <f>AND('PROG FORMACIÓN TITULADA'!#REF!,"AAAAAH/X914=")</f>
        <v>#REF!</v>
      </c>
      <c r="CR333" t="e">
        <f>AND('PROG FORMACIÓN TITULADA'!#REF!,"AAAAAH/X918=")</f>
        <v>#REF!</v>
      </c>
      <c r="CS333" t="e">
        <f>AND('PROG FORMACIÓN TITULADA'!#REF!,"AAAAAH/X92A=")</f>
        <v>#REF!</v>
      </c>
      <c r="CT333" t="e">
        <f>AND('PROG FORMACIÓN TITULADA'!#REF!,"AAAAAH/X92E=")</f>
        <v>#REF!</v>
      </c>
      <c r="CU333" t="e">
        <f>AND('PROG FORMACIÓN TITULADA'!#REF!,"AAAAAH/X92I=")</f>
        <v>#REF!</v>
      </c>
      <c r="CV333" t="e">
        <f>AND('PROG FORMACIÓN TITULADA'!#REF!,"AAAAAH/X92M=")</f>
        <v>#REF!</v>
      </c>
      <c r="CW333" t="e">
        <f>AND('PROG FORMACIÓN TITULADA'!#REF!,"AAAAAH/X92Q=")</f>
        <v>#REF!</v>
      </c>
      <c r="CX333" t="e">
        <f>AND('PROG FORMACIÓN TITULADA'!#REF!,"AAAAAH/X92U=")</f>
        <v>#REF!</v>
      </c>
      <c r="CY333" t="e">
        <f>AND('PROG FORMACIÓN TITULADA'!#REF!,"AAAAAH/X92Y=")</f>
        <v>#REF!</v>
      </c>
      <c r="CZ333" t="e">
        <f>AND('PROG FORMACIÓN TITULADA'!#REF!,"AAAAAH/X92c=")</f>
        <v>#REF!</v>
      </c>
      <c r="DA333" t="e">
        <f>AND('PROG FORMACIÓN TITULADA'!#REF!,"AAAAAH/X92g=")</f>
        <v>#REF!</v>
      </c>
      <c r="DB333" t="e">
        <f>AND('PROG FORMACIÓN TITULADA'!#REF!,"AAAAAH/X92k=")</f>
        <v>#REF!</v>
      </c>
      <c r="DC333" t="e">
        <f>AND('PROG FORMACIÓN TITULADA'!#REF!,"AAAAAH/X92o=")</f>
        <v>#REF!</v>
      </c>
      <c r="DD333" t="e">
        <f>AND('PROG FORMACIÓN TITULADA'!#REF!,"AAAAAH/X92s=")</f>
        <v>#REF!</v>
      </c>
      <c r="DE333" t="e">
        <f>AND('PROG FORMACIÓN TITULADA'!#REF!,"AAAAAH/X92w=")</f>
        <v>#REF!</v>
      </c>
      <c r="DF333" t="e">
        <f>AND('PROG FORMACIÓN TITULADA'!#REF!,"AAAAAH/X920=")</f>
        <v>#REF!</v>
      </c>
      <c r="DG333" t="e">
        <f>AND('PROG FORMACIÓN TITULADA'!#REF!,"AAAAAH/X924=")</f>
        <v>#REF!</v>
      </c>
      <c r="DH333" t="e">
        <f>AND('PROG FORMACIÓN TITULADA'!#REF!,"AAAAAH/X928=")</f>
        <v>#REF!</v>
      </c>
      <c r="DI333" t="e">
        <f>IF('PROG FORMACIÓN TITULADA'!#REF!,"AAAAAH/X93A=",0)</f>
        <v>#REF!</v>
      </c>
      <c r="DJ333" t="e">
        <f>AND('PROG FORMACIÓN TITULADA'!#REF!,"AAAAAH/X93E=")</f>
        <v>#REF!</v>
      </c>
      <c r="DK333" t="e">
        <f>AND('PROG FORMACIÓN TITULADA'!#REF!,"AAAAAH/X93I=")</f>
        <v>#REF!</v>
      </c>
      <c r="DL333" t="e">
        <f>AND('PROG FORMACIÓN TITULADA'!#REF!,"AAAAAH/X93M=")</f>
        <v>#REF!</v>
      </c>
      <c r="DM333" t="e">
        <f>AND('PROG FORMACIÓN TITULADA'!#REF!,"AAAAAH/X93Q=")</f>
        <v>#REF!</v>
      </c>
      <c r="DN333" t="e">
        <f>AND('PROG FORMACIÓN TITULADA'!#REF!,"AAAAAH/X93U=")</f>
        <v>#REF!</v>
      </c>
      <c r="DO333" t="e">
        <f>AND('PROG FORMACIÓN TITULADA'!#REF!,"AAAAAH/X93Y=")</f>
        <v>#REF!</v>
      </c>
      <c r="DP333" t="e">
        <f>AND('PROG FORMACIÓN TITULADA'!#REF!,"AAAAAH/X93c=")</f>
        <v>#REF!</v>
      </c>
      <c r="DQ333" t="e">
        <f>AND('PROG FORMACIÓN TITULADA'!#REF!,"AAAAAH/X93g=")</f>
        <v>#REF!</v>
      </c>
      <c r="DR333" t="e">
        <f>AND('PROG FORMACIÓN TITULADA'!#REF!,"AAAAAH/X93k=")</f>
        <v>#REF!</v>
      </c>
      <c r="DS333" t="e">
        <f>AND('PROG FORMACIÓN TITULADA'!#REF!,"AAAAAH/X93o=")</f>
        <v>#REF!</v>
      </c>
      <c r="DT333" t="e">
        <f>AND('PROG FORMACIÓN TITULADA'!#REF!,"AAAAAH/X93s=")</f>
        <v>#REF!</v>
      </c>
      <c r="DU333" t="e">
        <f>AND('PROG FORMACIÓN TITULADA'!#REF!,"AAAAAH/X93w=")</f>
        <v>#REF!</v>
      </c>
      <c r="DV333" t="e">
        <f>AND('PROG FORMACIÓN TITULADA'!#REF!,"AAAAAH/X930=")</f>
        <v>#REF!</v>
      </c>
      <c r="DW333" t="e">
        <f>AND('PROG FORMACIÓN TITULADA'!#REF!,"AAAAAH/X934=")</f>
        <v>#REF!</v>
      </c>
      <c r="DX333" t="e">
        <f>AND('PROG FORMACIÓN TITULADA'!#REF!,"AAAAAH/X938=")</f>
        <v>#REF!</v>
      </c>
      <c r="DY333" t="e">
        <f>AND('PROG FORMACIÓN TITULADA'!#REF!,"AAAAAH/X94A=")</f>
        <v>#REF!</v>
      </c>
      <c r="DZ333" t="e">
        <f>AND('PROG FORMACIÓN TITULADA'!#REF!,"AAAAAH/X94E=")</f>
        <v>#REF!</v>
      </c>
      <c r="EA333" t="e">
        <f>AND('PROG FORMACIÓN TITULADA'!#REF!,"AAAAAH/X94I=")</f>
        <v>#REF!</v>
      </c>
      <c r="EB333" t="e">
        <f>AND('PROG FORMACIÓN TITULADA'!#REF!,"AAAAAH/X94M=")</f>
        <v>#REF!</v>
      </c>
      <c r="EC333" t="e">
        <f>AND('PROG FORMACIÓN TITULADA'!#REF!,"AAAAAH/X94Q=")</f>
        <v>#REF!</v>
      </c>
      <c r="ED333" t="e">
        <f>AND('PROG FORMACIÓN TITULADA'!#REF!,"AAAAAH/X94U=")</f>
        <v>#REF!</v>
      </c>
      <c r="EE333" t="e">
        <f>AND('PROG FORMACIÓN TITULADA'!#REF!,"AAAAAH/X94Y=")</f>
        <v>#REF!</v>
      </c>
      <c r="EF333" t="e">
        <f>AND('PROG FORMACIÓN TITULADA'!#REF!,"AAAAAH/X94c=")</f>
        <v>#REF!</v>
      </c>
      <c r="EG333" t="e">
        <f>AND('PROG FORMACIÓN TITULADA'!#REF!,"AAAAAH/X94g=")</f>
        <v>#REF!</v>
      </c>
      <c r="EH333" t="e">
        <f>AND('PROG FORMACIÓN TITULADA'!#REF!,"AAAAAH/X94k=")</f>
        <v>#REF!</v>
      </c>
      <c r="EI333" t="e">
        <f>AND('PROG FORMACIÓN TITULADA'!#REF!,"AAAAAH/X94o=")</f>
        <v>#REF!</v>
      </c>
      <c r="EJ333" t="e">
        <f>IF('PROG FORMACIÓN TITULADA'!#REF!,"AAAAAH/X94s=",0)</f>
        <v>#REF!</v>
      </c>
      <c r="EK333" t="e">
        <f>AND('PROG FORMACIÓN TITULADA'!#REF!,"AAAAAH/X94w=")</f>
        <v>#REF!</v>
      </c>
      <c r="EL333" t="e">
        <f>AND('PROG FORMACIÓN TITULADA'!#REF!,"AAAAAH/X940=")</f>
        <v>#REF!</v>
      </c>
      <c r="EM333" t="e">
        <f>AND('PROG FORMACIÓN TITULADA'!#REF!,"AAAAAH/X944=")</f>
        <v>#REF!</v>
      </c>
      <c r="EN333" t="e">
        <f>AND('PROG FORMACIÓN TITULADA'!#REF!,"AAAAAH/X948=")</f>
        <v>#REF!</v>
      </c>
      <c r="EO333" t="e">
        <f>AND('PROG FORMACIÓN TITULADA'!#REF!,"AAAAAH/X95A=")</f>
        <v>#REF!</v>
      </c>
      <c r="EP333" t="e">
        <f>AND('PROG FORMACIÓN TITULADA'!#REF!,"AAAAAH/X95E=")</f>
        <v>#REF!</v>
      </c>
      <c r="EQ333" t="e">
        <f>AND('PROG FORMACIÓN TITULADA'!#REF!,"AAAAAH/X95I=")</f>
        <v>#REF!</v>
      </c>
      <c r="ER333" t="e">
        <f>AND('PROG FORMACIÓN TITULADA'!#REF!,"AAAAAH/X95M=")</f>
        <v>#REF!</v>
      </c>
      <c r="ES333" t="e">
        <f>AND('PROG FORMACIÓN TITULADA'!#REF!,"AAAAAH/X95Q=")</f>
        <v>#REF!</v>
      </c>
      <c r="ET333" t="e">
        <f>AND('PROG FORMACIÓN TITULADA'!#REF!,"AAAAAH/X95U=")</f>
        <v>#REF!</v>
      </c>
      <c r="EU333" t="e">
        <f>AND('PROG FORMACIÓN TITULADA'!#REF!,"AAAAAH/X95Y=")</f>
        <v>#REF!</v>
      </c>
      <c r="EV333" t="e">
        <f>AND('PROG FORMACIÓN TITULADA'!#REF!,"AAAAAH/X95c=")</f>
        <v>#REF!</v>
      </c>
      <c r="EW333" t="e">
        <f>AND('PROG FORMACIÓN TITULADA'!#REF!,"AAAAAH/X95g=")</f>
        <v>#REF!</v>
      </c>
      <c r="EX333" t="e">
        <f>AND('PROG FORMACIÓN TITULADA'!#REF!,"AAAAAH/X95k=")</f>
        <v>#REF!</v>
      </c>
      <c r="EY333" t="e">
        <f>AND('PROG FORMACIÓN TITULADA'!#REF!,"AAAAAH/X95o=")</f>
        <v>#REF!</v>
      </c>
      <c r="EZ333" t="e">
        <f>AND('PROG FORMACIÓN TITULADA'!#REF!,"AAAAAH/X95s=")</f>
        <v>#REF!</v>
      </c>
      <c r="FA333" t="e">
        <f>AND('PROG FORMACIÓN TITULADA'!#REF!,"AAAAAH/X95w=")</f>
        <v>#REF!</v>
      </c>
      <c r="FB333" t="e">
        <f>AND('PROG FORMACIÓN TITULADA'!#REF!,"AAAAAH/X950=")</f>
        <v>#REF!</v>
      </c>
      <c r="FC333" t="e">
        <f>AND('PROG FORMACIÓN TITULADA'!#REF!,"AAAAAH/X954=")</f>
        <v>#REF!</v>
      </c>
      <c r="FD333" t="e">
        <f>AND('PROG FORMACIÓN TITULADA'!#REF!,"AAAAAH/X958=")</f>
        <v>#REF!</v>
      </c>
      <c r="FE333" t="e">
        <f>AND('PROG FORMACIÓN TITULADA'!#REF!,"AAAAAH/X96A=")</f>
        <v>#REF!</v>
      </c>
      <c r="FF333" t="e">
        <f>AND('PROG FORMACIÓN TITULADA'!#REF!,"AAAAAH/X96E=")</f>
        <v>#REF!</v>
      </c>
      <c r="FG333" t="e">
        <f>AND('PROG FORMACIÓN TITULADA'!#REF!,"AAAAAH/X96I=")</f>
        <v>#REF!</v>
      </c>
      <c r="FH333" t="e">
        <f>AND('PROG FORMACIÓN TITULADA'!#REF!,"AAAAAH/X96M=")</f>
        <v>#REF!</v>
      </c>
      <c r="FI333" t="e">
        <f>AND('PROG FORMACIÓN TITULADA'!#REF!,"AAAAAH/X96Q=")</f>
        <v>#REF!</v>
      </c>
      <c r="FJ333" t="e">
        <f>AND('PROG FORMACIÓN TITULADA'!#REF!,"AAAAAH/X96U=")</f>
        <v>#REF!</v>
      </c>
      <c r="FK333" t="e">
        <f>IF('PROG FORMACIÓN TITULADA'!#REF!,"AAAAAH/X96Y=",0)</f>
        <v>#REF!</v>
      </c>
      <c r="FL333" t="e">
        <f>AND('PROG FORMACIÓN TITULADA'!#REF!,"AAAAAH/X96c=")</f>
        <v>#REF!</v>
      </c>
      <c r="FM333" t="e">
        <f>AND('PROG FORMACIÓN TITULADA'!#REF!,"AAAAAH/X96g=")</f>
        <v>#REF!</v>
      </c>
      <c r="FN333" t="e">
        <f>AND('PROG FORMACIÓN TITULADA'!#REF!,"AAAAAH/X96k=")</f>
        <v>#REF!</v>
      </c>
      <c r="FO333" t="e">
        <f>AND('PROG FORMACIÓN TITULADA'!#REF!,"AAAAAH/X96o=")</f>
        <v>#REF!</v>
      </c>
      <c r="FP333" t="e">
        <f>AND('PROG FORMACIÓN TITULADA'!#REF!,"AAAAAH/X96s=")</f>
        <v>#REF!</v>
      </c>
      <c r="FQ333" t="e">
        <f>AND('PROG FORMACIÓN TITULADA'!#REF!,"AAAAAH/X96w=")</f>
        <v>#REF!</v>
      </c>
      <c r="FR333" t="e">
        <f>AND('PROG FORMACIÓN TITULADA'!#REF!,"AAAAAH/X960=")</f>
        <v>#REF!</v>
      </c>
      <c r="FS333" t="e">
        <f>AND('PROG FORMACIÓN TITULADA'!#REF!,"AAAAAH/X964=")</f>
        <v>#REF!</v>
      </c>
      <c r="FT333" t="e">
        <f>AND('PROG FORMACIÓN TITULADA'!#REF!,"AAAAAH/X968=")</f>
        <v>#REF!</v>
      </c>
      <c r="FU333" t="e">
        <f>AND('PROG FORMACIÓN TITULADA'!#REF!,"AAAAAH/X97A=")</f>
        <v>#REF!</v>
      </c>
      <c r="FV333" t="e">
        <f>AND('PROG FORMACIÓN TITULADA'!#REF!,"AAAAAH/X97E=")</f>
        <v>#REF!</v>
      </c>
      <c r="FW333" t="e">
        <f>AND('PROG FORMACIÓN TITULADA'!#REF!,"AAAAAH/X97I=")</f>
        <v>#REF!</v>
      </c>
      <c r="FX333" t="e">
        <f>AND('PROG FORMACIÓN TITULADA'!#REF!,"AAAAAH/X97M=")</f>
        <v>#REF!</v>
      </c>
      <c r="FY333" t="e">
        <f>AND('PROG FORMACIÓN TITULADA'!#REF!,"AAAAAH/X97Q=")</f>
        <v>#REF!</v>
      </c>
      <c r="FZ333" t="e">
        <f>AND('PROG FORMACIÓN TITULADA'!#REF!,"AAAAAH/X97U=")</f>
        <v>#REF!</v>
      </c>
      <c r="GA333" t="e">
        <f>AND('PROG FORMACIÓN TITULADA'!#REF!,"AAAAAH/X97Y=")</f>
        <v>#REF!</v>
      </c>
      <c r="GB333" t="e">
        <f>AND('PROG FORMACIÓN TITULADA'!#REF!,"AAAAAH/X97c=")</f>
        <v>#REF!</v>
      </c>
      <c r="GC333" t="e">
        <f>AND('PROG FORMACIÓN TITULADA'!#REF!,"AAAAAH/X97g=")</f>
        <v>#REF!</v>
      </c>
      <c r="GD333" t="e">
        <f>AND('PROG FORMACIÓN TITULADA'!#REF!,"AAAAAH/X97k=")</f>
        <v>#REF!</v>
      </c>
      <c r="GE333" t="e">
        <f>AND('PROG FORMACIÓN TITULADA'!#REF!,"AAAAAH/X97o=")</f>
        <v>#REF!</v>
      </c>
      <c r="GF333" t="e">
        <f>AND('PROG FORMACIÓN TITULADA'!#REF!,"AAAAAH/X97s=")</f>
        <v>#REF!</v>
      </c>
      <c r="GG333" t="e">
        <f>AND('PROG FORMACIÓN TITULADA'!#REF!,"AAAAAH/X97w=")</f>
        <v>#REF!</v>
      </c>
      <c r="GH333" t="e">
        <f>AND('PROG FORMACIÓN TITULADA'!#REF!,"AAAAAH/X970=")</f>
        <v>#REF!</v>
      </c>
      <c r="GI333" t="e">
        <f>AND('PROG FORMACIÓN TITULADA'!#REF!,"AAAAAH/X974=")</f>
        <v>#REF!</v>
      </c>
      <c r="GJ333" t="e">
        <f>AND('PROG FORMACIÓN TITULADA'!#REF!,"AAAAAH/X978=")</f>
        <v>#REF!</v>
      </c>
      <c r="GK333" t="e">
        <f>AND('PROG FORMACIÓN TITULADA'!#REF!,"AAAAAH/X98A=")</f>
        <v>#REF!</v>
      </c>
      <c r="GL333" t="e">
        <f>IF('PROG FORMACIÓN TITULADA'!#REF!,"AAAAAH/X98E=",0)</f>
        <v>#REF!</v>
      </c>
      <c r="GM333" t="e">
        <f>AND('PROG FORMACIÓN TITULADA'!#REF!,"AAAAAH/X98I=")</f>
        <v>#REF!</v>
      </c>
      <c r="GN333" t="e">
        <f>AND('PROG FORMACIÓN TITULADA'!#REF!,"AAAAAH/X98M=")</f>
        <v>#REF!</v>
      </c>
      <c r="GO333" t="e">
        <f>AND('PROG FORMACIÓN TITULADA'!#REF!,"AAAAAH/X98Q=")</f>
        <v>#REF!</v>
      </c>
      <c r="GP333" t="e">
        <f>AND('PROG FORMACIÓN TITULADA'!#REF!,"AAAAAH/X98U=")</f>
        <v>#REF!</v>
      </c>
      <c r="GQ333" t="e">
        <f>AND('PROG FORMACIÓN TITULADA'!#REF!,"AAAAAH/X98Y=")</f>
        <v>#REF!</v>
      </c>
      <c r="GR333" t="e">
        <f>AND('PROG FORMACIÓN TITULADA'!#REF!,"AAAAAH/X98c=")</f>
        <v>#REF!</v>
      </c>
      <c r="GS333" t="e">
        <f>AND('PROG FORMACIÓN TITULADA'!#REF!,"AAAAAH/X98g=")</f>
        <v>#REF!</v>
      </c>
      <c r="GT333" t="e">
        <f>AND('PROG FORMACIÓN TITULADA'!#REF!,"AAAAAH/X98k=")</f>
        <v>#REF!</v>
      </c>
      <c r="GU333" t="e">
        <f>AND('PROG FORMACIÓN TITULADA'!#REF!,"AAAAAH/X98o=")</f>
        <v>#REF!</v>
      </c>
      <c r="GV333" t="e">
        <f>AND('PROG FORMACIÓN TITULADA'!#REF!,"AAAAAH/X98s=")</f>
        <v>#REF!</v>
      </c>
      <c r="GW333" t="e">
        <f>AND('PROG FORMACIÓN TITULADA'!#REF!,"AAAAAH/X98w=")</f>
        <v>#REF!</v>
      </c>
      <c r="GX333" t="e">
        <f>AND('PROG FORMACIÓN TITULADA'!#REF!,"AAAAAH/X980=")</f>
        <v>#REF!</v>
      </c>
      <c r="GY333" t="e">
        <f>AND('PROG FORMACIÓN TITULADA'!#REF!,"AAAAAH/X984=")</f>
        <v>#REF!</v>
      </c>
      <c r="GZ333" t="e">
        <f>AND('PROG FORMACIÓN TITULADA'!#REF!,"AAAAAH/X988=")</f>
        <v>#REF!</v>
      </c>
      <c r="HA333" t="e">
        <f>AND('PROG FORMACIÓN TITULADA'!#REF!,"AAAAAH/X99A=")</f>
        <v>#REF!</v>
      </c>
      <c r="HB333" t="e">
        <f>AND('PROG FORMACIÓN TITULADA'!#REF!,"AAAAAH/X99E=")</f>
        <v>#REF!</v>
      </c>
      <c r="HC333" t="e">
        <f>AND('PROG FORMACIÓN TITULADA'!#REF!,"AAAAAH/X99I=")</f>
        <v>#REF!</v>
      </c>
      <c r="HD333" t="e">
        <f>AND('PROG FORMACIÓN TITULADA'!#REF!,"AAAAAH/X99M=")</f>
        <v>#REF!</v>
      </c>
      <c r="HE333" t="e">
        <f>AND('PROG FORMACIÓN TITULADA'!#REF!,"AAAAAH/X99Q=")</f>
        <v>#REF!</v>
      </c>
      <c r="HF333" t="e">
        <f>AND('PROG FORMACIÓN TITULADA'!#REF!,"AAAAAH/X99U=")</f>
        <v>#REF!</v>
      </c>
      <c r="HG333" t="e">
        <f>AND('PROG FORMACIÓN TITULADA'!#REF!,"AAAAAH/X99Y=")</f>
        <v>#REF!</v>
      </c>
      <c r="HH333" t="e">
        <f>AND('PROG FORMACIÓN TITULADA'!#REF!,"AAAAAH/X99c=")</f>
        <v>#REF!</v>
      </c>
      <c r="HI333" t="e">
        <f>AND('PROG FORMACIÓN TITULADA'!#REF!,"AAAAAH/X99g=")</f>
        <v>#REF!</v>
      </c>
      <c r="HJ333" t="e">
        <f>AND('PROG FORMACIÓN TITULADA'!#REF!,"AAAAAH/X99k=")</f>
        <v>#REF!</v>
      </c>
      <c r="HK333" t="e">
        <f>AND('PROG FORMACIÓN TITULADA'!#REF!,"AAAAAH/X99o=")</f>
        <v>#REF!</v>
      </c>
      <c r="HL333" t="e">
        <f>AND('PROG FORMACIÓN TITULADA'!#REF!,"AAAAAH/X99s=")</f>
        <v>#REF!</v>
      </c>
      <c r="HM333" t="e">
        <f>IF('PROG FORMACIÓN TITULADA'!#REF!,"AAAAAH/X99w=",0)</f>
        <v>#REF!</v>
      </c>
      <c r="HN333" t="e">
        <f>AND('PROG FORMACIÓN TITULADA'!#REF!,"AAAAAH/X990=")</f>
        <v>#REF!</v>
      </c>
      <c r="HO333" t="e">
        <f>AND('PROG FORMACIÓN TITULADA'!#REF!,"AAAAAH/X994=")</f>
        <v>#REF!</v>
      </c>
      <c r="HP333" t="e">
        <f>AND('PROG FORMACIÓN TITULADA'!#REF!,"AAAAAH/X998=")</f>
        <v>#REF!</v>
      </c>
      <c r="HQ333" t="e">
        <f>AND('PROG FORMACIÓN TITULADA'!#REF!,"AAAAAH/X9+A=")</f>
        <v>#REF!</v>
      </c>
      <c r="HR333" t="e">
        <f>AND('PROG FORMACIÓN TITULADA'!#REF!,"AAAAAH/X9+E=")</f>
        <v>#REF!</v>
      </c>
      <c r="HS333" t="e">
        <f>AND('PROG FORMACIÓN TITULADA'!#REF!,"AAAAAH/X9+I=")</f>
        <v>#REF!</v>
      </c>
      <c r="HT333" t="e">
        <f>AND('PROG FORMACIÓN TITULADA'!#REF!,"AAAAAH/X9+M=")</f>
        <v>#REF!</v>
      </c>
      <c r="HU333" t="e">
        <f>AND('PROG FORMACIÓN TITULADA'!#REF!,"AAAAAH/X9+Q=")</f>
        <v>#REF!</v>
      </c>
      <c r="HV333" t="e">
        <f>AND('PROG FORMACIÓN TITULADA'!#REF!,"AAAAAH/X9+U=")</f>
        <v>#REF!</v>
      </c>
      <c r="HW333" t="e">
        <f>AND('PROG FORMACIÓN TITULADA'!#REF!,"AAAAAH/X9+Y=")</f>
        <v>#REF!</v>
      </c>
      <c r="HX333" t="e">
        <f>AND('PROG FORMACIÓN TITULADA'!#REF!,"AAAAAH/X9+c=")</f>
        <v>#REF!</v>
      </c>
      <c r="HY333" t="e">
        <f>AND('PROG FORMACIÓN TITULADA'!#REF!,"AAAAAH/X9+g=")</f>
        <v>#REF!</v>
      </c>
      <c r="HZ333" t="e">
        <f>AND('PROG FORMACIÓN TITULADA'!#REF!,"AAAAAH/X9+k=")</f>
        <v>#REF!</v>
      </c>
      <c r="IA333" t="e">
        <f>AND('PROG FORMACIÓN TITULADA'!#REF!,"AAAAAH/X9+o=")</f>
        <v>#REF!</v>
      </c>
      <c r="IB333" t="e">
        <f>AND('PROG FORMACIÓN TITULADA'!#REF!,"AAAAAH/X9+s=")</f>
        <v>#REF!</v>
      </c>
      <c r="IC333" t="e">
        <f>AND('PROG FORMACIÓN TITULADA'!#REF!,"AAAAAH/X9+w=")</f>
        <v>#REF!</v>
      </c>
      <c r="ID333" t="e">
        <f>AND('PROG FORMACIÓN TITULADA'!#REF!,"AAAAAH/X9+0=")</f>
        <v>#REF!</v>
      </c>
      <c r="IE333" t="e">
        <f>AND('PROG FORMACIÓN TITULADA'!#REF!,"AAAAAH/X9+4=")</f>
        <v>#REF!</v>
      </c>
      <c r="IF333" t="e">
        <f>AND('PROG FORMACIÓN TITULADA'!#REF!,"AAAAAH/X9+8=")</f>
        <v>#REF!</v>
      </c>
      <c r="IG333" t="e">
        <f>AND('PROG FORMACIÓN TITULADA'!#REF!,"AAAAAH/X9/A=")</f>
        <v>#REF!</v>
      </c>
      <c r="IH333" t="e">
        <f>AND('PROG FORMACIÓN TITULADA'!#REF!,"AAAAAH/X9/E=")</f>
        <v>#REF!</v>
      </c>
      <c r="II333" t="e">
        <f>AND('PROG FORMACIÓN TITULADA'!#REF!,"AAAAAH/X9/I=")</f>
        <v>#REF!</v>
      </c>
      <c r="IJ333" t="e">
        <f>AND('PROG FORMACIÓN TITULADA'!#REF!,"AAAAAH/X9/M=")</f>
        <v>#REF!</v>
      </c>
      <c r="IK333" t="e">
        <f>AND('PROG FORMACIÓN TITULADA'!#REF!,"AAAAAH/X9/Q=")</f>
        <v>#REF!</v>
      </c>
      <c r="IL333" t="e">
        <f>AND('PROG FORMACIÓN TITULADA'!#REF!,"AAAAAH/X9/U=")</f>
        <v>#REF!</v>
      </c>
      <c r="IM333" t="e">
        <f>AND('PROG FORMACIÓN TITULADA'!#REF!,"AAAAAH/X9/Y=")</f>
        <v>#REF!</v>
      </c>
      <c r="IN333" t="e">
        <f>IF('PROG FORMACIÓN TITULADA'!#REF!,"AAAAAH/X9/c=",0)</f>
        <v>#REF!</v>
      </c>
      <c r="IO333" t="e">
        <f>AND('PROG FORMACIÓN TITULADA'!#REF!,"AAAAAH/X9/g=")</f>
        <v>#REF!</v>
      </c>
      <c r="IP333" t="e">
        <f>AND('PROG FORMACIÓN TITULADA'!#REF!,"AAAAAH/X9/k=")</f>
        <v>#REF!</v>
      </c>
      <c r="IQ333" t="e">
        <f>AND('PROG FORMACIÓN TITULADA'!#REF!,"AAAAAH/X9/o=")</f>
        <v>#REF!</v>
      </c>
      <c r="IR333" t="e">
        <f>AND('PROG FORMACIÓN TITULADA'!#REF!,"AAAAAH/X9/s=")</f>
        <v>#REF!</v>
      </c>
      <c r="IS333" t="e">
        <f>AND('PROG FORMACIÓN TITULADA'!#REF!,"AAAAAH/X9/w=")</f>
        <v>#REF!</v>
      </c>
      <c r="IT333" t="e">
        <f>AND('PROG FORMACIÓN TITULADA'!#REF!,"AAAAAH/X9/0=")</f>
        <v>#REF!</v>
      </c>
      <c r="IU333" t="e">
        <f>AND('PROG FORMACIÓN TITULADA'!#REF!,"AAAAAH/X9/4=")</f>
        <v>#REF!</v>
      </c>
      <c r="IV333" t="e">
        <f>AND('PROG FORMACIÓN TITULADA'!#REF!,"AAAAAH/X9/8=")</f>
        <v>#REF!</v>
      </c>
    </row>
    <row r="334" spans="1:256" x14ac:dyDescent="0.2">
      <c r="A334" t="e">
        <f>AND('PROG FORMACIÓN TITULADA'!#REF!,"AAAAAH7+/wA=")</f>
        <v>#REF!</v>
      </c>
      <c r="B334" t="e">
        <f>AND('PROG FORMACIÓN TITULADA'!#REF!,"AAAAAH7+/wE=")</f>
        <v>#REF!</v>
      </c>
      <c r="C334" t="e">
        <f>AND('PROG FORMACIÓN TITULADA'!#REF!,"AAAAAH7+/wI=")</f>
        <v>#REF!</v>
      </c>
      <c r="D334" t="e">
        <f>AND('PROG FORMACIÓN TITULADA'!#REF!,"AAAAAH7+/wM=")</f>
        <v>#REF!</v>
      </c>
      <c r="E334" t="e">
        <f>AND('PROG FORMACIÓN TITULADA'!#REF!,"AAAAAH7+/wQ=")</f>
        <v>#REF!</v>
      </c>
      <c r="F334" t="e">
        <f>AND('PROG FORMACIÓN TITULADA'!#REF!,"AAAAAH7+/wU=")</f>
        <v>#REF!</v>
      </c>
      <c r="G334" t="e">
        <f>AND('PROG FORMACIÓN TITULADA'!#REF!,"AAAAAH7+/wY=")</f>
        <v>#REF!</v>
      </c>
      <c r="H334" t="e">
        <f>AND('PROG FORMACIÓN TITULADA'!#REF!,"AAAAAH7+/wc=")</f>
        <v>#REF!</v>
      </c>
      <c r="I334" t="e">
        <f>AND('PROG FORMACIÓN TITULADA'!#REF!,"AAAAAH7+/wg=")</f>
        <v>#REF!</v>
      </c>
      <c r="J334" t="e">
        <f>AND('PROG FORMACIÓN TITULADA'!#REF!,"AAAAAH7+/wk=")</f>
        <v>#REF!</v>
      </c>
      <c r="K334" t="e">
        <f>AND('PROG FORMACIÓN TITULADA'!#REF!,"AAAAAH7+/wo=")</f>
        <v>#REF!</v>
      </c>
      <c r="L334" t="e">
        <f>AND('PROG FORMACIÓN TITULADA'!#REF!,"AAAAAH7+/ws=")</f>
        <v>#REF!</v>
      </c>
      <c r="M334" t="e">
        <f>AND('PROG FORMACIÓN TITULADA'!#REF!,"AAAAAH7+/ww=")</f>
        <v>#REF!</v>
      </c>
      <c r="N334" t="e">
        <f>AND('PROG FORMACIÓN TITULADA'!#REF!,"AAAAAH7+/w0=")</f>
        <v>#REF!</v>
      </c>
      <c r="O334" t="e">
        <f>AND('PROG FORMACIÓN TITULADA'!#REF!,"AAAAAH7+/w4=")</f>
        <v>#REF!</v>
      </c>
      <c r="P334" t="e">
        <f>AND('PROG FORMACIÓN TITULADA'!#REF!,"AAAAAH7+/w8=")</f>
        <v>#REF!</v>
      </c>
      <c r="Q334" t="e">
        <f>AND('PROG FORMACIÓN TITULADA'!#REF!,"AAAAAH7+/xA=")</f>
        <v>#REF!</v>
      </c>
      <c r="R334" t="e">
        <f>AND('PROG FORMACIÓN TITULADA'!#REF!,"AAAAAH7+/xE=")</f>
        <v>#REF!</v>
      </c>
      <c r="S334" t="e">
        <f>IF('PROG FORMACIÓN TITULADA'!#REF!,"AAAAAH7+/xI=",0)</f>
        <v>#REF!</v>
      </c>
      <c r="T334" t="e">
        <f>AND('PROG FORMACIÓN TITULADA'!#REF!,"AAAAAH7+/xM=")</f>
        <v>#REF!</v>
      </c>
      <c r="U334" t="e">
        <f>AND('PROG FORMACIÓN TITULADA'!#REF!,"AAAAAH7+/xQ=")</f>
        <v>#REF!</v>
      </c>
      <c r="V334" t="e">
        <f>AND('PROG FORMACIÓN TITULADA'!#REF!,"AAAAAH7+/xU=")</f>
        <v>#REF!</v>
      </c>
      <c r="W334" t="e">
        <f>AND('PROG FORMACIÓN TITULADA'!#REF!,"AAAAAH7+/xY=")</f>
        <v>#REF!</v>
      </c>
      <c r="X334" t="e">
        <f>AND('PROG FORMACIÓN TITULADA'!#REF!,"AAAAAH7+/xc=")</f>
        <v>#REF!</v>
      </c>
      <c r="Y334" t="e">
        <f>AND('PROG FORMACIÓN TITULADA'!#REF!,"AAAAAH7+/xg=")</f>
        <v>#REF!</v>
      </c>
      <c r="Z334" t="e">
        <f>AND('PROG FORMACIÓN TITULADA'!#REF!,"AAAAAH7+/xk=")</f>
        <v>#REF!</v>
      </c>
      <c r="AA334" t="e">
        <f>AND('PROG FORMACIÓN TITULADA'!#REF!,"AAAAAH7+/xo=")</f>
        <v>#REF!</v>
      </c>
      <c r="AB334" t="e">
        <f>AND('PROG FORMACIÓN TITULADA'!#REF!,"AAAAAH7+/xs=")</f>
        <v>#REF!</v>
      </c>
      <c r="AC334" t="e">
        <f>AND('PROG FORMACIÓN TITULADA'!#REF!,"AAAAAH7+/xw=")</f>
        <v>#REF!</v>
      </c>
      <c r="AD334" t="e">
        <f>AND('PROG FORMACIÓN TITULADA'!#REF!,"AAAAAH7+/x0=")</f>
        <v>#REF!</v>
      </c>
      <c r="AE334" t="e">
        <f>AND('PROG FORMACIÓN TITULADA'!#REF!,"AAAAAH7+/x4=")</f>
        <v>#REF!</v>
      </c>
      <c r="AF334" t="e">
        <f>AND('PROG FORMACIÓN TITULADA'!#REF!,"AAAAAH7+/x8=")</f>
        <v>#REF!</v>
      </c>
      <c r="AG334" t="e">
        <f>AND('PROG FORMACIÓN TITULADA'!#REF!,"AAAAAH7+/yA=")</f>
        <v>#REF!</v>
      </c>
      <c r="AH334" t="e">
        <f>AND('PROG FORMACIÓN TITULADA'!#REF!,"AAAAAH7+/yE=")</f>
        <v>#REF!</v>
      </c>
      <c r="AI334" t="e">
        <f>AND('PROG FORMACIÓN TITULADA'!#REF!,"AAAAAH7+/yI=")</f>
        <v>#REF!</v>
      </c>
      <c r="AJ334" t="e">
        <f>AND('PROG FORMACIÓN TITULADA'!#REF!,"AAAAAH7+/yM=")</f>
        <v>#REF!</v>
      </c>
      <c r="AK334" t="e">
        <f>AND('PROG FORMACIÓN TITULADA'!#REF!,"AAAAAH7+/yQ=")</f>
        <v>#REF!</v>
      </c>
      <c r="AL334" t="e">
        <f>AND('PROG FORMACIÓN TITULADA'!#REF!,"AAAAAH7+/yU=")</f>
        <v>#REF!</v>
      </c>
      <c r="AM334" t="e">
        <f>AND('PROG FORMACIÓN TITULADA'!#REF!,"AAAAAH7+/yY=")</f>
        <v>#REF!</v>
      </c>
      <c r="AN334" t="e">
        <f>AND('PROG FORMACIÓN TITULADA'!#REF!,"AAAAAH7+/yc=")</f>
        <v>#REF!</v>
      </c>
      <c r="AO334" t="e">
        <f>AND('PROG FORMACIÓN TITULADA'!#REF!,"AAAAAH7+/yg=")</f>
        <v>#REF!</v>
      </c>
      <c r="AP334" t="e">
        <f>AND('PROG FORMACIÓN TITULADA'!#REF!,"AAAAAH7+/yk=")</f>
        <v>#REF!</v>
      </c>
      <c r="AQ334" t="e">
        <f>AND('PROG FORMACIÓN TITULADA'!#REF!,"AAAAAH7+/yo=")</f>
        <v>#REF!</v>
      </c>
      <c r="AR334" t="e">
        <f>AND('PROG FORMACIÓN TITULADA'!#REF!,"AAAAAH7+/ys=")</f>
        <v>#REF!</v>
      </c>
      <c r="AS334" t="e">
        <f>AND('PROG FORMACIÓN TITULADA'!#REF!,"AAAAAH7+/yw=")</f>
        <v>#REF!</v>
      </c>
      <c r="AT334" t="e">
        <f>IF('PROG FORMACIÓN TITULADA'!#REF!,"AAAAAH7+/y0=",0)</f>
        <v>#REF!</v>
      </c>
      <c r="AU334" t="e">
        <f>AND('PROG FORMACIÓN TITULADA'!#REF!,"AAAAAH7+/y4=")</f>
        <v>#REF!</v>
      </c>
      <c r="AV334" t="e">
        <f>AND('PROG FORMACIÓN TITULADA'!#REF!,"AAAAAH7+/y8=")</f>
        <v>#REF!</v>
      </c>
      <c r="AW334" t="e">
        <f>AND('PROG FORMACIÓN TITULADA'!#REF!,"AAAAAH7+/zA=")</f>
        <v>#REF!</v>
      </c>
      <c r="AX334" t="e">
        <f>AND('PROG FORMACIÓN TITULADA'!#REF!,"AAAAAH7+/zE=")</f>
        <v>#REF!</v>
      </c>
      <c r="AY334" t="e">
        <f>AND('PROG FORMACIÓN TITULADA'!#REF!,"AAAAAH7+/zI=")</f>
        <v>#REF!</v>
      </c>
      <c r="AZ334" t="e">
        <f>AND('PROG FORMACIÓN TITULADA'!#REF!,"AAAAAH7+/zM=")</f>
        <v>#REF!</v>
      </c>
      <c r="BA334" t="e">
        <f>AND('PROG FORMACIÓN TITULADA'!#REF!,"AAAAAH7+/zQ=")</f>
        <v>#REF!</v>
      </c>
      <c r="BB334" t="e">
        <f>AND('PROG FORMACIÓN TITULADA'!#REF!,"AAAAAH7+/zU=")</f>
        <v>#REF!</v>
      </c>
      <c r="BC334" t="e">
        <f>AND('PROG FORMACIÓN TITULADA'!#REF!,"AAAAAH7+/zY=")</f>
        <v>#REF!</v>
      </c>
      <c r="BD334" t="e">
        <f>AND('PROG FORMACIÓN TITULADA'!#REF!,"AAAAAH7+/zc=")</f>
        <v>#REF!</v>
      </c>
      <c r="BE334" t="e">
        <f>AND('PROG FORMACIÓN TITULADA'!#REF!,"AAAAAH7+/zg=")</f>
        <v>#REF!</v>
      </c>
      <c r="BF334" t="e">
        <f>AND('PROG FORMACIÓN TITULADA'!#REF!,"AAAAAH7+/zk=")</f>
        <v>#REF!</v>
      </c>
      <c r="BG334" t="e">
        <f>AND('PROG FORMACIÓN TITULADA'!#REF!,"AAAAAH7+/zo=")</f>
        <v>#REF!</v>
      </c>
      <c r="BH334" t="e">
        <f>AND('PROG FORMACIÓN TITULADA'!#REF!,"AAAAAH7+/zs=")</f>
        <v>#REF!</v>
      </c>
      <c r="BI334" t="e">
        <f>AND('PROG FORMACIÓN TITULADA'!#REF!,"AAAAAH7+/zw=")</f>
        <v>#REF!</v>
      </c>
      <c r="BJ334" t="e">
        <f>AND('PROG FORMACIÓN TITULADA'!#REF!,"AAAAAH7+/z0=")</f>
        <v>#REF!</v>
      </c>
      <c r="BK334" t="e">
        <f>AND('PROG FORMACIÓN TITULADA'!#REF!,"AAAAAH7+/z4=")</f>
        <v>#REF!</v>
      </c>
      <c r="BL334" t="e">
        <f>AND('PROG FORMACIÓN TITULADA'!#REF!,"AAAAAH7+/z8=")</f>
        <v>#REF!</v>
      </c>
      <c r="BM334" t="e">
        <f>AND('PROG FORMACIÓN TITULADA'!#REF!,"AAAAAH7+/0A=")</f>
        <v>#REF!</v>
      </c>
      <c r="BN334" t="e">
        <f>AND('PROG FORMACIÓN TITULADA'!#REF!,"AAAAAH7+/0E=")</f>
        <v>#REF!</v>
      </c>
      <c r="BO334" t="e">
        <f>AND('PROG FORMACIÓN TITULADA'!#REF!,"AAAAAH7+/0I=")</f>
        <v>#REF!</v>
      </c>
      <c r="BP334" t="e">
        <f>AND('PROG FORMACIÓN TITULADA'!#REF!,"AAAAAH7+/0M=")</f>
        <v>#REF!</v>
      </c>
      <c r="BQ334" t="e">
        <f>AND('PROG FORMACIÓN TITULADA'!#REF!,"AAAAAH7+/0Q=")</f>
        <v>#REF!</v>
      </c>
      <c r="BR334" t="e">
        <f>AND('PROG FORMACIÓN TITULADA'!#REF!,"AAAAAH7+/0U=")</f>
        <v>#REF!</v>
      </c>
      <c r="BS334" t="e">
        <f>AND('PROG FORMACIÓN TITULADA'!#REF!,"AAAAAH7+/0Y=")</f>
        <v>#REF!</v>
      </c>
      <c r="BT334" t="e">
        <f>AND('PROG FORMACIÓN TITULADA'!#REF!,"AAAAAH7+/0c=")</f>
        <v>#REF!</v>
      </c>
      <c r="BU334" t="e">
        <f>IF('PROG FORMACIÓN TITULADA'!#REF!,"AAAAAH7+/0g=",0)</f>
        <v>#REF!</v>
      </c>
      <c r="BV334" t="e">
        <f>AND('PROG FORMACIÓN TITULADA'!#REF!,"AAAAAH7+/0k=")</f>
        <v>#REF!</v>
      </c>
      <c r="BW334" t="e">
        <f>AND('PROG FORMACIÓN TITULADA'!#REF!,"AAAAAH7+/0o=")</f>
        <v>#REF!</v>
      </c>
      <c r="BX334" t="e">
        <f>AND('PROG FORMACIÓN TITULADA'!#REF!,"AAAAAH7+/0s=")</f>
        <v>#REF!</v>
      </c>
      <c r="BY334" t="e">
        <f>AND('PROG FORMACIÓN TITULADA'!#REF!,"AAAAAH7+/0w=")</f>
        <v>#REF!</v>
      </c>
      <c r="BZ334" t="e">
        <f>AND('PROG FORMACIÓN TITULADA'!#REF!,"AAAAAH7+/00=")</f>
        <v>#REF!</v>
      </c>
      <c r="CA334" t="e">
        <f>AND('PROG FORMACIÓN TITULADA'!#REF!,"AAAAAH7+/04=")</f>
        <v>#REF!</v>
      </c>
      <c r="CB334" t="e">
        <f>AND('PROG FORMACIÓN TITULADA'!#REF!,"AAAAAH7+/08=")</f>
        <v>#REF!</v>
      </c>
      <c r="CC334" t="e">
        <f>AND('PROG FORMACIÓN TITULADA'!#REF!,"AAAAAH7+/1A=")</f>
        <v>#REF!</v>
      </c>
      <c r="CD334" t="e">
        <f>AND('PROG FORMACIÓN TITULADA'!#REF!,"AAAAAH7+/1E=")</f>
        <v>#REF!</v>
      </c>
      <c r="CE334" t="e">
        <f>AND('PROG FORMACIÓN TITULADA'!#REF!,"AAAAAH7+/1I=")</f>
        <v>#REF!</v>
      </c>
      <c r="CF334" t="e">
        <f>AND('PROG FORMACIÓN TITULADA'!#REF!,"AAAAAH7+/1M=")</f>
        <v>#REF!</v>
      </c>
      <c r="CG334" t="e">
        <f>AND('PROG FORMACIÓN TITULADA'!#REF!,"AAAAAH7+/1Q=")</f>
        <v>#REF!</v>
      </c>
      <c r="CH334" t="e">
        <f>AND('PROG FORMACIÓN TITULADA'!#REF!,"AAAAAH7+/1U=")</f>
        <v>#REF!</v>
      </c>
      <c r="CI334" t="e">
        <f>AND('PROG FORMACIÓN TITULADA'!#REF!,"AAAAAH7+/1Y=")</f>
        <v>#REF!</v>
      </c>
      <c r="CJ334" t="e">
        <f>AND('PROG FORMACIÓN TITULADA'!#REF!,"AAAAAH7+/1c=")</f>
        <v>#REF!</v>
      </c>
      <c r="CK334" t="e">
        <f>AND('PROG FORMACIÓN TITULADA'!#REF!,"AAAAAH7+/1g=")</f>
        <v>#REF!</v>
      </c>
      <c r="CL334" t="e">
        <f>AND('PROG FORMACIÓN TITULADA'!#REF!,"AAAAAH7+/1k=")</f>
        <v>#REF!</v>
      </c>
      <c r="CM334" t="e">
        <f>AND('PROG FORMACIÓN TITULADA'!#REF!,"AAAAAH7+/1o=")</f>
        <v>#REF!</v>
      </c>
      <c r="CN334" t="e">
        <f>AND('PROG FORMACIÓN TITULADA'!#REF!,"AAAAAH7+/1s=")</f>
        <v>#REF!</v>
      </c>
      <c r="CO334" t="e">
        <f>AND('PROG FORMACIÓN TITULADA'!#REF!,"AAAAAH7+/1w=")</f>
        <v>#REF!</v>
      </c>
      <c r="CP334" t="e">
        <f>AND('PROG FORMACIÓN TITULADA'!#REF!,"AAAAAH7+/10=")</f>
        <v>#REF!</v>
      </c>
      <c r="CQ334" t="e">
        <f>AND('PROG FORMACIÓN TITULADA'!#REF!,"AAAAAH7+/14=")</f>
        <v>#REF!</v>
      </c>
      <c r="CR334" t="e">
        <f>AND('PROG FORMACIÓN TITULADA'!#REF!,"AAAAAH7+/18=")</f>
        <v>#REF!</v>
      </c>
      <c r="CS334" t="e">
        <f>AND('PROG FORMACIÓN TITULADA'!#REF!,"AAAAAH7+/2A=")</f>
        <v>#REF!</v>
      </c>
      <c r="CT334" t="e">
        <f>AND('PROG FORMACIÓN TITULADA'!#REF!,"AAAAAH7+/2E=")</f>
        <v>#REF!</v>
      </c>
      <c r="CU334" t="e">
        <f>AND('PROG FORMACIÓN TITULADA'!#REF!,"AAAAAH7+/2I=")</f>
        <v>#REF!</v>
      </c>
      <c r="CV334" t="e">
        <f>IF('PROG FORMACIÓN TITULADA'!#REF!,"AAAAAH7+/2M=",0)</f>
        <v>#REF!</v>
      </c>
      <c r="CW334" t="e">
        <f>AND('PROG FORMACIÓN TITULADA'!#REF!,"AAAAAH7+/2Q=")</f>
        <v>#REF!</v>
      </c>
      <c r="CX334" t="e">
        <f>AND('PROG FORMACIÓN TITULADA'!#REF!,"AAAAAH7+/2U=")</f>
        <v>#REF!</v>
      </c>
      <c r="CY334" t="e">
        <f>AND('PROG FORMACIÓN TITULADA'!#REF!,"AAAAAH7+/2Y=")</f>
        <v>#REF!</v>
      </c>
      <c r="CZ334" t="e">
        <f>AND('PROG FORMACIÓN TITULADA'!#REF!,"AAAAAH7+/2c=")</f>
        <v>#REF!</v>
      </c>
      <c r="DA334" t="e">
        <f>AND('PROG FORMACIÓN TITULADA'!#REF!,"AAAAAH7+/2g=")</f>
        <v>#REF!</v>
      </c>
      <c r="DB334" t="e">
        <f>AND('PROG FORMACIÓN TITULADA'!#REF!,"AAAAAH7+/2k=")</f>
        <v>#REF!</v>
      </c>
      <c r="DC334" t="e">
        <f>AND('PROG FORMACIÓN TITULADA'!#REF!,"AAAAAH7+/2o=")</f>
        <v>#REF!</v>
      </c>
      <c r="DD334" t="e">
        <f>AND('PROG FORMACIÓN TITULADA'!#REF!,"AAAAAH7+/2s=")</f>
        <v>#REF!</v>
      </c>
      <c r="DE334" t="e">
        <f>AND('PROG FORMACIÓN TITULADA'!#REF!,"AAAAAH7+/2w=")</f>
        <v>#REF!</v>
      </c>
      <c r="DF334" t="e">
        <f>AND('PROG FORMACIÓN TITULADA'!#REF!,"AAAAAH7+/20=")</f>
        <v>#REF!</v>
      </c>
      <c r="DG334" t="e">
        <f>AND('PROG FORMACIÓN TITULADA'!#REF!,"AAAAAH7+/24=")</f>
        <v>#REF!</v>
      </c>
      <c r="DH334" t="e">
        <f>AND('PROG FORMACIÓN TITULADA'!#REF!,"AAAAAH7+/28=")</f>
        <v>#REF!</v>
      </c>
      <c r="DI334" t="e">
        <f>AND('PROG FORMACIÓN TITULADA'!#REF!,"AAAAAH7+/3A=")</f>
        <v>#REF!</v>
      </c>
      <c r="DJ334" t="e">
        <f>AND('PROG FORMACIÓN TITULADA'!#REF!,"AAAAAH7+/3E=")</f>
        <v>#REF!</v>
      </c>
      <c r="DK334" t="e">
        <f>AND('PROG FORMACIÓN TITULADA'!#REF!,"AAAAAH7+/3I=")</f>
        <v>#REF!</v>
      </c>
      <c r="DL334" t="e">
        <f>AND('PROG FORMACIÓN TITULADA'!#REF!,"AAAAAH7+/3M=")</f>
        <v>#REF!</v>
      </c>
      <c r="DM334" t="e">
        <f>AND('PROG FORMACIÓN TITULADA'!#REF!,"AAAAAH7+/3Q=")</f>
        <v>#REF!</v>
      </c>
      <c r="DN334" t="e">
        <f>AND('PROG FORMACIÓN TITULADA'!#REF!,"AAAAAH7+/3U=")</f>
        <v>#REF!</v>
      </c>
      <c r="DO334" t="e">
        <f>AND('PROG FORMACIÓN TITULADA'!#REF!,"AAAAAH7+/3Y=")</f>
        <v>#REF!</v>
      </c>
      <c r="DP334" t="e">
        <f>AND('PROG FORMACIÓN TITULADA'!#REF!,"AAAAAH7+/3c=")</f>
        <v>#REF!</v>
      </c>
      <c r="DQ334" t="e">
        <f>AND('PROG FORMACIÓN TITULADA'!#REF!,"AAAAAH7+/3g=")</f>
        <v>#REF!</v>
      </c>
      <c r="DR334" t="e">
        <f>AND('PROG FORMACIÓN TITULADA'!#REF!,"AAAAAH7+/3k=")</f>
        <v>#REF!</v>
      </c>
      <c r="DS334" t="e">
        <f>AND('PROG FORMACIÓN TITULADA'!#REF!,"AAAAAH7+/3o=")</f>
        <v>#REF!</v>
      </c>
      <c r="DT334" t="e">
        <f>AND('PROG FORMACIÓN TITULADA'!#REF!,"AAAAAH7+/3s=")</f>
        <v>#REF!</v>
      </c>
      <c r="DU334" t="e">
        <f>AND('PROG FORMACIÓN TITULADA'!#REF!,"AAAAAH7+/3w=")</f>
        <v>#REF!</v>
      </c>
      <c r="DV334" t="e">
        <f>AND('PROG FORMACIÓN TITULADA'!#REF!,"AAAAAH7+/30=")</f>
        <v>#REF!</v>
      </c>
      <c r="DW334" t="e">
        <f>IF('PROG FORMACIÓN TITULADA'!#REF!,"AAAAAH7+/34=",0)</f>
        <v>#REF!</v>
      </c>
      <c r="DX334" t="e">
        <f>AND('PROG FORMACIÓN TITULADA'!#REF!,"AAAAAH7+/38=")</f>
        <v>#REF!</v>
      </c>
      <c r="DY334" t="e">
        <f>AND('PROG FORMACIÓN TITULADA'!#REF!,"AAAAAH7+/4A=")</f>
        <v>#REF!</v>
      </c>
      <c r="DZ334" t="e">
        <f>AND('PROG FORMACIÓN TITULADA'!#REF!,"AAAAAH7+/4E=")</f>
        <v>#REF!</v>
      </c>
      <c r="EA334" t="e">
        <f>AND('PROG FORMACIÓN TITULADA'!#REF!,"AAAAAH7+/4I=")</f>
        <v>#REF!</v>
      </c>
      <c r="EB334" t="e">
        <f>AND('PROG FORMACIÓN TITULADA'!#REF!,"AAAAAH7+/4M=")</f>
        <v>#REF!</v>
      </c>
      <c r="EC334" t="e">
        <f>AND('PROG FORMACIÓN TITULADA'!#REF!,"AAAAAH7+/4Q=")</f>
        <v>#REF!</v>
      </c>
      <c r="ED334" t="e">
        <f>AND('PROG FORMACIÓN TITULADA'!#REF!,"AAAAAH7+/4U=")</f>
        <v>#REF!</v>
      </c>
      <c r="EE334" t="e">
        <f>AND('PROG FORMACIÓN TITULADA'!#REF!,"AAAAAH7+/4Y=")</f>
        <v>#REF!</v>
      </c>
      <c r="EF334" t="e">
        <f>AND('PROG FORMACIÓN TITULADA'!#REF!,"AAAAAH7+/4c=")</f>
        <v>#REF!</v>
      </c>
      <c r="EG334" t="e">
        <f>AND('PROG FORMACIÓN TITULADA'!#REF!,"AAAAAH7+/4g=")</f>
        <v>#REF!</v>
      </c>
      <c r="EH334" t="e">
        <f>AND('PROG FORMACIÓN TITULADA'!#REF!,"AAAAAH7+/4k=")</f>
        <v>#REF!</v>
      </c>
      <c r="EI334" t="e">
        <f>AND('PROG FORMACIÓN TITULADA'!#REF!,"AAAAAH7+/4o=")</f>
        <v>#REF!</v>
      </c>
      <c r="EJ334" t="e">
        <f>AND('PROG FORMACIÓN TITULADA'!#REF!,"AAAAAH7+/4s=")</f>
        <v>#REF!</v>
      </c>
      <c r="EK334" t="e">
        <f>AND('PROG FORMACIÓN TITULADA'!#REF!,"AAAAAH7+/4w=")</f>
        <v>#REF!</v>
      </c>
      <c r="EL334" t="e">
        <f>AND('PROG FORMACIÓN TITULADA'!#REF!,"AAAAAH7+/40=")</f>
        <v>#REF!</v>
      </c>
      <c r="EM334" t="e">
        <f>AND('PROG FORMACIÓN TITULADA'!#REF!,"AAAAAH7+/44=")</f>
        <v>#REF!</v>
      </c>
      <c r="EN334" t="e">
        <f>AND('PROG FORMACIÓN TITULADA'!#REF!,"AAAAAH7+/48=")</f>
        <v>#REF!</v>
      </c>
      <c r="EO334" t="e">
        <f>AND('PROG FORMACIÓN TITULADA'!#REF!,"AAAAAH7+/5A=")</f>
        <v>#REF!</v>
      </c>
      <c r="EP334" t="e">
        <f>AND('PROG FORMACIÓN TITULADA'!#REF!,"AAAAAH7+/5E=")</f>
        <v>#REF!</v>
      </c>
      <c r="EQ334" t="e">
        <f>AND('PROG FORMACIÓN TITULADA'!#REF!,"AAAAAH7+/5I=")</f>
        <v>#REF!</v>
      </c>
      <c r="ER334" t="e">
        <f>AND('PROG FORMACIÓN TITULADA'!#REF!,"AAAAAH7+/5M=")</f>
        <v>#REF!</v>
      </c>
      <c r="ES334" t="e">
        <f>AND('PROG FORMACIÓN TITULADA'!#REF!,"AAAAAH7+/5Q=")</f>
        <v>#REF!</v>
      </c>
      <c r="ET334" t="e">
        <f>AND('PROG FORMACIÓN TITULADA'!#REF!,"AAAAAH7+/5U=")</f>
        <v>#REF!</v>
      </c>
      <c r="EU334" t="e">
        <f>AND('PROG FORMACIÓN TITULADA'!#REF!,"AAAAAH7+/5Y=")</f>
        <v>#REF!</v>
      </c>
      <c r="EV334" t="e">
        <f>AND('PROG FORMACIÓN TITULADA'!#REF!,"AAAAAH7+/5c=")</f>
        <v>#REF!</v>
      </c>
      <c r="EW334" t="e">
        <f>AND('PROG FORMACIÓN TITULADA'!#REF!,"AAAAAH7+/5g=")</f>
        <v>#REF!</v>
      </c>
      <c r="EX334" t="e">
        <f>IF('PROG FORMACIÓN TITULADA'!#REF!,"AAAAAH7+/5k=",0)</f>
        <v>#REF!</v>
      </c>
      <c r="EY334" t="e">
        <f>AND('PROG FORMACIÓN TITULADA'!#REF!,"AAAAAH7+/5o=")</f>
        <v>#REF!</v>
      </c>
      <c r="EZ334" t="e">
        <f>AND('PROG FORMACIÓN TITULADA'!#REF!,"AAAAAH7+/5s=")</f>
        <v>#REF!</v>
      </c>
      <c r="FA334" t="e">
        <f>AND('PROG FORMACIÓN TITULADA'!#REF!,"AAAAAH7+/5w=")</f>
        <v>#REF!</v>
      </c>
      <c r="FB334" t="e">
        <f>AND('PROG FORMACIÓN TITULADA'!#REF!,"AAAAAH7+/50=")</f>
        <v>#REF!</v>
      </c>
      <c r="FC334" t="e">
        <f>AND('PROG FORMACIÓN TITULADA'!#REF!,"AAAAAH7+/54=")</f>
        <v>#REF!</v>
      </c>
      <c r="FD334" t="e">
        <f>AND('PROG FORMACIÓN TITULADA'!#REF!,"AAAAAH7+/58=")</f>
        <v>#REF!</v>
      </c>
      <c r="FE334" t="e">
        <f>AND('PROG FORMACIÓN TITULADA'!#REF!,"AAAAAH7+/6A=")</f>
        <v>#REF!</v>
      </c>
      <c r="FF334" t="e">
        <f>AND('PROG FORMACIÓN TITULADA'!#REF!,"AAAAAH7+/6E=")</f>
        <v>#REF!</v>
      </c>
      <c r="FG334" t="e">
        <f>AND('PROG FORMACIÓN TITULADA'!#REF!,"AAAAAH7+/6I=")</f>
        <v>#REF!</v>
      </c>
      <c r="FH334" t="e">
        <f>AND('PROG FORMACIÓN TITULADA'!#REF!,"AAAAAH7+/6M=")</f>
        <v>#REF!</v>
      </c>
      <c r="FI334" t="e">
        <f>AND('PROG FORMACIÓN TITULADA'!#REF!,"AAAAAH7+/6Q=")</f>
        <v>#REF!</v>
      </c>
      <c r="FJ334" t="e">
        <f>AND('PROG FORMACIÓN TITULADA'!#REF!,"AAAAAH7+/6U=")</f>
        <v>#REF!</v>
      </c>
      <c r="FK334" t="e">
        <f>AND('PROG FORMACIÓN TITULADA'!#REF!,"AAAAAH7+/6Y=")</f>
        <v>#REF!</v>
      </c>
      <c r="FL334" t="e">
        <f>AND('PROG FORMACIÓN TITULADA'!#REF!,"AAAAAH7+/6c=")</f>
        <v>#REF!</v>
      </c>
      <c r="FM334" t="e">
        <f>AND('PROG FORMACIÓN TITULADA'!#REF!,"AAAAAH7+/6g=")</f>
        <v>#REF!</v>
      </c>
      <c r="FN334" t="e">
        <f>AND('PROG FORMACIÓN TITULADA'!#REF!,"AAAAAH7+/6k=")</f>
        <v>#REF!</v>
      </c>
      <c r="FO334" t="e">
        <f>AND('PROG FORMACIÓN TITULADA'!#REF!,"AAAAAH7+/6o=")</f>
        <v>#REF!</v>
      </c>
      <c r="FP334" t="e">
        <f>AND('PROG FORMACIÓN TITULADA'!#REF!,"AAAAAH7+/6s=")</f>
        <v>#REF!</v>
      </c>
      <c r="FQ334" t="e">
        <f>AND('PROG FORMACIÓN TITULADA'!#REF!,"AAAAAH7+/6w=")</f>
        <v>#REF!</v>
      </c>
      <c r="FR334" t="e">
        <f>AND('PROG FORMACIÓN TITULADA'!#REF!,"AAAAAH7+/60=")</f>
        <v>#REF!</v>
      </c>
      <c r="FS334" t="e">
        <f>AND('PROG FORMACIÓN TITULADA'!#REF!,"AAAAAH7+/64=")</f>
        <v>#REF!</v>
      </c>
      <c r="FT334" t="e">
        <f>AND('PROG FORMACIÓN TITULADA'!#REF!,"AAAAAH7+/68=")</f>
        <v>#REF!</v>
      </c>
      <c r="FU334" t="e">
        <f>AND('PROG FORMACIÓN TITULADA'!#REF!,"AAAAAH7+/7A=")</f>
        <v>#REF!</v>
      </c>
      <c r="FV334" t="e">
        <f>AND('PROG FORMACIÓN TITULADA'!#REF!,"AAAAAH7+/7E=")</f>
        <v>#REF!</v>
      </c>
      <c r="FW334" t="e">
        <f>AND('PROG FORMACIÓN TITULADA'!#REF!,"AAAAAH7+/7I=")</f>
        <v>#REF!</v>
      </c>
      <c r="FX334" t="e">
        <f>AND('PROG FORMACIÓN TITULADA'!#REF!,"AAAAAH7+/7M=")</f>
        <v>#REF!</v>
      </c>
      <c r="FY334" t="e">
        <f>IF('PROG FORMACIÓN TITULADA'!#REF!,"AAAAAH7+/7Q=",0)</f>
        <v>#REF!</v>
      </c>
      <c r="FZ334" t="e">
        <f>AND('PROG FORMACIÓN TITULADA'!#REF!,"AAAAAH7+/7U=")</f>
        <v>#REF!</v>
      </c>
      <c r="GA334" t="e">
        <f>AND('PROG FORMACIÓN TITULADA'!#REF!,"AAAAAH7+/7Y=")</f>
        <v>#REF!</v>
      </c>
      <c r="GB334" t="e">
        <f>AND('PROG FORMACIÓN TITULADA'!#REF!,"AAAAAH7+/7c=")</f>
        <v>#REF!</v>
      </c>
      <c r="GC334" t="e">
        <f>AND('PROG FORMACIÓN TITULADA'!#REF!,"AAAAAH7+/7g=")</f>
        <v>#REF!</v>
      </c>
      <c r="GD334" t="e">
        <f>AND('PROG FORMACIÓN TITULADA'!#REF!,"AAAAAH7+/7k=")</f>
        <v>#REF!</v>
      </c>
      <c r="GE334" t="e">
        <f>AND('PROG FORMACIÓN TITULADA'!#REF!,"AAAAAH7+/7o=")</f>
        <v>#REF!</v>
      </c>
      <c r="GF334" t="e">
        <f>AND('PROG FORMACIÓN TITULADA'!#REF!,"AAAAAH7+/7s=")</f>
        <v>#REF!</v>
      </c>
      <c r="GG334" t="e">
        <f>AND('PROG FORMACIÓN TITULADA'!#REF!,"AAAAAH7+/7w=")</f>
        <v>#REF!</v>
      </c>
      <c r="GH334" t="e">
        <f>AND('PROG FORMACIÓN TITULADA'!#REF!,"AAAAAH7+/70=")</f>
        <v>#REF!</v>
      </c>
      <c r="GI334" t="e">
        <f>AND('PROG FORMACIÓN TITULADA'!#REF!,"AAAAAH7+/74=")</f>
        <v>#REF!</v>
      </c>
      <c r="GJ334" t="e">
        <f>AND('PROG FORMACIÓN TITULADA'!#REF!,"AAAAAH7+/78=")</f>
        <v>#REF!</v>
      </c>
      <c r="GK334" t="e">
        <f>AND('PROG FORMACIÓN TITULADA'!#REF!,"AAAAAH7+/8A=")</f>
        <v>#REF!</v>
      </c>
      <c r="GL334" t="e">
        <f>AND('PROG FORMACIÓN TITULADA'!#REF!,"AAAAAH7+/8E=")</f>
        <v>#REF!</v>
      </c>
      <c r="GM334" t="e">
        <f>AND('PROG FORMACIÓN TITULADA'!#REF!,"AAAAAH7+/8I=")</f>
        <v>#REF!</v>
      </c>
      <c r="GN334" t="e">
        <f>AND('PROG FORMACIÓN TITULADA'!#REF!,"AAAAAH7+/8M=")</f>
        <v>#REF!</v>
      </c>
      <c r="GO334" t="e">
        <f>AND('PROG FORMACIÓN TITULADA'!#REF!,"AAAAAH7+/8Q=")</f>
        <v>#REF!</v>
      </c>
      <c r="GP334" t="e">
        <f>AND('PROG FORMACIÓN TITULADA'!#REF!,"AAAAAH7+/8U=")</f>
        <v>#REF!</v>
      </c>
      <c r="GQ334" t="e">
        <f>AND('PROG FORMACIÓN TITULADA'!#REF!,"AAAAAH7+/8Y=")</f>
        <v>#REF!</v>
      </c>
      <c r="GR334" t="e">
        <f>AND('PROG FORMACIÓN TITULADA'!#REF!,"AAAAAH7+/8c=")</f>
        <v>#REF!</v>
      </c>
      <c r="GS334" t="e">
        <f>AND('PROG FORMACIÓN TITULADA'!#REF!,"AAAAAH7+/8g=")</f>
        <v>#REF!</v>
      </c>
      <c r="GT334" t="e">
        <f>AND('PROG FORMACIÓN TITULADA'!#REF!,"AAAAAH7+/8k=")</f>
        <v>#REF!</v>
      </c>
      <c r="GU334" t="e">
        <f>AND('PROG FORMACIÓN TITULADA'!#REF!,"AAAAAH7+/8o=")</f>
        <v>#REF!</v>
      </c>
      <c r="GV334" t="e">
        <f>AND('PROG FORMACIÓN TITULADA'!#REF!,"AAAAAH7+/8s=")</f>
        <v>#REF!</v>
      </c>
      <c r="GW334" t="e">
        <f>AND('PROG FORMACIÓN TITULADA'!#REF!,"AAAAAH7+/8w=")</f>
        <v>#REF!</v>
      </c>
      <c r="GX334" t="e">
        <f>AND('PROG FORMACIÓN TITULADA'!#REF!,"AAAAAH7+/80=")</f>
        <v>#REF!</v>
      </c>
      <c r="GY334" t="e">
        <f>AND('PROG FORMACIÓN TITULADA'!#REF!,"AAAAAH7+/84=")</f>
        <v>#REF!</v>
      </c>
      <c r="GZ334" t="e">
        <f>IF('PROG FORMACIÓN TITULADA'!#REF!,"AAAAAH7+/88=",0)</f>
        <v>#REF!</v>
      </c>
      <c r="HA334" t="e">
        <f>AND('PROG FORMACIÓN TITULADA'!#REF!,"AAAAAH7+/9A=")</f>
        <v>#REF!</v>
      </c>
      <c r="HB334" t="e">
        <f>AND('PROG FORMACIÓN TITULADA'!#REF!,"AAAAAH7+/9E=")</f>
        <v>#REF!</v>
      </c>
      <c r="HC334" t="e">
        <f>AND('PROG FORMACIÓN TITULADA'!#REF!,"AAAAAH7+/9I=")</f>
        <v>#REF!</v>
      </c>
      <c r="HD334" t="e">
        <f>AND('PROG FORMACIÓN TITULADA'!#REF!,"AAAAAH7+/9M=")</f>
        <v>#REF!</v>
      </c>
      <c r="HE334" t="e">
        <f>AND('PROG FORMACIÓN TITULADA'!#REF!,"AAAAAH7+/9Q=")</f>
        <v>#REF!</v>
      </c>
      <c r="HF334" t="e">
        <f>AND('PROG FORMACIÓN TITULADA'!#REF!,"AAAAAH7+/9U=")</f>
        <v>#REF!</v>
      </c>
      <c r="HG334" t="e">
        <f>AND('PROG FORMACIÓN TITULADA'!#REF!,"AAAAAH7+/9Y=")</f>
        <v>#REF!</v>
      </c>
      <c r="HH334" t="e">
        <f>AND('PROG FORMACIÓN TITULADA'!#REF!,"AAAAAH7+/9c=")</f>
        <v>#REF!</v>
      </c>
      <c r="HI334" t="e">
        <f>AND('PROG FORMACIÓN TITULADA'!#REF!,"AAAAAH7+/9g=")</f>
        <v>#REF!</v>
      </c>
      <c r="HJ334" t="e">
        <f>AND('PROG FORMACIÓN TITULADA'!#REF!,"AAAAAH7+/9k=")</f>
        <v>#REF!</v>
      </c>
      <c r="HK334" t="e">
        <f>AND('PROG FORMACIÓN TITULADA'!#REF!,"AAAAAH7+/9o=")</f>
        <v>#REF!</v>
      </c>
      <c r="HL334" t="e">
        <f>AND('PROG FORMACIÓN TITULADA'!#REF!,"AAAAAH7+/9s=")</f>
        <v>#REF!</v>
      </c>
      <c r="HM334" t="e">
        <f>AND('PROG FORMACIÓN TITULADA'!#REF!,"AAAAAH7+/9w=")</f>
        <v>#REF!</v>
      </c>
      <c r="HN334" t="e">
        <f>AND('PROG FORMACIÓN TITULADA'!#REF!,"AAAAAH7+/90=")</f>
        <v>#REF!</v>
      </c>
      <c r="HO334" t="e">
        <f>AND('PROG FORMACIÓN TITULADA'!#REF!,"AAAAAH7+/94=")</f>
        <v>#REF!</v>
      </c>
      <c r="HP334" t="e">
        <f>AND('PROG FORMACIÓN TITULADA'!#REF!,"AAAAAH7+/98=")</f>
        <v>#REF!</v>
      </c>
      <c r="HQ334" t="e">
        <f>AND('PROG FORMACIÓN TITULADA'!#REF!,"AAAAAH7+/+A=")</f>
        <v>#REF!</v>
      </c>
      <c r="HR334" t="e">
        <f>AND('PROG FORMACIÓN TITULADA'!#REF!,"AAAAAH7+/+E=")</f>
        <v>#REF!</v>
      </c>
      <c r="HS334" t="e">
        <f>AND('PROG FORMACIÓN TITULADA'!#REF!,"AAAAAH7+/+I=")</f>
        <v>#REF!</v>
      </c>
      <c r="HT334" t="e">
        <f>AND('PROG FORMACIÓN TITULADA'!#REF!,"AAAAAH7+/+M=")</f>
        <v>#REF!</v>
      </c>
      <c r="HU334" t="e">
        <f>AND('PROG FORMACIÓN TITULADA'!#REF!,"AAAAAH7+/+Q=")</f>
        <v>#REF!</v>
      </c>
      <c r="HV334" t="e">
        <f>AND('PROG FORMACIÓN TITULADA'!#REF!,"AAAAAH7+/+U=")</f>
        <v>#REF!</v>
      </c>
      <c r="HW334" t="e">
        <f>AND('PROG FORMACIÓN TITULADA'!#REF!,"AAAAAH7+/+Y=")</f>
        <v>#REF!</v>
      </c>
      <c r="HX334" t="e">
        <f>AND('PROG FORMACIÓN TITULADA'!#REF!,"AAAAAH7+/+c=")</f>
        <v>#REF!</v>
      </c>
      <c r="HY334" t="e">
        <f>AND('PROG FORMACIÓN TITULADA'!#REF!,"AAAAAH7+/+g=")</f>
        <v>#REF!</v>
      </c>
      <c r="HZ334" t="e">
        <f>AND('PROG FORMACIÓN TITULADA'!#REF!,"AAAAAH7+/+k=")</f>
        <v>#REF!</v>
      </c>
      <c r="IA334" t="e">
        <f>IF('PROG FORMACIÓN TITULADA'!#REF!,"AAAAAH7+/+o=",0)</f>
        <v>#REF!</v>
      </c>
      <c r="IB334" t="e">
        <f>AND('PROG FORMACIÓN TITULADA'!#REF!,"AAAAAH7+/+s=")</f>
        <v>#REF!</v>
      </c>
      <c r="IC334" t="e">
        <f>AND('PROG FORMACIÓN TITULADA'!#REF!,"AAAAAH7+/+w=")</f>
        <v>#REF!</v>
      </c>
      <c r="ID334" t="e">
        <f>AND('PROG FORMACIÓN TITULADA'!#REF!,"AAAAAH7+/+0=")</f>
        <v>#REF!</v>
      </c>
      <c r="IE334" t="e">
        <f>AND('PROG FORMACIÓN TITULADA'!#REF!,"AAAAAH7+/+4=")</f>
        <v>#REF!</v>
      </c>
      <c r="IF334" t="e">
        <f>AND('PROG FORMACIÓN TITULADA'!#REF!,"AAAAAH7+/+8=")</f>
        <v>#REF!</v>
      </c>
      <c r="IG334" t="e">
        <f>AND('PROG FORMACIÓN TITULADA'!#REF!,"AAAAAH7+//A=")</f>
        <v>#REF!</v>
      </c>
      <c r="IH334" t="e">
        <f>AND('PROG FORMACIÓN TITULADA'!#REF!,"AAAAAH7+//E=")</f>
        <v>#REF!</v>
      </c>
      <c r="II334" t="e">
        <f>AND('PROG FORMACIÓN TITULADA'!#REF!,"AAAAAH7+//I=")</f>
        <v>#REF!</v>
      </c>
      <c r="IJ334" t="e">
        <f>AND('PROG FORMACIÓN TITULADA'!#REF!,"AAAAAH7+//M=")</f>
        <v>#REF!</v>
      </c>
      <c r="IK334" t="e">
        <f>AND('PROG FORMACIÓN TITULADA'!#REF!,"AAAAAH7+//Q=")</f>
        <v>#REF!</v>
      </c>
      <c r="IL334" t="e">
        <f>AND('PROG FORMACIÓN TITULADA'!#REF!,"AAAAAH7+//U=")</f>
        <v>#REF!</v>
      </c>
      <c r="IM334" t="e">
        <f>AND('PROG FORMACIÓN TITULADA'!#REF!,"AAAAAH7+//Y=")</f>
        <v>#REF!</v>
      </c>
      <c r="IN334" t="e">
        <f>AND('PROG FORMACIÓN TITULADA'!#REF!,"AAAAAH7+//c=")</f>
        <v>#REF!</v>
      </c>
      <c r="IO334" t="e">
        <f>AND('PROG FORMACIÓN TITULADA'!#REF!,"AAAAAH7+//g=")</f>
        <v>#REF!</v>
      </c>
      <c r="IP334" t="e">
        <f>AND('PROG FORMACIÓN TITULADA'!#REF!,"AAAAAH7+//k=")</f>
        <v>#REF!</v>
      </c>
      <c r="IQ334" t="e">
        <f>AND('PROG FORMACIÓN TITULADA'!#REF!,"AAAAAH7+//o=")</f>
        <v>#REF!</v>
      </c>
      <c r="IR334" t="e">
        <f>AND('PROG FORMACIÓN TITULADA'!#REF!,"AAAAAH7+//s=")</f>
        <v>#REF!</v>
      </c>
      <c r="IS334" t="e">
        <f>AND('PROG FORMACIÓN TITULADA'!#REF!,"AAAAAH7+//w=")</f>
        <v>#REF!</v>
      </c>
      <c r="IT334" t="e">
        <f>AND('PROG FORMACIÓN TITULADA'!#REF!,"AAAAAH7+//0=")</f>
        <v>#REF!</v>
      </c>
      <c r="IU334" t="e">
        <f>AND('PROG FORMACIÓN TITULADA'!#REF!,"AAAAAH7+//4=")</f>
        <v>#REF!</v>
      </c>
      <c r="IV334" t="e">
        <f>AND('PROG FORMACIÓN TITULADA'!#REF!,"AAAAAH7+//8=")</f>
        <v>#REF!</v>
      </c>
    </row>
    <row r="335" spans="1:256" x14ac:dyDescent="0.2">
      <c r="A335" t="e">
        <f>AND('PROG FORMACIÓN TITULADA'!#REF!,"AAAAADPv9wA=")</f>
        <v>#REF!</v>
      </c>
      <c r="B335" t="e">
        <f>AND('PROG FORMACIÓN TITULADA'!#REF!,"AAAAADPv9wE=")</f>
        <v>#REF!</v>
      </c>
      <c r="C335" t="e">
        <f>AND('PROG FORMACIÓN TITULADA'!#REF!,"AAAAADPv9wI=")</f>
        <v>#REF!</v>
      </c>
      <c r="D335" t="e">
        <f>AND('PROG FORMACIÓN TITULADA'!#REF!,"AAAAADPv9wM=")</f>
        <v>#REF!</v>
      </c>
      <c r="E335" t="e">
        <f>AND('PROG FORMACIÓN TITULADA'!#REF!,"AAAAADPv9wQ=")</f>
        <v>#REF!</v>
      </c>
      <c r="F335" t="e">
        <f>IF('PROG FORMACIÓN TITULADA'!#REF!,"AAAAADPv9wU=",0)</f>
        <v>#REF!</v>
      </c>
      <c r="G335" t="e">
        <f>AND('PROG FORMACIÓN TITULADA'!#REF!,"AAAAADPv9wY=")</f>
        <v>#REF!</v>
      </c>
      <c r="H335" t="e">
        <f>AND('PROG FORMACIÓN TITULADA'!#REF!,"AAAAADPv9wc=")</f>
        <v>#REF!</v>
      </c>
      <c r="I335" t="e">
        <f>AND('PROG FORMACIÓN TITULADA'!#REF!,"AAAAADPv9wg=")</f>
        <v>#REF!</v>
      </c>
      <c r="J335" t="e">
        <f>AND('PROG FORMACIÓN TITULADA'!#REF!,"AAAAADPv9wk=")</f>
        <v>#REF!</v>
      </c>
      <c r="K335" t="e">
        <f>AND('PROG FORMACIÓN TITULADA'!#REF!,"AAAAADPv9wo=")</f>
        <v>#REF!</v>
      </c>
      <c r="L335" t="e">
        <f>AND('PROG FORMACIÓN TITULADA'!#REF!,"AAAAADPv9ws=")</f>
        <v>#REF!</v>
      </c>
      <c r="M335" t="e">
        <f>AND('PROG FORMACIÓN TITULADA'!#REF!,"AAAAADPv9ww=")</f>
        <v>#REF!</v>
      </c>
      <c r="N335" t="e">
        <f>AND('PROG FORMACIÓN TITULADA'!#REF!,"AAAAADPv9w0=")</f>
        <v>#REF!</v>
      </c>
      <c r="O335" t="e">
        <f>AND('PROG FORMACIÓN TITULADA'!#REF!,"AAAAADPv9w4=")</f>
        <v>#REF!</v>
      </c>
      <c r="P335" t="e">
        <f>AND('PROG FORMACIÓN TITULADA'!#REF!,"AAAAADPv9w8=")</f>
        <v>#REF!</v>
      </c>
      <c r="Q335" t="e">
        <f>AND('PROG FORMACIÓN TITULADA'!#REF!,"AAAAADPv9xA=")</f>
        <v>#REF!</v>
      </c>
      <c r="R335" t="e">
        <f>AND('PROG FORMACIÓN TITULADA'!#REF!,"AAAAADPv9xE=")</f>
        <v>#REF!</v>
      </c>
      <c r="S335" t="e">
        <f>AND('PROG FORMACIÓN TITULADA'!#REF!,"AAAAADPv9xI=")</f>
        <v>#REF!</v>
      </c>
      <c r="T335" t="e">
        <f>AND('PROG FORMACIÓN TITULADA'!#REF!,"AAAAADPv9xM=")</f>
        <v>#REF!</v>
      </c>
      <c r="U335" t="e">
        <f>AND('PROG FORMACIÓN TITULADA'!#REF!,"AAAAADPv9xQ=")</f>
        <v>#REF!</v>
      </c>
      <c r="V335" t="e">
        <f>AND('PROG FORMACIÓN TITULADA'!#REF!,"AAAAADPv9xU=")</f>
        <v>#REF!</v>
      </c>
      <c r="W335" t="e">
        <f>AND('PROG FORMACIÓN TITULADA'!#REF!,"AAAAADPv9xY=")</f>
        <v>#REF!</v>
      </c>
      <c r="X335" t="e">
        <f>AND('PROG FORMACIÓN TITULADA'!#REF!,"AAAAADPv9xc=")</f>
        <v>#REF!</v>
      </c>
      <c r="Y335" t="e">
        <f>AND('PROG FORMACIÓN TITULADA'!#REF!,"AAAAADPv9xg=")</f>
        <v>#REF!</v>
      </c>
      <c r="Z335" t="e">
        <f>AND('PROG FORMACIÓN TITULADA'!#REF!,"AAAAADPv9xk=")</f>
        <v>#REF!</v>
      </c>
      <c r="AA335" t="e">
        <f>AND('PROG FORMACIÓN TITULADA'!#REF!,"AAAAADPv9xo=")</f>
        <v>#REF!</v>
      </c>
      <c r="AB335" t="e">
        <f>AND('PROG FORMACIÓN TITULADA'!#REF!,"AAAAADPv9xs=")</f>
        <v>#REF!</v>
      </c>
      <c r="AC335" t="e">
        <f>AND('PROG FORMACIÓN TITULADA'!#REF!,"AAAAADPv9xw=")</f>
        <v>#REF!</v>
      </c>
      <c r="AD335" t="e">
        <f>AND('PROG FORMACIÓN TITULADA'!#REF!,"AAAAADPv9x0=")</f>
        <v>#REF!</v>
      </c>
      <c r="AE335" t="e">
        <f>AND('PROG FORMACIÓN TITULADA'!#REF!,"AAAAADPv9x4=")</f>
        <v>#REF!</v>
      </c>
      <c r="AF335" t="e">
        <f>AND('PROG FORMACIÓN TITULADA'!#REF!,"AAAAADPv9x8=")</f>
        <v>#REF!</v>
      </c>
      <c r="AG335" t="e">
        <f>IF('PROG FORMACIÓN TITULADA'!#REF!,"AAAAADPv9yA=",0)</f>
        <v>#REF!</v>
      </c>
      <c r="AH335" t="e">
        <f>AND('PROG FORMACIÓN TITULADA'!#REF!,"AAAAADPv9yE=")</f>
        <v>#REF!</v>
      </c>
      <c r="AI335" t="e">
        <f>AND('PROG FORMACIÓN TITULADA'!#REF!,"AAAAADPv9yI=")</f>
        <v>#REF!</v>
      </c>
      <c r="AJ335" t="e">
        <f>AND('PROG FORMACIÓN TITULADA'!#REF!,"AAAAADPv9yM=")</f>
        <v>#REF!</v>
      </c>
      <c r="AK335" t="e">
        <f>AND('PROG FORMACIÓN TITULADA'!#REF!,"AAAAADPv9yQ=")</f>
        <v>#REF!</v>
      </c>
      <c r="AL335" t="e">
        <f>AND('PROG FORMACIÓN TITULADA'!#REF!,"AAAAADPv9yU=")</f>
        <v>#REF!</v>
      </c>
      <c r="AM335" t="e">
        <f>AND('PROG FORMACIÓN TITULADA'!#REF!,"AAAAADPv9yY=")</f>
        <v>#REF!</v>
      </c>
      <c r="AN335" t="e">
        <f>AND('PROG FORMACIÓN TITULADA'!#REF!,"AAAAADPv9yc=")</f>
        <v>#REF!</v>
      </c>
      <c r="AO335" t="e">
        <f>AND('PROG FORMACIÓN TITULADA'!#REF!,"AAAAADPv9yg=")</f>
        <v>#REF!</v>
      </c>
      <c r="AP335" t="e">
        <f>AND('PROG FORMACIÓN TITULADA'!#REF!,"AAAAADPv9yk=")</f>
        <v>#REF!</v>
      </c>
      <c r="AQ335" t="e">
        <f>AND('PROG FORMACIÓN TITULADA'!#REF!,"AAAAADPv9yo=")</f>
        <v>#REF!</v>
      </c>
      <c r="AR335" t="e">
        <f>AND('PROG FORMACIÓN TITULADA'!#REF!,"AAAAADPv9ys=")</f>
        <v>#REF!</v>
      </c>
      <c r="AS335" t="e">
        <f>AND('PROG FORMACIÓN TITULADA'!#REF!,"AAAAADPv9yw=")</f>
        <v>#REF!</v>
      </c>
      <c r="AT335" t="e">
        <f>AND('PROG FORMACIÓN TITULADA'!#REF!,"AAAAADPv9y0=")</f>
        <v>#REF!</v>
      </c>
      <c r="AU335" t="e">
        <f>AND('PROG FORMACIÓN TITULADA'!#REF!,"AAAAADPv9y4=")</f>
        <v>#REF!</v>
      </c>
      <c r="AV335" t="e">
        <f>AND('PROG FORMACIÓN TITULADA'!#REF!,"AAAAADPv9y8=")</f>
        <v>#REF!</v>
      </c>
      <c r="AW335" t="e">
        <f>AND('PROG FORMACIÓN TITULADA'!#REF!,"AAAAADPv9zA=")</f>
        <v>#REF!</v>
      </c>
      <c r="AX335" t="e">
        <f>AND('PROG FORMACIÓN TITULADA'!#REF!,"AAAAADPv9zE=")</f>
        <v>#REF!</v>
      </c>
      <c r="AY335" t="e">
        <f>AND('PROG FORMACIÓN TITULADA'!#REF!,"AAAAADPv9zI=")</f>
        <v>#REF!</v>
      </c>
      <c r="AZ335" t="e">
        <f>AND('PROG FORMACIÓN TITULADA'!#REF!,"AAAAADPv9zM=")</f>
        <v>#REF!</v>
      </c>
      <c r="BA335" t="e">
        <f>AND('PROG FORMACIÓN TITULADA'!#REF!,"AAAAADPv9zQ=")</f>
        <v>#REF!</v>
      </c>
      <c r="BB335" t="e">
        <f>AND('PROG FORMACIÓN TITULADA'!#REF!,"AAAAADPv9zU=")</f>
        <v>#REF!</v>
      </c>
      <c r="BC335" t="e">
        <f>AND('PROG FORMACIÓN TITULADA'!#REF!,"AAAAADPv9zY=")</f>
        <v>#REF!</v>
      </c>
      <c r="BD335" t="e">
        <f>AND('PROG FORMACIÓN TITULADA'!#REF!,"AAAAADPv9zc=")</f>
        <v>#REF!</v>
      </c>
      <c r="BE335" t="e">
        <f>AND('PROG FORMACIÓN TITULADA'!#REF!,"AAAAADPv9zg=")</f>
        <v>#REF!</v>
      </c>
      <c r="BF335" t="e">
        <f>AND('PROG FORMACIÓN TITULADA'!#REF!,"AAAAADPv9zk=")</f>
        <v>#REF!</v>
      </c>
      <c r="BG335" t="e">
        <f>AND('PROG FORMACIÓN TITULADA'!#REF!,"AAAAADPv9zo=")</f>
        <v>#REF!</v>
      </c>
      <c r="BH335" t="e">
        <f>IF('PROG FORMACIÓN TITULADA'!#REF!,"AAAAADPv9zs=",0)</f>
        <v>#REF!</v>
      </c>
      <c r="BI335" t="e">
        <f>AND('PROG FORMACIÓN TITULADA'!#REF!,"AAAAADPv9zw=")</f>
        <v>#REF!</v>
      </c>
      <c r="BJ335" t="e">
        <f>AND('PROG FORMACIÓN TITULADA'!#REF!,"AAAAADPv9z0=")</f>
        <v>#REF!</v>
      </c>
      <c r="BK335" t="e">
        <f>AND('PROG FORMACIÓN TITULADA'!#REF!,"AAAAADPv9z4=")</f>
        <v>#REF!</v>
      </c>
      <c r="BL335" t="e">
        <f>AND('PROG FORMACIÓN TITULADA'!#REF!,"AAAAADPv9z8=")</f>
        <v>#REF!</v>
      </c>
      <c r="BM335" t="e">
        <f>AND('PROG FORMACIÓN TITULADA'!#REF!,"AAAAADPv90A=")</f>
        <v>#REF!</v>
      </c>
      <c r="BN335" t="e">
        <f>AND('PROG FORMACIÓN TITULADA'!#REF!,"AAAAADPv90E=")</f>
        <v>#REF!</v>
      </c>
      <c r="BO335" t="e">
        <f>AND('PROG FORMACIÓN TITULADA'!#REF!,"AAAAADPv90I=")</f>
        <v>#REF!</v>
      </c>
      <c r="BP335" t="e">
        <f>AND('PROG FORMACIÓN TITULADA'!#REF!,"AAAAADPv90M=")</f>
        <v>#REF!</v>
      </c>
      <c r="BQ335" t="e">
        <f>AND('PROG FORMACIÓN TITULADA'!#REF!,"AAAAADPv90Q=")</f>
        <v>#REF!</v>
      </c>
      <c r="BR335" t="e">
        <f>AND('PROG FORMACIÓN TITULADA'!#REF!,"AAAAADPv90U=")</f>
        <v>#REF!</v>
      </c>
      <c r="BS335" t="e">
        <f>AND('PROG FORMACIÓN TITULADA'!#REF!,"AAAAADPv90Y=")</f>
        <v>#REF!</v>
      </c>
      <c r="BT335" t="e">
        <f>AND('PROG FORMACIÓN TITULADA'!#REF!,"AAAAADPv90c=")</f>
        <v>#REF!</v>
      </c>
      <c r="BU335" t="e">
        <f>AND('PROG FORMACIÓN TITULADA'!#REF!,"AAAAADPv90g=")</f>
        <v>#REF!</v>
      </c>
      <c r="BV335" t="e">
        <f>AND('PROG FORMACIÓN TITULADA'!#REF!,"AAAAADPv90k=")</f>
        <v>#REF!</v>
      </c>
      <c r="BW335" t="e">
        <f>AND('PROG FORMACIÓN TITULADA'!#REF!,"AAAAADPv90o=")</f>
        <v>#REF!</v>
      </c>
      <c r="BX335" t="e">
        <f>AND('PROG FORMACIÓN TITULADA'!#REF!,"AAAAADPv90s=")</f>
        <v>#REF!</v>
      </c>
      <c r="BY335" t="e">
        <f>AND('PROG FORMACIÓN TITULADA'!#REF!,"AAAAADPv90w=")</f>
        <v>#REF!</v>
      </c>
      <c r="BZ335" t="e">
        <f>AND('PROG FORMACIÓN TITULADA'!#REF!,"AAAAADPv900=")</f>
        <v>#REF!</v>
      </c>
      <c r="CA335" t="e">
        <f>AND('PROG FORMACIÓN TITULADA'!#REF!,"AAAAADPv904=")</f>
        <v>#REF!</v>
      </c>
      <c r="CB335" t="e">
        <f>AND('PROG FORMACIÓN TITULADA'!#REF!,"AAAAADPv908=")</f>
        <v>#REF!</v>
      </c>
      <c r="CC335" t="e">
        <f>AND('PROG FORMACIÓN TITULADA'!#REF!,"AAAAADPv91A=")</f>
        <v>#REF!</v>
      </c>
      <c r="CD335" t="e">
        <f>AND('PROG FORMACIÓN TITULADA'!#REF!,"AAAAADPv91E=")</f>
        <v>#REF!</v>
      </c>
      <c r="CE335" t="e">
        <f>AND('PROG FORMACIÓN TITULADA'!#REF!,"AAAAADPv91I=")</f>
        <v>#REF!</v>
      </c>
      <c r="CF335" t="e">
        <f>AND('PROG FORMACIÓN TITULADA'!#REF!,"AAAAADPv91M=")</f>
        <v>#REF!</v>
      </c>
      <c r="CG335" t="e">
        <f>AND('PROG FORMACIÓN TITULADA'!#REF!,"AAAAADPv91Q=")</f>
        <v>#REF!</v>
      </c>
      <c r="CH335" t="e">
        <f>AND('PROG FORMACIÓN TITULADA'!#REF!,"AAAAADPv91U=")</f>
        <v>#REF!</v>
      </c>
      <c r="CI335" t="e">
        <f>IF('PROG FORMACIÓN TITULADA'!#REF!,"AAAAADPv91Y=",0)</f>
        <v>#REF!</v>
      </c>
      <c r="CJ335" t="e">
        <f>AND('PROG FORMACIÓN TITULADA'!#REF!,"AAAAADPv91c=")</f>
        <v>#REF!</v>
      </c>
      <c r="CK335" t="e">
        <f>AND('PROG FORMACIÓN TITULADA'!#REF!,"AAAAADPv91g=")</f>
        <v>#REF!</v>
      </c>
      <c r="CL335" t="e">
        <f>AND('PROG FORMACIÓN TITULADA'!#REF!,"AAAAADPv91k=")</f>
        <v>#REF!</v>
      </c>
      <c r="CM335" t="e">
        <f>AND('PROG FORMACIÓN TITULADA'!#REF!,"AAAAADPv91o=")</f>
        <v>#REF!</v>
      </c>
      <c r="CN335" t="e">
        <f>AND('PROG FORMACIÓN TITULADA'!#REF!,"AAAAADPv91s=")</f>
        <v>#REF!</v>
      </c>
      <c r="CO335" t="e">
        <f>AND('PROG FORMACIÓN TITULADA'!#REF!,"AAAAADPv91w=")</f>
        <v>#REF!</v>
      </c>
      <c r="CP335" t="e">
        <f>AND('PROG FORMACIÓN TITULADA'!#REF!,"AAAAADPv910=")</f>
        <v>#REF!</v>
      </c>
      <c r="CQ335" t="e">
        <f>AND('PROG FORMACIÓN TITULADA'!#REF!,"AAAAADPv914=")</f>
        <v>#REF!</v>
      </c>
      <c r="CR335" t="e">
        <f>AND('PROG FORMACIÓN TITULADA'!#REF!,"AAAAADPv918=")</f>
        <v>#REF!</v>
      </c>
      <c r="CS335" t="e">
        <f>AND('PROG FORMACIÓN TITULADA'!#REF!,"AAAAADPv92A=")</f>
        <v>#REF!</v>
      </c>
      <c r="CT335" t="e">
        <f>AND('PROG FORMACIÓN TITULADA'!#REF!,"AAAAADPv92E=")</f>
        <v>#REF!</v>
      </c>
      <c r="CU335" t="e">
        <f>AND('PROG FORMACIÓN TITULADA'!#REF!,"AAAAADPv92I=")</f>
        <v>#REF!</v>
      </c>
      <c r="CV335" t="e">
        <f>AND('PROG FORMACIÓN TITULADA'!#REF!,"AAAAADPv92M=")</f>
        <v>#REF!</v>
      </c>
      <c r="CW335" t="e">
        <f>AND('PROG FORMACIÓN TITULADA'!#REF!,"AAAAADPv92Q=")</f>
        <v>#REF!</v>
      </c>
      <c r="CX335" t="e">
        <f>AND('PROG FORMACIÓN TITULADA'!#REF!,"AAAAADPv92U=")</f>
        <v>#REF!</v>
      </c>
      <c r="CY335" t="e">
        <f>AND('PROG FORMACIÓN TITULADA'!#REF!,"AAAAADPv92Y=")</f>
        <v>#REF!</v>
      </c>
      <c r="CZ335" t="e">
        <f>AND('PROG FORMACIÓN TITULADA'!#REF!,"AAAAADPv92c=")</f>
        <v>#REF!</v>
      </c>
      <c r="DA335" t="e">
        <f>AND('PROG FORMACIÓN TITULADA'!#REF!,"AAAAADPv92g=")</f>
        <v>#REF!</v>
      </c>
      <c r="DB335" t="e">
        <f>AND('PROG FORMACIÓN TITULADA'!#REF!,"AAAAADPv92k=")</f>
        <v>#REF!</v>
      </c>
      <c r="DC335" t="e">
        <f>AND('PROG FORMACIÓN TITULADA'!#REF!,"AAAAADPv92o=")</f>
        <v>#REF!</v>
      </c>
      <c r="DD335" t="e">
        <f>AND('PROG FORMACIÓN TITULADA'!#REF!,"AAAAADPv92s=")</f>
        <v>#REF!</v>
      </c>
      <c r="DE335" t="e">
        <f>AND('PROG FORMACIÓN TITULADA'!#REF!,"AAAAADPv92w=")</f>
        <v>#REF!</v>
      </c>
      <c r="DF335" t="e">
        <f>AND('PROG FORMACIÓN TITULADA'!#REF!,"AAAAADPv920=")</f>
        <v>#REF!</v>
      </c>
      <c r="DG335" t="e">
        <f>AND('PROG FORMACIÓN TITULADA'!#REF!,"AAAAADPv924=")</f>
        <v>#REF!</v>
      </c>
      <c r="DH335" t="e">
        <f>AND('PROG FORMACIÓN TITULADA'!#REF!,"AAAAADPv928=")</f>
        <v>#REF!</v>
      </c>
      <c r="DI335" t="e">
        <f>AND('PROG FORMACIÓN TITULADA'!#REF!,"AAAAADPv93A=")</f>
        <v>#REF!</v>
      </c>
      <c r="DJ335" t="e">
        <f>IF('PROG FORMACIÓN TITULADA'!#REF!,"AAAAADPv93E=",0)</f>
        <v>#REF!</v>
      </c>
      <c r="DK335" t="e">
        <f>AND('PROG FORMACIÓN TITULADA'!#REF!,"AAAAADPv93I=")</f>
        <v>#REF!</v>
      </c>
      <c r="DL335" t="e">
        <f>AND('PROG FORMACIÓN TITULADA'!#REF!,"AAAAADPv93M=")</f>
        <v>#REF!</v>
      </c>
      <c r="DM335" t="e">
        <f>AND('PROG FORMACIÓN TITULADA'!#REF!,"AAAAADPv93Q=")</f>
        <v>#REF!</v>
      </c>
      <c r="DN335" t="e">
        <f>AND('PROG FORMACIÓN TITULADA'!#REF!,"AAAAADPv93U=")</f>
        <v>#REF!</v>
      </c>
      <c r="DO335" t="e">
        <f>AND('PROG FORMACIÓN TITULADA'!#REF!,"AAAAADPv93Y=")</f>
        <v>#REF!</v>
      </c>
      <c r="DP335" t="e">
        <f>AND('PROG FORMACIÓN TITULADA'!#REF!,"AAAAADPv93c=")</f>
        <v>#REF!</v>
      </c>
      <c r="DQ335" t="e">
        <f>AND('PROG FORMACIÓN TITULADA'!#REF!,"AAAAADPv93g=")</f>
        <v>#REF!</v>
      </c>
      <c r="DR335" t="e">
        <f>AND('PROG FORMACIÓN TITULADA'!#REF!,"AAAAADPv93k=")</f>
        <v>#REF!</v>
      </c>
      <c r="DS335" t="e">
        <f>AND('PROG FORMACIÓN TITULADA'!#REF!,"AAAAADPv93o=")</f>
        <v>#REF!</v>
      </c>
      <c r="DT335" t="e">
        <f>AND('PROG FORMACIÓN TITULADA'!#REF!,"AAAAADPv93s=")</f>
        <v>#REF!</v>
      </c>
      <c r="DU335" t="e">
        <f>AND('PROG FORMACIÓN TITULADA'!#REF!,"AAAAADPv93w=")</f>
        <v>#REF!</v>
      </c>
      <c r="DV335" t="e">
        <f>AND('PROG FORMACIÓN TITULADA'!#REF!,"AAAAADPv930=")</f>
        <v>#REF!</v>
      </c>
      <c r="DW335" t="e">
        <f>AND('PROG FORMACIÓN TITULADA'!#REF!,"AAAAADPv934=")</f>
        <v>#REF!</v>
      </c>
      <c r="DX335" t="e">
        <f>AND('PROG FORMACIÓN TITULADA'!#REF!,"AAAAADPv938=")</f>
        <v>#REF!</v>
      </c>
      <c r="DY335" t="e">
        <f>AND('PROG FORMACIÓN TITULADA'!#REF!,"AAAAADPv94A=")</f>
        <v>#REF!</v>
      </c>
      <c r="DZ335" t="e">
        <f>AND('PROG FORMACIÓN TITULADA'!#REF!,"AAAAADPv94E=")</f>
        <v>#REF!</v>
      </c>
      <c r="EA335" t="e">
        <f>AND('PROG FORMACIÓN TITULADA'!#REF!,"AAAAADPv94I=")</f>
        <v>#REF!</v>
      </c>
      <c r="EB335" t="e">
        <f>AND('PROG FORMACIÓN TITULADA'!#REF!,"AAAAADPv94M=")</f>
        <v>#REF!</v>
      </c>
      <c r="EC335" t="e">
        <f>AND('PROG FORMACIÓN TITULADA'!#REF!,"AAAAADPv94Q=")</f>
        <v>#REF!</v>
      </c>
      <c r="ED335" t="e">
        <f>AND('PROG FORMACIÓN TITULADA'!#REF!,"AAAAADPv94U=")</f>
        <v>#REF!</v>
      </c>
      <c r="EE335" t="e">
        <f>AND('PROG FORMACIÓN TITULADA'!#REF!,"AAAAADPv94Y=")</f>
        <v>#REF!</v>
      </c>
      <c r="EF335" t="e">
        <f>AND('PROG FORMACIÓN TITULADA'!#REF!,"AAAAADPv94c=")</f>
        <v>#REF!</v>
      </c>
      <c r="EG335" t="e">
        <f>AND('PROG FORMACIÓN TITULADA'!#REF!,"AAAAADPv94g=")</f>
        <v>#REF!</v>
      </c>
      <c r="EH335" t="e">
        <f>AND('PROG FORMACIÓN TITULADA'!#REF!,"AAAAADPv94k=")</f>
        <v>#REF!</v>
      </c>
      <c r="EI335" t="e">
        <f>AND('PROG FORMACIÓN TITULADA'!#REF!,"AAAAADPv94o=")</f>
        <v>#REF!</v>
      </c>
      <c r="EJ335" t="e">
        <f>AND('PROG FORMACIÓN TITULADA'!#REF!,"AAAAADPv94s=")</f>
        <v>#REF!</v>
      </c>
      <c r="EK335" t="e">
        <f>IF('PROG FORMACIÓN TITULADA'!#REF!,"AAAAADPv94w=",0)</f>
        <v>#REF!</v>
      </c>
      <c r="EL335" t="e">
        <f>AND('PROG FORMACIÓN TITULADA'!#REF!,"AAAAADPv940=")</f>
        <v>#REF!</v>
      </c>
      <c r="EM335" t="e">
        <f>AND('PROG FORMACIÓN TITULADA'!#REF!,"AAAAADPv944=")</f>
        <v>#REF!</v>
      </c>
      <c r="EN335" t="e">
        <f>AND('PROG FORMACIÓN TITULADA'!#REF!,"AAAAADPv948=")</f>
        <v>#REF!</v>
      </c>
      <c r="EO335" t="e">
        <f>AND('PROG FORMACIÓN TITULADA'!#REF!,"AAAAADPv95A=")</f>
        <v>#REF!</v>
      </c>
      <c r="EP335" t="e">
        <f>AND('PROG FORMACIÓN TITULADA'!#REF!,"AAAAADPv95E=")</f>
        <v>#REF!</v>
      </c>
      <c r="EQ335" t="e">
        <f>AND('PROG FORMACIÓN TITULADA'!#REF!,"AAAAADPv95I=")</f>
        <v>#REF!</v>
      </c>
      <c r="ER335" t="e">
        <f>AND('PROG FORMACIÓN TITULADA'!#REF!,"AAAAADPv95M=")</f>
        <v>#REF!</v>
      </c>
      <c r="ES335" t="e">
        <f>AND('PROG FORMACIÓN TITULADA'!#REF!,"AAAAADPv95Q=")</f>
        <v>#REF!</v>
      </c>
      <c r="ET335" t="e">
        <f>AND('PROG FORMACIÓN TITULADA'!#REF!,"AAAAADPv95U=")</f>
        <v>#REF!</v>
      </c>
      <c r="EU335" t="e">
        <f>AND('PROG FORMACIÓN TITULADA'!#REF!,"AAAAADPv95Y=")</f>
        <v>#REF!</v>
      </c>
      <c r="EV335" t="e">
        <f>AND('PROG FORMACIÓN TITULADA'!#REF!,"AAAAADPv95c=")</f>
        <v>#REF!</v>
      </c>
      <c r="EW335" t="e">
        <f>AND('PROG FORMACIÓN TITULADA'!#REF!,"AAAAADPv95g=")</f>
        <v>#REF!</v>
      </c>
      <c r="EX335" t="e">
        <f>AND('PROG FORMACIÓN TITULADA'!#REF!,"AAAAADPv95k=")</f>
        <v>#REF!</v>
      </c>
      <c r="EY335" t="e">
        <f>AND('PROG FORMACIÓN TITULADA'!#REF!,"AAAAADPv95o=")</f>
        <v>#REF!</v>
      </c>
      <c r="EZ335" t="e">
        <f>AND('PROG FORMACIÓN TITULADA'!#REF!,"AAAAADPv95s=")</f>
        <v>#REF!</v>
      </c>
      <c r="FA335" t="e">
        <f>AND('PROG FORMACIÓN TITULADA'!#REF!,"AAAAADPv95w=")</f>
        <v>#REF!</v>
      </c>
      <c r="FB335" t="e">
        <f>AND('PROG FORMACIÓN TITULADA'!#REF!,"AAAAADPv950=")</f>
        <v>#REF!</v>
      </c>
      <c r="FC335" t="e">
        <f>AND('PROG FORMACIÓN TITULADA'!#REF!,"AAAAADPv954=")</f>
        <v>#REF!</v>
      </c>
      <c r="FD335" t="e">
        <f>AND('PROG FORMACIÓN TITULADA'!#REF!,"AAAAADPv958=")</f>
        <v>#REF!</v>
      </c>
      <c r="FE335" t="e">
        <f>AND('PROG FORMACIÓN TITULADA'!#REF!,"AAAAADPv96A=")</f>
        <v>#REF!</v>
      </c>
      <c r="FF335" t="e">
        <f>AND('PROG FORMACIÓN TITULADA'!#REF!,"AAAAADPv96E=")</f>
        <v>#REF!</v>
      </c>
      <c r="FG335" t="e">
        <f>AND('PROG FORMACIÓN TITULADA'!#REF!,"AAAAADPv96I=")</f>
        <v>#REF!</v>
      </c>
      <c r="FH335" t="e">
        <f>AND('PROG FORMACIÓN TITULADA'!#REF!,"AAAAADPv96M=")</f>
        <v>#REF!</v>
      </c>
      <c r="FI335" t="e">
        <f>AND('PROG FORMACIÓN TITULADA'!#REF!,"AAAAADPv96Q=")</f>
        <v>#REF!</v>
      </c>
      <c r="FJ335" t="e">
        <f>AND('PROG FORMACIÓN TITULADA'!#REF!,"AAAAADPv96U=")</f>
        <v>#REF!</v>
      </c>
      <c r="FK335" t="e">
        <f>AND('PROG FORMACIÓN TITULADA'!#REF!,"AAAAADPv96Y=")</f>
        <v>#REF!</v>
      </c>
      <c r="FL335" t="e">
        <f>IF('PROG FORMACIÓN TITULADA'!#REF!,"AAAAADPv96c=",0)</f>
        <v>#REF!</v>
      </c>
      <c r="FM335" t="e">
        <f>AND('PROG FORMACIÓN TITULADA'!#REF!,"AAAAADPv96g=")</f>
        <v>#REF!</v>
      </c>
      <c r="FN335" t="e">
        <f>AND('PROG FORMACIÓN TITULADA'!#REF!,"AAAAADPv96k=")</f>
        <v>#REF!</v>
      </c>
      <c r="FO335" t="e">
        <f>AND('PROG FORMACIÓN TITULADA'!#REF!,"AAAAADPv96o=")</f>
        <v>#REF!</v>
      </c>
      <c r="FP335" t="e">
        <f>AND('PROG FORMACIÓN TITULADA'!#REF!,"AAAAADPv96s=")</f>
        <v>#REF!</v>
      </c>
      <c r="FQ335" t="e">
        <f>AND('PROG FORMACIÓN TITULADA'!#REF!,"AAAAADPv96w=")</f>
        <v>#REF!</v>
      </c>
      <c r="FR335" t="e">
        <f>AND('PROG FORMACIÓN TITULADA'!#REF!,"AAAAADPv960=")</f>
        <v>#REF!</v>
      </c>
      <c r="FS335" t="e">
        <f>AND('PROG FORMACIÓN TITULADA'!#REF!,"AAAAADPv964=")</f>
        <v>#REF!</v>
      </c>
      <c r="FT335" t="e">
        <f>AND('PROG FORMACIÓN TITULADA'!#REF!,"AAAAADPv968=")</f>
        <v>#REF!</v>
      </c>
      <c r="FU335" t="e">
        <f>AND('PROG FORMACIÓN TITULADA'!#REF!,"AAAAADPv97A=")</f>
        <v>#REF!</v>
      </c>
      <c r="FV335" t="e">
        <f>AND('PROG FORMACIÓN TITULADA'!#REF!,"AAAAADPv97E=")</f>
        <v>#REF!</v>
      </c>
      <c r="FW335" t="e">
        <f>AND('PROG FORMACIÓN TITULADA'!#REF!,"AAAAADPv97I=")</f>
        <v>#REF!</v>
      </c>
      <c r="FX335" t="e">
        <f>AND('PROG FORMACIÓN TITULADA'!#REF!,"AAAAADPv97M=")</f>
        <v>#REF!</v>
      </c>
      <c r="FY335" t="e">
        <f>AND('PROG FORMACIÓN TITULADA'!#REF!,"AAAAADPv97Q=")</f>
        <v>#REF!</v>
      </c>
      <c r="FZ335" t="e">
        <f>AND('PROG FORMACIÓN TITULADA'!#REF!,"AAAAADPv97U=")</f>
        <v>#REF!</v>
      </c>
      <c r="GA335" t="e">
        <f>AND('PROG FORMACIÓN TITULADA'!#REF!,"AAAAADPv97Y=")</f>
        <v>#REF!</v>
      </c>
      <c r="GB335" t="e">
        <f>AND('PROG FORMACIÓN TITULADA'!#REF!,"AAAAADPv97c=")</f>
        <v>#REF!</v>
      </c>
      <c r="GC335" t="e">
        <f>AND('PROG FORMACIÓN TITULADA'!#REF!,"AAAAADPv97g=")</f>
        <v>#REF!</v>
      </c>
      <c r="GD335" t="e">
        <f>AND('PROG FORMACIÓN TITULADA'!#REF!,"AAAAADPv97k=")</f>
        <v>#REF!</v>
      </c>
      <c r="GE335" t="e">
        <f>AND('PROG FORMACIÓN TITULADA'!#REF!,"AAAAADPv97o=")</f>
        <v>#REF!</v>
      </c>
      <c r="GF335" t="e">
        <f>AND('PROG FORMACIÓN TITULADA'!#REF!,"AAAAADPv97s=")</f>
        <v>#REF!</v>
      </c>
      <c r="GG335" t="e">
        <f>AND('PROG FORMACIÓN TITULADA'!#REF!,"AAAAADPv97w=")</f>
        <v>#REF!</v>
      </c>
      <c r="GH335" t="e">
        <f>AND('PROG FORMACIÓN TITULADA'!#REF!,"AAAAADPv970=")</f>
        <v>#REF!</v>
      </c>
      <c r="GI335" t="e">
        <f>AND('PROG FORMACIÓN TITULADA'!#REF!,"AAAAADPv974=")</f>
        <v>#REF!</v>
      </c>
      <c r="GJ335" t="e">
        <f>AND('PROG FORMACIÓN TITULADA'!#REF!,"AAAAADPv978=")</f>
        <v>#REF!</v>
      </c>
      <c r="GK335" t="e">
        <f>AND('PROG FORMACIÓN TITULADA'!#REF!,"AAAAADPv98A=")</f>
        <v>#REF!</v>
      </c>
      <c r="GL335" t="e">
        <f>AND('PROG FORMACIÓN TITULADA'!#REF!,"AAAAADPv98E=")</f>
        <v>#REF!</v>
      </c>
      <c r="GM335" t="e">
        <f>IF('PROG FORMACIÓN TITULADA'!#REF!,"AAAAADPv98I=",0)</f>
        <v>#REF!</v>
      </c>
      <c r="GN335" t="e">
        <f>AND('PROG FORMACIÓN TITULADA'!#REF!,"AAAAADPv98M=")</f>
        <v>#REF!</v>
      </c>
      <c r="GO335" t="e">
        <f>AND('PROG FORMACIÓN TITULADA'!#REF!,"AAAAADPv98Q=")</f>
        <v>#REF!</v>
      </c>
      <c r="GP335" t="e">
        <f>AND('PROG FORMACIÓN TITULADA'!#REF!,"AAAAADPv98U=")</f>
        <v>#REF!</v>
      </c>
      <c r="GQ335" t="e">
        <f>AND('PROG FORMACIÓN TITULADA'!#REF!,"AAAAADPv98Y=")</f>
        <v>#REF!</v>
      </c>
      <c r="GR335" t="e">
        <f>AND('PROG FORMACIÓN TITULADA'!#REF!,"AAAAADPv98c=")</f>
        <v>#REF!</v>
      </c>
      <c r="GS335" t="e">
        <f>AND('PROG FORMACIÓN TITULADA'!#REF!,"AAAAADPv98g=")</f>
        <v>#REF!</v>
      </c>
      <c r="GT335" t="e">
        <f>AND('PROG FORMACIÓN TITULADA'!#REF!,"AAAAADPv98k=")</f>
        <v>#REF!</v>
      </c>
      <c r="GU335" t="e">
        <f>AND('PROG FORMACIÓN TITULADA'!#REF!,"AAAAADPv98o=")</f>
        <v>#REF!</v>
      </c>
      <c r="GV335" t="e">
        <f>AND('PROG FORMACIÓN TITULADA'!#REF!,"AAAAADPv98s=")</f>
        <v>#REF!</v>
      </c>
      <c r="GW335" t="e">
        <f>AND('PROG FORMACIÓN TITULADA'!#REF!,"AAAAADPv98w=")</f>
        <v>#REF!</v>
      </c>
      <c r="GX335" t="e">
        <f>AND('PROG FORMACIÓN TITULADA'!#REF!,"AAAAADPv980=")</f>
        <v>#REF!</v>
      </c>
      <c r="GY335" t="e">
        <f>AND('PROG FORMACIÓN TITULADA'!#REF!,"AAAAADPv984=")</f>
        <v>#REF!</v>
      </c>
      <c r="GZ335" t="e">
        <f>AND('PROG FORMACIÓN TITULADA'!#REF!,"AAAAADPv988=")</f>
        <v>#REF!</v>
      </c>
      <c r="HA335" t="e">
        <f>AND('PROG FORMACIÓN TITULADA'!#REF!,"AAAAADPv99A=")</f>
        <v>#REF!</v>
      </c>
      <c r="HB335" t="e">
        <f>AND('PROG FORMACIÓN TITULADA'!#REF!,"AAAAADPv99E=")</f>
        <v>#REF!</v>
      </c>
      <c r="HC335" t="e">
        <f>AND('PROG FORMACIÓN TITULADA'!#REF!,"AAAAADPv99I=")</f>
        <v>#REF!</v>
      </c>
      <c r="HD335" t="e">
        <f>AND('PROG FORMACIÓN TITULADA'!#REF!,"AAAAADPv99M=")</f>
        <v>#REF!</v>
      </c>
      <c r="HE335" t="e">
        <f>AND('PROG FORMACIÓN TITULADA'!#REF!,"AAAAADPv99Q=")</f>
        <v>#REF!</v>
      </c>
      <c r="HF335" t="e">
        <f>AND('PROG FORMACIÓN TITULADA'!#REF!,"AAAAADPv99U=")</f>
        <v>#REF!</v>
      </c>
      <c r="HG335" t="e">
        <f>AND('PROG FORMACIÓN TITULADA'!#REF!,"AAAAADPv99Y=")</f>
        <v>#REF!</v>
      </c>
      <c r="HH335" t="e">
        <f>AND('PROG FORMACIÓN TITULADA'!#REF!,"AAAAADPv99c=")</f>
        <v>#REF!</v>
      </c>
      <c r="HI335" t="e">
        <f>AND('PROG FORMACIÓN TITULADA'!#REF!,"AAAAADPv99g=")</f>
        <v>#REF!</v>
      </c>
      <c r="HJ335" t="e">
        <f>AND('PROG FORMACIÓN TITULADA'!#REF!,"AAAAADPv99k=")</f>
        <v>#REF!</v>
      </c>
      <c r="HK335" t="e">
        <f>AND('PROG FORMACIÓN TITULADA'!#REF!,"AAAAADPv99o=")</f>
        <v>#REF!</v>
      </c>
      <c r="HL335" t="e">
        <f>AND('PROG FORMACIÓN TITULADA'!#REF!,"AAAAADPv99s=")</f>
        <v>#REF!</v>
      </c>
      <c r="HM335" t="e">
        <f>AND('PROG FORMACIÓN TITULADA'!#REF!,"AAAAADPv99w=")</f>
        <v>#REF!</v>
      </c>
      <c r="HN335" t="e">
        <f>IF('PROG FORMACIÓN TITULADA'!#REF!,"AAAAADPv990=",0)</f>
        <v>#REF!</v>
      </c>
      <c r="HO335" t="e">
        <f>AND('PROG FORMACIÓN TITULADA'!#REF!,"AAAAADPv994=")</f>
        <v>#REF!</v>
      </c>
      <c r="HP335" t="e">
        <f>AND('PROG FORMACIÓN TITULADA'!#REF!,"AAAAADPv998=")</f>
        <v>#REF!</v>
      </c>
      <c r="HQ335" t="e">
        <f>AND('PROG FORMACIÓN TITULADA'!#REF!,"AAAAADPv9+A=")</f>
        <v>#REF!</v>
      </c>
      <c r="HR335" t="e">
        <f>AND('PROG FORMACIÓN TITULADA'!#REF!,"AAAAADPv9+E=")</f>
        <v>#REF!</v>
      </c>
      <c r="HS335" t="e">
        <f>AND('PROG FORMACIÓN TITULADA'!#REF!,"AAAAADPv9+I=")</f>
        <v>#REF!</v>
      </c>
      <c r="HT335" t="e">
        <f>AND('PROG FORMACIÓN TITULADA'!#REF!,"AAAAADPv9+M=")</f>
        <v>#REF!</v>
      </c>
      <c r="HU335" t="e">
        <f>AND('PROG FORMACIÓN TITULADA'!#REF!,"AAAAADPv9+Q=")</f>
        <v>#REF!</v>
      </c>
      <c r="HV335" t="e">
        <f>AND('PROG FORMACIÓN TITULADA'!#REF!,"AAAAADPv9+U=")</f>
        <v>#REF!</v>
      </c>
      <c r="HW335" t="e">
        <f>AND('PROG FORMACIÓN TITULADA'!#REF!,"AAAAADPv9+Y=")</f>
        <v>#REF!</v>
      </c>
      <c r="HX335" t="e">
        <f>AND('PROG FORMACIÓN TITULADA'!#REF!,"AAAAADPv9+c=")</f>
        <v>#REF!</v>
      </c>
      <c r="HY335" t="e">
        <f>AND('PROG FORMACIÓN TITULADA'!#REF!,"AAAAADPv9+g=")</f>
        <v>#REF!</v>
      </c>
      <c r="HZ335" t="e">
        <f>AND('PROG FORMACIÓN TITULADA'!#REF!,"AAAAADPv9+k=")</f>
        <v>#REF!</v>
      </c>
      <c r="IA335" t="e">
        <f>AND('PROG FORMACIÓN TITULADA'!#REF!,"AAAAADPv9+o=")</f>
        <v>#REF!</v>
      </c>
      <c r="IB335" t="e">
        <f>AND('PROG FORMACIÓN TITULADA'!#REF!,"AAAAADPv9+s=")</f>
        <v>#REF!</v>
      </c>
      <c r="IC335" t="e">
        <f>AND('PROG FORMACIÓN TITULADA'!#REF!,"AAAAADPv9+w=")</f>
        <v>#REF!</v>
      </c>
      <c r="ID335" t="e">
        <f>AND('PROG FORMACIÓN TITULADA'!#REF!,"AAAAADPv9+0=")</f>
        <v>#REF!</v>
      </c>
      <c r="IE335" t="e">
        <f>AND('PROG FORMACIÓN TITULADA'!#REF!,"AAAAADPv9+4=")</f>
        <v>#REF!</v>
      </c>
      <c r="IF335" t="e">
        <f>AND('PROG FORMACIÓN TITULADA'!#REF!,"AAAAADPv9+8=")</f>
        <v>#REF!</v>
      </c>
      <c r="IG335" t="e">
        <f>AND('PROG FORMACIÓN TITULADA'!#REF!,"AAAAADPv9/A=")</f>
        <v>#REF!</v>
      </c>
      <c r="IH335" t="e">
        <f>AND('PROG FORMACIÓN TITULADA'!#REF!,"AAAAADPv9/E=")</f>
        <v>#REF!</v>
      </c>
      <c r="II335" t="e">
        <f>AND('PROG FORMACIÓN TITULADA'!#REF!,"AAAAADPv9/I=")</f>
        <v>#REF!</v>
      </c>
      <c r="IJ335" t="e">
        <f>AND('PROG FORMACIÓN TITULADA'!#REF!,"AAAAADPv9/M=")</f>
        <v>#REF!</v>
      </c>
      <c r="IK335" t="e">
        <f>AND('PROG FORMACIÓN TITULADA'!#REF!,"AAAAADPv9/Q=")</f>
        <v>#REF!</v>
      </c>
      <c r="IL335" t="e">
        <f>AND('PROG FORMACIÓN TITULADA'!#REF!,"AAAAADPv9/U=")</f>
        <v>#REF!</v>
      </c>
      <c r="IM335" t="e">
        <f>AND('PROG FORMACIÓN TITULADA'!#REF!,"AAAAADPv9/Y=")</f>
        <v>#REF!</v>
      </c>
      <c r="IN335" t="e">
        <f>AND('PROG FORMACIÓN TITULADA'!#REF!,"AAAAADPv9/c=")</f>
        <v>#REF!</v>
      </c>
      <c r="IO335" t="e">
        <f>IF('PROG FORMACIÓN TITULADA'!#REF!,"AAAAADPv9/g=",0)</f>
        <v>#REF!</v>
      </c>
      <c r="IP335" t="e">
        <f>AND('PROG FORMACIÓN TITULADA'!#REF!,"AAAAADPv9/k=")</f>
        <v>#REF!</v>
      </c>
      <c r="IQ335" t="e">
        <f>AND('PROG FORMACIÓN TITULADA'!#REF!,"AAAAADPv9/o=")</f>
        <v>#REF!</v>
      </c>
      <c r="IR335" t="e">
        <f>AND('PROG FORMACIÓN TITULADA'!#REF!,"AAAAADPv9/s=")</f>
        <v>#REF!</v>
      </c>
      <c r="IS335" t="e">
        <f>AND('PROG FORMACIÓN TITULADA'!#REF!,"AAAAADPv9/w=")</f>
        <v>#REF!</v>
      </c>
      <c r="IT335" t="e">
        <f>AND('PROG FORMACIÓN TITULADA'!#REF!,"AAAAADPv9/0=")</f>
        <v>#REF!</v>
      </c>
      <c r="IU335" t="e">
        <f>AND('PROG FORMACIÓN TITULADA'!#REF!,"AAAAADPv9/4=")</f>
        <v>#REF!</v>
      </c>
      <c r="IV335" t="e">
        <f>AND('PROG FORMACIÓN TITULADA'!#REF!,"AAAAADPv9/8=")</f>
        <v>#REF!</v>
      </c>
    </row>
    <row r="336" spans="1:256" x14ac:dyDescent="0.2">
      <c r="A336" t="e">
        <f>AND('PROG FORMACIÓN TITULADA'!#REF!,"AAAAAGr/uQA=")</f>
        <v>#REF!</v>
      </c>
      <c r="B336" t="e">
        <f>AND('PROG FORMACIÓN TITULADA'!#REF!,"AAAAAGr/uQE=")</f>
        <v>#REF!</v>
      </c>
      <c r="C336" t="e">
        <f>AND('PROG FORMACIÓN TITULADA'!#REF!,"AAAAAGr/uQI=")</f>
        <v>#REF!</v>
      </c>
      <c r="D336" t="e">
        <f>AND('PROG FORMACIÓN TITULADA'!#REF!,"AAAAAGr/uQM=")</f>
        <v>#REF!</v>
      </c>
      <c r="E336" t="e">
        <f>AND('PROG FORMACIÓN TITULADA'!#REF!,"AAAAAGr/uQQ=")</f>
        <v>#REF!</v>
      </c>
      <c r="F336" t="e">
        <f>AND('PROG FORMACIÓN TITULADA'!#REF!,"AAAAAGr/uQU=")</f>
        <v>#REF!</v>
      </c>
      <c r="G336" t="e">
        <f>AND('PROG FORMACIÓN TITULADA'!#REF!,"AAAAAGr/uQY=")</f>
        <v>#REF!</v>
      </c>
      <c r="H336" t="e">
        <f>AND('PROG FORMACIÓN TITULADA'!#REF!,"AAAAAGr/uQc=")</f>
        <v>#REF!</v>
      </c>
      <c r="I336" t="e">
        <f>AND('PROG FORMACIÓN TITULADA'!#REF!,"AAAAAGr/uQg=")</f>
        <v>#REF!</v>
      </c>
      <c r="J336" t="e">
        <f>AND('PROG FORMACIÓN TITULADA'!#REF!,"AAAAAGr/uQk=")</f>
        <v>#REF!</v>
      </c>
      <c r="K336" t="e">
        <f>AND('PROG FORMACIÓN TITULADA'!#REF!,"AAAAAGr/uQo=")</f>
        <v>#REF!</v>
      </c>
      <c r="L336" t="e">
        <f>AND('PROG FORMACIÓN TITULADA'!#REF!,"AAAAAGr/uQs=")</f>
        <v>#REF!</v>
      </c>
      <c r="M336" t="e">
        <f>AND('PROG FORMACIÓN TITULADA'!#REF!,"AAAAAGr/uQw=")</f>
        <v>#REF!</v>
      </c>
      <c r="N336" t="e">
        <f>AND('PROG FORMACIÓN TITULADA'!#REF!,"AAAAAGr/uQ0=")</f>
        <v>#REF!</v>
      </c>
      <c r="O336" t="e">
        <f>AND('PROG FORMACIÓN TITULADA'!#REF!,"AAAAAGr/uQ4=")</f>
        <v>#REF!</v>
      </c>
      <c r="P336" t="e">
        <f>AND('PROG FORMACIÓN TITULADA'!#REF!,"AAAAAGr/uQ8=")</f>
        <v>#REF!</v>
      </c>
      <c r="Q336" t="e">
        <f>AND('PROG FORMACIÓN TITULADA'!#REF!,"AAAAAGr/uRA=")</f>
        <v>#REF!</v>
      </c>
      <c r="R336" t="e">
        <f>AND('PROG FORMACIÓN TITULADA'!#REF!,"AAAAAGr/uRE=")</f>
        <v>#REF!</v>
      </c>
      <c r="S336" t="e">
        <f>AND('PROG FORMACIÓN TITULADA'!#REF!,"AAAAAGr/uRI=")</f>
        <v>#REF!</v>
      </c>
      <c r="T336" t="e">
        <f>IF('PROG FORMACIÓN TITULADA'!#REF!,"AAAAAGr/uRM=",0)</f>
        <v>#REF!</v>
      </c>
      <c r="U336" t="e">
        <f>AND('PROG FORMACIÓN TITULADA'!#REF!,"AAAAAGr/uRQ=")</f>
        <v>#REF!</v>
      </c>
      <c r="V336" t="e">
        <f>AND('PROG FORMACIÓN TITULADA'!#REF!,"AAAAAGr/uRU=")</f>
        <v>#REF!</v>
      </c>
      <c r="W336" t="e">
        <f>AND('PROG FORMACIÓN TITULADA'!#REF!,"AAAAAGr/uRY=")</f>
        <v>#REF!</v>
      </c>
      <c r="X336" t="e">
        <f>AND('PROG FORMACIÓN TITULADA'!#REF!,"AAAAAGr/uRc=")</f>
        <v>#REF!</v>
      </c>
      <c r="Y336" t="e">
        <f>AND('PROG FORMACIÓN TITULADA'!#REF!,"AAAAAGr/uRg=")</f>
        <v>#REF!</v>
      </c>
      <c r="Z336" t="e">
        <f>AND('PROG FORMACIÓN TITULADA'!#REF!,"AAAAAGr/uRk=")</f>
        <v>#REF!</v>
      </c>
      <c r="AA336" t="e">
        <f>AND('PROG FORMACIÓN TITULADA'!#REF!,"AAAAAGr/uRo=")</f>
        <v>#REF!</v>
      </c>
      <c r="AB336" t="e">
        <f>AND('PROG FORMACIÓN TITULADA'!#REF!,"AAAAAGr/uRs=")</f>
        <v>#REF!</v>
      </c>
      <c r="AC336" t="e">
        <f>AND('PROG FORMACIÓN TITULADA'!#REF!,"AAAAAGr/uRw=")</f>
        <v>#REF!</v>
      </c>
      <c r="AD336" t="e">
        <f>AND('PROG FORMACIÓN TITULADA'!#REF!,"AAAAAGr/uR0=")</f>
        <v>#REF!</v>
      </c>
      <c r="AE336" t="e">
        <f>AND('PROG FORMACIÓN TITULADA'!#REF!,"AAAAAGr/uR4=")</f>
        <v>#REF!</v>
      </c>
      <c r="AF336" t="e">
        <f>AND('PROG FORMACIÓN TITULADA'!#REF!,"AAAAAGr/uR8=")</f>
        <v>#REF!</v>
      </c>
      <c r="AG336" t="e">
        <f>AND('PROG FORMACIÓN TITULADA'!#REF!,"AAAAAGr/uSA=")</f>
        <v>#REF!</v>
      </c>
      <c r="AH336" t="e">
        <f>AND('PROG FORMACIÓN TITULADA'!#REF!,"AAAAAGr/uSE=")</f>
        <v>#REF!</v>
      </c>
      <c r="AI336" t="e">
        <f>AND('PROG FORMACIÓN TITULADA'!#REF!,"AAAAAGr/uSI=")</f>
        <v>#REF!</v>
      </c>
      <c r="AJ336" t="e">
        <f>AND('PROG FORMACIÓN TITULADA'!#REF!,"AAAAAGr/uSM=")</f>
        <v>#REF!</v>
      </c>
      <c r="AK336" t="e">
        <f>AND('PROG FORMACIÓN TITULADA'!#REF!,"AAAAAGr/uSQ=")</f>
        <v>#REF!</v>
      </c>
      <c r="AL336" t="e">
        <f>AND('PROG FORMACIÓN TITULADA'!#REF!,"AAAAAGr/uSU=")</f>
        <v>#REF!</v>
      </c>
      <c r="AM336" t="e">
        <f>AND('PROG FORMACIÓN TITULADA'!#REF!,"AAAAAGr/uSY=")</f>
        <v>#REF!</v>
      </c>
      <c r="AN336" t="e">
        <f>AND('PROG FORMACIÓN TITULADA'!#REF!,"AAAAAGr/uSc=")</f>
        <v>#REF!</v>
      </c>
      <c r="AO336" t="e">
        <f>AND('PROG FORMACIÓN TITULADA'!#REF!,"AAAAAGr/uSg=")</f>
        <v>#REF!</v>
      </c>
      <c r="AP336" t="e">
        <f>AND('PROG FORMACIÓN TITULADA'!#REF!,"AAAAAGr/uSk=")</f>
        <v>#REF!</v>
      </c>
      <c r="AQ336" t="e">
        <f>AND('PROG FORMACIÓN TITULADA'!#REF!,"AAAAAGr/uSo=")</f>
        <v>#REF!</v>
      </c>
      <c r="AR336" t="e">
        <f>AND('PROG FORMACIÓN TITULADA'!#REF!,"AAAAAGr/uSs=")</f>
        <v>#REF!</v>
      </c>
      <c r="AS336" t="e">
        <f>AND('PROG FORMACIÓN TITULADA'!#REF!,"AAAAAGr/uSw=")</f>
        <v>#REF!</v>
      </c>
      <c r="AT336" t="e">
        <f>AND('PROG FORMACIÓN TITULADA'!#REF!,"AAAAAGr/uS0=")</f>
        <v>#REF!</v>
      </c>
      <c r="AU336" t="e">
        <f>IF('PROG FORMACIÓN TITULADA'!#REF!,"AAAAAGr/uS4=",0)</f>
        <v>#REF!</v>
      </c>
      <c r="AV336" t="e">
        <f>AND('PROG FORMACIÓN TITULADA'!#REF!,"AAAAAGr/uS8=")</f>
        <v>#REF!</v>
      </c>
      <c r="AW336" t="e">
        <f>AND('PROG FORMACIÓN TITULADA'!#REF!,"AAAAAGr/uTA=")</f>
        <v>#REF!</v>
      </c>
      <c r="AX336" t="e">
        <f>AND('PROG FORMACIÓN TITULADA'!#REF!,"AAAAAGr/uTE=")</f>
        <v>#REF!</v>
      </c>
      <c r="AY336" t="e">
        <f>AND('PROG FORMACIÓN TITULADA'!#REF!,"AAAAAGr/uTI=")</f>
        <v>#REF!</v>
      </c>
      <c r="AZ336" t="e">
        <f>AND('PROG FORMACIÓN TITULADA'!#REF!,"AAAAAGr/uTM=")</f>
        <v>#REF!</v>
      </c>
      <c r="BA336" t="e">
        <f>AND('PROG FORMACIÓN TITULADA'!#REF!,"AAAAAGr/uTQ=")</f>
        <v>#REF!</v>
      </c>
      <c r="BB336" t="e">
        <f>AND('PROG FORMACIÓN TITULADA'!#REF!,"AAAAAGr/uTU=")</f>
        <v>#REF!</v>
      </c>
      <c r="BC336" t="e">
        <f>AND('PROG FORMACIÓN TITULADA'!#REF!,"AAAAAGr/uTY=")</f>
        <v>#REF!</v>
      </c>
      <c r="BD336" t="e">
        <f>AND('PROG FORMACIÓN TITULADA'!#REF!,"AAAAAGr/uTc=")</f>
        <v>#REF!</v>
      </c>
      <c r="BE336" t="e">
        <f>AND('PROG FORMACIÓN TITULADA'!#REF!,"AAAAAGr/uTg=")</f>
        <v>#REF!</v>
      </c>
      <c r="BF336" t="e">
        <f>AND('PROG FORMACIÓN TITULADA'!#REF!,"AAAAAGr/uTk=")</f>
        <v>#REF!</v>
      </c>
      <c r="BG336" t="e">
        <f>AND('PROG FORMACIÓN TITULADA'!#REF!,"AAAAAGr/uTo=")</f>
        <v>#REF!</v>
      </c>
      <c r="BH336" t="e">
        <f>AND('PROG FORMACIÓN TITULADA'!#REF!,"AAAAAGr/uTs=")</f>
        <v>#REF!</v>
      </c>
      <c r="BI336" t="e">
        <f>AND('PROG FORMACIÓN TITULADA'!#REF!,"AAAAAGr/uTw=")</f>
        <v>#REF!</v>
      </c>
      <c r="BJ336" t="e">
        <f>AND('PROG FORMACIÓN TITULADA'!#REF!,"AAAAAGr/uT0=")</f>
        <v>#REF!</v>
      </c>
      <c r="BK336" t="e">
        <f>AND('PROG FORMACIÓN TITULADA'!#REF!,"AAAAAGr/uT4=")</f>
        <v>#REF!</v>
      </c>
      <c r="BL336" t="e">
        <f>AND('PROG FORMACIÓN TITULADA'!#REF!,"AAAAAGr/uT8=")</f>
        <v>#REF!</v>
      </c>
      <c r="BM336" t="e">
        <f>AND('PROG FORMACIÓN TITULADA'!#REF!,"AAAAAGr/uUA=")</f>
        <v>#REF!</v>
      </c>
      <c r="BN336" t="e">
        <f>AND('PROG FORMACIÓN TITULADA'!#REF!,"AAAAAGr/uUE=")</f>
        <v>#REF!</v>
      </c>
      <c r="BO336" t="e">
        <f>AND('PROG FORMACIÓN TITULADA'!#REF!,"AAAAAGr/uUI=")</f>
        <v>#REF!</v>
      </c>
      <c r="BP336" t="e">
        <f>AND('PROG FORMACIÓN TITULADA'!#REF!,"AAAAAGr/uUM=")</f>
        <v>#REF!</v>
      </c>
      <c r="BQ336" t="e">
        <f>AND('PROG FORMACIÓN TITULADA'!#REF!,"AAAAAGr/uUQ=")</f>
        <v>#REF!</v>
      </c>
      <c r="BR336" t="e">
        <f>AND('PROG FORMACIÓN TITULADA'!#REF!,"AAAAAGr/uUU=")</f>
        <v>#REF!</v>
      </c>
      <c r="BS336" t="e">
        <f>AND('PROG FORMACIÓN TITULADA'!#REF!,"AAAAAGr/uUY=")</f>
        <v>#REF!</v>
      </c>
      <c r="BT336" t="e">
        <f>AND('PROG FORMACIÓN TITULADA'!#REF!,"AAAAAGr/uUc=")</f>
        <v>#REF!</v>
      </c>
      <c r="BU336" t="e">
        <f>AND('PROG FORMACIÓN TITULADA'!#REF!,"AAAAAGr/uUg=")</f>
        <v>#REF!</v>
      </c>
      <c r="BV336" t="e">
        <f>IF('PROG FORMACIÓN TITULADA'!#REF!,"AAAAAGr/uUk=",0)</f>
        <v>#REF!</v>
      </c>
      <c r="BW336" t="e">
        <f>AND('PROG FORMACIÓN TITULADA'!#REF!,"AAAAAGr/uUo=")</f>
        <v>#REF!</v>
      </c>
      <c r="BX336" t="e">
        <f>AND('PROG FORMACIÓN TITULADA'!#REF!,"AAAAAGr/uUs=")</f>
        <v>#REF!</v>
      </c>
      <c r="BY336" t="e">
        <f>AND('PROG FORMACIÓN TITULADA'!#REF!,"AAAAAGr/uUw=")</f>
        <v>#REF!</v>
      </c>
      <c r="BZ336" t="e">
        <f>AND('PROG FORMACIÓN TITULADA'!#REF!,"AAAAAGr/uU0=")</f>
        <v>#REF!</v>
      </c>
      <c r="CA336" t="e">
        <f>AND('PROG FORMACIÓN TITULADA'!#REF!,"AAAAAGr/uU4=")</f>
        <v>#REF!</v>
      </c>
      <c r="CB336" t="e">
        <f>AND('PROG FORMACIÓN TITULADA'!#REF!,"AAAAAGr/uU8=")</f>
        <v>#REF!</v>
      </c>
      <c r="CC336" t="e">
        <f>AND('PROG FORMACIÓN TITULADA'!#REF!,"AAAAAGr/uVA=")</f>
        <v>#REF!</v>
      </c>
      <c r="CD336" t="e">
        <f>AND('PROG FORMACIÓN TITULADA'!#REF!,"AAAAAGr/uVE=")</f>
        <v>#REF!</v>
      </c>
      <c r="CE336" t="e">
        <f>AND('PROG FORMACIÓN TITULADA'!#REF!,"AAAAAGr/uVI=")</f>
        <v>#REF!</v>
      </c>
      <c r="CF336" t="e">
        <f>AND('PROG FORMACIÓN TITULADA'!#REF!,"AAAAAGr/uVM=")</f>
        <v>#REF!</v>
      </c>
      <c r="CG336" t="e">
        <f>AND('PROG FORMACIÓN TITULADA'!#REF!,"AAAAAGr/uVQ=")</f>
        <v>#REF!</v>
      </c>
      <c r="CH336" t="e">
        <f>AND('PROG FORMACIÓN TITULADA'!#REF!,"AAAAAGr/uVU=")</f>
        <v>#REF!</v>
      </c>
      <c r="CI336" t="e">
        <f>AND('PROG FORMACIÓN TITULADA'!#REF!,"AAAAAGr/uVY=")</f>
        <v>#REF!</v>
      </c>
      <c r="CJ336" t="e">
        <f>AND('PROG FORMACIÓN TITULADA'!#REF!,"AAAAAGr/uVc=")</f>
        <v>#REF!</v>
      </c>
      <c r="CK336" t="e">
        <f>AND('PROG FORMACIÓN TITULADA'!#REF!,"AAAAAGr/uVg=")</f>
        <v>#REF!</v>
      </c>
      <c r="CL336" t="e">
        <f>AND('PROG FORMACIÓN TITULADA'!#REF!,"AAAAAGr/uVk=")</f>
        <v>#REF!</v>
      </c>
      <c r="CM336" t="e">
        <f>AND('PROG FORMACIÓN TITULADA'!#REF!,"AAAAAGr/uVo=")</f>
        <v>#REF!</v>
      </c>
      <c r="CN336" t="e">
        <f>AND('PROG FORMACIÓN TITULADA'!#REF!,"AAAAAGr/uVs=")</f>
        <v>#REF!</v>
      </c>
      <c r="CO336" t="e">
        <f>AND('PROG FORMACIÓN TITULADA'!#REF!,"AAAAAGr/uVw=")</f>
        <v>#REF!</v>
      </c>
      <c r="CP336" t="e">
        <f>AND('PROG FORMACIÓN TITULADA'!#REF!,"AAAAAGr/uV0=")</f>
        <v>#REF!</v>
      </c>
      <c r="CQ336" t="e">
        <f>AND('PROG FORMACIÓN TITULADA'!#REF!,"AAAAAGr/uV4=")</f>
        <v>#REF!</v>
      </c>
      <c r="CR336" t="e">
        <f>AND('PROG FORMACIÓN TITULADA'!#REF!,"AAAAAGr/uV8=")</f>
        <v>#REF!</v>
      </c>
      <c r="CS336" t="e">
        <f>AND('PROG FORMACIÓN TITULADA'!#REF!,"AAAAAGr/uWA=")</f>
        <v>#REF!</v>
      </c>
      <c r="CT336" t="e">
        <f>AND('PROG FORMACIÓN TITULADA'!#REF!,"AAAAAGr/uWE=")</f>
        <v>#REF!</v>
      </c>
      <c r="CU336" t="e">
        <f>AND('PROG FORMACIÓN TITULADA'!#REF!,"AAAAAGr/uWI=")</f>
        <v>#REF!</v>
      </c>
      <c r="CV336" t="e">
        <f>AND('PROG FORMACIÓN TITULADA'!#REF!,"AAAAAGr/uWM=")</f>
        <v>#REF!</v>
      </c>
      <c r="CW336" t="e">
        <f>IF('PROG FORMACIÓN TITULADA'!#REF!,"AAAAAGr/uWQ=",0)</f>
        <v>#REF!</v>
      </c>
      <c r="CX336" t="e">
        <f>AND('PROG FORMACIÓN TITULADA'!#REF!,"AAAAAGr/uWU=")</f>
        <v>#REF!</v>
      </c>
      <c r="CY336" t="e">
        <f>AND('PROG FORMACIÓN TITULADA'!#REF!,"AAAAAGr/uWY=")</f>
        <v>#REF!</v>
      </c>
      <c r="CZ336" t="e">
        <f>AND('PROG FORMACIÓN TITULADA'!#REF!,"AAAAAGr/uWc=")</f>
        <v>#REF!</v>
      </c>
      <c r="DA336" t="e">
        <f>AND('PROG FORMACIÓN TITULADA'!#REF!,"AAAAAGr/uWg=")</f>
        <v>#REF!</v>
      </c>
      <c r="DB336" t="e">
        <f>AND('PROG FORMACIÓN TITULADA'!#REF!,"AAAAAGr/uWk=")</f>
        <v>#REF!</v>
      </c>
      <c r="DC336" t="e">
        <f>AND('PROG FORMACIÓN TITULADA'!#REF!,"AAAAAGr/uWo=")</f>
        <v>#REF!</v>
      </c>
      <c r="DD336" t="e">
        <f>AND('PROG FORMACIÓN TITULADA'!#REF!,"AAAAAGr/uWs=")</f>
        <v>#REF!</v>
      </c>
      <c r="DE336" t="e">
        <f>AND('PROG FORMACIÓN TITULADA'!#REF!,"AAAAAGr/uWw=")</f>
        <v>#REF!</v>
      </c>
      <c r="DF336" t="e">
        <f>AND('PROG FORMACIÓN TITULADA'!#REF!,"AAAAAGr/uW0=")</f>
        <v>#REF!</v>
      </c>
      <c r="DG336" t="e">
        <f>AND('PROG FORMACIÓN TITULADA'!#REF!,"AAAAAGr/uW4=")</f>
        <v>#REF!</v>
      </c>
      <c r="DH336" t="e">
        <f>AND('PROG FORMACIÓN TITULADA'!#REF!,"AAAAAGr/uW8=")</f>
        <v>#REF!</v>
      </c>
      <c r="DI336" t="e">
        <f>AND('PROG FORMACIÓN TITULADA'!#REF!,"AAAAAGr/uXA=")</f>
        <v>#REF!</v>
      </c>
      <c r="DJ336" t="e">
        <f>AND('PROG FORMACIÓN TITULADA'!#REF!,"AAAAAGr/uXE=")</f>
        <v>#REF!</v>
      </c>
      <c r="DK336" t="e">
        <f>AND('PROG FORMACIÓN TITULADA'!#REF!,"AAAAAGr/uXI=")</f>
        <v>#REF!</v>
      </c>
      <c r="DL336" t="e">
        <f>AND('PROG FORMACIÓN TITULADA'!#REF!,"AAAAAGr/uXM=")</f>
        <v>#REF!</v>
      </c>
      <c r="DM336" t="e">
        <f>AND('PROG FORMACIÓN TITULADA'!#REF!,"AAAAAGr/uXQ=")</f>
        <v>#REF!</v>
      </c>
      <c r="DN336" t="e">
        <f>AND('PROG FORMACIÓN TITULADA'!#REF!,"AAAAAGr/uXU=")</f>
        <v>#REF!</v>
      </c>
      <c r="DO336" t="e">
        <f>AND('PROG FORMACIÓN TITULADA'!#REF!,"AAAAAGr/uXY=")</f>
        <v>#REF!</v>
      </c>
      <c r="DP336" t="e">
        <f>AND('PROG FORMACIÓN TITULADA'!#REF!,"AAAAAGr/uXc=")</f>
        <v>#REF!</v>
      </c>
      <c r="DQ336" t="e">
        <f>AND('PROG FORMACIÓN TITULADA'!#REF!,"AAAAAGr/uXg=")</f>
        <v>#REF!</v>
      </c>
      <c r="DR336" t="e">
        <f>AND('PROG FORMACIÓN TITULADA'!#REF!,"AAAAAGr/uXk=")</f>
        <v>#REF!</v>
      </c>
      <c r="DS336" t="e">
        <f>AND('PROG FORMACIÓN TITULADA'!#REF!,"AAAAAGr/uXo=")</f>
        <v>#REF!</v>
      </c>
      <c r="DT336" t="e">
        <f>AND('PROG FORMACIÓN TITULADA'!#REF!,"AAAAAGr/uXs=")</f>
        <v>#REF!</v>
      </c>
      <c r="DU336" t="e">
        <f>AND('PROG FORMACIÓN TITULADA'!#REF!,"AAAAAGr/uXw=")</f>
        <v>#REF!</v>
      </c>
      <c r="DV336" t="e">
        <f>AND('PROG FORMACIÓN TITULADA'!#REF!,"AAAAAGr/uX0=")</f>
        <v>#REF!</v>
      </c>
      <c r="DW336" t="e">
        <f>AND('PROG FORMACIÓN TITULADA'!#REF!,"AAAAAGr/uX4=")</f>
        <v>#REF!</v>
      </c>
      <c r="DX336" t="e">
        <f>IF('PROG FORMACIÓN TITULADA'!#REF!,"AAAAAGr/uX8=",0)</f>
        <v>#REF!</v>
      </c>
      <c r="DY336" t="e">
        <f>AND('PROG FORMACIÓN TITULADA'!#REF!,"AAAAAGr/uYA=")</f>
        <v>#REF!</v>
      </c>
      <c r="DZ336" t="e">
        <f>AND('PROG FORMACIÓN TITULADA'!#REF!,"AAAAAGr/uYE=")</f>
        <v>#REF!</v>
      </c>
      <c r="EA336" t="e">
        <f>AND('PROG FORMACIÓN TITULADA'!#REF!,"AAAAAGr/uYI=")</f>
        <v>#REF!</v>
      </c>
      <c r="EB336" t="e">
        <f>AND('PROG FORMACIÓN TITULADA'!#REF!,"AAAAAGr/uYM=")</f>
        <v>#REF!</v>
      </c>
      <c r="EC336" t="e">
        <f>AND('PROG FORMACIÓN TITULADA'!#REF!,"AAAAAGr/uYQ=")</f>
        <v>#REF!</v>
      </c>
      <c r="ED336" t="e">
        <f>AND('PROG FORMACIÓN TITULADA'!#REF!,"AAAAAGr/uYU=")</f>
        <v>#REF!</v>
      </c>
      <c r="EE336" t="e">
        <f>AND('PROG FORMACIÓN TITULADA'!#REF!,"AAAAAGr/uYY=")</f>
        <v>#REF!</v>
      </c>
      <c r="EF336" t="e">
        <f>AND('PROG FORMACIÓN TITULADA'!#REF!,"AAAAAGr/uYc=")</f>
        <v>#REF!</v>
      </c>
      <c r="EG336" t="e">
        <f>AND('PROG FORMACIÓN TITULADA'!#REF!,"AAAAAGr/uYg=")</f>
        <v>#REF!</v>
      </c>
      <c r="EH336" t="e">
        <f>AND('PROG FORMACIÓN TITULADA'!#REF!,"AAAAAGr/uYk=")</f>
        <v>#REF!</v>
      </c>
      <c r="EI336" t="e">
        <f>AND('PROG FORMACIÓN TITULADA'!#REF!,"AAAAAGr/uYo=")</f>
        <v>#REF!</v>
      </c>
      <c r="EJ336" t="e">
        <f>AND('PROG FORMACIÓN TITULADA'!#REF!,"AAAAAGr/uYs=")</f>
        <v>#REF!</v>
      </c>
      <c r="EK336" t="e">
        <f>AND('PROG FORMACIÓN TITULADA'!#REF!,"AAAAAGr/uYw=")</f>
        <v>#REF!</v>
      </c>
      <c r="EL336" t="e">
        <f>AND('PROG FORMACIÓN TITULADA'!#REF!,"AAAAAGr/uY0=")</f>
        <v>#REF!</v>
      </c>
      <c r="EM336" t="e">
        <f>AND('PROG FORMACIÓN TITULADA'!#REF!,"AAAAAGr/uY4=")</f>
        <v>#REF!</v>
      </c>
      <c r="EN336" t="e">
        <f>AND('PROG FORMACIÓN TITULADA'!#REF!,"AAAAAGr/uY8=")</f>
        <v>#REF!</v>
      </c>
      <c r="EO336" t="e">
        <f>AND('PROG FORMACIÓN TITULADA'!#REF!,"AAAAAGr/uZA=")</f>
        <v>#REF!</v>
      </c>
      <c r="EP336" t="e">
        <f>AND('PROG FORMACIÓN TITULADA'!#REF!,"AAAAAGr/uZE=")</f>
        <v>#REF!</v>
      </c>
      <c r="EQ336" t="e">
        <f>AND('PROG FORMACIÓN TITULADA'!#REF!,"AAAAAGr/uZI=")</f>
        <v>#REF!</v>
      </c>
      <c r="ER336" t="e">
        <f>AND('PROG FORMACIÓN TITULADA'!#REF!,"AAAAAGr/uZM=")</f>
        <v>#REF!</v>
      </c>
      <c r="ES336" t="e">
        <f>AND('PROG FORMACIÓN TITULADA'!#REF!,"AAAAAGr/uZQ=")</f>
        <v>#REF!</v>
      </c>
      <c r="ET336" t="e">
        <f>AND('PROG FORMACIÓN TITULADA'!#REF!,"AAAAAGr/uZU=")</f>
        <v>#REF!</v>
      </c>
      <c r="EU336" t="e">
        <f>AND('PROG FORMACIÓN TITULADA'!#REF!,"AAAAAGr/uZY=")</f>
        <v>#REF!</v>
      </c>
      <c r="EV336" t="e">
        <f>AND('PROG FORMACIÓN TITULADA'!#REF!,"AAAAAGr/uZc=")</f>
        <v>#REF!</v>
      </c>
      <c r="EW336" t="e">
        <f>AND('PROG FORMACIÓN TITULADA'!#REF!,"AAAAAGr/uZg=")</f>
        <v>#REF!</v>
      </c>
      <c r="EX336" t="e">
        <f>AND('PROG FORMACIÓN TITULADA'!#REF!,"AAAAAGr/uZk=")</f>
        <v>#REF!</v>
      </c>
      <c r="EY336" t="e">
        <f>IF('PROG FORMACIÓN TITULADA'!#REF!,"AAAAAGr/uZo=",0)</f>
        <v>#REF!</v>
      </c>
      <c r="EZ336" t="e">
        <f>AND('PROG FORMACIÓN TITULADA'!#REF!,"AAAAAGr/uZs=")</f>
        <v>#REF!</v>
      </c>
      <c r="FA336" t="e">
        <f>AND('PROG FORMACIÓN TITULADA'!#REF!,"AAAAAGr/uZw=")</f>
        <v>#REF!</v>
      </c>
      <c r="FB336" t="e">
        <f>AND('PROG FORMACIÓN TITULADA'!#REF!,"AAAAAGr/uZ0=")</f>
        <v>#REF!</v>
      </c>
      <c r="FC336" t="e">
        <f>AND('PROG FORMACIÓN TITULADA'!#REF!,"AAAAAGr/uZ4=")</f>
        <v>#REF!</v>
      </c>
      <c r="FD336" t="e">
        <f>AND('PROG FORMACIÓN TITULADA'!#REF!,"AAAAAGr/uZ8=")</f>
        <v>#REF!</v>
      </c>
      <c r="FE336" t="e">
        <f>AND('PROG FORMACIÓN TITULADA'!#REF!,"AAAAAGr/uaA=")</f>
        <v>#REF!</v>
      </c>
      <c r="FF336" t="e">
        <f>AND('PROG FORMACIÓN TITULADA'!#REF!,"AAAAAGr/uaE=")</f>
        <v>#REF!</v>
      </c>
      <c r="FG336" t="e">
        <f>AND('PROG FORMACIÓN TITULADA'!#REF!,"AAAAAGr/uaI=")</f>
        <v>#REF!</v>
      </c>
      <c r="FH336" t="e">
        <f>AND('PROG FORMACIÓN TITULADA'!#REF!,"AAAAAGr/uaM=")</f>
        <v>#REF!</v>
      </c>
      <c r="FI336" t="e">
        <f>AND('PROG FORMACIÓN TITULADA'!#REF!,"AAAAAGr/uaQ=")</f>
        <v>#REF!</v>
      </c>
      <c r="FJ336" t="e">
        <f>AND('PROG FORMACIÓN TITULADA'!#REF!,"AAAAAGr/uaU=")</f>
        <v>#REF!</v>
      </c>
      <c r="FK336" t="e">
        <f>AND('PROG FORMACIÓN TITULADA'!#REF!,"AAAAAGr/uaY=")</f>
        <v>#REF!</v>
      </c>
      <c r="FL336" t="e">
        <f>AND('PROG FORMACIÓN TITULADA'!#REF!,"AAAAAGr/uac=")</f>
        <v>#REF!</v>
      </c>
      <c r="FM336" t="e">
        <f>AND('PROG FORMACIÓN TITULADA'!#REF!,"AAAAAGr/uag=")</f>
        <v>#REF!</v>
      </c>
      <c r="FN336" t="e">
        <f>AND('PROG FORMACIÓN TITULADA'!#REF!,"AAAAAGr/uak=")</f>
        <v>#REF!</v>
      </c>
      <c r="FO336" t="e">
        <f>AND('PROG FORMACIÓN TITULADA'!#REF!,"AAAAAGr/uao=")</f>
        <v>#REF!</v>
      </c>
      <c r="FP336" t="e">
        <f>AND('PROG FORMACIÓN TITULADA'!#REF!,"AAAAAGr/uas=")</f>
        <v>#REF!</v>
      </c>
      <c r="FQ336" t="e">
        <f>AND('PROG FORMACIÓN TITULADA'!#REF!,"AAAAAGr/uaw=")</f>
        <v>#REF!</v>
      </c>
      <c r="FR336" t="e">
        <f>AND('PROG FORMACIÓN TITULADA'!#REF!,"AAAAAGr/ua0=")</f>
        <v>#REF!</v>
      </c>
      <c r="FS336" t="e">
        <f>AND('PROG FORMACIÓN TITULADA'!#REF!,"AAAAAGr/ua4=")</f>
        <v>#REF!</v>
      </c>
      <c r="FT336" t="e">
        <f>AND('PROG FORMACIÓN TITULADA'!#REF!,"AAAAAGr/ua8=")</f>
        <v>#REF!</v>
      </c>
      <c r="FU336" t="e">
        <f>AND('PROG FORMACIÓN TITULADA'!#REF!,"AAAAAGr/ubA=")</f>
        <v>#REF!</v>
      </c>
      <c r="FV336" t="e">
        <f>AND('PROG FORMACIÓN TITULADA'!#REF!,"AAAAAGr/ubE=")</f>
        <v>#REF!</v>
      </c>
      <c r="FW336" t="e">
        <f>AND('PROG FORMACIÓN TITULADA'!#REF!,"AAAAAGr/ubI=")</f>
        <v>#REF!</v>
      </c>
      <c r="FX336" t="e">
        <f>AND('PROG FORMACIÓN TITULADA'!#REF!,"AAAAAGr/ubM=")</f>
        <v>#REF!</v>
      </c>
      <c r="FY336" t="e">
        <f>AND('PROG FORMACIÓN TITULADA'!#REF!,"AAAAAGr/ubQ=")</f>
        <v>#REF!</v>
      </c>
      <c r="FZ336" t="e">
        <f>IF('PROG FORMACIÓN TITULADA'!#REF!,"AAAAAGr/ubU=",0)</f>
        <v>#REF!</v>
      </c>
      <c r="GA336" t="e">
        <f>AND('PROG FORMACIÓN TITULADA'!#REF!,"AAAAAGr/ubY=")</f>
        <v>#REF!</v>
      </c>
      <c r="GB336" t="e">
        <f>AND('PROG FORMACIÓN TITULADA'!#REF!,"AAAAAGr/ubc=")</f>
        <v>#REF!</v>
      </c>
      <c r="GC336" t="e">
        <f>AND('PROG FORMACIÓN TITULADA'!#REF!,"AAAAAGr/ubg=")</f>
        <v>#REF!</v>
      </c>
      <c r="GD336" t="e">
        <f>AND('PROG FORMACIÓN TITULADA'!#REF!,"AAAAAGr/ubk=")</f>
        <v>#REF!</v>
      </c>
      <c r="GE336" t="e">
        <f>AND('PROG FORMACIÓN TITULADA'!#REF!,"AAAAAGr/ubo=")</f>
        <v>#REF!</v>
      </c>
      <c r="GF336" t="e">
        <f>AND('PROG FORMACIÓN TITULADA'!#REF!,"AAAAAGr/ubs=")</f>
        <v>#REF!</v>
      </c>
      <c r="GG336" t="e">
        <f>AND('PROG FORMACIÓN TITULADA'!#REF!,"AAAAAGr/ubw=")</f>
        <v>#REF!</v>
      </c>
      <c r="GH336" t="e">
        <f>AND('PROG FORMACIÓN TITULADA'!#REF!,"AAAAAGr/ub0=")</f>
        <v>#REF!</v>
      </c>
      <c r="GI336" t="e">
        <f>AND('PROG FORMACIÓN TITULADA'!#REF!,"AAAAAGr/ub4=")</f>
        <v>#REF!</v>
      </c>
      <c r="GJ336" t="e">
        <f>AND('PROG FORMACIÓN TITULADA'!#REF!,"AAAAAGr/ub8=")</f>
        <v>#REF!</v>
      </c>
      <c r="GK336" t="e">
        <f>AND('PROG FORMACIÓN TITULADA'!#REF!,"AAAAAGr/ucA=")</f>
        <v>#REF!</v>
      </c>
      <c r="GL336" t="e">
        <f>AND('PROG FORMACIÓN TITULADA'!#REF!,"AAAAAGr/ucE=")</f>
        <v>#REF!</v>
      </c>
      <c r="GM336" t="e">
        <f>AND('PROG FORMACIÓN TITULADA'!#REF!,"AAAAAGr/ucI=")</f>
        <v>#REF!</v>
      </c>
      <c r="GN336" t="e">
        <f>AND('PROG FORMACIÓN TITULADA'!#REF!,"AAAAAGr/ucM=")</f>
        <v>#REF!</v>
      </c>
      <c r="GO336" t="e">
        <f>AND('PROG FORMACIÓN TITULADA'!#REF!,"AAAAAGr/ucQ=")</f>
        <v>#REF!</v>
      </c>
      <c r="GP336" t="e">
        <f>AND('PROG FORMACIÓN TITULADA'!#REF!,"AAAAAGr/ucU=")</f>
        <v>#REF!</v>
      </c>
      <c r="GQ336" t="e">
        <f>AND('PROG FORMACIÓN TITULADA'!#REF!,"AAAAAGr/ucY=")</f>
        <v>#REF!</v>
      </c>
      <c r="GR336" t="e">
        <f>AND('PROG FORMACIÓN TITULADA'!#REF!,"AAAAAGr/ucc=")</f>
        <v>#REF!</v>
      </c>
      <c r="GS336" t="e">
        <f>AND('PROG FORMACIÓN TITULADA'!#REF!,"AAAAAGr/ucg=")</f>
        <v>#REF!</v>
      </c>
      <c r="GT336" t="e">
        <f>AND('PROG FORMACIÓN TITULADA'!#REF!,"AAAAAGr/uck=")</f>
        <v>#REF!</v>
      </c>
      <c r="GU336" t="e">
        <f>AND('PROG FORMACIÓN TITULADA'!#REF!,"AAAAAGr/uco=")</f>
        <v>#REF!</v>
      </c>
      <c r="GV336" t="e">
        <f>AND('PROG FORMACIÓN TITULADA'!#REF!,"AAAAAGr/ucs=")</f>
        <v>#REF!</v>
      </c>
      <c r="GW336" t="e">
        <f>AND('PROG FORMACIÓN TITULADA'!#REF!,"AAAAAGr/ucw=")</f>
        <v>#REF!</v>
      </c>
      <c r="GX336" t="e">
        <f>AND('PROG FORMACIÓN TITULADA'!#REF!,"AAAAAGr/uc0=")</f>
        <v>#REF!</v>
      </c>
      <c r="GY336" t="e">
        <f>AND('PROG FORMACIÓN TITULADA'!#REF!,"AAAAAGr/uc4=")</f>
        <v>#REF!</v>
      </c>
      <c r="GZ336" t="e">
        <f>AND('PROG FORMACIÓN TITULADA'!#REF!,"AAAAAGr/uc8=")</f>
        <v>#REF!</v>
      </c>
      <c r="HA336" t="e">
        <f>IF('PROG FORMACIÓN TITULADA'!#REF!,"AAAAAGr/udA=",0)</f>
        <v>#REF!</v>
      </c>
      <c r="HB336" t="e">
        <f>AND('PROG FORMACIÓN TITULADA'!#REF!,"AAAAAGr/udE=")</f>
        <v>#REF!</v>
      </c>
      <c r="HC336" t="e">
        <f>AND('PROG FORMACIÓN TITULADA'!#REF!,"AAAAAGr/udI=")</f>
        <v>#REF!</v>
      </c>
      <c r="HD336" t="e">
        <f>AND('PROG FORMACIÓN TITULADA'!#REF!,"AAAAAGr/udM=")</f>
        <v>#REF!</v>
      </c>
      <c r="HE336" t="e">
        <f>AND('PROG FORMACIÓN TITULADA'!#REF!,"AAAAAGr/udQ=")</f>
        <v>#REF!</v>
      </c>
      <c r="HF336" t="e">
        <f>AND('PROG FORMACIÓN TITULADA'!#REF!,"AAAAAGr/udU=")</f>
        <v>#REF!</v>
      </c>
      <c r="HG336" t="e">
        <f>AND('PROG FORMACIÓN TITULADA'!#REF!,"AAAAAGr/udY=")</f>
        <v>#REF!</v>
      </c>
      <c r="HH336" t="e">
        <f>AND('PROG FORMACIÓN TITULADA'!#REF!,"AAAAAGr/udc=")</f>
        <v>#REF!</v>
      </c>
      <c r="HI336" t="e">
        <f>AND('PROG FORMACIÓN TITULADA'!#REF!,"AAAAAGr/udg=")</f>
        <v>#REF!</v>
      </c>
      <c r="HJ336" t="e">
        <f>AND('PROG FORMACIÓN TITULADA'!#REF!,"AAAAAGr/udk=")</f>
        <v>#REF!</v>
      </c>
      <c r="HK336" t="e">
        <f>AND('PROG FORMACIÓN TITULADA'!#REF!,"AAAAAGr/udo=")</f>
        <v>#REF!</v>
      </c>
      <c r="HL336" t="e">
        <f>AND('PROG FORMACIÓN TITULADA'!#REF!,"AAAAAGr/uds=")</f>
        <v>#REF!</v>
      </c>
      <c r="HM336" t="e">
        <f>AND('PROG FORMACIÓN TITULADA'!#REF!,"AAAAAGr/udw=")</f>
        <v>#REF!</v>
      </c>
      <c r="HN336" t="e">
        <f>AND('PROG FORMACIÓN TITULADA'!#REF!,"AAAAAGr/ud0=")</f>
        <v>#REF!</v>
      </c>
      <c r="HO336" t="e">
        <f>AND('PROG FORMACIÓN TITULADA'!#REF!,"AAAAAGr/ud4=")</f>
        <v>#REF!</v>
      </c>
      <c r="HP336" t="e">
        <f>AND('PROG FORMACIÓN TITULADA'!#REF!,"AAAAAGr/ud8=")</f>
        <v>#REF!</v>
      </c>
      <c r="HQ336" t="e">
        <f>AND('PROG FORMACIÓN TITULADA'!#REF!,"AAAAAGr/ueA=")</f>
        <v>#REF!</v>
      </c>
      <c r="HR336" t="e">
        <f>AND('PROG FORMACIÓN TITULADA'!#REF!,"AAAAAGr/ueE=")</f>
        <v>#REF!</v>
      </c>
      <c r="HS336" t="e">
        <f>AND('PROG FORMACIÓN TITULADA'!#REF!,"AAAAAGr/ueI=")</f>
        <v>#REF!</v>
      </c>
      <c r="HT336" t="e">
        <f>AND('PROG FORMACIÓN TITULADA'!#REF!,"AAAAAGr/ueM=")</f>
        <v>#REF!</v>
      </c>
      <c r="HU336" t="e">
        <f>AND('PROG FORMACIÓN TITULADA'!#REF!,"AAAAAGr/ueQ=")</f>
        <v>#REF!</v>
      </c>
      <c r="HV336" t="e">
        <f>AND('PROG FORMACIÓN TITULADA'!#REF!,"AAAAAGr/ueU=")</f>
        <v>#REF!</v>
      </c>
      <c r="HW336" t="e">
        <f>AND('PROG FORMACIÓN TITULADA'!#REF!,"AAAAAGr/ueY=")</f>
        <v>#REF!</v>
      </c>
      <c r="HX336" t="e">
        <f>AND('PROG FORMACIÓN TITULADA'!#REF!,"AAAAAGr/uec=")</f>
        <v>#REF!</v>
      </c>
      <c r="HY336" t="e">
        <f>AND('PROG FORMACIÓN TITULADA'!#REF!,"AAAAAGr/ueg=")</f>
        <v>#REF!</v>
      </c>
      <c r="HZ336" t="e">
        <f>AND('PROG FORMACIÓN TITULADA'!#REF!,"AAAAAGr/uek=")</f>
        <v>#REF!</v>
      </c>
      <c r="IA336" t="e">
        <f>AND('PROG FORMACIÓN TITULADA'!#REF!,"AAAAAGr/ueo=")</f>
        <v>#REF!</v>
      </c>
      <c r="IB336" t="e">
        <f>IF('PROG FORMACIÓN TITULADA'!#REF!,"AAAAAGr/ues=",0)</f>
        <v>#REF!</v>
      </c>
      <c r="IC336" t="e">
        <f>AND('PROG FORMACIÓN TITULADA'!#REF!,"AAAAAGr/uew=")</f>
        <v>#REF!</v>
      </c>
      <c r="ID336" t="e">
        <f>AND('PROG FORMACIÓN TITULADA'!#REF!,"AAAAAGr/ue0=")</f>
        <v>#REF!</v>
      </c>
      <c r="IE336" t="e">
        <f>AND('PROG FORMACIÓN TITULADA'!#REF!,"AAAAAGr/ue4=")</f>
        <v>#REF!</v>
      </c>
      <c r="IF336" t="e">
        <f>AND('PROG FORMACIÓN TITULADA'!#REF!,"AAAAAGr/ue8=")</f>
        <v>#REF!</v>
      </c>
      <c r="IG336" t="e">
        <f>AND('PROG FORMACIÓN TITULADA'!#REF!,"AAAAAGr/ufA=")</f>
        <v>#REF!</v>
      </c>
      <c r="IH336" t="e">
        <f>AND('PROG FORMACIÓN TITULADA'!#REF!,"AAAAAGr/ufE=")</f>
        <v>#REF!</v>
      </c>
      <c r="II336" t="e">
        <f>AND('PROG FORMACIÓN TITULADA'!#REF!,"AAAAAGr/ufI=")</f>
        <v>#REF!</v>
      </c>
      <c r="IJ336" t="e">
        <f>AND('PROG FORMACIÓN TITULADA'!#REF!,"AAAAAGr/ufM=")</f>
        <v>#REF!</v>
      </c>
      <c r="IK336" t="e">
        <f>AND('PROG FORMACIÓN TITULADA'!#REF!,"AAAAAGr/ufQ=")</f>
        <v>#REF!</v>
      </c>
      <c r="IL336" t="e">
        <f>AND('PROG FORMACIÓN TITULADA'!#REF!,"AAAAAGr/ufU=")</f>
        <v>#REF!</v>
      </c>
      <c r="IM336" t="e">
        <f>AND('PROG FORMACIÓN TITULADA'!#REF!,"AAAAAGr/ufY=")</f>
        <v>#REF!</v>
      </c>
      <c r="IN336" t="e">
        <f>AND('PROG FORMACIÓN TITULADA'!#REF!,"AAAAAGr/ufc=")</f>
        <v>#REF!</v>
      </c>
      <c r="IO336" t="e">
        <f>AND('PROG FORMACIÓN TITULADA'!#REF!,"AAAAAGr/ufg=")</f>
        <v>#REF!</v>
      </c>
      <c r="IP336" t="e">
        <f>AND('PROG FORMACIÓN TITULADA'!#REF!,"AAAAAGr/ufk=")</f>
        <v>#REF!</v>
      </c>
      <c r="IQ336" t="e">
        <f>AND('PROG FORMACIÓN TITULADA'!#REF!,"AAAAAGr/ufo=")</f>
        <v>#REF!</v>
      </c>
      <c r="IR336" t="e">
        <f>AND('PROG FORMACIÓN TITULADA'!#REF!,"AAAAAGr/ufs=")</f>
        <v>#REF!</v>
      </c>
      <c r="IS336" t="e">
        <f>AND('PROG FORMACIÓN TITULADA'!#REF!,"AAAAAGr/ufw=")</f>
        <v>#REF!</v>
      </c>
      <c r="IT336" t="e">
        <f>AND('PROG FORMACIÓN TITULADA'!#REF!,"AAAAAGr/uf0=")</f>
        <v>#REF!</v>
      </c>
      <c r="IU336" t="e">
        <f>AND('PROG FORMACIÓN TITULADA'!#REF!,"AAAAAGr/uf4=")</f>
        <v>#REF!</v>
      </c>
      <c r="IV336" t="e">
        <f>AND('PROG FORMACIÓN TITULADA'!#REF!,"AAAAAGr/uf8=")</f>
        <v>#REF!</v>
      </c>
    </row>
    <row r="337" spans="1:256" x14ac:dyDescent="0.2">
      <c r="A337" t="e">
        <f>AND('PROG FORMACIÓN TITULADA'!#REF!,"AAAAAHjT7wA=")</f>
        <v>#REF!</v>
      </c>
      <c r="B337" t="e">
        <f>AND('PROG FORMACIÓN TITULADA'!#REF!,"AAAAAHjT7wE=")</f>
        <v>#REF!</v>
      </c>
      <c r="C337" t="e">
        <f>AND('PROG FORMACIÓN TITULADA'!#REF!,"AAAAAHjT7wI=")</f>
        <v>#REF!</v>
      </c>
      <c r="D337" t="e">
        <f>AND('PROG FORMACIÓN TITULADA'!#REF!,"AAAAAHjT7wM=")</f>
        <v>#REF!</v>
      </c>
      <c r="E337" t="e">
        <f>AND('PROG FORMACIÓN TITULADA'!#REF!,"AAAAAHjT7wQ=")</f>
        <v>#REF!</v>
      </c>
      <c r="F337" t="e">
        <f>AND('PROG FORMACIÓN TITULADA'!#REF!,"AAAAAHjT7wU=")</f>
        <v>#REF!</v>
      </c>
      <c r="G337" t="e">
        <f>IF('PROG FORMACIÓN TITULADA'!#REF!,"AAAAAHjT7wY=",0)</f>
        <v>#REF!</v>
      </c>
      <c r="H337" t="e">
        <f>AND('PROG FORMACIÓN TITULADA'!#REF!,"AAAAAHjT7wc=")</f>
        <v>#REF!</v>
      </c>
      <c r="I337" t="e">
        <f>AND('PROG FORMACIÓN TITULADA'!#REF!,"AAAAAHjT7wg=")</f>
        <v>#REF!</v>
      </c>
      <c r="J337" t="e">
        <f>AND('PROG FORMACIÓN TITULADA'!#REF!,"AAAAAHjT7wk=")</f>
        <v>#REF!</v>
      </c>
      <c r="K337" t="e">
        <f>AND('PROG FORMACIÓN TITULADA'!#REF!,"AAAAAHjT7wo=")</f>
        <v>#REF!</v>
      </c>
      <c r="L337" t="e">
        <f>AND('PROG FORMACIÓN TITULADA'!#REF!,"AAAAAHjT7ws=")</f>
        <v>#REF!</v>
      </c>
      <c r="M337" t="e">
        <f>AND('PROG FORMACIÓN TITULADA'!#REF!,"AAAAAHjT7ww=")</f>
        <v>#REF!</v>
      </c>
      <c r="N337" t="e">
        <f>AND('PROG FORMACIÓN TITULADA'!#REF!,"AAAAAHjT7w0=")</f>
        <v>#REF!</v>
      </c>
      <c r="O337" t="e">
        <f>AND('PROG FORMACIÓN TITULADA'!#REF!,"AAAAAHjT7w4=")</f>
        <v>#REF!</v>
      </c>
      <c r="P337" t="e">
        <f>AND('PROG FORMACIÓN TITULADA'!#REF!,"AAAAAHjT7w8=")</f>
        <v>#REF!</v>
      </c>
      <c r="Q337" t="e">
        <f>AND('PROG FORMACIÓN TITULADA'!#REF!,"AAAAAHjT7xA=")</f>
        <v>#REF!</v>
      </c>
      <c r="R337" t="e">
        <f>AND('PROG FORMACIÓN TITULADA'!#REF!,"AAAAAHjT7xE=")</f>
        <v>#REF!</v>
      </c>
      <c r="S337" t="e">
        <f>AND('PROG FORMACIÓN TITULADA'!#REF!,"AAAAAHjT7xI=")</f>
        <v>#REF!</v>
      </c>
      <c r="T337" t="e">
        <f>AND('PROG FORMACIÓN TITULADA'!#REF!,"AAAAAHjT7xM=")</f>
        <v>#REF!</v>
      </c>
      <c r="U337" t="e">
        <f>AND('PROG FORMACIÓN TITULADA'!#REF!,"AAAAAHjT7xQ=")</f>
        <v>#REF!</v>
      </c>
      <c r="V337" t="e">
        <f>AND('PROG FORMACIÓN TITULADA'!#REF!,"AAAAAHjT7xU=")</f>
        <v>#REF!</v>
      </c>
      <c r="W337" t="e">
        <f>AND('PROG FORMACIÓN TITULADA'!#REF!,"AAAAAHjT7xY=")</f>
        <v>#REF!</v>
      </c>
      <c r="X337" t="e">
        <f>AND('PROG FORMACIÓN TITULADA'!#REF!,"AAAAAHjT7xc=")</f>
        <v>#REF!</v>
      </c>
      <c r="Y337" t="e">
        <f>AND('PROG FORMACIÓN TITULADA'!#REF!,"AAAAAHjT7xg=")</f>
        <v>#REF!</v>
      </c>
      <c r="Z337" t="e">
        <f>AND('PROG FORMACIÓN TITULADA'!#REF!,"AAAAAHjT7xk=")</f>
        <v>#REF!</v>
      </c>
      <c r="AA337" t="e">
        <f>AND('PROG FORMACIÓN TITULADA'!#REF!,"AAAAAHjT7xo=")</f>
        <v>#REF!</v>
      </c>
      <c r="AB337" t="e">
        <f>AND('PROG FORMACIÓN TITULADA'!#REF!,"AAAAAHjT7xs=")</f>
        <v>#REF!</v>
      </c>
      <c r="AC337" t="e">
        <f>AND('PROG FORMACIÓN TITULADA'!#REF!,"AAAAAHjT7xw=")</f>
        <v>#REF!</v>
      </c>
      <c r="AD337" t="e">
        <f>AND('PROG FORMACIÓN TITULADA'!#REF!,"AAAAAHjT7x0=")</f>
        <v>#REF!</v>
      </c>
      <c r="AE337" t="e">
        <f>AND('PROG FORMACIÓN TITULADA'!#REF!,"AAAAAHjT7x4=")</f>
        <v>#REF!</v>
      </c>
      <c r="AF337" t="e">
        <f>AND('PROG FORMACIÓN TITULADA'!#REF!,"AAAAAHjT7x8=")</f>
        <v>#REF!</v>
      </c>
      <c r="AG337" t="e">
        <f>AND('PROG FORMACIÓN TITULADA'!#REF!,"AAAAAHjT7yA=")</f>
        <v>#REF!</v>
      </c>
      <c r="AH337" t="e">
        <f>IF('PROG FORMACIÓN TITULADA'!#REF!,"AAAAAHjT7yE=",0)</f>
        <v>#REF!</v>
      </c>
      <c r="AI337" t="e">
        <f>AND('PROG FORMACIÓN TITULADA'!#REF!,"AAAAAHjT7yI=")</f>
        <v>#REF!</v>
      </c>
      <c r="AJ337" t="e">
        <f>AND('PROG FORMACIÓN TITULADA'!#REF!,"AAAAAHjT7yM=")</f>
        <v>#REF!</v>
      </c>
      <c r="AK337" t="e">
        <f>AND('PROG FORMACIÓN TITULADA'!#REF!,"AAAAAHjT7yQ=")</f>
        <v>#REF!</v>
      </c>
      <c r="AL337" t="e">
        <f>AND('PROG FORMACIÓN TITULADA'!#REF!,"AAAAAHjT7yU=")</f>
        <v>#REF!</v>
      </c>
      <c r="AM337" t="e">
        <f>AND('PROG FORMACIÓN TITULADA'!#REF!,"AAAAAHjT7yY=")</f>
        <v>#REF!</v>
      </c>
      <c r="AN337" t="e">
        <f>AND('PROG FORMACIÓN TITULADA'!#REF!,"AAAAAHjT7yc=")</f>
        <v>#REF!</v>
      </c>
      <c r="AO337" t="e">
        <f>AND('PROG FORMACIÓN TITULADA'!#REF!,"AAAAAHjT7yg=")</f>
        <v>#REF!</v>
      </c>
      <c r="AP337" t="e">
        <f>AND('PROG FORMACIÓN TITULADA'!#REF!,"AAAAAHjT7yk=")</f>
        <v>#REF!</v>
      </c>
      <c r="AQ337" t="e">
        <f>AND('PROG FORMACIÓN TITULADA'!#REF!,"AAAAAHjT7yo=")</f>
        <v>#REF!</v>
      </c>
      <c r="AR337" t="e">
        <f>AND('PROG FORMACIÓN TITULADA'!#REF!,"AAAAAHjT7ys=")</f>
        <v>#REF!</v>
      </c>
      <c r="AS337" t="e">
        <f>AND('PROG FORMACIÓN TITULADA'!#REF!,"AAAAAHjT7yw=")</f>
        <v>#REF!</v>
      </c>
      <c r="AT337" t="e">
        <f>AND('PROG FORMACIÓN TITULADA'!#REF!,"AAAAAHjT7y0=")</f>
        <v>#REF!</v>
      </c>
      <c r="AU337" t="e">
        <f>AND('PROG FORMACIÓN TITULADA'!#REF!,"AAAAAHjT7y4=")</f>
        <v>#REF!</v>
      </c>
      <c r="AV337" t="e">
        <f>AND('PROG FORMACIÓN TITULADA'!#REF!,"AAAAAHjT7y8=")</f>
        <v>#REF!</v>
      </c>
      <c r="AW337" t="e">
        <f>AND('PROG FORMACIÓN TITULADA'!#REF!,"AAAAAHjT7zA=")</f>
        <v>#REF!</v>
      </c>
      <c r="AX337" t="e">
        <f>AND('PROG FORMACIÓN TITULADA'!#REF!,"AAAAAHjT7zE=")</f>
        <v>#REF!</v>
      </c>
      <c r="AY337" t="e">
        <f>AND('PROG FORMACIÓN TITULADA'!#REF!,"AAAAAHjT7zI=")</f>
        <v>#REF!</v>
      </c>
      <c r="AZ337" t="e">
        <f>AND('PROG FORMACIÓN TITULADA'!#REF!,"AAAAAHjT7zM=")</f>
        <v>#REF!</v>
      </c>
      <c r="BA337" t="e">
        <f>AND('PROG FORMACIÓN TITULADA'!#REF!,"AAAAAHjT7zQ=")</f>
        <v>#REF!</v>
      </c>
      <c r="BB337" t="e">
        <f>AND('PROG FORMACIÓN TITULADA'!#REF!,"AAAAAHjT7zU=")</f>
        <v>#REF!</v>
      </c>
      <c r="BC337" t="e">
        <f>AND('PROG FORMACIÓN TITULADA'!#REF!,"AAAAAHjT7zY=")</f>
        <v>#REF!</v>
      </c>
      <c r="BD337" t="e">
        <f>AND('PROG FORMACIÓN TITULADA'!#REF!,"AAAAAHjT7zc=")</f>
        <v>#REF!</v>
      </c>
      <c r="BE337" t="e">
        <f>AND('PROG FORMACIÓN TITULADA'!#REF!,"AAAAAHjT7zg=")</f>
        <v>#REF!</v>
      </c>
      <c r="BF337" t="e">
        <f>AND('PROG FORMACIÓN TITULADA'!#REF!,"AAAAAHjT7zk=")</f>
        <v>#REF!</v>
      </c>
      <c r="BG337" t="e">
        <f>AND('PROG FORMACIÓN TITULADA'!#REF!,"AAAAAHjT7zo=")</f>
        <v>#REF!</v>
      </c>
      <c r="BH337" t="e">
        <f>AND('PROG FORMACIÓN TITULADA'!#REF!,"AAAAAHjT7zs=")</f>
        <v>#REF!</v>
      </c>
      <c r="BI337" t="e">
        <f>IF('PROG FORMACIÓN TITULADA'!#REF!,"AAAAAHjT7zw=",0)</f>
        <v>#REF!</v>
      </c>
      <c r="BJ337" t="e">
        <f>AND('PROG FORMACIÓN TITULADA'!#REF!,"AAAAAHjT7z0=")</f>
        <v>#REF!</v>
      </c>
      <c r="BK337" t="e">
        <f>AND('PROG FORMACIÓN TITULADA'!#REF!,"AAAAAHjT7z4=")</f>
        <v>#REF!</v>
      </c>
      <c r="BL337" t="e">
        <f>AND('PROG FORMACIÓN TITULADA'!#REF!,"AAAAAHjT7z8=")</f>
        <v>#REF!</v>
      </c>
      <c r="BM337" t="e">
        <f>AND('PROG FORMACIÓN TITULADA'!#REF!,"AAAAAHjT70A=")</f>
        <v>#REF!</v>
      </c>
      <c r="BN337" t="e">
        <f>AND('PROG FORMACIÓN TITULADA'!#REF!,"AAAAAHjT70E=")</f>
        <v>#REF!</v>
      </c>
      <c r="BO337" t="e">
        <f>AND('PROG FORMACIÓN TITULADA'!#REF!,"AAAAAHjT70I=")</f>
        <v>#REF!</v>
      </c>
      <c r="BP337" t="e">
        <f>AND('PROG FORMACIÓN TITULADA'!#REF!,"AAAAAHjT70M=")</f>
        <v>#REF!</v>
      </c>
      <c r="BQ337" t="e">
        <f>AND('PROG FORMACIÓN TITULADA'!#REF!,"AAAAAHjT70Q=")</f>
        <v>#REF!</v>
      </c>
      <c r="BR337" t="e">
        <f>AND('PROG FORMACIÓN TITULADA'!#REF!,"AAAAAHjT70U=")</f>
        <v>#REF!</v>
      </c>
      <c r="BS337" t="e">
        <f>AND('PROG FORMACIÓN TITULADA'!#REF!,"AAAAAHjT70Y=")</f>
        <v>#REF!</v>
      </c>
      <c r="BT337" t="e">
        <f>AND('PROG FORMACIÓN TITULADA'!#REF!,"AAAAAHjT70c=")</f>
        <v>#REF!</v>
      </c>
      <c r="BU337" t="e">
        <f>AND('PROG FORMACIÓN TITULADA'!#REF!,"AAAAAHjT70g=")</f>
        <v>#REF!</v>
      </c>
      <c r="BV337" t="e">
        <f>AND('PROG FORMACIÓN TITULADA'!#REF!,"AAAAAHjT70k=")</f>
        <v>#REF!</v>
      </c>
      <c r="BW337" t="e">
        <f>AND('PROG FORMACIÓN TITULADA'!#REF!,"AAAAAHjT70o=")</f>
        <v>#REF!</v>
      </c>
      <c r="BX337" t="e">
        <f>AND('PROG FORMACIÓN TITULADA'!#REF!,"AAAAAHjT70s=")</f>
        <v>#REF!</v>
      </c>
      <c r="BY337" t="e">
        <f>AND('PROG FORMACIÓN TITULADA'!#REF!,"AAAAAHjT70w=")</f>
        <v>#REF!</v>
      </c>
      <c r="BZ337" t="e">
        <f>AND('PROG FORMACIÓN TITULADA'!#REF!,"AAAAAHjT700=")</f>
        <v>#REF!</v>
      </c>
      <c r="CA337" t="e">
        <f>AND('PROG FORMACIÓN TITULADA'!#REF!,"AAAAAHjT704=")</f>
        <v>#REF!</v>
      </c>
      <c r="CB337" t="e">
        <f>AND('PROG FORMACIÓN TITULADA'!#REF!,"AAAAAHjT708=")</f>
        <v>#REF!</v>
      </c>
      <c r="CC337" t="e">
        <f>AND('PROG FORMACIÓN TITULADA'!#REF!,"AAAAAHjT71A=")</f>
        <v>#REF!</v>
      </c>
      <c r="CD337" t="e">
        <f>AND('PROG FORMACIÓN TITULADA'!#REF!,"AAAAAHjT71E=")</f>
        <v>#REF!</v>
      </c>
      <c r="CE337" t="e">
        <f>AND('PROG FORMACIÓN TITULADA'!#REF!,"AAAAAHjT71I=")</f>
        <v>#REF!</v>
      </c>
      <c r="CF337" t="e">
        <f>AND('PROG FORMACIÓN TITULADA'!#REF!,"AAAAAHjT71M=")</f>
        <v>#REF!</v>
      </c>
      <c r="CG337" t="e">
        <f>AND('PROG FORMACIÓN TITULADA'!#REF!,"AAAAAHjT71Q=")</f>
        <v>#REF!</v>
      </c>
      <c r="CH337" t="e">
        <f>AND('PROG FORMACIÓN TITULADA'!#REF!,"AAAAAHjT71U=")</f>
        <v>#REF!</v>
      </c>
      <c r="CI337" t="e">
        <f>AND('PROG FORMACIÓN TITULADA'!#REF!,"AAAAAHjT71Y=")</f>
        <v>#REF!</v>
      </c>
      <c r="CJ337" t="e">
        <f>IF('PROG FORMACIÓN TITULADA'!#REF!,"AAAAAHjT71c=",0)</f>
        <v>#REF!</v>
      </c>
      <c r="CK337" t="e">
        <f>AND('PROG FORMACIÓN TITULADA'!#REF!,"AAAAAHjT71g=")</f>
        <v>#REF!</v>
      </c>
      <c r="CL337" t="e">
        <f>AND('PROG FORMACIÓN TITULADA'!#REF!,"AAAAAHjT71k=")</f>
        <v>#REF!</v>
      </c>
      <c r="CM337" t="e">
        <f>AND('PROG FORMACIÓN TITULADA'!#REF!,"AAAAAHjT71o=")</f>
        <v>#REF!</v>
      </c>
      <c r="CN337" t="e">
        <f>AND('PROG FORMACIÓN TITULADA'!#REF!,"AAAAAHjT71s=")</f>
        <v>#REF!</v>
      </c>
      <c r="CO337" t="e">
        <f>AND('PROG FORMACIÓN TITULADA'!#REF!,"AAAAAHjT71w=")</f>
        <v>#REF!</v>
      </c>
      <c r="CP337" t="e">
        <f>AND('PROG FORMACIÓN TITULADA'!#REF!,"AAAAAHjT710=")</f>
        <v>#REF!</v>
      </c>
      <c r="CQ337" t="e">
        <f>AND('PROG FORMACIÓN TITULADA'!#REF!,"AAAAAHjT714=")</f>
        <v>#REF!</v>
      </c>
      <c r="CR337" t="e">
        <f>AND('PROG FORMACIÓN TITULADA'!#REF!,"AAAAAHjT718=")</f>
        <v>#REF!</v>
      </c>
      <c r="CS337" t="e">
        <f>AND('PROG FORMACIÓN TITULADA'!#REF!,"AAAAAHjT72A=")</f>
        <v>#REF!</v>
      </c>
      <c r="CT337" t="e">
        <f>AND('PROG FORMACIÓN TITULADA'!#REF!,"AAAAAHjT72E=")</f>
        <v>#REF!</v>
      </c>
      <c r="CU337" t="e">
        <f>AND('PROG FORMACIÓN TITULADA'!#REF!,"AAAAAHjT72I=")</f>
        <v>#REF!</v>
      </c>
      <c r="CV337" t="e">
        <f>AND('PROG FORMACIÓN TITULADA'!#REF!,"AAAAAHjT72M=")</f>
        <v>#REF!</v>
      </c>
      <c r="CW337" t="e">
        <f>AND('PROG FORMACIÓN TITULADA'!#REF!,"AAAAAHjT72Q=")</f>
        <v>#REF!</v>
      </c>
      <c r="CX337" t="e">
        <f>AND('PROG FORMACIÓN TITULADA'!#REF!,"AAAAAHjT72U=")</f>
        <v>#REF!</v>
      </c>
      <c r="CY337" t="e">
        <f>AND('PROG FORMACIÓN TITULADA'!#REF!,"AAAAAHjT72Y=")</f>
        <v>#REF!</v>
      </c>
      <c r="CZ337" t="e">
        <f>AND('PROG FORMACIÓN TITULADA'!#REF!,"AAAAAHjT72c=")</f>
        <v>#REF!</v>
      </c>
      <c r="DA337" t="e">
        <f>AND('PROG FORMACIÓN TITULADA'!#REF!,"AAAAAHjT72g=")</f>
        <v>#REF!</v>
      </c>
      <c r="DB337" t="e">
        <f>AND('PROG FORMACIÓN TITULADA'!#REF!,"AAAAAHjT72k=")</f>
        <v>#REF!</v>
      </c>
      <c r="DC337" t="e">
        <f>AND('PROG FORMACIÓN TITULADA'!#REF!,"AAAAAHjT72o=")</f>
        <v>#REF!</v>
      </c>
      <c r="DD337" t="e">
        <f>AND('PROG FORMACIÓN TITULADA'!#REF!,"AAAAAHjT72s=")</f>
        <v>#REF!</v>
      </c>
      <c r="DE337" t="e">
        <f>AND('PROG FORMACIÓN TITULADA'!#REF!,"AAAAAHjT72w=")</f>
        <v>#REF!</v>
      </c>
      <c r="DF337" t="e">
        <f>AND('PROG FORMACIÓN TITULADA'!#REF!,"AAAAAHjT720=")</f>
        <v>#REF!</v>
      </c>
      <c r="DG337" t="e">
        <f>AND('PROG FORMACIÓN TITULADA'!#REF!,"AAAAAHjT724=")</f>
        <v>#REF!</v>
      </c>
      <c r="DH337" t="e">
        <f>AND('PROG FORMACIÓN TITULADA'!#REF!,"AAAAAHjT728=")</f>
        <v>#REF!</v>
      </c>
      <c r="DI337" t="e">
        <f>AND('PROG FORMACIÓN TITULADA'!#REF!,"AAAAAHjT73A=")</f>
        <v>#REF!</v>
      </c>
      <c r="DJ337" t="e">
        <f>AND('PROG FORMACIÓN TITULADA'!#REF!,"AAAAAHjT73E=")</f>
        <v>#REF!</v>
      </c>
      <c r="DK337" t="e">
        <f>IF('PROG FORMACIÓN TITULADA'!#REF!,"AAAAAHjT73I=",0)</f>
        <v>#REF!</v>
      </c>
      <c r="DL337" t="e">
        <f>AND('PROG FORMACIÓN TITULADA'!#REF!,"AAAAAHjT73M=")</f>
        <v>#REF!</v>
      </c>
      <c r="DM337" t="e">
        <f>AND('PROG FORMACIÓN TITULADA'!#REF!,"AAAAAHjT73Q=")</f>
        <v>#REF!</v>
      </c>
      <c r="DN337" t="e">
        <f>AND('PROG FORMACIÓN TITULADA'!#REF!,"AAAAAHjT73U=")</f>
        <v>#REF!</v>
      </c>
      <c r="DO337" t="e">
        <f>AND('PROG FORMACIÓN TITULADA'!#REF!,"AAAAAHjT73Y=")</f>
        <v>#REF!</v>
      </c>
      <c r="DP337" t="e">
        <f>AND('PROG FORMACIÓN TITULADA'!#REF!,"AAAAAHjT73c=")</f>
        <v>#REF!</v>
      </c>
      <c r="DQ337" t="e">
        <f>AND('PROG FORMACIÓN TITULADA'!#REF!,"AAAAAHjT73g=")</f>
        <v>#REF!</v>
      </c>
      <c r="DR337" t="e">
        <f>AND('PROG FORMACIÓN TITULADA'!#REF!,"AAAAAHjT73k=")</f>
        <v>#REF!</v>
      </c>
      <c r="DS337" t="e">
        <f>AND('PROG FORMACIÓN TITULADA'!#REF!,"AAAAAHjT73o=")</f>
        <v>#REF!</v>
      </c>
      <c r="DT337" t="e">
        <f>AND('PROG FORMACIÓN TITULADA'!#REF!,"AAAAAHjT73s=")</f>
        <v>#REF!</v>
      </c>
      <c r="DU337" t="e">
        <f>AND('PROG FORMACIÓN TITULADA'!#REF!,"AAAAAHjT73w=")</f>
        <v>#REF!</v>
      </c>
      <c r="DV337" t="e">
        <f>AND('PROG FORMACIÓN TITULADA'!#REF!,"AAAAAHjT730=")</f>
        <v>#REF!</v>
      </c>
      <c r="DW337" t="e">
        <f>AND('PROG FORMACIÓN TITULADA'!#REF!,"AAAAAHjT734=")</f>
        <v>#REF!</v>
      </c>
      <c r="DX337" t="e">
        <f>AND('PROG FORMACIÓN TITULADA'!#REF!,"AAAAAHjT738=")</f>
        <v>#REF!</v>
      </c>
      <c r="DY337" t="e">
        <f>AND('PROG FORMACIÓN TITULADA'!#REF!,"AAAAAHjT74A=")</f>
        <v>#REF!</v>
      </c>
      <c r="DZ337" t="e">
        <f>AND('PROG FORMACIÓN TITULADA'!#REF!,"AAAAAHjT74E=")</f>
        <v>#REF!</v>
      </c>
      <c r="EA337" t="e">
        <f>AND('PROG FORMACIÓN TITULADA'!#REF!,"AAAAAHjT74I=")</f>
        <v>#REF!</v>
      </c>
      <c r="EB337" t="e">
        <f>AND('PROG FORMACIÓN TITULADA'!#REF!,"AAAAAHjT74M=")</f>
        <v>#REF!</v>
      </c>
      <c r="EC337" t="e">
        <f>AND('PROG FORMACIÓN TITULADA'!#REF!,"AAAAAHjT74Q=")</f>
        <v>#REF!</v>
      </c>
      <c r="ED337" t="e">
        <f>AND('PROG FORMACIÓN TITULADA'!#REF!,"AAAAAHjT74U=")</f>
        <v>#REF!</v>
      </c>
      <c r="EE337" t="e">
        <f>AND('PROG FORMACIÓN TITULADA'!#REF!,"AAAAAHjT74Y=")</f>
        <v>#REF!</v>
      </c>
      <c r="EF337" t="e">
        <f>AND('PROG FORMACIÓN TITULADA'!#REF!,"AAAAAHjT74c=")</f>
        <v>#REF!</v>
      </c>
      <c r="EG337" t="e">
        <f>AND('PROG FORMACIÓN TITULADA'!#REF!,"AAAAAHjT74g=")</f>
        <v>#REF!</v>
      </c>
      <c r="EH337" t="e">
        <f>AND('PROG FORMACIÓN TITULADA'!#REF!,"AAAAAHjT74k=")</f>
        <v>#REF!</v>
      </c>
      <c r="EI337" t="e">
        <f>AND('PROG FORMACIÓN TITULADA'!#REF!,"AAAAAHjT74o=")</f>
        <v>#REF!</v>
      </c>
      <c r="EJ337" t="e">
        <f>AND('PROG FORMACIÓN TITULADA'!#REF!,"AAAAAHjT74s=")</f>
        <v>#REF!</v>
      </c>
      <c r="EK337" t="e">
        <f>AND('PROG FORMACIÓN TITULADA'!#REF!,"AAAAAHjT74w=")</f>
        <v>#REF!</v>
      </c>
      <c r="EL337" t="e">
        <f>IF('PROG FORMACIÓN TITULADA'!#REF!,"AAAAAHjT740=",0)</f>
        <v>#REF!</v>
      </c>
      <c r="EM337" t="e">
        <f>AND('PROG FORMACIÓN TITULADA'!#REF!,"AAAAAHjT744=")</f>
        <v>#REF!</v>
      </c>
      <c r="EN337" t="e">
        <f>AND('PROG FORMACIÓN TITULADA'!#REF!,"AAAAAHjT748=")</f>
        <v>#REF!</v>
      </c>
      <c r="EO337" t="e">
        <f>AND('PROG FORMACIÓN TITULADA'!#REF!,"AAAAAHjT75A=")</f>
        <v>#REF!</v>
      </c>
      <c r="EP337" t="e">
        <f>AND('PROG FORMACIÓN TITULADA'!#REF!,"AAAAAHjT75E=")</f>
        <v>#REF!</v>
      </c>
      <c r="EQ337" t="e">
        <f>AND('PROG FORMACIÓN TITULADA'!#REF!,"AAAAAHjT75I=")</f>
        <v>#REF!</v>
      </c>
      <c r="ER337" t="e">
        <f>AND('PROG FORMACIÓN TITULADA'!#REF!,"AAAAAHjT75M=")</f>
        <v>#REF!</v>
      </c>
      <c r="ES337" t="e">
        <f>AND('PROG FORMACIÓN TITULADA'!#REF!,"AAAAAHjT75Q=")</f>
        <v>#REF!</v>
      </c>
      <c r="ET337" t="e">
        <f>AND('PROG FORMACIÓN TITULADA'!#REF!,"AAAAAHjT75U=")</f>
        <v>#REF!</v>
      </c>
      <c r="EU337" t="e">
        <f>AND('PROG FORMACIÓN TITULADA'!#REF!,"AAAAAHjT75Y=")</f>
        <v>#REF!</v>
      </c>
      <c r="EV337" t="e">
        <f>AND('PROG FORMACIÓN TITULADA'!#REF!,"AAAAAHjT75c=")</f>
        <v>#REF!</v>
      </c>
      <c r="EW337" t="e">
        <f>AND('PROG FORMACIÓN TITULADA'!#REF!,"AAAAAHjT75g=")</f>
        <v>#REF!</v>
      </c>
      <c r="EX337" t="e">
        <f>AND('PROG FORMACIÓN TITULADA'!#REF!,"AAAAAHjT75k=")</f>
        <v>#REF!</v>
      </c>
      <c r="EY337" t="e">
        <f>AND('PROG FORMACIÓN TITULADA'!#REF!,"AAAAAHjT75o=")</f>
        <v>#REF!</v>
      </c>
      <c r="EZ337" t="e">
        <f>AND('PROG FORMACIÓN TITULADA'!#REF!,"AAAAAHjT75s=")</f>
        <v>#REF!</v>
      </c>
      <c r="FA337" t="e">
        <f>AND('PROG FORMACIÓN TITULADA'!#REF!,"AAAAAHjT75w=")</f>
        <v>#REF!</v>
      </c>
      <c r="FB337" t="e">
        <f>AND('PROG FORMACIÓN TITULADA'!#REF!,"AAAAAHjT750=")</f>
        <v>#REF!</v>
      </c>
      <c r="FC337" t="e">
        <f>AND('PROG FORMACIÓN TITULADA'!#REF!,"AAAAAHjT754=")</f>
        <v>#REF!</v>
      </c>
      <c r="FD337" t="e">
        <f>AND('PROG FORMACIÓN TITULADA'!#REF!,"AAAAAHjT758=")</f>
        <v>#REF!</v>
      </c>
      <c r="FE337" t="e">
        <f>AND('PROG FORMACIÓN TITULADA'!#REF!,"AAAAAHjT76A=")</f>
        <v>#REF!</v>
      </c>
      <c r="FF337" t="e">
        <f>AND('PROG FORMACIÓN TITULADA'!#REF!,"AAAAAHjT76E=")</f>
        <v>#REF!</v>
      </c>
      <c r="FG337" t="e">
        <f>AND('PROG FORMACIÓN TITULADA'!#REF!,"AAAAAHjT76I=")</f>
        <v>#REF!</v>
      </c>
      <c r="FH337" t="e">
        <f>AND('PROG FORMACIÓN TITULADA'!#REF!,"AAAAAHjT76M=")</f>
        <v>#REF!</v>
      </c>
      <c r="FI337" t="e">
        <f>AND('PROG FORMACIÓN TITULADA'!#REF!,"AAAAAHjT76Q=")</f>
        <v>#REF!</v>
      </c>
      <c r="FJ337" t="e">
        <f>AND('PROG FORMACIÓN TITULADA'!#REF!,"AAAAAHjT76U=")</f>
        <v>#REF!</v>
      </c>
      <c r="FK337" t="e">
        <f>AND('PROG FORMACIÓN TITULADA'!#REF!,"AAAAAHjT76Y=")</f>
        <v>#REF!</v>
      </c>
      <c r="FL337" t="e">
        <f>AND('PROG FORMACIÓN TITULADA'!#REF!,"AAAAAHjT76c=")</f>
        <v>#REF!</v>
      </c>
      <c r="FM337" t="e">
        <f>IF('PROG FORMACIÓN TITULADA'!#REF!,"AAAAAHjT76g=",0)</f>
        <v>#REF!</v>
      </c>
      <c r="FN337" t="e">
        <f>AND('PROG FORMACIÓN TITULADA'!#REF!,"AAAAAHjT76k=")</f>
        <v>#REF!</v>
      </c>
      <c r="FO337" t="e">
        <f>AND('PROG FORMACIÓN TITULADA'!#REF!,"AAAAAHjT76o=")</f>
        <v>#REF!</v>
      </c>
      <c r="FP337" t="e">
        <f>AND('PROG FORMACIÓN TITULADA'!#REF!,"AAAAAHjT76s=")</f>
        <v>#REF!</v>
      </c>
      <c r="FQ337" t="e">
        <f>AND('PROG FORMACIÓN TITULADA'!#REF!,"AAAAAHjT76w=")</f>
        <v>#REF!</v>
      </c>
      <c r="FR337" t="e">
        <f>AND('PROG FORMACIÓN TITULADA'!#REF!,"AAAAAHjT760=")</f>
        <v>#REF!</v>
      </c>
      <c r="FS337" t="e">
        <f>AND('PROG FORMACIÓN TITULADA'!#REF!,"AAAAAHjT764=")</f>
        <v>#REF!</v>
      </c>
      <c r="FT337" t="e">
        <f>AND('PROG FORMACIÓN TITULADA'!#REF!,"AAAAAHjT768=")</f>
        <v>#REF!</v>
      </c>
      <c r="FU337" t="e">
        <f>AND('PROG FORMACIÓN TITULADA'!#REF!,"AAAAAHjT77A=")</f>
        <v>#REF!</v>
      </c>
      <c r="FV337" t="e">
        <f>AND('PROG FORMACIÓN TITULADA'!#REF!,"AAAAAHjT77E=")</f>
        <v>#REF!</v>
      </c>
      <c r="FW337" t="e">
        <f>AND('PROG FORMACIÓN TITULADA'!#REF!,"AAAAAHjT77I=")</f>
        <v>#REF!</v>
      </c>
      <c r="FX337" t="e">
        <f>AND('PROG FORMACIÓN TITULADA'!#REF!,"AAAAAHjT77M=")</f>
        <v>#REF!</v>
      </c>
      <c r="FY337" t="e">
        <f>AND('PROG FORMACIÓN TITULADA'!#REF!,"AAAAAHjT77Q=")</f>
        <v>#REF!</v>
      </c>
      <c r="FZ337" t="e">
        <f>AND('PROG FORMACIÓN TITULADA'!#REF!,"AAAAAHjT77U=")</f>
        <v>#REF!</v>
      </c>
      <c r="GA337" t="e">
        <f>AND('PROG FORMACIÓN TITULADA'!#REF!,"AAAAAHjT77Y=")</f>
        <v>#REF!</v>
      </c>
      <c r="GB337" t="e">
        <f>AND('PROG FORMACIÓN TITULADA'!#REF!,"AAAAAHjT77c=")</f>
        <v>#REF!</v>
      </c>
      <c r="GC337" t="e">
        <f>AND('PROG FORMACIÓN TITULADA'!#REF!,"AAAAAHjT77g=")</f>
        <v>#REF!</v>
      </c>
      <c r="GD337" t="e">
        <f>AND('PROG FORMACIÓN TITULADA'!#REF!,"AAAAAHjT77k=")</f>
        <v>#REF!</v>
      </c>
      <c r="GE337" t="e">
        <f>AND('PROG FORMACIÓN TITULADA'!#REF!,"AAAAAHjT77o=")</f>
        <v>#REF!</v>
      </c>
      <c r="GF337" t="e">
        <f>AND('PROG FORMACIÓN TITULADA'!#REF!,"AAAAAHjT77s=")</f>
        <v>#REF!</v>
      </c>
      <c r="GG337" t="e">
        <f>AND('PROG FORMACIÓN TITULADA'!#REF!,"AAAAAHjT77w=")</f>
        <v>#REF!</v>
      </c>
      <c r="GH337" t="e">
        <f>AND('PROG FORMACIÓN TITULADA'!#REF!,"AAAAAHjT770=")</f>
        <v>#REF!</v>
      </c>
      <c r="GI337" t="e">
        <f>AND('PROG FORMACIÓN TITULADA'!#REF!,"AAAAAHjT774=")</f>
        <v>#REF!</v>
      </c>
      <c r="GJ337" t="e">
        <f>AND('PROG FORMACIÓN TITULADA'!#REF!,"AAAAAHjT778=")</f>
        <v>#REF!</v>
      </c>
      <c r="GK337" t="e">
        <f>AND('PROG FORMACIÓN TITULADA'!#REF!,"AAAAAHjT78A=")</f>
        <v>#REF!</v>
      </c>
      <c r="GL337" t="e">
        <f>AND('PROG FORMACIÓN TITULADA'!#REF!,"AAAAAHjT78E=")</f>
        <v>#REF!</v>
      </c>
      <c r="GM337" t="e">
        <f>AND('PROG FORMACIÓN TITULADA'!#REF!,"AAAAAHjT78I=")</f>
        <v>#REF!</v>
      </c>
      <c r="GN337" t="e">
        <f>IF('PROG FORMACIÓN TITULADA'!#REF!,"AAAAAHjT78M=",0)</f>
        <v>#REF!</v>
      </c>
      <c r="GO337" t="e">
        <f>AND('PROG FORMACIÓN TITULADA'!#REF!,"AAAAAHjT78Q=")</f>
        <v>#REF!</v>
      </c>
      <c r="GP337" t="e">
        <f>AND('PROG FORMACIÓN TITULADA'!#REF!,"AAAAAHjT78U=")</f>
        <v>#REF!</v>
      </c>
      <c r="GQ337" t="e">
        <f>AND('PROG FORMACIÓN TITULADA'!#REF!,"AAAAAHjT78Y=")</f>
        <v>#REF!</v>
      </c>
      <c r="GR337" t="e">
        <f>AND('PROG FORMACIÓN TITULADA'!#REF!,"AAAAAHjT78c=")</f>
        <v>#REF!</v>
      </c>
      <c r="GS337" t="e">
        <f>AND('PROG FORMACIÓN TITULADA'!#REF!,"AAAAAHjT78g=")</f>
        <v>#REF!</v>
      </c>
      <c r="GT337" t="e">
        <f>AND('PROG FORMACIÓN TITULADA'!#REF!,"AAAAAHjT78k=")</f>
        <v>#REF!</v>
      </c>
      <c r="GU337" t="e">
        <f>AND('PROG FORMACIÓN TITULADA'!#REF!,"AAAAAHjT78o=")</f>
        <v>#REF!</v>
      </c>
      <c r="GV337" t="e">
        <f>AND('PROG FORMACIÓN TITULADA'!#REF!,"AAAAAHjT78s=")</f>
        <v>#REF!</v>
      </c>
      <c r="GW337" t="e">
        <f>AND('PROG FORMACIÓN TITULADA'!#REF!,"AAAAAHjT78w=")</f>
        <v>#REF!</v>
      </c>
      <c r="GX337" t="e">
        <f>AND('PROG FORMACIÓN TITULADA'!#REF!,"AAAAAHjT780=")</f>
        <v>#REF!</v>
      </c>
      <c r="GY337" t="e">
        <f>AND('PROG FORMACIÓN TITULADA'!#REF!,"AAAAAHjT784=")</f>
        <v>#REF!</v>
      </c>
      <c r="GZ337" t="e">
        <f>AND('PROG FORMACIÓN TITULADA'!#REF!,"AAAAAHjT788=")</f>
        <v>#REF!</v>
      </c>
      <c r="HA337" t="e">
        <f>AND('PROG FORMACIÓN TITULADA'!#REF!,"AAAAAHjT79A=")</f>
        <v>#REF!</v>
      </c>
      <c r="HB337" t="e">
        <f>AND('PROG FORMACIÓN TITULADA'!#REF!,"AAAAAHjT79E=")</f>
        <v>#REF!</v>
      </c>
      <c r="HC337" t="e">
        <f>AND('PROG FORMACIÓN TITULADA'!#REF!,"AAAAAHjT79I=")</f>
        <v>#REF!</v>
      </c>
      <c r="HD337" t="e">
        <f>AND('PROG FORMACIÓN TITULADA'!#REF!,"AAAAAHjT79M=")</f>
        <v>#REF!</v>
      </c>
      <c r="HE337" t="e">
        <f>AND('PROG FORMACIÓN TITULADA'!#REF!,"AAAAAHjT79Q=")</f>
        <v>#REF!</v>
      </c>
      <c r="HF337" t="e">
        <f>AND('PROG FORMACIÓN TITULADA'!#REF!,"AAAAAHjT79U=")</f>
        <v>#REF!</v>
      </c>
      <c r="HG337" t="e">
        <f>AND('PROG FORMACIÓN TITULADA'!#REF!,"AAAAAHjT79Y=")</f>
        <v>#REF!</v>
      </c>
      <c r="HH337" t="e">
        <f>AND('PROG FORMACIÓN TITULADA'!#REF!,"AAAAAHjT79c=")</f>
        <v>#REF!</v>
      </c>
      <c r="HI337" t="e">
        <f>AND('PROG FORMACIÓN TITULADA'!#REF!,"AAAAAHjT79g=")</f>
        <v>#REF!</v>
      </c>
      <c r="HJ337" t="e">
        <f>AND('PROG FORMACIÓN TITULADA'!#REF!,"AAAAAHjT79k=")</f>
        <v>#REF!</v>
      </c>
      <c r="HK337" t="e">
        <f>AND('PROG FORMACIÓN TITULADA'!#REF!,"AAAAAHjT79o=")</f>
        <v>#REF!</v>
      </c>
      <c r="HL337" t="e">
        <f>AND('PROG FORMACIÓN TITULADA'!#REF!,"AAAAAHjT79s=")</f>
        <v>#REF!</v>
      </c>
      <c r="HM337" t="e">
        <f>AND('PROG FORMACIÓN TITULADA'!#REF!,"AAAAAHjT79w=")</f>
        <v>#REF!</v>
      </c>
      <c r="HN337" t="e">
        <f>AND('PROG FORMACIÓN TITULADA'!#REF!,"AAAAAHjT790=")</f>
        <v>#REF!</v>
      </c>
      <c r="HO337" t="e">
        <f>IF('PROG FORMACIÓN TITULADA'!#REF!,"AAAAAHjT794=",0)</f>
        <v>#REF!</v>
      </c>
      <c r="HP337" t="e">
        <f>AND('PROG FORMACIÓN TITULADA'!#REF!,"AAAAAHjT798=")</f>
        <v>#REF!</v>
      </c>
      <c r="HQ337" t="e">
        <f>AND('PROG FORMACIÓN TITULADA'!#REF!,"AAAAAHjT7+A=")</f>
        <v>#REF!</v>
      </c>
      <c r="HR337" t="e">
        <f>AND('PROG FORMACIÓN TITULADA'!#REF!,"AAAAAHjT7+E=")</f>
        <v>#REF!</v>
      </c>
      <c r="HS337" t="e">
        <f>AND('PROG FORMACIÓN TITULADA'!#REF!,"AAAAAHjT7+I=")</f>
        <v>#REF!</v>
      </c>
      <c r="HT337" t="e">
        <f>AND('PROG FORMACIÓN TITULADA'!#REF!,"AAAAAHjT7+M=")</f>
        <v>#REF!</v>
      </c>
      <c r="HU337" t="e">
        <f>AND('PROG FORMACIÓN TITULADA'!#REF!,"AAAAAHjT7+Q=")</f>
        <v>#REF!</v>
      </c>
      <c r="HV337" t="e">
        <f>AND('PROG FORMACIÓN TITULADA'!#REF!,"AAAAAHjT7+U=")</f>
        <v>#REF!</v>
      </c>
      <c r="HW337" t="e">
        <f>AND('PROG FORMACIÓN TITULADA'!#REF!,"AAAAAHjT7+Y=")</f>
        <v>#REF!</v>
      </c>
      <c r="HX337" t="e">
        <f>AND('PROG FORMACIÓN TITULADA'!#REF!,"AAAAAHjT7+c=")</f>
        <v>#REF!</v>
      </c>
      <c r="HY337" t="e">
        <f>AND('PROG FORMACIÓN TITULADA'!#REF!,"AAAAAHjT7+g=")</f>
        <v>#REF!</v>
      </c>
      <c r="HZ337" t="e">
        <f>AND('PROG FORMACIÓN TITULADA'!#REF!,"AAAAAHjT7+k=")</f>
        <v>#REF!</v>
      </c>
      <c r="IA337" t="e">
        <f>AND('PROG FORMACIÓN TITULADA'!#REF!,"AAAAAHjT7+o=")</f>
        <v>#REF!</v>
      </c>
      <c r="IB337" t="e">
        <f>AND('PROG FORMACIÓN TITULADA'!#REF!,"AAAAAHjT7+s=")</f>
        <v>#REF!</v>
      </c>
      <c r="IC337" t="e">
        <f>AND('PROG FORMACIÓN TITULADA'!#REF!,"AAAAAHjT7+w=")</f>
        <v>#REF!</v>
      </c>
      <c r="ID337" t="e">
        <f>AND('PROG FORMACIÓN TITULADA'!#REF!,"AAAAAHjT7+0=")</f>
        <v>#REF!</v>
      </c>
      <c r="IE337" t="e">
        <f>AND('PROG FORMACIÓN TITULADA'!#REF!,"AAAAAHjT7+4=")</f>
        <v>#REF!</v>
      </c>
      <c r="IF337" t="e">
        <f>AND('PROG FORMACIÓN TITULADA'!#REF!,"AAAAAHjT7+8=")</f>
        <v>#REF!</v>
      </c>
      <c r="IG337" t="e">
        <f>AND('PROG FORMACIÓN TITULADA'!#REF!,"AAAAAHjT7/A=")</f>
        <v>#REF!</v>
      </c>
      <c r="IH337" t="e">
        <f>AND('PROG FORMACIÓN TITULADA'!#REF!,"AAAAAHjT7/E=")</f>
        <v>#REF!</v>
      </c>
      <c r="II337" t="e">
        <f>AND('PROG FORMACIÓN TITULADA'!#REF!,"AAAAAHjT7/I=")</f>
        <v>#REF!</v>
      </c>
      <c r="IJ337" t="e">
        <f>AND('PROG FORMACIÓN TITULADA'!#REF!,"AAAAAHjT7/M=")</f>
        <v>#REF!</v>
      </c>
      <c r="IK337" t="e">
        <f>AND('PROG FORMACIÓN TITULADA'!#REF!,"AAAAAHjT7/Q=")</f>
        <v>#REF!</v>
      </c>
      <c r="IL337" t="e">
        <f>AND('PROG FORMACIÓN TITULADA'!#REF!,"AAAAAHjT7/U=")</f>
        <v>#REF!</v>
      </c>
      <c r="IM337" t="e">
        <f>AND('PROG FORMACIÓN TITULADA'!#REF!,"AAAAAHjT7/Y=")</f>
        <v>#REF!</v>
      </c>
      <c r="IN337" t="e">
        <f>AND('PROG FORMACIÓN TITULADA'!#REF!,"AAAAAHjT7/c=")</f>
        <v>#REF!</v>
      </c>
      <c r="IO337" t="e">
        <f>AND('PROG FORMACIÓN TITULADA'!#REF!,"AAAAAHjT7/g=")</f>
        <v>#REF!</v>
      </c>
      <c r="IP337" t="e">
        <f>IF('PROG FORMACIÓN TITULADA'!#REF!,"AAAAAHjT7/k=",0)</f>
        <v>#REF!</v>
      </c>
      <c r="IQ337" t="e">
        <f>AND('PROG FORMACIÓN TITULADA'!#REF!,"AAAAAHjT7/o=")</f>
        <v>#REF!</v>
      </c>
      <c r="IR337" t="e">
        <f>AND('PROG FORMACIÓN TITULADA'!#REF!,"AAAAAHjT7/s=")</f>
        <v>#REF!</v>
      </c>
      <c r="IS337" t="e">
        <f>AND('PROG FORMACIÓN TITULADA'!#REF!,"AAAAAHjT7/w=")</f>
        <v>#REF!</v>
      </c>
      <c r="IT337" t="e">
        <f>AND('PROG FORMACIÓN TITULADA'!#REF!,"AAAAAHjT7/0=")</f>
        <v>#REF!</v>
      </c>
      <c r="IU337" t="e">
        <f>AND('PROG FORMACIÓN TITULADA'!#REF!,"AAAAAHjT7/4=")</f>
        <v>#REF!</v>
      </c>
      <c r="IV337" t="e">
        <f>AND('PROG FORMACIÓN TITULADA'!#REF!,"AAAAAHjT7/8=")</f>
        <v>#REF!</v>
      </c>
    </row>
    <row r="338" spans="1:256" x14ac:dyDescent="0.2">
      <c r="A338" t="e">
        <f>AND('PROG FORMACIÓN TITULADA'!#REF!,"AAAAAD3TbwA=")</f>
        <v>#REF!</v>
      </c>
      <c r="B338" t="e">
        <f>AND('PROG FORMACIÓN TITULADA'!#REF!,"AAAAAD3TbwE=")</f>
        <v>#REF!</v>
      </c>
      <c r="C338" t="e">
        <f>AND('PROG FORMACIÓN TITULADA'!#REF!,"AAAAAD3TbwI=")</f>
        <v>#REF!</v>
      </c>
      <c r="D338" t="e">
        <f>AND('PROG FORMACIÓN TITULADA'!#REF!,"AAAAAD3TbwM=")</f>
        <v>#REF!</v>
      </c>
      <c r="E338" t="e">
        <f>AND('PROG FORMACIÓN TITULADA'!#REF!,"AAAAAD3TbwQ=")</f>
        <v>#REF!</v>
      </c>
      <c r="F338" t="e">
        <f>AND('PROG FORMACIÓN TITULADA'!#REF!,"AAAAAD3TbwU=")</f>
        <v>#REF!</v>
      </c>
      <c r="G338" t="e">
        <f>AND('PROG FORMACIÓN TITULADA'!#REF!,"AAAAAD3TbwY=")</f>
        <v>#REF!</v>
      </c>
      <c r="H338" t="e">
        <f>AND('PROG FORMACIÓN TITULADA'!#REF!,"AAAAAD3Tbwc=")</f>
        <v>#REF!</v>
      </c>
      <c r="I338" t="e">
        <f>AND('PROG FORMACIÓN TITULADA'!#REF!,"AAAAAD3Tbwg=")</f>
        <v>#REF!</v>
      </c>
      <c r="J338" t="e">
        <f>AND('PROG FORMACIÓN TITULADA'!#REF!,"AAAAAD3Tbwk=")</f>
        <v>#REF!</v>
      </c>
      <c r="K338" t="e">
        <f>AND('PROG FORMACIÓN TITULADA'!#REF!,"AAAAAD3Tbwo=")</f>
        <v>#REF!</v>
      </c>
      <c r="L338" t="e">
        <f>AND('PROG FORMACIÓN TITULADA'!#REF!,"AAAAAD3Tbws=")</f>
        <v>#REF!</v>
      </c>
      <c r="M338" t="e">
        <f>AND('PROG FORMACIÓN TITULADA'!#REF!,"AAAAAD3Tbww=")</f>
        <v>#REF!</v>
      </c>
      <c r="N338" t="e">
        <f>AND('PROG FORMACIÓN TITULADA'!#REF!,"AAAAAD3Tbw0=")</f>
        <v>#REF!</v>
      </c>
      <c r="O338" t="e">
        <f>AND('PROG FORMACIÓN TITULADA'!#REF!,"AAAAAD3Tbw4=")</f>
        <v>#REF!</v>
      </c>
      <c r="P338" t="e">
        <f>AND('PROG FORMACIÓN TITULADA'!#REF!,"AAAAAD3Tbw8=")</f>
        <v>#REF!</v>
      </c>
      <c r="Q338" t="e">
        <f>AND('PROG FORMACIÓN TITULADA'!#REF!,"AAAAAD3TbxA=")</f>
        <v>#REF!</v>
      </c>
      <c r="R338" t="e">
        <f>AND('PROG FORMACIÓN TITULADA'!#REF!,"AAAAAD3TbxE=")</f>
        <v>#REF!</v>
      </c>
      <c r="S338" t="e">
        <f>AND('PROG FORMACIÓN TITULADA'!#REF!,"AAAAAD3TbxI=")</f>
        <v>#REF!</v>
      </c>
      <c r="T338" t="e">
        <f>AND('PROG FORMACIÓN TITULADA'!#REF!,"AAAAAD3TbxM=")</f>
        <v>#REF!</v>
      </c>
      <c r="U338" t="e">
        <f>IF('PROG FORMACIÓN TITULADA'!#REF!,"AAAAAD3TbxQ=",0)</f>
        <v>#REF!</v>
      </c>
      <c r="V338" t="e">
        <f>AND('PROG FORMACIÓN TITULADA'!#REF!,"AAAAAD3TbxU=")</f>
        <v>#REF!</v>
      </c>
      <c r="W338" t="e">
        <f>AND('PROG FORMACIÓN TITULADA'!#REF!,"AAAAAD3TbxY=")</f>
        <v>#REF!</v>
      </c>
      <c r="X338" t="e">
        <f>AND('PROG FORMACIÓN TITULADA'!#REF!,"AAAAAD3Tbxc=")</f>
        <v>#REF!</v>
      </c>
      <c r="Y338" t="e">
        <f>AND('PROG FORMACIÓN TITULADA'!#REF!,"AAAAAD3Tbxg=")</f>
        <v>#REF!</v>
      </c>
      <c r="Z338" t="e">
        <f>AND('PROG FORMACIÓN TITULADA'!#REF!,"AAAAAD3Tbxk=")</f>
        <v>#REF!</v>
      </c>
      <c r="AA338" t="e">
        <f>AND('PROG FORMACIÓN TITULADA'!#REF!,"AAAAAD3Tbxo=")</f>
        <v>#REF!</v>
      </c>
      <c r="AB338" t="e">
        <f>AND('PROG FORMACIÓN TITULADA'!#REF!,"AAAAAD3Tbxs=")</f>
        <v>#REF!</v>
      </c>
      <c r="AC338" t="e">
        <f>AND('PROG FORMACIÓN TITULADA'!#REF!,"AAAAAD3Tbxw=")</f>
        <v>#REF!</v>
      </c>
      <c r="AD338" t="e">
        <f>AND('PROG FORMACIÓN TITULADA'!#REF!,"AAAAAD3Tbx0=")</f>
        <v>#REF!</v>
      </c>
      <c r="AE338" t="e">
        <f>AND('PROG FORMACIÓN TITULADA'!#REF!,"AAAAAD3Tbx4=")</f>
        <v>#REF!</v>
      </c>
      <c r="AF338" t="e">
        <f>AND('PROG FORMACIÓN TITULADA'!#REF!,"AAAAAD3Tbx8=")</f>
        <v>#REF!</v>
      </c>
      <c r="AG338" t="e">
        <f>AND('PROG FORMACIÓN TITULADA'!#REF!,"AAAAAD3TbyA=")</f>
        <v>#REF!</v>
      </c>
      <c r="AH338" t="e">
        <f>AND('PROG FORMACIÓN TITULADA'!#REF!,"AAAAAD3TbyE=")</f>
        <v>#REF!</v>
      </c>
      <c r="AI338" t="e">
        <f>AND('PROG FORMACIÓN TITULADA'!#REF!,"AAAAAD3TbyI=")</f>
        <v>#REF!</v>
      </c>
      <c r="AJ338" t="e">
        <f>AND('PROG FORMACIÓN TITULADA'!#REF!,"AAAAAD3TbyM=")</f>
        <v>#REF!</v>
      </c>
      <c r="AK338" t="e">
        <f>AND('PROG FORMACIÓN TITULADA'!#REF!,"AAAAAD3TbyQ=")</f>
        <v>#REF!</v>
      </c>
      <c r="AL338" t="e">
        <f>AND('PROG FORMACIÓN TITULADA'!#REF!,"AAAAAD3TbyU=")</f>
        <v>#REF!</v>
      </c>
      <c r="AM338" t="e">
        <f>AND('PROG FORMACIÓN TITULADA'!#REF!,"AAAAAD3TbyY=")</f>
        <v>#REF!</v>
      </c>
      <c r="AN338" t="e">
        <f>AND('PROG FORMACIÓN TITULADA'!#REF!,"AAAAAD3Tbyc=")</f>
        <v>#REF!</v>
      </c>
      <c r="AO338" t="e">
        <f>AND('PROG FORMACIÓN TITULADA'!#REF!,"AAAAAD3Tbyg=")</f>
        <v>#REF!</v>
      </c>
      <c r="AP338" t="e">
        <f>AND('PROG FORMACIÓN TITULADA'!#REF!,"AAAAAD3Tbyk=")</f>
        <v>#REF!</v>
      </c>
      <c r="AQ338" t="e">
        <f>AND('PROG FORMACIÓN TITULADA'!#REF!,"AAAAAD3Tbyo=")</f>
        <v>#REF!</v>
      </c>
      <c r="AR338" t="e">
        <f>AND('PROG FORMACIÓN TITULADA'!#REF!,"AAAAAD3Tbys=")</f>
        <v>#REF!</v>
      </c>
      <c r="AS338" t="e">
        <f>AND('PROG FORMACIÓN TITULADA'!#REF!,"AAAAAD3Tbyw=")</f>
        <v>#REF!</v>
      </c>
      <c r="AT338" t="e">
        <f>AND('PROG FORMACIÓN TITULADA'!#REF!,"AAAAAD3Tby0=")</f>
        <v>#REF!</v>
      </c>
      <c r="AU338" t="e">
        <f>AND('PROG FORMACIÓN TITULADA'!#REF!,"AAAAAD3Tby4=")</f>
        <v>#REF!</v>
      </c>
      <c r="AV338" t="e">
        <f>IF('PROG FORMACIÓN TITULADA'!#REF!,"AAAAAD3Tby8=",0)</f>
        <v>#REF!</v>
      </c>
      <c r="AW338" t="e">
        <f>AND('PROG FORMACIÓN TITULADA'!#REF!,"AAAAAD3TbzA=")</f>
        <v>#REF!</v>
      </c>
      <c r="AX338" t="e">
        <f>AND('PROG FORMACIÓN TITULADA'!#REF!,"AAAAAD3TbzE=")</f>
        <v>#REF!</v>
      </c>
      <c r="AY338" t="e">
        <f>AND('PROG FORMACIÓN TITULADA'!#REF!,"AAAAAD3TbzI=")</f>
        <v>#REF!</v>
      </c>
      <c r="AZ338" t="e">
        <f>AND('PROG FORMACIÓN TITULADA'!#REF!,"AAAAAD3TbzM=")</f>
        <v>#REF!</v>
      </c>
      <c r="BA338" t="e">
        <f>AND('PROG FORMACIÓN TITULADA'!#REF!,"AAAAAD3TbzQ=")</f>
        <v>#REF!</v>
      </c>
      <c r="BB338" t="e">
        <f>AND('PROG FORMACIÓN TITULADA'!#REF!,"AAAAAD3TbzU=")</f>
        <v>#REF!</v>
      </c>
      <c r="BC338" t="e">
        <f>AND('PROG FORMACIÓN TITULADA'!#REF!,"AAAAAD3TbzY=")</f>
        <v>#REF!</v>
      </c>
      <c r="BD338" t="e">
        <f>AND('PROG FORMACIÓN TITULADA'!#REF!,"AAAAAD3Tbzc=")</f>
        <v>#REF!</v>
      </c>
      <c r="BE338" t="e">
        <f>AND('PROG FORMACIÓN TITULADA'!#REF!,"AAAAAD3Tbzg=")</f>
        <v>#REF!</v>
      </c>
      <c r="BF338" t="e">
        <f>AND('PROG FORMACIÓN TITULADA'!#REF!,"AAAAAD3Tbzk=")</f>
        <v>#REF!</v>
      </c>
      <c r="BG338" t="e">
        <f>AND('PROG FORMACIÓN TITULADA'!#REF!,"AAAAAD3Tbzo=")</f>
        <v>#REF!</v>
      </c>
      <c r="BH338" t="e">
        <f>AND('PROG FORMACIÓN TITULADA'!#REF!,"AAAAAD3Tbzs=")</f>
        <v>#REF!</v>
      </c>
      <c r="BI338" t="e">
        <f>AND('PROG FORMACIÓN TITULADA'!#REF!,"AAAAAD3Tbzw=")</f>
        <v>#REF!</v>
      </c>
      <c r="BJ338" t="e">
        <f>AND('PROG FORMACIÓN TITULADA'!#REF!,"AAAAAD3Tbz0=")</f>
        <v>#REF!</v>
      </c>
      <c r="BK338" t="e">
        <f>AND('PROG FORMACIÓN TITULADA'!#REF!,"AAAAAD3Tbz4=")</f>
        <v>#REF!</v>
      </c>
      <c r="BL338" t="e">
        <f>AND('PROG FORMACIÓN TITULADA'!#REF!,"AAAAAD3Tbz8=")</f>
        <v>#REF!</v>
      </c>
      <c r="BM338" t="e">
        <f>AND('PROG FORMACIÓN TITULADA'!#REF!,"AAAAAD3Tb0A=")</f>
        <v>#REF!</v>
      </c>
      <c r="BN338" t="e">
        <f>AND('PROG FORMACIÓN TITULADA'!#REF!,"AAAAAD3Tb0E=")</f>
        <v>#REF!</v>
      </c>
      <c r="BO338" t="e">
        <f>AND('PROG FORMACIÓN TITULADA'!#REF!,"AAAAAD3Tb0I=")</f>
        <v>#REF!</v>
      </c>
      <c r="BP338" t="e">
        <f>AND('PROG FORMACIÓN TITULADA'!#REF!,"AAAAAD3Tb0M=")</f>
        <v>#REF!</v>
      </c>
      <c r="BQ338" t="e">
        <f>AND('PROG FORMACIÓN TITULADA'!#REF!,"AAAAAD3Tb0Q=")</f>
        <v>#REF!</v>
      </c>
      <c r="BR338" t="e">
        <f>AND('PROG FORMACIÓN TITULADA'!#REF!,"AAAAAD3Tb0U=")</f>
        <v>#REF!</v>
      </c>
      <c r="BS338" t="e">
        <f>AND('PROG FORMACIÓN TITULADA'!#REF!,"AAAAAD3Tb0Y=")</f>
        <v>#REF!</v>
      </c>
      <c r="BT338" t="e">
        <f>AND('PROG FORMACIÓN TITULADA'!#REF!,"AAAAAD3Tb0c=")</f>
        <v>#REF!</v>
      </c>
      <c r="BU338" t="e">
        <f>AND('PROG FORMACIÓN TITULADA'!#REF!,"AAAAAD3Tb0g=")</f>
        <v>#REF!</v>
      </c>
      <c r="BV338" t="e">
        <f>AND('PROG FORMACIÓN TITULADA'!#REF!,"AAAAAD3Tb0k=")</f>
        <v>#REF!</v>
      </c>
      <c r="BW338" t="e">
        <f>IF('PROG FORMACIÓN TITULADA'!#REF!,"AAAAAD3Tb0o=",0)</f>
        <v>#REF!</v>
      </c>
      <c r="BX338" t="e">
        <f>AND('PROG FORMACIÓN TITULADA'!#REF!,"AAAAAD3Tb0s=")</f>
        <v>#REF!</v>
      </c>
      <c r="BY338" t="e">
        <f>AND('PROG FORMACIÓN TITULADA'!#REF!,"AAAAAD3Tb0w=")</f>
        <v>#REF!</v>
      </c>
      <c r="BZ338" t="e">
        <f>AND('PROG FORMACIÓN TITULADA'!#REF!,"AAAAAD3Tb00=")</f>
        <v>#REF!</v>
      </c>
      <c r="CA338" t="e">
        <f>AND('PROG FORMACIÓN TITULADA'!#REF!,"AAAAAD3Tb04=")</f>
        <v>#REF!</v>
      </c>
      <c r="CB338" t="e">
        <f>AND('PROG FORMACIÓN TITULADA'!#REF!,"AAAAAD3Tb08=")</f>
        <v>#REF!</v>
      </c>
      <c r="CC338" t="e">
        <f>AND('PROG FORMACIÓN TITULADA'!#REF!,"AAAAAD3Tb1A=")</f>
        <v>#REF!</v>
      </c>
      <c r="CD338" t="e">
        <f>AND('PROG FORMACIÓN TITULADA'!#REF!,"AAAAAD3Tb1E=")</f>
        <v>#REF!</v>
      </c>
      <c r="CE338" t="e">
        <f>AND('PROG FORMACIÓN TITULADA'!#REF!,"AAAAAD3Tb1I=")</f>
        <v>#REF!</v>
      </c>
      <c r="CF338" t="e">
        <f>AND('PROG FORMACIÓN TITULADA'!#REF!,"AAAAAD3Tb1M=")</f>
        <v>#REF!</v>
      </c>
      <c r="CG338" t="e">
        <f>AND('PROG FORMACIÓN TITULADA'!#REF!,"AAAAAD3Tb1Q=")</f>
        <v>#REF!</v>
      </c>
      <c r="CH338" t="e">
        <f>AND('PROG FORMACIÓN TITULADA'!#REF!,"AAAAAD3Tb1U=")</f>
        <v>#REF!</v>
      </c>
      <c r="CI338" t="e">
        <f>AND('PROG FORMACIÓN TITULADA'!#REF!,"AAAAAD3Tb1Y=")</f>
        <v>#REF!</v>
      </c>
      <c r="CJ338" t="e">
        <f>AND('PROG FORMACIÓN TITULADA'!#REF!,"AAAAAD3Tb1c=")</f>
        <v>#REF!</v>
      </c>
      <c r="CK338" t="e">
        <f>AND('PROG FORMACIÓN TITULADA'!#REF!,"AAAAAD3Tb1g=")</f>
        <v>#REF!</v>
      </c>
      <c r="CL338" t="e">
        <f>AND('PROG FORMACIÓN TITULADA'!#REF!,"AAAAAD3Tb1k=")</f>
        <v>#REF!</v>
      </c>
      <c r="CM338" t="e">
        <f>AND('PROG FORMACIÓN TITULADA'!#REF!,"AAAAAD3Tb1o=")</f>
        <v>#REF!</v>
      </c>
      <c r="CN338" t="e">
        <f>AND('PROG FORMACIÓN TITULADA'!#REF!,"AAAAAD3Tb1s=")</f>
        <v>#REF!</v>
      </c>
      <c r="CO338" t="e">
        <f>AND('PROG FORMACIÓN TITULADA'!#REF!,"AAAAAD3Tb1w=")</f>
        <v>#REF!</v>
      </c>
      <c r="CP338" t="e">
        <f>AND('PROG FORMACIÓN TITULADA'!#REF!,"AAAAAD3Tb10=")</f>
        <v>#REF!</v>
      </c>
      <c r="CQ338" t="e">
        <f>AND('PROG FORMACIÓN TITULADA'!#REF!,"AAAAAD3Tb14=")</f>
        <v>#REF!</v>
      </c>
      <c r="CR338" t="e">
        <f>AND('PROG FORMACIÓN TITULADA'!#REF!,"AAAAAD3Tb18=")</f>
        <v>#REF!</v>
      </c>
      <c r="CS338" t="e">
        <f>AND('PROG FORMACIÓN TITULADA'!#REF!,"AAAAAD3Tb2A=")</f>
        <v>#REF!</v>
      </c>
      <c r="CT338" t="e">
        <f>AND('PROG FORMACIÓN TITULADA'!#REF!,"AAAAAD3Tb2E=")</f>
        <v>#REF!</v>
      </c>
      <c r="CU338" t="e">
        <f>AND('PROG FORMACIÓN TITULADA'!#REF!,"AAAAAD3Tb2I=")</f>
        <v>#REF!</v>
      </c>
      <c r="CV338" t="e">
        <f>AND('PROG FORMACIÓN TITULADA'!#REF!,"AAAAAD3Tb2M=")</f>
        <v>#REF!</v>
      </c>
      <c r="CW338" t="e">
        <f>AND('PROG FORMACIÓN TITULADA'!#REF!,"AAAAAD3Tb2Q=")</f>
        <v>#REF!</v>
      </c>
      <c r="CX338" t="e">
        <f>IF('PROG FORMACIÓN TITULADA'!#REF!,"AAAAAD3Tb2U=",0)</f>
        <v>#REF!</v>
      </c>
      <c r="CY338" t="e">
        <f>AND('PROG FORMACIÓN TITULADA'!#REF!,"AAAAAD3Tb2Y=")</f>
        <v>#REF!</v>
      </c>
      <c r="CZ338" t="e">
        <f>AND('PROG FORMACIÓN TITULADA'!#REF!,"AAAAAD3Tb2c=")</f>
        <v>#REF!</v>
      </c>
      <c r="DA338" t="e">
        <f>AND('PROG FORMACIÓN TITULADA'!#REF!,"AAAAAD3Tb2g=")</f>
        <v>#REF!</v>
      </c>
      <c r="DB338" t="e">
        <f>AND('PROG FORMACIÓN TITULADA'!#REF!,"AAAAAD3Tb2k=")</f>
        <v>#REF!</v>
      </c>
      <c r="DC338" t="e">
        <f>AND('PROG FORMACIÓN TITULADA'!#REF!,"AAAAAD3Tb2o=")</f>
        <v>#REF!</v>
      </c>
      <c r="DD338" t="e">
        <f>AND('PROG FORMACIÓN TITULADA'!#REF!,"AAAAAD3Tb2s=")</f>
        <v>#REF!</v>
      </c>
      <c r="DE338" t="e">
        <f>AND('PROG FORMACIÓN TITULADA'!#REF!,"AAAAAD3Tb2w=")</f>
        <v>#REF!</v>
      </c>
      <c r="DF338" t="e">
        <f>AND('PROG FORMACIÓN TITULADA'!#REF!,"AAAAAD3Tb20=")</f>
        <v>#REF!</v>
      </c>
      <c r="DG338" t="e">
        <f>AND('PROG FORMACIÓN TITULADA'!#REF!,"AAAAAD3Tb24=")</f>
        <v>#REF!</v>
      </c>
      <c r="DH338" t="e">
        <f>AND('PROG FORMACIÓN TITULADA'!#REF!,"AAAAAD3Tb28=")</f>
        <v>#REF!</v>
      </c>
      <c r="DI338" t="e">
        <f>AND('PROG FORMACIÓN TITULADA'!#REF!,"AAAAAD3Tb3A=")</f>
        <v>#REF!</v>
      </c>
      <c r="DJ338" t="e">
        <f>AND('PROG FORMACIÓN TITULADA'!#REF!,"AAAAAD3Tb3E=")</f>
        <v>#REF!</v>
      </c>
      <c r="DK338" t="e">
        <f>AND('PROG FORMACIÓN TITULADA'!#REF!,"AAAAAD3Tb3I=")</f>
        <v>#REF!</v>
      </c>
      <c r="DL338" t="e">
        <f>AND('PROG FORMACIÓN TITULADA'!#REF!,"AAAAAD3Tb3M=")</f>
        <v>#REF!</v>
      </c>
      <c r="DM338" t="e">
        <f>AND('PROG FORMACIÓN TITULADA'!#REF!,"AAAAAD3Tb3Q=")</f>
        <v>#REF!</v>
      </c>
      <c r="DN338" t="e">
        <f>AND('PROG FORMACIÓN TITULADA'!#REF!,"AAAAAD3Tb3U=")</f>
        <v>#REF!</v>
      </c>
      <c r="DO338" t="e">
        <f>AND('PROG FORMACIÓN TITULADA'!#REF!,"AAAAAD3Tb3Y=")</f>
        <v>#REF!</v>
      </c>
      <c r="DP338" t="e">
        <f>AND('PROG FORMACIÓN TITULADA'!#REF!,"AAAAAD3Tb3c=")</f>
        <v>#REF!</v>
      </c>
      <c r="DQ338" t="e">
        <f>AND('PROG FORMACIÓN TITULADA'!#REF!,"AAAAAD3Tb3g=")</f>
        <v>#REF!</v>
      </c>
      <c r="DR338" t="e">
        <f>AND('PROG FORMACIÓN TITULADA'!#REF!,"AAAAAD3Tb3k=")</f>
        <v>#REF!</v>
      </c>
      <c r="DS338" t="e">
        <f>AND('PROG FORMACIÓN TITULADA'!#REF!,"AAAAAD3Tb3o=")</f>
        <v>#REF!</v>
      </c>
      <c r="DT338" t="e">
        <f>AND('PROG FORMACIÓN TITULADA'!#REF!,"AAAAAD3Tb3s=")</f>
        <v>#REF!</v>
      </c>
      <c r="DU338" t="e">
        <f>AND('PROG FORMACIÓN TITULADA'!#REF!,"AAAAAD3Tb3w=")</f>
        <v>#REF!</v>
      </c>
      <c r="DV338" t="e">
        <f>AND('PROG FORMACIÓN TITULADA'!#REF!,"AAAAAD3Tb30=")</f>
        <v>#REF!</v>
      </c>
      <c r="DW338" t="e">
        <f>AND('PROG FORMACIÓN TITULADA'!#REF!,"AAAAAD3Tb34=")</f>
        <v>#REF!</v>
      </c>
      <c r="DX338" t="e">
        <f>AND('PROG FORMACIÓN TITULADA'!#REF!,"AAAAAD3Tb38=")</f>
        <v>#REF!</v>
      </c>
      <c r="DY338" t="e">
        <f>IF('PROG FORMACIÓN TITULADA'!#REF!,"AAAAAD3Tb4A=",0)</f>
        <v>#REF!</v>
      </c>
      <c r="DZ338" t="e">
        <f>AND('PROG FORMACIÓN TITULADA'!#REF!,"AAAAAD3Tb4E=")</f>
        <v>#REF!</v>
      </c>
      <c r="EA338" t="e">
        <f>AND('PROG FORMACIÓN TITULADA'!#REF!,"AAAAAD3Tb4I=")</f>
        <v>#REF!</v>
      </c>
      <c r="EB338" t="e">
        <f>AND('PROG FORMACIÓN TITULADA'!#REF!,"AAAAAD3Tb4M=")</f>
        <v>#REF!</v>
      </c>
      <c r="EC338" t="e">
        <f>AND('PROG FORMACIÓN TITULADA'!#REF!,"AAAAAD3Tb4Q=")</f>
        <v>#REF!</v>
      </c>
      <c r="ED338" t="e">
        <f>AND('PROG FORMACIÓN TITULADA'!#REF!,"AAAAAD3Tb4U=")</f>
        <v>#REF!</v>
      </c>
      <c r="EE338" t="e">
        <f>AND('PROG FORMACIÓN TITULADA'!#REF!,"AAAAAD3Tb4Y=")</f>
        <v>#REF!</v>
      </c>
      <c r="EF338" t="e">
        <f>AND('PROG FORMACIÓN TITULADA'!#REF!,"AAAAAD3Tb4c=")</f>
        <v>#REF!</v>
      </c>
      <c r="EG338" t="e">
        <f>AND('PROG FORMACIÓN TITULADA'!#REF!,"AAAAAD3Tb4g=")</f>
        <v>#REF!</v>
      </c>
      <c r="EH338" t="e">
        <f>AND('PROG FORMACIÓN TITULADA'!#REF!,"AAAAAD3Tb4k=")</f>
        <v>#REF!</v>
      </c>
      <c r="EI338" t="e">
        <f>AND('PROG FORMACIÓN TITULADA'!#REF!,"AAAAAD3Tb4o=")</f>
        <v>#REF!</v>
      </c>
      <c r="EJ338" t="e">
        <f>AND('PROG FORMACIÓN TITULADA'!#REF!,"AAAAAD3Tb4s=")</f>
        <v>#REF!</v>
      </c>
      <c r="EK338" t="e">
        <f>AND('PROG FORMACIÓN TITULADA'!#REF!,"AAAAAD3Tb4w=")</f>
        <v>#REF!</v>
      </c>
      <c r="EL338" t="e">
        <f>AND('PROG FORMACIÓN TITULADA'!#REF!,"AAAAAD3Tb40=")</f>
        <v>#REF!</v>
      </c>
      <c r="EM338" t="e">
        <f>AND('PROG FORMACIÓN TITULADA'!#REF!,"AAAAAD3Tb44=")</f>
        <v>#REF!</v>
      </c>
      <c r="EN338" t="e">
        <f>AND('PROG FORMACIÓN TITULADA'!#REF!,"AAAAAD3Tb48=")</f>
        <v>#REF!</v>
      </c>
      <c r="EO338" t="e">
        <f>AND('PROG FORMACIÓN TITULADA'!#REF!,"AAAAAD3Tb5A=")</f>
        <v>#REF!</v>
      </c>
      <c r="EP338" t="e">
        <f>AND('PROG FORMACIÓN TITULADA'!#REF!,"AAAAAD3Tb5E=")</f>
        <v>#REF!</v>
      </c>
      <c r="EQ338" t="e">
        <f>AND('PROG FORMACIÓN TITULADA'!#REF!,"AAAAAD3Tb5I=")</f>
        <v>#REF!</v>
      </c>
      <c r="ER338" t="e">
        <f>AND('PROG FORMACIÓN TITULADA'!#REF!,"AAAAAD3Tb5M=")</f>
        <v>#REF!</v>
      </c>
      <c r="ES338" t="e">
        <f>AND('PROG FORMACIÓN TITULADA'!#REF!,"AAAAAD3Tb5Q=")</f>
        <v>#REF!</v>
      </c>
      <c r="ET338" t="e">
        <f>AND('PROG FORMACIÓN TITULADA'!#REF!,"AAAAAD3Tb5U=")</f>
        <v>#REF!</v>
      </c>
      <c r="EU338" t="e">
        <f>AND('PROG FORMACIÓN TITULADA'!#REF!,"AAAAAD3Tb5Y=")</f>
        <v>#REF!</v>
      </c>
      <c r="EV338" t="e">
        <f>AND('PROG FORMACIÓN TITULADA'!#REF!,"AAAAAD3Tb5c=")</f>
        <v>#REF!</v>
      </c>
      <c r="EW338" t="e">
        <f>AND('PROG FORMACIÓN TITULADA'!#REF!,"AAAAAD3Tb5g=")</f>
        <v>#REF!</v>
      </c>
      <c r="EX338" t="e">
        <f>AND('PROG FORMACIÓN TITULADA'!#REF!,"AAAAAD3Tb5k=")</f>
        <v>#REF!</v>
      </c>
      <c r="EY338" t="e">
        <f>AND('PROG FORMACIÓN TITULADA'!#REF!,"AAAAAD3Tb5o=")</f>
        <v>#REF!</v>
      </c>
      <c r="EZ338" t="e">
        <f>IF('PROG FORMACIÓN TITULADA'!#REF!,"AAAAAD3Tb5s=",0)</f>
        <v>#REF!</v>
      </c>
      <c r="FA338" t="e">
        <f>AND('PROG FORMACIÓN TITULADA'!#REF!,"AAAAAD3Tb5w=")</f>
        <v>#REF!</v>
      </c>
      <c r="FB338" t="e">
        <f>AND('PROG FORMACIÓN TITULADA'!#REF!,"AAAAAD3Tb50=")</f>
        <v>#REF!</v>
      </c>
      <c r="FC338" t="e">
        <f>AND('PROG FORMACIÓN TITULADA'!#REF!,"AAAAAD3Tb54=")</f>
        <v>#REF!</v>
      </c>
      <c r="FD338" t="e">
        <f>AND('PROG FORMACIÓN TITULADA'!#REF!,"AAAAAD3Tb58=")</f>
        <v>#REF!</v>
      </c>
      <c r="FE338" t="e">
        <f>AND('PROG FORMACIÓN TITULADA'!#REF!,"AAAAAD3Tb6A=")</f>
        <v>#REF!</v>
      </c>
      <c r="FF338" t="e">
        <f>AND('PROG FORMACIÓN TITULADA'!#REF!,"AAAAAD3Tb6E=")</f>
        <v>#REF!</v>
      </c>
      <c r="FG338" t="e">
        <f>AND('PROG FORMACIÓN TITULADA'!#REF!,"AAAAAD3Tb6I=")</f>
        <v>#REF!</v>
      </c>
      <c r="FH338" t="e">
        <f>AND('PROG FORMACIÓN TITULADA'!#REF!,"AAAAAD3Tb6M=")</f>
        <v>#REF!</v>
      </c>
      <c r="FI338" t="e">
        <f>AND('PROG FORMACIÓN TITULADA'!#REF!,"AAAAAD3Tb6Q=")</f>
        <v>#REF!</v>
      </c>
      <c r="FJ338" t="e">
        <f>AND('PROG FORMACIÓN TITULADA'!#REF!,"AAAAAD3Tb6U=")</f>
        <v>#REF!</v>
      </c>
      <c r="FK338" t="e">
        <f>AND('PROG FORMACIÓN TITULADA'!#REF!,"AAAAAD3Tb6Y=")</f>
        <v>#REF!</v>
      </c>
      <c r="FL338" t="e">
        <f>AND('PROG FORMACIÓN TITULADA'!#REF!,"AAAAAD3Tb6c=")</f>
        <v>#REF!</v>
      </c>
      <c r="FM338" t="e">
        <f>AND('PROG FORMACIÓN TITULADA'!#REF!,"AAAAAD3Tb6g=")</f>
        <v>#REF!</v>
      </c>
      <c r="FN338" t="e">
        <f>AND('PROG FORMACIÓN TITULADA'!#REF!,"AAAAAD3Tb6k=")</f>
        <v>#REF!</v>
      </c>
      <c r="FO338" t="e">
        <f>AND('PROG FORMACIÓN TITULADA'!#REF!,"AAAAAD3Tb6o=")</f>
        <v>#REF!</v>
      </c>
      <c r="FP338" t="e">
        <f>AND('PROG FORMACIÓN TITULADA'!#REF!,"AAAAAD3Tb6s=")</f>
        <v>#REF!</v>
      </c>
      <c r="FQ338" t="e">
        <f>AND('PROG FORMACIÓN TITULADA'!#REF!,"AAAAAD3Tb6w=")</f>
        <v>#REF!</v>
      </c>
      <c r="FR338" t="e">
        <f>AND('PROG FORMACIÓN TITULADA'!#REF!,"AAAAAD3Tb60=")</f>
        <v>#REF!</v>
      </c>
      <c r="FS338" t="e">
        <f>AND('PROG FORMACIÓN TITULADA'!#REF!,"AAAAAD3Tb64=")</f>
        <v>#REF!</v>
      </c>
      <c r="FT338" t="e">
        <f>AND('PROG FORMACIÓN TITULADA'!#REF!,"AAAAAD3Tb68=")</f>
        <v>#REF!</v>
      </c>
      <c r="FU338" t="e">
        <f>AND('PROG FORMACIÓN TITULADA'!#REF!,"AAAAAD3Tb7A=")</f>
        <v>#REF!</v>
      </c>
      <c r="FV338" t="e">
        <f>AND('PROG FORMACIÓN TITULADA'!#REF!,"AAAAAD3Tb7E=")</f>
        <v>#REF!</v>
      </c>
      <c r="FW338" t="e">
        <f>AND('PROG FORMACIÓN TITULADA'!#REF!,"AAAAAD3Tb7I=")</f>
        <v>#REF!</v>
      </c>
      <c r="FX338" t="e">
        <f>AND('PROG FORMACIÓN TITULADA'!#REF!,"AAAAAD3Tb7M=")</f>
        <v>#REF!</v>
      </c>
      <c r="FY338" t="e">
        <f>AND('PROG FORMACIÓN TITULADA'!#REF!,"AAAAAD3Tb7Q=")</f>
        <v>#REF!</v>
      </c>
      <c r="FZ338" t="e">
        <f>AND('PROG FORMACIÓN TITULADA'!#REF!,"AAAAAD3Tb7U=")</f>
        <v>#REF!</v>
      </c>
      <c r="GA338" t="e">
        <f>IF('PROG FORMACIÓN TITULADA'!#REF!,"AAAAAD3Tb7Y=",0)</f>
        <v>#REF!</v>
      </c>
      <c r="GB338" t="e">
        <f>AND('PROG FORMACIÓN TITULADA'!#REF!,"AAAAAD3Tb7c=")</f>
        <v>#REF!</v>
      </c>
      <c r="GC338" t="e">
        <f>AND('PROG FORMACIÓN TITULADA'!#REF!,"AAAAAD3Tb7g=")</f>
        <v>#REF!</v>
      </c>
      <c r="GD338" t="e">
        <f>AND('PROG FORMACIÓN TITULADA'!#REF!,"AAAAAD3Tb7k=")</f>
        <v>#REF!</v>
      </c>
      <c r="GE338" t="e">
        <f>AND('PROG FORMACIÓN TITULADA'!#REF!,"AAAAAD3Tb7o=")</f>
        <v>#REF!</v>
      </c>
      <c r="GF338" t="e">
        <f>AND('PROG FORMACIÓN TITULADA'!#REF!,"AAAAAD3Tb7s=")</f>
        <v>#REF!</v>
      </c>
      <c r="GG338" t="e">
        <f>AND('PROG FORMACIÓN TITULADA'!#REF!,"AAAAAD3Tb7w=")</f>
        <v>#REF!</v>
      </c>
      <c r="GH338" t="e">
        <f>AND('PROG FORMACIÓN TITULADA'!#REF!,"AAAAAD3Tb70=")</f>
        <v>#REF!</v>
      </c>
      <c r="GI338" t="e">
        <f>AND('PROG FORMACIÓN TITULADA'!#REF!,"AAAAAD3Tb74=")</f>
        <v>#REF!</v>
      </c>
      <c r="GJ338" t="e">
        <f>AND('PROG FORMACIÓN TITULADA'!#REF!,"AAAAAD3Tb78=")</f>
        <v>#REF!</v>
      </c>
      <c r="GK338" t="e">
        <f>AND('PROG FORMACIÓN TITULADA'!#REF!,"AAAAAD3Tb8A=")</f>
        <v>#REF!</v>
      </c>
      <c r="GL338" t="e">
        <f>AND('PROG FORMACIÓN TITULADA'!#REF!,"AAAAAD3Tb8E=")</f>
        <v>#REF!</v>
      </c>
      <c r="GM338" t="e">
        <f>AND('PROG FORMACIÓN TITULADA'!#REF!,"AAAAAD3Tb8I=")</f>
        <v>#REF!</v>
      </c>
      <c r="GN338" t="e">
        <f>AND('PROG FORMACIÓN TITULADA'!#REF!,"AAAAAD3Tb8M=")</f>
        <v>#REF!</v>
      </c>
      <c r="GO338" t="e">
        <f>AND('PROG FORMACIÓN TITULADA'!#REF!,"AAAAAD3Tb8Q=")</f>
        <v>#REF!</v>
      </c>
      <c r="GP338" t="e">
        <f>AND('PROG FORMACIÓN TITULADA'!#REF!,"AAAAAD3Tb8U=")</f>
        <v>#REF!</v>
      </c>
      <c r="GQ338" t="e">
        <f>AND('PROG FORMACIÓN TITULADA'!#REF!,"AAAAAD3Tb8Y=")</f>
        <v>#REF!</v>
      </c>
      <c r="GR338" t="e">
        <f>AND('PROG FORMACIÓN TITULADA'!#REF!,"AAAAAD3Tb8c=")</f>
        <v>#REF!</v>
      </c>
      <c r="GS338" t="e">
        <f>AND('PROG FORMACIÓN TITULADA'!#REF!,"AAAAAD3Tb8g=")</f>
        <v>#REF!</v>
      </c>
      <c r="GT338" t="e">
        <f>AND('PROG FORMACIÓN TITULADA'!#REF!,"AAAAAD3Tb8k=")</f>
        <v>#REF!</v>
      </c>
      <c r="GU338" t="e">
        <f>AND('PROG FORMACIÓN TITULADA'!#REF!,"AAAAAD3Tb8o=")</f>
        <v>#REF!</v>
      </c>
      <c r="GV338" t="e">
        <f>AND('PROG FORMACIÓN TITULADA'!#REF!,"AAAAAD3Tb8s=")</f>
        <v>#REF!</v>
      </c>
      <c r="GW338" t="e">
        <f>AND('PROG FORMACIÓN TITULADA'!#REF!,"AAAAAD3Tb8w=")</f>
        <v>#REF!</v>
      </c>
      <c r="GX338" t="e">
        <f>AND('PROG FORMACIÓN TITULADA'!#REF!,"AAAAAD3Tb80=")</f>
        <v>#REF!</v>
      </c>
      <c r="GY338" t="e">
        <f>AND('PROG FORMACIÓN TITULADA'!#REF!,"AAAAAD3Tb84=")</f>
        <v>#REF!</v>
      </c>
      <c r="GZ338" t="e">
        <f>AND('PROG FORMACIÓN TITULADA'!#REF!,"AAAAAD3Tb88=")</f>
        <v>#REF!</v>
      </c>
      <c r="HA338" t="e">
        <f>AND('PROG FORMACIÓN TITULADA'!#REF!,"AAAAAD3Tb9A=")</f>
        <v>#REF!</v>
      </c>
      <c r="HB338" t="e">
        <f>IF('PROG FORMACIÓN TITULADA'!#REF!,"AAAAAD3Tb9E=",0)</f>
        <v>#REF!</v>
      </c>
      <c r="HC338" t="e">
        <f>AND('PROG FORMACIÓN TITULADA'!#REF!,"AAAAAD3Tb9I=")</f>
        <v>#REF!</v>
      </c>
      <c r="HD338" t="e">
        <f>AND('PROG FORMACIÓN TITULADA'!#REF!,"AAAAAD3Tb9M=")</f>
        <v>#REF!</v>
      </c>
      <c r="HE338" t="e">
        <f>AND('PROG FORMACIÓN TITULADA'!#REF!,"AAAAAD3Tb9Q=")</f>
        <v>#REF!</v>
      </c>
      <c r="HF338" t="e">
        <f>AND('PROG FORMACIÓN TITULADA'!#REF!,"AAAAAD3Tb9U=")</f>
        <v>#REF!</v>
      </c>
      <c r="HG338" t="e">
        <f>AND('PROG FORMACIÓN TITULADA'!#REF!,"AAAAAD3Tb9Y=")</f>
        <v>#REF!</v>
      </c>
      <c r="HH338" t="e">
        <f>AND('PROG FORMACIÓN TITULADA'!#REF!,"AAAAAD3Tb9c=")</f>
        <v>#REF!</v>
      </c>
      <c r="HI338" t="e">
        <f>AND('PROG FORMACIÓN TITULADA'!#REF!,"AAAAAD3Tb9g=")</f>
        <v>#REF!</v>
      </c>
      <c r="HJ338" t="e">
        <f>AND('PROG FORMACIÓN TITULADA'!#REF!,"AAAAAD3Tb9k=")</f>
        <v>#REF!</v>
      </c>
      <c r="HK338" t="e">
        <f>AND('PROG FORMACIÓN TITULADA'!#REF!,"AAAAAD3Tb9o=")</f>
        <v>#REF!</v>
      </c>
      <c r="HL338" t="e">
        <f>AND('PROG FORMACIÓN TITULADA'!#REF!,"AAAAAD3Tb9s=")</f>
        <v>#REF!</v>
      </c>
      <c r="HM338" t="e">
        <f>AND('PROG FORMACIÓN TITULADA'!#REF!,"AAAAAD3Tb9w=")</f>
        <v>#REF!</v>
      </c>
      <c r="HN338" t="e">
        <f>AND('PROG FORMACIÓN TITULADA'!#REF!,"AAAAAD3Tb90=")</f>
        <v>#REF!</v>
      </c>
      <c r="HO338" t="e">
        <f>AND('PROG FORMACIÓN TITULADA'!#REF!,"AAAAAD3Tb94=")</f>
        <v>#REF!</v>
      </c>
      <c r="HP338" t="e">
        <f>AND('PROG FORMACIÓN TITULADA'!#REF!,"AAAAAD3Tb98=")</f>
        <v>#REF!</v>
      </c>
      <c r="HQ338" t="e">
        <f>AND('PROG FORMACIÓN TITULADA'!#REF!,"AAAAAD3Tb+A=")</f>
        <v>#REF!</v>
      </c>
      <c r="HR338" t="e">
        <f>AND('PROG FORMACIÓN TITULADA'!#REF!,"AAAAAD3Tb+E=")</f>
        <v>#REF!</v>
      </c>
      <c r="HS338" t="e">
        <f>AND('PROG FORMACIÓN TITULADA'!#REF!,"AAAAAD3Tb+I=")</f>
        <v>#REF!</v>
      </c>
      <c r="HT338" t="e">
        <f>AND('PROG FORMACIÓN TITULADA'!#REF!,"AAAAAD3Tb+M=")</f>
        <v>#REF!</v>
      </c>
      <c r="HU338" t="e">
        <f>AND('PROG FORMACIÓN TITULADA'!#REF!,"AAAAAD3Tb+Q=")</f>
        <v>#REF!</v>
      </c>
      <c r="HV338" t="e">
        <f>AND('PROG FORMACIÓN TITULADA'!#REF!,"AAAAAD3Tb+U=")</f>
        <v>#REF!</v>
      </c>
      <c r="HW338" t="e">
        <f>AND('PROG FORMACIÓN TITULADA'!#REF!,"AAAAAD3Tb+Y=")</f>
        <v>#REF!</v>
      </c>
      <c r="HX338" t="e">
        <f>AND('PROG FORMACIÓN TITULADA'!#REF!,"AAAAAD3Tb+c=")</f>
        <v>#REF!</v>
      </c>
      <c r="HY338" t="e">
        <f>AND('PROG FORMACIÓN TITULADA'!#REF!,"AAAAAD3Tb+g=")</f>
        <v>#REF!</v>
      </c>
      <c r="HZ338" t="e">
        <f>AND('PROG FORMACIÓN TITULADA'!#REF!,"AAAAAD3Tb+k=")</f>
        <v>#REF!</v>
      </c>
      <c r="IA338" t="e">
        <f>AND('PROG FORMACIÓN TITULADA'!#REF!,"AAAAAD3Tb+o=")</f>
        <v>#REF!</v>
      </c>
      <c r="IB338" t="e">
        <f>AND('PROG FORMACIÓN TITULADA'!#REF!,"AAAAAD3Tb+s=")</f>
        <v>#REF!</v>
      </c>
      <c r="IC338" t="e">
        <f>IF('PROG FORMACIÓN TITULADA'!#REF!,"AAAAAD3Tb+w=",0)</f>
        <v>#REF!</v>
      </c>
      <c r="ID338" t="e">
        <f>AND('PROG FORMACIÓN TITULADA'!#REF!,"AAAAAD3Tb+0=")</f>
        <v>#REF!</v>
      </c>
      <c r="IE338" t="e">
        <f>AND('PROG FORMACIÓN TITULADA'!#REF!,"AAAAAD3Tb+4=")</f>
        <v>#REF!</v>
      </c>
      <c r="IF338" t="e">
        <f>AND('PROG FORMACIÓN TITULADA'!#REF!,"AAAAAD3Tb+8=")</f>
        <v>#REF!</v>
      </c>
      <c r="IG338" t="e">
        <f>AND('PROG FORMACIÓN TITULADA'!#REF!,"AAAAAD3Tb/A=")</f>
        <v>#REF!</v>
      </c>
      <c r="IH338" t="e">
        <f>AND('PROG FORMACIÓN TITULADA'!#REF!,"AAAAAD3Tb/E=")</f>
        <v>#REF!</v>
      </c>
      <c r="II338" t="e">
        <f>AND('PROG FORMACIÓN TITULADA'!#REF!,"AAAAAD3Tb/I=")</f>
        <v>#REF!</v>
      </c>
      <c r="IJ338" t="e">
        <f>AND('PROG FORMACIÓN TITULADA'!#REF!,"AAAAAD3Tb/M=")</f>
        <v>#REF!</v>
      </c>
      <c r="IK338" t="e">
        <f>AND('PROG FORMACIÓN TITULADA'!#REF!,"AAAAAD3Tb/Q=")</f>
        <v>#REF!</v>
      </c>
      <c r="IL338" t="e">
        <f>AND('PROG FORMACIÓN TITULADA'!#REF!,"AAAAAD3Tb/U=")</f>
        <v>#REF!</v>
      </c>
      <c r="IM338" t="e">
        <f>AND('PROG FORMACIÓN TITULADA'!#REF!,"AAAAAD3Tb/Y=")</f>
        <v>#REF!</v>
      </c>
      <c r="IN338" t="e">
        <f>AND('PROG FORMACIÓN TITULADA'!#REF!,"AAAAAD3Tb/c=")</f>
        <v>#REF!</v>
      </c>
      <c r="IO338" t="e">
        <f>AND('PROG FORMACIÓN TITULADA'!#REF!,"AAAAAD3Tb/g=")</f>
        <v>#REF!</v>
      </c>
      <c r="IP338" t="e">
        <f>AND('PROG FORMACIÓN TITULADA'!#REF!,"AAAAAD3Tb/k=")</f>
        <v>#REF!</v>
      </c>
      <c r="IQ338" t="e">
        <f>AND('PROG FORMACIÓN TITULADA'!#REF!,"AAAAAD3Tb/o=")</f>
        <v>#REF!</v>
      </c>
      <c r="IR338" t="e">
        <f>AND('PROG FORMACIÓN TITULADA'!#REF!,"AAAAAD3Tb/s=")</f>
        <v>#REF!</v>
      </c>
      <c r="IS338" t="e">
        <f>AND('PROG FORMACIÓN TITULADA'!#REF!,"AAAAAD3Tb/w=")</f>
        <v>#REF!</v>
      </c>
      <c r="IT338" t="e">
        <f>AND('PROG FORMACIÓN TITULADA'!#REF!,"AAAAAD3Tb/0=")</f>
        <v>#REF!</v>
      </c>
      <c r="IU338" t="e">
        <f>AND('PROG FORMACIÓN TITULADA'!#REF!,"AAAAAD3Tb/4=")</f>
        <v>#REF!</v>
      </c>
      <c r="IV338" t="e">
        <f>AND('PROG FORMACIÓN TITULADA'!#REF!,"AAAAAD3Tb/8=")</f>
        <v>#REF!</v>
      </c>
    </row>
    <row r="339" spans="1:256" x14ac:dyDescent="0.2">
      <c r="A339" t="e">
        <f>AND('PROG FORMACIÓN TITULADA'!#REF!,"AAAAAEvrvwA=")</f>
        <v>#REF!</v>
      </c>
      <c r="B339" t="e">
        <f>AND('PROG FORMACIÓN TITULADA'!#REF!,"AAAAAEvrvwE=")</f>
        <v>#REF!</v>
      </c>
      <c r="C339" t="e">
        <f>AND('PROG FORMACIÓN TITULADA'!#REF!,"AAAAAEvrvwI=")</f>
        <v>#REF!</v>
      </c>
      <c r="D339" t="e">
        <f>AND('PROG FORMACIÓN TITULADA'!#REF!,"AAAAAEvrvwM=")</f>
        <v>#REF!</v>
      </c>
      <c r="E339" t="e">
        <f>AND('PROG FORMACIÓN TITULADA'!#REF!,"AAAAAEvrvwQ=")</f>
        <v>#REF!</v>
      </c>
      <c r="F339" t="e">
        <f>AND('PROG FORMACIÓN TITULADA'!#REF!,"AAAAAEvrvwU=")</f>
        <v>#REF!</v>
      </c>
      <c r="G339" t="e">
        <f>AND('PROG FORMACIÓN TITULADA'!#REF!,"AAAAAEvrvwY=")</f>
        <v>#REF!</v>
      </c>
      <c r="H339" t="e">
        <f>IF('PROG FORMACIÓN TITULADA'!#REF!,"AAAAAEvrvwc=",0)</f>
        <v>#REF!</v>
      </c>
      <c r="I339" t="e">
        <f>AND('PROG FORMACIÓN TITULADA'!#REF!,"AAAAAEvrvwg=")</f>
        <v>#REF!</v>
      </c>
      <c r="J339" t="e">
        <f>AND('PROG FORMACIÓN TITULADA'!#REF!,"AAAAAEvrvwk=")</f>
        <v>#REF!</v>
      </c>
      <c r="K339" t="e">
        <f>AND('PROG FORMACIÓN TITULADA'!#REF!,"AAAAAEvrvwo=")</f>
        <v>#REF!</v>
      </c>
      <c r="L339" t="e">
        <f>AND('PROG FORMACIÓN TITULADA'!#REF!,"AAAAAEvrvws=")</f>
        <v>#REF!</v>
      </c>
      <c r="M339" t="e">
        <f>AND('PROG FORMACIÓN TITULADA'!#REF!,"AAAAAEvrvww=")</f>
        <v>#REF!</v>
      </c>
      <c r="N339" t="e">
        <f>AND('PROG FORMACIÓN TITULADA'!#REF!,"AAAAAEvrvw0=")</f>
        <v>#REF!</v>
      </c>
      <c r="O339" t="e">
        <f>AND('PROG FORMACIÓN TITULADA'!#REF!,"AAAAAEvrvw4=")</f>
        <v>#REF!</v>
      </c>
      <c r="P339" t="e">
        <f>AND('PROG FORMACIÓN TITULADA'!#REF!,"AAAAAEvrvw8=")</f>
        <v>#REF!</v>
      </c>
      <c r="Q339" t="e">
        <f>AND('PROG FORMACIÓN TITULADA'!#REF!,"AAAAAEvrvxA=")</f>
        <v>#REF!</v>
      </c>
      <c r="R339" t="e">
        <f>AND('PROG FORMACIÓN TITULADA'!#REF!,"AAAAAEvrvxE=")</f>
        <v>#REF!</v>
      </c>
      <c r="S339" t="e">
        <f>AND('PROG FORMACIÓN TITULADA'!#REF!,"AAAAAEvrvxI=")</f>
        <v>#REF!</v>
      </c>
      <c r="T339" t="e">
        <f>AND('PROG FORMACIÓN TITULADA'!#REF!,"AAAAAEvrvxM=")</f>
        <v>#REF!</v>
      </c>
      <c r="U339" t="e">
        <f>AND('PROG FORMACIÓN TITULADA'!#REF!,"AAAAAEvrvxQ=")</f>
        <v>#REF!</v>
      </c>
      <c r="V339" t="e">
        <f>AND('PROG FORMACIÓN TITULADA'!#REF!,"AAAAAEvrvxU=")</f>
        <v>#REF!</v>
      </c>
      <c r="W339" t="e">
        <f>AND('PROG FORMACIÓN TITULADA'!#REF!,"AAAAAEvrvxY=")</f>
        <v>#REF!</v>
      </c>
      <c r="X339" t="e">
        <f>AND('PROG FORMACIÓN TITULADA'!#REF!,"AAAAAEvrvxc=")</f>
        <v>#REF!</v>
      </c>
      <c r="Y339" t="e">
        <f>AND('PROG FORMACIÓN TITULADA'!#REF!,"AAAAAEvrvxg=")</f>
        <v>#REF!</v>
      </c>
      <c r="Z339" t="e">
        <f>AND('PROG FORMACIÓN TITULADA'!#REF!,"AAAAAEvrvxk=")</f>
        <v>#REF!</v>
      </c>
      <c r="AA339" t="e">
        <f>AND('PROG FORMACIÓN TITULADA'!#REF!,"AAAAAEvrvxo=")</f>
        <v>#REF!</v>
      </c>
      <c r="AB339" t="e">
        <f>AND('PROG FORMACIÓN TITULADA'!#REF!,"AAAAAEvrvxs=")</f>
        <v>#REF!</v>
      </c>
      <c r="AC339" t="e">
        <f>AND('PROG FORMACIÓN TITULADA'!#REF!,"AAAAAEvrvxw=")</f>
        <v>#REF!</v>
      </c>
      <c r="AD339" t="e">
        <f>AND('PROG FORMACIÓN TITULADA'!#REF!,"AAAAAEvrvx0=")</f>
        <v>#REF!</v>
      </c>
      <c r="AE339" t="e">
        <f>AND('PROG FORMACIÓN TITULADA'!#REF!,"AAAAAEvrvx4=")</f>
        <v>#REF!</v>
      </c>
      <c r="AF339" t="e">
        <f>AND('PROG FORMACIÓN TITULADA'!#REF!,"AAAAAEvrvx8=")</f>
        <v>#REF!</v>
      </c>
      <c r="AG339" t="e">
        <f>AND('PROG FORMACIÓN TITULADA'!#REF!,"AAAAAEvrvyA=")</f>
        <v>#REF!</v>
      </c>
      <c r="AH339" t="e">
        <f>AND('PROG FORMACIÓN TITULADA'!#REF!,"AAAAAEvrvyE=")</f>
        <v>#REF!</v>
      </c>
      <c r="AI339" t="e">
        <f>IF('PROG FORMACIÓN TITULADA'!#REF!,"AAAAAEvrvyI=",0)</f>
        <v>#REF!</v>
      </c>
      <c r="AJ339" t="e">
        <f>AND('PROG FORMACIÓN TITULADA'!#REF!,"AAAAAEvrvyM=")</f>
        <v>#REF!</v>
      </c>
      <c r="AK339" t="e">
        <f>AND('PROG FORMACIÓN TITULADA'!#REF!,"AAAAAEvrvyQ=")</f>
        <v>#REF!</v>
      </c>
      <c r="AL339" t="e">
        <f>AND('PROG FORMACIÓN TITULADA'!#REF!,"AAAAAEvrvyU=")</f>
        <v>#REF!</v>
      </c>
      <c r="AM339" t="e">
        <f>AND('PROG FORMACIÓN TITULADA'!#REF!,"AAAAAEvrvyY=")</f>
        <v>#REF!</v>
      </c>
      <c r="AN339" t="e">
        <f>AND('PROG FORMACIÓN TITULADA'!#REF!,"AAAAAEvrvyc=")</f>
        <v>#REF!</v>
      </c>
      <c r="AO339" t="e">
        <f>AND('PROG FORMACIÓN TITULADA'!#REF!,"AAAAAEvrvyg=")</f>
        <v>#REF!</v>
      </c>
      <c r="AP339" t="e">
        <f>AND('PROG FORMACIÓN TITULADA'!#REF!,"AAAAAEvrvyk=")</f>
        <v>#REF!</v>
      </c>
      <c r="AQ339" t="e">
        <f>AND('PROG FORMACIÓN TITULADA'!#REF!,"AAAAAEvrvyo=")</f>
        <v>#REF!</v>
      </c>
      <c r="AR339" t="e">
        <f>AND('PROG FORMACIÓN TITULADA'!#REF!,"AAAAAEvrvys=")</f>
        <v>#REF!</v>
      </c>
      <c r="AS339" t="e">
        <f>AND('PROG FORMACIÓN TITULADA'!#REF!,"AAAAAEvrvyw=")</f>
        <v>#REF!</v>
      </c>
      <c r="AT339" t="e">
        <f>AND('PROG FORMACIÓN TITULADA'!#REF!,"AAAAAEvrvy0=")</f>
        <v>#REF!</v>
      </c>
      <c r="AU339" t="e">
        <f>AND('PROG FORMACIÓN TITULADA'!#REF!,"AAAAAEvrvy4=")</f>
        <v>#REF!</v>
      </c>
      <c r="AV339" t="e">
        <f>AND('PROG FORMACIÓN TITULADA'!#REF!,"AAAAAEvrvy8=")</f>
        <v>#REF!</v>
      </c>
      <c r="AW339" t="e">
        <f>AND('PROG FORMACIÓN TITULADA'!#REF!,"AAAAAEvrvzA=")</f>
        <v>#REF!</v>
      </c>
      <c r="AX339" t="e">
        <f>AND('PROG FORMACIÓN TITULADA'!#REF!,"AAAAAEvrvzE=")</f>
        <v>#REF!</v>
      </c>
      <c r="AY339" t="e">
        <f>AND('PROG FORMACIÓN TITULADA'!#REF!,"AAAAAEvrvzI=")</f>
        <v>#REF!</v>
      </c>
      <c r="AZ339" t="e">
        <f>AND('PROG FORMACIÓN TITULADA'!#REF!,"AAAAAEvrvzM=")</f>
        <v>#REF!</v>
      </c>
      <c r="BA339" t="e">
        <f>AND('PROG FORMACIÓN TITULADA'!#REF!,"AAAAAEvrvzQ=")</f>
        <v>#REF!</v>
      </c>
      <c r="BB339" t="e">
        <f>AND('PROG FORMACIÓN TITULADA'!#REF!,"AAAAAEvrvzU=")</f>
        <v>#REF!</v>
      </c>
      <c r="BC339" t="e">
        <f>AND('PROG FORMACIÓN TITULADA'!#REF!,"AAAAAEvrvzY=")</f>
        <v>#REF!</v>
      </c>
      <c r="BD339" t="e">
        <f>AND('PROG FORMACIÓN TITULADA'!#REF!,"AAAAAEvrvzc=")</f>
        <v>#REF!</v>
      </c>
      <c r="BE339" t="e">
        <f>AND('PROG FORMACIÓN TITULADA'!#REF!,"AAAAAEvrvzg=")</f>
        <v>#REF!</v>
      </c>
      <c r="BF339" t="e">
        <f>AND('PROG FORMACIÓN TITULADA'!#REF!,"AAAAAEvrvzk=")</f>
        <v>#REF!</v>
      </c>
      <c r="BG339" t="e">
        <f>AND('PROG FORMACIÓN TITULADA'!#REF!,"AAAAAEvrvzo=")</f>
        <v>#REF!</v>
      </c>
      <c r="BH339" t="e">
        <f>AND('PROG FORMACIÓN TITULADA'!#REF!,"AAAAAEvrvzs=")</f>
        <v>#REF!</v>
      </c>
      <c r="BI339" t="e">
        <f>AND('PROG FORMACIÓN TITULADA'!#REF!,"AAAAAEvrvzw=")</f>
        <v>#REF!</v>
      </c>
      <c r="BJ339" t="e">
        <f>IF('PROG FORMACIÓN TITULADA'!#REF!,"AAAAAEvrvz0=",0)</f>
        <v>#REF!</v>
      </c>
      <c r="BK339" t="e">
        <f>AND('PROG FORMACIÓN TITULADA'!#REF!,"AAAAAEvrvz4=")</f>
        <v>#REF!</v>
      </c>
      <c r="BL339" t="e">
        <f>AND('PROG FORMACIÓN TITULADA'!#REF!,"AAAAAEvrvz8=")</f>
        <v>#REF!</v>
      </c>
      <c r="BM339" t="e">
        <f>AND('PROG FORMACIÓN TITULADA'!#REF!,"AAAAAEvrv0A=")</f>
        <v>#REF!</v>
      </c>
      <c r="BN339" t="e">
        <f>AND('PROG FORMACIÓN TITULADA'!#REF!,"AAAAAEvrv0E=")</f>
        <v>#REF!</v>
      </c>
      <c r="BO339" t="e">
        <f>AND('PROG FORMACIÓN TITULADA'!#REF!,"AAAAAEvrv0I=")</f>
        <v>#REF!</v>
      </c>
      <c r="BP339" t="e">
        <f>AND('PROG FORMACIÓN TITULADA'!#REF!,"AAAAAEvrv0M=")</f>
        <v>#REF!</v>
      </c>
      <c r="BQ339" t="e">
        <f>AND('PROG FORMACIÓN TITULADA'!#REF!,"AAAAAEvrv0Q=")</f>
        <v>#REF!</v>
      </c>
      <c r="BR339" t="e">
        <f>AND('PROG FORMACIÓN TITULADA'!#REF!,"AAAAAEvrv0U=")</f>
        <v>#REF!</v>
      </c>
      <c r="BS339" t="e">
        <f>AND('PROG FORMACIÓN TITULADA'!#REF!,"AAAAAEvrv0Y=")</f>
        <v>#REF!</v>
      </c>
      <c r="BT339" t="e">
        <f>AND('PROG FORMACIÓN TITULADA'!#REF!,"AAAAAEvrv0c=")</f>
        <v>#REF!</v>
      </c>
      <c r="BU339" t="e">
        <f>AND('PROG FORMACIÓN TITULADA'!#REF!,"AAAAAEvrv0g=")</f>
        <v>#REF!</v>
      </c>
      <c r="BV339" t="e">
        <f>AND('PROG FORMACIÓN TITULADA'!#REF!,"AAAAAEvrv0k=")</f>
        <v>#REF!</v>
      </c>
      <c r="BW339" t="e">
        <f>AND('PROG FORMACIÓN TITULADA'!#REF!,"AAAAAEvrv0o=")</f>
        <v>#REF!</v>
      </c>
      <c r="BX339" t="e">
        <f>AND('PROG FORMACIÓN TITULADA'!#REF!,"AAAAAEvrv0s=")</f>
        <v>#REF!</v>
      </c>
      <c r="BY339" t="e">
        <f>AND('PROG FORMACIÓN TITULADA'!#REF!,"AAAAAEvrv0w=")</f>
        <v>#REF!</v>
      </c>
      <c r="BZ339" t="e">
        <f>AND('PROG FORMACIÓN TITULADA'!#REF!,"AAAAAEvrv00=")</f>
        <v>#REF!</v>
      </c>
      <c r="CA339" t="e">
        <f>AND('PROG FORMACIÓN TITULADA'!#REF!,"AAAAAEvrv04=")</f>
        <v>#REF!</v>
      </c>
      <c r="CB339" t="e">
        <f>AND('PROG FORMACIÓN TITULADA'!#REF!,"AAAAAEvrv08=")</f>
        <v>#REF!</v>
      </c>
      <c r="CC339" t="e">
        <f>AND('PROG FORMACIÓN TITULADA'!#REF!,"AAAAAEvrv1A=")</f>
        <v>#REF!</v>
      </c>
      <c r="CD339" t="e">
        <f>AND('PROG FORMACIÓN TITULADA'!#REF!,"AAAAAEvrv1E=")</f>
        <v>#REF!</v>
      </c>
      <c r="CE339" t="e">
        <f>AND('PROG FORMACIÓN TITULADA'!#REF!,"AAAAAEvrv1I=")</f>
        <v>#REF!</v>
      </c>
      <c r="CF339" t="e">
        <f>AND('PROG FORMACIÓN TITULADA'!#REF!,"AAAAAEvrv1M=")</f>
        <v>#REF!</v>
      </c>
      <c r="CG339" t="e">
        <f>AND('PROG FORMACIÓN TITULADA'!#REF!,"AAAAAEvrv1Q=")</f>
        <v>#REF!</v>
      </c>
      <c r="CH339" t="e">
        <f>AND('PROG FORMACIÓN TITULADA'!#REF!,"AAAAAEvrv1U=")</f>
        <v>#REF!</v>
      </c>
      <c r="CI339" t="e">
        <f>AND('PROG FORMACIÓN TITULADA'!#REF!,"AAAAAEvrv1Y=")</f>
        <v>#REF!</v>
      </c>
      <c r="CJ339" t="e">
        <f>AND('PROG FORMACIÓN TITULADA'!#REF!,"AAAAAEvrv1c=")</f>
        <v>#REF!</v>
      </c>
      <c r="CK339" t="e">
        <f>IF('PROG FORMACIÓN TITULADA'!#REF!,"AAAAAEvrv1g=",0)</f>
        <v>#REF!</v>
      </c>
      <c r="CL339" t="e">
        <f>AND('PROG FORMACIÓN TITULADA'!#REF!,"AAAAAEvrv1k=")</f>
        <v>#REF!</v>
      </c>
      <c r="CM339" t="e">
        <f>AND('PROG FORMACIÓN TITULADA'!#REF!,"AAAAAEvrv1o=")</f>
        <v>#REF!</v>
      </c>
      <c r="CN339" t="e">
        <f>AND('PROG FORMACIÓN TITULADA'!#REF!,"AAAAAEvrv1s=")</f>
        <v>#REF!</v>
      </c>
      <c r="CO339" t="e">
        <f>AND('PROG FORMACIÓN TITULADA'!#REF!,"AAAAAEvrv1w=")</f>
        <v>#REF!</v>
      </c>
      <c r="CP339" t="e">
        <f>AND('PROG FORMACIÓN TITULADA'!#REF!,"AAAAAEvrv10=")</f>
        <v>#REF!</v>
      </c>
      <c r="CQ339" t="e">
        <f>AND('PROG FORMACIÓN TITULADA'!#REF!,"AAAAAEvrv14=")</f>
        <v>#REF!</v>
      </c>
      <c r="CR339" t="e">
        <f>AND('PROG FORMACIÓN TITULADA'!#REF!,"AAAAAEvrv18=")</f>
        <v>#REF!</v>
      </c>
      <c r="CS339" t="e">
        <f>AND('PROG FORMACIÓN TITULADA'!#REF!,"AAAAAEvrv2A=")</f>
        <v>#REF!</v>
      </c>
      <c r="CT339" t="e">
        <f>AND('PROG FORMACIÓN TITULADA'!#REF!,"AAAAAEvrv2E=")</f>
        <v>#REF!</v>
      </c>
      <c r="CU339" t="e">
        <f>AND('PROG FORMACIÓN TITULADA'!#REF!,"AAAAAEvrv2I=")</f>
        <v>#REF!</v>
      </c>
      <c r="CV339" t="e">
        <f>AND('PROG FORMACIÓN TITULADA'!#REF!,"AAAAAEvrv2M=")</f>
        <v>#REF!</v>
      </c>
      <c r="CW339" t="e">
        <f>AND('PROG FORMACIÓN TITULADA'!#REF!,"AAAAAEvrv2Q=")</f>
        <v>#REF!</v>
      </c>
      <c r="CX339" t="e">
        <f>AND('PROG FORMACIÓN TITULADA'!#REF!,"AAAAAEvrv2U=")</f>
        <v>#REF!</v>
      </c>
      <c r="CY339" t="e">
        <f>AND('PROG FORMACIÓN TITULADA'!#REF!,"AAAAAEvrv2Y=")</f>
        <v>#REF!</v>
      </c>
      <c r="CZ339" t="e">
        <f>AND('PROG FORMACIÓN TITULADA'!#REF!,"AAAAAEvrv2c=")</f>
        <v>#REF!</v>
      </c>
      <c r="DA339" t="e">
        <f>AND('PROG FORMACIÓN TITULADA'!#REF!,"AAAAAEvrv2g=")</f>
        <v>#REF!</v>
      </c>
      <c r="DB339" t="e">
        <f>AND('PROG FORMACIÓN TITULADA'!#REF!,"AAAAAEvrv2k=")</f>
        <v>#REF!</v>
      </c>
      <c r="DC339" t="e">
        <f>AND('PROG FORMACIÓN TITULADA'!#REF!,"AAAAAEvrv2o=")</f>
        <v>#REF!</v>
      </c>
      <c r="DD339" t="e">
        <f>AND('PROG FORMACIÓN TITULADA'!#REF!,"AAAAAEvrv2s=")</f>
        <v>#REF!</v>
      </c>
      <c r="DE339" t="e">
        <f>AND('PROG FORMACIÓN TITULADA'!#REF!,"AAAAAEvrv2w=")</f>
        <v>#REF!</v>
      </c>
      <c r="DF339" t="e">
        <f>AND('PROG FORMACIÓN TITULADA'!#REF!,"AAAAAEvrv20=")</f>
        <v>#REF!</v>
      </c>
      <c r="DG339" t="e">
        <f>AND('PROG FORMACIÓN TITULADA'!#REF!,"AAAAAEvrv24=")</f>
        <v>#REF!</v>
      </c>
      <c r="DH339" t="e">
        <f>AND('PROG FORMACIÓN TITULADA'!#REF!,"AAAAAEvrv28=")</f>
        <v>#REF!</v>
      </c>
      <c r="DI339" t="e">
        <f>AND('PROG FORMACIÓN TITULADA'!#REF!,"AAAAAEvrv3A=")</f>
        <v>#REF!</v>
      </c>
      <c r="DJ339" t="e">
        <f>AND('PROG FORMACIÓN TITULADA'!#REF!,"AAAAAEvrv3E=")</f>
        <v>#REF!</v>
      </c>
      <c r="DK339" t="e">
        <f>AND('PROG FORMACIÓN TITULADA'!#REF!,"AAAAAEvrv3I=")</f>
        <v>#REF!</v>
      </c>
      <c r="DL339" t="e">
        <f>IF('PROG FORMACIÓN TITULADA'!#REF!,"AAAAAEvrv3M=",0)</f>
        <v>#REF!</v>
      </c>
      <c r="DM339" t="e">
        <f>AND('PROG FORMACIÓN TITULADA'!#REF!,"AAAAAEvrv3Q=")</f>
        <v>#REF!</v>
      </c>
      <c r="DN339" t="e">
        <f>AND('PROG FORMACIÓN TITULADA'!#REF!,"AAAAAEvrv3U=")</f>
        <v>#REF!</v>
      </c>
      <c r="DO339" t="e">
        <f>AND('PROG FORMACIÓN TITULADA'!#REF!,"AAAAAEvrv3Y=")</f>
        <v>#REF!</v>
      </c>
      <c r="DP339" t="e">
        <f>AND('PROG FORMACIÓN TITULADA'!#REF!,"AAAAAEvrv3c=")</f>
        <v>#REF!</v>
      </c>
      <c r="DQ339" t="e">
        <f>AND('PROG FORMACIÓN TITULADA'!#REF!,"AAAAAEvrv3g=")</f>
        <v>#REF!</v>
      </c>
      <c r="DR339" t="e">
        <f>AND('PROG FORMACIÓN TITULADA'!#REF!,"AAAAAEvrv3k=")</f>
        <v>#REF!</v>
      </c>
      <c r="DS339" t="e">
        <f>AND('PROG FORMACIÓN TITULADA'!#REF!,"AAAAAEvrv3o=")</f>
        <v>#REF!</v>
      </c>
      <c r="DT339" t="e">
        <f>AND('PROG FORMACIÓN TITULADA'!#REF!,"AAAAAEvrv3s=")</f>
        <v>#REF!</v>
      </c>
      <c r="DU339" t="e">
        <f>AND('PROG FORMACIÓN TITULADA'!#REF!,"AAAAAEvrv3w=")</f>
        <v>#REF!</v>
      </c>
      <c r="DV339" t="e">
        <f>AND('PROG FORMACIÓN TITULADA'!#REF!,"AAAAAEvrv30=")</f>
        <v>#REF!</v>
      </c>
      <c r="DW339" t="e">
        <f>AND('PROG FORMACIÓN TITULADA'!#REF!,"AAAAAEvrv34=")</f>
        <v>#REF!</v>
      </c>
      <c r="DX339" t="e">
        <f>AND('PROG FORMACIÓN TITULADA'!#REF!,"AAAAAEvrv38=")</f>
        <v>#REF!</v>
      </c>
      <c r="DY339" t="e">
        <f>AND('PROG FORMACIÓN TITULADA'!#REF!,"AAAAAEvrv4A=")</f>
        <v>#REF!</v>
      </c>
      <c r="DZ339" t="e">
        <f>AND('PROG FORMACIÓN TITULADA'!#REF!,"AAAAAEvrv4E=")</f>
        <v>#REF!</v>
      </c>
      <c r="EA339" t="e">
        <f>AND('PROG FORMACIÓN TITULADA'!#REF!,"AAAAAEvrv4I=")</f>
        <v>#REF!</v>
      </c>
      <c r="EB339" t="e">
        <f>AND('PROG FORMACIÓN TITULADA'!#REF!,"AAAAAEvrv4M=")</f>
        <v>#REF!</v>
      </c>
      <c r="EC339" t="e">
        <f>AND('PROG FORMACIÓN TITULADA'!#REF!,"AAAAAEvrv4Q=")</f>
        <v>#REF!</v>
      </c>
      <c r="ED339" t="e">
        <f>AND('PROG FORMACIÓN TITULADA'!#REF!,"AAAAAEvrv4U=")</f>
        <v>#REF!</v>
      </c>
      <c r="EE339" t="e">
        <f>AND('PROG FORMACIÓN TITULADA'!#REF!,"AAAAAEvrv4Y=")</f>
        <v>#REF!</v>
      </c>
      <c r="EF339" t="e">
        <f>AND('PROG FORMACIÓN TITULADA'!#REF!,"AAAAAEvrv4c=")</f>
        <v>#REF!</v>
      </c>
      <c r="EG339" t="e">
        <f>AND('PROG FORMACIÓN TITULADA'!#REF!,"AAAAAEvrv4g=")</f>
        <v>#REF!</v>
      </c>
      <c r="EH339" t="e">
        <f>AND('PROG FORMACIÓN TITULADA'!#REF!,"AAAAAEvrv4k=")</f>
        <v>#REF!</v>
      </c>
      <c r="EI339" t="e">
        <f>AND('PROG FORMACIÓN TITULADA'!#REF!,"AAAAAEvrv4o=")</f>
        <v>#REF!</v>
      </c>
      <c r="EJ339" t="e">
        <f>AND('PROG FORMACIÓN TITULADA'!#REF!,"AAAAAEvrv4s=")</f>
        <v>#REF!</v>
      </c>
      <c r="EK339" t="e">
        <f>AND('PROG FORMACIÓN TITULADA'!#REF!,"AAAAAEvrv4w=")</f>
        <v>#REF!</v>
      </c>
      <c r="EL339" t="e">
        <f>AND('PROG FORMACIÓN TITULADA'!#REF!,"AAAAAEvrv40=")</f>
        <v>#REF!</v>
      </c>
      <c r="EM339" t="e">
        <f>IF('PROG FORMACIÓN TITULADA'!#REF!,"AAAAAEvrv44=",0)</f>
        <v>#REF!</v>
      </c>
      <c r="EN339" t="e">
        <f>AND('PROG FORMACIÓN TITULADA'!#REF!,"AAAAAEvrv48=")</f>
        <v>#REF!</v>
      </c>
      <c r="EO339" t="e">
        <f>AND('PROG FORMACIÓN TITULADA'!#REF!,"AAAAAEvrv5A=")</f>
        <v>#REF!</v>
      </c>
      <c r="EP339" t="e">
        <f>AND('PROG FORMACIÓN TITULADA'!#REF!,"AAAAAEvrv5E=")</f>
        <v>#REF!</v>
      </c>
      <c r="EQ339" t="e">
        <f>AND('PROG FORMACIÓN TITULADA'!#REF!,"AAAAAEvrv5I=")</f>
        <v>#REF!</v>
      </c>
      <c r="ER339" t="e">
        <f>AND('PROG FORMACIÓN TITULADA'!#REF!,"AAAAAEvrv5M=")</f>
        <v>#REF!</v>
      </c>
      <c r="ES339" t="e">
        <f>AND('PROG FORMACIÓN TITULADA'!#REF!,"AAAAAEvrv5Q=")</f>
        <v>#REF!</v>
      </c>
      <c r="ET339" t="e">
        <f>AND('PROG FORMACIÓN TITULADA'!#REF!,"AAAAAEvrv5U=")</f>
        <v>#REF!</v>
      </c>
      <c r="EU339" t="e">
        <f>AND('PROG FORMACIÓN TITULADA'!#REF!,"AAAAAEvrv5Y=")</f>
        <v>#REF!</v>
      </c>
      <c r="EV339" t="e">
        <f>AND('PROG FORMACIÓN TITULADA'!#REF!,"AAAAAEvrv5c=")</f>
        <v>#REF!</v>
      </c>
      <c r="EW339" t="e">
        <f>AND('PROG FORMACIÓN TITULADA'!#REF!,"AAAAAEvrv5g=")</f>
        <v>#REF!</v>
      </c>
      <c r="EX339" t="e">
        <f>AND('PROG FORMACIÓN TITULADA'!#REF!,"AAAAAEvrv5k=")</f>
        <v>#REF!</v>
      </c>
      <c r="EY339" t="e">
        <f>AND('PROG FORMACIÓN TITULADA'!#REF!,"AAAAAEvrv5o=")</f>
        <v>#REF!</v>
      </c>
      <c r="EZ339" t="e">
        <f>AND('PROG FORMACIÓN TITULADA'!#REF!,"AAAAAEvrv5s=")</f>
        <v>#REF!</v>
      </c>
      <c r="FA339" t="e">
        <f>AND('PROG FORMACIÓN TITULADA'!#REF!,"AAAAAEvrv5w=")</f>
        <v>#REF!</v>
      </c>
      <c r="FB339" t="e">
        <f>AND('PROG FORMACIÓN TITULADA'!#REF!,"AAAAAEvrv50=")</f>
        <v>#REF!</v>
      </c>
      <c r="FC339" t="e">
        <f>AND('PROG FORMACIÓN TITULADA'!#REF!,"AAAAAEvrv54=")</f>
        <v>#REF!</v>
      </c>
      <c r="FD339" t="e">
        <f>AND('PROG FORMACIÓN TITULADA'!#REF!,"AAAAAEvrv58=")</f>
        <v>#REF!</v>
      </c>
      <c r="FE339" t="e">
        <f>AND('PROG FORMACIÓN TITULADA'!#REF!,"AAAAAEvrv6A=")</f>
        <v>#REF!</v>
      </c>
      <c r="FF339" t="e">
        <f>AND('PROG FORMACIÓN TITULADA'!#REF!,"AAAAAEvrv6E=")</f>
        <v>#REF!</v>
      </c>
      <c r="FG339" t="e">
        <f>AND('PROG FORMACIÓN TITULADA'!#REF!,"AAAAAEvrv6I=")</f>
        <v>#REF!</v>
      </c>
      <c r="FH339" t="e">
        <f>AND('PROG FORMACIÓN TITULADA'!#REF!,"AAAAAEvrv6M=")</f>
        <v>#REF!</v>
      </c>
      <c r="FI339" t="e">
        <f>AND('PROG FORMACIÓN TITULADA'!#REF!,"AAAAAEvrv6Q=")</f>
        <v>#REF!</v>
      </c>
      <c r="FJ339" t="e">
        <f>AND('PROG FORMACIÓN TITULADA'!#REF!,"AAAAAEvrv6U=")</f>
        <v>#REF!</v>
      </c>
      <c r="FK339" t="e">
        <f>AND('PROG FORMACIÓN TITULADA'!#REF!,"AAAAAEvrv6Y=")</f>
        <v>#REF!</v>
      </c>
      <c r="FL339" t="e">
        <f>AND('PROG FORMACIÓN TITULADA'!#REF!,"AAAAAEvrv6c=")</f>
        <v>#REF!</v>
      </c>
      <c r="FM339" t="e">
        <f>AND('PROG FORMACIÓN TITULADA'!#REF!,"AAAAAEvrv6g=")</f>
        <v>#REF!</v>
      </c>
      <c r="FN339" t="e">
        <f>IF('PROG FORMACIÓN TITULADA'!#REF!,"AAAAAEvrv6k=",0)</f>
        <v>#REF!</v>
      </c>
      <c r="FO339" t="e">
        <f>AND('PROG FORMACIÓN TITULADA'!#REF!,"AAAAAEvrv6o=")</f>
        <v>#REF!</v>
      </c>
      <c r="FP339" t="e">
        <f>AND('PROG FORMACIÓN TITULADA'!#REF!,"AAAAAEvrv6s=")</f>
        <v>#REF!</v>
      </c>
      <c r="FQ339" t="e">
        <f>AND('PROG FORMACIÓN TITULADA'!#REF!,"AAAAAEvrv6w=")</f>
        <v>#REF!</v>
      </c>
      <c r="FR339" t="e">
        <f>AND('PROG FORMACIÓN TITULADA'!#REF!,"AAAAAEvrv60=")</f>
        <v>#REF!</v>
      </c>
      <c r="FS339" t="e">
        <f>AND('PROG FORMACIÓN TITULADA'!#REF!,"AAAAAEvrv64=")</f>
        <v>#REF!</v>
      </c>
      <c r="FT339" t="e">
        <f>AND('PROG FORMACIÓN TITULADA'!#REF!,"AAAAAEvrv68=")</f>
        <v>#REF!</v>
      </c>
      <c r="FU339" t="e">
        <f>AND('PROG FORMACIÓN TITULADA'!#REF!,"AAAAAEvrv7A=")</f>
        <v>#REF!</v>
      </c>
      <c r="FV339" t="e">
        <f>AND('PROG FORMACIÓN TITULADA'!#REF!,"AAAAAEvrv7E=")</f>
        <v>#REF!</v>
      </c>
      <c r="FW339" t="e">
        <f>AND('PROG FORMACIÓN TITULADA'!#REF!,"AAAAAEvrv7I=")</f>
        <v>#REF!</v>
      </c>
      <c r="FX339" t="e">
        <f>AND('PROG FORMACIÓN TITULADA'!#REF!,"AAAAAEvrv7M=")</f>
        <v>#REF!</v>
      </c>
      <c r="FY339" t="e">
        <f>AND('PROG FORMACIÓN TITULADA'!#REF!,"AAAAAEvrv7Q=")</f>
        <v>#REF!</v>
      </c>
      <c r="FZ339" t="e">
        <f>AND('PROG FORMACIÓN TITULADA'!#REF!,"AAAAAEvrv7U=")</f>
        <v>#REF!</v>
      </c>
      <c r="GA339" t="e">
        <f>AND('PROG FORMACIÓN TITULADA'!#REF!,"AAAAAEvrv7Y=")</f>
        <v>#REF!</v>
      </c>
      <c r="GB339" t="e">
        <f>AND('PROG FORMACIÓN TITULADA'!#REF!,"AAAAAEvrv7c=")</f>
        <v>#REF!</v>
      </c>
      <c r="GC339" t="e">
        <f>AND('PROG FORMACIÓN TITULADA'!#REF!,"AAAAAEvrv7g=")</f>
        <v>#REF!</v>
      </c>
      <c r="GD339" t="e">
        <f>AND('PROG FORMACIÓN TITULADA'!#REF!,"AAAAAEvrv7k=")</f>
        <v>#REF!</v>
      </c>
      <c r="GE339" t="e">
        <f>AND('PROG FORMACIÓN TITULADA'!#REF!,"AAAAAEvrv7o=")</f>
        <v>#REF!</v>
      </c>
      <c r="GF339" t="e">
        <f>AND('PROG FORMACIÓN TITULADA'!#REF!,"AAAAAEvrv7s=")</f>
        <v>#REF!</v>
      </c>
      <c r="GG339" t="e">
        <f>AND('PROG FORMACIÓN TITULADA'!#REF!,"AAAAAEvrv7w=")</f>
        <v>#REF!</v>
      </c>
      <c r="GH339" t="e">
        <f>AND('PROG FORMACIÓN TITULADA'!#REF!,"AAAAAEvrv70=")</f>
        <v>#REF!</v>
      </c>
      <c r="GI339" t="e">
        <f>AND('PROG FORMACIÓN TITULADA'!#REF!,"AAAAAEvrv74=")</f>
        <v>#REF!</v>
      </c>
      <c r="GJ339" t="e">
        <f>AND('PROG FORMACIÓN TITULADA'!#REF!,"AAAAAEvrv78=")</f>
        <v>#REF!</v>
      </c>
      <c r="GK339" t="e">
        <f>AND('PROG FORMACIÓN TITULADA'!#REF!,"AAAAAEvrv8A=")</f>
        <v>#REF!</v>
      </c>
      <c r="GL339" t="e">
        <f>AND('PROG FORMACIÓN TITULADA'!#REF!,"AAAAAEvrv8E=")</f>
        <v>#REF!</v>
      </c>
      <c r="GM339" t="e">
        <f>AND('PROG FORMACIÓN TITULADA'!#REF!,"AAAAAEvrv8I=")</f>
        <v>#REF!</v>
      </c>
      <c r="GN339" t="e">
        <f>AND('PROG FORMACIÓN TITULADA'!#REF!,"AAAAAEvrv8M=")</f>
        <v>#REF!</v>
      </c>
      <c r="GO339" t="e">
        <f>IF('PROG FORMACIÓN TITULADA'!#REF!,"AAAAAEvrv8Q=",0)</f>
        <v>#REF!</v>
      </c>
      <c r="GP339" t="e">
        <f>AND('PROG FORMACIÓN TITULADA'!#REF!,"AAAAAEvrv8U=")</f>
        <v>#REF!</v>
      </c>
      <c r="GQ339" t="e">
        <f>AND('PROG FORMACIÓN TITULADA'!#REF!,"AAAAAEvrv8Y=")</f>
        <v>#REF!</v>
      </c>
      <c r="GR339" t="e">
        <f>AND('PROG FORMACIÓN TITULADA'!#REF!,"AAAAAEvrv8c=")</f>
        <v>#REF!</v>
      </c>
      <c r="GS339" t="e">
        <f>AND('PROG FORMACIÓN TITULADA'!#REF!,"AAAAAEvrv8g=")</f>
        <v>#REF!</v>
      </c>
      <c r="GT339" t="e">
        <f>AND('PROG FORMACIÓN TITULADA'!#REF!,"AAAAAEvrv8k=")</f>
        <v>#REF!</v>
      </c>
      <c r="GU339" t="e">
        <f>AND('PROG FORMACIÓN TITULADA'!#REF!,"AAAAAEvrv8o=")</f>
        <v>#REF!</v>
      </c>
      <c r="GV339" t="e">
        <f>AND('PROG FORMACIÓN TITULADA'!#REF!,"AAAAAEvrv8s=")</f>
        <v>#REF!</v>
      </c>
      <c r="GW339" t="e">
        <f>AND('PROG FORMACIÓN TITULADA'!#REF!,"AAAAAEvrv8w=")</f>
        <v>#REF!</v>
      </c>
      <c r="GX339" t="e">
        <f>AND('PROG FORMACIÓN TITULADA'!#REF!,"AAAAAEvrv80=")</f>
        <v>#REF!</v>
      </c>
      <c r="GY339" t="e">
        <f>AND('PROG FORMACIÓN TITULADA'!#REF!,"AAAAAEvrv84=")</f>
        <v>#REF!</v>
      </c>
      <c r="GZ339" t="e">
        <f>AND('PROG FORMACIÓN TITULADA'!#REF!,"AAAAAEvrv88=")</f>
        <v>#REF!</v>
      </c>
      <c r="HA339" t="e">
        <f>AND('PROG FORMACIÓN TITULADA'!#REF!,"AAAAAEvrv9A=")</f>
        <v>#REF!</v>
      </c>
      <c r="HB339" t="e">
        <f>AND('PROG FORMACIÓN TITULADA'!#REF!,"AAAAAEvrv9E=")</f>
        <v>#REF!</v>
      </c>
      <c r="HC339" t="e">
        <f>AND('PROG FORMACIÓN TITULADA'!#REF!,"AAAAAEvrv9I=")</f>
        <v>#REF!</v>
      </c>
      <c r="HD339" t="e">
        <f>AND('PROG FORMACIÓN TITULADA'!#REF!,"AAAAAEvrv9M=")</f>
        <v>#REF!</v>
      </c>
      <c r="HE339" t="e">
        <f>AND('PROG FORMACIÓN TITULADA'!#REF!,"AAAAAEvrv9Q=")</f>
        <v>#REF!</v>
      </c>
      <c r="HF339" t="e">
        <f>AND('PROG FORMACIÓN TITULADA'!#REF!,"AAAAAEvrv9U=")</f>
        <v>#REF!</v>
      </c>
      <c r="HG339" t="e">
        <f>AND('PROG FORMACIÓN TITULADA'!#REF!,"AAAAAEvrv9Y=")</f>
        <v>#REF!</v>
      </c>
      <c r="HH339" t="e">
        <f>AND('PROG FORMACIÓN TITULADA'!#REF!,"AAAAAEvrv9c=")</f>
        <v>#REF!</v>
      </c>
      <c r="HI339" t="e">
        <f>AND('PROG FORMACIÓN TITULADA'!#REF!,"AAAAAEvrv9g=")</f>
        <v>#REF!</v>
      </c>
      <c r="HJ339" t="e">
        <f>AND('PROG FORMACIÓN TITULADA'!#REF!,"AAAAAEvrv9k=")</f>
        <v>#REF!</v>
      </c>
      <c r="HK339" t="e">
        <f>AND('PROG FORMACIÓN TITULADA'!#REF!,"AAAAAEvrv9o=")</f>
        <v>#REF!</v>
      </c>
      <c r="HL339" t="e">
        <f>AND('PROG FORMACIÓN TITULADA'!#REF!,"AAAAAEvrv9s=")</f>
        <v>#REF!</v>
      </c>
      <c r="HM339" t="e">
        <f>AND('PROG FORMACIÓN TITULADA'!#REF!,"AAAAAEvrv9w=")</f>
        <v>#REF!</v>
      </c>
      <c r="HN339" t="e">
        <f>AND('PROG FORMACIÓN TITULADA'!#REF!,"AAAAAEvrv90=")</f>
        <v>#REF!</v>
      </c>
      <c r="HO339" t="e">
        <f>AND('PROG FORMACIÓN TITULADA'!#REF!,"AAAAAEvrv94=")</f>
        <v>#REF!</v>
      </c>
      <c r="HP339" t="e">
        <f>IF('PROG FORMACIÓN TITULADA'!#REF!,"AAAAAEvrv98=",0)</f>
        <v>#REF!</v>
      </c>
      <c r="HQ339" t="e">
        <f>AND('PROG FORMACIÓN TITULADA'!#REF!,"AAAAAEvrv+A=")</f>
        <v>#REF!</v>
      </c>
      <c r="HR339" t="e">
        <f>AND('PROG FORMACIÓN TITULADA'!#REF!,"AAAAAEvrv+E=")</f>
        <v>#REF!</v>
      </c>
      <c r="HS339" t="e">
        <f>AND('PROG FORMACIÓN TITULADA'!#REF!,"AAAAAEvrv+I=")</f>
        <v>#REF!</v>
      </c>
      <c r="HT339" t="e">
        <f>AND('PROG FORMACIÓN TITULADA'!#REF!,"AAAAAEvrv+M=")</f>
        <v>#REF!</v>
      </c>
      <c r="HU339" t="e">
        <f>AND('PROG FORMACIÓN TITULADA'!#REF!,"AAAAAEvrv+Q=")</f>
        <v>#REF!</v>
      </c>
      <c r="HV339" t="e">
        <f>AND('PROG FORMACIÓN TITULADA'!#REF!,"AAAAAEvrv+U=")</f>
        <v>#REF!</v>
      </c>
      <c r="HW339" t="e">
        <f>AND('PROG FORMACIÓN TITULADA'!#REF!,"AAAAAEvrv+Y=")</f>
        <v>#REF!</v>
      </c>
      <c r="HX339" t="e">
        <f>AND('PROG FORMACIÓN TITULADA'!#REF!,"AAAAAEvrv+c=")</f>
        <v>#REF!</v>
      </c>
      <c r="HY339" t="e">
        <f>AND('PROG FORMACIÓN TITULADA'!#REF!,"AAAAAEvrv+g=")</f>
        <v>#REF!</v>
      </c>
      <c r="HZ339" t="e">
        <f>AND('PROG FORMACIÓN TITULADA'!#REF!,"AAAAAEvrv+k=")</f>
        <v>#REF!</v>
      </c>
      <c r="IA339" t="e">
        <f>AND('PROG FORMACIÓN TITULADA'!#REF!,"AAAAAEvrv+o=")</f>
        <v>#REF!</v>
      </c>
      <c r="IB339" t="e">
        <f>AND('PROG FORMACIÓN TITULADA'!#REF!,"AAAAAEvrv+s=")</f>
        <v>#REF!</v>
      </c>
      <c r="IC339" t="e">
        <f>AND('PROG FORMACIÓN TITULADA'!#REF!,"AAAAAEvrv+w=")</f>
        <v>#REF!</v>
      </c>
      <c r="ID339" t="e">
        <f>AND('PROG FORMACIÓN TITULADA'!#REF!,"AAAAAEvrv+0=")</f>
        <v>#REF!</v>
      </c>
      <c r="IE339" t="e">
        <f>AND('PROG FORMACIÓN TITULADA'!#REF!,"AAAAAEvrv+4=")</f>
        <v>#REF!</v>
      </c>
      <c r="IF339" t="e">
        <f>AND('PROG FORMACIÓN TITULADA'!#REF!,"AAAAAEvrv+8=")</f>
        <v>#REF!</v>
      </c>
      <c r="IG339" t="e">
        <f>AND('PROG FORMACIÓN TITULADA'!#REF!,"AAAAAEvrv/A=")</f>
        <v>#REF!</v>
      </c>
      <c r="IH339" t="e">
        <f>AND('PROG FORMACIÓN TITULADA'!#REF!,"AAAAAEvrv/E=")</f>
        <v>#REF!</v>
      </c>
      <c r="II339" t="e">
        <f>AND('PROG FORMACIÓN TITULADA'!#REF!,"AAAAAEvrv/I=")</f>
        <v>#REF!</v>
      </c>
      <c r="IJ339" t="e">
        <f>AND('PROG FORMACIÓN TITULADA'!#REF!,"AAAAAEvrv/M=")</f>
        <v>#REF!</v>
      </c>
      <c r="IK339" t="e">
        <f>AND('PROG FORMACIÓN TITULADA'!#REF!,"AAAAAEvrv/Q=")</f>
        <v>#REF!</v>
      </c>
      <c r="IL339" t="e">
        <f>AND('PROG FORMACIÓN TITULADA'!#REF!,"AAAAAEvrv/U=")</f>
        <v>#REF!</v>
      </c>
      <c r="IM339" t="e">
        <f>AND('PROG FORMACIÓN TITULADA'!#REF!,"AAAAAEvrv/Y=")</f>
        <v>#REF!</v>
      </c>
      <c r="IN339" t="e">
        <f>AND('PROG FORMACIÓN TITULADA'!#REF!,"AAAAAEvrv/c=")</f>
        <v>#REF!</v>
      </c>
      <c r="IO339" t="e">
        <f>AND('PROG FORMACIÓN TITULADA'!#REF!,"AAAAAEvrv/g=")</f>
        <v>#REF!</v>
      </c>
      <c r="IP339" t="e">
        <f>AND('PROG FORMACIÓN TITULADA'!#REF!,"AAAAAEvrv/k=")</f>
        <v>#REF!</v>
      </c>
      <c r="IQ339" t="e">
        <f>IF('PROG FORMACIÓN TITULADA'!#REF!,"AAAAAEvrv/o=",0)</f>
        <v>#REF!</v>
      </c>
      <c r="IR339" t="e">
        <f>AND('PROG FORMACIÓN TITULADA'!#REF!,"AAAAAEvrv/s=")</f>
        <v>#REF!</v>
      </c>
      <c r="IS339" t="e">
        <f>AND('PROG FORMACIÓN TITULADA'!#REF!,"AAAAAEvrv/w=")</f>
        <v>#REF!</v>
      </c>
      <c r="IT339" t="e">
        <f>AND('PROG FORMACIÓN TITULADA'!#REF!,"AAAAAEvrv/0=")</f>
        <v>#REF!</v>
      </c>
      <c r="IU339" t="e">
        <f>AND('PROG FORMACIÓN TITULADA'!#REF!,"AAAAAEvrv/4=")</f>
        <v>#REF!</v>
      </c>
      <c r="IV339" t="e">
        <f>AND('PROG FORMACIÓN TITULADA'!#REF!,"AAAAAEvrv/8=")</f>
        <v>#REF!</v>
      </c>
    </row>
    <row r="340" spans="1:256" x14ac:dyDescent="0.2">
      <c r="A340" t="e">
        <f>AND('PROG FORMACIÓN TITULADA'!#REF!,"AAAAAE779wA=")</f>
        <v>#REF!</v>
      </c>
      <c r="B340" t="e">
        <f>AND('PROG FORMACIÓN TITULADA'!#REF!,"AAAAAE779wE=")</f>
        <v>#REF!</v>
      </c>
      <c r="C340" t="e">
        <f>AND('PROG FORMACIÓN TITULADA'!#REF!,"AAAAAE779wI=")</f>
        <v>#REF!</v>
      </c>
      <c r="D340" t="e">
        <f>AND('PROG FORMACIÓN TITULADA'!#REF!,"AAAAAE779wM=")</f>
        <v>#REF!</v>
      </c>
      <c r="E340" t="e">
        <f>AND('PROG FORMACIÓN TITULADA'!#REF!,"AAAAAE779wQ=")</f>
        <v>#REF!</v>
      </c>
      <c r="F340" t="e">
        <f>AND('PROG FORMACIÓN TITULADA'!#REF!,"AAAAAE779wU=")</f>
        <v>#REF!</v>
      </c>
      <c r="G340" t="e">
        <f>AND('PROG FORMACIÓN TITULADA'!#REF!,"AAAAAE779wY=")</f>
        <v>#REF!</v>
      </c>
      <c r="H340" t="e">
        <f>AND('PROG FORMACIÓN TITULADA'!#REF!,"AAAAAE779wc=")</f>
        <v>#REF!</v>
      </c>
      <c r="I340" t="e">
        <f>AND('PROG FORMACIÓN TITULADA'!#REF!,"AAAAAE779wg=")</f>
        <v>#REF!</v>
      </c>
      <c r="J340" t="e">
        <f>AND('PROG FORMACIÓN TITULADA'!#REF!,"AAAAAE779wk=")</f>
        <v>#REF!</v>
      </c>
      <c r="K340" t="e">
        <f>AND('PROG FORMACIÓN TITULADA'!#REF!,"AAAAAE779wo=")</f>
        <v>#REF!</v>
      </c>
      <c r="L340" t="e">
        <f>AND('PROG FORMACIÓN TITULADA'!#REF!,"AAAAAE779ws=")</f>
        <v>#REF!</v>
      </c>
      <c r="M340" t="e">
        <f>AND('PROG FORMACIÓN TITULADA'!#REF!,"AAAAAE779ww=")</f>
        <v>#REF!</v>
      </c>
      <c r="N340" t="e">
        <f>AND('PROG FORMACIÓN TITULADA'!#REF!,"AAAAAE779w0=")</f>
        <v>#REF!</v>
      </c>
      <c r="O340" t="e">
        <f>AND('PROG FORMACIÓN TITULADA'!#REF!,"AAAAAE779w4=")</f>
        <v>#REF!</v>
      </c>
      <c r="P340" t="e">
        <f>AND('PROG FORMACIÓN TITULADA'!#REF!,"AAAAAE779w8=")</f>
        <v>#REF!</v>
      </c>
      <c r="Q340" t="e">
        <f>AND('PROG FORMACIÓN TITULADA'!#REF!,"AAAAAE779xA=")</f>
        <v>#REF!</v>
      </c>
      <c r="R340" t="e">
        <f>AND('PROG FORMACIÓN TITULADA'!#REF!,"AAAAAE779xE=")</f>
        <v>#REF!</v>
      </c>
      <c r="S340" t="e">
        <f>AND('PROG FORMACIÓN TITULADA'!#REF!,"AAAAAE779xI=")</f>
        <v>#REF!</v>
      </c>
      <c r="T340" t="e">
        <f>AND('PROG FORMACIÓN TITULADA'!#REF!,"AAAAAE779xM=")</f>
        <v>#REF!</v>
      </c>
      <c r="U340" t="e">
        <f>AND('PROG FORMACIÓN TITULADA'!#REF!,"AAAAAE779xQ=")</f>
        <v>#REF!</v>
      </c>
      <c r="V340" t="e">
        <f>IF('PROG FORMACIÓN TITULADA'!#REF!,"AAAAAE779xU=",0)</f>
        <v>#REF!</v>
      </c>
      <c r="W340" t="e">
        <f>AND('PROG FORMACIÓN TITULADA'!#REF!,"AAAAAE779xY=")</f>
        <v>#REF!</v>
      </c>
      <c r="X340" t="e">
        <f>AND('PROG FORMACIÓN TITULADA'!#REF!,"AAAAAE779xc=")</f>
        <v>#REF!</v>
      </c>
      <c r="Y340" t="e">
        <f>AND('PROG FORMACIÓN TITULADA'!#REF!,"AAAAAE779xg=")</f>
        <v>#REF!</v>
      </c>
      <c r="Z340" t="e">
        <f>AND('PROG FORMACIÓN TITULADA'!#REF!,"AAAAAE779xk=")</f>
        <v>#REF!</v>
      </c>
      <c r="AA340" t="e">
        <f>AND('PROG FORMACIÓN TITULADA'!#REF!,"AAAAAE779xo=")</f>
        <v>#REF!</v>
      </c>
      <c r="AB340" t="e">
        <f>AND('PROG FORMACIÓN TITULADA'!#REF!,"AAAAAE779xs=")</f>
        <v>#REF!</v>
      </c>
      <c r="AC340" t="e">
        <f>AND('PROG FORMACIÓN TITULADA'!#REF!,"AAAAAE779xw=")</f>
        <v>#REF!</v>
      </c>
      <c r="AD340" t="e">
        <f>AND('PROG FORMACIÓN TITULADA'!#REF!,"AAAAAE779x0=")</f>
        <v>#REF!</v>
      </c>
      <c r="AE340" t="e">
        <f>AND('PROG FORMACIÓN TITULADA'!#REF!,"AAAAAE779x4=")</f>
        <v>#REF!</v>
      </c>
      <c r="AF340" t="e">
        <f>AND('PROG FORMACIÓN TITULADA'!#REF!,"AAAAAE779x8=")</f>
        <v>#REF!</v>
      </c>
      <c r="AG340" t="e">
        <f>AND('PROG FORMACIÓN TITULADA'!#REF!,"AAAAAE779yA=")</f>
        <v>#REF!</v>
      </c>
      <c r="AH340" t="e">
        <f>AND('PROG FORMACIÓN TITULADA'!#REF!,"AAAAAE779yE=")</f>
        <v>#REF!</v>
      </c>
      <c r="AI340" t="e">
        <f>AND('PROG FORMACIÓN TITULADA'!#REF!,"AAAAAE779yI=")</f>
        <v>#REF!</v>
      </c>
      <c r="AJ340" t="e">
        <f>AND('PROG FORMACIÓN TITULADA'!#REF!,"AAAAAE779yM=")</f>
        <v>#REF!</v>
      </c>
      <c r="AK340" t="e">
        <f>AND('PROG FORMACIÓN TITULADA'!#REF!,"AAAAAE779yQ=")</f>
        <v>#REF!</v>
      </c>
      <c r="AL340" t="e">
        <f>AND('PROG FORMACIÓN TITULADA'!#REF!,"AAAAAE779yU=")</f>
        <v>#REF!</v>
      </c>
      <c r="AM340" t="e">
        <f>AND('PROG FORMACIÓN TITULADA'!#REF!,"AAAAAE779yY=")</f>
        <v>#REF!</v>
      </c>
      <c r="AN340" t="e">
        <f>AND('PROG FORMACIÓN TITULADA'!#REF!,"AAAAAE779yc=")</f>
        <v>#REF!</v>
      </c>
      <c r="AO340" t="e">
        <f>AND('PROG FORMACIÓN TITULADA'!#REF!,"AAAAAE779yg=")</f>
        <v>#REF!</v>
      </c>
      <c r="AP340" t="e">
        <f>AND('PROG FORMACIÓN TITULADA'!#REF!,"AAAAAE779yk=")</f>
        <v>#REF!</v>
      </c>
      <c r="AQ340" t="e">
        <f>AND('PROG FORMACIÓN TITULADA'!#REF!,"AAAAAE779yo=")</f>
        <v>#REF!</v>
      </c>
      <c r="AR340" t="e">
        <f>AND('PROG FORMACIÓN TITULADA'!#REF!,"AAAAAE779ys=")</f>
        <v>#REF!</v>
      </c>
      <c r="AS340" t="e">
        <f>AND('PROG FORMACIÓN TITULADA'!#REF!,"AAAAAE779yw=")</f>
        <v>#REF!</v>
      </c>
      <c r="AT340" t="e">
        <f>AND('PROG FORMACIÓN TITULADA'!#REF!,"AAAAAE779y0=")</f>
        <v>#REF!</v>
      </c>
      <c r="AU340" t="e">
        <f>AND('PROG FORMACIÓN TITULADA'!#REF!,"AAAAAE779y4=")</f>
        <v>#REF!</v>
      </c>
      <c r="AV340" t="e">
        <f>AND('PROG FORMACIÓN TITULADA'!#REF!,"AAAAAE779y8=")</f>
        <v>#REF!</v>
      </c>
      <c r="AW340" t="e">
        <f>IF('PROG FORMACIÓN TITULADA'!#REF!,"AAAAAE779zA=",0)</f>
        <v>#REF!</v>
      </c>
      <c r="AX340" t="e">
        <f>AND('PROG FORMACIÓN TITULADA'!#REF!,"AAAAAE779zE=")</f>
        <v>#REF!</v>
      </c>
      <c r="AY340" t="e">
        <f>AND('PROG FORMACIÓN TITULADA'!#REF!,"AAAAAE779zI=")</f>
        <v>#REF!</v>
      </c>
      <c r="AZ340" t="e">
        <f>AND('PROG FORMACIÓN TITULADA'!#REF!,"AAAAAE779zM=")</f>
        <v>#REF!</v>
      </c>
      <c r="BA340" t="e">
        <f>AND('PROG FORMACIÓN TITULADA'!#REF!,"AAAAAE779zQ=")</f>
        <v>#REF!</v>
      </c>
      <c r="BB340" t="e">
        <f>AND('PROG FORMACIÓN TITULADA'!#REF!,"AAAAAE779zU=")</f>
        <v>#REF!</v>
      </c>
      <c r="BC340" t="e">
        <f>AND('PROG FORMACIÓN TITULADA'!#REF!,"AAAAAE779zY=")</f>
        <v>#REF!</v>
      </c>
      <c r="BD340" t="e">
        <f>AND('PROG FORMACIÓN TITULADA'!#REF!,"AAAAAE779zc=")</f>
        <v>#REF!</v>
      </c>
      <c r="BE340" t="e">
        <f>AND('PROG FORMACIÓN TITULADA'!#REF!,"AAAAAE779zg=")</f>
        <v>#REF!</v>
      </c>
      <c r="BF340" t="e">
        <f>AND('PROG FORMACIÓN TITULADA'!#REF!,"AAAAAE779zk=")</f>
        <v>#REF!</v>
      </c>
      <c r="BG340" t="e">
        <f>AND('PROG FORMACIÓN TITULADA'!#REF!,"AAAAAE779zo=")</f>
        <v>#REF!</v>
      </c>
      <c r="BH340" t="e">
        <f>AND('PROG FORMACIÓN TITULADA'!#REF!,"AAAAAE779zs=")</f>
        <v>#REF!</v>
      </c>
      <c r="BI340" t="e">
        <f>AND('PROG FORMACIÓN TITULADA'!#REF!,"AAAAAE779zw=")</f>
        <v>#REF!</v>
      </c>
      <c r="BJ340" t="e">
        <f>AND('PROG FORMACIÓN TITULADA'!#REF!,"AAAAAE779z0=")</f>
        <v>#REF!</v>
      </c>
      <c r="BK340" t="e">
        <f>AND('PROG FORMACIÓN TITULADA'!#REF!,"AAAAAE779z4=")</f>
        <v>#REF!</v>
      </c>
      <c r="BL340" t="e">
        <f>AND('PROG FORMACIÓN TITULADA'!#REF!,"AAAAAE779z8=")</f>
        <v>#REF!</v>
      </c>
      <c r="BM340" t="e">
        <f>AND('PROG FORMACIÓN TITULADA'!#REF!,"AAAAAE7790A=")</f>
        <v>#REF!</v>
      </c>
      <c r="BN340" t="e">
        <f>AND('PROG FORMACIÓN TITULADA'!#REF!,"AAAAAE7790E=")</f>
        <v>#REF!</v>
      </c>
      <c r="BO340" t="e">
        <f>AND('PROG FORMACIÓN TITULADA'!#REF!,"AAAAAE7790I=")</f>
        <v>#REF!</v>
      </c>
      <c r="BP340" t="e">
        <f>AND('PROG FORMACIÓN TITULADA'!#REF!,"AAAAAE7790M=")</f>
        <v>#REF!</v>
      </c>
      <c r="BQ340" t="e">
        <f>AND('PROG FORMACIÓN TITULADA'!#REF!,"AAAAAE7790Q=")</f>
        <v>#REF!</v>
      </c>
      <c r="BR340" t="e">
        <f>AND('PROG FORMACIÓN TITULADA'!#REF!,"AAAAAE7790U=")</f>
        <v>#REF!</v>
      </c>
      <c r="BS340" t="e">
        <f>AND('PROG FORMACIÓN TITULADA'!#REF!,"AAAAAE7790Y=")</f>
        <v>#REF!</v>
      </c>
      <c r="BT340" t="e">
        <f>AND('PROG FORMACIÓN TITULADA'!#REF!,"AAAAAE7790c=")</f>
        <v>#REF!</v>
      </c>
      <c r="BU340" t="e">
        <f>AND('PROG FORMACIÓN TITULADA'!#REF!,"AAAAAE7790g=")</f>
        <v>#REF!</v>
      </c>
      <c r="BV340" t="e">
        <f>AND('PROG FORMACIÓN TITULADA'!#REF!,"AAAAAE7790k=")</f>
        <v>#REF!</v>
      </c>
      <c r="BW340" t="e">
        <f>AND('PROG FORMACIÓN TITULADA'!#REF!,"AAAAAE7790o=")</f>
        <v>#REF!</v>
      </c>
      <c r="BX340" t="e">
        <f>IF('PROG FORMACIÓN TITULADA'!#REF!,"AAAAAE7790s=",0)</f>
        <v>#REF!</v>
      </c>
      <c r="BY340" t="e">
        <f>AND('PROG FORMACIÓN TITULADA'!#REF!,"AAAAAE7790w=")</f>
        <v>#REF!</v>
      </c>
      <c r="BZ340" t="e">
        <f>AND('PROG FORMACIÓN TITULADA'!#REF!,"AAAAAE77900=")</f>
        <v>#REF!</v>
      </c>
      <c r="CA340" t="e">
        <f>AND('PROG FORMACIÓN TITULADA'!#REF!,"AAAAAE77904=")</f>
        <v>#REF!</v>
      </c>
      <c r="CB340" t="e">
        <f>AND('PROG FORMACIÓN TITULADA'!#REF!,"AAAAAE77908=")</f>
        <v>#REF!</v>
      </c>
      <c r="CC340" t="e">
        <f>AND('PROG FORMACIÓN TITULADA'!#REF!,"AAAAAE7791A=")</f>
        <v>#REF!</v>
      </c>
      <c r="CD340" t="e">
        <f>AND('PROG FORMACIÓN TITULADA'!#REF!,"AAAAAE7791E=")</f>
        <v>#REF!</v>
      </c>
      <c r="CE340" t="e">
        <f>AND('PROG FORMACIÓN TITULADA'!#REF!,"AAAAAE7791I=")</f>
        <v>#REF!</v>
      </c>
      <c r="CF340" t="e">
        <f>AND('PROG FORMACIÓN TITULADA'!#REF!,"AAAAAE7791M=")</f>
        <v>#REF!</v>
      </c>
      <c r="CG340" t="e">
        <f>AND('PROG FORMACIÓN TITULADA'!#REF!,"AAAAAE7791Q=")</f>
        <v>#REF!</v>
      </c>
      <c r="CH340" t="e">
        <f>AND('PROG FORMACIÓN TITULADA'!#REF!,"AAAAAE7791U=")</f>
        <v>#REF!</v>
      </c>
      <c r="CI340" t="e">
        <f>AND('PROG FORMACIÓN TITULADA'!#REF!,"AAAAAE7791Y=")</f>
        <v>#REF!</v>
      </c>
      <c r="CJ340" t="e">
        <f>AND('PROG FORMACIÓN TITULADA'!#REF!,"AAAAAE7791c=")</f>
        <v>#REF!</v>
      </c>
      <c r="CK340" t="e">
        <f>AND('PROG FORMACIÓN TITULADA'!#REF!,"AAAAAE7791g=")</f>
        <v>#REF!</v>
      </c>
      <c r="CL340" t="e">
        <f>AND('PROG FORMACIÓN TITULADA'!#REF!,"AAAAAE7791k=")</f>
        <v>#REF!</v>
      </c>
      <c r="CM340" t="e">
        <f>AND('PROG FORMACIÓN TITULADA'!#REF!,"AAAAAE7791o=")</f>
        <v>#REF!</v>
      </c>
      <c r="CN340" t="e">
        <f>AND('PROG FORMACIÓN TITULADA'!#REF!,"AAAAAE7791s=")</f>
        <v>#REF!</v>
      </c>
      <c r="CO340" t="e">
        <f>AND('PROG FORMACIÓN TITULADA'!#REF!,"AAAAAE7791w=")</f>
        <v>#REF!</v>
      </c>
      <c r="CP340" t="e">
        <f>AND('PROG FORMACIÓN TITULADA'!#REF!,"AAAAAE77910=")</f>
        <v>#REF!</v>
      </c>
      <c r="CQ340" t="e">
        <f>AND('PROG FORMACIÓN TITULADA'!#REF!,"AAAAAE77914=")</f>
        <v>#REF!</v>
      </c>
      <c r="CR340" t="e">
        <f>AND('PROG FORMACIÓN TITULADA'!#REF!,"AAAAAE77918=")</f>
        <v>#REF!</v>
      </c>
      <c r="CS340" t="e">
        <f>AND('PROG FORMACIÓN TITULADA'!#REF!,"AAAAAE7792A=")</f>
        <v>#REF!</v>
      </c>
      <c r="CT340" t="e">
        <f>AND('PROG FORMACIÓN TITULADA'!#REF!,"AAAAAE7792E=")</f>
        <v>#REF!</v>
      </c>
      <c r="CU340" t="e">
        <f>AND('PROG FORMACIÓN TITULADA'!#REF!,"AAAAAE7792I=")</f>
        <v>#REF!</v>
      </c>
      <c r="CV340" t="e">
        <f>AND('PROG FORMACIÓN TITULADA'!#REF!,"AAAAAE7792M=")</f>
        <v>#REF!</v>
      </c>
      <c r="CW340" t="e">
        <f>AND('PROG FORMACIÓN TITULADA'!#REF!,"AAAAAE7792Q=")</f>
        <v>#REF!</v>
      </c>
      <c r="CX340" t="e">
        <f>AND('PROG FORMACIÓN TITULADA'!#REF!,"AAAAAE7792U=")</f>
        <v>#REF!</v>
      </c>
      <c r="CY340" t="e">
        <f>IF('PROG FORMACIÓN TITULADA'!#REF!,"AAAAAE7792Y=",0)</f>
        <v>#REF!</v>
      </c>
      <c r="CZ340" t="e">
        <f>AND('PROG FORMACIÓN TITULADA'!#REF!,"AAAAAE7792c=")</f>
        <v>#REF!</v>
      </c>
      <c r="DA340" t="e">
        <f>AND('PROG FORMACIÓN TITULADA'!#REF!,"AAAAAE7792g=")</f>
        <v>#REF!</v>
      </c>
      <c r="DB340" t="e">
        <f>AND('PROG FORMACIÓN TITULADA'!#REF!,"AAAAAE7792k=")</f>
        <v>#REF!</v>
      </c>
      <c r="DC340" t="e">
        <f>AND('PROG FORMACIÓN TITULADA'!#REF!,"AAAAAE7792o=")</f>
        <v>#REF!</v>
      </c>
      <c r="DD340" t="e">
        <f>AND('PROG FORMACIÓN TITULADA'!#REF!,"AAAAAE7792s=")</f>
        <v>#REF!</v>
      </c>
      <c r="DE340" t="e">
        <f>AND('PROG FORMACIÓN TITULADA'!#REF!,"AAAAAE7792w=")</f>
        <v>#REF!</v>
      </c>
      <c r="DF340" t="e">
        <f>AND('PROG FORMACIÓN TITULADA'!#REF!,"AAAAAE77920=")</f>
        <v>#REF!</v>
      </c>
      <c r="DG340" t="e">
        <f>AND('PROG FORMACIÓN TITULADA'!#REF!,"AAAAAE77924=")</f>
        <v>#REF!</v>
      </c>
      <c r="DH340" t="e">
        <f>AND('PROG FORMACIÓN TITULADA'!#REF!,"AAAAAE77928=")</f>
        <v>#REF!</v>
      </c>
      <c r="DI340" t="e">
        <f>AND('PROG FORMACIÓN TITULADA'!#REF!,"AAAAAE7793A=")</f>
        <v>#REF!</v>
      </c>
      <c r="DJ340" t="e">
        <f>AND('PROG FORMACIÓN TITULADA'!#REF!,"AAAAAE7793E=")</f>
        <v>#REF!</v>
      </c>
      <c r="DK340" t="e">
        <f>AND('PROG FORMACIÓN TITULADA'!#REF!,"AAAAAE7793I=")</f>
        <v>#REF!</v>
      </c>
      <c r="DL340" t="e">
        <f>AND('PROG FORMACIÓN TITULADA'!#REF!,"AAAAAE7793M=")</f>
        <v>#REF!</v>
      </c>
      <c r="DM340" t="e">
        <f>AND('PROG FORMACIÓN TITULADA'!#REF!,"AAAAAE7793Q=")</f>
        <v>#REF!</v>
      </c>
      <c r="DN340" t="e">
        <f>AND('PROG FORMACIÓN TITULADA'!#REF!,"AAAAAE7793U=")</f>
        <v>#REF!</v>
      </c>
      <c r="DO340" t="e">
        <f>AND('PROG FORMACIÓN TITULADA'!#REF!,"AAAAAE7793Y=")</f>
        <v>#REF!</v>
      </c>
      <c r="DP340" t="e">
        <f>AND('PROG FORMACIÓN TITULADA'!#REF!,"AAAAAE7793c=")</f>
        <v>#REF!</v>
      </c>
      <c r="DQ340" t="e">
        <f>AND('PROG FORMACIÓN TITULADA'!#REF!,"AAAAAE7793g=")</f>
        <v>#REF!</v>
      </c>
      <c r="DR340" t="e">
        <f>AND('PROG FORMACIÓN TITULADA'!#REF!,"AAAAAE7793k=")</f>
        <v>#REF!</v>
      </c>
      <c r="DS340" t="e">
        <f>AND('PROG FORMACIÓN TITULADA'!#REF!,"AAAAAE7793o=")</f>
        <v>#REF!</v>
      </c>
      <c r="DT340" t="e">
        <f>AND('PROG FORMACIÓN TITULADA'!#REF!,"AAAAAE7793s=")</f>
        <v>#REF!</v>
      </c>
      <c r="DU340" t="e">
        <f>AND('PROG FORMACIÓN TITULADA'!#REF!,"AAAAAE7793w=")</f>
        <v>#REF!</v>
      </c>
      <c r="DV340" t="e">
        <f>AND('PROG FORMACIÓN TITULADA'!#REF!,"AAAAAE77930=")</f>
        <v>#REF!</v>
      </c>
      <c r="DW340" t="e">
        <f>AND('PROG FORMACIÓN TITULADA'!#REF!,"AAAAAE77934=")</f>
        <v>#REF!</v>
      </c>
      <c r="DX340" t="e">
        <f>AND('PROG FORMACIÓN TITULADA'!#REF!,"AAAAAE77938=")</f>
        <v>#REF!</v>
      </c>
      <c r="DY340" t="e">
        <f>AND('PROG FORMACIÓN TITULADA'!#REF!,"AAAAAE7794A=")</f>
        <v>#REF!</v>
      </c>
      <c r="DZ340" t="e">
        <f>IF('PROG FORMACIÓN TITULADA'!#REF!,"AAAAAE7794E=",0)</f>
        <v>#REF!</v>
      </c>
      <c r="EA340" t="e">
        <f>AND('PROG FORMACIÓN TITULADA'!#REF!,"AAAAAE7794I=")</f>
        <v>#REF!</v>
      </c>
      <c r="EB340" t="e">
        <f>AND('PROG FORMACIÓN TITULADA'!#REF!,"AAAAAE7794M=")</f>
        <v>#REF!</v>
      </c>
      <c r="EC340" t="e">
        <f>AND('PROG FORMACIÓN TITULADA'!#REF!,"AAAAAE7794Q=")</f>
        <v>#REF!</v>
      </c>
      <c r="ED340" t="e">
        <f>AND('PROG FORMACIÓN TITULADA'!#REF!,"AAAAAE7794U=")</f>
        <v>#REF!</v>
      </c>
      <c r="EE340" t="e">
        <f>AND('PROG FORMACIÓN TITULADA'!#REF!,"AAAAAE7794Y=")</f>
        <v>#REF!</v>
      </c>
      <c r="EF340" t="e">
        <f>AND('PROG FORMACIÓN TITULADA'!#REF!,"AAAAAE7794c=")</f>
        <v>#REF!</v>
      </c>
      <c r="EG340" t="e">
        <f>AND('PROG FORMACIÓN TITULADA'!#REF!,"AAAAAE7794g=")</f>
        <v>#REF!</v>
      </c>
      <c r="EH340" t="e">
        <f>AND('PROG FORMACIÓN TITULADA'!#REF!,"AAAAAE7794k=")</f>
        <v>#REF!</v>
      </c>
      <c r="EI340" t="e">
        <f>AND('PROG FORMACIÓN TITULADA'!#REF!,"AAAAAE7794o=")</f>
        <v>#REF!</v>
      </c>
      <c r="EJ340" t="e">
        <f>AND('PROG FORMACIÓN TITULADA'!#REF!,"AAAAAE7794s=")</f>
        <v>#REF!</v>
      </c>
      <c r="EK340" t="e">
        <f>AND('PROG FORMACIÓN TITULADA'!#REF!,"AAAAAE7794w=")</f>
        <v>#REF!</v>
      </c>
      <c r="EL340" t="e">
        <f>AND('PROG FORMACIÓN TITULADA'!#REF!,"AAAAAE77940=")</f>
        <v>#REF!</v>
      </c>
      <c r="EM340" t="e">
        <f>AND('PROG FORMACIÓN TITULADA'!#REF!,"AAAAAE77944=")</f>
        <v>#REF!</v>
      </c>
      <c r="EN340" t="e">
        <f>AND('PROG FORMACIÓN TITULADA'!#REF!,"AAAAAE77948=")</f>
        <v>#REF!</v>
      </c>
      <c r="EO340" t="e">
        <f>AND('PROG FORMACIÓN TITULADA'!#REF!,"AAAAAE7795A=")</f>
        <v>#REF!</v>
      </c>
      <c r="EP340" t="e">
        <f>AND('PROG FORMACIÓN TITULADA'!#REF!,"AAAAAE7795E=")</f>
        <v>#REF!</v>
      </c>
      <c r="EQ340" t="e">
        <f>AND('PROG FORMACIÓN TITULADA'!#REF!,"AAAAAE7795I=")</f>
        <v>#REF!</v>
      </c>
      <c r="ER340" t="e">
        <f>AND('PROG FORMACIÓN TITULADA'!#REF!,"AAAAAE7795M=")</f>
        <v>#REF!</v>
      </c>
      <c r="ES340" t="e">
        <f>AND('PROG FORMACIÓN TITULADA'!#REF!,"AAAAAE7795Q=")</f>
        <v>#REF!</v>
      </c>
      <c r="ET340" t="e">
        <f>AND('PROG FORMACIÓN TITULADA'!#REF!,"AAAAAE7795U=")</f>
        <v>#REF!</v>
      </c>
      <c r="EU340" t="e">
        <f>AND('PROG FORMACIÓN TITULADA'!#REF!,"AAAAAE7795Y=")</f>
        <v>#REF!</v>
      </c>
      <c r="EV340" t="e">
        <f>AND('PROG FORMACIÓN TITULADA'!#REF!,"AAAAAE7795c=")</f>
        <v>#REF!</v>
      </c>
      <c r="EW340" t="e">
        <f>AND('PROG FORMACIÓN TITULADA'!#REF!,"AAAAAE7795g=")</f>
        <v>#REF!</v>
      </c>
      <c r="EX340" t="e">
        <f>AND('PROG FORMACIÓN TITULADA'!#REF!,"AAAAAE7795k=")</f>
        <v>#REF!</v>
      </c>
      <c r="EY340" t="e">
        <f>AND('PROG FORMACIÓN TITULADA'!#REF!,"AAAAAE7795o=")</f>
        <v>#REF!</v>
      </c>
      <c r="EZ340" t="e">
        <f>AND('PROG FORMACIÓN TITULADA'!#REF!,"AAAAAE7795s=")</f>
        <v>#REF!</v>
      </c>
      <c r="FA340" t="e">
        <f>IF('PROG FORMACIÓN TITULADA'!#REF!,"AAAAAE7795w=",0)</f>
        <v>#REF!</v>
      </c>
      <c r="FB340" t="e">
        <f>AND('PROG FORMACIÓN TITULADA'!#REF!,"AAAAAE77950=")</f>
        <v>#REF!</v>
      </c>
      <c r="FC340" t="e">
        <f>AND('PROG FORMACIÓN TITULADA'!#REF!,"AAAAAE77954=")</f>
        <v>#REF!</v>
      </c>
      <c r="FD340" t="e">
        <f>AND('PROG FORMACIÓN TITULADA'!#REF!,"AAAAAE77958=")</f>
        <v>#REF!</v>
      </c>
      <c r="FE340" t="e">
        <f>AND('PROG FORMACIÓN TITULADA'!#REF!,"AAAAAE7796A=")</f>
        <v>#REF!</v>
      </c>
      <c r="FF340" t="e">
        <f>AND('PROG FORMACIÓN TITULADA'!#REF!,"AAAAAE7796E=")</f>
        <v>#REF!</v>
      </c>
      <c r="FG340" t="e">
        <f>AND('PROG FORMACIÓN TITULADA'!#REF!,"AAAAAE7796I=")</f>
        <v>#REF!</v>
      </c>
      <c r="FH340" t="e">
        <f>AND('PROG FORMACIÓN TITULADA'!#REF!,"AAAAAE7796M=")</f>
        <v>#REF!</v>
      </c>
      <c r="FI340" t="e">
        <f>AND('PROG FORMACIÓN TITULADA'!#REF!,"AAAAAE7796Q=")</f>
        <v>#REF!</v>
      </c>
      <c r="FJ340" t="e">
        <f>AND('PROG FORMACIÓN TITULADA'!#REF!,"AAAAAE7796U=")</f>
        <v>#REF!</v>
      </c>
      <c r="FK340" t="e">
        <f>AND('PROG FORMACIÓN TITULADA'!#REF!,"AAAAAE7796Y=")</f>
        <v>#REF!</v>
      </c>
      <c r="FL340" t="e">
        <f>AND('PROG FORMACIÓN TITULADA'!#REF!,"AAAAAE7796c=")</f>
        <v>#REF!</v>
      </c>
      <c r="FM340" t="e">
        <f>AND('PROG FORMACIÓN TITULADA'!#REF!,"AAAAAE7796g=")</f>
        <v>#REF!</v>
      </c>
      <c r="FN340" t="e">
        <f>AND('PROG FORMACIÓN TITULADA'!#REF!,"AAAAAE7796k=")</f>
        <v>#REF!</v>
      </c>
      <c r="FO340" t="e">
        <f>AND('PROG FORMACIÓN TITULADA'!#REF!,"AAAAAE7796o=")</f>
        <v>#REF!</v>
      </c>
      <c r="FP340" t="e">
        <f>AND('PROG FORMACIÓN TITULADA'!#REF!,"AAAAAE7796s=")</f>
        <v>#REF!</v>
      </c>
      <c r="FQ340" t="e">
        <f>AND('PROG FORMACIÓN TITULADA'!#REF!,"AAAAAE7796w=")</f>
        <v>#REF!</v>
      </c>
      <c r="FR340" t="e">
        <f>AND('PROG FORMACIÓN TITULADA'!#REF!,"AAAAAE77960=")</f>
        <v>#REF!</v>
      </c>
      <c r="FS340" t="e">
        <f>AND('PROG FORMACIÓN TITULADA'!#REF!,"AAAAAE77964=")</f>
        <v>#REF!</v>
      </c>
      <c r="FT340" t="e">
        <f>AND('PROG FORMACIÓN TITULADA'!#REF!,"AAAAAE77968=")</f>
        <v>#REF!</v>
      </c>
      <c r="FU340" t="e">
        <f>AND('PROG FORMACIÓN TITULADA'!#REF!,"AAAAAE7797A=")</f>
        <v>#REF!</v>
      </c>
      <c r="FV340" t="e">
        <f>AND('PROG FORMACIÓN TITULADA'!#REF!,"AAAAAE7797E=")</f>
        <v>#REF!</v>
      </c>
      <c r="FW340" t="e">
        <f>AND('PROG FORMACIÓN TITULADA'!#REF!,"AAAAAE7797I=")</f>
        <v>#REF!</v>
      </c>
      <c r="FX340" t="e">
        <f>AND('PROG FORMACIÓN TITULADA'!#REF!,"AAAAAE7797M=")</f>
        <v>#REF!</v>
      </c>
      <c r="FY340" t="e">
        <f>AND('PROG FORMACIÓN TITULADA'!#REF!,"AAAAAE7797Q=")</f>
        <v>#REF!</v>
      </c>
      <c r="FZ340" t="e">
        <f>AND('PROG FORMACIÓN TITULADA'!#REF!,"AAAAAE7797U=")</f>
        <v>#REF!</v>
      </c>
      <c r="GA340" t="e">
        <f>AND('PROG FORMACIÓN TITULADA'!#REF!,"AAAAAE7797Y=")</f>
        <v>#REF!</v>
      </c>
      <c r="GB340" t="e">
        <f>IF('PROG FORMACIÓN TITULADA'!#REF!,"AAAAAE7797c=",0)</f>
        <v>#REF!</v>
      </c>
      <c r="GC340" t="e">
        <f>AND('PROG FORMACIÓN TITULADA'!#REF!,"AAAAAE7797g=")</f>
        <v>#REF!</v>
      </c>
      <c r="GD340" t="e">
        <f>AND('PROG FORMACIÓN TITULADA'!#REF!,"AAAAAE7797k=")</f>
        <v>#REF!</v>
      </c>
      <c r="GE340" t="e">
        <f>AND('PROG FORMACIÓN TITULADA'!#REF!,"AAAAAE7797o=")</f>
        <v>#REF!</v>
      </c>
      <c r="GF340" t="e">
        <f>AND('PROG FORMACIÓN TITULADA'!#REF!,"AAAAAE7797s=")</f>
        <v>#REF!</v>
      </c>
      <c r="GG340" t="e">
        <f>AND('PROG FORMACIÓN TITULADA'!#REF!,"AAAAAE7797w=")</f>
        <v>#REF!</v>
      </c>
      <c r="GH340" t="e">
        <f>AND('PROG FORMACIÓN TITULADA'!#REF!,"AAAAAE77970=")</f>
        <v>#REF!</v>
      </c>
      <c r="GI340" t="e">
        <f>AND('PROG FORMACIÓN TITULADA'!#REF!,"AAAAAE77974=")</f>
        <v>#REF!</v>
      </c>
      <c r="GJ340" t="e">
        <f>AND('PROG FORMACIÓN TITULADA'!#REF!,"AAAAAE77978=")</f>
        <v>#REF!</v>
      </c>
      <c r="GK340" t="e">
        <f>AND('PROG FORMACIÓN TITULADA'!#REF!,"AAAAAE7798A=")</f>
        <v>#REF!</v>
      </c>
      <c r="GL340" t="e">
        <f>AND('PROG FORMACIÓN TITULADA'!#REF!,"AAAAAE7798E=")</f>
        <v>#REF!</v>
      </c>
      <c r="GM340" t="e">
        <f>AND('PROG FORMACIÓN TITULADA'!#REF!,"AAAAAE7798I=")</f>
        <v>#REF!</v>
      </c>
      <c r="GN340" t="e">
        <f>AND('PROG FORMACIÓN TITULADA'!#REF!,"AAAAAE7798M=")</f>
        <v>#REF!</v>
      </c>
      <c r="GO340" t="e">
        <f>AND('PROG FORMACIÓN TITULADA'!#REF!,"AAAAAE7798Q=")</f>
        <v>#REF!</v>
      </c>
      <c r="GP340" t="e">
        <f>AND('PROG FORMACIÓN TITULADA'!#REF!,"AAAAAE7798U=")</f>
        <v>#REF!</v>
      </c>
      <c r="GQ340" t="e">
        <f>AND('PROG FORMACIÓN TITULADA'!#REF!,"AAAAAE7798Y=")</f>
        <v>#REF!</v>
      </c>
      <c r="GR340" t="e">
        <f>AND('PROG FORMACIÓN TITULADA'!#REF!,"AAAAAE7798c=")</f>
        <v>#REF!</v>
      </c>
      <c r="GS340" t="e">
        <f>AND('PROG FORMACIÓN TITULADA'!#REF!,"AAAAAE7798g=")</f>
        <v>#REF!</v>
      </c>
      <c r="GT340" t="e">
        <f>AND('PROG FORMACIÓN TITULADA'!#REF!,"AAAAAE7798k=")</f>
        <v>#REF!</v>
      </c>
      <c r="GU340" t="e">
        <f>AND('PROG FORMACIÓN TITULADA'!#REF!,"AAAAAE7798o=")</f>
        <v>#REF!</v>
      </c>
      <c r="GV340" t="e">
        <f>AND('PROG FORMACIÓN TITULADA'!#REF!,"AAAAAE7798s=")</f>
        <v>#REF!</v>
      </c>
      <c r="GW340" t="e">
        <f>AND('PROG FORMACIÓN TITULADA'!#REF!,"AAAAAE7798w=")</f>
        <v>#REF!</v>
      </c>
      <c r="GX340" t="e">
        <f>AND('PROG FORMACIÓN TITULADA'!#REF!,"AAAAAE77980=")</f>
        <v>#REF!</v>
      </c>
      <c r="GY340" t="e">
        <f>AND('PROG FORMACIÓN TITULADA'!#REF!,"AAAAAE77984=")</f>
        <v>#REF!</v>
      </c>
      <c r="GZ340" t="e">
        <f>AND('PROG FORMACIÓN TITULADA'!#REF!,"AAAAAE77988=")</f>
        <v>#REF!</v>
      </c>
      <c r="HA340" t="e">
        <f>AND('PROG FORMACIÓN TITULADA'!#REF!,"AAAAAE7799A=")</f>
        <v>#REF!</v>
      </c>
      <c r="HB340" t="e">
        <f>AND('PROG FORMACIÓN TITULADA'!#REF!,"AAAAAE7799E=")</f>
        <v>#REF!</v>
      </c>
      <c r="HC340" t="e">
        <f>IF('PROG FORMACIÓN TITULADA'!#REF!,"AAAAAE7799I=",0)</f>
        <v>#REF!</v>
      </c>
      <c r="HD340" t="e">
        <f>AND('PROG FORMACIÓN TITULADA'!#REF!,"AAAAAE7799M=")</f>
        <v>#REF!</v>
      </c>
      <c r="HE340" t="e">
        <f>AND('PROG FORMACIÓN TITULADA'!#REF!,"AAAAAE7799Q=")</f>
        <v>#REF!</v>
      </c>
      <c r="HF340" t="e">
        <f>AND('PROG FORMACIÓN TITULADA'!#REF!,"AAAAAE7799U=")</f>
        <v>#REF!</v>
      </c>
      <c r="HG340" t="e">
        <f>AND('PROG FORMACIÓN TITULADA'!#REF!,"AAAAAE7799Y=")</f>
        <v>#REF!</v>
      </c>
      <c r="HH340" t="e">
        <f>AND('PROG FORMACIÓN TITULADA'!#REF!,"AAAAAE7799c=")</f>
        <v>#REF!</v>
      </c>
      <c r="HI340" t="e">
        <f>AND('PROG FORMACIÓN TITULADA'!#REF!,"AAAAAE7799g=")</f>
        <v>#REF!</v>
      </c>
      <c r="HJ340" t="e">
        <f>AND('PROG FORMACIÓN TITULADA'!#REF!,"AAAAAE7799k=")</f>
        <v>#REF!</v>
      </c>
      <c r="HK340" t="e">
        <f>AND('PROG FORMACIÓN TITULADA'!#REF!,"AAAAAE7799o=")</f>
        <v>#REF!</v>
      </c>
      <c r="HL340" t="e">
        <f>AND('PROG FORMACIÓN TITULADA'!#REF!,"AAAAAE7799s=")</f>
        <v>#REF!</v>
      </c>
      <c r="HM340" t="e">
        <f>AND('PROG FORMACIÓN TITULADA'!#REF!,"AAAAAE7799w=")</f>
        <v>#REF!</v>
      </c>
      <c r="HN340" t="e">
        <f>AND('PROG FORMACIÓN TITULADA'!#REF!,"AAAAAE77990=")</f>
        <v>#REF!</v>
      </c>
      <c r="HO340" t="e">
        <f>AND('PROG FORMACIÓN TITULADA'!#REF!,"AAAAAE77994=")</f>
        <v>#REF!</v>
      </c>
      <c r="HP340" t="e">
        <f>AND('PROG FORMACIÓN TITULADA'!#REF!,"AAAAAE77998=")</f>
        <v>#REF!</v>
      </c>
      <c r="HQ340" t="e">
        <f>AND('PROG FORMACIÓN TITULADA'!#REF!,"AAAAAE779+A=")</f>
        <v>#REF!</v>
      </c>
      <c r="HR340" t="e">
        <f>AND('PROG FORMACIÓN TITULADA'!#REF!,"AAAAAE779+E=")</f>
        <v>#REF!</v>
      </c>
      <c r="HS340" t="e">
        <f>AND('PROG FORMACIÓN TITULADA'!#REF!,"AAAAAE779+I=")</f>
        <v>#REF!</v>
      </c>
      <c r="HT340" t="e">
        <f>AND('PROG FORMACIÓN TITULADA'!#REF!,"AAAAAE779+M=")</f>
        <v>#REF!</v>
      </c>
      <c r="HU340" t="e">
        <f>AND('PROG FORMACIÓN TITULADA'!#REF!,"AAAAAE779+Q=")</f>
        <v>#REF!</v>
      </c>
      <c r="HV340" t="e">
        <f>AND('PROG FORMACIÓN TITULADA'!#REF!,"AAAAAE779+U=")</f>
        <v>#REF!</v>
      </c>
      <c r="HW340" t="e">
        <f>AND('PROG FORMACIÓN TITULADA'!#REF!,"AAAAAE779+Y=")</f>
        <v>#REF!</v>
      </c>
      <c r="HX340" t="e">
        <f>AND('PROG FORMACIÓN TITULADA'!#REF!,"AAAAAE779+c=")</f>
        <v>#REF!</v>
      </c>
      <c r="HY340" t="e">
        <f>AND('PROG FORMACIÓN TITULADA'!#REF!,"AAAAAE779+g=")</f>
        <v>#REF!</v>
      </c>
      <c r="HZ340" t="e">
        <f>AND('PROG FORMACIÓN TITULADA'!#REF!,"AAAAAE779+k=")</f>
        <v>#REF!</v>
      </c>
      <c r="IA340" t="e">
        <f>AND('PROG FORMACIÓN TITULADA'!#REF!,"AAAAAE779+o=")</f>
        <v>#REF!</v>
      </c>
      <c r="IB340" t="e">
        <f>AND('PROG FORMACIÓN TITULADA'!#REF!,"AAAAAE779+s=")</f>
        <v>#REF!</v>
      </c>
      <c r="IC340" t="e">
        <f>AND('PROG FORMACIÓN TITULADA'!#REF!,"AAAAAE779+w=")</f>
        <v>#REF!</v>
      </c>
      <c r="ID340" t="e">
        <f>IF('PROG FORMACIÓN TITULADA'!#REF!,"AAAAAE779+0=",0)</f>
        <v>#REF!</v>
      </c>
      <c r="IE340" t="e">
        <f>AND('PROG FORMACIÓN TITULADA'!#REF!,"AAAAAE779+4=")</f>
        <v>#REF!</v>
      </c>
      <c r="IF340" t="e">
        <f>AND('PROG FORMACIÓN TITULADA'!#REF!,"AAAAAE779+8=")</f>
        <v>#REF!</v>
      </c>
      <c r="IG340" t="e">
        <f>AND('PROG FORMACIÓN TITULADA'!#REF!,"AAAAAE779/A=")</f>
        <v>#REF!</v>
      </c>
      <c r="IH340" t="e">
        <f>AND('PROG FORMACIÓN TITULADA'!#REF!,"AAAAAE779/E=")</f>
        <v>#REF!</v>
      </c>
      <c r="II340" t="e">
        <f>AND('PROG FORMACIÓN TITULADA'!#REF!,"AAAAAE779/I=")</f>
        <v>#REF!</v>
      </c>
      <c r="IJ340" t="e">
        <f>AND('PROG FORMACIÓN TITULADA'!#REF!,"AAAAAE779/M=")</f>
        <v>#REF!</v>
      </c>
      <c r="IK340" t="e">
        <f>AND('PROG FORMACIÓN TITULADA'!#REF!,"AAAAAE779/Q=")</f>
        <v>#REF!</v>
      </c>
      <c r="IL340" t="e">
        <f>AND('PROG FORMACIÓN TITULADA'!#REF!,"AAAAAE779/U=")</f>
        <v>#REF!</v>
      </c>
      <c r="IM340" t="e">
        <f>AND('PROG FORMACIÓN TITULADA'!#REF!,"AAAAAE779/Y=")</f>
        <v>#REF!</v>
      </c>
      <c r="IN340" t="e">
        <f>AND('PROG FORMACIÓN TITULADA'!#REF!,"AAAAAE779/c=")</f>
        <v>#REF!</v>
      </c>
      <c r="IO340" t="e">
        <f>AND('PROG FORMACIÓN TITULADA'!#REF!,"AAAAAE779/g=")</f>
        <v>#REF!</v>
      </c>
      <c r="IP340" t="e">
        <f>AND('PROG FORMACIÓN TITULADA'!#REF!,"AAAAAE779/k=")</f>
        <v>#REF!</v>
      </c>
      <c r="IQ340" t="e">
        <f>AND('PROG FORMACIÓN TITULADA'!#REF!,"AAAAAE779/o=")</f>
        <v>#REF!</v>
      </c>
      <c r="IR340" t="e">
        <f>AND('PROG FORMACIÓN TITULADA'!#REF!,"AAAAAE779/s=")</f>
        <v>#REF!</v>
      </c>
      <c r="IS340" t="e">
        <f>AND('PROG FORMACIÓN TITULADA'!#REF!,"AAAAAE779/w=")</f>
        <v>#REF!</v>
      </c>
      <c r="IT340" t="e">
        <f>AND('PROG FORMACIÓN TITULADA'!#REF!,"AAAAAE779/0=")</f>
        <v>#REF!</v>
      </c>
      <c r="IU340" t="e">
        <f>AND('PROG FORMACIÓN TITULADA'!#REF!,"AAAAAE779/4=")</f>
        <v>#REF!</v>
      </c>
      <c r="IV340" t="e">
        <f>AND('PROG FORMACIÓN TITULADA'!#REF!,"AAAAAE779/8=")</f>
        <v>#REF!</v>
      </c>
    </row>
    <row r="341" spans="1:256" x14ac:dyDescent="0.2">
      <c r="A341" t="e">
        <f>AND('PROG FORMACIÓN TITULADA'!#REF!,"AAAAAHvTtwA=")</f>
        <v>#REF!</v>
      </c>
      <c r="B341" t="e">
        <f>AND('PROG FORMACIÓN TITULADA'!#REF!,"AAAAAHvTtwE=")</f>
        <v>#REF!</v>
      </c>
      <c r="C341" t="e">
        <f>AND('PROG FORMACIÓN TITULADA'!#REF!,"AAAAAHvTtwI=")</f>
        <v>#REF!</v>
      </c>
      <c r="D341" t="e">
        <f>AND('PROG FORMACIÓN TITULADA'!#REF!,"AAAAAHvTtwM=")</f>
        <v>#REF!</v>
      </c>
      <c r="E341" t="e">
        <f>AND('PROG FORMACIÓN TITULADA'!#REF!,"AAAAAHvTtwQ=")</f>
        <v>#REF!</v>
      </c>
      <c r="F341" t="e">
        <f>AND('PROG FORMACIÓN TITULADA'!#REF!,"AAAAAHvTtwU=")</f>
        <v>#REF!</v>
      </c>
      <c r="G341" t="e">
        <f>AND('PROG FORMACIÓN TITULADA'!#REF!,"AAAAAHvTtwY=")</f>
        <v>#REF!</v>
      </c>
      <c r="H341" t="e">
        <f>AND('PROG FORMACIÓN TITULADA'!#REF!,"AAAAAHvTtwc=")</f>
        <v>#REF!</v>
      </c>
      <c r="I341" t="e">
        <f>IF('PROG FORMACIÓN TITULADA'!#REF!,"AAAAAHvTtwg=",0)</f>
        <v>#REF!</v>
      </c>
      <c r="J341" t="e">
        <f>AND('PROG FORMACIÓN TITULADA'!#REF!,"AAAAAHvTtwk=")</f>
        <v>#REF!</v>
      </c>
      <c r="K341" t="e">
        <f>AND('PROG FORMACIÓN TITULADA'!#REF!,"AAAAAHvTtwo=")</f>
        <v>#REF!</v>
      </c>
      <c r="L341" t="e">
        <f>AND('PROG FORMACIÓN TITULADA'!#REF!,"AAAAAHvTtws=")</f>
        <v>#REF!</v>
      </c>
      <c r="M341" t="e">
        <f>AND('PROG FORMACIÓN TITULADA'!#REF!,"AAAAAHvTtww=")</f>
        <v>#REF!</v>
      </c>
      <c r="N341" t="e">
        <f>AND('PROG FORMACIÓN TITULADA'!#REF!,"AAAAAHvTtw0=")</f>
        <v>#REF!</v>
      </c>
      <c r="O341" t="e">
        <f>AND('PROG FORMACIÓN TITULADA'!#REF!,"AAAAAHvTtw4=")</f>
        <v>#REF!</v>
      </c>
      <c r="P341" t="e">
        <f>AND('PROG FORMACIÓN TITULADA'!#REF!,"AAAAAHvTtw8=")</f>
        <v>#REF!</v>
      </c>
      <c r="Q341" t="e">
        <f>AND('PROG FORMACIÓN TITULADA'!#REF!,"AAAAAHvTtxA=")</f>
        <v>#REF!</v>
      </c>
      <c r="R341" t="e">
        <f>AND('PROG FORMACIÓN TITULADA'!#REF!,"AAAAAHvTtxE=")</f>
        <v>#REF!</v>
      </c>
      <c r="S341" t="e">
        <f>AND('PROG FORMACIÓN TITULADA'!#REF!,"AAAAAHvTtxI=")</f>
        <v>#REF!</v>
      </c>
      <c r="T341" t="e">
        <f>AND('PROG FORMACIÓN TITULADA'!#REF!,"AAAAAHvTtxM=")</f>
        <v>#REF!</v>
      </c>
      <c r="U341" t="e">
        <f>AND('PROG FORMACIÓN TITULADA'!#REF!,"AAAAAHvTtxQ=")</f>
        <v>#REF!</v>
      </c>
      <c r="V341" t="e">
        <f>AND('PROG FORMACIÓN TITULADA'!#REF!,"AAAAAHvTtxU=")</f>
        <v>#REF!</v>
      </c>
      <c r="W341" t="e">
        <f>AND('PROG FORMACIÓN TITULADA'!#REF!,"AAAAAHvTtxY=")</f>
        <v>#REF!</v>
      </c>
      <c r="X341" t="e">
        <f>AND('PROG FORMACIÓN TITULADA'!#REF!,"AAAAAHvTtxc=")</f>
        <v>#REF!</v>
      </c>
      <c r="Y341" t="e">
        <f>AND('PROG FORMACIÓN TITULADA'!#REF!,"AAAAAHvTtxg=")</f>
        <v>#REF!</v>
      </c>
      <c r="Z341" t="e">
        <f>AND('PROG FORMACIÓN TITULADA'!#REF!,"AAAAAHvTtxk=")</f>
        <v>#REF!</v>
      </c>
      <c r="AA341" t="e">
        <f>AND('PROG FORMACIÓN TITULADA'!#REF!,"AAAAAHvTtxo=")</f>
        <v>#REF!</v>
      </c>
      <c r="AB341" t="e">
        <f>AND('PROG FORMACIÓN TITULADA'!#REF!,"AAAAAHvTtxs=")</f>
        <v>#REF!</v>
      </c>
      <c r="AC341" t="e">
        <f>AND('PROG FORMACIÓN TITULADA'!#REF!,"AAAAAHvTtxw=")</f>
        <v>#REF!</v>
      </c>
      <c r="AD341" t="e">
        <f>AND('PROG FORMACIÓN TITULADA'!#REF!,"AAAAAHvTtx0=")</f>
        <v>#REF!</v>
      </c>
      <c r="AE341" t="e">
        <f>AND('PROG FORMACIÓN TITULADA'!#REF!,"AAAAAHvTtx4=")</f>
        <v>#REF!</v>
      </c>
      <c r="AF341" t="e">
        <f>AND('PROG FORMACIÓN TITULADA'!#REF!,"AAAAAHvTtx8=")</f>
        <v>#REF!</v>
      </c>
      <c r="AG341" t="e">
        <f>AND('PROG FORMACIÓN TITULADA'!#REF!,"AAAAAHvTtyA=")</f>
        <v>#REF!</v>
      </c>
      <c r="AH341" t="e">
        <f>AND('PROG FORMACIÓN TITULADA'!#REF!,"AAAAAHvTtyE=")</f>
        <v>#REF!</v>
      </c>
      <c r="AI341" t="e">
        <f>AND('PROG FORMACIÓN TITULADA'!#REF!,"AAAAAHvTtyI=")</f>
        <v>#REF!</v>
      </c>
      <c r="AJ341" t="e">
        <f>IF('PROG FORMACIÓN TITULADA'!#REF!,"AAAAAHvTtyM=",0)</f>
        <v>#REF!</v>
      </c>
      <c r="AK341" t="e">
        <f>AND('PROG FORMACIÓN TITULADA'!#REF!,"AAAAAHvTtyQ=")</f>
        <v>#REF!</v>
      </c>
      <c r="AL341" t="e">
        <f>AND('PROG FORMACIÓN TITULADA'!#REF!,"AAAAAHvTtyU=")</f>
        <v>#REF!</v>
      </c>
      <c r="AM341" t="e">
        <f>AND('PROG FORMACIÓN TITULADA'!#REF!,"AAAAAHvTtyY=")</f>
        <v>#REF!</v>
      </c>
      <c r="AN341" t="e">
        <f>AND('PROG FORMACIÓN TITULADA'!#REF!,"AAAAAHvTtyc=")</f>
        <v>#REF!</v>
      </c>
      <c r="AO341" t="e">
        <f>AND('PROG FORMACIÓN TITULADA'!#REF!,"AAAAAHvTtyg=")</f>
        <v>#REF!</v>
      </c>
      <c r="AP341" t="e">
        <f>AND('PROG FORMACIÓN TITULADA'!#REF!,"AAAAAHvTtyk=")</f>
        <v>#REF!</v>
      </c>
      <c r="AQ341" t="e">
        <f>AND('PROG FORMACIÓN TITULADA'!#REF!,"AAAAAHvTtyo=")</f>
        <v>#REF!</v>
      </c>
      <c r="AR341" t="e">
        <f>AND('PROG FORMACIÓN TITULADA'!#REF!,"AAAAAHvTtys=")</f>
        <v>#REF!</v>
      </c>
      <c r="AS341" t="e">
        <f>AND('PROG FORMACIÓN TITULADA'!#REF!,"AAAAAHvTtyw=")</f>
        <v>#REF!</v>
      </c>
      <c r="AT341" t="e">
        <f>AND('PROG FORMACIÓN TITULADA'!#REF!,"AAAAAHvTty0=")</f>
        <v>#REF!</v>
      </c>
      <c r="AU341" t="e">
        <f>AND('PROG FORMACIÓN TITULADA'!#REF!,"AAAAAHvTty4=")</f>
        <v>#REF!</v>
      </c>
      <c r="AV341" t="e">
        <f>AND('PROG FORMACIÓN TITULADA'!#REF!,"AAAAAHvTty8=")</f>
        <v>#REF!</v>
      </c>
      <c r="AW341" t="e">
        <f>AND('PROG FORMACIÓN TITULADA'!#REF!,"AAAAAHvTtzA=")</f>
        <v>#REF!</v>
      </c>
      <c r="AX341" t="e">
        <f>AND('PROG FORMACIÓN TITULADA'!#REF!,"AAAAAHvTtzE=")</f>
        <v>#REF!</v>
      </c>
      <c r="AY341" t="e">
        <f>AND('PROG FORMACIÓN TITULADA'!#REF!,"AAAAAHvTtzI=")</f>
        <v>#REF!</v>
      </c>
      <c r="AZ341" t="e">
        <f>AND('PROG FORMACIÓN TITULADA'!#REF!,"AAAAAHvTtzM=")</f>
        <v>#REF!</v>
      </c>
      <c r="BA341" t="e">
        <f>AND('PROG FORMACIÓN TITULADA'!#REF!,"AAAAAHvTtzQ=")</f>
        <v>#REF!</v>
      </c>
      <c r="BB341" t="e">
        <f>AND('PROG FORMACIÓN TITULADA'!#REF!,"AAAAAHvTtzU=")</f>
        <v>#REF!</v>
      </c>
      <c r="BC341" t="e">
        <f>AND('PROG FORMACIÓN TITULADA'!#REF!,"AAAAAHvTtzY=")</f>
        <v>#REF!</v>
      </c>
      <c r="BD341" t="e">
        <f>AND('PROG FORMACIÓN TITULADA'!#REF!,"AAAAAHvTtzc=")</f>
        <v>#REF!</v>
      </c>
      <c r="BE341" t="e">
        <f>AND('PROG FORMACIÓN TITULADA'!#REF!,"AAAAAHvTtzg=")</f>
        <v>#REF!</v>
      </c>
      <c r="BF341" t="e">
        <f>AND('PROG FORMACIÓN TITULADA'!#REF!,"AAAAAHvTtzk=")</f>
        <v>#REF!</v>
      </c>
      <c r="BG341" t="e">
        <f>AND('PROG FORMACIÓN TITULADA'!#REF!,"AAAAAHvTtzo=")</f>
        <v>#REF!</v>
      </c>
      <c r="BH341" t="e">
        <f>AND('PROG FORMACIÓN TITULADA'!#REF!,"AAAAAHvTtzs=")</f>
        <v>#REF!</v>
      </c>
      <c r="BI341" t="e">
        <f>AND('PROG FORMACIÓN TITULADA'!#REF!,"AAAAAHvTtzw=")</f>
        <v>#REF!</v>
      </c>
      <c r="BJ341" t="e">
        <f>AND('PROG FORMACIÓN TITULADA'!#REF!,"AAAAAHvTtz0=")</f>
        <v>#REF!</v>
      </c>
      <c r="BK341" t="e">
        <f>IF('PROG FORMACIÓN TITULADA'!#REF!,"AAAAAHvTtz4=",0)</f>
        <v>#REF!</v>
      </c>
      <c r="BL341" t="e">
        <f>AND('PROG FORMACIÓN TITULADA'!#REF!,"AAAAAHvTtz8=")</f>
        <v>#REF!</v>
      </c>
      <c r="BM341" t="e">
        <f>AND('PROG FORMACIÓN TITULADA'!#REF!,"AAAAAHvTt0A=")</f>
        <v>#REF!</v>
      </c>
      <c r="BN341" t="e">
        <f>AND('PROG FORMACIÓN TITULADA'!#REF!,"AAAAAHvTt0E=")</f>
        <v>#REF!</v>
      </c>
      <c r="BO341" t="e">
        <f>AND('PROG FORMACIÓN TITULADA'!#REF!,"AAAAAHvTt0I=")</f>
        <v>#REF!</v>
      </c>
      <c r="BP341" t="e">
        <f>AND('PROG FORMACIÓN TITULADA'!#REF!,"AAAAAHvTt0M=")</f>
        <v>#REF!</v>
      </c>
      <c r="BQ341" t="e">
        <f>AND('PROG FORMACIÓN TITULADA'!#REF!,"AAAAAHvTt0Q=")</f>
        <v>#REF!</v>
      </c>
      <c r="BR341" t="e">
        <f>AND('PROG FORMACIÓN TITULADA'!#REF!,"AAAAAHvTt0U=")</f>
        <v>#REF!</v>
      </c>
      <c r="BS341" t="e">
        <f>AND('PROG FORMACIÓN TITULADA'!#REF!,"AAAAAHvTt0Y=")</f>
        <v>#REF!</v>
      </c>
      <c r="BT341" t="e">
        <f>AND('PROG FORMACIÓN TITULADA'!#REF!,"AAAAAHvTt0c=")</f>
        <v>#REF!</v>
      </c>
      <c r="BU341" t="e">
        <f>AND('PROG FORMACIÓN TITULADA'!#REF!,"AAAAAHvTt0g=")</f>
        <v>#REF!</v>
      </c>
      <c r="BV341" t="e">
        <f>AND('PROG FORMACIÓN TITULADA'!#REF!,"AAAAAHvTt0k=")</f>
        <v>#REF!</v>
      </c>
      <c r="BW341" t="e">
        <f>AND('PROG FORMACIÓN TITULADA'!#REF!,"AAAAAHvTt0o=")</f>
        <v>#REF!</v>
      </c>
      <c r="BX341" t="e">
        <f>AND('PROG FORMACIÓN TITULADA'!#REF!,"AAAAAHvTt0s=")</f>
        <v>#REF!</v>
      </c>
      <c r="BY341" t="e">
        <f>AND('PROG FORMACIÓN TITULADA'!#REF!,"AAAAAHvTt0w=")</f>
        <v>#REF!</v>
      </c>
      <c r="BZ341" t="e">
        <f>AND('PROG FORMACIÓN TITULADA'!#REF!,"AAAAAHvTt00=")</f>
        <v>#REF!</v>
      </c>
      <c r="CA341" t="e">
        <f>AND('PROG FORMACIÓN TITULADA'!#REF!,"AAAAAHvTt04=")</f>
        <v>#REF!</v>
      </c>
      <c r="CB341" t="e">
        <f>AND('PROG FORMACIÓN TITULADA'!#REF!,"AAAAAHvTt08=")</f>
        <v>#REF!</v>
      </c>
      <c r="CC341" t="e">
        <f>AND('PROG FORMACIÓN TITULADA'!#REF!,"AAAAAHvTt1A=")</f>
        <v>#REF!</v>
      </c>
      <c r="CD341" t="e">
        <f>AND('PROG FORMACIÓN TITULADA'!#REF!,"AAAAAHvTt1E=")</f>
        <v>#REF!</v>
      </c>
      <c r="CE341" t="e">
        <f>AND('PROG FORMACIÓN TITULADA'!#REF!,"AAAAAHvTt1I=")</f>
        <v>#REF!</v>
      </c>
      <c r="CF341" t="e">
        <f>AND('PROG FORMACIÓN TITULADA'!#REF!,"AAAAAHvTt1M=")</f>
        <v>#REF!</v>
      </c>
      <c r="CG341" t="e">
        <f>AND('PROG FORMACIÓN TITULADA'!#REF!,"AAAAAHvTt1Q=")</f>
        <v>#REF!</v>
      </c>
      <c r="CH341" t="e">
        <f>AND('PROG FORMACIÓN TITULADA'!#REF!,"AAAAAHvTt1U=")</f>
        <v>#REF!</v>
      </c>
      <c r="CI341" t="e">
        <f>AND('PROG FORMACIÓN TITULADA'!#REF!,"AAAAAHvTt1Y=")</f>
        <v>#REF!</v>
      </c>
      <c r="CJ341" t="e">
        <f>AND('PROG FORMACIÓN TITULADA'!#REF!,"AAAAAHvTt1c=")</f>
        <v>#REF!</v>
      </c>
      <c r="CK341" t="e">
        <f>AND('PROG FORMACIÓN TITULADA'!#REF!,"AAAAAHvTt1g=")</f>
        <v>#REF!</v>
      </c>
      <c r="CL341" t="e">
        <f>IF('PROG FORMACIÓN TITULADA'!#REF!,"AAAAAHvTt1k=",0)</f>
        <v>#REF!</v>
      </c>
      <c r="CM341" t="e">
        <f>AND('PROG FORMACIÓN TITULADA'!#REF!,"AAAAAHvTt1o=")</f>
        <v>#REF!</v>
      </c>
      <c r="CN341" t="e">
        <f>AND('PROG FORMACIÓN TITULADA'!#REF!,"AAAAAHvTt1s=")</f>
        <v>#REF!</v>
      </c>
      <c r="CO341" t="e">
        <f>AND('PROG FORMACIÓN TITULADA'!#REF!,"AAAAAHvTt1w=")</f>
        <v>#REF!</v>
      </c>
      <c r="CP341" t="e">
        <f>AND('PROG FORMACIÓN TITULADA'!#REF!,"AAAAAHvTt10=")</f>
        <v>#REF!</v>
      </c>
      <c r="CQ341" t="e">
        <f>AND('PROG FORMACIÓN TITULADA'!#REF!,"AAAAAHvTt14=")</f>
        <v>#REF!</v>
      </c>
      <c r="CR341" t="e">
        <f>AND('PROG FORMACIÓN TITULADA'!#REF!,"AAAAAHvTt18=")</f>
        <v>#REF!</v>
      </c>
      <c r="CS341" t="e">
        <f>AND('PROG FORMACIÓN TITULADA'!#REF!,"AAAAAHvTt2A=")</f>
        <v>#REF!</v>
      </c>
      <c r="CT341" t="e">
        <f>AND('PROG FORMACIÓN TITULADA'!#REF!,"AAAAAHvTt2E=")</f>
        <v>#REF!</v>
      </c>
      <c r="CU341" t="e">
        <f>AND('PROG FORMACIÓN TITULADA'!#REF!,"AAAAAHvTt2I=")</f>
        <v>#REF!</v>
      </c>
      <c r="CV341" t="e">
        <f>AND('PROG FORMACIÓN TITULADA'!#REF!,"AAAAAHvTt2M=")</f>
        <v>#REF!</v>
      </c>
      <c r="CW341" t="e">
        <f>AND('PROG FORMACIÓN TITULADA'!#REF!,"AAAAAHvTt2Q=")</f>
        <v>#REF!</v>
      </c>
      <c r="CX341" t="e">
        <f>AND('PROG FORMACIÓN TITULADA'!#REF!,"AAAAAHvTt2U=")</f>
        <v>#REF!</v>
      </c>
      <c r="CY341" t="e">
        <f>AND('PROG FORMACIÓN TITULADA'!#REF!,"AAAAAHvTt2Y=")</f>
        <v>#REF!</v>
      </c>
      <c r="CZ341" t="e">
        <f>AND('PROG FORMACIÓN TITULADA'!#REF!,"AAAAAHvTt2c=")</f>
        <v>#REF!</v>
      </c>
      <c r="DA341" t="e">
        <f>AND('PROG FORMACIÓN TITULADA'!#REF!,"AAAAAHvTt2g=")</f>
        <v>#REF!</v>
      </c>
      <c r="DB341" t="e">
        <f>AND('PROG FORMACIÓN TITULADA'!#REF!,"AAAAAHvTt2k=")</f>
        <v>#REF!</v>
      </c>
      <c r="DC341" t="e">
        <f>AND('PROG FORMACIÓN TITULADA'!#REF!,"AAAAAHvTt2o=")</f>
        <v>#REF!</v>
      </c>
      <c r="DD341" t="e">
        <f>AND('PROG FORMACIÓN TITULADA'!#REF!,"AAAAAHvTt2s=")</f>
        <v>#REF!</v>
      </c>
      <c r="DE341" t="e">
        <f>AND('PROG FORMACIÓN TITULADA'!#REF!,"AAAAAHvTt2w=")</f>
        <v>#REF!</v>
      </c>
      <c r="DF341" t="e">
        <f>AND('PROG FORMACIÓN TITULADA'!#REF!,"AAAAAHvTt20=")</f>
        <v>#REF!</v>
      </c>
      <c r="DG341" t="e">
        <f>AND('PROG FORMACIÓN TITULADA'!#REF!,"AAAAAHvTt24=")</f>
        <v>#REF!</v>
      </c>
      <c r="DH341" t="e">
        <f>AND('PROG FORMACIÓN TITULADA'!#REF!,"AAAAAHvTt28=")</f>
        <v>#REF!</v>
      </c>
      <c r="DI341" t="e">
        <f>AND('PROG FORMACIÓN TITULADA'!#REF!,"AAAAAHvTt3A=")</f>
        <v>#REF!</v>
      </c>
      <c r="DJ341" t="e">
        <f>AND('PROG FORMACIÓN TITULADA'!#REF!,"AAAAAHvTt3E=")</f>
        <v>#REF!</v>
      </c>
      <c r="DK341" t="e">
        <f>AND('PROG FORMACIÓN TITULADA'!#REF!,"AAAAAHvTt3I=")</f>
        <v>#REF!</v>
      </c>
      <c r="DL341" t="e">
        <f>AND('PROG FORMACIÓN TITULADA'!#REF!,"AAAAAHvTt3M=")</f>
        <v>#REF!</v>
      </c>
      <c r="DM341" t="e">
        <f>IF('PROG FORMACIÓN TITULADA'!#REF!,"AAAAAHvTt3Q=",0)</f>
        <v>#REF!</v>
      </c>
      <c r="DN341" t="e">
        <f>AND('PROG FORMACIÓN TITULADA'!#REF!,"AAAAAHvTt3U=")</f>
        <v>#REF!</v>
      </c>
      <c r="DO341" t="e">
        <f>AND('PROG FORMACIÓN TITULADA'!#REF!,"AAAAAHvTt3Y=")</f>
        <v>#REF!</v>
      </c>
      <c r="DP341" t="e">
        <f>AND('PROG FORMACIÓN TITULADA'!#REF!,"AAAAAHvTt3c=")</f>
        <v>#REF!</v>
      </c>
      <c r="DQ341" t="e">
        <f>AND('PROG FORMACIÓN TITULADA'!#REF!,"AAAAAHvTt3g=")</f>
        <v>#REF!</v>
      </c>
      <c r="DR341" t="e">
        <f>AND('PROG FORMACIÓN TITULADA'!#REF!,"AAAAAHvTt3k=")</f>
        <v>#REF!</v>
      </c>
      <c r="DS341" t="e">
        <f>AND('PROG FORMACIÓN TITULADA'!#REF!,"AAAAAHvTt3o=")</f>
        <v>#REF!</v>
      </c>
      <c r="DT341" t="e">
        <f>AND('PROG FORMACIÓN TITULADA'!#REF!,"AAAAAHvTt3s=")</f>
        <v>#REF!</v>
      </c>
      <c r="DU341" t="e">
        <f>AND('PROG FORMACIÓN TITULADA'!#REF!,"AAAAAHvTt3w=")</f>
        <v>#REF!</v>
      </c>
      <c r="DV341" t="e">
        <f>AND('PROG FORMACIÓN TITULADA'!#REF!,"AAAAAHvTt30=")</f>
        <v>#REF!</v>
      </c>
      <c r="DW341" t="e">
        <f>AND('PROG FORMACIÓN TITULADA'!#REF!,"AAAAAHvTt34=")</f>
        <v>#REF!</v>
      </c>
      <c r="DX341" t="e">
        <f>AND('PROG FORMACIÓN TITULADA'!#REF!,"AAAAAHvTt38=")</f>
        <v>#REF!</v>
      </c>
      <c r="DY341" t="e">
        <f>AND('PROG FORMACIÓN TITULADA'!#REF!,"AAAAAHvTt4A=")</f>
        <v>#REF!</v>
      </c>
      <c r="DZ341" t="e">
        <f>AND('PROG FORMACIÓN TITULADA'!#REF!,"AAAAAHvTt4E=")</f>
        <v>#REF!</v>
      </c>
      <c r="EA341" t="e">
        <f>AND('PROG FORMACIÓN TITULADA'!#REF!,"AAAAAHvTt4I=")</f>
        <v>#REF!</v>
      </c>
      <c r="EB341" t="e">
        <f>AND('PROG FORMACIÓN TITULADA'!#REF!,"AAAAAHvTt4M=")</f>
        <v>#REF!</v>
      </c>
      <c r="EC341" t="e">
        <f>AND('PROG FORMACIÓN TITULADA'!#REF!,"AAAAAHvTt4Q=")</f>
        <v>#REF!</v>
      </c>
      <c r="ED341" t="e">
        <f>AND('PROG FORMACIÓN TITULADA'!#REF!,"AAAAAHvTt4U=")</f>
        <v>#REF!</v>
      </c>
      <c r="EE341" t="e">
        <f>AND('PROG FORMACIÓN TITULADA'!#REF!,"AAAAAHvTt4Y=")</f>
        <v>#REF!</v>
      </c>
      <c r="EF341" t="e">
        <f>AND('PROG FORMACIÓN TITULADA'!#REF!,"AAAAAHvTt4c=")</f>
        <v>#REF!</v>
      </c>
      <c r="EG341" t="e">
        <f>AND('PROG FORMACIÓN TITULADA'!#REF!,"AAAAAHvTt4g=")</f>
        <v>#REF!</v>
      </c>
      <c r="EH341" t="e">
        <f>AND('PROG FORMACIÓN TITULADA'!#REF!,"AAAAAHvTt4k=")</f>
        <v>#REF!</v>
      </c>
      <c r="EI341" t="e">
        <f>AND('PROG FORMACIÓN TITULADA'!#REF!,"AAAAAHvTt4o=")</f>
        <v>#REF!</v>
      </c>
      <c r="EJ341" t="e">
        <f>AND('PROG FORMACIÓN TITULADA'!#REF!,"AAAAAHvTt4s=")</f>
        <v>#REF!</v>
      </c>
      <c r="EK341" t="e">
        <f>AND('PROG FORMACIÓN TITULADA'!#REF!,"AAAAAHvTt4w=")</f>
        <v>#REF!</v>
      </c>
      <c r="EL341" t="e">
        <f>AND('PROG FORMACIÓN TITULADA'!#REF!,"AAAAAHvTt40=")</f>
        <v>#REF!</v>
      </c>
      <c r="EM341" t="e">
        <f>AND('PROG FORMACIÓN TITULADA'!#REF!,"AAAAAHvTt44=")</f>
        <v>#REF!</v>
      </c>
      <c r="EN341" t="e">
        <f>IF('PROG FORMACIÓN TITULADA'!#REF!,"AAAAAHvTt48=",0)</f>
        <v>#REF!</v>
      </c>
      <c r="EO341" t="e">
        <f>AND('PROG FORMACIÓN TITULADA'!#REF!,"AAAAAHvTt5A=")</f>
        <v>#REF!</v>
      </c>
      <c r="EP341" t="e">
        <f>AND('PROG FORMACIÓN TITULADA'!#REF!,"AAAAAHvTt5E=")</f>
        <v>#REF!</v>
      </c>
      <c r="EQ341" t="e">
        <f>AND('PROG FORMACIÓN TITULADA'!#REF!,"AAAAAHvTt5I=")</f>
        <v>#REF!</v>
      </c>
      <c r="ER341" t="e">
        <f>AND('PROG FORMACIÓN TITULADA'!#REF!,"AAAAAHvTt5M=")</f>
        <v>#REF!</v>
      </c>
      <c r="ES341" t="e">
        <f>AND('PROG FORMACIÓN TITULADA'!#REF!,"AAAAAHvTt5Q=")</f>
        <v>#REF!</v>
      </c>
      <c r="ET341" t="e">
        <f>AND('PROG FORMACIÓN TITULADA'!#REF!,"AAAAAHvTt5U=")</f>
        <v>#REF!</v>
      </c>
      <c r="EU341" t="e">
        <f>AND('PROG FORMACIÓN TITULADA'!#REF!,"AAAAAHvTt5Y=")</f>
        <v>#REF!</v>
      </c>
      <c r="EV341" t="e">
        <f>AND('PROG FORMACIÓN TITULADA'!#REF!,"AAAAAHvTt5c=")</f>
        <v>#REF!</v>
      </c>
      <c r="EW341" t="e">
        <f>AND('PROG FORMACIÓN TITULADA'!#REF!,"AAAAAHvTt5g=")</f>
        <v>#REF!</v>
      </c>
      <c r="EX341" t="e">
        <f>AND('PROG FORMACIÓN TITULADA'!#REF!,"AAAAAHvTt5k=")</f>
        <v>#REF!</v>
      </c>
      <c r="EY341" t="e">
        <f>AND('PROG FORMACIÓN TITULADA'!#REF!,"AAAAAHvTt5o=")</f>
        <v>#REF!</v>
      </c>
      <c r="EZ341" t="e">
        <f>AND('PROG FORMACIÓN TITULADA'!#REF!,"AAAAAHvTt5s=")</f>
        <v>#REF!</v>
      </c>
      <c r="FA341" t="e">
        <f>AND('PROG FORMACIÓN TITULADA'!#REF!,"AAAAAHvTt5w=")</f>
        <v>#REF!</v>
      </c>
      <c r="FB341" t="e">
        <f>AND('PROG FORMACIÓN TITULADA'!#REF!,"AAAAAHvTt50=")</f>
        <v>#REF!</v>
      </c>
      <c r="FC341" t="e">
        <f>AND('PROG FORMACIÓN TITULADA'!#REF!,"AAAAAHvTt54=")</f>
        <v>#REF!</v>
      </c>
      <c r="FD341" t="e">
        <f>AND('PROG FORMACIÓN TITULADA'!#REF!,"AAAAAHvTt58=")</f>
        <v>#REF!</v>
      </c>
      <c r="FE341" t="e">
        <f>AND('PROG FORMACIÓN TITULADA'!#REF!,"AAAAAHvTt6A=")</f>
        <v>#REF!</v>
      </c>
      <c r="FF341" t="e">
        <f>AND('PROG FORMACIÓN TITULADA'!#REF!,"AAAAAHvTt6E=")</f>
        <v>#REF!</v>
      </c>
      <c r="FG341" t="e">
        <f>AND('PROG FORMACIÓN TITULADA'!#REF!,"AAAAAHvTt6I=")</f>
        <v>#REF!</v>
      </c>
      <c r="FH341" t="e">
        <f>AND('PROG FORMACIÓN TITULADA'!#REF!,"AAAAAHvTt6M=")</f>
        <v>#REF!</v>
      </c>
      <c r="FI341" t="e">
        <f>AND('PROG FORMACIÓN TITULADA'!#REF!,"AAAAAHvTt6Q=")</f>
        <v>#REF!</v>
      </c>
      <c r="FJ341" t="e">
        <f>AND('PROG FORMACIÓN TITULADA'!#REF!,"AAAAAHvTt6U=")</f>
        <v>#REF!</v>
      </c>
      <c r="FK341" t="e">
        <f>AND('PROG FORMACIÓN TITULADA'!#REF!,"AAAAAHvTt6Y=")</f>
        <v>#REF!</v>
      </c>
      <c r="FL341" t="e">
        <f>AND('PROG FORMACIÓN TITULADA'!#REF!,"AAAAAHvTt6c=")</f>
        <v>#REF!</v>
      </c>
      <c r="FM341" t="e">
        <f>AND('PROG FORMACIÓN TITULADA'!#REF!,"AAAAAHvTt6g=")</f>
        <v>#REF!</v>
      </c>
      <c r="FN341" t="e">
        <f>AND('PROG FORMACIÓN TITULADA'!#REF!,"AAAAAHvTt6k=")</f>
        <v>#REF!</v>
      </c>
      <c r="FO341" t="e">
        <f>IF('PROG FORMACIÓN TITULADA'!#REF!,"AAAAAHvTt6o=",0)</f>
        <v>#REF!</v>
      </c>
      <c r="FP341" t="e">
        <f>AND('PROG FORMACIÓN TITULADA'!#REF!,"AAAAAHvTt6s=")</f>
        <v>#REF!</v>
      </c>
      <c r="FQ341" t="e">
        <f>AND('PROG FORMACIÓN TITULADA'!#REF!,"AAAAAHvTt6w=")</f>
        <v>#REF!</v>
      </c>
      <c r="FR341" t="e">
        <f>AND('PROG FORMACIÓN TITULADA'!#REF!,"AAAAAHvTt60=")</f>
        <v>#REF!</v>
      </c>
      <c r="FS341" t="e">
        <f>AND('PROG FORMACIÓN TITULADA'!#REF!,"AAAAAHvTt64=")</f>
        <v>#REF!</v>
      </c>
      <c r="FT341" t="e">
        <f>AND('PROG FORMACIÓN TITULADA'!#REF!,"AAAAAHvTt68=")</f>
        <v>#REF!</v>
      </c>
      <c r="FU341" t="e">
        <f>AND('PROG FORMACIÓN TITULADA'!#REF!,"AAAAAHvTt7A=")</f>
        <v>#REF!</v>
      </c>
      <c r="FV341" t="e">
        <f>AND('PROG FORMACIÓN TITULADA'!#REF!,"AAAAAHvTt7E=")</f>
        <v>#REF!</v>
      </c>
      <c r="FW341" t="e">
        <f>AND('PROG FORMACIÓN TITULADA'!#REF!,"AAAAAHvTt7I=")</f>
        <v>#REF!</v>
      </c>
      <c r="FX341" t="e">
        <f>AND('PROG FORMACIÓN TITULADA'!#REF!,"AAAAAHvTt7M=")</f>
        <v>#REF!</v>
      </c>
      <c r="FY341" t="e">
        <f>AND('PROG FORMACIÓN TITULADA'!#REF!,"AAAAAHvTt7Q=")</f>
        <v>#REF!</v>
      </c>
      <c r="FZ341" t="e">
        <f>AND('PROG FORMACIÓN TITULADA'!#REF!,"AAAAAHvTt7U=")</f>
        <v>#REF!</v>
      </c>
      <c r="GA341" t="e">
        <f>AND('PROG FORMACIÓN TITULADA'!#REF!,"AAAAAHvTt7Y=")</f>
        <v>#REF!</v>
      </c>
      <c r="GB341" t="e">
        <f>AND('PROG FORMACIÓN TITULADA'!#REF!,"AAAAAHvTt7c=")</f>
        <v>#REF!</v>
      </c>
      <c r="GC341" t="e">
        <f>AND('PROG FORMACIÓN TITULADA'!#REF!,"AAAAAHvTt7g=")</f>
        <v>#REF!</v>
      </c>
      <c r="GD341" t="e">
        <f>AND('PROG FORMACIÓN TITULADA'!#REF!,"AAAAAHvTt7k=")</f>
        <v>#REF!</v>
      </c>
      <c r="GE341" t="e">
        <f>AND('PROG FORMACIÓN TITULADA'!#REF!,"AAAAAHvTt7o=")</f>
        <v>#REF!</v>
      </c>
      <c r="GF341" t="e">
        <f>AND('PROG FORMACIÓN TITULADA'!#REF!,"AAAAAHvTt7s=")</f>
        <v>#REF!</v>
      </c>
      <c r="GG341" t="e">
        <f>AND('PROG FORMACIÓN TITULADA'!#REF!,"AAAAAHvTt7w=")</f>
        <v>#REF!</v>
      </c>
      <c r="GH341" t="e">
        <f>AND('PROG FORMACIÓN TITULADA'!#REF!,"AAAAAHvTt70=")</f>
        <v>#REF!</v>
      </c>
      <c r="GI341" t="e">
        <f>AND('PROG FORMACIÓN TITULADA'!#REF!,"AAAAAHvTt74=")</f>
        <v>#REF!</v>
      </c>
      <c r="GJ341" t="e">
        <f>AND('PROG FORMACIÓN TITULADA'!#REF!,"AAAAAHvTt78=")</f>
        <v>#REF!</v>
      </c>
      <c r="GK341" t="e">
        <f>AND('PROG FORMACIÓN TITULADA'!#REF!,"AAAAAHvTt8A=")</f>
        <v>#REF!</v>
      </c>
      <c r="GL341" t="e">
        <f>AND('PROG FORMACIÓN TITULADA'!#REF!,"AAAAAHvTt8E=")</f>
        <v>#REF!</v>
      </c>
      <c r="GM341" t="e">
        <f>AND('PROG FORMACIÓN TITULADA'!#REF!,"AAAAAHvTt8I=")</f>
        <v>#REF!</v>
      </c>
      <c r="GN341" t="e">
        <f>AND('PROG FORMACIÓN TITULADA'!#REF!,"AAAAAHvTt8M=")</f>
        <v>#REF!</v>
      </c>
      <c r="GO341" t="e">
        <f>AND('PROG FORMACIÓN TITULADA'!#REF!,"AAAAAHvTt8Q=")</f>
        <v>#REF!</v>
      </c>
      <c r="GP341" t="e">
        <f>IF('PROG FORMACIÓN TITULADA'!#REF!,"AAAAAHvTt8U=",0)</f>
        <v>#REF!</v>
      </c>
      <c r="GQ341" t="e">
        <f>AND('PROG FORMACIÓN TITULADA'!#REF!,"AAAAAHvTt8Y=")</f>
        <v>#REF!</v>
      </c>
      <c r="GR341" t="e">
        <f>AND('PROG FORMACIÓN TITULADA'!#REF!,"AAAAAHvTt8c=")</f>
        <v>#REF!</v>
      </c>
      <c r="GS341" t="e">
        <f>AND('PROG FORMACIÓN TITULADA'!#REF!,"AAAAAHvTt8g=")</f>
        <v>#REF!</v>
      </c>
      <c r="GT341" t="e">
        <f>AND('PROG FORMACIÓN TITULADA'!#REF!,"AAAAAHvTt8k=")</f>
        <v>#REF!</v>
      </c>
      <c r="GU341" t="e">
        <f>AND('PROG FORMACIÓN TITULADA'!#REF!,"AAAAAHvTt8o=")</f>
        <v>#REF!</v>
      </c>
      <c r="GV341" t="e">
        <f>AND('PROG FORMACIÓN TITULADA'!#REF!,"AAAAAHvTt8s=")</f>
        <v>#REF!</v>
      </c>
      <c r="GW341" t="e">
        <f>AND('PROG FORMACIÓN TITULADA'!#REF!,"AAAAAHvTt8w=")</f>
        <v>#REF!</v>
      </c>
      <c r="GX341" t="e">
        <f>AND('PROG FORMACIÓN TITULADA'!#REF!,"AAAAAHvTt80=")</f>
        <v>#REF!</v>
      </c>
      <c r="GY341" t="e">
        <f>AND('PROG FORMACIÓN TITULADA'!#REF!,"AAAAAHvTt84=")</f>
        <v>#REF!</v>
      </c>
      <c r="GZ341" t="e">
        <f>AND('PROG FORMACIÓN TITULADA'!#REF!,"AAAAAHvTt88=")</f>
        <v>#REF!</v>
      </c>
      <c r="HA341" t="e">
        <f>AND('PROG FORMACIÓN TITULADA'!#REF!,"AAAAAHvTt9A=")</f>
        <v>#REF!</v>
      </c>
      <c r="HB341" t="e">
        <f>AND('PROG FORMACIÓN TITULADA'!#REF!,"AAAAAHvTt9E=")</f>
        <v>#REF!</v>
      </c>
      <c r="HC341" t="e">
        <f>AND('PROG FORMACIÓN TITULADA'!#REF!,"AAAAAHvTt9I=")</f>
        <v>#REF!</v>
      </c>
      <c r="HD341" t="e">
        <f>AND('PROG FORMACIÓN TITULADA'!#REF!,"AAAAAHvTt9M=")</f>
        <v>#REF!</v>
      </c>
      <c r="HE341" t="e">
        <f>AND('PROG FORMACIÓN TITULADA'!#REF!,"AAAAAHvTt9Q=")</f>
        <v>#REF!</v>
      </c>
      <c r="HF341" t="e">
        <f>AND('PROG FORMACIÓN TITULADA'!#REF!,"AAAAAHvTt9U=")</f>
        <v>#REF!</v>
      </c>
      <c r="HG341" t="e">
        <f>AND('PROG FORMACIÓN TITULADA'!#REF!,"AAAAAHvTt9Y=")</f>
        <v>#REF!</v>
      </c>
      <c r="HH341" t="e">
        <f>AND('PROG FORMACIÓN TITULADA'!#REF!,"AAAAAHvTt9c=")</f>
        <v>#REF!</v>
      </c>
      <c r="HI341" t="e">
        <f>AND('PROG FORMACIÓN TITULADA'!#REF!,"AAAAAHvTt9g=")</f>
        <v>#REF!</v>
      </c>
      <c r="HJ341" t="e">
        <f>AND('PROG FORMACIÓN TITULADA'!#REF!,"AAAAAHvTt9k=")</f>
        <v>#REF!</v>
      </c>
      <c r="HK341" t="e">
        <f>AND('PROG FORMACIÓN TITULADA'!#REF!,"AAAAAHvTt9o=")</f>
        <v>#REF!</v>
      </c>
      <c r="HL341" t="e">
        <f>AND('PROG FORMACIÓN TITULADA'!#REF!,"AAAAAHvTt9s=")</f>
        <v>#REF!</v>
      </c>
      <c r="HM341" t="e">
        <f>AND('PROG FORMACIÓN TITULADA'!#REF!,"AAAAAHvTt9w=")</f>
        <v>#REF!</v>
      </c>
      <c r="HN341" t="e">
        <f>AND('PROG FORMACIÓN TITULADA'!#REF!,"AAAAAHvTt90=")</f>
        <v>#REF!</v>
      </c>
      <c r="HO341" t="e">
        <f>AND('PROG FORMACIÓN TITULADA'!#REF!,"AAAAAHvTt94=")</f>
        <v>#REF!</v>
      </c>
      <c r="HP341" t="e">
        <f>AND('PROG FORMACIÓN TITULADA'!#REF!,"AAAAAHvTt98=")</f>
        <v>#REF!</v>
      </c>
      <c r="HQ341" t="e">
        <f>IF('PROG FORMACIÓN TITULADA'!#REF!,"AAAAAHvTt+A=",0)</f>
        <v>#REF!</v>
      </c>
      <c r="HR341" t="e">
        <f>AND('PROG FORMACIÓN TITULADA'!#REF!,"AAAAAHvTt+E=")</f>
        <v>#REF!</v>
      </c>
      <c r="HS341" t="e">
        <f>AND('PROG FORMACIÓN TITULADA'!#REF!,"AAAAAHvTt+I=")</f>
        <v>#REF!</v>
      </c>
      <c r="HT341" t="e">
        <f>AND('PROG FORMACIÓN TITULADA'!#REF!,"AAAAAHvTt+M=")</f>
        <v>#REF!</v>
      </c>
      <c r="HU341" t="e">
        <f>AND('PROG FORMACIÓN TITULADA'!#REF!,"AAAAAHvTt+Q=")</f>
        <v>#REF!</v>
      </c>
      <c r="HV341" t="e">
        <f>AND('PROG FORMACIÓN TITULADA'!#REF!,"AAAAAHvTt+U=")</f>
        <v>#REF!</v>
      </c>
      <c r="HW341" t="e">
        <f>AND('PROG FORMACIÓN TITULADA'!#REF!,"AAAAAHvTt+Y=")</f>
        <v>#REF!</v>
      </c>
      <c r="HX341" t="e">
        <f>AND('PROG FORMACIÓN TITULADA'!#REF!,"AAAAAHvTt+c=")</f>
        <v>#REF!</v>
      </c>
      <c r="HY341" t="e">
        <f>AND('PROG FORMACIÓN TITULADA'!#REF!,"AAAAAHvTt+g=")</f>
        <v>#REF!</v>
      </c>
      <c r="HZ341" t="e">
        <f>AND('PROG FORMACIÓN TITULADA'!#REF!,"AAAAAHvTt+k=")</f>
        <v>#REF!</v>
      </c>
      <c r="IA341" t="e">
        <f>AND('PROG FORMACIÓN TITULADA'!#REF!,"AAAAAHvTt+o=")</f>
        <v>#REF!</v>
      </c>
      <c r="IB341" t="e">
        <f>AND('PROG FORMACIÓN TITULADA'!#REF!,"AAAAAHvTt+s=")</f>
        <v>#REF!</v>
      </c>
      <c r="IC341" t="e">
        <f>AND('PROG FORMACIÓN TITULADA'!#REF!,"AAAAAHvTt+w=")</f>
        <v>#REF!</v>
      </c>
      <c r="ID341" t="e">
        <f>AND('PROG FORMACIÓN TITULADA'!#REF!,"AAAAAHvTt+0=")</f>
        <v>#REF!</v>
      </c>
      <c r="IE341" t="e">
        <f>AND('PROG FORMACIÓN TITULADA'!#REF!,"AAAAAHvTt+4=")</f>
        <v>#REF!</v>
      </c>
      <c r="IF341" t="e">
        <f>AND('PROG FORMACIÓN TITULADA'!#REF!,"AAAAAHvTt+8=")</f>
        <v>#REF!</v>
      </c>
      <c r="IG341" t="e">
        <f>AND('PROG FORMACIÓN TITULADA'!#REF!,"AAAAAHvTt/A=")</f>
        <v>#REF!</v>
      </c>
      <c r="IH341" t="e">
        <f>AND('PROG FORMACIÓN TITULADA'!#REF!,"AAAAAHvTt/E=")</f>
        <v>#REF!</v>
      </c>
      <c r="II341" t="e">
        <f>AND('PROG FORMACIÓN TITULADA'!#REF!,"AAAAAHvTt/I=")</f>
        <v>#REF!</v>
      </c>
      <c r="IJ341" t="e">
        <f>AND('PROG FORMACIÓN TITULADA'!#REF!,"AAAAAHvTt/M=")</f>
        <v>#REF!</v>
      </c>
      <c r="IK341" t="e">
        <f>AND('PROG FORMACIÓN TITULADA'!#REF!,"AAAAAHvTt/Q=")</f>
        <v>#REF!</v>
      </c>
      <c r="IL341" t="e">
        <f>AND('PROG FORMACIÓN TITULADA'!#REF!,"AAAAAHvTt/U=")</f>
        <v>#REF!</v>
      </c>
      <c r="IM341" t="e">
        <f>AND('PROG FORMACIÓN TITULADA'!#REF!,"AAAAAHvTt/Y=")</f>
        <v>#REF!</v>
      </c>
      <c r="IN341" t="e">
        <f>AND('PROG FORMACIÓN TITULADA'!#REF!,"AAAAAHvTt/c=")</f>
        <v>#REF!</v>
      </c>
      <c r="IO341" t="e">
        <f>AND('PROG FORMACIÓN TITULADA'!#REF!,"AAAAAHvTt/g=")</f>
        <v>#REF!</v>
      </c>
      <c r="IP341" t="e">
        <f>AND('PROG FORMACIÓN TITULADA'!#REF!,"AAAAAHvTt/k=")</f>
        <v>#REF!</v>
      </c>
      <c r="IQ341" t="e">
        <f>AND('PROG FORMACIÓN TITULADA'!#REF!,"AAAAAHvTt/o=")</f>
        <v>#REF!</v>
      </c>
      <c r="IR341" t="e">
        <f>IF('PROG FORMACIÓN TITULADA'!#REF!,"AAAAAHvTt/s=",0)</f>
        <v>#REF!</v>
      </c>
      <c r="IS341" t="e">
        <f>AND('PROG FORMACIÓN TITULADA'!#REF!,"AAAAAHvTt/w=")</f>
        <v>#REF!</v>
      </c>
      <c r="IT341" t="e">
        <f>AND('PROG FORMACIÓN TITULADA'!#REF!,"AAAAAHvTt/0=")</f>
        <v>#REF!</v>
      </c>
      <c r="IU341" t="e">
        <f>AND('PROG FORMACIÓN TITULADA'!#REF!,"AAAAAHvTt/4=")</f>
        <v>#REF!</v>
      </c>
      <c r="IV341" t="e">
        <f>AND('PROG FORMACIÓN TITULADA'!#REF!,"AAAAAHvTt/8=")</f>
        <v>#REF!</v>
      </c>
    </row>
    <row r="342" spans="1:256" x14ac:dyDescent="0.2">
      <c r="A342" t="e">
        <f>AND('PROG FORMACIÓN TITULADA'!#REF!,"AAAAAH5//gA=")</f>
        <v>#REF!</v>
      </c>
      <c r="B342" t="e">
        <f>AND('PROG FORMACIÓN TITULADA'!#REF!,"AAAAAH5//gE=")</f>
        <v>#REF!</v>
      </c>
      <c r="C342" t="e">
        <f>AND('PROG FORMACIÓN TITULADA'!#REF!,"AAAAAH5//gI=")</f>
        <v>#REF!</v>
      </c>
      <c r="D342" t="e">
        <f>AND('PROG FORMACIÓN TITULADA'!#REF!,"AAAAAH5//gM=")</f>
        <v>#REF!</v>
      </c>
      <c r="E342" t="e">
        <f>AND('PROG FORMACIÓN TITULADA'!#REF!,"AAAAAH5//gQ=")</f>
        <v>#REF!</v>
      </c>
      <c r="F342" t="e">
        <f>AND('PROG FORMACIÓN TITULADA'!#REF!,"AAAAAH5//gU=")</f>
        <v>#REF!</v>
      </c>
      <c r="G342" t="e">
        <f>AND('PROG FORMACIÓN TITULADA'!#REF!,"AAAAAH5//gY=")</f>
        <v>#REF!</v>
      </c>
      <c r="H342" t="e">
        <f>AND('PROG FORMACIÓN TITULADA'!#REF!,"AAAAAH5//gc=")</f>
        <v>#REF!</v>
      </c>
      <c r="I342" t="e">
        <f>AND('PROG FORMACIÓN TITULADA'!#REF!,"AAAAAH5//gg=")</f>
        <v>#REF!</v>
      </c>
      <c r="J342" t="e">
        <f>AND('PROG FORMACIÓN TITULADA'!#REF!,"AAAAAH5//gk=")</f>
        <v>#REF!</v>
      </c>
      <c r="K342" t="e">
        <f>AND('PROG FORMACIÓN TITULADA'!#REF!,"AAAAAH5//go=")</f>
        <v>#REF!</v>
      </c>
      <c r="L342" t="e">
        <f>AND('PROG FORMACIÓN TITULADA'!#REF!,"AAAAAH5//gs=")</f>
        <v>#REF!</v>
      </c>
      <c r="M342" t="e">
        <f>AND('PROG FORMACIÓN TITULADA'!#REF!,"AAAAAH5//gw=")</f>
        <v>#REF!</v>
      </c>
      <c r="N342" t="e">
        <f>AND('PROG FORMACIÓN TITULADA'!#REF!,"AAAAAH5//g0=")</f>
        <v>#REF!</v>
      </c>
      <c r="O342" t="e">
        <f>AND('PROG FORMACIÓN TITULADA'!#REF!,"AAAAAH5//g4=")</f>
        <v>#REF!</v>
      </c>
      <c r="P342" t="e">
        <f>AND('PROG FORMACIÓN TITULADA'!#REF!,"AAAAAH5//g8=")</f>
        <v>#REF!</v>
      </c>
      <c r="Q342" t="e">
        <f>AND('PROG FORMACIÓN TITULADA'!#REF!,"AAAAAH5//hA=")</f>
        <v>#REF!</v>
      </c>
      <c r="R342" t="e">
        <f>AND('PROG FORMACIÓN TITULADA'!#REF!,"AAAAAH5//hE=")</f>
        <v>#REF!</v>
      </c>
      <c r="S342" t="e">
        <f>AND('PROG FORMACIÓN TITULADA'!#REF!,"AAAAAH5//hI=")</f>
        <v>#REF!</v>
      </c>
      <c r="T342" t="e">
        <f>AND('PROG FORMACIÓN TITULADA'!#REF!,"AAAAAH5//hM=")</f>
        <v>#REF!</v>
      </c>
      <c r="U342" t="e">
        <f>AND('PROG FORMACIÓN TITULADA'!#REF!,"AAAAAH5//hQ=")</f>
        <v>#REF!</v>
      </c>
      <c r="V342" t="e">
        <f>AND('PROG FORMACIÓN TITULADA'!#REF!,"AAAAAH5//hU=")</f>
        <v>#REF!</v>
      </c>
      <c r="W342" t="e">
        <f>IF('PROG FORMACIÓN TITULADA'!#REF!,"AAAAAH5//hY=",0)</f>
        <v>#REF!</v>
      </c>
      <c r="X342" t="e">
        <f>AND('PROG FORMACIÓN TITULADA'!#REF!,"AAAAAH5//hc=")</f>
        <v>#REF!</v>
      </c>
      <c r="Y342" t="e">
        <f>AND('PROG FORMACIÓN TITULADA'!#REF!,"AAAAAH5//hg=")</f>
        <v>#REF!</v>
      </c>
      <c r="Z342" t="e">
        <f>AND('PROG FORMACIÓN TITULADA'!#REF!,"AAAAAH5//hk=")</f>
        <v>#REF!</v>
      </c>
      <c r="AA342" t="e">
        <f>AND('PROG FORMACIÓN TITULADA'!#REF!,"AAAAAH5//ho=")</f>
        <v>#REF!</v>
      </c>
      <c r="AB342" t="e">
        <f>AND('PROG FORMACIÓN TITULADA'!#REF!,"AAAAAH5//hs=")</f>
        <v>#REF!</v>
      </c>
      <c r="AC342" t="e">
        <f>AND('PROG FORMACIÓN TITULADA'!#REF!,"AAAAAH5//hw=")</f>
        <v>#REF!</v>
      </c>
      <c r="AD342" t="e">
        <f>AND('PROG FORMACIÓN TITULADA'!#REF!,"AAAAAH5//h0=")</f>
        <v>#REF!</v>
      </c>
      <c r="AE342" t="e">
        <f>AND('PROG FORMACIÓN TITULADA'!#REF!,"AAAAAH5//h4=")</f>
        <v>#REF!</v>
      </c>
      <c r="AF342" t="e">
        <f>AND('PROG FORMACIÓN TITULADA'!#REF!,"AAAAAH5//h8=")</f>
        <v>#REF!</v>
      </c>
      <c r="AG342" t="e">
        <f>AND('PROG FORMACIÓN TITULADA'!#REF!,"AAAAAH5//iA=")</f>
        <v>#REF!</v>
      </c>
      <c r="AH342" t="e">
        <f>AND('PROG FORMACIÓN TITULADA'!#REF!,"AAAAAH5//iE=")</f>
        <v>#REF!</v>
      </c>
      <c r="AI342" t="e">
        <f>AND('PROG FORMACIÓN TITULADA'!#REF!,"AAAAAH5//iI=")</f>
        <v>#REF!</v>
      </c>
      <c r="AJ342" t="e">
        <f>AND('PROG FORMACIÓN TITULADA'!#REF!,"AAAAAH5//iM=")</f>
        <v>#REF!</v>
      </c>
      <c r="AK342" t="e">
        <f>AND('PROG FORMACIÓN TITULADA'!#REF!,"AAAAAH5//iQ=")</f>
        <v>#REF!</v>
      </c>
      <c r="AL342" t="e">
        <f>AND('PROG FORMACIÓN TITULADA'!#REF!,"AAAAAH5//iU=")</f>
        <v>#REF!</v>
      </c>
      <c r="AM342" t="e">
        <f>AND('PROG FORMACIÓN TITULADA'!#REF!,"AAAAAH5//iY=")</f>
        <v>#REF!</v>
      </c>
      <c r="AN342" t="e">
        <f>AND('PROG FORMACIÓN TITULADA'!#REF!,"AAAAAH5//ic=")</f>
        <v>#REF!</v>
      </c>
      <c r="AO342" t="e">
        <f>AND('PROG FORMACIÓN TITULADA'!#REF!,"AAAAAH5//ig=")</f>
        <v>#REF!</v>
      </c>
      <c r="AP342" t="e">
        <f>AND('PROG FORMACIÓN TITULADA'!#REF!,"AAAAAH5//ik=")</f>
        <v>#REF!</v>
      </c>
      <c r="AQ342" t="e">
        <f>AND('PROG FORMACIÓN TITULADA'!#REF!,"AAAAAH5//io=")</f>
        <v>#REF!</v>
      </c>
      <c r="AR342" t="e">
        <f>AND('PROG FORMACIÓN TITULADA'!#REF!,"AAAAAH5//is=")</f>
        <v>#REF!</v>
      </c>
      <c r="AS342" t="e">
        <f>AND('PROG FORMACIÓN TITULADA'!#REF!,"AAAAAH5//iw=")</f>
        <v>#REF!</v>
      </c>
      <c r="AT342" t="e">
        <f>AND('PROG FORMACIÓN TITULADA'!#REF!,"AAAAAH5//i0=")</f>
        <v>#REF!</v>
      </c>
      <c r="AU342" t="e">
        <f>AND('PROG FORMACIÓN TITULADA'!#REF!,"AAAAAH5//i4=")</f>
        <v>#REF!</v>
      </c>
      <c r="AV342" t="e">
        <f>AND('PROG FORMACIÓN TITULADA'!#REF!,"AAAAAH5//i8=")</f>
        <v>#REF!</v>
      </c>
      <c r="AW342" t="e">
        <f>AND('PROG FORMACIÓN TITULADA'!#REF!,"AAAAAH5//jA=")</f>
        <v>#REF!</v>
      </c>
      <c r="AX342" t="e">
        <f>IF('PROG FORMACIÓN TITULADA'!#REF!,"AAAAAH5//jE=",0)</f>
        <v>#REF!</v>
      </c>
      <c r="AY342" t="e">
        <f>AND('PROG FORMACIÓN TITULADA'!#REF!,"AAAAAH5//jI=")</f>
        <v>#REF!</v>
      </c>
      <c r="AZ342" t="e">
        <f>AND('PROG FORMACIÓN TITULADA'!#REF!,"AAAAAH5//jM=")</f>
        <v>#REF!</v>
      </c>
      <c r="BA342" t="e">
        <f>AND('PROG FORMACIÓN TITULADA'!#REF!,"AAAAAH5//jQ=")</f>
        <v>#REF!</v>
      </c>
      <c r="BB342" t="e">
        <f>AND('PROG FORMACIÓN TITULADA'!#REF!,"AAAAAH5//jU=")</f>
        <v>#REF!</v>
      </c>
      <c r="BC342" t="e">
        <f>AND('PROG FORMACIÓN TITULADA'!#REF!,"AAAAAH5//jY=")</f>
        <v>#REF!</v>
      </c>
      <c r="BD342" t="e">
        <f>AND('PROG FORMACIÓN TITULADA'!#REF!,"AAAAAH5//jc=")</f>
        <v>#REF!</v>
      </c>
      <c r="BE342" t="e">
        <f>AND('PROG FORMACIÓN TITULADA'!#REF!,"AAAAAH5//jg=")</f>
        <v>#REF!</v>
      </c>
      <c r="BF342" t="e">
        <f>AND('PROG FORMACIÓN TITULADA'!#REF!,"AAAAAH5//jk=")</f>
        <v>#REF!</v>
      </c>
      <c r="BG342" t="e">
        <f>AND('PROG FORMACIÓN TITULADA'!#REF!,"AAAAAH5//jo=")</f>
        <v>#REF!</v>
      </c>
      <c r="BH342" t="e">
        <f>AND('PROG FORMACIÓN TITULADA'!#REF!,"AAAAAH5//js=")</f>
        <v>#REF!</v>
      </c>
      <c r="BI342" t="e">
        <f>AND('PROG FORMACIÓN TITULADA'!#REF!,"AAAAAH5//jw=")</f>
        <v>#REF!</v>
      </c>
      <c r="BJ342" t="e">
        <f>AND('PROG FORMACIÓN TITULADA'!#REF!,"AAAAAH5//j0=")</f>
        <v>#REF!</v>
      </c>
      <c r="BK342" t="e">
        <f>AND('PROG FORMACIÓN TITULADA'!#REF!,"AAAAAH5//j4=")</f>
        <v>#REF!</v>
      </c>
      <c r="BL342" t="e">
        <f>AND('PROG FORMACIÓN TITULADA'!#REF!,"AAAAAH5//j8=")</f>
        <v>#REF!</v>
      </c>
      <c r="BM342" t="e">
        <f>AND('PROG FORMACIÓN TITULADA'!#REF!,"AAAAAH5//kA=")</f>
        <v>#REF!</v>
      </c>
      <c r="BN342" t="e">
        <f>AND('PROG FORMACIÓN TITULADA'!#REF!,"AAAAAH5//kE=")</f>
        <v>#REF!</v>
      </c>
      <c r="BO342" t="e">
        <f>AND('PROG FORMACIÓN TITULADA'!#REF!,"AAAAAH5//kI=")</f>
        <v>#REF!</v>
      </c>
      <c r="BP342" t="e">
        <f>AND('PROG FORMACIÓN TITULADA'!#REF!,"AAAAAH5//kM=")</f>
        <v>#REF!</v>
      </c>
      <c r="BQ342" t="e">
        <f>AND('PROG FORMACIÓN TITULADA'!#REF!,"AAAAAH5//kQ=")</f>
        <v>#REF!</v>
      </c>
      <c r="BR342" t="e">
        <f>AND('PROG FORMACIÓN TITULADA'!#REF!,"AAAAAH5//kU=")</f>
        <v>#REF!</v>
      </c>
      <c r="BS342" t="e">
        <f>AND('PROG FORMACIÓN TITULADA'!#REF!,"AAAAAH5//kY=")</f>
        <v>#REF!</v>
      </c>
      <c r="BT342" t="e">
        <f>AND('PROG FORMACIÓN TITULADA'!#REF!,"AAAAAH5//kc=")</f>
        <v>#REF!</v>
      </c>
      <c r="BU342" t="e">
        <f>AND('PROG FORMACIÓN TITULADA'!#REF!,"AAAAAH5//kg=")</f>
        <v>#REF!</v>
      </c>
      <c r="BV342" t="e">
        <f>AND('PROG FORMACIÓN TITULADA'!#REF!,"AAAAAH5//kk=")</f>
        <v>#REF!</v>
      </c>
      <c r="BW342" t="e">
        <f>AND('PROG FORMACIÓN TITULADA'!#REF!,"AAAAAH5//ko=")</f>
        <v>#REF!</v>
      </c>
      <c r="BX342" t="e">
        <f>AND('PROG FORMACIÓN TITULADA'!#REF!,"AAAAAH5//ks=")</f>
        <v>#REF!</v>
      </c>
      <c r="BY342" t="e">
        <f>IF('PROG FORMACIÓN TITULADA'!#REF!,"AAAAAH5//kw=",0)</f>
        <v>#REF!</v>
      </c>
      <c r="BZ342" t="e">
        <f>AND('PROG FORMACIÓN TITULADA'!#REF!,"AAAAAH5//k0=")</f>
        <v>#REF!</v>
      </c>
      <c r="CA342" t="e">
        <f>AND('PROG FORMACIÓN TITULADA'!#REF!,"AAAAAH5//k4=")</f>
        <v>#REF!</v>
      </c>
      <c r="CB342" t="e">
        <f>AND('PROG FORMACIÓN TITULADA'!#REF!,"AAAAAH5//k8=")</f>
        <v>#REF!</v>
      </c>
      <c r="CC342" t="e">
        <f>AND('PROG FORMACIÓN TITULADA'!#REF!,"AAAAAH5//lA=")</f>
        <v>#REF!</v>
      </c>
      <c r="CD342" t="e">
        <f>AND('PROG FORMACIÓN TITULADA'!#REF!,"AAAAAH5//lE=")</f>
        <v>#REF!</v>
      </c>
      <c r="CE342" t="e">
        <f>AND('PROG FORMACIÓN TITULADA'!#REF!,"AAAAAH5//lI=")</f>
        <v>#REF!</v>
      </c>
      <c r="CF342" t="e">
        <f>AND('PROG FORMACIÓN TITULADA'!#REF!,"AAAAAH5//lM=")</f>
        <v>#REF!</v>
      </c>
      <c r="CG342" t="e">
        <f>AND('PROG FORMACIÓN TITULADA'!#REF!,"AAAAAH5//lQ=")</f>
        <v>#REF!</v>
      </c>
      <c r="CH342" t="e">
        <f>AND('PROG FORMACIÓN TITULADA'!#REF!,"AAAAAH5//lU=")</f>
        <v>#REF!</v>
      </c>
      <c r="CI342" t="e">
        <f>AND('PROG FORMACIÓN TITULADA'!#REF!,"AAAAAH5//lY=")</f>
        <v>#REF!</v>
      </c>
      <c r="CJ342" t="e">
        <f>AND('PROG FORMACIÓN TITULADA'!#REF!,"AAAAAH5//lc=")</f>
        <v>#REF!</v>
      </c>
      <c r="CK342" t="e">
        <f>AND('PROG FORMACIÓN TITULADA'!#REF!,"AAAAAH5//lg=")</f>
        <v>#REF!</v>
      </c>
      <c r="CL342" t="e">
        <f>AND('PROG FORMACIÓN TITULADA'!#REF!,"AAAAAH5//lk=")</f>
        <v>#REF!</v>
      </c>
      <c r="CM342" t="e">
        <f>AND('PROG FORMACIÓN TITULADA'!#REF!,"AAAAAH5//lo=")</f>
        <v>#REF!</v>
      </c>
      <c r="CN342" t="e">
        <f>AND('PROG FORMACIÓN TITULADA'!#REF!,"AAAAAH5//ls=")</f>
        <v>#REF!</v>
      </c>
      <c r="CO342" t="e">
        <f>AND('PROG FORMACIÓN TITULADA'!#REF!,"AAAAAH5//lw=")</f>
        <v>#REF!</v>
      </c>
      <c r="CP342" t="e">
        <f>AND('PROG FORMACIÓN TITULADA'!#REF!,"AAAAAH5//l0=")</f>
        <v>#REF!</v>
      </c>
      <c r="CQ342" t="e">
        <f>AND('PROG FORMACIÓN TITULADA'!#REF!,"AAAAAH5//l4=")</f>
        <v>#REF!</v>
      </c>
      <c r="CR342" t="e">
        <f>AND('PROG FORMACIÓN TITULADA'!#REF!,"AAAAAH5//l8=")</f>
        <v>#REF!</v>
      </c>
      <c r="CS342" t="e">
        <f>AND('PROG FORMACIÓN TITULADA'!#REF!,"AAAAAH5//mA=")</f>
        <v>#REF!</v>
      </c>
      <c r="CT342" t="e">
        <f>AND('PROG FORMACIÓN TITULADA'!#REF!,"AAAAAH5//mE=")</f>
        <v>#REF!</v>
      </c>
      <c r="CU342" t="e">
        <f>AND('PROG FORMACIÓN TITULADA'!#REF!,"AAAAAH5//mI=")</f>
        <v>#REF!</v>
      </c>
      <c r="CV342" t="e">
        <f>AND('PROG FORMACIÓN TITULADA'!#REF!,"AAAAAH5//mM=")</f>
        <v>#REF!</v>
      </c>
      <c r="CW342" t="e">
        <f>AND('PROG FORMACIÓN TITULADA'!#REF!,"AAAAAH5//mQ=")</f>
        <v>#REF!</v>
      </c>
      <c r="CX342" t="e">
        <f>AND('PROG FORMACIÓN TITULADA'!#REF!,"AAAAAH5//mU=")</f>
        <v>#REF!</v>
      </c>
      <c r="CY342" t="e">
        <f>AND('PROG FORMACIÓN TITULADA'!#REF!,"AAAAAH5//mY=")</f>
        <v>#REF!</v>
      </c>
      <c r="CZ342" t="e">
        <f>IF('PROG FORMACIÓN TITULADA'!#REF!,"AAAAAH5//mc=",0)</f>
        <v>#REF!</v>
      </c>
      <c r="DA342" t="e">
        <f>AND('PROG FORMACIÓN TITULADA'!#REF!,"AAAAAH5//mg=")</f>
        <v>#REF!</v>
      </c>
      <c r="DB342" t="e">
        <f>AND('PROG FORMACIÓN TITULADA'!#REF!,"AAAAAH5//mk=")</f>
        <v>#REF!</v>
      </c>
      <c r="DC342" t="e">
        <f>AND('PROG FORMACIÓN TITULADA'!#REF!,"AAAAAH5//mo=")</f>
        <v>#REF!</v>
      </c>
      <c r="DD342" t="e">
        <f>AND('PROG FORMACIÓN TITULADA'!#REF!,"AAAAAH5//ms=")</f>
        <v>#REF!</v>
      </c>
      <c r="DE342" t="e">
        <f>AND('PROG FORMACIÓN TITULADA'!#REF!,"AAAAAH5//mw=")</f>
        <v>#REF!</v>
      </c>
      <c r="DF342" t="e">
        <f>AND('PROG FORMACIÓN TITULADA'!#REF!,"AAAAAH5//m0=")</f>
        <v>#REF!</v>
      </c>
      <c r="DG342" t="e">
        <f>AND('PROG FORMACIÓN TITULADA'!#REF!,"AAAAAH5//m4=")</f>
        <v>#REF!</v>
      </c>
      <c r="DH342" t="e">
        <f>AND('PROG FORMACIÓN TITULADA'!#REF!,"AAAAAH5//m8=")</f>
        <v>#REF!</v>
      </c>
      <c r="DI342" t="e">
        <f>AND('PROG FORMACIÓN TITULADA'!#REF!,"AAAAAH5//nA=")</f>
        <v>#REF!</v>
      </c>
      <c r="DJ342" t="e">
        <f>AND('PROG FORMACIÓN TITULADA'!#REF!,"AAAAAH5//nE=")</f>
        <v>#REF!</v>
      </c>
      <c r="DK342" t="e">
        <f>AND('PROG FORMACIÓN TITULADA'!#REF!,"AAAAAH5//nI=")</f>
        <v>#REF!</v>
      </c>
      <c r="DL342" t="e">
        <f>AND('PROG FORMACIÓN TITULADA'!#REF!,"AAAAAH5//nM=")</f>
        <v>#REF!</v>
      </c>
      <c r="DM342" t="e">
        <f>AND('PROG FORMACIÓN TITULADA'!#REF!,"AAAAAH5//nQ=")</f>
        <v>#REF!</v>
      </c>
      <c r="DN342" t="e">
        <f>AND('PROG FORMACIÓN TITULADA'!#REF!,"AAAAAH5//nU=")</f>
        <v>#REF!</v>
      </c>
      <c r="DO342" t="e">
        <f>AND('PROG FORMACIÓN TITULADA'!#REF!,"AAAAAH5//nY=")</f>
        <v>#REF!</v>
      </c>
      <c r="DP342" t="e">
        <f>AND('PROG FORMACIÓN TITULADA'!#REF!,"AAAAAH5//nc=")</f>
        <v>#REF!</v>
      </c>
      <c r="DQ342" t="e">
        <f>AND('PROG FORMACIÓN TITULADA'!#REF!,"AAAAAH5//ng=")</f>
        <v>#REF!</v>
      </c>
      <c r="DR342" t="e">
        <f>AND('PROG FORMACIÓN TITULADA'!#REF!,"AAAAAH5//nk=")</f>
        <v>#REF!</v>
      </c>
      <c r="DS342" t="e">
        <f>AND('PROG FORMACIÓN TITULADA'!#REF!,"AAAAAH5//no=")</f>
        <v>#REF!</v>
      </c>
      <c r="DT342" t="e">
        <f>AND('PROG FORMACIÓN TITULADA'!#REF!,"AAAAAH5//ns=")</f>
        <v>#REF!</v>
      </c>
      <c r="DU342" t="e">
        <f>AND('PROG FORMACIÓN TITULADA'!#REF!,"AAAAAH5//nw=")</f>
        <v>#REF!</v>
      </c>
      <c r="DV342" t="e">
        <f>AND('PROG FORMACIÓN TITULADA'!#REF!,"AAAAAH5//n0=")</f>
        <v>#REF!</v>
      </c>
      <c r="DW342" t="e">
        <f>AND('PROG FORMACIÓN TITULADA'!#REF!,"AAAAAH5//n4=")</f>
        <v>#REF!</v>
      </c>
      <c r="DX342" t="e">
        <f>AND('PROG FORMACIÓN TITULADA'!#REF!,"AAAAAH5//n8=")</f>
        <v>#REF!</v>
      </c>
      <c r="DY342" t="e">
        <f>AND('PROG FORMACIÓN TITULADA'!#REF!,"AAAAAH5//oA=")</f>
        <v>#REF!</v>
      </c>
      <c r="DZ342" t="e">
        <f>AND('PROG FORMACIÓN TITULADA'!#REF!,"AAAAAH5//oE=")</f>
        <v>#REF!</v>
      </c>
      <c r="EA342" t="e">
        <f>IF('PROG FORMACIÓN TITULADA'!#REF!,"AAAAAH5//oI=",0)</f>
        <v>#REF!</v>
      </c>
      <c r="EB342" t="e">
        <f>AND('PROG FORMACIÓN TITULADA'!#REF!,"AAAAAH5//oM=")</f>
        <v>#REF!</v>
      </c>
      <c r="EC342" t="e">
        <f>AND('PROG FORMACIÓN TITULADA'!#REF!,"AAAAAH5//oQ=")</f>
        <v>#REF!</v>
      </c>
      <c r="ED342" t="e">
        <f>AND('PROG FORMACIÓN TITULADA'!#REF!,"AAAAAH5//oU=")</f>
        <v>#REF!</v>
      </c>
      <c r="EE342" t="e">
        <f>AND('PROG FORMACIÓN TITULADA'!#REF!,"AAAAAH5//oY=")</f>
        <v>#REF!</v>
      </c>
      <c r="EF342" t="e">
        <f>AND('PROG FORMACIÓN TITULADA'!#REF!,"AAAAAH5//oc=")</f>
        <v>#REF!</v>
      </c>
      <c r="EG342" t="e">
        <f>AND('PROG FORMACIÓN TITULADA'!#REF!,"AAAAAH5//og=")</f>
        <v>#REF!</v>
      </c>
      <c r="EH342" t="e">
        <f>AND('PROG FORMACIÓN TITULADA'!#REF!,"AAAAAH5//ok=")</f>
        <v>#REF!</v>
      </c>
      <c r="EI342" t="e">
        <f>AND('PROG FORMACIÓN TITULADA'!#REF!,"AAAAAH5//oo=")</f>
        <v>#REF!</v>
      </c>
      <c r="EJ342" t="e">
        <f>AND('PROG FORMACIÓN TITULADA'!#REF!,"AAAAAH5//os=")</f>
        <v>#REF!</v>
      </c>
      <c r="EK342" t="e">
        <f>AND('PROG FORMACIÓN TITULADA'!#REF!,"AAAAAH5//ow=")</f>
        <v>#REF!</v>
      </c>
      <c r="EL342" t="e">
        <f>AND('PROG FORMACIÓN TITULADA'!#REF!,"AAAAAH5//o0=")</f>
        <v>#REF!</v>
      </c>
      <c r="EM342" t="e">
        <f>AND('PROG FORMACIÓN TITULADA'!#REF!,"AAAAAH5//o4=")</f>
        <v>#REF!</v>
      </c>
      <c r="EN342" t="e">
        <f>AND('PROG FORMACIÓN TITULADA'!#REF!,"AAAAAH5//o8=")</f>
        <v>#REF!</v>
      </c>
      <c r="EO342" t="e">
        <f>AND('PROG FORMACIÓN TITULADA'!#REF!,"AAAAAH5//pA=")</f>
        <v>#REF!</v>
      </c>
      <c r="EP342" t="e">
        <f>AND('PROG FORMACIÓN TITULADA'!#REF!,"AAAAAH5//pE=")</f>
        <v>#REF!</v>
      </c>
      <c r="EQ342" t="e">
        <f>AND('PROG FORMACIÓN TITULADA'!#REF!,"AAAAAH5//pI=")</f>
        <v>#REF!</v>
      </c>
      <c r="ER342" t="e">
        <f>AND('PROG FORMACIÓN TITULADA'!#REF!,"AAAAAH5//pM=")</f>
        <v>#REF!</v>
      </c>
      <c r="ES342" t="e">
        <f>AND('PROG FORMACIÓN TITULADA'!#REF!,"AAAAAH5//pQ=")</f>
        <v>#REF!</v>
      </c>
      <c r="ET342" t="e">
        <f>AND('PROG FORMACIÓN TITULADA'!#REF!,"AAAAAH5//pU=")</f>
        <v>#REF!</v>
      </c>
      <c r="EU342" t="e">
        <f>AND('PROG FORMACIÓN TITULADA'!#REF!,"AAAAAH5//pY=")</f>
        <v>#REF!</v>
      </c>
      <c r="EV342" t="e">
        <f>AND('PROG FORMACIÓN TITULADA'!#REF!,"AAAAAH5//pc=")</f>
        <v>#REF!</v>
      </c>
      <c r="EW342" t="e">
        <f>AND('PROG FORMACIÓN TITULADA'!#REF!,"AAAAAH5//pg=")</f>
        <v>#REF!</v>
      </c>
      <c r="EX342" t="e">
        <f>AND('PROG FORMACIÓN TITULADA'!#REF!,"AAAAAH5//pk=")</f>
        <v>#REF!</v>
      </c>
      <c r="EY342" t="e">
        <f>AND('PROG FORMACIÓN TITULADA'!#REF!,"AAAAAH5//po=")</f>
        <v>#REF!</v>
      </c>
      <c r="EZ342" t="e">
        <f>AND('PROG FORMACIÓN TITULADA'!#REF!,"AAAAAH5//ps=")</f>
        <v>#REF!</v>
      </c>
      <c r="FA342" t="e">
        <f>AND('PROG FORMACIÓN TITULADA'!#REF!,"AAAAAH5//pw=")</f>
        <v>#REF!</v>
      </c>
      <c r="FB342" t="e">
        <f>IF('PROG FORMACIÓN TITULADA'!#REF!,"AAAAAH5//p0=",0)</f>
        <v>#REF!</v>
      </c>
      <c r="FC342" t="e">
        <f>AND('PROG FORMACIÓN TITULADA'!#REF!,"AAAAAH5//p4=")</f>
        <v>#REF!</v>
      </c>
      <c r="FD342" t="e">
        <f>AND('PROG FORMACIÓN TITULADA'!#REF!,"AAAAAH5//p8=")</f>
        <v>#REF!</v>
      </c>
      <c r="FE342" t="e">
        <f>AND('PROG FORMACIÓN TITULADA'!#REF!,"AAAAAH5//qA=")</f>
        <v>#REF!</v>
      </c>
      <c r="FF342" t="e">
        <f>AND('PROG FORMACIÓN TITULADA'!#REF!,"AAAAAH5//qE=")</f>
        <v>#REF!</v>
      </c>
      <c r="FG342" t="e">
        <f>AND('PROG FORMACIÓN TITULADA'!#REF!,"AAAAAH5//qI=")</f>
        <v>#REF!</v>
      </c>
      <c r="FH342" t="e">
        <f>AND('PROG FORMACIÓN TITULADA'!#REF!,"AAAAAH5//qM=")</f>
        <v>#REF!</v>
      </c>
      <c r="FI342" t="e">
        <f>AND('PROG FORMACIÓN TITULADA'!#REF!,"AAAAAH5//qQ=")</f>
        <v>#REF!</v>
      </c>
      <c r="FJ342" t="e">
        <f>AND('PROG FORMACIÓN TITULADA'!#REF!,"AAAAAH5//qU=")</f>
        <v>#REF!</v>
      </c>
      <c r="FK342" t="e">
        <f>AND('PROG FORMACIÓN TITULADA'!#REF!,"AAAAAH5//qY=")</f>
        <v>#REF!</v>
      </c>
      <c r="FL342" t="e">
        <f>AND('PROG FORMACIÓN TITULADA'!#REF!,"AAAAAH5//qc=")</f>
        <v>#REF!</v>
      </c>
      <c r="FM342" t="e">
        <f>AND('PROG FORMACIÓN TITULADA'!#REF!,"AAAAAH5//qg=")</f>
        <v>#REF!</v>
      </c>
      <c r="FN342" t="e">
        <f>AND('PROG FORMACIÓN TITULADA'!#REF!,"AAAAAH5//qk=")</f>
        <v>#REF!</v>
      </c>
      <c r="FO342" t="e">
        <f>AND('PROG FORMACIÓN TITULADA'!#REF!,"AAAAAH5//qo=")</f>
        <v>#REF!</v>
      </c>
      <c r="FP342" t="e">
        <f>AND('PROG FORMACIÓN TITULADA'!#REF!,"AAAAAH5//qs=")</f>
        <v>#REF!</v>
      </c>
      <c r="FQ342" t="e">
        <f>AND('PROG FORMACIÓN TITULADA'!#REF!,"AAAAAH5//qw=")</f>
        <v>#REF!</v>
      </c>
      <c r="FR342" t="e">
        <f>AND('PROG FORMACIÓN TITULADA'!#REF!,"AAAAAH5//q0=")</f>
        <v>#REF!</v>
      </c>
      <c r="FS342" t="e">
        <f>AND('PROG FORMACIÓN TITULADA'!#REF!,"AAAAAH5//q4=")</f>
        <v>#REF!</v>
      </c>
      <c r="FT342" t="e">
        <f>AND('PROG FORMACIÓN TITULADA'!#REF!,"AAAAAH5//q8=")</f>
        <v>#REF!</v>
      </c>
      <c r="FU342" t="e">
        <f>AND('PROG FORMACIÓN TITULADA'!#REF!,"AAAAAH5//rA=")</f>
        <v>#REF!</v>
      </c>
      <c r="FV342" t="e">
        <f>AND('PROG FORMACIÓN TITULADA'!#REF!,"AAAAAH5//rE=")</f>
        <v>#REF!</v>
      </c>
      <c r="FW342" t="e">
        <f>AND('PROG FORMACIÓN TITULADA'!#REF!,"AAAAAH5//rI=")</f>
        <v>#REF!</v>
      </c>
      <c r="FX342" t="e">
        <f>AND('PROG FORMACIÓN TITULADA'!#REF!,"AAAAAH5//rM=")</f>
        <v>#REF!</v>
      </c>
      <c r="FY342" t="e">
        <f>AND('PROG FORMACIÓN TITULADA'!#REF!,"AAAAAH5//rQ=")</f>
        <v>#REF!</v>
      </c>
      <c r="FZ342" t="e">
        <f>AND('PROG FORMACIÓN TITULADA'!#REF!,"AAAAAH5//rU=")</f>
        <v>#REF!</v>
      </c>
      <c r="GA342" t="e">
        <f>AND('PROG FORMACIÓN TITULADA'!#REF!,"AAAAAH5//rY=")</f>
        <v>#REF!</v>
      </c>
      <c r="GB342" t="e">
        <f>AND('PROG FORMACIÓN TITULADA'!#REF!,"AAAAAH5//rc=")</f>
        <v>#REF!</v>
      </c>
      <c r="GC342" t="e">
        <f>IF('PROG FORMACIÓN TITULADA'!#REF!,"AAAAAH5//rg=",0)</f>
        <v>#REF!</v>
      </c>
      <c r="GD342" t="e">
        <f>AND('PROG FORMACIÓN TITULADA'!#REF!,"AAAAAH5//rk=")</f>
        <v>#REF!</v>
      </c>
      <c r="GE342" t="e">
        <f>AND('PROG FORMACIÓN TITULADA'!#REF!,"AAAAAH5//ro=")</f>
        <v>#REF!</v>
      </c>
      <c r="GF342" t="e">
        <f>AND('PROG FORMACIÓN TITULADA'!#REF!,"AAAAAH5//rs=")</f>
        <v>#REF!</v>
      </c>
      <c r="GG342" t="e">
        <f>AND('PROG FORMACIÓN TITULADA'!#REF!,"AAAAAH5//rw=")</f>
        <v>#REF!</v>
      </c>
      <c r="GH342" t="e">
        <f>AND('PROG FORMACIÓN TITULADA'!#REF!,"AAAAAH5//r0=")</f>
        <v>#REF!</v>
      </c>
      <c r="GI342" t="e">
        <f>AND('PROG FORMACIÓN TITULADA'!#REF!,"AAAAAH5//r4=")</f>
        <v>#REF!</v>
      </c>
      <c r="GJ342" t="e">
        <f>AND('PROG FORMACIÓN TITULADA'!#REF!,"AAAAAH5//r8=")</f>
        <v>#REF!</v>
      </c>
      <c r="GK342" t="e">
        <f>AND('PROG FORMACIÓN TITULADA'!#REF!,"AAAAAH5//sA=")</f>
        <v>#REF!</v>
      </c>
      <c r="GL342" t="e">
        <f>AND('PROG FORMACIÓN TITULADA'!#REF!,"AAAAAH5//sE=")</f>
        <v>#REF!</v>
      </c>
      <c r="GM342" t="e">
        <f>AND('PROG FORMACIÓN TITULADA'!#REF!,"AAAAAH5//sI=")</f>
        <v>#REF!</v>
      </c>
      <c r="GN342" t="e">
        <f>AND('PROG FORMACIÓN TITULADA'!#REF!,"AAAAAH5//sM=")</f>
        <v>#REF!</v>
      </c>
      <c r="GO342" t="e">
        <f>AND('PROG FORMACIÓN TITULADA'!#REF!,"AAAAAH5//sQ=")</f>
        <v>#REF!</v>
      </c>
      <c r="GP342" t="e">
        <f>AND('PROG FORMACIÓN TITULADA'!#REF!,"AAAAAH5//sU=")</f>
        <v>#REF!</v>
      </c>
      <c r="GQ342" t="e">
        <f>AND('PROG FORMACIÓN TITULADA'!#REF!,"AAAAAH5//sY=")</f>
        <v>#REF!</v>
      </c>
      <c r="GR342" t="e">
        <f>AND('PROG FORMACIÓN TITULADA'!#REF!,"AAAAAH5//sc=")</f>
        <v>#REF!</v>
      </c>
      <c r="GS342" t="e">
        <f>AND('PROG FORMACIÓN TITULADA'!#REF!,"AAAAAH5//sg=")</f>
        <v>#REF!</v>
      </c>
      <c r="GT342" t="e">
        <f>AND('PROG FORMACIÓN TITULADA'!#REF!,"AAAAAH5//sk=")</f>
        <v>#REF!</v>
      </c>
      <c r="GU342" t="e">
        <f>AND('PROG FORMACIÓN TITULADA'!#REF!,"AAAAAH5//so=")</f>
        <v>#REF!</v>
      </c>
      <c r="GV342" t="e">
        <f>AND('PROG FORMACIÓN TITULADA'!#REF!,"AAAAAH5//ss=")</f>
        <v>#REF!</v>
      </c>
      <c r="GW342" t="e">
        <f>AND('PROG FORMACIÓN TITULADA'!#REF!,"AAAAAH5//sw=")</f>
        <v>#REF!</v>
      </c>
      <c r="GX342" t="e">
        <f>AND('PROG FORMACIÓN TITULADA'!#REF!,"AAAAAH5//s0=")</f>
        <v>#REF!</v>
      </c>
      <c r="GY342" t="e">
        <f>AND('PROG FORMACIÓN TITULADA'!#REF!,"AAAAAH5//s4=")</f>
        <v>#REF!</v>
      </c>
      <c r="GZ342" t="e">
        <f>AND('PROG FORMACIÓN TITULADA'!#REF!,"AAAAAH5//s8=")</f>
        <v>#REF!</v>
      </c>
      <c r="HA342" t="e">
        <f>AND('PROG FORMACIÓN TITULADA'!#REF!,"AAAAAH5//tA=")</f>
        <v>#REF!</v>
      </c>
      <c r="HB342" t="e">
        <f>AND('PROG FORMACIÓN TITULADA'!#REF!,"AAAAAH5//tE=")</f>
        <v>#REF!</v>
      </c>
      <c r="HC342" t="e">
        <f>AND('PROG FORMACIÓN TITULADA'!#REF!,"AAAAAH5//tI=")</f>
        <v>#REF!</v>
      </c>
      <c r="HD342" t="e">
        <f>IF('PROG FORMACIÓN TITULADA'!#REF!,"AAAAAH5//tM=",0)</f>
        <v>#REF!</v>
      </c>
      <c r="HE342" t="e">
        <f>AND('PROG FORMACIÓN TITULADA'!#REF!,"AAAAAH5//tQ=")</f>
        <v>#REF!</v>
      </c>
      <c r="HF342" t="e">
        <f>AND('PROG FORMACIÓN TITULADA'!#REF!,"AAAAAH5//tU=")</f>
        <v>#REF!</v>
      </c>
      <c r="HG342" t="e">
        <f>AND('PROG FORMACIÓN TITULADA'!#REF!,"AAAAAH5//tY=")</f>
        <v>#REF!</v>
      </c>
      <c r="HH342" t="e">
        <f>AND('PROG FORMACIÓN TITULADA'!#REF!,"AAAAAH5//tc=")</f>
        <v>#REF!</v>
      </c>
      <c r="HI342" t="e">
        <f>AND('PROG FORMACIÓN TITULADA'!#REF!,"AAAAAH5//tg=")</f>
        <v>#REF!</v>
      </c>
      <c r="HJ342" t="e">
        <f>AND('PROG FORMACIÓN TITULADA'!#REF!,"AAAAAH5//tk=")</f>
        <v>#REF!</v>
      </c>
      <c r="HK342" t="e">
        <f>AND('PROG FORMACIÓN TITULADA'!#REF!,"AAAAAH5//to=")</f>
        <v>#REF!</v>
      </c>
      <c r="HL342" t="e">
        <f>AND('PROG FORMACIÓN TITULADA'!#REF!,"AAAAAH5//ts=")</f>
        <v>#REF!</v>
      </c>
      <c r="HM342" t="e">
        <f>AND('PROG FORMACIÓN TITULADA'!#REF!,"AAAAAH5//tw=")</f>
        <v>#REF!</v>
      </c>
      <c r="HN342" t="e">
        <f>AND('PROG FORMACIÓN TITULADA'!#REF!,"AAAAAH5//t0=")</f>
        <v>#REF!</v>
      </c>
      <c r="HO342" t="e">
        <f>AND('PROG FORMACIÓN TITULADA'!#REF!,"AAAAAH5//t4=")</f>
        <v>#REF!</v>
      </c>
      <c r="HP342" t="e">
        <f>AND('PROG FORMACIÓN TITULADA'!#REF!,"AAAAAH5//t8=")</f>
        <v>#REF!</v>
      </c>
      <c r="HQ342" t="e">
        <f>AND('PROG FORMACIÓN TITULADA'!#REF!,"AAAAAH5//uA=")</f>
        <v>#REF!</v>
      </c>
      <c r="HR342" t="e">
        <f>AND('PROG FORMACIÓN TITULADA'!#REF!,"AAAAAH5//uE=")</f>
        <v>#REF!</v>
      </c>
      <c r="HS342" t="e">
        <f>AND('PROG FORMACIÓN TITULADA'!#REF!,"AAAAAH5//uI=")</f>
        <v>#REF!</v>
      </c>
      <c r="HT342" t="e">
        <f>AND('PROG FORMACIÓN TITULADA'!#REF!,"AAAAAH5//uM=")</f>
        <v>#REF!</v>
      </c>
      <c r="HU342" t="e">
        <f>AND('PROG FORMACIÓN TITULADA'!#REF!,"AAAAAH5//uQ=")</f>
        <v>#REF!</v>
      </c>
      <c r="HV342" t="e">
        <f>AND('PROG FORMACIÓN TITULADA'!#REF!,"AAAAAH5//uU=")</f>
        <v>#REF!</v>
      </c>
      <c r="HW342" t="e">
        <f>AND('PROG FORMACIÓN TITULADA'!#REF!,"AAAAAH5//uY=")</f>
        <v>#REF!</v>
      </c>
      <c r="HX342" t="e">
        <f>AND('PROG FORMACIÓN TITULADA'!#REF!,"AAAAAH5//uc=")</f>
        <v>#REF!</v>
      </c>
      <c r="HY342" t="e">
        <f>AND('PROG FORMACIÓN TITULADA'!#REF!,"AAAAAH5//ug=")</f>
        <v>#REF!</v>
      </c>
      <c r="HZ342" t="e">
        <f>AND('PROG FORMACIÓN TITULADA'!#REF!,"AAAAAH5//uk=")</f>
        <v>#REF!</v>
      </c>
      <c r="IA342" t="e">
        <f>AND('PROG FORMACIÓN TITULADA'!#REF!,"AAAAAH5//uo=")</f>
        <v>#REF!</v>
      </c>
      <c r="IB342" t="e">
        <f>AND('PROG FORMACIÓN TITULADA'!#REF!,"AAAAAH5//us=")</f>
        <v>#REF!</v>
      </c>
      <c r="IC342" t="e">
        <f>AND('PROG FORMACIÓN TITULADA'!#REF!,"AAAAAH5//uw=")</f>
        <v>#REF!</v>
      </c>
      <c r="ID342" t="e">
        <f>AND('PROG FORMACIÓN TITULADA'!#REF!,"AAAAAH5//u0=")</f>
        <v>#REF!</v>
      </c>
      <c r="IE342" t="e">
        <f>IF('PROG FORMACIÓN TITULADA'!#REF!,"AAAAAH5//u4=",0)</f>
        <v>#REF!</v>
      </c>
      <c r="IF342" t="e">
        <f>AND('PROG FORMACIÓN TITULADA'!#REF!,"AAAAAH5//u8=")</f>
        <v>#REF!</v>
      </c>
      <c r="IG342" t="e">
        <f>AND('PROG FORMACIÓN TITULADA'!#REF!,"AAAAAH5//vA=")</f>
        <v>#REF!</v>
      </c>
      <c r="IH342" t="e">
        <f>AND('PROG FORMACIÓN TITULADA'!#REF!,"AAAAAH5//vE=")</f>
        <v>#REF!</v>
      </c>
      <c r="II342" t="e">
        <f>AND('PROG FORMACIÓN TITULADA'!#REF!,"AAAAAH5//vI=")</f>
        <v>#REF!</v>
      </c>
      <c r="IJ342" t="e">
        <f>AND('PROG FORMACIÓN TITULADA'!#REF!,"AAAAAH5//vM=")</f>
        <v>#REF!</v>
      </c>
      <c r="IK342" t="e">
        <f>AND('PROG FORMACIÓN TITULADA'!#REF!,"AAAAAH5//vQ=")</f>
        <v>#REF!</v>
      </c>
      <c r="IL342" t="e">
        <f>AND('PROG FORMACIÓN TITULADA'!#REF!,"AAAAAH5//vU=")</f>
        <v>#REF!</v>
      </c>
      <c r="IM342" t="e">
        <f>AND('PROG FORMACIÓN TITULADA'!#REF!,"AAAAAH5//vY=")</f>
        <v>#REF!</v>
      </c>
      <c r="IN342" t="e">
        <f>AND('PROG FORMACIÓN TITULADA'!#REF!,"AAAAAH5//vc=")</f>
        <v>#REF!</v>
      </c>
      <c r="IO342" t="e">
        <f>AND('PROG FORMACIÓN TITULADA'!#REF!,"AAAAAH5//vg=")</f>
        <v>#REF!</v>
      </c>
      <c r="IP342" t="e">
        <f>AND('PROG FORMACIÓN TITULADA'!#REF!,"AAAAAH5//vk=")</f>
        <v>#REF!</v>
      </c>
      <c r="IQ342" t="e">
        <f>AND('PROG FORMACIÓN TITULADA'!#REF!,"AAAAAH5//vo=")</f>
        <v>#REF!</v>
      </c>
      <c r="IR342" t="e">
        <f>AND('PROG FORMACIÓN TITULADA'!#REF!,"AAAAAH5//vs=")</f>
        <v>#REF!</v>
      </c>
      <c r="IS342" t="e">
        <f>AND('PROG FORMACIÓN TITULADA'!#REF!,"AAAAAH5//vw=")</f>
        <v>#REF!</v>
      </c>
      <c r="IT342" t="e">
        <f>AND('PROG FORMACIÓN TITULADA'!#REF!,"AAAAAH5//v0=")</f>
        <v>#REF!</v>
      </c>
      <c r="IU342" t="e">
        <f>AND('PROG FORMACIÓN TITULADA'!#REF!,"AAAAAH5//v4=")</f>
        <v>#REF!</v>
      </c>
      <c r="IV342" t="e">
        <f>AND('PROG FORMACIÓN TITULADA'!#REF!,"AAAAAH5//v8=")</f>
        <v>#REF!</v>
      </c>
    </row>
    <row r="343" spans="1:256" x14ac:dyDescent="0.2">
      <c r="A343" t="e">
        <f>AND('PROG FORMACIÓN TITULADA'!#REF!,"AAAAAE/3+QA=")</f>
        <v>#REF!</v>
      </c>
      <c r="B343" t="e">
        <f>AND('PROG FORMACIÓN TITULADA'!#REF!,"AAAAAE/3+QE=")</f>
        <v>#REF!</v>
      </c>
      <c r="C343" t="e">
        <f>AND('PROG FORMACIÓN TITULADA'!#REF!,"AAAAAE/3+QI=")</f>
        <v>#REF!</v>
      </c>
      <c r="D343" t="e">
        <f>AND('PROG FORMACIÓN TITULADA'!#REF!,"AAAAAE/3+QM=")</f>
        <v>#REF!</v>
      </c>
      <c r="E343" t="e">
        <f>AND('PROG FORMACIÓN TITULADA'!#REF!,"AAAAAE/3+QQ=")</f>
        <v>#REF!</v>
      </c>
      <c r="F343" t="e">
        <f>AND('PROG FORMACIÓN TITULADA'!#REF!,"AAAAAE/3+QU=")</f>
        <v>#REF!</v>
      </c>
      <c r="G343" t="e">
        <f>AND('PROG FORMACIÓN TITULADA'!#REF!,"AAAAAE/3+QY=")</f>
        <v>#REF!</v>
      </c>
      <c r="H343" t="e">
        <f>AND('PROG FORMACIÓN TITULADA'!#REF!,"AAAAAE/3+Qc=")</f>
        <v>#REF!</v>
      </c>
      <c r="I343" t="e">
        <f>AND('PROG FORMACIÓN TITULADA'!#REF!,"AAAAAE/3+Qg=")</f>
        <v>#REF!</v>
      </c>
      <c r="J343" t="e">
        <f>IF('PROG FORMACIÓN TITULADA'!#REF!,"AAAAAE/3+Qk=",0)</f>
        <v>#REF!</v>
      </c>
      <c r="K343" t="e">
        <f>AND('PROG FORMACIÓN TITULADA'!#REF!,"AAAAAE/3+Qo=")</f>
        <v>#REF!</v>
      </c>
      <c r="L343" t="e">
        <f>AND('PROG FORMACIÓN TITULADA'!#REF!,"AAAAAE/3+Qs=")</f>
        <v>#REF!</v>
      </c>
      <c r="M343" t="e">
        <f>AND('PROG FORMACIÓN TITULADA'!#REF!,"AAAAAE/3+Qw=")</f>
        <v>#REF!</v>
      </c>
      <c r="N343" t="e">
        <f>AND('PROG FORMACIÓN TITULADA'!#REF!,"AAAAAE/3+Q0=")</f>
        <v>#REF!</v>
      </c>
      <c r="O343" t="e">
        <f>AND('PROG FORMACIÓN TITULADA'!#REF!,"AAAAAE/3+Q4=")</f>
        <v>#REF!</v>
      </c>
      <c r="P343" t="e">
        <f>AND('PROG FORMACIÓN TITULADA'!#REF!,"AAAAAE/3+Q8=")</f>
        <v>#REF!</v>
      </c>
      <c r="Q343" t="e">
        <f>AND('PROG FORMACIÓN TITULADA'!#REF!,"AAAAAE/3+RA=")</f>
        <v>#REF!</v>
      </c>
      <c r="R343" t="e">
        <f>AND('PROG FORMACIÓN TITULADA'!#REF!,"AAAAAE/3+RE=")</f>
        <v>#REF!</v>
      </c>
      <c r="S343" t="e">
        <f>AND('PROG FORMACIÓN TITULADA'!#REF!,"AAAAAE/3+RI=")</f>
        <v>#REF!</v>
      </c>
      <c r="T343" t="e">
        <f>AND('PROG FORMACIÓN TITULADA'!#REF!,"AAAAAE/3+RM=")</f>
        <v>#REF!</v>
      </c>
      <c r="U343" t="e">
        <f>AND('PROG FORMACIÓN TITULADA'!#REF!,"AAAAAE/3+RQ=")</f>
        <v>#REF!</v>
      </c>
      <c r="V343" t="e">
        <f>AND('PROG FORMACIÓN TITULADA'!#REF!,"AAAAAE/3+RU=")</f>
        <v>#REF!</v>
      </c>
      <c r="W343" t="e">
        <f>AND('PROG FORMACIÓN TITULADA'!#REF!,"AAAAAE/3+RY=")</f>
        <v>#REF!</v>
      </c>
      <c r="X343" t="e">
        <f>AND('PROG FORMACIÓN TITULADA'!#REF!,"AAAAAE/3+Rc=")</f>
        <v>#REF!</v>
      </c>
      <c r="Y343" t="e">
        <f>AND('PROG FORMACIÓN TITULADA'!#REF!,"AAAAAE/3+Rg=")</f>
        <v>#REF!</v>
      </c>
      <c r="Z343" t="e">
        <f>AND('PROG FORMACIÓN TITULADA'!#REF!,"AAAAAE/3+Rk=")</f>
        <v>#REF!</v>
      </c>
      <c r="AA343" t="e">
        <f>AND('PROG FORMACIÓN TITULADA'!#REF!,"AAAAAE/3+Ro=")</f>
        <v>#REF!</v>
      </c>
      <c r="AB343" t="e">
        <f>AND('PROG FORMACIÓN TITULADA'!#REF!,"AAAAAE/3+Rs=")</f>
        <v>#REF!</v>
      </c>
      <c r="AC343" t="e">
        <f>AND('PROG FORMACIÓN TITULADA'!#REF!,"AAAAAE/3+Rw=")</f>
        <v>#REF!</v>
      </c>
      <c r="AD343" t="e">
        <f>AND('PROG FORMACIÓN TITULADA'!#REF!,"AAAAAE/3+R0=")</f>
        <v>#REF!</v>
      </c>
      <c r="AE343" t="e">
        <f>AND('PROG FORMACIÓN TITULADA'!#REF!,"AAAAAE/3+R4=")</f>
        <v>#REF!</v>
      </c>
      <c r="AF343" t="e">
        <f>AND('PROG FORMACIÓN TITULADA'!#REF!,"AAAAAE/3+R8=")</f>
        <v>#REF!</v>
      </c>
      <c r="AG343" t="e">
        <f>AND('PROG FORMACIÓN TITULADA'!#REF!,"AAAAAE/3+SA=")</f>
        <v>#REF!</v>
      </c>
      <c r="AH343" t="e">
        <f>AND('PROG FORMACIÓN TITULADA'!#REF!,"AAAAAE/3+SE=")</f>
        <v>#REF!</v>
      </c>
      <c r="AI343" t="e">
        <f>AND('PROG FORMACIÓN TITULADA'!#REF!,"AAAAAE/3+SI=")</f>
        <v>#REF!</v>
      </c>
      <c r="AJ343" t="e">
        <f>AND('PROG FORMACIÓN TITULADA'!#REF!,"AAAAAE/3+SM=")</f>
        <v>#REF!</v>
      </c>
      <c r="AK343" t="e">
        <f>IF('PROG FORMACIÓN TITULADA'!#REF!,"AAAAAE/3+SQ=",0)</f>
        <v>#REF!</v>
      </c>
      <c r="AL343" t="e">
        <f>AND('PROG FORMACIÓN TITULADA'!#REF!,"AAAAAE/3+SU=")</f>
        <v>#REF!</v>
      </c>
      <c r="AM343" t="e">
        <f>AND('PROG FORMACIÓN TITULADA'!#REF!,"AAAAAE/3+SY=")</f>
        <v>#REF!</v>
      </c>
      <c r="AN343" t="e">
        <f>AND('PROG FORMACIÓN TITULADA'!#REF!,"AAAAAE/3+Sc=")</f>
        <v>#REF!</v>
      </c>
      <c r="AO343" t="e">
        <f>AND('PROG FORMACIÓN TITULADA'!#REF!,"AAAAAE/3+Sg=")</f>
        <v>#REF!</v>
      </c>
      <c r="AP343" t="e">
        <f>AND('PROG FORMACIÓN TITULADA'!#REF!,"AAAAAE/3+Sk=")</f>
        <v>#REF!</v>
      </c>
      <c r="AQ343" t="e">
        <f>AND('PROG FORMACIÓN TITULADA'!#REF!,"AAAAAE/3+So=")</f>
        <v>#REF!</v>
      </c>
      <c r="AR343" t="e">
        <f>AND('PROG FORMACIÓN TITULADA'!#REF!,"AAAAAE/3+Ss=")</f>
        <v>#REF!</v>
      </c>
      <c r="AS343" t="e">
        <f>AND('PROG FORMACIÓN TITULADA'!#REF!,"AAAAAE/3+Sw=")</f>
        <v>#REF!</v>
      </c>
      <c r="AT343" t="e">
        <f>AND('PROG FORMACIÓN TITULADA'!#REF!,"AAAAAE/3+S0=")</f>
        <v>#REF!</v>
      </c>
      <c r="AU343" t="e">
        <f>AND('PROG FORMACIÓN TITULADA'!#REF!,"AAAAAE/3+S4=")</f>
        <v>#REF!</v>
      </c>
      <c r="AV343" t="e">
        <f>AND('PROG FORMACIÓN TITULADA'!#REF!,"AAAAAE/3+S8=")</f>
        <v>#REF!</v>
      </c>
      <c r="AW343" t="e">
        <f>AND('PROG FORMACIÓN TITULADA'!#REF!,"AAAAAE/3+TA=")</f>
        <v>#REF!</v>
      </c>
      <c r="AX343" t="e">
        <f>AND('PROG FORMACIÓN TITULADA'!#REF!,"AAAAAE/3+TE=")</f>
        <v>#REF!</v>
      </c>
      <c r="AY343" t="e">
        <f>AND('PROG FORMACIÓN TITULADA'!#REF!,"AAAAAE/3+TI=")</f>
        <v>#REF!</v>
      </c>
      <c r="AZ343" t="e">
        <f>AND('PROG FORMACIÓN TITULADA'!#REF!,"AAAAAE/3+TM=")</f>
        <v>#REF!</v>
      </c>
      <c r="BA343" t="e">
        <f>AND('PROG FORMACIÓN TITULADA'!#REF!,"AAAAAE/3+TQ=")</f>
        <v>#REF!</v>
      </c>
      <c r="BB343" t="e">
        <f>AND('PROG FORMACIÓN TITULADA'!#REF!,"AAAAAE/3+TU=")</f>
        <v>#REF!</v>
      </c>
      <c r="BC343" t="e">
        <f>AND('PROG FORMACIÓN TITULADA'!#REF!,"AAAAAE/3+TY=")</f>
        <v>#REF!</v>
      </c>
      <c r="BD343" t="e">
        <f>AND('PROG FORMACIÓN TITULADA'!#REF!,"AAAAAE/3+Tc=")</f>
        <v>#REF!</v>
      </c>
      <c r="BE343" t="e">
        <f>AND('PROG FORMACIÓN TITULADA'!#REF!,"AAAAAE/3+Tg=")</f>
        <v>#REF!</v>
      </c>
      <c r="BF343" t="e">
        <f>AND('PROG FORMACIÓN TITULADA'!#REF!,"AAAAAE/3+Tk=")</f>
        <v>#REF!</v>
      </c>
      <c r="BG343" t="e">
        <f>AND('PROG FORMACIÓN TITULADA'!#REF!,"AAAAAE/3+To=")</f>
        <v>#REF!</v>
      </c>
      <c r="BH343" t="e">
        <f>AND('PROG FORMACIÓN TITULADA'!#REF!,"AAAAAE/3+Ts=")</f>
        <v>#REF!</v>
      </c>
      <c r="BI343" t="e">
        <f>AND('PROG FORMACIÓN TITULADA'!#REF!,"AAAAAE/3+Tw=")</f>
        <v>#REF!</v>
      </c>
      <c r="BJ343" t="e">
        <f>AND('PROG FORMACIÓN TITULADA'!#REF!,"AAAAAE/3+T0=")</f>
        <v>#REF!</v>
      </c>
      <c r="BK343" t="e">
        <f>AND('PROG FORMACIÓN TITULADA'!#REF!,"AAAAAE/3+T4=")</f>
        <v>#REF!</v>
      </c>
      <c r="BL343" t="e">
        <f>IF('PROG FORMACIÓN TITULADA'!#REF!,"AAAAAE/3+T8=",0)</f>
        <v>#REF!</v>
      </c>
      <c r="BM343" t="e">
        <f>AND('PROG FORMACIÓN TITULADA'!#REF!,"AAAAAE/3+UA=")</f>
        <v>#REF!</v>
      </c>
      <c r="BN343" t="e">
        <f>AND('PROG FORMACIÓN TITULADA'!#REF!,"AAAAAE/3+UE=")</f>
        <v>#REF!</v>
      </c>
      <c r="BO343" t="e">
        <f>AND('PROG FORMACIÓN TITULADA'!#REF!,"AAAAAE/3+UI=")</f>
        <v>#REF!</v>
      </c>
      <c r="BP343" t="e">
        <f>AND('PROG FORMACIÓN TITULADA'!#REF!,"AAAAAE/3+UM=")</f>
        <v>#REF!</v>
      </c>
      <c r="BQ343" t="e">
        <f>AND('PROG FORMACIÓN TITULADA'!#REF!,"AAAAAE/3+UQ=")</f>
        <v>#REF!</v>
      </c>
      <c r="BR343" t="e">
        <f>AND('PROG FORMACIÓN TITULADA'!#REF!,"AAAAAE/3+UU=")</f>
        <v>#REF!</v>
      </c>
      <c r="BS343" t="e">
        <f>AND('PROG FORMACIÓN TITULADA'!#REF!,"AAAAAE/3+UY=")</f>
        <v>#REF!</v>
      </c>
      <c r="BT343" t="e">
        <f>AND('PROG FORMACIÓN TITULADA'!#REF!,"AAAAAE/3+Uc=")</f>
        <v>#REF!</v>
      </c>
      <c r="BU343" t="e">
        <f>AND('PROG FORMACIÓN TITULADA'!#REF!,"AAAAAE/3+Ug=")</f>
        <v>#REF!</v>
      </c>
      <c r="BV343" t="e">
        <f>AND('PROG FORMACIÓN TITULADA'!#REF!,"AAAAAE/3+Uk=")</f>
        <v>#REF!</v>
      </c>
      <c r="BW343" t="e">
        <f>AND('PROG FORMACIÓN TITULADA'!#REF!,"AAAAAE/3+Uo=")</f>
        <v>#REF!</v>
      </c>
      <c r="BX343" t="e">
        <f>AND('PROG FORMACIÓN TITULADA'!#REF!,"AAAAAE/3+Us=")</f>
        <v>#REF!</v>
      </c>
      <c r="BY343" t="e">
        <f>AND('PROG FORMACIÓN TITULADA'!#REF!,"AAAAAE/3+Uw=")</f>
        <v>#REF!</v>
      </c>
      <c r="BZ343" t="e">
        <f>AND('PROG FORMACIÓN TITULADA'!#REF!,"AAAAAE/3+U0=")</f>
        <v>#REF!</v>
      </c>
      <c r="CA343" t="e">
        <f>AND('PROG FORMACIÓN TITULADA'!#REF!,"AAAAAE/3+U4=")</f>
        <v>#REF!</v>
      </c>
      <c r="CB343" t="e">
        <f>AND('PROG FORMACIÓN TITULADA'!#REF!,"AAAAAE/3+U8=")</f>
        <v>#REF!</v>
      </c>
      <c r="CC343" t="e">
        <f>AND('PROG FORMACIÓN TITULADA'!#REF!,"AAAAAE/3+VA=")</f>
        <v>#REF!</v>
      </c>
      <c r="CD343" t="e">
        <f>AND('PROG FORMACIÓN TITULADA'!#REF!,"AAAAAE/3+VE=")</f>
        <v>#REF!</v>
      </c>
      <c r="CE343" t="e">
        <f>AND('PROG FORMACIÓN TITULADA'!#REF!,"AAAAAE/3+VI=")</f>
        <v>#REF!</v>
      </c>
      <c r="CF343" t="e">
        <f>AND('PROG FORMACIÓN TITULADA'!#REF!,"AAAAAE/3+VM=")</f>
        <v>#REF!</v>
      </c>
      <c r="CG343" t="e">
        <f>AND('PROG FORMACIÓN TITULADA'!#REF!,"AAAAAE/3+VQ=")</f>
        <v>#REF!</v>
      </c>
      <c r="CH343" t="e">
        <f>AND('PROG FORMACIÓN TITULADA'!#REF!,"AAAAAE/3+VU=")</f>
        <v>#REF!</v>
      </c>
      <c r="CI343" t="e">
        <f>AND('PROG FORMACIÓN TITULADA'!#REF!,"AAAAAE/3+VY=")</f>
        <v>#REF!</v>
      </c>
      <c r="CJ343" t="e">
        <f>AND('PROG FORMACIÓN TITULADA'!#REF!,"AAAAAE/3+Vc=")</f>
        <v>#REF!</v>
      </c>
      <c r="CK343" t="e">
        <f>AND('PROG FORMACIÓN TITULADA'!#REF!,"AAAAAE/3+Vg=")</f>
        <v>#REF!</v>
      </c>
      <c r="CL343" t="e">
        <f>AND('PROG FORMACIÓN TITULADA'!#REF!,"AAAAAE/3+Vk=")</f>
        <v>#REF!</v>
      </c>
      <c r="CM343" t="e">
        <f>IF('PROG FORMACIÓN TITULADA'!#REF!,"AAAAAE/3+Vo=",0)</f>
        <v>#REF!</v>
      </c>
      <c r="CN343" t="e">
        <f>AND('PROG FORMACIÓN TITULADA'!#REF!,"AAAAAE/3+Vs=")</f>
        <v>#REF!</v>
      </c>
      <c r="CO343" t="e">
        <f>AND('PROG FORMACIÓN TITULADA'!#REF!,"AAAAAE/3+Vw=")</f>
        <v>#REF!</v>
      </c>
      <c r="CP343" t="e">
        <f>AND('PROG FORMACIÓN TITULADA'!#REF!,"AAAAAE/3+V0=")</f>
        <v>#REF!</v>
      </c>
      <c r="CQ343" t="e">
        <f>AND('PROG FORMACIÓN TITULADA'!#REF!,"AAAAAE/3+V4=")</f>
        <v>#REF!</v>
      </c>
      <c r="CR343" t="e">
        <f>AND('PROG FORMACIÓN TITULADA'!#REF!,"AAAAAE/3+V8=")</f>
        <v>#REF!</v>
      </c>
      <c r="CS343" t="e">
        <f>AND('PROG FORMACIÓN TITULADA'!#REF!,"AAAAAE/3+WA=")</f>
        <v>#REF!</v>
      </c>
      <c r="CT343" t="e">
        <f>AND('PROG FORMACIÓN TITULADA'!#REF!,"AAAAAE/3+WE=")</f>
        <v>#REF!</v>
      </c>
      <c r="CU343" t="e">
        <f>AND('PROG FORMACIÓN TITULADA'!#REF!,"AAAAAE/3+WI=")</f>
        <v>#REF!</v>
      </c>
      <c r="CV343" t="e">
        <f>AND('PROG FORMACIÓN TITULADA'!#REF!,"AAAAAE/3+WM=")</f>
        <v>#REF!</v>
      </c>
      <c r="CW343" t="e">
        <f>AND('PROG FORMACIÓN TITULADA'!#REF!,"AAAAAE/3+WQ=")</f>
        <v>#REF!</v>
      </c>
      <c r="CX343" t="e">
        <f>AND('PROG FORMACIÓN TITULADA'!#REF!,"AAAAAE/3+WU=")</f>
        <v>#REF!</v>
      </c>
      <c r="CY343" t="e">
        <f>AND('PROG FORMACIÓN TITULADA'!#REF!,"AAAAAE/3+WY=")</f>
        <v>#REF!</v>
      </c>
      <c r="CZ343" t="e">
        <f>AND('PROG FORMACIÓN TITULADA'!#REF!,"AAAAAE/3+Wc=")</f>
        <v>#REF!</v>
      </c>
      <c r="DA343" t="e">
        <f>AND('PROG FORMACIÓN TITULADA'!#REF!,"AAAAAE/3+Wg=")</f>
        <v>#REF!</v>
      </c>
      <c r="DB343" t="e">
        <f>AND('PROG FORMACIÓN TITULADA'!#REF!,"AAAAAE/3+Wk=")</f>
        <v>#REF!</v>
      </c>
      <c r="DC343" t="e">
        <f>AND('PROG FORMACIÓN TITULADA'!#REF!,"AAAAAE/3+Wo=")</f>
        <v>#REF!</v>
      </c>
      <c r="DD343" t="e">
        <f>AND('PROG FORMACIÓN TITULADA'!#REF!,"AAAAAE/3+Ws=")</f>
        <v>#REF!</v>
      </c>
      <c r="DE343" t="e">
        <f>AND('PROG FORMACIÓN TITULADA'!#REF!,"AAAAAE/3+Ww=")</f>
        <v>#REF!</v>
      </c>
      <c r="DF343" t="e">
        <f>AND('PROG FORMACIÓN TITULADA'!#REF!,"AAAAAE/3+W0=")</f>
        <v>#REF!</v>
      </c>
      <c r="DG343" t="e">
        <f>AND('PROG FORMACIÓN TITULADA'!#REF!,"AAAAAE/3+W4=")</f>
        <v>#REF!</v>
      </c>
      <c r="DH343" t="e">
        <f>AND('PROG FORMACIÓN TITULADA'!#REF!,"AAAAAE/3+W8=")</f>
        <v>#REF!</v>
      </c>
      <c r="DI343" t="e">
        <f>AND('PROG FORMACIÓN TITULADA'!#REF!,"AAAAAE/3+XA=")</f>
        <v>#REF!</v>
      </c>
      <c r="DJ343" t="e">
        <f>AND('PROG FORMACIÓN TITULADA'!#REF!,"AAAAAE/3+XE=")</f>
        <v>#REF!</v>
      </c>
      <c r="DK343" t="e">
        <f>AND('PROG FORMACIÓN TITULADA'!#REF!,"AAAAAE/3+XI=")</f>
        <v>#REF!</v>
      </c>
      <c r="DL343" t="e">
        <f>AND('PROG FORMACIÓN TITULADA'!#REF!,"AAAAAE/3+XM=")</f>
        <v>#REF!</v>
      </c>
      <c r="DM343" t="e">
        <f>AND('PROG FORMACIÓN TITULADA'!#REF!,"AAAAAE/3+XQ=")</f>
        <v>#REF!</v>
      </c>
      <c r="DN343" t="e">
        <f>IF('PROG FORMACIÓN TITULADA'!#REF!,"AAAAAE/3+XU=",0)</f>
        <v>#REF!</v>
      </c>
      <c r="DO343" t="e">
        <f>AND('PROG FORMACIÓN TITULADA'!#REF!,"AAAAAE/3+XY=")</f>
        <v>#REF!</v>
      </c>
      <c r="DP343" t="e">
        <f>AND('PROG FORMACIÓN TITULADA'!#REF!,"AAAAAE/3+Xc=")</f>
        <v>#REF!</v>
      </c>
      <c r="DQ343" t="e">
        <f>AND('PROG FORMACIÓN TITULADA'!#REF!,"AAAAAE/3+Xg=")</f>
        <v>#REF!</v>
      </c>
      <c r="DR343" t="e">
        <f>AND('PROG FORMACIÓN TITULADA'!#REF!,"AAAAAE/3+Xk=")</f>
        <v>#REF!</v>
      </c>
      <c r="DS343" t="e">
        <f>AND('PROG FORMACIÓN TITULADA'!#REF!,"AAAAAE/3+Xo=")</f>
        <v>#REF!</v>
      </c>
      <c r="DT343" t="e">
        <f>AND('PROG FORMACIÓN TITULADA'!#REF!,"AAAAAE/3+Xs=")</f>
        <v>#REF!</v>
      </c>
      <c r="DU343" t="e">
        <f>AND('PROG FORMACIÓN TITULADA'!#REF!,"AAAAAE/3+Xw=")</f>
        <v>#REF!</v>
      </c>
      <c r="DV343" t="e">
        <f>AND('PROG FORMACIÓN TITULADA'!#REF!,"AAAAAE/3+X0=")</f>
        <v>#REF!</v>
      </c>
      <c r="DW343" t="e">
        <f>AND('PROG FORMACIÓN TITULADA'!#REF!,"AAAAAE/3+X4=")</f>
        <v>#REF!</v>
      </c>
      <c r="DX343" t="e">
        <f>AND('PROG FORMACIÓN TITULADA'!#REF!,"AAAAAE/3+X8=")</f>
        <v>#REF!</v>
      </c>
      <c r="DY343" t="e">
        <f>AND('PROG FORMACIÓN TITULADA'!#REF!,"AAAAAE/3+YA=")</f>
        <v>#REF!</v>
      </c>
      <c r="DZ343" t="e">
        <f>AND('PROG FORMACIÓN TITULADA'!#REF!,"AAAAAE/3+YE=")</f>
        <v>#REF!</v>
      </c>
      <c r="EA343" t="e">
        <f>AND('PROG FORMACIÓN TITULADA'!#REF!,"AAAAAE/3+YI=")</f>
        <v>#REF!</v>
      </c>
      <c r="EB343" t="e">
        <f>AND('PROG FORMACIÓN TITULADA'!#REF!,"AAAAAE/3+YM=")</f>
        <v>#REF!</v>
      </c>
      <c r="EC343" t="e">
        <f>AND('PROG FORMACIÓN TITULADA'!#REF!,"AAAAAE/3+YQ=")</f>
        <v>#REF!</v>
      </c>
      <c r="ED343" t="e">
        <f>AND('PROG FORMACIÓN TITULADA'!#REF!,"AAAAAE/3+YU=")</f>
        <v>#REF!</v>
      </c>
      <c r="EE343" t="e">
        <f>AND('PROG FORMACIÓN TITULADA'!#REF!,"AAAAAE/3+YY=")</f>
        <v>#REF!</v>
      </c>
      <c r="EF343" t="e">
        <f>AND('PROG FORMACIÓN TITULADA'!#REF!,"AAAAAE/3+Yc=")</f>
        <v>#REF!</v>
      </c>
      <c r="EG343" t="e">
        <f>AND('PROG FORMACIÓN TITULADA'!#REF!,"AAAAAE/3+Yg=")</f>
        <v>#REF!</v>
      </c>
      <c r="EH343" t="e">
        <f>AND('PROG FORMACIÓN TITULADA'!#REF!,"AAAAAE/3+Yk=")</f>
        <v>#REF!</v>
      </c>
      <c r="EI343" t="e">
        <f>AND('PROG FORMACIÓN TITULADA'!#REF!,"AAAAAE/3+Yo=")</f>
        <v>#REF!</v>
      </c>
      <c r="EJ343" t="e">
        <f>AND('PROG FORMACIÓN TITULADA'!#REF!,"AAAAAE/3+Ys=")</f>
        <v>#REF!</v>
      </c>
      <c r="EK343" t="e">
        <f>AND('PROG FORMACIÓN TITULADA'!#REF!,"AAAAAE/3+Yw=")</f>
        <v>#REF!</v>
      </c>
      <c r="EL343" t="e">
        <f>AND('PROG FORMACIÓN TITULADA'!#REF!,"AAAAAE/3+Y0=")</f>
        <v>#REF!</v>
      </c>
      <c r="EM343" t="e">
        <f>AND('PROG FORMACIÓN TITULADA'!#REF!,"AAAAAE/3+Y4=")</f>
        <v>#REF!</v>
      </c>
      <c r="EN343" t="e">
        <f>AND('PROG FORMACIÓN TITULADA'!#REF!,"AAAAAE/3+Y8=")</f>
        <v>#REF!</v>
      </c>
      <c r="EO343" t="e">
        <f>IF('PROG FORMACIÓN TITULADA'!#REF!,"AAAAAE/3+ZA=",0)</f>
        <v>#REF!</v>
      </c>
      <c r="EP343" t="e">
        <f>AND('PROG FORMACIÓN TITULADA'!#REF!,"AAAAAE/3+ZE=")</f>
        <v>#REF!</v>
      </c>
      <c r="EQ343" t="e">
        <f>AND('PROG FORMACIÓN TITULADA'!#REF!,"AAAAAE/3+ZI=")</f>
        <v>#REF!</v>
      </c>
      <c r="ER343" t="e">
        <f>AND('PROG FORMACIÓN TITULADA'!#REF!,"AAAAAE/3+ZM=")</f>
        <v>#REF!</v>
      </c>
      <c r="ES343" t="e">
        <f>AND('PROG FORMACIÓN TITULADA'!#REF!,"AAAAAE/3+ZQ=")</f>
        <v>#REF!</v>
      </c>
      <c r="ET343" t="e">
        <f>AND('PROG FORMACIÓN TITULADA'!#REF!,"AAAAAE/3+ZU=")</f>
        <v>#REF!</v>
      </c>
      <c r="EU343" t="e">
        <f>AND('PROG FORMACIÓN TITULADA'!#REF!,"AAAAAE/3+ZY=")</f>
        <v>#REF!</v>
      </c>
      <c r="EV343" t="e">
        <f>AND('PROG FORMACIÓN TITULADA'!#REF!,"AAAAAE/3+Zc=")</f>
        <v>#REF!</v>
      </c>
      <c r="EW343" t="e">
        <f>AND('PROG FORMACIÓN TITULADA'!#REF!,"AAAAAE/3+Zg=")</f>
        <v>#REF!</v>
      </c>
      <c r="EX343" t="e">
        <f>AND('PROG FORMACIÓN TITULADA'!#REF!,"AAAAAE/3+Zk=")</f>
        <v>#REF!</v>
      </c>
      <c r="EY343" t="e">
        <f>AND('PROG FORMACIÓN TITULADA'!#REF!,"AAAAAE/3+Zo=")</f>
        <v>#REF!</v>
      </c>
      <c r="EZ343" t="e">
        <f>AND('PROG FORMACIÓN TITULADA'!#REF!,"AAAAAE/3+Zs=")</f>
        <v>#REF!</v>
      </c>
      <c r="FA343" t="e">
        <f>AND('PROG FORMACIÓN TITULADA'!#REF!,"AAAAAE/3+Zw=")</f>
        <v>#REF!</v>
      </c>
      <c r="FB343" t="e">
        <f>AND('PROG FORMACIÓN TITULADA'!#REF!,"AAAAAE/3+Z0=")</f>
        <v>#REF!</v>
      </c>
      <c r="FC343" t="e">
        <f>AND('PROG FORMACIÓN TITULADA'!#REF!,"AAAAAE/3+Z4=")</f>
        <v>#REF!</v>
      </c>
      <c r="FD343" t="e">
        <f>AND('PROG FORMACIÓN TITULADA'!#REF!,"AAAAAE/3+Z8=")</f>
        <v>#REF!</v>
      </c>
      <c r="FE343" t="e">
        <f>AND('PROG FORMACIÓN TITULADA'!#REF!,"AAAAAE/3+aA=")</f>
        <v>#REF!</v>
      </c>
      <c r="FF343" t="e">
        <f>AND('PROG FORMACIÓN TITULADA'!#REF!,"AAAAAE/3+aE=")</f>
        <v>#REF!</v>
      </c>
      <c r="FG343" t="e">
        <f>AND('PROG FORMACIÓN TITULADA'!#REF!,"AAAAAE/3+aI=")</f>
        <v>#REF!</v>
      </c>
      <c r="FH343" t="e">
        <f>AND('PROG FORMACIÓN TITULADA'!#REF!,"AAAAAE/3+aM=")</f>
        <v>#REF!</v>
      </c>
      <c r="FI343" t="e">
        <f>AND('PROG FORMACIÓN TITULADA'!#REF!,"AAAAAE/3+aQ=")</f>
        <v>#REF!</v>
      </c>
      <c r="FJ343" t="e">
        <f>AND('PROG FORMACIÓN TITULADA'!#REF!,"AAAAAE/3+aU=")</f>
        <v>#REF!</v>
      </c>
      <c r="FK343" t="e">
        <f>AND('PROG FORMACIÓN TITULADA'!#REF!,"AAAAAE/3+aY=")</f>
        <v>#REF!</v>
      </c>
      <c r="FL343" t="e">
        <f>AND('PROG FORMACIÓN TITULADA'!#REF!,"AAAAAE/3+ac=")</f>
        <v>#REF!</v>
      </c>
      <c r="FM343" t="e">
        <f>AND('PROG FORMACIÓN TITULADA'!#REF!,"AAAAAE/3+ag=")</f>
        <v>#REF!</v>
      </c>
      <c r="FN343" t="e">
        <f>AND('PROG FORMACIÓN TITULADA'!#REF!,"AAAAAE/3+ak=")</f>
        <v>#REF!</v>
      </c>
      <c r="FO343" t="e">
        <f>AND('PROG FORMACIÓN TITULADA'!#REF!,"AAAAAE/3+ao=")</f>
        <v>#REF!</v>
      </c>
      <c r="FP343" t="e">
        <f>IF('PROG FORMACIÓN TITULADA'!#REF!,"AAAAAE/3+as=",0)</f>
        <v>#REF!</v>
      </c>
      <c r="FQ343" t="e">
        <f>AND('PROG FORMACIÓN TITULADA'!#REF!,"AAAAAE/3+aw=")</f>
        <v>#REF!</v>
      </c>
      <c r="FR343" t="e">
        <f>AND('PROG FORMACIÓN TITULADA'!#REF!,"AAAAAE/3+a0=")</f>
        <v>#REF!</v>
      </c>
      <c r="FS343" t="e">
        <f>AND('PROG FORMACIÓN TITULADA'!#REF!,"AAAAAE/3+a4=")</f>
        <v>#REF!</v>
      </c>
      <c r="FT343" t="e">
        <f>AND('PROG FORMACIÓN TITULADA'!#REF!,"AAAAAE/3+a8=")</f>
        <v>#REF!</v>
      </c>
      <c r="FU343" t="e">
        <f>AND('PROG FORMACIÓN TITULADA'!#REF!,"AAAAAE/3+bA=")</f>
        <v>#REF!</v>
      </c>
      <c r="FV343" t="e">
        <f>AND('PROG FORMACIÓN TITULADA'!#REF!,"AAAAAE/3+bE=")</f>
        <v>#REF!</v>
      </c>
      <c r="FW343" t="e">
        <f>AND('PROG FORMACIÓN TITULADA'!#REF!,"AAAAAE/3+bI=")</f>
        <v>#REF!</v>
      </c>
      <c r="FX343" t="e">
        <f>AND('PROG FORMACIÓN TITULADA'!#REF!,"AAAAAE/3+bM=")</f>
        <v>#REF!</v>
      </c>
      <c r="FY343" t="e">
        <f>AND('PROG FORMACIÓN TITULADA'!#REF!,"AAAAAE/3+bQ=")</f>
        <v>#REF!</v>
      </c>
      <c r="FZ343" t="e">
        <f>AND('PROG FORMACIÓN TITULADA'!#REF!,"AAAAAE/3+bU=")</f>
        <v>#REF!</v>
      </c>
      <c r="GA343" t="e">
        <f>AND('PROG FORMACIÓN TITULADA'!#REF!,"AAAAAE/3+bY=")</f>
        <v>#REF!</v>
      </c>
      <c r="GB343" t="e">
        <f>AND('PROG FORMACIÓN TITULADA'!#REF!,"AAAAAE/3+bc=")</f>
        <v>#REF!</v>
      </c>
      <c r="GC343" t="e">
        <f>AND('PROG FORMACIÓN TITULADA'!#REF!,"AAAAAE/3+bg=")</f>
        <v>#REF!</v>
      </c>
      <c r="GD343" t="e">
        <f>AND('PROG FORMACIÓN TITULADA'!#REF!,"AAAAAE/3+bk=")</f>
        <v>#REF!</v>
      </c>
      <c r="GE343" t="e">
        <f>AND('PROG FORMACIÓN TITULADA'!#REF!,"AAAAAE/3+bo=")</f>
        <v>#REF!</v>
      </c>
      <c r="GF343" t="e">
        <f>AND('PROG FORMACIÓN TITULADA'!#REF!,"AAAAAE/3+bs=")</f>
        <v>#REF!</v>
      </c>
      <c r="GG343" t="e">
        <f>AND('PROG FORMACIÓN TITULADA'!#REF!,"AAAAAE/3+bw=")</f>
        <v>#REF!</v>
      </c>
      <c r="GH343" t="e">
        <f>AND('PROG FORMACIÓN TITULADA'!#REF!,"AAAAAE/3+b0=")</f>
        <v>#REF!</v>
      </c>
      <c r="GI343" t="e">
        <f>AND('PROG FORMACIÓN TITULADA'!#REF!,"AAAAAE/3+b4=")</f>
        <v>#REF!</v>
      </c>
      <c r="GJ343" t="e">
        <f>AND('PROG FORMACIÓN TITULADA'!#REF!,"AAAAAE/3+b8=")</f>
        <v>#REF!</v>
      </c>
      <c r="GK343" t="e">
        <f>AND('PROG FORMACIÓN TITULADA'!#REF!,"AAAAAE/3+cA=")</f>
        <v>#REF!</v>
      </c>
      <c r="GL343" t="e">
        <f>AND('PROG FORMACIÓN TITULADA'!#REF!,"AAAAAE/3+cE=")</f>
        <v>#REF!</v>
      </c>
      <c r="GM343" t="e">
        <f>AND('PROG FORMACIÓN TITULADA'!#REF!,"AAAAAE/3+cI=")</f>
        <v>#REF!</v>
      </c>
      <c r="GN343" t="e">
        <f>AND('PROG FORMACIÓN TITULADA'!#REF!,"AAAAAE/3+cM=")</f>
        <v>#REF!</v>
      </c>
      <c r="GO343" t="e">
        <f>AND('PROG FORMACIÓN TITULADA'!#REF!,"AAAAAE/3+cQ=")</f>
        <v>#REF!</v>
      </c>
      <c r="GP343" t="e">
        <f>AND('PROG FORMACIÓN TITULADA'!#REF!,"AAAAAE/3+cU=")</f>
        <v>#REF!</v>
      </c>
      <c r="GQ343" t="e">
        <f>IF('PROG FORMACIÓN TITULADA'!#REF!,"AAAAAE/3+cY=",0)</f>
        <v>#REF!</v>
      </c>
      <c r="GR343" t="e">
        <f>AND('PROG FORMACIÓN TITULADA'!#REF!,"AAAAAE/3+cc=")</f>
        <v>#REF!</v>
      </c>
      <c r="GS343" t="e">
        <f>AND('PROG FORMACIÓN TITULADA'!#REF!,"AAAAAE/3+cg=")</f>
        <v>#REF!</v>
      </c>
      <c r="GT343" t="e">
        <f>AND('PROG FORMACIÓN TITULADA'!#REF!,"AAAAAE/3+ck=")</f>
        <v>#REF!</v>
      </c>
      <c r="GU343" t="e">
        <f>AND('PROG FORMACIÓN TITULADA'!#REF!,"AAAAAE/3+co=")</f>
        <v>#REF!</v>
      </c>
      <c r="GV343" t="e">
        <f>AND('PROG FORMACIÓN TITULADA'!#REF!,"AAAAAE/3+cs=")</f>
        <v>#REF!</v>
      </c>
      <c r="GW343" t="e">
        <f>AND('PROG FORMACIÓN TITULADA'!#REF!,"AAAAAE/3+cw=")</f>
        <v>#REF!</v>
      </c>
      <c r="GX343" t="e">
        <f>AND('PROG FORMACIÓN TITULADA'!#REF!,"AAAAAE/3+c0=")</f>
        <v>#REF!</v>
      </c>
      <c r="GY343" t="e">
        <f>AND('PROG FORMACIÓN TITULADA'!#REF!,"AAAAAE/3+c4=")</f>
        <v>#REF!</v>
      </c>
      <c r="GZ343" t="e">
        <f>AND('PROG FORMACIÓN TITULADA'!#REF!,"AAAAAE/3+c8=")</f>
        <v>#REF!</v>
      </c>
      <c r="HA343" t="e">
        <f>AND('PROG FORMACIÓN TITULADA'!#REF!,"AAAAAE/3+dA=")</f>
        <v>#REF!</v>
      </c>
      <c r="HB343" t="e">
        <f>AND('PROG FORMACIÓN TITULADA'!#REF!,"AAAAAE/3+dE=")</f>
        <v>#REF!</v>
      </c>
      <c r="HC343" t="e">
        <f>AND('PROG FORMACIÓN TITULADA'!#REF!,"AAAAAE/3+dI=")</f>
        <v>#REF!</v>
      </c>
      <c r="HD343" t="e">
        <f>AND('PROG FORMACIÓN TITULADA'!#REF!,"AAAAAE/3+dM=")</f>
        <v>#REF!</v>
      </c>
      <c r="HE343" t="e">
        <f>AND('PROG FORMACIÓN TITULADA'!#REF!,"AAAAAE/3+dQ=")</f>
        <v>#REF!</v>
      </c>
      <c r="HF343" t="e">
        <f>AND('PROG FORMACIÓN TITULADA'!#REF!,"AAAAAE/3+dU=")</f>
        <v>#REF!</v>
      </c>
      <c r="HG343" t="e">
        <f>AND('PROG FORMACIÓN TITULADA'!#REF!,"AAAAAE/3+dY=")</f>
        <v>#REF!</v>
      </c>
      <c r="HH343" t="e">
        <f>AND('PROG FORMACIÓN TITULADA'!#REF!,"AAAAAE/3+dc=")</f>
        <v>#REF!</v>
      </c>
      <c r="HI343" t="e">
        <f>AND('PROG FORMACIÓN TITULADA'!#REF!,"AAAAAE/3+dg=")</f>
        <v>#REF!</v>
      </c>
      <c r="HJ343" t="e">
        <f>AND('PROG FORMACIÓN TITULADA'!#REF!,"AAAAAE/3+dk=")</f>
        <v>#REF!</v>
      </c>
      <c r="HK343" t="e">
        <f>AND('PROG FORMACIÓN TITULADA'!#REF!,"AAAAAE/3+do=")</f>
        <v>#REF!</v>
      </c>
      <c r="HL343" t="e">
        <f>AND('PROG FORMACIÓN TITULADA'!#REF!,"AAAAAE/3+ds=")</f>
        <v>#REF!</v>
      </c>
      <c r="HM343" t="e">
        <f>AND('PROG FORMACIÓN TITULADA'!#REF!,"AAAAAE/3+dw=")</f>
        <v>#REF!</v>
      </c>
      <c r="HN343" t="e">
        <f>AND('PROG FORMACIÓN TITULADA'!#REF!,"AAAAAE/3+d0=")</f>
        <v>#REF!</v>
      </c>
      <c r="HO343" t="e">
        <f>AND('PROG FORMACIÓN TITULADA'!#REF!,"AAAAAE/3+d4=")</f>
        <v>#REF!</v>
      </c>
      <c r="HP343" t="e">
        <f>AND('PROG FORMACIÓN TITULADA'!#REF!,"AAAAAE/3+d8=")</f>
        <v>#REF!</v>
      </c>
      <c r="HQ343" t="e">
        <f>AND('PROG FORMACIÓN TITULADA'!#REF!,"AAAAAE/3+eA=")</f>
        <v>#REF!</v>
      </c>
      <c r="HR343" t="e">
        <f>IF('PROG FORMACIÓN TITULADA'!#REF!,"AAAAAE/3+eE=",0)</f>
        <v>#REF!</v>
      </c>
      <c r="HS343" t="e">
        <f>AND('PROG FORMACIÓN TITULADA'!#REF!,"AAAAAE/3+eI=")</f>
        <v>#REF!</v>
      </c>
      <c r="HT343" t="e">
        <f>AND('PROG FORMACIÓN TITULADA'!#REF!,"AAAAAE/3+eM=")</f>
        <v>#REF!</v>
      </c>
      <c r="HU343" t="e">
        <f>AND('PROG FORMACIÓN TITULADA'!#REF!,"AAAAAE/3+eQ=")</f>
        <v>#REF!</v>
      </c>
      <c r="HV343" t="e">
        <f>AND('PROG FORMACIÓN TITULADA'!#REF!,"AAAAAE/3+eU=")</f>
        <v>#REF!</v>
      </c>
      <c r="HW343" t="e">
        <f>AND('PROG FORMACIÓN TITULADA'!#REF!,"AAAAAE/3+eY=")</f>
        <v>#REF!</v>
      </c>
      <c r="HX343" t="e">
        <f>AND('PROG FORMACIÓN TITULADA'!#REF!,"AAAAAE/3+ec=")</f>
        <v>#REF!</v>
      </c>
      <c r="HY343" t="e">
        <f>AND('PROG FORMACIÓN TITULADA'!#REF!,"AAAAAE/3+eg=")</f>
        <v>#REF!</v>
      </c>
      <c r="HZ343" t="e">
        <f>AND('PROG FORMACIÓN TITULADA'!#REF!,"AAAAAE/3+ek=")</f>
        <v>#REF!</v>
      </c>
      <c r="IA343" t="e">
        <f>AND('PROG FORMACIÓN TITULADA'!#REF!,"AAAAAE/3+eo=")</f>
        <v>#REF!</v>
      </c>
      <c r="IB343" t="e">
        <f>AND('PROG FORMACIÓN TITULADA'!#REF!,"AAAAAE/3+es=")</f>
        <v>#REF!</v>
      </c>
      <c r="IC343" t="e">
        <f>AND('PROG FORMACIÓN TITULADA'!#REF!,"AAAAAE/3+ew=")</f>
        <v>#REF!</v>
      </c>
      <c r="ID343" t="e">
        <f>AND('PROG FORMACIÓN TITULADA'!#REF!,"AAAAAE/3+e0=")</f>
        <v>#REF!</v>
      </c>
      <c r="IE343" t="e">
        <f>AND('PROG FORMACIÓN TITULADA'!#REF!,"AAAAAE/3+e4=")</f>
        <v>#REF!</v>
      </c>
      <c r="IF343" t="e">
        <f>AND('PROG FORMACIÓN TITULADA'!#REF!,"AAAAAE/3+e8=")</f>
        <v>#REF!</v>
      </c>
      <c r="IG343" t="e">
        <f>AND('PROG FORMACIÓN TITULADA'!#REF!,"AAAAAE/3+fA=")</f>
        <v>#REF!</v>
      </c>
      <c r="IH343" t="e">
        <f>AND('PROG FORMACIÓN TITULADA'!#REF!,"AAAAAE/3+fE=")</f>
        <v>#REF!</v>
      </c>
      <c r="II343" t="e">
        <f>AND('PROG FORMACIÓN TITULADA'!#REF!,"AAAAAE/3+fI=")</f>
        <v>#REF!</v>
      </c>
      <c r="IJ343" t="e">
        <f>AND('PROG FORMACIÓN TITULADA'!#REF!,"AAAAAE/3+fM=")</f>
        <v>#REF!</v>
      </c>
      <c r="IK343" t="e">
        <f>AND('PROG FORMACIÓN TITULADA'!#REF!,"AAAAAE/3+fQ=")</f>
        <v>#REF!</v>
      </c>
      <c r="IL343" t="e">
        <f>AND('PROG FORMACIÓN TITULADA'!#REF!,"AAAAAE/3+fU=")</f>
        <v>#REF!</v>
      </c>
      <c r="IM343" t="e">
        <f>AND('PROG FORMACIÓN TITULADA'!#REF!,"AAAAAE/3+fY=")</f>
        <v>#REF!</v>
      </c>
      <c r="IN343" t="e">
        <f>AND('PROG FORMACIÓN TITULADA'!#REF!,"AAAAAE/3+fc=")</f>
        <v>#REF!</v>
      </c>
      <c r="IO343" t="e">
        <f>AND('PROG FORMACIÓN TITULADA'!#REF!,"AAAAAE/3+fg=")</f>
        <v>#REF!</v>
      </c>
      <c r="IP343" t="e">
        <f>AND('PROG FORMACIÓN TITULADA'!#REF!,"AAAAAE/3+fk=")</f>
        <v>#REF!</v>
      </c>
      <c r="IQ343" t="e">
        <f>AND('PROG FORMACIÓN TITULADA'!#REF!,"AAAAAE/3+fo=")</f>
        <v>#REF!</v>
      </c>
      <c r="IR343" t="e">
        <f>AND('PROG FORMACIÓN TITULADA'!#REF!,"AAAAAE/3+fs=")</f>
        <v>#REF!</v>
      </c>
      <c r="IS343" t="e">
        <f>IF('PROG FORMACIÓN TITULADA'!#REF!,"AAAAAE/3+fw=",0)</f>
        <v>#REF!</v>
      </c>
      <c r="IT343" t="e">
        <f>AND('PROG FORMACIÓN TITULADA'!#REF!,"AAAAAE/3+f0=")</f>
        <v>#REF!</v>
      </c>
      <c r="IU343" t="e">
        <f>AND('PROG FORMACIÓN TITULADA'!#REF!,"AAAAAE/3+f4=")</f>
        <v>#REF!</v>
      </c>
      <c r="IV343" t="e">
        <f>AND('PROG FORMACIÓN TITULADA'!#REF!,"AAAAAE/3+f8=")</f>
        <v>#REF!</v>
      </c>
    </row>
    <row r="344" spans="1:256" x14ac:dyDescent="0.2">
      <c r="A344" t="e">
        <f>AND('PROG FORMACIÓN TITULADA'!#REF!,"AAAAAD/7twA=")</f>
        <v>#REF!</v>
      </c>
      <c r="B344" t="e">
        <f>AND('PROG FORMACIÓN TITULADA'!#REF!,"AAAAAD/7twE=")</f>
        <v>#REF!</v>
      </c>
      <c r="C344" t="e">
        <f>AND('PROG FORMACIÓN TITULADA'!#REF!,"AAAAAD/7twI=")</f>
        <v>#REF!</v>
      </c>
      <c r="D344" t="e">
        <f>AND('PROG FORMACIÓN TITULADA'!#REF!,"AAAAAD/7twM=")</f>
        <v>#REF!</v>
      </c>
      <c r="E344" t="e">
        <f>AND('PROG FORMACIÓN TITULADA'!#REF!,"AAAAAD/7twQ=")</f>
        <v>#REF!</v>
      </c>
      <c r="F344" t="e">
        <f>AND('PROG FORMACIÓN TITULADA'!#REF!,"AAAAAD/7twU=")</f>
        <v>#REF!</v>
      </c>
      <c r="G344" t="e">
        <f>AND('PROG FORMACIÓN TITULADA'!#REF!,"AAAAAD/7twY=")</f>
        <v>#REF!</v>
      </c>
      <c r="H344" t="e">
        <f>AND('PROG FORMACIÓN TITULADA'!#REF!,"AAAAAD/7twc=")</f>
        <v>#REF!</v>
      </c>
      <c r="I344" t="e">
        <f>AND('PROG FORMACIÓN TITULADA'!#REF!,"AAAAAD/7twg=")</f>
        <v>#REF!</v>
      </c>
      <c r="J344" t="e">
        <f>AND('PROG FORMACIÓN TITULADA'!#REF!,"AAAAAD/7twk=")</f>
        <v>#REF!</v>
      </c>
      <c r="K344" t="e">
        <f>AND('PROG FORMACIÓN TITULADA'!#REF!,"AAAAAD/7two=")</f>
        <v>#REF!</v>
      </c>
      <c r="L344" t="e">
        <f>AND('PROG FORMACIÓN TITULADA'!#REF!,"AAAAAD/7tws=")</f>
        <v>#REF!</v>
      </c>
      <c r="M344" t="e">
        <f>AND('PROG FORMACIÓN TITULADA'!#REF!,"AAAAAD/7tww=")</f>
        <v>#REF!</v>
      </c>
      <c r="N344" t="e">
        <f>AND('PROG FORMACIÓN TITULADA'!#REF!,"AAAAAD/7tw0=")</f>
        <v>#REF!</v>
      </c>
      <c r="O344" t="e">
        <f>AND('PROG FORMACIÓN TITULADA'!#REF!,"AAAAAD/7tw4=")</f>
        <v>#REF!</v>
      </c>
      <c r="P344" t="e">
        <f>AND('PROG FORMACIÓN TITULADA'!#REF!,"AAAAAD/7tw8=")</f>
        <v>#REF!</v>
      </c>
      <c r="Q344" t="e">
        <f>AND('PROG FORMACIÓN TITULADA'!#REF!,"AAAAAD/7txA=")</f>
        <v>#REF!</v>
      </c>
      <c r="R344" t="e">
        <f>AND('PROG FORMACIÓN TITULADA'!#REF!,"AAAAAD/7txE=")</f>
        <v>#REF!</v>
      </c>
      <c r="S344" t="e">
        <f>AND('PROG FORMACIÓN TITULADA'!#REF!,"AAAAAD/7txI=")</f>
        <v>#REF!</v>
      </c>
      <c r="T344" t="e">
        <f>AND('PROG FORMACIÓN TITULADA'!#REF!,"AAAAAD/7txM=")</f>
        <v>#REF!</v>
      </c>
      <c r="U344" t="e">
        <f>AND('PROG FORMACIÓN TITULADA'!#REF!,"AAAAAD/7txQ=")</f>
        <v>#REF!</v>
      </c>
      <c r="V344" t="e">
        <f>AND('PROG FORMACIÓN TITULADA'!#REF!,"AAAAAD/7txU=")</f>
        <v>#REF!</v>
      </c>
      <c r="W344" t="e">
        <f>AND('PROG FORMACIÓN TITULADA'!#REF!,"AAAAAD/7txY=")</f>
        <v>#REF!</v>
      </c>
      <c r="X344" t="e">
        <f>IF('PROG FORMACIÓN TITULADA'!#REF!,"AAAAAD/7txc=",0)</f>
        <v>#REF!</v>
      </c>
      <c r="Y344" t="e">
        <f>AND('PROG FORMACIÓN TITULADA'!#REF!,"AAAAAD/7txg=")</f>
        <v>#REF!</v>
      </c>
      <c r="Z344" t="e">
        <f>AND('PROG FORMACIÓN TITULADA'!#REF!,"AAAAAD/7txk=")</f>
        <v>#REF!</v>
      </c>
      <c r="AA344" t="e">
        <f>AND('PROG FORMACIÓN TITULADA'!#REF!,"AAAAAD/7txo=")</f>
        <v>#REF!</v>
      </c>
      <c r="AB344" t="e">
        <f>AND('PROG FORMACIÓN TITULADA'!#REF!,"AAAAAD/7txs=")</f>
        <v>#REF!</v>
      </c>
      <c r="AC344" t="e">
        <f>AND('PROG FORMACIÓN TITULADA'!#REF!,"AAAAAD/7txw=")</f>
        <v>#REF!</v>
      </c>
      <c r="AD344" t="e">
        <f>AND('PROG FORMACIÓN TITULADA'!#REF!,"AAAAAD/7tx0=")</f>
        <v>#REF!</v>
      </c>
      <c r="AE344" t="e">
        <f>AND('PROG FORMACIÓN TITULADA'!#REF!,"AAAAAD/7tx4=")</f>
        <v>#REF!</v>
      </c>
      <c r="AF344" t="e">
        <f>AND('PROG FORMACIÓN TITULADA'!#REF!,"AAAAAD/7tx8=")</f>
        <v>#REF!</v>
      </c>
      <c r="AG344" t="e">
        <f>AND('PROG FORMACIÓN TITULADA'!#REF!,"AAAAAD/7tyA=")</f>
        <v>#REF!</v>
      </c>
      <c r="AH344" t="e">
        <f>AND('PROG FORMACIÓN TITULADA'!#REF!,"AAAAAD/7tyE=")</f>
        <v>#REF!</v>
      </c>
      <c r="AI344" t="e">
        <f>AND('PROG FORMACIÓN TITULADA'!#REF!,"AAAAAD/7tyI=")</f>
        <v>#REF!</v>
      </c>
      <c r="AJ344" t="e">
        <f>AND('PROG FORMACIÓN TITULADA'!#REF!,"AAAAAD/7tyM=")</f>
        <v>#REF!</v>
      </c>
      <c r="AK344" t="e">
        <f>AND('PROG FORMACIÓN TITULADA'!#REF!,"AAAAAD/7tyQ=")</f>
        <v>#REF!</v>
      </c>
      <c r="AL344" t="e">
        <f>AND('PROG FORMACIÓN TITULADA'!#REF!,"AAAAAD/7tyU=")</f>
        <v>#REF!</v>
      </c>
      <c r="AM344" t="e">
        <f>AND('PROG FORMACIÓN TITULADA'!#REF!,"AAAAAD/7tyY=")</f>
        <v>#REF!</v>
      </c>
      <c r="AN344" t="e">
        <f>AND('PROG FORMACIÓN TITULADA'!#REF!,"AAAAAD/7tyc=")</f>
        <v>#REF!</v>
      </c>
      <c r="AO344" t="e">
        <f>AND('PROG FORMACIÓN TITULADA'!#REF!,"AAAAAD/7tyg=")</f>
        <v>#REF!</v>
      </c>
      <c r="AP344" t="e">
        <f>AND('PROG FORMACIÓN TITULADA'!#REF!,"AAAAAD/7tyk=")</f>
        <v>#REF!</v>
      </c>
      <c r="AQ344" t="e">
        <f>AND('PROG FORMACIÓN TITULADA'!#REF!,"AAAAAD/7tyo=")</f>
        <v>#REF!</v>
      </c>
      <c r="AR344" t="e">
        <f>AND('PROG FORMACIÓN TITULADA'!#REF!,"AAAAAD/7tys=")</f>
        <v>#REF!</v>
      </c>
      <c r="AS344" t="e">
        <f>AND('PROG FORMACIÓN TITULADA'!#REF!,"AAAAAD/7tyw=")</f>
        <v>#REF!</v>
      </c>
      <c r="AT344" t="e">
        <f>AND('PROG FORMACIÓN TITULADA'!#REF!,"AAAAAD/7ty0=")</f>
        <v>#REF!</v>
      </c>
      <c r="AU344" t="e">
        <f>AND('PROG FORMACIÓN TITULADA'!#REF!,"AAAAAD/7ty4=")</f>
        <v>#REF!</v>
      </c>
      <c r="AV344" t="e">
        <f>AND('PROG FORMACIÓN TITULADA'!#REF!,"AAAAAD/7ty8=")</f>
        <v>#REF!</v>
      </c>
      <c r="AW344" t="e">
        <f>AND('PROG FORMACIÓN TITULADA'!#REF!,"AAAAAD/7tzA=")</f>
        <v>#REF!</v>
      </c>
      <c r="AX344" t="e">
        <f>AND('PROG FORMACIÓN TITULADA'!#REF!,"AAAAAD/7tzE=")</f>
        <v>#REF!</v>
      </c>
      <c r="AY344" t="e">
        <f>IF('PROG FORMACIÓN TITULADA'!#REF!,"AAAAAD/7tzI=",0)</f>
        <v>#REF!</v>
      </c>
      <c r="AZ344" t="e">
        <f>AND('PROG FORMACIÓN TITULADA'!#REF!,"AAAAAD/7tzM=")</f>
        <v>#REF!</v>
      </c>
      <c r="BA344" t="e">
        <f>AND('PROG FORMACIÓN TITULADA'!#REF!,"AAAAAD/7tzQ=")</f>
        <v>#REF!</v>
      </c>
      <c r="BB344" t="e">
        <f>AND('PROG FORMACIÓN TITULADA'!#REF!,"AAAAAD/7tzU=")</f>
        <v>#REF!</v>
      </c>
      <c r="BC344" t="e">
        <f>AND('PROG FORMACIÓN TITULADA'!#REF!,"AAAAAD/7tzY=")</f>
        <v>#REF!</v>
      </c>
      <c r="BD344" t="e">
        <f>AND('PROG FORMACIÓN TITULADA'!#REF!,"AAAAAD/7tzc=")</f>
        <v>#REF!</v>
      </c>
      <c r="BE344" t="e">
        <f>AND('PROG FORMACIÓN TITULADA'!#REF!,"AAAAAD/7tzg=")</f>
        <v>#REF!</v>
      </c>
      <c r="BF344" t="e">
        <f>AND('PROG FORMACIÓN TITULADA'!#REF!,"AAAAAD/7tzk=")</f>
        <v>#REF!</v>
      </c>
      <c r="BG344" t="e">
        <f>AND('PROG FORMACIÓN TITULADA'!#REF!,"AAAAAD/7tzo=")</f>
        <v>#REF!</v>
      </c>
      <c r="BH344" t="e">
        <f>AND('PROG FORMACIÓN TITULADA'!#REF!,"AAAAAD/7tzs=")</f>
        <v>#REF!</v>
      </c>
      <c r="BI344" t="e">
        <f>AND('PROG FORMACIÓN TITULADA'!#REF!,"AAAAAD/7tzw=")</f>
        <v>#REF!</v>
      </c>
      <c r="BJ344" t="e">
        <f>AND('PROG FORMACIÓN TITULADA'!#REF!,"AAAAAD/7tz0=")</f>
        <v>#REF!</v>
      </c>
      <c r="BK344" t="e">
        <f>AND('PROG FORMACIÓN TITULADA'!#REF!,"AAAAAD/7tz4=")</f>
        <v>#REF!</v>
      </c>
      <c r="BL344" t="e">
        <f>AND('PROG FORMACIÓN TITULADA'!#REF!,"AAAAAD/7tz8=")</f>
        <v>#REF!</v>
      </c>
      <c r="BM344" t="e">
        <f>AND('PROG FORMACIÓN TITULADA'!#REF!,"AAAAAD/7t0A=")</f>
        <v>#REF!</v>
      </c>
      <c r="BN344" t="e">
        <f>AND('PROG FORMACIÓN TITULADA'!#REF!,"AAAAAD/7t0E=")</f>
        <v>#REF!</v>
      </c>
      <c r="BO344" t="e">
        <f>AND('PROG FORMACIÓN TITULADA'!#REF!,"AAAAAD/7t0I=")</f>
        <v>#REF!</v>
      </c>
      <c r="BP344" t="e">
        <f>AND('PROG FORMACIÓN TITULADA'!#REF!,"AAAAAD/7t0M=")</f>
        <v>#REF!</v>
      </c>
      <c r="BQ344" t="e">
        <f>AND('PROG FORMACIÓN TITULADA'!#REF!,"AAAAAD/7t0Q=")</f>
        <v>#REF!</v>
      </c>
      <c r="BR344" t="e">
        <f>AND('PROG FORMACIÓN TITULADA'!#REF!,"AAAAAD/7t0U=")</f>
        <v>#REF!</v>
      </c>
      <c r="BS344" t="e">
        <f>AND('PROG FORMACIÓN TITULADA'!#REF!,"AAAAAD/7t0Y=")</f>
        <v>#REF!</v>
      </c>
      <c r="BT344" t="e">
        <f>AND('PROG FORMACIÓN TITULADA'!#REF!,"AAAAAD/7t0c=")</f>
        <v>#REF!</v>
      </c>
      <c r="BU344" t="e">
        <f>AND('PROG FORMACIÓN TITULADA'!#REF!,"AAAAAD/7t0g=")</f>
        <v>#REF!</v>
      </c>
      <c r="BV344" t="e">
        <f>AND('PROG FORMACIÓN TITULADA'!#REF!,"AAAAAD/7t0k=")</f>
        <v>#REF!</v>
      </c>
      <c r="BW344" t="e">
        <f>AND('PROG FORMACIÓN TITULADA'!#REF!,"AAAAAD/7t0o=")</f>
        <v>#REF!</v>
      </c>
      <c r="BX344" t="e">
        <f>AND('PROG FORMACIÓN TITULADA'!#REF!,"AAAAAD/7t0s=")</f>
        <v>#REF!</v>
      </c>
      <c r="BY344" t="e">
        <f>AND('PROG FORMACIÓN TITULADA'!#REF!,"AAAAAD/7t0w=")</f>
        <v>#REF!</v>
      </c>
      <c r="BZ344" t="e">
        <f>IF('PROG FORMACIÓN TITULADA'!#REF!,"AAAAAD/7t00=",0)</f>
        <v>#REF!</v>
      </c>
      <c r="CA344" t="e">
        <f>AND('PROG FORMACIÓN TITULADA'!#REF!,"AAAAAD/7t04=")</f>
        <v>#REF!</v>
      </c>
      <c r="CB344" t="e">
        <f>AND('PROG FORMACIÓN TITULADA'!#REF!,"AAAAAD/7t08=")</f>
        <v>#REF!</v>
      </c>
      <c r="CC344" t="e">
        <f>AND('PROG FORMACIÓN TITULADA'!#REF!,"AAAAAD/7t1A=")</f>
        <v>#REF!</v>
      </c>
      <c r="CD344" t="e">
        <f>AND('PROG FORMACIÓN TITULADA'!#REF!,"AAAAAD/7t1E=")</f>
        <v>#REF!</v>
      </c>
      <c r="CE344" t="e">
        <f>AND('PROG FORMACIÓN TITULADA'!#REF!,"AAAAAD/7t1I=")</f>
        <v>#REF!</v>
      </c>
      <c r="CF344" t="e">
        <f>AND('PROG FORMACIÓN TITULADA'!#REF!,"AAAAAD/7t1M=")</f>
        <v>#REF!</v>
      </c>
      <c r="CG344" t="e">
        <f>AND('PROG FORMACIÓN TITULADA'!#REF!,"AAAAAD/7t1Q=")</f>
        <v>#REF!</v>
      </c>
      <c r="CH344" t="e">
        <f>AND('PROG FORMACIÓN TITULADA'!#REF!,"AAAAAD/7t1U=")</f>
        <v>#REF!</v>
      </c>
      <c r="CI344" t="e">
        <f>AND('PROG FORMACIÓN TITULADA'!#REF!,"AAAAAD/7t1Y=")</f>
        <v>#REF!</v>
      </c>
      <c r="CJ344" t="e">
        <f>AND('PROG FORMACIÓN TITULADA'!#REF!,"AAAAAD/7t1c=")</f>
        <v>#REF!</v>
      </c>
      <c r="CK344" t="e">
        <f>AND('PROG FORMACIÓN TITULADA'!#REF!,"AAAAAD/7t1g=")</f>
        <v>#REF!</v>
      </c>
      <c r="CL344" t="e">
        <f>AND('PROG FORMACIÓN TITULADA'!#REF!,"AAAAAD/7t1k=")</f>
        <v>#REF!</v>
      </c>
      <c r="CM344" t="e">
        <f>AND('PROG FORMACIÓN TITULADA'!#REF!,"AAAAAD/7t1o=")</f>
        <v>#REF!</v>
      </c>
      <c r="CN344" t="e">
        <f>AND('PROG FORMACIÓN TITULADA'!#REF!,"AAAAAD/7t1s=")</f>
        <v>#REF!</v>
      </c>
      <c r="CO344" t="e">
        <f>AND('PROG FORMACIÓN TITULADA'!#REF!,"AAAAAD/7t1w=")</f>
        <v>#REF!</v>
      </c>
      <c r="CP344" t="e">
        <f>AND('PROG FORMACIÓN TITULADA'!#REF!,"AAAAAD/7t10=")</f>
        <v>#REF!</v>
      </c>
      <c r="CQ344" t="e">
        <f>AND('PROG FORMACIÓN TITULADA'!#REF!,"AAAAAD/7t14=")</f>
        <v>#REF!</v>
      </c>
      <c r="CR344" t="e">
        <f>AND('PROG FORMACIÓN TITULADA'!#REF!,"AAAAAD/7t18=")</f>
        <v>#REF!</v>
      </c>
      <c r="CS344" t="e">
        <f>AND('PROG FORMACIÓN TITULADA'!#REF!,"AAAAAD/7t2A=")</f>
        <v>#REF!</v>
      </c>
      <c r="CT344" t="e">
        <f>AND('PROG FORMACIÓN TITULADA'!#REF!,"AAAAAD/7t2E=")</f>
        <v>#REF!</v>
      </c>
      <c r="CU344" t="e">
        <f>AND('PROG FORMACIÓN TITULADA'!#REF!,"AAAAAD/7t2I=")</f>
        <v>#REF!</v>
      </c>
      <c r="CV344" t="e">
        <f>AND('PROG FORMACIÓN TITULADA'!#REF!,"AAAAAD/7t2M=")</f>
        <v>#REF!</v>
      </c>
      <c r="CW344" t="e">
        <f>AND('PROG FORMACIÓN TITULADA'!#REF!,"AAAAAD/7t2Q=")</f>
        <v>#REF!</v>
      </c>
      <c r="CX344" t="e">
        <f>AND('PROG FORMACIÓN TITULADA'!#REF!,"AAAAAD/7t2U=")</f>
        <v>#REF!</v>
      </c>
      <c r="CY344" t="e">
        <f>AND('PROG FORMACIÓN TITULADA'!#REF!,"AAAAAD/7t2Y=")</f>
        <v>#REF!</v>
      </c>
      <c r="CZ344" t="e">
        <f>AND('PROG FORMACIÓN TITULADA'!#REF!,"AAAAAD/7t2c=")</f>
        <v>#REF!</v>
      </c>
      <c r="DA344" t="e">
        <f>IF('PROG FORMACIÓN TITULADA'!#REF!,"AAAAAD/7t2g=",0)</f>
        <v>#REF!</v>
      </c>
      <c r="DB344" t="e">
        <f>AND('PROG FORMACIÓN TITULADA'!#REF!,"AAAAAD/7t2k=")</f>
        <v>#REF!</v>
      </c>
      <c r="DC344" t="e">
        <f>AND('PROG FORMACIÓN TITULADA'!#REF!,"AAAAAD/7t2o=")</f>
        <v>#REF!</v>
      </c>
      <c r="DD344" t="e">
        <f>AND('PROG FORMACIÓN TITULADA'!#REF!,"AAAAAD/7t2s=")</f>
        <v>#REF!</v>
      </c>
      <c r="DE344" t="e">
        <f>AND('PROG FORMACIÓN TITULADA'!#REF!,"AAAAAD/7t2w=")</f>
        <v>#REF!</v>
      </c>
      <c r="DF344" t="e">
        <f>AND('PROG FORMACIÓN TITULADA'!#REF!,"AAAAAD/7t20=")</f>
        <v>#REF!</v>
      </c>
      <c r="DG344" t="e">
        <f>AND('PROG FORMACIÓN TITULADA'!#REF!,"AAAAAD/7t24=")</f>
        <v>#REF!</v>
      </c>
      <c r="DH344" t="e">
        <f>AND('PROG FORMACIÓN TITULADA'!#REF!,"AAAAAD/7t28=")</f>
        <v>#REF!</v>
      </c>
      <c r="DI344" t="e">
        <f>AND('PROG FORMACIÓN TITULADA'!#REF!,"AAAAAD/7t3A=")</f>
        <v>#REF!</v>
      </c>
      <c r="DJ344" t="e">
        <f>AND('PROG FORMACIÓN TITULADA'!#REF!,"AAAAAD/7t3E=")</f>
        <v>#REF!</v>
      </c>
      <c r="DK344" t="e">
        <f>AND('PROG FORMACIÓN TITULADA'!#REF!,"AAAAAD/7t3I=")</f>
        <v>#REF!</v>
      </c>
      <c r="DL344" t="e">
        <f>AND('PROG FORMACIÓN TITULADA'!#REF!,"AAAAAD/7t3M=")</f>
        <v>#REF!</v>
      </c>
      <c r="DM344" t="e">
        <f>AND('PROG FORMACIÓN TITULADA'!#REF!,"AAAAAD/7t3Q=")</f>
        <v>#REF!</v>
      </c>
      <c r="DN344" t="e">
        <f>AND('PROG FORMACIÓN TITULADA'!#REF!,"AAAAAD/7t3U=")</f>
        <v>#REF!</v>
      </c>
      <c r="DO344" t="e">
        <f>AND('PROG FORMACIÓN TITULADA'!#REF!,"AAAAAD/7t3Y=")</f>
        <v>#REF!</v>
      </c>
      <c r="DP344" t="e">
        <f>AND('PROG FORMACIÓN TITULADA'!#REF!,"AAAAAD/7t3c=")</f>
        <v>#REF!</v>
      </c>
      <c r="DQ344" t="e">
        <f>AND('PROG FORMACIÓN TITULADA'!#REF!,"AAAAAD/7t3g=")</f>
        <v>#REF!</v>
      </c>
      <c r="DR344" t="e">
        <f>AND('PROG FORMACIÓN TITULADA'!#REF!,"AAAAAD/7t3k=")</f>
        <v>#REF!</v>
      </c>
      <c r="DS344" t="e">
        <f>AND('PROG FORMACIÓN TITULADA'!#REF!,"AAAAAD/7t3o=")</f>
        <v>#REF!</v>
      </c>
      <c r="DT344" t="e">
        <f>AND('PROG FORMACIÓN TITULADA'!#REF!,"AAAAAD/7t3s=")</f>
        <v>#REF!</v>
      </c>
      <c r="DU344" t="e">
        <f>AND('PROG FORMACIÓN TITULADA'!#REF!,"AAAAAD/7t3w=")</f>
        <v>#REF!</v>
      </c>
      <c r="DV344" t="e">
        <f>AND('PROG FORMACIÓN TITULADA'!#REF!,"AAAAAD/7t30=")</f>
        <v>#REF!</v>
      </c>
      <c r="DW344" t="e">
        <f>AND('PROG FORMACIÓN TITULADA'!#REF!,"AAAAAD/7t34=")</f>
        <v>#REF!</v>
      </c>
      <c r="DX344" t="e">
        <f>AND('PROG FORMACIÓN TITULADA'!#REF!,"AAAAAD/7t38=")</f>
        <v>#REF!</v>
      </c>
      <c r="DY344" t="e">
        <f>AND('PROG FORMACIÓN TITULADA'!#REF!,"AAAAAD/7t4A=")</f>
        <v>#REF!</v>
      </c>
      <c r="DZ344" t="e">
        <f>AND('PROG FORMACIÓN TITULADA'!#REF!,"AAAAAD/7t4E=")</f>
        <v>#REF!</v>
      </c>
      <c r="EA344" t="e">
        <f>AND('PROG FORMACIÓN TITULADA'!#REF!,"AAAAAD/7t4I=")</f>
        <v>#REF!</v>
      </c>
      <c r="EB344" t="e">
        <f>IF('PROG FORMACIÓN TITULADA'!#REF!,"AAAAAD/7t4M=",0)</f>
        <v>#REF!</v>
      </c>
      <c r="EC344" t="e">
        <f>AND('PROG FORMACIÓN TITULADA'!#REF!,"AAAAAD/7t4Q=")</f>
        <v>#REF!</v>
      </c>
      <c r="ED344" t="e">
        <f>AND('PROG FORMACIÓN TITULADA'!#REF!,"AAAAAD/7t4U=")</f>
        <v>#REF!</v>
      </c>
      <c r="EE344" t="e">
        <f>AND('PROG FORMACIÓN TITULADA'!#REF!,"AAAAAD/7t4Y=")</f>
        <v>#REF!</v>
      </c>
      <c r="EF344" t="e">
        <f>AND('PROG FORMACIÓN TITULADA'!#REF!,"AAAAAD/7t4c=")</f>
        <v>#REF!</v>
      </c>
      <c r="EG344" t="e">
        <f>AND('PROG FORMACIÓN TITULADA'!#REF!,"AAAAAD/7t4g=")</f>
        <v>#REF!</v>
      </c>
      <c r="EH344" t="e">
        <f>AND('PROG FORMACIÓN TITULADA'!#REF!,"AAAAAD/7t4k=")</f>
        <v>#REF!</v>
      </c>
      <c r="EI344" t="e">
        <f>AND('PROG FORMACIÓN TITULADA'!#REF!,"AAAAAD/7t4o=")</f>
        <v>#REF!</v>
      </c>
      <c r="EJ344" t="e">
        <f>AND('PROG FORMACIÓN TITULADA'!#REF!,"AAAAAD/7t4s=")</f>
        <v>#REF!</v>
      </c>
      <c r="EK344" t="e">
        <f>AND('PROG FORMACIÓN TITULADA'!#REF!,"AAAAAD/7t4w=")</f>
        <v>#REF!</v>
      </c>
      <c r="EL344" t="e">
        <f>AND('PROG FORMACIÓN TITULADA'!#REF!,"AAAAAD/7t40=")</f>
        <v>#REF!</v>
      </c>
      <c r="EM344" t="e">
        <f>AND('PROG FORMACIÓN TITULADA'!#REF!,"AAAAAD/7t44=")</f>
        <v>#REF!</v>
      </c>
      <c r="EN344" t="e">
        <f>AND('PROG FORMACIÓN TITULADA'!#REF!,"AAAAAD/7t48=")</f>
        <v>#REF!</v>
      </c>
      <c r="EO344" t="e">
        <f>AND('PROG FORMACIÓN TITULADA'!#REF!,"AAAAAD/7t5A=")</f>
        <v>#REF!</v>
      </c>
      <c r="EP344" t="e">
        <f>AND('PROG FORMACIÓN TITULADA'!#REF!,"AAAAAD/7t5E=")</f>
        <v>#REF!</v>
      </c>
      <c r="EQ344" t="e">
        <f>AND('PROG FORMACIÓN TITULADA'!#REF!,"AAAAAD/7t5I=")</f>
        <v>#REF!</v>
      </c>
      <c r="ER344" t="e">
        <f>AND('PROG FORMACIÓN TITULADA'!#REF!,"AAAAAD/7t5M=")</f>
        <v>#REF!</v>
      </c>
      <c r="ES344" t="e">
        <f>AND('PROG FORMACIÓN TITULADA'!#REF!,"AAAAAD/7t5Q=")</f>
        <v>#REF!</v>
      </c>
      <c r="ET344" t="e">
        <f>AND('PROG FORMACIÓN TITULADA'!#REF!,"AAAAAD/7t5U=")</f>
        <v>#REF!</v>
      </c>
      <c r="EU344" t="e">
        <f>AND('PROG FORMACIÓN TITULADA'!#REF!,"AAAAAD/7t5Y=")</f>
        <v>#REF!</v>
      </c>
      <c r="EV344" t="e">
        <f>AND('PROG FORMACIÓN TITULADA'!#REF!,"AAAAAD/7t5c=")</f>
        <v>#REF!</v>
      </c>
      <c r="EW344" t="e">
        <f>AND('PROG FORMACIÓN TITULADA'!#REF!,"AAAAAD/7t5g=")</f>
        <v>#REF!</v>
      </c>
      <c r="EX344" t="e">
        <f>AND('PROG FORMACIÓN TITULADA'!#REF!,"AAAAAD/7t5k=")</f>
        <v>#REF!</v>
      </c>
      <c r="EY344" t="e">
        <f>AND('PROG FORMACIÓN TITULADA'!#REF!,"AAAAAD/7t5o=")</f>
        <v>#REF!</v>
      </c>
      <c r="EZ344" t="e">
        <f>AND('PROG FORMACIÓN TITULADA'!#REF!,"AAAAAD/7t5s=")</f>
        <v>#REF!</v>
      </c>
      <c r="FA344" t="e">
        <f>AND('PROG FORMACIÓN TITULADA'!#REF!,"AAAAAD/7t5w=")</f>
        <v>#REF!</v>
      </c>
      <c r="FB344" t="e">
        <f>AND('PROG FORMACIÓN TITULADA'!#REF!,"AAAAAD/7t50=")</f>
        <v>#REF!</v>
      </c>
      <c r="FC344" t="e">
        <f>IF('PROG FORMACIÓN TITULADA'!#REF!,"AAAAAD/7t54=",0)</f>
        <v>#REF!</v>
      </c>
      <c r="FD344" t="e">
        <f>AND('PROG FORMACIÓN TITULADA'!#REF!,"AAAAAD/7t58=")</f>
        <v>#REF!</v>
      </c>
      <c r="FE344" t="e">
        <f>AND('PROG FORMACIÓN TITULADA'!#REF!,"AAAAAD/7t6A=")</f>
        <v>#REF!</v>
      </c>
      <c r="FF344" t="e">
        <f>AND('PROG FORMACIÓN TITULADA'!#REF!,"AAAAAD/7t6E=")</f>
        <v>#REF!</v>
      </c>
      <c r="FG344" t="e">
        <f>AND('PROG FORMACIÓN TITULADA'!#REF!,"AAAAAD/7t6I=")</f>
        <v>#REF!</v>
      </c>
      <c r="FH344" t="e">
        <f>AND('PROG FORMACIÓN TITULADA'!#REF!,"AAAAAD/7t6M=")</f>
        <v>#REF!</v>
      </c>
      <c r="FI344" t="e">
        <f>AND('PROG FORMACIÓN TITULADA'!#REF!,"AAAAAD/7t6Q=")</f>
        <v>#REF!</v>
      </c>
      <c r="FJ344" t="e">
        <f>AND('PROG FORMACIÓN TITULADA'!#REF!,"AAAAAD/7t6U=")</f>
        <v>#REF!</v>
      </c>
      <c r="FK344" t="e">
        <f>AND('PROG FORMACIÓN TITULADA'!#REF!,"AAAAAD/7t6Y=")</f>
        <v>#REF!</v>
      </c>
      <c r="FL344" t="e">
        <f>AND('PROG FORMACIÓN TITULADA'!#REF!,"AAAAAD/7t6c=")</f>
        <v>#REF!</v>
      </c>
      <c r="FM344" t="e">
        <f>AND('PROG FORMACIÓN TITULADA'!#REF!,"AAAAAD/7t6g=")</f>
        <v>#REF!</v>
      </c>
      <c r="FN344" t="e">
        <f>AND('PROG FORMACIÓN TITULADA'!#REF!,"AAAAAD/7t6k=")</f>
        <v>#REF!</v>
      </c>
      <c r="FO344" t="e">
        <f>AND('PROG FORMACIÓN TITULADA'!#REF!,"AAAAAD/7t6o=")</f>
        <v>#REF!</v>
      </c>
      <c r="FP344" t="e">
        <f>AND('PROG FORMACIÓN TITULADA'!#REF!,"AAAAAD/7t6s=")</f>
        <v>#REF!</v>
      </c>
      <c r="FQ344" t="e">
        <f>AND('PROG FORMACIÓN TITULADA'!#REF!,"AAAAAD/7t6w=")</f>
        <v>#REF!</v>
      </c>
      <c r="FR344" t="e">
        <f>AND('PROG FORMACIÓN TITULADA'!#REF!,"AAAAAD/7t60=")</f>
        <v>#REF!</v>
      </c>
      <c r="FS344" t="e">
        <f>AND('PROG FORMACIÓN TITULADA'!#REF!,"AAAAAD/7t64=")</f>
        <v>#REF!</v>
      </c>
      <c r="FT344" t="e">
        <f>AND('PROG FORMACIÓN TITULADA'!#REF!,"AAAAAD/7t68=")</f>
        <v>#REF!</v>
      </c>
      <c r="FU344" t="e">
        <f>AND('PROG FORMACIÓN TITULADA'!#REF!,"AAAAAD/7t7A=")</f>
        <v>#REF!</v>
      </c>
      <c r="FV344" t="e">
        <f>AND('PROG FORMACIÓN TITULADA'!#REF!,"AAAAAD/7t7E=")</f>
        <v>#REF!</v>
      </c>
      <c r="FW344" t="e">
        <f>AND('PROG FORMACIÓN TITULADA'!#REF!,"AAAAAD/7t7I=")</f>
        <v>#REF!</v>
      </c>
      <c r="FX344" t="e">
        <f>AND('PROG FORMACIÓN TITULADA'!#REF!,"AAAAAD/7t7M=")</f>
        <v>#REF!</v>
      </c>
      <c r="FY344" t="e">
        <f>AND('PROG FORMACIÓN TITULADA'!#REF!,"AAAAAD/7t7Q=")</f>
        <v>#REF!</v>
      </c>
      <c r="FZ344" t="e">
        <f>AND('PROG FORMACIÓN TITULADA'!#REF!,"AAAAAD/7t7U=")</f>
        <v>#REF!</v>
      </c>
      <c r="GA344" t="e">
        <f>AND('PROG FORMACIÓN TITULADA'!#REF!,"AAAAAD/7t7Y=")</f>
        <v>#REF!</v>
      </c>
      <c r="GB344" t="e">
        <f>AND('PROG FORMACIÓN TITULADA'!#REF!,"AAAAAD/7t7c=")</f>
        <v>#REF!</v>
      </c>
      <c r="GC344" t="e">
        <f>AND('PROG FORMACIÓN TITULADA'!#REF!,"AAAAAD/7t7g=")</f>
        <v>#REF!</v>
      </c>
      <c r="GD344" t="e">
        <f>IF('PROG FORMACIÓN TITULADA'!#REF!,"AAAAAD/7t7k=",0)</f>
        <v>#REF!</v>
      </c>
      <c r="GE344" t="e">
        <f>AND('PROG FORMACIÓN TITULADA'!#REF!,"AAAAAD/7t7o=")</f>
        <v>#REF!</v>
      </c>
      <c r="GF344" t="e">
        <f>AND('PROG FORMACIÓN TITULADA'!#REF!,"AAAAAD/7t7s=")</f>
        <v>#REF!</v>
      </c>
      <c r="GG344" t="e">
        <f>AND('PROG FORMACIÓN TITULADA'!#REF!,"AAAAAD/7t7w=")</f>
        <v>#REF!</v>
      </c>
      <c r="GH344" t="e">
        <f>AND('PROG FORMACIÓN TITULADA'!#REF!,"AAAAAD/7t70=")</f>
        <v>#REF!</v>
      </c>
      <c r="GI344" t="e">
        <f>AND('PROG FORMACIÓN TITULADA'!#REF!,"AAAAAD/7t74=")</f>
        <v>#REF!</v>
      </c>
      <c r="GJ344" t="e">
        <f>AND('PROG FORMACIÓN TITULADA'!#REF!,"AAAAAD/7t78=")</f>
        <v>#REF!</v>
      </c>
      <c r="GK344" t="e">
        <f>AND('PROG FORMACIÓN TITULADA'!#REF!,"AAAAAD/7t8A=")</f>
        <v>#REF!</v>
      </c>
      <c r="GL344" t="e">
        <f>AND('PROG FORMACIÓN TITULADA'!#REF!,"AAAAAD/7t8E=")</f>
        <v>#REF!</v>
      </c>
      <c r="GM344" t="e">
        <f>AND('PROG FORMACIÓN TITULADA'!#REF!,"AAAAAD/7t8I=")</f>
        <v>#REF!</v>
      </c>
      <c r="GN344" t="e">
        <f>AND('PROG FORMACIÓN TITULADA'!#REF!,"AAAAAD/7t8M=")</f>
        <v>#REF!</v>
      </c>
      <c r="GO344" t="e">
        <f>AND('PROG FORMACIÓN TITULADA'!#REF!,"AAAAAD/7t8Q=")</f>
        <v>#REF!</v>
      </c>
      <c r="GP344" t="e">
        <f>AND('PROG FORMACIÓN TITULADA'!#REF!,"AAAAAD/7t8U=")</f>
        <v>#REF!</v>
      </c>
      <c r="GQ344" t="e">
        <f>AND('PROG FORMACIÓN TITULADA'!#REF!,"AAAAAD/7t8Y=")</f>
        <v>#REF!</v>
      </c>
      <c r="GR344" t="e">
        <f>AND('PROG FORMACIÓN TITULADA'!#REF!,"AAAAAD/7t8c=")</f>
        <v>#REF!</v>
      </c>
      <c r="GS344" t="e">
        <f>AND('PROG FORMACIÓN TITULADA'!#REF!,"AAAAAD/7t8g=")</f>
        <v>#REF!</v>
      </c>
      <c r="GT344" t="e">
        <f>AND('PROG FORMACIÓN TITULADA'!#REF!,"AAAAAD/7t8k=")</f>
        <v>#REF!</v>
      </c>
      <c r="GU344" t="e">
        <f>AND('PROG FORMACIÓN TITULADA'!#REF!,"AAAAAD/7t8o=")</f>
        <v>#REF!</v>
      </c>
      <c r="GV344" t="e">
        <f>AND('PROG FORMACIÓN TITULADA'!#REF!,"AAAAAD/7t8s=")</f>
        <v>#REF!</v>
      </c>
      <c r="GW344" t="e">
        <f>AND('PROG FORMACIÓN TITULADA'!#REF!,"AAAAAD/7t8w=")</f>
        <v>#REF!</v>
      </c>
      <c r="GX344" t="e">
        <f>AND('PROG FORMACIÓN TITULADA'!#REF!,"AAAAAD/7t80=")</f>
        <v>#REF!</v>
      </c>
      <c r="GY344" t="e">
        <f>AND('PROG FORMACIÓN TITULADA'!#REF!,"AAAAAD/7t84=")</f>
        <v>#REF!</v>
      </c>
      <c r="GZ344" t="e">
        <f>AND('PROG FORMACIÓN TITULADA'!#REF!,"AAAAAD/7t88=")</f>
        <v>#REF!</v>
      </c>
      <c r="HA344" t="e">
        <f>AND('PROG FORMACIÓN TITULADA'!#REF!,"AAAAAD/7t9A=")</f>
        <v>#REF!</v>
      </c>
      <c r="HB344" t="e">
        <f>AND('PROG FORMACIÓN TITULADA'!#REF!,"AAAAAD/7t9E=")</f>
        <v>#REF!</v>
      </c>
      <c r="HC344" t="e">
        <f>AND('PROG FORMACIÓN TITULADA'!#REF!,"AAAAAD/7t9I=")</f>
        <v>#REF!</v>
      </c>
      <c r="HD344" t="e">
        <f>AND('PROG FORMACIÓN TITULADA'!#REF!,"AAAAAD/7t9M=")</f>
        <v>#REF!</v>
      </c>
      <c r="HE344" t="e">
        <f>IF('PROG FORMACIÓN TITULADA'!#REF!,"AAAAAD/7t9Q=",0)</f>
        <v>#REF!</v>
      </c>
      <c r="HF344" t="e">
        <f>AND('PROG FORMACIÓN TITULADA'!#REF!,"AAAAAD/7t9U=")</f>
        <v>#REF!</v>
      </c>
      <c r="HG344" t="e">
        <f>AND('PROG FORMACIÓN TITULADA'!#REF!,"AAAAAD/7t9Y=")</f>
        <v>#REF!</v>
      </c>
      <c r="HH344" t="e">
        <f>AND('PROG FORMACIÓN TITULADA'!#REF!,"AAAAAD/7t9c=")</f>
        <v>#REF!</v>
      </c>
      <c r="HI344" t="e">
        <f>AND('PROG FORMACIÓN TITULADA'!#REF!,"AAAAAD/7t9g=")</f>
        <v>#REF!</v>
      </c>
      <c r="HJ344" t="e">
        <f>AND('PROG FORMACIÓN TITULADA'!#REF!,"AAAAAD/7t9k=")</f>
        <v>#REF!</v>
      </c>
      <c r="HK344" t="e">
        <f>AND('PROG FORMACIÓN TITULADA'!#REF!,"AAAAAD/7t9o=")</f>
        <v>#REF!</v>
      </c>
      <c r="HL344" t="e">
        <f>AND('PROG FORMACIÓN TITULADA'!#REF!,"AAAAAD/7t9s=")</f>
        <v>#REF!</v>
      </c>
      <c r="HM344" t="e">
        <f>AND('PROG FORMACIÓN TITULADA'!#REF!,"AAAAAD/7t9w=")</f>
        <v>#REF!</v>
      </c>
      <c r="HN344" t="e">
        <f>AND('PROG FORMACIÓN TITULADA'!#REF!,"AAAAAD/7t90=")</f>
        <v>#REF!</v>
      </c>
      <c r="HO344" t="e">
        <f>AND('PROG FORMACIÓN TITULADA'!#REF!,"AAAAAD/7t94=")</f>
        <v>#REF!</v>
      </c>
      <c r="HP344" t="e">
        <f>AND('PROG FORMACIÓN TITULADA'!#REF!,"AAAAAD/7t98=")</f>
        <v>#REF!</v>
      </c>
      <c r="HQ344" t="e">
        <f>AND('PROG FORMACIÓN TITULADA'!#REF!,"AAAAAD/7t+A=")</f>
        <v>#REF!</v>
      </c>
      <c r="HR344" t="e">
        <f>AND('PROG FORMACIÓN TITULADA'!#REF!,"AAAAAD/7t+E=")</f>
        <v>#REF!</v>
      </c>
      <c r="HS344" t="e">
        <f>AND('PROG FORMACIÓN TITULADA'!#REF!,"AAAAAD/7t+I=")</f>
        <v>#REF!</v>
      </c>
      <c r="HT344" t="e">
        <f>AND('PROG FORMACIÓN TITULADA'!#REF!,"AAAAAD/7t+M=")</f>
        <v>#REF!</v>
      </c>
      <c r="HU344" t="e">
        <f>AND('PROG FORMACIÓN TITULADA'!#REF!,"AAAAAD/7t+Q=")</f>
        <v>#REF!</v>
      </c>
      <c r="HV344" t="e">
        <f>AND('PROG FORMACIÓN TITULADA'!#REF!,"AAAAAD/7t+U=")</f>
        <v>#REF!</v>
      </c>
      <c r="HW344" t="e">
        <f>AND('PROG FORMACIÓN TITULADA'!#REF!,"AAAAAD/7t+Y=")</f>
        <v>#REF!</v>
      </c>
      <c r="HX344" t="e">
        <f>AND('PROG FORMACIÓN TITULADA'!#REF!,"AAAAAD/7t+c=")</f>
        <v>#REF!</v>
      </c>
      <c r="HY344" t="e">
        <f>AND('PROG FORMACIÓN TITULADA'!#REF!,"AAAAAD/7t+g=")</f>
        <v>#REF!</v>
      </c>
      <c r="HZ344" t="e">
        <f>AND('PROG FORMACIÓN TITULADA'!#REF!,"AAAAAD/7t+k=")</f>
        <v>#REF!</v>
      </c>
      <c r="IA344" t="e">
        <f>AND('PROG FORMACIÓN TITULADA'!#REF!,"AAAAAD/7t+o=")</f>
        <v>#REF!</v>
      </c>
      <c r="IB344" t="e">
        <f>AND('PROG FORMACIÓN TITULADA'!#REF!,"AAAAAD/7t+s=")</f>
        <v>#REF!</v>
      </c>
      <c r="IC344" t="e">
        <f>AND('PROG FORMACIÓN TITULADA'!#REF!,"AAAAAD/7t+w=")</f>
        <v>#REF!</v>
      </c>
      <c r="ID344" t="e">
        <f>AND('PROG FORMACIÓN TITULADA'!#REF!,"AAAAAD/7t+0=")</f>
        <v>#REF!</v>
      </c>
      <c r="IE344" t="e">
        <f>AND('PROG FORMACIÓN TITULADA'!#REF!,"AAAAAD/7t+4=")</f>
        <v>#REF!</v>
      </c>
      <c r="IF344" t="e">
        <f>IF('PROG FORMACIÓN TITULADA'!#REF!,"AAAAAD/7t+8=",0)</f>
        <v>#REF!</v>
      </c>
      <c r="IG344" t="e">
        <f>AND('PROG FORMACIÓN TITULADA'!#REF!,"AAAAAD/7t/A=")</f>
        <v>#REF!</v>
      </c>
      <c r="IH344" t="e">
        <f>AND('PROG FORMACIÓN TITULADA'!#REF!,"AAAAAD/7t/E=")</f>
        <v>#REF!</v>
      </c>
      <c r="II344" t="e">
        <f>AND('PROG FORMACIÓN TITULADA'!#REF!,"AAAAAD/7t/I=")</f>
        <v>#REF!</v>
      </c>
      <c r="IJ344" t="e">
        <f>AND('PROG FORMACIÓN TITULADA'!#REF!,"AAAAAD/7t/M=")</f>
        <v>#REF!</v>
      </c>
      <c r="IK344" t="e">
        <f>AND('PROG FORMACIÓN TITULADA'!#REF!,"AAAAAD/7t/Q=")</f>
        <v>#REF!</v>
      </c>
      <c r="IL344" t="e">
        <f>AND('PROG FORMACIÓN TITULADA'!#REF!,"AAAAAD/7t/U=")</f>
        <v>#REF!</v>
      </c>
      <c r="IM344" t="e">
        <f>AND('PROG FORMACIÓN TITULADA'!#REF!,"AAAAAD/7t/Y=")</f>
        <v>#REF!</v>
      </c>
      <c r="IN344" t="e">
        <f>AND('PROG FORMACIÓN TITULADA'!#REF!,"AAAAAD/7t/c=")</f>
        <v>#REF!</v>
      </c>
      <c r="IO344" t="e">
        <f>AND('PROG FORMACIÓN TITULADA'!#REF!,"AAAAAD/7t/g=")</f>
        <v>#REF!</v>
      </c>
      <c r="IP344" t="e">
        <f>AND('PROG FORMACIÓN TITULADA'!#REF!,"AAAAAD/7t/k=")</f>
        <v>#REF!</v>
      </c>
      <c r="IQ344" t="e">
        <f>AND('PROG FORMACIÓN TITULADA'!#REF!,"AAAAAD/7t/o=")</f>
        <v>#REF!</v>
      </c>
      <c r="IR344" t="e">
        <f>AND('PROG FORMACIÓN TITULADA'!#REF!,"AAAAAD/7t/s=")</f>
        <v>#REF!</v>
      </c>
      <c r="IS344" t="e">
        <f>AND('PROG FORMACIÓN TITULADA'!#REF!,"AAAAAD/7t/w=")</f>
        <v>#REF!</v>
      </c>
      <c r="IT344" t="e">
        <f>AND('PROG FORMACIÓN TITULADA'!#REF!,"AAAAAD/7t/0=")</f>
        <v>#REF!</v>
      </c>
      <c r="IU344" t="e">
        <f>AND('PROG FORMACIÓN TITULADA'!#REF!,"AAAAAD/7t/4=")</f>
        <v>#REF!</v>
      </c>
      <c r="IV344" t="e">
        <f>AND('PROG FORMACIÓN TITULADA'!#REF!,"AAAAAD/7t/8=")</f>
        <v>#REF!</v>
      </c>
    </row>
    <row r="345" spans="1:256" x14ac:dyDescent="0.2">
      <c r="A345" t="e">
        <f>AND('PROG FORMACIÓN TITULADA'!#REF!,"AAAAADtV9wA=")</f>
        <v>#REF!</v>
      </c>
      <c r="B345" t="e">
        <f>AND('PROG FORMACIÓN TITULADA'!#REF!,"AAAAADtV9wE=")</f>
        <v>#REF!</v>
      </c>
      <c r="C345" t="e">
        <f>AND('PROG FORMACIÓN TITULADA'!#REF!,"AAAAADtV9wI=")</f>
        <v>#REF!</v>
      </c>
      <c r="D345" t="e">
        <f>AND('PROG FORMACIÓN TITULADA'!#REF!,"AAAAADtV9wM=")</f>
        <v>#REF!</v>
      </c>
      <c r="E345" t="e">
        <f>AND('PROG FORMACIÓN TITULADA'!#REF!,"AAAAADtV9wQ=")</f>
        <v>#REF!</v>
      </c>
      <c r="F345" t="e">
        <f>AND('PROG FORMACIÓN TITULADA'!#REF!,"AAAAADtV9wU=")</f>
        <v>#REF!</v>
      </c>
      <c r="G345" t="e">
        <f>AND('PROG FORMACIÓN TITULADA'!#REF!,"AAAAADtV9wY=")</f>
        <v>#REF!</v>
      </c>
      <c r="H345" t="e">
        <f>AND('PROG FORMACIÓN TITULADA'!#REF!,"AAAAADtV9wc=")</f>
        <v>#REF!</v>
      </c>
      <c r="I345" t="e">
        <f>AND('PROG FORMACIÓN TITULADA'!#REF!,"AAAAADtV9wg=")</f>
        <v>#REF!</v>
      </c>
      <c r="J345" t="e">
        <f>AND('PROG FORMACIÓN TITULADA'!#REF!,"AAAAADtV9wk=")</f>
        <v>#REF!</v>
      </c>
      <c r="K345" t="e">
        <f>IF('PROG FORMACIÓN TITULADA'!#REF!,"AAAAADtV9wo=",0)</f>
        <v>#REF!</v>
      </c>
      <c r="L345" t="e">
        <f>AND('PROG FORMACIÓN TITULADA'!#REF!,"AAAAADtV9ws=")</f>
        <v>#REF!</v>
      </c>
      <c r="M345" t="e">
        <f>AND('PROG FORMACIÓN TITULADA'!#REF!,"AAAAADtV9ww=")</f>
        <v>#REF!</v>
      </c>
      <c r="N345" t="e">
        <f>AND('PROG FORMACIÓN TITULADA'!#REF!,"AAAAADtV9w0=")</f>
        <v>#REF!</v>
      </c>
      <c r="O345" t="e">
        <f>AND('PROG FORMACIÓN TITULADA'!#REF!,"AAAAADtV9w4=")</f>
        <v>#REF!</v>
      </c>
      <c r="P345" t="e">
        <f>AND('PROG FORMACIÓN TITULADA'!#REF!,"AAAAADtV9w8=")</f>
        <v>#REF!</v>
      </c>
      <c r="Q345" t="e">
        <f>AND('PROG FORMACIÓN TITULADA'!#REF!,"AAAAADtV9xA=")</f>
        <v>#REF!</v>
      </c>
      <c r="R345" t="e">
        <f>AND('PROG FORMACIÓN TITULADA'!#REF!,"AAAAADtV9xE=")</f>
        <v>#REF!</v>
      </c>
      <c r="S345" t="e">
        <f>AND('PROG FORMACIÓN TITULADA'!#REF!,"AAAAADtV9xI=")</f>
        <v>#REF!</v>
      </c>
      <c r="T345" t="e">
        <f>AND('PROG FORMACIÓN TITULADA'!#REF!,"AAAAADtV9xM=")</f>
        <v>#REF!</v>
      </c>
      <c r="U345" t="e">
        <f>AND('PROG FORMACIÓN TITULADA'!#REF!,"AAAAADtV9xQ=")</f>
        <v>#REF!</v>
      </c>
      <c r="V345" t="e">
        <f>AND('PROG FORMACIÓN TITULADA'!#REF!,"AAAAADtV9xU=")</f>
        <v>#REF!</v>
      </c>
      <c r="W345" t="e">
        <f>AND('PROG FORMACIÓN TITULADA'!#REF!,"AAAAADtV9xY=")</f>
        <v>#REF!</v>
      </c>
      <c r="X345" t="e">
        <f>AND('PROG FORMACIÓN TITULADA'!#REF!,"AAAAADtV9xc=")</f>
        <v>#REF!</v>
      </c>
      <c r="Y345" t="e">
        <f>AND('PROG FORMACIÓN TITULADA'!#REF!,"AAAAADtV9xg=")</f>
        <v>#REF!</v>
      </c>
      <c r="Z345" t="e">
        <f>AND('PROG FORMACIÓN TITULADA'!#REF!,"AAAAADtV9xk=")</f>
        <v>#REF!</v>
      </c>
      <c r="AA345" t="e">
        <f>AND('PROG FORMACIÓN TITULADA'!#REF!,"AAAAADtV9xo=")</f>
        <v>#REF!</v>
      </c>
      <c r="AB345" t="e">
        <f>AND('PROG FORMACIÓN TITULADA'!#REF!,"AAAAADtV9xs=")</f>
        <v>#REF!</v>
      </c>
      <c r="AC345" t="e">
        <f>AND('PROG FORMACIÓN TITULADA'!#REF!,"AAAAADtV9xw=")</f>
        <v>#REF!</v>
      </c>
      <c r="AD345" t="e">
        <f>AND('PROG FORMACIÓN TITULADA'!#REF!,"AAAAADtV9x0=")</f>
        <v>#REF!</v>
      </c>
      <c r="AE345" t="e">
        <f>AND('PROG FORMACIÓN TITULADA'!#REF!,"AAAAADtV9x4=")</f>
        <v>#REF!</v>
      </c>
      <c r="AF345" t="e">
        <f>AND('PROG FORMACIÓN TITULADA'!#REF!,"AAAAADtV9x8=")</f>
        <v>#REF!</v>
      </c>
      <c r="AG345" t="e">
        <f>AND('PROG FORMACIÓN TITULADA'!#REF!,"AAAAADtV9yA=")</f>
        <v>#REF!</v>
      </c>
      <c r="AH345" t="e">
        <f>AND('PROG FORMACIÓN TITULADA'!#REF!,"AAAAADtV9yE=")</f>
        <v>#REF!</v>
      </c>
      <c r="AI345" t="e">
        <f>AND('PROG FORMACIÓN TITULADA'!#REF!,"AAAAADtV9yI=")</f>
        <v>#REF!</v>
      </c>
      <c r="AJ345" t="e">
        <f>AND('PROG FORMACIÓN TITULADA'!#REF!,"AAAAADtV9yM=")</f>
        <v>#REF!</v>
      </c>
      <c r="AK345" t="e">
        <f>AND('PROG FORMACIÓN TITULADA'!#REF!,"AAAAADtV9yQ=")</f>
        <v>#REF!</v>
      </c>
      <c r="AL345" t="e">
        <f>IF('PROG FORMACIÓN TITULADA'!#REF!,"AAAAADtV9yU=",0)</f>
        <v>#REF!</v>
      </c>
      <c r="AM345" t="e">
        <f>AND('PROG FORMACIÓN TITULADA'!#REF!,"AAAAADtV9yY=")</f>
        <v>#REF!</v>
      </c>
      <c r="AN345" t="e">
        <f>AND('PROG FORMACIÓN TITULADA'!#REF!,"AAAAADtV9yc=")</f>
        <v>#REF!</v>
      </c>
      <c r="AO345" t="e">
        <f>AND('PROG FORMACIÓN TITULADA'!#REF!,"AAAAADtV9yg=")</f>
        <v>#REF!</v>
      </c>
      <c r="AP345" t="e">
        <f>AND('PROG FORMACIÓN TITULADA'!#REF!,"AAAAADtV9yk=")</f>
        <v>#REF!</v>
      </c>
      <c r="AQ345" t="e">
        <f>AND('PROG FORMACIÓN TITULADA'!#REF!,"AAAAADtV9yo=")</f>
        <v>#REF!</v>
      </c>
      <c r="AR345" t="e">
        <f>AND('PROG FORMACIÓN TITULADA'!#REF!,"AAAAADtV9ys=")</f>
        <v>#REF!</v>
      </c>
      <c r="AS345" t="e">
        <f>AND('PROG FORMACIÓN TITULADA'!#REF!,"AAAAADtV9yw=")</f>
        <v>#REF!</v>
      </c>
      <c r="AT345" t="e">
        <f>AND('PROG FORMACIÓN TITULADA'!#REF!,"AAAAADtV9y0=")</f>
        <v>#REF!</v>
      </c>
      <c r="AU345" t="e">
        <f>AND('PROG FORMACIÓN TITULADA'!#REF!,"AAAAADtV9y4=")</f>
        <v>#REF!</v>
      </c>
      <c r="AV345" t="e">
        <f>AND('PROG FORMACIÓN TITULADA'!#REF!,"AAAAADtV9y8=")</f>
        <v>#REF!</v>
      </c>
      <c r="AW345" t="e">
        <f>AND('PROG FORMACIÓN TITULADA'!#REF!,"AAAAADtV9zA=")</f>
        <v>#REF!</v>
      </c>
      <c r="AX345" t="e">
        <f>AND('PROG FORMACIÓN TITULADA'!#REF!,"AAAAADtV9zE=")</f>
        <v>#REF!</v>
      </c>
      <c r="AY345" t="e">
        <f>AND('PROG FORMACIÓN TITULADA'!#REF!,"AAAAADtV9zI=")</f>
        <v>#REF!</v>
      </c>
      <c r="AZ345" t="e">
        <f>AND('PROG FORMACIÓN TITULADA'!#REF!,"AAAAADtV9zM=")</f>
        <v>#REF!</v>
      </c>
      <c r="BA345" t="e">
        <f>AND('PROG FORMACIÓN TITULADA'!#REF!,"AAAAADtV9zQ=")</f>
        <v>#REF!</v>
      </c>
      <c r="BB345" t="e">
        <f>AND('PROG FORMACIÓN TITULADA'!#REF!,"AAAAADtV9zU=")</f>
        <v>#REF!</v>
      </c>
      <c r="BC345" t="e">
        <f>AND('PROG FORMACIÓN TITULADA'!#REF!,"AAAAADtV9zY=")</f>
        <v>#REF!</v>
      </c>
      <c r="BD345" t="e">
        <f>AND('PROG FORMACIÓN TITULADA'!#REF!,"AAAAADtV9zc=")</f>
        <v>#REF!</v>
      </c>
      <c r="BE345" t="e">
        <f>AND('PROG FORMACIÓN TITULADA'!#REF!,"AAAAADtV9zg=")</f>
        <v>#REF!</v>
      </c>
      <c r="BF345" t="e">
        <f>AND('PROG FORMACIÓN TITULADA'!#REF!,"AAAAADtV9zk=")</f>
        <v>#REF!</v>
      </c>
      <c r="BG345" t="e">
        <f>AND('PROG FORMACIÓN TITULADA'!#REF!,"AAAAADtV9zo=")</f>
        <v>#REF!</v>
      </c>
      <c r="BH345" t="e">
        <f>AND('PROG FORMACIÓN TITULADA'!#REF!,"AAAAADtV9zs=")</f>
        <v>#REF!</v>
      </c>
      <c r="BI345" t="e">
        <f>AND('PROG FORMACIÓN TITULADA'!#REF!,"AAAAADtV9zw=")</f>
        <v>#REF!</v>
      </c>
      <c r="BJ345" t="e">
        <f>AND('PROG FORMACIÓN TITULADA'!#REF!,"AAAAADtV9z0=")</f>
        <v>#REF!</v>
      </c>
      <c r="BK345" t="e">
        <f>AND('PROG FORMACIÓN TITULADA'!#REF!,"AAAAADtV9z4=")</f>
        <v>#REF!</v>
      </c>
      <c r="BL345" t="e">
        <f>AND('PROG FORMACIÓN TITULADA'!#REF!,"AAAAADtV9z8=")</f>
        <v>#REF!</v>
      </c>
      <c r="BM345" t="e">
        <f>IF('PROG FORMACIÓN TITULADA'!#REF!,"AAAAADtV90A=",0)</f>
        <v>#REF!</v>
      </c>
      <c r="BN345" t="e">
        <f>AND('PROG FORMACIÓN TITULADA'!#REF!,"AAAAADtV90E=")</f>
        <v>#REF!</v>
      </c>
      <c r="BO345" t="e">
        <f>AND('PROG FORMACIÓN TITULADA'!#REF!,"AAAAADtV90I=")</f>
        <v>#REF!</v>
      </c>
      <c r="BP345" t="e">
        <f>AND('PROG FORMACIÓN TITULADA'!#REF!,"AAAAADtV90M=")</f>
        <v>#REF!</v>
      </c>
      <c r="BQ345" t="e">
        <f>AND('PROG FORMACIÓN TITULADA'!#REF!,"AAAAADtV90Q=")</f>
        <v>#REF!</v>
      </c>
      <c r="BR345" t="e">
        <f>AND('PROG FORMACIÓN TITULADA'!#REF!,"AAAAADtV90U=")</f>
        <v>#REF!</v>
      </c>
      <c r="BS345" t="e">
        <f>AND('PROG FORMACIÓN TITULADA'!#REF!,"AAAAADtV90Y=")</f>
        <v>#REF!</v>
      </c>
      <c r="BT345" t="e">
        <f>AND('PROG FORMACIÓN TITULADA'!#REF!,"AAAAADtV90c=")</f>
        <v>#REF!</v>
      </c>
      <c r="BU345" t="e">
        <f>AND('PROG FORMACIÓN TITULADA'!#REF!,"AAAAADtV90g=")</f>
        <v>#REF!</v>
      </c>
      <c r="BV345" t="e">
        <f>AND('PROG FORMACIÓN TITULADA'!#REF!,"AAAAADtV90k=")</f>
        <v>#REF!</v>
      </c>
      <c r="BW345" t="e">
        <f>AND('PROG FORMACIÓN TITULADA'!#REF!,"AAAAADtV90o=")</f>
        <v>#REF!</v>
      </c>
      <c r="BX345" t="e">
        <f>AND('PROG FORMACIÓN TITULADA'!#REF!,"AAAAADtV90s=")</f>
        <v>#REF!</v>
      </c>
      <c r="BY345" t="e">
        <f>AND('PROG FORMACIÓN TITULADA'!#REF!,"AAAAADtV90w=")</f>
        <v>#REF!</v>
      </c>
      <c r="BZ345" t="e">
        <f>AND('PROG FORMACIÓN TITULADA'!#REF!,"AAAAADtV900=")</f>
        <v>#REF!</v>
      </c>
      <c r="CA345" t="e">
        <f>AND('PROG FORMACIÓN TITULADA'!#REF!,"AAAAADtV904=")</f>
        <v>#REF!</v>
      </c>
      <c r="CB345" t="e">
        <f>AND('PROG FORMACIÓN TITULADA'!#REF!,"AAAAADtV908=")</f>
        <v>#REF!</v>
      </c>
      <c r="CC345" t="e">
        <f>AND('PROG FORMACIÓN TITULADA'!#REF!,"AAAAADtV91A=")</f>
        <v>#REF!</v>
      </c>
      <c r="CD345" t="e">
        <f>AND('PROG FORMACIÓN TITULADA'!#REF!,"AAAAADtV91E=")</f>
        <v>#REF!</v>
      </c>
      <c r="CE345" t="e">
        <f>AND('PROG FORMACIÓN TITULADA'!#REF!,"AAAAADtV91I=")</f>
        <v>#REF!</v>
      </c>
      <c r="CF345" t="e">
        <f>AND('PROG FORMACIÓN TITULADA'!#REF!,"AAAAADtV91M=")</f>
        <v>#REF!</v>
      </c>
      <c r="CG345" t="e">
        <f>AND('PROG FORMACIÓN TITULADA'!#REF!,"AAAAADtV91Q=")</f>
        <v>#REF!</v>
      </c>
      <c r="CH345" t="e">
        <f>AND('PROG FORMACIÓN TITULADA'!#REF!,"AAAAADtV91U=")</f>
        <v>#REF!</v>
      </c>
      <c r="CI345" t="e">
        <f>AND('PROG FORMACIÓN TITULADA'!#REF!,"AAAAADtV91Y=")</f>
        <v>#REF!</v>
      </c>
      <c r="CJ345" t="e">
        <f>AND('PROG FORMACIÓN TITULADA'!#REF!,"AAAAADtV91c=")</f>
        <v>#REF!</v>
      </c>
      <c r="CK345" t="e">
        <f>AND('PROG FORMACIÓN TITULADA'!#REF!,"AAAAADtV91g=")</f>
        <v>#REF!</v>
      </c>
      <c r="CL345" t="e">
        <f>AND('PROG FORMACIÓN TITULADA'!#REF!,"AAAAADtV91k=")</f>
        <v>#REF!</v>
      </c>
      <c r="CM345" t="e">
        <f>AND('PROG FORMACIÓN TITULADA'!#REF!,"AAAAADtV91o=")</f>
        <v>#REF!</v>
      </c>
      <c r="CN345" t="e">
        <f>IF('PROG FORMACIÓN TITULADA'!#REF!,"AAAAADtV91s=",0)</f>
        <v>#REF!</v>
      </c>
      <c r="CO345" t="e">
        <f>AND('PROG FORMACIÓN TITULADA'!#REF!,"AAAAADtV91w=")</f>
        <v>#REF!</v>
      </c>
      <c r="CP345" t="e">
        <f>AND('PROG FORMACIÓN TITULADA'!#REF!,"AAAAADtV910=")</f>
        <v>#REF!</v>
      </c>
      <c r="CQ345" t="e">
        <f>AND('PROG FORMACIÓN TITULADA'!#REF!,"AAAAADtV914=")</f>
        <v>#REF!</v>
      </c>
      <c r="CR345" t="e">
        <f>AND('PROG FORMACIÓN TITULADA'!#REF!,"AAAAADtV918=")</f>
        <v>#REF!</v>
      </c>
      <c r="CS345" t="e">
        <f>AND('PROG FORMACIÓN TITULADA'!#REF!,"AAAAADtV92A=")</f>
        <v>#REF!</v>
      </c>
      <c r="CT345" t="e">
        <f>AND('PROG FORMACIÓN TITULADA'!#REF!,"AAAAADtV92E=")</f>
        <v>#REF!</v>
      </c>
      <c r="CU345" t="e">
        <f>AND('PROG FORMACIÓN TITULADA'!#REF!,"AAAAADtV92I=")</f>
        <v>#REF!</v>
      </c>
      <c r="CV345" t="e">
        <f>AND('PROG FORMACIÓN TITULADA'!#REF!,"AAAAADtV92M=")</f>
        <v>#REF!</v>
      </c>
      <c r="CW345" t="e">
        <f>AND('PROG FORMACIÓN TITULADA'!#REF!,"AAAAADtV92Q=")</f>
        <v>#REF!</v>
      </c>
      <c r="CX345" t="e">
        <f>AND('PROG FORMACIÓN TITULADA'!#REF!,"AAAAADtV92U=")</f>
        <v>#REF!</v>
      </c>
      <c r="CY345" t="e">
        <f>AND('PROG FORMACIÓN TITULADA'!#REF!,"AAAAADtV92Y=")</f>
        <v>#REF!</v>
      </c>
      <c r="CZ345" t="e">
        <f>AND('PROG FORMACIÓN TITULADA'!#REF!,"AAAAADtV92c=")</f>
        <v>#REF!</v>
      </c>
      <c r="DA345" t="e">
        <f>AND('PROG FORMACIÓN TITULADA'!#REF!,"AAAAADtV92g=")</f>
        <v>#REF!</v>
      </c>
      <c r="DB345" t="e">
        <f>AND('PROG FORMACIÓN TITULADA'!#REF!,"AAAAADtV92k=")</f>
        <v>#REF!</v>
      </c>
      <c r="DC345" t="e">
        <f>AND('PROG FORMACIÓN TITULADA'!#REF!,"AAAAADtV92o=")</f>
        <v>#REF!</v>
      </c>
      <c r="DD345" t="e">
        <f>AND('PROG FORMACIÓN TITULADA'!#REF!,"AAAAADtV92s=")</f>
        <v>#REF!</v>
      </c>
      <c r="DE345" t="e">
        <f>AND('PROG FORMACIÓN TITULADA'!#REF!,"AAAAADtV92w=")</f>
        <v>#REF!</v>
      </c>
      <c r="DF345" t="e">
        <f>AND('PROG FORMACIÓN TITULADA'!#REF!,"AAAAADtV920=")</f>
        <v>#REF!</v>
      </c>
      <c r="DG345" t="e">
        <f>AND('PROG FORMACIÓN TITULADA'!#REF!,"AAAAADtV924=")</f>
        <v>#REF!</v>
      </c>
      <c r="DH345" t="e">
        <f>AND('PROG FORMACIÓN TITULADA'!#REF!,"AAAAADtV928=")</f>
        <v>#REF!</v>
      </c>
      <c r="DI345" t="e">
        <f>AND('PROG FORMACIÓN TITULADA'!#REF!,"AAAAADtV93A=")</f>
        <v>#REF!</v>
      </c>
      <c r="DJ345" t="e">
        <f>AND('PROG FORMACIÓN TITULADA'!#REF!,"AAAAADtV93E=")</f>
        <v>#REF!</v>
      </c>
      <c r="DK345" t="e">
        <f>AND('PROG FORMACIÓN TITULADA'!#REF!,"AAAAADtV93I=")</f>
        <v>#REF!</v>
      </c>
      <c r="DL345" t="e">
        <f>AND('PROG FORMACIÓN TITULADA'!#REF!,"AAAAADtV93M=")</f>
        <v>#REF!</v>
      </c>
      <c r="DM345" t="e">
        <f>AND('PROG FORMACIÓN TITULADA'!#REF!,"AAAAADtV93Q=")</f>
        <v>#REF!</v>
      </c>
      <c r="DN345" t="e">
        <f>AND('PROG FORMACIÓN TITULADA'!#REF!,"AAAAADtV93U=")</f>
        <v>#REF!</v>
      </c>
      <c r="DO345" t="e">
        <f>IF('PROG FORMACIÓN TITULADA'!#REF!,"AAAAADtV93Y=",0)</f>
        <v>#REF!</v>
      </c>
      <c r="DP345" t="e">
        <f>AND('PROG FORMACIÓN TITULADA'!#REF!,"AAAAADtV93c=")</f>
        <v>#REF!</v>
      </c>
      <c r="DQ345" t="e">
        <f>AND('PROG FORMACIÓN TITULADA'!#REF!,"AAAAADtV93g=")</f>
        <v>#REF!</v>
      </c>
      <c r="DR345" t="e">
        <f>AND('PROG FORMACIÓN TITULADA'!#REF!,"AAAAADtV93k=")</f>
        <v>#REF!</v>
      </c>
      <c r="DS345" t="e">
        <f>AND('PROG FORMACIÓN TITULADA'!#REF!,"AAAAADtV93o=")</f>
        <v>#REF!</v>
      </c>
      <c r="DT345" t="e">
        <f>AND('PROG FORMACIÓN TITULADA'!#REF!,"AAAAADtV93s=")</f>
        <v>#REF!</v>
      </c>
      <c r="DU345" t="e">
        <f>AND('PROG FORMACIÓN TITULADA'!#REF!,"AAAAADtV93w=")</f>
        <v>#REF!</v>
      </c>
      <c r="DV345" t="e">
        <f>AND('PROG FORMACIÓN TITULADA'!#REF!,"AAAAADtV930=")</f>
        <v>#REF!</v>
      </c>
      <c r="DW345" t="e">
        <f>AND('PROG FORMACIÓN TITULADA'!#REF!,"AAAAADtV934=")</f>
        <v>#REF!</v>
      </c>
      <c r="DX345" t="e">
        <f>AND('PROG FORMACIÓN TITULADA'!#REF!,"AAAAADtV938=")</f>
        <v>#REF!</v>
      </c>
      <c r="DY345" t="e">
        <f>AND('PROG FORMACIÓN TITULADA'!#REF!,"AAAAADtV94A=")</f>
        <v>#REF!</v>
      </c>
      <c r="DZ345" t="e">
        <f>AND('PROG FORMACIÓN TITULADA'!#REF!,"AAAAADtV94E=")</f>
        <v>#REF!</v>
      </c>
      <c r="EA345" t="e">
        <f>AND('PROG FORMACIÓN TITULADA'!#REF!,"AAAAADtV94I=")</f>
        <v>#REF!</v>
      </c>
      <c r="EB345" t="e">
        <f>AND('PROG FORMACIÓN TITULADA'!#REF!,"AAAAADtV94M=")</f>
        <v>#REF!</v>
      </c>
      <c r="EC345" t="e">
        <f>AND('PROG FORMACIÓN TITULADA'!#REF!,"AAAAADtV94Q=")</f>
        <v>#REF!</v>
      </c>
      <c r="ED345" t="e">
        <f>AND('PROG FORMACIÓN TITULADA'!#REF!,"AAAAADtV94U=")</f>
        <v>#REF!</v>
      </c>
      <c r="EE345" t="e">
        <f>AND('PROG FORMACIÓN TITULADA'!#REF!,"AAAAADtV94Y=")</f>
        <v>#REF!</v>
      </c>
      <c r="EF345" t="e">
        <f>AND('PROG FORMACIÓN TITULADA'!#REF!,"AAAAADtV94c=")</f>
        <v>#REF!</v>
      </c>
      <c r="EG345" t="e">
        <f>AND('PROG FORMACIÓN TITULADA'!#REF!,"AAAAADtV94g=")</f>
        <v>#REF!</v>
      </c>
      <c r="EH345" t="e">
        <f>AND('PROG FORMACIÓN TITULADA'!#REF!,"AAAAADtV94k=")</f>
        <v>#REF!</v>
      </c>
      <c r="EI345" t="e">
        <f>AND('PROG FORMACIÓN TITULADA'!#REF!,"AAAAADtV94o=")</f>
        <v>#REF!</v>
      </c>
      <c r="EJ345" t="e">
        <f>AND('PROG FORMACIÓN TITULADA'!#REF!,"AAAAADtV94s=")</f>
        <v>#REF!</v>
      </c>
      <c r="EK345" t="e">
        <f>AND('PROG FORMACIÓN TITULADA'!#REF!,"AAAAADtV94w=")</f>
        <v>#REF!</v>
      </c>
      <c r="EL345" t="e">
        <f>AND('PROG FORMACIÓN TITULADA'!#REF!,"AAAAADtV940=")</f>
        <v>#REF!</v>
      </c>
      <c r="EM345" t="e">
        <f>AND('PROG FORMACIÓN TITULADA'!#REF!,"AAAAADtV944=")</f>
        <v>#REF!</v>
      </c>
      <c r="EN345" t="e">
        <f>AND('PROG FORMACIÓN TITULADA'!#REF!,"AAAAADtV948=")</f>
        <v>#REF!</v>
      </c>
      <c r="EO345" t="e">
        <f>AND('PROG FORMACIÓN TITULADA'!#REF!,"AAAAADtV95A=")</f>
        <v>#REF!</v>
      </c>
      <c r="EP345" t="e">
        <f>IF('PROG FORMACIÓN TITULADA'!#REF!,"AAAAADtV95E=",0)</f>
        <v>#REF!</v>
      </c>
      <c r="EQ345" t="e">
        <f>AND('PROG FORMACIÓN TITULADA'!#REF!,"AAAAADtV95I=")</f>
        <v>#REF!</v>
      </c>
      <c r="ER345" t="e">
        <f>AND('PROG FORMACIÓN TITULADA'!#REF!,"AAAAADtV95M=")</f>
        <v>#REF!</v>
      </c>
      <c r="ES345" t="e">
        <f>AND('PROG FORMACIÓN TITULADA'!#REF!,"AAAAADtV95Q=")</f>
        <v>#REF!</v>
      </c>
      <c r="ET345" t="e">
        <f>AND('PROG FORMACIÓN TITULADA'!#REF!,"AAAAADtV95U=")</f>
        <v>#REF!</v>
      </c>
      <c r="EU345" t="e">
        <f>AND('PROG FORMACIÓN TITULADA'!#REF!,"AAAAADtV95Y=")</f>
        <v>#REF!</v>
      </c>
      <c r="EV345" t="e">
        <f>AND('PROG FORMACIÓN TITULADA'!#REF!,"AAAAADtV95c=")</f>
        <v>#REF!</v>
      </c>
      <c r="EW345" t="e">
        <f>AND('PROG FORMACIÓN TITULADA'!#REF!,"AAAAADtV95g=")</f>
        <v>#REF!</v>
      </c>
      <c r="EX345" t="e">
        <f>AND('PROG FORMACIÓN TITULADA'!#REF!,"AAAAADtV95k=")</f>
        <v>#REF!</v>
      </c>
      <c r="EY345" t="e">
        <f>AND('PROG FORMACIÓN TITULADA'!#REF!,"AAAAADtV95o=")</f>
        <v>#REF!</v>
      </c>
      <c r="EZ345" t="e">
        <f>AND('PROG FORMACIÓN TITULADA'!#REF!,"AAAAADtV95s=")</f>
        <v>#REF!</v>
      </c>
      <c r="FA345" t="e">
        <f>AND('PROG FORMACIÓN TITULADA'!#REF!,"AAAAADtV95w=")</f>
        <v>#REF!</v>
      </c>
      <c r="FB345" t="e">
        <f>AND('PROG FORMACIÓN TITULADA'!#REF!,"AAAAADtV950=")</f>
        <v>#REF!</v>
      </c>
      <c r="FC345" t="e">
        <f>AND('PROG FORMACIÓN TITULADA'!#REF!,"AAAAADtV954=")</f>
        <v>#REF!</v>
      </c>
      <c r="FD345" t="e">
        <f>AND('PROG FORMACIÓN TITULADA'!#REF!,"AAAAADtV958=")</f>
        <v>#REF!</v>
      </c>
      <c r="FE345" t="e">
        <f>AND('PROG FORMACIÓN TITULADA'!#REF!,"AAAAADtV96A=")</f>
        <v>#REF!</v>
      </c>
      <c r="FF345" t="e">
        <f>AND('PROG FORMACIÓN TITULADA'!#REF!,"AAAAADtV96E=")</f>
        <v>#REF!</v>
      </c>
      <c r="FG345" t="e">
        <f>AND('PROG FORMACIÓN TITULADA'!#REF!,"AAAAADtV96I=")</f>
        <v>#REF!</v>
      </c>
      <c r="FH345" t="e">
        <f>AND('PROG FORMACIÓN TITULADA'!#REF!,"AAAAADtV96M=")</f>
        <v>#REF!</v>
      </c>
      <c r="FI345" t="e">
        <f>AND('PROG FORMACIÓN TITULADA'!#REF!,"AAAAADtV96Q=")</f>
        <v>#REF!</v>
      </c>
      <c r="FJ345" t="e">
        <f>AND('PROG FORMACIÓN TITULADA'!#REF!,"AAAAADtV96U=")</f>
        <v>#REF!</v>
      </c>
      <c r="FK345" t="e">
        <f>AND('PROG FORMACIÓN TITULADA'!#REF!,"AAAAADtV96Y=")</f>
        <v>#REF!</v>
      </c>
      <c r="FL345" t="e">
        <f>AND('PROG FORMACIÓN TITULADA'!#REF!,"AAAAADtV96c=")</f>
        <v>#REF!</v>
      </c>
      <c r="FM345" t="e">
        <f>AND('PROG FORMACIÓN TITULADA'!#REF!,"AAAAADtV96g=")</f>
        <v>#REF!</v>
      </c>
      <c r="FN345" t="e">
        <f>AND('PROG FORMACIÓN TITULADA'!#REF!,"AAAAADtV96k=")</f>
        <v>#REF!</v>
      </c>
      <c r="FO345" t="e">
        <f>AND('PROG FORMACIÓN TITULADA'!#REF!,"AAAAADtV96o=")</f>
        <v>#REF!</v>
      </c>
      <c r="FP345" t="e">
        <f>AND('PROG FORMACIÓN TITULADA'!#REF!,"AAAAADtV96s=")</f>
        <v>#REF!</v>
      </c>
      <c r="FQ345" t="e">
        <f>IF('PROG FORMACIÓN TITULADA'!#REF!,"AAAAADtV96w=",0)</f>
        <v>#REF!</v>
      </c>
      <c r="FR345" t="e">
        <f>AND('PROG FORMACIÓN TITULADA'!#REF!,"AAAAADtV960=")</f>
        <v>#REF!</v>
      </c>
      <c r="FS345" t="e">
        <f>AND('PROG FORMACIÓN TITULADA'!#REF!,"AAAAADtV964=")</f>
        <v>#REF!</v>
      </c>
      <c r="FT345" t="e">
        <f>AND('PROG FORMACIÓN TITULADA'!#REF!,"AAAAADtV968=")</f>
        <v>#REF!</v>
      </c>
      <c r="FU345" t="e">
        <f>AND('PROG FORMACIÓN TITULADA'!#REF!,"AAAAADtV97A=")</f>
        <v>#REF!</v>
      </c>
      <c r="FV345" t="e">
        <f>AND('PROG FORMACIÓN TITULADA'!#REF!,"AAAAADtV97E=")</f>
        <v>#REF!</v>
      </c>
      <c r="FW345" t="e">
        <f>AND('PROG FORMACIÓN TITULADA'!#REF!,"AAAAADtV97I=")</f>
        <v>#REF!</v>
      </c>
      <c r="FX345" t="e">
        <f>AND('PROG FORMACIÓN TITULADA'!#REF!,"AAAAADtV97M=")</f>
        <v>#REF!</v>
      </c>
      <c r="FY345" t="e">
        <f>AND('PROG FORMACIÓN TITULADA'!#REF!,"AAAAADtV97Q=")</f>
        <v>#REF!</v>
      </c>
      <c r="FZ345" t="e">
        <f>AND('PROG FORMACIÓN TITULADA'!#REF!,"AAAAADtV97U=")</f>
        <v>#REF!</v>
      </c>
      <c r="GA345" t="e">
        <f>AND('PROG FORMACIÓN TITULADA'!#REF!,"AAAAADtV97Y=")</f>
        <v>#REF!</v>
      </c>
      <c r="GB345" t="e">
        <f>AND('PROG FORMACIÓN TITULADA'!#REF!,"AAAAADtV97c=")</f>
        <v>#REF!</v>
      </c>
      <c r="GC345" t="e">
        <f>AND('PROG FORMACIÓN TITULADA'!#REF!,"AAAAADtV97g=")</f>
        <v>#REF!</v>
      </c>
      <c r="GD345" t="e">
        <f>AND('PROG FORMACIÓN TITULADA'!#REF!,"AAAAADtV97k=")</f>
        <v>#REF!</v>
      </c>
      <c r="GE345" t="e">
        <f>AND('PROG FORMACIÓN TITULADA'!#REF!,"AAAAADtV97o=")</f>
        <v>#REF!</v>
      </c>
      <c r="GF345" t="e">
        <f>AND('PROG FORMACIÓN TITULADA'!#REF!,"AAAAADtV97s=")</f>
        <v>#REF!</v>
      </c>
      <c r="GG345" t="e">
        <f>AND('PROG FORMACIÓN TITULADA'!#REF!,"AAAAADtV97w=")</f>
        <v>#REF!</v>
      </c>
      <c r="GH345" t="e">
        <f>AND('PROG FORMACIÓN TITULADA'!#REF!,"AAAAADtV970=")</f>
        <v>#REF!</v>
      </c>
      <c r="GI345" t="e">
        <f>AND('PROG FORMACIÓN TITULADA'!#REF!,"AAAAADtV974=")</f>
        <v>#REF!</v>
      </c>
      <c r="GJ345" t="e">
        <f>AND('PROG FORMACIÓN TITULADA'!#REF!,"AAAAADtV978=")</f>
        <v>#REF!</v>
      </c>
      <c r="GK345" t="e">
        <f>AND('PROG FORMACIÓN TITULADA'!#REF!,"AAAAADtV98A=")</f>
        <v>#REF!</v>
      </c>
      <c r="GL345" t="e">
        <f>AND('PROG FORMACIÓN TITULADA'!#REF!,"AAAAADtV98E=")</f>
        <v>#REF!</v>
      </c>
      <c r="GM345" t="e">
        <f>AND('PROG FORMACIÓN TITULADA'!#REF!,"AAAAADtV98I=")</f>
        <v>#REF!</v>
      </c>
      <c r="GN345" t="e">
        <f>AND('PROG FORMACIÓN TITULADA'!#REF!,"AAAAADtV98M=")</f>
        <v>#REF!</v>
      </c>
      <c r="GO345" t="e">
        <f>AND('PROG FORMACIÓN TITULADA'!#REF!,"AAAAADtV98Q=")</f>
        <v>#REF!</v>
      </c>
      <c r="GP345" t="e">
        <f>AND('PROG FORMACIÓN TITULADA'!#REF!,"AAAAADtV98U=")</f>
        <v>#REF!</v>
      </c>
      <c r="GQ345" t="e">
        <f>AND('PROG FORMACIÓN TITULADA'!#REF!,"AAAAADtV98Y=")</f>
        <v>#REF!</v>
      </c>
      <c r="GR345" t="e">
        <f>IF('PROG FORMACIÓN TITULADA'!#REF!,"AAAAADtV98c=",0)</f>
        <v>#REF!</v>
      </c>
      <c r="GS345" t="e">
        <f>AND('PROG FORMACIÓN TITULADA'!#REF!,"AAAAADtV98g=")</f>
        <v>#REF!</v>
      </c>
      <c r="GT345" t="e">
        <f>AND('PROG FORMACIÓN TITULADA'!#REF!,"AAAAADtV98k=")</f>
        <v>#REF!</v>
      </c>
      <c r="GU345" t="e">
        <f>AND('PROG FORMACIÓN TITULADA'!#REF!,"AAAAADtV98o=")</f>
        <v>#REF!</v>
      </c>
      <c r="GV345" t="e">
        <f>AND('PROG FORMACIÓN TITULADA'!#REF!,"AAAAADtV98s=")</f>
        <v>#REF!</v>
      </c>
      <c r="GW345" t="e">
        <f>AND('PROG FORMACIÓN TITULADA'!#REF!,"AAAAADtV98w=")</f>
        <v>#REF!</v>
      </c>
      <c r="GX345" t="e">
        <f>AND('PROG FORMACIÓN TITULADA'!#REF!,"AAAAADtV980=")</f>
        <v>#REF!</v>
      </c>
      <c r="GY345" t="e">
        <f>AND('PROG FORMACIÓN TITULADA'!#REF!,"AAAAADtV984=")</f>
        <v>#REF!</v>
      </c>
      <c r="GZ345" t="e">
        <f>AND('PROG FORMACIÓN TITULADA'!#REF!,"AAAAADtV988=")</f>
        <v>#REF!</v>
      </c>
      <c r="HA345" t="e">
        <f>AND('PROG FORMACIÓN TITULADA'!#REF!,"AAAAADtV99A=")</f>
        <v>#REF!</v>
      </c>
      <c r="HB345" t="e">
        <f>AND('PROG FORMACIÓN TITULADA'!#REF!,"AAAAADtV99E=")</f>
        <v>#REF!</v>
      </c>
      <c r="HC345" t="e">
        <f>AND('PROG FORMACIÓN TITULADA'!#REF!,"AAAAADtV99I=")</f>
        <v>#REF!</v>
      </c>
      <c r="HD345" t="e">
        <f>AND('PROG FORMACIÓN TITULADA'!#REF!,"AAAAADtV99M=")</f>
        <v>#REF!</v>
      </c>
      <c r="HE345" t="e">
        <f>AND('PROG FORMACIÓN TITULADA'!#REF!,"AAAAADtV99Q=")</f>
        <v>#REF!</v>
      </c>
      <c r="HF345" t="e">
        <f>AND('PROG FORMACIÓN TITULADA'!#REF!,"AAAAADtV99U=")</f>
        <v>#REF!</v>
      </c>
      <c r="HG345" t="e">
        <f>AND('PROG FORMACIÓN TITULADA'!#REF!,"AAAAADtV99Y=")</f>
        <v>#REF!</v>
      </c>
      <c r="HH345" t="e">
        <f>AND('PROG FORMACIÓN TITULADA'!#REF!,"AAAAADtV99c=")</f>
        <v>#REF!</v>
      </c>
      <c r="HI345" t="e">
        <f>AND('PROG FORMACIÓN TITULADA'!#REF!,"AAAAADtV99g=")</f>
        <v>#REF!</v>
      </c>
      <c r="HJ345" t="e">
        <f>AND('PROG FORMACIÓN TITULADA'!#REF!,"AAAAADtV99k=")</f>
        <v>#REF!</v>
      </c>
      <c r="HK345" t="e">
        <f>AND('PROG FORMACIÓN TITULADA'!#REF!,"AAAAADtV99o=")</f>
        <v>#REF!</v>
      </c>
      <c r="HL345" t="e">
        <f>AND('PROG FORMACIÓN TITULADA'!#REF!,"AAAAADtV99s=")</f>
        <v>#REF!</v>
      </c>
      <c r="HM345" t="e">
        <f>AND('PROG FORMACIÓN TITULADA'!#REF!,"AAAAADtV99w=")</f>
        <v>#REF!</v>
      </c>
      <c r="HN345" t="e">
        <f>AND('PROG FORMACIÓN TITULADA'!#REF!,"AAAAADtV990=")</f>
        <v>#REF!</v>
      </c>
      <c r="HO345" t="e">
        <f>AND('PROG FORMACIÓN TITULADA'!#REF!,"AAAAADtV994=")</f>
        <v>#REF!</v>
      </c>
      <c r="HP345" t="e">
        <f>AND('PROG FORMACIÓN TITULADA'!#REF!,"AAAAADtV998=")</f>
        <v>#REF!</v>
      </c>
      <c r="HQ345" t="e">
        <f>AND('PROG FORMACIÓN TITULADA'!#REF!,"AAAAADtV9+A=")</f>
        <v>#REF!</v>
      </c>
      <c r="HR345" t="e">
        <f>AND('PROG FORMACIÓN TITULADA'!#REF!,"AAAAADtV9+E=")</f>
        <v>#REF!</v>
      </c>
      <c r="HS345" t="e">
        <f>IF('PROG FORMACIÓN TITULADA'!#REF!,"AAAAADtV9+I=",0)</f>
        <v>#REF!</v>
      </c>
      <c r="HT345" t="e">
        <f>AND('PROG FORMACIÓN TITULADA'!#REF!,"AAAAADtV9+M=")</f>
        <v>#REF!</v>
      </c>
      <c r="HU345" t="e">
        <f>AND('PROG FORMACIÓN TITULADA'!#REF!,"AAAAADtV9+Q=")</f>
        <v>#REF!</v>
      </c>
      <c r="HV345" t="e">
        <f>AND('PROG FORMACIÓN TITULADA'!#REF!,"AAAAADtV9+U=")</f>
        <v>#REF!</v>
      </c>
      <c r="HW345" t="e">
        <f>AND('PROG FORMACIÓN TITULADA'!#REF!,"AAAAADtV9+Y=")</f>
        <v>#REF!</v>
      </c>
      <c r="HX345" t="e">
        <f>AND('PROG FORMACIÓN TITULADA'!#REF!,"AAAAADtV9+c=")</f>
        <v>#REF!</v>
      </c>
      <c r="HY345" t="e">
        <f>AND('PROG FORMACIÓN TITULADA'!#REF!,"AAAAADtV9+g=")</f>
        <v>#REF!</v>
      </c>
      <c r="HZ345" t="e">
        <f>AND('PROG FORMACIÓN TITULADA'!#REF!,"AAAAADtV9+k=")</f>
        <v>#REF!</v>
      </c>
      <c r="IA345" t="e">
        <f>AND('PROG FORMACIÓN TITULADA'!#REF!,"AAAAADtV9+o=")</f>
        <v>#REF!</v>
      </c>
      <c r="IB345" t="e">
        <f>AND('PROG FORMACIÓN TITULADA'!#REF!,"AAAAADtV9+s=")</f>
        <v>#REF!</v>
      </c>
      <c r="IC345" t="e">
        <f>AND('PROG FORMACIÓN TITULADA'!#REF!,"AAAAADtV9+w=")</f>
        <v>#REF!</v>
      </c>
      <c r="ID345" t="e">
        <f>AND('PROG FORMACIÓN TITULADA'!#REF!,"AAAAADtV9+0=")</f>
        <v>#REF!</v>
      </c>
      <c r="IE345" t="e">
        <f>AND('PROG FORMACIÓN TITULADA'!#REF!,"AAAAADtV9+4=")</f>
        <v>#REF!</v>
      </c>
      <c r="IF345" t="e">
        <f>AND('PROG FORMACIÓN TITULADA'!#REF!,"AAAAADtV9+8=")</f>
        <v>#REF!</v>
      </c>
      <c r="IG345" t="e">
        <f>AND('PROG FORMACIÓN TITULADA'!#REF!,"AAAAADtV9/A=")</f>
        <v>#REF!</v>
      </c>
      <c r="IH345" t="e">
        <f>AND('PROG FORMACIÓN TITULADA'!#REF!,"AAAAADtV9/E=")</f>
        <v>#REF!</v>
      </c>
      <c r="II345" t="e">
        <f>AND('PROG FORMACIÓN TITULADA'!#REF!,"AAAAADtV9/I=")</f>
        <v>#REF!</v>
      </c>
      <c r="IJ345" t="e">
        <f>AND('PROG FORMACIÓN TITULADA'!#REF!,"AAAAADtV9/M=")</f>
        <v>#REF!</v>
      </c>
      <c r="IK345" t="e">
        <f>AND('PROG FORMACIÓN TITULADA'!#REF!,"AAAAADtV9/Q=")</f>
        <v>#REF!</v>
      </c>
      <c r="IL345" t="e">
        <f>AND('PROG FORMACIÓN TITULADA'!#REF!,"AAAAADtV9/U=")</f>
        <v>#REF!</v>
      </c>
      <c r="IM345" t="e">
        <f>AND('PROG FORMACIÓN TITULADA'!#REF!,"AAAAADtV9/Y=")</f>
        <v>#REF!</v>
      </c>
      <c r="IN345" t="e">
        <f>AND('PROG FORMACIÓN TITULADA'!#REF!,"AAAAADtV9/c=")</f>
        <v>#REF!</v>
      </c>
      <c r="IO345" t="e">
        <f>AND('PROG FORMACIÓN TITULADA'!#REF!,"AAAAADtV9/g=")</f>
        <v>#REF!</v>
      </c>
      <c r="IP345" t="e">
        <f>AND('PROG FORMACIÓN TITULADA'!#REF!,"AAAAADtV9/k=")</f>
        <v>#REF!</v>
      </c>
      <c r="IQ345" t="e">
        <f>AND('PROG FORMACIÓN TITULADA'!#REF!,"AAAAADtV9/o=")</f>
        <v>#REF!</v>
      </c>
      <c r="IR345" t="e">
        <f>AND('PROG FORMACIÓN TITULADA'!#REF!,"AAAAADtV9/s=")</f>
        <v>#REF!</v>
      </c>
      <c r="IS345" t="e">
        <f>AND('PROG FORMACIÓN TITULADA'!#REF!,"AAAAADtV9/w=")</f>
        <v>#REF!</v>
      </c>
      <c r="IT345" t="e">
        <f>IF('PROG FORMACIÓN TITULADA'!#REF!,"AAAAADtV9/0=",0)</f>
        <v>#REF!</v>
      </c>
      <c r="IU345" t="e">
        <f>AND('PROG FORMACIÓN TITULADA'!#REF!,"AAAAADtV9/4=")</f>
        <v>#REF!</v>
      </c>
      <c r="IV345" t="e">
        <f>AND('PROG FORMACIÓN TITULADA'!#REF!,"AAAAADtV9/8=")</f>
        <v>#REF!</v>
      </c>
    </row>
    <row r="346" spans="1:256" x14ac:dyDescent="0.2">
      <c r="A346" t="e">
        <f>AND('PROG FORMACIÓN TITULADA'!#REF!,"AAAAABv9vQA=")</f>
        <v>#REF!</v>
      </c>
      <c r="B346" t="e">
        <f>AND('PROG FORMACIÓN TITULADA'!#REF!,"AAAAABv9vQE=")</f>
        <v>#REF!</v>
      </c>
      <c r="C346" t="e">
        <f>AND('PROG FORMACIÓN TITULADA'!#REF!,"AAAAABv9vQI=")</f>
        <v>#REF!</v>
      </c>
      <c r="D346" t="e">
        <f>AND('PROG FORMACIÓN TITULADA'!#REF!,"AAAAABv9vQM=")</f>
        <v>#REF!</v>
      </c>
      <c r="E346" t="e">
        <f>AND('PROG FORMACIÓN TITULADA'!#REF!,"AAAAABv9vQQ=")</f>
        <v>#REF!</v>
      </c>
      <c r="F346" t="e">
        <f>AND('PROG FORMACIÓN TITULADA'!#REF!,"AAAAABv9vQU=")</f>
        <v>#REF!</v>
      </c>
      <c r="G346" t="e">
        <f>AND('PROG FORMACIÓN TITULADA'!#REF!,"AAAAABv9vQY=")</f>
        <v>#REF!</v>
      </c>
      <c r="H346" t="e">
        <f>AND('PROG FORMACIÓN TITULADA'!#REF!,"AAAAABv9vQc=")</f>
        <v>#REF!</v>
      </c>
      <c r="I346" t="e">
        <f>AND('PROG FORMACIÓN TITULADA'!#REF!,"AAAAABv9vQg=")</f>
        <v>#REF!</v>
      </c>
      <c r="J346" t="e">
        <f>AND('PROG FORMACIÓN TITULADA'!#REF!,"AAAAABv9vQk=")</f>
        <v>#REF!</v>
      </c>
      <c r="K346" t="e">
        <f>AND('PROG FORMACIÓN TITULADA'!#REF!,"AAAAABv9vQo=")</f>
        <v>#REF!</v>
      </c>
      <c r="L346" t="e">
        <f>AND('PROG FORMACIÓN TITULADA'!#REF!,"AAAAABv9vQs=")</f>
        <v>#REF!</v>
      </c>
      <c r="M346" t="e">
        <f>AND('PROG FORMACIÓN TITULADA'!#REF!,"AAAAABv9vQw=")</f>
        <v>#REF!</v>
      </c>
      <c r="N346" t="e">
        <f>AND('PROG FORMACIÓN TITULADA'!#REF!,"AAAAABv9vQ0=")</f>
        <v>#REF!</v>
      </c>
      <c r="O346" t="e">
        <f>AND('PROG FORMACIÓN TITULADA'!#REF!,"AAAAABv9vQ4=")</f>
        <v>#REF!</v>
      </c>
      <c r="P346" t="e">
        <f>AND('PROG FORMACIÓN TITULADA'!#REF!,"AAAAABv9vQ8=")</f>
        <v>#REF!</v>
      </c>
      <c r="Q346" t="e">
        <f>AND('PROG FORMACIÓN TITULADA'!#REF!,"AAAAABv9vRA=")</f>
        <v>#REF!</v>
      </c>
      <c r="R346" t="e">
        <f>AND('PROG FORMACIÓN TITULADA'!#REF!,"AAAAABv9vRE=")</f>
        <v>#REF!</v>
      </c>
      <c r="S346" t="e">
        <f>AND('PROG FORMACIÓN TITULADA'!#REF!,"AAAAABv9vRI=")</f>
        <v>#REF!</v>
      </c>
      <c r="T346" t="e">
        <f>AND('PROG FORMACIÓN TITULADA'!#REF!,"AAAAABv9vRM=")</f>
        <v>#REF!</v>
      </c>
      <c r="U346" t="e">
        <f>AND('PROG FORMACIÓN TITULADA'!#REF!,"AAAAABv9vRQ=")</f>
        <v>#REF!</v>
      </c>
      <c r="V346" t="e">
        <f>AND('PROG FORMACIÓN TITULADA'!#REF!,"AAAAABv9vRU=")</f>
        <v>#REF!</v>
      </c>
      <c r="W346" t="e">
        <f>AND('PROG FORMACIÓN TITULADA'!#REF!,"AAAAABv9vRY=")</f>
        <v>#REF!</v>
      </c>
      <c r="X346" t="e">
        <f>AND('PROG FORMACIÓN TITULADA'!#REF!,"AAAAABv9vRc=")</f>
        <v>#REF!</v>
      </c>
      <c r="Y346" t="e">
        <f>IF('PROG FORMACIÓN TITULADA'!#REF!,"AAAAABv9vRg=",0)</f>
        <v>#REF!</v>
      </c>
      <c r="Z346" t="e">
        <f>AND('PROG FORMACIÓN TITULADA'!#REF!,"AAAAABv9vRk=")</f>
        <v>#REF!</v>
      </c>
      <c r="AA346" t="e">
        <f>AND('PROG FORMACIÓN TITULADA'!#REF!,"AAAAABv9vRo=")</f>
        <v>#REF!</v>
      </c>
      <c r="AB346" t="e">
        <f>AND('PROG FORMACIÓN TITULADA'!#REF!,"AAAAABv9vRs=")</f>
        <v>#REF!</v>
      </c>
      <c r="AC346" t="e">
        <f>AND('PROG FORMACIÓN TITULADA'!#REF!,"AAAAABv9vRw=")</f>
        <v>#REF!</v>
      </c>
      <c r="AD346" t="e">
        <f>AND('PROG FORMACIÓN TITULADA'!#REF!,"AAAAABv9vR0=")</f>
        <v>#REF!</v>
      </c>
      <c r="AE346" t="e">
        <f>AND('PROG FORMACIÓN TITULADA'!#REF!,"AAAAABv9vR4=")</f>
        <v>#REF!</v>
      </c>
      <c r="AF346" t="e">
        <f>AND('PROG FORMACIÓN TITULADA'!#REF!,"AAAAABv9vR8=")</f>
        <v>#REF!</v>
      </c>
      <c r="AG346" t="e">
        <f>AND('PROG FORMACIÓN TITULADA'!#REF!,"AAAAABv9vSA=")</f>
        <v>#REF!</v>
      </c>
      <c r="AH346" t="e">
        <f>AND('PROG FORMACIÓN TITULADA'!#REF!,"AAAAABv9vSE=")</f>
        <v>#REF!</v>
      </c>
      <c r="AI346" t="e">
        <f>AND('PROG FORMACIÓN TITULADA'!#REF!,"AAAAABv9vSI=")</f>
        <v>#REF!</v>
      </c>
      <c r="AJ346" t="e">
        <f>AND('PROG FORMACIÓN TITULADA'!#REF!,"AAAAABv9vSM=")</f>
        <v>#REF!</v>
      </c>
      <c r="AK346" t="e">
        <f>AND('PROG FORMACIÓN TITULADA'!#REF!,"AAAAABv9vSQ=")</f>
        <v>#REF!</v>
      </c>
      <c r="AL346" t="e">
        <f>AND('PROG FORMACIÓN TITULADA'!#REF!,"AAAAABv9vSU=")</f>
        <v>#REF!</v>
      </c>
      <c r="AM346" t="e">
        <f>AND('PROG FORMACIÓN TITULADA'!#REF!,"AAAAABv9vSY=")</f>
        <v>#REF!</v>
      </c>
      <c r="AN346" t="e">
        <f>AND('PROG FORMACIÓN TITULADA'!#REF!,"AAAAABv9vSc=")</f>
        <v>#REF!</v>
      </c>
      <c r="AO346" t="e">
        <f>AND('PROG FORMACIÓN TITULADA'!#REF!,"AAAAABv9vSg=")</f>
        <v>#REF!</v>
      </c>
      <c r="AP346" t="e">
        <f>AND('PROG FORMACIÓN TITULADA'!#REF!,"AAAAABv9vSk=")</f>
        <v>#REF!</v>
      </c>
      <c r="AQ346" t="e">
        <f>AND('PROG FORMACIÓN TITULADA'!#REF!,"AAAAABv9vSo=")</f>
        <v>#REF!</v>
      </c>
      <c r="AR346" t="e">
        <f>AND('PROG FORMACIÓN TITULADA'!#REF!,"AAAAABv9vSs=")</f>
        <v>#REF!</v>
      </c>
      <c r="AS346" t="e">
        <f>AND('PROG FORMACIÓN TITULADA'!#REF!,"AAAAABv9vSw=")</f>
        <v>#REF!</v>
      </c>
      <c r="AT346" t="e">
        <f>AND('PROG FORMACIÓN TITULADA'!#REF!,"AAAAABv9vS0=")</f>
        <v>#REF!</v>
      </c>
      <c r="AU346" t="e">
        <f>AND('PROG FORMACIÓN TITULADA'!#REF!,"AAAAABv9vS4=")</f>
        <v>#REF!</v>
      </c>
      <c r="AV346" t="e">
        <f>AND('PROG FORMACIÓN TITULADA'!#REF!,"AAAAABv9vS8=")</f>
        <v>#REF!</v>
      </c>
      <c r="AW346" t="e">
        <f>AND('PROG FORMACIÓN TITULADA'!#REF!,"AAAAABv9vTA=")</f>
        <v>#REF!</v>
      </c>
      <c r="AX346" t="e">
        <f>AND('PROG FORMACIÓN TITULADA'!#REF!,"AAAAABv9vTE=")</f>
        <v>#REF!</v>
      </c>
      <c r="AY346" t="e">
        <f>AND('PROG FORMACIÓN TITULADA'!#REF!,"AAAAABv9vTI=")</f>
        <v>#REF!</v>
      </c>
      <c r="AZ346" t="e">
        <f>IF('PROG FORMACIÓN TITULADA'!#REF!,"AAAAABv9vTM=",0)</f>
        <v>#REF!</v>
      </c>
      <c r="BA346" t="e">
        <f>AND('PROG FORMACIÓN TITULADA'!#REF!,"AAAAABv9vTQ=")</f>
        <v>#REF!</v>
      </c>
      <c r="BB346" t="e">
        <f>AND('PROG FORMACIÓN TITULADA'!#REF!,"AAAAABv9vTU=")</f>
        <v>#REF!</v>
      </c>
      <c r="BC346" t="e">
        <f>AND('PROG FORMACIÓN TITULADA'!#REF!,"AAAAABv9vTY=")</f>
        <v>#REF!</v>
      </c>
      <c r="BD346" t="e">
        <f>AND('PROG FORMACIÓN TITULADA'!#REF!,"AAAAABv9vTc=")</f>
        <v>#REF!</v>
      </c>
      <c r="BE346" t="e">
        <f>AND('PROG FORMACIÓN TITULADA'!#REF!,"AAAAABv9vTg=")</f>
        <v>#REF!</v>
      </c>
      <c r="BF346" t="e">
        <f>AND('PROG FORMACIÓN TITULADA'!#REF!,"AAAAABv9vTk=")</f>
        <v>#REF!</v>
      </c>
      <c r="BG346" t="e">
        <f>AND('PROG FORMACIÓN TITULADA'!#REF!,"AAAAABv9vTo=")</f>
        <v>#REF!</v>
      </c>
      <c r="BH346" t="e">
        <f>AND('PROG FORMACIÓN TITULADA'!#REF!,"AAAAABv9vTs=")</f>
        <v>#REF!</v>
      </c>
      <c r="BI346" t="e">
        <f>AND('PROG FORMACIÓN TITULADA'!#REF!,"AAAAABv9vTw=")</f>
        <v>#REF!</v>
      </c>
      <c r="BJ346" t="e">
        <f>AND('PROG FORMACIÓN TITULADA'!#REF!,"AAAAABv9vT0=")</f>
        <v>#REF!</v>
      </c>
      <c r="BK346" t="e">
        <f>AND('PROG FORMACIÓN TITULADA'!#REF!,"AAAAABv9vT4=")</f>
        <v>#REF!</v>
      </c>
      <c r="BL346" t="e">
        <f>AND('PROG FORMACIÓN TITULADA'!#REF!,"AAAAABv9vT8=")</f>
        <v>#REF!</v>
      </c>
      <c r="BM346" t="e">
        <f>AND('PROG FORMACIÓN TITULADA'!#REF!,"AAAAABv9vUA=")</f>
        <v>#REF!</v>
      </c>
      <c r="BN346" t="e">
        <f>AND('PROG FORMACIÓN TITULADA'!#REF!,"AAAAABv9vUE=")</f>
        <v>#REF!</v>
      </c>
      <c r="BO346" t="e">
        <f>AND('PROG FORMACIÓN TITULADA'!#REF!,"AAAAABv9vUI=")</f>
        <v>#REF!</v>
      </c>
      <c r="BP346" t="e">
        <f>AND('PROG FORMACIÓN TITULADA'!#REF!,"AAAAABv9vUM=")</f>
        <v>#REF!</v>
      </c>
      <c r="BQ346" t="e">
        <f>AND('PROG FORMACIÓN TITULADA'!#REF!,"AAAAABv9vUQ=")</f>
        <v>#REF!</v>
      </c>
      <c r="BR346" t="e">
        <f>AND('PROG FORMACIÓN TITULADA'!#REF!,"AAAAABv9vUU=")</f>
        <v>#REF!</v>
      </c>
      <c r="BS346" t="e">
        <f>AND('PROG FORMACIÓN TITULADA'!#REF!,"AAAAABv9vUY=")</f>
        <v>#REF!</v>
      </c>
      <c r="BT346" t="e">
        <f>AND('PROG FORMACIÓN TITULADA'!#REF!,"AAAAABv9vUc=")</f>
        <v>#REF!</v>
      </c>
      <c r="BU346" t="e">
        <f>AND('PROG FORMACIÓN TITULADA'!#REF!,"AAAAABv9vUg=")</f>
        <v>#REF!</v>
      </c>
      <c r="BV346" t="e">
        <f>AND('PROG FORMACIÓN TITULADA'!#REF!,"AAAAABv9vUk=")</f>
        <v>#REF!</v>
      </c>
      <c r="BW346" t="e">
        <f>AND('PROG FORMACIÓN TITULADA'!#REF!,"AAAAABv9vUo=")</f>
        <v>#REF!</v>
      </c>
      <c r="BX346" t="e">
        <f>AND('PROG FORMACIÓN TITULADA'!#REF!,"AAAAABv9vUs=")</f>
        <v>#REF!</v>
      </c>
      <c r="BY346" t="e">
        <f>AND('PROG FORMACIÓN TITULADA'!#REF!,"AAAAABv9vUw=")</f>
        <v>#REF!</v>
      </c>
      <c r="BZ346" t="e">
        <f>AND('PROG FORMACIÓN TITULADA'!#REF!,"AAAAABv9vU0=")</f>
        <v>#REF!</v>
      </c>
      <c r="CA346" t="e">
        <f>IF('PROG FORMACIÓN TITULADA'!#REF!,"AAAAABv9vU4=",0)</f>
        <v>#REF!</v>
      </c>
      <c r="CB346" t="e">
        <f>AND('PROG FORMACIÓN TITULADA'!#REF!,"AAAAABv9vU8=")</f>
        <v>#REF!</v>
      </c>
      <c r="CC346" t="e">
        <f>AND('PROG FORMACIÓN TITULADA'!#REF!,"AAAAABv9vVA=")</f>
        <v>#REF!</v>
      </c>
      <c r="CD346" t="e">
        <f>AND('PROG FORMACIÓN TITULADA'!#REF!,"AAAAABv9vVE=")</f>
        <v>#REF!</v>
      </c>
      <c r="CE346" t="e">
        <f>AND('PROG FORMACIÓN TITULADA'!#REF!,"AAAAABv9vVI=")</f>
        <v>#REF!</v>
      </c>
      <c r="CF346" t="e">
        <f>AND('PROG FORMACIÓN TITULADA'!#REF!,"AAAAABv9vVM=")</f>
        <v>#REF!</v>
      </c>
      <c r="CG346" t="e">
        <f>AND('PROG FORMACIÓN TITULADA'!#REF!,"AAAAABv9vVQ=")</f>
        <v>#REF!</v>
      </c>
      <c r="CH346" t="e">
        <f>AND('PROG FORMACIÓN TITULADA'!#REF!,"AAAAABv9vVU=")</f>
        <v>#REF!</v>
      </c>
      <c r="CI346" t="e">
        <f>AND('PROG FORMACIÓN TITULADA'!#REF!,"AAAAABv9vVY=")</f>
        <v>#REF!</v>
      </c>
      <c r="CJ346" t="e">
        <f>AND('PROG FORMACIÓN TITULADA'!#REF!,"AAAAABv9vVc=")</f>
        <v>#REF!</v>
      </c>
      <c r="CK346" t="e">
        <f>AND('PROG FORMACIÓN TITULADA'!#REF!,"AAAAABv9vVg=")</f>
        <v>#REF!</v>
      </c>
      <c r="CL346" t="e">
        <f>AND('PROG FORMACIÓN TITULADA'!#REF!,"AAAAABv9vVk=")</f>
        <v>#REF!</v>
      </c>
      <c r="CM346" t="e">
        <f>AND('PROG FORMACIÓN TITULADA'!#REF!,"AAAAABv9vVo=")</f>
        <v>#REF!</v>
      </c>
      <c r="CN346" t="e">
        <f>AND('PROG FORMACIÓN TITULADA'!#REF!,"AAAAABv9vVs=")</f>
        <v>#REF!</v>
      </c>
      <c r="CO346" t="e">
        <f>AND('PROG FORMACIÓN TITULADA'!#REF!,"AAAAABv9vVw=")</f>
        <v>#REF!</v>
      </c>
      <c r="CP346" t="e">
        <f>AND('PROG FORMACIÓN TITULADA'!#REF!,"AAAAABv9vV0=")</f>
        <v>#REF!</v>
      </c>
      <c r="CQ346" t="e">
        <f>AND('PROG FORMACIÓN TITULADA'!#REF!,"AAAAABv9vV4=")</f>
        <v>#REF!</v>
      </c>
      <c r="CR346" t="e">
        <f>AND('PROG FORMACIÓN TITULADA'!#REF!,"AAAAABv9vV8=")</f>
        <v>#REF!</v>
      </c>
      <c r="CS346" t="e">
        <f>AND('PROG FORMACIÓN TITULADA'!#REF!,"AAAAABv9vWA=")</f>
        <v>#REF!</v>
      </c>
      <c r="CT346" t="e">
        <f>AND('PROG FORMACIÓN TITULADA'!#REF!,"AAAAABv9vWE=")</f>
        <v>#REF!</v>
      </c>
      <c r="CU346" t="e">
        <f>AND('PROG FORMACIÓN TITULADA'!#REF!,"AAAAABv9vWI=")</f>
        <v>#REF!</v>
      </c>
      <c r="CV346" t="e">
        <f>AND('PROG FORMACIÓN TITULADA'!#REF!,"AAAAABv9vWM=")</f>
        <v>#REF!</v>
      </c>
      <c r="CW346" t="e">
        <f>AND('PROG FORMACIÓN TITULADA'!#REF!,"AAAAABv9vWQ=")</f>
        <v>#REF!</v>
      </c>
      <c r="CX346" t="e">
        <f>AND('PROG FORMACIÓN TITULADA'!#REF!,"AAAAABv9vWU=")</f>
        <v>#REF!</v>
      </c>
      <c r="CY346" t="e">
        <f>AND('PROG FORMACIÓN TITULADA'!#REF!,"AAAAABv9vWY=")</f>
        <v>#REF!</v>
      </c>
      <c r="CZ346" t="e">
        <f>AND('PROG FORMACIÓN TITULADA'!#REF!,"AAAAABv9vWc=")</f>
        <v>#REF!</v>
      </c>
      <c r="DA346" t="e">
        <f>AND('PROG FORMACIÓN TITULADA'!#REF!,"AAAAABv9vWg=")</f>
        <v>#REF!</v>
      </c>
      <c r="DB346" t="e">
        <f>IF('PROG FORMACIÓN TITULADA'!#REF!,"AAAAABv9vWk=",0)</f>
        <v>#REF!</v>
      </c>
      <c r="DC346" t="e">
        <f>AND('PROG FORMACIÓN TITULADA'!#REF!,"AAAAABv9vWo=")</f>
        <v>#REF!</v>
      </c>
      <c r="DD346" t="e">
        <f>AND('PROG FORMACIÓN TITULADA'!#REF!,"AAAAABv9vWs=")</f>
        <v>#REF!</v>
      </c>
      <c r="DE346" t="e">
        <f>AND('PROG FORMACIÓN TITULADA'!#REF!,"AAAAABv9vWw=")</f>
        <v>#REF!</v>
      </c>
      <c r="DF346" t="e">
        <f>AND('PROG FORMACIÓN TITULADA'!#REF!,"AAAAABv9vW0=")</f>
        <v>#REF!</v>
      </c>
      <c r="DG346" t="e">
        <f>AND('PROG FORMACIÓN TITULADA'!#REF!,"AAAAABv9vW4=")</f>
        <v>#REF!</v>
      </c>
      <c r="DH346" t="e">
        <f>AND('PROG FORMACIÓN TITULADA'!#REF!,"AAAAABv9vW8=")</f>
        <v>#REF!</v>
      </c>
      <c r="DI346" t="e">
        <f>AND('PROG FORMACIÓN TITULADA'!#REF!,"AAAAABv9vXA=")</f>
        <v>#REF!</v>
      </c>
      <c r="DJ346" t="e">
        <f>AND('PROG FORMACIÓN TITULADA'!#REF!,"AAAAABv9vXE=")</f>
        <v>#REF!</v>
      </c>
      <c r="DK346" t="e">
        <f>AND('PROG FORMACIÓN TITULADA'!#REF!,"AAAAABv9vXI=")</f>
        <v>#REF!</v>
      </c>
      <c r="DL346" t="e">
        <f>AND('PROG FORMACIÓN TITULADA'!#REF!,"AAAAABv9vXM=")</f>
        <v>#REF!</v>
      </c>
      <c r="DM346" t="e">
        <f>AND('PROG FORMACIÓN TITULADA'!#REF!,"AAAAABv9vXQ=")</f>
        <v>#REF!</v>
      </c>
      <c r="DN346" t="e">
        <f>AND('PROG FORMACIÓN TITULADA'!#REF!,"AAAAABv9vXU=")</f>
        <v>#REF!</v>
      </c>
      <c r="DO346" t="e">
        <f>AND('PROG FORMACIÓN TITULADA'!#REF!,"AAAAABv9vXY=")</f>
        <v>#REF!</v>
      </c>
      <c r="DP346" t="e">
        <f>AND('PROG FORMACIÓN TITULADA'!#REF!,"AAAAABv9vXc=")</f>
        <v>#REF!</v>
      </c>
      <c r="DQ346" t="e">
        <f>AND('PROG FORMACIÓN TITULADA'!#REF!,"AAAAABv9vXg=")</f>
        <v>#REF!</v>
      </c>
      <c r="DR346" t="e">
        <f>AND('PROG FORMACIÓN TITULADA'!#REF!,"AAAAABv9vXk=")</f>
        <v>#REF!</v>
      </c>
      <c r="DS346" t="e">
        <f>AND('PROG FORMACIÓN TITULADA'!#REF!,"AAAAABv9vXo=")</f>
        <v>#REF!</v>
      </c>
      <c r="DT346" t="e">
        <f>AND('PROG FORMACIÓN TITULADA'!#REF!,"AAAAABv9vXs=")</f>
        <v>#REF!</v>
      </c>
      <c r="DU346" t="e">
        <f>AND('PROG FORMACIÓN TITULADA'!#REF!,"AAAAABv9vXw=")</f>
        <v>#REF!</v>
      </c>
      <c r="DV346" t="e">
        <f>AND('PROG FORMACIÓN TITULADA'!#REF!,"AAAAABv9vX0=")</f>
        <v>#REF!</v>
      </c>
      <c r="DW346" t="e">
        <f>AND('PROG FORMACIÓN TITULADA'!#REF!,"AAAAABv9vX4=")</f>
        <v>#REF!</v>
      </c>
      <c r="DX346" t="e">
        <f>AND('PROG FORMACIÓN TITULADA'!#REF!,"AAAAABv9vX8=")</f>
        <v>#REF!</v>
      </c>
      <c r="DY346" t="e">
        <f>AND('PROG FORMACIÓN TITULADA'!#REF!,"AAAAABv9vYA=")</f>
        <v>#REF!</v>
      </c>
      <c r="DZ346" t="e">
        <f>AND('PROG FORMACIÓN TITULADA'!#REF!,"AAAAABv9vYE=")</f>
        <v>#REF!</v>
      </c>
      <c r="EA346" t="e">
        <f>AND('PROG FORMACIÓN TITULADA'!#REF!,"AAAAABv9vYI=")</f>
        <v>#REF!</v>
      </c>
      <c r="EB346" t="e">
        <f>AND('PROG FORMACIÓN TITULADA'!#REF!,"AAAAABv9vYM=")</f>
        <v>#REF!</v>
      </c>
      <c r="EC346" t="e">
        <f>IF('PROG FORMACIÓN TITULADA'!#REF!,"AAAAABv9vYQ=",0)</f>
        <v>#REF!</v>
      </c>
      <c r="ED346" t="e">
        <f>AND('PROG FORMACIÓN TITULADA'!#REF!,"AAAAABv9vYU=")</f>
        <v>#REF!</v>
      </c>
      <c r="EE346" t="e">
        <f>AND('PROG FORMACIÓN TITULADA'!#REF!,"AAAAABv9vYY=")</f>
        <v>#REF!</v>
      </c>
      <c r="EF346" t="e">
        <f>AND('PROG FORMACIÓN TITULADA'!#REF!,"AAAAABv9vYc=")</f>
        <v>#REF!</v>
      </c>
      <c r="EG346" t="e">
        <f>AND('PROG FORMACIÓN TITULADA'!#REF!,"AAAAABv9vYg=")</f>
        <v>#REF!</v>
      </c>
      <c r="EH346" t="e">
        <f>AND('PROG FORMACIÓN TITULADA'!#REF!,"AAAAABv9vYk=")</f>
        <v>#REF!</v>
      </c>
      <c r="EI346" t="e">
        <f>AND('PROG FORMACIÓN TITULADA'!#REF!,"AAAAABv9vYo=")</f>
        <v>#REF!</v>
      </c>
      <c r="EJ346" t="e">
        <f>AND('PROG FORMACIÓN TITULADA'!#REF!,"AAAAABv9vYs=")</f>
        <v>#REF!</v>
      </c>
      <c r="EK346" t="e">
        <f>AND('PROG FORMACIÓN TITULADA'!#REF!,"AAAAABv9vYw=")</f>
        <v>#REF!</v>
      </c>
      <c r="EL346" t="e">
        <f>AND('PROG FORMACIÓN TITULADA'!#REF!,"AAAAABv9vY0=")</f>
        <v>#REF!</v>
      </c>
      <c r="EM346" t="e">
        <f>AND('PROG FORMACIÓN TITULADA'!#REF!,"AAAAABv9vY4=")</f>
        <v>#REF!</v>
      </c>
      <c r="EN346" t="e">
        <f>AND('PROG FORMACIÓN TITULADA'!#REF!,"AAAAABv9vY8=")</f>
        <v>#REF!</v>
      </c>
      <c r="EO346" t="e">
        <f>AND('PROG FORMACIÓN TITULADA'!#REF!,"AAAAABv9vZA=")</f>
        <v>#REF!</v>
      </c>
      <c r="EP346" t="e">
        <f>AND('PROG FORMACIÓN TITULADA'!#REF!,"AAAAABv9vZE=")</f>
        <v>#REF!</v>
      </c>
      <c r="EQ346" t="e">
        <f>AND('PROG FORMACIÓN TITULADA'!#REF!,"AAAAABv9vZI=")</f>
        <v>#REF!</v>
      </c>
      <c r="ER346" t="e">
        <f>AND('PROG FORMACIÓN TITULADA'!#REF!,"AAAAABv9vZM=")</f>
        <v>#REF!</v>
      </c>
      <c r="ES346" t="e">
        <f>AND('PROG FORMACIÓN TITULADA'!#REF!,"AAAAABv9vZQ=")</f>
        <v>#REF!</v>
      </c>
      <c r="ET346" t="e">
        <f>AND('PROG FORMACIÓN TITULADA'!#REF!,"AAAAABv9vZU=")</f>
        <v>#REF!</v>
      </c>
      <c r="EU346" t="e">
        <f>AND('PROG FORMACIÓN TITULADA'!#REF!,"AAAAABv9vZY=")</f>
        <v>#REF!</v>
      </c>
      <c r="EV346" t="e">
        <f>AND('PROG FORMACIÓN TITULADA'!#REF!,"AAAAABv9vZc=")</f>
        <v>#REF!</v>
      </c>
      <c r="EW346" t="e">
        <f>AND('PROG FORMACIÓN TITULADA'!#REF!,"AAAAABv9vZg=")</f>
        <v>#REF!</v>
      </c>
      <c r="EX346" t="e">
        <f>AND('PROG FORMACIÓN TITULADA'!#REF!,"AAAAABv9vZk=")</f>
        <v>#REF!</v>
      </c>
      <c r="EY346" t="e">
        <f>AND('PROG FORMACIÓN TITULADA'!#REF!,"AAAAABv9vZo=")</f>
        <v>#REF!</v>
      </c>
      <c r="EZ346" t="e">
        <f>AND('PROG FORMACIÓN TITULADA'!#REF!,"AAAAABv9vZs=")</f>
        <v>#REF!</v>
      </c>
      <c r="FA346" t="e">
        <f>AND('PROG FORMACIÓN TITULADA'!#REF!,"AAAAABv9vZw=")</f>
        <v>#REF!</v>
      </c>
      <c r="FB346" t="e">
        <f>AND('PROG FORMACIÓN TITULADA'!#REF!,"AAAAABv9vZ0=")</f>
        <v>#REF!</v>
      </c>
      <c r="FC346" t="e">
        <f>AND('PROG FORMACIÓN TITULADA'!#REF!,"AAAAABv9vZ4=")</f>
        <v>#REF!</v>
      </c>
      <c r="FD346" t="e">
        <f>IF('PROG FORMACIÓN TITULADA'!#REF!,"AAAAABv9vZ8=",0)</f>
        <v>#REF!</v>
      </c>
      <c r="FE346" t="e">
        <f>AND('PROG FORMACIÓN TITULADA'!#REF!,"AAAAABv9vaA=")</f>
        <v>#REF!</v>
      </c>
      <c r="FF346" t="e">
        <f>AND('PROG FORMACIÓN TITULADA'!#REF!,"AAAAABv9vaE=")</f>
        <v>#REF!</v>
      </c>
      <c r="FG346" t="e">
        <f>AND('PROG FORMACIÓN TITULADA'!#REF!,"AAAAABv9vaI=")</f>
        <v>#REF!</v>
      </c>
      <c r="FH346" t="e">
        <f>AND('PROG FORMACIÓN TITULADA'!#REF!,"AAAAABv9vaM=")</f>
        <v>#REF!</v>
      </c>
      <c r="FI346" t="e">
        <f>AND('PROG FORMACIÓN TITULADA'!#REF!,"AAAAABv9vaQ=")</f>
        <v>#REF!</v>
      </c>
      <c r="FJ346" t="e">
        <f>AND('PROG FORMACIÓN TITULADA'!#REF!,"AAAAABv9vaU=")</f>
        <v>#REF!</v>
      </c>
      <c r="FK346" t="e">
        <f>AND('PROG FORMACIÓN TITULADA'!#REF!,"AAAAABv9vaY=")</f>
        <v>#REF!</v>
      </c>
      <c r="FL346" t="e">
        <f>AND('PROG FORMACIÓN TITULADA'!#REF!,"AAAAABv9vac=")</f>
        <v>#REF!</v>
      </c>
      <c r="FM346" t="e">
        <f>AND('PROG FORMACIÓN TITULADA'!#REF!,"AAAAABv9vag=")</f>
        <v>#REF!</v>
      </c>
      <c r="FN346" t="e">
        <f>AND('PROG FORMACIÓN TITULADA'!#REF!,"AAAAABv9vak=")</f>
        <v>#REF!</v>
      </c>
      <c r="FO346" t="e">
        <f>AND('PROG FORMACIÓN TITULADA'!#REF!,"AAAAABv9vao=")</f>
        <v>#REF!</v>
      </c>
      <c r="FP346" t="e">
        <f>AND('PROG FORMACIÓN TITULADA'!#REF!,"AAAAABv9vas=")</f>
        <v>#REF!</v>
      </c>
      <c r="FQ346" t="e">
        <f>AND('PROG FORMACIÓN TITULADA'!#REF!,"AAAAABv9vaw=")</f>
        <v>#REF!</v>
      </c>
      <c r="FR346" t="e">
        <f>AND('PROG FORMACIÓN TITULADA'!#REF!,"AAAAABv9va0=")</f>
        <v>#REF!</v>
      </c>
      <c r="FS346" t="e">
        <f>AND('PROG FORMACIÓN TITULADA'!#REF!,"AAAAABv9va4=")</f>
        <v>#REF!</v>
      </c>
      <c r="FT346" t="e">
        <f>AND('PROG FORMACIÓN TITULADA'!#REF!,"AAAAABv9va8=")</f>
        <v>#REF!</v>
      </c>
      <c r="FU346" t="e">
        <f>AND('PROG FORMACIÓN TITULADA'!#REF!,"AAAAABv9vbA=")</f>
        <v>#REF!</v>
      </c>
      <c r="FV346" t="e">
        <f>AND('PROG FORMACIÓN TITULADA'!#REF!,"AAAAABv9vbE=")</f>
        <v>#REF!</v>
      </c>
      <c r="FW346" t="e">
        <f>AND('PROG FORMACIÓN TITULADA'!#REF!,"AAAAABv9vbI=")</f>
        <v>#REF!</v>
      </c>
      <c r="FX346" t="e">
        <f>AND('PROG FORMACIÓN TITULADA'!#REF!,"AAAAABv9vbM=")</f>
        <v>#REF!</v>
      </c>
      <c r="FY346" t="e">
        <f>AND('PROG FORMACIÓN TITULADA'!#REF!,"AAAAABv9vbQ=")</f>
        <v>#REF!</v>
      </c>
      <c r="FZ346" t="e">
        <f>AND('PROG FORMACIÓN TITULADA'!#REF!,"AAAAABv9vbU=")</f>
        <v>#REF!</v>
      </c>
      <c r="GA346" t="e">
        <f>AND('PROG FORMACIÓN TITULADA'!#REF!,"AAAAABv9vbY=")</f>
        <v>#REF!</v>
      </c>
      <c r="GB346" t="e">
        <f>AND('PROG FORMACIÓN TITULADA'!#REF!,"AAAAABv9vbc=")</f>
        <v>#REF!</v>
      </c>
      <c r="GC346" t="e">
        <f>AND('PROG FORMACIÓN TITULADA'!#REF!,"AAAAABv9vbg=")</f>
        <v>#REF!</v>
      </c>
      <c r="GD346" t="e">
        <f>AND('PROG FORMACIÓN TITULADA'!#REF!,"AAAAABv9vbk=")</f>
        <v>#REF!</v>
      </c>
      <c r="GE346" t="e">
        <f>IF('PROG FORMACIÓN TITULADA'!#REF!,"AAAAABv9vbo=",0)</f>
        <v>#REF!</v>
      </c>
      <c r="GF346" t="e">
        <f>AND('PROG FORMACIÓN TITULADA'!#REF!,"AAAAABv9vbs=")</f>
        <v>#REF!</v>
      </c>
      <c r="GG346" t="e">
        <f>AND('PROG FORMACIÓN TITULADA'!#REF!,"AAAAABv9vbw=")</f>
        <v>#REF!</v>
      </c>
      <c r="GH346" t="e">
        <f>AND('PROG FORMACIÓN TITULADA'!#REF!,"AAAAABv9vb0=")</f>
        <v>#REF!</v>
      </c>
      <c r="GI346" t="e">
        <f>AND('PROG FORMACIÓN TITULADA'!#REF!,"AAAAABv9vb4=")</f>
        <v>#REF!</v>
      </c>
      <c r="GJ346" t="e">
        <f>AND('PROG FORMACIÓN TITULADA'!#REF!,"AAAAABv9vb8=")</f>
        <v>#REF!</v>
      </c>
      <c r="GK346" t="e">
        <f>AND('PROG FORMACIÓN TITULADA'!#REF!,"AAAAABv9vcA=")</f>
        <v>#REF!</v>
      </c>
      <c r="GL346" t="e">
        <f>AND('PROG FORMACIÓN TITULADA'!#REF!,"AAAAABv9vcE=")</f>
        <v>#REF!</v>
      </c>
      <c r="GM346" t="e">
        <f>AND('PROG FORMACIÓN TITULADA'!#REF!,"AAAAABv9vcI=")</f>
        <v>#REF!</v>
      </c>
      <c r="GN346" t="e">
        <f>AND('PROG FORMACIÓN TITULADA'!#REF!,"AAAAABv9vcM=")</f>
        <v>#REF!</v>
      </c>
      <c r="GO346" t="e">
        <f>AND('PROG FORMACIÓN TITULADA'!#REF!,"AAAAABv9vcQ=")</f>
        <v>#REF!</v>
      </c>
      <c r="GP346" t="e">
        <f>AND('PROG FORMACIÓN TITULADA'!#REF!,"AAAAABv9vcU=")</f>
        <v>#REF!</v>
      </c>
      <c r="GQ346" t="e">
        <f>AND('PROG FORMACIÓN TITULADA'!#REF!,"AAAAABv9vcY=")</f>
        <v>#REF!</v>
      </c>
      <c r="GR346" t="e">
        <f>AND('PROG FORMACIÓN TITULADA'!#REF!,"AAAAABv9vcc=")</f>
        <v>#REF!</v>
      </c>
      <c r="GS346" t="e">
        <f>AND('PROG FORMACIÓN TITULADA'!#REF!,"AAAAABv9vcg=")</f>
        <v>#REF!</v>
      </c>
      <c r="GT346" t="e">
        <f>AND('PROG FORMACIÓN TITULADA'!#REF!,"AAAAABv9vck=")</f>
        <v>#REF!</v>
      </c>
      <c r="GU346" t="e">
        <f>AND('PROG FORMACIÓN TITULADA'!#REF!,"AAAAABv9vco=")</f>
        <v>#REF!</v>
      </c>
      <c r="GV346" t="e">
        <f>AND('PROG FORMACIÓN TITULADA'!#REF!,"AAAAABv9vcs=")</f>
        <v>#REF!</v>
      </c>
      <c r="GW346" t="e">
        <f>AND('PROG FORMACIÓN TITULADA'!#REF!,"AAAAABv9vcw=")</f>
        <v>#REF!</v>
      </c>
      <c r="GX346" t="e">
        <f>AND('PROG FORMACIÓN TITULADA'!#REF!,"AAAAABv9vc0=")</f>
        <v>#REF!</v>
      </c>
      <c r="GY346" t="e">
        <f>AND('PROG FORMACIÓN TITULADA'!#REF!,"AAAAABv9vc4=")</f>
        <v>#REF!</v>
      </c>
      <c r="GZ346" t="e">
        <f>AND('PROG FORMACIÓN TITULADA'!#REF!,"AAAAABv9vc8=")</f>
        <v>#REF!</v>
      </c>
      <c r="HA346" t="e">
        <f>AND('PROG FORMACIÓN TITULADA'!#REF!,"AAAAABv9vdA=")</f>
        <v>#REF!</v>
      </c>
      <c r="HB346" t="e">
        <f>AND('PROG FORMACIÓN TITULADA'!#REF!,"AAAAABv9vdE=")</f>
        <v>#REF!</v>
      </c>
      <c r="HC346" t="e">
        <f>AND('PROG FORMACIÓN TITULADA'!#REF!,"AAAAABv9vdI=")</f>
        <v>#REF!</v>
      </c>
      <c r="HD346" t="e">
        <f>AND('PROG FORMACIÓN TITULADA'!#REF!,"AAAAABv9vdM=")</f>
        <v>#REF!</v>
      </c>
      <c r="HE346" t="e">
        <f>AND('PROG FORMACIÓN TITULADA'!#REF!,"AAAAABv9vdQ=")</f>
        <v>#REF!</v>
      </c>
      <c r="HF346" t="e">
        <f>IF('PROG FORMACIÓN TITULADA'!#REF!,"AAAAABv9vdU=",0)</f>
        <v>#REF!</v>
      </c>
      <c r="HG346" t="e">
        <f>AND('PROG FORMACIÓN TITULADA'!#REF!,"AAAAABv9vdY=")</f>
        <v>#REF!</v>
      </c>
      <c r="HH346" t="e">
        <f>AND('PROG FORMACIÓN TITULADA'!#REF!,"AAAAABv9vdc=")</f>
        <v>#REF!</v>
      </c>
      <c r="HI346" t="e">
        <f>AND('PROG FORMACIÓN TITULADA'!#REF!,"AAAAABv9vdg=")</f>
        <v>#REF!</v>
      </c>
      <c r="HJ346" t="e">
        <f>AND('PROG FORMACIÓN TITULADA'!#REF!,"AAAAABv9vdk=")</f>
        <v>#REF!</v>
      </c>
      <c r="HK346" t="e">
        <f>AND('PROG FORMACIÓN TITULADA'!#REF!,"AAAAABv9vdo=")</f>
        <v>#REF!</v>
      </c>
      <c r="HL346" t="e">
        <f>AND('PROG FORMACIÓN TITULADA'!#REF!,"AAAAABv9vds=")</f>
        <v>#REF!</v>
      </c>
      <c r="HM346" t="e">
        <f>AND('PROG FORMACIÓN TITULADA'!#REF!,"AAAAABv9vdw=")</f>
        <v>#REF!</v>
      </c>
      <c r="HN346" t="e">
        <f>AND('PROG FORMACIÓN TITULADA'!#REF!,"AAAAABv9vd0=")</f>
        <v>#REF!</v>
      </c>
      <c r="HO346" t="e">
        <f>AND('PROG FORMACIÓN TITULADA'!#REF!,"AAAAABv9vd4=")</f>
        <v>#REF!</v>
      </c>
      <c r="HP346" t="e">
        <f>AND('PROG FORMACIÓN TITULADA'!#REF!,"AAAAABv9vd8=")</f>
        <v>#REF!</v>
      </c>
      <c r="HQ346" t="e">
        <f>AND('PROG FORMACIÓN TITULADA'!#REF!,"AAAAABv9veA=")</f>
        <v>#REF!</v>
      </c>
      <c r="HR346" t="e">
        <f>AND('PROG FORMACIÓN TITULADA'!#REF!,"AAAAABv9veE=")</f>
        <v>#REF!</v>
      </c>
      <c r="HS346" t="e">
        <f>AND('PROG FORMACIÓN TITULADA'!#REF!,"AAAAABv9veI=")</f>
        <v>#REF!</v>
      </c>
      <c r="HT346" t="e">
        <f>AND('PROG FORMACIÓN TITULADA'!#REF!,"AAAAABv9veM=")</f>
        <v>#REF!</v>
      </c>
      <c r="HU346" t="e">
        <f>AND('PROG FORMACIÓN TITULADA'!#REF!,"AAAAABv9veQ=")</f>
        <v>#REF!</v>
      </c>
      <c r="HV346" t="e">
        <f>AND('PROG FORMACIÓN TITULADA'!#REF!,"AAAAABv9veU=")</f>
        <v>#REF!</v>
      </c>
      <c r="HW346" t="e">
        <f>AND('PROG FORMACIÓN TITULADA'!#REF!,"AAAAABv9veY=")</f>
        <v>#REF!</v>
      </c>
      <c r="HX346" t="e">
        <f>AND('PROG FORMACIÓN TITULADA'!#REF!,"AAAAABv9vec=")</f>
        <v>#REF!</v>
      </c>
      <c r="HY346" t="e">
        <f>AND('PROG FORMACIÓN TITULADA'!#REF!,"AAAAABv9veg=")</f>
        <v>#REF!</v>
      </c>
      <c r="HZ346" t="e">
        <f>AND('PROG FORMACIÓN TITULADA'!#REF!,"AAAAABv9vek=")</f>
        <v>#REF!</v>
      </c>
      <c r="IA346" t="e">
        <f>AND('PROG FORMACIÓN TITULADA'!#REF!,"AAAAABv9veo=")</f>
        <v>#REF!</v>
      </c>
      <c r="IB346" t="e">
        <f>AND('PROG FORMACIÓN TITULADA'!#REF!,"AAAAABv9ves=")</f>
        <v>#REF!</v>
      </c>
      <c r="IC346" t="e">
        <f>AND('PROG FORMACIÓN TITULADA'!#REF!,"AAAAABv9vew=")</f>
        <v>#REF!</v>
      </c>
      <c r="ID346" t="e">
        <f>AND('PROG FORMACIÓN TITULADA'!#REF!,"AAAAABv9ve0=")</f>
        <v>#REF!</v>
      </c>
      <c r="IE346" t="e">
        <f>AND('PROG FORMACIÓN TITULADA'!#REF!,"AAAAABv9ve4=")</f>
        <v>#REF!</v>
      </c>
      <c r="IF346" t="e">
        <f>AND('PROG FORMACIÓN TITULADA'!#REF!,"AAAAABv9ve8=")</f>
        <v>#REF!</v>
      </c>
      <c r="IG346" t="e">
        <f>IF('PROG FORMACIÓN TITULADA'!#REF!,"AAAAABv9vfA=",0)</f>
        <v>#REF!</v>
      </c>
      <c r="IH346" t="e">
        <f>AND('PROG FORMACIÓN TITULADA'!#REF!,"AAAAABv9vfE=")</f>
        <v>#REF!</v>
      </c>
      <c r="II346" t="e">
        <f>AND('PROG FORMACIÓN TITULADA'!#REF!,"AAAAABv9vfI=")</f>
        <v>#REF!</v>
      </c>
      <c r="IJ346" t="e">
        <f>AND('PROG FORMACIÓN TITULADA'!#REF!,"AAAAABv9vfM=")</f>
        <v>#REF!</v>
      </c>
      <c r="IK346" t="e">
        <f>AND('PROG FORMACIÓN TITULADA'!#REF!,"AAAAABv9vfQ=")</f>
        <v>#REF!</v>
      </c>
      <c r="IL346" t="e">
        <f>AND('PROG FORMACIÓN TITULADA'!#REF!,"AAAAABv9vfU=")</f>
        <v>#REF!</v>
      </c>
      <c r="IM346" t="e">
        <f>AND('PROG FORMACIÓN TITULADA'!#REF!,"AAAAABv9vfY=")</f>
        <v>#REF!</v>
      </c>
      <c r="IN346" t="e">
        <f>AND('PROG FORMACIÓN TITULADA'!#REF!,"AAAAABv9vfc=")</f>
        <v>#REF!</v>
      </c>
      <c r="IO346" t="e">
        <f>AND('PROG FORMACIÓN TITULADA'!#REF!,"AAAAABv9vfg=")</f>
        <v>#REF!</v>
      </c>
      <c r="IP346" t="e">
        <f>AND('PROG FORMACIÓN TITULADA'!#REF!,"AAAAABv9vfk=")</f>
        <v>#REF!</v>
      </c>
      <c r="IQ346" t="e">
        <f>AND('PROG FORMACIÓN TITULADA'!#REF!,"AAAAABv9vfo=")</f>
        <v>#REF!</v>
      </c>
      <c r="IR346" t="e">
        <f>AND('PROG FORMACIÓN TITULADA'!#REF!,"AAAAABv9vfs=")</f>
        <v>#REF!</v>
      </c>
      <c r="IS346" t="e">
        <f>AND('PROG FORMACIÓN TITULADA'!#REF!,"AAAAABv9vfw=")</f>
        <v>#REF!</v>
      </c>
      <c r="IT346" t="e">
        <f>AND('PROG FORMACIÓN TITULADA'!#REF!,"AAAAABv9vf0=")</f>
        <v>#REF!</v>
      </c>
      <c r="IU346" t="e">
        <f>AND('PROG FORMACIÓN TITULADA'!#REF!,"AAAAABv9vf4=")</f>
        <v>#REF!</v>
      </c>
      <c r="IV346" t="e">
        <f>AND('PROG FORMACIÓN TITULADA'!#REF!,"AAAAABv9vf8=")</f>
        <v>#REF!</v>
      </c>
    </row>
    <row r="347" spans="1:256" x14ac:dyDescent="0.2">
      <c r="A347" t="e">
        <f>AND('PROG FORMACIÓN TITULADA'!#REF!,"AAAAAH16XwA=")</f>
        <v>#REF!</v>
      </c>
      <c r="B347" t="e">
        <f>AND('PROG FORMACIÓN TITULADA'!#REF!,"AAAAAH16XwE=")</f>
        <v>#REF!</v>
      </c>
      <c r="C347" t="e">
        <f>AND('PROG FORMACIÓN TITULADA'!#REF!,"AAAAAH16XwI=")</f>
        <v>#REF!</v>
      </c>
      <c r="D347" t="e">
        <f>AND('PROG FORMACIÓN TITULADA'!#REF!,"AAAAAH16XwM=")</f>
        <v>#REF!</v>
      </c>
      <c r="E347" t="e">
        <f>AND('PROG FORMACIÓN TITULADA'!#REF!,"AAAAAH16XwQ=")</f>
        <v>#REF!</v>
      </c>
      <c r="F347" t="e">
        <f>AND('PROG FORMACIÓN TITULADA'!#REF!,"AAAAAH16XwU=")</f>
        <v>#REF!</v>
      </c>
      <c r="G347" t="e">
        <f>AND('PROG FORMACIÓN TITULADA'!#REF!,"AAAAAH16XwY=")</f>
        <v>#REF!</v>
      </c>
      <c r="H347" t="e">
        <f>AND('PROG FORMACIÓN TITULADA'!#REF!,"AAAAAH16Xwc=")</f>
        <v>#REF!</v>
      </c>
      <c r="I347" t="e">
        <f>AND('PROG FORMACIÓN TITULADA'!#REF!,"AAAAAH16Xwg=")</f>
        <v>#REF!</v>
      </c>
      <c r="J347" t="e">
        <f>AND('PROG FORMACIÓN TITULADA'!#REF!,"AAAAAH16Xwk=")</f>
        <v>#REF!</v>
      </c>
      <c r="K347" t="e">
        <f>AND('PROG FORMACIÓN TITULADA'!#REF!,"AAAAAH16Xwo=")</f>
        <v>#REF!</v>
      </c>
      <c r="L347" t="s">
        <v>605</v>
      </c>
      <c r="M347" t="s">
        <v>606</v>
      </c>
      <c r="N347" t="e">
        <f>IF("N",'Calendario Académico 2014'!_xlnm.Print_Area,"AAAAAH16Xw0=")</f>
        <v>#VALUE!</v>
      </c>
      <c r="O347" t="e">
        <f>IF("N",'PROG FORMACIÓN TITULADA'!_xlnm.Print_Area,"AAAAAH16Xw4=")</f>
        <v>#VALUE!</v>
      </c>
      <c r="P347" t="e">
        <f>IF("N",_xlnm.Print_Area,"AAAAAH16Xw8=")</f>
        <v>#VALUE!</v>
      </c>
    </row>
    <row r="348" spans="1:256" x14ac:dyDescent="0.2">
      <c r="A348" t="s">
        <v>607</v>
      </c>
      <c r="B348" t="s">
        <v>608</v>
      </c>
      <c r="C348" t="e">
        <f>IF("N",'Calendario Académico 2014'!_xlnm.Print_Area,"AAAAAG+wXwI=")</f>
        <v>#VALUE!</v>
      </c>
      <c r="D348" t="e">
        <f>IF("N",'PROG FORMACIÓN TITULADA'!_xlnm.Print_Area,"AAAAAG+wXwM=")</f>
        <v>#VALUE!</v>
      </c>
      <c r="E348" t="e">
        <f>IF("N",_xlnm.Print_Area,"AAAAAG+wXwQ=")</f>
        <v>#VALUE!</v>
      </c>
    </row>
    <row r="349" spans="1:256" x14ac:dyDescent="0.2">
      <c r="A349" t="e">
        <f>IF('POTENCIAL HORAS'!#REF!,"AAAAAGvtdAA=",0)</f>
        <v>#REF!</v>
      </c>
      <c r="B349" t="e">
        <f>AND('POTENCIAL HORAS'!#REF!,"AAAAAGvtdAE=")</f>
        <v>#REF!</v>
      </c>
      <c r="C349" t="e">
        <f>AND('POTENCIAL HORAS'!#REF!,"AAAAAGvtdAI=")</f>
        <v>#REF!</v>
      </c>
      <c r="D349" t="e">
        <f>AND('POTENCIAL HORAS'!#REF!,"AAAAAGvtdAM=")</f>
        <v>#REF!</v>
      </c>
      <c r="E349" t="e">
        <f>AND('POTENCIAL HORAS'!#REF!,"AAAAAGvtdAQ=")</f>
        <v>#REF!</v>
      </c>
      <c r="F349" t="e">
        <f>AND('POTENCIAL HORAS'!#REF!,"AAAAAGvtdAU=")</f>
        <v>#REF!</v>
      </c>
      <c r="G349" t="e">
        <f>AND('POTENCIAL HORAS'!#REF!,"AAAAAGvtdAY=")</f>
        <v>#REF!</v>
      </c>
      <c r="H349" t="e">
        <f>AND('POTENCIAL HORAS'!#REF!,"AAAAAGvtdAc=")</f>
        <v>#REF!</v>
      </c>
      <c r="I349" t="e">
        <f>AND('POTENCIAL HORAS'!#REF!,"AAAAAGvtdAg=")</f>
        <v>#REF!</v>
      </c>
      <c r="J349" t="e">
        <f>AND('POTENCIAL HORAS'!#REF!,"AAAAAGvtdAk=")</f>
        <v>#REF!</v>
      </c>
      <c r="K349" t="e">
        <f>AND('POTENCIAL HORAS'!#REF!,"AAAAAGvtdAo=")</f>
        <v>#REF!</v>
      </c>
      <c r="L349" t="e">
        <f>AND('POTENCIAL HORAS'!#REF!,"AAAAAGvtdAs=")</f>
        <v>#REF!</v>
      </c>
      <c r="M349" t="e">
        <f>AND('POTENCIAL HORAS'!#REF!,"AAAAAGvtdAw=")</f>
        <v>#REF!</v>
      </c>
      <c r="N349" t="e">
        <f>AND('POTENCIAL HORAS'!#REF!,"AAAAAGvtdA0=")</f>
        <v>#REF!</v>
      </c>
      <c r="O349" t="e">
        <f>AND('POTENCIAL HORAS'!#REF!,"AAAAAGvtdA4=")</f>
        <v>#REF!</v>
      </c>
      <c r="P349" t="e">
        <f>AND('POTENCIAL HORAS'!#REF!,"AAAAAGvtdA8=")</f>
        <v>#REF!</v>
      </c>
      <c r="Q349" t="e">
        <f>AND('POTENCIAL HORAS'!#REF!,"AAAAAGvtdBA=")</f>
        <v>#REF!</v>
      </c>
      <c r="R349" t="e">
        <f>AND('POTENCIAL HORAS'!#REF!,"AAAAAGvtdBE=")</f>
        <v>#REF!</v>
      </c>
      <c r="S349" t="e">
        <f>AND('POTENCIAL HORAS'!#REF!,"AAAAAGvtdBI=")</f>
        <v>#REF!</v>
      </c>
      <c r="T349" t="e">
        <f>AND('POTENCIAL HORAS'!#REF!,"AAAAAGvtdBM=")</f>
        <v>#REF!</v>
      </c>
      <c r="U349" t="e">
        <f>AND('POTENCIAL HORAS'!#REF!,"AAAAAGvtdBQ=")</f>
        <v>#REF!</v>
      </c>
      <c r="V349" t="e">
        <f>AND('POTENCIAL HORAS'!#REF!,"AAAAAGvtdBU=")</f>
        <v>#REF!</v>
      </c>
      <c r="W349" t="e">
        <f>AND('POTENCIAL HORAS'!#REF!,"AAAAAGvtdBY=")</f>
        <v>#REF!</v>
      </c>
      <c r="X349" t="e">
        <f>AND('POTENCIAL HORAS'!#REF!,"AAAAAGvtdBc=")</f>
        <v>#REF!</v>
      </c>
      <c r="Y349" t="e">
        <f>AND('POTENCIAL HORAS'!#REF!,"AAAAAGvtdBg=")</f>
        <v>#REF!</v>
      </c>
      <c r="Z349" t="e">
        <f>AND('POTENCIAL HORAS'!#REF!,"AAAAAGvtdBk=")</f>
        <v>#REF!</v>
      </c>
      <c r="AA349" t="e">
        <f>AND('POTENCIAL HORAS'!#REF!,"AAAAAGvtdBo=")</f>
        <v>#REF!</v>
      </c>
      <c r="AB349" t="e">
        <f>AND('POTENCIAL HORAS'!#REF!,"AAAAAGvtdBs=")</f>
        <v>#REF!</v>
      </c>
      <c r="AC349" t="e">
        <f>AND('POTENCIAL HORAS'!#REF!,"AAAAAGvtdBw=")</f>
        <v>#REF!</v>
      </c>
      <c r="AD349" t="e">
        <f>AND('POTENCIAL HORAS'!#REF!,"AAAAAGvtdB0=")</f>
        <v>#REF!</v>
      </c>
      <c r="AE349" t="e">
        <f>AND('POTENCIAL HORAS'!#REF!,"AAAAAGvtdB4=")</f>
        <v>#REF!</v>
      </c>
      <c r="AF349" t="e">
        <f>AND('POTENCIAL HORAS'!#REF!,"AAAAAGvtdB8=")</f>
        <v>#REF!</v>
      </c>
      <c r="AG349" t="e">
        <f>AND('POTENCIAL HORAS'!#REF!,"AAAAAGvtdCA=")</f>
        <v>#REF!</v>
      </c>
      <c r="AH349" t="e">
        <f>AND('POTENCIAL HORAS'!#REF!,"AAAAAGvtdCE=")</f>
        <v>#REF!</v>
      </c>
      <c r="AI349" t="e">
        <f>AND('POTENCIAL HORAS'!#REF!,"AAAAAGvtdCI=")</f>
        <v>#REF!</v>
      </c>
      <c r="AJ349" t="e">
        <f>AND('POTENCIAL HORAS'!#REF!,"AAAAAGvtdCM=")</f>
        <v>#REF!</v>
      </c>
      <c r="AK349" t="e">
        <f>AND('POTENCIAL HORAS'!#REF!,"AAAAAGvtdCQ=")</f>
        <v>#REF!</v>
      </c>
      <c r="AL349" t="e">
        <f>AND('POTENCIAL HORAS'!#REF!,"AAAAAGvtdCU=")</f>
        <v>#REF!</v>
      </c>
      <c r="AM349" t="e">
        <f>AND('POTENCIAL HORAS'!#REF!,"AAAAAGvtdCY=")</f>
        <v>#REF!</v>
      </c>
      <c r="AN349" t="e">
        <f>IF('POTENCIAL HORAS'!#REF!,"AAAAAGvtdCc=",0)</f>
        <v>#REF!</v>
      </c>
      <c r="AO349" t="e">
        <f>AND('POTENCIAL HORAS'!#REF!,"AAAAAGvtdCg=")</f>
        <v>#REF!</v>
      </c>
      <c r="AP349" t="e">
        <f>AND('POTENCIAL HORAS'!#REF!,"AAAAAGvtdCk=")</f>
        <v>#REF!</v>
      </c>
      <c r="AQ349" t="e">
        <f>AND('POTENCIAL HORAS'!#REF!,"AAAAAGvtdCo=")</f>
        <v>#REF!</v>
      </c>
      <c r="AR349" t="e">
        <f>AND('POTENCIAL HORAS'!#REF!,"AAAAAGvtdCs=")</f>
        <v>#REF!</v>
      </c>
      <c r="AS349" t="e">
        <f>AND('POTENCIAL HORAS'!#REF!,"AAAAAGvtdCw=")</f>
        <v>#REF!</v>
      </c>
      <c r="AT349" t="e">
        <f>AND('POTENCIAL HORAS'!#REF!,"AAAAAGvtdC0=")</f>
        <v>#REF!</v>
      </c>
      <c r="AU349" t="e">
        <f>AND('POTENCIAL HORAS'!#REF!,"AAAAAGvtdC4=")</f>
        <v>#REF!</v>
      </c>
      <c r="AV349" t="e">
        <f>AND('POTENCIAL HORAS'!#REF!,"AAAAAGvtdC8=")</f>
        <v>#REF!</v>
      </c>
      <c r="AW349" t="e">
        <f>AND('POTENCIAL HORAS'!#REF!,"AAAAAGvtdDA=")</f>
        <v>#REF!</v>
      </c>
      <c r="AX349" t="e">
        <f>AND('POTENCIAL HORAS'!#REF!,"AAAAAGvtdDE=")</f>
        <v>#REF!</v>
      </c>
      <c r="AY349" t="e">
        <f>AND('POTENCIAL HORAS'!#REF!,"AAAAAGvtdDI=")</f>
        <v>#REF!</v>
      </c>
      <c r="AZ349" t="e">
        <f>AND('POTENCIAL HORAS'!#REF!,"AAAAAGvtdDM=")</f>
        <v>#REF!</v>
      </c>
      <c r="BA349" t="e">
        <f>AND('POTENCIAL HORAS'!#REF!,"AAAAAGvtdDQ=")</f>
        <v>#REF!</v>
      </c>
      <c r="BB349" t="e">
        <f>AND('POTENCIAL HORAS'!#REF!,"AAAAAGvtdDU=")</f>
        <v>#REF!</v>
      </c>
      <c r="BC349" t="e">
        <f>AND('POTENCIAL HORAS'!#REF!,"AAAAAGvtdDY=")</f>
        <v>#REF!</v>
      </c>
      <c r="BD349" t="e">
        <f>AND('POTENCIAL HORAS'!#REF!,"AAAAAGvtdDc=")</f>
        <v>#REF!</v>
      </c>
      <c r="BE349" t="e">
        <f>AND('POTENCIAL HORAS'!#REF!,"AAAAAGvtdDg=")</f>
        <v>#REF!</v>
      </c>
      <c r="BF349" t="e">
        <f>AND('POTENCIAL HORAS'!#REF!,"AAAAAGvtdDk=")</f>
        <v>#REF!</v>
      </c>
      <c r="BG349" t="e">
        <f>AND('POTENCIAL HORAS'!#REF!,"AAAAAGvtdDo=")</f>
        <v>#REF!</v>
      </c>
      <c r="BH349" t="e">
        <f>AND('POTENCIAL HORAS'!#REF!,"AAAAAGvtdDs=")</f>
        <v>#REF!</v>
      </c>
      <c r="BI349" t="e">
        <f>AND('POTENCIAL HORAS'!#REF!,"AAAAAGvtdDw=")</f>
        <v>#REF!</v>
      </c>
      <c r="BJ349" t="e">
        <f>AND('POTENCIAL HORAS'!#REF!,"AAAAAGvtdD0=")</f>
        <v>#REF!</v>
      </c>
      <c r="BK349" t="e">
        <f>AND('POTENCIAL HORAS'!#REF!,"AAAAAGvtdD4=")</f>
        <v>#REF!</v>
      </c>
      <c r="BL349" t="e">
        <f>AND('POTENCIAL HORAS'!#REF!,"AAAAAGvtdD8=")</f>
        <v>#REF!</v>
      </c>
      <c r="BM349" t="e">
        <f>AND('POTENCIAL HORAS'!#REF!,"AAAAAGvtdEA=")</f>
        <v>#REF!</v>
      </c>
      <c r="BN349" t="e">
        <f>AND('POTENCIAL HORAS'!#REF!,"AAAAAGvtdEE=")</f>
        <v>#REF!</v>
      </c>
      <c r="BO349" t="e">
        <f>AND('POTENCIAL HORAS'!#REF!,"AAAAAGvtdEI=")</f>
        <v>#REF!</v>
      </c>
      <c r="BP349" t="e">
        <f>AND('POTENCIAL HORAS'!#REF!,"AAAAAGvtdEM=")</f>
        <v>#REF!</v>
      </c>
      <c r="BQ349" t="e">
        <f>AND('POTENCIAL HORAS'!#REF!,"AAAAAGvtdEQ=")</f>
        <v>#REF!</v>
      </c>
      <c r="BR349" t="e">
        <f>AND('POTENCIAL HORAS'!#REF!,"AAAAAGvtdEU=")</f>
        <v>#REF!</v>
      </c>
      <c r="BS349" t="e">
        <f>AND('POTENCIAL HORAS'!#REF!,"AAAAAGvtdEY=")</f>
        <v>#REF!</v>
      </c>
      <c r="BT349" t="e">
        <f>AND('POTENCIAL HORAS'!#REF!,"AAAAAGvtdEc=")</f>
        <v>#REF!</v>
      </c>
      <c r="BU349" t="e">
        <f>AND('POTENCIAL HORAS'!#REF!,"AAAAAGvtdEg=")</f>
        <v>#REF!</v>
      </c>
      <c r="BV349" t="e">
        <f>AND('POTENCIAL HORAS'!#REF!,"AAAAAGvtdEk=")</f>
        <v>#REF!</v>
      </c>
      <c r="BW349" t="e">
        <f>AND('POTENCIAL HORAS'!#REF!,"AAAAAGvtdEo=")</f>
        <v>#REF!</v>
      </c>
      <c r="BX349" t="e">
        <f>AND('POTENCIAL HORAS'!#REF!,"AAAAAGvtdEs=")</f>
        <v>#REF!</v>
      </c>
      <c r="BY349" t="e">
        <f>AND('POTENCIAL HORAS'!#REF!,"AAAAAGvtdEw=")</f>
        <v>#REF!</v>
      </c>
      <c r="BZ349" t="e">
        <f>AND('POTENCIAL HORAS'!#REF!,"AAAAAGvtdE0=")</f>
        <v>#REF!</v>
      </c>
      <c r="CA349">
        <f>IF('POTENCIAL HORAS'!250:250,"AAAAAGvtdE4=",0)</f>
        <v>0</v>
      </c>
      <c r="CB349" t="e">
        <f>AND('POTENCIAL HORAS'!A250,"AAAAAGvtdE8=")</f>
        <v>#VALUE!</v>
      </c>
      <c r="CC349" t="e">
        <f>AND('POTENCIAL HORAS'!B250,"AAAAAGvtdFA=")</f>
        <v>#VALUE!</v>
      </c>
      <c r="CD349" t="e">
        <f>AND('POTENCIAL HORAS'!C250,"AAAAAGvtdFE=")</f>
        <v>#VALUE!</v>
      </c>
      <c r="CE349" t="e">
        <f>AND('POTENCIAL HORAS'!D250,"AAAAAGvtdFI=")</f>
        <v>#VALUE!</v>
      </c>
      <c r="CF349" t="e">
        <f>AND('POTENCIAL HORAS'!E250,"AAAAAGvtdFM=")</f>
        <v>#VALUE!</v>
      </c>
      <c r="CG349" t="e">
        <f>AND('POTENCIAL HORAS'!F250,"AAAAAGvtdFQ=")</f>
        <v>#VALUE!</v>
      </c>
      <c r="CH349" t="e">
        <f>AND('POTENCIAL HORAS'!G250,"AAAAAGvtdFU=")</f>
        <v>#VALUE!</v>
      </c>
      <c r="CI349" t="e">
        <f>AND('POTENCIAL HORAS'!H250,"AAAAAGvtdFY=")</f>
        <v>#VALUE!</v>
      </c>
      <c r="CJ349" t="e">
        <f>AND('POTENCIAL HORAS'!I250,"AAAAAGvtdFc=")</f>
        <v>#VALUE!</v>
      </c>
      <c r="CK349" t="e">
        <f>AND('POTENCIAL HORAS'!J250,"AAAAAGvtdFg=")</f>
        <v>#VALUE!</v>
      </c>
      <c r="CL349" t="e">
        <f>AND('POTENCIAL HORAS'!K250,"AAAAAGvtdFk=")</f>
        <v>#VALUE!</v>
      </c>
      <c r="CM349" t="e">
        <f>AND('POTENCIAL HORAS'!L250,"AAAAAGvtdFo=")</f>
        <v>#VALUE!</v>
      </c>
      <c r="CN349" t="e">
        <f>AND('POTENCIAL HORAS'!M250,"AAAAAGvtdFs=")</f>
        <v>#VALUE!</v>
      </c>
      <c r="CO349" t="e">
        <f>AND('POTENCIAL HORAS'!N250,"AAAAAGvtdFw=")</f>
        <v>#VALUE!</v>
      </c>
      <c r="CP349" t="e">
        <f>AND('POTENCIAL HORAS'!O250,"AAAAAGvtdF0=")</f>
        <v>#VALUE!</v>
      </c>
      <c r="CQ349" t="e">
        <f>AND('POTENCIAL HORAS'!P250,"AAAAAGvtdF4=")</f>
        <v>#VALUE!</v>
      </c>
      <c r="CR349" t="e">
        <f>AND('POTENCIAL HORAS'!#REF!,"AAAAAGvtdF8=")</f>
        <v>#REF!</v>
      </c>
      <c r="CS349" t="e">
        <f>AND('POTENCIAL HORAS'!#REF!,"AAAAAGvtdGA=")</f>
        <v>#REF!</v>
      </c>
      <c r="CT349" t="e">
        <f>AND('POTENCIAL HORAS'!#REF!,"AAAAAGvtdGE=")</f>
        <v>#REF!</v>
      </c>
      <c r="CU349" t="e">
        <f>AND('POTENCIAL HORAS'!#REF!,"AAAAAGvtdGI=")</f>
        <v>#REF!</v>
      </c>
      <c r="CV349" t="e">
        <f>AND('POTENCIAL HORAS'!#REF!,"AAAAAGvtdGM=")</f>
        <v>#REF!</v>
      </c>
      <c r="CW349" t="e">
        <f>AND('POTENCIAL HORAS'!#REF!,"AAAAAGvtdGQ=")</f>
        <v>#REF!</v>
      </c>
      <c r="CX349" t="e">
        <f>AND('POTENCIAL HORAS'!#REF!,"AAAAAGvtdGU=")</f>
        <v>#REF!</v>
      </c>
      <c r="CY349" t="e">
        <f>AND('POTENCIAL HORAS'!#REF!,"AAAAAGvtdGY=")</f>
        <v>#REF!</v>
      </c>
      <c r="CZ349" t="e">
        <f>AND('POTENCIAL HORAS'!#REF!,"AAAAAGvtdGc=")</f>
        <v>#REF!</v>
      </c>
      <c r="DA349" t="e">
        <f>AND('POTENCIAL HORAS'!#REF!,"AAAAAGvtdGg=")</f>
        <v>#REF!</v>
      </c>
      <c r="DB349" t="e">
        <f>AND('POTENCIAL HORAS'!#REF!,"AAAAAGvtdGk=")</f>
        <v>#REF!</v>
      </c>
      <c r="DC349" t="e">
        <f>AND('POTENCIAL HORAS'!#REF!,"AAAAAGvtdGo=")</f>
        <v>#REF!</v>
      </c>
      <c r="DD349" t="e">
        <f>AND('POTENCIAL HORAS'!#REF!,"AAAAAGvtdGs=")</f>
        <v>#REF!</v>
      </c>
      <c r="DE349" t="e">
        <f>AND('POTENCIAL HORAS'!#REF!,"AAAAAGvtdGw=")</f>
        <v>#REF!</v>
      </c>
      <c r="DF349" t="e">
        <f>AND('POTENCIAL HORAS'!#REF!,"AAAAAGvtdG0=")</f>
        <v>#REF!</v>
      </c>
      <c r="DG349" t="e">
        <f>AND('POTENCIAL HORAS'!#REF!,"AAAAAGvtdG4=")</f>
        <v>#REF!</v>
      </c>
      <c r="DH349" t="e">
        <f>AND('POTENCIAL HORAS'!#REF!,"AAAAAGvtdG8=")</f>
        <v>#REF!</v>
      </c>
      <c r="DI349" t="e">
        <f>AND('POTENCIAL HORAS'!#REF!,"AAAAAGvtdHA=")</f>
        <v>#REF!</v>
      </c>
      <c r="DJ349" t="e">
        <f>AND('POTENCIAL HORAS'!#REF!,"AAAAAGvtdHE=")</f>
        <v>#REF!</v>
      </c>
      <c r="DK349" t="e">
        <f>AND('POTENCIAL HORAS'!#REF!,"AAAAAGvtdHI=")</f>
        <v>#REF!</v>
      </c>
      <c r="DL349" t="e">
        <f>AND('POTENCIAL HORAS'!Q250,"AAAAAGvtdHM=")</f>
        <v>#VALUE!</v>
      </c>
      <c r="DM349" t="e">
        <f>AND('POTENCIAL HORAS'!R250,"AAAAAGvtdHQ=")</f>
        <v>#VALUE!</v>
      </c>
      <c r="DN349">
        <f>IF('POTENCIAL HORAS'!251:251,"AAAAAGvtdHU=",0)</f>
        <v>0</v>
      </c>
      <c r="DO349" t="e">
        <f>AND('POTENCIAL HORAS'!A251,"AAAAAGvtdHY=")</f>
        <v>#VALUE!</v>
      </c>
      <c r="DP349" t="e">
        <f>AND('POTENCIAL HORAS'!B251,"AAAAAGvtdHc=")</f>
        <v>#VALUE!</v>
      </c>
      <c r="DQ349" t="e">
        <f>AND('POTENCIAL HORAS'!C251,"AAAAAGvtdHg=")</f>
        <v>#VALUE!</v>
      </c>
      <c r="DR349" t="e">
        <f>AND('POTENCIAL HORAS'!D251,"AAAAAGvtdHk=")</f>
        <v>#VALUE!</v>
      </c>
      <c r="DS349" t="e">
        <f>AND('POTENCIAL HORAS'!E251,"AAAAAGvtdHo=")</f>
        <v>#VALUE!</v>
      </c>
      <c r="DT349" t="e">
        <f>AND('POTENCIAL HORAS'!F251,"AAAAAGvtdHs=")</f>
        <v>#VALUE!</v>
      </c>
      <c r="DU349" t="e">
        <f>AND('POTENCIAL HORAS'!G251,"AAAAAGvtdHw=")</f>
        <v>#VALUE!</v>
      </c>
      <c r="DV349" t="e">
        <f>AND('POTENCIAL HORAS'!H251,"AAAAAGvtdH0=")</f>
        <v>#VALUE!</v>
      </c>
      <c r="DW349" t="e">
        <f>AND('POTENCIAL HORAS'!I251,"AAAAAGvtdH4=")</f>
        <v>#VALUE!</v>
      </c>
      <c r="DX349" t="e">
        <f>AND('POTENCIAL HORAS'!J251,"AAAAAGvtdH8=")</f>
        <v>#VALUE!</v>
      </c>
      <c r="DY349" t="e">
        <f>AND('POTENCIAL HORAS'!K251,"AAAAAGvtdIA=")</f>
        <v>#VALUE!</v>
      </c>
      <c r="DZ349" t="e">
        <f>AND('POTENCIAL HORAS'!L251,"AAAAAGvtdIE=")</f>
        <v>#VALUE!</v>
      </c>
      <c r="EA349" t="e">
        <f>AND('POTENCIAL HORAS'!M251,"AAAAAGvtdII=")</f>
        <v>#VALUE!</v>
      </c>
      <c r="EB349" t="e">
        <f>AND('POTENCIAL HORAS'!N251,"AAAAAGvtdIM=")</f>
        <v>#VALUE!</v>
      </c>
      <c r="EC349" t="e">
        <f>AND('POTENCIAL HORAS'!O251,"AAAAAGvtdIQ=")</f>
        <v>#VALUE!</v>
      </c>
      <c r="ED349" t="e">
        <f>AND('POTENCIAL HORAS'!P251,"AAAAAGvtdIU=")</f>
        <v>#VALUE!</v>
      </c>
      <c r="EE349" t="e">
        <f>AND('POTENCIAL HORAS'!#REF!,"AAAAAGvtdIY=")</f>
        <v>#REF!</v>
      </c>
      <c r="EF349" t="e">
        <f>AND('POTENCIAL HORAS'!#REF!,"AAAAAGvtdIc=")</f>
        <v>#REF!</v>
      </c>
      <c r="EG349" t="e">
        <f>AND('POTENCIAL HORAS'!#REF!,"AAAAAGvtdIg=")</f>
        <v>#REF!</v>
      </c>
      <c r="EH349" t="e">
        <f>AND('POTENCIAL HORAS'!#REF!,"AAAAAGvtdIk=")</f>
        <v>#REF!</v>
      </c>
      <c r="EI349" t="e">
        <f>AND('POTENCIAL HORAS'!#REF!,"AAAAAGvtdIo=")</f>
        <v>#REF!</v>
      </c>
      <c r="EJ349" t="e">
        <f>AND('POTENCIAL HORAS'!#REF!,"AAAAAGvtdIs=")</f>
        <v>#REF!</v>
      </c>
      <c r="EK349" t="e">
        <f>AND('POTENCIAL HORAS'!#REF!,"AAAAAGvtdIw=")</f>
        <v>#REF!</v>
      </c>
      <c r="EL349" t="e">
        <f>AND('POTENCIAL HORAS'!#REF!,"AAAAAGvtdI0=")</f>
        <v>#REF!</v>
      </c>
      <c r="EM349" t="e">
        <f>AND('POTENCIAL HORAS'!#REF!,"AAAAAGvtdI4=")</f>
        <v>#REF!</v>
      </c>
      <c r="EN349" t="e">
        <f>AND('POTENCIAL HORAS'!#REF!,"AAAAAGvtdI8=")</f>
        <v>#REF!</v>
      </c>
      <c r="EO349" t="e">
        <f>AND('POTENCIAL HORAS'!#REF!,"AAAAAGvtdJA=")</f>
        <v>#REF!</v>
      </c>
      <c r="EP349" t="e">
        <f>AND('POTENCIAL HORAS'!#REF!,"AAAAAGvtdJE=")</f>
        <v>#REF!</v>
      </c>
      <c r="EQ349" t="e">
        <f>AND('POTENCIAL HORAS'!#REF!,"AAAAAGvtdJI=")</f>
        <v>#REF!</v>
      </c>
      <c r="ER349" t="e">
        <f>AND('POTENCIAL HORAS'!#REF!,"AAAAAGvtdJM=")</f>
        <v>#REF!</v>
      </c>
      <c r="ES349" t="e">
        <f>AND('POTENCIAL HORAS'!#REF!,"AAAAAGvtdJQ=")</f>
        <v>#REF!</v>
      </c>
      <c r="ET349" t="e">
        <f>AND('POTENCIAL HORAS'!#REF!,"AAAAAGvtdJU=")</f>
        <v>#REF!</v>
      </c>
      <c r="EU349" t="e">
        <f>AND('POTENCIAL HORAS'!#REF!,"AAAAAGvtdJY=")</f>
        <v>#REF!</v>
      </c>
      <c r="EV349" t="e">
        <f>AND('POTENCIAL HORAS'!#REF!,"AAAAAGvtdJc=")</f>
        <v>#REF!</v>
      </c>
      <c r="EW349" t="e">
        <f>AND('POTENCIAL HORAS'!#REF!,"AAAAAGvtdJg=")</f>
        <v>#REF!</v>
      </c>
      <c r="EX349" t="e">
        <f>AND('POTENCIAL HORAS'!#REF!,"AAAAAGvtdJk=")</f>
        <v>#REF!</v>
      </c>
      <c r="EY349" t="e">
        <f>AND('POTENCIAL HORAS'!Q251,"AAAAAGvtdJo=")</f>
        <v>#VALUE!</v>
      </c>
      <c r="EZ349" t="e">
        <f>AND('POTENCIAL HORAS'!R251,"AAAAAGvtdJs=")</f>
        <v>#VALUE!</v>
      </c>
      <c r="FA349">
        <f>IF('POTENCIAL HORAS'!298:298,"AAAAAGvtdJw=",0)</f>
        <v>0</v>
      </c>
      <c r="FB349" t="e">
        <f>AND('POTENCIAL HORAS'!A298,"AAAAAGvtdJ0=")</f>
        <v>#VALUE!</v>
      </c>
      <c r="FC349" t="e">
        <f>AND('POTENCIAL HORAS'!B298,"AAAAAGvtdJ4=")</f>
        <v>#VALUE!</v>
      </c>
      <c r="FD349" t="e">
        <f>AND('POTENCIAL HORAS'!C298,"AAAAAGvtdJ8=")</f>
        <v>#VALUE!</v>
      </c>
      <c r="FE349" t="e">
        <f>AND('POTENCIAL HORAS'!D298,"AAAAAGvtdKA=")</f>
        <v>#VALUE!</v>
      </c>
      <c r="FF349" t="e">
        <f>AND('POTENCIAL HORAS'!E298,"AAAAAGvtdKE=")</f>
        <v>#VALUE!</v>
      </c>
      <c r="FG349" t="e">
        <f>AND('POTENCIAL HORAS'!F298,"AAAAAGvtdKI=")</f>
        <v>#VALUE!</v>
      </c>
      <c r="FH349" t="e">
        <f>AND('POTENCIAL HORAS'!G298,"AAAAAGvtdKM=")</f>
        <v>#VALUE!</v>
      </c>
      <c r="FI349" t="e">
        <f>AND('POTENCIAL HORAS'!H298,"AAAAAGvtdKQ=")</f>
        <v>#VALUE!</v>
      </c>
      <c r="FJ349" t="e">
        <f>AND('POTENCIAL HORAS'!I298,"AAAAAGvtdKU=")</f>
        <v>#VALUE!</v>
      </c>
      <c r="FK349" t="e">
        <f>AND('POTENCIAL HORAS'!J298,"AAAAAGvtdKY=")</f>
        <v>#VALUE!</v>
      </c>
      <c r="FL349" t="e">
        <f>AND('POTENCIAL HORAS'!K298,"AAAAAGvtdKc=")</f>
        <v>#VALUE!</v>
      </c>
      <c r="FM349" t="e">
        <f>AND('POTENCIAL HORAS'!L298,"AAAAAGvtdKg=")</f>
        <v>#VALUE!</v>
      </c>
      <c r="FN349" t="e">
        <f>AND('POTENCIAL HORAS'!M298,"AAAAAGvtdKk=")</f>
        <v>#VALUE!</v>
      </c>
      <c r="FO349" t="e">
        <f>AND('POTENCIAL HORAS'!N298,"AAAAAGvtdKo=")</f>
        <v>#VALUE!</v>
      </c>
      <c r="FP349" t="e">
        <f>AND('POTENCIAL HORAS'!O298,"AAAAAGvtdKs=")</f>
        <v>#VALUE!</v>
      </c>
      <c r="FQ349" t="e">
        <f>AND('POTENCIAL HORAS'!P298,"AAAAAGvtdKw=")</f>
        <v>#VALUE!</v>
      </c>
      <c r="FR349" t="e">
        <f>AND('POTENCIAL HORAS'!#REF!,"AAAAAGvtdK0=")</f>
        <v>#REF!</v>
      </c>
      <c r="FS349" t="e">
        <f>AND('POTENCIAL HORAS'!#REF!,"AAAAAGvtdK4=")</f>
        <v>#REF!</v>
      </c>
      <c r="FT349" t="e">
        <f>AND('POTENCIAL HORAS'!#REF!,"AAAAAGvtdK8=")</f>
        <v>#REF!</v>
      </c>
      <c r="FU349" t="e">
        <f>AND('POTENCIAL HORAS'!#REF!,"AAAAAGvtdLA=")</f>
        <v>#REF!</v>
      </c>
      <c r="FV349" t="e">
        <f>AND('POTENCIAL HORAS'!#REF!,"AAAAAGvtdLE=")</f>
        <v>#REF!</v>
      </c>
      <c r="FW349" t="e">
        <f>AND('POTENCIAL HORAS'!#REF!,"AAAAAGvtdLI=")</f>
        <v>#REF!</v>
      </c>
      <c r="FX349" t="e">
        <f>AND('POTENCIAL HORAS'!#REF!,"AAAAAGvtdLM=")</f>
        <v>#REF!</v>
      </c>
      <c r="FY349" t="e">
        <f>AND('POTENCIAL HORAS'!#REF!,"AAAAAGvtdLQ=")</f>
        <v>#REF!</v>
      </c>
      <c r="FZ349" t="e">
        <f>AND('POTENCIAL HORAS'!#REF!,"AAAAAGvtdLU=")</f>
        <v>#REF!</v>
      </c>
      <c r="GA349" t="e">
        <f>AND('POTENCIAL HORAS'!#REF!,"AAAAAGvtdLY=")</f>
        <v>#REF!</v>
      </c>
      <c r="GB349" t="e">
        <f>AND('POTENCIAL HORAS'!#REF!,"AAAAAGvtdLc=")</f>
        <v>#REF!</v>
      </c>
      <c r="GC349" t="e">
        <f>AND('POTENCIAL HORAS'!#REF!,"AAAAAGvtdLg=")</f>
        <v>#REF!</v>
      </c>
      <c r="GD349" t="e">
        <f>AND('POTENCIAL HORAS'!#REF!,"AAAAAGvtdLk=")</f>
        <v>#REF!</v>
      </c>
      <c r="GE349" t="e">
        <f>AND('POTENCIAL HORAS'!#REF!,"AAAAAGvtdLo=")</f>
        <v>#REF!</v>
      </c>
      <c r="GF349" t="e">
        <f>AND('POTENCIAL HORAS'!#REF!,"AAAAAGvtdLs=")</f>
        <v>#REF!</v>
      </c>
      <c r="GG349" t="e">
        <f>AND('POTENCIAL HORAS'!#REF!,"AAAAAGvtdLw=")</f>
        <v>#REF!</v>
      </c>
      <c r="GH349" t="e">
        <f>AND('POTENCIAL HORAS'!#REF!,"AAAAAGvtdL0=")</f>
        <v>#REF!</v>
      </c>
      <c r="GI349" t="e">
        <f>AND('POTENCIAL HORAS'!#REF!,"AAAAAGvtdL4=")</f>
        <v>#REF!</v>
      </c>
      <c r="GJ349" t="e">
        <f>AND('POTENCIAL HORAS'!#REF!,"AAAAAGvtdL8=")</f>
        <v>#REF!</v>
      </c>
      <c r="GK349" t="e">
        <f>AND('POTENCIAL HORAS'!#REF!,"AAAAAGvtdMA=")</f>
        <v>#REF!</v>
      </c>
      <c r="GL349" t="e">
        <f>AND('POTENCIAL HORAS'!Q298,"AAAAAGvtdME=")</f>
        <v>#VALUE!</v>
      </c>
      <c r="GM349" t="e">
        <f>AND('POTENCIAL HORAS'!R298,"AAAAAGvtdMI=")</f>
        <v>#VALUE!</v>
      </c>
      <c r="GN349" t="e">
        <f>IF('POTENCIAL HORAS'!#REF!,"AAAAAGvtdMM=",0)</f>
        <v>#REF!</v>
      </c>
      <c r="GO349" t="e">
        <f>AND('POTENCIAL HORAS'!#REF!,"AAAAAGvtdMQ=")</f>
        <v>#REF!</v>
      </c>
      <c r="GP349" t="e">
        <f>AND('POTENCIAL HORAS'!#REF!,"AAAAAGvtdMU=")</f>
        <v>#REF!</v>
      </c>
      <c r="GQ349" t="e">
        <f>AND('POTENCIAL HORAS'!#REF!,"AAAAAGvtdMY=")</f>
        <v>#REF!</v>
      </c>
      <c r="GR349" t="e">
        <f>AND('POTENCIAL HORAS'!#REF!,"AAAAAGvtdMc=")</f>
        <v>#REF!</v>
      </c>
      <c r="GS349" t="e">
        <f>AND('POTENCIAL HORAS'!#REF!,"AAAAAGvtdMg=")</f>
        <v>#REF!</v>
      </c>
      <c r="GT349" t="e">
        <f>AND('POTENCIAL HORAS'!#REF!,"AAAAAGvtdMk=")</f>
        <v>#REF!</v>
      </c>
      <c r="GU349" t="e">
        <f>AND('POTENCIAL HORAS'!#REF!,"AAAAAGvtdMo=")</f>
        <v>#REF!</v>
      </c>
      <c r="GV349" t="e">
        <f>AND('POTENCIAL HORAS'!#REF!,"AAAAAGvtdMs=")</f>
        <v>#REF!</v>
      </c>
      <c r="GW349" t="e">
        <f>AND('POTENCIAL HORAS'!#REF!,"AAAAAGvtdMw=")</f>
        <v>#REF!</v>
      </c>
      <c r="GX349" t="e">
        <f>AND('POTENCIAL HORAS'!#REF!,"AAAAAGvtdM0=")</f>
        <v>#REF!</v>
      </c>
      <c r="GY349" t="e">
        <f>AND('POTENCIAL HORAS'!#REF!,"AAAAAGvtdM4=")</f>
        <v>#REF!</v>
      </c>
      <c r="GZ349" t="e">
        <f>AND('POTENCIAL HORAS'!#REF!,"AAAAAGvtdM8=")</f>
        <v>#REF!</v>
      </c>
      <c r="HA349" t="e">
        <f>AND('POTENCIAL HORAS'!#REF!,"AAAAAGvtdNA=")</f>
        <v>#REF!</v>
      </c>
      <c r="HB349" t="e">
        <f>AND('POTENCIAL HORAS'!#REF!,"AAAAAGvtdNE=")</f>
        <v>#REF!</v>
      </c>
      <c r="HC349" t="e">
        <f>AND('POTENCIAL HORAS'!#REF!,"AAAAAGvtdNI=")</f>
        <v>#REF!</v>
      </c>
      <c r="HD349" t="e">
        <f>AND('POTENCIAL HORAS'!#REF!,"AAAAAGvtdNM=")</f>
        <v>#REF!</v>
      </c>
      <c r="HE349" t="e">
        <f>AND('POTENCIAL HORAS'!#REF!,"AAAAAGvtdNQ=")</f>
        <v>#REF!</v>
      </c>
      <c r="HF349" t="e">
        <f>AND('POTENCIAL HORAS'!#REF!,"AAAAAGvtdNU=")</f>
        <v>#REF!</v>
      </c>
      <c r="HG349" t="e">
        <f>AND('POTENCIAL HORAS'!#REF!,"AAAAAGvtdNY=")</f>
        <v>#REF!</v>
      </c>
      <c r="HH349" t="e">
        <f>AND('POTENCIAL HORAS'!#REF!,"AAAAAGvtdNc=")</f>
        <v>#REF!</v>
      </c>
      <c r="HI349" t="e">
        <f>AND('POTENCIAL HORAS'!#REF!,"AAAAAGvtdNg=")</f>
        <v>#REF!</v>
      </c>
      <c r="HJ349" t="e">
        <f>AND('POTENCIAL HORAS'!#REF!,"AAAAAGvtdNk=")</f>
        <v>#REF!</v>
      </c>
      <c r="HK349" t="e">
        <f>AND('POTENCIAL HORAS'!#REF!,"AAAAAGvtdNo=")</f>
        <v>#REF!</v>
      </c>
      <c r="HL349" t="e">
        <f>AND('POTENCIAL HORAS'!#REF!,"AAAAAGvtdNs=")</f>
        <v>#REF!</v>
      </c>
      <c r="HM349" t="e">
        <f>AND('POTENCIAL HORAS'!#REF!,"AAAAAGvtdNw=")</f>
        <v>#REF!</v>
      </c>
      <c r="HN349" t="e">
        <f>AND('POTENCIAL HORAS'!#REF!,"AAAAAGvtdN0=")</f>
        <v>#REF!</v>
      </c>
      <c r="HO349" t="e">
        <f>AND('POTENCIAL HORAS'!#REF!,"AAAAAGvtdN4=")</f>
        <v>#REF!</v>
      </c>
      <c r="HP349" t="e">
        <f>AND('POTENCIAL HORAS'!#REF!,"AAAAAGvtdN8=")</f>
        <v>#REF!</v>
      </c>
      <c r="HQ349" t="e">
        <f>AND('POTENCIAL HORAS'!#REF!,"AAAAAGvtdOA=")</f>
        <v>#REF!</v>
      </c>
      <c r="HR349" t="e">
        <f>AND('POTENCIAL HORAS'!#REF!,"AAAAAGvtdOE=")</f>
        <v>#REF!</v>
      </c>
      <c r="HS349" t="e">
        <f>AND('POTENCIAL HORAS'!#REF!,"AAAAAGvtdOI=")</f>
        <v>#REF!</v>
      </c>
      <c r="HT349" t="e">
        <f>AND('POTENCIAL HORAS'!#REF!,"AAAAAGvtdOM=")</f>
        <v>#REF!</v>
      </c>
      <c r="HU349" t="e">
        <f>AND('POTENCIAL HORAS'!#REF!,"AAAAAGvtdOQ=")</f>
        <v>#REF!</v>
      </c>
      <c r="HV349" t="e">
        <f>AND('POTENCIAL HORAS'!#REF!,"AAAAAGvtdOU=")</f>
        <v>#REF!</v>
      </c>
      <c r="HW349" t="e">
        <f>AND('POTENCIAL HORAS'!#REF!,"AAAAAGvtdOY=")</f>
        <v>#REF!</v>
      </c>
      <c r="HX349" t="e">
        <f>AND('POTENCIAL HORAS'!#REF!,"AAAAAGvtdOc=")</f>
        <v>#REF!</v>
      </c>
      <c r="HY349" t="e">
        <f>AND('POTENCIAL HORAS'!#REF!,"AAAAAGvtdOg=")</f>
        <v>#REF!</v>
      </c>
      <c r="HZ349" t="e">
        <f>AND('POTENCIAL HORAS'!#REF!,"AAAAAGvtdOk=")</f>
        <v>#REF!</v>
      </c>
      <c r="IA349">
        <f>IF('POTENCIAL HORAS'!299:299,"AAAAAGvtdOo=",0)</f>
        <v>0</v>
      </c>
      <c r="IB349" t="e">
        <f>AND('POTENCIAL HORAS'!A299,"AAAAAGvtdOs=")</f>
        <v>#VALUE!</v>
      </c>
      <c r="IC349" t="e">
        <f>AND('POTENCIAL HORAS'!B299,"AAAAAGvtdOw=")</f>
        <v>#VALUE!</v>
      </c>
      <c r="ID349" t="e">
        <f>AND('POTENCIAL HORAS'!C299,"AAAAAGvtdO0=")</f>
        <v>#VALUE!</v>
      </c>
      <c r="IE349" t="e">
        <f>AND('POTENCIAL HORAS'!D299,"AAAAAGvtdO4=")</f>
        <v>#VALUE!</v>
      </c>
      <c r="IF349" t="e">
        <f>AND('POTENCIAL HORAS'!E299,"AAAAAGvtdO8=")</f>
        <v>#VALUE!</v>
      </c>
      <c r="IG349" t="e">
        <f>AND('POTENCIAL HORAS'!F299,"AAAAAGvtdPA=")</f>
        <v>#VALUE!</v>
      </c>
      <c r="IH349" t="e">
        <f>AND('POTENCIAL HORAS'!G299,"AAAAAGvtdPE=")</f>
        <v>#VALUE!</v>
      </c>
      <c r="II349" t="e">
        <f>AND('POTENCIAL HORAS'!H299,"AAAAAGvtdPI=")</f>
        <v>#VALUE!</v>
      </c>
      <c r="IJ349" t="e">
        <f>AND('POTENCIAL HORAS'!I299,"AAAAAGvtdPM=")</f>
        <v>#VALUE!</v>
      </c>
      <c r="IK349" t="e">
        <f>AND('POTENCIAL HORAS'!J299,"AAAAAGvtdPQ=")</f>
        <v>#VALUE!</v>
      </c>
      <c r="IL349" t="e">
        <f>AND('POTENCIAL HORAS'!K299,"AAAAAGvtdPU=")</f>
        <v>#VALUE!</v>
      </c>
      <c r="IM349" t="e">
        <f>AND('POTENCIAL HORAS'!L299,"AAAAAGvtdPY=")</f>
        <v>#VALUE!</v>
      </c>
      <c r="IN349" t="e">
        <f>AND('POTENCIAL HORAS'!M299,"AAAAAGvtdPc=")</f>
        <v>#VALUE!</v>
      </c>
      <c r="IO349" t="e">
        <f>AND('POTENCIAL HORAS'!N299,"AAAAAGvtdPg=")</f>
        <v>#VALUE!</v>
      </c>
      <c r="IP349" t="e">
        <f>AND('POTENCIAL HORAS'!O299,"AAAAAGvtdPk=")</f>
        <v>#VALUE!</v>
      </c>
      <c r="IQ349" t="e">
        <f>AND('POTENCIAL HORAS'!P299,"AAAAAGvtdPo=")</f>
        <v>#VALUE!</v>
      </c>
      <c r="IR349" t="e">
        <f>AND('POTENCIAL HORAS'!#REF!,"AAAAAGvtdPs=")</f>
        <v>#REF!</v>
      </c>
      <c r="IS349" t="e">
        <f>AND('POTENCIAL HORAS'!#REF!,"AAAAAGvtdPw=")</f>
        <v>#REF!</v>
      </c>
      <c r="IT349" t="e">
        <f>AND('POTENCIAL HORAS'!#REF!,"AAAAAGvtdP0=")</f>
        <v>#REF!</v>
      </c>
      <c r="IU349" t="e">
        <f>AND('POTENCIAL HORAS'!#REF!,"AAAAAGvtdP4=")</f>
        <v>#REF!</v>
      </c>
      <c r="IV349" t="e">
        <f>AND('POTENCIAL HORAS'!#REF!,"AAAAAGvtdP8=")</f>
        <v>#REF!</v>
      </c>
    </row>
    <row r="350" spans="1:256" x14ac:dyDescent="0.2">
      <c r="A350" t="e">
        <f>AND('POTENCIAL HORAS'!#REF!,"AAAAAH1d3gA=")</f>
        <v>#REF!</v>
      </c>
      <c r="B350" t="e">
        <f>AND('POTENCIAL HORAS'!#REF!,"AAAAAH1d3gE=")</f>
        <v>#REF!</v>
      </c>
      <c r="C350" t="e">
        <f>AND('POTENCIAL HORAS'!#REF!,"AAAAAH1d3gI=")</f>
        <v>#REF!</v>
      </c>
      <c r="D350" t="e">
        <f>AND('POTENCIAL HORAS'!#REF!,"AAAAAH1d3gM=")</f>
        <v>#REF!</v>
      </c>
      <c r="E350" t="e">
        <f>AND('POTENCIAL HORAS'!#REF!,"AAAAAH1d3gQ=")</f>
        <v>#REF!</v>
      </c>
      <c r="F350" t="e">
        <f>AND('POTENCIAL HORAS'!#REF!,"AAAAAH1d3gU=")</f>
        <v>#REF!</v>
      </c>
      <c r="G350" t="e">
        <f>AND('POTENCIAL HORAS'!#REF!,"AAAAAH1d3gY=")</f>
        <v>#REF!</v>
      </c>
      <c r="H350" t="e">
        <f>AND('POTENCIAL HORAS'!#REF!,"AAAAAH1d3gc=")</f>
        <v>#REF!</v>
      </c>
      <c r="I350" t="e">
        <f>AND('POTENCIAL HORAS'!#REF!,"AAAAAH1d3gg=")</f>
        <v>#REF!</v>
      </c>
      <c r="J350" t="e">
        <f>AND('POTENCIAL HORAS'!#REF!,"AAAAAH1d3gk=")</f>
        <v>#REF!</v>
      </c>
      <c r="K350" t="e">
        <f>AND('POTENCIAL HORAS'!#REF!,"AAAAAH1d3go=")</f>
        <v>#REF!</v>
      </c>
      <c r="L350" t="e">
        <f>AND('POTENCIAL HORAS'!#REF!,"AAAAAH1d3gs=")</f>
        <v>#REF!</v>
      </c>
      <c r="M350" t="e">
        <f>AND('POTENCIAL HORAS'!#REF!,"AAAAAH1d3gw=")</f>
        <v>#REF!</v>
      </c>
      <c r="N350" t="e">
        <f>AND('POTENCIAL HORAS'!#REF!,"AAAAAH1d3g0=")</f>
        <v>#REF!</v>
      </c>
      <c r="O350" t="e">
        <f>AND('POTENCIAL HORAS'!#REF!,"AAAAAH1d3g4=")</f>
        <v>#REF!</v>
      </c>
      <c r="P350" t="e">
        <f>AND('POTENCIAL HORAS'!Q299,"AAAAAH1d3g8=")</f>
        <v>#VALUE!</v>
      </c>
      <c r="Q350" t="e">
        <f>AND('POTENCIAL HORAS'!R299,"AAAAAH1d3hA=")</f>
        <v>#VALUE!</v>
      </c>
      <c r="R350">
        <f>IF('POTENCIAL HORAS'!300:300,"AAAAAH1d3hE=",0)</f>
        <v>0</v>
      </c>
      <c r="S350" t="e">
        <f>AND('POTENCIAL HORAS'!A300,"AAAAAH1d3hI=")</f>
        <v>#VALUE!</v>
      </c>
      <c r="T350" t="e">
        <f>AND('POTENCIAL HORAS'!B300,"AAAAAH1d3hM=")</f>
        <v>#VALUE!</v>
      </c>
      <c r="U350" t="e">
        <f>AND('POTENCIAL HORAS'!C300,"AAAAAH1d3hQ=")</f>
        <v>#VALUE!</v>
      </c>
      <c r="V350" t="e">
        <f>AND('POTENCIAL HORAS'!D300,"AAAAAH1d3hU=")</f>
        <v>#VALUE!</v>
      </c>
      <c r="W350" t="e">
        <f>AND('POTENCIAL HORAS'!E300,"AAAAAH1d3hY=")</f>
        <v>#VALUE!</v>
      </c>
      <c r="X350" t="e">
        <f>AND('POTENCIAL HORAS'!F300,"AAAAAH1d3hc=")</f>
        <v>#VALUE!</v>
      </c>
      <c r="Y350" t="e">
        <f>AND('POTENCIAL HORAS'!G300,"AAAAAH1d3hg=")</f>
        <v>#VALUE!</v>
      </c>
      <c r="Z350" t="e">
        <f>AND('POTENCIAL HORAS'!H300,"AAAAAH1d3hk=")</f>
        <v>#VALUE!</v>
      </c>
      <c r="AA350" t="e">
        <f>AND('POTENCIAL HORAS'!I300,"AAAAAH1d3ho=")</f>
        <v>#VALUE!</v>
      </c>
      <c r="AB350" t="e">
        <f>AND('POTENCIAL HORAS'!J300,"AAAAAH1d3hs=")</f>
        <v>#VALUE!</v>
      </c>
      <c r="AC350" t="e">
        <f>AND('POTENCIAL HORAS'!K300,"AAAAAH1d3hw=")</f>
        <v>#VALUE!</v>
      </c>
      <c r="AD350" t="e">
        <f>AND('POTENCIAL HORAS'!L300,"AAAAAH1d3h0=")</f>
        <v>#VALUE!</v>
      </c>
      <c r="AE350" t="e">
        <f>AND('POTENCIAL HORAS'!M300,"AAAAAH1d3h4=")</f>
        <v>#VALUE!</v>
      </c>
      <c r="AF350" t="e">
        <f>AND('POTENCIAL HORAS'!N300,"AAAAAH1d3h8=")</f>
        <v>#VALUE!</v>
      </c>
      <c r="AG350" t="e">
        <f>AND('POTENCIAL HORAS'!O300,"AAAAAH1d3iA=")</f>
        <v>#VALUE!</v>
      </c>
      <c r="AH350" t="e">
        <f>AND('POTENCIAL HORAS'!P300,"AAAAAH1d3iE=")</f>
        <v>#VALUE!</v>
      </c>
      <c r="AI350" t="e">
        <f>AND('POTENCIAL HORAS'!#REF!,"AAAAAH1d3iI=")</f>
        <v>#REF!</v>
      </c>
      <c r="AJ350" t="e">
        <f>AND('POTENCIAL HORAS'!#REF!,"AAAAAH1d3iM=")</f>
        <v>#REF!</v>
      </c>
      <c r="AK350" t="e">
        <f>AND('POTENCIAL HORAS'!#REF!,"AAAAAH1d3iQ=")</f>
        <v>#REF!</v>
      </c>
      <c r="AL350" t="e">
        <f>AND('POTENCIAL HORAS'!#REF!,"AAAAAH1d3iU=")</f>
        <v>#REF!</v>
      </c>
      <c r="AM350" t="e">
        <f>AND('POTENCIAL HORAS'!#REF!,"AAAAAH1d3iY=")</f>
        <v>#REF!</v>
      </c>
      <c r="AN350" t="e">
        <f>AND('POTENCIAL HORAS'!#REF!,"AAAAAH1d3ic=")</f>
        <v>#REF!</v>
      </c>
      <c r="AO350" t="e">
        <f>AND('POTENCIAL HORAS'!#REF!,"AAAAAH1d3ig=")</f>
        <v>#REF!</v>
      </c>
      <c r="AP350" t="e">
        <f>AND('POTENCIAL HORAS'!#REF!,"AAAAAH1d3ik=")</f>
        <v>#REF!</v>
      </c>
      <c r="AQ350" t="e">
        <f>AND('POTENCIAL HORAS'!#REF!,"AAAAAH1d3io=")</f>
        <v>#REF!</v>
      </c>
      <c r="AR350" t="e">
        <f>AND('POTENCIAL HORAS'!#REF!,"AAAAAH1d3is=")</f>
        <v>#REF!</v>
      </c>
      <c r="AS350" t="e">
        <f>AND('POTENCIAL HORAS'!#REF!,"AAAAAH1d3iw=")</f>
        <v>#REF!</v>
      </c>
      <c r="AT350" t="e">
        <f>AND('POTENCIAL HORAS'!#REF!,"AAAAAH1d3i0=")</f>
        <v>#REF!</v>
      </c>
      <c r="AU350" t="e">
        <f>AND('POTENCIAL HORAS'!#REF!,"AAAAAH1d3i4=")</f>
        <v>#REF!</v>
      </c>
      <c r="AV350" t="e">
        <f>AND('POTENCIAL HORAS'!#REF!,"AAAAAH1d3i8=")</f>
        <v>#REF!</v>
      </c>
      <c r="AW350" t="e">
        <f>AND('POTENCIAL HORAS'!#REF!,"AAAAAH1d3jA=")</f>
        <v>#REF!</v>
      </c>
      <c r="AX350" t="e">
        <f>AND('POTENCIAL HORAS'!#REF!,"AAAAAH1d3jE=")</f>
        <v>#REF!</v>
      </c>
      <c r="AY350" t="e">
        <f>AND('POTENCIAL HORAS'!#REF!,"AAAAAH1d3jI=")</f>
        <v>#REF!</v>
      </c>
      <c r="AZ350" t="e">
        <f>AND('POTENCIAL HORAS'!#REF!,"AAAAAH1d3jM=")</f>
        <v>#REF!</v>
      </c>
      <c r="BA350" t="e">
        <f>AND('POTENCIAL HORAS'!#REF!,"AAAAAH1d3jQ=")</f>
        <v>#REF!</v>
      </c>
      <c r="BB350" t="e">
        <f>AND('POTENCIAL HORAS'!#REF!,"AAAAAH1d3jU=")</f>
        <v>#REF!</v>
      </c>
      <c r="BC350" t="e">
        <f>AND('POTENCIAL HORAS'!Q300,"AAAAAH1d3jY=")</f>
        <v>#VALUE!</v>
      </c>
      <c r="BD350" t="e">
        <f>AND('POTENCIAL HORAS'!R300,"AAAAAH1d3jc=")</f>
        <v>#VALUE!</v>
      </c>
      <c r="BE350">
        <f>IF('POTENCIAL HORAS'!319:319,"AAAAAH1d3jg=",0)</f>
        <v>0</v>
      </c>
      <c r="BF350" t="e">
        <f>AND('POTENCIAL HORAS'!A319,"AAAAAH1d3jk=")</f>
        <v>#VALUE!</v>
      </c>
      <c r="BG350" t="e">
        <f>AND('POTENCIAL HORAS'!B319,"AAAAAH1d3jo=")</f>
        <v>#VALUE!</v>
      </c>
      <c r="BH350" t="e">
        <f>AND('POTENCIAL HORAS'!C319,"AAAAAH1d3js=")</f>
        <v>#VALUE!</v>
      </c>
      <c r="BI350" t="e">
        <f>AND('POTENCIAL HORAS'!D319,"AAAAAH1d3jw=")</f>
        <v>#VALUE!</v>
      </c>
      <c r="BJ350" t="e">
        <f>AND('POTENCIAL HORAS'!E319,"AAAAAH1d3j0=")</f>
        <v>#VALUE!</v>
      </c>
      <c r="BK350" t="e">
        <f>AND('POTENCIAL HORAS'!F319,"AAAAAH1d3j4=")</f>
        <v>#VALUE!</v>
      </c>
      <c r="BL350" t="e">
        <f>AND('POTENCIAL HORAS'!G319,"AAAAAH1d3j8=")</f>
        <v>#VALUE!</v>
      </c>
      <c r="BM350" t="e">
        <f>AND('POTENCIAL HORAS'!H319,"AAAAAH1d3kA=")</f>
        <v>#VALUE!</v>
      </c>
      <c r="BN350" t="e">
        <f>AND('POTENCIAL HORAS'!I319,"AAAAAH1d3kE=")</f>
        <v>#VALUE!</v>
      </c>
      <c r="BO350" t="e">
        <f>AND('POTENCIAL HORAS'!J319,"AAAAAH1d3kI=")</f>
        <v>#VALUE!</v>
      </c>
      <c r="BP350" t="e">
        <f>AND('POTENCIAL HORAS'!K319,"AAAAAH1d3kM=")</f>
        <v>#VALUE!</v>
      </c>
      <c r="BQ350" t="e">
        <f>AND('POTENCIAL HORAS'!L319,"AAAAAH1d3kQ=")</f>
        <v>#VALUE!</v>
      </c>
      <c r="BR350" t="e">
        <f>AND('POTENCIAL HORAS'!M319,"AAAAAH1d3kU=")</f>
        <v>#VALUE!</v>
      </c>
      <c r="BS350" t="e">
        <f>AND('POTENCIAL HORAS'!N319,"AAAAAH1d3kY=")</f>
        <v>#VALUE!</v>
      </c>
      <c r="BT350" t="e">
        <f>AND('POTENCIAL HORAS'!O319,"AAAAAH1d3kc=")</f>
        <v>#VALUE!</v>
      </c>
      <c r="BU350" t="e">
        <f>AND('POTENCIAL HORAS'!P319,"AAAAAH1d3kg=")</f>
        <v>#VALUE!</v>
      </c>
      <c r="BV350" t="e">
        <f>AND('POTENCIAL HORAS'!#REF!,"AAAAAH1d3kk=")</f>
        <v>#REF!</v>
      </c>
      <c r="BW350" t="e">
        <f>AND('POTENCIAL HORAS'!#REF!,"AAAAAH1d3ko=")</f>
        <v>#REF!</v>
      </c>
      <c r="BX350" t="e">
        <f>AND('POTENCIAL HORAS'!#REF!,"AAAAAH1d3ks=")</f>
        <v>#REF!</v>
      </c>
      <c r="BY350" t="e">
        <f>AND('POTENCIAL HORAS'!#REF!,"AAAAAH1d3kw=")</f>
        <v>#REF!</v>
      </c>
      <c r="BZ350" t="e">
        <f>AND('POTENCIAL HORAS'!#REF!,"AAAAAH1d3k0=")</f>
        <v>#REF!</v>
      </c>
      <c r="CA350" t="e">
        <f>AND('POTENCIAL HORAS'!#REF!,"AAAAAH1d3k4=")</f>
        <v>#REF!</v>
      </c>
      <c r="CB350" t="e">
        <f>AND('POTENCIAL HORAS'!#REF!,"AAAAAH1d3k8=")</f>
        <v>#REF!</v>
      </c>
      <c r="CC350" t="e">
        <f>AND('POTENCIAL HORAS'!#REF!,"AAAAAH1d3lA=")</f>
        <v>#REF!</v>
      </c>
      <c r="CD350" t="e">
        <f>AND('POTENCIAL HORAS'!#REF!,"AAAAAH1d3lE=")</f>
        <v>#REF!</v>
      </c>
      <c r="CE350" t="e">
        <f>AND('POTENCIAL HORAS'!#REF!,"AAAAAH1d3lI=")</f>
        <v>#REF!</v>
      </c>
      <c r="CF350" t="e">
        <f>AND('POTENCIAL HORAS'!#REF!,"AAAAAH1d3lM=")</f>
        <v>#REF!</v>
      </c>
      <c r="CG350" t="e">
        <f>AND('POTENCIAL HORAS'!#REF!,"AAAAAH1d3lQ=")</f>
        <v>#REF!</v>
      </c>
      <c r="CH350" t="e">
        <f>AND('POTENCIAL HORAS'!#REF!,"AAAAAH1d3lU=")</f>
        <v>#REF!</v>
      </c>
      <c r="CI350" t="e">
        <f>AND('POTENCIAL HORAS'!#REF!,"AAAAAH1d3lY=")</f>
        <v>#REF!</v>
      </c>
      <c r="CJ350" t="e">
        <f>AND('POTENCIAL HORAS'!#REF!,"AAAAAH1d3lc=")</f>
        <v>#REF!</v>
      </c>
      <c r="CK350" t="e">
        <f>AND('POTENCIAL HORAS'!#REF!,"AAAAAH1d3lg=")</f>
        <v>#REF!</v>
      </c>
      <c r="CL350" t="e">
        <f>AND('POTENCIAL HORAS'!#REF!,"AAAAAH1d3lk=")</f>
        <v>#REF!</v>
      </c>
      <c r="CM350" t="e">
        <f>AND('POTENCIAL HORAS'!#REF!,"AAAAAH1d3lo=")</f>
        <v>#REF!</v>
      </c>
      <c r="CN350" t="e">
        <f>AND('POTENCIAL HORAS'!#REF!,"AAAAAH1d3ls=")</f>
        <v>#REF!</v>
      </c>
      <c r="CO350" t="e">
        <f>AND('POTENCIAL HORAS'!#REF!,"AAAAAH1d3lw=")</f>
        <v>#REF!</v>
      </c>
      <c r="CP350" t="e">
        <f>AND('POTENCIAL HORAS'!Q319,"AAAAAH1d3l0=")</f>
        <v>#VALUE!</v>
      </c>
      <c r="CQ350" t="e">
        <f>AND('POTENCIAL HORAS'!R319,"AAAAAH1d3l4=")</f>
        <v>#VALUE!</v>
      </c>
      <c r="CR350" t="e">
        <f>IF('PROG FORMACIÓN TITULADA'!#REF!,"AAAAAH1d3l8=",0)</f>
        <v>#REF!</v>
      </c>
      <c r="CS350" t="e">
        <f>AND('PROG FORMACIÓN TITULADA'!#REF!,"AAAAAH1d3mA=")</f>
        <v>#REF!</v>
      </c>
      <c r="CT350" t="e">
        <f>AND('PROG FORMACIÓN TITULADA'!#REF!,"AAAAAH1d3mE=")</f>
        <v>#REF!</v>
      </c>
      <c r="CU350" t="e">
        <f>AND('PROG FORMACIÓN TITULADA'!#REF!,"AAAAAH1d3mI=")</f>
        <v>#REF!</v>
      </c>
      <c r="CV350" t="e">
        <f>AND('PROG FORMACIÓN TITULADA'!#REF!,"AAAAAH1d3mM=")</f>
        <v>#REF!</v>
      </c>
      <c r="CW350" t="e">
        <f>AND('PROG FORMACIÓN TITULADA'!#REF!,"AAAAAH1d3mQ=")</f>
        <v>#REF!</v>
      </c>
      <c r="CX350" t="e">
        <f>AND('PROG FORMACIÓN TITULADA'!#REF!,"AAAAAH1d3mU=")</f>
        <v>#REF!</v>
      </c>
      <c r="CY350" t="e">
        <f>AND('PROG FORMACIÓN TITULADA'!#REF!,"AAAAAH1d3mY=")</f>
        <v>#REF!</v>
      </c>
      <c r="CZ350" t="e">
        <f>AND('PROG FORMACIÓN TITULADA'!#REF!,"AAAAAH1d3mc=")</f>
        <v>#REF!</v>
      </c>
      <c r="DA350" t="e">
        <f>AND('PROG FORMACIÓN TITULADA'!#REF!,"AAAAAH1d3mg=")</f>
        <v>#REF!</v>
      </c>
      <c r="DB350" t="e">
        <f>AND('PROG FORMACIÓN TITULADA'!#REF!,"AAAAAH1d3mk=")</f>
        <v>#REF!</v>
      </c>
      <c r="DC350" t="e">
        <f>AND('PROG FORMACIÓN TITULADA'!#REF!,"AAAAAH1d3mo=")</f>
        <v>#REF!</v>
      </c>
      <c r="DD350" t="e">
        <f>AND('PROG FORMACIÓN TITULADA'!#REF!,"AAAAAH1d3ms=")</f>
        <v>#REF!</v>
      </c>
      <c r="DE350" t="e">
        <f>AND('PROG FORMACIÓN TITULADA'!#REF!,"AAAAAH1d3mw=")</f>
        <v>#REF!</v>
      </c>
      <c r="DF350" t="e">
        <f>AND('PROG FORMACIÓN TITULADA'!#REF!,"AAAAAH1d3m0=")</f>
        <v>#REF!</v>
      </c>
      <c r="DG350" t="e">
        <f>AND('PROG FORMACIÓN TITULADA'!#REF!,"AAAAAH1d3m4=")</f>
        <v>#REF!</v>
      </c>
      <c r="DH350" t="e">
        <f>AND('PROG FORMACIÓN TITULADA'!#REF!,"AAAAAH1d3m8=")</f>
        <v>#REF!</v>
      </c>
      <c r="DI350" t="e">
        <f>AND('PROG FORMACIÓN TITULADA'!#REF!,"AAAAAH1d3nA=")</f>
        <v>#REF!</v>
      </c>
      <c r="DJ350" t="e">
        <f>AND('PROG FORMACIÓN TITULADA'!#REF!,"AAAAAH1d3nE=")</f>
        <v>#REF!</v>
      </c>
      <c r="DK350" t="e">
        <f>AND('PROG FORMACIÓN TITULADA'!#REF!,"AAAAAH1d3nI=")</f>
        <v>#REF!</v>
      </c>
      <c r="DL350" t="e">
        <f>AND('PROG FORMACIÓN TITULADA'!#REF!,"AAAAAH1d3nM=")</f>
        <v>#REF!</v>
      </c>
      <c r="DM350" t="e">
        <f>AND('PROG FORMACIÓN TITULADA'!#REF!,"AAAAAH1d3nQ=")</f>
        <v>#REF!</v>
      </c>
      <c r="DN350" t="e">
        <f>AND('PROG FORMACIÓN TITULADA'!#REF!,"AAAAAH1d3nU=")</f>
        <v>#REF!</v>
      </c>
      <c r="DO350" t="e">
        <f>AND('PROG FORMACIÓN TITULADA'!#REF!,"AAAAAH1d3nY=")</f>
        <v>#REF!</v>
      </c>
      <c r="DP350" t="e">
        <f>AND('PROG FORMACIÓN TITULADA'!#REF!,"AAAAAH1d3nc=")</f>
        <v>#REF!</v>
      </c>
      <c r="DQ350" t="e">
        <f>AND('PROG FORMACIÓN TITULADA'!#REF!,"AAAAAH1d3ng=")</f>
        <v>#REF!</v>
      </c>
      <c r="DR350" t="e">
        <f>AND('PROG FORMACIÓN TITULADA'!#REF!,"AAAAAH1d3nk=")</f>
        <v>#REF!</v>
      </c>
      <c r="DS350" t="e">
        <f>IF('PROG FORMACIÓN TITULADA'!#REF!,"AAAAAH1d3no=",0)</f>
        <v>#REF!</v>
      </c>
      <c r="DT350" t="e">
        <f>AND('PROG FORMACIÓN TITULADA'!#REF!,"AAAAAH1d3ns=")</f>
        <v>#REF!</v>
      </c>
      <c r="DU350" t="e">
        <f>AND('PROG FORMACIÓN TITULADA'!#REF!,"AAAAAH1d3nw=")</f>
        <v>#REF!</v>
      </c>
      <c r="DV350" t="e">
        <f>AND('PROG FORMACIÓN TITULADA'!#REF!,"AAAAAH1d3n0=")</f>
        <v>#REF!</v>
      </c>
      <c r="DW350" t="e">
        <f>AND('PROG FORMACIÓN TITULADA'!#REF!,"AAAAAH1d3n4=")</f>
        <v>#REF!</v>
      </c>
      <c r="DX350" t="e">
        <f>AND('PROG FORMACIÓN TITULADA'!#REF!,"AAAAAH1d3n8=")</f>
        <v>#REF!</v>
      </c>
      <c r="DY350" t="e">
        <f>AND('PROG FORMACIÓN TITULADA'!#REF!,"AAAAAH1d3oA=")</f>
        <v>#REF!</v>
      </c>
      <c r="DZ350" t="e">
        <f>AND('PROG FORMACIÓN TITULADA'!#REF!,"AAAAAH1d3oE=")</f>
        <v>#REF!</v>
      </c>
      <c r="EA350" t="e">
        <f>AND('PROG FORMACIÓN TITULADA'!#REF!,"AAAAAH1d3oI=")</f>
        <v>#REF!</v>
      </c>
      <c r="EB350" t="e">
        <f>AND('PROG FORMACIÓN TITULADA'!#REF!,"AAAAAH1d3oM=")</f>
        <v>#REF!</v>
      </c>
      <c r="EC350" t="e">
        <f>AND('PROG FORMACIÓN TITULADA'!#REF!,"AAAAAH1d3oQ=")</f>
        <v>#REF!</v>
      </c>
      <c r="ED350" t="e">
        <f>AND('PROG FORMACIÓN TITULADA'!#REF!,"AAAAAH1d3oU=")</f>
        <v>#REF!</v>
      </c>
      <c r="EE350" t="e">
        <f>AND('PROG FORMACIÓN TITULADA'!#REF!,"AAAAAH1d3oY=")</f>
        <v>#REF!</v>
      </c>
      <c r="EF350" t="e">
        <f>AND('PROG FORMACIÓN TITULADA'!#REF!,"AAAAAH1d3oc=")</f>
        <v>#REF!</v>
      </c>
      <c r="EG350" t="e">
        <f>AND('PROG FORMACIÓN TITULADA'!#REF!,"AAAAAH1d3og=")</f>
        <v>#REF!</v>
      </c>
      <c r="EH350" t="e">
        <f>AND('PROG FORMACIÓN TITULADA'!#REF!,"AAAAAH1d3ok=")</f>
        <v>#REF!</v>
      </c>
      <c r="EI350" t="e">
        <f>AND('PROG FORMACIÓN TITULADA'!#REF!,"AAAAAH1d3oo=")</f>
        <v>#REF!</v>
      </c>
      <c r="EJ350" t="e">
        <f>AND('PROG FORMACIÓN TITULADA'!#REF!,"AAAAAH1d3os=")</f>
        <v>#REF!</v>
      </c>
      <c r="EK350" t="e">
        <f>AND('PROG FORMACIÓN TITULADA'!#REF!,"AAAAAH1d3ow=")</f>
        <v>#REF!</v>
      </c>
      <c r="EL350" t="e">
        <f>AND('PROG FORMACIÓN TITULADA'!#REF!,"AAAAAH1d3o0=")</f>
        <v>#REF!</v>
      </c>
      <c r="EM350" t="e">
        <f>AND('PROG FORMACIÓN TITULADA'!#REF!,"AAAAAH1d3o4=")</f>
        <v>#REF!</v>
      </c>
      <c r="EN350" t="e">
        <f>AND('PROG FORMACIÓN TITULADA'!#REF!,"AAAAAH1d3o8=")</f>
        <v>#REF!</v>
      </c>
      <c r="EO350" t="e">
        <f>AND('PROG FORMACIÓN TITULADA'!#REF!,"AAAAAH1d3pA=")</f>
        <v>#REF!</v>
      </c>
      <c r="EP350" t="e">
        <f>AND('PROG FORMACIÓN TITULADA'!#REF!,"AAAAAH1d3pE=")</f>
        <v>#REF!</v>
      </c>
      <c r="EQ350" t="e">
        <f>AND('PROG FORMACIÓN TITULADA'!#REF!,"AAAAAH1d3pI=")</f>
        <v>#REF!</v>
      </c>
      <c r="ER350" t="e">
        <f>AND('PROG FORMACIÓN TITULADA'!#REF!,"AAAAAH1d3pM=")</f>
        <v>#REF!</v>
      </c>
      <c r="ES350" t="e">
        <f>AND('PROG FORMACIÓN TITULADA'!#REF!,"AAAAAH1d3pQ=")</f>
        <v>#REF!</v>
      </c>
      <c r="ET350" t="e">
        <f>IF('PROG FORMACIÓN TITULADA'!#REF!,"AAAAAH1d3pU=",0)</f>
        <v>#REF!</v>
      </c>
      <c r="EU350" t="e">
        <f>AND('PROG FORMACIÓN TITULADA'!#REF!,"AAAAAH1d3pY=")</f>
        <v>#REF!</v>
      </c>
      <c r="EV350" t="e">
        <f>AND('PROG FORMACIÓN TITULADA'!#REF!,"AAAAAH1d3pc=")</f>
        <v>#REF!</v>
      </c>
      <c r="EW350" t="e">
        <f>AND('PROG FORMACIÓN TITULADA'!#REF!,"AAAAAH1d3pg=")</f>
        <v>#REF!</v>
      </c>
      <c r="EX350" t="e">
        <f>AND('PROG FORMACIÓN TITULADA'!#REF!,"AAAAAH1d3pk=")</f>
        <v>#REF!</v>
      </c>
      <c r="EY350" t="e">
        <f>AND('PROG FORMACIÓN TITULADA'!#REF!,"AAAAAH1d3po=")</f>
        <v>#REF!</v>
      </c>
      <c r="EZ350" t="e">
        <f>AND('PROG FORMACIÓN TITULADA'!#REF!,"AAAAAH1d3ps=")</f>
        <v>#REF!</v>
      </c>
      <c r="FA350" t="e">
        <f>AND('PROG FORMACIÓN TITULADA'!#REF!,"AAAAAH1d3pw=")</f>
        <v>#REF!</v>
      </c>
      <c r="FB350" t="e">
        <f>AND('PROG FORMACIÓN TITULADA'!#REF!,"AAAAAH1d3p0=")</f>
        <v>#REF!</v>
      </c>
      <c r="FC350" t="e">
        <f>AND('PROG FORMACIÓN TITULADA'!#REF!,"AAAAAH1d3p4=")</f>
        <v>#REF!</v>
      </c>
      <c r="FD350" t="e">
        <f>AND('PROG FORMACIÓN TITULADA'!#REF!,"AAAAAH1d3p8=")</f>
        <v>#REF!</v>
      </c>
      <c r="FE350" t="e">
        <f>AND('PROG FORMACIÓN TITULADA'!#REF!,"AAAAAH1d3qA=")</f>
        <v>#REF!</v>
      </c>
      <c r="FF350" t="e">
        <f>AND('PROG FORMACIÓN TITULADA'!#REF!,"AAAAAH1d3qE=")</f>
        <v>#REF!</v>
      </c>
      <c r="FG350" t="e">
        <f>AND('PROG FORMACIÓN TITULADA'!#REF!,"AAAAAH1d3qI=")</f>
        <v>#REF!</v>
      </c>
      <c r="FH350" t="e">
        <f>AND('PROG FORMACIÓN TITULADA'!#REF!,"AAAAAH1d3qM=")</f>
        <v>#REF!</v>
      </c>
      <c r="FI350" t="e">
        <f>AND('PROG FORMACIÓN TITULADA'!#REF!,"AAAAAH1d3qQ=")</f>
        <v>#REF!</v>
      </c>
      <c r="FJ350" t="e">
        <f>AND('PROG FORMACIÓN TITULADA'!#REF!,"AAAAAH1d3qU=")</f>
        <v>#REF!</v>
      </c>
      <c r="FK350" t="e">
        <f>AND('PROG FORMACIÓN TITULADA'!#REF!,"AAAAAH1d3qY=")</f>
        <v>#REF!</v>
      </c>
      <c r="FL350" t="e">
        <f>AND('PROG FORMACIÓN TITULADA'!#REF!,"AAAAAH1d3qc=")</f>
        <v>#REF!</v>
      </c>
      <c r="FM350" t="e">
        <f>AND('PROG FORMACIÓN TITULADA'!#REF!,"AAAAAH1d3qg=")</f>
        <v>#REF!</v>
      </c>
      <c r="FN350" t="e">
        <f>AND('PROG FORMACIÓN TITULADA'!#REF!,"AAAAAH1d3qk=")</f>
        <v>#REF!</v>
      </c>
      <c r="FO350" t="e">
        <f>AND('PROG FORMACIÓN TITULADA'!#REF!,"AAAAAH1d3qo=")</f>
        <v>#REF!</v>
      </c>
      <c r="FP350" t="e">
        <f>AND('PROG FORMACIÓN TITULADA'!#REF!,"AAAAAH1d3qs=")</f>
        <v>#REF!</v>
      </c>
      <c r="FQ350" t="e">
        <f>AND('PROG FORMACIÓN TITULADA'!#REF!,"AAAAAH1d3qw=")</f>
        <v>#REF!</v>
      </c>
      <c r="FR350" t="e">
        <f>AND('PROG FORMACIÓN TITULADA'!#REF!,"AAAAAH1d3q0=")</f>
        <v>#REF!</v>
      </c>
      <c r="FS350" t="e">
        <f>AND('PROG FORMACIÓN TITULADA'!#REF!,"AAAAAH1d3q4=")</f>
        <v>#REF!</v>
      </c>
      <c r="FT350" t="e">
        <f>AND('PROG FORMACIÓN TITULADA'!#REF!,"AAAAAH1d3q8=")</f>
        <v>#REF!</v>
      </c>
      <c r="FU350" t="e">
        <f>IF('PROG FORMACIÓN TITULADA'!#REF!,"AAAAAH1d3rA=",0)</f>
        <v>#REF!</v>
      </c>
      <c r="FV350" t="e">
        <f>AND('PROG FORMACIÓN TITULADA'!#REF!,"AAAAAH1d3rE=")</f>
        <v>#REF!</v>
      </c>
      <c r="FW350" t="e">
        <f>AND('PROG FORMACIÓN TITULADA'!#REF!,"AAAAAH1d3rI=")</f>
        <v>#REF!</v>
      </c>
      <c r="FX350" t="e">
        <f>AND('PROG FORMACIÓN TITULADA'!#REF!,"AAAAAH1d3rM=")</f>
        <v>#REF!</v>
      </c>
      <c r="FY350" t="e">
        <f>AND('PROG FORMACIÓN TITULADA'!#REF!,"AAAAAH1d3rQ=")</f>
        <v>#REF!</v>
      </c>
      <c r="FZ350" t="e">
        <f>AND('PROG FORMACIÓN TITULADA'!#REF!,"AAAAAH1d3rU=")</f>
        <v>#REF!</v>
      </c>
      <c r="GA350" t="e">
        <f>AND('PROG FORMACIÓN TITULADA'!#REF!,"AAAAAH1d3rY=")</f>
        <v>#REF!</v>
      </c>
      <c r="GB350" t="e">
        <f>AND('PROG FORMACIÓN TITULADA'!#REF!,"AAAAAH1d3rc=")</f>
        <v>#REF!</v>
      </c>
      <c r="GC350" t="e">
        <f>AND('PROG FORMACIÓN TITULADA'!#REF!,"AAAAAH1d3rg=")</f>
        <v>#REF!</v>
      </c>
      <c r="GD350" t="e">
        <f>AND('PROG FORMACIÓN TITULADA'!#REF!,"AAAAAH1d3rk=")</f>
        <v>#REF!</v>
      </c>
      <c r="GE350" t="e">
        <f>AND('PROG FORMACIÓN TITULADA'!#REF!,"AAAAAH1d3ro=")</f>
        <v>#REF!</v>
      </c>
      <c r="GF350" t="e">
        <f>AND('PROG FORMACIÓN TITULADA'!#REF!,"AAAAAH1d3rs=")</f>
        <v>#REF!</v>
      </c>
      <c r="GG350" t="e">
        <f>AND('PROG FORMACIÓN TITULADA'!#REF!,"AAAAAH1d3rw=")</f>
        <v>#REF!</v>
      </c>
      <c r="GH350" t="e">
        <f>AND('PROG FORMACIÓN TITULADA'!#REF!,"AAAAAH1d3r0=")</f>
        <v>#REF!</v>
      </c>
      <c r="GI350" t="e">
        <f>AND('PROG FORMACIÓN TITULADA'!#REF!,"AAAAAH1d3r4=")</f>
        <v>#REF!</v>
      </c>
      <c r="GJ350" t="e">
        <f>AND('PROG FORMACIÓN TITULADA'!#REF!,"AAAAAH1d3r8=")</f>
        <v>#REF!</v>
      </c>
      <c r="GK350" t="e">
        <f>AND('PROG FORMACIÓN TITULADA'!#REF!,"AAAAAH1d3sA=")</f>
        <v>#REF!</v>
      </c>
      <c r="GL350" t="e">
        <f>AND('PROG FORMACIÓN TITULADA'!#REF!,"AAAAAH1d3sE=")</f>
        <v>#REF!</v>
      </c>
      <c r="GM350" t="e">
        <f>AND('PROG FORMACIÓN TITULADA'!#REF!,"AAAAAH1d3sI=")</f>
        <v>#REF!</v>
      </c>
      <c r="GN350" t="e">
        <f>AND('PROG FORMACIÓN TITULADA'!#REF!,"AAAAAH1d3sM=")</f>
        <v>#REF!</v>
      </c>
      <c r="GO350" t="e">
        <f>AND('PROG FORMACIÓN TITULADA'!#REF!,"AAAAAH1d3sQ=")</f>
        <v>#REF!</v>
      </c>
      <c r="GP350" t="e">
        <f>AND('PROG FORMACIÓN TITULADA'!#REF!,"AAAAAH1d3sU=")</f>
        <v>#REF!</v>
      </c>
      <c r="GQ350" t="e">
        <f>AND('PROG FORMACIÓN TITULADA'!#REF!,"AAAAAH1d3sY=")</f>
        <v>#REF!</v>
      </c>
      <c r="GR350" t="e">
        <f>AND('PROG FORMACIÓN TITULADA'!#REF!,"AAAAAH1d3sc=")</f>
        <v>#REF!</v>
      </c>
      <c r="GS350" t="e">
        <f>AND('PROG FORMACIÓN TITULADA'!#REF!,"AAAAAH1d3sg=")</f>
        <v>#REF!</v>
      </c>
      <c r="GT350" t="e">
        <f>AND('PROG FORMACIÓN TITULADA'!#REF!,"AAAAAH1d3sk=")</f>
        <v>#REF!</v>
      </c>
      <c r="GU350" t="e">
        <f>AND('PROG FORMACIÓN TITULADA'!#REF!,"AAAAAH1d3so=")</f>
        <v>#REF!</v>
      </c>
      <c r="GV350" t="e">
        <f>IF('PROG FORMACIÓN TITULADA'!#REF!,"AAAAAH1d3ss=",0)</f>
        <v>#REF!</v>
      </c>
      <c r="GW350" t="e">
        <f>AND('PROG FORMACIÓN TITULADA'!#REF!,"AAAAAH1d3sw=")</f>
        <v>#REF!</v>
      </c>
      <c r="GX350" t="e">
        <f>AND('PROG FORMACIÓN TITULADA'!#REF!,"AAAAAH1d3s0=")</f>
        <v>#REF!</v>
      </c>
      <c r="GY350" t="e">
        <f>AND('PROG FORMACIÓN TITULADA'!#REF!,"AAAAAH1d3s4=")</f>
        <v>#REF!</v>
      </c>
      <c r="GZ350" t="e">
        <f>AND('PROG FORMACIÓN TITULADA'!#REF!,"AAAAAH1d3s8=")</f>
        <v>#REF!</v>
      </c>
      <c r="HA350" t="e">
        <f>AND('PROG FORMACIÓN TITULADA'!#REF!,"AAAAAH1d3tA=")</f>
        <v>#REF!</v>
      </c>
      <c r="HB350" t="e">
        <f>AND('PROG FORMACIÓN TITULADA'!#REF!,"AAAAAH1d3tE=")</f>
        <v>#REF!</v>
      </c>
      <c r="HC350" t="e">
        <f>AND('PROG FORMACIÓN TITULADA'!#REF!,"AAAAAH1d3tI=")</f>
        <v>#REF!</v>
      </c>
      <c r="HD350" t="e">
        <f>AND('PROG FORMACIÓN TITULADA'!#REF!,"AAAAAH1d3tM=")</f>
        <v>#REF!</v>
      </c>
      <c r="HE350" t="e">
        <f>AND('PROG FORMACIÓN TITULADA'!#REF!,"AAAAAH1d3tQ=")</f>
        <v>#REF!</v>
      </c>
      <c r="HF350" t="e">
        <f>AND('PROG FORMACIÓN TITULADA'!#REF!,"AAAAAH1d3tU=")</f>
        <v>#REF!</v>
      </c>
      <c r="HG350" t="e">
        <f>AND('PROG FORMACIÓN TITULADA'!#REF!,"AAAAAH1d3tY=")</f>
        <v>#REF!</v>
      </c>
      <c r="HH350" t="e">
        <f>AND('PROG FORMACIÓN TITULADA'!#REF!,"AAAAAH1d3tc=")</f>
        <v>#REF!</v>
      </c>
      <c r="HI350" t="e">
        <f>AND('PROG FORMACIÓN TITULADA'!#REF!,"AAAAAH1d3tg=")</f>
        <v>#REF!</v>
      </c>
      <c r="HJ350" t="e">
        <f>AND('PROG FORMACIÓN TITULADA'!#REF!,"AAAAAH1d3tk=")</f>
        <v>#REF!</v>
      </c>
      <c r="HK350" t="e">
        <f>AND('PROG FORMACIÓN TITULADA'!#REF!,"AAAAAH1d3to=")</f>
        <v>#REF!</v>
      </c>
      <c r="HL350" t="e">
        <f>AND('PROG FORMACIÓN TITULADA'!#REF!,"AAAAAH1d3ts=")</f>
        <v>#REF!</v>
      </c>
      <c r="HM350" t="e">
        <f>AND('PROG FORMACIÓN TITULADA'!#REF!,"AAAAAH1d3tw=")</f>
        <v>#REF!</v>
      </c>
      <c r="HN350" t="e">
        <f>AND('PROG FORMACIÓN TITULADA'!#REF!,"AAAAAH1d3t0=")</f>
        <v>#REF!</v>
      </c>
      <c r="HO350" t="e">
        <f>AND('PROG FORMACIÓN TITULADA'!#REF!,"AAAAAH1d3t4=")</f>
        <v>#REF!</v>
      </c>
      <c r="HP350" t="e">
        <f>AND('PROG FORMACIÓN TITULADA'!#REF!,"AAAAAH1d3t8=")</f>
        <v>#REF!</v>
      </c>
      <c r="HQ350" t="e">
        <f>AND('PROG FORMACIÓN TITULADA'!#REF!,"AAAAAH1d3uA=")</f>
        <v>#REF!</v>
      </c>
      <c r="HR350" t="e">
        <f>AND('PROG FORMACIÓN TITULADA'!#REF!,"AAAAAH1d3uE=")</f>
        <v>#REF!</v>
      </c>
      <c r="HS350" t="e">
        <f>AND('PROG FORMACIÓN TITULADA'!#REF!,"AAAAAH1d3uI=")</f>
        <v>#REF!</v>
      </c>
      <c r="HT350" t="e">
        <f>AND('PROG FORMACIÓN TITULADA'!#REF!,"AAAAAH1d3uM=")</f>
        <v>#REF!</v>
      </c>
      <c r="HU350" t="e">
        <f>AND('PROG FORMACIÓN TITULADA'!#REF!,"AAAAAH1d3uQ=")</f>
        <v>#REF!</v>
      </c>
      <c r="HV350" t="e">
        <f>AND('PROG FORMACIÓN TITULADA'!#REF!,"AAAAAH1d3uU=")</f>
        <v>#REF!</v>
      </c>
      <c r="HW350" t="e">
        <f>IF('PROG FORMACIÓN TITULADA'!#REF!,"AAAAAH1d3uY=",0)</f>
        <v>#REF!</v>
      </c>
      <c r="HX350" t="e">
        <f>AND('PROG FORMACIÓN TITULADA'!#REF!,"AAAAAH1d3uc=")</f>
        <v>#REF!</v>
      </c>
      <c r="HY350" t="e">
        <f>AND('PROG FORMACIÓN TITULADA'!#REF!,"AAAAAH1d3ug=")</f>
        <v>#REF!</v>
      </c>
      <c r="HZ350" t="e">
        <f>AND('PROG FORMACIÓN TITULADA'!#REF!,"AAAAAH1d3uk=")</f>
        <v>#REF!</v>
      </c>
      <c r="IA350" t="e">
        <f>AND('PROG FORMACIÓN TITULADA'!#REF!,"AAAAAH1d3uo=")</f>
        <v>#REF!</v>
      </c>
      <c r="IB350" t="e">
        <f>AND('PROG FORMACIÓN TITULADA'!#REF!,"AAAAAH1d3us=")</f>
        <v>#REF!</v>
      </c>
      <c r="IC350" t="e">
        <f>AND('PROG FORMACIÓN TITULADA'!#REF!,"AAAAAH1d3uw=")</f>
        <v>#REF!</v>
      </c>
      <c r="ID350" t="e">
        <f>AND('PROG FORMACIÓN TITULADA'!#REF!,"AAAAAH1d3u0=")</f>
        <v>#REF!</v>
      </c>
      <c r="IE350" t="e">
        <f>AND('PROG FORMACIÓN TITULADA'!#REF!,"AAAAAH1d3u4=")</f>
        <v>#REF!</v>
      </c>
      <c r="IF350" t="e">
        <f>AND('PROG FORMACIÓN TITULADA'!#REF!,"AAAAAH1d3u8=")</f>
        <v>#REF!</v>
      </c>
      <c r="IG350" t="e">
        <f>AND('PROG FORMACIÓN TITULADA'!#REF!,"AAAAAH1d3vA=")</f>
        <v>#REF!</v>
      </c>
      <c r="IH350" t="e">
        <f>AND('PROG FORMACIÓN TITULADA'!#REF!,"AAAAAH1d3vE=")</f>
        <v>#REF!</v>
      </c>
      <c r="II350" t="e">
        <f>AND('PROG FORMACIÓN TITULADA'!#REF!,"AAAAAH1d3vI=")</f>
        <v>#REF!</v>
      </c>
      <c r="IJ350" t="e">
        <f>AND('PROG FORMACIÓN TITULADA'!#REF!,"AAAAAH1d3vM=")</f>
        <v>#REF!</v>
      </c>
      <c r="IK350" t="e">
        <f>AND('PROG FORMACIÓN TITULADA'!#REF!,"AAAAAH1d3vQ=")</f>
        <v>#REF!</v>
      </c>
      <c r="IL350" t="e">
        <f>AND('PROG FORMACIÓN TITULADA'!#REF!,"AAAAAH1d3vU=")</f>
        <v>#REF!</v>
      </c>
      <c r="IM350" t="e">
        <f>AND('PROG FORMACIÓN TITULADA'!#REF!,"AAAAAH1d3vY=")</f>
        <v>#REF!</v>
      </c>
      <c r="IN350" t="e">
        <f>AND('PROG FORMACIÓN TITULADA'!#REF!,"AAAAAH1d3vc=")</f>
        <v>#REF!</v>
      </c>
      <c r="IO350" t="e">
        <f>AND('PROG FORMACIÓN TITULADA'!#REF!,"AAAAAH1d3vg=")</f>
        <v>#REF!</v>
      </c>
      <c r="IP350" t="e">
        <f>AND('PROG FORMACIÓN TITULADA'!#REF!,"AAAAAH1d3vk=")</f>
        <v>#REF!</v>
      </c>
      <c r="IQ350" t="e">
        <f>AND('PROG FORMACIÓN TITULADA'!#REF!,"AAAAAH1d3vo=")</f>
        <v>#REF!</v>
      </c>
      <c r="IR350" t="e">
        <f>AND('PROG FORMACIÓN TITULADA'!#REF!,"AAAAAH1d3vs=")</f>
        <v>#REF!</v>
      </c>
      <c r="IS350" t="e">
        <f>AND('PROG FORMACIÓN TITULADA'!#REF!,"AAAAAH1d3vw=")</f>
        <v>#REF!</v>
      </c>
      <c r="IT350" t="e">
        <f>AND('PROG FORMACIÓN TITULADA'!#REF!,"AAAAAH1d3v0=")</f>
        <v>#REF!</v>
      </c>
      <c r="IU350" t="e">
        <f>AND('PROG FORMACIÓN TITULADA'!#REF!,"AAAAAH1d3v4=")</f>
        <v>#REF!</v>
      </c>
      <c r="IV350" t="e">
        <f>AND('PROG FORMACIÓN TITULADA'!#REF!,"AAAAAH1d3v8=")</f>
        <v>#REF!</v>
      </c>
    </row>
    <row r="351" spans="1:256" x14ac:dyDescent="0.2">
      <c r="A351" t="e">
        <f>AND('PROG FORMACIÓN TITULADA'!#REF!,"AAAAAHh3JwA=")</f>
        <v>#REF!</v>
      </c>
      <c r="B351" t="e">
        <f>IF('PROG FORMACIÓN TITULADA'!#REF!,"AAAAAHh3JwE=",0)</f>
        <v>#REF!</v>
      </c>
      <c r="C351" t="e">
        <f>AND('PROG FORMACIÓN TITULADA'!#REF!,"AAAAAHh3JwI=")</f>
        <v>#REF!</v>
      </c>
      <c r="D351" t="e">
        <f>AND('PROG FORMACIÓN TITULADA'!#REF!,"AAAAAHh3JwM=")</f>
        <v>#REF!</v>
      </c>
      <c r="E351" t="e">
        <f>AND('PROG FORMACIÓN TITULADA'!#REF!,"AAAAAHh3JwQ=")</f>
        <v>#REF!</v>
      </c>
      <c r="F351" t="e">
        <f>AND('PROG FORMACIÓN TITULADA'!#REF!,"AAAAAHh3JwU=")</f>
        <v>#REF!</v>
      </c>
      <c r="G351" t="e">
        <f>AND('PROG FORMACIÓN TITULADA'!#REF!,"AAAAAHh3JwY=")</f>
        <v>#REF!</v>
      </c>
      <c r="H351" t="e">
        <f>AND('PROG FORMACIÓN TITULADA'!#REF!,"AAAAAHh3Jwc=")</f>
        <v>#REF!</v>
      </c>
      <c r="I351" t="e">
        <f>AND('PROG FORMACIÓN TITULADA'!#REF!,"AAAAAHh3Jwg=")</f>
        <v>#REF!</v>
      </c>
      <c r="J351" t="e">
        <f>AND('PROG FORMACIÓN TITULADA'!#REF!,"AAAAAHh3Jwk=")</f>
        <v>#REF!</v>
      </c>
      <c r="K351" t="e">
        <f>AND('PROG FORMACIÓN TITULADA'!#REF!,"AAAAAHh3Jwo=")</f>
        <v>#REF!</v>
      </c>
      <c r="L351" t="e">
        <f>AND('PROG FORMACIÓN TITULADA'!#REF!,"AAAAAHh3Jws=")</f>
        <v>#REF!</v>
      </c>
      <c r="M351" t="e">
        <f>AND('PROG FORMACIÓN TITULADA'!#REF!,"AAAAAHh3Jww=")</f>
        <v>#REF!</v>
      </c>
      <c r="N351" t="e">
        <f>AND('PROG FORMACIÓN TITULADA'!#REF!,"AAAAAHh3Jw0=")</f>
        <v>#REF!</v>
      </c>
      <c r="O351" t="e">
        <f>AND('PROG FORMACIÓN TITULADA'!#REF!,"AAAAAHh3Jw4=")</f>
        <v>#REF!</v>
      </c>
      <c r="P351" t="e">
        <f>AND('PROG FORMACIÓN TITULADA'!#REF!,"AAAAAHh3Jw8=")</f>
        <v>#REF!</v>
      </c>
      <c r="Q351" t="e">
        <f>AND('PROG FORMACIÓN TITULADA'!#REF!,"AAAAAHh3JxA=")</f>
        <v>#REF!</v>
      </c>
      <c r="R351" t="e">
        <f>AND('PROG FORMACIÓN TITULADA'!#REF!,"AAAAAHh3JxE=")</f>
        <v>#REF!</v>
      </c>
      <c r="S351" t="e">
        <f>AND('PROG FORMACIÓN TITULADA'!#REF!,"AAAAAHh3JxI=")</f>
        <v>#REF!</v>
      </c>
      <c r="T351" t="e">
        <f>AND('PROG FORMACIÓN TITULADA'!#REF!,"AAAAAHh3JxM=")</f>
        <v>#REF!</v>
      </c>
      <c r="U351" t="e">
        <f>AND('PROG FORMACIÓN TITULADA'!#REF!,"AAAAAHh3JxQ=")</f>
        <v>#REF!</v>
      </c>
      <c r="V351" t="e">
        <f>AND('PROG FORMACIÓN TITULADA'!#REF!,"AAAAAHh3JxU=")</f>
        <v>#REF!</v>
      </c>
      <c r="W351" t="e">
        <f>AND('PROG FORMACIÓN TITULADA'!#REF!,"AAAAAHh3JxY=")</f>
        <v>#REF!</v>
      </c>
      <c r="X351" t="e">
        <f>AND('PROG FORMACIÓN TITULADA'!#REF!,"AAAAAHh3Jxc=")</f>
        <v>#REF!</v>
      </c>
      <c r="Y351" t="e">
        <f>AND('PROG FORMACIÓN TITULADA'!#REF!,"AAAAAHh3Jxg=")</f>
        <v>#REF!</v>
      </c>
      <c r="Z351" t="e">
        <f>AND('PROG FORMACIÓN TITULADA'!#REF!,"AAAAAHh3Jxk=")</f>
        <v>#REF!</v>
      </c>
      <c r="AA351" t="e">
        <f>AND('PROG FORMACIÓN TITULADA'!#REF!,"AAAAAHh3Jxo=")</f>
        <v>#REF!</v>
      </c>
      <c r="AB351" t="e">
        <f>AND('PROG FORMACIÓN TITULADA'!#REF!,"AAAAAHh3Jxs=")</f>
        <v>#REF!</v>
      </c>
      <c r="AC351" t="e">
        <f>IF('PROG FORMACIÓN TITULADA'!#REF!,"AAAAAHh3Jxw=",0)</f>
        <v>#REF!</v>
      </c>
      <c r="AD351" t="e">
        <f>AND('PROG FORMACIÓN TITULADA'!#REF!,"AAAAAHh3Jx0=")</f>
        <v>#REF!</v>
      </c>
      <c r="AE351" t="e">
        <f>AND('PROG FORMACIÓN TITULADA'!#REF!,"AAAAAHh3Jx4=")</f>
        <v>#REF!</v>
      </c>
      <c r="AF351" t="e">
        <f>AND('PROG FORMACIÓN TITULADA'!#REF!,"AAAAAHh3Jx8=")</f>
        <v>#REF!</v>
      </c>
      <c r="AG351" t="e">
        <f>AND('PROG FORMACIÓN TITULADA'!#REF!,"AAAAAHh3JyA=")</f>
        <v>#REF!</v>
      </c>
      <c r="AH351" t="e">
        <f>AND('PROG FORMACIÓN TITULADA'!#REF!,"AAAAAHh3JyE=")</f>
        <v>#REF!</v>
      </c>
      <c r="AI351" t="e">
        <f>AND('PROG FORMACIÓN TITULADA'!#REF!,"AAAAAHh3JyI=")</f>
        <v>#REF!</v>
      </c>
      <c r="AJ351" t="e">
        <f>AND('PROG FORMACIÓN TITULADA'!#REF!,"AAAAAHh3JyM=")</f>
        <v>#REF!</v>
      </c>
      <c r="AK351" t="e">
        <f>AND('PROG FORMACIÓN TITULADA'!#REF!,"AAAAAHh3JyQ=")</f>
        <v>#REF!</v>
      </c>
      <c r="AL351" t="e">
        <f>AND('PROG FORMACIÓN TITULADA'!#REF!,"AAAAAHh3JyU=")</f>
        <v>#REF!</v>
      </c>
      <c r="AM351" t="e">
        <f>AND('PROG FORMACIÓN TITULADA'!#REF!,"AAAAAHh3JyY=")</f>
        <v>#REF!</v>
      </c>
      <c r="AN351" t="e">
        <f>AND('PROG FORMACIÓN TITULADA'!#REF!,"AAAAAHh3Jyc=")</f>
        <v>#REF!</v>
      </c>
      <c r="AO351" t="e">
        <f>AND('PROG FORMACIÓN TITULADA'!#REF!,"AAAAAHh3Jyg=")</f>
        <v>#REF!</v>
      </c>
      <c r="AP351" t="e">
        <f>AND('PROG FORMACIÓN TITULADA'!#REF!,"AAAAAHh3Jyk=")</f>
        <v>#REF!</v>
      </c>
      <c r="AQ351" t="e">
        <f>AND('PROG FORMACIÓN TITULADA'!#REF!,"AAAAAHh3Jyo=")</f>
        <v>#REF!</v>
      </c>
      <c r="AR351" t="e">
        <f>AND('PROG FORMACIÓN TITULADA'!#REF!,"AAAAAHh3Jys=")</f>
        <v>#REF!</v>
      </c>
      <c r="AS351" t="e">
        <f>AND('PROG FORMACIÓN TITULADA'!#REF!,"AAAAAHh3Jyw=")</f>
        <v>#REF!</v>
      </c>
      <c r="AT351" t="e">
        <f>AND('PROG FORMACIÓN TITULADA'!#REF!,"AAAAAHh3Jy0=")</f>
        <v>#REF!</v>
      </c>
      <c r="AU351" t="e">
        <f>AND('PROG FORMACIÓN TITULADA'!#REF!,"AAAAAHh3Jy4=")</f>
        <v>#REF!</v>
      </c>
      <c r="AV351" t="e">
        <f>AND('PROG FORMACIÓN TITULADA'!#REF!,"AAAAAHh3Jy8=")</f>
        <v>#REF!</v>
      </c>
      <c r="AW351" t="e">
        <f>AND('PROG FORMACIÓN TITULADA'!#REF!,"AAAAAHh3JzA=")</f>
        <v>#REF!</v>
      </c>
      <c r="AX351" t="e">
        <f>AND('PROG FORMACIÓN TITULADA'!#REF!,"AAAAAHh3JzE=")</f>
        <v>#REF!</v>
      </c>
      <c r="AY351" t="e">
        <f>AND('PROG FORMACIÓN TITULADA'!#REF!,"AAAAAHh3JzI=")</f>
        <v>#REF!</v>
      </c>
      <c r="AZ351" t="e">
        <f>AND('PROG FORMACIÓN TITULADA'!#REF!,"AAAAAHh3JzM=")</f>
        <v>#REF!</v>
      </c>
      <c r="BA351" t="e">
        <f>AND('PROG FORMACIÓN TITULADA'!#REF!,"AAAAAHh3JzQ=")</f>
        <v>#REF!</v>
      </c>
      <c r="BB351" t="e">
        <f>AND('PROG FORMACIÓN TITULADA'!#REF!,"AAAAAHh3JzU=")</f>
        <v>#REF!</v>
      </c>
      <c r="BC351" t="e">
        <f>AND('PROG FORMACIÓN TITULADA'!#REF!,"AAAAAHh3JzY=")</f>
        <v>#REF!</v>
      </c>
      <c r="BD351" t="e">
        <f>IF('PROG FORMACIÓN TITULADA'!#REF!,"AAAAAHh3Jzc=",0)</f>
        <v>#REF!</v>
      </c>
      <c r="BE351" t="e">
        <f>AND('PROG FORMACIÓN TITULADA'!#REF!,"AAAAAHh3Jzg=")</f>
        <v>#REF!</v>
      </c>
      <c r="BF351" t="e">
        <f>AND('PROG FORMACIÓN TITULADA'!#REF!,"AAAAAHh3Jzk=")</f>
        <v>#REF!</v>
      </c>
      <c r="BG351" t="e">
        <f>AND('PROG FORMACIÓN TITULADA'!#REF!,"AAAAAHh3Jzo=")</f>
        <v>#REF!</v>
      </c>
      <c r="BH351" t="e">
        <f>AND('PROG FORMACIÓN TITULADA'!#REF!,"AAAAAHh3Jzs=")</f>
        <v>#REF!</v>
      </c>
      <c r="BI351" t="e">
        <f>AND('PROG FORMACIÓN TITULADA'!#REF!,"AAAAAHh3Jzw=")</f>
        <v>#REF!</v>
      </c>
      <c r="BJ351" t="e">
        <f>AND('PROG FORMACIÓN TITULADA'!#REF!,"AAAAAHh3Jz0=")</f>
        <v>#REF!</v>
      </c>
      <c r="BK351" t="e">
        <f>AND('PROG FORMACIÓN TITULADA'!#REF!,"AAAAAHh3Jz4=")</f>
        <v>#REF!</v>
      </c>
      <c r="BL351" t="e">
        <f>AND('PROG FORMACIÓN TITULADA'!#REF!,"AAAAAHh3Jz8=")</f>
        <v>#REF!</v>
      </c>
      <c r="BM351" t="e">
        <f>AND('PROG FORMACIÓN TITULADA'!#REF!,"AAAAAHh3J0A=")</f>
        <v>#REF!</v>
      </c>
      <c r="BN351" t="e">
        <f>AND('PROG FORMACIÓN TITULADA'!#REF!,"AAAAAHh3J0E=")</f>
        <v>#REF!</v>
      </c>
      <c r="BO351" t="e">
        <f>AND('PROG FORMACIÓN TITULADA'!#REF!,"AAAAAHh3J0I=")</f>
        <v>#REF!</v>
      </c>
      <c r="BP351" t="e">
        <f>AND('PROG FORMACIÓN TITULADA'!#REF!,"AAAAAHh3J0M=")</f>
        <v>#REF!</v>
      </c>
      <c r="BQ351" t="e">
        <f>AND('PROG FORMACIÓN TITULADA'!#REF!,"AAAAAHh3J0Q=")</f>
        <v>#REF!</v>
      </c>
      <c r="BR351" t="e">
        <f>AND('PROG FORMACIÓN TITULADA'!#REF!,"AAAAAHh3J0U=")</f>
        <v>#REF!</v>
      </c>
      <c r="BS351" t="e">
        <f>AND('PROG FORMACIÓN TITULADA'!#REF!,"AAAAAHh3J0Y=")</f>
        <v>#REF!</v>
      </c>
      <c r="BT351" t="e">
        <f>AND('PROG FORMACIÓN TITULADA'!#REF!,"AAAAAHh3J0c=")</f>
        <v>#REF!</v>
      </c>
      <c r="BU351" t="e">
        <f>AND('PROG FORMACIÓN TITULADA'!#REF!,"AAAAAHh3J0g=")</f>
        <v>#REF!</v>
      </c>
      <c r="BV351" t="e">
        <f>AND('PROG FORMACIÓN TITULADA'!#REF!,"AAAAAHh3J0k=")</f>
        <v>#REF!</v>
      </c>
      <c r="BW351" t="e">
        <f>AND('PROG FORMACIÓN TITULADA'!#REF!,"AAAAAHh3J0o=")</f>
        <v>#REF!</v>
      </c>
      <c r="BX351" t="e">
        <f>AND('PROG FORMACIÓN TITULADA'!#REF!,"AAAAAHh3J0s=")</f>
        <v>#REF!</v>
      </c>
      <c r="BY351" t="e">
        <f>AND('PROG FORMACIÓN TITULADA'!#REF!,"AAAAAHh3J0w=")</f>
        <v>#REF!</v>
      </c>
      <c r="BZ351" t="e">
        <f>AND('PROG FORMACIÓN TITULADA'!#REF!,"AAAAAHh3J00=")</f>
        <v>#REF!</v>
      </c>
      <c r="CA351" t="e">
        <f>AND('PROG FORMACIÓN TITULADA'!#REF!,"AAAAAHh3J04=")</f>
        <v>#REF!</v>
      </c>
      <c r="CB351" t="e">
        <f>AND('PROG FORMACIÓN TITULADA'!#REF!,"AAAAAHh3J08=")</f>
        <v>#REF!</v>
      </c>
      <c r="CC351" t="e">
        <f>AND('PROG FORMACIÓN TITULADA'!#REF!,"AAAAAHh3J1A=")</f>
        <v>#REF!</v>
      </c>
      <c r="CD351" t="e">
        <f>AND('PROG FORMACIÓN TITULADA'!#REF!,"AAAAAHh3J1E=")</f>
        <v>#REF!</v>
      </c>
      <c r="CE351" t="e">
        <f>IF('PROG FORMACIÓN TITULADA'!#REF!,"AAAAAHh3J1I=",0)</f>
        <v>#REF!</v>
      </c>
      <c r="CF351" t="e">
        <f>AND('PROG FORMACIÓN TITULADA'!#REF!,"AAAAAHh3J1M=")</f>
        <v>#REF!</v>
      </c>
      <c r="CG351" t="e">
        <f>AND('PROG FORMACIÓN TITULADA'!#REF!,"AAAAAHh3J1Q=")</f>
        <v>#REF!</v>
      </c>
      <c r="CH351" t="e">
        <f>AND('PROG FORMACIÓN TITULADA'!#REF!,"AAAAAHh3J1U=")</f>
        <v>#REF!</v>
      </c>
      <c r="CI351" t="e">
        <f>AND('PROG FORMACIÓN TITULADA'!#REF!,"AAAAAHh3J1Y=")</f>
        <v>#REF!</v>
      </c>
      <c r="CJ351" t="e">
        <f>AND('PROG FORMACIÓN TITULADA'!#REF!,"AAAAAHh3J1c=")</f>
        <v>#REF!</v>
      </c>
      <c r="CK351" t="e">
        <f>AND('PROG FORMACIÓN TITULADA'!#REF!,"AAAAAHh3J1g=")</f>
        <v>#REF!</v>
      </c>
      <c r="CL351" t="e">
        <f>AND('PROG FORMACIÓN TITULADA'!#REF!,"AAAAAHh3J1k=")</f>
        <v>#REF!</v>
      </c>
      <c r="CM351" t="e">
        <f>AND('PROG FORMACIÓN TITULADA'!#REF!,"AAAAAHh3J1o=")</f>
        <v>#REF!</v>
      </c>
      <c r="CN351" t="e">
        <f>AND('PROG FORMACIÓN TITULADA'!#REF!,"AAAAAHh3J1s=")</f>
        <v>#REF!</v>
      </c>
      <c r="CO351" t="e">
        <f>AND('PROG FORMACIÓN TITULADA'!#REF!,"AAAAAHh3J1w=")</f>
        <v>#REF!</v>
      </c>
      <c r="CP351" t="e">
        <f>AND('PROG FORMACIÓN TITULADA'!#REF!,"AAAAAHh3J10=")</f>
        <v>#REF!</v>
      </c>
      <c r="CQ351" t="e">
        <f>AND('PROG FORMACIÓN TITULADA'!#REF!,"AAAAAHh3J14=")</f>
        <v>#REF!</v>
      </c>
      <c r="CR351" t="e">
        <f>AND('PROG FORMACIÓN TITULADA'!#REF!,"AAAAAHh3J18=")</f>
        <v>#REF!</v>
      </c>
      <c r="CS351" t="e">
        <f>AND('PROG FORMACIÓN TITULADA'!#REF!,"AAAAAHh3J2A=")</f>
        <v>#REF!</v>
      </c>
      <c r="CT351" t="e">
        <f>AND('PROG FORMACIÓN TITULADA'!#REF!,"AAAAAHh3J2E=")</f>
        <v>#REF!</v>
      </c>
      <c r="CU351" t="e">
        <f>AND('PROG FORMACIÓN TITULADA'!#REF!,"AAAAAHh3J2I=")</f>
        <v>#REF!</v>
      </c>
      <c r="CV351" t="e">
        <f>AND('PROG FORMACIÓN TITULADA'!#REF!,"AAAAAHh3J2M=")</f>
        <v>#REF!</v>
      </c>
      <c r="CW351" t="e">
        <f>AND('PROG FORMACIÓN TITULADA'!#REF!,"AAAAAHh3J2Q=")</f>
        <v>#REF!</v>
      </c>
      <c r="CX351" t="e">
        <f>AND('PROG FORMACIÓN TITULADA'!#REF!,"AAAAAHh3J2U=")</f>
        <v>#REF!</v>
      </c>
      <c r="CY351" t="e">
        <f>AND('PROG FORMACIÓN TITULADA'!#REF!,"AAAAAHh3J2Y=")</f>
        <v>#REF!</v>
      </c>
      <c r="CZ351" t="e">
        <f>AND('PROG FORMACIÓN TITULADA'!#REF!,"AAAAAHh3J2c=")</f>
        <v>#REF!</v>
      </c>
      <c r="DA351" t="e">
        <f>AND('PROG FORMACIÓN TITULADA'!#REF!,"AAAAAHh3J2g=")</f>
        <v>#REF!</v>
      </c>
      <c r="DB351" t="e">
        <f>AND('PROG FORMACIÓN TITULADA'!#REF!,"AAAAAHh3J2k=")</f>
        <v>#REF!</v>
      </c>
      <c r="DC351" t="e">
        <f>AND('PROG FORMACIÓN TITULADA'!#REF!,"AAAAAHh3J2o=")</f>
        <v>#REF!</v>
      </c>
      <c r="DD351" t="e">
        <f>AND('PROG FORMACIÓN TITULADA'!#REF!,"AAAAAHh3J2s=")</f>
        <v>#REF!</v>
      </c>
      <c r="DE351" t="e">
        <f>AND('PROG FORMACIÓN TITULADA'!#REF!,"AAAAAHh3J2w=")</f>
        <v>#REF!</v>
      </c>
      <c r="DF351" t="e">
        <f>IF('PROG FORMACIÓN TITULADA'!#REF!,"AAAAAHh3J20=",0)</f>
        <v>#REF!</v>
      </c>
      <c r="DG351" t="e">
        <f>AND('PROG FORMACIÓN TITULADA'!#REF!,"AAAAAHh3J24=")</f>
        <v>#REF!</v>
      </c>
      <c r="DH351" t="e">
        <f>AND('PROG FORMACIÓN TITULADA'!#REF!,"AAAAAHh3J28=")</f>
        <v>#REF!</v>
      </c>
      <c r="DI351" t="e">
        <f>AND('PROG FORMACIÓN TITULADA'!#REF!,"AAAAAHh3J3A=")</f>
        <v>#REF!</v>
      </c>
      <c r="DJ351" t="e">
        <f>AND('PROG FORMACIÓN TITULADA'!#REF!,"AAAAAHh3J3E=")</f>
        <v>#REF!</v>
      </c>
      <c r="DK351" t="e">
        <f>AND('PROG FORMACIÓN TITULADA'!#REF!,"AAAAAHh3J3I=")</f>
        <v>#REF!</v>
      </c>
      <c r="DL351" t="e">
        <f>AND('PROG FORMACIÓN TITULADA'!#REF!,"AAAAAHh3J3M=")</f>
        <v>#REF!</v>
      </c>
      <c r="DM351" t="e">
        <f>AND('PROG FORMACIÓN TITULADA'!#REF!,"AAAAAHh3J3Q=")</f>
        <v>#REF!</v>
      </c>
      <c r="DN351" t="e">
        <f>AND('PROG FORMACIÓN TITULADA'!#REF!,"AAAAAHh3J3U=")</f>
        <v>#REF!</v>
      </c>
      <c r="DO351" t="e">
        <f>AND('PROG FORMACIÓN TITULADA'!#REF!,"AAAAAHh3J3Y=")</f>
        <v>#REF!</v>
      </c>
      <c r="DP351" t="e">
        <f>AND('PROG FORMACIÓN TITULADA'!#REF!,"AAAAAHh3J3c=")</f>
        <v>#REF!</v>
      </c>
      <c r="DQ351" t="e">
        <f>AND('PROG FORMACIÓN TITULADA'!#REF!,"AAAAAHh3J3g=")</f>
        <v>#REF!</v>
      </c>
      <c r="DR351" t="e">
        <f>AND('PROG FORMACIÓN TITULADA'!#REF!,"AAAAAHh3J3k=")</f>
        <v>#REF!</v>
      </c>
      <c r="DS351" t="e">
        <f>AND('PROG FORMACIÓN TITULADA'!#REF!,"AAAAAHh3J3o=")</f>
        <v>#REF!</v>
      </c>
      <c r="DT351" t="e">
        <f>AND('PROG FORMACIÓN TITULADA'!#REF!,"AAAAAHh3J3s=")</f>
        <v>#REF!</v>
      </c>
      <c r="DU351" t="e">
        <f>AND('PROG FORMACIÓN TITULADA'!#REF!,"AAAAAHh3J3w=")</f>
        <v>#REF!</v>
      </c>
      <c r="DV351" t="e">
        <f>AND('PROG FORMACIÓN TITULADA'!#REF!,"AAAAAHh3J30=")</f>
        <v>#REF!</v>
      </c>
      <c r="DW351" t="e">
        <f>AND('PROG FORMACIÓN TITULADA'!#REF!,"AAAAAHh3J34=")</f>
        <v>#REF!</v>
      </c>
      <c r="DX351" t="e">
        <f>AND('PROG FORMACIÓN TITULADA'!#REF!,"AAAAAHh3J38=")</f>
        <v>#REF!</v>
      </c>
      <c r="DY351" t="e">
        <f>AND('PROG FORMACIÓN TITULADA'!#REF!,"AAAAAHh3J4A=")</f>
        <v>#REF!</v>
      </c>
      <c r="DZ351" t="e">
        <f>AND('PROG FORMACIÓN TITULADA'!#REF!,"AAAAAHh3J4E=")</f>
        <v>#REF!</v>
      </c>
      <c r="EA351" t="e">
        <f>AND('PROG FORMACIÓN TITULADA'!#REF!,"AAAAAHh3J4I=")</f>
        <v>#REF!</v>
      </c>
      <c r="EB351" t="e">
        <f>AND('PROG FORMACIÓN TITULADA'!#REF!,"AAAAAHh3J4M=")</f>
        <v>#REF!</v>
      </c>
      <c r="EC351" t="e">
        <f>AND('PROG FORMACIÓN TITULADA'!#REF!,"AAAAAHh3J4Q=")</f>
        <v>#REF!</v>
      </c>
      <c r="ED351" t="e">
        <f>AND('PROG FORMACIÓN TITULADA'!#REF!,"AAAAAHh3J4U=")</f>
        <v>#REF!</v>
      </c>
      <c r="EE351" t="e">
        <f>AND('PROG FORMACIÓN TITULADA'!#REF!,"AAAAAHh3J4Y=")</f>
        <v>#REF!</v>
      </c>
      <c r="EF351" t="e">
        <f>AND('PROG FORMACIÓN TITULADA'!#REF!,"AAAAAHh3J4c=")</f>
        <v>#REF!</v>
      </c>
      <c r="EG351" t="e">
        <f>IF('PROG FORMACIÓN TITULADA'!#REF!,"AAAAAHh3J4g=",0)</f>
        <v>#REF!</v>
      </c>
      <c r="EH351" t="e">
        <f>AND('PROG FORMACIÓN TITULADA'!#REF!,"AAAAAHh3J4k=")</f>
        <v>#REF!</v>
      </c>
      <c r="EI351" t="e">
        <f>AND('PROG FORMACIÓN TITULADA'!#REF!,"AAAAAHh3J4o=")</f>
        <v>#REF!</v>
      </c>
      <c r="EJ351" t="e">
        <f>AND('PROG FORMACIÓN TITULADA'!#REF!,"AAAAAHh3J4s=")</f>
        <v>#REF!</v>
      </c>
      <c r="EK351" t="e">
        <f>AND('PROG FORMACIÓN TITULADA'!#REF!,"AAAAAHh3J4w=")</f>
        <v>#REF!</v>
      </c>
      <c r="EL351" t="e">
        <f>AND('PROG FORMACIÓN TITULADA'!#REF!,"AAAAAHh3J40=")</f>
        <v>#REF!</v>
      </c>
      <c r="EM351" t="e">
        <f>AND('PROG FORMACIÓN TITULADA'!#REF!,"AAAAAHh3J44=")</f>
        <v>#REF!</v>
      </c>
      <c r="EN351" t="e">
        <f>AND('PROG FORMACIÓN TITULADA'!#REF!,"AAAAAHh3J48=")</f>
        <v>#REF!</v>
      </c>
      <c r="EO351" t="e">
        <f>AND('PROG FORMACIÓN TITULADA'!#REF!,"AAAAAHh3J5A=")</f>
        <v>#REF!</v>
      </c>
      <c r="EP351" t="e">
        <f>AND('PROG FORMACIÓN TITULADA'!#REF!,"AAAAAHh3J5E=")</f>
        <v>#REF!</v>
      </c>
      <c r="EQ351" t="e">
        <f>AND('PROG FORMACIÓN TITULADA'!#REF!,"AAAAAHh3J5I=")</f>
        <v>#REF!</v>
      </c>
      <c r="ER351" t="e">
        <f>AND('PROG FORMACIÓN TITULADA'!#REF!,"AAAAAHh3J5M=")</f>
        <v>#REF!</v>
      </c>
      <c r="ES351" t="e">
        <f>AND('PROG FORMACIÓN TITULADA'!#REF!,"AAAAAHh3J5Q=")</f>
        <v>#REF!</v>
      </c>
      <c r="ET351" t="e">
        <f>AND('PROG FORMACIÓN TITULADA'!#REF!,"AAAAAHh3J5U=")</f>
        <v>#REF!</v>
      </c>
      <c r="EU351" t="e">
        <f>AND('PROG FORMACIÓN TITULADA'!#REF!,"AAAAAHh3J5Y=")</f>
        <v>#REF!</v>
      </c>
      <c r="EV351" t="e">
        <f>AND('PROG FORMACIÓN TITULADA'!#REF!,"AAAAAHh3J5c=")</f>
        <v>#REF!</v>
      </c>
      <c r="EW351" t="e">
        <f>AND('PROG FORMACIÓN TITULADA'!#REF!,"AAAAAHh3J5g=")</f>
        <v>#REF!</v>
      </c>
      <c r="EX351" t="e">
        <f>AND('PROG FORMACIÓN TITULADA'!#REF!,"AAAAAHh3J5k=")</f>
        <v>#REF!</v>
      </c>
      <c r="EY351" t="e">
        <f>AND('PROG FORMACIÓN TITULADA'!#REF!,"AAAAAHh3J5o=")</f>
        <v>#REF!</v>
      </c>
      <c r="EZ351" t="e">
        <f>AND('PROG FORMACIÓN TITULADA'!#REF!,"AAAAAHh3J5s=")</f>
        <v>#REF!</v>
      </c>
      <c r="FA351" t="e">
        <f>AND('PROG FORMACIÓN TITULADA'!#REF!,"AAAAAHh3J5w=")</f>
        <v>#REF!</v>
      </c>
      <c r="FB351" t="e">
        <f>AND('PROG FORMACIÓN TITULADA'!#REF!,"AAAAAHh3J50=")</f>
        <v>#REF!</v>
      </c>
      <c r="FC351" t="e">
        <f>AND('PROG FORMACIÓN TITULADA'!#REF!,"AAAAAHh3J54=")</f>
        <v>#REF!</v>
      </c>
      <c r="FD351" t="e">
        <f>AND('PROG FORMACIÓN TITULADA'!#REF!,"AAAAAHh3J58=")</f>
        <v>#REF!</v>
      </c>
      <c r="FE351" t="e">
        <f>AND('PROG FORMACIÓN TITULADA'!#REF!,"AAAAAHh3J6A=")</f>
        <v>#REF!</v>
      </c>
      <c r="FF351" t="e">
        <f>AND('PROG FORMACIÓN TITULADA'!#REF!,"AAAAAHh3J6E=")</f>
        <v>#REF!</v>
      </c>
      <c r="FG351" t="e">
        <f>AND('PROG FORMACIÓN TITULADA'!#REF!,"AAAAAHh3J6I=")</f>
        <v>#REF!</v>
      </c>
      <c r="FH351" t="e">
        <f>IF('PROG FORMACIÓN TITULADA'!#REF!,"AAAAAHh3J6M=",0)</f>
        <v>#REF!</v>
      </c>
      <c r="FI351" t="e">
        <f>AND('PROG FORMACIÓN TITULADA'!#REF!,"AAAAAHh3J6Q=")</f>
        <v>#REF!</v>
      </c>
      <c r="FJ351" t="e">
        <f>AND('PROG FORMACIÓN TITULADA'!#REF!,"AAAAAHh3J6U=")</f>
        <v>#REF!</v>
      </c>
      <c r="FK351" t="e">
        <f>AND('PROG FORMACIÓN TITULADA'!#REF!,"AAAAAHh3J6Y=")</f>
        <v>#REF!</v>
      </c>
      <c r="FL351" t="e">
        <f>AND('PROG FORMACIÓN TITULADA'!#REF!,"AAAAAHh3J6c=")</f>
        <v>#REF!</v>
      </c>
      <c r="FM351" t="e">
        <f>AND('PROG FORMACIÓN TITULADA'!#REF!,"AAAAAHh3J6g=")</f>
        <v>#REF!</v>
      </c>
      <c r="FN351" t="e">
        <f>AND('PROG FORMACIÓN TITULADA'!#REF!,"AAAAAHh3J6k=")</f>
        <v>#REF!</v>
      </c>
      <c r="FO351" t="e">
        <f>AND('PROG FORMACIÓN TITULADA'!#REF!,"AAAAAHh3J6o=")</f>
        <v>#REF!</v>
      </c>
      <c r="FP351" t="e">
        <f>AND('PROG FORMACIÓN TITULADA'!#REF!,"AAAAAHh3J6s=")</f>
        <v>#REF!</v>
      </c>
      <c r="FQ351" t="e">
        <f>AND('PROG FORMACIÓN TITULADA'!#REF!,"AAAAAHh3J6w=")</f>
        <v>#REF!</v>
      </c>
      <c r="FR351" t="e">
        <f>AND('PROG FORMACIÓN TITULADA'!#REF!,"AAAAAHh3J60=")</f>
        <v>#REF!</v>
      </c>
      <c r="FS351" t="e">
        <f>AND('PROG FORMACIÓN TITULADA'!#REF!,"AAAAAHh3J64=")</f>
        <v>#REF!</v>
      </c>
      <c r="FT351" t="e">
        <f>AND('PROG FORMACIÓN TITULADA'!#REF!,"AAAAAHh3J68=")</f>
        <v>#REF!</v>
      </c>
      <c r="FU351" t="e">
        <f>AND('PROG FORMACIÓN TITULADA'!#REF!,"AAAAAHh3J7A=")</f>
        <v>#REF!</v>
      </c>
      <c r="FV351" t="e">
        <f>AND('PROG FORMACIÓN TITULADA'!#REF!,"AAAAAHh3J7E=")</f>
        <v>#REF!</v>
      </c>
      <c r="FW351" t="e">
        <f>AND('PROG FORMACIÓN TITULADA'!#REF!,"AAAAAHh3J7I=")</f>
        <v>#REF!</v>
      </c>
      <c r="FX351" t="e">
        <f>AND('PROG FORMACIÓN TITULADA'!#REF!,"AAAAAHh3J7M=")</f>
        <v>#REF!</v>
      </c>
      <c r="FY351" t="e">
        <f>AND('PROG FORMACIÓN TITULADA'!#REF!,"AAAAAHh3J7Q=")</f>
        <v>#REF!</v>
      </c>
      <c r="FZ351" t="e">
        <f>AND('PROG FORMACIÓN TITULADA'!#REF!,"AAAAAHh3J7U=")</f>
        <v>#REF!</v>
      </c>
      <c r="GA351" t="e">
        <f>AND('PROG FORMACIÓN TITULADA'!#REF!,"AAAAAHh3J7Y=")</f>
        <v>#REF!</v>
      </c>
      <c r="GB351" t="e">
        <f>AND('PROG FORMACIÓN TITULADA'!#REF!,"AAAAAHh3J7c=")</f>
        <v>#REF!</v>
      </c>
      <c r="GC351" t="e">
        <f>AND('PROG FORMACIÓN TITULADA'!#REF!,"AAAAAHh3J7g=")</f>
        <v>#REF!</v>
      </c>
      <c r="GD351" t="e">
        <f>AND('PROG FORMACIÓN TITULADA'!#REF!,"AAAAAHh3J7k=")</f>
        <v>#REF!</v>
      </c>
      <c r="GE351" t="e">
        <f>AND('PROG FORMACIÓN TITULADA'!#REF!,"AAAAAHh3J7o=")</f>
        <v>#REF!</v>
      </c>
      <c r="GF351" t="e">
        <f>AND('PROG FORMACIÓN TITULADA'!#REF!,"AAAAAHh3J7s=")</f>
        <v>#REF!</v>
      </c>
      <c r="GG351" t="e">
        <f>AND('PROG FORMACIÓN TITULADA'!#REF!,"AAAAAHh3J7w=")</f>
        <v>#REF!</v>
      </c>
      <c r="GH351" t="e">
        <f>AND('PROG FORMACIÓN TITULADA'!#REF!,"AAAAAHh3J70=")</f>
        <v>#REF!</v>
      </c>
      <c r="GI351" t="e">
        <f>IF('PROG FORMACIÓN TITULADA'!#REF!,"AAAAAHh3J74=",0)</f>
        <v>#REF!</v>
      </c>
      <c r="GJ351" t="e">
        <f>AND('PROG FORMACIÓN TITULADA'!#REF!,"AAAAAHh3J78=")</f>
        <v>#REF!</v>
      </c>
      <c r="GK351" t="e">
        <f>AND('PROG FORMACIÓN TITULADA'!#REF!,"AAAAAHh3J8A=")</f>
        <v>#REF!</v>
      </c>
      <c r="GL351" t="e">
        <f>AND('PROG FORMACIÓN TITULADA'!#REF!,"AAAAAHh3J8E=")</f>
        <v>#REF!</v>
      </c>
      <c r="GM351" t="e">
        <f>AND('PROG FORMACIÓN TITULADA'!#REF!,"AAAAAHh3J8I=")</f>
        <v>#REF!</v>
      </c>
      <c r="GN351" t="e">
        <f>AND('PROG FORMACIÓN TITULADA'!#REF!,"AAAAAHh3J8M=")</f>
        <v>#REF!</v>
      </c>
      <c r="GO351" t="e">
        <f>AND('PROG FORMACIÓN TITULADA'!#REF!,"AAAAAHh3J8Q=")</f>
        <v>#REF!</v>
      </c>
      <c r="GP351" t="e">
        <f>AND('PROG FORMACIÓN TITULADA'!#REF!,"AAAAAHh3J8U=")</f>
        <v>#REF!</v>
      </c>
      <c r="GQ351" t="e">
        <f>AND('PROG FORMACIÓN TITULADA'!#REF!,"AAAAAHh3J8Y=")</f>
        <v>#REF!</v>
      </c>
      <c r="GR351" t="e">
        <f>AND('PROG FORMACIÓN TITULADA'!#REF!,"AAAAAHh3J8c=")</f>
        <v>#REF!</v>
      </c>
      <c r="GS351" t="e">
        <f>AND('PROG FORMACIÓN TITULADA'!#REF!,"AAAAAHh3J8g=")</f>
        <v>#REF!</v>
      </c>
      <c r="GT351" t="e">
        <f>AND('PROG FORMACIÓN TITULADA'!#REF!,"AAAAAHh3J8k=")</f>
        <v>#REF!</v>
      </c>
      <c r="GU351" t="e">
        <f>AND('PROG FORMACIÓN TITULADA'!#REF!,"AAAAAHh3J8o=")</f>
        <v>#REF!</v>
      </c>
      <c r="GV351" t="e">
        <f>AND('PROG FORMACIÓN TITULADA'!#REF!,"AAAAAHh3J8s=")</f>
        <v>#REF!</v>
      </c>
      <c r="GW351" t="e">
        <f>AND('PROG FORMACIÓN TITULADA'!#REF!,"AAAAAHh3J8w=")</f>
        <v>#REF!</v>
      </c>
      <c r="GX351" t="e">
        <f>AND('PROG FORMACIÓN TITULADA'!#REF!,"AAAAAHh3J80=")</f>
        <v>#REF!</v>
      </c>
      <c r="GY351" t="e">
        <f>AND('PROG FORMACIÓN TITULADA'!#REF!,"AAAAAHh3J84=")</f>
        <v>#REF!</v>
      </c>
      <c r="GZ351" t="e">
        <f>AND('PROG FORMACIÓN TITULADA'!#REF!,"AAAAAHh3J88=")</f>
        <v>#REF!</v>
      </c>
      <c r="HA351" t="e">
        <f>AND('PROG FORMACIÓN TITULADA'!#REF!,"AAAAAHh3J9A=")</f>
        <v>#REF!</v>
      </c>
      <c r="HB351" t="e">
        <f>AND('PROG FORMACIÓN TITULADA'!#REF!,"AAAAAHh3J9E=")</f>
        <v>#REF!</v>
      </c>
      <c r="HC351" t="e">
        <f>AND('PROG FORMACIÓN TITULADA'!#REF!,"AAAAAHh3J9I=")</f>
        <v>#REF!</v>
      </c>
      <c r="HD351" t="e">
        <f>AND('PROG FORMACIÓN TITULADA'!#REF!,"AAAAAHh3J9M=")</f>
        <v>#REF!</v>
      </c>
      <c r="HE351" t="e">
        <f>AND('PROG FORMACIÓN TITULADA'!#REF!,"AAAAAHh3J9Q=")</f>
        <v>#REF!</v>
      </c>
      <c r="HF351" t="e">
        <f>AND('PROG FORMACIÓN TITULADA'!#REF!,"AAAAAHh3J9U=")</f>
        <v>#REF!</v>
      </c>
      <c r="HG351" t="e">
        <f>AND('PROG FORMACIÓN TITULADA'!#REF!,"AAAAAHh3J9Y=")</f>
        <v>#REF!</v>
      </c>
      <c r="HH351" t="e">
        <f>AND('PROG FORMACIÓN TITULADA'!#REF!,"AAAAAHh3J9c=")</f>
        <v>#REF!</v>
      </c>
      <c r="HI351" t="e">
        <f>AND('PROG FORMACIÓN TITULADA'!#REF!,"AAAAAHh3J9g=")</f>
        <v>#REF!</v>
      </c>
      <c r="HJ351" t="e">
        <f>IF('PROG FORMACIÓN TITULADA'!#REF!,"AAAAAHh3J9k=",0)</f>
        <v>#REF!</v>
      </c>
      <c r="HK351" t="e">
        <f>AND('PROG FORMACIÓN TITULADA'!#REF!,"AAAAAHh3J9o=")</f>
        <v>#REF!</v>
      </c>
      <c r="HL351" t="e">
        <f>AND('PROG FORMACIÓN TITULADA'!#REF!,"AAAAAHh3J9s=")</f>
        <v>#REF!</v>
      </c>
      <c r="HM351" t="e">
        <f>AND('PROG FORMACIÓN TITULADA'!#REF!,"AAAAAHh3J9w=")</f>
        <v>#REF!</v>
      </c>
      <c r="HN351" t="e">
        <f>AND('PROG FORMACIÓN TITULADA'!#REF!,"AAAAAHh3J90=")</f>
        <v>#REF!</v>
      </c>
      <c r="HO351" t="e">
        <f>AND('PROG FORMACIÓN TITULADA'!#REF!,"AAAAAHh3J94=")</f>
        <v>#REF!</v>
      </c>
      <c r="HP351" t="e">
        <f>AND('PROG FORMACIÓN TITULADA'!#REF!,"AAAAAHh3J98=")</f>
        <v>#REF!</v>
      </c>
      <c r="HQ351" t="e">
        <f>AND('PROG FORMACIÓN TITULADA'!#REF!,"AAAAAHh3J+A=")</f>
        <v>#REF!</v>
      </c>
      <c r="HR351" t="e">
        <f>AND('PROG FORMACIÓN TITULADA'!#REF!,"AAAAAHh3J+E=")</f>
        <v>#REF!</v>
      </c>
      <c r="HS351" t="e">
        <f>AND('PROG FORMACIÓN TITULADA'!#REF!,"AAAAAHh3J+I=")</f>
        <v>#REF!</v>
      </c>
      <c r="HT351" t="e">
        <f>AND('PROG FORMACIÓN TITULADA'!#REF!,"AAAAAHh3J+M=")</f>
        <v>#REF!</v>
      </c>
      <c r="HU351" t="e">
        <f>AND('PROG FORMACIÓN TITULADA'!#REF!,"AAAAAHh3J+Q=")</f>
        <v>#REF!</v>
      </c>
      <c r="HV351" t="e">
        <f>AND('PROG FORMACIÓN TITULADA'!#REF!,"AAAAAHh3J+U=")</f>
        <v>#REF!</v>
      </c>
      <c r="HW351" t="e">
        <f>AND('PROG FORMACIÓN TITULADA'!#REF!,"AAAAAHh3J+Y=")</f>
        <v>#REF!</v>
      </c>
      <c r="HX351" t="e">
        <f>AND('PROG FORMACIÓN TITULADA'!#REF!,"AAAAAHh3J+c=")</f>
        <v>#REF!</v>
      </c>
      <c r="HY351" t="e">
        <f>AND('PROG FORMACIÓN TITULADA'!#REF!,"AAAAAHh3J+g=")</f>
        <v>#REF!</v>
      </c>
      <c r="HZ351" t="e">
        <f>AND('PROG FORMACIÓN TITULADA'!#REF!,"AAAAAHh3J+k=")</f>
        <v>#REF!</v>
      </c>
      <c r="IA351" t="e">
        <f>AND('PROG FORMACIÓN TITULADA'!#REF!,"AAAAAHh3J+o=")</f>
        <v>#REF!</v>
      </c>
      <c r="IB351" t="e">
        <f>AND('PROG FORMACIÓN TITULADA'!#REF!,"AAAAAHh3J+s=")</f>
        <v>#REF!</v>
      </c>
      <c r="IC351" t="e">
        <f>AND('PROG FORMACIÓN TITULADA'!#REF!,"AAAAAHh3J+w=")</f>
        <v>#REF!</v>
      </c>
      <c r="ID351" t="e">
        <f>AND('PROG FORMACIÓN TITULADA'!#REF!,"AAAAAHh3J+0=")</f>
        <v>#REF!</v>
      </c>
      <c r="IE351" t="e">
        <f>AND('PROG FORMACIÓN TITULADA'!#REF!,"AAAAAHh3J+4=")</f>
        <v>#REF!</v>
      </c>
      <c r="IF351" t="e">
        <f>AND('PROG FORMACIÓN TITULADA'!#REF!,"AAAAAHh3J+8=")</f>
        <v>#REF!</v>
      </c>
      <c r="IG351" t="e">
        <f>AND('PROG FORMACIÓN TITULADA'!#REF!,"AAAAAHh3J/A=")</f>
        <v>#REF!</v>
      </c>
      <c r="IH351" t="e">
        <f>AND('PROG FORMACIÓN TITULADA'!#REF!,"AAAAAHh3J/E=")</f>
        <v>#REF!</v>
      </c>
      <c r="II351" t="e">
        <f>AND('PROG FORMACIÓN TITULADA'!#REF!,"AAAAAHh3J/I=")</f>
        <v>#REF!</v>
      </c>
      <c r="IJ351" t="e">
        <f>AND('PROG FORMACIÓN TITULADA'!#REF!,"AAAAAHh3J/M=")</f>
        <v>#REF!</v>
      </c>
      <c r="IK351" t="e">
        <f>IF('PROG FORMACIÓN TITULADA'!#REF!,"AAAAAHh3J/Q=",0)</f>
        <v>#REF!</v>
      </c>
      <c r="IL351" t="e">
        <f>AND('PROG FORMACIÓN TITULADA'!#REF!,"AAAAAHh3J/U=")</f>
        <v>#REF!</v>
      </c>
      <c r="IM351" t="e">
        <f>AND('PROG FORMACIÓN TITULADA'!#REF!,"AAAAAHh3J/Y=")</f>
        <v>#REF!</v>
      </c>
      <c r="IN351" t="e">
        <f>AND('PROG FORMACIÓN TITULADA'!#REF!,"AAAAAHh3J/c=")</f>
        <v>#REF!</v>
      </c>
      <c r="IO351" t="e">
        <f>AND('PROG FORMACIÓN TITULADA'!#REF!,"AAAAAHh3J/g=")</f>
        <v>#REF!</v>
      </c>
      <c r="IP351" t="e">
        <f>AND('PROG FORMACIÓN TITULADA'!#REF!,"AAAAAHh3J/k=")</f>
        <v>#REF!</v>
      </c>
      <c r="IQ351" t="e">
        <f>AND('PROG FORMACIÓN TITULADA'!#REF!,"AAAAAHh3J/o=")</f>
        <v>#REF!</v>
      </c>
      <c r="IR351" t="e">
        <f>AND('PROG FORMACIÓN TITULADA'!#REF!,"AAAAAHh3J/s=")</f>
        <v>#REF!</v>
      </c>
      <c r="IS351" t="e">
        <f>AND('PROG FORMACIÓN TITULADA'!#REF!,"AAAAAHh3J/w=")</f>
        <v>#REF!</v>
      </c>
      <c r="IT351" t="e">
        <f>AND('PROG FORMACIÓN TITULADA'!#REF!,"AAAAAHh3J/0=")</f>
        <v>#REF!</v>
      </c>
      <c r="IU351" t="e">
        <f>AND('PROG FORMACIÓN TITULADA'!#REF!,"AAAAAHh3J/4=")</f>
        <v>#REF!</v>
      </c>
      <c r="IV351" t="e">
        <f>AND('PROG FORMACIÓN TITULADA'!#REF!,"AAAAAHh3J/8=")</f>
        <v>#REF!</v>
      </c>
    </row>
    <row r="352" spans="1:256" x14ac:dyDescent="0.2">
      <c r="A352" t="e">
        <f>AND('PROG FORMACIÓN TITULADA'!#REF!,"AAAAAGuPDwA=")</f>
        <v>#REF!</v>
      </c>
      <c r="B352" t="e">
        <f>AND('PROG FORMACIÓN TITULADA'!#REF!,"AAAAAGuPDwE=")</f>
        <v>#REF!</v>
      </c>
      <c r="C352" t="e">
        <f>AND('PROG FORMACIÓN TITULADA'!#REF!,"AAAAAGuPDwI=")</f>
        <v>#REF!</v>
      </c>
      <c r="D352" t="e">
        <f>AND('PROG FORMACIÓN TITULADA'!#REF!,"AAAAAGuPDwM=")</f>
        <v>#REF!</v>
      </c>
      <c r="E352" t="e">
        <f>AND('PROG FORMACIÓN TITULADA'!#REF!,"AAAAAGuPDwQ=")</f>
        <v>#REF!</v>
      </c>
      <c r="F352" t="e">
        <f>AND('PROG FORMACIÓN TITULADA'!#REF!,"AAAAAGuPDwU=")</f>
        <v>#REF!</v>
      </c>
      <c r="G352" t="e">
        <f>AND('PROG FORMACIÓN TITULADA'!#REF!,"AAAAAGuPDwY=")</f>
        <v>#REF!</v>
      </c>
      <c r="H352" t="e">
        <f>AND('PROG FORMACIÓN TITULADA'!#REF!,"AAAAAGuPDwc=")</f>
        <v>#REF!</v>
      </c>
      <c r="I352" t="e">
        <f>AND('PROG FORMACIÓN TITULADA'!#REF!,"AAAAAGuPDwg=")</f>
        <v>#REF!</v>
      </c>
      <c r="J352" t="e">
        <f>AND('PROG FORMACIÓN TITULADA'!#REF!,"AAAAAGuPDwk=")</f>
        <v>#REF!</v>
      </c>
      <c r="K352" t="e">
        <f>AND('PROG FORMACIÓN TITULADA'!#REF!,"AAAAAGuPDwo=")</f>
        <v>#REF!</v>
      </c>
      <c r="L352" t="e">
        <f>AND('PROG FORMACIÓN TITULADA'!#REF!,"AAAAAGuPDws=")</f>
        <v>#REF!</v>
      </c>
      <c r="M352" t="e">
        <f>AND('PROG FORMACIÓN TITULADA'!#REF!,"AAAAAGuPDww=")</f>
        <v>#REF!</v>
      </c>
      <c r="N352" t="e">
        <f>AND('PROG FORMACIÓN TITULADA'!#REF!,"AAAAAGuPDw0=")</f>
        <v>#REF!</v>
      </c>
      <c r="O352" t="e">
        <f>AND('PROG FORMACIÓN TITULADA'!#REF!,"AAAAAGuPDw4=")</f>
        <v>#REF!</v>
      </c>
      <c r="P352" t="e">
        <f>IF('PROG FORMACIÓN TITULADA'!#REF!,"AAAAAGuPDw8=",0)</f>
        <v>#REF!</v>
      </c>
      <c r="Q352" t="e">
        <f>AND('PROG FORMACIÓN TITULADA'!#REF!,"AAAAAGuPDxA=")</f>
        <v>#REF!</v>
      </c>
      <c r="R352" t="e">
        <f>AND('PROG FORMACIÓN TITULADA'!#REF!,"AAAAAGuPDxE=")</f>
        <v>#REF!</v>
      </c>
      <c r="S352" t="e">
        <f>AND('PROG FORMACIÓN TITULADA'!#REF!,"AAAAAGuPDxI=")</f>
        <v>#REF!</v>
      </c>
      <c r="T352" t="e">
        <f>AND('PROG FORMACIÓN TITULADA'!#REF!,"AAAAAGuPDxM=")</f>
        <v>#REF!</v>
      </c>
      <c r="U352" t="e">
        <f>AND('PROG FORMACIÓN TITULADA'!#REF!,"AAAAAGuPDxQ=")</f>
        <v>#REF!</v>
      </c>
      <c r="V352" t="e">
        <f>AND('PROG FORMACIÓN TITULADA'!#REF!,"AAAAAGuPDxU=")</f>
        <v>#REF!</v>
      </c>
      <c r="W352" t="e">
        <f>AND('PROG FORMACIÓN TITULADA'!#REF!,"AAAAAGuPDxY=")</f>
        <v>#REF!</v>
      </c>
      <c r="X352" t="e">
        <f>AND('PROG FORMACIÓN TITULADA'!#REF!,"AAAAAGuPDxc=")</f>
        <v>#REF!</v>
      </c>
      <c r="Y352" t="e">
        <f>AND('PROG FORMACIÓN TITULADA'!#REF!,"AAAAAGuPDxg=")</f>
        <v>#REF!</v>
      </c>
      <c r="Z352" t="e">
        <f>AND('PROG FORMACIÓN TITULADA'!#REF!,"AAAAAGuPDxk=")</f>
        <v>#REF!</v>
      </c>
      <c r="AA352" t="e">
        <f>AND('PROG FORMACIÓN TITULADA'!#REF!,"AAAAAGuPDxo=")</f>
        <v>#REF!</v>
      </c>
      <c r="AB352" t="e">
        <f>AND('PROG FORMACIÓN TITULADA'!#REF!,"AAAAAGuPDxs=")</f>
        <v>#REF!</v>
      </c>
      <c r="AC352" t="e">
        <f>AND('PROG FORMACIÓN TITULADA'!#REF!,"AAAAAGuPDxw=")</f>
        <v>#REF!</v>
      </c>
      <c r="AD352" t="e">
        <f>AND('PROG FORMACIÓN TITULADA'!#REF!,"AAAAAGuPDx0=")</f>
        <v>#REF!</v>
      </c>
      <c r="AE352" t="e">
        <f>AND('PROG FORMACIÓN TITULADA'!#REF!,"AAAAAGuPDx4=")</f>
        <v>#REF!</v>
      </c>
      <c r="AF352" t="e">
        <f>AND('PROG FORMACIÓN TITULADA'!#REF!,"AAAAAGuPDx8=")</f>
        <v>#REF!</v>
      </c>
      <c r="AG352" t="e">
        <f>AND('PROG FORMACIÓN TITULADA'!#REF!,"AAAAAGuPDyA=")</f>
        <v>#REF!</v>
      </c>
      <c r="AH352" t="e">
        <f>AND('PROG FORMACIÓN TITULADA'!#REF!,"AAAAAGuPDyE=")</f>
        <v>#REF!</v>
      </c>
      <c r="AI352" t="e">
        <f>AND('PROG FORMACIÓN TITULADA'!#REF!,"AAAAAGuPDyI=")</f>
        <v>#REF!</v>
      </c>
      <c r="AJ352" t="e">
        <f>AND('PROG FORMACIÓN TITULADA'!#REF!,"AAAAAGuPDyM=")</f>
        <v>#REF!</v>
      </c>
      <c r="AK352" t="e">
        <f>AND('PROG FORMACIÓN TITULADA'!#REF!,"AAAAAGuPDyQ=")</f>
        <v>#REF!</v>
      </c>
      <c r="AL352" t="e">
        <f>AND('PROG FORMACIÓN TITULADA'!#REF!,"AAAAAGuPDyU=")</f>
        <v>#REF!</v>
      </c>
      <c r="AM352" t="e">
        <f>AND('PROG FORMACIÓN TITULADA'!#REF!,"AAAAAGuPDyY=")</f>
        <v>#REF!</v>
      </c>
      <c r="AN352" t="e">
        <f>AND('PROG FORMACIÓN TITULADA'!#REF!,"AAAAAGuPDyc=")</f>
        <v>#REF!</v>
      </c>
      <c r="AO352" t="e">
        <f>AND('PROG FORMACIÓN TITULADA'!#REF!,"AAAAAGuPDyg=")</f>
        <v>#REF!</v>
      </c>
      <c r="AP352" t="e">
        <f>AND('PROG FORMACIÓN TITULADA'!#REF!,"AAAAAGuPDyk=")</f>
        <v>#REF!</v>
      </c>
      <c r="AQ352" t="e">
        <f>IF('PROG FORMACIÓN TITULADA'!#REF!,"AAAAAGuPDyo=",0)</f>
        <v>#REF!</v>
      </c>
      <c r="AR352" t="e">
        <f>AND('PROG FORMACIÓN TITULADA'!#REF!,"AAAAAGuPDys=")</f>
        <v>#REF!</v>
      </c>
      <c r="AS352" t="e">
        <f>AND('PROG FORMACIÓN TITULADA'!#REF!,"AAAAAGuPDyw=")</f>
        <v>#REF!</v>
      </c>
      <c r="AT352" t="e">
        <f>AND('PROG FORMACIÓN TITULADA'!#REF!,"AAAAAGuPDy0=")</f>
        <v>#REF!</v>
      </c>
      <c r="AU352" t="e">
        <f>AND('PROG FORMACIÓN TITULADA'!#REF!,"AAAAAGuPDy4=")</f>
        <v>#REF!</v>
      </c>
      <c r="AV352" t="e">
        <f>AND('PROG FORMACIÓN TITULADA'!#REF!,"AAAAAGuPDy8=")</f>
        <v>#REF!</v>
      </c>
      <c r="AW352" t="e">
        <f>AND('PROG FORMACIÓN TITULADA'!#REF!,"AAAAAGuPDzA=")</f>
        <v>#REF!</v>
      </c>
      <c r="AX352" t="e">
        <f>AND('PROG FORMACIÓN TITULADA'!#REF!,"AAAAAGuPDzE=")</f>
        <v>#REF!</v>
      </c>
      <c r="AY352" t="e">
        <f>AND('PROG FORMACIÓN TITULADA'!#REF!,"AAAAAGuPDzI=")</f>
        <v>#REF!</v>
      </c>
      <c r="AZ352" t="e">
        <f>AND('PROG FORMACIÓN TITULADA'!#REF!,"AAAAAGuPDzM=")</f>
        <v>#REF!</v>
      </c>
      <c r="BA352" t="e">
        <f>AND('PROG FORMACIÓN TITULADA'!#REF!,"AAAAAGuPDzQ=")</f>
        <v>#REF!</v>
      </c>
      <c r="BB352" t="e">
        <f>AND('PROG FORMACIÓN TITULADA'!#REF!,"AAAAAGuPDzU=")</f>
        <v>#REF!</v>
      </c>
      <c r="BC352" t="e">
        <f>AND('PROG FORMACIÓN TITULADA'!#REF!,"AAAAAGuPDzY=")</f>
        <v>#REF!</v>
      </c>
      <c r="BD352" t="e">
        <f>AND('PROG FORMACIÓN TITULADA'!#REF!,"AAAAAGuPDzc=")</f>
        <v>#REF!</v>
      </c>
      <c r="BE352" t="e">
        <f>AND('PROG FORMACIÓN TITULADA'!#REF!,"AAAAAGuPDzg=")</f>
        <v>#REF!</v>
      </c>
      <c r="BF352" t="e">
        <f>AND('PROG FORMACIÓN TITULADA'!#REF!,"AAAAAGuPDzk=")</f>
        <v>#REF!</v>
      </c>
      <c r="BG352" t="e">
        <f>AND('PROG FORMACIÓN TITULADA'!#REF!,"AAAAAGuPDzo=")</f>
        <v>#REF!</v>
      </c>
      <c r="BH352" t="e">
        <f>AND('PROG FORMACIÓN TITULADA'!#REF!,"AAAAAGuPDzs=")</f>
        <v>#REF!</v>
      </c>
      <c r="BI352" t="e">
        <f>AND('PROG FORMACIÓN TITULADA'!#REF!,"AAAAAGuPDzw=")</f>
        <v>#REF!</v>
      </c>
      <c r="BJ352" t="e">
        <f>AND('PROG FORMACIÓN TITULADA'!#REF!,"AAAAAGuPDz0=")</f>
        <v>#REF!</v>
      </c>
      <c r="BK352" t="e">
        <f>AND('PROG FORMACIÓN TITULADA'!#REF!,"AAAAAGuPDz4=")</f>
        <v>#REF!</v>
      </c>
      <c r="BL352" t="e">
        <f>AND('PROG FORMACIÓN TITULADA'!#REF!,"AAAAAGuPDz8=")</f>
        <v>#REF!</v>
      </c>
      <c r="BM352" t="e">
        <f>AND('PROG FORMACIÓN TITULADA'!#REF!,"AAAAAGuPD0A=")</f>
        <v>#REF!</v>
      </c>
      <c r="BN352" t="e">
        <f>AND('PROG FORMACIÓN TITULADA'!#REF!,"AAAAAGuPD0E=")</f>
        <v>#REF!</v>
      </c>
      <c r="BO352" t="e">
        <f>AND('PROG FORMACIÓN TITULADA'!#REF!,"AAAAAGuPD0I=")</f>
        <v>#REF!</v>
      </c>
      <c r="BP352" t="e">
        <f>AND('PROG FORMACIÓN TITULADA'!#REF!,"AAAAAGuPD0M=")</f>
        <v>#REF!</v>
      </c>
      <c r="BQ352" t="e">
        <f>AND('PROG FORMACIÓN TITULADA'!#REF!,"AAAAAGuPD0Q=")</f>
        <v>#REF!</v>
      </c>
      <c r="BR352" t="e">
        <f>IF('PROG FORMACIÓN TITULADA'!#REF!,"AAAAAGuPD0U=",0)</f>
        <v>#REF!</v>
      </c>
      <c r="BS352" t="e">
        <f>AND('PROG FORMACIÓN TITULADA'!#REF!,"AAAAAGuPD0Y=")</f>
        <v>#REF!</v>
      </c>
      <c r="BT352" t="e">
        <f>AND('PROG FORMACIÓN TITULADA'!#REF!,"AAAAAGuPD0c=")</f>
        <v>#REF!</v>
      </c>
      <c r="BU352" t="e">
        <f>AND('PROG FORMACIÓN TITULADA'!#REF!,"AAAAAGuPD0g=")</f>
        <v>#REF!</v>
      </c>
      <c r="BV352" t="e">
        <f>AND('PROG FORMACIÓN TITULADA'!#REF!,"AAAAAGuPD0k=")</f>
        <v>#REF!</v>
      </c>
      <c r="BW352" t="e">
        <f>AND('PROG FORMACIÓN TITULADA'!#REF!,"AAAAAGuPD0o=")</f>
        <v>#REF!</v>
      </c>
      <c r="BX352" t="e">
        <f>AND('PROG FORMACIÓN TITULADA'!#REF!,"AAAAAGuPD0s=")</f>
        <v>#REF!</v>
      </c>
      <c r="BY352" t="e">
        <f>AND('PROG FORMACIÓN TITULADA'!#REF!,"AAAAAGuPD0w=")</f>
        <v>#REF!</v>
      </c>
      <c r="BZ352" t="e">
        <f>AND('PROG FORMACIÓN TITULADA'!#REF!,"AAAAAGuPD00=")</f>
        <v>#REF!</v>
      </c>
      <c r="CA352" t="e">
        <f>AND('PROG FORMACIÓN TITULADA'!#REF!,"AAAAAGuPD04=")</f>
        <v>#REF!</v>
      </c>
      <c r="CB352" t="e">
        <f>AND('PROG FORMACIÓN TITULADA'!#REF!,"AAAAAGuPD08=")</f>
        <v>#REF!</v>
      </c>
      <c r="CC352" t="e">
        <f>AND('PROG FORMACIÓN TITULADA'!#REF!,"AAAAAGuPD1A=")</f>
        <v>#REF!</v>
      </c>
      <c r="CD352" t="e">
        <f>AND('PROG FORMACIÓN TITULADA'!#REF!,"AAAAAGuPD1E=")</f>
        <v>#REF!</v>
      </c>
      <c r="CE352" t="e">
        <f>AND('PROG FORMACIÓN TITULADA'!#REF!,"AAAAAGuPD1I=")</f>
        <v>#REF!</v>
      </c>
      <c r="CF352" t="e">
        <f>AND('PROG FORMACIÓN TITULADA'!#REF!,"AAAAAGuPD1M=")</f>
        <v>#REF!</v>
      </c>
      <c r="CG352" t="e">
        <f>AND('PROG FORMACIÓN TITULADA'!#REF!,"AAAAAGuPD1Q=")</f>
        <v>#REF!</v>
      </c>
      <c r="CH352" t="e">
        <f>AND('PROG FORMACIÓN TITULADA'!#REF!,"AAAAAGuPD1U=")</f>
        <v>#REF!</v>
      </c>
      <c r="CI352" t="e">
        <f>AND('PROG FORMACIÓN TITULADA'!#REF!,"AAAAAGuPD1Y=")</f>
        <v>#REF!</v>
      </c>
      <c r="CJ352" t="e">
        <f>AND('PROG FORMACIÓN TITULADA'!#REF!,"AAAAAGuPD1c=")</f>
        <v>#REF!</v>
      </c>
      <c r="CK352" t="e">
        <f>AND('PROG FORMACIÓN TITULADA'!#REF!,"AAAAAGuPD1g=")</f>
        <v>#REF!</v>
      </c>
      <c r="CL352" t="e">
        <f>AND('PROG FORMACIÓN TITULADA'!#REF!,"AAAAAGuPD1k=")</f>
        <v>#REF!</v>
      </c>
      <c r="CM352" t="e">
        <f>AND('PROG FORMACIÓN TITULADA'!#REF!,"AAAAAGuPD1o=")</f>
        <v>#REF!</v>
      </c>
      <c r="CN352" t="e">
        <f>AND('PROG FORMACIÓN TITULADA'!#REF!,"AAAAAGuPD1s=")</f>
        <v>#REF!</v>
      </c>
      <c r="CO352" t="e">
        <f>AND('PROG FORMACIÓN TITULADA'!#REF!,"AAAAAGuPD1w=")</f>
        <v>#REF!</v>
      </c>
      <c r="CP352" t="e">
        <f>AND('PROG FORMACIÓN TITULADA'!#REF!,"AAAAAGuPD10=")</f>
        <v>#REF!</v>
      </c>
      <c r="CQ352" t="e">
        <f>AND('PROG FORMACIÓN TITULADA'!#REF!,"AAAAAGuPD14=")</f>
        <v>#REF!</v>
      </c>
      <c r="CR352" t="e">
        <f>AND('PROG FORMACIÓN TITULADA'!#REF!,"AAAAAGuPD18=")</f>
        <v>#REF!</v>
      </c>
      <c r="CS352" t="e">
        <f>IF('PROG FORMACIÓN TITULADA'!#REF!,"AAAAAGuPD2A=",0)</f>
        <v>#REF!</v>
      </c>
      <c r="CT352" t="e">
        <f>AND('PROG FORMACIÓN TITULADA'!#REF!,"AAAAAGuPD2E=")</f>
        <v>#REF!</v>
      </c>
      <c r="CU352" t="e">
        <f>AND('PROG FORMACIÓN TITULADA'!#REF!,"AAAAAGuPD2I=")</f>
        <v>#REF!</v>
      </c>
      <c r="CV352" t="e">
        <f>AND('PROG FORMACIÓN TITULADA'!#REF!,"AAAAAGuPD2M=")</f>
        <v>#REF!</v>
      </c>
      <c r="CW352" t="e">
        <f>AND('PROG FORMACIÓN TITULADA'!#REF!,"AAAAAGuPD2Q=")</f>
        <v>#REF!</v>
      </c>
      <c r="CX352" t="e">
        <f>AND('PROG FORMACIÓN TITULADA'!#REF!,"AAAAAGuPD2U=")</f>
        <v>#REF!</v>
      </c>
      <c r="CY352" t="e">
        <f>AND('PROG FORMACIÓN TITULADA'!#REF!,"AAAAAGuPD2Y=")</f>
        <v>#REF!</v>
      </c>
      <c r="CZ352" t="e">
        <f>AND('PROG FORMACIÓN TITULADA'!#REF!,"AAAAAGuPD2c=")</f>
        <v>#REF!</v>
      </c>
      <c r="DA352" t="e">
        <f>AND('PROG FORMACIÓN TITULADA'!#REF!,"AAAAAGuPD2g=")</f>
        <v>#REF!</v>
      </c>
      <c r="DB352" t="e">
        <f>AND('PROG FORMACIÓN TITULADA'!#REF!,"AAAAAGuPD2k=")</f>
        <v>#REF!</v>
      </c>
      <c r="DC352" t="e">
        <f>AND('PROG FORMACIÓN TITULADA'!#REF!,"AAAAAGuPD2o=")</f>
        <v>#REF!</v>
      </c>
      <c r="DD352" t="e">
        <f>AND('PROG FORMACIÓN TITULADA'!#REF!,"AAAAAGuPD2s=")</f>
        <v>#REF!</v>
      </c>
      <c r="DE352" t="e">
        <f>AND('PROG FORMACIÓN TITULADA'!#REF!,"AAAAAGuPD2w=")</f>
        <v>#REF!</v>
      </c>
      <c r="DF352" t="e">
        <f>AND('PROG FORMACIÓN TITULADA'!#REF!,"AAAAAGuPD20=")</f>
        <v>#REF!</v>
      </c>
      <c r="DG352" t="e">
        <f>AND('PROG FORMACIÓN TITULADA'!#REF!,"AAAAAGuPD24=")</f>
        <v>#REF!</v>
      </c>
      <c r="DH352" t="e">
        <f>AND('PROG FORMACIÓN TITULADA'!#REF!,"AAAAAGuPD28=")</f>
        <v>#REF!</v>
      </c>
      <c r="DI352" t="e">
        <f>AND('PROG FORMACIÓN TITULADA'!#REF!,"AAAAAGuPD3A=")</f>
        <v>#REF!</v>
      </c>
      <c r="DJ352" t="e">
        <f>AND('PROG FORMACIÓN TITULADA'!#REF!,"AAAAAGuPD3E=")</f>
        <v>#REF!</v>
      </c>
      <c r="DK352" t="e">
        <f>AND('PROG FORMACIÓN TITULADA'!#REF!,"AAAAAGuPD3I=")</f>
        <v>#REF!</v>
      </c>
      <c r="DL352" t="e">
        <f>AND('PROG FORMACIÓN TITULADA'!#REF!,"AAAAAGuPD3M=")</f>
        <v>#REF!</v>
      </c>
      <c r="DM352" t="e">
        <f>AND('PROG FORMACIÓN TITULADA'!#REF!,"AAAAAGuPD3Q=")</f>
        <v>#REF!</v>
      </c>
      <c r="DN352" t="e">
        <f>AND('PROG FORMACIÓN TITULADA'!#REF!,"AAAAAGuPD3U=")</f>
        <v>#REF!</v>
      </c>
      <c r="DO352" t="e">
        <f>AND('PROG FORMACIÓN TITULADA'!#REF!,"AAAAAGuPD3Y=")</f>
        <v>#REF!</v>
      </c>
      <c r="DP352" t="e">
        <f>AND('PROG FORMACIÓN TITULADA'!#REF!,"AAAAAGuPD3c=")</f>
        <v>#REF!</v>
      </c>
      <c r="DQ352" t="e">
        <f>AND('PROG FORMACIÓN TITULADA'!#REF!,"AAAAAGuPD3g=")</f>
        <v>#REF!</v>
      </c>
      <c r="DR352" t="e">
        <f>AND('PROG FORMACIÓN TITULADA'!#REF!,"AAAAAGuPD3k=")</f>
        <v>#REF!</v>
      </c>
      <c r="DS352" t="e">
        <f>AND('PROG FORMACIÓN TITULADA'!#REF!,"AAAAAGuPD3o=")</f>
        <v>#REF!</v>
      </c>
      <c r="DT352" t="e">
        <f>IF('PROG FORMACIÓN TITULADA'!#REF!,"AAAAAGuPD3s=",0)</f>
        <v>#REF!</v>
      </c>
      <c r="DU352" t="e">
        <f>AND('PROG FORMACIÓN TITULADA'!#REF!,"AAAAAGuPD3w=")</f>
        <v>#REF!</v>
      </c>
      <c r="DV352" t="e">
        <f>AND('PROG FORMACIÓN TITULADA'!#REF!,"AAAAAGuPD30=")</f>
        <v>#REF!</v>
      </c>
      <c r="DW352" t="e">
        <f>AND('PROG FORMACIÓN TITULADA'!#REF!,"AAAAAGuPD34=")</f>
        <v>#REF!</v>
      </c>
      <c r="DX352" t="e">
        <f>AND('PROG FORMACIÓN TITULADA'!#REF!,"AAAAAGuPD38=")</f>
        <v>#REF!</v>
      </c>
      <c r="DY352" t="e">
        <f>AND('PROG FORMACIÓN TITULADA'!#REF!,"AAAAAGuPD4A=")</f>
        <v>#REF!</v>
      </c>
      <c r="DZ352" t="e">
        <f>AND('PROG FORMACIÓN TITULADA'!#REF!,"AAAAAGuPD4E=")</f>
        <v>#REF!</v>
      </c>
      <c r="EA352" t="e">
        <f>AND('PROG FORMACIÓN TITULADA'!#REF!,"AAAAAGuPD4I=")</f>
        <v>#REF!</v>
      </c>
      <c r="EB352" t="e">
        <f>AND('PROG FORMACIÓN TITULADA'!#REF!,"AAAAAGuPD4M=")</f>
        <v>#REF!</v>
      </c>
      <c r="EC352" t="e">
        <f>AND('PROG FORMACIÓN TITULADA'!#REF!,"AAAAAGuPD4Q=")</f>
        <v>#REF!</v>
      </c>
      <c r="ED352" t="e">
        <f>AND('PROG FORMACIÓN TITULADA'!#REF!,"AAAAAGuPD4U=")</f>
        <v>#REF!</v>
      </c>
      <c r="EE352" t="e">
        <f>AND('PROG FORMACIÓN TITULADA'!#REF!,"AAAAAGuPD4Y=")</f>
        <v>#REF!</v>
      </c>
      <c r="EF352" t="e">
        <f>AND('PROG FORMACIÓN TITULADA'!#REF!,"AAAAAGuPD4c=")</f>
        <v>#REF!</v>
      </c>
      <c r="EG352" t="e">
        <f>AND('PROG FORMACIÓN TITULADA'!#REF!,"AAAAAGuPD4g=")</f>
        <v>#REF!</v>
      </c>
      <c r="EH352" t="e">
        <f>AND('PROG FORMACIÓN TITULADA'!#REF!,"AAAAAGuPD4k=")</f>
        <v>#REF!</v>
      </c>
      <c r="EI352" t="e">
        <f>AND('PROG FORMACIÓN TITULADA'!#REF!,"AAAAAGuPD4o=")</f>
        <v>#REF!</v>
      </c>
      <c r="EJ352" t="e">
        <f>AND('PROG FORMACIÓN TITULADA'!#REF!,"AAAAAGuPD4s=")</f>
        <v>#REF!</v>
      </c>
      <c r="EK352" t="e">
        <f>AND('PROG FORMACIÓN TITULADA'!#REF!,"AAAAAGuPD4w=")</f>
        <v>#REF!</v>
      </c>
      <c r="EL352" t="e">
        <f>AND('PROG FORMACIÓN TITULADA'!#REF!,"AAAAAGuPD40=")</f>
        <v>#REF!</v>
      </c>
      <c r="EM352" t="e">
        <f>AND('PROG FORMACIÓN TITULADA'!#REF!,"AAAAAGuPD44=")</f>
        <v>#REF!</v>
      </c>
      <c r="EN352" t="e">
        <f>AND('PROG FORMACIÓN TITULADA'!#REF!,"AAAAAGuPD48=")</f>
        <v>#REF!</v>
      </c>
      <c r="EO352" t="e">
        <f>AND('PROG FORMACIÓN TITULADA'!#REF!,"AAAAAGuPD5A=")</f>
        <v>#REF!</v>
      </c>
      <c r="EP352" t="e">
        <f>AND('PROG FORMACIÓN TITULADA'!#REF!,"AAAAAGuPD5E=")</f>
        <v>#REF!</v>
      </c>
      <c r="EQ352" t="e">
        <f>AND('PROG FORMACIÓN TITULADA'!#REF!,"AAAAAGuPD5I=")</f>
        <v>#REF!</v>
      </c>
      <c r="ER352" t="e">
        <f>AND('PROG FORMACIÓN TITULADA'!#REF!,"AAAAAGuPD5M=")</f>
        <v>#REF!</v>
      </c>
      <c r="ES352" t="e">
        <f>AND('PROG FORMACIÓN TITULADA'!#REF!,"AAAAAGuPD5Q=")</f>
        <v>#REF!</v>
      </c>
      <c r="ET352" t="e">
        <f>AND('PROG FORMACIÓN TITULADA'!#REF!,"AAAAAGuPD5U=")</f>
        <v>#REF!</v>
      </c>
      <c r="EU352" t="e">
        <f>IF('PROG FORMACIÓN TITULADA'!#REF!,"AAAAAGuPD5Y=",0)</f>
        <v>#REF!</v>
      </c>
      <c r="EV352" t="e">
        <f>AND('PROG FORMACIÓN TITULADA'!#REF!,"AAAAAGuPD5c=")</f>
        <v>#REF!</v>
      </c>
      <c r="EW352" t="e">
        <f>AND('PROG FORMACIÓN TITULADA'!#REF!,"AAAAAGuPD5g=")</f>
        <v>#REF!</v>
      </c>
      <c r="EX352" t="e">
        <f>AND('PROG FORMACIÓN TITULADA'!#REF!,"AAAAAGuPD5k=")</f>
        <v>#REF!</v>
      </c>
      <c r="EY352" t="e">
        <f>AND('PROG FORMACIÓN TITULADA'!#REF!,"AAAAAGuPD5o=")</f>
        <v>#REF!</v>
      </c>
      <c r="EZ352" t="e">
        <f>AND('PROG FORMACIÓN TITULADA'!#REF!,"AAAAAGuPD5s=")</f>
        <v>#REF!</v>
      </c>
      <c r="FA352" t="e">
        <f>AND('PROG FORMACIÓN TITULADA'!#REF!,"AAAAAGuPD5w=")</f>
        <v>#REF!</v>
      </c>
      <c r="FB352" t="e">
        <f>AND('PROG FORMACIÓN TITULADA'!#REF!,"AAAAAGuPD50=")</f>
        <v>#REF!</v>
      </c>
      <c r="FC352" t="e">
        <f>AND('PROG FORMACIÓN TITULADA'!#REF!,"AAAAAGuPD54=")</f>
        <v>#REF!</v>
      </c>
      <c r="FD352" t="e">
        <f>AND('PROG FORMACIÓN TITULADA'!#REF!,"AAAAAGuPD58=")</f>
        <v>#REF!</v>
      </c>
      <c r="FE352" t="e">
        <f>AND('PROG FORMACIÓN TITULADA'!#REF!,"AAAAAGuPD6A=")</f>
        <v>#REF!</v>
      </c>
      <c r="FF352" t="e">
        <f>AND('PROG FORMACIÓN TITULADA'!#REF!,"AAAAAGuPD6E=")</f>
        <v>#REF!</v>
      </c>
      <c r="FG352" t="e">
        <f>AND('PROG FORMACIÓN TITULADA'!#REF!,"AAAAAGuPD6I=")</f>
        <v>#REF!</v>
      </c>
      <c r="FH352" t="e">
        <f>AND('PROG FORMACIÓN TITULADA'!#REF!,"AAAAAGuPD6M=")</f>
        <v>#REF!</v>
      </c>
      <c r="FI352" t="e">
        <f>AND('PROG FORMACIÓN TITULADA'!#REF!,"AAAAAGuPD6Q=")</f>
        <v>#REF!</v>
      </c>
      <c r="FJ352" t="e">
        <f>AND('PROG FORMACIÓN TITULADA'!#REF!,"AAAAAGuPD6U=")</f>
        <v>#REF!</v>
      </c>
      <c r="FK352" t="e">
        <f>AND('PROG FORMACIÓN TITULADA'!#REF!,"AAAAAGuPD6Y=")</f>
        <v>#REF!</v>
      </c>
      <c r="FL352" t="e">
        <f>AND('PROG FORMACIÓN TITULADA'!#REF!,"AAAAAGuPD6c=")</f>
        <v>#REF!</v>
      </c>
      <c r="FM352" t="e">
        <f>AND('PROG FORMACIÓN TITULADA'!#REF!,"AAAAAGuPD6g=")</f>
        <v>#REF!</v>
      </c>
      <c r="FN352" t="e">
        <f>AND('PROG FORMACIÓN TITULADA'!#REF!,"AAAAAGuPD6k=")</f>
        <v>#REF!</v>
      </c>
      <c r="FO352" t="e">
        <f>AND('PROG FORMACIÓN TITULADA'!#REF!,"AAAAAGuPD6o=")</f>
        <v>#REF!</v>
      </c>
      <c r="FP352" t="e">
        <f>AND('PROG FORMACIÓN TITULADA'!#REF!,"AAAAAGuPD6s=")</f>
        <v>#REF!</v>
      </c>
      <c r="FQ352" t="e">
        <f>AND('PROG FORMACIÓN TITULADA'!#REF!,"AAAAAGuPD6w=")</f>
        <v>#REF!</v>
      </c>
      <c r="FR352" t="e">
        <f>AND('PROG FORMACIÓN TITULADA'!#REF!,"AAAAAGuPD60=")</f>
        <v>#REF!</v>
      </c>
      <c r="FS352" t="e">
        <f>AND('PROG FORMACIÓN TITULADA'!#REF!,"AAAAAGuPD64=")</f>
        <v>#REF!</v>
      </c>
      <c r="FT352" t="e">
        <f>AND('PROG FORMACIÓN TITULADA'!#REF!,"AAAAAGuPD68=")</f>
        <v>#REF!</v>
      </c>
      <c r="FU352" t="e">
        <f>AND('PROG FORMACIÓN TITULADA'!#REF!,"AAAAAGuPD7A=")</f>
        <v>#REF!</v>
      </c>
      <c r="FV352" t="e">
        <f>IF('PROG FORMACIÓN TITULADA'!#REF!,"AAAAAGuPD7E=",0)</f>
        <v>#REF!</v>
      </c>
      <c r="FW352" t="e">
        <f>AND('PROG FORMACIÓN TITULADA'!#REF!,"AAAAAGuPD7I=")</f>
        <v>#REF!</v>
      </c>
      <c r="FX352" t="e">
        <f>AND('PROG FORMACIÓN TITULADA'!#REF!,"AAAAAGuPD7M=")</f>
        <v>#REF!</v>
      </c>
      <c r="FY352" t="e">
        <f>AND('PROG FORMACIÓN TITULADA'!#REF!,"AAAAAGuPD7Q=")</f>
        <v>#REF!</v>
      </c>
      <c r="FZ352" t="e">
        <f>AND('PROG FORMACIÓN TITULADA'!#REF!,"AAAAAGuPD7U=")</f>
        <v>#REF!</v>
      </c>
      <c r="GA352" t="e">
        <f>AND('PROG FORMACIÓN TITULADA'!#REF!,"AAAAAGuPD7Y=")</f>
        <v>#REF!</v>
      </c>
      <c r="GB352" t="e">
        <f>AND('PROG FORMACIÓN TITULADA'!#REF!,"AAAAAGuPD7c=")</f>
        <v>#REF!</v>
      </c>
      <c r="GC352" t="e">
        <f>AND('PROG FORMACIÓN TITULADA'!#REF!,"AAAAAGuPD7g=")</f>
        <v>#REF!</v>
      </c>
      <c r="GD352" t="e">
        <f>AND('PROG FORMACIÓN TITULADA'!#REF!,"AAAAAGuPD7k=")</f>
        <v>#REF!</v>
      </c>
      <c r="GE352" t="e">
        <f>AND('PROG FORMACIÓN TITULADA'!#REF!,"AAAAAGuPD7o=")</f>
        <v>#REF!</v>
      </c>
      <c r="GF352" t="e">
        <f>AND('PROG FORMACIÓN TITULADA'!#REF!,"AAAAAGuPD7s=")</f>
        <v>#REF!</v>
      </c>
      <c r="GG352" t="e">
        <f>AND('PROG FORMACIÓN TITULADA'!#REF!,"AAAAAGuPD7w=")</f>
        <v>#REF!</v>
      </c>
      <c r="GH352" t="e">
        <f>AND('PROG FORMACIÓN TITULADA'!#REF!,"AAAAAGuPD70=")</f>
        <v>#REF!</v>
      </c>
      <c r="GI352" t="e">
        <f>AND('PROG FORMACIÓN TITULADA'!#REF!,"AAAAAGuPD74=")</f>
        <v>#REF!</v>
      </c>
      <c r="GJ352" t="e">
        <f>AND('PROG FORMACIÓN TITULADA'!#REF!,"AAAAAGuPD78=")</f>
        <v>#REF!</v>
      </c>
      <c r="GK352" t="e">
        <f>AND('PROG FORMACIÓN TITULADA'!#REF!,"AAAAAGuPD8A=")</f>
        <v>#REF!</v>
      </c>
      <c r="GL352" t="e">
        <f>AND('PROG FORMACIÓN TITULADA'!#REF!,"AAAAAGuPD8E=")</f>
        <v>#REF!</v>
      </c>
      <c r="GM352" t="e">
        <f>AND('PROG FORMACIÓN TITULADA'!#REF!,"AAAAAGuPD8I=")</f>
        <v>#REF!</v>
      </c>
      <c r="GN352" t="e">
        <f>AND('PROG FORMACIÓN TITULADA'!#REF!,"AAAAAGuPD8M=")</f>
        <v>#REF!</v>
      </c>
      <c r="GO352" t="e">
        <f>AND('PROG FORMACIÓN TITULADA'!#REF!,"AAAAAGuPD8Q=")</f>
        <v>#REF!</v>
      </c>
      <c r="GP352" t="e">
        <f>AND('PROG FORMACIÓN TITULADA'!#REF!,"AAAAAGuPD8U=")</f>
        <v>#REF!</v>
      </c>
      <c r="GQ352" t="e">
        <f>AND('PROG FORMACIÓN TITULADA'!#REF!,"AAAAAGuPD8Y=")</f>
        <v>#REF!</v>
      </c>
      <c r="GR352" t="e">
        <f>AND('PROG FORMACIÓN TITULADA'!#REF!,"AAAAAGuPD8c=")</f>
        <v>#REF!</v>
      </c>
      <c r="GS352" t="e">
        <f>AND('PROG FORMACIÓN TITULADA'!#REF!,"AAAAAGuPD8g=")</f>
        <v>#REF!</v>
      </c>
      <c r="GT352" t="e">
        <f>AND('PROG FORMACIÓN TITULADA'!#REF!,"AAAAAGuPD8k=")</f>
        <v>#REF!</v>
      </c>
      <c r="GU352" t="e">
        <f>AND('PROG FORMACIÓN TITULADA'!#REF!,"AAAAAGuPD8o=")</f>
        <v>#REF!</v>
      </c>
      <c r="GV352" t="e">
        <f>AND('PROG FORMACIÓN TITULADA'!#REF!,"AAAAAGuPD8s=")</f>
        <v>#REF!</v>
      </c>
      <c r="GW352" t="e">
        <f>IF('PROG FORMACIÓN TITULADA'!#REF!,"AAAAAGuPD8w=",0)</f>
        <v>#REF!</v>
      </c>
      <c r="GX352" t="e">
        <f>AND('PROG FORMACIÓN TITULADA'!#REF!,"AAAAAGuPD80=")</f>
        <v>#REF!</v>
      </c>
      <c r="GY352" t="e">
        <f>AND('PROG FORMACIÓN TITULADA'!#REF!,"AAAAAGuPD84=")</f>
        <v>#REF!</v>
      </c>
      <c r="GZ352" t="e">
        <f>AND('PROG FORMACIÓN TITULADA'!#REF!,"AAAAAGuPD88=")</f>
        <v>#REF!</v>
      </c>
      <c r="HA352" t="e">
        <f>AND('PROG FORMACIÓN TITULADA'!#REF!,"AAAAAGuPD9A=")</f>
        <v>#REF!</v>
      </c>
      <c r="HB352" t="e">
        <f>AND('PROG FORMACIÓN TITULADA'!#REF!,"AAAAAGuPD9E=")</f>
        <v>#REF!</v>
      </c>
      <c r="HC352" t="e">
        <f>AND('PROG FORMACIÓN TITULADA'!#REF!,"AAAAAGuPD9I=")</f>
        <v>#REF!</v>
      </c>
      <c r="HD352" t="e">
        <f>AND('PROG FORMACIÓN TITULADA'!#REF!,"AAAAAGuPD9M=")</f>
        <v>#REF!</v>
      </c>
      <c r="HE352" t="e">
        <f>AND('PROG FORMACIÓN TITULADA'!#REF!,"AAAAAGuPD9Q=")</f>
        <v>#REF!</v>
      </c>
      <c r="HF352" t="e">
        <f>AND('PROG FORMACIÓN TITULADA'!#REF!,"AAAAAGuPD9U=")</f>
        <v>#REF!</v>
      </c>
      <c r="HG352" t="e">
        <f>AND('PROG FORMACIÓN TITULADA'!#REF!,"AAAAAGuPD9Y=")</f>
        <v>#REF!</v>
      </c>
      <c r="HH352" t="e">
        <f>AND('PROG FORMACIÓN TITULADA'!#REF!,"AAAAAGuPD9c=")</f>
        <v>#REF!</v>
      </c>
      <c r="HI352" t="e">
        <f>AND('PROG FORMACIÓN TITULADA'!#REF!,"AAAAAGuPD9g=")</f>
        <v>#REF!</v>
      </c>
      <c r="HJ352" t="e">
        <f>AND('PROG FORMACIÓN TITULADA'!#REF!,"AAAAAGuPD9k=")</f>
        <v>#REF!</v>
      </c>
      <c r="HK352" t="e">
        <f>AND('PROG FORMACIÓN TITULADA'!#REF!,"AAAAAGuPD9o=")</f>
        <v>#REF!</v>
      </c>
      <c r="HL352" t="e">
        <f>AND('PROG FORMACIÓN TITULADA'!#REF!,"AAAAAGuPD9s=")</f>
        <v>#REF!</v>
      </c>
      <c r="HM352" t="e">
        <f>AND('PROG FORMACIÓN TITULADA'!#REF!,"AAAAAGuPD9w=")</f>
        <v>#REF!</v>
      </c>
      <c r="HN352" t="e">
        <f>AND('PROG FORMACIÓN TITULADA'!#REF!,"AAAAAGuPD90=")</f>
        <v>#REF!</v>
      </c>
      <c r="HO352" t="e">
        <f>AND('PROG FORMACIÓN TITULADA'!#REF!,"AAAAAGuPD94=")</f>
        <v>#REF!</v>
      </c>
      <c r="HP352" t="e">
        <f>AND('PROG FORMACIÓN TITULADA'!#REF!,"AAAAAGuPD98=")</f>
        <v>#REF!</v>
      </c>
      <c r="HQ352" t="e">
        <f>AND('PROG FORMACIÓN TITULADA'!#REF!,"AAAAAGuPD+A=")</f>
        <v>#REF!</v>
      </c>
      <c r="HR352" t="e">
        <f>AND('PROG FORMACIÓN TITULADA'!#REF!,"AAAAAGuPD+E=")</f>
        <v>#REF!</v>
      </c>
      <c r="HS352" t="e">
        <f>AND('PROG FORMACIÓN TITULADA'!#REF!,"AAAAAGuPD+I=")</f>
        <v>#REF!</v>
      </c>
      <c r="HT352" t="e">
        <f>AND('PROG FORMACIÓN TITULADA'!#REF!,"AAAAAGuPD+M=")</f>
        <v>#REF!</v>
      </c>
      <c r="HU352" t="e">
        <f>AND('PROG FORMACIÓN TITULADA'!#REF!,"AAAAAGuPD+Q=")</f>
        <v>#REF!</v>
      </c>
      <c r="HV352" t="e">
        <f>AND('PROG FORMACIÓN TITULADA'!#REF!,"AAAAAGuPD+U=")</f>
        <v>#REF!</v>
      </c>
      <c r="HW352" t="e">
        <f>AND('PROG FORMACIÓN TITULADA'!#REF!,"AAAAAGuPD+Y=")</f>
        <v>#REF!</v>
      </c>
      <c r="HX352" t="e">
        <f>IF('PROG FORMACIÓN TITULADA'!#REF!,"AAAAAGuPD+c=",0)</f>
        <v>#REF!</v>
      </c>
      <c r="HY352" t="e">
        <f>AND('PROG FORMACIÓN TITULADA'!#REF!,"AAAAAGuPD+g=")</f>
        <v>#REF!</v>
      </c>
      <c r="HZ352" t="e">
        <f>AND('PROG FORMACIÓN TITULADA'!#REF!,"AAAAAGuPD+k=")</f>
        <v>#REF!</v>
      </c>
      <c r="IA352" t="e">
        <f>AND('PROG FORMACIÓN TITULADA'!#REF!,"AAAAAGuPD+o=")</f>
        <v>#REF!</v>
      </c>
      <c r="IB352" t="e">
        <f>AND('PROG FORMACIÓN TITULADA'!#REF!,"AAAAAGuPD+s=")</f>
        <v>#REF!</v>
      </c>
      <c r="IC352" t="e">
        <f>AND('PROG FORMACIÓN TITULADA'!#REF!,"AAAAAGuPD+w=")</f>
        <v>#REF!</v>
      </c>
      <c r="ID352" t="e">
        <f>AND('PROG FORMACIÓN TITULADA'!#REF!,"AAAAAGuPD+0=")</f>
        <v>#REF!</v>
      </c>
      <c r="IE352" t="e">
        <f>AND('PROG FORMACIÓN TITULADA'!#REF!,"AAAAAGuPD+4=")</f>
        <v>#REF!</v>
      </c>
      <c r="IF352" t="e">
        <f>AND('PROG FORMACIÓN TITULADA'!#REF!,"AAAAAGuPD+8=")</f>
        <v>#REF!</v>
      </c>
      <c r="IG352" t="e">
        <f>AND('PROG FORMACIÓN TITULADA'!#REF!,"AAAAAGuPD/A=")</f>
        <v>#REF!</v>
      </c>
      <c r="IH352" t="e">
        <f>AND('PROG FORMACIÓN TITULADA'!#REF!,"AAAAAGuPD/E=")</f>
        <v>#REF!</v>
      </c>
      <c r="II352" t="e">
        <f>AND('PROG FORMACIÓN TITULADA'!#REF!,"AAAAAGuPD/I=")</f>
        <v>#REF!</v>
      </c>
      <c r="IJ352" t="e">
        <f>AND('PROG FORMACIÓN TITULADA'!#REF!,"AAAAAGuPD/M=")</f>
        <v>#REF!</v>
      </c>
      <c r="IK352" t="e">
        <f>AND('PROG FORMACIÓN TITULADA'!#REF!,"AAAAAGuPD/Q=")</f>
        <v>#REF!</v>
      </c>
      <c r="IL352" t="e">
        <f>AND('PROG FORMACIÓN TITULADA'!#REF!,"AAAAAGuPD/U=")</f>
        <v>#REF!</v>
      </c>
      <c r="IM352" t="e">
        <f>AND('PROG FORMACIÓN TITULADA'!#REF!,"AAAAAGuPD/Y=")</f>
        <v>#REF!</v>
      </c>
      <c r="IN352" t="e">
        <f>AND('PROG FORMACIÓN TITULADA'!#REF!,"AAAAAGuPD/c=")</f>
        <v>#REF!</v>
      </c>
      <c r="IO352" t="e">
        <f>AND('PROG FORMACIÓN TITULADA'!#REF!,"AAAAAGuPD/g=")</f>
        <v>#REF!</v>
      </c>
      <c r="IP352" t="e">
        <f>AND('PROG FORMACIÓN TITULADA'!#REF!,"AAAAAGuPD/k=")</f>
        <v>#REF!</v>
      </c>
      <c r="IQ352" t="e">
        <f>AND('PROG FORMACIÓN TITULADA'!#REF!,"AAAAAGuPD/o=")</f>
        <v>#REF!</v>
      </c>
      <c r="IR352" t="e">
        <f>AND('PROG FORMACIÓN TITULADA'!#REF!,"AAAAAGuPD/s=")</f>
        <v>#REF!</v>
      </c>
      <c r="IS352" t="e">
        <f>AND('PROG FORMACIÓN TITULADA'!#REF!,"AAAAAGuPD/w=")</f>
        <v>#REF!</v>
      </c>
      <c r="IT352" t="e">
        <f>AND('PROG FORMACIÓN TITULADA'!#REF!,"AAAAAGuPD/0=")</f>
        <v>#REF!</v>
      </c>
      <c r="IU352" t="e">
        <f>AND('PROG FORMACIÓN TITULADA'!#REF!,"AAAAAGuPD/4=")</f>
        <v>#REF!</v>
      </c>
      <c r="IV352" t="e">
        <f>AND('PROG FORMACIÓN TITULADA'!#REF!,"AAAAAGuPD/8=")</f>
        <v>#REF!</v>
      </c>
    </row>
    <row r="353" spans="1:256" x14ac:dyDescent="0.2">
      <c r="A353" t="e">
        <f>AND('PROG FORMACIÓN TITULADA'!#REF!,"AAAAAHf/vAA=")</f>
        <v>#REF!</v>
      </c>
      <c r="B353" t="e">
        <f>AND('PROG FORMACIÓN TITULADA'!#REF!,"AAAAAHf/vAE=")</f>
        <v>#REF!</v>
      </c>
      <c r="C353" t="e">
        <f>IF('PROG FORMACIÓN TITULADA'!#REF!,"AAAAAHf/vAI=",0)</f>
        <v>#REF!</v>
      </c>
      <c r="D353" t="e">
        <f>AND('PROG FORMACIÓN TITULADA'!#REF!,"AAAAAHf/vAM=")</f>
        <v>#REF!</v>
      </c>
      <c r="E353" t="e">
        <f>AND('PROG FORMACIÓN TITULADA'!#REF!,"AAAAAHf/vAQ=")</f>
        <v>#REF!</v>
      </c>
      <c r="F353" t="e">
        <f>AND('PROG FORMACIÓN TITULADA'!#REF!,"AAAAAHf/vAU=")</f>
        <v>#REF!</v>
      </c>
      <c r="G353" t="e">
        <f>AND('PROG FORMACIÓN TITULADA'!#REF!,"AAAAAHf/vAY=")</f>
        <v>#REF!</v>
      </c>
      <c r="H353" t="e">
        <f>AND('PROG FORMACIÓN TITULADA'!#REF!,"AAAAAHf/vAc=")</f>
        <v>#REF!</v>
      </c>
      <c r="I353" t="e">
        <f>AND('PROG FORMACIÓN TITULADA'!#REF!,"AAAAAHf/vAg=")</f>
        <v>#REF!</v>
      </c>
      <c r="J353" t="e">
        <f>AND('PROG FORMACIÓN TITULADA'!#REF!,"AAAAAHf/vAk=")</f>
        <v>#REF!</v>
      </c>
      <c r="K353" t="e">
        <f>AND('PROG FORMACIÓN TITULADA'!#REF!,"AAAAAHf/vAo=")</f>
        <v>#REF!</v>
      </c>
      <c r="L353" t="e">
        <f>AND('PROG FORMACIÓN TITULADA'!#REF!,"AAAAAHf/vAs=")</f>
        <v>#REF!</v>
      </c>
      <c r="M353" t="e">
        <f>AND('PROG FORMACIÓN TITULADA'!#REF!,"AAAAAHf/vAw=")</f>
        <v>#REF!</v>
      </c>
      <c r="N353" t="e">
        <f>AND('PROG FORMACIÓN TITULADA'!#REF!,"AAAAAHf/vA0=")</f>
        <v>#REF!</v>
      </c>
      <c r="O353" t="e">
        <f>AND('PROG FORMACIÓN TITULADA'!#REF!,"AAAAAHf/vA4=")</f>
        <v>#REF!</v>
      </c>
      <c r="P353" t="e">
        <f>AND('PROG FORMACIÓN TITULADA'!#REF!,"AAAAAHf/vA8=")</f>
        <v>#REF!</v>
      </c>
      <c r="Q353" t="e">
        <f>AND('PROG FORMACIÓN TITULADA'!#REF!,"AAAAAHf/vBA=")</f>
        <v>#REF!</v>
      </c>
      <c r="R353" t="e">
        <f>AND('PROG FORMACIÓN TITULADA'!#REF!,"AAAAAHf/vBE=")</f>
        <v>#REF!</v>
      </c>
      <c r="S353" t="e">
        <f>AND('PROG FORMACIÓN TITULADA'!#REF!,"AAAAAHf/vBI=")</f>
        <v>#REF!</v>
      </c>
      <c r="T353" t="e">
        <f>AND('PROG FORMACIÓN TITULADA'!#REF!,"AAAAAHf/vBM=")</f>
        <v>#REF!</v>
      </c>
      <c r="U353" t="e">
        <f>AND('PROG FORMACIÓN TITULADA'!#REF!,"AAAAAHf/vBQ=")</f>
        <v>#REF!</v>
      </c>
      <c r="V353" t="e">
        <f>AND('PROG FORMACIÓN TITULADA'!#REF!,"AAAAAHf/vBU=")</f>
        <v>#REF!</v>
      </c>
      <c r="W353" t="e">
        <f>AND('PROG FORMACIÓN TITULADA'!#REF!,"AAAAAHf/vBY=")</f>
        <v>#REF!</v>
      </c>
      <c r="X353" t="e">
        <f>AND('PROG FORMACIÓN TITULADA'!#REF!,"AAAAAHf/vBc=")</f>
        <v>#REF!</v>
      </c>
      <c r="Y353" t="e">
        <f>AND('PROG FORMACIÓN TITULADA'!#REF!,"AAAAAHf/vBg=")</f>
        <v>#REF!</v>
      </c>
      <c r="Z353" t="e">
        <f>AND('PROG FORMACIÓN TITULADA'!#REF!,"AAAAAHf/vBk=")</f>
        <v>#REF!</v>
      </c>
      <c r="AA353" t="e">
        <f>AND('PROG FORMACIÓN TITULADA'!#REF!,"AAAAAHf/vBo=")</f>
        <v>#REF!</v>
      </c>
      <c r="AB353" t="e">
        <f>AND('PROG FORMACIÓN TITULADA'!#REF!,"AAAAAHf/vBs=")</f>
        <v>#REF!</v>
      </c>
      <c r="AC353" t="e">
        <f>AND('PROG FORMACIÓN TITULADA'!#REF!,"AAAAAHf/vBw=")</f>
        <v>#REF!</v>
      </c>
      <c r="AD353" t="e">
        <f>IF('PROG FORMACIÓN TITULADA'!#REF!,"AAAAAHf/vB0=",0)</f>
        <v>#REF!</v>
      </c>
      <c r="AE353" t="e">
        <f>AND('PROG FORMACIÓN TITULADA'!#REF!,"AAAAAHf/vB4=")</f>
        <v>#REF!</v>
      </c>
      <c r="AF353" t="e">
        <f>AND('PROG FORMACIÓN TITULADA'!#REF!,"AAAAAHf/vB8=")</f>
        <v>#REF!</v>
      </c>
      <c r="AG353" t="e">
        <f>AND('PROG FORMACIÓN TITULADA'!#REF!,"AAAAAHf/vCA=")</f>
        <v>#REF!</v>
      </c>
      <c r="AH353" t="e">
        <f>AND('PROG FORMACIÓN TITULADA'!#REF!,"AAAAAHf/vCE=")</f>
        <v>#REF!</v>
      </c>
      <c r="AI353" t="e">
        <f>AND('PROG FORMACIÓN TITULADA'!#REF!,"AAAAAHf/vCI=")</f>
        <v>#REF!</v>
      </c>
      <c r="AJ353" t="e">
        <f>AND('PROG FORMACIÓN TITULADA'!#REF!,"AAAAAHf/vCM=")</f>
        <v>#REF!</v>
      </c>
      <c r="AK353" t="e">
        <f>AND('PROG FORMACIÓN TITULADA'!#REF!,"AAAAAHf/vCQ=")</f>
        <v>#REF!</v>
      </c>
      <c r="AL353" t="e">
        <f>AND('PROG FORMACIÓN TITULADA'!#REF!,"AAAAAHf/vCU=")</f>
        <v>#REF!</v>
      </c>
      <c r="AM353" t="e">
        <f>AND('PROG FORMACIÓN TITULADA'!#REF!,"AAAAAHf/vCY=")</f>
        <v>#REF!</v>
      </c>
      <c r="AN353" t="e">
        <f>AND('PROG FORMACIÓN TITULADA'!#REF!,"AAAAAHf/vCc=")</f>
        <v>#REF!</v>
      </c>
      <c r="AO353" t="e">
        <f>AND('PROG FORMACIÓN TITULADA'!#REF!,"AAAAAHf/vCg=")</f>
        <v>#REF!</v>
      </c>
      <c r="AP353" t="e">
        <f>AND('PROG FORMACIÓN TITULADA'!#REF!,"AAAAAHf/vCk=")</f>
        <v>#REF!</v>
      </c>
      <c r="AQ353" t="e">
        <f>AND('PROG FORMACIÓN TITULADA'!#REF!,"AAAAAHf/vCo=")</f>
        <v>#REF!</v>
      </c>
      <c r="AR353" t="e">
        <f>AND('PROG FORMACIÓN TITULADA'!#REF!,"AAAAAHf/vCs=")</f>
        <v>#REF!</v>
      </c>
      <c r="AS353" t="e">
        <f>AND('PROG FORMACIÓN TITULADA'!#REF!,"AAAAAHf/vCw=")</f>
        <v>#REF!</v>
      </c>
      <c r="AT353" t="e">
        <f>AND('PROG FORMACIÓN TITULADA'!#REF!,"AAAAAHf/vC0=")</f>
        <v>#REF!</v>
      </c>
      <c r="AU353" t="e">
        <f>AND('PROG FORMACIÓN TITULADA'!#REF!,"AAAAAHf/vC4=")</f>
        <v>#REF!</v>
      </c>
      <c r="AV353" t="e">
        <f>AND('PROG FORMACIÓN TITULADA'!#REF!,"AAAAAHf/vC8=")</f>
        <v>#REF!</v>
      </c>
      <c r="AW353" t="e">
        <f>AND('PROG FORMACIÓN TITULADA'!#REF!,"AAAAAHf/vDA=")</f>
        <v>#REF!</v>
      </c>
      <c r="AX353" t="e">
        <f>AND('PROG FORMACIÓN TITULADA'!#REF!,"AAAAAHf/vDE=")</f>
        <v>#REF!</v>
      </c>
      <c r="AY353" t="e">
        <f>AND('PROG FORMACIÓN TITULADA'!#REF!,"AAAAAHf/vDI=")</f>
        <v>#REF!</v>
      </c>
      <c r="AZ353" t="e">
        <f>AND('PROG FORMACIÓN TITULADA'!#REF!,"AAAAAHf/vDM=")</f>
        <v>#REF!</v>
      </c>
      <c r="BA353" t="e">
        <f>AND('PROG FORMACIÓN TITULADA'!#REF!,"AAAAAHf/vDQ=")</f>
        <v>#REF!</v>
      </c>
      <c r="BB353" t="e">
        <f>AND('PROG FORMACIÓN TITULADA'!#REF!,"AAAAAHf/vDU=")</f>
        <v>#REF!</v>
      </c>
      <c r="BC353" t="e">
        <f>AND('PROG FORMACIÓN TITULADA'!#REF!,"AAAAAHf/vDY=")</f>
        <v>#REF!</v>
      </c>
      <c r="BD353" t="e">
        <f>AND('PROG FORMACIÓN TITULADA'!#REF!,"AAAAAHf/vDc=")</f>
        <v>#REF!</v>
      </c>
      <c r="BE353" t="e">
        <f>IF('PROG FORMACIÓN TITULADA'!#REF!,"AAAAAHf/vDg=",0)</f>
        <v>#REF!</v>
      </c>
      <c r="BF353" t="e">
        <f>AND('PROG FORMACIÓN TITULADA'!#REF!,"AAAAAHf/vDk=")</f>
        <v>#REF!</v>
      </c>
      <c r="BG353" t="e">
        <f>AND('PROG FORMACIÓN TITULADA'!#REF!,"AAAAAHf/vDo=")</f>
        <v>#REF!</v>
      </c>
      <c r="BH353" t="e">
        <f>AND('PROG FORMACIÓN TITULADA'!#REF!,"AAAAAHf/vDs=")</f>
        <v>#REF!</v>
      </c>
      <c r="BI353" t="e">
        <f>AND('PROG FORMACIÓN TITULADA'!#REF!,"AAAAAHf/vDw=")</f>
        <v>#REF!</v>
      </c>
      <c r="BJ353" t="e">
        <f>AND('PROG FORMACIÓN TITULADA'!#REF!,"AAAAAHf/vD0=")</f>
        <v>#REF!</v>
      </c>
      <c r="BK353" t="e">
        <f>AND('PROG FORMACIÓN TITULADA'!#REF!,"AAAAAHf/vD4=")</f>
        <v>#REF!</v>
      </c>
      <c r="BL353" t="e">
        <f>AND('PROG FORMACIÓN TITULADA'!#REF!,"AAAAAHf/vD8=")</f>
        <v>#REF!</v>
      </c>
      <c r="BM353" t="e">
        <f>AND('PROG FORMACIÓN TITULADA'!#REF!,"AAAAAHf/vEA=")</f>
        <v>#REF!</v>
      </c>
      <c r="BN353" t="e">
        <f>AND('PROG FORMACIÓN TITULADA'!#REF!,"AAAAAHf/vEE=")</f>
        <v>#REF!</v>
      </c>
      <c r="BO353" t="e">
        <f>AND('PROG FORMACIÓN TITULADA'!#REF!,"AAAAAHf/vEI=")</f>
        <v>#REF!</v>
      </c>
      <c r="BP353" t="e">
        <f>AND('PROG FORMACIÓN TITULADA'!#REF!,"AAAAAHf/vEM=")</f>
        <v>#REF!</v>
      </c>
      <c r="BQ353" t="e">
        <f>AND('PROG FORMACIÓN TITULADA'!#REF!,"AAAAAHf/vEQ=")</f>
        <v>#REF!</v>
      </c>
      <c r="BR353" t="e">
        <f>AND('PROG FORMACIÓN TITULADA'!#REF!,"AAAAAHf/vEU=")</f>
        <v>#REF!</v>
      </c>
      <c r="BS353" t="e">
        <f>AND('PROG FORMACIÓN TITULADA'!#REF!,"AAAAAHf/vEY=")</f>
        <v>#REF!</v>
      </c>
      <c r="BT353" t="e">
        <f>AND('PROG FORMACIÓN TITULADA'!#REF!,"AAAAAHf/vEc=")</f>
        <v>#REF!</v>
      </c>
      <c r="BU353" t="e">
        <f>AND('PROG FORMACIÓN TITULADA'!#REF!,"AAAAAHf/vEg=")</f>
        <v>#REF!</v>
      </c>
      <c r="BV353" t="e">
        <f>AND('PROG FORMACIÓN TITULADA'!#REF!,"AAAAAHf/vEk=")</f>
        <v>#REF!</v>
      </c>
      <c r="BW353" t="e">
        <f>AND('PROG FORMACIÓN TITULADA'!#REF!,"AAAAAHf/vEo=")</f>
        <v>#REF!</v>
      </c>
      <c r="BX353" t="e">
        <f>AND('PROG FORMACIÓN TITULADA'!#REF!,"AAAAAHf/vEs=")</f>
        <v>#REF!</v>
      </c>
      <c r="BY353" t="e">
        <f>AND('PROG FORMACIÓN TITULADA'!#REF!,"AAAAAHf/vEw=")</f>
        <v>#REF!</v>
      </c>
      <c r="BZ353" t="e">
        <f>AND('PROG FORMACIÓN TITULADA'!#REF!,"AAAAAHf/vE0=")</f>
        <v>#REF!</v>
      </c>
      <c r="CA353" t="e">
        <f>AND('PROG FORMACIÓN TITULADA'!#REF!,"AAAAAHf/vE4=")</f>
        <v>#REF!</v>
      </c>
      <c r="CB353" t="e">
        <f>AND('PROG FORMACIÓN TITULADA'!#REF!,"AAAAAHf/vE8=")</f>
        <v>#REF!</v>
      </c>
      <c r="CC353" t="e">
        <f>AND('PROG FORMACIÓN TITULADA'!#REF!,"AAAAAHf/vFA=")</f>
        <v>#REF!</v>
      </c>
      <c r="CD353" t="e">
        <f>AND('PROG FORMACIÓN TITULADA'!#REF!,"AAAAAHf/vFE=")</f>
        <v>#REF!</v>
      </c>
      <c r="CE353" t="e">
        <f>AND('PROG FORMACIÓN TITULADA'!#REF!,"AAAAAHf/vFI=")</f>
        <v>#REF!</v>
      </c>
      <c r="CF353" t="e">
        <f>IF('PROG FORMACIÓN TITULADA'!#REF!,"AAAAAHf/vFM=",0)</f>
        <v>#REF!</v>
      </c>
      <c r="CG353" t="e">
        <f>AND('PROG FORMACIÓN TITULADA'!#REF!,"AAAAAHf/vFQ=")</f>
        <v>#REF!</v>
      </c>
      <c r="CH353" t="e">
        <f>AND('PROG FORMACIÓN TITULADA'!#REF!,"AAAAAHf/vFU=")</f>
        <v>#REF!</v>
      </c>
      <c r="CI353" t="e">
        <f>AND('PROG FORMACIÓN TITULADA'!#REF!,"AAAAAHf/vFY=")</f>
        <v>#REF!</v>
      </c>
      <c r="CJ353" t="e">
        <f>AND('PROG FORMACIÓN TITULADA'!#REF!,"AAAAAHf/vFc=")</f>
        <v>#REF!</v>
      </c>
      <c r="CK353" t="e">
        <f>AND('PROG FORMACIÓN TITULADA'!#REF!,"AAAAAHf/vFg=")</f>
        <v>#REF!</v>
      </c>
      <c r="CL353" t="e">
        <f>AND('PROG FORMACIÓN TITULADA'!#REF!,"AAAAAHf/vFk=")</f>
        <v>#REF!</v>
      </c>
      <c r="CM353" t="e">
        <f>AND('PROG FORMACIÓN TITULADA'!#REF!,"AAAAAHf/vFo=")</f>
        <v>#REF!</v>
      </c>
      <c r="CN353" t="e">
        <f>AND('PROG FORMACIÓN TITULADA'!#REF!,"AAAAAHf/vFs=")</f>
        <v>#REF!</v>
      </c>
      <c r="CO353" t="e">
        <f>AND('PROG FORMACIÓN TITULADA'!#REF!,"AAAAAHf/vFw=")</f>
        <v>#REF!</v>
      </c>
      <c r="CP353" t="e">
        <f>AND('PROG FORMACIÓN TITULADA'!#REF!,"AAAAAHf/vF0=")</f>
        <v>#REF!</v>
      </c>
      <c r="CQ353" t="e">
        <f>AND('PROG FORMACIÓN TITULADA'!#REF!,"AAAAAHf/vF4=")</f>
        <v>#REF!</v>
      </c>
      <c r="CR353" t="e">
        <f>AND('PROG FORMACIÓN TITULADA'!#REF!,"AAAAAHf/vF8=")</f>
        <v>#REF!</v>
      </c>
      <c r="CS353" t="e">
        <f>AND('PROG FORMACIÓN TITULADA'!#REF!,"AAAAAHf/vGA=")</f>
        <v>#REF!</v>
      </c>
      <c r="CT353" t="e">
        <f>AND('PROG FORMACIÓN TITULADA'!#REF!,"AAAAAHf/vGE=")</f>
        <v>#REF!</v>
      </c>
      <c r="CU353" t="e">
        <f>AND('PROG FORMACIÓN TITULADA'!#REF!,"AAAAAHf/vGI=")</f>
        <v>#REF!</v>
      </c>
      <c r="CV353" t="e">
        <f>AND('PROG FORMACIÓN TITULADA'!#REF!,"AAAAAHf/vGM=")</f>
        <v>#REF!</v>
      </c>
      <c r="CW353" t="e">
        <f>AND('PROG FORMACIÓN TITULADA'!#REF!,"AAAAAHf/vGQ=")</f>
        <v>#REF!</v>
      </c>
      <c r="CX353" t="e">
        <f>AND('PROG FORMACIÓN TITULADA'!#REF!,"AAAAAHf/vGU=")</f>
        <v>#REF!</v>
      </c>
      <c r="CY353" t="e">
        <f>AND('PROG FORMACIÓN TITULADA'!#REF!,"AAAAAHf/vGY=")</f>
        <v>#REF!</v>
      </c>
      <c r="CZ353" t="e">
        <f>AND('PROG FORMACIÓN TITULADA'!#REF!,"AAAAAHf/vGc=")</f>
        <v>#REF!</v>
      </c>
      <c r="DA353" t="e">
        <f>AND('PROG FORMACIÓN TITULADA'!#REF!,"AAAAAHf/vGg=")</f>
        <v>#REF!</v>
      </c>
      <c r="DB353" t="e">
        <f>AND('PROG FORMACIÓN TITULADA'!#REF!,"AAAAAHf/vGk=")</f>
        <v>#REF!</v>
      </c>
      <c r="DC353" t="e">
        <f>AND('PROG FORMACIÓN TITULADA'!#REF!,"AAAAAHf/vGo=")</f>
        <v>#REF!</v>
      </c>
      <c r="DD353" t="e">
        <f>AND('PROG FORMACIÓN TITULADA'!#REF!,"AAAAAHf/vGs=")</f>
        <v>#REF!</v>
      </c>
      <c r="DE353" t="e">
        <f>AND('PROG FORMACIÓN TITULADA'!#REF!,"AAAAAHf/vGw=")</f>
        <v>#REF!</v>
      </c>
      <c r="DF353" t="e">
        <f>AND('PROG FORMACIÓN TITULADA'!#REF!,"AAAAAHf/vG0=")</f>
        <v>#REF!</v>
      </c>
      <c r="DG353" t="e">
        <f>IF('PROG FORMACIÓN TITULADA'!#REF!,"AAAAAHf/vG4=",0)</f>
        <v>#REF!</v>
      </c>
      <c r="DH353" t="e">
        <f>AND('PROG FORMACIÓN TITULADA'!#REF!,"AAAAAHf/vG8=")</f>
        <v>#REF!</v>
      </c>
      <c r="DI353" t="e">
        <f>AND('PROG FORMACIÓN TITULADA'!#REF!,"AAAAAHf/vHA=")</f>
        <v>#REF!</v>
      </c>
      <c r="DJ353" t="e">
        <f>AND('PROG FORMACIÓN TITULADA'!#REF!,"AAAAAHf/vHE=")</f>
        <v>#REF!</v>
      </c>
      <c r="DK353" t="e">
        <f>AND('PROG FORMACIÓN TITULADA'!#REF!,"AAAAAHf/vHI=")</f>
        <v>#REF!</v>
      </c>
      <c r="DL353" t="e">
        <f>AND('PROG FORMACIÓN TITULADA'!#REF!,"AAAAAHf/vHM=")</f>
        <v>#REF!</v>
      </c>
      <c r="DM353" t="e">
        <f>AND('PROG FORMACIÓN TITULADA'!#REF!,"AAAAAHf/vHQ=")</f>
        <v>#REF!</v>
      </c>
      <c r="DN353" t="e">
        <f>AND('PROG FORMACIÓN TITULADA'!#REF!,"AAAAAHf/vHU=")</f>
        <v>#REF!</v>
      </c>
      <c r="DO353" t="e">
        <f>AND('PROG FORMACIÓN TITULADA'!#REF!,"AAAAAHf/vHY=")</f>
        <v>#REF!</v>
      </c>
      <c r="DP353" t="e">
        <f>AND('PROG FORMACIÓN TITULADA'!#REF!,"AAAAAHf/vHc=")</f>
        <v>#REF!</v>
      </c>
      <c r="DQ353" t="e">
        <f>AND('PROG FORMACIÓN TITULADA'!#REF!,"AAAAAHf/vHg=")</f>
        <v>#REF!</v>
      </c>
      <c r="DR353" t="e">
        <f>AND('PROG FORMACIÓN TITULADA'!#REF!,"AAAAAHf/vHk=")</f>
        <v>#REF!</v>
      </c>
      <c r="DS353" t="e">
        <f>AND('PROG FORMACIÓN TITULADA'!#REF!,"AAAAAHf/vHo=")</f>
        <v>#REF!</v>
      </c>
      <c r="DT353" t="e">
        <f>AND('PROG FORMACIÓN TITULADA'!#REF!,"AAAAAHf/vHs=")</f>
        <v>#REF!</v>
      </c>
      <c r="DU353" t="e">
        <f>AND('PROG FORMACIÓN TITULADA'!#REF!,"AAAAAHf/vHw=")</f>
        <v>#REF!</v>
      </c>
      <c r="DV353" t="e">
        <f>AND('PROG FORMACIÓN TITULADA'!#REF!,"AAAAAHf/vH0=")</f>
        <v>#REF!</v>
      </c>
      <c r="DW353" t="e">
        <f>AND('PROG FORMACIÓN TITULADA'!#REF!,"AAAAAHf/vH4=")</f>
        <v>#REF!</v>
      </c>
      <c r="DX353" t="e">
        <f>AND('PROG FORMACIÓN TITULADA'!#REF!,"AAAAAHf/vH8=")</f>
        <v>#REF!</v>
      </c>
      <c r="DY353" t="e">
        <f>AND('PROG FORMACIÓN TITULADA'!#REF!,"AAAAAHf/vIA=")</f>
        <v>#REF!</v>
      </c>
      <c r="DZ353" t="e">
        <f>AND('PROG FORMACIÓN TITULADA'!#REF!,"AAAAAHf/vIE=")</f>
        <v>#REF!</v>
      </c>
      <c r="EA353" t="e">
        <f>AND('PROG FORMACIÓN TITULADA'!#REF!,"AAAAAHf/vII=")</f>
        <v>#REF!</v>
      </c>
      <c r="EB353" t="e">
        <f>AND('PROG FORMACIÓN TITULADA'!#REF!,"AAAAAHf/vIM=")</f>
        <v>#REF!</v>
      </c>
      <c r="EC353" t="e">
        <f>AND('PROG FORMACIÓN TITULADA'!#REF!,"AAAAAHf/vIQ=")</f>
        <v>#REF!</v>
      </c>
      <c r="ED353" t="e">
        <f>AND('PROG FORMACIÓN TITULADA'!#REF!,"AAAAAHf/vIU=")</f>
        <v>#REF!</v>
      </c>
      <c r="EE353" t="e">
        <f>AND('PROG FORMACIÓN TITULADA'!#REF!,"AAAAAHf/vIY=")</f>
        <v>#REF!</v>
      </c>
      <c r="EF353" t="e">
        <f>AND('PROG FORMACIÓN TITULADA'!#REF!,"AAAAAHf/vIc=")</f>
        <v>#REF!</v>
      </c>
      <c r="EG353" t="e">
        <f>AND('PROG FORMACIÓN TITULADA'!#REF!,"AAAAAHf/vIg=")</f>
        <v>#REF!</v>
      </c>
      <c r="EH353" t="e">
        <f>IF('PROG FORMACIÓN TITULADA'!#REF!,"AAAAAHf/vIk=",0)</f>
        <v>#REF!</v>
      </c>
      <c r="EI353" t="e">
        <f>AND('PROG FORMACIÓN TITULADA'!#REF!,"AAAAAHf/vIo=")</f>
        <v>#REF!</v>
      </c>
      <c r="EJ353" t="e">
        <f>AND('PROG FORMACIÓN TITULADA'!#REF!,"AAAAAHf/vIs=")</f>
        <v>#REF!</v>
      </c>
      <c r="EK353" t="e">
        <f>AND('PROG FORMACIÓN TITULADA'!#REF!,"AAAAAHf/vIw=")</f>
        <v>#REF!</v>
      </c>
      <c r="EL353" t="e">
        <f>AND('PROG FORMACIÓN TITULADA'!#REF!,"AAAAAHf/vI0=")</f>
        <v>#REF!</v>
      </c>
      <c r="EM353" t="e">
        <f>AND('PROG FORMACIÓN TITULADA'!#REF!,"AAAAAHf/vI4=")</f>
        <v>#REF!</v>
      </c>
      <c r="EN353" t="e">
        <f>AND('PROG FORMACIÓN TITULADA'!#REF!,"AAAAAHf/vI8=")</f>
        <v>#REF!</v>
      </c>
      <c r="EO353" t="e">
        <f>AND('PROG FORMACIÓN TITULADA'!#REF!,"AAAAAHf/vJA=")</f>
        <v>#REF!</v>
      </c>
      <c r="EP353" t="e">
        <f>AND('PROG FORMACIÓN TITULADA'!#REF!,"AAAAAHf/vJE=")</f>
        <v>#REF!</v>
      </c>
      <c r="EQ353" t="e">
        <f>AND('PROG FORMACIÓN TITULADA'!#REF!,"AAAAAHf/vJI=")</f>
        <v>#REF!</v>
      </c>
      <c r="ER353" t="e">
        <f>AND('PROG FORMACIÓN TITULADA'!#REF!,"AAAAAHf/vJM=")</f>
        <v>#REF!</v>
      </c>
      <c r="ES353" t="e">
        <f>AND('PROG FORMACIÓN TITULADA'!#REF!,"AAAAAHf/vJQ=")</f>
        <v>#REF!</v>
      </c>
      <c r="ET353" t="e">
        <f>AND('PROG FORMACIÓN TITULADA'!#REF!,"AAAAAHf/vJU=")</f>
        <v>#REF!</v>
      </c>
      <c r="EU353" t="e">
        <f>AND('PROG FORMACIÓN TITULADA'!#REF!,"AAAAAHf/vJY=")</f>
        <v>#REF!</v>
      </c>
      <c r="EV353" t="e">
        <f>AND('PROG FORMACIÓN TITULADA'!#REF!,"AAAAAHf/vJc=")</f>
        <v>#REF!</v>
      </c>
      <c r="EW353" t="e">
        <f>AND('PROG FORMACIÓN TITULADA'!#REF!,"AAAAAHf/vJg=")</f>
        <v>#REF!</v>
      </c>
      <c r="EX353" t="e">
        <f>AND('PROG FORMACIÓN TITULADA'!#REF!,"AAAAAHf/vJk=")</f>
        <v>#REF!</v>
      </c>
      <c r="EY353" t="e">
        <f>AND('PROG FORMACIÓN TITULADA'!#REF!,"AAAAAHf/vJo=")</f>
        <v>#REF!</v>
      </c>
      <c r="EZ353" t="e">
        <f>AND('PROG FORMACIÓN TITULADA'!#REF!,"AAAAAHf/vJs=")</f>
        <v>#REF!</v>
      </c>
      <c r="FA353" t="e">
        <f>AND('PROG FORMACIÓN TITULADA'!#REF!,"AAAAAHf/vJw=")</f>
        <v>#REF!</v>
      </c>
      <c r="FB353" t="e">
        <f>AND('PROG FORMACIÓN TITULADA'!#REF!,"AAAAAHf/vJ0=")</f>
        <v>#REF!</v>
      </c>
      <c r="FC353" t="e">
        <f>AND('PROG FORMACIÓN TITULADA'!#REF!,"AAAAAHf/vJ4=")</f>
        <v>#REF!</v>
      </c>
      <c r="FD353" t="e">
        <f>AND('PROG FORMACIÓN TITULADA'!#REF!,"AAAAAHf/vJ8=")</f>
        <v>#REF!</v>
      </c>
      <c r="FE353" t="e">
        <f>AND('PROG FORMACIÓN TITULADA'!#REF!,"AAAAAHf/vKA=")</f>
        <v>#REF!</v>
      </c>
      <c r="FF353" t="e">
        <f>AND('PROG FORMACIÓN TITULADA'!#REF!,"AAAAAHf/vKE=")</f>
        <v>#REF!</v>
      </c>
      <c r="FG353" t="e">
        <f>AND('PROG FORMACIÓN TITULADA'!#REF!,"AAAAAHf/vKI=")</f>
        <v>#REF!</v>
      </c>
      <c r="FH353" t="e">
        <f>AND('PROG FORMACIÓN TITULADA'!#REF!,"AAAAAHf/vKM=")</f>
        <v>#REF!</v>
      </c>
      <c r="FI353" t="e">
        <f>IF('PROG FORMACIÓN TITULADA'!#REF!,"AAAAAHf/vKQ=",0)</f>
        <v>#REF!</v>
      </c>
      <c r="FJ353" t="e">
        <f>AND('PROG FORMACIÓN TITULADA'!#REF!,"AAAAAHf/vKU=")</f>
        <v>#REF!</v>
      </c>
      <c r="FK353" t="e">
        <f>AND('PROG FORMACIÓN TITULADA'!#REF!,"AAAAAHf/vKY=")</f>
        <v>#REF!</v>
      </c>
      <c r="FL353" t="e">
        <f>AND('PROG FORMACIÓN TITULADA'!#REF!,"AAAAAHf/vKc=")</f>
        <v>#REF!</v>
      </c>
      <c r="FM353" t="e">
        <f>AND('PROG FORMACIÓN TITULADA'!#REF!,"AAAAAHf/vKg=")</f>
        <v>#REF!</v>
      </c>
      <c r="FN353" t="e">
        <f>AND('PROG FORMACIÓN TITULADA'!#REF!,"AAAAAHf/vKk=")</f>
        <v>#REF!</v>
      </c>
      <c r="FO353" t="e">
        <f>AND('PROG FORMACIÓN TITULADA'!#REF!,"AAAAAHf/vKo=")</f>
        <v>#REF!</v>
      </c>
      <c r="FP353" t="e">
        <f>AND('PROG FORMACIÓN TITULADA'!#REF!,"AAAAAHf/vKs=")</f>
        <v>#REF!</v>
      </c>
      <c r="FQ353" t="e">
        <f>AND('PROG FORMACIÓN TITULADA'!#REF!,"AAAAAHf/vKw=")</f>
        <v>#REF!</v>
      </c>
      <c r="FR353" t="e">
        <f>AND('PROG FORMACIÓN TITULADA'!#REF!,"AAAAAHf/vK0=")</f>
        <v>#REF!</v>
      </c>
      <c r="FS353" t="e">
        <f>AND('PROG FORMACIÓN TITULADA'!#REF!,"AAAAAHf/vK4=")</f>
        <v>#REF!</v>
      </c>
      <c r="FT353" t="e">
        <f>AND('PROG FORMACIÓN TITULADA'!#REF!,"AAAAAHf/vK8=")</f>
        <v>#REF!</v>
      </c>
      <c r="FU353" t="e">
        <f>AND('PROG FORMACIÓN TITULADA'!#REF!,"AAAAAHf/vLA=")</f>
        <v>#REF!</v>
      </c>
      <c r="FV353" t="e">
        <f>AND('PROG FORMACIÓN TITULADA'!#REF!,"AAAAAHf/vLE=")</f>
        <v>#REF!</v>
      </c>
      <c r="FW353" t="e">
        <f>AND('PROG FORMACIÓN TITULADA'!#REF!,"AAAAAHf/vLI=")</f>
        <v>#REF!</v>
      </c>
      <c r="FX353" t="e">
        <f>AND('PROG FORMACIÓN TITULADA'!#REF!,"AAAAAHf/vLM=")</f>
        <v>#REF!</v>
      </c>
      <c r="FY353" t="e">
        <f>AND('PROG FORMACIÓN TITULADA'!#REF!,"AAAAAHf/vLQ=")</f>
        <v>#REF!</v>
      </c>
      <c r="FZ353" t="e">
        <f>AND('PROG FORMACIÓN TITULADA'!#REF!,"AAAAAHf/vLU=")</f>
        <v>#REF!</v>
      </c>
      <c r="GA353" t="e">
        <f>AND('PROG FORMACIÓN TITULADA'!#REF!,"AAAAAHf/vLY=")</f>
        <v>#REF!</v>
      </c>
      <c r="GB353" t="e">
        <f>AND('PROG FORMACIÓN TITULADA'!#REF!,"AAAAAHf/vLc=")</f>
        <v>#REF!</v>
      </c>
      <c r="GC353" t="e">
        <f>AND('PROG FORMACIÓN TITULADA'!#REF!,"AAAAAHf/vLg=")</f>
        <v>#REF!</v>
      </c>
      <c r="GD353" t="e">
        <f>AND('PROG FORMACIÓN TITULADA'!#REF!,"AAAAAHf/vLk=")</f>
        <v>#REF!</v>
      </c>
      <c r="GE353" t="e">
        <f>AND('PROG FORMACIÓN TITULADA'!#REF!,"AAAAAHf/vLo=")</f>
        <v>#REF!</v>
      </c>
      <c r="GF353" t="e">
        <f>AND('PROG FORMACIÓN TITULADA'!#REF!,"AAAAAHf/vLs=")</f>
        <v>#REF!</v>
      </c>
      <c r="GG353" t="e">
        <f>AND('PROG FORMACIÓN TITULADA'!#REF!,"AAAAAHf/vLw=")</f>
        <v>#REF!</v>
      </c>
      <c r="GH353" t="e">
        <f>AND('PROG FORMACIÓN TITULADA'!#REF!,"AAAAAHf/vL0=")</f>
        <v>#REF!</v>
      </c>
      <c r="GI353" t="e">
        <f>AND('PROG FORMACIÓN TITULADA'!#REF!,"AAAAAHf/vL4=")</f>
        <v>#REF!</v>
      </c>
      <c r="GJ353" t="e">
        <f>IF('PROG FORMACIÓN TITULADA'!#REF!,"AAAAAHf/vL8=",0)</f>
        <v>#REF!</v>
      </c>
      <c r="GK353" t="e">
        <f>AND('PROG FORMACIÓN TITULADA'!#REF!,"AAAAAHf/vMA=")</f>
        <v>#REF!</v>
      </c>
      <c r="GL353" t="e">
        <f>AND('PROG FORMACIÓN TITULADA'!#REF!,"AAAAAHf/vME=")</f>
        <v>#REF!</v>
      </c>
      <c r="GM353" t="e">
        <f>AND('PROG FORMACIÓN TITULADA'!#REF!,"AAAAAHf/vMI=")</f>
        <v>#REF!</v>
      </c>
      <c r="GN353" t="e">
        <f>AND('PROG FORMACIÓN TITULADA'!#REF!,"AAAAAHf/vMM=")</f>
        <v>#REF!</v>
      </c>
      <c r="GO353" t="e">
        <f>AND('PROG FORMACIÓN TITULADA'!#REF!,"AAAAAHf/vMQ=")</f>
        <v>#REF!</v>
      </c>
      <c r="GP353" t="e">
        <f>AND('PROG FORMACIÓN TITULADA'!#REF!,"AAAAAHf/vMU=")</f>
        <v>#REF!</v>
      </c>
      <c r="GQ353" t="e">
        <f>AND('PROG FORMACIÓN TITULADA'!#REF!,"AAAAAHf/vMY=")</f>
        <v>#REF!</v>
      </c>
      <c r="GR353" t="e">
        <f>AND('PROG FORMACIÓN TITULADA'!#REF!,"AAAAAHf/vMc=")</f>
        <v>#REF!</v>
      </c>
      <c r="GS353" t="e">
        <f>AND('PROG FORMACIÓN TITULADA'!#REF!,"AAAAAHf/vMg=")</f>
        <v>#REF!</v>
      </c>
      <c r="GT353" t="e">
        <f>AND('PROG FORMACIÓN TITULADA'!#REF!,"AAAAAHf/vMk=")</f>
        <v>#REF!</v>
      </c>
      <c r="GU353" t="e">
        <f>AND('PROG FORMACIÓN TITULADA'!#REF!,"AAAAAHf/vMo=")</f>
        <v>#REF!</v>
      </c>
      <c r="GV353" t="e">
        <f>AND('PROG FORMACIÓN TITULADA'!#REF!,"AAAAAHf/vMs=")</f>
        <v>#REF!</v>
      </c>
      <c r="GW353" t="e">
        <f>AND('PROG FORMACIÓN TITULADA'!#REF!,"AAAAAHf/vMw=")</f>
        <v>#REF!</v>
      </c>
      <c r="GX353" t="e">
        <f>AND('PROG FORMACIÓN TITULADA'!#REF!,"AAAAAHf/vM0=")</f>
        <v>#REF!</v>
      </c>
      <c r="GY353" t="e">
        <f>AND('PROG FORMACIÓN TITULADA'!#REF!,"AAAAAHf/vM4=")</f>
        <v>#REF!</v>
      </c>
      <c r="GZ353" t="e">
        <f>AND('PROG FORMACIÓN TITULADA'!#REF!,"AAAAAHf/vM8=")</f>
        <v>#REF!</v>
      </c>
      <c r="HA353" t="e">
        <f>AND('PROG FORMACIÓN TITULADA'!#REF!,"AAAAAHf/vNA=")</f>
        <v>#REF!</v>
      </c>
      <c r="HB353" t="e">
        <f>AND('PROG FORMACIÓN TITULADA'!#REF!,"AAAAAHf/vNE=")</f>
        <v>#REF!</v>
      </c>
      <c r="HC353" t="e">
        <f>AND('PROG FORMACIÓN TITULADA'!#REF!,"AAAAAHf/vNI=")</f>
        <v>#REF!</v>
      </c>
      <c r="HD353" t="e">
        <f>AND('PROG FORMACIÓN TITULADA'!#REF!,"AAAAAHf/vNM=")</f>
        <v>#REF!</v>
      </c>
      <c r="HE353" t="e">
        <f>AND('PROG FORMACIÓN TITULADA'!#REF!,"AAAAAHf/vNQ=")</f>
        <v>#REF!</v>
      </c>
      <c r="HF353" t="e">
        <f>AND('PROG FORMACIÓN TITULADA'!#REF!,"AAAAAHf/vNU=")</f>
        <v>#REF!</v>
      </c>
      <c r="HG353" t="e">
        <f>AND('PROG FORMACIÓN TITULADA'!#REF!,"AAAAAHf/vNY=")</f>
        <v>#REF!</v>
      </c>
      <c r="HH353" t="e">
        <f>AND('PROG FORMACIÓN TITULADA'!#REF!,"AAAAAHf/vNc=")</f>
        <v>#REF!</v>
      </c>
      <c r="HI353" t="e">
        <f>AND('PROG FORMACIÓN TITULADA'!#REF!,"AAAAAHf/vNg=")</f>
        <v>#REF!</v>
      </c>
      <c r="HJ353" t="e">
        <f>AND('PROG FORMACIÓN TITULADA'!#REF!,"AAAAAHf/vNk=")</f>
        <v>#REF!</v>
      </c>
      <c r="HK353" t="e">
        <f>IF('PROG FORMACIÓN TITULADA'!#REF!,"AAAAAHf/vNo=",0)</f>
        <v>#REF!</v>
      </c>
      <c r="HL353" t="e">
        <f>AND('PROG FORMACIÓN TITULADA'!#REF!,"AAAAAHf/vNs=")</f>
        <v>#REF!</v>
      </c>
      <c r="HM353" t="e">
        <f>AND('PROG FORMACIÓN TITULADA'!#REF!,"AAAAAHf/vNw=")</f>
        <v>#REF!</v>
      </c>
      <c r="HN353" t="e">
        <f>AND('PROG FORMACIÓN TITULADA'!#REF!,"AAAAAHf/vN0=")</f>
        <v>#REF!</v>
      </c>
      <c r="HO353" t="e">
        <f>AND('PROG FORMACIÓN TITULADA'!#REF!,"AAAAAHf/vN4=")</f>
        <v>#REF!</v>
      </c>
      <c r="HP353" t="e">
        <f>AND('PROG FORMACIÓN TITULADA'!#REF!,"AAAAAHf/vN8=")</f>
        <v>#REF!</v>
      </c>
      <c r="HQ353" t="e">
        <f>AND('PROG FORMACIÓN TITULADA'!#REF!,"AAAAAHf/vOA=")</f>
        <v>#REF!</v>
      </c>
      <c r="HR353" t="e">
        <f>AND('PROG FORMACIÓN TITULADA'!#REF!,"AAAAAHf/vOE=")</f>
        <v>#REF!</v>
      </c>
      <c r="HS353" t="e">
        <f>AND('PROG FORMACIÓN TITULADA'!#REF!,"AAAAAHf/vOI=")</f>
        <v>#REF!</v>
      </c>
      <c r="HT353" t="e">
        <f>AND('PROG FORMACIÓN TITULADA'!#REF!,"AAAAAHf/vOM=")</f>
        <v>#REF!</v>
      </c>
      <c r="HU353" t="e">
        <f>AND('PROG FORMACIÓN TITULADA'!#REF!,"AAAAAHf/vOQ=")</f>
        <v>#REF!</v>
      </c>
      <c r="HV353" t="e">
        <f>AND('PROG FORMACIÓN TITULADA'!#REF!,"AAAAAHf/vOU=")</f>
        <v>#REF!</v>
      </c>
      <c r="HW353" t="e">
        <f>AND('PROG FORMACIÓN TITULADA'!#REF!,"AAAAAHf/vOY=")</f>
        <v>#REF!</v>
      </c>
      <c r="HX353" t="e">
        <f>AND('PROG FORMACIÓN TITULADA'!#REF!,"AAAAAHf/vOc=")</f>
        <v>#REF!</v>
      </c>
      <c r="HY353" t="e">
        <f>AND('PROG FORMACIÓN TITULADA'!#REF!,"AAAAAHf/vOg=")</f>
        <v>#REF!</v>
      </c>
      <c r="HZ353" t="e">
        <f>AND('PROG FORMACIÓN TITULADA'!#REF!,"AAAAAHf/vOk=")</f>
        <v>#REF!</v>
      </c>
      <c r="IA353" t="e">
        <f>AND('PROG FORMACIÓN TITULADA'!#REF!,"AAAAAHf/vOo=")</f>
        <v>#REF!</v>
      </c>
      <c r="IB353" t="e">
        <f>AND('PROG FORMACIÓN TITULADA'!#REF!,"AAAAAHf/vOs=")</f>
        <v>#REF!</v>
      </c>
      <c r="IC353" t="e">
        <f>AND('PROG FORMACIÓN TITULADA'!#REF!,"AAAAAHf/vOw=")</f>
        <v>#REF!</v>
      </c>
      <c r="ID353" t="e">
        <f>AND('PROG FORMACIÓN TITULADA'!#REF!,"AAAAAHf/vO0=")</f>
        <v>#REF!</v>
      </c>
      <c r="IE353" t="e">
        <f>AND('PROG FORMACIÓN TITULADA'!#REF!,"AAAAAHf/vO4=")</f>
        <v>#REF!</v>
      </c>
      <c r="IF353" t="e">
        <f>AND('PROG FORMACIÓN TITULADA'!#REF!,"AAAAAHf/vO8=")</f>
        <v>#REF!</v>
      </c>
      <c r="IG353" t="e">
        <f>AND('PROG FORMACIÓN TITULADA'!#REF!,"AAAAAHf/vPA=")</f>
        <v>#REF!</v>
      </c>
      <c r="IH353" t="e">
        <f>AND('PROG FORMACIÓN TITULADA'!#REF!,"AAAAAHf/vPE=")</f>
        <v>#REF!</v>
      </c>
      <c r="II353" t="e">
        <f>AND('PROG FORMACIÓN TITULADA'!#REF!,"AAAAAHf/vPI=")</f>
        <v>#REF!</v>
      </c>
      <c r="IJ353" t="e">
        <f>AND('PROG FORMACIÓN TITULADA'!#REF!,"AAAAAHf/vPM=")</f>
        <v>#REF!</v>
      </c>
      <c r="IK353" t="e">
        <f>AND('PROG FORMACIÓN TITULADA'!#REF!,"AAAAAHf/vPQ=")</f>
        <v>#REF!</v>
      </c>
      <c r="IL353" t="e">
        <f>IF('PROG FORMACIÓN TITULADA'!#REF!,"AAAAAHf/vPU=",0)</f>
        <v>#REF!</v>
      </c>
      <c r="IM353" t="e">
        <f>AND('PROG FORMACIÓN TITULADA'!#REF!,"AAAAAHf/vPY=")</f>
        <v>#REF!</v>
      </c>
      <c r="IN353" t="e">
        <f>AND('PROG FORMACIÓN TITULADA'!#REF!,"AAAAAHf/vPc=")</f>
        <v>#REF!</v>
      </c>
      <c r="IO353" t="e">
        <f>AND('PROG FORMACIÓN TITULADA'!#REF!,"AAAAAHf/vPg=")</f>
        <v>#REF!</v>
      </c>
      <c r="IP353" t="e">
        <f>AND('PROG FORMACIÓN TITULADA'!#REF!,"AAAAAHf/vPk=")</f>
        <v>#REF!</v>
      </c>
      <c r="IQ353" t="e">
        <f>AND('PROG FORMACIÓN TITULADA'!#REF!,"AAAAAHf/vPo=")</f>
        <v>#REF!</v>
      </c>
      <c r="IR353" t="e">
        <f>AND('PROG FORMACIÓN TITULADA'!#REF!,"AAAAAHf/vPs=")</f>
        <v>#REF!</v>
      </c>
      <c r="IS353" t="e">
        <f>AND('PROG FORMACIÓN TITULADA'!#REF!,"AAAAAHf/vPw=")</f>
        <v>#REF!</v>
      </c>
      <c r="IT353" t="e">
        <f>AND('PROG FORMACIÓN TITULADA'!#REF!,"AAAAAHf/vP0=")</f>
        <v>#REF!</v>
      </c>
      <c r="IU353" t="e">
        <f>AND('PROG FORMACIÓN TITULADA'!#REF!,"AAAAAHf/vP4=")</f>
        <v>#REF!</v>
      </c>
      <c r="IV353" t="e">
        <f>AND('PROG FORMACIÓN TITULADA'!#REF!,"AAAAAHf/vP8=")</f>
        <v>#REF!</v>
      </c>
    </row>
    <row r="354" spans="1:256" x14ac:dyDescent="0.2">
      <c r="A354" t="e">
        <f>AND('PROG FORMACIÓN TITULADA'!#REF!,"AAAAAH3a3wA=")</f>
        <v>#REF!</v>
      </c>
      <c r="B354" t="e">
        <f>AND('PROG FORMACIÓN TITULADA'!#REF!,"AAAAAH3a3wE=")</f>
        <v>#REF!</v>
      </c>
      <c r="C354" t="e">
        <f>AND('PROG FORMACIÓN TITULADA'!#REF!,"AAAAAH3a3wI=")</f>
        <v>#REF!</v>
      </c>
      <c r="D354" t="e">
        <f>AND('PROG FORMACIÓN TITULADA'!#REF!,"AAAAAH3a3wM=")</f>
        <v>#REF!</v>
      </c>
      <c r="E354" t="e">
        <f>AND('PROG FORMACIÓN TITULADA'!#REF!,"AAAAAH3a3wQ=")</f>
        <v>#REF!</v>
      </c>
      <c r="F354" t="e">
        <f>AND('PROG FORMACIÓN TITULADA'!#REF!,"AAAAAH3a3wU=")</f>
        <v>#REF!</v>
      </c>
      <c r="G354" t="e">
        <f>AND('PROG FORMACIÓN TITULADA'!#REF!,"AAAAAH3a3wY=")</f>
        <v>#REF!</v>
      </c>
      <c r="H354" t="e">
        <f>AND('PROG FORMACIÓN TITULADA'!#REF!,"AAAAAH3a3wc=")</f>
        <v>#REF!</v>
      </c>
      <c r="I354" t="e">
        <f>AND('PROG FORMACIÓN TITULADA'!#REF!,"AAAAAH3a3wg=")</f>
        <v>#REF!</v>
      </c>
      <c r="J354" t="e">
        <f>AND('PROG FORMACIÓN TITULADA'!#REF!,"AAAAAH3a3wk=")</f>
        <v>#REF!</v>
      </c>
      <c r="K354" t="e">
        <f>AND('PROG FORMACIÓN TITULADA'!#REF!,"AAAAAH3a3wo=")</f>
        <v>#REF!</v>
      </c>
      <c r="L354" t="e">
        <f>AND('PROG FORMACIÓN TITULADA'!#REF!,"AAAAAH3a3ws=")</f>
        <v>#REF!</v>
      </c>
      <c r="M354" t="e">
        <f>AND('PROG FORMACIÓN TITULADA'!#REF!,"AAAAAH3a3ww=")</f>
        <v>#REF!</v>
      </c>
      <c r="N354" t="e">
        <f>AND('PROG FORMACIÓN TITULADA'!#REF!,"AAAAAH3a3w0=")</f>
        <v>#REF!</v>
      </c>
      <c r="O354" t="e">
        <f>AND('PROG FORMACIÓN TITULADA'!#REF!,"AAAAAH3a3w4=")</f>
        <v>#REF!</v>
      </c>
      <c r="P354" t="e">
        <f>AND('PROG FORMACIÓN TITULADA'!#REF!,"AAAAAH3a3w8=")</f>
        <v>#REF!</v>
      </c>
      <c r="Q354" t="e">
        <f>IF('PROG FORMACIÓN TITULADA'!#REF!,"AAAAAH3a3xA=",0)</f>
        <v>#REF!</v>
      </c>
      <c r="R354" t="e">
        <f>AND('PROG FORMACIÓN TITULADA'!#REF!,"AAAAAH3a3xE=")</f>
        <v>#REF!</v>
      </c>
      <c r="S354" t="e">
        <f>AND('PROG FORMACIÓN TITULADA'!#REF!,"AAAAAH3a3xI=")</f>
        <v>#REF!</v>
      </c>
      <c r="T354" t="e">
        <f>AND('PROG FORMACIÓN TITULADA'!#REF!,"AAAAAH3a3xM=")</f>
        <v>#REF!</v>
      </c>
      <c r="U354" t="e">
        <f>AND('PROG FORMACIÓN TITULADA'!#REF!,"AAAAAH3a3xQ=")</f>
        <v>#REF!</v>
      </c>
      <c r="V354" t="e">
        <f>AND('PROG FORMACIÓN TITULADA'!#REF!,"AAAAAH3a3xU=")</f>
        <v>#REF!</v>
      </c>
      <c r="W354" t="e">
        <f>AND('PROG FORMACIÓN TITULADA'!#REF!,"AAAAAH3a3xY=")</f>
        <v>#REF!</v>
      </c>
      <c r="X354" t="e">
        <f>AND('PROG FORMACIÓN TITULADA'!#REF!,"AAAAAH3a3xc=")</f>
        <v>#REF!</v>
      </c>
      <c r="Y354" t="e">
        <f>AND('PROG FORMACIÓN TITULADA'!#REF!,"AAAAAH3a3xg=")</f>
        <v>#REF!</v>
      </c>
      <c r="Z354" t="e">
        <f>AND('PROG FORMACIÓN TITULADA'!#REF!,"AAAAAH3a3xk=")</f>
        <v>#REF!</v>
      </c>
      <c r="AA354" t="e">
        <f>AND('PROG FORMACIÓN TITULADA'!#REF!,"AAAAAH3a3xo=")</f>
        <v>#REF!</v>
      </c>
      <c r="AB354" t="e">
        <f>AND('PROG FORMACIÓN TITULADA'!#REF!,"AAAAAH3a3xs=")</f>
        <v>#REF!</v>
      </c>
      <c r="AC354" t="e">
        <f>AND('PROG FORMACIÓN TITULADA'!#REF!,"AAAAAH3a3xw=")</f>
        <v>#REF!</v>
      </c>
      <c r="AD354" t="e">
        <f>AND('PROG FORMACIÓN TITULADA'!#REF!,"AAAAAH3a3x0=")</f>
        <v>#REF!</v>
      </c>
      <c r="AE354" t="e">
        <f>AND('PROG FORMACIÓN TITULADA'!#REF!,"AAAAAH3a3x4=")</f>
        <v>#REF!</v>
      </c>
      <c r="AF354" t="e">
        <f>AND('PROG FORMACIÓN TITULADA'!#REF!,"AAAAAH3a3x8=")</f>
        <v>#REF!</v>
      </c>
      <c r="AG354" t="e">
        <f>AND('PROG FORMACIÓN TITULADA'!#REF!,"AAAAAH3a3yA=")</f>
        <v>#REF!</v>
      </c>
      <c r="AH354" t="e">
        <f>AND('PROG FORMACIÓN TITULADA'!#REF!,"AAAAAH3a3yE=")</f>
        <v>#REF!</v>
      </c>
      <c r="AI354" t="e">
        <f>AND('PROG FORMACIÓN TITULADA'!#REF!,"AAAAAH3a3yI=")</f>
        <v>#REF!</v>
      </c>
      <c r="AJ354" t="e">
        <f>AND('PROG FORMACIÓN TITULADA'!#REF!,"AAAAAH3a3yM=")</f>
        <v>#REF!</v>
      </c>
      <c r="AK354" t="e">
        <f>AND('PROG FORMACIÓN TITULADA'!#REF!,"AAAAAH3a3yQ=")</f>
        <v>#REF!</v>
      </c>
      <c r="AL354" t="e">
        <f>AND('PROG FORMACIÓN TITULADA'!#REF!,"AAAAAH3a3yU=")</f>
        <v>#REF!</v>
      </c>
      <c r="AM354" t="e">
        <f>AND('PROG FORMACIÓN TITULADA'!#REF!,"AAAAAH3a3yY=")</f>
        <v>#REF!</v>
      </c>
      <c r="AN354" t="e">
        <f>AND('PROG FORMACIÓN TITULADA'!#REF!,"AAAAAH3a3yc=")</f>
        <v>#REF!</v>
      </c>
      <c r="AO354" t="e">
        <f>AND('PROG FORMACIÓN TITULADA'!#REF!,"AAAAAH3a3yg=")</f>
        <v>#REF!</v>
      </c>
      <c r="AP354" t="e">
        <f>AND('PROG FORMACIÓN TITULADA'!#REF!,"AAAAAH3a3yk=")</f>
        <v>#REF!</v>
      </c>
      <c r="AQ354" t="e">
        <f>AND('PROG FORMACIÓN TITULADA'!#REF!,"AAAAAH3a3yo=")</f>
        <v>#REF!</v>
      </c>
      <c r="AR354" t="e">
        <f>IF('PROG FORMACIÓN TITULADA'!#REF!,"AAAAAH3a3ys=",0)</f>
        <v>#REF!</v>
      </c>
      <c r="AS354" t="e">
        <f>AND('PROG FORMACIÓN TITULADA'!#REF!,"AAAAAH3a3yw=")</f>
        <v>#REF!</v>
      </c>
      <c r="AT354" t="e">
        <f>AND('PROG FORMACIÓN TITULADA'!#REF!,"AAAAAH3a3y0=")</f>
        <v>#REF!</v>
      </c>
      <c r="AU354" t="e">
        <f>AND('PROG FORMACIÓN TITULADA'!#REF!,"AAAAAH3a3y4=")</f>
        <v>#REF!</v>
      </c>
      <c r="AV354" t="e">
        <f>AND('PROG FORMACIÓN TITULADA'!#REF!,"AAAAAH3a3y8=")</f>
        <v>#REF!</v>
      </c>
      <c r="AW354" t="e">
        <f>AND('PROG FORMACIÓN TITULADA'!#REF!,"AAAAAH3a3zA=")</f>
        <v>#REF!</v>
      </c>
      <c r="AX354" t="e">
        <f>AND('PROG FORMACIÓN TITULADA'!#REF!,"AAAAAH3a3zE=")</f>
        <v>#REF!</v>
      </c>
      <c r="AY354" t="e">
        <f>AND('PROG FORMACIÓN TITULADA'!#REF!,"AAAAAH3a3zI=")</f>
        <v>#REF!</v>
      </c>
      <c r="AZ354" t="e">
        <f>AND('PROG FORMACIÓN TITULADA'!#REF!,"AAAAAH3a3zM=")</f>
        <v>#REF!</v>
      </c>
      <c r="BA354" t="e">
        <f>AND('PROG FORMACIÓN TITULADA'!#REF!,"AAAAAH3a3zQ=")</f>
        <v>#REF!</v>
      </c>
      <c r="BB354" t="e">
        <f>AND('PROG FORMACIÓN TITULADA'!#REF!,"AAAAAH3a3zU=")</f>
        <v>#REF!</v>
      </c>
      <c r="BC354" t="e">
        <f>AND('PROG FORMACIÓN TITULADA'!#REF!,"AAAAAH3a3zY=")</f>
        <v>#REF!</v>
      </c>
      <c r="BD354" t="e">
        <f>AND('PROG FORMACIÓN TITULADA'!#REF!,"AAAAAH3a3zc=")</f>
        <v>#REF!</v>
      </c>
      <c r="BE354" t="e">
        <f>AND('PROG FORMACIÓN TITULADA'!#REF!,"AAAAAH3a3zg=")</f>
        <v>#REF!</v>
      </c>
      <c r="BF354" t="e">
        <f>AND('PROG FORMACIÓN TITULADA'!#REF!,"AAAAAH3a3zk=")</f>
        <v>#REF!</v>
      </c>
      <c r="BG354" t="e">
        <f>AND('PROG FORMACIÓN TITULADA'!#REF!,"AAAAAH3a3zo=")</f>
        <v>#REF!</v>
      </c>
      <c r="BH354" t="e">
        <f>AND('PROG FORMACIÓN TITULADA'!#REF!,"AAAAAH3a3zs=")</f>
        <v>#REF!</v>
      </c>
      <c r="BI354" t="e">
        <f>AND('PROG FORMACIÓN TITULADA'!#REF!,"AAAAAH3a3zw=")</f>
        <v>#REF!</v>
      </c>
      <c r="BJ354" t="e">
        <f>AND('PROG FORMACIÓN TITULADA'!#REF!,"AAAAAH3a3z0=")</f>
        <v>#REF!</v>
      </c>
      <c r="BK354" t="e">
        <f>AND('PROG FORMACIÓN TITULADA'!#REF!,"AAAAAH3a3z4=")</f>
        <v>#REF!</v>
      </c>
      <c r="BL354" t="e">
        <f>AND('PROG FORMACIÓN TITULADA'!#REF!,"AAAAAH3a3z8=")</f>
        <v>#REF!</v>
      </c>
      <c r="BM354" t="e">
        <f>AND('PROG FORMACIÓN TITULADA'!#REF!,"AAAAAH3a30A=")</f>
        <v>#REF!</v>
      </c>
      <c r="BN354" t="e">
        <f>AND('PROG FORMACIÓN TITULADA'!#REF!,"AAAAAH3a30E=")</f>
        <v>#REF!</v>
      </c>
      <c r="BO354" t="e">
        <f>AND('PROG FORMACIÓN TITULADA'!#REF!,"AAAAAH3a30I=")</f>
        <v>#REF!</v>
      </c>
      <c r="BP354" t="e">
        <f>AND('PROG FORMACIÓN TITULADA'!#REF!,"AAAAAH3a30M=")</f>
        <v>#REF!</v>
      </c>
      <c r="BQ354" t="e">
        <f>AND('PROG FORMACIÓN TITULADA'!#REF!,"AAAAAH3a30Q=")</f>
        <v>#REF!</v>
      </c>
      <c r="BR354" t="e">
        <f>AND('PROG FORMACIÓN TITULADA'!#REF!,"AAAAAH3a30U=")</f>
        <v>#REF!</v>
      </c>
      <c r="BS354" t="e">
        <f>IF('PROG FORMACIÓN TITULADA'!#REF!,"AAAAAH3a30Y=",0)</f>
        <v>#REF!</v>
      </c>
      <c r="BT354" t="e">
        <f>AND('PROG FORMACIÓN TITULADA'!#REF!,"AAAAAH3a30c=")</f>
        <v>#REF!</v>
      </c>
      <c r="BU354" t="e">
        <f>AND('PROG FORMACIÓN TITULADA'!#REF!,"AAAAAH3a30g=")</f>
        <v>#REF!</v>
      </c>
      <c r="BV354" t="e">
        <f>AND('PROG FORMACIÓN TITULADA'!#REF!,"AAAAAH3a30k=")</f>
        <v>#REF!</v>
      </c>
      <c r="BW354" t="e">
        <f>AND('PROG FORMACIÓN TITULADA'!#REF!,"AAAAAH3a30o=")</f>
        <v>#REF!</v>
      </c>
      <c r="BX354" t="e">
        <f>AND('PROG FORMACIÓN TITULADA'!#REF!,"AAAAAH3a30s=")</f>
        <v>#REF!</v>
      </c>
      <c r="BY354" t="e">
        <f>AND('PROG FORMACIÓN TITULADA'!#REF!,"AAAAAH3a30w=")</f>
        <v>#REF!</v>
      </c>
      <c r="BZ354" t="e">
        <f>AND('PROG FORMACIÓN TITULADA'!#REF!,"AAAAAH3a300=")</f>
        <v>#REF!</v>
      </c>
      <c r="CA354" t="e">
        <f>AND('PROG FORMACIÓN TITULADA'!#REF!,"AAAAAH3a304=")</f>
        <v>#REF!</v>
      </c>
      <c r="CB354" t="e">
        <f>AND('PROG FORMACIÓN TITULADA'!#REF!,"AAAAAH3a308=")</f>
        <v>#REF!</v>
      </c>
      <c r="CC354" t="e">
        <f>AND('PROG FORMACIÓN TITULADA'!#REF!,"AAAAAH3a31A=")</f>
        <v>#REF!</v>
      </c>
      <c r="CD354" t="e">
        <f>AND('PROG FORMACIÓN TITULADA'!#REF!,"AAAAAH3a31E=")</f>
        <v>#REF!</v>
      </c>
      <c r="CE354" t="e">
        <f>AND('PROG FORMACIÓN TITULADA'!#REF!,"AAAAAH3a31I=")</f>
        <v>#REF!</v>
      </c>
      <c r="CF354" t="e">
        <f>AND('PROG FORMACIÓN TITULADA'!#REF!,"AAAAAH3a31M=")</f>
        <v>#REF!</v>
      </c>
      <c r="CG354" t="e">
        <f>AND('PROG FORMACIÓN TITULADA'!#REF!,"AAAAAH3a31Q=")</f>
        <v>#REF!</v>
      </c>
      <c r="CH354" t="e">
        <f>AND('PROG FORMACIÓN TITULADA'!#REF!,"AAAAAH3a31U=")</f>
        <v>#REF!</v>
      </c>
      <c r="CI354" t="e">
        <f>AND('PROG FORMACIÓN TITULADA'!#REF!,"AAAAAH3a31Y=")</f>
        <v>#REF!</v>
      </c>
      <c r="CJ354" t="e">
        <f>AND('PROG FORMACIÓN TITULADA'!#REF!,"AAAAAH3a31c=")</f>
        <v>#REF!</v>
      </c>
      <c r="CK354" t="e">
        <f>AND('PROG FORMACIÓN TITULADA'!#REF!,"AAAAAH3a31g=")</f>
        <v>#REF!</v>
      </c>
      <c r="CL354" t="e">
        <f>AND('PROG FORMACIÓN TITULADA'!#REF!,"AAAAAH3a31k=")</f>
        <v>#REF!</v>
      </c>
      <c r="CM354" t="e">
        <f>AND('PROG FORMACIÓN TITULADA'!#REF!,"AAAAAH3a31o=")</f>
        <v>#REF!</v>
      </c>
      <c r="CN354" t="e">
        <f>AND('PROG FORMACIÓN TITULADA'!#REF!,"AAAAAH3a31s=")</f>
        <v>#REF!</v>
      </c>
      <c r="CO354" t="e">
        <f>AND('PROG FORMACIÓN TITULADA'!#REF!,"AAAAAH3a31w=")</f>
        <v>#REF!</v>
      </c>
      <c r="CP354" t="e">
        <f>AND('PROG FORMACIÓN TITULADA'!#REF!,"AAAAAH3a310=")</f>
        <v>#REF!</v>
      </c>
      <c r="CQ354" t="e">
        <f>AND('PROG FORMACIÓN TITULADA'!#REF!,"AAAAAH3a314=")</f>
        <v>#REF!</v>
      </c>
      <c r="CR354" t="e">
        <f>AND('PROG FORMACIÓN TITULADA'!#REF!,"AAAAAH3a318=")</f>
        <v>#REF!</v>
      </c>
      <c r="CS354" t="e">
        <f>AND('PROG FORMACIÓN TITULADA'!#REF!,"AAAAAH3a32A=")</f>
        <v>#REF!</v>
      </c>
      <c r="CT354" t="e">
        <f>IF('PROG FORMACIÓN TITULADA'!#REF!,"AAAAAH3a32E=",0)</f>
        <v>#REF!</v>
      </c>
      <c r="CU354" t="e">
        <f>AND('PROG FORMACIÓN TITULADA'!#REF!,"AAAAAH3a32I=")</f>
        <v>#REF!</v>
      </c>
      <c r="CV354" t="e">
        <f>AND('PROG FORMACIÓN TITULADA'!#REF!,"AAAAAH3a32M=")</f>
        <v>#REF!</v>
      </c>
      <c r="CW354" t="e">
        <f>AND('PROG FORMACIÓN TITULADA'!#REF!,"AAAAAH3a32Q=")</f>
        <v>#REF!</v>
      </c>
      <c r="CX354" t="e">
        <f>AND('PROG FORMACIÓN TITULADA'!#REF!,"AAAAAH3a32U=")</f>
        <v>#REF!</v>
      </c>
      <c r="CY354" t="e">
        <f>AND('PROG FORMACIÓN TITULADA'!#REF!,"AAAAAH3a32Y=")</f>
        <v>#REF!</v>
      </c>
      <c r="CZ354" t="e">
        <f>AND('PROG FORMACIÓN TITULADA'!#REF!,"AAAAAH3a32c=")</f>
        <v>#REF!</v>
      </c>
      <c r="DA354" t="e">
        <f>AND('PROG FORMACIÓN TITULADA'!#REF!,"AAAAAH3a32g=")</f>
        <v>#REF!</v>
      </c>
      <c r="DB354" t="e">
        <f>AND('PROG FORMACIÓN TITULADA'!#REF!,"AAAAAH3a32k=")</f>
        <v>#REF!</v>
      </c>
      <c r="DC354" t="e">
        <f>AND('PROG FORMACIÓN TITULADA'!#REF!,"AAAAAH3a32o=")</f>
        <v>#REF!</v>
      </c>
      <c r="DD354" t="e">
        <f>AND('PROG FORMACIÓN TITULADA'!#REF!,"AAAAAH3a32s=")</f>
        <v>#REF!</v>
      </c>
      <c r="DE354" t="e">
        <f>AND('PROG FORMACIÓN TITULADA'!#REF!,"AAAAAH3a32w=")</f>
        <v>#REF!</v>
      </c>
      <c r="DF354" t="e">
        <f>AND('PROG FORMACIÓN TITULADA'!#REF!,"AAAAAH3a320=")</f>
        <v>#REF!</v>
      </c>
      <c r="DG354" t="e">
        <f>AND('PROG FORMACIÓN TITULADA'!#REF!,"AAAAAH3a324=")</f>
        <v>#REF!</v>
      </c>
      <c r="DH354" t="e">
        <f>AND('PROG FORMACIÓN TITULADA'!#REF!,"AAAAAH3a328=")</f>
        <v>#REF!</v>
      </c>
      <c r="DI354" t="e">
        <f>AND('PROG FORMACIÓN TITULADA'!#REF!,"AAAAAH3a33A=")</f>
        <v>#REF!</v>
      </c>
      <c r="DJ354" t="e">
        <f>AND('PROG FORMACIÓN TITULADA'!#REF!,"AAAAAH3a33E=")</f>
        <v>#REF!</v>
      </c>
      <c r="DK354" t="e">
        <f>AND('PROG FORMACIÓN TITULADA'!#REF!,"AAAAAH3a33I=")</f>
        <v>#REF!</v>
      </c>
      <c r="DL354" t="e">
        <f>AND('PROG FORMACIÓN TITULADA'!#REF!,"AAAAAH3a33M=")</f>
        <v>#REF!</v>
      </c>
      <c r="DM354" t="e">
        <f>AND('PROG FORMACIÓN TITULADA'!#REF!,"AAAAAH3a33Q=")</f>
        <v>#REF!</v>
      </c>
      <c r="DN354" t="e">
        <f>AND('PROG FORMACIÓN TITULADA'!#REF!,"AAAAAH3a33U=")</f>
        <v>#REF!</v>
      </c>
      <c r="DO354" t="e">
        <f>AND('PROG FORMACIÓN TITULADA'!#REF!,"AAAAAH3a33Y=")</f>
        <v>#REF!</v>
      </c>
      <c r="DP354" t="e">
        <f>AND('PROG FORMACIÓN TITULADA'!#REF!,"AAAAAH3a33c=")</f>
        <v>#REF!</v>
      </c>
      <c r="DQ354" t="e">
        <f>AND('PROG FORMACIÓN TITULADA'!#REF!,"AAAAAH3a33g=")</f>
        <v>#REF!</v>
      </c>
      <c r="DR354" t="e">
        <f>AND('PROG FORMACIÓN TITULADA'!#REF!,"AAAAAH3a33k=")</f>
        <v>#REF!</v>
      </c>
      <c r="DS354" t="e">
        <f>AND('PROG FORMACIÓN TITULADA'!#REF!,"AAAAAH3a33o=")</f>
        <v>#REF!</v>
      </c>
      <c r="DT354" t="e">
        <f>AND('PROG FORMACIÓN TITULADA'!#REF!,"AAAAAH3a33s=")</f>
        <v>#REF!</v>
      </c>
      <c r="DU354" t="e">
        <f>IF('PROG FORMACIÓN TITULADA'!#REF!,"AAAAAH3a33w=",0)</f>
        <v>#REF!</v>
      </c>
      <c r="DV354" t="e">
        <f>AND('PROG FORMACIÓN TITULADA'!#REF!,"AAAAAH3a330=")</f>
        <v>#REF!</v>
      </c>
      <c r="DW354" t="e">
        <f>AND('PROG FORMACIÓN TITULADA'!#REF!,"AAAAAH3a334=")</f>
        <v>#REF!</v>
      </c>
      <c r="DX354" t="e">
        <f>AND('PROG FORMACIÓN TITULADA'!#REF!,"AAAAAH3a338=")</f>
        <v>#REF!</v>
      </c>
      <c r="DY354" t="e">
        <f>AND('PROG FORMACIÓN TITULADA'!#REF!,"AAAAAH3a34A=")</f>
        <v>#REF!</v>
      </c>
      <c r="DZ354" t="e">
        <f>AND('PROG FORMACIÓN TITULADA'!#REF!,"AAAAAH3a34E=")</f>
        <v>#REF!</v>
      </c>
      <c r="EA354" t="e">
        <f>AND('PROG FORMACIÓN TITULADA'!#REF!,"AAAAAH3a34I=")</f>
        <v>#REF!</v>
      </c>
      <c r="EB354" t="e">
        <f>AND('PROG FORMACIÓN TITULADA'!#REF!,"AAAAAH3a34M=")</f>
        <v>#REF!</v>
      </c>
      <c r="EC354" t="e">
        <f>AND('PROG FORMACIÓN TITULADA'!#REF!,"AAAAAH3a34Q=")</f>
        <v>#REF!</v>
      </c>
      <c r="ED354" t="e">
        <f>AND('PROG FORMACIÓN TITULADA'!#REF!,"AAAAAH3a34U=")</f>
        <v>#REF!</v>
      </c>
      <c r="EE354" t="e">
        <f>AND('PROG FORMACIÓN TITULADA'!#REF!,"AAAAAH3a34Y=")</f>
        <v>#REF!</v>
      </c>
      <c r="EF354" t="e">
        <f>AND('PROG FORMACIÓN TITULADA'!#REF!,"AAAAAH3a34c=")</f>
        <v>#REF!</v>
      </c>
      <c r="EG354" t="e">
        <f>AND('PROG FORMACIÓN TITULADA'!#REF!,"AAAAAH3a34g=")</f>
        <v>#REF!</v>
      </c>
      <c r="EH354" t="e">
        <f>AND('PROG FORMACIÓN TITULADA'!#REF!,"AAAAAH3a34k=")</f>
        <v>#REF!</v>
      </c>
      <c r="EI354" t="e">
        <f>AND('PROG FORMACIÓN TITULADA'!#REF!,"AAAAAH3a34o=")</f>
        <v>#REF!</v>
      </c>
      <c r="EJ354" t="e">
        <f>AND('PROG FORMACIÓN TITULADA'!#REF!,"AAAAAH3a34s=")</f>
        <v>#REF!</v>
      </c>
      <c r="EK354" t="e">
        <f>AND('PROG FORMACIÓN TITULADA'!#REF!,"AAAAAH3a34w=")</f>
        <v>#REF!</v>
      </c>
      <c r="EL354" t="e">
        <f>AND('PROG FORMACIÓN TITULADA'!#REF!,"AAAAAH3a340=")</f>
        <v>#REF!</v>
      </c>
      <c r="EM354" t="e">
        <f>AND('PROG FORMACIÓN TITULADA'!#REF!,"AAAAAH3a344=")</f>
        <v>#REF!</v>
      </c>
      <c r="EN354" t="e">
        <f>AND('PROG FORMACIÓN TITULADA'!#REF!,"AAAAAH3a348=")</f>
        <v>#REF!</v>
      </c>
      <c r="EO354" t="e">
        <f>AND('PROG FORMACIÓN TITULADA'!#REF!,"AAAAAH3a35A=")</f>
        <v>#REF!</v>
      </c>
      <c r="EP354" t="e">
        <f>AND('PROG FORMACIÓN TITULADA'!#REF!,"AAAAAH3a35E=")</f>
        <v>#REF!</v>
      </c>
      <c r="EQ354" t="e">
        <f>AND('PROG FORMACIÓN TITULADA'!#REF!,"AAAAAH3a35I=")</f>
        <v>#REF!</v>
      </c>
      <c r="ER354" t="e">
        <f>AND('PROG FORMACIÓN TITULADA'!#REF!,"AAAAAH3a35M=")</f>
        <v>#REF!</v>
      </c>
      <c r="ES354" t="e">
        <f>AND('PROG FORMACIÓN TITULADA'!#REF!,"AAAAAH3a35Q=")</f>
        <v>#REF!</v>
      </c>
      <c r="ET354" t="e">
        <f>AND('PROG FORMACIÓN TITULADA'!#REF!,"AAAAAH3a35U=")</f>
        <v>#REF!</v>
      </c>
      <c r="EU354" t="e">
        <f>AND('PROG FORMACIÓN TITULADA'!#REF!,"AAAAAH3a35Y=")</f>
        <v>#REF!</v>
      </c>
      <c r="EV354" t="e">
        <f>IF('PROG FORMACIÓN TITULADA'!#REF!,"AAAAAH3a35c=",0)</f>
        <v>#REF!</v>
      </c>
      <c r="EW354" t="e">
        <f>AND('PROG FORMACIÓN TITULADA'!#REF!,"AAAAAH3a35g=")</f>
        <v>#REF!</v>
      </c>
      <c r="EX354" t="e">
        <f>AND('PROG FORMACIÓN TITULADA'!#REF!,"AAAAAH3a35k=")</f>
        <v>#REF!</v>
      </c>
      <c r="EY354" t="e">
        <f>AND('PROG FORMACIÓN TITULADA'!#REF!,"AAAAAH3a35o=")</f>
        <v>#REF!</v>
      </c>
      <c r="EZ354" t="e">
        <f>AND('PROG FORMACIÓN TITULADA'!#REF!,"AAAAAH3a35s=")</f>
        <v>#REF!</v>
      </c>
      <c r="FA354" t="e">
        <f>AND('PROG FORMACIÓN TITULADA'!#REF!,"AAAAAH3a35w=")</f>
        <v>#REF!</v>
      </c>
      <c r="FB354" t="e">
        <f>AND('PROG FORMACIÓN TITULADA'!#REF!,"AAAAAH3a350=")</f>
        <v>#REF!</v>
      </c>
      <c r="FC354" t="e">
        <f>AND('PROG FORMACIÓN TITULADA'!#REF!,"AAAAAH3a354=")</f>
        <v>#REF!</v>
      </c>
      <c r="FD354" t="e">
        <f>AND('PROG FORMACIÓN TITULADA'!#REF!,"AAAAAH3a358=")</f>
        <v>#REF!</v>
      </c>
      <c r="FE354" t="e">
        <f>AND('PROG FORMACIÓN TITULADA'!#REF!,"AAAAAH3a36A=")</f>
        <v>#REF!</v>
      </c>
      <c r="FF354" t="e">
        <f>AND('PROG FORMACIÓN TITULADA'!#REF!,"AAAAAH3a36E=")</f>
        <v>#REF!</v>
      </c>
      <c r="FG354" t="e">
        <f>AND('PROG FORMACIÓN TITULADA'!#REF!,"AAAAAH3a36I=")</f>
        <v>#REF!</v>
      </c>
      <c r="FH354" t="e">
        <f>AND('PROG FORMACIÓN TITULADA'!#REF!,"AAAAAH3a36M=")</f>
        <v>#REF!</v>
      </c>
      <c r="FI354" t="e">
        <f>AND('PROG FORMACIÓN TITULADA'!#REF!,"AAAAAH3a36Q=")</f>
        <v>#REF!</v>
      </c>
      <c r="FJ354" t="e">
        <f>AND('PROG FORMACIÓN TITULADA'!#REF!,"AAAAAH3a36U=")</f>
        <v>#REF!</v>
      </c>
      <c r="FK354" t="e">
        <f>AND('PROG FORMACIÓN TITULADA'!#REF!,"AAAAAH3a36Y=")</f>
        <v>#REF!</v>
      </c>
      <c r="FL354" t="e">
        <f>AND('PROG FORMACIÓN TITULADA'!#REF!,"AAAAAH3a36c=")</f>
        <v>#REF!</v>
      </c>
      <c r="FM354" t="e">
        <f>AND('PROG FORMACIÓN TITULADA'!#REF!,"AAAAAH3a36g=")</f>
        <v>#REF!</v>
      </c>
      <c r="FN354" t="e">
        <f>AND('PROG FORMACIÓN TITULADA'!#REF!,"AAAAAH3a36k=")</f>
        <v>#REF!</v>
      </c>
      <c r="FO354" t="e">
        <f>AND('PROG FORMACIÓN TITULADA'!#REF!,"AAAAAH3a36o=")</f>
        <v>#REF!</v>
      </c>
      <c r="FP354" t="e">
        <f>AND('PROG FORMACIÓN TITULADA'!#REF!,"AAAAAH3a36s=")</f>
        <v>#REF!</v>
      </c>
      <c r="FQ354" t="e">
        <f>AND('PROG FORMACIÓN TITULADA'!#REF!,"AAAAAH3a36w=")</f>
        <v>#REF!</v>
      </c>
      <c r="FR354" t="e">
        <f>AND('PROG FORMACIÓN TITULADA'!#REF!,"AAAAAH3a360=")</f>
        <v>#REF!</v>
      </c>
      <c r="FS354" t="e">
        <f>AND('PROG FORMACIÓN TITULADA'!#REF!,"AAAAAH3a364=")</f>
        <v>#REF!</v>
      </c>
      <c r="FT354" t="e">
        <f>AND('PROG FORMACIÓN TITULADA'!#REF!,"AAAAAH3a368=")</f>
        <v>#REF!</v>
      </c>
      <c r="FU354" t="e">
        <f>AND('PROG FORMACIÓN TITULADA'!#REF!,"AAAAAH3a37A=")</f>
        <v>#REF!</v>
      </c>
      <c r="FV354" t="e">
        <f>AND('PROG FORMACIÓN TITULADA'!#REF!,"AAAAAH3a37E=")</f>
        <v>#REF!</v>
      </c>
      <c r="FW354" t="e">
        <f>IF('PROG FORMACIÓN TITULADA'!#REF!,"AAAAAH3a37I=",0)</f>
        <v>#REF!</v>
      </c>
      <c r="FX354" t="e">
        <f>AND('PROG FORMACIÓN TITULADA'!#REF!,"AAAAAH3a37M=")</f>
        <v>#REF!</v>
      </c>
      <c r="FY354" t="e">
        <f>AND('PROG FORMACIÓN TITULADA'!#REF!,"AAAAAH3a37Q=")</f>
        <v>#REF!</v>
      </c>
      <c r="FZ354" t="e">
        <f>AND('PROG FORMACIÓN TITULADA'!#REF!,"AAAAAH3a37U=")</f>
        <v>#REF!</v>
      </c>
      <c r="GA354" t="e">
        <f>AND('PROG FORMACIÓN TITULADA'!#REF!,"AAAAAH3a37Y=")</f>
        <v>#REF!</v>
      </c>
      <c r="GB354" t="e">
        <f>AND('PROG FORMACIÓN TITULADA'!#REF!,"AAAAAH3a37c=")</f>
        <v>#REF!</v>
      </c>
      <c r="GC354" t="e">
        <f>AND('PROG FORMACIÓN TITULADA'!#REF!,"AAAAAH3a37g=")</f>
        <v>#REF!</v>
      </c>
      <c r="GD354" t="e">
        <f>AND('PROG FORMACIÓN TITULADA'!#REF!,"AAAAAH3a37k=")</f>
        <v>#REF!</v>
      </c>
      <c r="GE354" t="e">
        <f>AND('PROG FORMACIÓN TITULADA'!#REF!,"AAAAAH3a37o=")</f>
        <v>#REF!</v>
      </c>
      <c r="GF354" t="e">
        <f>AND('PROG FORMACIÓN TITULADA'!#REF!,"AAAAAH3a37s=")</f>
        <v>#REF!</v>
      </c>
      <c r="GG354" t="e">
        <f>AND('PROG FORMACIÓN TITULADA'!#REF!,"AAAAAH3a37w=")</f>
        <v>#REF!</v>
      </c>
      <c r="GH354" t="e">
        <f>AND('PROG FORMACIÓN TITULADA'!#REF!,"AAAAAH3a370=")</f>
        <v>#REF!</v>
      </c>
      <c r="GI354" t="e">
        <f>AND('PROG FORMACIÓN TITULADA'!#REF!,"AAAAAH3a374=")</f>
        <v>#REF!</v>
      </c>
      <c r="GJ354" t="e">
        <f>AND('PROG FORMACIÓN TITULADA'!#REF!,"AAAAAH3a378=")</f>
        <v>#REF!</v>
      </c>
      <c r="GK354" t="e">
        <f>AND('PROG FORMACIÓN TITULADA'!#REF!,"AAAAAH3a38A=")</f>
        <v>#REF!</v>
      </c>
      <c r="GL354" t="e">
        <f>AND('PROG FORMACIÓN TITULADA'!#REF!,"AAAAAH3a38E=")</f>
        <v>#REF!</v>
      </c>
      <c r="GM354" t="e">
        <f>AND('PROG FORMACIÓN TITULADA'!#REF!,"AAAAAH3a38I=")</f>
        <v>#REF!</v>
      </c>
      <c r="GN354" t="e">
        <f>AND('PROG FORMACIÓN TITULADA'!#REF!,"AAAAAH3a38M=")</f>
        <v>#REF!</v>
      </c>
      <c r="GO354" t="e">
        <f>AND('PROG FORMACIÓN TITULADA'!#REF!,"AAAAAH3a38Q=")</f>
        <v>#REF!</v>
      </c>
      <c r="GP354" t="e">
        <f>AND('PROG FORMACIÓN TITULADA'!#REF!,"AAAAAH3a38U=")</f>
        <v>#REF!</v>
      </c>
      <c r="GQ354" t="e">
        <f>AND('PROG FORMACIÓN TITULADA'!#REF!,"AAAAAH3a38Y=")</f>
        <v>#REF!</v>
      </c>
      <c r="GR354" t="e">
        <f>AND('PROG FORMACIÓN TITULADA'!#REF!,"AAAAAH3a38c=")</f>
        <v>#REF!</v>
      </c>
      <c r="GS354" t="e">
        <f>AND('PROG FORMACIÓN TITULADA'!#REF!,"AAAAAH3a38g=")</f>
        <v>#REF!</v>
      </c>
      <c r="GT354" t="e">
        <f>AND('PROG FORMACIÓN TITULADA'!#REF!,"AAAAAH3a38k=")</f>
        <v>#REF!</v>
      </c>
      <c r="GU354" t="e">
        <f>AND('PROG FORMACIÓN TITULADA'!#REF!,"AAAAAH3a38o=")</f>
        <v>#REF!</v>
      </c>
      <c r="GV354" t="e">
        <f>AND('PROG FORMACIÓN TITULADA'!#REF!,"AAAAAH3a38s=")</f>
        <v>#REF!</v>
      </c>
      <c r="GW354" t="e">
        <f>AND('PROG FORMACIÓN TITULADA'!#REF!,"AAAAAH3a38w=")</f>
        <v>#REF!</v>
      </c>
      <c r="GX354" t="e">
        <f>IF('PROG FORMACIÓN TITULADA'!#REF!,"AAAAAH3a380=",0)</f>
        <v>#REF!</v>
      </c>
      <c r="GY354" t="e">
        <f>AND('PROG FORMACIÓN TITULADA'!#REF!,"AAAAAH3a384=")</f>
        <v>#REF!</v>
      </c>
      <c r="GZ354" t="e">
        <f>AND('PROG FORMACIÓN TITULADA'!#REF!,"AAAAAH3a388=")</f>
        <v>#REF!</v>
      </c>
      <c r="HA354" t="e">
        <f>AND('PROG FORMACIÓN TITULADA'!#REF!,"AAAAAH3a39A=")</f>
        <v>#REF!</v>
      </c>
      <c r="HB354" t="e">
        <f>AND('PROG FORMACIÓN TITULADA'!#REF!,"AAAAAH3a39E=")</f>
        <v>#REF!</v>
      </c>
      <c r="HC354" t="e">
        <f>AND('PROG FORMACIÓN TITULADA'!#REF!,"AAAAAH3a39I=")</f>
        <v>#REF!</v>
      </c>
      <c r="HD354" t="e">
        <f>AND('PROG FORMACIÓN TITULADA'!#REF!,"AAAAAH3a39M=")</f>
        <v>#REF!</v>
      </c>
      <c r="HE354" t="e">
        <f>AND('PROG FORMACIÓN TITULADA'!#REF!,"AAAAAH3a39Q=")</f>
        <v>#REF!</v>
      </c>
      <c r="HF354" t="e">
        <f>AND('PROG FORMACIÓN TITULADA'!#REF!,"AAAAAH3a39U=")</f>
        <v>#REF!</v>
      </c>
      <c r="HG354" t="e">
        <f>AND('PROG FORMACIÓN TITULADA'!#REF!,"AAAAAH3a39Y=")</f>
        <v>#REF!</v>
      </c>
      <c r="HH354" t="e">
        <f>AND('PROG FORMACIÓN TITULADA'!#REF!,"AAAAAH3a39c=")</f>
        <v>#REF!</v>
      </c>
      <c r="HI354" t="e">
        <f>AND('PROG FORMACIÓN TITULADA'!#REF!,"AAAAAH3a39g=")</f>
        <v>#REF!</v>
      </c>
      <c r="HJ354" t="e">
        <f>AND('PROG FORMACIÓN TITULADA'!#REF!,"AAAAAH3a39k=")</f>
        <v>#REF!</v>
      </c>
      <c r="HK354" t="e">
        <f>AND('PROG FORMACIÓN TITULADA'!#REF!,"AAAAAH3a39o=")</f>
        <v>#REF!</v>
      </c>
      <c r="HL354" t="e">
        <f>AND('PROG FORMACIÓN TITULADA'!#REF!,"AAAAAH3a39s=")</f>
        <v>#REF!</v>
      </c>
      <c r="HM354" t="e">
        <f>AND('PROG FORMACIÓN TITULADA'!#REF!,"AAAAAH3a39w=")</f>
        <v>#REF!</v>
      </c>
      <c r="HN354" t="e">
        <f>AND('PROG FORMACIÓN TITULADA'!#REF!,"AAAAAH3a390=")</f>
        <v>#REF!</v>
      </c>
      <c r="HO354" t="e">
        <f>AND('PROG FORMACIÓN TITULADA'!#REF!,"AAAAAH3a394=")</f>
        <v>#REF!</v>
      </c>
      <c r="HP354" t="e">
        <f>AND('PROG FORMACIÓN TITULADA'!#REF!,"AAAAAH3a398=")</f>
        <v>#REF!</v>
      </c>
      <c r="HQ354" t="e">
        <f>AND('PROG FORMACIÓN TITULADA'!#REF!,"AAAAAH3a3+A=")</f>
        <v>#REF!</v>
      </c>
      <c r="HR354" t="e">
        <f>AND('PROG FORMACIÓN TITULADA'!#REF!,"AAAAAH3a3+E=")</f>
        <v>#REF!</v>
      </c>
      <c r="HS354" t="e">
        <f>AND('PROG FORMACIÓN TITULADA'!#REF!,"AAAAAH3a3+I=")</f>
        <v>#REF!</v>
      </c>
      <c r="HT354" t="e">
        <f>AND('PROG FORMACIÓN TITULADA'!#REF!,"AAAAAH3a3+M=")</f>
        <v>#REF!</v>
      </c>
      <c r="HU354" t="e">
        <f>AND('PROG FORMACIÓN TITULADA'!#REF!,"AAAAAH3a3+Q=")</f>
        <v>#REF!</v>
      </c>
      <c r="HV354" t="e">
        <f>AND('PROG FORMACIÓN TITULADA'!#REF!,"AAAAAH3a3+U=")</f>
        <v>#REF!</v>
      </c>
      <c r="HW354" t="e">
        <f>AND('PROG FORMACIÓN TITULADA'!#REF!,"AAAAAH3a3+Y=")</f>
        <v>#REF!</v>
      </c>
      <c r="HX354" t="e">
        <f>AND('PROG FORMACIÓN TITULADA'!#REF!,"AAAAAH3a3+c=")</f>
        <v>#REF!</v>
      </c>
      <c r="HY354" t="e">
        <f>IF('PROG FORMACIÓN TITULADA'!#REF!,"AAAAAH3a3+g=",0)</f>
        <v>#REF!</v>
      </c>
      <c r="HZ354" t="e">
        <f>AND('PROG FORMACIÓN TITULADA'!#REF!,"AAAAAH3a3+k=")</f>
        <v>#REF!</v>
      </c>
      <c r="IA354" t="e">
        <f>AND('PROG FORMACIÓN TITULADA'!#REF!,"AAAAAH3a3+o=")</f>
        <v>#REF!</v>
      </c>
      <c r="IB354" t="e">
        <f>AND('PROG FORMACIÓN TITULADA'!#REF!,"AAAAAH3a3+s=")</f>
        <v>#REF!</v>
      </c>
      <c r="IC354" t="e">
        <f>AND('PROG FORMACIÓN TITULADA'!#REF!,"AAAAAH3a3+w=")</f>
        <v>#REF!</v>
      </c>
      <c r="ID354" t="e">
        <f>AND('PROG FORMACIÓN TITULADA'!#REF!,"AAAAAH3a3+0=")</f>
        <v>#REF!</v>
      </c>
      <c r="IE354" t="e">
        <f>AND('PROG FORMACIÓN TITULADA'!#REF!,"AAAAAH3a3+4=")</f>
        <v>#REF!</v>
      </c>
      <c r="IF354" t="e">
        <f>AND('PROG FORMACIÓN TITULADA'!#REF!,"AAAAAH3a3+8=")</f>
        <v>#REF!</v>
      </c>
      <c r="IG354" t="e">
        <f>AND('PROG FORMACIÓN TITULADA'!#REF!,"AAAAAH3a3/A=")</f>
        <v>#REF!</v>
      </c>
      <c r="IH354" t="e">
        <f>AND('PROG FORMACIÓN TITULADA'!#REF!,"AAAAAH3a3/E=")</f>
        <v>#REF!</v>
      </c>
      <c r="II354" t="e">
        <f>AND('PROG FORMACIÓN TITULADA'!#REF!,"AAAAAH3a3/I=")</f>
        <v>#REF!</v>
      </c>
      <c r="IJ354" t="e">
        <f>AND('PROG FORMACIÓN TITULADA'!#REF!,"AAAAAH3a3/M=")</f>
        <v>#REF!</v>
      </c>
      <c r="IK354" t="e">
        <f>AND('PROG FORMACIÓN TITULADA'!#REF!,"AAAAAH3a3/Q=")</f>
        <v>#REF!</v>
      </c>
      <c r="IL354" t="e">
        <f>AND('PROG FORMACIÓN TITULADA'!#REF!,"AAAAAH3a3/U=")</f>
        <v>#REF!</v>
      </c>
      <c r="IM354" t="e">
        <f>AND('PROG FORMACIÓN TITULADA'!#REF!,"AAAAAH3a3/Y=")</f>
        <v>#REF!</v>
      </c>
      <c r="IN354" t="e">
        <f>AND('PROG FORMACIÓN TITULADA'!#REF!,"AAAAAH3a3/c=")</f>
        <v>#REF!</v>
      </c>
      <c r="IO354" t="e">
        <f>AND('PROG FORMACIÓN TITULADA'!#REF!,"AAAAAH3a3/g=")</f>
        <v>#REF!</v>
      </c>
      <c r="IP354" t="e">
        <f>AND('PROG FORMACIÓN TITULADA'!#REF!,"AAAAAH3a3/k=")</f>
        <v>#REF!</v>
      </c>
      <c r="IQ354" t="e">
        <f>AND('PROG FORMACIÓN TITULADA'!#REF!,"AAAAAH3a3/o=")</f>
        <v>#REF!</v>
      </c>
      <c r="IR354" t="e">
        <f>AND('PROG FORMACIÓN TITULADA'!#REF!,"AAAAAH3a3/s=")</f>
        <v>#REF!</v>
      </c>
      <c r="IS354" t="e">
        <f>AND('PROG FORMACIÓN TITULADA'!#REF!,"AAAAAH3a3/w=")</f>
        <v>#REF!</v>
      </c>
      <c r="IT354" t="e">
        <f>AND('PROG FORMACIÓN TITULADA'!#REF!,"AAAAAH3a3/0=")</f>
        <v>#REF!</v>
      </c>
      <c r="IU354" t="e">
        <f>AND('PROG FORMACIÓN TITULADA'!#REF!,"AAAAAH3a3/4=")</f>
        <v>#REF!</v>
      </c>
      <c r="IV354" t="e">
        <f>AND('PROG FORMACIÓN TITULADA'!#REF!,"AAAAAH3a3/8=")</f>
        <v>#REF!</v>
      </c>
    </row>
    <row r="355" spans="1:256" x14ac:dyDescent="0.2">
      <c r="A355" t="e">
        <f>AND('PROG FORMACIÓN TITULADA'!#REF!,"AAAAAH/v7wA=")</f>
        <v>#REF!</v>
      </c>
      <c r="B355" t="e">
        <f>AND('PROG FORMACIÓN TITULADA'!#REF!,"AAAAAH/v7wE=")</f>
        <v>#REF!</v>
      </c>
      <c r="C355" t="e">
        <f>AND('PROG FORMACIÓN TITULADA'!#REF!,"AAAAAH/v7wI=")</f>
        <v>#REF!</v>
      </c>
      <c r="D355" t="e">
        <f>IF('PROG FORMACIÓN TITULADA'!#REF!,"AAAAAH/v7wM=",0)</f>
        <v>#REF!</v>
      </c>
      <c r="E355" t="e">
        <f>AND('PROG FORMACIÓN TITULADA'!#REF!,"AAAAAH/v7wQ=")</f>
        <v>#REF!</v>
      </c>
      <c r="F355" t="e">
        <f>AND('PROG FORMACIÓN TITULADA'!#REF!,"AAAAAH/v7wU=")</f>
        <v>#REF!</v>
      </c>
      <c r="G355" t="e">
        <f>AND('PROG FORMACIÓN TITULADA'!#REF!,"AAAAAH/v7wY=")</f>
        <v>#REF!</v>
      </c>
      <c r="H355" t="e">
        <f>AND('PROG FORMACIÓN TITULADA'!#REF!,"AAAAAH/v7wc=")</f>
        <v>#REF!</v>
      </c>
      <c r="I355" t="e">
        <f>AND('PROG FORMACIÓN TITULADA'!#REF!,"AAAAAH/v7wg=")</f>
        <v>#REF!</v>
      </c>
      <c r="J355" t="e">
        <f>AND('PROG FORMACIÓN TITULADA'!#REF!,"AAAAAH/v7wk=")</f>
        <v>#REF!</v>
      </c>
      <c r="K355" t="e">
        <f>AND('PROG FORMACIÓN TITULADA'!#REF!,"AAAAAH/v7wo=")</f>
        <v>#REF!</v>
      </c>
      <c r="L355" t="e">
        <f>AND('PROG FORMACIÓN TITULADA'!#REF!,"AAAAAH/v7ws=")</f>
        <v>#REF!</v>
      </c>
      <c r="M355" t="e">
        <f>AND('PROG FORMACIÓN TITULADA'!#REF!,"AAAAAH/v7ww=")</f>
        <v>#REF!</v>
      </c>
      <c r="N355" t="e">
        <f>AND('PROG FORMACIÓN TITULADA'!#REF!,"AAAAAH/v7w0=")</f>
        <v>#REF!</v>
      </c>
      <c r="O355" t="e">
        <f>AND('PROG FORMACIÓN TITULADA'!#REF!,"AAAAAH/v7w4=")</f>
        <v>#REF!</v>
      </c>
      <c r="P355" t="e">
        <f>AND('PROG FORMACIÓN TITULADA'!#REF!,"AAAAAH/v7w8=")</f>
        <v>#REF!</v>
      </c>
      <c r="Q355" t="e">
        <f>AND('PROG FORMACIÓN TITULADA'!#REF!,"AAAAAH/v7xA=")</f>
        <v>#REF!</v>
      </c>
      <c r="R355" t="e">
        <f>AND('PROG FORMACIÓN TITULADA'!#REF!,"AAAAAH/v7xE=")</f>
        <v>#REF!</v>
      </c>
      <c r="S355" t="e">
        <f>AND('PROG FORMACIÓN TITULADA'!#REF!,"AAAAAH/v7xI=")</f>
        <v>#REF!</v>
      </c>
      <c r="T355" t="e">
        <f>AND('PROG FORMACIÓN TITULADA'!#REF!,"AAAAAH/v7xM=")</f>
        <v>#REF!</v>
      </c>
      <c r="U355" t="e">
        <f>AND('PROG FORMACIÓN TITULADA'!#REF!,"AAAAAH/v7xQ=")</f>
        <v>#REF!</v>
      </c>
      <c r="V355" t="e">
        <f>AND('PROG FORMACIÓN TITULADA'!#REF!,"AAAAAH/v7xU=")</f>
        <v>#REF!</v>
      </c>
      <c r="W355" t="e">
        <f>AND('PROG FORMACIÓN TITULADA'!#REF!,"AAAAAH/v7xY=")</f>
        <v>#REF!</v>
      </c>
      <c r="X355" t="e">
        <f>AND('PROG FORMACIÓN TITULADA'!#REF!,"AAAAAH/v7xc=")</f>
        <v>#REF!</v>
      </c>
      <c r="Y355" t="e">
        <f>AND('PROG FORMACIÓN TITULADA'!#REF!,"AAAAAH/v7xg=")</f>
        <v>#REF!</v>
      </c>
      <c r="Z355" t="e">
        <f>AND('PROG FORMACIÓN TITULADA'!#REF!,"AAAAAH/v7xk=")</f>
        <v>#REF!</v>
      </c>
      <c r="AA355" t="e">
        <f>AND('PROG FORMACIÓN TITULADA'!#REF!,"AAAAAH/v7xo=")</f>
        <v>#REF!</v>
      </c>
      <c r="AB355" t="e">
        <f>AND('PROG FORMACIÓN TITULADA'!#REF!,"AAAAAH/v7xs=")</f>
        <v>#REF!</v>
      </c>
      <c r="AC355" t="e">
        <f>AND('PROG FORMACIÓN TITULADA'!#REF!,"AAAAAH/v7xw=")</f>
        <v>#REF!</v>
      </c>
      <c r="AD355" t="e">
        <f>AND('PROG FORMACIÓN TITULADA'!#REF!,"AAAAAH/v7x0=")</f>
        <v>#REF!</v>
      </c>
      <c r="AE355" t="e">
        <f>IF('PROG FORMACIÓN TITULADA'!#REF!,"AAAAAH/v7x4=",0)</f>
        <v>#REF!</v>
      </c>
      <c r="AF355" t="e">
        <f>AND('PROG FORMACIÓN TITULADA'!#REF!,"AAAAAH/v7x8=")</f>
        <v>#REF!</v>
      </c>
      <c r="AG355" t="e">
        <f>AND('PROG FORMACIÓN TITULADA'!#REF!,"AAAAAH/v7yA=")</f>
        <v>#REF!</v>
      </c>
      <c r="AH355" t="e">
        <f>AND('PROG FORMACIÓN TITULADA'!#REF!,"AAAAAH/v7yE=")</f>
        <v>#REF!</v>
      </c>
      <c r="AI355" t="e">
        <f>AND('PROG FORMACIÓN TITULADA'!#REF!,"AAAAAH/v7yI=")</f>
        <v>#REF!</v>
      </c>
      <c r="AJ355" t="e">
        <f>AND('PROG FORMACIÓN TITULADA'!#REF!,"AAAAAH/v7yM=")</f>
        <v>#REF!</v>
      </c>
      <c r="AK355" t="e">
        <f>AND('PROG FORMACIÓN TITULADA'!#REF!,"AAAAAH/v7yQ=")</f>
        <v>#REF!</v>
      </c>
      <c r="AL355" t="e">
        <f>AND('PROG FORMACIÓN TITULADA'!#REF!,"AAAAAH/v7yU=")</f>
        <v>#REF!</v>
      </c>
      <c r="AM355" t="e">
        <f>AND('PROG FORMACIÓN TITULADA'!#REF!,"AAAAAH/v7yY=")</f>
        <v>#REF!</v>
      </c>
      <c r="AN355" t="e">
        <f>AND('PROG FORMACIÓN TITULADA'!#REF!,"AAAAAH/v7yc=")</f>
        <v>#REF!</v>
      </c>
      <c r="AO355" t="e">
        <f>AND('PROG FORMACIÓN TITULADA'!#REF!,"AAAAAH/v7yg=")</f>
        <v>#REF!</v>
      </c>
      <c r="AP355" t="e">
        <f>AND('PROG FORMACIÓN TITULADA'!#REF!,"AAAAAH/v7yk=")</f>
        <v>#REF!</v>
      </c>
      <c r="AQ355" t="e">
        <f>AND('PROG FORMACIÓN TITULADA'!#REF!,"AAAAAH/v7yo=")</f>
        <v>#REF!</v>
      </c>
      <c r="AR355" t="e">
        <f>AND('PROG FORMACIÓN TITULADA'!#REF!,"AAAAAH/v7ys=")</f>
        <v>#REF!</v>
      </c>
      <c r="AS355" t="e">
        <f>AND('PROG FORMACIÓN TITULADA'!#REF!,"AAAAAH/v7yw=")</f>
        <v>#REF!</v>
      </c>
      <c r="AT355" t="e">
        <f>AND('PROG FORMACIÓN TITULADA'!#REF!,"AAAAAH/v7y0=")</f>
        <v>#REF!</v>
      </c>
      <c r="AU355" t="e">
        <f>AND('PROG FORMACIÓN TITULADA'!#REF!,"AAAAAH/v7y4=")</f>
        <v>#REF!</v>
      </c>
      <c r="AV355" t="e">
        <f>AND('PROG FORMACIÓN TITULADA'!#REF!,"AAAAAH/v7y8=")</f>
        <v>#REF!</v>
      </c>
      <c r="AW355" t="e">
        <f>AND('PROG FORMACIÓN TITULADA'!#REF!,"AAAAAH/v7zA=")</f>
        <v>#REF!</v>
      </c>
      <c r="AX355" t="e">
        <f>AND('PROG FORMACIÓN TITULADA'!#REF!,"AAAAAH/v7zE=")</f>
        <v>#REF!</v>
      </c>
      <c r="AY355" t="e">
        <f>AND('PROG FORMACIÓN TITULADA'!#REF!,"AAAAAH/v7zI=")</f>
        <v>#REF!</v>
      </c>
      <c r="AZ355" t="e">
        <f>AND('PROG FORMACIÓN TITULADA'!#REF!,"AAAAAH/v7zM=")</f>
        <v>#REF!</v>
      </c>
      <c r="BA355" t="e">
        <f>AND('PROG FORMACIÓN TITULADA'!#REF!,"AAAAAH/v7zQ=")</f>
        <v>#REF!</v>
      </c>
      <c r="BB355" t="e">
        <f>AND('PROG FORMACIÓN TITULADA'!#REF!,"AAAAAH/v7zU=")</f>
        <v>#REF!</v>
      </c>
      <c r="BC355" t="e">
        <f>AND('PROG FORMACIÓN TITULADA'!#REF!,"AAAAAH/v7zY=")</f>
        <v>#REF!</v>
      </c>
      <c r="BD355" t="e">
        <f>AND('PROG FORMACIÓN TITULADA'!#REF!,"AAAAAH/v7zc=")</f>
        <v>#REF!</v>
      </c>
      <c r="BE355" t="e">
        <f>AND('PROG FORMACIÓN TITULADA'!#REF!,"AAAAAH/v7zg=")</f>
        <v>#REF!</v>
      </c>
      <c r="BF355" t="e">
        <f>IF('PROG FORMACIÓN TITULADA'!#REF!,"AAAAAH/v7zk=",0)</f>
        <v>#REF!</v>
      </c>
      <c r="BG355" t="e">
        <f>AND('PROG FORMACIÓN TITULADA'!#REF!,"AAAAAH/v7zo=")</f>
        <v>#REF!</v>
      </c>
      <c r="BH355" t="e">
        <f>AND('PROG FORMACIÓN TITULADA'!#REF!,"AAAAAH/v7zs=")</f>
        <v>#REF!</v>
      </c>
      <c r="BI355" t="e">
        <f>AND('PROG FORMACIÓN TITULADA'!#REF!,"AAAAAH/v7zw=")</f>
        <v>#REF!</v>
      </c>
      <c r="BJ355" t="e">
        <f>AND('PROG FORMACIÓN TITULADA'!#REF!,"AAAAAH/v7z0=")</f>
        <v>#REF!</v>
      </c>
      <c r="BK355" t="e">
        <f>AND('PROG FORMACIÓN TITULADA'!#REF!,"AAAAAH/v7z4=")</f>
        <v>#REF!</v>
      </c>
      <c r="BL355" t="e">
        <f>AND('PROG FORMACIÓN TITULADA'!#REF!,"AAAAAH/v7z8=")</f>
        <v>#REF!</v>
      </c>
      <c r="BM355" t="e">
        <f>AND('PROG FORMACIÓN TITULADA'!#REF!,"AAAAAH/v70A=")</f>
        <v>#REF!</v>
      </c>
      <c r="BN355" t="e">
        <f>AND('PROG FORMACIÓN TITULADA'!#REF!,"AAAAAH/v70E=")</f>
        <v>#REF!</v>
      </c>
      <c r="BO355" t="e">
        <f>AND('PROG FORMACIÓN TITULADA'!#REF!,"AAAAAH/v70I=")</f>
        <v>#REF!</v>
      </c>
      <c r="BP355" t="e">
        <f>AND('PROG FORMACIÓN TITULADA'!#REF!,"AAAAAH/v70M=")</f>
        <v>#REF!</v>
      </c>
      <c r="BQ355" t="e">
        <f>AND('PROG FORMACIÓN TITULADA'!#REF!,"AAAAAH/v70Q=")</f>
        <v>#REF!</v>
      </c>
      <c r="BR355" t="e">
        <f>AND('PROG FORMACIÓN TITULADA'!#REF!,"AAAAAH/v70U=")</f>
        <v>#REF!</v>
      </c>
      <c r="BS355" t="e">
        <f>AND('PROG FORMACIÓN TITULADA'!#REF!,"AAAAAH/v70Y=")</f>
        <v>#REF!</v>
      </c>
      <c r="BT355" t="e">
        <f>AND('PROG FORMACIÓN TITULADA'!#REF!,"AAAAAH/v70c=")</f>
        <v>#REF!</v>
      </c>
      <c r="BU355" t="e">
        <f>AND('PROG FORMACIÓN TITULADA'!#REF!,"AAAAAH/v70g=")</f>
        <v>#REF!</v>
      </c>
      <c r="BV355" t="e">
        <f>AND('PROG FORMACIÓN TITULADA'!#REF!,"AAAAAH/v70k=")</f>
        <v>#REF!</v>
      </c>
      <c r="BW355" t="e">
        <f>AND('PROG FORMACIÓN TITULADA'!#REF!,"AAAAAH/v70o=")</f>
        <v>#REF!</v>
      </c>
      <c r="BX355" t="e">
        <f>AND('PROG FORMACIÓN TITULADA'!#REF!,"AAAAAH/v70s=")</f>
        <v>#REF!</v>
      </c>
      <c r="BY355" t="e">
        <f>AND('PROG FORMACIÓN TITULADA'!#REF!,"AAAAAH/v70w=")</f>
        <v>#REF!</v>
      </c>
      <c r="BZ355" t="e">
        <f>AND('PROG FORMACIÓN TITULADA'!#REF!,"AAAAAH/v700=")</f>
        <v>#REF!</v>
      </c>
      <c r="CA355" t="e">
        <f>AND('PROG FORMACIÓN TITULADA'!#REF!,"AAAAAH/v704=")</f>
        <v>#REF!</v>
      </c>
      <c r="CB355" t="e">
        <f>AND('PROG FORMACIÓN TITULADA'!#REF!,"AAAAAH/v708=")</f>
        <v>#REF!</v>
      </c>
      <c r="CC355" t="e">
        <f>AND('PROG FORMACIÓN TITULADA'!#REF!,"AAAAAH/v71A=")</f>
        <v>#REF!</v>
      </c>
      <c r="CD355" t="e">
        <f>AND('PROG FORMACIÓN TITULADA'!#REF!,"AAAAAH/v71E=")</f>
        <v>#REF!</v>
      </c>
      <c r="CE355" t="e">
        <f>AND('PROG FORMACIÓN TITULADA'!#REF!,"AAAAAH/v71I=")</f>
        <v>#REF!</v>
      </c>
      <c r="CF355" t="e">
        <f>AND('PROG FORMACIÓN TITULADA'!#REF!,"AAAAAH/v71M=")</f>
        <v>#REF!</v>
      </c>
      <c r="CG355" t="e">
        <f>IF('PROG FORMACIÓN TITULADA'!#REF!,"AAAAAH/v71Q=",0)</f>
        <v>#REF!</v>
      </c>
      <c r="CH355" t="e">
        <f>AND('PROG FORMACIÓN TITULADA'!#REF!,"AAAAAH/v71U=")</f>
        <v>#REF!</v>
      </c>
      <c r="CI355" t="e">
        <f>AND('PROG FORMACIÓN TITULADA'!#REF!,"AAAAAH/v71Y=")</f>
        <v>#REF!</v>
      </c>
      <c r="CJ355" t="e">
        <f>AND('PROG FORMACIÓN TITULADA'!#REF!,"AAAAAH/v71c=")</f>
        <v>#REF!</v>
      </c>
      <c r="CK355" t="e">
        <f>AND('PROG FORMACIÓN TITULADA'!#REF!,"AAAAAH/v71g=")</f>
        <v>#REF!</v>
      </c>
      <c r="CL355" t="e">
        <f>AND('PROG FORMACIÓN TITULADA'!#REF!,"AAAAAH/v71k=")</f>
        <v>#REF!</v>
      </c>
      <c r="CM355" t="e">
        <f>AND('PROG FORMACIÓN TITULADA'!#REF!,"AAAAAH/v71o=")</f>
        <v>#REF!</v>
      </c>
      <c r="CN355" t="e">
        <f>AND('PROG FORMACIÓN TITULADA'!#REF!,"AAAAAH/v71s=")</f>
        <v>#REF!</v>
      </c>
      <c r="CO355" t="e">
        <f>AND('PROG FORMACIÓN TITULADA'!#REF!,"AAAAAH/v71w=")</f>
        <v>#REF!</v>
      </c>
      <c r="CP355" t="e">
        <f>AND('PROG FORMACIÓN TITULADA'!#REF!,"AAAAAH/v710=")</f>
        <v>#REF!</v>
      </c>
      <c r="CQ355" t="e">
        <f>AND('PROG FORMACIÓN TITULADA'!#REF!,"AAAAAH/v714=")</f>
        <v>#REF!</v>
      </c>
      <c r="CR355" t="e">
        <f>AND('PROG FORMACIÓN TITULADA'!#REF!,"AAAAAH/v718=")</f>
        <v>#REF!</v>
      </c>
      <c r="CS355" t="e">
        <f>AND('PROG FORMACIÓN TITULADA'!#REF!,"AAAAAH/v72A=")</f>
        <v>#REF!</v>
      </c>
      <c r="CT355" t="e">
        <f>AND('PROG FORMACIÓN TITULADA'!#REF!,"AAAAAH/v72E=")</f>
        <v>#REF!</v>
      </c>
      <c r="CU355" t="e">
        <f>AND('PROG FORMACIÓN TITULADA'!#REF!,"AAAAAH/v72I=")</f>
        <v>#REF!</v>
      </c>
      <c r="CV355" t="e">
        <f>AND('PROG FORMACIÓN TITULADA'!#REF!,"AAAAAH/v72M=")</f>
        <v>#REF!</v>
      </c>
      <c r="CW355" t="e">
        <f>AND('PROG FORMACIÓN TITULADA'!#REF!,"AAAAAH/v72Q=")</f>
        <v>#REF!</v>
      </c>
      <c r="CX355" t="e">
        <f>AND('PROG FORMACIÓN TITULADA'!#REF!,"AAAAAH/v72U=")</f>
        <v>#REF!</v>
      </c>
      <c r="CY355" t="e">
        <f>AND('PROG FORMACIÓN TITULADA'!#REF!,"AAAAAH/v72Y=")</f>
        <v>#REF!</v>
      </c>
      <c r="CZ355" t="e">
        <f>AND('PROG FORMACIÓN TITULADA'!#REF!,"AAAAAH/v72c=")</f>
        <v>#REF!</v>
      </c>
      <c r="DA355" t="e">
        <f>AND('PROG FORMACIÓN TITULADA'!#REF!,"AAAAAH/v72g=")</f>
        <v>#REF!</v>
      </c>
      <c r="DB355" t="e">
        <f>AND('PROG FORMACIÓN TITULADA'!#REF!,"AAAAAH/v72k=")</f>
        <v>#REF!</v>
      </c>
      <c r="DC355" t="e">
        <f>AND('PROG FORMACIÓN TITULADA'!#REF!,"AAAAAH/v72o=")</f>
        <v>#REF!</v>
      </c>
      <c r="DD355" t="e">
        <f>AND('PROG FORMACIÓN TITULADA'!#REF!,"AAAAAH/v72s=")</f>
        <v>#REF!</v>
      </c>
      <c r="DE355" t="e">
        <f>AND('PROG FORMACIÓN TITULADA'!#REF!,"AAAAAH/v72w=")</f>
        <v>#REF!</v>
      </c>
      <c r="DF355" t="e">
        <f>AND('PROG FORMACIÓN TITULADA'!#REF!,"AAAAAH/v720=")</f>
        <v>#REF!</v>
      </c>
      <c r="DG355" t="e">
        <f>AND('PROG FORMACIÓN TITULADA'!#REF!,"AAAAAH/v724=")</f>
        <v>#REF!</v>
      </c>
      <c r="DH355" t="e">
        <f>IF('PROG FORMACIÓN TITULADA'!#REF!,"AAAAAH/v728=",0)</f>
        <v>#REF!</v>
      </c>
      <c r="DI355" t="e">
        <f>AND('PROG FORMACIÓN TITULADA'!#REF!,"AAAAAH/v73A=")</f>
        <v>#REF!</v>
      </c>
      <c r="DJ355" t="e">
        <f>AND('PROG FORMACIÓN TITULADA'!#REF!,"AAAAAH/v73E=")</f>
        <v>#REF!</v>
      </c>
      <c r="DK355" t="e">
        <f>AND('PROG FORMACIÓN TITULADA'!#REF!,"AAAAAH/v73I=")</f>
        <v>#REF!</v>
      </c>
      <c r="DL355" t="e">
        <f>AND('PROG FORMACIÓN TITULADA'!#REF!,"AAAAAH/v73M=")</f>
        <v>#REF!</v>
      </c>
      <c r="DM355" t="e">
        <f>AND('PROG FORMACIÓN TITULADA'!#REF!,"AAAAAH/v73Q=")</f>
        <v>#REF!</v>
      </c>
      <c r="DN355" t="e">
        <f>AND('PROG FORMACIÓN TITULADA'!#REF!,"AAAAAH/v73U=")</f>
        <v>#REF!</v>
      </c>
      <c r="DO355" t="e">
        <f>AND('PROG FORMACIÓN TITULADA'!#REF!,"AAAAAH/v73Y=")</f>
        <v>#REF!</v>
      </c>
      <c r="DP355" t="e">
        <f>AND('PROG FORMACIÓN TITULADA'!#REF!,"AAAAAH/v73c=")</f>
        <v>#REF!</v>
      </c>
      <c r="DQ355" t="e">
        <f>AND('PROG FORMACIÓN TITULADA'!#REF!,"AAAAAH/v73g=")</f>
        <v>#REF!</v>
      </c>
      <c r="DR355" t="e">
        <f>AND('PROG FORMACIÓN TITULADA'!#REF!,"AAAAAH/v73k=")</f>
        <v>#REF!</v>
      </c>
      <c r="DS355" t="e">
        <f>AND('PROG FORMACIÓN TITULADA'!#REF!,"AAAAAH/v73o=")</f>
        <v>#REF!</v>
      </c>
      <c r="DT355" t="e">
        <f>AND('PROG FORMACIÓN TITULADA'!#REF!,"AAAAAH/v73s=")</f>
        <v>#REF!</v>
      </c>
      <c r="DU355" t="e">
        <f>AND('PROG FORMACIÓN TITULADA'!#REF!,"AAAAAH/v73w=")</f>
        <v>#REF!</v>
      </c>
      <c r="DV355" t="e">
        <f>AND('PROG FORMACIÓN TITULADA'!#REF!,"AAAAAH/v730=")</f>
        <v>#REF!</v>
      </c>
      <c r="DW355" t="e">
        <f>AND('PROG FORMACIÓN TITULADA'!#REF!,"AAAAAH/v734=")</f>
        <v>#REF!</v>
      </c>
      <c r="DX355" t="e">
        <f>AND('PROG FORMACIÓN TITULADA'!#REF!,"AAAAAH/v738=")</f>
        <v>#REF!</v>
      </c>
      <c r="DY355" t="e">
        <f>AND('PROG FORMACIÓN TITULADA'!#REF!,"AAAAAH/v74A=")</f>
        <v>#REF!</v>
      </c>
      <c r="DZ355" t="e">
        <f>AND('PROG FORMACIÓN TITULADA'!#REF!,"AAAAAH/v74E=")</f>
        <v>#REF!</v>
      </c>
      <c r="EA355" t="e">
        <f>AND('PROG FORMACIÓN TITULADA'!#REF!,"AAAAAH/v74I=")</f>
        <v>#REF!</v>
      </c>
      <c r="EB355" t="e">
        <f>AND('PROG FORMACIÓN TITULADA'!#REF!,"AAAAAH/v74M=")</f>
        <v>#REF!</v>
      </c>
      <c r="EC355" t="e">
        <f>AND('PROG FORMACIÓN TITULADA'!#REF!,"AAAAAH/v74Q=")</f>
        <v>#REF!</v>
      </c>
      <c r="ED355" t="e">
        <f>AND('PROG FORMACIÓN TITULADA'!#REF!,"AAAAAH/v74U=")</f>
        <v>#REF!</v>
      </c>
      <c r="EE355" t="e">
        <f>AND('PROG FORMACIÓN TITULADA'!#REF!,"AAAAAH/v74Y=")</f>
        <v>#REF!</v>
      </c>
      <c r="EF355" t="e">
        <f>AND('PROG FORMACIÓN TITULADA'!#REF!,"AAAAAH/v74c=")</f>
        <v>#REF!</v>
      </c>
      <c r="EG355" t="e">
        <f>AND('PROG FORMACIÓN TITULADA'!#REF!,"AAAAAH/v74g=")</f>
        <v>#REF!</v>
      </c>
      <c r="EH355" t="e">
        <f>AND('PROG FORMACIÓN TITULADA'!#REF!,"AAAAAH/v74k=")</f>
        <v>#REF!</v>
      </c>
      <c r="EI355" t="e">
        <f>IF('PROG FORMACIÓN TITULADA'!#REF!,"AAAAAH/v74o=",0)</f>
        <v>#REF!</v>
      </c>
      <c r="EJ355" t="e">
        <f>AND('PROG FORMACIÓN TITULADA'!#REF!,"AAAAAH/v74s=")</f>
        <v>#REF!</v>
      </c>
      <c r="EK355" t="e">
        <f>AND('PROG FORMACIÓN TITULADA'!#REF!,"AAAAAH/v74w=")</f>
        <v>#REF!</v>
      </c>
      <c r="EL355" t="e">
        <f>AND('PROG FORMACIÓN TITULADA'!#REF!,"AAAAAH/v740=")</f>
        <v>#REF!</v>
      </c>
      <c r="EM355" t="e">
        <f>AND('PROG FORMACIÓN TITULADA'!#REF!,"AAAAAH/v744=")</f>
        <v>#REF!</v>
      </c>
      <c r="EN355" t="e">
        <f>AND('PROG FORMACIÓN TITULADA'!#REF!,"AAAAAH/v748=")</f>
        <v>#REF!</v>
      </c>
      <c r="EO355" t="e">
        <f>AND('PROG FORMACIÓN TITULADA'!#REF!,"AAAAAH/v75A=")</f>
        <v>#REF!</v>
      </c>
      <c r="EP355" t="e">
        <f>AND('PROG FORMACIÓN TITULADA'!#REF!,"AAAAAH/v75E=")</f>
        <v>#REF!</v>
      </c>
      <c r="EQ355" t="e">
        <f>AND('PROG FORMACIÓN TITULADA'!#REF!,"AAAAAH/v75I=")</f>
        <v>#REF!</v>
      </c>
      <c r="ER355" t="e">
        <f>AND('PROG FORMACIÓN TITULADA'!#REF!,"AAAAAH/v75M=")</f>
        <v>#REF!</v>
      </c>
      <c r="ES355" t="e">
        <f>AND('PROG FORMACIÓN TITULADA'!#REF!,"AAAAAH/v75Q=")</f>
        <v>#REF!</v>
      </c>
      <c r="ET355" t="e">
        <f>AND('PROG FORMACIÓN TITULADA'!#REF!,"AAAAAH/v75U=")</f>
        <v>#REF!</v>
      </c>
      <c r="EU355" t="e">
        <f>AND('PROG FORMACIÓN TITULADA'!#REF!,"AAAAAH/v75Y=")</f>
        <v>#REF!</v>
      </c>
      <c r="EV355" t="e">
        <f>AND('PROG FORMACIÓN TITULADA'!#REF!,"AAAAAH/v75c=")</f>
        <v>#REF!</v>
      </c>
      <c r="EW355" t="e">
        <f>AND('PROG FORMACIÓN TITULADA'!#REF!,"AAAAAH/v75g=")</f>
        <v>#REF!</v>
      </c>
      <c r="EX355" t="e">
        <f>AND('PROG FORMACIÓN TITULADA'!#REF!,"AAAAAH/v75k=")</f>
        <v>#REF!</v>
      </c>
      <c r="EY355" t="e">
        <f>AND('PROG FORMACIÓN TITULADA'!#REF!,"AAAAAH/v75o=")</f>
        <v>#REF!</v>
      </c>
      <c r="EZ355" t="e">
        <f>AND('PROG FORMACIÓN TITULADA'!#REF!,"AAAAAH/v75s=")</f>
        <v>#REF!</v>
      </c>
      <c r="FA355" t="e">
        <f>AND('PROG FORMACIÓN TITULADA'!#REF!,"AAAAAH/v75w=")</f>
        <v>#REF!</v>
      </c>
      <c r="FB355" t="e">
        <f>AND('PROG FORMACIÓN TITULADA'!#REF!,"AAAAAH/v750=")</f>
        <v>#REF!</v>
      </c>
      <c r="FC355" t="e">
        <f>AND('PROG FORMACIÓN TITULADA'!#REF!,"AAAAAH/v754=")</f>
        <v>#REF!</v>
      </c>
      <c r="FD355" t="e">
        <f>AND('PROG FORMACIÓN TITULADA'!#REF!,"AAAAAH/v758=")</f>
        <v>#REF!</v>
      </c>
      <c r="FE355" t="e">
        <f>AND('PROG FORMACIÓN TITULADA'!#REF!,"AAAAAH/v76A=")</f>
        <v>#REF!</v>
      </c>
      <c r="FF355" t="e">
        <f>AND('PROG FORMACIÓN TITULADA'!#REF!,"AAAAAH/v76E=")</f>
        <v>#REF!</v>
      </c>
      <c r="FG355" t="e">
        <f>AND('PROG FORMACIÓN TITULADA'!#REF!,"AAAAAH/v76I=")</f>
        <v>#REF!</v>
      </c>
      <c r="FH355" t="e">
        <f>AND('PROG FORMACIÓN TITULADA'!#REF!,"AAAAAH/v76M=")</f>
        <v>#REF!</v>
      </c>
      <c r="FI355" t="e">
        <f>AND('PROG FORMACIÓN TITULADA'!#REF!,"AAAAAH/v76Q=")</f>
        <v>#REF!</v>
      </c>
      <c r="FJ355" t="e">
        <f>IF('PROG FORMACIÓN TITULADA'!#REF!,"AAAAAH/v76U=",0)</f>
        <v>#REF!</v>
      </c>
      <c r="FK355" t="e">
        <f>AND('PROG FORMACIÓN TITULADA'!#REF!,"AAAAAH/v76Y=")</f>
        <v>#REF!</v>
      </c>
      <c r="FL355" t="e">
        <f>AND('PROG FORMACIÓN TITULADA'!#REF!,"AAAAAH/v76c=")</f>
        <v>#REF!</v>
      </c>
      <c r="FM355" t="e">
        <f>AND('PROG FORMACIÓN TITULADA'!#REF!,"AAAAAH/v76g=")</f>
        <v>#REF!</v>
      </c>
      <c r="FN355" t="e">
        <f>AND('PROG FORMACIÓN TITULADA'!#REF!,"AAAAAH/v76k=")</f>
        <v>#REF!</v>
      </c>
      <c r="FO355" t="e">
        <f>AND('PROG FORMACIÓN TITULADA'!#REF!,"AAAAAH/v76o=")</f>
        <v>#REF!</v>
      </c>
      <c r="FP355" t="e">
        <f>AND('PROG FORMACIÓN TITULADA'!#REF!,"AAAAAH/v76s=")</f>
        <v>#REF!</v>
      </c>
      <c r="FQ355" t="e">
        <f>AND('PROG FORMACIÓN TITULADA'!#REF!,"AAAAAH/v76w=")</f>
        <v>#REF!</v>
      </c>
      <c r="FR355" t="e">
        <f>AND('PROG FORMACIÓN TITULADA'!#REF!,"AAAAAH/v760=")</f>
        <v>#REF!</v>
      </c>
      <c r="FS355" t="e">
        <f>AND('PROG FORMACIÓN TITULADA'!#REF!,"AAAAAH/v764=")</f>
        <v>#REF!</v>
      </c>
      <c r="FT355" t="e">
        <f>AND('PROG FORMACIÓN TITULADA'!#REF!,"AAAAAH/v768=")</f>
        <v>#REF!</v>
      </c>
      <c r="FU355" t="e">
        <f>AND('PROG FORMACIÓN TITULADA'!#REF!,"AAAAAH/v77A=")</f>
        <v>#REF!</v>
      </c>
      <c r="FV355" t="e">
        <f>AND('PROG FORMACIÓN TITULADA'!#REF!,"AAAAAH/v77E=")</f>
        <v>#REF!</v>
      </c>
      <c r="FW355" t="e">
        <f>AND('PROG FORMACIÓN TITULADA'!#REF!,"AAAAAH/v77I=")</f>
        <v>#REF!</v>
      </c>
      <c r="FX355" t="e">
        <f>AND('PROG FORMACIÓN TITULADA'!#REF!,"AAAAAH/v77M=")</f>
        <v>#REF!</v>
      </c>
      <c r="FY355" t="e">
        <f>AND('PROG FORMACIÓN TITULADA'!#REF!,"AAAAAH/v77Q=")</f>
        <v>#REF!</v>
      </c>
      <c r="FZ355" t="e">
        <f>AND('PROG FORMACIÓN TITULADA'!#REF!,"AAAAAH/v77U=")</f>
        <v>#REF!</v>
      </c>
      <c r="GA355" t="e">
        <f>AND('PROG FORMACIÓN TITULADA'!#REF!,"AAAAAH/v77Y=")</f>
        <v>#REF!</v>
      </c>
      <c r="GB355" t="e">
        <f>AND('PROG FORMACIÓN TITULADA'!#REF!,"AAAAAH/v77c=")</f>
        <v>#REF!</v>
      </c>
      <c r="GC355" t="e">
        <f>AND('PROG FORMACIÓN TITULADA'!#REF!,"AAAAAH/v77g=")</f>
        <v>#REF!</v>
      </c>
      <c r="GD355" t="e">
        <f>AND('PROG FORMACIÓN TITULADA'!#REF!,"AAAAAH/v77k=")</f>
        <v>#REF!</v>
      </c>
      <c r="GE355" t="e">
        <f>AND('PROG FORMACIÓN TITULADA'!#REF!,"AAAAAH/v77o=")</f>
        <v>#REF!</v>
      </c>
      <c r="GF355" t="e">
        <f>AND('PROG FORMACIÓN TITULADA'!#REF!,"AAAAAH/v77s=")</f>
        <v>#REF!</v>
      </c>
      <c r="GG355" t="e">
        <f>AND('PROG FORMACIÓN TITULADA'!#REF!,"AAAAAH/v77w=")</f>
        <v>#REF!</v>
      </c>
      <c r="GH355" t="e">
        <f>AND('PROG FORMACIÓN TITULADA'!#REF!,"AAAAAH/v770=")</f>
        <v>#REF!</v>
      </c>
      <c r="GI355" t="e">
        <f>AND('PROG FORMACIÓN TITULADA'!#REF!,"AAAAAH/v774=")</f>
        <v>#REF!</v>
      </c>
      <c r="GJ355" t="e">
        <f>AND('PROG FORMACIÓN TITULADA'!#REF!,"AAAAAH/v778=")</f>
        <v>#REF!</v>
      </c>
      <c r="GK355" t="e">
        <f>IF('PROG FORMACIÓN TITULADA'!#REF!,"AAAAAH/v78A=",0)</f>
        <v>#REF!</v>
      </c>
      <c r="GL355" t="e">
        <f>AND('PROG FORMACIÓN TITULADA'!#REF!,"AAAAAH/v78E=")</f>
        <v>#REF!</v>
      </c>
      <c r="GM355" t="e">
        <f>AND('PROG FORMACIÓN TITULADA'!#REF!,"AAAAAH/v78I=")</f>
        <v>#REF!</v>
      </c>
      <c r="GN355" t="e">
        <f>AND('PROG FORMACIÓN TITULADA'!#REF!,"AAAAAH/v78M=")</f>
        <v>#REF!</v>
      </c>
      <c r="GO355" t="e">
        <f>AND('PROG FORMACIÓN TITULADA'!#REF!,"AAAAAH/v78Q=")</f>
        <v>#REF!</v>
      </c>
      <c r="GP355" t="e">
        <f>AND('PROG FORMACIÓN TITULADA'!#REF!,"AAAAAH/v78U=")</f>
        <v>#REF!</v>
      </c>
      <c r="GQ355" t="e">
        <f>AND('PROG FORMACIÓN TITULADA'!#REF!,"AAAAAH/v78Y=")</f>
        <v>#REF!</v>
      </c>
      <c r="GR355" t="e">
        <f>AND('PROG FORMACIÓN TITULADA'!#REF!,"AAAAAH/v78c=")</f>
        <v>#REF!</v>
      </c>
      <c r="GS355" t="e">
        <f>AND('PROG FORMACIÓN TITULADA'!#REF!,"AAAAAH/v78g=")</f>
        <v>#REF!</v>
      </c>
      <c r="GT355" t="e">
        <f>AND('PROG FORMACIÓN TITULADA'!#REF!,"AAAAAH/v78k=")</f>
        <v>#REF!</v>
      </c>
      <c r="GU355" t="e">
        <f>AND('PROG FORMACIÓN TITULADA'!#REF!,"AAAAAH/v78o=")</f>
        <v>#REF!</v>
      </c>
      <c r="GV355" t="e">
        <f>AND('PROG FORMACIÓN TITULADA'!#REF!,"AAAAAH/v78s=")</f>
        <v>#REF!</v>
      </c>
      <c r="GW355" t="e">
        <f>AND('PROG FORMACIÓN TITULADA'!#REF!,"AAAAAH/v78w=")</f>
        <v>#REF!</v>
      </c>
      <c r="GX355" t="e">
        <f>AND('PROG FORMACIÓN TITULADA'!#REF!,"AAAAAH/v780=")</f>
        <v>#REF!</v>
      </c>
      <c r="GY355" t="e">
        <f>AND('PROG FORMACIÓN TITULADA'!#REF!,"AAAAAH/v784=")</f>
        <v>#REF!</v>
      </c>
      <c r="GZ355" t="e">
        <f>AND('PROG FORMACIÓN TITULADA'!#REF!,"AAAAAH/v788=")</f>
        <v>#REF!</v>
      </c>
      <c r="HA355" t="e">
        <f>AND('PROG FORMACIÓN TITULADA'!#REF!,"AAAAAH/v79A=")</f>
        <v>#REF!</v>
      </c>
      <c r="HB355" t="e">
        <f>AND('PROG FORMACIÓN TITULADA'!#REF!,"AAAAAH/v79E=")</f>
        <v>#REF!</v>
      </c>
      <c r="HC355" t="e">
        <f>AND('PROG FORMACIÓN TITULADA'!#REF!,"AAAAAH/v79I=")</f>
        <v>#REF!</v>
      </c>
      <c r="HD355" t="e">
        <f>AND('PROG FORMACIÓN TITULADA'!#REF!,"AAAAAH/v79M=")</f>
        <v>#REF!</v>
      </c>
      <c r="HE355" t="e">
        <f>AND('PROG FORMACIÓN TITULADA'!#REF!,"AAAAAH/v79Q=")</f>
        <v>#REF!</v>
      </c>
      <c r="HF355" t="e">
        <f>AND('PROG FORMACIÓN TITULADA'!#REF!,"AAAAAH/v79U=")</f>
        <v>#REF!</v>
      </c>
      <c r="HG355" t="e">
        <f>AND('PROG FORMACIÓN TITULADA'!#REF!,"AAAAAH/v79Y=")</f>
        <v>#REF!</v>
      </c>
      <c r="HH355" t="e">
        <f>AND('PROG FORMACIÓN TITULADA'!#REF!,"AAAAAH/v79c=")</f>
        <v>#REF!</v>
      </c>
      <c r="HI355" t="e">
        <f>AND('PROG FORMACIÓN TITULADA'!#REF!,"AAAAAH/v79g=")</f>
        <v>#REF!</v>
      </c>
      <c r="HJ355" t="e">
        <f>AND('PROG FORMACIÓN TITULADA'!#REF!,"AAAAAH/v79k=")</f>
        <v>#REF!</v>
      </c>
      <c r="HK355" t="e">
        <f>AND('PROG FORMACIÓN TITULADA'!#REF!,"AAAAAH/v79o=")</f>
        <v>#REF!</v>
      </c>
      <c r="HL355" t="e">
        <f>IF('PROG FORMACIÓN TITULADA'!#REF!,"AAAAAH/v79s=",0)</f>
        <v>#REF!</v>
      </c>
      <c r="HM355" t="e">
        <f>AND('PROG FORMACIÓN TITULADA'!#REF!,"AAAAAH/v79w=")</f>
        <v>#REF!</v>
      </c>
      <c r="HN355" t="e">
        <f>AND('PROG FORMACIÓN TITULADA'!#REF!,"AAAAAH/v790=")</f>
        <v>#REF!</v>
      </c>
      <c r="HO355" t="e">
        <f>AND('PROG FORMACIÓN TITULADA'!#REF!,"AAAAAH/v794=")</f>
        <v>#REF!</v>
      </c>
      <c r="HP355" t="e">
        <f>AND('PROG FORMACIÓN TITULADA'!#REF!,"AAAAAH/v798=")</f>
        <v>#REF!</v>
      </c>
      <c r="HQ355" t="e">
        <f>AND('PROG FORMACIÓN TITULADA'!#REF!,"AAAAAH/v7+A=")</f>
        <v>#REF!</v>
      </c>
      <c r="HR355" t="e">
        <f>AND('PROG FORMACIÓN TITULADA'!#REF!,"AAAAAH/v7+E=")</f>
        <v>#REF!</v>
      </c>
      <c r="HS355" t="e">
        <f>AND('PROG FORMACIÓN TITULADA'!#REF!,"AAAAAH/v7+I=")</f>
        <v>#REF!</v>
      </c>
      <c r="HT355" t="e">
        <f>AND('PROG FORMACIÓN TITULADA'!#REF!,"AAAAAH/v7+M=")</f>
        <v>#REF!</v>
      </c>
      <c r="HU355" t="e">
        <f>AND('PROG FORMACIÓN TITULADA'!#REF!,"AAAAAH/v7+Q=")</f>
        <v>#REF!</v>
      </c>
      <c r="HV355" t="e">
        <f>AND('PROG FORMACIÓN TITULADA'!#REF!,"AAAAAH/v7+U=")</f>
        <v>#REF!</v>
      </c>
      <c r="HW355" t="e">
        <f>AND('PROG FORMACIÓN TITULADA'!#REF!,"AAAAAH/v7+Y=")</f>
        <v>#REF!</v>
      </c>
      <c r="HX355" t="e">
        <f>AND('PROG FORMACIÓN TITULADA'!#REF!,"AAAAAH/v7+c=")</f>
        <v>#REF!</v>
      </c>
      <c r="HY355" t="e">
        <f>AND('PROG FORMACIÓN TITULADA'!#REF!,"AAAAAH/v7+g=")</f>
        <v>#REF!</v>
      </c>
      <c r="HZ355" t="e">
        <f>AND('PROG FORMACIÓN TITULADA'!#REF!,"AAAAAH/v7+k=")</f>
        <v>#REF!</v>
      </c>
      <c r="IA355" t="e">
        <f>AND('PROG FORMACIÓN TITULADA'!#REF!,"AAAAAH/v7+o=")</f>
        <v>#REF!</v>
      </c>
      <c r="IB355" t="e">
        <f>AND('PROG FORMACIÓN TITULADA'!#REF!,"AAAAAH/v7+s=")</f>
        <v>#REF!</v>
      </c>
      <c r="IC355" t="e">
        <f>AND('PROG FORMACIÓN TITULADA'!#REF!,"AAAAAH/v7+w=")</f>
        <v>#REF!</v>
      </c>
      <c r="ID355" t="e">
        <f>AND('PROG FORMACIÓN TITULADA'!#REF!,"AAAAAH/v7+0=")</f>
        <v>#REF!</v>
      </c>
      <c r="IE355" t="e">
        <f>AND('PROG FORMACIÓN TITULADA'!#REF!,"AAAAAH/v7+4=")</f>
        <v>#REF!</v>
      </c>
      <c r="IF355" t="e">
        <f>AND('PROG FORMACIÓN TITULADA'!#REF!,"AAAAAH/v7+8=")</f>
        <v>#REF!</v>
      </c>
      <c r="IG355" t="e">
        <f>AND('PROG FORMACIÓN TITULADA'!#REF!,"AAAAAH/v7/A=")</f>
        <v>#REF!</v>
      </c>
      <c r="IH355" t="e">
        <f>AND('PROG FORMACIÓN TITULADA'!#REF!,"AAAAAH/v7/E=")</f>
        <v>#REF!</v>
      </c>
      <c r="II355" t="e">
        <f>AND('PROG FORMACIÓN TITULADA'!#REF!,"AAAAAH/v7/I=")</f>
        <v>#REF!</v>
      </c>
      <c r="IJ355" t="e">
        <f>AND('PROG FORMACIÓN TITULADA'!#REF!,"AAAAAH/v7/M=")</f>
        <v>#REF!</v>
      </c>
      <c r="IK355" t="e">
        <f>AND('PROG FORMACIÓN TITULADA'!#REF!,"AAAAAH/v7/Q=")</f>
        <v>#REF!</v>
      </c>
      <c r="IL355" t="e">
        <f>AND('PROG FORMACIÓN TITULADA'!#REF!,"AAAAAH/v7/U=")</f>
        <v>#REF!</v>
      </c>
      <c r="IM355" t="e">
        <f>IF('PROG FORMACIÓN TITULADA'!#REF!,"AAAAAH/v7/Y=",0)</f>
        <v>#REF!</v>
      </c>
      <c r="IN355" t="e">
        <f>AND('PROG FORMACIÓN TITULADA'!#REF!,"AAAAAH/v7/c=")</f>
        <v>#REF!</v>
      </c>
      <c r="IO355" t="e">
        <f>AND('PROG FORMACIÓN TITULADA'!#REF!,"AAAAAH/v7/g=")</f>
        <v>#REF!</v>
      </c>
      <c r="IP355" t="e">
        <f>AND('PROG FORMACIÓN TITULADA'!#REF!,"AAAAAH/v7/k=")</f>
        <v>#REF!</v>
      </c>
      <c r="IQ355" t="e">
        <f>AND('PROG FORMACIÓN TITULADA'!#REF!,"AAAAAH/v7/o=")</f>
        <v>#REF!</v>
      </c>
      <c r="IR355" t="e">
        <f>AND('PROG FORMACIÓN TITULADA'!#REF!,"AAAAAH/v7/s=")</f>
        <v>#REF!</v>
      </c>
      <c r="IS355" t="e">
        <f>AND('PROG FORMACIÓN TITULADA'!#REF!,"AAAAAH/v7/w=")</f>
        <v>#REF!</v>
      </c>
      <c r="IT355" t="e">
        <f>AND('PROG FORMACIÓN TITULADA'!#REF!,"AAAAAH/v7/0=")</f>
        <v>#REF!</v>
      </c>
      <c r="IU355" t="e">
        <f>AND('PROG FORMACIÓN TITULADA'!#REF!,"AAAAAH/v7/4=")</f>
        <v>#REF!</v>
      </c>
      <c r="IV355" t="e">
        <f>AND('PROG FORMACIÓN TITULADA'!#REF!,"AAAAAH/v7/8=")</f>
        <v>#REF!</v>
      </c>
    </row>
    <row r="356" spans="1:256" x14ac:dyDescent="0.2">
      <c r="A356" t="e">
        <f>AND('PROG FORMACIÓN TITULADA'!#REF!,"AAAAADo6/wA=")</f>
        <v>#REF!</v>
      </c>
      <c r="B356" t="e">
        <f>AND('PROG FORMACIÓN TITULADA'!#REF!,"AAAAADo6/wE=")</f>
        <v>#REF!</v>
      </c>
      <c r="C356" t="e">
        <f>AND('PROG FORMACIÓN TITULADA'!#REF!,"AAAAADo6/wI=")</f>
        <v>#REF!</v>
      </c>
      <c r="D356" t="e">
        <f>AND('PROG FORMACIÓN TITULADA'!#REF!,"AAAAADo6/wM=")</f>
        <v>#REF!</v>
      </c>
      <c r="E356" t="e">
        <f>AND('PROG FORMACIÓN TITULADA'!#REF!,"AAAAADo6/wQ=")</f>
        <v>#REF!</v>
      </c>
      <c r="F356" t="e">
        <f>AND('PROG FORMACIÓN TITULADA'!#REF!,"AAAAADo6/wU=")</f>
        <v>#REF!</v>
      </c>
      <c r="G356" t="e">
        <f>AND('PROG FORMACIÓN TITULADA'!#REF!,"AAAAADo6/wY=")</f>
        <v>#REF!</v>
      </c>
      <c r="H356" t="e">
        <f>AND('PROG FORMACIÓN TITULADA'!#REF!,"AAAAADo6/wc=")</f>
        <v>#REF!</v>
      </c>
      <c r="I356" t="e">
        <f>AND('PROG FORMACIÓN TITULADA'!#REF!,"AAAAADo6/wg=")</f>
        <v>#REF!</v>
      </c>
      <c r="J356" t="e">
        <f>AND('PROG FORMACIÓN TITULADA'!#REF!,"AAAAADo6/wk=")</f>
        <v>#REF!</v>
      </c>
      <c r="K356" t="e">
        <f>AND('PROG FORMACIÓN TITULADA'!#REF!,"AAAAADo6/wo=")</f>
        <v>#REF!</v>
      </c>
      <c r="L356" t="e">
        <f>AND('PROG FORMACIÓN TITULADA'!#REF!,"AAAAADo6/ws=")</f>
        <v>#REF!</v>
      </c>
      <c r="M356" t="e">
        <f>AND('PROG FORMACIÓN TITULADA'!#REF!,"AAAAADo6/ww=")</f>
        <v>#REF!</v>
      </c>
      <c r="N356" t="e">
        <f>AND('PROG FORMACIÓN TITULADA'!#REF!,"AAAAADo6/w0=")</f>
        <v>#REF!</v>
      </c>
      <c r="O356" t="e">
        <f>AND('PROG FORMACIÓN TITULADA'!#REF!,"AAAAADo6/w4=")</f>
        <v>#REF!</v>
      </c>
      <c r="P356" t="e">
        <f>AND('PROG FORMACIÓN TITULADA'!#REF!,"AAAAADo6/w8=")</f>
        <v>#REF!</v>
      </c>
      <c r="Q356" t="e">
        <f>AND('PROG FORMACIÓN TITULADA'!#REF!,"AAAAADo6/xA=")</f>
        <v>#REF!</v>
      </c>
      <c r="R356" t="e">
        <f>IF('PROG FORMACIÓN TITULADA'!#REF!,"AAAAADo6/xE=",0)</f>
        <v>#REF!</v>
      </c>
      <c r="S356" t="e">
        <f>AND('PROG FORMACIÓN TITULADA'!#REF!,"AAAAADo6/xI=")</f>
        <v>#REF!</v>
      </c>
      <c r="T356" t="e">
        <f>AND('PROG FORMACIÓN TITULADA'!#REF!,"AAAAADo6/xM=")</f>
        <v>#REF!</v>
      </c>
      <c r="U356" t="e">
        <f>AND('PROG FORMACIÓN TITULADA'!#REF!,"AAAAADo6/xQ=")</f>
        <v>#REF!</v>
      </c>
      <c r="V356" t="e">
        <f>AND('PROG FORMACIÓN TITULADA'!#REF!,"AAAAADo6/xU=")</f>
        <v>#REF!</v>
      </c>
      <c r="W356" t="e">
        <f>AND('PROG FORMACIÓN TITULADA'!#REF!,"AAAAADo6/xY=")</f>
        <v>#REF!</v>
      </c>
      <c r="X356" t="e">
        <f>AND('PROG FORMACIÓN TITULADA'!#REF!,"AAAAADo6/xc=")</f>
        <v>#REF!</v>
      </c>
      <c r="Y356" t="e">
        <f>AND('PROG FORMACIÓN TITULADA'!#REF!,"AAAAADo6/xg=")</f>
        <v>#REF!</v>
      </c>
      <c r="Z356" t="e">
        <f>AND('PROG FORMACIÓN TITULADA'!#REF!,"AAAAADo6/xk=")</f>
        <v>#REF!</v>
      </c>
      <c r="AA356" t="e">
        <f>AND('PROG FORMACIÓN TITULADA'!#REF!,"AAAAADo6/xo=")</f>
        <v>#REF!</v>
      </c>
      <c r="AB356" t="e">
        <f>AND('PROG FORMACIÓN TITULADA'!#REF!,"AAAAADo6/xs=")</f>
        <v>#REF!</v>
      </c>
      <c r="AC356" t="e">
        <f>AND('PROG FORMACIÓN TITULADA'!#REF!,"AAAAADo6/xw=")</f>
        <v>#REF!</v>
      </c>
      <c r="AD356" t="e">
        <f>AND('PROG FORMACIÓN TITULADA'!#REF!,"AAAAADo6/x0=")</f>
        <v>#REF!</v>
      </c>
      <c r="AE356" t="e">
        <f>AND('PROG FORMACIÓN TITULADA'!#REF!,"AAAAADo6/x4=")</f>
        <v>#REF!</v>
      </c>
      <c r="AF356" t="e">
        <f>AND('PROG FORMACIÓN TITULADA'!#REF!,"AAAAADo6/x8=")</f>
        <v>#REF!</v>
      </c>
      <c r="AG356" t="e">
        <f>AND('PROG FORMACIÓN TITULADA'!#REF!,"AAAAADo6/yA=")</f>
        <v>#REF!</v>
      </c>
      <c r="AH356" t="e">
        <f>AND('PROG FORMACIÓN TITULADA'!#REF!,"AAAAADo6/yE=")</f>
        <v>#REF!</v>
      </c>
      <c r="AI356" t="e">
        <f>AND('PROG FORMACIÓN TITULADA'!#REF!,"AAAAADo6/yI=")</f>
        <v>#REF!</v>
      </c>
      <c r="AJ356" t="e">
        <f>AND('PROG FORMACIÓN TITULADA'!#REF!,"AAAAADo6/yM=")</f>
        <v>#REF!</v>
      </c>
      <c r="AK356" t="e">
        <f>AND('PROG FORMACIÓN TITULADA'!#REF!,"AAAAADo6/yQ=")</f>
        <v>#REF!</v>
      </c>
      <c r="AL356" t="e">
        <f>AND('PROG FORMACIÓN TITULADA'!#REF!,"AAAAADo6/yU=")</f>
        <v>#REF!</v>
      </c>
      <c r="AM356" t="e">
        <f>AND('PROG FORMACIÓN TITULADA'!#REF!,"AAAAADo6/yY=")</f>
        <v>#REF!</v>
      </c>
      <c r="AN356" t="e">
        <f>AND('PROG FORMACIÓN TITULADA'!#REF!,"AAAAADo6/yc=")</f>
        <v>#REF!</v>
      </c>
      <c r="AO356" t="e">
        <f>AND('PROG FORMACIÓN TITULADA'!#REF!,"AAAAADo6/yg=")</f>
        <v>#REF!</v>
      </c>
      <c r="AP356" t="e">
        <f>AND('PROG FORMACIÓN TITULADA'!#REF!,"AAAAADo6/yk=")</f>
        <v>#REF!</v>
      </c>
      <c r="AQ356" t="e">
        <f>AND('PROG FORMACIÓN TITULADA'!#REF!,"AAAAADo6/yo=")</f>
        <v>#REF!</v>
      </c>
      <c r="AR356" t="e">
        <f>AND('PROG FORMACIÓN TITULADA'!#REF!,"AAAAADo6/ys=")</f>
        <v>#REF!</v>
      </c>
      <c r="AS356" t="e">
        <f>IF('PROG FORMACIÓN TITULADA'!#REF!,"AAAAADo6/yw=",0)</f>
        <v>#REF!</v>
      </c>
      <c r="AT356" t="e">
        <f>AND('PROG FORMACIÓN TITULADA'!#REF!,"AAAAADo6/y0=")</f>
        <v>#REF!</v>
      </c>
      <c r="AU356" t="e">
        <f>AND('PROG FORMACIÓN TITULADA'!#REF!,"AAAAADo6/y4=")</f>
        <v>#REF!</v>
      </c>
      <c r="AV356" t="e">
        <f>AND('PROG FORMACIÓN TITULADA'!#REF!,"AAAAADo6/y8=")</f>
        <v>#REF!</v>
      </c>
      <c r="AW356" t="e">
        <f>AND('PROG FORMACIÓN TITULADA'!#REF!,"AAAAADo6/zA=")</f>
        <v>#REF!</v>
      </c>
      <c r="AX356" t="e">
        <f>AND('PROG FORMACIÓN TITULADA'!#REF!,"AAAAADo6/zE=")</f>
        <v>#REF!</v>
      </c>
      <c r="AY356" t="e">
        <f>AND('PROG FORMACIÓN TITULADA'!#REF!,"AAAAADo6/zI=")</f>
        <v>#REF!</v>
      </c>
      <c r="AZ356" t="e">
        <f>AND('PROG FORMACIÓN TITULADA'!#REF!,"AAAAADo6/zM=")</f>
        <v>#REF!</v>
      </c>
      <c r="BA356" t="e">
        <f>AND('PROG FORMACIÓN TITULADA'!#REF!,"AAAAADo6/zQ=")</f>
        <v>#REF!</v>
      </c>
      <c r="BB356" t="e">
        <f>AND('PROG FORMACIÓN TITULADA'!#REF!,"AAAAADo6/zU=")</f>
        <v>#REF!</v>
      </c>
      <c r="BC356" t="e">
        <f>AND('PROG FORMACIÓN TITULADA'!#REF!,"AAAAADo6/zY=")</f>
        <v>#REF!</v>
      </c>
      <c r="BD356" t="e">
        <f>AND('PROG FORMACIÓN TITULADA'!#REF!,"AAAAADo6/zc=")</f>
        <v>#REF!</v>
      </c>
      <c r="BE356" t="e">
        <f>AND('PROG FORMACIÓN TITULADA'!#REF!,"AAAAADo6/zg=")</f>
        <v>#REF!</v>
      </c>
      <c r="BF356" t="e">
        <f>AND('PROG FORMACIÓN TITULADA'!#REF!,"AAAAADo6/zk=")</f>
        <v>#REF!</v>
      </c>
      <c r="BG356" t="e">
        <f>AND('PROG FORMACIÓN TITULADA'!#REF!,"AAAAADo6/zo=")</f>
        <v>#REF!</v>
      </c>
      <c r="BH356" t="e">
        <f>AND('PROG FORMACIÓN TITULADA'!#REF!,"AAAAADo6/zs=")</f>
        <v>#REF!</v>
      </c>
      <c r="BI356" t="e">
        <f>AND('PROG FORMACIÓN TITULADA'!#REF!,"AAAAADo6/zw=")</f>
        <v>#REF!</v>
      </c>
      <c r="BJ356" t="e">
        <f>AND('PROG FORMACIÓN TITULADA'!#REF!,"AAAAADo6/z0=")</f>
        <v>#REF!</v>
      </c>
      <c r="BK356" t="e">
        <f>AND('PROG FORMACIÓN TITULADA'!#REF!,"AAAAADo6/z4=")</f>
        <v>#REF!</v>
      </c>
      <c r="BL356" t="e">
        <f>AND('PROG FORMACIÓN TITULADA'!#REF!,"AAAAADo6/z8=")</f>
        <v>#REF!</v>
      </c>
      <c r="BM356" t="e">
        <f>AND('PROG FORMACIÓN TITULADA'!#REF!,"AAAAADo6/0A=")</f>
        <v>#REF!</v>
      </c>
      <c r="BN356" t="e">
        <f>AND('PROG FORMACIÓN TITULADA'!#REF!,"AAAAADo6/0E=")</f>
        <v>#REF!</v>
      </c>
      <c r="BO356" t="e">
        <f>AND('PROG FORMACIÓN TITULADA'!#REF!,"AAAAADo6/0I=")</f>
        <v>#REF!</v>
      </c>
      <c r="BP356" t="e">
        <f>AND('PROG FORMACIÓN TITULADA'!#REF!,"AAAAADo6/0M=")</f>
        <v>#REF!</v>
      </c>
      <c r="BQ356" t="e">
        <f>AND('PROG FORMACIÓN TITULADA'!#REF!,"AAAAADo6/0Q=")</f>
        <v>#REF!</v>
      </c>
      <c r="BR356" t="e">
        <f>AND('PROG FORMACIÓN TITULADA'!#REF!,"AAAAADo6/0U=")</f>
        <v>#REF!</v>
      </c>
      <c r="BS356" t="e">
        <f>AND('PROG FORMACIÓN TITULADA'!#REF!,"AAAAADo6/0Y=")</f>
        <v>#REF!</v>
      </c>
      <c r="BT356" t="e">
        <f>IF('PROG FORMACIÓN TITULADA'!#REF!,"AAAAADo6/0c=",0)</f>
        <v>#REF!</v>
      </c>
      <c r="BU356" t="e">
        <f>AND('PROG FORMACIÓN TITULADA'!#REF!,"AAAAADo6/0g=")</f>
        <v>#REF!</v>
      </c>
      <c r="BV356" t="e">
        <f>AND('PROG FORMACIÓN TITULADA'!#REF!,"AAAAADo6/0k=")</f>
        <v>#REF!</v>
      </c>
      <c r="BW356" t="e">
        <f>AND('PROG FORMACIÓN TITULADA'!#REF!,"AAAAADo6/0o=")</f>
        <v>#REF!</v>
      </c>
      <c r="BX356" t="e">
        <f>AND('PROG FORMACIÓN TITULADA'!#REF!,"AAAAADo6/0s=")</f>
        <v>#REF!</v>
      </c>
      <c r="BY356" t="e">
        <f>AND('PROG FORMACIÓN TITULADA'!#REF!,"AAAAADo6/0w=")</f>
        <v>#REF!</v>
      </c>
      <c r="BZ356" t="e">
        <f>AND('PROG FORMACIÓN TITULADA'!#REF!,"AAAAADo6/00=")</f>
        <v>#REF!</v>
      </c>
      <c r="CA356" t="e">
        <f>AND('PROG FORMACIÓN TITULADA'!#REF!,"AAAAADo6/04=")</f>
        <v>#REF!</v>
      </c>
      <c r="CB356" t="e">
        <f>AND('PROG FORMACIÓN TITULADA'!#REF!,"AAAAADo6/08=")</f>
        <v>#REF!</v>
      </c>
      <c r="CC356" t="e">
        <f>AND('PROG FORMACIÓN TITULADA'!#REF!,"AAAAADo6/1A=")</f>
        <v>#REF!</v>
      </c>
      <c r="CD356" t="e">
        <f>AND('PROG FORMACIÓN TITULADA'!#REF!,"AAAAADo6/1E=")</f>
        <v>#REF!</v>
      </c>
      <c r="CE356" t="e">
        <f>AND('PROG FORMACIÓN TITULADA'!#REF!,"AAAAADo6/1I=")</f>
        <v>#REF!</v>
      </c>
      <c r="CF356" t="e">
        <f>AND('PROG FORMACIÓN TITULADA'!#REF!,"AAAAADo6/1M=")</f>
        <v>#REF!</v>
      </c>
      <c r="CG356" t="e">
        <f>AND('PROG FORMACIÓN TITULADA'!#REF!,"AAAAADo6/1Q=")</f>
        <v>#REF!</v>
      </c>
      <c r="CH356" t="e">
        <f>AND('PROG FORMACIÓN TITULADA'!#REF!,"AAAAADo6/1U=")</f>
        <v>#REF!</v>
      </c>
      <c r="CI356" t="e">
        <f>AND('PROG FORMACIÓN TITULADA'!#REF!,"AAAAADo6/1Y=")</f>
        <v>#REF!</v>
      </c>
      <c r="CJ356" t="e">
        <f>AND('PROG FORMACIÓN TITULADA'!#REF!,"AAAAADo6/1c=")</f>
        <v>#REF!</v>
      </c>
      <c r="CK356" t="e">
        <f>AND('PROG FORMACIÓN TITULADA'!#REF!,"AAAAADo6/1g=")</f>
        <v>#REF!</v>
      </c>
      <c r="CL356" t="e">
        <f>AND('PROG FORMACIÓN TITULADA'!#REF!,"AAAAADo6/1k=")</f>
        <v>#REF!</v>
      </c>
      <c r="CM356" t="e">
        <f>AND('PROG FORMACIÓN TITULADA'!#REF!,"AAAAADo6/1o=")</f>
        <v>#REF!</v>
      </c>
      <c r="CN356" t="e">
        <f>AND('PROG FORMACIÓN TITULADA'!#REF!,"AAAAADo6/1s=")</f>
        <v>#REF!</v>
      </c>
      <c r="CO356" t="e">
        <f>AND('PROG FORMACIÓN TITULADA'!#REF!,"AAAAADo6/1w=")</f>
        <v>#REF!</v>
      </c>
      <c r="CP356" t="e">
        <f>AND('PROG FORMACIÓN TITULADA'!#REF!,"AAAAADo6/10=")</f>
        <v>#REF!</v>
      </c>
      <c r="CQ356" t="e">
        <f>AND('PROG FORMACIÓN TITULADA'!#REF!,"AAAAADo6/14=")</f>
        <v>#REF!</v>
      </c>
      <c r="CR356" t="e">
        <f>AND('PROG FORMACIÓN TITULADA'!#REF!,"AAAAADo6/18=")</f>
        <v>#REF!</v>
      </c>
      <c r="CS356" t="e">
        <f>AND('PROG FORMACIÓN TITULADA'!#REF!,"AAAAADo6/2A=")</f>
        <v>#REF!</v>
      </c>
      <c r="CT356" t="e">
        <f>AND('PROG FORMACIÓN TITULADA'!#REF!,"AAAAADo6/2E=")</f>
        <v>#REF!</v>
      </c>
      <c r="CU356" t="e">
        <f>IF('PROG FORMACIÓN TITULADA'!#REF!,"AAAAADo6/2I=",0)</f>
        <v>#REF!</v>
      </c>
      <c r="CV356" t="e">
        <f>AND('PROG FORMACIÓN TITULADA'!#REF!,"AAAAADo6/2M=")</f>
        <v>#REF!</v>
      </c>
      <c r="CW356" t="e">
        <f>AND('PROG FORMACIÓN TITULADA'!#REF!,"AAAAADo6/2Q=")</f>
        <v>#REF!</v>
      </c>
      <c r="CX356" t="e">
        <f>AND('PROG FORMACIÓN TITULADA'!#REF!,"AAAAADo6/2U=")</f>
        <v>#REF!</v>
      </c>
      <c r="CY356" t="e">
        <f>AND('PROG FORMACIÓN TITULADA'!#REF!,"AAAAADo6/2Y=")</f>
        <v>#REF!</v>
      </c>
      <c r="CZ356" t="e">
        <f>AND('PROG FORMACIÓN TITULADA'!#REF!,"AAAAADo6/2c=")</f>
        <v>#REF!</v>
      </c>
      <c r="DA356" t="e">
        <f>AND('PROG FORMACIÓN TITULADA'!#REF!,"AAAAADo6/2g=")</f>
        <v>#REF!</v>
      </c>
      <c r="DB356" t="e">
        <f>AND('PROG FORMACIÓN TITULADA'!#REF!,"AAAAADo6/2k=")</f>
        <v>#REF!</v>
      </c>
      <c r="DC356" t="e">
        <f>AND('PROG FORMACIÓN TITULADA'!#REF!,"AAAAADo6/2o=")</f>
        <v>#REF!</v>
      </c>
      <c r="DD356" t="e">
        <f>AND('PROG FORMACIÓN TITULADA'!#REF!,"AAAAADo6/2s=")</f>
        <v>#REF!</v>
      </c>
      <c r="DE356" t="e">
        <f>AND('PROG FORMACIÓN TITULADA'!#REF!,"AAAAADo6/2w=")</f>
        <v>#REF!</v>
      </c>
      <c r="DF356" t="e">
        <f>AND('PROG FORMACIÓN TITULADA'!#REF!,"AAAAADo6/20=")</f>
        <v>#REF!</v>
      </c>
      <c r="DG356" t="e">
        <f>AND('PROG FORMACIÓN TITULADA'!#REF!,"AAAAADo6/24=")</f>
        <v>#REF!</v>
      </c>
      <c r="DH356" t="e">
        <f>AND('PROG FORMACIÓN TITULADA'!#REF!,"AAAAADo6/28=")</f>
        <v>#REF!</v>
      </c>
      <c r="DI356" t="e">
        <f>AND('PROG FORMACIÓN TITULADA'!#REF!,"AAAAADo6/3A=")</f>
        <v>#REF!</v>
      </c>
      <c r="DJ356" t="e">
        <f>AND('PROG FORMACIÓN TITULADA'!#REF!,"AAAAADo6/3E=")</f>
        <v>#REF!</v>
      </c>
      <c r="DK356" t="e">
        <f>AND('PROG FORMACIÓN TITULADA'!#REF!,"AAAAADo6/3I=")</f>
        <v>#REF!</v>
      </c>
      <c r="DL356" t="e">
        <f>AND('PROG FORMACIÓN TITULADA'!#REF!,"AAAAADo6/3M=")</f>
        <v>#REF!</v>
      </c>
      <c r="DM356" t="e">
        <f>AND('PROG FORMACIÓN TITULADA'!#REF!,"AAAAADo6/3Q=")</f>
        <v>#REF!</v>
      </c>
      <c r="DN356" t="e">
        <f>AND('PROG FORMACIÓN TITULADA'!#REF!,"AAAAADo6/3U=")</f>
        <v>#REF!</v>
      </c>
      <c r="DO356" t="e">
        <f>AND('PROG FORMACIÓN TITULADA'!#REF!,"AAAAADo6/3Y=")</f>
        <v>#REF!</v>
      </c>
      <c r="DP356" t="e">
        <f>AND('PROG FORMACIÓN TITULADA'!#REF!,"AAAAADo6/3c=")</f>
        <v>#REF!</v>
      </c>
      <c r="DQ356" t="e">
        <f>AND('PROG FORMACIÓN TITULADA'!#REF!,"AAAAADo6/3g=")</f>
        <v>#REF!</v>
      </c>
      <c r="DR356" t="e">
        <f>AND('PROG FORMACIÓN TITULADA'!#REF!,"AAAAADo6/3k=")</f>
        <v>#REF!</v>
      </c>
      <c r="DS356" t="e">
        <f>AND('PROG FORMACIÓN TITULADA'!#REF!,"AAAAADo6/3o=")</f>
        <v>#REF!</v>
      </c>
      <c r="DT356" t="e">
        <f>AND('PROG FORMACIÓN TITULADA'!#REF!,"AAAAADo6/3s=")</f>
        <v>#REF!</v>
      </c>
      <c r="DU356" t="e">
        <f>AND('PROG FORMACIÓN TITULADA'!#REF!,"AAAAADo6/3w=")</f>
        <v>#REF!</v>
      </c>
      <c r="DV356" t="e">
        <f>IF('PROG FORMACIÓN TITULADA'!#REF!,"AAAAADo6/30=",0)</f>
        <v>#REF!</v>
      </c>
      <c r="DW356" t="e">
        <f>AND('PROG FORMACIÓN TITULADA'!#REF!,"AAAAADo6/34=")</f>
        <v>#REF!</v>
      </c>
      <c r="DX356" t="e">
        <f>AND('PROG FORMACIÓN TITULADA'!#REF!,"AAAAADo6/38=")</f>
        <v>#REF!</v>
      </c>
      <c r="DY356" t="e">
        <f>AND('PROG FORMACIÓN TITULADA'!#REF!,"AAAAADo6/4A=")</f>
        <v>#REF!</v>
      </c>
      <c r="DZ356" t="e">
        <f>AND('PROG FORMACIÓN TITULADA'!#REF!,"AAAAADo6/4E=")</f>
        <v>#REF!</v>
      </c>
      <c r="EA356" t="e">
        <f>AND('PROG FORMACIÓN TITULADA'!#REF!,"AAAAADo6/4I=")</f>
        <v>#REF!</v>
      </c>
      <c r="EB356" t="e">
        <f>AND('PROG FORMACIÓN TITULADA'!#REF!,"AAAAADo6/4M=")</f>
        <v>#REF!</v>
      </c>
      <c r="EC356" t="e">
        <f>AND('PROG FORMACIÓN TITULADA'!#REF!,"AAAAADo6/4Q=")</f>
        <v>#REF!</v>
      </c>
      <c r="ED356" t="e">
        <f>AND('PROG FORMACIÓN TITULADA'!#REF!,"AAAAADo6/4U=")</f>
        <v>#REF!</v>
      </c>
      <c r="EE356" t="e">
        <f>AND('PROG FORMACIÓN TITULADA'!#REF!,"AAAAADo6/4Y=")</f>
        <v>#REF!</v>
      </c>
      <c r="EF356" t="e">
        <f>AND('PROG FORMACIÓN TITULADA'!#REF!,"AAAAADo6/4c=")</f>
        <v>#REF!</v>
      </c>
      <c r="EG356" t="e">
        <f>AND('PROG FORMACIÓN TITULADA'!#REF!,"AAAAADo6/4g=")</f>
        <v>#REF!</v>
      </c>
      <c r="EH356" t="e">
        <f>AND('PROG FORMACIÓN TITULADA'!#REF!,"AAAAADo6/4k=")</f>
        <v>#REF!</v>
      </c>
      <c r="EI356" t="e">
        <f>AND('PROG FORMACIÓN TITULADA'!#REF!,"AAAAADo6/4o=")</f>
        <v>#REF!</v>
      </c>
      <c r="EJ356" t="e">
        <f>AND('PROG FORMACIÓN TITULADA'!#REF!,"AAAAADo6/4s=")</f>
        <v>#REF!</v>
      </c>
      <c r="EK356" t="e">
        <f>AND('PROG FORMACIÓN TITULADA'!#REF!,"AAAAADo6/4w=")</f>
        <v>#REF!</v>
      </c>
      <c r="EL356" t="e">
        <f>AND('PROG FORMACIÓN TITULADA'!#REF!,"AAAAADo6/40=")</f>
        <v>#REF!</v>
      </c>
      <c r="EM356" t="e">
        <f>AND('PROG FORMACIÓN TITULADA'!#REF!,"AAAAADo6/44=")</f>
        <v>#REF!</v>
      </c>
      <c r="EN356" t="e">
        <f>AND('PROG FORMACIÓN TITULADA'!#REF!,"AAAAADo6/48=")</f>
        <v>#REF!</v>
      </c>
      <c r="EO356" t="e">
        <f>AND('PROG FORMACIÓN TITULADA'!#REF!,"AAAAADo6/5A=")</f>
        <v>#REF!</v>
      </c>
      <c r="EP356" t="e">
        <f>AND('PROG FORMACIÓN TITULADA'!#REF!,"AAAAADo6/5E=")</f>
        <v>#REF!</v>
      </c>
      <c r="EQ356" t="e">
        <f>AND('PROG FORMACIÓN TITULADA'!#REF!,"AAAAADo6/5I=")</f>
        <v>#REF!</v>
      </c>
      <c r="ER356" t="e">
        <f>AND('PROG FORMACIÓN TITULADA'!#REF!,"AAAAADo6/5M=")</f>
        <v>#REF!</v>
      </c>
      <c r="ES356" t="e">
        <f>AND('PROG FORMACIÓN TITULADA'!#REF!,"AAAAADo6/5Q=")</f>
        <v>#REF!</v>
      </c>
      <c r="ET356" t="e">
        <f>AND('PROG FORMACIÓN TITULADA'!#REF!,"AAAAADo6/5U=")</f>
        <v>#REF!</v>
      </c>
      <c r="EU356" t="e">
        <f>AND('PROG FORMACIÓN TITULADA'!#REF!,"AAAAADo6/5Y=")</f>
        <v>#REF!</v>
      </c>
      <c r="EV356" t="e">
        <f>AND('PROG FORMACIÓN TITULADA'!#REF!,"AAAAADo6/5c=")</f>
        <v>#REF!</v>
      </c>
      <c r="EW356" t="e">
        <f>IF('PROG FORMACIÓN TITULADA'!#REF!,"AAAAADo6/5g=",0)</f>
        <v>#REF!</v>
      </c>
      <c r="EX356" t="e">
        <f>AND('PROG FORMACIÓN TITULADA'!#REF!,"AAAAADo6/5k=")</f>
        <v>#REF!</v>
      </c>
      <c r="EY356" t="e">
        <f>AND('PROG FORMACIÓN TITULADA'!#REF!,"AAAAADo6/5o=")</f>
        <v>#REF!</v>
      </c>
      <c r="EZ356" t="e">
        <f>AND('PROG FORMACIÓN TITULADA'!#REF!,"AAAAADo6/5s=")</f>
        <v>#REF!</v>
      </c>
      <c r="FA356" t="e">
        <f>AND('PROG FORMACIÓN TITULADA'!#REF!,"AAAAADo6/5w=")</f>
        <v>#REF!</v>
      </c>
      <c r="FB356" t="e">
        <f>AND('PROG FORMACIÓN TITULADA'!#REF!,"AAAAADo6/50=")</f>
        <v>#REF!</v>
      </c>
      <c r="FC356" t="e">
        <f>AND('PROG FORMACIÓN TITULADA'!#REF!,"AAAAADo6/54=")</f>
        <v>#REF!</v>
      </c>
      <c r="FD356" t="e">
        <f>AND('PROG FORMACIÓN TITULADA'!#REF!,"AAAAADo6/58=")</f>
        <v>#REF!</v>
      </c>
      <c r="FE356" t="e">
        <f>AND('PROG FORMACIÓN TITULADA'!#REF!,"AAAAADo6/6A=")</f>
        <v>#REF!</v>
      </c>
      <c r="FF356" t="e">
        <f>AND('PROG FORMACIÓN TITULADA'!#REF!,"AAAAADo6/6E=")</f>
        <v>#REF!</v>
      </c>
      <c r="FG356" t="e">
        <f>AND('PROG FORMACIÓN TITULADA'!#REF!,"AAAAADo6/6I=")</f>
        <v>#REF!</v>
      </c>
      <c r="FH356" t="e">
        <f>AND('PROG FORMACIÓN TITULADA'!#REF!,"AAAAADo6/6M=")</f>
        <v>#REF!</v>
      </c>
      <c r="FI356" t="e">
        <f>AND('PROG FORMACIÓN TITULADA'!#REF!,"AAAAADo6/6Q=")</f>
        <v>#REF!</v>
      </c>
      <c r="FJ356" t="e">
        <f>AND('PROG FORMACIÓN TITULADA'!#REF!,"AAAAADo6/6U=")</f>
        <v>#REF!</v>
      </c>
      <c r="FK356" t="e">
        <f>AND('PROG FORMACIÓN TITULADA'!#REF!,"AAAAADo6/6Y=")</f>
        <v>#REF!</v>
      </c>
      <c r="FL356" t="e">
        <f>AND('PROG FORMACIÓN TITULADA'!#REF!,"AAAAADo6/6c=")</f>
        <v>#REF!</v>
      </c>
      <c r="FM356" t="e">
        <f>AND('PROG FORMACIÓN TITULADA'!#REF!,"AAAAADo6/6g=")</f>
        <v>#REF!</v>
      </c>
      <c r="FN356" t="e">
        <f>AND('PROG FORMACIÓN TITULADA'!#REF!,"AAAAADo6/6k=")</f>
        <v>#REF!</v>
      </c>
      <c r="FO356" t="e">
        <f>AND('PROG FORMACIÓN TITULADA'!#REF!,"AAAAADo6/6o=")</f>
        <v>#REF!</v>
      </c>
      <c r="FP356" t="e">
        <f>AND('PROG FORMACIÓN TITULADA'!#REF!,"AAAAADo6/6s=")</f>
        <v>#REF!</v>
      </c>
      <c r="FQ356" t="e">
        <f>AND('PROG FORMACIÓN TITULADA'!#REF!,"AAAAADo6/6w=")</f>
        <v>#REF!</v>
      </c>
      <c r="FR356" t="e">
        <f>AND('PROG FORMACIÓN TITULADA'!#REF!,"AAAAADo6/60=")</f>
        <v>#REF!</v>
      </c>
      <c r="FS356" t="e">
        <f>AND('PROG FORMACIÓN TITULADA'!#REF!,"AAAAADo6/64=")</f>
        <v>#REF!</v>
      </c>
      <c r="FT356" t="e">
        <f>AND('PROG FORMACIÓN TITULADA'!#REF!,"AAAAADo6/68=")</f>
        <v>#REF!</v>
      </c>
      <c r="FU356" t="e">
        <f>AND('PROG FORMACIÓN TITULADA'!#REF!,"AAAAADo6/7A=")</f>
        <v>#REF!</v>
      </c>
      <c r="FV356" t="e">
        <f>AND('PROG FORMACIÓN TITULADA'!#REF!,"AAAAADo6/7E=")</f>
        <v>#REF!</v>
      </c>
      <c r="FW356" t="e">
        <f>AND('PROG FORMACIÓN TITULADA'!#REF!,"AAAAADo6/7I=")</f>
        <v>#REF!</v>
      </c>
      <c r="FX356" t="e">
        <f>IF('PROG FORMACIÓN TITULADA'!#REF!,"AAAAADo6/7M=",0)</f>
        <v>#REF!</v>
      </c>
      <c r="FY356" t="e">
        <f>AND('PROG FORMACIÓN TITULADA'!#REF!,"AAAAADo6/7Q=")</f>
        <v>#REF!</v>
      </c>
      <c r="FZ356" t="e">
        <f>AND('PROG FORMACIÓN TITULADA'!#REF!,"AAAAADo6/7U=")</f>
        <v>#REF!</v>
      </c>
      <c r="GA356" t="e">
        <f>AND('PROG FORMACIÓN TITULADA'!#REF!,"AAAAADo6/7Y=")</f>
        <v>#REF!</v>
      </c>
      <c r="GB356" t="e">
        <f>AND('PROG FORMACIÓN TITULADA'!#REF!,"AAAAADo6/7c=")</f>
        <v>#REF!</v>
      </c>
      <c r="GC356" t="e">
        <f>AND('PROG FORMACIÓN TITULADA'!#REF!,"AAAAADo6/7g=")</f>
        <v>#REF!</v>
      </c>
      <c r="GD356" t="e">
        <f>AND('PROG FORMACIÓN TITULADA'!#REF!,"AAAAADo6/7k=")</f>
        <v>#REF!</v>
      </c>
      <c r="GE356" t="e">
        <f>AND('PROG FORMACIÓN TITULADA'!#REF!,"AAAAADo6/7o=")</f>
        <v>#REF!</v>
      </c>
      <c r="GF356" t="e">
        <f>AND('PROG FORMACIÓN TITULADA'!#REF!,"AAAAADo6/7s=")</f>
        <v>#REF!</v>
      </c>
      <c r="GG356" t="e">
        <f>AND('PROG FORMACIÓN TITULADA'!#REF!,"AAAAADo6/7w=")</f>
        <v>#REF!</v>
      </c>
      <c r="GH356" t="e">
        <f>AND('PROG FORMACIÓN TITULADA'!#REF!,"AAAAADo6/70=")</f>
        <v>#REF!</v>
      </c>
      <c r="GI356" t="e">
        <f>AND('PROG FORMACIÓN TITULADA'!#REF!,"AAAAADo6/74=")</f>
        <v>#REF!</v>
      </c>
      <c r="GJ356" t="e">
        <f>AND('PROG FORMACIÓN TITULADA'!#REF!,"AAAAADo6/78=")</f>
        <v>#REF!</v>
      </c>
      <c r="GK356" t="e">
        <f>AND('PROG FORMACIÓN TITULADA'!#REF!,"AAAAADo6/8A=")</f>
        <v>#REF!</v>
      </c>
      <c r="GL356" t="e">
        <f>AND('PROG FORMACIÓN TITULADA'!#REF!,"AAAAADo6/8E=")</f>
        <v>#REF!</v>
      </c>
      <c r="GM356" t="e">
        <f>AND('PROG FORMACIÓN TITULADA'!#REF!,"AAAAADo6/8I=")</f>
        <v>#REF!</v>
      </c>
      <c r="GN356" t="e">
        <f>AND('PROG FORMACIÓN TITULADA'!#REF!,"AAAAADo6/8M=")</f>
        <v>#REF!</v>
      </c>
      <c r="GO356" t="e">
        <f>AND('PROG FORMACIÓN TITULADA'!#REF!,"AAAAADo6/8Q=")</f>
        <v>#REF!</v>
      </c>
      <c r="GP356" t="e">
        <f>AND('PROG FORMACIÓN TITULADA'!#REF!,"AAAAADo6/8U=")</f>
        <v>#REF!</v>
      </c>
      <c r="GQ356" t="e">
        <f>AND('PROG FORMACIÓN TITULADA'!#REF!,"AAAAADo6/8Y=")</f>
        <v>#REF!</v>
      </c>
      <c r="GR356" t="e">
        <f>AND('PROG FORMACIÓN TITULADA'!#REF!,"AAAAADo6/8c=")</f>
        <v>#REF!</v>
      </c>
      <c r="GS356" t="e">
        <f>AND('PROG FORMACIÓN TITULADA'!#REF!,"AAAAADo6/8g=")</f>
        <v>#REF!</v>
      </c>
      <c r="GT356" t="e">
        <f>AND('PROG FORMACIÓN TITULADA'!#REF!,"AAAAADo6/8k=")</f>
        <v>#REF!</v>
      </c>
      <c r="GU356" t="e">
        <f>AND('PROG FORMACIÓN TITULADA'!#REF!,"AAAAADo6/8o=")</f>
        <v>#REF!</v>
      </c>
      <c r="GV356" t="e">
        <f>AND('PROG FORMACIÓN TITULADA'!#REF!,"AAAAADo6/8s=")</f>
        <v>#REF!</v>
      </c>
      <c r="GW356" t="e">
        <f>AND('PROG FORMACIÓN TITULADA'!#REF!,"AAAAADo6/8w=")</f>
        <v>#REF!</v>
      </c>
      <c r="GX356" t="e">
        <f>AND('PROG FORMACIÓN TITULADA'!#REF!,"AAAAADo6/80=")</f>
        <v>#REF!</v>
      </c>
      <c r="GY356" t="e">
        <f>IF('PROG FORMACIÓN TITULADA'!#REF!,"AAAAADo6/84=",0)</f>
        <v>#REF!</v>
      </c>
      <c r="GZ356" t="e">
        <f>AND('PROG FORMACIÓN TITULADA'!#REF!,"AAAAADo6/88=")</f>
        <v>#REF!</v>
      </c>
      <c r="HA356" t="e">
        <f>AND('PROG FORMACIÓN TITULADA'!#REF!,"AAAAADo6/9A=")</f>
        <v>#REF!</v>
      </c>
      <c r="HB356" t="e">
        <f>AND('PROG FORMACIÓN TITULADA'!#REF!,"AAAAADo6/9E=")</f>
        <v>#REF!</v>
      </c>
      <c r="HC356" t="e">
        <f>AND('PROG FORMACIÓN TITULADA'!#REF!,"AAAAADo6/9I=")</f>
        <v>#REF!</v>
      </c>
      <c r="HD356" t="e">
        <f>AND('PROG FORMACIÓN TITULADA'!#REF!,"AAAAADo6/9M=")</f>
        <v>#REF!</v>
      </c>
      <c r="HE356" t="e">
        <f>AND('PROG FORMACIÓN TITULADA'!#REF!,"AAAAADo6/9Q=")</f>
        <v>#REF!</v>
      </c>
      <c r="HF356" t="e">
        <f>AND('PROG FORMACIÓN TITULADA'!#REF!,"AAAAADo6/9U=")</f>
        <v>#REF!</v>
      </c>
      <c r="HG356" t="e">
        <f>AND('PROG FORMACIÓN TITULADA'!#REF!,"AAAAADo6/9Y=")</f>
        <v>#REF!</v>
      </c>
      <c r="HH356" t="e">
        <f>AND('PROG FORMACIÓN TITULADA'!#REF!,"AAAAADo6/9c=")</f>
        <v>#REF!</v>
      </c>
      <c r="HI356" t="e">
        <f>AND('PROG FORMACIÓN TITULADA'!#REF!,"AAAAADo6/9g=")</f>
        <v>#REF!</v>
      </c>
      <c r="HJ356" t="e">
        <f>AND('PROG FORMACIÓN TITULADA'!#REF!,"AAAAADo6/9k=")</f>
        <v>#REF!</v>
      </c>
      <c r="HK356" t="e">
        <f>AND('PROG FORMACIÓN TITULADA'!#REF!,"AAAAADo6/9o=")</f>
        <v>#REF!</v>
      </c>
      <c r="HL356" t="e">
        <f>AND('PROG FORMACIÓN TITULADA'!#REF!,"AAAAADo6/9s=")</f>
        <v>#REF!</v>
      </c>
      <c r="HM356" t="e">
        <f>AND('PROG FORMACIÓN TITULADA'!#REF!,"AAAAADo6/9w=")</f>
        <v>#REF!</v>
      </c>
      <c r="HN356" t="e">
        <f>AND('PROG FORMACIÓN TITULADA'!#REF!,"AAAAADo6/90=")</f>
        <v>#REF!</v>
      </c>
      <c r="HO356" t="e">
        <f>AND('PROG FORMACIÓN TITULADA'!#REF!,"AAAAADo6/94=")</f>
        <v>#REF!</v>
      </c>
      <c r="HP356" t="e">
        <f>AND('PROG FORMACIÓN TITULADA'!#REF!,"AAAAADo6/98=")</f>
        <v>#REF!</v>
      </c>
      <c r="HQ356" t="e">
        <f>AND('PROG FORMACIÓN TITULADA'!#REF!,"AAAAADo6/+A=")</f>
        <v>#REF!</v>
      </c>
      <c r="HR356" t="e">
        <f>AND('PROG FORMACIÓN TITULADA'!#REF!,"AAAAADo6/+E=")</f>
        <v>#REF!</v>
      </c>
      <c r="HS356" t="e">
        <f>AND('PROG FORMACIÓN TITULADA'!#REF!,"AAAAADo6/+I=")</f>
        <v>#REF!</v>
      </c>
      <c r="HT356" t="e">
        <f>AND('PROG FORMACIÓN TITULADA'!#REF!,"AAAAADo6/+M=")</f>
        <v>#REF!</v>
      </c>
      <c r="HU356" t="e">
        <f>AND('PROG FORMACIÓN TITULADA'!#REF!,"AAAAADo6/+Q=")</f>
        <v>#REF!</v>
      </c>
      <c r="HV356" t="e">
        <f>AND('PROG FORMACIÓN TITULADA'!#REF!,"AAAAADo6/+U=")</f>
        <v>#REF!</v>
      </c>
      <c r="HW356" t="e">
        <f>AND('PROG FORMACIÓN TITULADA'!#REF!,"AAAAADo6/+Y=")</f>
        <v>#REF!</v>
      </c>
      <c r="HX356" t="e">
        <f>AND('PROG FORMACIÓN TITULADA'!#REF!,"AAAAADo6/+c=")</f>
        <v>#REF!</v>
      </c>
      <c r="HY356" t="e">
        <f>AND('PROG FORMACIÓN TITULADA'!#REF!,"AAAAADo6/+g=")</f>
        <v>#REF!</v>
      </c>
      <c r="HZ356" t="e">
        <f>IF('PROG FORMACIÓN TITULADA'!#REF!,"AAAAADo6/+k=",0)</f>
        <v>#REF!</v>
      </c>
      <c r="IA356" t="e">
        <f>AND('PROG FORMACIÓN TITULADA'!#REF!,"AAAAADo6/+o=")</f>
        <v>#REF!</v>
      </c>
      <c r="IB356" t="e">
        <f>AND('PROG FORMACIÓN TITULADA'!#REF!,"AAAAADo6/+s=")</f>
        <v>#REF!</v>
      </c>
      <c r="IC356" t="e">
        <f>AND('PROG FORMACIÓN TITULADA'!#REF!,"AAAAADo6/+w=")</f>
        <v>#REF!</v>
      </c>
      <c r="ID356" t="e">
        <f>AND('PROG FORMACIÓN TITULADA'!#REF!,"AAAAADo6/+0=")</f>
        <v>#REF!</v>
      </c>
      <c r="IE356" t="e">
        <f>AND('PROG FORMACIÓN TITULADA'!#REF!,"AAAAADo6/+4=")</f>
        <v>#REF!</v>
      </c>
      <c r="IF356" t="e">
        <f>AND('PROG FORMACIÓN TITULADA'!#REF!,"AAAAADo6/+8=")</f>
        <v>#REF!</v>
      </c>
      <c r="IG356" t="e">
        <f>AND('PROG FORMACIÓN TITULADA'!#REF!,"AAAAADo6//A=")</f>
        <v>#REF!</v>
      </c>
      <c r="IH356" t="e">
        <f>AND('PROG FORMACIÓN TITULADA'!#REF!,"AAAAADo6//E=")</f>
        <v>#REF!</v>
      </c>
      <c r="II356" t="e">
        <f>AND('PROG FORMACIÓN TITULADA'!#REF!,"AAAAADo6//I=")</f>
        <v>#REF!</v>
      </c>
      <c r="IJ356" t="e">
        <f>AND('PROG FORMACIÓN TITULADA'!#REF!,"AAAAADo6//M=")</f>
        <v>#REF!</v>
      </c>
      <c r="IK356" t="e">
        <f>AND('PROG FORMACIÓN TITULADA'!#REF!,"AAAAADo6//Q=")</f>
        <v>#REF!</v>
      </c>
      <c r="IL356" t="e">
        <f>AND('PROG FORMACIÓN TITULADA'!#REF!,"AAAAADo6//U=")</f>
        <v>#REF!</v>
      </c>
      <c r="IM356" t="e">
        <f>AND('PROG FORMACIÓN TITULADA'!#REF!,"AAAAADo6//Y=")</f>
        <v>#REF!</v>
      </c>
      <c r="IN356" t="e">
        <f>AND('PROG FORMACIÓN TITULADA'!#REF!,"AAAAADo6//c=")</f>
        <v>#REF!</v>
      </c>
      <c r="IO356" t="e">
        <f>AND('PROG FORMACIÓN TITULADA'!#REF!,"AAAAADo6//g=")</f>
        <v>#REF!</v>
      </c>
      <c r="IP356" t="e">
        <f>AND('PROG FORMACIÓN TITULADA'!#REF!,"AAAAADo6//k=")</f>
        <v>#REF!</v>
      </c>
      <c r="IQ356" t="e">
        <f>AND('PROG FORMACIÓN TITULADA'!#REF!,"AAAAADo6//o=")</f>
        <v>#REF!</v>
      </c>
      <c r="IR356" t="e">
        <f>AND('PROG FORMACIÓN TITULADA'!#REF!,"AAAAADo6//s=")</f>
        <v>#REF!</v>
      </c>
      <c r="IS356" t="e">
        <f>AND('PROG FORMACIÓN TITULADA'!#REF!,"AAAAADo6//w=")</f>
        <v>#REF!</v>
      </c>
      <c r="IT356" t="e">
        <f>AND('PROG FORMACIÓN TITULADA'!#REF!,"AAAAADo6//0=")</f>
        <v>#REF!</v>
      </c>
      <c r="IU356" t="e">
        <f>AND('PROG FORMACIÓN TITULADA'!#REF!,"AAAAADo6//4=")</f>
        <v>#REF!</v>
      </c>
      <c r="IV356" t="e">
        <f>AND('PROG FORMACIÓN TITULADA'!#REF!,"AAAAADo6//8=")</f>
        <v>#REF!</v>
      </c>
    </row>
    <row r="357" spans="1:256" x14ac:dyDescent="0.2">
      <c r="A357" t="e">
        <f>AND('PROG FORMACIÓN TITULADA'!#REF!,"AAAAAH/Z9gA=")</f>
        <v>#REF!</v>
      </c>
      <c r="B357" t="e">
        <f>AND('PROG FORMACIÓN TITULADA'!#REF!,"AAAAAH/Z9gE=")</f>
        <v>#REF!</v>
      </c>
      <c r="C357" t="e">
        <f>AND('PROG FORMACIÓN TITULADA'!#REF!,"AAAAAH/Z9gI=")</f>
        <v>#REF!</v>
      </c>
      <c r="D357" t="e">
        <f>AND('PROG FORMACIÓN TITULADA'!#REF!,"AAAAAH/Z9gM=")</f>
        <v>#REF!</v>
      </c>
      <c r="E357" t="e">
        <f>IF('PROG FORMACIÓN TITULADA'!#REF!,"AAAAAH/Z9gQ=",0)</f>
        <v>#REF!</v>
      </c>
      <c r="F357" t="e">
        <f>AND('PROG FORMACIÓN TITULADA'!#REF!,"AAAAAH/Z9gU=")</f>
        <v>#REF!</v>
      </c>
      <c r="G357" t="e">
        <f>AND('PROG FORMACIÓN TITULADA'!#REF!,"AAAAAH/Z9gY=")</f>
        <v>#REF!</v>
      </c>
      <c r="H357" t="e">
        <f>AND('PROG FORMACIÓN TITULADA'!#REF!,"AAAAAH/Z9gc=")</f>
        <v>#REF!</v>
      </c>
      <c r="I357" t="e">
        <f>AND('PROG FORMACIÓN TITULADA'!#REF!,"AAAAAH/Z9gg=")</f>
        <v>#REF!</v>
      </c>
      <c r="J357" t="e">
        <f>AND('PROG FORMACIÓN TITULADA'!#REF!,"AAAAAH/Z9gk=")</f>
        <v>#REF!</v>
      </c>
      <c r="K357" t="e">
        <f>AND('PROG FORMACIÓN TITULADA'!#REF!,"AAAAAH/Z9go=")</f>
        <v>#REF!</v>
      </c>
      <c r="L357" t="e">
        <f>AND('PROG FORMACIÓN TITULADA'!#REF!,"AAAAAH/Z9gs=")</f>
        <v>#REF!</v>
      </c>
      <c r="M357" t="e">
        <f>AND('PROG FORMACIÓN TITULADA'!#REF!,"AAAAAH/Z9gw=")</f>
        <v>#REF!</v>
      </c>
      <c r="N357" t="e">
        <f>AND('PROG FORMACIÓN TITULADA'!#REF!,"AAAAAH/Z9g0=")</f>
        <v>#REF!</v>
      </c>
      <c r="O357" t="e">
        <f>AND('PROG FORMACIÓN TITULADA'!#REF!,"AAAAAH/Z9g4=")</f>
        <v>#REF!</v>
      </c>
      <c r="P357" t="e">
        <f>AND('PROG FORMACIÓN TITULADA'!#REF!,"AAAAAH/Z9g8=")</f>
        <v>#REF!</v>
      </c>
      <c r="Q357" t="e">
        <f>AND('PROG FORMACIÓN TITULADA'!#REF!,"AAAAAH/Z9hA=")</f>
        <v>#REF!</v>
      </c>
      <c r="R357" t="e">
        <f>AND('PROG FORMACIÓN TITULADA'!#REF!,"AAAAAH/Z9hE=")</f>
        <v>#REF!</v>
      </c>
      <c r="S357" t="e">
        <f>AND('PROG FORMACIÓN TITULADA'!#REF!,"AAAAAH/Z9hI=")</f>
        <v>#REF!</v>
      </c>
      <c r="T357" t="e">
        <f>AND('PROG FORMACIÓN TITULADA'!#REF!,"AAAAAH/Z9hM=")</f>
        <v>#REF!</v>
      </c>
      <c r="U357" t="e">
        <f>AND('PROG FORMACIÓN TITULADA'!#REF!,"AAAAAH/Z9hQ=")</f>
        <v>#REF!</v>
      </c>
      <c r="V357" t="e">
        <f>AND('PROG FORMACIÓN TITULADA'!#REF!,"AAAAAH/Z9hU=")</f>
        <v>#REF!</v>
      </c>
      <c r="W357" t="e">
        <f>AND('PROG FORMACIÓN TITULADA'!#REF!,"AAAAAH/Z9hY=")</f>
        <v>#REF!</v>
      </c>
      <c r="X357" t="e">
        <f>AND('PROG FORMACIÓN TITULADA'!#REF!,"AAAAAH/Z9hc=")</f>
        <v>#REF!</v>
      </c>
      <c r="Y357" t="e">
        <f>AND('PROG FORMACIÓN TITULADA'!#REF!,"AAAAAH/Z9hg=")</f>
        <v>#REF!</v>
      </c>
      <c r="Z357" t="e">
        <f>AND('PROG FORMACIÓN TITULADA'!#REF!,"AAAAAH/Z9hk=")</f>
        <v>#REF!</v>
      </c>
      <c r="AA357" t="e">
        <f>AND('PROG FORMACIÓN TITULADA'!#REF!,"AAAAAH/Z9ho=")</f>
        <v>#REF!</v>
      </c>
      <c r="AB357" t="e">
        <f>AND('PROG FORMACIÓN TITULADA'!#REF!,"AAAAAH/Z9hs=")</f>
        <v>#REF!</v>
      </c>
      <c r="AC357" t="e">
        <f>AND('PROG FORMACIÓN TITULADA'!#REF!,"AAAAAH/Z9hw=")</f>
        <v>#REF!</v>
      </c>
      <c r="AD357" t="e">
        <f>AND('PROG FORMACIÓN TITULADA'!#REF!,"AAAAAH/Z9h0=")</f>
        <v>#REF!</v>
      </c>
      <c r="AE357" t="e">
        <f>AND('PROG FORMACIÓN TITULADA'!#REF!,"AAAAAH/Z9h4=")</f>
        <v>#REF!</v>
      </c>
      <c r="AF357" t="e">
        <f>IF('PROG FORMACIÓN TITULADA'!#REF!,"AAAAAH/Z9h8=",0)</f>
        <v>#REF!</v>
      </c>
      <c r="AG357" t="e">
        <f>AND('PROG FORMACIÓN TITULADA'!#REF!,"AAAAAH/Z9iA=")</f>
        <v>#REF!</v>
      </c>
      <c r="AH357" t="e">
        <f>AND('PROG FORMACIÓN TITULADA'!#REF!,"AAAAAH/Z9iE=")</f>
        <v>#REF!</v>
      </c>
      <c r="AI357" t="e">
        <f>AND('PROG FORMACIÓN TITULADA'!#REF!,"AAAAAH/Z9iI=")</f>
        <v>#REF!</v>
      </c>
      <c r="AJ357" t="e">
        <f>AND('PROG FORMACIÓN TITULADA'!#REF!,"AAAAAH/Z9iM=")</f>
        <v>#REF!</v>
      </c>
      <c r="AK357" t="e">
        <f>AND('PROG FORMACIÓN TITULADA'!#REF!,"AAAAAH/Z9iQ=")</f>
        <v>#REF!</v>
      </c>
      <c r="AL357" t="e">
        <f>AND('PROG FORMACIÓN TITULADA'!#REF!,"AAAAAH/Z9iU=")</f>
        <v>#REF!</v>
      </c>
      <c r="AM357" t="e">
        <f>AND('PROG FORMACIÓN TITULADA'!#REF!,"AAAAAH/Z9iY=")</f>
        <v>#REF!</v>
      </c>
      <c r="AN357" t="e">
        <f>AND('PROG FORMACIÓN TITULADA'!#REF!,"AAAAAH/Z9ic=")</f>
        <v>#REF!</v>
      </c>
      <c r="AO357" t="e">
        <f>AND('PROG FORMACIÓN TITULADA'!#REF!,"AAAAAH/Z9ig=")</f>
        <v>#REF!</v>
      </c>
      <c r="AP357" t="e">
        <f>AND('PROG FORMACIÓN TITULADA'!#REF!,"AAAAAH/Z9ik=")</f>
        <v>#REF!</v>
      </c>
      <c r="AQ357" t="e">
        <f>AND('PROG FORMACIÓN TITULADA'!#REF!,"AAAAAH/Z9io=")</f>
        <v>#REF!</v>
      </c>
      <c r="AR357" t="e">
        <f>AND('PROG FORMACIÓN TITULADA'!#REF!,"AAAAAH/Z9is=")</f>
        <v>#REF!</v>
      </c>
      <c r="AS357" t="e">
        <f>AND('PROG FORMACIÓN TITULADA'!#REF!,"AAAAAH/Z9iw=")</f>
        <v>#REF!</v>
      </c>
      <c r="AT357" t="e">
        <f>AND('PROG FORMACIÓN TITULADA'!#REF!,"AAAAAH/Z9i0=")</f>
        <v>#REF!</v>
      </c>
      <c r="AU357" t="e">
        <f>AND('PROG FORMACIÓN TITULADA'!#REF!,"AAAAAH/Z9i4=")</f>
        <v>#REF!</v>
      </c>
      <c r="AV357" t="e">
        <f>AND('PROG FORMACIÓN TITULADA'!#REF!,"AAAAAH/Z9i8=")</f>
        <v>#REF!</v>
      </c>
      <c r="AW357" t="e">
        <f>AND('PROG FORMACIÓN TITULADA'!#REF!,"AAAAAH/Z9jA=")</f>
        <v>#REF!</v>
      </c>
      <c r="AX357" t="e">
        <f>AND('PROG FORMACIÓN TITULADA'!#REF!,"AAAAAH/Z9jE=")</f>
        <v>#REF!</v>
      </c>
      <c r="AY357" t="e">
        <f>AND('PROG FORMACIÓN TITULADA'!#REF!,"AAAAAH/Z9jI=")</f>
        <v>#REF!</v>
      </c>
      <c r="AZ357" t="e">
        <f>AND('PROG FORMACIÓN TITULADA'!#REF!,"AAAAAH/Z9jM=")</f>
        <v>#REF!</v>
      </c>
      <c r="BA357" t="e">
        <f>AND('PROG FORMACIÓN TITULADA'!#REF!,"AAAAAH/Z9jQ=")</f>
        <v>#REF!</v>
      </c>
      <c r="BB357" t="e">
        <f>AND('PROG FORMACIÓN TITULADA'!#REF!,"AAAAAH/Z9jU=")</f>
        <v>#REF!</v>
      </c>
      <c r="BC357" t="e">
        <f>AND('PROG FORMACIÓN TITULADA'!#REF!,"AAAAAH/Z9jY=")</f>
        <v>#REF!</v>
      </c>
      <c r="BD357" t="e">
        <f>AND('PROG FORMACIÓN TITULADA'!#REF!,"AAAAAH/Z9jc=")</f>
        <v>#REF!</v>
      </c>
      <c r="BE357" t="e">
        <f>AND('PROG FORMACIÓN TITULADA'!#REF!,"AAAAAH/Z9jg=")</f>
        <v>#REF!</v>
      </c>
      <c r="BF357" t="e">
        <f>AND('PROG FORMACIÓN TITULADA'!#REF!,"AAAAAH/Z9jk=")</f>
        <v>#REF!</v>
      </c>
      <c r="BG357" t="e">
        <f>IF('PROG FORMACIÓN TITULADA'!#REF!,"AAAAAH/Z9jo=",0)</f>
        <v>#REF!</v>
      </c>
      <c r="BH357" t="e">
        <f>AND('PROG FORMACIÓN TITULADA'!#REF!,"AAAAAH/Z9js=")</f>
        <v>#REF!</v>
      </c>
      <c r="BI357" t="e">
        <f>AND('PROG FORMACIÓN TITULADA'!#REF!,"AAAAAH/Z9jw=")</f>
        <v>#REF!</v>
      </c>
      <c r="BJ357" t="e">
        <f>AND('PROG FORMACIÓN TITULADA'!#REF!,"AAAAAH/Z9j0=")</f>
        <v>#REF!</v>
      </c>
      <c r="BK357" t="e">
        <f>AND('PROG FORMACIÓN TITULADA'!#REF!,"AAAAAH/Z9j4=")</f>
        <v>#REF!</v>
      </c>
      <c r="BL357" t="e">
        <f>AND('PROG FORMACIÓN TITULADA'!#REF!,"AAAAAH/Z9j8=")</f>
        <v>#REF!</v>
      </c>
      <c r="BM357" t="e">
        <f>AND('PROG FORMACIÓN TITULADA'!#REF!,"AAAAAH/Z9kA=")</f>
        <v>#REF!</v>
      </c>
      <c r="BN357" t="e">
        <f>AND('PROG FORMACIÓN TITULADA'!#REF!,"AAAAAH/Z9kE=")</f>
        <v>#REF!</v>
      </c>
      <c r="BO357" t="e">
        <f>AND('PROG FORMACIÓN TITULADA'!#REF!,"AAAAAH/Z9kI=")</f>
        <v>#REF!</v>
      </c>
      <c r="BP357" t="e">
        <f>AND('PROG FORMACIÓN TITULADA'!#REF!,"AAAAAH/Z9kM=")</f>
        <v>#REF!</v>
      </c>
      <c r="BQ357" t="e">
        <f>AND('PROG FORMACIÓN TITULADA'!#REF!,"AAAAAH/Z9kQ=")</f>
        <v>#REF!</v>
      </c>
      <c r="BR357" t="e">
        <f>AND('PROG FORMACIÓN TITULADA'!#REF!,"AAAAAH/Z9kU=")</f>
        <v>#REF!</v>
      </c>
      <c r="BS357" t="e">
        <f>AND('PROG FORMACIÓN TITULADA'!#REF!,"AAAAAH/Z9kY=")</f>
        <v>#REF!</v>
      </c>
      <c r="BT357" t="e">
        <f>AND('PROG FORMACIÓN TITULADA'!#REF!,"AAAAAH/Z9kc=")</f>
        <v>#REF!</v>
      </c>
      <c r="BU357" t="e">
        <f>AND('PROG FORMACIÓN TITULADA'!#REF!,"AAAAAH/Z9kg=")</f>
        <v>#REF!</v>
      </c>
      <c r="BV357" t="e">
        <f>AND('PROG FORMACIÓN TITULADA'!#REF!,"AAAAAH/Z9kk=")</f>
        <v>#REF!</v>
      </c>
      <c r="BW357" t="e">
        <f>AND('PROG FORMACIÓN TITULADA'!#REF!,"AAAAAH/Z9ko=")</f>
        <v>#REF!</v>
      </c>
      <c r="BX357" t="e">
        <f>AND('PROG FORMACIÓN TITULADA'!#REF!,"AAAAAH/Z9ks=")</f>
        <v>#REF!</v>
      </c>
      <c r="BY357" t="e">
        <f>AND('PROG FORMACIÓN TITULADA'!#REF!,"AAAAAH/Z9kw=")</f>
        <v>#REF!</v>
      </c>
      <c r="BZ357" t="e">
        <f>AND('PROG FORMACIÓN TITULADA'!#REF!,"AAAAAH/Z9k0=")</f>
        <v>#REF!</v>
      </c>
      <c r="CA357" t="e">
        <f>AND('PROG FORMACIÓN TITULADA'!#REF!,"AAAAAH/Z9k4=")</f>
        <v>#REF!</v>
      </c>
      <c r="CB357" t="e">
        <f>AND('PROG FORMACIÓN TITULADA'!#REF!,"AAAAAH/Z9k8=")</f>
        <v>#REF!</v>
      </c>
      <c r="CC357" t="e">
        <f>AND('PROG FORMACIÓN TITULADA'!#REF!,"AAAAAH/Z9lA=")</f>
        <v>#REF!</v>
      </c>
      <c r="CD357" t="e">
        <f>AND('PROG FORMACIÓN TITULADA'!#REF!,"AAAAAH/Z9lE=")</f>
        <v>#REF!</v>
      </c>
      <c r="CE357" t="e">
        <f>AND('PROG FORMACIÓN TITULADA'!#REF!,"AAAAAH/Z9lI=")</f>
        <v>#REF!</v>
      </c>
      <c r="CF357" t="e">
        <f>AND('PROG FORMACIÓN TITULADA'!#REF!,"AAAAAH/Z9lM=")</f>
        <v>#REF!</v>
      </c>
      <c r="CG357" t="e">
        <f>AND('PROG FORMACIÓN TITULADA'!#REF!,"AAAAAH/Z9lQ=")</f>
        <v>#REF!</v>
      </c>
      <c r="CH357" t="e">
        <f>IF('PROG FORMACIÓN TITULADA'!#REF!,"AAAAAH/Z9lU=",0)</f>
        <v>#REF!</v>
      </c>
      <c r="CI357" t="e">
        <f>AND('PROG FORMACIÓN TITULADA'!#REF!,"AAAAAH/Z9lY=")</f>
        <v>#REF!</v>
      </c>
      <c r="CJ357" t="e">
        <f>AND('PROG FORMACIÓN TITULADA'!#REF!,"AAAAAH/Z9lc=")</f>
        <v>#REF!</v>
      </c>
      <c r="CK357" t="e">
        <f>AND('PROG FORMACIÓN TITULADA'!#REF!,"AAAAAH/Z9lg=")</f>
        <v>#REF!</v>
      </c>
      <c r="CL357" t="e">
        <f>AND('PROG FORMACIÓN TITULADA'!#REF!,"AAAAAH/Z9lk=")</f>
        <v>#REF!</v>
      </c>
      <c r="CM357" t="e">
        <f>AND('PROG FORMACIÓN TITULADA'!#REF!,"AAAAAH/Z9lo=")</f>
        <v>#REF!</v>
      </c>
      <c r="CN357" t="e">
        <f>AND('PROG FORMACIÓN TITULADA'!#REF!,"AAAAAH/Z9ls=")</f>
        <v>#REF!</v>
      </c>
      <c r="CO357" t="e">
        <f>AND('PROG FORMACIÓN TITULADA'!#REF!,"AAAAAH/Z9lw=")</f>
        <v>#REF!</v>
      </c>
      <c r="CP357" t="e">
        <f>AND('PROG FORMACIÓN TITULADA'!#REF!,"AAAAAH/Z9l0=")</f>
        <v>#REF!</v>
      </c>
      <c r="CQ357" t="e">
        <f>AND('PROG FORMACIÓN TITULADA'!#REF!,"AAAAAH/Z9l4=")</f>
        <v>#REF!</v>
      </c>
      <c r="CR357" t="e">
        <f>AND('PROG FORMACIÓN TITULADA'!#REF!,"AAAAAH/Z9l8=")</f>
        <v>#REF!</v>
      </c>
      <c r="CS357" t="e">
        <f>AND('PROG FORMACIÓN TITULADA'!#REF!,"AAAAAH/Z9mA=")</f>
        <v>#REF!</v>
      </c>
      <c r="CT357" t="e">
        <f>AND('PROG FORMACIÓN TITULADA'!#REF!,"AAAAAH/Z9mE=")</f>
        <v>#REF!</v>
      </c>
      <c r="CU357" t="e">
        <f>AND('PROG FORMACIÓN TITULADA'!#REF!,"AAAAAH/Z9mI=")</f>
        <v>#REF!</v>
      </c>
      <c r="CV357" t="e">
        <f>AND('PROG FORMACIÓN TITULADA'!#REF!,"AAAAAH/Z9mM=")</f>
        <v>#REF!</v>
      </c>
      <c r="CW357" t="e">
        <f>AND('PROG FORMACIÓN TITULADA'!#REF!,"AAAAAH/Z9mQ=")</f>
        <v>#REF!</v>
      </c>
      <c r="CX357" t="e">
        <f>AND('PROG FORMACIÓN TITULADA'!#REF!,"AAAAAH/Z9mU=")</f>
        <v>#REF!</v>
      </c>
      <c r="CY357" t="e">
        <f>AND('PROG FORMACIÓN TITULADA'!#REF!,"AAAAAH/Z9mY=")</f>
        <v>#REF!</v>
      </c>
      <c r="CZ357" t="e">
        <f>AND('PROG FORMACIÓN TITULADA'!#REF!,"AAAAAH/Z9mc=")</f>
        <v>#REF!</v>
      </c>
      <c r="DA357" t="e">
        <f>AND('PROG FORMACIÓN TITULADA'!#REF!,"AAAAAH/Z9mg=")</f>
        <v>#REF!</v>
      </c>
      <c r="DB357" t="e">
        <f>AND('PROG FORMACIÓN TITULADA'!#REF!,"AAAAAH/Z9mk=")</f>
        <v>#REF!</v>
      </c>
      <c r="DC357" t="e">
        <f>AND('PROG FORMACIÓN TITULADA'!#REF!,"AAAAAH/Z9mo=")</f>
        <v>#REF!</v>
      </c>
      <c r="DD357" t="e">
        <f>AND('PROG FORMACIÓN TITULADA'!#REF!,"AAAAAH/Z9ms=")</f>
        <v>#REF!</v>
      </c>
      <c r="DE357" t="e">
        <f>AND('PROG FORMACIÓN TITULADA'!#REF!,"AAAAAH/Z9mw=")</f>
        <v>#REF!</v>
      </c>
      <c r="DF357" t="e">
        <f>AND('PROG FORMACIÓN TITULADA'!#REF!,"AAAAAH/Z9m0=")</f>
        <v>#REF!</v>
      </c>
      <c r="DG357" t="e">
        <f>AND('PROG FORMACIÓN TITULADA'!#REF!,"AAAAAH/Z9m4=")</f>
        <v>#REF!</v>
      </c>
      <c r="DH357" t="e">
        <f>AND('PROG FORMACIÓN TITULADA'!#REF!,"AAAAAH/Z9m8=")</f>
        <v>#REF!</v>
      </c>
      <c r="DI357" t="e">
        <f>IF('PROG FORMACIÓN TITULADA'!#REF!,"AAAAAH/Z9nA=",0)</f>
        <v>#REF!</v>
      </c>
      <c r="DJ357" t="e">
        <f>AND('PROG FORMACIÓN TITULADA'!#REF!,"AAAAAH/Z9nE=")</f>
        <v>#REF!</v>
      </c>
      <c r="DK357" t="e">
        <f>AND('PROG FORMACIÓN TITULADA'!#REF!,"AAAAAH/Z9nI=")</f>
        <v>#REF!</v>
      </c>
      <c r="DL357" t="e">
        <f>AND('PROG FORMACIÓN TITULADA'!#REF!,"AAAAAH/Z9nM=")</f>
        <v>#REF!</v>
      </c>
      <c r="DM357" t="e">
        <f>AND('PROG FORMACIÓN TITULADA'!#REF!,"AAAAAH/Z9nQ=")</f>
        <v>#REF!</v>
      </c>
      <c r="DN357" t="e">
        <f>AND('PROG FORMACIÓN TITULADA'!#REF!,"AAAAAH/Z9nU=")</f>
        <v>#REF!</v>
      </c>
      <c r="DO357" t="e">
        <f>AND('PROG FORMACIÓN TITULADA'!#REF!,"AAAAAH/Z9nY=")</f>
        <v>#REF!</v>
      </c>
      <c r="DP357" t="e">
        <f>AND('PROG FORMACIÓN TITULADA'!#REF!,"AAAAAH/Z9nc=")</f>
        <v>#REF!</v>
      </c>
      <c r="DQ357" t="e">
        <f>AND('PROG FORMACIÓN TITULADA'!#REF!,"AAAAAH/Z9ng=")</f>
        <v>#REF!</v>
      </c>
      <c r="DR357" t="e">
        <f>AND('PROG FORMACIÓN TITULADA'!#REF!,"AAAAAH/Z9nk=")</f>
        <v>#REF!</v>
      </c>
      <c r="DS357" t="e">
        <f>AND('PROG FORMACIÓN TITULADA'!#REF!,"AAAAAH/Z9no=")</f>
        <v>#REF!</v>
      </c>
      <c r="DT357" t="e">
        <f>AND('PROG FORMACIÓN TITULADA'!#REF!,"AAAAAH/Z9ns=")</f>
        <v>#REF!</v>
      </c>
      <c r="DU357" t="e">
        <f>AND('PROG FORMACIÓN TITULADA'!#REF!,"AAAAAH/Z9nw=")</f>
        <v>#REF!</v>
      </c>
      <c r="DV357" t="e">
        <f>AND('PROG FORMACIÓN TITULADA'!#REF!,"AAAAAH/Z9n0=")</f>
        <v>#REF!</v>
      </c>
      <c r="DW357" t="e">
        <f>AND('PROG FORMACIÓN TITULADA'!#REF!,"AAAAAH/Z9n4=")</f>
        <v>#REF!</v>
      </c>
      <c r="DX357" t="e">
        <f>AND('PROG FORMACIÓN TITULADA'!#REF!,"AAAAAH/Z9n8=")</f>
        <v>#REF!</v>
      </c>
      <c r="DY357" t="e">
        <f>AND('PROG FORMACIÓN TITULADA'!#REF!,"AAAAAH/Z9oA=")</f>
        <v>#REF!</v>
      </c>
      <c r="DZ357" t="e">
        <f>AND('PROG FORMACIÓN TITULADA'!#REF!,"AAAAAH/Z9oE=")</f>
        <v>#REF!</v>
      </c>
      <c r="EA357" t="e">
        <f>AND('PROG FORMACIÓN TITULADA'!#REF!,"AAAAAH/Z9oI=")</f>
        <v>#REF!</v>
      </c>
      <c r="EB357" t="e">
        <f>AND('PROG FORMACIÓN TITULADA'!#REF!,"AAAAAH/Z9oM=")</f>
        <v>#REF!</v>
      </c>
      <c r="EC357" t="e">
        <f>AND('PROG FORMACIÓN TITULADA'!#REF!,"AAAAAH/Z9oQ=")</f>
        <v>#REF!</v>
      </c>
      <c r="ED357" t="e">
        <f>AND('PROG FORMACIÓN TITULADA'!#REF!,"AAAAAH/Z9oU=")</f>
        <v>#REF!</v>
      </c>
      <c r="EE357" t="e">
        <f>AND('PROG FORMACIÓN TITULADA'!#REF!,"AAAAAH/Z9oY=")</f>
        <v>#REF!</v>
      </c>
      <c r="EF357" t="e">
        <f>AND('PROG FORMACIÓN TITULADA'!#REF!,"AAAAAH/Z9oc=")</f>
        <v>#REF!</v>
      </c>
      <c r="EG357" t="e">
        <f>AND('PROG FORMACIÓN TITULADA'!#REF!,"AAAAAH/Z9og=")</f>
        <v>#REF!</v>
      </c>
      <c r="EH357" t="e">
        <f>AND('PROG FORMACIÓN TITULADA'!#REF!,"AAAAAH/Z9ok=")</f>
        <v>#REF!</v>
      </c>
      <c r="EI357" t="e">
        <f>AND('PROG FORMACIÓN TITULADA'!#REF!,"AAAAAH/Z9oo=")</f>
        <v>#REF!</v>
      </c>
      <c r="EJ357" t="e">
        <f>IF('PROG FORMACIÓN TITULADA'!#REF!,"AAAAAH/Z9os=",0)</f>
        <v>#REF!</v>
      </c>
      <c r="EK357" t="e">
        <f>AND('PROG FORMACIÓN TITULADA'!#REF!,"AAAAAH/Z9ow=")</f>
        <v>#REF!</v>
      </c>
      <c r="EL357" t="e">
        <f>AND('PROG FORMACIÓN TITULADA'!#REF!,"AAAAAH/Z9o0=")</f>
        <v>#REF!</v>
      </c>
      <c r="EM357" t="e">
        <f>AND('PROG FORMACIÓN TITULADA'!#REF!,"AAAAAH/Z9o4=")</f>
        <v>#REF!</v>
      </c>
      <c r="EN357" t="e">
        <f>AND('PROG FORMACIÓN TITULADA'!#REF!,"AAAAAH/Z9o8=")</f>
        <v>#REF!</v>
      </c>
      <c r="EO357" t="e">
        <f>AND('PROG FORMACIÓN TITULADA'!#REF!,"AAAAAH/Z9pA=")</f>
        <v>#REF!</v>
      </c>
      <c r="EP357" t="e">
        <f>AND('PROG FORMACIÓN TITULADA'!#REF!,"AAAAAH/Z9pE=")</f>
        <v>#REF!</v>
      </c>
      <c r="EQ357" t="e">
        <f>AND('PROG FORMACIÓN TITULADA'!#REF!,"AAAAAH/Z9pI=")</f>
        <v>#REF!</v>
      </c>
      <c r="ER357" t="e">
        <f>AND('PROG FORMACIÓN TITULADA'!#REF!,"AAAAAH/Z9pM=")</f>
        <v>#REF!</v>
      </c>
      <c r="ES357" t="e">
        <f>AND('PROG FORMACIÓN TITULADA'!#REF!,"AAAAAH/Z9pQ=")</f>
        <v>#REF!</v>
      </c>
      <c r="ET357" t="e">
        <f>AND('PROG FORMACIÓN TITULADA'!#REF!,"AAAAAH/Z9pU=")</f>
        <v>#REF!</v>
      </c>
      <c r="EU357" t="e">
        <f>AND('PROG FORMACIÓN TITULADA'!#REF!,"AAAAAH/Z9pY=")</f>
        <v>#REF!</v>
      </c>
      <c r="EV357" t="e">
        <f>AND('PROG FORMACIÓN TITULADA'!#REF!,"AAAAAH/Z9pc=")</f>
        <v>#REF!</v>
      </c>
      <c r="EW357" t="e">
        <f>AND('PROG FORMACIÓN TITULADA'!#REF!,"AAAAAH/Z9pg=")</f>
        <v>#REF!</v>
      </c>
      <c r="EX357" t="e">
        <f>AND('PROG FORMACIÓN TITULADA'!#REF!,"AAAAAH/Z9pk=")</f>
        <v>#REF!</v>
      </c>
      <c r="EY357" t="e">
        <f>AND('PROG FORMACIÓN TITULADA'!#REF!,"AAAAAH/Z9po=")</f>
        <v>#REF!</v>
      </c>
      <c r="EZ357" t="e">
        <f>AND('PROG FORMACIÓN TITULADA'!#REF!,"AAAAAH/Z9ps=")</f>
        <v>#REF!</v>
      </c>
      <c r="FA357" t="e">
        <f>AND('PROG FORMACIÓN TITULADA'!#REF!,"AAAAAH/Z9pw=")</f>
        <v>#REF!</v>
      </c>
      <c r="FB357" t="e">
        <f>AND('PROG FORMACIÓN TITULADA'!#REF!,"AAAAAH/Z9p0=")</f>
        <v>#REF!</v>
      </c>
      <c r="FC357" t="e">
        <f>AND('PROG FORMACIÓN TITULADA'!#REF!,"AAAAAH/Z9p4=")</f>
        <v>#REF!</v>
      </c>
      <c r="FD357" t="e">
        <f>AND('PROG FORMACIÓN TITULADA'!#REF!,"AAAAAH/Z9p8=")</f>
        <v>#REF!</v>
      </c>
      <c r="FE357" t="e">
        <f>AND('PROG FORMACIÓN TITULADA'!#REF!,"AAAAAH/Z9qA=")</f>
        <v>#REF!</v>
      </c>
      <c r="FF357" t="e">
        <f>AND('PROG FORMACIÓN TITULADA'!#REF!,"AAAAAH/Z9qE=")</f>
        <v>#REF!</v>
      </c>
      <c r="FG357" t="e">
        <f>AND('PROG FORMACIÓN TITULADA'!#REF!,"AAAAAH/Z9qI=")</f>
        <v>#REF!</v>
      </c>
      <c r="FH357" t="e">
        <f>AND('PROG FORMACIÓN TITULADA'!#REF!,"AAAAAH/Z9qM=")</f>
        <v>#REF!</v>
      </c>
      <c r="FI357" t="e">
        <f>AND('PROG FORMACIÓN TITULADA'!#REF!,"AAAAAH/Z9qQ=")</f>
        <v>#REF!</v>
      </c>
      <c r="FJ357" t="e">
        <f>AND('PROG FORMACIÓN TITULADA'!#REF!,"AAAAAH/Z9qU=")</f>
        <v>#REF!</v>
      </c>
      <c r="FK357" t="e">
        <f>IF('PROG FORMACIÓN TITULADA'!#REF!,"AAAAAH/Z9qY=",0)</f>
        <v>#REF!</v>
      </c>
      <c r="FL357" t="e">
        <f>AND('PROG FORMACIÓN TITULADA'!#REF!,"AAAAAH/Z9qc=")</f>
        <v>#REF!</v>
      </c>
      <c r="FM357" t="e">
        <f>AND('PROG FORMACIÓN TITULADA'!#REF!,"AAAAAH/Z9qg=")</f>
        <v>#REF!</v>
      </c>
      <c r="FN357" t="e">
        <f>AND('PROG FORMACIÓN TITULADA'!#REF!,"AAAAAH/Z9qk=")</f>
        <v>#REF!</v>
      </c>
      <c r="FO357" t="e">
        <f>AND('PROG FORMACIÓN TITULADA'!#REF!,"AAAAAH/Z9qo=")</f>
        <v>#REF!</v>
      </c>
      <c r="FP357" t="e">
        <f>AND('PROG FORMACIÓN TITULADA'!#REF!,"AAAAAH/Z9qs=")</f>
        <v>#REF!</v>
      </c>
      <c r="FQ357" t="e">
        <f>AND('PROG FORMACIÓN TITULADA'!#REF!,"AAAAAH/Z9qw=")</f>
        <v>#REF!</v>
      </c>
      <c r="FR357" t="e">
        <f>AND('PROG FORMACIÓN TITULADA'!#REF!,"AAAAAH/Z9q0=")</f>
        <v>#REF!</v>
      </c>
      <c r="FS357" t="e">
        <f>AND('PROG FORMACIÓN TITULADA'!#REF!,"AAAAAH/Z9q4=")</f>
        <v>#REF!</v>
      </c>
      <c r="FT357" t="e">
        <f>AND('PROG FORMACIÓN TITULADA'!#REF!,"AAAAAH/Z9q8=")</f>
        <v>#REF!</v>
      </c>
      <c r="FU357" t="e">
        <f>AND('PROG FORMACIÓN TITULADA'!#REF!,"AAAAAH/Z9rA=")</f>
        <v>#REF!</v>
      </c>
      <c r="FV357" t="e">
        <f>AND('PROG FORMACIÓN TITULADA'!#REF!,"AAAAAH/Z9rE=")</f>
        <v>#REF!</v>
      </c>
      <c r="FW357" t="e">
        <f>AND('PROG FORMACIÓN TITULADA'!#REF!,"AAAAAH/Z9rI=")</f>
        <v>#REF!</v>
      </c>
      <c r="FX357" t="e">
        <f>AND('PROG FORMACIÓN TITULADA'!#REF!,"AAAAAH/Z9rM=")</f>
        <v>#REF!</v>
      </c>
      <c r="FY357" t="e">
        <f>AND('PROG FORMACIÓN TITULADA'!#REF!,"AAAAAH/Z9rQ=")</f>
        <v>#REF!</v>
      </c>
      <c r="FZ357" t="e">
        <f>AND('PROG FORMACIÓN TITULADA'!#REF!,"AAAAAH/Z9rU=")</f>
        <v>#REF!</v>
      </c>
      <c r="GA357" t="e">
        <f>AND('PROG FORMACIÓN TITULADA'!#REF!,"AAAAAH/Z9rY=")</f>
        <v>#REF!</v>
      </c>
      <c r="GB357" t="e">
        <f>AND('PROG FORMACIÓN TITULADA'!#REF!,"AAAAAH/Z9rc=")</f>
        <v>#REF!</v>
      </c>
      <c r="GC357" t="e">
        <f>AND('PROG FORMACIÓN TITULADA'!#REF!,"AAAAAH/Z9rg=")</f>
        <v>#REF!</v>
      </c>
      <c r="GD357" t="e">
        <f>AND('PROG FORMACIÓN TITULADA'!#REF!,"AAAAAH/Z9rk=")</f>
        <v>#REF!</v>
      </c>
      <c r="GE357" t="e">
        <f>AND('PROG FORMACIÓN TITULADA'!#REF!,"AAAAAH/Z9ro=")</f>
        <v>#REF!</v>
      </c>
      <c r="GF357" t="e">
        <f>AND('PROG FORMACIÓN TITULADA'!#REF!,"AAAAAH/Z9rs=")</f>
        <v>#REF!</v>
      </c>
      <c r="GG357" t="e">
        <f>AND('PROG FORMACIÓN TITULADA'!#REF!,"AAAAAH/Z9rw=")</f>
        <v>#REF!</v>
      </c>
      <c r="GH357" t="e">
        <f>AND('PROG FORMACIÓN TITULADA'!#REF!,"AAAAAH/Z9r0=")</f>
        <v>#REF!</v>
      </c>
      <c r="GI357" t="e">
        <f>AND('PROG FORMACIÓN TITULADA'!#REF!,"AAAAAH/Z9r4=")</f>
        <v>#REF!</v>
      </c>
      <c r="GJ357" t="e">
        <f>AND('PROG FORMACIÓN TITULADA'!#REF!,"AAAAAH/Z9r8=")</f>
        <v>#REF!</v>
      </c>
      <c r="GK357" t="e">
        <f>AND('PROG FORMACIÓN TITULADA'!#REF!,"AAAAAH/Z9sA=")</f>
        <v>#REF!</v>
      </c>
      <c r="GL357" t="e">
        <f>IF('PROG FORMACIÓN TITULADA'!#REF!,"AAAAAH/Z9sE=",0)</f>
        <v>#REF!</v>
      </c>
      <c r="GM357" t="e">
        <f>AND('PROG FORMACIÓN TITULADA'!#REF!,"AAAAAH/Z9sI=")</f>
        <v>#REF!</v>
      </c>
      <c r="GN357" t="e">
        <f>AND('PROG FORMACIÓN TITULADA'!#REF!,"AAAAAH/Z9sM=")</f>
        <v>#REF!</v>
      </c>
      <c r="GO357" t="e">
        <f>AND('PROG FORMACIÓN TITULADA'!#REF!,"AAAAAH/Z9sQ=")</f>
        <v>#REF!</v>
      </c>
      <c r="GP357" t="e">
        <f>AND('PROG FORMACIÓN TITULADA'!#REF!,"AAAAAH/Z9sU=")</f>
        <v>#REF!</v>
      </c>
      <c r="GQ357" t="e">
        <f>AND('PROG FORMACIÓN TITULADA'!#REF!,"AAAAAH/Z9sY=")</f>
        <v>#REF!</v>
      </c>
      <c r="GR357" t="e">
        <f>AND('PROG FORMACIÓN TITULADA'!#REF!,"AAAAAH/Z9sc=")</f>
        <v>#REF!</v>
      </c>
      <c r="GS357" t="e">
        <f>AND('PROG FORMACIÓN TITULADA'!#REF!,"AAAAAH/Z9sg=")</f>
        <v>#REF!</v>
      </c>
      <c r="GT357" t="e">
        <f>AND('PROG FORMACIÓN TITULADA'!#REF!,"AAAAAH/Z9sk=")</f>
        <v>#REF!</v>
      </c>
      <c r="GU357" t="e">
        <f>AND('PROG FORMACIÓN TITULADA'!#REF!,"AAAAAH/Z9so=")</f>
        <v>#REF!</v>
      </c>
      <c r="GV357" t="e">
        <f>AND('PROG FORMACIÓN TITULADA'!#REF!,"AAAAAH/Z9ss=")</f>
        <v>#REF!</v>
      </c>
      <c r="GW357" t="e">
        <f>AND('PROG FORMACIÓN TITULADA'!#REF!,"AAAAAH/Z9sw=")</f>
        <v>#REF!</v>
      </c>
      <c r="GX357" t="e">
        <f>AND('PROG FORMACIÓN TITULADA'!#REF!,"AAAAAH/Z9s0=")</f>
        <v>#REF!</v>
      </c>
      <c r="GY357" t="e">
        <f>AND('PROG FORMACIÓN TITULADA'!#REF!,"AAAAAH/Z9s4=")</f>
        <v>#REF!</v>
      </c>
      <c r="GZ357" t="e">
        <f>AND('PROG FORMACIÓN TITULADA'!#REF!,"AAAAAH/Z9s8=")</f>
        <v>#REF!</v>
      </c>
      <c r="HA357" t="e">
        <f>AND('PROG FORMACIÓN TITULADA'!#REF!,"AAAAAH/Z9tA=")</f>
        <v>#REF!</v>
      </c>
      <c r="HB357" t="e">
        <f>AND('PROG FORMACIÓN TITULADA'!#REF!,"AAAAAH/Z9tE=")</f>
        <v>#REF!</v>
      </c>
      <c r="HC357" t="e">
        <f>AND('PROG FORMACIÓN TITULADA'!#REF!,"AAAAAH/Z9tI=")</f>
        <v>#REF!</v>
      </c>
      <c r="HD357" t="e">
        <f>AND('PROG FORMACIÓN TITULADA'!#REF!,"AAAAAH/Z9tM=")</f>
        <v>#REF!</v>
      </c>
      <c r="HE357" t="e">
        <f>AND('PROG FORMACIÓN TITULADA'!#REF!,"AAAAAH/Z9tQ=")</f>
        <v>#REF!</v>
      </c>
      <c r="HF357" t="e">
        <f>AND('PROG FORMACIÓN TITULADA'!#REF!,"AAAAAH/Z9tU=")</f>
        <v>#REF!</v>
      </c>
      <c r="HG357" t="e">
        <f>AND('PROG FORMACIÓN TITULADA'!#REF!,"AAAAAH/Z9tY=")</f>
        <v>#REF!</v>
      </c>
      <c r="HH357" t="e">
        <f>AND('PROG FORMACIÓN TITULADA'!#REF!,"AAAAAH/Z9tc=")</f>
        <v>#REF!</v>
      </c>
      <c r="HI357" t="e">
        <f>AND('PROG FORMACIÓN TITULADA'!#REF!,"AAAAAH/Z9tg=")</f>
        <v>#REF!</v>
      </c>
      <c r="HJ357" t="e">
        <f>AND('PROG FORMACIÓN TITULADA'!#REF!,"AAAAAH/Z9tk=")</f>
        <v>#REF!</v>
      </c>
      <c r="HK357" t="e">
        <f>AND('PROG FORMACIÓN TITULADA'!#REF!,"AAAAAH/Z9to=")</f>
        <v>#REF!</v>
      </c>
      <c r="HL357" t="e">
        <f>AND('PROG FORMACIÓN TITULADA'!#REF!,"AAAAAH/Z9ts=")</f>
        <v>#REF!</v>
      </c>
      <c r="HM357" t="e">
        <f>IF('PROG FORMACIÓN TITULADA'!#REF!,"AAAAAH/Z9tw=",0)</f>
        <v>#REF!</v>
      </c>
      <c r="HN357" t="e">
        <f>AND('PROG FORMACIÓN TITULADA'!#REF!,"AAAAAH/Z9t0=")</f>
        <v>#REF!</v>
      </c>
      <c r="HO357" t="e">
        <f>AND('PROG FORMACIÓN TITULADA'!#REF!,"AAAAAH/Z9t4=")</f>
        <v>#REF!</v>
      </c>
      <c r="HP357" t="e">
        <f>AND('PROG FORMACIÓN TITULADA'!#REF!,"AAAAAH/Z9t8=")</f>
        <v>#REF!</v>
      </c>
      <c r="HQ357" t="e">
        <f>AND('PROG FORMACIÓN TITULADA'!#REF!,"AAAAAH/Z9uA=")</f>
        <v>#REF!</v>
      </c>
      <c r="HR357" t="e">
        <f>AND('PROG FORMACIÓN TITULADA'!#REF!,"AAAAAH/Z9uE=")</f>
        <v>#REF!</v>
      </c>
      <c r="HS357" t="e">
        <f>AND('PROG FORMACIÓN TITULADA'!#REF!,"AAAAAH/Z9uI=")</f>
        <v>#REF!</v>
      </c>
      <c r="HT357" t="e">
        <f>AND('PROG FORMACIÓN TITULADA'!#REF!,"AAAAAH/Z9uM=")</f>
        <v>#REF!</v>
      </c>
      <c r="HU357" t="e">
        <f>AND('PROG FORMACIÓN TITULADA'!#REF!,"AAAAAH/Z9uQ=")</f>
        <v>#REF!</v>
      </c>
      <c r="HV357" t="e">
        <f>AND('PROG FORMACIÓN TITULADA'!#REF!,"AAAAAH/Z9uU=")</f>
        <v>#REF!</v>
      </c>
      <c r="HW357" t="e">
        <f>AND('PROG FORMACIÓN TITULADA'!#REF!,"AAAAAH/Z9uY=")</f>
        <v>#REF!</v>
      </c>
      <c r="HX357" t="e">
        <f>AND('PROG FORMACIÓN TITULADA'!#REF!,"AAAAAH/Z9uc=")</f>
        <v>#REF!</v>
      </c>
      <c r="HY357" t="e">
        <f>AND('PROG FORMACIÓN TITULADA'!#REF!,"AAAAAH/Z9ug=")</f>
        <v>#REF!</v>
      </c>
      <c r="HZ357" t="e">
        <f>AND('PROG FORMACIÓN TITULADA'!#REF!,"AAAAAH/Z9uk=")</f>
        <v>#REF!</v>
      </c>
      <c r="IA357" t="e">
        <f>AND('PROG FORMACIÓN TITULADA'!#REF!,"AAAAAH/Z9uo=")</f>
        <v>#REF!</v>
      </c>
      <c r="IB357" t="e">
        <f>AND('PROG FORMACIÓN TITULADA'!#REF!,"AAAAAH/Z9us=")</f>
        <v>#REF!</v>
      </c>
      <c r="IC357" t="e">
        <f>AND('PROG FORMACIÓN TITULADA'!#REF!,"AAAAAH/Z9uw=")</f>
        <v>#REF!</v>
      </c>
      <c r="ID357" t="e">
        <f>AND('PROG FORMACIÓN TITULADA'!#REF!,"AAAAAH/Z9u0=")</f>
        <v>#REF!</v>
      </c>
      <c r="IE357" t="e">
        <f>AND('PROG FORMACIÓN TITULADA'!#REF!,"AAAAAH/Z9u4=")</f>
        <v>#REF!</v>
      </c>
      <c r="IF357" t="e">
        <f>AND('PROG FORMACIÓN TITULADA'!#REF!,"AAAAAH/Z9u8=")</f>
        <v>#REF!</v>
      </c>
      <c r="IG357" t="e">
        <f>AND('PROG FORMACIÓN TITULADA'!#REF!,"AAAAAH/Z9vA=")</f>
        <v>#REF!</v>
      </c>
      <c r="IH357" t="e">
        <f>AND('PROG FORMACIÓN TITULADA'!#REF!,"AAAAAH/Z9vE=")</f>
        <v>#REF!</v>
      </c>
      <c r="II357" t="e">
        <f>AND('PROG FORMACIÓN TITULADA'!#REF!,"AAAAAH/Z9vI=")</f>
        <v>#REF!</v>
      </c>
      <c r="IJ357" t="e">
        <f>AND('PROG FORMACIÓN TITULADA'!#REF!,"AAAAAH/Z9vM=")</f>
        <v>#REF!</v>
      </c>
      <c r="IK357" t="e">
        <f>AND('PROG FORMACIÓN TITULADA'!#REF!,"AAAAAH/Z9vQ=")</f>
        <v>#REF!</v>
      </c>
      <c r="IL357" t="e">
        <f>AND('PROG FORMACIÓN TITULADA'!#REF!,"AAAAAH/Z9vU=")</f>
        <v>#REF!</v>
      </c>
      <c r="IM357" t="e">
        <f>AND('PROG FORMACIÓN TITULADA'!#REF!,"AAAAAH/Z9vY=")</f>
        <v>#REF!</v>
      </c>
      <c r="IN357" t="e">
        <f>IF('PROG FORMACIÓN TITULADA'!#REF!,"AAAAAH/Z9vc=",0)</f>
        <v>#REF!</v>
      </c>
      <c r="IO357" t="e">
        <f>AND('PROG FORMACIÓN TITULADA'!#REF!,"AAAAAH/Z9vg=")</f>
        <v>#REF!</v>
      </c>
      <c r="IP357" t="e">
        <f>AND('PROG FORMACIÓN TITULADA'!#REF!,"AAAAAH/Z9vk=")</f>
        <v>#REF!</v>
      </c>
      <c r="IQ357" t="e">
        <f>AND('PROG FORMACIÓN TITULADA'!#REF!,"AAAAAH/Z9vo=")</f>
        <v>#REF!</v>
      </c>
      <c r="IR357" t="e">
        <f>AND('PROG FORMACIÓN TITULADA'!#REF!,"AAAAAH/Z9vs=")</f>
        <v>#REF!</v>
      </c>
      <c r="IS357" t="e">
        <f>AND('PROG FORMACIÓN TITULADA'!#REF!,"AAAAAH/Z9vw=")</f>
        <v>#REF!</v>
      </c>
      <c r="IT357" t="e">
        <f>AND('PROG FORMACIÓN TITULADA'!#REF!,"AAAAAH/Z9v0=")</f>
        <v>#REF!</v>
      </c>
      <c r="IU357" t="e">
        <f>AND('PROG FORMACIÓN TITULADA'!#REF!,"AAAAAH/Z9v4=")</f>
        <v>#REF!</v>
      </c>
      <c r="IV357" t="e">
        <f>AND('PROG FORMACIÓN TITULADA'!#REF!,"AAAAAH/Z9v8=")</f>
        <v>#REF!</v>
      </c>
    </row>
    <row r="358" spans="1:256" x14ac:dyDescent="0.2">
      <c r="A358" t="e">
        <f>AND('PROG FORMACIÓN TITULADA'!#REF!,"AAAAAHn/3gA=")</f>
        <v>#REF!</v>
      </c>
      <c r="B358" t="e">
        <f>AND('PROG FORMACIÓN TITULADA'!#REF!,"AAAAAHn/3gE=")</f>
        <v>#REF!</v>
      </c>
      <c r="C358" t="e">
        <f>AND('PROG FORMACIÓN TITULADA'!#REF!,"AAAAAHn/3gI=")</f>
        <v>#REF!</v>
      </c>
      <c r="D358" t="e">
        <f>AND('PROG FORMACIÓN TITULADA'!#REF!,"AAAAAHn/3gM=")</f>
        <v>#REF!</v>
      </c>
      <c r="E358" t="e">
        <f>AND('PROG FORMACIÓN TITULADA'!#REF!,"AAAAAHn/3gQ=")</f>
        <v>#REF!</v>
      </c>
      <c r="F358" t="e">
        <f>AND('PROG FORMACIÓN TITULADA'!#REF!,"AAAAAHn/3gU=")</f>
        <v>#REF!</v>
      </c>
      <c r="G358" t="e">
        <f>AND('PROG FORMACIÓN TITULADA'!#REF!,"AAAAAHn/3gY=")</f>
        <v>#REF!</v>
      </c>
      <c r="H358" t="e">
        <f>AND('PROG FORMACIÓN TITULADA'!#REF!,"AAAAAHn/3gc=")</f>
        <v>#REF!</v>
      </c>
      <c r="I358" t="e">
        <f>AND('PROG FORMACIÓN TITULADA'!#REF!,"AAAAAHn/3gg=")</f>
        <v>#REF!</v>
      </c>
      <c r="J358" t="e">
        <f>AND('PROG FORMACIÓN TITULADA'!#REF!,"AAAAAHn/3gk=")</f>
        <v>#REF!</v>
      </c>
      <c r="K358" t="e">
        <f>AND('PROG FORMACIÓN TITULADA'!#REF!,"AAAAAHn/3go=")</f>
        <v>#REF!</v>
      </c>
      <c r="L358" t="e">
        <f>AND('PROG FORMACIÓN TITULADA'!#REF!,"AAAAAHn/3gs=")</f>
        <v>#REF!</v>
      </c>
      <c r="M358" t="e">
        <f>AND('PROG FORMACIÓN TITULADA'!#REF!,"AAAAAHn/3gw=")</f>
        <v>#REF!</v>
      </c>
      <c r="N358" t="e">
        <f>AND('PROG FORMACIÓN TITULADA'!#REF!,"AAAAAHn/3g0=")</f>
        <v>#REF!</v>
      </c>
      <c r="O358" t="e">
        <f>AND('PROG FORMACIÓN TITULADA'!#REF!,"AAAAAHn/3g4=")</f>
        <v>#REF!</v>
      </c>
      <c r="P358" t="e">
        <f>AND('PROG FORMACIÓN TITULADA'!#REF!,"AAAAAHn/3g8=")</f>
        <v>#REF!</v>
      </c>
      <c r="Q358" t="e">
        <f>AND('PROG FORMACIÓN TITULADA'!#REF!,"AAAAAHn/3hA=")</f>
        <v>#REF!</v>
      </c>
      <c r="R358" t="e">
        <f>AND('PROG FORMACIÓN TITULADA'!#REF!,"AAAAAHn/3hE=")</f>
        <v>#REF!</v>
      </c>
      <c r="S358" t="e">
        <f>IF('PROG FORMACIÓN TITULADA'!#REF!,"AAAAAHn/3hI=",0)</f>
        <v>#REF!</v>
      </c>
      <c r="T358" t="e">
        <f>AND('PROG FORMACIÓN TITULADA'!#REF!,"AAAAAHn/3hM=")</f>
        <v>#REF!</v>
      </c>
      <c r="U358" t="e">
        <f>AND('PROG FORMACIÓN TITULADA'!#REF!,"AAAAAHn/3hQ=")</f>
        <v>#REF!</v>
      </c>
      <c r="V358" t="e">
        <f>AND('PROG FORMACIÓN TITULADA'!#REF!,"AAAAAHn/3hU=")</f>
        <v>#REF!</v>
      </c>
      <c r="W358" t="e">
        <f>AND('PROG FORMACIÓN TITULADA'!#REF!,"AAAAAHn/3hY=")</f>
        <v>#REF!</v>
      </c>
      <c r="X358" t="e">
        <f>AND('PROG FORMACIÓN TITULADA'!#REF!,"AAAAAHn/3hc=")</f>
        <v>#REF!</v>
      </c>
      <c r="Y358" t="e">
        <f>AND('PROG FORMACIÓN TITULADA'!#REF!,"AAAAAHn/3hg=")</f>
        <v>#REF!</v>
      </c>
      <c r="Z358" t="e">
        <f>AND('PROG FORMACIÓN TITULADA'!#REF!,"AAAAAHn/3hk=")</f>
        <v>#REF!</v>
      </c>
      <c r="AA358" t="e">
        <f>AND('PROG FORMACIÓN TITULADA'!#REF!,"AAAAAHn/3ho=")</f>
        <v>#REF!</v>
      </c>
      <c r="AB358" t="e">
        <f>AND('PROG FORMACIÓN TITULADA'!#REF!,"AAAAAHn/3hs=")</f>
        <v>#REF!</v>
      </c>
      <c r="AC358" t="e">
        <f>AND('PROG FORMACIÓN TITULADA'!#REF!,"AAAAAHn/3hw=")</f>
        <v>#REF!</v>
      </c>
      <c r="AD358" t="e">
        <f>AND('PROG FORMACIÓN TITULADA'!#REF!,"AAAAAHn/3h0=")</f>
        <v>#REF!</v>
      </c>
      <c r="AE358" t="e">
        <f>AND('PROG FORMACIÓN TITULADA'!#REF!,"AAAAAHn/3h4=")</f>
        <v>#REF!</v>
      </c>
      <c r="AF358" t="e">
        <f>AND('PROG FORMACIÓN TITULADA'!#REF!,"AAAAAHn/3h8=")</f>
        <v>#REF!</v>
      </c>
      <c r="AG358" t="e">
        <f>AND('PROG FORMACIÓN TITULADA'!#REF!,"AAAAAHn/3iA=")</f>
        <v>#REF!</v>
      </c>
      <c r="AH358" t="e">
        <f>AND('PROG FORMACIÓN TITULADA'!#REF!,"AAAAAHn/3iE=")</f>
        <v>#REF!</v>
      </c>
      <c r="AI358" t="e">
        <f>AND('PROG FORMACIÓN TITULADA'!#REF!,"AAAAAHn/3iI=")</f>
        <v>#REF!</v>
      </c>
      <c r="AJ358" t="e">
        <f>AND('PROG FORMACIÓN TITULADA'!#REF!,"AAAAAHn/3iM=")</f>
        <v>#REF!</v>
      </c>
      <c r="AK358" t="e">
        <f>AND('PROG FORMACIÓN TITULADA'!#REF!,"AAAAAHn/3iQ=")</f>
        <v>#REF!</v>
      </c>
      <c r="AL358" t="e">
        <f>AND('PROG FORMACIÓN TITULADA'!#REF!,"AAAAAHn/3iU=")</f>
        <v>#REF!</v>
      </c>
      <c r="AM358" t="e">
        <f>AND('PROG FORMACIÓN TITULADA'!#REF!,"AAAAAHn/3iY=")</f>
        <v>#REF!</v>
      </c>
      <c r="AN358" t="e">
        <f>AND('PROG FORMACIÓN TITULADA'!#REF!,"AAAAAHn/3ic=")</f>
        <v>#REF!</v>
      </c>
      <c r="AO358" t="e">
        <f>AND('PROG FORMACIÓN TITULADA'!#REF!,"AAAAAHn/3ig=")</f>
        <v>#REF!</v>
      </c>
      <c r="AP358" t="e">
        <f>AND('PROG FORMACIÓN TITULADA'!#REF!,"AAAAAHn/3ik=")</f>
        <v>#REF!</v>
      </c>
      <c r="AQ358" t="e">
        <f>AND('PROG FORMACIÓN TITULADA'!#REF!,"AAAAAHn/3io=")</f>
        <v>#REF!</v>
      </c>
      <c r="AR358" t="e">
        <f>AND('PROG FORMACIÓN TITULADA'!#REF!,"AAAAAHn/3is=")</f>
        <v>#REF!</v>
      </c>
      <c r="AS358" t="e">
        <f>AND('PROG FORMACIÓN TITULADA'!#REF!,"AAAAAHn/3iw=")</f>
        <v>#REF!</v>
      </c>
      <c r="AT358" t="e">
        <f>IF('PROG FORMACIÓN TITULADA'!#REF!,"AAAAAHn/3i0=",0)</f>
        <v>#REF!</v>
      </c>
      <c r="AU358" t="e">
        <f>AND('PROG FORMACIÓN TITULADA'!#REF!,"AAAAAHn/3i4=")</f>
        <v>#REF!</v>
      </c>
      <c r="AV358" t="e">
        <f>AND('PROG FORMACIÓN TITULADA'!#REF!,"AAAAAHn/3i8=")</f>
        <v>#REF!</v>
      </c>
      <c r="AW358" t="e">
        <f>AND('PROG FORMACIÓN TITULADA'!#REF!,"AAAAAHn/3jA=")</f>
        <v>#REF!</v>
      </c>
      <c r="AX358" t="e">
        <f>AND('PROG FORMACIÓN TITULADA'!#REF!,"AAAAAHn/3jE=")</f>
        <v>#REF!</v>
      </c>
      <c r="AY358" t="e">
        <f>AND('PROG FORMACIÓN TITULADA'!#REF!,"AAAAAHn/3jI=")</f>
        <v>#REF!</v>
      </c>
      <c r="AZ358" t="e">
        <f>AND('PROG FORMACIÓN TITULADA'!#REF!,"AAAAAHn/3jM=")</f>
        <v>#REF!</v>
      </c>
      <c r="BA358" t="e">
        <f>AND('PROG FORMACIÓN TITULADA'!#REF!,"AAAAAHn/3jQ=")</f>
        <v>#REF!</v>
      </c>
      <c r="BB358" t="e">
        <f>AND('PROG FORMACIÓN TITULADA'!#REF!,"AAAAAHn/3jU=")</f>
        <v>#REF!</v>
      </c>
      <c r="BC358" t="e">
        <f>AND('PROG FORMACIÓN TITULADA'!#REF!,"AAAAAHn/3jY=")</f>
        <v>#REF!</v>
      </c>
      <c r="BD358" t="e">
        <f>AND('PROG FORMACIÓN TITULADA'!#REF!,"AAAAAHn/3jc=")</f>
        <v>#REF!</v>
      </c>
      <c r="BE358" t="e">
        <f>AND('PROG FORMACIÓN TITULADA'!#REF!,"AAAAAHn/3jg=")</f>
        <v>#REF!</v>
      </c>
      <c r="BF358" t="e">
        <f>AND('PROG FORMACIÓN TITULADA'!#REF!,"AAAAAHn/3jk=")</f>
        <v>#REF!</v>
      </c>
      <c r="BG358" t="e">
        <f>AND('PROG FORMACIÓN TITULADA'!#REF!,"AAAAAHn/3jo=")</f>
        <v>#REF!</v>
      </c>
      <c r="BH358" t="e">
        <f>AND('PROG FORMACIÓN TITULADA'!#REF!,"AAAAAHn/3js=")</f>
        <v>#REF!</v>
      </c>
      <c r="BI358" t="e">
        <f>AND('PROG FORMACIÓN TITULADA'!#REF!,"AAAAAHn/3jw=")</f>
        <v>#REF!</v>
      </c>
      <c r="BJ358" t="e">
        <f>AND('PROG FORMACIÓN TITULADA'!#REF!,"AAAAAHn/3j0=")</f>
        <v>#REF!</v>
      </c>
      <c r="BK358" t="e">
        <f>AND('PROG FORMACIÓN TITULADA'!#REF!,"AAAAAHn/3j4=")</f>
        <v>#REF!</v>
      </c>
      <c r="BL358" t="e">
        <f>AND('PROG FORMACIÓN TITULADA'!#REF!,"AAAAAHn/3j8=")</f>
        <v>#REF!</v>
      </c>
      <c r="BM358" t="e">
        <f>AND('PROG FORMACIÓN TITULADA'!#REF!,"AAAAAHn/3kA=")</f>
        <v>#REF!</v>
      </c>
      <c r="BN358" t="e">
        <f>AND('PROG FORMACIÓN TITULADA'!#REF!,"AAAAAHn/3kE=")</f>
        <v>#REF!</v>
      </c>
      <c r="BO358" t="e">
        <f>AND('PROG FORMACIÓN TITULADA'!#REF!,"AAAAAHn/3kI=")</f>
        <v>#REF!</v>
      </c>
      <c r="BP358" t="e">
        <f>AND('PROG FORMACIÓN TITULADA'!#REF!,"AAAAAHn/3kM=")</f>
        <v>#REF!</v>
      </c>
      <c r="BQ358" t="e">
        <f>AND('PROG FORMACIÓN TITULADA'!#REF!,"AAAAAHn/3kQ=")</f>
        <v>#REF!</v>
      </c>
      <c r="BR358" t="e">
        <f>AND('PROG FORMACIÓN TITULADA'!#REF!,"AAAAAHn/3kU=")</f>
        <v>#REF!</v>
      </c>
      <c r="BS358" t="e">
        <f>AND('PROG FORMACIÓN TITULADA'!#REF!,"AAAAAHn/3kY=")</f>
        <v>#REF!</v>
      </c>
      <c r="BT358" t="e">
        <f>AND('PROG FORMACIÓN TITULADA'!#REF!,"AAAAAHn/3kc=")</f>
        <v>#REF!</v>
      </c>
      <c r="BU358" t="e">
        <f>IF('PROG FORMACIÓN TITULADA'!#REF!,"AAAAAHn/3kg=",0)</f>
        <v>#REF!</v>
      </c>
      <c r="BV358" t="e">
        <f>AND('PROG FORMACIÓN TITULADA'!#REF!,"AAAAAHn/3kk=")</f>
        <v>#REF!</v>
      </c>
      <c r="BW358" t="e">
        <f>AND('PROG FORMACIÓN TITULADA'!#REF!,"AAAAAHn/3ko=")</f>
        <v>#REF!</v>
      </c>
      <c r="BX358" t="e">
        <f>AND('PROG FORMACIÓN TITULADA'!#REF!,"AAAAAHn/3ks=")</f>
        <v>#REF!</v>
      </c>
      <c r="BY358" t="e">
        <f>AND('PROG FORMACIÓN TITULADA'!#REF!,"AAAAAHn/3kw=")</f>
        <v>#REF!</v>
      </c>
      <c r="BZ358" t="e">
        <f>AND('PROG FORMACIÓN TITULADA'!#REF!,"AAAAAHn/3k0=")</f>
        <v>#REF!</v>
      </c>
      <c r="CA358" t="e">
        <f>AND('PROG FORMACIÓN TITULADA'!#REF!,"AAAAAHn/3k4=")</f>
        <v>#REF!</v>
      </c>
      <c r="CB358" t="e">
        <f>AND('PROG FORMACIÓN TITULADA'!#REF!,"AAAAAHn/3k8=")</f>
        <v>#REF!</v>
      </c>
      <c r="CC358" t="e">
        <f>AND('PROG FORMACIÓN TITULADA'!#REF!,"AAAAAHn/3lA=")</f>
        <v>#REF!</v>
      </c>
      <c r="CD358" t="e">
        <f>AND('PROG FORMACIÓN TITULADA'!#REF!,"AAAAAHn/3lE=")</f>
        <v>#REF!</v>
      </c>
      <c r="CE358" t="e">
        <f>AND('PROG FORMACIÓN TITULADA'!#REF!,"AAAAAHn/3lI=")</f>
        <v>#REF!</v>
      </c>
      <c r="CF358" t="e">
        <f>AND('PROG FORMACIÓN TITULADA'!#REF!,"AAAAAHn/3lM=")</f>
        <v>#REF!</v>
      </c>
      <c r="CG358" t="e">
        <f>AND('PROG FORMACIÓN TITULADA'!#REF!,"AAAAAHn/3lQ=")</f>
        <v>#REF!</v>
      </c>
      <c r="CH358" t="e">
        <f>AND('PROG FORMACIÓN TITULADA'!#REF!,"AAAAAHn/3lU=")</f>
        <v>#REF!</v>
      </c>
      <c r="CI358" t="e">
        <f>AND('PROG FORMACIÓN TITULADA'!#REF!,"AAAAAHn/3lY=")</f>
        <v>#REF!</v>
      </c>
      <c r="CJ358" t="e">
        <f>AND('PROG FORMACIÓN TITULADA'!#REF!,"AAAAAHn/3lc=")</f>
        <v>#REF!</v>
      </c>
      <c r="CK358" t="e">
        <f>AND('PROG FORMACIÓN TITULADA'!#REF!,"AAAAAHn/3lg=")</f>
        <v>#REF!</v>
      </c>
      <c r="CL358" t="e">
        <f>AND('PROG FORMACIÓN TITULADA'!#REF!,"AAAAAHn/3lk=")</f>
        <v>#REF!</v>
      </c>
      <c r="CM358" t="e">
        <f>AND('PROG FORMACIÓN TITULADA'!#REF!,"AAAAAHn/3lo=")</f>
        <v>#REF!</v>
      </c>
      <c r="CN358" t="e">
        <f>AND('PROG FORMACIÓN TITULADA'!#REF!,"AAAAAHn/3ls=")</f>
        <v>#REF!</v>
      </c>
      <c r="CO358" t="e">
        <f>AND('PROG FORMACIÓN TITULADA'!#REF!,"AAAAAHn/3lw=")</f>
        <v>#REF!</v>
      </c>
      <c r="CP358" t="e">
        <f>AND('PROG FORMACIÓN TITULADA'!#REF!,"AAAAAHn/3l0=")</f>
        <v>#REF!</v>
      </c>
      <c r="CQ358" t="e">
        <f>AND('PROG FORMACIÓN TITULADA'!#REF!,"AAAAAHn/3l4=")</f>
        <v>#REF!</v>
      </c>
      <c r="CR358" t="e">
        <f>AND('PROG FORMACIÓN TITULADA'!#REF!,"AAAAAHn/3l8=")</f>
        <v>#REF!</v>
      </c>
      <c r="CS358" t="e">
        <f>AND('PROG FORMACIÓN TITULADA'!#REF!,"AAAAAHn/3mA=")</f>
        <v>#REF!</v>
      </c>
      <c r="CT358" t="e">
        <f>AND('PROG FORMACIÓN TITULADA'!#REF!,"AAAAAHn/3mE=")</f>
        <v>#REF!</v>
      </c>
      <c r="CU358" t="e">
        <f>AND('PROG FORMACIÓN TITULADA'!#REF!,"AAAAAHn/3mI=")</f>
        <v>#REF!</v>
      </c>
      <c r="CV358" t="e">
        <f>IF('PROG FORMACIÓN TITULADA'!#REF!,"AAAAAHn/3mM=",0)</f>
        <v>#REF!</v>
      </c>
      <c r="CW358" t="e">
        <f>AND('PROG FORMACIÓN TITULADA'!#REF!,"AAAAAHn/3mQ=")</f>
        <v>#REF!</v>
      </c>
      <c r="CX358" t="e">
        <f>AND('PROG FORMACIÓN TITULADA'!#REF!,"AAAAAHn/3mU=")</f>
        <v>#REF!</v>
      </c>
      <c r="CY358" t="e">
        <f>AND('PROG FORMACIÓN TITULADA'!#REF!,"AAAAAHn/3mY=")</f>
        <v>#REF!</v>
      </c>
      <c r="CZ358" t="e">
        <f>AND('PROG FORMACIÓN TITULADA'!#REF!,"AAAAAHn/3mc=")</f>
        <v>#REF!</v>
      </c>
      <c r="DA358" t="e">
        <f>AND('PROG FORMACIÓN TITULADA'!#REF!,"AAAAAHn/3mg=")</f>
        <v>#REF!</v>
      </c>
      <c r="DB358" t="e">
        <f>AND('PROG FORMACIÓN TITULADA'!#REF!,"AAAAAHn/3mk=")</f>
        <v>#REF!</v>
      </c>
      <c r="DC358" t="e">
        <f>AND('PROG FORMACIÓN TITULADA'!#REF!,"AAAAAHn/3mo=")</f>
        <v>#REF!</v>
      </c>
      <c r="DD358" t="e">
        <f>AND('PROG FORMACIÓN TITULADA'!#REF!,"AAAAAHn/3ms=")</f>
        <v>#REF!</v>
      </c>
      <c r="DE358" t="e">
        <f>AND('PROG FORMACIÓN TITULADA'!#REF!,"AAAAAHn/3mw=")</f>
        <v>#REF!</v>
      </c>
      <c r="DF358" t="e">
        <f>AND('PROG FORMACIÓN TITULADA'!#REF!,"AAAAAHn/3m0=")</f>
        <v>#REF!</v>
      </c>
      <c r="DG358" t="e">
        <f>AND('PROG FORMACIÓN TITULADA'!#REF!,"AAAAAHn/3m4=")</f>
        <v>#REF!</v>
      </c>
      <c r="DH358" t="e">
        <f>AND('PROG FORMACIÓN TITULADA'!#REF!,"AAAAAHn/3m8=")</f>
        <v>#REF!</v>
      </c>
      <c r="DI358" t="e">
        <f>AND('PROG FORMACIÓN TITULADA'!#REF!,"AAAAAHn/3nA=")</f>
        <v>#REF!</v>
      </c>
      <c r="DJ358" t="e">
        <f>AND('PROG FORMACIÓN TITULADA'!#REF!,"AAAAAHn/3nE=")</f>
        <v>#REF!</v>
      </c>
      <c r="DK358" t="e">
        <f>AND('PROG FORMACIÓN TITULADA'!#REF!,"AAAAAHn/3nI=")</f>
        <v>#REF!</v>
      </c>
      <c r="DL358" t="e">
        <f>AND('PROG FORMACIÓN TITULADA'!#REF!,"AAAAAHn/3nM=")</f>
        <v>#REF!</v>
      </c>
      <c r="DM358" t="e">
        <f>AND('PROG FORMACIÓN TITULADA'!#REF!,"AAAAAHn/3nQ=")</f>
        <v>#REF!</v>
      </c>
      <c r="DN358" t="e">
        <f>AND('PROG FORMACIÓN TITULADA'!#REF!,"AAAAAHn/3nU=")</f>
        <v>#REF!</v>
      </c>
      <c r="DO358" t="e">
        <f>AND('PROG FORMACIÓN TITULADA'!#REF!,"AAAAAHn/3nY=")</f>
        <v>#REF!</v>
      </c>
      <c r="DP358" t="e">
        <f>AND('PROG FORMACIÓN TITULADA'!#REF!,"AAAAAHn/3nc=")</f>
        <v>#REF!</v>
      </c>
      <c r="DQ358" t="e">
        <f>AND('PROG FORMACIÓN TITULADA'!#REF!,"AAAAAHn/3ng=")</f>
        <v>#REF!</v>
      </c>
      <c r="DR358" t="e">
        <f>AND('PROG FORMACIÓN TITULADA'!#REF!,"AAAAAHn/3nk=")</f>
        <v>#REF!</v>
      </c>
      <c r="DS358" t="e">
        <f>AND('PROG FORMACIÓN TITULADA'!#REF!,"AAAAAHn/3no=")</f>
        <v>#REF!</v>
      </c>
      <c r="DT358" t="e">
        <f>AND('PROG FORMACIÓN TITULADA'!#REF!,"AAAAAHn/3ns=")</f>
        <v>#REF!</v>
      </c>
      <c r="DU358" t="e">
        <f>AND('PROG FORMACIÓN TITULADA'!#REF!,"AAAAAHn/3nw=")</f>
        <v>#REF!</v>
      </c>
      <c r="DV358" t="e">
        <f>AND('PROG FORMACIÓN TITULADA'!#REF!,"AAAAAHn/3n0=")</f>
        <v>#REF!</v>
      </c>
      <c r="DW358" t="e">
        <f>IF('PROG FORMACIÓN TITULADA'!#REF!,"AAAAAHn/3n4=",0)</f>
        <v>#REF!</v>
      </c>
      <c r="DX358" t="e">
        <f>AND('PROG FORMACIÓN TITULADA'!#REF!,"AAAAAHn/3n8=")</f>
        <v>#REF!</v>
      </c>
      <c r="DY358" t="e">
        <f>AND('PROG FORMACIÓN TITULADA'!#REF!,"AAAAAHn/3oA=")</f>
        <v>#REF!</v>
      </c>
      <c r="DZ358" t="e">
        <f>AND('PROG FORMACIÓN TITULADA'!#REF!,"AAAAAHn/3oE=")</f>
        <v>#REF!</v>
      </c>
      <c r="EA358" t="e">
        <f>AND('PROG FORMACIÓN TITULADA'!#REF!,"AAAAAHn/3oI=")</f>
        <v>#REF!</v>
      </c>
      <c r="EB358" t="e">
        <f>AND('PROG FORMACIÓN TITULADA'!#REF!,"AAAAAHn/3oM=")</f>
        <v>#REF!</v>
      </c>
      <c r="EC358" t="e">
        <f>AND('PROG FORMACIÓN TITULADA'!#REF!,"AAAAAHn/3oQ=")</f>
        <v>#REF!</v>
      </c>
      <c r="ED358" t="e">
        <f>AND('PROG FORMACIÓN TITULADA'!#REF!,"AAAAAHn/3oU=")</f>
        <v>#REF!</v>
      </c>
      <c r="EE358" t="e">
        <f>AND('PROG FORMACIÓN TITULADA'!#REF!,"AAAAAHn/3oY=")</f>
        <v>#REF!</v>
      </c>
      <c r="EF358" t="e">
        <f>AND('PROG FORMACIÓN TITULADA'!#REF!,"AAAAAHn/3oc=")</f>
        <v>#REF!</v>
      </c>
      <c r="EG358" t="e">
        <f>AND('PROG FORMACIÓN TITULADA'!#REF!,"AAAAAHn/3og=")</f>
        <v>#REF!</v>
      </c>
      <c r="EH358" t="e">
        <f>AND('PROG FORMACIÓN TITULADA'!#REF!,"AAAAAHn/3ok=")</f>
        <v>#REF!</v>
      </c>
      <c r="EI358" t="e">
        <f>AND('PROG FORMACIÓN TITULADA'!#REF!,"AAAAAHn/3oo=")</f>
        <v>#REF!</v>
      </c>
      <c r="EJ358" t="e">
        <f>AND('PROG FORMACIÓN TITULADA'!#REF!,"AAAAAHn/3os=")</f>
        <v>#REF!</v>
      </c>
      <c r="EK358" t="e">
        <f>AND('PROG FORMACIÓN TITULADA'!#REF!,"AAAAAHn/3ow=")</f>
        <v>#REF!</v>
      </c>
      <c r="EL358" t="e">
        <f>AND('PROG FORMACIÓN TITULADA'!#REF!,"AAAAAHn/3o0=")</f>
        <v>#REF!</v>
      </c>
      <c r="EM358" t="e">
        <f>AND('PROG FORMACIÓN TITULADA'!#REF!,"AAAAAHn/3o4=")</f>
        <v>#REF!</v>
      </c>
      <c r="EN358" t="e">
        <f>AND('PROG FORMACIÓN TITULADA'!#REF!,"AAAAAHn/3o8=")</f>
        <v>#REF!</v>
      </c>
      <c r="EO358" t="e">
        <f>AND('PROG FORMACIÓN TITULADA'!#REF!,"AAAAAHn/3pA=")</f>
        <v>#REF!</v>
      </c>
      <c r="EP358" t="e">
        <f>AND('PROG FORMACIÓN TITULADA'!#REF!,"AAAAAHn/3pE=")</f>
        <v>#REF!</v>
      </c>
      <c r="EQ358" t="e">
        <f>AND('PROG FORMACIÓN TITULADA'!#REF!,"AAAAAHn/3pI=")</f>
        <v>#REF!</v>
      </c>
      <c r="ER358" t="e">
        <f>AND('PROG FORMACIÓN TITULADA'!#REF!,"AAAAAHn/3pM=")</f>
        <v>#REF!</v>
      </c>
      <c r="ES358" t="e">
        <f>AND('PROG FORMACIÓN TITULADA'!#REF!,"AAAAAHn/3pQ=")</f>
        <v>#REF!</v>
      </c>
      <c r="ET358" t="e">
        <f>AND('PROG FORMACIÓN TITULADA'!#REF!,"AAAAAHn/3pU=")</f>
        <v>#REF!</v>
      </c>
      <c r="EU358" t="e">
        <f>AND('PROG FORMACIÓN TITULADA'!#REF!,"AAAAAHn/3pY=")</f>
        <v>#REF!</v>
      </c>
      <c r="EV358" t="e">
        <f>AND('PROG FORMACIÓN TITULADA'!#REF!,"AAAAAHn/3pc=")</f>
        <v>#REF!</v>
      </c>
      <c r="EW358" t="e">
        <f>AND('PROG FORMACIÓN TITULADA'!#REF!,"AAAAAHn/3pg=")</f>
        <v>#REF!</v>
      </c>
      <c r="EX358" t="e">
        <f>IF('PROG FORMACIÓN TITULADA'!#REF!,"AAAAAHn/3pk=",0)</f>
        <v>#REF!</v>
      </c>
      <c r="EY358" t="e">
        <f>AND('PROG FORMACIÓN TITULADA'!#REF!,"AAAAAHn/3po=")</f>
        <v>#REF!</v>
      </c>
      <c r="EZ358" t="e">
        <f>AND('PROG FORMACIÓN TITULADA'!#REF!,"AAAAAHn/3ps=")</f>
        <v>#REF!</v>
      </c>
      <c r="FA358" t="e">
        <f>AND('PROG FORMACIÓN TITULADA'!#REF!,"AAAAAHn/3pw=")</f>
        <v>#REF!</v>
      </c>
      <c r="FB358" t="e">
        <f>AND('PROG FORMACIÓN TITULADA'!#REF!,"AAAAAHn/3p0=")</f>
        <v>#REF!</v>
      </c>
      <c r="FC358" t="e">
        <f>AND('PROG FORMACIÓN TITULADA'!#REF!,"AAAAAHn/3p4=")</f>
        <v>#REF!</v>
      </c>
      <c r="FD358" t="e">
        <f>AND('PROG FORMACIÓN TITULADA'!#REF!,"AAAAAHn/3p8=")</f>
        <v>#REF!</v>
      </c>
      <c r="FE358" t="e">
        <f>AND('PROG FORMACIÓN TITULADA'!#REF!,"AAAAAHn/3qA=")</f>
        <v>#REF!</v>
      </c>
      <c r="FF358" t="e">
        <f>AND('PROG FORMACIÓN TITULADA'!#REF!,"AAAAAHn/3qE=")</f>
        <v>#REF!</v>
      </c>
      <c r="FG358" t="e">
        <f>AND('PROG FORMACIÓN TITULADA'!#REF!,"AAAAAHn/3qI=")</f>
        <v>#REF!</v>
      </c>
      <c r="FH358" t="e">
        <f>AND('PROG FORMACIÓN TITULADA'!#REF!,"AAAAAHn/3qM=")</f>
        <v>#REF!</v>
      </c>
      <c r="FI358" t="e">
        <f>AND('PROG FORMACIÓN TITULADA'!#REF!,"AAAAAHn/3qQ=")</f>
        <v>#REF!</v>
      </c>
      <c r="FJ358" t="e">
        <f>AND('PROG FORMACIÓN TITULADA'!#REF!,"AAAAAHn/3qU=")</f>
        <v>#REF!</v>
      </c>
      <c r="FK358" t="e">
        <f>AND('PROG FORMACIÓN TITULADA'!#REF!,"AAAAAHn/3qY=")</f>
        <v>#REF!</v>
      </c>
      <c r="FL358" t="e">
        <f>AND('PROG FORMACIÓN TITULADA'!#REF!,"AAAAAHn/3qc=")</f>
        <v>#REF!</v>
      </c>
      <c r="FM358" t="e">
        <f>AND('PROG FORMACIÓN TITULADA'!#REF!,"AAAAAHn/3qg=")</f>
        <v>#REF!</v>
      </c>
      <c r="FN358" t="e">
        <f>AND('PROG FORMACIÓN TITULADA'!#REF!,"AAAAAHn/3qk=")</f>
        <v>#REF!</v>
      </c>
      <c r="FO358" t="e">
        <f>AND('PROG FORMACIÓN TITULADA'!#REF!,"AAAAAHn/3qo=")</f>
        <v>#REF!</v>
      </c>
      <c r="FP358" t="e">
        <f>AND('PROG FORMACIÓN TITULADA'!#REF!,"AAAAAHn/3qs=")</f>
        <v>#REF!</v>
      </c>
      <c r="FQ358" t="e">
        <f>AND('PROG FORMACIÓN TITULADA'!#REF!,"AAAAAHn/3qw=")</f>
        <v>#REF!</v>
      </c>
      <c r="FR358" t="e">
        <f>AND('PROG FORMACIÓN TITULADA'!#REF!,"AAAAAHn/3q0=")</f>
        <v>#REF!</v>
      </c>
      <c r="FS358" t="e">
        <f>AND('PROG FORMACIÓN TITULADA'!#REF!,"AAAAAHn/3q4=")</f>
        <v>#REF!</v>
      </c>
      <c r="FT358" t="e">
        <f>AND('PROG FORMACIÓN TITULADA'!#REF!,"AAAAAHn/3q8=")</f>
        <v>#REF!</v>
      </c>
      <c r="FU358" t="e">
        <f>AND('PROG FORMACIÓN TITULADA'!#REF!,"AAAAAHn/3rA=")</f>
        <v>#REF!</v>
      </c>
      <c r="FV358" t="e">
        <f>AND('PROG FORMACIÓN TITULADA'!#REF!,"AAAAAHn/3rE=")</f>
        <v>#REF!</v>
      </c>
      <c r="FW358" t="e">
        <f>AND('PROG FORMACIÓN TITULADA'!#REF!,"AAAAAHn/3rI=")</f>
        <v>#REF!</v>
      </c>
      <c r="FX358" t="e">
        <f>AND('PROG FORMACIÓN TITULADA'!#REF!,"AAAAAHn/3rM=")</f>
        <v>#REF!</v>
      </c>
      <c r="FY358" t="e">
        <f>IF('PROG FORMACIÓN TITULADA'!#REF!,"AAAAAHn/3rQ=",0)</f>
        <v>#REF!</v>
      </c>
      <c r="FZ358" t="e">
        <f>AND('PROG FORMACIÓN TITULADA'!#REF!,"AAAAAHn/3rU=")</f>
        <v>#REF!</v>
      </c>
      <c r="GA358" t="e">
        <f>AND('PROG FORMACIÓN TITULADA'!#REF!,"AAAAAHn/3rY=")</f>
        <v>#REF!</v>
      </c>
      <c r="GB358" t="e">
        <f>AND('PROG FORMACIÓN TITULADA'!#REF!,"AAAAAHn/3rc=")</f>
        <v>#REF!</v>
      </c>
      <c r="GC358" t="e">
        <f>AND('PROG FORMACIÓN TITULADA'!#REF!,"AAAAAHn/3rg=")</f>
        <v>#REF!</v>
      </c>
      <c r="GD358" t="e">
        <f>AND('PROG FORMACIÓN TITULADA'!#REF!,"AAAAAHn/3rk=")</f>
        <v>#REF!</v>
      </c>
      <c r="GE358" t="e">
        <f>AND('PROG FORMACIÓN TITULADA'!#REF!,"AAAAAHn/3ro=")</f>
        <v>#REF!</v>
      </c>
      <c r="GF358" t="e">
        <f>AND('PROG FORMACIÓN TITULADA'!#REF!,"AAAAAHn/3rs=")</f>
        <v>#REF!</v>
      </c>
      <c r="GG358" t="e">
        <f>AND('PROG FORMACIÓN TITULADA'!#REF!,"AAAAAHn/3rw=")</f>
        <v>#REF!</v>
      </c>
      <c r="GH358" t="e">
        <f>AND('PROG FORMACIÓN TITULADA'!#REF!,"AAAAAHn/3r0=")</f>
        <v>#REF!</v>
      </c>
      <c r="GI358" t="e">
        <f>AND('PROG FORMACIÓN TITULADA'!#REF!,"AAAAAHn/3r4=")</f>
        <v>#REF!</v>
      </c>
      <c r="GJ358" t="e">
        <f>AND('PROG FORMACIÓN TITULADA'!#REF!,"AAAAAHn/3r8=")</f>
        <v>#REF!</v>
      </c>
      <c r="GK358" t="e">
        <f>AND('PROG FORMACIÓN TITULADA'!#REF!,"AAAAAHn/3sA=")</f>
        <v>#REF!</v>
      </c>
      <c r="GL358" t="e">
        <f>AND('PROG FORMACIÓN TITULADA'!#REF!,"AAAAAHn/3sE=")</f>
        <v>#REF!</v>
      </c>
      <c r="GM358" t="e">
        <f>AND('PROG FORMACIÓN TITULADA'!#REF!,"AAAAAHn/3sI=")</f>
        <v>#REF!</v>
      </c>
      <c r="GN358" t="e">
        <f>AND('PROG FORMACIÓN TITULADA'!#REF!,"AAAAAHn/3sM=")</f>
        <v>#REF!</v>
      </c>
      <c r="GO358" t="e">
        <f>AND('PROG FORMACIÓN TITULADA'!#REF!,"AAAAAHn/3sQ=")</f>
        <v>#REF!</v>
      </c>
      <c r="GP358" t="e">
        <f>AND('PROG FORMACIÓN TITULADA'!#REF!,"AAAAAHn/3sU=")</f>
        <v>#REF!</v>
      </c>
      <c r="GQ358" t="e">
        <f>AND('PROG FORMACIÓN TITULADA'!#REF!,"AAAAAHn/3sY=")</f>
        <v>#REF!</v>
      </c>
      <c r="GR358" t="e">
        <f>AND('PROG FORMACIÓN TITULADA'!#REF!,"AAAAAHn/3sc=")</f>
        <v>#REF!</v>
      </c>
      <c r="GS358" t="e">
        <f>AND('PROG FORMACIÓN TITULADA'!#REF!,"AAAAAHn/3sg=")</f>
        <v>#REF!</v>
      </c>
      <c r="GT358" t="e">
        <f>AND('PROG FORMACIÓN TITULADA'!#REF!,"AAAAAHn/3sk=")</f>
        <v>#REF!</v>
      </c>
      <c r="GU358" t="e">
        <f>AND('PROG FORMACIÓN TITULADA'!#REF!,"AAAAAHn/3so=")</f>
        <v>#REF!</v>
      </c>
      <c r="GV358" t="e">
        <f>AND('PROG FORMACIÓN TITULADA'!#REF!,"AAAAAHn/3ss=")</f>
        <v>#REF!</v>
      </c>
      <c r="GW358" t="e">
        <f>AND('PROG FORMACIÓN TITULADA'!#REF!,"AAAAAHn/3sw=")</f>
        <v>#REF!</v>
      </c>
      <c r="GX358" t="e">
        <f>AND('PROG FORMACIÓN TITULADA'!#REF!,"AAAAAHn/3s0=")</f>
        <v>#REF!</v>
      </c>
      <c r="GY358" t="e">
        <f>AND('PROG FORMACIÓN TITULADA'!#REF!,"AAAAAHn/3s4=")</f>
        <v>#REF!</v>
      </c>
      <c r="GZ358" t="e">
        <f>IF('PROG FORMACIÓN TITULADA'!#REF!,"AAAAAHn/3s8=",0)</f>
        <v>#REF!</v>
      </c>
      <c r="HA358" t="e">
        <f>AND('PROG FORMACIÓN TITULADA'!#REF!,"AAAAAHn/3tA=")</f>
        <v>#REF!</v>
      </c>
      <c r="HB358" t="e">
        <f>AND('PROG FORMACIÓN TITULADA'!#REF!,"AAAAAHn/3tE=")</f>
        <v>#REF!</v>
      </c>
      <c r="HC358" t="e">
        <f>AND('PROG FORMACIÓN TITULADA'!#REF!,"AAAAAHn/3tI=")</f>
        <v>#REF!</v>
      </c>
      <c r="HD358" t="e">
        <f>AND('PROG FORMACIÓN TITULADA'!#REF!,"AAAAAHn/3tM=")</f>
        <v>#REF!</v>
      </c>
      <c r="HE358" t="e">
        <f>AND('PROG FORMACIÓN TITULADA'!#REF!,"AAAAAHn/3tQ=")</f>
        <v>#REF!</v>
      </c>
      <c r="HF358" t="e">
        <f>AND('PROG FORMACIÓN TITULADA'!#REF!,"AAAAAHn/3tU=")</f>
        <v>#REF!</v>
      </c>
      <c r="HG358" t="e">
        <f>AND('PROG FORMACIÓN TITULADA'!#REF!,"AAAAAHn/3tY=")</f>
        <v>#REF!</v>
      </c>
      <c r="HH358" t="e">
        <f>AND('PROG FORMACIÓN TITULADA'!#REF!,"AAAAAHn/3tc=")</f>
        <v>#REF!</v>
      </c>
      <c r="HI358" t="e">
        <f>AND('PROG FORMACIÓN TITULADA'!#REF!,"AAAAAHn/3tg=")</f>
        <v>#REF!</v>
      </c>
      <c r="HJ358" t="e">
        <f>AND('PROG FORMACIÓN TITULADA'!#REF!,"AAAAAHn/3tk=")</f>
        <v>#REF!</v>
      </c>
      <c r="HK358" t="e">
        <f>AND('PROG FORMACIÓN TITULADA'!#REF!,"AAAAAHn/3to=")</f>
        <v>#REF!</v>
      </c>
      <c r="HL358" t="e">
        <f>AND('PROG FORMACIÓN TITULADA'!#REF!,"AAAAAHn/3ts=")</f>
        <v>#REF!</v>
      </c>
      <c r="HM358" t="e">
        <f>AND('PROG FORMACIÓN TITULADA'!#REF!,"AAAAAHn/3tw=")</f>
        <v>#REF!</v>
      </c>
      <c r="HN358" t="e">
        <f>AND('PROG FORMACIÓN TITULADA'!#REF!,"AAAAAHn/3t0=")</f>
        <v>#REF!</v>
      </c>
      <c r="HO358" t="e">
        <f>AND('PROG FORMACIÓN TITULADA'!#REF!,"AAAAAHn/3t4=")</f>
        <v>#REF!</v>
      </c>
      <c r="HP358" t="e">
        <f>AND('PROG FORMACIÓN TITULADA'!#REF!,"AAAAAHn/3t8=")</f>
        <v>#REF!</v>
      </c>
      <c r="HQ358" t="e">
        <f>AND('PROG FORMACIÓN TITULADA'!#REF!,"AAAAAHn/3uA=")</f>
        <v>#REF!</v>
      </c>
      <c r="HR358" t="e">
        <f>AND('PROG FORMACIÓN TITULADA'!#REF!,"AAAAAHn/3uE=")</f>
        <v>#REF!</v>
      </c>
      <c r="HS358" t="e">
        <f>AND('PROG FORMACIÓN TITULADA'!#REF!,"AAAAAHn/3uI=")</f>
        <v>#REF!</v>
      </c>
      <c r="HT358" t="e">
        <f>AND('PROG FORMACIÓN TITULADA'!#REF!,"AAAAAHn/3uM=")</f>
        <v>#REF!</v>
      </c>
      <c r="HU358" t="e">
        <f>AND('PROG FORMACIÓN TITULADA'!#REF!,"AAAAAHn/3uQ=")</f>
        <v>#REF!</v>
      </c>
      <c r="HV358" t="e">
        <f>AND('PROG FORMACIÓN TITULADA'!#REF!,"AAAAAHn/3uU=")</f>
        <v>#REF!</v>
      </c>
      <c r="HW358" t="e">
        <f>AND('PROG FORMACIÓN TITULADA'!#REF!,"AAAAAHn/3uY=")</f>
        <v>#REF!</v>
      </c>
      <c r="HX358" t="e">
        <f>AND('PROG FORMACIÓN TITULADA'!#REF!,"AAAAAHn/3uc=")</f>
        <v>#REF!</v>
      </c>
      <c r="HY358" t="e">
        <f>AND('PROG FORMACIÓN TITULADA'!#REF!,"AAAAAHn/3ug=")</f>
        <v>#REF!</v>
      </c>
      <c r="HZ358" t="e">
        <f>AND('PROG FORMACIÓN TITULADA'!#REF!,"AAAAAHn/3uk=")</f>
        <v>#REF!</v>
      </c>
      <c r="IA358" t="e">
        <f>IF('PROG FORMACIÓN TITULADA'!#REF!,"AAAAAHn/3uo=",0)</f>
        <v>#REF!</v>
      </c>
      <c r="IB358" t="e">
        <f>AND('PROG FORMACIÓN TITULADA'!#REF!,"AAAAAHn/3us=")</f>
        <v>#REF!</v>
      </c>
      <c r="IC358" t="e">
        <f>AND('PROG FORMACIÓN TITULADA'!#REF!,"AAAAAHn/3uw=")</f>
        <v>#REF!</v>
      </c>
      <c r="ID358" t="e">
        <f>AND('PROG FORMACIÓN TITULADA'!#REF!,"AAAAAHn/3u0=")</f>
        <v>#REF!</v>
      </c>
      <c r="IE358" t="e">
        <f>AND('PROG FORMACIÓN TITULADA'!#REF!,"AAAAAHn/3u4=")</f>
        <v>#REF!</v>
      </c>
      <c r="IF358" t="e">
        <f>AND('PROG FORMACIÓN TITULADA'!#REF!,"AAAAAHn/3u8=")</f>
        <v>#REF!</v>
      </c>
      <c r="IG358" t="e">
        <f>AND('PROG FORMACIÓN TITULADA'!#REF!,"AAAAAHn/3vA=")</f>
        <v>#REF!</v>
      </c>
      <c r="IH358" t="e">
        <f>AND('PROG FORMACIÓN TITULADA'!#REF!,"AAAAAHn/3vE=")</f>
        <v>#REF!</v>
      </c>
      <c r="II358" t="e">
        <f>AND('PROG FORMACIÓN TITULADA'!#REF!,"AAAAAHn/3vI=")</f>
        <v>#REF!</v>
      </c>
      <c r="IJ358" t="e">
        <f>AND('PROG FORMACIÓN TITULADA'!#REF!,"AAAAAHn/3vM=")</f>
        <v>#REF!</v>
      </c>
      <c r="IK358" t="e">
        <f>AND('PROG FORMACIÓN TITULADA'!#REF!,"AAAAAHn/3vQ=")</f>
        <v>#REF!</v>
      </c>
      <c r="IL358" t="e">
        <f>AND('PROG FORMACIÓN TITULADA'!#REF!,"AAAAAHn/3vU=")</f>
        <v>#REF!</v>
      </c>
      <c r="IM358" t="e">
        <f>AND('PROG FORMACIÓN TITULADA'!#REF!,"AAAAAHn/3vY=")</f>
        <v>#REF!</v>
      </c>
      <c r="IN358" t="e">
        <f>AND('PROG FORMACIÓN TITULADA'!#REF!,"AAAAAHn/3vc=")</f>
        <v>#REF!</v>
      </c>
      <c r="IO358" t="e">
        <f>AND('PROG FORMACIÓN TITULADA'!#REF!,"AAAAAHn/3vg=")</f>
        <v>#REF!</v>
      </c>
      <c r="IP358" t="e">
        <f>AND('PROG FORMACIÓN TITULADA'!#REF!,"AAAAAHn/3vk=")</f>
        <v>#REF!</v>
      </c>
      <c r="IQ358" t="e">
        <f>AND('PROG FORMACIÓN TITULADA'!#REF!,"AAAAAHn/3vo=")</f>
        <v>#REF!</v>
      </c>
      <c r="IR358" t="e">
        <f>AND('PROG FORMACIÓN TITULADA'!#REF!,"AAAAAHn/3vs=")</f>
        <v>#REF!</v>
      </c>
      <c r="IS358" t="e">
        <f>AND('PROG FORMACIÓN TITULADA'!#REF!,"AAAAAHn/3vw=")</f>
        <v>#REF!</v>
      </c>
      <c r="IT358" t="e">
        <f>AND('PROG FORMACIÓN TITULADA'!#REF!,"AAAAAHn/3v0=")</f>
        <v>#REF!</v>
      </c>
      <c r="IU358" t="e">
        <f>AND('PROG FORMACIÓN TITULADA'!#REF!,"AAAAAHn/3v4=")</f>
        <v>#REF!</v>
      </c>
      <c r="IV358" t="e">
        <f>AND('PROG FORMACIÓN TITULADA'!#REF!,"AAAAAHn/3v8=")</f>
        <v>#REF!</v>
      </c>
    </row>
    <row r="359" spans="1:256" x14ac:dyDescent="0.2">
      <c r="A359" t="e">
        <f>AND('PROG FORMACIÓN TITULADA'!#REF!,"AAAAAHO/vwA=")</f>
        <v>#REF!</v>
      </c>
      <c r="B359" t="e">
        <f>AND('PROG FORMACIÓN TITULADA'!#REF!,"AAAAAHO/vwE=")</f>
        <v>#REF!</v>
      </c>
      <c r="C359" t="e">
        <f>AND('PROG FORMACIÓN TITULADA'!#REF!,"AAAAAHO/vwI=")</f>
        <v>#REF!</v>
      </c>
      <c r="D359" t="e">
        <f>AND('PROG FORMACIÓN TITULADA'!#REF!,"AAAAAHO/vwM=")</f>
        <v>#REF!</v>
      </c>
      <c r="E359" t="e">
        <f>AND('PROG FORMACIÓN TITULADA'!#REF!,"AAAAAHO/vwQ=")</f>
        <v>#REF!</v>
      </c>
      <c r="F359" t="e">
        <f>IF('PROG FORMACIÓN TITULADA'!#REF!,"AAAAAHO/vwU=",0)</f>
        <v>#REF!</v>
      </c>
      <c r="G359" t="e">
        <f>AND('PROG FORMACIÓN TITULADA'!#REF!,"AAAAAHO/vwY=")</f>
        <v>#REF!</v>
      </c>
      <c r="H359" t="e">
        <f>AND('PROG FORMACIÓN TITULADA'!#REF!,"AAAAAHO/vwc=")</f>
        <v>#REF!</v>
      </c>
      <c r="I359" t="e">
        <f>AND('PROG FORMACIÓN TITULADA'!#REF!,"AAAAAHO/vwg=")</f>
        <v>#REF!</v>
      </c>
      <c r="J359" t="e">
        <f>AND('PROG FORMACIÓN TITULADA'!#REF!,"AAAAAHO/vwk=")</f>
        <v>#REF!</v>
      </c>
      <c r="K359" t="e">
        <f>AND('PROG FORMACIÓN TITULADA'!#REF!,"AAAAAHO/vwo=")</f>
        <v>#REF!</v>
      </c>
      <c r="L359" t="e">
        <f>AND('PROG FORMACIÓN TITULADA'!#REF!,"AAAAAHO/vws=")</f>
        <v>#REF!</v>
      </c>
      <c r="M359" t="e">
        <f>AND('PROG FORMACIÓN TITULADA'!#REF!,"AAAAAHO/vww=")</f>
        <v>#REF!</v>
      </c>
      <c r="N359" t="e">
        <f>AND('PROG FORMACIÓN TITULADA'!#REF!,"AAAAAHO/vw0=")</f>
        <v>#REF!</v>
      </c>
      <c r="O359" t="e">
        <f>AND('PROG FORMACIÓN TITULADA'!#REF!,"AAAAAHO/vw4=")</f>
        <v>#REF!</v>
      </c>
      <c r="P359" t="e">
        <f>AND('PROG FORMACIÓN TITULADA'!#REF!,"AAAAAHO/vw8=")</f>
        <v>#REF!</v>
      </c>
      <c r="Q359" t="e">
        <f>AND('PROG FORMACIÓN TITULADA'!#REF!,"AAAAAHO/vxA=")</f>
        <v>#REF!</v>
      </c>
      <c r="R359" t="e">
        <f>AND('PROG FORMACIÓN TITULADA'!#REF!,"AAAAAHO/vxE=")</f>
        <v>#REF!</v>
      </c>
      <c r="S359" t="e">
        <f>AND('PROG FORMACIÓN TITULADA'!#REF!,"AAAAAHO/vxI=")</f>
        <v>#REF!</v>
      </c>
      <c r="T359" t="e">
        <f>AND('PROG FORMACIÓN TITULADA'!#REF!,"AAAAAHO/vxM=")</f>
        <v>#REF!</v>
      </c>
      <c r="U359" t="e">
        <f>AND('PROG FORMACIÓN TITULADA'!#REF!,"AAAAAHO/vxQ=")</f>
        <v>#REF!</v>
      </c>
      <c r="V359" t="e">
        <f>AND('PROG FORMACIÓN TITULADA'!#REF!,"AAAAAHO/vxU=")</f>
        <v>#REF!</v>
      </c>
      <c r="W359" t="e">
        <f>AND('PROG FORMACIÓN TITULADA'!#REF!,"AAAAAHO/vxY=")</f>
        <v>#REF!</v>
      </c>
      <c r="X359" t="e">
        <f>AND('PROG FORMACIÓN TITULADA'!#REF!,"AAAAAHO/vxc=")</f>
        <v>#REF!</v>
      </c>
      <c r="Y359" t="e">
        <f>AND('PROG FORMACIÓN TITULADA'!#REF!,"AAAAAHO/vxg=")</f>
        <v>#REF!</v>
      </c>
      <c r="Z359" t="e">
        <f>AND('PROG FORMACIÓN TITULADA'!#REF!,"AAAAAHO/vxk=")</f>
        <v>#REF!</v>
      </c>
      <c r="AA359" t="e">
        <f>AND('PROG FORMACIÓN TITULADA'!#REF!,"AAAAAHO/vxo=")</f>
        <v>#REF!</v>
      </c>
      <c r="AB359" t="e">
        <f>AND('PROG FORMACIÓN TITULADA'!#REF!,"AAAAAHO/vxs=")</f>
        <v>#REF!</v>
      </c>
      <c r="AC359" t="e">
        <f>AND('PROG FORMACIÓN TITULADA'!#REF!,"AAAAAHO/vxw=")</f>
        <v>#REF!</v>
      </c>
      <c r="AD359" t="e">
        <f>AND('PROG FORMACIÓN TITULADA'!#REF!,"AAAAAHO/vx0=")</f>
        <v>#REF!</v>
      </c>
      <c r="AE359" t="e">
        <f>AND('PROG FORMACIÓN TITULADA'!#REF!,"AAAAAHO/vx4=")</f>
        <v>#REF!</v>
      </c>
      <c r="AF359" t="e">
        <f>AND('PROG FORMACIÓN TITULADA'!#REF!,"AAAAAHO/vx8=")</f>
        <v>#REF!</v>
      </c>
      <c r="AG359" t="e">
        <f>IF('PROG FORMACIÓN TITULADA'!#REF!,"AAAAAHO/vyA=",0)</f>
        <v>#REF!</v>
      </c>
      <c r="AH359" t="e">
        <f>AND('PROG FORMACIÓN TITULADA'!#REF!,"AAAAAHO/vyE=")</f>
        <v>#REF!</v>
      </c>
      <c r="AI359" t="e">
        <f>AND('PROG FORMACIÓN TITULADA'!#REF!,"AAAAAHO/vyI=")</f>
        <v>#REF!</v>
      </c>
      <c r="AJ359" t="e">
        <f>AND('PROG FORMACIÓN TITULADA'!#REF!,"AAAAAHO/vyM=")</f>
        <v>#REF!</v>
      </c>
      <c r="AK359" t="e">
        <f>AND('PROG FORMACIÓN TITULADA'!#REF!,"AAAAAHO/vyQ=")</f>
        <v>#REF!</v>
      </c>
      <c r="AL359" t="e">
        <f>AND('PROG FORMACIÓN TITULADA'!#REF!,"AAAAAHO/vyU=")</f>
        <v>#REF!</v>
      </c>
      <c r="AM359" t="e">
        <f>AND('PROG FORMACIÓN TITULADA'!#REF!,"AAAAAHO/vyY=")</f>
        <v>#REF!</v>
      </c>
      <c r="AN359" t="e">
        <f>AND('PROG FORMACIÓN TITULADA'!#REF!,"AAAAAHO/vyc=")</f>
        <v>#REF!</v>
      </c>
      <c r="AO359" t="e">
        <f>AND('PROG FORMACIÓN TITULADA'!#REF!,"AAAAAHO/vyg=")</f>
        <v>#REF!</v>
      </c>
      <c r="AP359" t="e">
        <f>AND('PROG FORMACIÓN TITULADA'!#REF!,"AAAAAHO/vyk=")</f>
        <v>#REF!</v>
      </c>
      <c r="AQ359" t="e">
        <f>AND('PROG FORMACIÓN TITULADA'!#REF!,"AAAAAHO/vyo=")</f>
        <v>#REF!</v>
      </c>
      <c r="AR359" t="e">
        <f>AND('PROG FORMACIÓN TITULADA'!#REF!,"AAAAAHO/vys=")</f>
        <v>#REF!</v>
      </c>
      <c r="AS359" t="e">
        <f>AND('PROG FORMACIÓN TITULADA'!#REF!,"AAAAAHO/vyw=")</f>
        <v>#REF!</v>
      </c>
      <c r="AT359" t="e">
        <f>AND('PROG FORMACIÓN TITULADA'!#REF!,"AAAAAHO/vy0=")</f>
        <v>#REF!</v>
      </c>
      <c r="AU359" t="e">
        <f>AND('PROG FORMACIÓN TITULADA'!#REF!,"AAAAAHO/vy4=")</f>
        <v>#REF!</v>
      </c>
      <c r="AV359" t="e">
        <f>AND('PROG FORMACIÓN TITULADA'!#REF!,"AAAAAHO/vy8=")</f>
        <v>#REF!</v>
      </c>
      <c r="AW359" t="e">
        <f>AND('PROG FORMACIÓN TITULADA'!#REF!,"AAAAAHO/vzA=")</f>
        <v>#REF!</v>
      </c>
      <c r="AX359" t="e">
        <f>AND('PROG FORMACIÓN TITULADA'!#REF!,"AAAAAHO/vzE=")</f>
        <v>#REF!</v>
      </c>
      <c r="AY359" t="e">
        <f>AND('PROG FORMACIÓN TITULADA'!#REF!,"AAAAAHO/vzI=")</f>
        <v>#REF!</v>
      </c>
      <c r="AZ359" t="e">
        <f>AND('PROG FORMACIÓN TITULADA'!#REF!,"AAAAAHO/vzM=")</f>
        <v>#REF!</v>
      </c>
      <c r="BA359" t="e">
        <f>AND('PROG FORMACIÓN TITULADA'!#REF!,"AAAAAHO/vzQ=")</f>
        <v>#REF!</v>
      </c>
      <c r="BB359" t="e">
        <f>AND('PROG FORMACIÓN TITULADA'!#REF!,"AAAAAHO/vzU=")</f>
        <v>#REF!</v>
      </c>
      <c r="BC359" t="e">
        <f>AND('PROG FORMACIÓN TITULADA'!#REF!,"AAAAAHO/vzY=")</f>
        <v>#REF!</v>
      </c>
      <c r="BD359" t="e">
        <f>AND('PROG FORMACIÓN TITULADA'!#REF!,"AAAAAHO/vzc=")</f>
        <v>#REF!</v>
      </c>
      <c r="BE359" t="e">
        <f>AND('PROG FORMACIÓN TITULADA'!#REF!,"AAAAAHO/vzg=")</f>
        <v>#REF!</v>
      </c>
      <c r="BF359" t="e">
        <f>AND('PROG FORMACIÓN TITULADA'!#REF!,"AAAAAHO/vzk=")</f>
        <v>#REF!</v>
      </c>
      <c r="BG359" t="e">
        <f>AND('PROG FORMACIÓN TITULADA'!#REF!,"AAAAAHO/vzo=")</f>
        <v>#REF!</v>
      </c>
      <c r="BH359" t="e">
        <f>IF('PROG FORMACIÓN TITULADA'!#REF!,"AAAAAHO/vzs=",0)</f>
        <v>#REF!</v>
      </c>
      <c r="BI359" t="e">
        <f>AND('PROG FORMACIÓN TITULADA'!#REF!,"AAAAAHO/vzw=")</f>
        <v>#REF!</v>
      </c>
      <c r="BJ359" t="e">
        <f>AND('PROG FORMACIÓN TITULADA'!#REF!,"AAAAAHO/vz0=")</f>
        <v>#REF!</v>
      </c>
      <c r="BK359" t="e">
        <f>AND('PROG FORMACIÓN TITULADA'!#REF!,"AAAAAHO/vz4=")</f>
        <v>#REF!</v>
      </c>
      <c r="BL359" t="e">
        <f>AND('PROG FORMACIÓN TITULADA'!#REF!,"AAAAAHO/vz8=")</f>
        <v>#REF!</v>
      </c>
      <c r="BM359" t="e">
        <f>AND('PROG FORMACIÓN TITULADA'!#REF!,"AAAAAHO/v0A=")</f>
        <v>#REF!</v>
      </c>
      <c r="BN359" t="e">
        <f>AND('PROG FORMACIÓN TITULADA'!#REF!,"AAAAAHO/v0E=")</f>
        <v>#REF!</v>
      </c>
      <c r="BO359" t="e">
        <f>AND('PROG FORMACIÓN TITULADA'!#REF!,"AAAAAHO/v0I=")</f>
        <v>#REF!</v>
      </c>
      <c r="BP359" t="e">
        <f>AND('PROG FORMACIÓN TITULADA'!#REF!,"AAAAAHO/v0M=")</f>
        <v>#REF!</v>
      </c>
      <c r="BQ359" t="e">
        <f>AND('PROG FORMACIÓN TITULADA'!#REF!,"AAAAAHO/v0Q=")</f>
        <v>#REF!</v>
      </c>
      <c r="BR359" t="e">
        <f>AND('PROG FORMACIÓN TITULADA'!#REF!,"AAAAAHO/v0U=")</f>
        <v>#REF!</v>
      </c>
      <c r="BS359" t="e">
        <f>AND('PROG FORMACIÓN TITULADA'!#REF!,"AAAAAHO/v0Y=")</f>
        <v>#REF!</v>
      </c>
      <c r="BT359" t="e">
        <f>AND('PROG FORMACIÓN TITULADA'!#REF!,"AAAAAHO/v0c=")</f>
        <v>#REF!</v>
      </c>
      <c r="BU359" t="e">
        <f>AND('PROG FORMACIÓN TITULADA'!#REF!,"AAAAAHO/v0g=")</f>
        <v>#REF!</v>
      </c>
      <c r="BV359" t="e">
        <f>AND('PROG FORMACIÓN TITULADA'!#REF!,"AAAAAHO/v0k=")</f>
        <v>#REF!</v>
      </c>
      <c r="BW359" t="e">
        <f>AND('PROG FORMACIÓN TITULADA'!#REF!,"AAAAAHO/v0o=")</f>
        <v>#REF!</v>
      </c>
      <c r="BX359" t="e">
        <f>AND('PROG FORMACIÓN TITULADA'!#REF!,"AAAAAHO/v0s=")</f>
        <v>#REF!</v>
      </c>
      <c r="BY359" t="e">
        <f>AND('PROG FORMACIÓN TITULADA'!#REF!,"AAAAAHO/v0w=")</f>
        <v>#REF!</v>
      </c>
      <c r="BZ359" t="e">
        <f>AND('PROG FORMACIÓN TITULADA'!#REF!,"AAAAAHO/v00=")</f>
        <v>#REF!</v>
      </c>
      <c r="CA359" t="e">
        <f>AND('PROG FORMACIÓN TITULADA'!#REF!,"AAAAAHO/v04=")</f>
        <v>#REF!</v>
      </c>
      <c r="CB359" t="e">
        <f>AND('PROG FORMACIÓN TITULADA'!#REF!,"AAAAAHO/v08=")</f>
        <v>#REF!</v>
      </c>
      <c r="CC359" t="e">
        <f>AND('PROG FORMACIÓN TITULADA'!#REF!,"AAAAAHO/v1A=")</f>
        <v>#REF!</v>
      </c>
      <c r="CD359" t="e">
        <f>AND('PROG FORMACIÓN TITULADA'!#REF!,"AAAAAHO/v1E=")</f>
        <v>#REF!</v>
      </c>
      <c r="CE359" t="e">
        <f>AND('PROG FORMACIÓN TITULADA'!#REF!,"AAAAAHO/v1I=")</f>
        <v>#REF!</v>
      </c>
      <c r="CF359" t="e">
        <f>AND('PROG FORMACIÓN TITULADA'!#REF!,"AAAAAHO/v1M=")</f>
        <v>#REF!</v>
      </c>
      <c r="CG359" t="e">
        <f>AND('PROG FORMACIÓN TITULADA'!#REF!,"AAAAAHO/v1Q=")</f>
        <v>#REF!</v>
      </c>
      <c r="CH359" t="e">
        <f>AND('PROG FORMACIÓN TITULADA'!#REF!,"AAAAAHO/v1U=")</f>
        <v>#REF!</v>
      </c>
      <c r="CI359" t="e">
        <f>IF('PROG FORMACIÓN TITULADA'!#REF!,"AAAAAHO/v1Y=",0)</f>
        <v>#REF!</v>
      </c>
      <c r="CJ359" t="e">
        <f>AND('PROG FORMACIÓN TITULADA'!#REF!,"AAAAAHO/v1c=")</f>
        <v>#REF!</v>
      </c>
      <c r="CK359" t="e">
        <f>AND('PROG FORMACIÓN TITULADA'!#REF!,"AAAAAHO/v1g=")</f>
        <v>#REF!</v>
      </c>
      <c r="CL359" t="e">
        <f>AND('PROG FORMACIÓN TITULADA'!#REF!,"AAAAAHO/v1k=")</f>
        <v>#REF!</v>
      </c>
      <c r="CM359" t="e">
        <f>AND('PROG FORMACIÓN TITULADA'!#REF!,"AAAAAHO/v1o=")</f>
        <v>#REF!</v>
      </c>
      <c r="CN359" t="e">
        <f>AND('PROG FORMACIÓN TITULADA'!#REF!,"AAAAAHO/v1s=")</f>
        <v>#REF!</v>
      </c>
      <c r="CO359" t="e">
        <f>AND('PROG FORMACIÓN TITULADA'!#REF!,"AAAAAHO/v1w=")</f>
        <v>#REF!</v>
      </c>
      <c r="CP359" t="e">
        <f>AND('PROG FORMACIÓN TITULADA'!#REF!,"AAAAAHO/v10=")</f>
        <v>#REF!</v>
      </c>
      <c r="CQ359" t="e">
        <f>AND('PROG FORMACIÓN TITULADA'!#REF!,"AAAAAHO/v14=")</f>
        <v>#REF!</v>
      </c>
      <c r="CR359" t="e">
        <f>AND('PROG FORMACIÓN TITULADA'!#REF!,"AAAAAHO/v18=")</f>
        <v>#REF!</v>
      </c>
      <c r="CS359" t="e">
        <f>AND('PROG FORMACIÓN TITULADA'!#REF!,"AAAAAHO/v2A=")</f>
        <v>#REF!</v>
      </c>
      <c r="CT359" t="e">
        <f>AND('PROG FORMACIÓN TITULADA'!#REF!,"AAAAAHO/v2E=")</f>
        <v>#REF!</v>
      </c>
      <c r="CU359" t="e">
        <f>AND('PROG FORMACIÓN TITULADA'!#REF!,"AAAAAHO/v2I=")</f>
        <v>#REF!</v>
      </c>
      <c r="CV359" t="e">
        <f>AND('PROG FORMACIÓN TITULADA'!#REF!,"AAAAAHO/v2M=")</f>
        <v>#REF!</v>
      </c>
      <c r="CW359" t="e">
        <f>AND('PROG FORMACIÓN TITULADA'!#REF!,"AAAAAHO/v2Q=")</f>
        <v>#REF!</v>
      </c>
      <c r="CX359" t="e">
        <f>AND('PROG FORMACIÓN TITULADA'!#REF!,"AAAAAHO/v2U=")</f>
        <v>#REF!</v>
      </c>
      <c r="CY359" t="e">
        <f>AND('PROG FORMACIÓN TITULADA'!#REF!,"AAAAAHO/v2Y=")</f>
        <v>#REF!</v>
      </c>
      <c r="CZ359" t="e">
        <f>AND('PROG FORMACIÓN TITULADA'!#REF!,"AAAAAHO/v2c=")</f>
        <v>#REF!</v>
      </c>
      <c r="DA359" t="e">
        <f>AND('PROG FORMACIÓN TITULADA'!#REF!,"AAAAAHO/v2g=")</f>
        <v>#REF!</v>
      </c>
      <c r="DB359" t="e">
        <f>AND('PROG FORMACIÓN TITULADA'!#REF!,"AAAAAHO/v2k=")</f>
        <v>#REF!</v>
      </c>
      <c r="DC359" t="e">
        <f>AND('PROG FORMACIÓN TITULADA'!#REF!,"AAAAAHO/v2o=")</f>
        <v>#REF!</v>
      </c>
      <c r="DD359" t="e">
        <f>AND('PROG FORMACIÓN TITULADA'!#REF!,"AAAAAHO/v2s=")</f>
        <v>#REF!</v>
      </c>
      <c r="DE359" t="e">
        <f>AND('PROG FORMACIÓN TITULADA'!#REF!,"AAAAAHO/v2w=")</f>
        <v>#REF!</v>
      </c>
      <c r="DF359" t="e">
        <f>AND('PROG FORMACIÓN TITULADA'!#REF!,"AAAAAHO/v20=")</f>
        <v>#REF!</v>
      </c>
      <c r="DG359" t="e">
        <f>AND('PROG FORMACIÓN TITULADA'!#REF!,"AAAAAHO/v24=")</f>
        <v>#REF!</v>
      </c>
      <c r="DH359" t="e">
        <f>AND('PROG FORMACIÓN TITULADA'!#REF!,"AAAAAHO/v28=")</f>
        <v>#REF!</v>
      </c>
      <c r="DI359" t="e">
        <f>AND('PROG FORMACIÓN TITULADA'!#REF!,"AAAAAHO/v3A=")</f>
        <v>#REF!</v>
      </c>
      <c r="DJ359" t="e">
        <f>IF('PROG FORMACIÓN TITULADA'!#REF!,"AAAAAHO/v3E=",0)</f>
        <v>#REF!</v>
      </c>
      <c r="DK359" t="e">
        <f>AND('PROG FORMACIÓN TITULADA'!#REF!,"AAAAAHO/v3I=")</f>
        <v>#REF!</v>
      </c>
      <c r="DL359" t="e">
        <f>AND('PROG FORMACIÓN TITULADA'!#REF!,"AAAAAHO/v3M=")</f>
        <v>#REF!</v>
      </c>
      <c r="DM359" t="e">
        <f>AND('PROG FORMACIÓN TITULADA'!#REF!,"AAAAAHO/v3Q=")</f>
        <v>#REF!</v>
      </c>
      <c r="DN359" t="e">
        <f>AND('PROG FORMACIÓN TITULADA'!#REF!,"AAAAAHO/v3U=")</f>
        <v>#REF!</v>
      </c>
      <c r="DO359" t="e">
        <f>AND('PROG FORMACIÓN TITULADA'!#REF!,"AAAAAHO/v3Y=")</f>
        <v>#REF!</v>
      </c>
      <c r="DP359" t="e">
        <f>AND('PROG FORMACIÓN TITULADA'!#REF!,"AAAAAHO/v3c=")</f>
        <v>#REF!</v>
      </c>
      <c r="DQ359" t="e">
        <f>AND('PROG FORMACIÓN TITULADA'!#REF!,"AAAAAHO/v3g=")</f>
        <v>#REF!</v>
      </c>
      <c r="DR359" t="e">
        <f>AND('PROG FORMACIÓN TITULADA'!#REF!,"AAAAAHO/v3k=")</f>
        <v>#REF!</v>
      </c>
      <c r="DS359" t="e">
        <f>AND('PROG FORMACIÓN TITULADA'!#REF!,"AAAAAHO/v3o=")</f>
        <v>#REF!</v>
      </c>
      <c r="DT359" t="e">
        <f>AND('PROG FORMACIÓN TITULADA'!#REF!,"AAAAAHO/v3s=")</f>
        <v>#REF!</v>
      </c>
      <c r="DU359" t="e">
        <f>AND('PROG FORMACIÓN TITULADA'!#REF!,"AAAAAHO/v3w=")</f>
        <v>#REF!</v>
      </c>
      <c r="DV359" t="e">
        <f>AND('PROG FORMACIÓN TITULADA'!#REF!,"AAAAAHO/v30=")</f>
        <v>#REF!</v>
      </c>
      <c r="DW359" t="e">
        <f>AND('PROG FORMACIÓN TITULADA'!#REF!,"AAAAAHO/v34=")</f>
        <v>#REF!</v>
      </c>
      <c r="DX359" t="e">
        <f>AND('PROG FORMACIÓN TITULADA'!#REF!,"AAAAAHO/v38=")</f>
        <v>#REF!</v>
      </c>
      <c r="DY359" t="e">
        <f>AND('PROG FORMACIÓN TITULADA'!#REF!,"AAAAAHO/v4A=")</f>
        <v>#REF!</v>
      </c>
      <c r="DZ359" t="e">
        <f>AND('PROG FORMACIÓN TITULADA'!#REF!,"AAAAAHO/v4E=")</f>
        <v>#REF!</v>
      </c>
      <c r="EA359" t="e">
        <f>AND('PROG FORMACIÓN TITULADA'!#REF!,"AAAAAHO/v4I=")</f>
        <v>#REF!</v>
      </c>
      <c r="EB359" t="e">
        <f>AND('PROG FORMACIÓN TITULADA'!#REF!,"AAAAAHO/v4M=")</f>
        <v>#REF!</v>
      </c>
      <c r="EC359" t="e">
        <f>AND('PROG FORMACIÓN TITULADA'!#REF!,"AAAAAHO/v4Q=")</f>
        <v>#REF!</v>
      </c>
      <c r="ED359" t="e">
        <f>AND('PROG FORMACIÓN TITULADA'!#REF!,"AAAAAHO/v4U=")</f>
        <v>#REF!</v>
      </c>
      <c r="EE359" t="e">
        <f>AND('PROG FORMACIÓN TITULADA'!#REF!,"AAAAAHO/v4Y=")</f>
        <v>#REF!</v>
      </c>
      <c r="EF359" t="e">
        <f>AND('PROG FORMACIÓN TITULADA'!#REF!,"AAAAAHO/v4c=")</f>
        <v>#REF!</v>
      </c>
      <c r="EG359" t="e">
        <f>AND('PROG FORMACIÓN TITULADA'!#REF!,"AAAAAHO/v4g=")</f>
        <v>#REF!</v>
      </c>
      <c r="EH359" t="e">
        <f>AND('PROG FORMACIÓN TITULADA'!#REF!,"AAAAAHO/v4k=")</f>
        <v>#REF!</v>
      </c>
      <c r="EI359" t="e">
        <f>AND('PROG FORMACIÓN TITULADA'!#REF!,"AAAAAHO/v4o=")</f>
        <v>#REF!</v>
      </c>
      <c r="EJ359" t="e">
        <f>AND('PROG FORMACIÓN TITULADA'!#REF!,"AAAAAHO/v4s=")</f>
        <v>#REF!</v>
      </c>
      <c r="EK359" t="e">
        <f>IF('PROG FORMACIÓN TITULADA'!#REF!,"AAAAAHO/v4w=",0)</f>
        <v>#REF!</v>
      </c>
      <c r="EL359" t="e">
        <f>AND('PROG FORMACIÓN TITULADA'!#REF!,"AAAAAHO/v40=")</f>
        <v>#REF!</v>
      </c>
      <c r="EM359" t="e">
        <f>AND('PROG FORMACIÓN TITULADA'!#REF!,"AAAAAHO/v44=")</f>
        <v>#REF!</v>
      </c>
      <c r="EN359" t="e">
        <f>AND('PROG FORMACIÓN TITULADA'!#REF!,"AAAAAHO/v48=")</f>
        <v>#REF!</v>
      </c>
      <c r="EO359" t="e">
        <f>AND('PROG FORMACIÓN TITULADA'!#REF!,"AAAAAHO/v5A=")</f>
        <v>#REF!</v>
      </c>
      <c r="EP359" t="e">
        <f>AND('PROG FORMACIÓN TITULADA'!#REF!,"AAAAAHO/v5E=")</f>
        <v>#REF!</v>
      </c>
      <c r="EQ359" t="e">
        <f>AND('PROG FORMACIÓN TITULADA'!#REF!,"AAAAAHO/v5I=")</f>
        <v>#REF!</v>
      </c>
      <c r="ER359" t="e">
        <f>AND('PROG FORMACIÓN TITULADA'!#REF!,"AAAAAHO/v5M=")</f>
        <v>#REF!</v>
      </c>
      <c r="ES359" t="e">
        <f>AND('PROG FORMACIÓN TITULADA'!#REF!,"AAAAAHO/v5Q=")</f>
        <v>#REF!</v>
      </c>
      <c r="ET359" t="e">
        <f>AND('PROG FORMACIÓN TITULADA'!#REF!,"AAAAAHO/v5U=")</f>
        <v>#REF!</v>
      </c>
      <c r="EU359" t="e">
        <f>AND('PROG FORMACIÓN TITULADA'!#REF!,"AAAAAHO/v5Y=")</f>
        <v>#REF!</v>
      </c>
      <c r="EV359" t="e">
        <f>AND('PROG FORMACIÓN TITULADA'!#REF!,"AAAAAHO/v5c=")</f>
        <v>#REF!</v>
      </c>
      <c r="EW359" t="e">
        <f>AND('PROG FORMACIÓN TITULADA'!#REF!,"AAAAAHO/v5g=")</f>
        <v>#REF!</v>
      </c>
      <c r="EX359" t="e">
        <f>AND('PROG FORMACIÓN TITULADA'!#REF!,"AAAAAHO/v5k=")</f>
        <v>#REF!</v>
      </c>
      <c r="EY359" t="e">
        <f>AND('PROG FORMACIÓN TITULADA'!#REF!,"AAAAAHO/v5o=")</f>
        <v>#REF!</v>
      </c>
      <c r="EZ359" t="e">
        <f>AND('PROG FORMACIÓN TITULADA'!#REF!,"AAAAAHO/v5s=")</f>
        <v>#REF!</v>
      </c>
      <c r="FA359" t="e">
        <f>AND('PROG FORMACIÓN TITULADA'!#REF!,"AAAAAHO/v5w=")</f>
        <v>#REF!</v>
      </c>
      <c r="FB359" t="e">
        <f>AND('PROG FORMACIÓN TITULADA'!#REF!,"AAAAAHO/v50=")</f>
        <v>#REF!</v>
      </c>
      <c r="FC359" t="e">
        <f>AND('PROG FORMACIÓN TITULADA'!#REF!,"AAAAAHO/v54=")</f>
        <v>#REF!</v>
      </c>
      <c r="FD359" t="e">
        <f>AND('PROG FORMACIÓN TITULADA'!#REF!,"AAAAAHO/v58=")</f>
        <v>#REF!</v>
      </c>
      <c r="FE359" t="e">
        <f>AND('PROG FORMACIÓN TITULADA'!#REF!,"AAAAAHO/v6A=")</f>
        <v>#REF!</v>
      </c>
      <c r="FF359" t="e">
        <f>AND('PROG FORMACIÓN TITULADA'!#REF!,"AAAAAHO/v6E=")</f>
        <v>#REF!</v>
      </c>
      <c r="FG359" t="e">
        <f>AND('PROG FORMACIÓN TITULADA'!#REF!,"AAAAAHO/v6I=")</f>
        <v>#REF!</v>
      </c>
      <c r="FH359" t="e">
        <f>AND('PROG FORMACIÓN TITULADA'!#REF!,"AAAAAHO/v6M=")</f>
        <v>#REF!</v>
      </c>
      <c r="FI359" t="e">
        <f>AND('PROG FORMACIÓN TITULADA'!#REF!,"AAAAAHO/v6Q=")</f>
        <v>#REF!</v>
      </c>
      <c r="FJ359" t="e">
        <f>AND('PROG FORMACIÓN TITULADA'!#REF!,"AAAAAHO/v6U=")</f>
        <v>#REF!</v>
      </c>
      <c r="FK359" t="e">
        <f>AND('PROG FORMACIÓN TITULADA'!#REF!,"AAAAAHO/v6Y=")</f>
        <v>#REF!</v>
      </c>
      <c r="FL359" t="e">
        <f>IF('PROG FORMACIÓN TITULADA'!#REF!,"AAAAAHO/v6c=",0)</f>
        <v>#REF!</v>
      </c>
      <c r="FM359" t="e">
        <f>AND('PROG FORMACIÓN TITULADA'!#REF!,"AAAAAHO/v6g=")</f>
        <v>#REF!</v>
      </c>
      <c r="FN359" t="e">
        <f>AND('PROG FORMACIÓN TITULADA'!#REF!,"AAAAAHO/v6k=")</f>
        <v>#REF!</v>
      </c>
      <c r="FO359" t="e">
        <f>AND('PROG FORMACIÓN TITULADA'!#REF!,"AAAAAHO/v6o=")</f>
        <v>#REF!</v>
      </c>
      <c r="FP359" t="e">
        <f>AND('PROG FORMACIÓN TITULADA'!#REF!,"AAAAAHO/v6s=")</f>
        <v>#REF!</v>
      </c>
      <c r="FQ359" t="e">
        <f>AND('PROG FORMACIÓN TITULADA'!#REF!,"AAAAAHO/v6w=")</f>
        <v>#REF!</v>
      </c>
      <c r="FR359" t="e">
        <f>AND('PROG FORMACIÓN TITULADA'!#REF!,"AAAAAHO/v60=")</f>
        <v>#REF!</v>
      </c>
      <c r="FS359" t="e">
        <f>AND('PROG FORMACIÓN TITULADA'!#REF!,"AAAAAHO/v64=")</f>
        <v>#REF!</v>
      </c>
      <c r="FT359" t="e">
        <f>AND('PROG FORMACIÓN TITULADA'!#REF!,"AAAAAHO/v68=")</f>
        <v>#REF!</v>
      </c>
      <c r="FU359" t="e">
        <f>AND('PROG FORMACIÓN TITULADA'!#REF!,"AAAAAHO/v7A=")</f>
        <v>#REF!</v>
      </c>
      <c r="FV359" t="e">
        <f>AND('PROG FORMACIÓN TITULADA'!#REF!,"AAAAAHO/v7E=")</f>
        <v>#REF!</v>
      </c>
      <c r="FW359" t="e">
        <f>AND('PROG FORMACIÓN TITULADA'!#REF!,"AAAAAHO/v7I=")</f>
        <v>#REF!</v>
      </c>
      <c r="FX359" t="e">
        <f>AND('PROG FORMACIÓN TITULADA'!#REF!,"AAAAAHO/v7M=")</f>
        <v>#REF!</v>
      </c>
      <c r="FY359" t="e">
        <f>AND('PROG FORMACIÓN TITULADA'!#REF!,"AAAAAHO/v7Q=")</f>
        <v>#REF!</v>
      </c>
      <c r="FZ359" t="e">
        <f>AND('PROG FORMACIÓN TITULADA'!#REF!,"AAAAAHO/v7U=")</f>
        <v>#REF!</v>
      </c>
      <c r="GA359" t="e">
        <f>AND('PROG FORMACIÓN TITULADA'!#REF!,"AAAAAHO/v7Y=")</f>
        <v>#REF!</v>
      </c>
      <c r="GB359" t="e">
        <f>AND('PROG FORMACIÓN TITULADA'!#REF!,"AAAAAHO/v7c=")</f>
        <v>#REF!</v>
      </c>
      <c r="GC359" t="e">
        <f>AND('PROG FORMACIÓN TITULADA'!#REF!,"AAAAAHO/v7g=")</f>
        <v>#REF!</v>
      </c>
      <c r="GD359" t="e">
        <f>AND('PROG FORMACIÓN TITULADA'!#REF!,"AAAAAHO/v7k=")</f>
        <v>#REF!</v>
      </c>
      <c r="GE359" t="e">
        <f>AND('PROG FORMACIÓN TITULADA'!#REF!,"AAAAAHO/v7o=")</f>
        <v>#REF!</v>
      </c>
      <c r="GF359" t="e">
        <f>AND('PROG FORMACIÓN TITULADA'!#REF!,"AAAAAHO/v7s=")</f>
        <v>#REF!</v>
      </c>
      <c r="GG359" t="e">
        <f>AND('PROG FORMACIÓN TITULADA'!#REF!,"AAAAAHO/v7w=")</f>
        <v>#REF!</v>
      </c>
      <c r="GH359" t="e">
        <f>AND('PROG FORMACIÓN TITULADA'!#REF!,"AAAAAHO/v70=")</f>
        <v>#REF!</v>
      </c>
      <c r="GI359" t="e">
        <f>AND('PROG FORMACIÓN TITULADA'!#REF!,"AAAAAHO/v74=")</f>
        <v>#REF!</v>
      </c>
      <c r="GJ359" t="e">
        <f>AND('PROG FORMACIÓN TITULADA'!#REF!,"AAAAAHO/v78=")</f>
        <v>#REF!</v>
      </c>
      <c r="GK359" t="e">
        <f>AND('PROG FORMACIÓN TITULADA'!#REF!,"AAAAAHO/v8A=")</f>
        <v>#REF!</v>
      </c>
      <c r="GL359" t="e">
        <f>AND('PROG FORMACIÓN TITULADA'!#REF!,"AAAAAHO/v8E=")</f>
        <v>#REF!</v>
      </c>
      <c r="GM359" t="e">
        <f>IF('PROG FORMACIÓN TITULADA'!#REF!,"AAAAAHO/v8I=",0)</f>
        <v>#REF!</v>
      </c>
      <c r="GN359" t="e">
        <f>AND('PROG FORMACIÓN TITULADA'!#REF!,"AAAAAHO/v8M=")</f>
        <v>#REF!</v>
      </c>
      <c r="GO359" t="e">
        <f>AND('PROG FORMACIÓN TITULADA'!#REF!,"AAAAAHO/v8Q=")</f>
        <v>#REF!</v>
      </c>
      <c r="GP359" t="e">
        <f>AND('PROG FORMACIÓN TITULADA'!#REF!,"AAAAAHO/v8U=")</f>
        <v>#REF!</v>
      </c>
      <c r="GQ359" t="e">
        <f>AND('PROG FORMACIÓN TITULADA'!#REF!,"AAAAAHO/v8Y=")</f>
        <v>#REF!</v>
      </c>
      <c r="GR359" t="e">
        <f>AND('PROG FORMACIÓN TITULADA'!#REF!,"AAAAAHO/v8c=")</f>
        <v>#REF!</v>
      </c>
      <c r="GS359" t="e">
        <f>AND('PROG FORMACIÓN TITULADA'!#REF!,"AAAAAHO/v8g=")</f>
        <v>#REF!</v>
      </c>
      <c r="GT359" t="e">
        <f>AND('PROG FORMACIÓN TITULADA'!#REF!,"AAAAAHO/v8k=")</f>
        <v>#REF!</v>
      </c>
      <c r="GU359" t="e">
        <f>AND('PROG FORMACIÓN TITULADA'!#REF!,"AAAAAHO/v8o=")</f>
        <v>#REF!</v>
      </c>
      <c r="GV359" t="e">
        <f>AND('PROG FORMACIÓN TITULADA'!#REF!,"AAAAAHO/v8s=")</f>
        <v>#REF!</v>
      </c>
      <c r="GW359" t="e">
        <f>AND('PROG FORMACIÓN TITULADA'!#REF!,"AAAAAHO/v8w=")</f>
        <v>#REF!</v>
      </c>
      <c r="GX359" t="e">
        <f>AND('PROG FORMACIÓN TITULADA'!#REF!,"AAAAAHO/v80=")</f>
        <v>#REF!</v>
      </c>
      <c r="GY359" t="e">
        <f>AND('PROG FORMACIÓN TITULADA'!#REF!,"AAAAAHO/v84=")</f>
        <v>#REF!</v>
      </c>
      <c r="GZ359" t="e">
        <f>AND('PROG FORMACIÓN TITULADA'!#REF!,"AAAAAHO/v88=")</f>
        <v>#REF!</v>
      </c>
      <c r="HA359" t="e">
        <f>AND('PROG FORMACIÓN TITULADA'!#REF!,"AAAAAHO/v9A=")</f>
        <v>#REF!</v>
      </c>
      <c r="HB359" t="e">
        <f>AND('PROG FORMACIÓN TITULADA'!#REF!,"AAAAAHO/v9E=")</f>
        <v>#REF!</v>
      </c>
      <c r="HC359" t="e">
        <f>AND('PROG FORMACIÓN TITULADA'!#REF!,"AAAAAHO/v9I=")</f>
        <v>#REF!</v>
      </c>
      <c r="HD359" t="e">
        <f>AND('PROG FORMACIÓN TITULADA'!#REF!,"AAAAAHO/v9M=")</f>
        <v>#REF!</v>
      </c>
      <c r="HE359" t="e">
        <f>AND('PROG FORMACIÓN TITULADA'!#REF!,"AAAAAHO/v9Q=")</f>
        <v>#REF!</v>
      </c>
      <c r="HF359" t="e">
        <f>AND('PROG FORMACIÓN TITULADA'!#REF!,"AAAAAHO/v9U=")</f>
        <v>#REF!</v>
      </c>
      <c r="HG359" t="e">
        <f>AND('PROG FORMACIÓN TITULADA'!#REF!,"AAAAAHO/v9Y=")</f>
        <v>#REF!</v>
      </c>
      <c r="HH359" t="e">
        <f>AND('PROG FORMACIÓN TITULADA'!#REF!,"AAAAAHO/v9c=")</f>
        <v>#REF!</v>
      </c>
      <c r="HI359" t="e">
        <f>AND('PROG FORMACIÓN TITULADA'!#REF!,"AAAAAHO/v9g=")</f>
        <v>#REF!</v>
      </c>
      <c r="HJ359" t="e">
        <f>AND('PROG FORMACIÓN TITULADA'!#REF!,"AAAAAHO/v9k=")</f>
        <v>#REF!</v>
      </c>
      <c r="HK359" t="e">
        <f>AND('PROG FORMACIÓN TITULADA'!#REF!,"AAAAAHO/v9o=")</f>
        <v>#REF!</v>
      </c>
      <c r="HL359" t="e">
        <f>AND('PROG FORMACIÓN TITULADA'!#REF!,"AAAAAHO/v9s=")</f>
        <v>#REF!</v>
      </c>
      <c r="HM359" t="e">
        <f>AND('PROG FORMACIÓN TITULADA'!#REF!,"AAAAAHO/v9w=")</f>
        <v>#REF!</v>
      </c>
      <c r="HN359" t="e">
        <f>IF('PROG FORMACIÓN TITULADA'!#REF!,"AAAAAHO/v90=",0)</f>
        <v>#REF!</v>
      </c>
      <c r="HO359" t="e">
        <f>AND('PROG FORMACIÓN TITULADA'!#REF!,"AAAAAHO/v94=")</f>
        <v>#REF!</v>
      </c>
      <c r="HP359" t="e">
        <f>AND('PROG FORMACIÓN TITULADA'!#REF!,"AAAAAHO/v98=")</f>
        <v>#REF!</v>
      </c>
      <c r="HQ359" t="e">
        <f>AND('PROG FORMACIÓN TITULADA'!#REF!,"AAAAAHO/v+A=")</f>
        <v>#REF!</v>
      </c>
      <c r="HR359" t="e">
        <f>AND('PROG FORMACIÓN TITULADA'!#REF!,"AAAAAHO/v+E=")</f>
        <v>#REF!</v>
      </c>
      <c r="HS359" t="e">
        <f>AND('PROG FORMACIÓN TITULADA'!#REF!,"AAAAAHO/v+I=")</f>
        <v>#REF!</v>
      </c>
      <c r="HT359" t="e">
        <f>AND('PROG FORMACIÓN TITULADA'!#REF!,"AAAAAHO/v+M=")</f>
        <v>#REF!</v>
      </c>
      <c r="HU359" t="e">
        <f>AND('PROG FORMACIÓN TITULADA'!#REF!,"AAAAAHO/v+Q=")</f>
        <v>#REF!</v>
      </c>
      <c r="HV359" t="e">
        <f>AND('PROG FORMACIÓN TITULADA'!#REF!,"AAAAAHO/v+U=")</f>
        <v>#REF!</v>
      </c>
      <c r="HW359" t="e">
        <f>AND('PROG FORMACIÓN TITULADA'!#REF!,"AAAAAHO/v+Y=")</f>
        <v>#REF!</v>
      </c>
      <c r="HX359" t="e">
        <f>AND('PROG FORMACIÓN TITULADA'!#REF!,"AAAAAHO/v+c=")</f>
        <v>#REF!</v>
      </c>
      <c r="HY359" t="e">
        <f>AND('PROG FORMACIÓN TITULADA'!#REF!,"AAAAAHO/v+g=")</f>
        <v>#REF!</v>
      </c>
      <c r="HZ359" t="e">
        <f>AND('PROG FORMACIÓN TITULADA'!#REF!,"AAAAAHO/v+k=")</f>
        <v>#REF!</v>
      </c>
      <c r="IA359" t="e">
        <f>AND('PROG FORMACIÓN TITULADA'!#REF!,"AAAAAHO/v+o=")</f>
        <v>#REF!</v>
      </c>
      <c r="IB359" t="e">
        <f>AND('PROG FORMACIÓN TITULADA'!#REF!,"AAAAAHO/v+s=")</f>
        <v>#REF!</v>
      </c>
      <c r="IC359" t="e">
        <f>AND('PROG FORMACIÓN TITULADA'!#REF!,"AAAAAHO/v+w=")</f>
        <v>#REF!</v>
      </c>
      <c r="ID359" t="e">
        <f>AND('PROG FORMACIÓN TITULADA'!#REF!,"AAAAAHO/v+0=")</f>
        <v>#REF!</v>
      </c>
      <c r="IE359" t="e">
        <f>AND('PROG FORMACIÓN TITULADA'!#REF!,"AAAAAHO/v+4=")</f>
        <v>#REF!</v>
      </c>
      <c r="IF359" t="e">
        <f>AND('PROG FORMACIÓN TITULADA'!#REF!,"AAAAAHO/v+8=")</f>
        <v>#REF!</v>
      </c>
      <c r="IG359" t="e">
        <f>AND('PROG FORMACIÓN TITULADA'!#REF!,"AAAAAHO/v/A=")</f>
        <v>#REF!</v>
      </c>
      <c r="IH359" t="e">
        <f>AND('PROG FORMACIÓN TITULADA'!#REF!,"AAAAAHO/v/E=")</f>
        <v>#REF!</v>
      </c>
      <c r="II359" t="e">
        <f>AND('PROG FORMACIÓN TITULADA'!#REF!,"AAAAAHO/v/I=")</f>
        <v>#REF!</v>
      </c>
      <c r="IJ359" t="e">
        <f>AND('PROG FORMACIÓN TITULADA'!#REF!,"AAAAAHO/v/M=")</f>
        <v>#REF!</v>
      </c>
      <c r="IK359" t="e">
        <f>AND('PROG FORMACIÓN TITULADA'!#REF!,"AAAAAHO/v/Q=")</f>
        <v>#REF!</v>
      </c>
      <c r="IL359" t="e">
        <f>AND('PROG FORMACIÓN TITULADA'!#REF!,"AAAAAHO/v/U=")</f>
        <v>#REF!</v>
      </c>
      <c r="IM359" t="e">
        <f>AND('PROG FORMACIÓN TITULADA'!#REF!,"AAAAAHO/v/Y=")</f>
        <v>#REF!</v>
      </c>
      <c r="IN359" t="e">
        <f>AND('PROG FORMACIÓN TITULADA'!#REF!,"AAAAAHO/v/c=")</f>
        <v>#REF!</v>
      </c>
      <c r="IO359" t="e">
        <f>IF('PROG FORMACIÓN TITULADA'!#REF!,"AAAAAHO/v/g=",0)</f>
        <v>#REF!</v>
      </c>
      <c r="IP359" t="e">
        <f>AND('PROG FORMACIÓN TITULADA'!#REF!,"AAAAAHO/v/k=")</f>
        <v>#REF!</v>
      </c>
      <c r="IQ359" t="e">
        <f>AND('PROG FORMACIÓN TITULADA'!#REF!,"AAAAAHO/v/o=")</f>
        <v>#REF!</v>
      </c>
      <c r="IR359" t="e">
        <f>AND('PROG FORMACIÓN TITULADA'!#REF!,"AAAAAHO/v/s=")</f>
        <v>#REF!</v>
      </c>
      <c r="IS359" t="e">
        <f>AND('PROG FORMACIÓN TITULADA'!#REF!,"AAAAAHO/v/w=")</f>
        <v>#REF!</v>
      </c>
      <c r="IT359" t="e">
        <f>AND('PROG FORMACIÓN TITULADA'!#REF!,"AAAAAHO/v/0=")</f>
        <v>#REF!</v>
      </c>
      <c r="IU359" t="e">
        <f>AND('PROG FORMACIÓN TITULADA'!#REF!,"AAAAAHO/v/4=")</f>
        <v>#REF!</v>
      </c>
      <c r="IV359" t="e">
        <f>AND('PROG FORMACIÓN TITULADA'!#REF!,"AAAAAHO/v/8=")</f>
        <v>#REF!</v>
      </c>
    </row>
    <row r="360" spans="1:256" x14ac:dyDescent="0.2">
      <c r="A360" t="e">
        <f>AND('PROG FORMACIÓN TITULADA'!#REF!,"AAAAAG9blAA=")</f>
        <v>#REF!</v>
      </c>
      <c r="B360" t="e">
        <f>AND('PROG FORMACIÓN TITULADA'!#REF!,"AAAAAG9blAE=")</f>
        <v>#REF!</v>
      </c>
      <c r="C360" t="e">
        <f>AND('PROG FORMACIÓN TITULADA'!#REF!,"AAAAAG9blAI=")</f>
        <v>#REF!</v>
      </c>
      <c r="D360" t="e">
        <f>AND('PROG FORMACIÓN TITULADA'!#REF!,"AAAAAG9blAM=")</f>
        <v>#REF!</v>
      </c>
      <c r="E360" t="e">
        <f>AND('PROG FORMACIÓN TITULADA'!#REF!,"AAAAAG9blAQ=")</f>
        <v>#REF!</v>
      </c>
      <c r="F360" t="e">
        <f>AND('PROG FORMACIÓN TITULADA'!#REF!,"AAAAAG9blAU=")</f>
        <v>#REF!</v>
      </c>
      <c r="G360" t="e">
        <f>AND('PROG FORMACIÓN TITULADA'!#REF!,"AAAAAG9blAY=")</f>
        <v>#REF!</v>
      </c>
      <c r="H360" t="e">
        <f>AND('PROG FORMACIÓN TITULADA'!#REF!,"AAAAAG9blAc=")</f>
        <v>#REF!</v>
      </c>
      <c r="I360" t="e">
        <f>AND('PROG FORMACIÓN TITULADA'!#REF!,"AAAAAG9blAg=")</f>
        <v>#REF!</v>
      </c>
      <c r="J360" t="e">
        <f>AND('PROG FORMACIÓN TITULADA'!#REF!,"AAAAAG9blAk=")</f>
        <v>#REF!</v>
      </c>
      <c r="K360" t="e">
        <f>AND('PROG FORMACIÓN TITULADA'!#REF!,"AAAAAG9blAo=")</f>
        <v>#REF!</v>
      </c>
      <c r="L360" t="e">
        <f>AND('PROG FORMACIÓN TITULADA'!#REF!,"AAAAAG9blAs=")</f>
        <v>#REF!</v>
      </c>
      <c r="M360" t="e">
        <f>AND('PROG FORMACIÓN TITULADA'!#REF!,"AAAAAG9blAw=")</f>
        <v>#REF!</v>
      </c>
      <c r="N360" t="e">
        <f>AND('PROG FORMACIÓN TITULADA'!#REF!,"AAAAAG9blA0=")</f>
        <v>#REF!</v>
      </c>
      <c r="O360" t="e">
        <f>AND('PROG FORMACIÓN TITULADA'!#REF!,"AAAAAG9blA4=")</f>
        <v>#REF!</v>
      </c>
      <c r="P360" t="e">
        <f>AND('PROG FORMACIÓN TITULADA'!#REF!,"AAAAAG9blA8=")</f>
        <v>#REF!</v>
      </c>
      <c r="Q360" t="e">
        <f>AND('PROG FORMACIÓN TITULADA'!#REF!,"AAAAAG9blBA=")</f>
        <v>#REF!</v>
      </c>
      <c r="R360" t="e">
        <f>AND('PROG FORMACIÓN TITULADA'!#REF!,"AAAAAG9blBE=")</f>
        <v>#REF!</v>
      </c>
      <c r="S360" t="e">
        <f>AND('PROG FORMACIÓN TITULADA'!#REF!,"AAAAAG9blBI=")</f>
        <v>#REF!</v>
      </c>
      <c r="T360" t="e">
        <f>IF('PROG FORMACIÓN TITULADA'!#REF!,"AAAAAG9blBM=",0)</f>
        <v>#REF!</v>
      </c>
      <c r="U360" t="e">
        <f>AND('PROG FORMACIÓN TITULADA'!#REF!,"AAAAAG9blBQ=")</f>
        <v>#REF!</v>
      </c>
      <c r="V360" t="e">
        <f>AND('PROG FORMACIÓN TITULADA'!#REF!,"AAAAAG9blBU=")</f>
        <v>#REF!</v>
      </c>
      <c r="W360" t="e">
        <f>AND('PROG FORMACIÓN TITULADA'!#REF!,"AAAAAG9blBY=")</f>
        <v>#REF!</v>
      </c>
      <c r="X360" t="e">
        <f>AND('PROG FORMACIÓN TITULADA'!#REF!,"AAAAAG9blBc=")</f>
        <v>#REF!</v>
      </c>
      <c r="Y360" t="e">
        <f>AND('PROG FORMACIÓN TITULADA'!#REF!,"AAAAAG9blBg=")</f>
        <v>#REF!</v>
      </c>
      <c r="Z360" t="e">
        <f>AND('PROG FORMACIÓN TITULADA'!#REF!,"AAAAAG9blBk=")</f>
        <v>#REF!</v>
      </c>
      <c r="AA360" t="e">
        <f>AND('PROG FORMACIÓN TITULADA'!#REF!,"AAAAAG9blBo=")</f>
        <v>#REF!</v>
      </c>
      <c r="AB360" t="e">
        <f>AND('PROG FORMACIÓN TITULADA'!#REF!,"AAAAAG9blBs=")</f>
        <v>#REF!</v>
      </c>
      <c r="AC360" t="e">
        <f>AND('PROG FORMACIÓN TITULADA'!#REF!,"AAAAAG9blBw=")</f>
        <v>#REF!</v>
      </c>
      <c r="AD360" t="e">
        <f>AND('PROG FORMACIÓN TITULADA'!#REF!,"AAAAAG9blB0=")</f>
        <v>#REF!</v>
      </c>
      <c r="AE360" t="e">
        <f>AND('PROG FORMACIÓN TITULADA'!#REF!,"AAAAAG9blB4=")</f>
        <v>#REF!</v>
      </c>
      <c r="AF360" t="e">
        <f>AND('PROG FORMACIÓN TITULADA'!#REF!,"AAAAAG9blB8=")</f>
        <v>#REF!</v>
      </c>
      <c r="AG360" t="e">
        <f>AND('PROG FORMACIÓN TITULADA'!#REF!,"AAAAAG9blCA=")</f>
        <v>#REF!</v>
      </c>
      <c r="AH360" t="e">
        <f>AND('PROG FORMACIÓN TITULADA'!#REF!,"AAAAAG9blCE=")</f>
        <v>#REF!</v>
      </c>
      <c r="AI360" t="e">
        <f>AND('PROG FORMACIÓN TITULADA'!#REF!,"AAAAAG9blCI=")</f>
        <v>#REF!</v>
      </c>
      <c r="AJ360" t="e">
        <f>AND('PROG FORMACIÓN TITULADA'!#REF!,"AAAAAG9blCM=")</f>
        <v>#REF!</v>
      </c>
      <c r="AK360" t="e">
        <f>AND('PROG FORMACIÓN TITULADA'!#REF!,"AAAAAG9blCQ=")</f>
        <v>#REF!</v>
      </c>
      <c r="AL360" t="e">
        <f>AND('PROG FORMACIÓN TITULADA'!#REF!,"AAAAAG9blCU=")</f>
        <v>#REF!</v>
      </c>
      <c r="AM360" t="e">
        <f>AND('PROG FORMACIÓN TITULADA'!#REF!,"AAAAAG9blCY=")</f>
        <v>#REF!</v>
      </c>
      <c r="AN360" t="e">
        <f>AND('PROG FORMACIÓN TITULADA'!#REF!,"AAAAAG9blCc=")</f>
        <v>#REF!</v>
      </c>
      <c r="AO360" t="e">
        <f>AND('PROG FORMACIÓN TITULADA'!#REF!,"AAAAAG9blCg=")</f>
        <v>#REF!</v>
      </c>
      <c r="AP360" t="e">
        <f>AND('PROG FORMACIÓN TITULADA'!#REF!,"AAAAAG9blCk=")</f>
        <v>#REF!</v>
      </c>
      <c r="AQ360" t="e">
        <f>AND('PROG FORMACIÓN TITULADA'!#REF!,"AAAAAG9blCo=")</f>
        <v>#REF!</v>
      </c>
      <c r="AR360" t="e">
        <f>AND('PROG FORMACIÓN TITULADA'!#REF!,"AAAAAG9blCs=")</f>
        <v>#REF!</v>
      </c>
      <c r="AS360" t="e">
        <f>AND('PROG FORMACIÓN TITULADA'!#REF!,"AAAAAG9blCw=")</f>
        <v>#REF!</v>
      </c>
      <c r="AT360" t="e">
        <f>AND('PROG FORMACIÓN TITULADA'!#REF!,"AAAAAG9blC0=")</f>
        <v>#REF!</v>
      </c>
      <c r="AU360" t="e">
        <f>IF('PROG FORMACIÓN TITULADA'!#REF!,"AAAAAG9blC4=",0)</f>
        <v>#REF!</v>
      </c>
      <c r="AV360" t="e">
        <f>AND('PROG FORMACIÓN TITULADA'!#REF!,"AAAAAG9blC8=")</f>
        <v>#REF!</v>
      </c>
      <c r="AW360" t="e">
        <f>AND('PROG FORMACIÓN TITULADA'!#REF!,"AAAAAG9blDA=")</f>
        <v>#REF!</v>
      </c>
      <c r="AX360" t="e">
        <f>AND('PROG FORMACIÓN TITULADA'!#REF!,"AAAAAG9blDE=")</f>
        <v>#REF!</v>
      </c>
      <c r="AY360" t="e">
        <f>AND('PROG FORMACIÓN TITULADA'!#REF!,"AAAAAG9blDI=")</f>
        <v>#REF!</v>
      </c>
      <c r="AZ360" t="e">
        <f>AND('PROG FORMACIÓN TITULADA'!#REF!,"AAAAAG9blDM=")</f>
        <v>#REF!</v>
      </c>
      <c r="BA360" t="e">
        <f>AND('PROG FORMACIÓN TITULADA'!#REF!,"AAAAAG9blDQ=")</f>
        <v>#REF!</v>
      </c>
      <c r="BB360" t="e">
        <f>AND('PROG FORMACIÓN TITULADA'!#REF!,"AAAAAG9blDU=")</f>
        <v>#REF!</v>
      </c>
      <c r="BC360" t="e">
        <f>AND('PROG FORMACIÓN TITULADA'!#REF!,"AAAAAG9blDY=")</f>
        <v>#REF!</v>
      </c>
      <c r="BD360" t="e">
        <f>AND('PROG FORMACIÓN TITULADA'!#REF!,"AAAAAG9blDc=")</f>
        <v>#REF!</v>
      </c>
      <c r="BE360" t="e">
        <f>AND('PROG FORMACIÓN TITULADA'!#REF!,"AAAAAG9blDg=")</f>
        <v>#REF!</v>
      </c>
      <c r="BF360" t="e">
        <f>AND('PROG FORMACIÓN TITULADA'!#REF!,"AAAAAG9blDk=")</f>
        <v>#REF!</v>
      </c>
      <c r="BG360" t="e">
        <f>AND('PROG FORMACIÓN TITULADA'!#REF!,"AAAAAG9blDo=")</f>
        <v>#REF!</v>
      </c>
      <c r="BH360" t="e">
        <f>AND('PROG FORMACIÓN TITULADA'!#REF!,"AAAAAG9blDs=")</f>
        <v>#REF!</v>
      </c>
      <c r="BI360" t="e">
        <f>AND('PROG FORMACIÓN TITULADA'!#REF!,"AAAAAG9blDw=")</f>
        <v>#REF!</v>
      </c>
      <c r="BJ360" t="e">
        <f>AND('PROG FORMACIÓN TITULADA'!#REF!,"AAAAAG9blD0=")</f>
        <v>#REF!</v>
      </c>
      <c r="BK360" t="e">
        <f>AND('PROG FORMACIÓN TITULADA'!#REF!,"AAAAAG9blD4=")</f>
        <v>#REF!</v>
      </c>
      <c r="BL360" t="e">
        <f>AND('PROG FORMACIÓN TITULADA'!#REF!,"AAAAAG9blD8=")</f>
        <v>#REF!</v>
      </c>
      <c r="BM360" t="e">
        <f>AND('PROG FORMACIÓN TITULADA'!#REF!,"AAAAAG9blEA=")</f>
        <v>#REF!</v>
      </c>
      <c r="BN360" t="e">
        <f>AND('PROG FORMACIÓN TITULADA'!#REF!,"AAAAAG9blEE=")</f>
        <v>#REF!</v>
      </c>
      <c r="BO360" t="e">
        <f>AND('PROG FORMACIÓN TITULADA'!#REF!,"AAAAAG9blEI=")</f>
        <v>#REF!</v>
      </c>
      <c r="BP360" t="e">
        <f>AND('PROG FORMACIÓN TITULADA'!#REF!,"AAAAAG9blEM=")</f>
        <v>#REF!</v>
      </c>
      <c r="BQ360" t="e">
        <f>AND('PROG FORMACIÓN TITULADA'!#REF!,"AAAAAG9blEQ=")</f>
        <v>#REF!</v>
      </c>
      <c r="BR360" t="e">
        <f>AND('PROG FORMACIÓN TITULADA'!#REF!,"AAAAAG9blEU=")</f>
        <v>#REF!</v>
      </c>
      <c r="BS360" t="e">
        <f>AND('PROG FORMACIÓN TITULADA'!#REF!,"AAAAAG9blEY=")</f>
        <v>#REF!</v>
      </c>
      <c r="BT360" t="e">
        <f>AND('PROG FORMACIÓN TITULADA'!#REF!,"AAAAAG9blEc=")</f>
        <v>#REF!</v>
      </c>
      <c r="BU360" t="e">
        <f>AND('PROG FORMACIÓN TITULADA'!#REF!,"AAAAAG9blEg=")</f>
        <v>#REF!</v>
      </c>
      <c r="BV360" t="e">
        <f>IF('PROG FORMACIÓN TITULADA'!#REF!,"AAAAAG9blEk=",0)</f>
        <v>#REF!</v>
      </c>
      <c r="BW360" t="e">
        <f>AND('PROG FORMACIÓN TITULADA'!#REF!,"AAAAAG9blEo=")</f>
        <v>#REF!</v>
      </c>
      <c r="BX360" t="e">
        <f>AND('PROG FORMACIÓN TITULADA'!#REF!,"AAAAAG9blEs=")</f>
        <v>#REF!</v>
      </c>
      <c r="BY360" t="e">
        <f>AND('PROG FORMACIÓN TITULADA'!#REF!,"AAAAAG9blEw=")</f>
        <v>#REF!</v>
      </c>
      <c r="BZ360" t="e">
        <f>AND('PROG FORMACIÓN TITULADA'!#REF!,"AAAAAG9blE0=")</f>
        <v>#REF!</v>
      </c>
      <c r="CA360" t="e">
        <f>AND('PROG FORMACIÓN TITULADA'!#REF!,"AAAAAG9blE4=")</f>
        <v>#REF!</v>
      </c>
      <c r="CB360" t="e">
        <f>AND('PROG FORMACIÓN TITULADA'!#REF!,"AAAAAG9blE8=")</f>
        <v>#REF!</v>
      </c>
      <c r="CC360" t="e">
        <f>AND('PROG FORMACIÓN TITULADA'!#REF!,"AAAAAG9blFA=")</f>
        <v>#REF!</v>
      </c>
      <c r="CD360" t="e">
        <f>AND('PROG FORMACIÓN TITULADA'!#REF!,"AAAAAG9blFE=")</f>
        <v>#REF!</v>
      </c>
      <c r="CE360" t="e">
        <f>AND('PROG FORMACIÓN TITULADA'!#REF!,"AAAAAG9blFI=")</f>
        <v>#REF!</v>
      </c>
      <c r="CF360" t="e">
        <f>AND('PROG FORMACIÓN TITULADA'!#REF!,"AAAAAG9blFM=")</f>
        <v>#REF!</v>
      </c>
      <c r="CG360" t="e">
        <f>AND('PROG FORMACIÓN TITULADA'!#REF!,"AAAAAG9blFQ=")</f>
        <v>#REF!</v>
      </c>
      <c r="CH360" t="e">
        <f>AND('PROG FORMACIÓN TITULADA'!#REF!,"AAAAAG9blFU=")</f>
        <v>#REF!</v>
      </c>
      <c r="CI360" t="e">
        <f>AND('PROG FORMACIÓN TITULADA'!#REF!,"AAAAAG9blFY=")</f>
        <v>#REF!</v>
      </c>
      <c r="CJ360" t="e">
        <f>AND('PROG FORMACIÓN TITULADA'!#REF!,"AAAAAG9blFc=")</f>
        <v>#REF!</v>
      </c>
      <c r="CK360" t="e">
        <f>AND('PROG FORMACIÓN TITULADA'!#REF!,"AAAAAG9blFg=")</f>
        <v>#REF!</v>
      </c>
      <c r="CL360" t="e">
        <f>AND('PROG FORMACIÓN TITULADA'!#REF!,"AAAAAG9blFk=")</f>
        <v>#REF!</v>
      </c>
      <c r="CM360" t="e">
        <f>AND('PROG FORMACIÓN TITULADA'!#REF!,"AAAAAG9blFo=")</f>
        <v>#REF!</v>
      </c>
      <c r="CN360" t="e">
        <f>AND('PROG FORMACIÓN TITULADA'!#REF!,"AAAAAG9blFs=")</f>
        <v>#REF!</v>
      </c>
      <c r="CO360" t="e">
        <f>AND('PROG FORMACIÓN TITULADA'!#REF!,"AAAAAG9blFw=")</f>
        <v>#REF!</v>
      </c>
      <c r="CP360" t="e">
        <f>AND('PROG FORMACIÓN TITULADA'!#REF!,"AAAAAG9blF0=")</f>
        <v>#REF!</v>
      </c>
      <c r="CQ360" t="e">
        <f>AND('PROG FORMACIÓN TITULADA'!#REF!,"AAAAAG9blF4=")</f>
        <v>#REF!</v>
      </c>
      <c r="CR360" t="e">
        <f>AND('PROG FORMACIÓN TITULADA'!#REF!,"AAAAAG9blF8=")</f>
        <v>#REF!</v>
      </c>
      <c r="CS360" t="e">
        <f>AND('PROG FORMACIÓN TITULADA'!#REF!,"AAAAAG9blGA=")</f>
        <v>#REF!</v>
      </c>
      <c r="CT360" t="e">
        <f>AND('PROG FORMACIÓN TITULADA'!#REF!,"AAAAAG9blGE=")</f>
        <v>#REF!</v>
      </c>
      <c r="CU360" t="e">
        <f>AND('PROG FORMACIÓN TITULADA'!#REF!,"AAAAAG9blGI=")</f>
        <v>#REF!</v>
      </c>
      <c r="CV360" t="e">
        <f>AND('PROG FORMACIÓN TITULADA'!#REF!,"AAAAAG9blGM=")</f>
        <v>#REF!</v>
      </c>
      <c r="CW360" t="e">
        <f>IF('PROG FORMACIÓN TITULADA'!#REF!,"AAAAAG9blGQ=",0)</f>
        <v>#REF!</v>
      </c>
      <c r="CX360" t="e">
        <f>AND('PROG FORMACIÓN TITULADA'!#REF!,"AAAAAG9blGU=")</f>
        <v>#REF!</v>
      </c>
      <c r="CY360" t="e">
        <f>AND('PROG FORMACIÓN TITULADA'!#REF!,"AAAAAG9blGY=")</f>
        <v>#REF!</v>
      </c>
      <c r="CZ360" t="e">
        <f>AND('PROG FORMACIÓN TITULADA'!#REF!,"AAAAAG9blGc=")</f>
        <v>#REF!</v>
      </c>
      <c r="DA360" t="e">
        <f>AND('PROG FORMACIÓN TITULADA'!#REF!,"AAAAAG9blGg=")</f>
        <v>#REF!</v>
      </c>
      <c r="DB360" t="e">
        <f>AND('PROG FORMACIÓN TITULADA'!#REF!,"AAAAAG9blGk=")</f>
        <v>#REF!</v>
      </c>
      <c r="DC360" t="e">
        <f>AND('PROG FORMACIÓN TITULADA'!#REF!,"AAAAAG9blGo=")</f>
        <v>#REF!</v>
      </c>
      <c r="DD360" t="e">
        <f>AND('PROG FORMACIÓN TITULADA'!#REF!,"AAAAAG9blGs=")</f>
        <v>#REF!</v>
      </c>
      <c r="DE360" t="e">
        <f>AND('PROG FORMACIÓN TITULADA'!#REF!,"AAAAAG9blGw=")</f>
        <v>#REF!</v>
      </c>
      <c r="DF360" t="e">
        <f>AND('PROG FORMACIÓN TITULADA'!#REF!,"AAAAAG9blG0=")</f>
        <v>#REF!</v>
      </c>
      <c r="DG360" t="e">
        <f>AND('PROG FORMACIÓN TITULADA'!#REF!,"AAAAAG9blG4=")</f>
        <v>#REF!</v>
      </c>
      <c r="DH360" t="e">
        <f>AND('PROG FORMACIÓN TITULADA'!#REF!,"AAAAAG9blG8=")</f>
        <v>#REF!</v>
      </c>
      <c r="DI360" t="e">
        <f>AND('PROG FORMACIÓN TITULADA'!#REF!,"AAAAAG9blHA=")</f>
        <v>#REF!</v>
      </c>
      <c r="DJ360" t="e">
        <f>AND('PROG FORMACIÓN TITULADA'!#REF!,"AAAAAG9blHE=")</f>
        <v>#REF!</v>
      </c>
      <c r="DK360" t="e">
        <f>AND('PROG FORMACIÓN TITULADA'!#REF!,"AAAAAG9blHI=")</f>
        <v>#REF!</v>
      </c>
      <c r="DL360" t="e">
        <f>AND('PROG FORMACIÓN TITULADA'!#REF!,"AAAAAG9blHM=")</f>
        <v>#REF!</v>
      </c>
      <c r="DM360" t="e">
        <f>AND('PROG FORMACIÓN TITULADA'!#REF!,"AAAAAG9blHQ=")</f>
        <v>#REF!</v>
      </c>
      <c r="DN360" t="e">
        <f>AND('PROG FORMACIÓN TITULADA'!#REF!,"AAAAAG9blHU=")</f>
        <v>#REF!</v>
      </c>
      <c r="DO360" t="e">
        <f>AND('PROG FORMACIÓN TITULADA'!#REF!,"AAAAAG9blHY=")</f>
        <v>#REF!</v>
      </c>
      <c r="DP360" t="e">
        <f>AND('PROG FORMACIÓN TITULADA'!#REF!,"AAAAAG9blHc=")</f>
        <v>#REF!</v>
      </c>
      <c r="DQ360" t="e">
        <f>AND('PROG FORMACIÓN TITULADA'!#REF!,"AAAAAG9blHg=")</f>
        <v>#REF!</v>
      </c>
      <c r="DR360" t="e">
        <f>AND('PROG FORMACIÓN TITULADA'!#REF!,"AAAAAG9blHk=")</f>
        <v>#REF!</v>
      </c>
      <c r="DS360" t="e">
        <f>AND('PROG FORMACIÓN TITULADA'!#REF!,"AAAAAG9blHo=")</f>
        <v>#REF!</v>
      </c>
      <c r="DT360" t="e">
        <f>AND('PROG FORMACIÓN TITULADA'!#REF!,"AAAAAG9blHs=")</f>
        <v>#REF!</v>
      </c>
      <c r="DU360" t="e">
        <f>AND('PROG FORMACIÓN TITULADA'!#REF!,"AAAAAG9blHw=")</f>
        <v>#REF!</v>
      </c>
      <c r="DV360" t="e">
        <f>AND('PROG FORMACIÓN TITULADA'!#REF!,"AAAAAG9blH0=")</f>
        <v>#REF!</v>
      </c>
      <c r="DW360" t="e">
        <f>AND('PROG FORMACIÓN TITULADA'!#REF!,"AAAAAG9blH4=")</f>
        <v>#REF!</v>
      </c>
      <c r="DX360" t="e">
        <f>IF('PROG FORMACIÓN TITULADA'!#REF!,"AAAAAG9blH8=",0)</f>
        <v>#REF!</v>
      </c>
      <c r="DY360" t="e">
        <f>AND('PROG FORMACIÓN TITULADA'!#REF!,"AAAAAG9blIA=")</f>
        <v>#REF!</v>
      </c>
      <c r="DZ360" t="e">
        <f>AND('PROG FORMACIÓN TITULADA'!#REF!,"AAAAAG9blIE=")</f>
        <v>#REF!</v>
      </c>
      <c r="EA360" t="e">
        <f>AND('PROG FORMACIÓN TITULADA'!#REF!,"AAAAAG9blII=")</f>
        <v>#REF!</v>
      </c>
      <c r="EB360" t="e">
        <f>AND('PROG FORMACIÓN TITULADA'!#REF!,"AAAAAG9blIM=")</f>
        <v>#REF!</v>
      </c>
      <c r="EC360" t="e">
        <f>AND('PROG FORMACIÓN TITULADA'!#REF!,"AAAAAG9blIQ=")</f>
        <v>#REF!</v>
      </c>
      <c r="ED360" t="e">
        <f>AND('PROG FORMACIÓN TITULADA'!#REF!,"AAAAAG9blIU=")</f>
        <v>#REF!</v>
      </c>
      <c r="EE360" t="e">
        <f>AND('PROG FORMACIÓN TITULADA'!#REF!,"AAAAAG9blIY=")</f>
        <v>#REF!</v>
      </c>
      <c r="EF360" t="e">
        <f>AND('PROG FORMACIÓN TITULADA'!#REF!,"AAAAAG9blIc=")</f>
        <v>#REF!</v>
      </c>
      <c r="EG360" t="e">
        <f>AND('PROG FORMACIÓN TITULADA'!#REF!,"AAAAAG9blIg=")</f>
        <v>#REF!</v>
      </c>
      <c r="EH360" t="e">
        <f>AND('PROG FORMACIÓN TITULADA'!#REF!,"AAAAAG9blIk=")</f>
        <v>#REF!</v>
      </c>
      <c r="EI360" t="e">
        <f>AND('PROG FORMACIÓN TITULADA'!#REF!,"AAAAAG9blIo=")</f>
        <v>#REF!</v>
      </c>
      <c r="EJ360" t="e">
        <f>AND('PROG FORMACIÓN TITULADA'!#REF!,"AAAAAG9blIs=")</f>
        <v>#REF!</v>
      </c>
      <c r="EK360" t="e">
        <f>AND('PROG FORMACIÓN TITULADA'!#REF!,"AAAAAG9blIw=")</f>
        <v>#REF!</v>
      </c>
      <c r="EL360" t="e">
        <f>AND('PROG FORMACIÓN TITULADA'!#REF!,"AAAAAG9blI0=")</f>
        <v>#REF!</v>
      </c>
      <c r="EM360" t="e">
        <f>AND('PROG FORMACIÓN TITULADA'!#REF!,"AAAAAG9blI4=")</f>
        <v>#REF!</v>
      </c>
      <c r="EN360" t="e">
        <f>AND('PROG FORMACIÓN TITULADA'!#REF!,"AAAAAG9blI8=")</f>
        <v>#REF!</v>
      </c>
      <c r="EO360" t="e">
        <f>AND('PROG FORMACIÓN TITULADA'!#REF!,"AAAAAG9blJA=")</f>
        <v>#REF!</v>
      </c>
      <c r="EP360" t="e">
        <f>AND('PROG FORMACIÓN TITULADA'!#REF!,"AAAAAG9blJE=")</f>
        <v>#REF!</v>
      </c>
      <c r="EQ360" t="e">
        <f>AND('PROG FORMACIÓN TITULADA'!#REF!,"AAAAAG9blJI=")</f>
        <v>#REF!</v>
      </c>
      <c r="ER360" t="e">
        <f>AND('PROG FORMACIÓN TITULADA'!#REF!,"AAAAAG9blJM=")</f>
        <v>#REF!</v>
      </c>
      <c r="ES360" t="e">
        <f>AND('PROG FORMACIÓN TITULADA'!#REF!,"AAAAAG9blJQ=")</f>
        <v>#REF!</v>
      </c>
      <c r="ET360" t="e">
        <f>AND('PROG FORMACIÓN TITULADA'!#REF!,"AAAAAG9blJU=")</f>
        <v>#REF!</v>
      </c>
      <c r="EU360" t="e">
        <f>AND('PROG FORMACIÓN TITULADA'!#REF!,"AAAAAG9blJY=")</f>
        <v>#REF!</v>
      </c>
      <c r="EV360" t="e">
        <f>AND('PROG FORMACIÓN TITULADA'!#REF!,"AAAAAG9blJc=")</f>
        <v>#REF!</v>
      </c>
      <c r="EW360" t="e">
        <f>AND('PROG FORMACIÓN TITULADA'!#REF!,"AAAAAG9blJg=")</f>
        <v>#REF!</v>
      </c>
      <c r="EX360" t="e">
        <f>AND('PROG FORMACIÓN TITULADA'!#REF!,"AAAAAG9blJk=")</f>
        <v>#REF!</v>
      </c>
      <c r="EY360" t="e">
        <f>IF('PROG FORMACIÓN TITULADA'!#REF!,"AAAAAG9blJo=",0)</f>
        <v>#REF!</v>
      </c>
      <c r="EZ360" t="e">
        <f>AND('PROG FORMACIÓN TITULADA'!#REF!,"AAAAAG9blJs=")</f>
        <v>#REF!</v>
      </c>
      <c r="FA360" t="e">
        <f>AND('PROG FORMACIÓN TITULADA'!#REF!,"AAAAAG9blJw=")</f>
        <v>#REF!</v>
      </c>
      <c r="FB360" t="e">
        <f>AND('PROG FORMACIÓN TITULADA'!#REF!,"AAAAAG9blJ0=")</f>
        <v>#REF!</v>
      </c>
      <c r="FC360" t="e">
        <f>AND('PROG FORMACIÓN TITULADA'!#REF!,"AAAAAG9blJ4=")</f>
        <v>#REF!</v>
      </c>
      <c r="FD360" t="e">
        <f>AND('PROG FORMACIÓN TITULADA'!#REF!,"AAAAAG9blJ8=")</f>
        <v>#REF!</v>
      </c>
      <c r="FE360" t="e">
        <f>AND('PROG FORMACIÓN TITULADA'!#REF!,"AAAAAG9blKA=")</f>
        <v>#REF!</v>
      </c>
      <c r="FF360" t="e">
        <f>AND('PROG FORMACIÓN TITULADA'!#REF!,"AAAAAG9blKE=")</f>
        <v>#REF!</v>
      </c>
      <c r="FG360" t="e">
        <f>AND('PROG FORMACIÓN TITULADA'!#REF!,"AAAAAG9blKI=")</f>
        <v>#REF!</v>
      </c>
      <c r="FH360" t="e">
        <f>AND('PROG FORMACIÓN TITULADA'!#REF!,"AAAAAG9blKM=")</f>
        <v>#REF!</v>
      </c>
      <c r="FI360" t="e">
        <f>AND('PROG FORMACIÓN TITULADA'!#REF!,"AAAAAG9blKQ=")</f>
        <v>#REF!</v>
      </c>
      <c r="FJ360" t="e">
        <f>AND('PROG FORMACIÓN TITULADA'!#REF!,"AAAAAG9blKU=")</f>
        <v>#REF!</v>
      </c>
      <c r="FK360" t="e">
        <f>AND('PROG FORMACIÓN TITULADA'!#REF!,"AAAAAG9blKY=")</f>
        <v>#REF!</v>
      </c>
      <c r="FL360" t="e">
        <f>AND('PROG FORMACIÓN TITULADA'!#REF!,"AAAAAG9blKc=")</f>
        <v>#REF!</v>
      </c>
      <c r="FM360" t="e">
        <f>AND('PROG FORMACIÓN TITULADA'!#REF!,"AAAAAG9blKg=")</f>
        <v>#REF!</v>
      </c>
      <c r="FN360" t="e">
        <f>AND('PROG FORMACIÓN TITULADA'!#REF!,"AAAAAG9blKk=")</f>
        <v>#REF!</v>
      </c>
      <c r="FO360" t="e">
        <f>AND('PROG FORMACIÓN TITULADA'!#REF!,"AAAAAG9blKo=")</f>
        <v>#REF!</v>
      </c>
      <c r="FP360" t="e">
        <f>AND('PROG FORMACIÓN TITULADA'!#REF!,"AAAAAG9blKs=")</f>
        <v>#REF!</v>
      </c>
      <c r="FQ360" t="e">
        <f>AND('PROG FORMACIÓN TITULADA'!#REF!,"AAAAAG9blKw=")</f>
        <v>#REF!</v>
      </c>
      <c r="FR360" t="e">
        <f>AND('PROG FORMACIÓN TITULADA'!#REF!,"AAAAAG9blK0=")</f>
        <v>#REF!</v>
      </c>
      <c r="FS360" t="e">
        <f>AND('PROG FORMACIÓN TITULADA'!#REF!,"AAAAAG9blK4=")</f>
        <v>#REF!</v>
      </c>
      <c r="FT360" t="e">
        <f>AND('PROG FORMACIÓN TITULADA'!#REF!,"AAAAAG9blK8=")</f>
        <v>#REF!</v>
      </c>
      <c r="FU360" t="e">
        <f>AND('PROG FORMACIÓN TITULADA'!#REF!,"AAAAAG9blLA=")</f>
        <v>#REF!</v>
      </c>
      <c r="FV360" t="e">
        <f>AND('PROG FORMACIÓN TITULADA'!#REF!,"AAAAAG9blLE=")</f>
        <v>#REF!</v>
      </c>
      <c r="FW360" t="e">
        <f>AND('PROG FORMACIÓN TITULADA'!#REF!,"AAAAAG9blLI=")</f>
        <v>#REF!</v>
      </c>
      <c r="FX360" t="e">
        <f>AND('PROG FORMACIÓN TITULADA'!#REF!,"AAAAAG9blLM=")</f>
        <v>#REF!</v>
      </c>
      <c r="FY360" t="e">
        <f>AND('PROG FORMACIÓN TITULADA'!#REF!,"AAAAAG9blLQ=")</f>
        <v>#REF!</v>
      </c>
      <c r="FZ360" t="e">
        <f>IF('PROG FORMACIÓN TITULADA'!#REF!,"AAAAAG9blLU=",0)</f>
        <v>#REF!</v>
      </c>
      <c r="GA360" t="e">
        <f>AND('PROG FORMACIÓN TITULADA'!#REF!,"AAAAAG9blLY=")</f>
        <v>#REF!</v>
      </c>
      <c r="GB360" t="e">
        <f>AND('PROG FORMACIÓN TITULADA'!#REF!,"AAAAAG9blLc=")</f>
        <v>#REF!</v>
      </c>
      <c r="GC360" t="e">
        <f>AND('PROG FORMACIÓN TITULADA'!#REF!,"AAAAAG9blLg=")</f>
        <v>#REF!</v>
      </c>
      <c r="GD360" t="e">
        <f>AND('PROG FORMACIÓN TITULADA'!#REF!,"AAAAAG9blLk=")</f>
        <v>#REF!</v>
      </c>
      <c r="GE360" t="e">
        <f>AND('PROG FORMACIÓN TITULADA'!#REF!,"AAAAAG9blLo=")</f>
        <v>#REF!</v>
      </c>
      <c r="GF360" t="e">
        <f>AND('PROG FORMACIÓN TITULADA'!#REF!,"AAAAAG9blLs=")</f>
        <v>#REF!</v>
      </c>
      <c r="GG360" t="e">
        <f>AND('PROG FORMACIÓN TITULADA'!#REF!,"AAAAAG9blLw=")</f>
        <v>#REF!</v>
      </c>
      <c r="GH360" t="e">
        <f>AND('PROG FORMACIÓN TITULADA'!#REF!,"AAAAAG9blL0=")</f>
        <v>#REF!</v>
      </c>
      <c r="GI360" t="e">
        <f>AND('PROG FORMACIÓN TITULADA'!#REF!,"AAAAAG9blL4=")</f>
        <v>#REF!</v>
      </c>
      <c r="GJ360" t="e">
        <f>AND('PROG FORMACIÓN TITULADA'!#REF!,"AAAAAG9blL8=")</f>
        <v>#REF!</v>
      </c>
      <c r="GK360" t="e">
        <f>AND('PROG FORMACIÓN TITULADA'!#REF!,"AAAAAG9blMA=")</f>
        <v>#REF!</v>
      </c>
      <c r="GL360" t="e">
        <f>AND('PROG FORMACIÓN TITULADA'!#REF!,"AAAAAG9blME=")</f>
        <v>#REF!</v>
      </c>
      <c r="GM360" t="e">
        <f>AND('PROG FORMACIÓN TITULADA'!#REF!,"AAAAAG9blMI=")</f>
        <v>#REF!</v>
      </c>
      <c r="GN360" t="e">
        <f>AND('PROG FORMACIÓN TITULADA'!#REF!,"AAAAAG9blMM=")</f>
        <v>#REF!</v>
      </c>
      <c r="GO360" t="e">
        <f>AND('PROG FORMACIÓN TITULADA'!#REF!,"AAAAAG9blMQ=")</f>
        <v>#REF!</v>
      </c>
      <c r="GP360" t="e">
        <f>AND('PROG FORMACIÓN TITULADA'!#REF!,"AAAAAG9blMU=")</f>
        <v>#REF!</v>
      </c>
      <c r="GQ360" t="e">
        <f>AND('PROG FORMACIÓN TITULADA'!#REF!,"AAAAAG9blMY=")</f>
        <v>#REF!</v>
      </c>
      <c r="GR360" t="e">
        <f>AND('PROG FORMACIÓN TITULADA'!#REF!,"AAAAAG9blMc=")</f>
        <v>#REF!</v>
      </c>
      <c r="GS360" t="e">
        <f>AND('PROG FORMACIÓN TITULADA'!#REF!,"AAAAAG9blMg=")</f>
        <v>#REF!</v>
      </c>
      <c r="GT360" t="e">
        <f>AND('PROG FORMACIÓN TITULADA'!#REF!,"AAAAAG9blMk=")</f>
        <v>#REF!</v>
      </c>
      <c r="GU360" t="e">
        <f>AND('PROG FORMACIÓN TITULADA'!#REF!,"AAAAAG9blMo=")</f>
        <v>#REF!</v>
      </c>
      <c r="GV360" t="e">
        <f>AND('PROG FORMACIÓN TITULADA'!#REF!,"AAAAAG9blMs=")</f>
        <v>#REF!</v>
      </c>
      <c r="GW360" t="e">
        <f>AND('PROG FORMACIÓN TITULADA'!#REF!,"AAAAAG9blMw=")</f>
        <v>#REF!</v>
      </c>
      <c r="GX360" t="e">
        <f>AND('PROG FORMACIÓN TITULADA'!#REF!,"AAAAAG9blM0=")</f>
        <v>#REF!</v>
      </c>
      <c r="GY360" t="e">
        <f>AND('PROG FORMACIÓN TITULADA'!#REF!,"AAAAAG9blM4=")</f>
        <v>#REF!</v>
      </c>
      <c r="GZ360" t="e">
        <f>AND('PROG FORMACIÓN TITULADA'!#REF!,"AAAAAG9blM8=")</f>
        <v>#REF!</v>
      </c>
      <c r="HA360" t="e">
        <f>IF('PROG FORMACIÓN TITULADA'!#REF!,"AAAAAG9blNA=",0)</f>
        <v>#REF!</v>
      </c>
      <c r="HB360" t="e">
        <f>AND('PROG FORMACIÓN TITULADA'!#REF!,"AAAAAG9blNE=")</f>
        <v>#REF!</v>
      </c>
      <c r="HC360" t="e">
        <f>AND('PROG FORMACIÓN TITULADA'!#REF!,"AAAAAG9blNI=")</f>
        <v>#REF!</v>
      </c>
      <c r="HD360" t="e">
        <f>AND('PROG FORMACIÓN TITULADA'!#REF!,"AAAAAG9blNM=")</f>
        <v>#REF!</v>
      </c>
      <c r="HE360" t="e">
        <f>AND('PROG FORMACIÓN TITULADA'!#REF!,"AAAAAG9blNQ=")</f>
        <v>#REF!</v>
      </c>
      <c r="HF360" t="e">
        <f>AND('PROG FORMACIÓN TITULADA'!#REF!,"AAAAAG9blNU=")</f>
        <v>#REF!</v>
      </c>
      <c r="HG360" t="e">
        <f>AND('PROG FORMACIÓN TITULADA'!#REF!,"AAAAAG9blNY=")</f>
        <v>#REF!</v>
      </c>
      <c r="HH360" t="e">
        <f>AND('PROG FORMACIÓN TITULADA'!#REF!,"AAAAAG9blNc=")</f>
        <v>#REF!</v>
      </c>
      <c r="HI360" t="e">
        <f>AND('PROG FORMACIÓN TITULADA'!#REF!,"AAAAAG9blNg=")</f>
        <v>#REF!</v>
      </c>
      <c r="HJ360" t="e">
        <f>AND('PROG FORMACIÓN TITULADA'!#REF!,"AAAAAG9blNk=")</f>
        <v>#REF!</v>
      </c>
      <c r="HK360" t="e">
        <f>AND('PROG FORMACIÓN TITULADA'!#REF!,"AAAAAG9blNo=")</f>
        <v>#REF!</v>
      </c>
      <c r="HL360" t="e">
        <f>AND('PROG FORMACIÓN TITULADA'!#REF!,"AAAAAG9blNs=")</f>
        <v>#REF!</v>
      </c>
      <c r="HM360" t="e">
        <f>AND('PROG FORMACIÓN TITULADA'!#REF!,"AAAAAG9blNw=")</f>
        <v>#REF!</v>
      </c>
      <c r="HN360" t="e">
        <f>AND('PROG FORMACIÓN TITULADA'!#REF!,"AAAAAG9blN0=")</f>
        <v>#REF!</v>
      </c>
      <c r="HO360" t="e">
        <f>AND('PROG FORMACIÓN TITULADA'!#REF!,"AAAAAG9blN4=")</f>
        <v>#REF!</v>
      </c>
      <c r="HP360" t="e">
        <f>AND('PROG FORMACIÓN TITULADA'!#REF!,"AAAAAG9blN8=")</f>
        <v>#REF!</v>
      </c>
      <c r="HQ360" t="e">
        <f>AND('PROG FORMACIÓN TITULADA'!#REF!,"AAAAAG9blOA=")</f>
        <v>#REF!</v>
      </c>
      <c r="HR360" t="e">
        <f>AND('PROG FORMACIÓN TITULADA'!#REF!,"AAAAAG9blOE=")</f>
        <v>#REF!</v>
      </c>
      <c r="HS360" t="e">
        <f>AND('PROG FORMACIÓN TITULADA'!#REF!,"AAAAAG9blOI=")</f>
        <v>#REF!</v>
      </c>
      <c r="HT360" t="e">
        <f>AND('PROG FORMACIÓN TITULADA'!#REF!,"AAAAAG9blOM=")</f>
        <v>#REF!</v>
      </c>
      <c r="HU360" t="e">
        <f>AND('PROG FORMACIÓN TITULADA'!#REF!,"AAAAAG9blOQ=")</f>
        <v>#REF!</v>
      </c>
      <c r="HV360" t="e">
        <f>AND('PROG FORMACIÓN TITULADA'!#REF!,"AAAAAG9blOU=")</f>
        <v>#REF!</v>
      </c>
      <c r="HW360" t="e">
        <f>AND('PROG FORMACIÓN TITULADA'!#REF!,"AAAAAG9blOY=")</f>
        <v>#REF!</v>
      </c>
      <c r="HX360" t="e">
        <f>AND('PROG FORMACIÓN TITULADA'!#REF!,"AAAAAG9blOc=")</f>
        <v>#REF!</v>
      </c>
      <c r="HY360" t="e">
        <f>AND('PROG FORMACIÓN TITULADA'!#REF!,"AAAAAG9blOg=")</f>
        <v>#REF!</v>
      </c>
      <c r="HZ360" t="e">
        <f>AND('PROG FORMACIÓN TITULADA'!#REF!,"AAAAAG9blOk=")</f>
        <v>#REF!</v>
      </c>
      <c r="IA360" t="e">
        <f>AND('PROG FORMACIÓN TITULADA'!#REF!,"AAAAAG9blOo=")</f>
        <v>#REF!</v>
      </c>
      <c r="IB360" t="e">
        <f>IF('PROG FORMACIÓN TITULADA'!#REF!,"AAAAAG9blOs=",0)</f>
        <v>#REF!</v>
      </c>
      <c r="IC360" t="e">
        <f>AND('PROG FORMACIÓN TITULADA'!#REF!,"AAAAAG9blOw=")</f>
        <v>#REF!</v>
      </c>
      <c r="ID360" t="e">
        <f>AND('PROG FORMACIÓN TITULADA'!#REF!,"AAAAAG9blO0=")</f>
        <v>#REF!</v>
      </c>
      <c r="IE360" t="e">
        <f>AND('PROG FORMACIÓN TITULADA'!#REF!,"AAAAAG9blO4=")</f>
        <v>#REF!</v>
      </c>
      <c r="IF360" t="e">
        <f>AND('PROG FORMACIÓN TITULADA'!#REF!,"AAAAAG9blO8=")</f>
        <v>#REF!</v>
      </c>
      <c r="IG360" t="e">
        <f>AND('PROG FORMACIÓN TITULADA'!#REF!,"AAAAAG9blPA=")</f>
        <v>#REF!</v>
      </c>
      <c r="IH360" t="e">
        <f>AND('PROG FORMACIÓN TITULADA'!#REF!,"AAAAAG9blPE=")</f>
        <v>#REF!</v>
      </c>
      <c r="II360" t="e">
        <f>AND('PROG FORMACIÓN TITULADA'!#REF!,"AAAAAG9blPI=")</f>
        <v>#REF!</v>
      </c>
      <c r="IJ360" t="e">
        <f>AND('PROG FORMACIÓN TITULADA'!#REF!,"AAAAAG9blPM=")</f>
        <v>#REF!</v>
      </c>
      <c r="IK360" t="e">
        <f>AND('PROG FORMACIÓN TITULADA'!#REF!,"AAAAAG9blPQ=")</f>
        <v>#REF!</v>
      </c>
      <c r="IL360" t="e">
        <f>AND('PROG FORMACIÓN TITULADA'!#REF!,"AAAAAG9blPU=")</f>
        <v>#REF!</v>
      </c>
      <c r="IM360" t="e">
        <f>AND('PROG FORMACIÓN TITULADA'!#REF!,"AAAAAG9blPY=")</f>
        <v>#REF!</v>
      </c>
      <c r="IN360" t="e">
        <f>AND('PROG FORMACIÓN TITULADA'!#REF!,"AAAAAG9blPc=")</f>
        <v>#REF!</v>
      </c>
      <c r="IO360" t="e">
        <f>AND('PROG FORMACIÓN TITULADA'!#REF!,"AAAAAG9blPg=")</f>
        <v>#REF!</v>
      </c>
      <c r="IP360" t="e">
        <f>AND('PROG FORMACIÓN TITULADA'!#REF!,"AAAAAG9blPk=")</f>
        <v>#REF!</v>
      </c>
      <c r="IQ360" t="e">
        <f>AND('PROG FORMACIÓN TITULADA'!#REF!,"AAAAAG9blPo=")</f>
        <v>#REF!</v>
      </c>
      <c r="IR360" t="e">
        <f>AND('PROG FORMACIÓN TITULADA'!#REF!,"AAAAAG9blPs=")</f>
        <v>#REF!</v>
      </c>
      <c r="IS360" t="e">
        <f>AND('PROG FORMACIÓN TITULADA'!#REF!,"AAAAAG9blPw=")</f>
        <v>#REF!</v>
      </c>
      <c r="IT360" t="e">
        <f>AND('PROG FORMACIÓN TITULADA'!#REF!,"AAAAAG9blP0=")</f>
        <v>#REF!</v>
      </c>
      <c r="IU360" t="e">
        <f>AND('PROG FORMACIÓN TITULADA'!#REF!,"AAAAAG9blP4=")</f>
        <v>#REF!</v>
      </c>
      <c r="IV360" t="e">
        <f>AND('PROG FORMACIÓN TITULADA'!#REF!,"AAAAAG9blP8=")</f>
        <v>#REF!</v>
      </c>
    </row>
    <row r="361" spans="1:256" x14ac:dyDescent="0.2">
      <c r="A361" t="e">
        <f>AND('PROG FORMACIÓN TITULADA'!#REF!,"AAAAAH+jfwA=")</f>
        <v>#REF!</v>
      </c>
      <c r="B361" t="e">
        <f>AND('PROG FORMACIÓN TITULADA'!#REF!,"AAAAAH+jfwE=")</f>
        <v>#REF!</v>
      </c>
      <c r="C361" t="e">
        <f>AND('PROG FORMACIÓN TITULADA'!#REF!,"AAAAAH+jfwI=")</f>
        <v>#REF!</v>
      </c>
      <c r="D361" t="e">
        <f>AND('PROG FORMACIÓN TITULADA'!#REF!,"AAAAAH+jfwM=")</f>
        <v>#REF!</v>
      </c>
      <c r="E361" t="e">
        <f>AND('PROG FORMACIÓN TITULADA'!#REF!,"AAAAAH+jfwQ=")</f>
        <v>#REF!</v>
      </c>
      <c r="F361" t="e">
        <f>AND('PROG FORMACIÓN TITULADA'!#REF!,"AAAAAH+jfwU=")</f>
        <v>#REF!</v>
      </c>
      <c r="G361" t="e">
        <f>IF('PROG FORMACIÓN TITULADA'!#REF!,"AAAAAH+jfwY=",0)</f>
        <v>#REF!</v>
      </c>
      <c r="H361" t="e">
        <f>AND('PROG FORMACIÓN TITULADA'!#REF!,"AAAAAH+jfwc=")</f>
        <v>#REF!</v>
      </c>
      <c r="I361" t="e">
        <f>AND('PROG FORMACIÓN TITULADA'!#REF!,"AAAAAH+jfwg=")</f>
        <v>#REF!</v>
      </c>
      <c r="J361" t="e">
        <f>AND('PROG FORMACIÓN TITULADA'!#REF!,"AAAAAH+jfwk=")</f>
        <v>#REF!</v>
      </c>
      <c r="K361" t="e">
        <f>AND('PROG FORMACIÓN TITULADA'!#REF!,"AAAAAH+jfwo=")</f>
        <v>#REF!</v>
      </c>
      <c r="L361" t="e">
        <f>AND('PROG FORMACIÓN TITULADA'!#REF!,"AAAAAH+jfws=")</f>
        <v>#REF!</v>
      </c>
      <c r="M361" t="e">
        <f>AND('PROG FORMACIÓN TITULADA'!#REF!,"AAAAAH+jfww=")</f>
        <v>#REF!</v>
      </c>
      <c r="N361" t="e">
        <f>AND('PROG FORMACIÓN TITULADA'!#REF!,"AAAAAH+jfw0=")</f>
        <v>#REF!</v>
      </c>
      <c r="O361" t="e">
        <f>AND('PROG FORMACIÓN TITULADA'!#REF!,"AAAAAH+jfw4=")</f>
        <v>#REF!</v>
      </c>
      <c r="P361" t="e">
        <f>AND('PROG FORMACIÓN TITULADA'!#REF!,"AAAAAH+jfw8=")</f>
        <v>#REF!</v>
      </c>
      <c r="Q361" t="e">
        <f>AND('PROG FORMACIÓN TITULADA'!#REF!,"AAAAAH+jfxA=")</f>
        <v>#REF!</v>
      </c>
      <c r="R361" t="e">
        <f>AND('PROG FORMACIÓN TITULADA'!#REF!,"AAAAAH+jfxE=")</f>
        <v>#REF!</v>
      </c>
      <c r="S361" t="e">
        <f>AND('PROG FORMACIÓN TITULADA'!#REF!,"AAAAAH+jfxI=")</f>
        <v>#REF!</v>
      </c>
      <c r="T361" t="e">
        <f>AND('PROG FORMACIÓN TITULADA'!#REF!,"AAAAAH+jfxM=")</f>
        <v>#REF!</v>
      </c>
      <c r="U361" t="e">
        <f>AND('PROG FORMACIÓN TITULADA'!#REF!,"AAAAAH+jfxQ=")</f>
        <v>#REF!</v>
      </c>
      <c r="V361" t="e">
        <f>AND('PROG FORMACIÓN TITULADA'!#REF!,"AAAAAH+jfxU=")</f>
        <v>#REF!</v>
      </c>
      <c r="W361" t="e">
        <f>AND('PROG FORMACIÓN TITULADA'!#REF!,"AAAAAH+jfxY=")</f>
        <v>#REF!</v>
      </c>
      <c r="X361" t="e">
        <f>AND('PROG FORMACIÓN TITULADA'!#REF!,"AAAAAH+jfxc=")</f>
        <v>#REF!</v>
      </c>
      <c r="Y361" t="e">
        <f>AND('PROG FORMACIÓN TITULADA'!#REF!,"AAAAAH+jfxg=")</f>
        <v>#REF!</v>
      </c>
      <c r="Z361" t="e">
        <f>AND('PROG FORMACIÓN TITULADA'!#REF!,"AAAAAH+jfxk=")</f>
        <v>#REF!</v>
      </c>
      <c r="AA361" t="e">
        <f>AND('PROG FORMACIÓN TITULADA'!#REF!,"AAAAAH+jfxo=")</f>
        <v>#REF!</v>
      </c>
      <c r="AB361" t="e">
        <f>AND('PROG FORMACIÓN TITULADA'!#REF!,"AAAAAH+jfxs=")</f>
        <v>#REF!</v>
      </c>
      <c r="AC361" t="e">
        <f>AND('PROG FORMACIÓN TITULADA'!#REF!,"AAAAAH+jfxw=")</f>
        <v>#REF!</v>
      </c>
      <c r="AD361" t="e">
        <f>AND('PROG FORMACIÓN TITULADA'!#REF!,"AAAAAH+jfx0=")</f>
        <v>#REF!</v>
      </c>
      <c r="AE361" t="e">
        <f>AND('PROG FORMACIÓN TITULADA'!#REF!,"AAAAAH+jfx4=")</f>
        <v>#REF!</v>
      </c>
      <c r="AF361" t="e">
        <f>AND('PROG FORMACIÓN TITULADA'!#REF!,"AAAAAH+jfx8=")</f>
        <v>#REF!</v>
      </c>
      <c r="AG361" t="e">
        <f>AND('PROG FORMACIÓN TITULADA'!#REF!,"AAAAAH+jfyA=")</f>
        <v>#REF!</v>
      </c>
      <c r="AH361" t="e">
        <f>IF('PROG FORMACIÓN TITULADA'!#REF!,"AAAAAH+jfyE=",0)</f>
        <v>#REF!</v>
      </c>
      <c r="AI361" t="e">
        <f>AND('PROG FORMACIÓN TITULADA'!#REF!,"AAAAAH+jfyI=")</f>
        <v>#REF!</v>
      </c>
      <c r="AJ361" t="e">
        <f>AND('PROG FORMACIÓN TITULADA'!#REF!,"AAAAAH+jfyM=")</f>
        <v>#REF!</v>
      </c>
      <c r="AK361" t="e">
        <f>AND('PROG FORMACIÓN TITULADA'!#REF!,"AAAAAH+jfyQ=")</f>
        <v>#REF!</v>
      </c>
      <c r="AL361" t="e">
        <f>AND('PROG FORMACIÓN TITULADA'!#REF!,"AAAAAH+jfyU=")</f>
        <v>#REF!</v>
      </c>
      <c r="AM361" t="e">
        <f>AND('PROG FORMACIÓN TITULADA'!#REF!,"AAAAAH+jfyY=")</f>
        <v>#REF!</v>
      </c>
      <c r="AN361" t="e">
        <f>AND('PROG FORMACIÓN TITULADA'!#REF!,"AAAAAH+jfyc=")</f>
        <v>#REF!</v>
      </c>
      <c r="AO361" t="e">
        <f>AND('PROG FORMACIÓN TITULADA'!#REF!,"AAAAAH+jfyg=")</f>
        <v>#REF!</v>
      </c>
      <c r="AP361" t="e">
        <f>AND('PROG FORMACIÓN TITULADA'!#REF!,"AAAAAH+jfyk=")</f>
        <v>#REF!</v>
      </c>
      <c r="AQ361" t="e">
        <f>AND('PROG FORMACIÓN TITULADA'!#REF!,"AAAAAH+jfyo=")</f>
        <v>#REF!</v>
      </c>
      <c r="AR361" t="e">
        <f>AND('PROG FORMACIÓN TITULADA'!#REF!,"AAAAAH+jfys=")</f>
        <v>#REF!</v>
      </c>
      <c r="AS361" t="e">
        <f>AND('PROG FORMACIÓN TITULADA'!#REF!,"AAAAAH+jfyw=")</f>
        <v>#REF!</v>
      </c>
      <c r="AT361" t="e">
        <f>AND('PROG FORMACIÓN TITULADA'!#REF!,"AAAAAH+jfy0=")</f>
        <v>#REF!</v>
      </c>
      <c r="AU361" t="e">
        <f>AND('PROG FORMACIÓN TITULADA'!#REF!,"AAAAAH+jfy4=")</f>
        <v>#REF!</v>
      </c>
      <c r="AV361" t="e">
        <f>AND('PROG FORMACIÓN TITULADA'!#REF!,"AAAAAH+jfy8=")</f>
        <v>#REF!</v>
      </c>
      <c r="AW361" t="e">
        <f>AND('PROG FORMACIÓN TITULADA'!#REF!,"AAAAAH+jfzA=")</f>
        <v>#REF!</v>
      </c>
      <c r="AX361" t="e">
        <f>AND('PROG FORMACIÓN TITULADA'!#REF!,"AAAAAH+jfzE=")</f>
        <v>#REF!</v>
      </c>
      <c r="AY361" t="e">
        <f>AND('PROG FORMACIÓN TITULADA'!#REF!,"AAAAAH+jfzI=")</f>
        <v>#REF!</v>
      </c>
      <c r="AZ361" t="e">
        <f>AND('PROG FORMACIÓN TITULADA'!#REF!,"AAAAAH+jfzM=")</f>
        <v>#REF!</v>
      </c>
      <c r="BA361" t="e">
        <f>AND('PROG FORMACIÓN TITULADA'!#REF!,"AAAAAH+jfzQ=")</f>
        <v>#REF!</v>
      </c>
      <c r="BB361" t="e">
        <f>AND('PROG FORMACIÓN TITULADA'!#REF!,"AAAAAH+jfzU=")</f>
        <v>#REF!</v>
      </c>
      <c r="BC361" t="e">
        <f>AND('PROG FORMACIÓN TITULADA'!#REF!,"AAAAAH+jfzY=")</f>
        <v>#REF!</v>
      </c>
      <c r="BD361" t="e">
        <f>AND('PROG FORMACIÓN TITULADA'!#REF!,"AAAAAH+jfzc=")</f>
        <v>#REF!</v>
      </c>
      <c r="BE361" t="e">
        <f>AND('PROG FORMACIÓN TITULADA'!#REF!,"AAAAAH+jfzg=")</f>
        <v>#REF!</v>
      </c>
      <c r="BF361" t="e">
        <f>AND('PROG FORMACIÓN TITULADA'!#REF!,"AAAAAH+jfzk=")</f>
        <v>#REF!</v>
      </c>
      <c r="BG361" t="e">
        <f>AND('PROG FORMACIÓN TITULADA'!#REF!,"AAAAAH+jfzo=")</f>
        <v>#REF!</v>
      </c>
      <c r="BH361" t="e">
        <f>AND('PROG FORMACIÓN TITULADA'!#REF!,"AAAAAH+jfzs=")</f>
        <v>#REF!</v>
      </c>
      <c r="BI361" t="e">
        <f>IF('PROG FORMACIÓN TITULADA'!#REF!,"AAAAAH+jfzw=",0)</f>
        <v>#REF!</v>
      </c>
      <c r="BJ361" t="e">
        <f>AND('PROG FORMACIÓN TITULADA'!#REF!,"AAAAAH+jfz0=")</f>
        <v>#REF!</v>
      </c>
      <c r="BK361" t="e">
        <f>AND('PROG FORMACIÓN TITULADA'!#REF!,"AAAAAH+jfz4=")</f>
        <v>#REF!</v>
      </c>
      <c r="BL361" t="e">
        <f>AND('PROG FORMACIÓN TITULADA'!#REF!,"AAAAAH+jfz8=")</f>
        <v>#REF!</v>
      </c>
      <c r="BM361" t="e">
        <f>AND('PROG FORMACIÓN TITULADA'!#REF!,"AAAAAH+jf0A=")</f>
        <v>#REF!</v>
      </c>
      <c r="BN361" t="e">
        <f>AND('PROG FORMACIÓN TITULADA'!#REF!,"AAAAAH+jf0E=")</f>
        <v>#REF!</v>
      </c>
      <c r="BO361" t="e">
        <f>AND('PROG FORMACIÓN TITULADA'!#REF!,"AAAAAH+jf0I=")</f>
        <v>#REF!</v>
      </c>
      <c r="BP361" t="e">
        <f>AND('PROG FORMACIÓN TITULADA'!#REF!,"AAAAAH+jf0M=")</f>
        <v>#REF!</v>
      </c>
      <c r="BQ361" t="e">
        <f>AND('PROG FORMACIÓN TITULADA'!#REF!,"AAAAAH+jf0Q=")</f>
        <v>#REF!</v>
      </c>
      <c r="BR361" t="e">
        <f>AND('PROG FORMACIÓN TITULADA'!#REF!,"AAAAAH+jf0U=")</f>
        <v>#REF!</v>
      </c>
      <c r="BS361" t="e">
        <f>AND('PROG FORMACIÓN TITULADA'!#REF!,"AAAAAH+jf0Y=")</f>
        <v>#REF!</v>
      </c>
      <c r="BT361" t="e">
        <f>AND('PROG FORMACIÓN TITULADA'!#REF!,"AAAAAH+jf0c=")</f>
        <v>#REF!</v>
      </c>
      <c r="BU361" t="e">
        <f>AND('PROG FORMACIÓN TITULADA'!#REF!,"AAAAAH+jf0g=")</f>
        <v>#REF!</v>
      </c>
      <c r="BV361" t="e">
        <f>AND('PROG FORMACIÓN TITULADA'!#REF!,"AAAAAH+jf0k=")</f>
        <v>#REF!</v>
      </c>
      <c r="BW361" t="e">
        <f>AND('PROG FORMACIÓN TITULADA'!#REF!,"AAAAAH+jf0o=")</f>
        <v>#REF!</v>
      </c>
      <c r="BX361" t="e">
        <f>AND('PROG FORMACIÓN TITULADA'!#REF!,"AAAAAH+jf0s=")</f>
        <v>#REF!</v>
      </c>
      <c r="BY361" t="e">
        <f>AND('PROG FORMACIÓN TITULADA'!#REF!,"AAAAAH+jf0w=")</f>
        <v>#REF!</v>
      </c>
      <c r="BZ361" t="e">
        <f>AND('PROG FORMACIÓN TITULADA'!#REF!,"AAAAAH+jf00=")</f>
        <v>#REF!</v>
      </c>
      <c r="CA361" t="e">
        <f>AND('PROG FORMACIÓN TITULADA'!#REF!,"AAAAAH+jf04=")</f>
        <v>#REF!</v>
      </c>
      <c r="CB361" t="e">
        <f>AND('PROG FORMACIÓN TITULADA'!#REF!,"AAAAAH+jf08=")</f>
        <v>#REF!</v>
      </c>
      <c r="CC361" t="e">
        <f>AND('PROG FORMACIÓN TITULADA'!#REF!,"AAAAAH+jf1A=")</f>
        <v>#REF!</v>
      </c>
      <c r="CD361" t="e">
        <f>AND('PROG FORMACIÓN TITULADA'!#REF!,"AAAAAH+jf1E=")</f>
        <v>#REF!</v>
      </c>
      <c r="CE361" t="e">
        <f>AND('PROG FORMACIÓN TITULADA'!#REF!,"AAAAAH+jf1I=")</f>
        <v>#REF!</v>
      </c>
      <c r="CF361" t="e">
        <f>AND('PROG FORMACIÓN TITULADA'!#REF!,"AAAAAH+jf1M=")</f>
        <v>#REF!</v>
      </c>
      <c r="CG361" t="e">
        <f>AND('PROG FORMACIÓN TITULADA'!#REF!,"AAAAAH+jf1Q=")</f>
        <v>#REF!</v>
      </c>
      <c r="CH361" t="e">
        <f>AND('PROG FORMACIÓN TITULADA'!#REF!,"AAAAAH+jf1U=")</f>
        <v>#REF!</v>
      </c>
      <c r="CI361" t="e">
        <f>AND('PROG FORMACIÓN TITULADA'!#REF!,"AAAAAH+jf1Y=")</f>
        <v>#REF!</v>
      </c>
      <c r="CJ361" t="e">
        <f>IF('PROG FORMACIÓN TITULADA'!#REF!,"AAAAAH+jf1c=",0)</f>
        <v>#REF!</v>
      </c>
      <c r="CK361" t="e">
        <f>AND('PROG FORMACIÓN TITULADA'!#REF!,"AAAAAH+jf1g=")</f>
        <v>#REF!</v>
      </c>
      <c r="CL361" t="e">
        <f>AND('PROG FORMACIÓN TITULADA'!#REF!,"AAAAAH+jf1k=")</f>
        <v>#REF!</v>
      </c>
      <c r="CM361" t="e">
        <f>AND('PROG FORMACIÓN TITULADA'!#REF!,"AAAAAH+jf1o=")</f>
        <v>#REF!</v>
      </c>
      <c r="CN361" t="e">
        <f>AND('PROG FORMACIÓN TITULADA'!#REF!,"AAAAAH+jf1s=")</f>
        <v>#REF!</v>
      </c>
      <c r="CO361" t="e">
        <f>AND('PROG FORMACIÓN TITULADA'!#REF!,"AAAAAH+jf1w=")</f>
        <v>#REF!</v>
      </c>
      <c r="CP361" t="e">
        <f>AND('PROG FORMACIÓN TITULADA'!#REF!,"AAAAAH+jf10=")</f>
        <v>#REF!</v>
      </c>
      <c r="CQ361" t="e">
        <f>AND('PROG FORMACIÓN TITULADA'!#REF!,"AAAAAH+jf14=")</f>
        <v>#REF!</v>
      </c>
      <c r="CR361" t="e">
        <f>AND('PROG FORMACIÓN TITULADA'!#REF!,"AAAAAH+jf18=")</f>
        <v>#REF!</v>
      </c>
      <c r="CS361" t="e">
        <f>AND('PROG FORMACIÓN TITULADA'!#REF!,"AAAAAH+jf2A=")</f>
        <v>#REF!</v>
      </c>
      <c r="CT361" t="e">
        <f>AND('PROG FORMACIÓN TITULADA'!#REF!,"AAAAAH+jf2E=")</f>
        <v>#REF!</v>
      </c>
      <c r="CU361" t="e">
        <f>AND('PROG FORMACIÓN TITULADA'!#REF!,"AAAAAH+jf2I=")</f>
        <v>#REF!</v>
      </c>
      <c r="CV361" t="e">
        <f>AND('PROG FORMACIÓN TITULADA'!#REF!,"AAAAAH+jf2M=")</f>
        <v>#REF!</v>
      </c>
      <c r="CW361" t="e">
        <f>AND('PROG FORMACIÓN TITULADA'!#REF!,"AAAAAH+jf2Q=")</f>
        <v>#REF!</v>
      </c>
      <c r="CX361" t="e">
        <f>AND('PROG FORMACIÓN TITULADA'!#REF!,"AAAAAH+jf2U=")</f>
        <v>#REF!</v>
      </c>
      <c r="CY361" t="e">
        <f>AND('PROG FORMACIÓN TITULADA'!#REF!,"AAAAAH+jf2Y=")</f>
        <v>#REF!</v>
      </c>
      <c r="CZ361" t="e">
        <f>AND('PROG FORMACIÓN TITULADA'!#REF!,"AAAAAH+jf2c=")</f>
        <v>#REF!</v>
      </c>
      <c r="DA361" t="e">
        <f>AND('PROG FORMACIÓN TITULADA'!#REF!,"AAAAAH+jf2g=")</f>
        <v>#REF!</v>
      </c>
      <c r="DB361" t="e">
        <f>AND('PROG FORMACIÓN TITULADA'!#REF!,"AAAAAH+jf2k=")</f>
        <v>#REF!</v>
      </c>
      <c r="DC361" t="e">
        <f>AND('PROG FORMACIÓN TITULADA'!#REF!,"AAAAAH+jf2o=")</f>
        <v>#REF!</v>
      </c>
      <c r="DD361" t="e">
        <f>AND('PROG FORMACIÓN TITULADA'!#REF!,"AAAAAH+jf2s=")</f>
        <v>#REF!</v>
      </c>
      <c r="DE361" t="e">
        <f>AND('PROG FORMACIÓN TITULADA'!#REF!,"AAAAAH+jf2w=")</f>
        <v>#REF!</v>
      </c>
      <c r="DF361" t="e">
        <f>AND('PROG FORMACIÓN TITULADA'!#REF!,"AAAAAH+jf20=")</f>
        <v>#REF!</v>
      </c>
      <c r="DG361" t="e">
        <f>AND('PROG FORMACIÓN TITULADA'!#REF!,"AAAAAH+jf24=")</f>
        <v>#REF!</v>
      </c>
      <c r="DH361" t="e">
        <f>AND('PROG FORMACIÓN TITULADA'!#REF!,"AAAAAH+jf28=")</f>
        <v>#REF!</v>
      </c>
      <c r="DI361" t="e">
        <f>AND('PROG FORMACIÓN TITULADA'!#REF!,"AAAAAH+jf3A=")</f>
        <v>#REF!</v>
      </c>
      <c r="DJ361" t="e">
        <f>AND('PROG FORMACIÓN TITULADA'!#REF!,"AAAAAH+jf3E=")</f>
        <v>#REF!</v>
      </c>
      <c r="DK361" t="e">
        <f>IF('PROG FORMACIÓN TITULADA'!#REF!,"AAAAAH+jf3I=",0)</f>
        <v>#REF!</v>
      </c>
      <c r="DL361" t="e">
        <f>AND('PROG FORMACIÓN TITULADA'!#REF!,"AAAAAH+jf3M=")</f>
        <v>#REF!</v>
      </c>
      <c r="DM361" t="e">
        <f>AND('PROG FORMACIÓN TITULADA'!#REF!,"AAAAAH+jf3Q=")</f>
        <v>#REF!</v>
      </c>
      <c r="DN361" t="e">
        <f>AND('PROG FORMACIÓN TITULADA'!#REF!,"AAAAAH+jf3U=")</f>
        <v>#REF!</v>
      </c>
      <c r="DO361" t="e">
        <f>AND('PROG FORMACIÓN TITULADA'!#REF!,"AAAAAH+jf3Y=")</f>
        <v>#REF!</v>
      </c>
      <c r="DP361" t="e">
        <f>AND('PROG FORMACIÓN TITULADA'!#REF!,"AAAAAH+jf3c=")</f>
        <v>#REF!</v>
      </c>
      <c r="DQ361" t="e">
        <f>AND('PROG FORMACIÓN TITULADA'!#REF!,"AAAAAH+jf3g=")</f>
        <v>#REF!</v>
      </c>
      <c r="DR361" t="e">
        <f>AND('PROG FORMACIÓN TITULADA'!#REF!,"AAAAAH+jf3k=")</f>
        <v>#REF!</v>
      </c>
      <c r="DS361" t="e">
        <f>AND('PROG FORMACIÓN TITULADA'!#REF!,"AAAAAH+jf3o=")</f>
        <v>#REF!</v>
      </c>
      <c r="DT361" t="e">
        <f>AND('PROG FORMACIÓN TITULADA'!#REF!,"AAAAAH+jf3s=")</f>
        <v>#REF!</v>
      </c>
      <c r="DU361" t="e">
        <f>AND('PROG FORMACIÓN TITULADA'!#REF!,"AAAAAH+jf3w=")</f>
        <v>#REF!</v>
      </c>
      <c r="DV361" t="e">
        <f>AND('PROG FORMACIÓN TITULADA'!#REF!,"AAAAAH+jf30=")</f>
        <v>#REF!</v>
      </c>
      <c r="DW361" t="e">
        <f>AND('PROG FORMACIÓN TITULADA'!#REF!,"AAAAAH+jf34=")</f>
        <v>#REF!</v>
      </c>
      <c r="DX361" t="e">
        <f>AND('PROG FORMACIÓN TITULADA'!#REF!,"AAAAAH+jf38=")</f>
        <v>#REF!</v>
      </c>
      <c r="DY361" t="e">
        <f>AND('PROG FORMACIÓN TITULADA'!#REF!,"AAAAAH+jf4A=")</f>
        <v>#REF!</v>
      </c>
      <c r="DZ361" t="e">
        <f>AND('PROG FORMACIÓN TITULADA'!#REF!,"AAAAAH+jf4E=")</f>
        <v>#REF!</v>
      </c>
      <c r="EA361" t="e">
        <f>AND('PROG FORMACIÓN TITULADA'!#REF!,"AAAAAH+jf4I=")</f>
        <v>#REF!</v>
      </c>
      <c r="EB361" t="e">
        <f>AND('PROG FORMACIÓN TITULADA'!#REF!,"AAAAAH+jf4M=")</f>
        <v>#REF!</v>
      </c>
      <c r="EC361" t="e">
        <f>AND('PROG FORMACIÓN TITULADA'!#REF!,"AAAAAH+jf4Q=")</f>
        <v>#REF!</v>
      </c>
      <c r="ED361" t="e">
        <f>AND('PROG FORMACIÓN TITULADA'!#REF!,"AAAAAH+jf4U=")</f>
        <v>#REF!</v>
      </c>
      <c r="EE361" t="e">
        <f>AND('PROG FORMACIÓN TITULADA'!#REF!,"AAAAAH+jf4Y=")</f>
        <v>#REF!</v>
      </c>
      <c r="EF361" t="e">
        <f>AND('PROG FORMACIÓN TITULADA'!#REF!,"AAAAAH+jf4c=")</f>
        <v>#REF!</v>
      </c>
      <c r="EG361" t="e">
        <f>AND('PROG FORMACIÓN TITULADA'!#REF!,"AAAAAH+jf4g=")</f>
        <v>#REF!</v>
      </c>
      <c r="EH361" t="e">
        <f>AND('PROG FORMACIÓN TITULADA'!#REF!,"AAAAAH+jf4k=")</f>
        <v>#REF!</v>
      </c>
      <c r="EI361" t="e">
        <f>AND('PROG FORMACIÓN TITULADA'!#REF!,"AAAAAH+jf4o=")</f>
        <v>#REF!</v>
      </c>
      <c r="EJ361" t="e">
        <f>AND('PROG FORMACIÓN TITULADA'!#REF!,"AAAAAH+jf4s=")</f>
        <v>#REF!</v>
      </c>
      <c r="EK361" t="e">
        <f>AND('PROG FORMACIÓN TITULADA'!#REF!,"AAAAAH+jf4w=")</f>
        <v>#REF!</v>
      </c>
      <c r="EL361" t="e">
        <f>IF('PROG FORMACIÓN TITULADA'!#REF!,"AAAAAH+jf40=",0)</f>
        <v>#REF!</v>
      </c>
      <c r="EM361" t="e">
        <f>AND('PROG FORMACIÓN TITULADA'!#REF!,"AAAAAH+jf44=")</f>
        <v>#REF!</v>
      </c>
      <c r="EN361" t="e">
        <f>AND('PROG FORMACIÓN TITULADA'!#REF!,"AAAAAH+jf48=")</f>
        <v>#REF!</v>
      </c>
      <c r="EO361" t="e">
        <f>AND('PROG FORMACIÓN TITULADA'!#REF!,"AAAAAH+jf5A=")</f>
        <v>#REF!</v>
      </c>
      <c r="EP361" t="e">
        <f>AND('PROG FORMACIÓN TITULADA'!#REF!,"AAAAAH+jf5E=")</f>
        <v>#REF!</v>
      </c>
      <c r="EQ361" t="e">
        <f>AND('PROG FORMACIÓN TITULADA'!#REF!,"AAAAAH+jf5I=")</f>
        <v>#REF!</v>
      </c>
      <c r="ER361" t="e">
        <f>AND('PROG FORMACIÓN TITULADA'!#REF!,"AAAAAH+jf5M=")</f>
        <v>#REF!</v>
      </c>
      <c r="ES361" t="e">
        <f>AND('PROG FORMACIÓN TITULADA'!#REF!,"AAAAAH+jf5Q=")</f>
        <v>#REF!</v>
      </c>
      <c r="ET361" t="e">
        <f>AND('PROG FORMACIÓN TITULADA'!#REF!,"AAAAAH+jf5U=")</f>
        <v>#REF!</v>
      </c>
      <c r="EU361" t="e">
        <f>AND('PROG FORMACIÓN TITULADA'!#REF!,"AAAAAH+jf5Y=")</f>
        <v>#REF!</v>
      </c>
      <c r="EV361" t="e">
        <f>AND('PROG FORMACIÓN TITULADA'!#REF!,"AAAAAH+jf5c=")</f>
        <v>#REF!</v>
      </c>
      <c r="EW361" t="e">
        <f>AND('PROG FORMACIÓN TITULADA'!#REF!,"AAAAAH+jf5g=")</f>
        <v>#REF!</v>
      </c>
      <c r="EX361" t="e">
        <f>AND('PROG FORMACIÓN TITULADA'!#REF!,"AAAAAH+jf5k=")</f>
        <v>#REF!</v>
      </c>
      <c r="EY361" t="e">
        <f>AND('PROG FORMACIÓN TITULADA'!#REF!,"AAAAAH+jf5o=")</f>
        <v>#REF!</v>
      </c>
      <c r="EZ361" t="e">
        <f>AND('PROG FORMACIÓN TITULADA'!#REF!,"AAAAAH+jf5s=")</f>
        <v>#REF!</v>
      </c>
      <c r="FA361" t="e">
        <f>AND('PROG FORMACIÓN TITULADA'!#REF!,"AAAAAH+jf5w=")</f>
        <v>#REF!</v>
      </c>
      <c r="FB361" t="e">
        <f>AND('PROG FORMACIÓN TITULADA'!#REF!,"AAAAAH+jf50=")</f>
        <v>#REF!</v>
      </c>
      <c r="FC361" t="e">
        <f>AND('PROG FORMACIÓN TITULADA'!#REF!,"AAAAAH+jf54=")</f>
        <v>#REF!</v>
      </c>
      <c r="FD361" t="e">
        <f>AND('PROG FORMACIÓN TITULADA'!#REF!,"AAAAAH+jf58=")</f>
        <v>#REF!</v>
      </c>
      <c r="FE361" t="e">
        <f>AND('PROG FORMACIÓN TITULADA'!#REF!,"AAAAAH+jf6A=")</f>
        <v>#REF!</v>
      </c>
      <c r="FF361" t="e">
        <f>AND('PROG FORMACIÓN TITULADA'!#REF!,"AAAAAH+jf6E=")</f>
        <v>#REF!</v>
      </c>
      <c r="FG361" t="e">
        <f>AND('PROG FORMACIÓN TITULADA'!#REF!,"AAAAAH+jf6I=")</f>
        <v>#REF!</v>
      </c>
      <c r="FH361" t="e">
        <f>AND('PROG FORMACIÓN TITULADA'!#REF!,"AAAAAH+jf6M=")</f>
        <v>#REF!</v>
      </c>
      <c r="FI361" t="e">
        <f>AND('PROG FORMACIÓN TITULADA'!#REF!,"AAAAAH+jf6Q=")</f>
        <v>#REF!</v>
      </c>
      <c r="FJ361" t="e">
        <f>AND('PROG FORMACIÓN TITULADA'!#REF!,"AAAAAH+jf6U=")</f>
        <v>#REF!</v>
      </c>
      <c r="FK361" t="e">
        <f>AND('PROG FORMACIÓN TITULADA'!#REF!,"AAAAAH+jf6Y=")</f>
        <v>#REF!</v>
      </c>
      <c r="FL361" t="e">
        <f>AND('PROG FORMACIÓN TITULADA'!#REF!,"AAAAAH+jf6c=")</f>
        <v>#REF!</v>
      </c>
      <c r="FM361" t="e">
        <f>IF('PROG FORMACIÓN TITULADA'!#REF!,"AAAAAH+jf6g=",0)</f>
        <v>#REF!</v>
      </c>
      <c r="FN361" t="e">
        <f>AND('PROG FORMACIÓN TITULADA'!#REF!,"AAAAAH+jf6k=")</f>
        <v>#REF!</v>
      </c>
      <c r="FO361" t="e">
        <f>AND('PROG FORMACIÓN TITULADA'!#REF!,"AAAAAH+jf6o=")</f>
        <v>#REF!</v>
      </c>
      <c r="FP361" t="e">
        <f>AND('PROG FORMACIÓN TITULADA'!#REF!,"AAAAAH+jf6s=")</f>
        <v>#REF!</v>
      </c>
      <c r="FQ361" t="e">
        <f>AND('PROG FORMACIÓN TITULADA'!#REF!,"AAAAAH+jf6w=")</f>
        <v>#REF!</v>
      </c>
      <c r="FR361" t="e">
        <f>AND('PROG FORMACIÓN TITULADA'!#REF!,"AAAAAH+jf60=")</f>
        <v>#REF!</v>
      </c>
      <c r="FS361" t="e">
        <f>AND('PROG FORMACIÓN TITULADA'!#REF!,"AAAAAH+jf64=")</f>
        <v>#REF!</v>
      </c>
      <c r="FT361" t="e">
        <f>AND('PROG FORMACIÓN TITULADA'!#REF!,"AAAAAH+jf68=")</f>
        <v>#REF!</v>
      </c>
      <c r="FU361" t="e">
        <f>AND('PROG FORMACIÓN TITULADA'!#REF!,"AAAAAH+jf7A=")</f>
        <v>#REF!</v>
      </c>
      <c r="FV361" t="e">
        <f>AND('PROG FORMACIÓN TITULADA'!#REF!,"AAAAAH+jf7E=")</f>
        <v>#REF!</v>
      </c>
      <c r="FW361" t="e">
        <f>AND('PROG FORMACIÓN TITULADA'!#REF!,"AAAAAH+jf7I=")</f>
        <v>#REF!</v>
      </c>
      <c r="FX361" t="e">
        <f>AND('PROG FORMACIÓN TITULADA'!#REF!,"AAAAAH+jf7M=")</f>
        <v>#REF!</v>
      </c>
      <c r="FY361" t="e">
        <f>AND('PROG FORMACIÓN TITULADA'!#REF!,"AAAAAH+jf7Q=")</f>
        <v>#REF!</v>
      </c>
      <c r="FZ361" t="e">
        <f>AND('PROG FORMACIÓN TITULADA'!#REF!,"AAAAAH+jf7U=")</f>
        <v>#REF!</v>
      </c>
      <c r="GA361" t="e">
        <f>AND('PROG FORMACIÓN TITULADA'!#REF!,"AAAAAH+jf7Y=")</f>
        <v>#REF!</v>
      </c>
      <c r="GB361" t="e">
        <f>AND('PROG FORMACIÓN TITULADA'!#REF!,"AAAAAH+jf7c=")</f>
        <v>#REF!</v>
      </c>
      <c r="GC361" t="e">
        <f>AND('PROG FORMACIÓN TITULADA'!#REF!,"AAAAAH+jf7g=")</f>
        <v>#REF!</v>
      </c>
      <c r="GD361" t="e">
        <f>AND('PROG FORMACIÓN TITULADA'!#REF!,"AAAAAH+jf7k=")</f>
        <v>#REF!</v>
      </c>
      <c r="GE361" t="e">
        <f>AND('PROG FORMACIÓN TITULADA'!#REF!,"AAAAAH+jf7o=")</f>
        <v>#REF!</v>
      </c>
      <c r="GF361" t="e">
        <f>AND('PROG FORMACIÓN TITULADA'!#REF!,"AAAAAH+jf7s=")</f>
        <v>#REF!</v>
      </c>
      <c r="GG361" t="e">
        <f>AND('PROG FORMACIÓN TITULADA'!#REF!,"AAAAAH+jf7w=")</f>
        <v>#REF!</v>
      </c>
      <c r="GH361" t="e">
        <f>AND('PROG FORMACIÓN TITULADA'!#REF!,"AAAAAH+jf70=")</f>
        <v>#REF!</v>
      </c>
      <c r="GI361" t="e">
        <f>AND('PROG FORMACIÓN TITULADA'!#REF!,"AAAAAH+jf74=")</f>
        <v>#REF!</v>
      </c>
      <c r="GJ361" t="e">
        <f>AND('PROG FORMACIÓN TITULADA'!#REF!,"AAAAAH+jf78=")</f>
        <v>#REF!</v>
      </c>
      <c r="GK361" t="e">
        <f>AND('PROG FORMACIÓN TITULADA'!#REF!,"AAAAAH+jf8A=")</f>
        <v>#REF!</v>
      </c>
      <c r="GL361" t="e">
        <f>AND('PROG FORMACIÓN TITULADA'!#REF!,"AAAAAH+jf8E=")</f>
        <v>#REF!</v>
      </c>
      <c r="GM361" t="e">
        <f>AND('PROG FORMACIÓN TITULADA'!#REF!,"AAAAAH+jf8I=")</f>
        <v>#REF!</v>
      </c>
      <c r="GN361" t="e">
        <f>IF('PROG FORMACIÓN TITULADA'!#REF!,"AAAAAH+jf8M=",0)</f>
        <v>#REF!</v>
      </c>
      <c r="GO361" t="e">
        <f>AND('PROG FORMACIÓN TITULADA'!#REF!,"AAAAAH+jf8Q=")</f>
        <v>#REF!</v>
      </c>
      <c r="GP361" t="e">
        <f>AND('PROG FORMACIÓN TITULADA'!#REF!,"AAAAAH+jf8U=")</f>
        <v>#REF!</v>
      </c>
      <c r="GQ361" t="e">
        <f>AND('PROG FORMACIÓN TITULADA'!#REF!,"AAAAAH+jf8Y=")</f>
        <v>#REF!</v>
      </c>
      <c r="GR361" t="e">
        <f>AND('PROG FORMACIÓN TITULADA'!#REF!,"AAAAAH+jf8c=")</f>
        <v>#REF!</v>
      </c>
      <c r="GS361" t="e">
        <f>AND('PROG FORMACIÓN TITULADA'!#REF!,"AAAAAH+jf8g=")</f>
        <v>#REF!</v>
      </c>
      <c r="GT361" t="e">
        <f>AND('PROG FORMACIÓN TITULADA'!#REF!,"AAAAAH+jf8k=")</f>
        <v>#REF!</v>
      </c>
      <c r="GU361" t="e">
        <f>AND('PROG FORMACIÓN TITULADA'!#REF!,"AAAAAH+jf8o=")</f>
        <v>#REF!</v>
      </c>
      <c r="GV361" t="e">
        <f>AND('PROG FORMACIÓN TITULADA'!#REF!,"AAAAAH+jf8s=")</f>
        <v>#REF!</v>
      </c>
      <c r="GW361" t="e">
        <f>AND('PROG FORMACIÓN TITULADA'!#REF!,"AAAAAH+jf8w=")</f>
        <v>#REF!</v>
      </c>
      <c r="GX361" t="e">
        <f>AND('PROG FORMACIÓN TITULADA'!#REF!,"AAAAAH+jf80=")</f>
        <v>#REF!</v>
      </c>
      <c r="GY361" t="e">
        <f>AND('PROG FORMACIÓN TITULADA'!#REF!,"AAAAAH+jf84=")</f>
        <v>#REF!</v>
      </c>
      <c r="GZ361" t="e">
        <f>AND('PROG FORMACIÓN TITULADA'!#REF!,"AAAAAH+jf88=")</f>
        <v>#REF!</v>
      </c>
      <c r="HA361" t="e">
        <f>AND('PROG FORMACIÓN TITULADA'!#REF!,"AAAAAH+jf9A=")</f>
        <v>#REF!</v>
      </c>
      <c r="HB361" t="e">
        <f>AND('PROG FORMACIÓN TITULADA'!#REF!,"AAAAAH+jf9E=")</f>
        <v>#REF!</v>
      </c>
      <c r="HC361" t="e">
        <f>AND('PROG FORMACIÓN TITULADA'!#REF!,"AAAAAH+jf9I=")</f>
        <v>#REF!</v>
      </c>
      <c r="HD361" t="e">
        <f>AND('PROG FORMACIÓN TITULADA'!#REF!,"AAAAAH+jf9M=")</f>
        <v>#REF!</v>
      </c>
      <c r="HE361" t="e">
        <f>AND('PROG FORMACIÓN TITULADA'!#REF!,"AAAAAH+jf9Q=")</f>
        <v>#REF!</v>
      </c>
      <c r="HF361" t="e">
        <f>AND('PROG FORMACIÓN TITULADA'!#REF!,"AAAAAH+jf9U=")</f>
        <v>#REF!</v>
      </c>
      <c r="HG361" t="e">
        <f>AND('PROG FORMACIÓN TITULADA'!#REF!,"AAAAAH+jf9Y=")</f>
        <v>#REF!</v>
      </c>
      <c r="HH361" t="e">
        <f>AND('PROG FORMACIÓN TITULADA'!#REF!,"AAAAAH+jf9c=")</f>
        <v>#REF!</v>
      </c>
      <c r="HI361" t="e">
        <f>AND('PROG FORMACIÓN TITULADA'!#REF!,"AAAAAH+jf9g=")</f>
        <v>#REF!</v>
      </c>
      <c r="HJ361" t="e">
        <f>AND('PROG FORMACIÓN TITULADA'!#REF!,"AAAAAH+jf9k=")</f>
        <v>#REF!</v>
      </c>
      <c r="HK361" t="e">
        <f>AND('PROG FORMACIÓN TITULADA'!#REF!,"AAAAAH+jf9o=")</f>
        <v>#REF!</v>
      </c>
      <c r="HL361" t="e">
        <f>AND('PROG FORMACIÓN TITULADA'!#REF!,"AAAAAH+jf9s=")</f>
        <v>#REF!</v>
      </c>
      <c r="HM361" t="e">
        <f>AND('PROG FORMACIÓN TITULADA'!#REF!,"AAAAAH+jf9w=")</f>
        <v>#REF!</v>
      </c>
      <c r="HN361" t="e">
        <f>AND('PROG FORMACIÓN TITULADA'!#REF!,"AAAAAH+jf90=")</f>
        <v>#REF!</v>
      </c>
      <c r="HO361" t="e">
        <f>IF('PROG FORMACIÓN TITULADA'!#REF!,"AAAAAH+jf94=",0)</f>
        <v>#REF!</v>
      </c>
      <c r="HP361" t="e">
        <f>AND('PROG FORMACIÓN TITULADA'!#REF!,"AAAAAH+jf98=")</f>
        <v>#REF!</v>
      </c>
      <c r="HQ361" t="e">
        <f>AND('PROG FORMACIÓN TITULADA'!#REF!,"AAAAAH+jf+A=")</f>
        <v>#REF!</v>
      </c>
      <c r="HR361" t="e">
        <f>AND('PROG FORMACIÓN TITULADA'!#REF!,"AAAAAH+jf+E=")</f>
        <v>#REF!</v>
      </c>
      <c r="HS361" t="e">
        <f>AND('PROG FORMACIÓN TITULADA'!#REF!,"AAAAAH+jf+I=")</f>
        <v>#REF!</v>
      </c>
      <c r="HT361" t="e">
        <f>AND('PROG FORMACIÓN TITULADA'!#REF!,"AAAAAH+jf+M=")</f>
        <v>#REF!</v>
      </c>
      <c r="HU361" t="e">
        <f>AND('PROG FORMACIÓN TITULADA'!#REF!,"AAAAAH+jf+Q=")</f>
        <v>#REF!</v>
      </c>
      <c r="HV361" t="e">
        <f>AND('PROG FORMACIÓN TITULADA'!#REF!,"AAAAAH+jf+U=")</f>
        <v>#REF!</v>
      </c>
      <c r="HW361" t="e">
        <f>AND('PROG FORMACIÓN TITULADA'!#REF!,"AAAAAH+jf+Y=")</f>
        <v>#REF!</v>
      </c>
      <c r="HX361" t="e">
        <f>AND('PROG FORMACIÓN TITULADA'!#REF!,"AAAAAH+jf+c=")</f>
        <v>#REF!</v>
      </c>
      <c r="HY361" t="e">
        <f>AND('PROG FORMACIÓN TITULADA'!#REF!,"AAAAAH+jf+g=")</f>
        <v>#REF!</v>
      </c>
      <c r="HZ361" t="e">
        <f>AND('PROG FORMACIÓN TITULADA'!#REF!,"AAAAAH+jf+k=")</f>
        <v>#REF!</v>
      </c>
      <c r="IA361" t="e">
        <f>AND('PROG FORMACIÓN TITULADA'!#REF!,"AAAAAH+jf+o=")</f>
        <v>#REF!</v>
      </c>
      <c r="IB361" t="e">
        <f>AND('PROG FORMACIÓN TITULADA'!#REF!,"AAAAAH+jf+s=")</f>
        <v>#REF!</v>
      </c>
      <c r="IC361" t="e">
        <f>AND('PROG FORMACIÓN TITULADA'!#REF!,"AAAAAH+jf+w=")</f>
        <v>#REF!</v>
      </c>
      <c r="ID361" t="e">
        <f>AND('PROG FORMACIÓN TITULADA'!#REF!,"AAAAAH+jf+0=")</f>
        <v>#REF!</v>
      </c>
      <c r="IE361" t="e">
        <f>AND('PROG FORMACIÓN TITULADA'!#REF!,"AAAAAH+jf+4=")</f>
        <v>#REF!</v>
      </c>
      <c r="IF361" t="e">
        <f>AND('PROG FORMACIÓN TITULADA'!#REF!,"AAAAAH+jf+8=")</f>
        <v>#REF!</v>
      </c>
      <c r="IG361" t="e">
        <f>AND('PROG FORMACIÓN TITULADA'!#REF!,"AAAAAH+jf/A=")</f>
        <v>#REF!</v>
      </c>
      <c r="IH361" t="e">
        <f>AND('PROG FORMACIÓN TITULADA'!#REF!,"AAAAAH+jf/E=")</f>
        <v>#REF!</v>
      </c>
      <c r="II361" t="e">
        <f>AND('PROG FORMACIÓN TITULADA'!#REF!,"AAAAAH+jf/I=")</f>
        <v>#REF!</v>
      </c>
      <c r="IJ361" t="e">
        <f>AND('PROG FORMACIÓN TITULADA'!#REF!,"AAAAAH+jf/M=")</f>
        <v>#REF!</v>
      </c>
      <c r="IK361" t="e">
        <f>AND('PROG FORMACIÓN TITULADA'!#REF!,"AAAAAH+jf/Q=")</f>
        <v>#REF!</v>
      </c>
      <c r="IL361" t="e">
        <f>AND('PROG FORMACIÓN TITULADA'!#REF!,"AAAAAH+jf/U=")</f>
        <v>#REF!</v>
      </c>
      <c r="IM361" t="e">
        <f>AND('PROG FORMACIÓN TITULADA'!#REF!,"AAAAAH+jf/Y=")</f>
        <v>#REF!</v>
      </c>
      <c r="IN361" t="e">
        <f>AND('PROG FORMACIÓN TITULADA'!#REF!,"AAAAAH+jf/c=")</f>
        <v>#REF!</v>
      </c>
      <c r="IO361" t="e">
        <f>AND('PROG FORMACIÓN TITULADA'!#REF!,"AAAAAH+jf/g=")</f>
        <v>#REF!</v>
      </c>
      <c r="IP361" t="e">
        <f>IF('PROG FORMACIÓN TITULADA'!#REF!,"AAAAAH+jf/k=",0)</f>
        <v>#REF!</v>
      </c>
      <c r="IQ361" t="e">
        <f>AND('PROG FORMACIÓN TITULADA'!#REF!,"AAAAAH+jf/o=")</f>
        <v>#REF!</v>
      </c>
      <c r="IR361" t="e">
        <f>AND('PROG FORMACIÓN TITULADA'!#REF!,"AAAAAH+jf/s=")</f>
        <v>#REF!</v>
      </c>
      <c r="IS361" t="e">
        <f>AND('PROG FORMACIÓN TITULADA'!#REF!,"AAAAAH+jf/w=")</f>
        <v>#REF!</v>
      </c>
      <c r="IT361" t="e">
        <f>AND('PROG FORMACIÓN TITULADA'!#REF!,"AAAAAH+jf/0=")</f>
        <v>#REF!</v>
      </c>
      <c r="IU361" t="e">
        <f>AND('PROG FORMACIÓN TITULADA'!#REF!,"AAAAAH+jf/4=")</f>
        <v>#REF!</v>
      </c>
      <c r="IV361" t="e">
        <f>AND('PROG FORMACIÓN TITULADA'!#REF!,"AAAAAH+jf/8=")</f>
        <v>#REF!</v>
      </c>
    </row>
    <row r="362" spans="1:256" x14ac:dyDescent="0.2">
      <c r="A362" t="e">
        <f>AND('PROG FORMACIÓN TITULADA'!#REF!,"AAAAAH+r/wA=")</f>
        <v>#REF!</v>
      </c>
      <c r="B362" t="e">
        <f>AND('PROG FORMACIÓN TITULADA'!#REF!,"AAAAAH+r/wE=")</f>
        <v>#REF!</v>
      </c>
      <c r="C362" t="e">
        <f>AND('PROG FORMACIÓN TITULADA'!#REF!,"AAAAAH+r/wI=")</f>
        <v>#REF!</v>
      </c>
      <c r="D362" t="e">
        <f>AND('PROG FORMACIÓN TITULADA'!#REF!,"AAAAAH+r/wM=")</f>
        <v>#REF!</v>
      </c>
      <c r="E362" t="e">
        <f>AND('PROG FORMACIÓN TITULADA'!#REF!,"AAAAAH+r/wQ=")</f>
        <v>#REF!</v>
      </c>
      <c r="F362" t="e">
        <f>AND('PROG FORMACIÓN TITULADA'!#REF!,"AAAAAH+r/wU=")</f>
        <v>#REF!</v>
      </c>
      <c r="G362" t="e">
        <f>AND('PROG FORMACIÓN TITULADA'!#REF!,"AAAAAH+r/wY=")</f>
        <v>#REF!</v>
      </c>
      <c r="H362" t="e">
        <f>AND('PROG FORMACIÓN TITULADA'!#REF!,"AAAAAH+r/wc=")</f>
        <v>#REF!</v>
      </c>
      <c r="I362" t="e">
        <f>AND('PROG FORMACIÓN TITULADA'!#REF!,"AAAAAH+r/wg=")</f>
        <v>#REF!</v>
      </c>
      <c r="J362" t="e">
        <f>AND('PROG FORMACIÓN TITULADA'!#REF!,"AAAAAH+r/wk=")</f>
        <v>#REF!</v>
      </c>
      <c r="K362" t="e">
        <f>AND('PROG FORMACIÓN TITULADA'!#REF!,"AAAAAH+r/wo=")</f>
        <v>#REF!</v>
      </c>
      <c r="L362" t="e">
        <f>AND('PROG FORMACIÓN TITULADA'!#REF!,"AAAAAH+r/ws=")</f>
        <v>#REF!</v>
      </c>
      <c r="M362" t="e">
        <f>AND('PROG FORMACIÓN TITULADA'!#REF!,"AAAAAH+r/ww=")</f>
        <v>#REF!</v>
      </c>
      <c r="N362" t="e">
        <f>AND('PROG FORMACIÓN TITULADA'!#REF!,"AAAAAH+r/w0=")</f>
        <v>#REF!</v>
      </c>
      <c r="O362" t="e">
        <f>AND('PROG FORMACIÓN TITULADA'!#REF!,"AAAAAH+r/w4=")</f>
        <v>#REF!</v>
      </c>
      <c r="P362" t="e">
        <f>AND('PROG FORMACIÓN TITULADA'!#REF!,"AAAAAH+r/w8=")</f>
        <v>#REF!</v>
      </c>
      <c r="Q362" t="e">
        <f>AND('PROG FORMACIÓN TITULADA'!#REF!,"AAAAAH+r/xA=")</f>
        <v>#REF!</v>
      </c>
      <c r="R362" t="e">
        <f>AND('PROG FORMACIÓN TITULADA'!#REF!,"AAAAAH+r/xE=")</f>
        <v>#REF!</v>
      </c>
      <c r="S362" t="e">
        <f>AND('PROG FORMACIÓN TITULADA'!#REF!,"AAAAAH+r/xI=")</f>
        <v>#REF!</v>
      </c>
      <c r="T362" t="e">
        <f>AND('PROG FORMACIÓN TITULADA'!#REF!,"AAAAAH+r/xM=")</f>
        <v>#REF!</v>
      </c>
      <c r="U362" t="e">
        <f>IF('PROG FORMACIÓN TITULADA'!#REF!,"AAAAAH+r/xQ=",0)</f>
        <v>#REF!</v>
      </c>
      <c r="V362" t="e">
        <f>AND('PROG FORMACIÓN TITULADA'!#REF!,"AAAAAH+r/xU=")</f>
        <v>#REF!</v>
      </c>
      <c r="W362" t="e">
        <f>AND('PROG FORMACIÓN TITULADA'!#REF!,"AAAAAH+r/xY=")</f>
        <v>#REF!</v>
      </c>
      <c r="X362" t="e">
        <f>AND('PROG FORMACIÓN TITULADA'!#REF!,"AAAAAH+r/xc=")</f>
        <v>#REF!</v>
      </c>
      <c r="Y362" t="e">
        <f>AND('PROG FORMACIÓN TITULADA'!#REF!,"AAAAAH+r/xg=")</f>
        <v>#REF!</v>
      </c>
      <c r="Z362" t="e">
        <f>AND('PROG FORMACIÓN TITULADA'!#REF!,"AAAAAH+r/xk=")</f>
        <v>#REF!</v>
      </c>
      <c r="AA362" t="e">
        <f>AND('PROG FORMACIÓN TITULADA'!#REF!,"AAAAAH+r/xo=")</f>
        <v>#REF!</v>
      </c>
      <c r="AB362" t="e">
        <f>AND('PROG FORMACIÓN TITULADA'!#REF!,"AAAAAH+r/xs=")</f>
        <v>#REF!</v>
      </c>
      <c r="AC362" t="e">
        <f>AND('PROG FORMACIÓN TITULADA'!#REF!,"AAAAAH+r/xw=")</f>
        <v>#REF!</v>
      </c>
      <c r="AD362" t="e">
        <f>AND('PROG FORMACIÓN TITULADA'!#REF!,"AAAAAH+r/x0=")</f>
        <v>#REF!</v>
      </c>
      <c r="AE362" t="e">
        <f>AND('PROG FORMACIÓN TITULADA'!#REF!,"AAAAAH+r/x4=")</f>
        <v>#REF!</v>
      </c>
      <c r="AF362" t="e">
        <f>AND('PROG FORMACIÓN TITULADA'!#REF!,"AAAAAH+r/x8=")</f>
        <v>#REF!</v>
      </c>
      <c r="AG362" t="e">
        <f>AND('PROG FORMACIÓN TITULADA'!#REF!,"AAAAAH+r/yA=")</f>
        <v>#REF!</v>
      </c>
      <c r="AH362" t="e">
        <f>AND('PROG FORMACIÓN TITULADA'!#REF!,"AAAAAH+r/yE=")</f>
        <v>#REF!</v>
      </c>
      <c r="AI362" t="e">
        <f>AND('PROG FORMACIÓN TITULADA'!#REF!,"AAAAAH+r/yI=")</f>
        <v>#REF!</v>
      </c>
      <c r="AJ362" t="e">
        <f>AND('PROG FORMACIÓN TITULADA'!#REF!,"AAAAAH+r/yM=")</f>
        <v>#REF!</v>
      </c>
      <c r="AK362" t="e">
        <f>AND('PROG FORMACIÓN TITULADA'!#REF!,"AAAAAH+r/yQ=")</f>
        <v>#REF!</v>
      </c>
      <c r="AL362" t="e">
        <f>AND('PROG FORMACIÓN TITULADA'!#REF!,"AAAAAH+r/yU=")</f>
        <v>#REF!</v>
      </c>
      <c r="AM362" t="e">
        <f>AND('PROG FORMACIÓN TITULADA'!#REF!,"AAAAAH+r/yY=")</f>
        <v>#REF!</v>
      </c>
      <c r="AN362" t="e">
        <f>AND('PROG FORMACIÓN TITULADA'!#REF!,"AAAAAH+r/yc=")</f>
        <v>#REF!</v>
      </c>
      <c r="AO362" t="e">
        <f>AND('PROG FORMACIÓN TITULADA'!#REF!,"AAAAAH+r/yg=")</f>
        <v>#REF!</v>
      </c>
      <c r="AP362" t="e">
        <f>AND('PROG FORMACIÓN TITULADA'!#REF!,"AAAAAH+r/yk=")</f>
        <v>#REF!</v>
      </c>
      <c r="AQ362" t="e">
        <f>AND('PROG FORMACIÓN TITULADA'!#REF!,"AAAAAH+r/yo=")</f>
        <v>#REF!</v>
      </c>
      <c r="AR362" t="e">
        <f>AND('PROG FORMACIÓN TITULADA'!#REF!,"AAAAAH+r/ys=")</f>
        <v>#REF!</v>
      </c>
      <c r="AS362" t="e">
        <f>AND('PROG FORMACIÓN TITULADA'!#REF!,"AAAAAH+r/yw=")</f>
        <v>#REF!</v>
      </c>
      <c r="AT362" t="e">
        <f>AND('PROG FORMACIÓN TITULADA'!#REF!,"AAAAAH+r/y0=")</f>
        <v>#REF!</v>
      </c>
      <c r="AU362" t="e">
        <f>AND('PROG FORMACIÓN TITULADA'!#REF!,"AAAAAH+r/y4=")</f>
        <v>#REF!</v>
      </c>
      <c r="AV362" t="e">
        <f>IF('PROG FORMACIÓN TITULADA'!#REF!,"AAAAAH+r/y8=",0)</f>
        <v>#REF!</v>
      </c>
      <c r="AW362" t="e">
        <f>AND('PROG FORMACIÓN TITULADA'!#REF!,"AAAAAH+r/zA=")</f>
        <v>#REF!</v>
      </c>
      <c r="AX362" t="e">
        <f>AND('PROG FORMACIÓN TITULADA'!#REF!,"AAAAAH+r/zE=")</f>
        <v>#REF!</v>
      </c>
      <c r="AY362" t="e">
        <f>AND('PROG FORMACIÓN TITULADA'!#REF!,"AAAAAH+r/zI=")</f>
        <v>#REF!</v>
      </c>
      <c r="AZ362" t="e">
        <f>AND('PROG FORMACIÓN TITULADA'!#REF!,"AAAAAH+r/zM=")</f>
        <v>#REF!</v>
      </c>
      <c r="BA362" t="e">
        <f>AND('PROG FORMACIÓN TITULADA'!#REF!,"AAAAAH+r/zQ=")</f>
        <v>#REF!</v>
      </c>
      <c r="BB362" t="e">
        <f>AND('PROG FORMACIÓN TITULADA'!#REF!,"AAAAAH+r/zU=")</f>
        <v>#REF!</v>
      </c>
      <c r="BC362" t="e">
        <f>AND('PROG FORMACIÓN TITULADA'!#REF!,"AAAAAH+r/zY=")</f>
        <v>#REF!</v>
      </c>
      <c r="BD362" t="e">
        <f>AND('PROG FORMACIÓN TITULADA'!#REF!,"AAAAAH+r/zc=")</f>
        <v>#REF!</v>
      </c>
      <c r="BE362" t="e">
        <f>AND('PROG FORMACIÓN TITULADA'!#REF!,"AAAAAH+r/zg=")</f>
        <v>#REF!</v>
      </c>
      <c r="BF362" t="e">
        <f>AND('PROG FORMACIÓN TITULADA'!#REF!,"AAAAAH+r/zk=")</f>
        <v>#REF!</v>
      </c>
      <c r="BG362" t="e">
        <f>AND('PROG FORMACIÓN TITULADA'!#REF!,"AAAAAH+r/zo=")</f>
        <v>#REF!</v>
      </c>
      <c r="BH362" t="e">
        <f>AND('PROG FORMACIÓN TITULADA'!#REF!,"AAAAAH+r/zs=")</f>
        <v>#REF!</v>
      </c>
      <c r="BI362" t="e">
        <f>AND('PROG FORMACIÓN TITULADA'!#REF!,"AAAAAH+r/zw=")</f>
        <v>#REF!</v>
      </c>
      <c r="BJ362" t="e">
        <f>AND('PROG FORMACIÓN TITULADA'!#REF!,"AAAAAH+r/z0=")</f>
        <v>#REF!</v>
      </c>
      <c r="BK362" t="e">
        <f>AND('PROG FORMACIÓN TITULADA'!#REF!,"AAAAAH+r/z4=")</f>
        <v>#REF!</v>
      </c>
      <c r="BL362" t="e">
        <f>AND('PROG FORMACIÓN TITULADA'!#REF!,"AAAAAH+r/z8=")</f>
        <v>#REF!</v>
      </c>
      <c r="BM362" t="e">
        <f>AND('PROG FORMACIÓN TITULADA'!#REF!,"AAAAAH+r/0A=")</f>
        <v>#REF!</v>
      </c>
      <c r="BN362" t="e">
        <f>AND('PROG FORMACIÓN TITULADA'!#REF!,"AAAAAH+r/0E=")</f>
        <v>#REF!</v>
      </c>
      <c r="BO362" t="e">
        <f>AND('PROG FORMACIÓN TITULADA'!#REF!,"AAAAAH+r/0I=")</f>
        <v>#REF!</v>
      </c>
      <c r="BP362" t="e">
        <f>AND('PROG FORMACIÓN TITULADA'!#REF!,"AAAAAH+r/0M=")</f>
        <v>#REF!</v>
      </c>
      <c r="BQ362" t="e">
        <f>AND('PROG FORMACIÓN TITULADA'!#REF!,"AAAAAH+r/0Q=")</f>
        <v>#REF!</v>
      </c>
      <c r="BR362" t="e">
        <f>AND('PROG FORMACIÓN TITULADA'!#REF!,"AAAAAH+r/0U=")</f>
        <v>#REF!</v>
      </c>
      <c r="BS362" t="e">
        <f>AND('PROG FORMACIÓN TITULADA'!#REF!,"AAAAAH+r/0Y=")</f>
        <v>#REF!</v>
      </c>
      <c r="BT362" t="e">
        <f>AND('PROG FORMACIÓN TITULADA'!#REF!,"AAAAAH+r/0c=")</f>
        <v>#REF!</v>
      </c>
      <c r="BU362" t="e">
        <f>AND('PROG FORMACIÓN TITULADA'!#REF!,"AAAAAH+r/0g=")</f>
        <v>#REF!</v>
      </c>
      <c r="BV362" t="e">
        <f>AND('PROG FORMACIÓN TITULADA'!#REF!,"AAAAAH+r/0k=")</f>
        <v>#REF!</v>
      </c>
      <c r="BW362" t="e">
        <f>IF('PROG FORMACIÓN TITULADA'!#REF!,"AAAAAH+r/0o=",0)</f>
        <v>#REF!</v>
      </c>
      <c r="BX362" t="e">
        <f>AND('PROG FORMACIÓN TITULADA'!#REF!,"AAAAAH+r/0s=")</f>
        <v>#REF!</v>
      </c>
      <c r="BY362" t="e">
        <f>AND('PROG FORMACIÓN TITULADA'!#REF!,"AAAAAH+r/0w=")</f>
        <v>#REF!</v>
      </c>
      <c r="BZ362" t="e">
        <f>AND('PROG FORMACIÓN TITULADA'!#REF!,"AAAAAH+r/00=")</f>
        <v>#REF!</v>
      </c>
      <c r="CA362" t="e">
        <f>AND('PROG FORMACIÓN TITULADA'!#REF!,"AAAAAH+r/04=")</f>
        <v>#REF!</v>
      </c>
      <c r="CB362" t="e">
        <f>AND('PROG FORMACIÓN TITULADA'!#REF!,"AAAAAH+r/08=")</f>
        <v>#REF!</v>
      </c>
      <c r="CC362" t="e">
        <f>AND('PROG FORMACIÓN TITULADA'!#REF!,"AAAAAH+r/1A=")</f>
        <v>#REF!</v>
      </c>
      <c r="CD362" t="e">
        <f>AND('PROG FORMACIÓN TITULADA'!#REF!,"AAAAAH+r/1E=")</f>
        <v>#REF!</v>
      </c>
      <c r="CE362" t="e">
        <f>AND('PROG FORMACIÓN TITULADA'!#REF!,"AAAAAH+r/1I=")</f>
        <v>#REF!</v>
      </c>
      <c r="CF362" t="e">
        <f>AND('PROG FORMACIÓN TITULADA'!#REF!,"AAAAAH+r/1M=")</f>
        <v>#REF!</v>
      </c>
      <c r="CG362" t="e">
        <f>AND('PROG FORMACIÓN TITULADA'!#REF!,"AAAAAH+r/1Q=")</f>
        <v>#REF!</v>
      </c>
      <c r="CH362" t="e">
        <f>AND('PROG FORMACIÓN TITULADA'!#REF!,"AAAAAH+r/1U=")</f>
        <v>#REF!</v>
      </c>
      <c r="CI362" t="e">
        <f>AND('PROG FORMACIÓN TITULADA'!#REF!,"AAAAAH+r/1Y=")</f>
        <v>#REF!</v>
      </c>
      <c r="CJ362" t="e">
        <f>AND('PROG FORMACIÓN TITULADA'!#REF!,"AAAAAH+r/1c=")</f>
        <v>#REF!</v>
      </c>
      <c r="CK362" t="e">
        <f>AND('PROG FORMACIÓN TITULADA'!#REF!,"AAAAAH+r/1g=")</f>
        <v>#REF!</v>
      </c>
      <c r="CL362" t="e">
        <f>AND('PROG FORMACIÓN TITULADA'!#REF!,"AAAAAH+r/1k=")</f>
        <v>#REF!</v>
      </c>
      <c r="CM362" t="e">
        <f>AND('PROG FORMACIÓN TITULADA'!#REF!,"AAAAAH+r/1o=")</f>
        <v>#REF!</v>
      </c>
      <c r="CN362" t="e">
        <f>AND('PROG FORMACIÓN TITULADA'!#REF!,"AAAAAH+r/1s=")</f>
        <v>#REF!</v>
      </c>
      <c r="CO362" t="e">
        <f>AND('PROG FORMACIÓN TITULADA'!#REF!,"AAAAAH+r/1w=")</f>
        <v>#REF!</v>
      </c>
      <c r="CP362" t="e">
        <f>AND('PROG FORMACIÓN TITULADA'!#REF!,"AAAAAH+r/10=")</f>
        <v>#REF!</v>
      </c>
      <c r="CQ362" t="e">
        <f>AND('PROG FORMACIÓN TITULADA'!#REF!,"AAAAAH+r/14=")</f>
        <v>#REF!</v>
      </c>
      <c r="CR362" t="e">
        <f>AND('PROG FORMACIÓN TITULADA'!#REF!,"AAAAAH+r/18=")</f>
        <v>#REF!</v>
      </c>
      <c r="CS362" t="e">
        <f>AND('PROG FORMACIÓN TITULADA'!#REF!,"AAAAAH+r/2A=")</f>
        <v>#REF!</v>
      </c>
      <c r="CT362" t="e">
        <f>AND('PROG FORMACIÓN TITULADA'!#REF!,"AAAAAH+r/2E=")</f>
        <v>#REF!</v>
      </c>
      <c r="CU362" t="e">
        <f>AND('PROG FORMACIÓN TITULADA'!#REF!,"AAAAAH+r/2I=")</f>
        <v>#REF!</v>
      </c>
      <c r="CV362" t="e">
        <f>AND('PROG FORMACIÓN TITULADA'!#REF!,"AAAAAH+r/2M=")</f>
        <v>#REF!</v>
      </c>
      <c r="CW362" t="e">
        <f>AND('PROG FORMACIÓN TITULADA'!#REF!,"AAAAAH+r/2Q=")</f>
        <v>#REF!</v>
      </c>
      <c r="CX362" t="e">
        <f>IF('PROG FORMACIÓN TITULADA'!#REF!,"AAAAAH+r/2U=",0)</f>
        <v>#REF!</v>
      </c>
      <c r="CY362" t="e">
        <f>AND('PROG FORMACIÓN TITULADA'!#REF!,"AAAAAH+r/2Y=")</f>
        <v>#REF!</v>
      </c>
      <c r="CZ362" t="e">
        <f>AND('PROG FORMACIÓN TITULADA'!#REF!,"AAAAAH+r/2c=")</f>
        <v>#REF!</v>
      </c>
      <c r="DA362" t="e">
        <f>AND('PROG FORMACIÓN TITULADA'!#REF!,"AAAAAH+r/2g=")</f>
        <v>#REF!</v>
      </c>
      <c r="DB362" t="e">
        <f>AND('PROG FORMACIÓN TITULADA'!#REF!,"AAAAAH+r/2k=")</f>
        <v>#REF!</v>
      </c>
      <c r="DC362" t="e">
        <f>AND('PROG FORMACIÓN TITULADA'!#REF!,"AAAAAH+r/2o=")</f>
        <v>#REF!</v>
      </c>
      <c r="DD362" t="e">
        <f>AND('PROG FORMACIÓN TITULADA'!#REF!,"AAAAAH+r/2s=")</f>
        <v>#REF!</v>
      </c>
      <c r="DE362" t="e">
        <f>AND('PROG FORMACIÓN TITULADA'!#REF!,"AAAAAH+r/2w=")</f>
        <v>#REF!</v>
      </c>
      <c r="DF362" t="e">
        <f>AND('PROG FORMACIÓN TITULADA'!#REF!,"AAAAAH+r/20=")</f>
        <v>#REF!</v>
      </c>
      <c r="DG362" t="e">
        <f>AND('PROG FORMACIÓN TITULADA'!#REF!,"AAAAAH+r/24=")</f>
        <v>#REF!</v>
      </c>
      <c r="DH362" t="e">
        <f>AND('PROG FORMACIÓN TITULADA'!#REF!,"AAAAAH+r/28=")</f>
        <v>#REF!</v>
      </c>
      <c r="DI362" t="e">
        <f>AND('PROG FORMACIÓN TITULADA'!#REF!,"AAAAAH+r/3A=")</f>
        <v>#REF!</v>
      </c>
      <c r="DJ362" t="e">
        <f>AND('PROG FORMACIÓN TITULADA'!#REF!,"AAAAAH+r/3E=")</f>
        <v>#REF!</v>
      </c>
      <c r="DK362" t="e">
        <f>AND('PROG FORMACIÓN TITULADA'!#REF!,"AAAAAH+r/3I=")</f>
        <v>#REF!</v>
      </c>
      <c r="DL362" t="e">
        <f>AND('PROG FORMACIÓN TITULADA'!#REF!,"AAAAAH+r/3M=")</f>
        <v>#REF!</v>
      </c>
      <c r="DM362" t="e">
        <f>AND('PROG FORMACIÓN TITULADA'!#REF!,"AAAAAH+r/3Q=")</f>
        <v>#REF!</v>
      </c>
      <c r="DN362" t="e">
        <f>AND('PROG FORMACIÓN TITULADA'!#REF!,"AAAAAH+r/3U=")</f>
        <v>#REF!</v>
      </c>
      <c r="DO362" t="e">
        <f>AND('PROG FORMACIÓN TITULADA'!#REF!,"AAAAAH+r/3Y=")</f>
        <v>#REF!</v>
      </c>
      <c r="DP362" t="e">
        <f>AND('PROG FORMACIÓN TITULADA'!#REF!,"AAAAAH+r/3c=")</f>
        <v>#REF!</v>
      </c>
      <c r="DQ362" t="e">
        <f>AND('PROG FORMACIÓN TITULADA'!#REF!,"AAAAAH+r/3g=")</f>
        <v>#REF!</v>
      </c>
      <c r="DR362" t="e">
        <f>AND('PROG FORMACIÓN TITULADA'!#REF!,"AAAAAH+r/3k=")</f>
        <v>#REF!</v>
      </c>
      <c r="DS362" t="e">
        <f>AND('PROG FORMACIÓN TITULADA'!#REF!,"AAAAAH+r/3o=")</f>
        <v>#REF!</v>
      </c>
      <c r="DT362" t="e">
        <f>AND('PROG FORMACIÓN TITULADA'!#REF!,"AAAAAH+r/3s=")</f>
        <v>#REF!</v>
      </c>
      <c r="DU362" t="e">
        <f>AND('PROG FORMACIÓN TITULADA'!#REF!,"AAAAAH+r/3w=")</f>
        <v>#REF!</v>
      </c>
      <c r="DV362" t="e">
        <f>AND('PROG FORMACIÓN TITULADA'!#REF!,"AAAAAH+r/30=")</f>
        <v>#REF!</v>
      </c>
      <c r="DW362" t="e">
        <f>AND('PROG FORMACIÓN TITULADA'!#REF!,"AAAAAH+r/34=")</f>
        <v>#REF!</v>
      </c>
      <c r="DX362" t="e">
        <f>AND('PROG FORMACIÓN TITULADA'!#REF!,"AAAAAH+r/38=")</f>
        <v>#REF!</v>
      </c>
      <c r="DY362" t="e">
        <f>IF('PROG FORMACIÓN TITULADA'!#REF!,"AAAAAH+r/4A=",0)</f>
        <v>#REF!</v>
      </c>
      <c r="DZ362" t="e">
        <f>AND('PROG FORMACIÓN TITULADA'!#REF!,"AAAAAH+r/4E=")</f>
        <v>#REF!</v>
      </c>
      <c r="EA362" t="e">
        <f>AND('PROG FORMACIÓN TITULADA'!#REF!,"AAAAAH+r/4I=")</f>
        <v>#REF!</v>
      </c>
      <c r="EB362" t="e">
        <f>AND('PROG FORMACIÓN TITULADA'!#REF!,"AAAAAH+r/4M=")</f>
        <v>#REF!</v>
      </c>
      <c r="EC362" t="e">
        <f>AND('PROG FORMACIÓN TITULADA'!#REF!,"AAAAAH+r/4Q=")</f>
        <v>#REF!</v>
      </c>
      <c r="ED362" t="e">
        <f>AND('PROG FORMACIÓN TITULADA'!#REF!,"AAAAAH+r/4U=")</f>
        <v>#REF!</v>
      </c>
      <c r="EE362" t="e">
        <f>AND('PROG FORMACIÓN TITULADA'!#REF!,"AAAAAH+r/4Y=")</f>
        <v>#REF!</v>
      </c>
      <c r="EF362" t="e">
        <f>AND('PROG FORMACIÓN TITULADA'!#REF!,"AAAAAH+r/4c=")</f>
        <v>#REF!</v>
      </c>
      <c r="EG362" t="e">
        <f>AND('PROG FORMACIÓN TITULADA'!#REF!,"AAAAAH+r/4g=")</f>
        <v>#REF!</v>
      </c>
      <c r="EH362" t="e">
        <f>AND('PROG FORMACIÓN TITULADA'!#REF!,"AAAAAH+r/4k=")</f>
        <v>#REF!</v>
      </c>
      <c r="EI362" t="e">
        <f>AND('PROG FORMACIÓN TITULADA'!#REF!,"AAAAAH+r/4o=")</f>
        <v>#REF!</v>
      </c>
      <c r="EJ362" t="e">
        <f>AND('PROG FORMACIÓN TITULADA'!#REF!,"AAAAAH+r/4s=")</f>
        <v>#REF!</v>
      </c>
      <c r="EK362" t="e">
        <f>AND('PROG FORMACIÓN TITULADA'!#REF!,"AAAAAH+r/4w=")</f>
        <v>#REF!</v>
      </c>
      <c r="EL362" t="e">
        <f>AND('PROG FORMACIÓN TITULADA'!#REF!,"AAAAAH+r/40=")</f>
        <v>#REF!</v>
      </c>
      <c r="EM362" t="e">
        <f>AND('PROG FORMACIÓN TITULADA'!#REF!,"AAAAAH+r/44=")</f>
        <v>#REF!</v>
      </c>
      <c r="EN362" t="e">
        <f>AND('PROG FORMACIÓN TITULADA'!#REF!,"AAAAAH+r/48=")</f>
        <v>#REF!</v>
      </c>
      <c r="EO362" t="e">
        <f>AND('PROG FORMACIÓN TITULADA'!#REF!,"AAAAAH+r/5A=")</f>
        <v>#REF!</v>
      </c>
      <c r="EP362" t="e">
        <f>AND('PROG FORMACIÓN TITULADA'!#REF!,"AAAAAH+r/5E=")</f>
        <v>#REF!</v>
      </c>
      <c r="EQ362" t="e">
        <f>AND('PROG FORMACIÓN TITULADA'!#REF!,"AAAAAH+r/5I=")</f>
        <v>#REF!</v>
      </c>
      <c r="ER362" t="e">
        <f>AND('PROG FORMACIÓN TITULADA'!#REF!,"AAAAAH+r/5M=")</f>
        <v>#REF!</v>
      </c>
      <c r="ES362" t="e">
        <f>AND('PROG FORMACIÓN TITULADA'!#REF!,"AAAAAH+r/5Q=")</f>
        <v>#REF!</v>
      </c>
      <c r="ET362" t="e">
        <f>AND('PROG FORMACIÓN TITULADA'!#REF!,"AAAAAH+r/5U=")</f>
        <v>#REF!</v>
      </c>
      <c r="EU362" t="e">
        <f>AND('PROG FORMACIÓN TITULADA'!#REF!,"AAAAAH+r/5Y=")</f>
        <v>#REF!</v>
      </c>
      <c r="EV362" t="e">
        <f>AND('PROG FORMACIÓN TITULADA'!#REF!,"AAAAAH+r/5c=")</f>
        <v>#REF!</v>
      </c>
      <c r="EW362" t="e">
        <f>AND('PROG FORMACIÓN TITULADA'!#REF!,"AAAAAH+r/5g=")</f>
        <v>#REF!</v>
      </c>
      <c r="EX362" t="e">
        <f>AND('PROG FORMACIÓN TITULADA'!#REF!,"AAAAAH+r/5k=")</f>
        <v>#REF!</v>
      </c>
      <c r="EY362" t="e">
        <f>AND('PROG FORMACIÓN TITULADA'!#REF!,"AAAAAH+r/5o=")</f>
        <v>#REF!</v>
      </c>
      <c r="EZ362" t="e">
        <f>IF('PROG FORMACIÓN TITULADA'!#REF!,"AAAAAH+r/5s=",0)</f>
        <v>#REF!</v>
      </c>
      <c r="FA362" t="e">
        <f>AND('PROG FORMACIÓN TITULADA'!#REF!,"AAAAAH+r/5w=")</f>
        <v>#REF!</v>
      </c>
      <c r="FB362" t="e">
        <f>AND('PROG FORMACIÓN TITULADA'!#REF!,"AAAAAH+r/50=")</f>
        <v>#REF!</v>
      </c>
      <c r="FC362" t="e">
        <f>AND('PROG FORMACIÓN TITULADA'!#REF!,"AAAAAH+r/54=")</f>
        <v>#REF!</v>
      </c>
      <c r="FD362" t="e">
        <f>AND('PROG FORMACIÓN TITULADA'!#REF!,"AAAAAH+r/58=")</f>
        <v>#REF!</v>
      </c>
      <c r="FE362" t="e">
        <f>AND('PROG FORMACIÓN TITULADA'!#REF!,"AAAAAH+r/6A=")</f>
        <v>#REF!</v>
      </c>
      <c r="FF362" t="e">
        <f>AND('PROG FORMACIÓN TITULADA'!#REF!,"AAAAAH+r/6E=")</f>
        <v>#REF!</v>
      </c>
      <c r="FG362" t="e">
        <f>AND('PROG FORMACIÓN TITULADA'!#REF!,"AAAAAH+r/6I=")</f>
        <v>#REF!</v>
      </c>
      <c r="FH362" t="e">
        <f>AND('PROG FORMACIÓN TITULADA'!#REF!,"AAAAAH+r/6M=")</f>
        <v>#REF!</v>
      </c>
      <c r="FI362" t="e">
        <f>AND('PROG FORMACIÓN TITULADA'!#REF!,"AAAAAH+r/6Q=")</f>
        <v>#REF!</v>
      </c>
      <c r="FJ362" t="e">
        <f>AND('PROG FORMACIÓN TITULADA'!#REF!,"AAAAAH+r/6U=")</f>
        <v>#REF!</v>
      </c>
      <c r="FK362" t="e">
        <f>AND('PROG FORMACIÓN TITULADA'!#REF!,"AAAAAH+r/6Y=")</f>
        <v>#REF!</v>
      </c>
      <c r="FL362" t="e">
        <f>AND('PROG FORMACIÓN TITULADA'!#REF!,"AAAAAH+r/6c=")</f>
        <v>#REF!</v>
      </c>
      <c r="FM362" t="e">
        <f>AND('PROG FORMACIÓN TITULADA'!#REF!,"AAAAAH+r/6g=")</f>
        <v>#REF!</v>
      </c>
      <c r="FN362" t="e">
        <f>AND('PROG FORMACIÓN TITULADA'!#REF!,"AAAAAH+r/6k=")</f>
        <v>#REF!</v>
      </c>
      <c r="FO362" t="e">
        <f>AND('PROG FORMACIÓN TITULADA'!#REF!,"AAAAAH+r/6o=")</f>
        <v>#REF!</v>
      </c>
      <c r="FP362" t="e">
        <f>AND('PROG FORMACIÓN TITULADA'!#REF!,"AAAAAH+r/6s=")</f>
        <v>#REF!</v>
      </c>
      <c r="FQ362" t="e">
        <f>AND('PROG FORMACIÓN TITULADA'!#REF!,"AAAAAH+r/6w=")</f>
        <v>#REF!</v>
      </c>
      <c r="FR362" t="e">
        <f>AND('PROG FORMACIÓN TITULADA'!#REF!,"AAAAAH+r/60=")</f>
        <v>#REF!</v>
      </c>
      <c r="FS362" t="e">
        <f>AND('PROG FORMACIÓN TITULADA'!#REF!,"AAAAAH+r/64=")</f>
        <v>#REF!</v>
      </c>
      <c r="FT362" t="e">
        <f>AND('PROG FORMACIÓN TITULADA'!#REF!,"AAAAAH+r/68=")</f>
        <v>#REF!</v>
      </c>
      <c r="FU362" t="e">
        <f>AND('PROG FORMACIÓN TITULADA'!#REF!,"AAAAAH+r/7A=")</f>
        <v>#REF!</v>
      </c>
      <c r="FV362" t="e">
        <f>AND('PROG FORMACIÓN TITULADA'!#REF!,"AAAAAH+r/7E=")</f>
        <v>#REF!</v>
      </c>
      <c r="FW362" t="e">
        <f>AND('PROG FORMACIÓN TITULADA'!#REF!,"AAAAAH+r/7I=")</f>
        <v>#REF!</v>
      </c>
      <c r="FX362" t="e">
        <f>AND('PROG FORMACIÓN TITULADA'!#REF!,"AAAAAH+r/7M=")</f>
        <v>#REF!</v>
      </c>
      <c r="FY362" t="e">
        <f>AND('PROG FORMACIÓN TITULADA'!#REF!,"AAAAAH+r/7Q=")</f>
        <v>#REF!</v>
      </c>
      <c r="FZ362" t="e">
        <f>AND('PROG FORMACIÓN TITULADA'!#REF!,"AAAAAH+r/7U=")</f>
        <v>#REF!</v>
      </c>
      <c r="GA362" t="e">
        <f>IF('PROG FORMACIÓN TITULADA'!#REF!,"AAAAAH+r/7Y=",0)</f>
        <v>#REF!</v>
      </c>
      <c r="GB362" t="e">
        <f>AND('PROG FORMACIÓN TITULADA'!#REF!,"AAAAAH+r/7c=")</f>
        <v>#REF!</v>
      </c>
      <c r="GC362" t="e">
        <f>AND('PROG FORMACIÓN TITULADA'!#REF!,"AAAAAH+r/7g=")</f>
        <v>#REF!</v>
      </c>
      <c r="GD362" t="e">
        <f>AND('PROG FORMACIÓN TITULADA'!#REF!,"AAAAAH+r/7k=")</f>
        <v>#REF!</v>
      </c>
      <c r="GE362" t="e">
        <f>AND('PROG FORMACIÓN TITULADA'!#REF!,"AAAAAH+r/7o=")</f>
        <v>#REF!</v>
      </c>
      <c r="GF362" t="e">
        <f>AND('PROG FORMACIÓN TITULADA'!#REF!,"AAAAAH+r/7s=")</f>
        <v>#REF!</v>
      </c>
      <c r="GG362" t="e">
        <f>AND('PROG FORMACIÓN TITULADA'!#REF!,"AAAAAH+r/7w=")</f>
        <v>#REF!</v>
      </c>
      <c r="GH362" t="e">
        <f>AND('PROG FORMACIÓN TITULADA'!#REF!,"AAAAAH+r/70=")</f>
        <v>#REF!</v>
      </c>
      <c r="GI362" t="e">
        <f>AND('PROG FORMACIÓN TITULADA'!#REF!,"AAAAAH+r/74=")</f>
        <v>#REF!</v>
      </c>
      <c r="GJ362" t="e">
        <f>AND('PROG FORMACIÓN TITULADA'!#REF!,"AAAAAH+r/78=")</f>
        <v>#REF!</v>
      </c>
      <c r="GK362" t="e">
        <f>AND('PROG FORMACIÓN TITULADA'!#REF!,"AAAAAH+r/8A=")</f>
        <v>#REF!</v>
      </c>
      <c r="GL362" t="e">
        <f>AND('PROG FORMACIÓN TITULADA'!#REF!,"AAAAAH+r/8E=")</f>
        <v>#REF!</v>
      </c>
      <c r="GM362" t="e">
        <f>AND('PROG FORMACIÓN TITULADA'!#REF!,"AAAAAH+r/8I=")</f>
        <v>#REF!</v>
      </c>
      <c r="GN362" t="e">
        <f>AND('PROG FORMACIÓN TITULADA'!#REF!,"AAAAAH+r/8M=")</f>
        <v>#REF!</v>
      </c>
      <c r="GO362" t="e">
        <f>AND('PROG FORMACIÓN TITULADA'!#REF!,"AAAAAH+r/8Q=")</f>
        <v>#REF!</v>
      </c>
      <c r="GP362" t="e">
        <f>AND('PROG FORMACIÓN TITULADA'!#REF!,"AAAAAH+r/8U=")</f>
        <v>#REF!</v>
      </c>
      <c r="GQ362" t="e">
        <f>AND('PROG FORMACIÓN TITULADA'!#REF!,"AAAAAH+r/8Y=")</f>
        <v>#REF!</v>
      </c>
      <c r="GR362" t="e">
        <f>AND('PROG FORMACIÓN TITULADA'!#REF!,"AAAAAH+r/8c=")</f>
        <v>#REF!</v>
      </c>
      <c r="GS362" t="e">
        <f>AND('PROG FORMACIÓN TITULADA'!#REF!,"AAAAAH+r/8g=")</f>
        <v>#REF!</v>
      </c>
      <c r="GT362" t="e">
        <f>AND('PROG FORMACIÓN TITULADA'!#REF!,"AAAAAH+r/8k=")</f>
        <v>#REF!</v>
      </c>
      <c r="GU362" t="e">
        <f>AND('PROG FORMACIÓN TITULADA'!#REF!,"AAAAAH+r/8o=")</f>
        <v>#REF!</v>
      </c>
      <c r="GV362" t="e">
        <f>AND('PROG FORMACIÓN TITULADA'!#REF!,"AAAAAH+r/8s=")</f>
        <v>#REF!</v>
      </c>
      <c r="GW362" t="e">
        <f>AND('PROG FORMACIÓN TITULADA'!#REF!,"AAAAAH+r/8w=")</f>
        <v>#REF!</v>
      </c>
      <c r="GX362" t="e">
        <f>AND('PROG FORMACIÓN TITULADA'!#REF!,"AAAAAH+r/80=")</f>
        <v>#REF!</v>
      </c>
      <c r="GY362" t="e">
        <f>AND('PROG FORMACIÓN TITULADA'!#REF!,"AAAAAH+r/84=")</f>
        <v>#REF!</v>
      </c>
      <c r="GZ362" t="e">
        <f>AND('PROG FORMACIÓN TITULADA'!#REF!,"AAAAAH+r/88=")</f>
        <v>#REF!</v>
      </c>
      <c r="HA362" t="e">
        <f>AND('PROG FORMACIÓN TITULADA'!#REF!,"AAAAAH+r/9A=")</f>
        <v>#REF!</v>
      </c>
      <c r="HB362" t="e">
        <f>IF('PROG FORMACIÓN TITULADA'!#REF!,"AAAAAH+r/9E=",0)</f>
        <v>#REF!</v>
      </c>
      <c r="HC362" t="e">
        <f>AND('PROG FORMACIÓN TITULADA'!#REF!,"AAAAAH+r/9I=")</f>
        <v>#REF!</v>
      </c>
      <c r="HD362" t="e">
        <f>AND('PROG FORMACIÓN TITULADA'!#REF!,"AAAAAH+r/9M=")</f>
        <v>#REF!</v>
      </c>
      <c r="HE362" t="e">
        <f>AND('PROG FORMACIÓN TITULADA'!#REF!,"AAAAAH+r/9Q=")</f>
        <v>#REF!</v>
      </c>
      <c r="HF362" t="e">
        <f>AND('PROG FORMACIÓN TITULADA'!#REF!,"AAAAAH+r/9U=")</f>
        <v>#REF!</v>
      </c>
      <c r="HG362" t="e">
        <f>AND('PROG FORMACIÓN TITULADA'!#REF!,"AAAAAH+r/9Y=")</f>
        <v>#REF!</v>
      </c>
      <c r="HH362" t="e">
        <f>AND('PROG FORMACIÓN TITULADA'!#REF!,"AAAAAH+r/9c=")</f>
        <v>#REF!</v>
      </c>
      <c r="HI362" t="e">
        <f>AND('PROG FORMACIÓN TITULADA'!#REF!,"AAAAAH+r/9g=")</f>
        <v>#REF!</v>
      </c>
      <c r="HJ362" t="e">
        <f>AND('PROG FORMACIÓN TITULADA'!#REF!,"AAAAAH+r/9k=")</f>
        <v>#REF!</v>
      </c>
      <c r="HK362" t="e">
        <f>AND('PROG FORMACIÓN TITULADA'!#REF!,"AAAAAH+r/9o=")</f>
        <v>#REF!</v>
      </c>
      <c r="HL362" t="e">
        <f>AND('PROG FORMACIÓN TITULADA'!#REF!,"AAAAAH+r/9s=")</f>
        <v>#REF!</v>
      </c>
      <c r="HM362" t="e">
        <f>AND('PROG FORMACIÓN TITULADA'!#REF!,"AAAAAH+r/9w=")</f>
        <v>#REF!</v>
      </c>
      <c r="HN362" t="e">
        <f>AND('PROG FORMACIÓN TITULADA'!#REF!,"AAAAAH+r/90=")</f>
        <v>#REF!</v>
      </c>
      <c r="HO362" t="e">
        <f>AND('PROG FORMACIÓN TITULADA'!#REF!,"AAAAAH+r/94=")</f>
        <v>#REF!</v>
      </c>
      <c r="HP362" t="e">
        <f>AND('PROG FORMACIÓN TITULADA'!#REF!,"AAAAAH+r/98=")</f>
        <v>#REF!</v>
      </c>
      <c r="HQ362" t="e">
        <f>AND('PROG FORMACIÓN TITULADA'!#REF!,"AAAAAH+r/+A=")</f>
        <v>#REF!</v>
      </c>
      <c r="HR362" t="e">
        <f>AND('PROG FORMACIÓN TITULADA'!#REF!,"AAAAAH+r/+E=")</f>
        <v>#REF!</v>
      </c>
      <c r="HS362" t="e">
        <f>AND('PROG FORMACIÓN TITULADA'!#REF!,"AAAAAH+r/+I=")</f>
        <v>#REF!</v>
      </c>
      <c r="HT362" t="e">
        <f>AND('PROG FORMACIÓN TITULADA'!#REF!,"AAAAAH+r/+M=")</f>
        <v>#REF!</v>
      </c>
      <c r="HU362" t="e">
        <f>AND('PROG FORMACIÓN TITULADA'!#REF!,"AAAAAH+r/+Q=")</f>
        <v>#REF!</v>
      </c>
      <c r="HV362" t="e">
        <f>AND('PROG FORMACIÓN TITULADA'!#REF!,"AAAAAH+r/+U=")</f>
        <v>#REF!</v>
      </c>
      <c r="HW362" t="e">
        <f>AND('PROG FORMACIÓN TITULADA'!#REF!,"AAAAAH+r/+Y=")</f>
        <v>#REF!</v>
      </c>
      <c r="HX362" t="e">
        <f>AND('PROG FORMACIÓN TITULADA'!#REF!,"AAAAAH+r/+c=")</f>
        <v>#REF!</v>
      </c>
      <c r="HY362" t="e">
        <f>AND('PROG FORMACIÓN TITULADA'!#REF!,"AAAAAH+r/+g=")</f>
        <v>#REF!</v>
      </c>
      <c r="HZ362" t="e">
        <f>AND('PROG FORMACIÓN TITULADA'!#REF!,"AAAAAH+r/+k=")</f>
        <v>#REF!</v>
      </c>
      <c r="IA362" t="e">
        <f>AND('PROG FORMACIÓN TITULADA'!#REF!,"AAAAAH+r/+o=")</f>
        <v>#REF!</v>
      </c>
      <c r="IB362" t="e">
        <f>AND('PROG FORMACIÓN TITULADA'!#REF!,"AAAAAH+r/+s=")</f>
        <v>#REF!</v>
      </c>
      <c r="IC362" t="e">
        <f>IF('PROG FORMACIÓN TITULADA'!#REF!,"AAAAAH+r/+w=",0)</f>
        <v>#REF!</v>
      </c>
      <c r="ID362" t="e">
        <f>AND('PROG FORMACIÓN TITULADA'!#REF!,"AAAAAH+r/+0=")</f>
        <v>#REF!</v>
      </c>
      <c r="IE362" t="e">
        <f>AND('PROG FORMACIÓN TITULADA'!#REF!,"AAAAAH+r/+4=")</f>
        <v>#REF!</v>
      </c>
      <c r="IF362" t="e">
        <f>AND('PROG FORMACIÓN TITULADA'!#REF!,"AAAAAH+r/+8=")</f>
        <v>#REF!</v>
      </c>
      <c r="IG362" t="e">
        <f>AND('PROG FORMACIÓN TITULADA'!#REF!,"AAAAAH+r//A=")</f>
        <v>#REF!</v>
      </c>
      <c r="IH362" t="e">
        <f>AND('PROG FORMACIÓN TITULADA'!#REF!,"AAAAAH+r//E=")</f>
        <v>#REF!</v>
      </c>
      <c r="II362" t="e">
        <f>AND('PROG FORMACIÓN TITULADA'!#REF!,"AAAAAH+r//I=")</f>
        <v>#REF!</v>
      </c>
      <c r="IJ362" t="e">
        <f>AND('PROG FORMACIÓN TITULADA'!#REF!,"AAAAAH+r//M=")</f>
        <v>#REF!</v>
      </c>
      <c r="IK362" t="e">
        <f>AND('PROG FORMACIÓN TITULADA'!#REF!,"AAAAAH+r//Q=")</f>
        <v>#REF!</v>
      </c>
      <c r="IL362" t="e">
        <f>AND('PROG FORMACIÓN TITULADA'!#REF!,"AAAAAH+r//U=")</f>
        <v>#REF!</v>
      </c>
      <c r="IM362" t="e">
        <f>AND('PROG FORMACIÓN TITULADA'!#REF!,"AAAAAH+r//Y=")</f>
        <v>#REF!</v>
      </c>
      <c r="IN362" t="e">
        <f>AND('PROG FORMACIÓN TITULADA'!#REF!,"AAAAAH+r//c=")</f>
        <v>#REF!</v>
      </c>
      <c r="IO362" t="e">
        <f>AND('PROG FORMACIÓN TITULADA'!#REF!,"AAAAAH+r//g=")</f>
        <v>#REF!</v>
      </c>
      <c r="IP362" t="e">
        <f>AND('PROG FORMACIÓN TITULADA'!#REF!,"AAAAAH+r//k=")</f>
        <v>#REF!</v>
      </c>
      <c r="IQ362" t="e">
        <f>AND('PROG FORMACIÓN TITULADA'!#REF!,"AAAAAH+r//o=")</f>
        <v>#REF!</v>
      </c>
      <c r="IR362" t="e">
        <f>AND('PROG FORMACIÓN TITULADA'!#REF!,"AAAAAH+r//s=")</f>
        <v>#REF!</v>
      </c>
      <c r="IS362" t="e">
        <f>AND('PROG FORMACIÓN TITULADA'!#REF!,"AAAAAH+r//w=")</f>
        <v>#REF!</v>
      </c>
      <c r="IT362" t="e">
        <f>AND('PROG FORMACIÓN TITULADA'!#REF!,"AAAAAH+r//0=")</f>
        <v>#REF!</v>
      </c>
      <c r="IU362" t="e">
        <f>AND('PROG FORMACIÓN TITULADA'!#REF!,"AAAAAH+r//4=")</f>
        <v>#REF!</v>
      </c>
      <c r="IV362" t="e">
        <f>AND('PROG FORMACIÓN TITULADA'!#REF!,"AAAAAH+r//8=")</f>
        <v>#REF!</v>
      </c>
    </row>
    <row r="363" spans="1:256" x14ac:dyDescent="0.2">
      <c r="A363" t="e">
        <f>AND('PROG FORMACIÓN TITULADA'!#REF!,"AAAAAH6/vgA=")</f>
        <v>#REF!</v>
      </c>
      <c r="B363" t="e">
        <f>AND('PROG FORMACIÓN TITULADA'!#REF!,"AAAAAH6/vgE=")</f>
        <v>#REF!</v>
      </c>
      <c r="C363" t="e">
        <f>AND('PROG FORMACIÓN TITULADA'!#REF!,"AAAAAH6/vgI=")</f>
        <v>#REF!</v>
      </c>
      <c r="D363" t="e">
        <f>AND('PROG FORMACIÓN TITULADA'!#REF!,"AAAAAH6/vgM=")</f>
        <v>#REF!</v>
      </c>
      <c r="E363" t="e">
        <f>AND('PROG FORMACIÓN TITULADA'!#REF!,"AAAAAH6/vgQ=")</f>
        <v>#REF!</v>
      </c>
      <c r="F363" t="e">
        <f>AND('PROG FORMACIÓN TITULADA'!#REF!,"AAAAAH6/vgU=")</f>
        <v>#REF!</v>
      </c>
      <c r="G363" t="e">
        <f>AND('PROG FORMACIÓN TITULADA'!#REF!,"AAAAAH6/vgY=")</f>
        <v>#REF!</v>
      </c>
      <c r="H363" t="e">
        <f>IF('PROG FORMACIÓN TITULADA'!#REF!,"AAAAAH6/vgc=",0)</f>
        <v>#REF!</v>
      </c>
      <c r="I363" t="e">
        <f>AND('PROG FORMACIÓN TITULADA'!#REF!,"AAAAAH6/vgg=")</f>
        <v>#REF!</v>
      </c>
      <c r="J363" t="e">
        <f>AND('PROG FORMACIÓN TITULADA'!#REF!,"AAAAAH6/vgk=")</f>
        <v>#REF!</v>
      </c>
      <c r="K363" t="e">
        <f>AND('PROG FORMACIÓN TITULADA'!#REF!,"AAAAAH6/vgo=")</f>
        <v>#REF!</v>
      </c>
      <c r="L363" t="e">
        <f>AND('PROG FORMACIÓN TITULADA'!#REF!,"AAAAAH6/vgs=")</f>
        <v>#REF!</v>
      </c>
      <c r="M363" t="e">
        <f>AND('PROG FORMACIÓN TITULADA'!#REF!,"AAAAAH6/vgw=")</f>
        <v>#REF!</v>
      </c>
      <c r="N363" t="e">
        <f>AND('PROG FORMACIÓN TITULADA'!#REF!,"AAAAAH6/vg0=")</f>
        <v>#REF!</v>
      </c>
      <c r="O363" t="e">
        <f>AND('PROG FORMACIÓN TITULADA'!#REF!,"AAAAAH6/vg4=")</f>
        <v>#REF!</v>
      </c>
      <c r="P363" t="e">
        <f>AND('PROG FORMACIÓN TITULADA'!#REF!,"AAAAAH6/vg8=")</f>
        <v>#REF!</v>
      </c>
      <c r="Q363" t="e">
        <f>AND('PROG FORMACIÓN TITULADA'!#REF!,"AAAAAH6/vhA=")</f>
        <v>#REF!</v>
      </c>
      <c r="R363" t="e">
        <f>AND('PROG FORMACIÓN TITULADA'!#REF!,"AAAAAH6/vhE=")</f>
        <v>#REF!</v>
      </c>
      <c r="S363" t="e">
        <f>AND('PROG FORMACIÓN TITULADA'!#REF!,"AAAAAH6/vhI=")</f>
        <v>#REF!</v>
      </c>
      <c r="T363" t="e">
        <f>AND('PROG FORMACIÓN TITULADA'!#REF!,"AAAAAH6/vhM=")</f>
        <v>#REF!</v>
      </c>
      <c r="U363" t="e">
        <f>AND('PROG FORMACIÓN TITULADA'!#REF!,"AAAAAH6/vhQ=")</f>
        <v>#REF!</v>
      </c>
      <c r="V363" t="e">
        <f>AND('PROG FORMACIÓN TITULADA'!#REF!,"AAAAAH6/vhU=")</f>
        <v>#REF!</v>
      </c>
      <c r="W363" t="e">
        <f>AND('PROG FORMACIÓN TITULADA'!#REF!,"AAAAAH6/vhY=")</f>
        <v>#REF!</v>
      </c>
      <c r="X363" t="e">
        <f>AND('PROG FORMACIÓN TITULADA'!#REF!,"AAAAAH6/vhc=")</f>
        <v>#REF!</v>
      </c>
      <c r="Y363" t="e">
        <f>AND('PROG FORMACIÓN TITULADA'!#REF!,"AAAAAH6/vhg=")</f>
        <v>#REF!</v>
      </c>
      <c r="Z363" t="e">
        <f>AND('PROG FORMACIÓN TITULADA'!#REF!,"AAAAAH6/vhk=")</f>
        <v>#REF!</v>
      </c>
      <c r="AA363" t="e">
        <f>AND('PROG FORMACIÓN TITULADA'!#REF!,"AAAAAH6/vho=")</f>
        <v>#REF!</v>
      </c>
      <c r="AB363" t="e">
        <f>AND('PROG FORMACIÓN TITULADA'!#REF!,"AAAAAH6/vhs=")</f>
        <v>#REF!</v>
      </c>
      <c r="AC363" t="e">
        <f>AND('PROG FORMACIÓN TITULADA'!#REF!,"AAAAAH6/vhw=")</f>
        <v>#REF!</v>
      </c>
      <c r="AD363" t="e">
        <f>AND('PROG FORMACIÓN TITULADA'!#REF!,"AAAAAH6/vh0=")</f>
        <v>#REF!</v>
      </c>
      <c r="AE363" t="e">
        <f>AND('PROG FORMACIÓN TITULADA'!#REF!,"AAAAAH6/vh4=")</f>
        <v>#REF!</v>
      </c>
      <c r="AF363" t="e">
        <f>AND('PROG FORMACIÓN TITULADA'!#REF!,"AAAAAH6/vh8=")</f>
        <v>#REF!</v>
      </c>
      <c r="AG363" t="e">
        <f>AND('PROG FORMACIÓN TITULADA'!#REF!,"AAAAAH6/viA=")</f>
        <v>#REF!</v>
      </c>
      <c r="AH363" t="e">
        <f>AND('PROG FORMACIÓN TITULADA'!#REF!,"AAAAAH6/viE=")</f>
        <v>#REF!</v>
      </c>
      <c r="AI363" t="e">
        <f>IF('PROG FORMACIÓN TITULADA'!#REF!,"AAAAAH6/viI=",0)</f>
        <v>#REF!</v>
      </c>
      <c r="AJ363" t="e">
        <f>AND('PROG FORMACIÓN TITULADA'!#REF!,"AAAAAH6/viM=")</f>
        <v>#REF!</v>
      </c>
      <c r="AK363" t="e">
        <f>AND('PROG FORMACIÓN TITULADA'!#REF!,"AAAAAH6/viQ=")</f>
        <v>#REF!</v>
      </c>
      <c r="AL363" t="e">
        <f>AND('PROG FORMACIÓN TITULADA'!#REF!,"AAAAAH6/viU=")</f>
        <v>#REF!</v>
      </c>
      <c r="AM363" t="e">
        <f>AND('PROG FORMACIÓN TITULADA'!#REF!,"AAAAAH6/viY=")</f>
        <v>#REF!</v>
      </c>
      <c r="AN363" t="e">
        <f>AND('PROG FORMACIÓN TITULADA'!#REF!,"AAAAAH6/vic=")</f>
        <v>#REF!</v>
      </c>
      <c r="AO363" t="e">
        <f>AND('PROG FORMACIÓN TITULADA'!#REF!,"AAAAAH6/vig=")</f>
        <v>#REF!</v>
      </c>
      <c r="AP363" t="e">
        <f>AND('PROG FORMACIÓN TITULADA'!#REF!,"AAAAAH6/vik=")</f>
        <v>#REF!</v>
      </c>
      <c r="AQ363" t="e">
        <f>AND('PROG FORMACIÓN TITULADA'!#REF!,"AAAAAH6/vio=")</f>
        <v>#REF!</v>
      </c>
      <c r="AR363" t="e">
        <f>AND('PROG FORMACIÓN TITULADA'!#REF!,"AAAAAH6/vis=")</f>
        <v>#REF!</v>
      </c>
      <c r="AS363" t="e">
        <f>AND('PROG FORMACIÓN TITULADA'!#REF!,"AAAAAH6/viw=")</f>
        <v>#REF!</v>
      </c>
      <c r="AT363" t="e">
        <f>AND('PROG FORMACIÓN TITULADA'!#REF!,"AAAAAH6/vi0=")</f>
        <v>#REF!</v>
      </c>
      <c r="AU363" t="e">
        <f>AND('PROG FORMACIÓN TITULADA'!#REF!,"AAAAAH6/vi4=")</f>
        <v>#REF!</v>
      </c>
      <c r="AV363" t="e">
        <f>AND('PROG FORMACIÓN TITULADA'!#REF!,"AAAAAH6/vi8=")</f>
        <v>#REF!</v>
      </c>
      <c r="AW363" t="e">
        <f>AND('PROG FORMACIÓN TITULADA'!#REF!,"AAAAAH6/vjA=")</f>
        <v>#REF!</v>
      </c>
      <c r="AX363" t="e">
        <f>AND('PROG FORMACIÓN TITULADA'!#REF!,"AAAAAH6/vjE=")</f>
        <v>#REF!</v>
      </c>
      <c r="AY363" t="e">
        <f>AND('PROG FORMACIÓN TITULADA'!#REF!,"AAAAAH6/vjI=")</f>
        <v>#REF!</v>
      </c>
      <c r="AZ363" t="e">
        <f>AND('PROG FORMACIÓN TITULADA'!#REF!,"AAAAAH6/vjM=")</f>
        <v>#REF!</v>
      </c>
      <c r="BA363" t="e">
        <f>AND('PROG FORMACIÓN TITULADA'!#REF!,"AAAAAH6/vjQ=")</f>
        <v>#REF!</v>
      </c>
      <c r="BB363" t="e">
        <f>AND('PROG FORMACIÓN TITULADA'!#REF!,"AAAAAH6/vjU=")</f>
        <v>#REF!</v>
      </c>
      <c r="BC363" t="e">
        <f>AND('PROG FORMACIÓN TITULADA'!#REF!,"AAAAAH6/vjY=")</f>
        <v>#REF!</v>
      </c>
      <c r="BD363" t="e">
        <f>AND('PROG FORMACIÓN TITULADA'!#REF!,"AAAAAH6/vjc=")</f>
        <v>#REF!</v>
      </c>
      <c r="BE363" t="e">
        <f>AND('PROG FORMACIÓN TITULADA'!#REF!,"AAAAAH6/vjg=")</f>
        <v>#REF!</v>
      </c>
      <c r="BF363" t="e">
        <f>AND('PROG FORMACIÓN TITULADA'!#REF!,"AAAAAH6/vjk=")</f>
        <v>#REF!</v>
      </c>
      <c r="BG363" t="e">
        <f>AND('PROG FORMACIÓN TITULADA'!#REF!,"AAAAAH6/vjo=")</f>
        <v>#REF!</v>
      </c>
      <c r="BH363" t="e">
        <f>AND('PROG FORMACIÓN TITULADA'!#REF!,"AAAAAH6/vjs=")</f>
        <v>#REF!</v>
      </c>
      <c r="BI363" t="e">
        <f>AND('PROG FORMACIÓN TITULADA'!#REF!,"AAAAAH6/vjw=")</f>
        <v>#REF!</v>
      </c>
      <c r="BJ363" t="e">
        <f>IF('PROG FORMACIÓN TITULADA'!#REF!,"AAAAAH6/vj0=",0)</f>
        <v>#REF!</v>
      </c>
      <c r="BK363" t="e">
        <f>AND('PROG FORMACIÓN TITULADA'!#REF!,"AAAAAH6/vj4=")</f>
        <v>#REF!</v>
      </c>
      <c r="BL363" t="e">
        <f>AND('PROG FORMACIÓN TITULADA'!#REF!,"AAAAAH6/vj8=")</f>
        <v>#REF!</v>
      </c>
      <c r="BM363" t="e">
        <f>AND('PROG FORMACIÓN TITULADA'!#REF!,"AAAAAH6/vkA=")</f>
        <v>#REF!</v>
      </c>
      <c r="BN363" t="e">
        <f>AND('PROG FORMACIÓN TITULADA'!#REF!,"AAAAAH6/vkE=")</f>
        <v>#REF!</v>
      </c>
      <c r="BO363" t="e">
        <f>AND('PROG FORMACIÓN TITULADA'!#REF!,"AAAAAH6/vkI=")</f>
        <v>#REF!</v>
      </c>
      <c r="BP363" t="e">
        <f>AND('PROG FORMACIÓN TITULADA'!#REF!,"AAAAAH6/vkM=")</f>
        <v>#REF!</v>
      </c>
      <c r="BQ363" t="e">
        <f>AND('PROG FORMACIÓN TITULADA'!#REF!,"AAAAAH6/vkQ=")</f>
        <v>#REF!</v>
      </c>
      <c r="BR363" t="e">
        <f>AND('PROG FORMACIÓN TITULADA'!#REF!,"AAAAAH6/vkU=")</f>
        <v>#REF!</v>
      </c>
      <c r="BS363" t="e">
        <f>AND('PROG FORMACIÓN TITULADA'!#REF!,"AAAAAH6/vkY=")</f>
        <v>#REF!</v>
      </c>
      <c r="BT363" t="e">
        <f>AND('PROG FORMACIÓN TITULADA'!#REF!,"AAAAAH6/vkc=")</f>
        <v>#REF!</v>
      </c>
      <c r="BU363" t="e">
        <f>AND('PROG FORMACIÓN TITULADA'!#REF!,"AAAAAH6/vkg=")</f>
        <v>#REF!</v>
      </c>
      <c r="BV363" t="e">
        <f>AND('PROG FORMACIÓN TITULADA'!#REF!,"AAAAAH6/vkk=")</f>
        <v>#REF!</v>
      </c>
      <c r="BW363" t="e">
        <f>AND('PROG FORMACIÓN TITULADA'!#REF!,"AAAAAH6/vko=")</f>
        <v>#REF!</v>
      </c>
      <c r="BX363" t="e">
        <f>AND('PROG FORMACIÓN TITULADA'!#REF!,"AAAAAH6/vks=")</f>
        <v>#REF!</v>
      </c>
      <c r="BY363" t="e">
        <f>AND('PROG FORMACIÓN TITULADA'!#REF!,"AAAAAH6/vkw=")</f>
        <v>#REF!</v>
      </c>
      <c r="BZ363" t="e">
        <f>AND('PROG FORMACIÓN TITULADA'!#REF!,"AAAAAH6/vk0=")</f>
        <v>#REF!</v>
      </c>
      <c r="CA363" t="e">
        <f>AND('PROG FORMACIÓN TITULADA'!#REF!,"AAAAAH6/vk4=")</f>
        <v>#REF!</v>
      </c>
      <c r="CB363" t="e">
        <f>AND('PROG FORMACIÓN TITULADA'!#REF!,"AAAAAH6/vk8=")</f>
        <v>#REF!</v>
      </c>
      <c r="CC363" t="e">
        <f>AND('PROG FORMACIÓN TITULADA'!#REF!,"AAAAAH6/vlA=")</f>
        <v>#REF!</v>
      </c>
      <c r="CD363" t="e">
        <f>AND('PROG FORMACIÓN TITULADA'!#REF!,"AAAAAH6/vlE=")</f>
        <v>#REF!</v>
      </c>
      <c r="CE363" t="e">
        <f>AND('PROG FORMACIÓN TITULADA'!#REF!,"AAAAAH6/vlI=")</f>
        <v>#REF!</v>
      </c>
      <c r="CF363" t="e">
        <f>AND('PROG FORMACIÓN TITULADA'!#REF!,"AAAAAH6/vlM=")</f>
        <v>#REF!</v>
      </c>
      <c r="CG363" t="e">
        <f>AND('PROG FORMACIÓN TITULADA'!#REF!,"AAAAAH6/vlQ=")</f>
        <v>#REF!</v>
      </c>
      <c r="CH363" t="e">
        <f>AND('PROG FORMACIÓN TITULADA'!#REF!,"AAAAAH6/vlU=")</f>
        <v>#REF!</v>
      </c>
      <c r="CI363" t="e">
        <f>AND('PROG FORMACIÓN TITULADA'!#REF!,"AAAAAH6/vlY=")</f>
        <v>#REF!</v>
      </c>
      <c r="CJ363" t="e">
        <f>AND('PROG FORMACIÓN TITULADA'!#REF!,"AAAAAH6/vlc=")</f>
        <v>#REF!</v>
      </c>
      <c r="CK363" t="e">
        <f>IF('PROG FORMACIÓN TITULADA'!#REF!,"AAAAAH6/vlg=",0)</f>
        <v>#REF!</v>
      </c>
      <c r="CL363" t="e">
        <f>AND('PROG FORMACIÓN TITULADA'!#REF!,"AAAAAH6/vlk=")</f>
        <v>#REF!</v>
      </c>
      <c r="CM363" t="e">
        <f>AND('PROG FORMACIÓN TITULADA'!#REF!,"AAAAAH6/vlo=")</f>
        <v>#REF!</v>
      </c>
      <c r="CN363" t="e">
        <f>AND('PROG FORMACIÓN TITULADA'!#REF!,"AAAAAH6/vls=")</f>
        <v>#REF!</v>
      </c>
      <c r="CO363" t="e">
        <f>AND('PROG FORMACIÓN TITULADA'!#REF!,"AAAAAH6/vlw=")</f>
        <v>#REF!</v>
      </c>
      <c r="CP363" t="e">
        <f>AND('PROG FORMACIÓN TITULADA'!#REF!,"AAAAAH6/vl0=")</f>
        <v>#REF!</v>
      </c>
      <c r="CQ363" t="e">
        <f>AND('PROG FORMACIÓN TITULADA'!#REF!,"AAAAAH6/vl4=")</f>
        <v>#REF!</v>
      </c>
      <c r="CR363" t="e">
        <f>AND('PROG FORMACIÓN TITULADA'!#REF!,"AAAAAH6/vl8=")</f>
        <v>#REF!</v>
      </c>
      <c r="CS363" t="e">
        <f>AND('PROG FORMACIÓN TITULADA'!#REF!,"AAAAAH6/vmA=")</f>
        <v>#REF!</v>
      </c>
      <c r="CT363" t="e">
        <f>AND('PROG FORMACIÓN TITULADA'!#REF!,"AAAAAH6/vmE=")</f>
        <v>#REF!</v>
      </c>
      <c r="CU363" t="e">
        <f>AND('PROG FORMACIÓN TITULADA'!#REF!,"AAAAAH6/vmI=")</f>
        <v>#REF!</v>
      </c>
      <c r="CV363" t="e">
        <f>AND('PROG FORMACIÓN TITULADA'!#REF!,"AAAAAH6/vmM=")</f>
        <v>#REF!</v>
      </c>
      <c r="CW363" t="e">
        <f>AND('PROG FORMACIÓN TITULADA'!#REF!,"AAAAAH6/vmQ=")</f>
        <v>#REF!</v>
      </c>
      <c r="CX363" t="e">
        <f>AND('PROG FORMACIÓN TITULADA'!#REF!,"AAAAAH6/vmU=")</f>
        <v>#REF!</v>
      </c>
      <c r="CY363" t="e">
        <f>AND('PROG FORMACIÓN TITULADA'!#REF!,"AAAAAH6/vmY=")</f>
        <v>#REF!</v>
      </c>
      <c r="CZ363" t="e">
        <f>AND('PROG FORMACIÓN TITULADA'!#REF!,"AAAAAH6/vmc=")</f>
        <v>#REF!</v>
      </c>
      <c r="DA363" t="e">
        <f>AND('PROG FORMACIÓN TITULADA'!#REF!,"AAAAAH6/vmg=")</f>
        <v>#REF!</v>
      </c>
      <c r="DB363" t="e">
        <f>AND('PROG FORMACIÓN TITULADA'!#REF!,"AAAAAH6/vmk=")</f>
        <v>#REF!</v>
      </c>
      <c r="DC363" t="e">
        <f>AND('PROG FORMACIÓN TITULADA'!#REF!,"AAAAAH6/vmo=")</f>
        <v>#REF!</v>
      </c>
      <c r="DD363" t="e">
        <f>AND('PROG FORMACIÓN TITULADA'!#REF!,"AAAAAH6/vms=")</f>
        <v>#REF!</v>
      </c>
      <c r="DE363" t="e">
        <f>AND('PROG FORMACIÓN TITULADA'!#REF!,"AAAAAH6/vmw=")</f>
        <v>#REF!</v>
      </c>
      <c r="DF363" t="e">
        <f>AND('PROG FORMACIÓN TITULADA'!#REF!,"AAAAAH6/vm0=")</f>
        <v>#REF!</v>
      </c>
      <c r="DG363" t="e">
        <f>AND('PROG FORMACIÓN TITULADA'!#REF!,"AAAAAH6/vm4=")</f>
        <v>#REF!</v>
      </c>
      <c r="DH363" t="e">
        <f>AND('PROG FORMACIÓN TITULADA'!#REF!,"AAAAAH6/vm8=")</f>
        <v>#REF!</v>
      </c>
      <c r="DI363" t="e">
        <f>AND('PROG FORMACIÓN TITULADA'!#REF!,"AAAAAH6/vnA=")</f>
        <v>#REF!</v>
      </c>
      <c r="DJ363" t="e">
        <f>AND('PROG FORMACIÓN TITULADA'!#REF!,"AAAAAH6/vnE=")</f>
        <v>#REF!</v>
      </c>
      <c r="DK363" t="e">
        <f>AND('PROG FORMACIÓN TITULADA'!#REF!,"AAAAAH6/vnI=")</f>
        <v>#REF!</v>
      </c>
      <c r="DL363" t="e">
        <f>IF('PROG FORMACIÓN TITULADA'!#REF!,"AAAAAH6/vnM=",0)</f>
        <v>#REF!</v>
      </c>
      <c r="DM363" t="e">
        <f>AND('PROG FORMACIÓN TITULADA'!#REF!,"AAAAAH6/vnQ=")</f>
        <v>#REF!</v>
      </c>
      <c r="DN363" t="e">
        <f>AND('PROG FORMACIÓN TITULADA'!#REF!,"AAAAAH6/vnU=")</f>
        <v>#REF!</v>
      </c>
      <c r="DO363" t="e">
        <f>AND('PROG FORMACIÓN TITULADA'!#REF!,"AAAAAH6/vnY=")</f>
        <v>#REF!</v>
      </c>
      <c r="DP363" t="e">
        <f>AND('PROG FORMACIÓN TITULADA'!#REF!,"AAAAAH6/vnc=")</f>
        <v>#REF!</v>
      </c>
      <c r="DQ363" t="e">
        <f>AND('PROG FORMACIÓN TITULADA'!#REF!,"AAAAAH6/vng=")</f>
        <v>#REF!</v>
      </c>
      <c r="DR363" t="e">
        <f>AND('PROG FORMACIÓN TITULADA'!#REF!,"AAAAAH6/vnk=")</f>
        <v>#REF!</v>
      </c>
      <c r="DS363" t="e">
        <f>AND('PROG FORMACIÓN TITULADA'!#REF!,"AAAAAH6/vno=")</f>
        <v>#REF!</v>
      </c>
      <c r="DT363" t="e">
        <f>AND('PROG FORMACIÓN TITULADA'!#REF!,"AAAAAH6/vns=")</f>
        <v>#REF!</v>
      </c>
      <c r="DU363" t="e">
        <f>AND('PROG FORMACIÓN TITULADA'!#REF!,"AAAAAH6/vnw=")</f>
        <v>#REF!</v>
      </c>
      <c r="DV363" t="e">
        <f>AND('PROG FORMACIÓN TITULADA'!#REF!,"AAAAAH6/vn0=")</f>
        <v>#REF!</v>
      </c>
      <c r="DW363" t="e">
        <f>AND('PROG FORMACIÓN TITULADA'!#REF!,"AAAAAH6/vn4=")</f>
        <v>#REF!</v>
      </c>
      <c r="DX363" t="e">
        <f>AND('PROG FORMACIÓN TITULADA'!#REF!,"AAAAAH6/vn8=")</f>
        <v>#REF!</v>
      </c>
      <c r="DY363" t="e">
        <f>AND('PROG FORMACIÓN TITULADA'!#REF!,"AAAAAH6/voA=")</f>
        <v>#REF!</v>
      </c>
      <c r="DZ363" t="e">
        <f>AND('PROG FORMACIÓN TITULADA'!#REF!,"AAAAAH6/voE=")</f>
        <v>#REF!</v>
      </c>
      <c r="EA363" t="e">
        <f>AND('PROG FORMACIÓN TITULADA'!#REF!,"AAAAAH6/voI=")</f>
        <v>#REF!</v>
      </c>
      <c r="EB363" t="e">
        <f>AND('PROG FORMACIÓN TITULADA'!#REF!,"AAAAAH6/voM=")</f>
        <v>#REF!</v>
      </c>
      <c r="EC363" t="e">
        <f>AND('PROG FORMACIÓN TITULADA'!#REF!,"AAAAAH6/voQ=")</f>
        <v>#REF!</v>
      </c>
      <c r="ED363" t="e">
        <f>AND('PROG FORMACIÓN TITULADA'!#REF!,"AAAAAH6/voU=")</f>
        <v>#REF!</v>
      </c>
      <c r="EE363" t="e">
        <f>AND('PROG FORMACIÓN TITULADA'!#REF!,"AAAAAH6/voY=")</f>
        <v>#REF!</v>
      </c>
      <c r="EF363" t="e">
        <f>AND('PROG FORMACIÓN TITULADA'!#REF!,"AAAAAH6/voc=")</f>
        <v>#REF!</v>
      </c>
      <c r="EG363" t="e">
        <f>AND('PROG FORMACIÓN TITULADA'!#REF!,"AAAAAH6/vog=")</f>
        <v>#REF!</v>
      </c>
      <c r="EH363" t="e">
        <f>AND('PROG FORMACIÓN TITULADA'!#REF!,"AAAAAH6/vok=")</f>
        <v>#REF!</v>
      </c>
      <c r="EI363" t="e">
        <f>AND('PROG FORMACIÓN TITULADA'!#REF!,"AAAAAH6/voo=")</f>
        <v>#REF!</v>
      </c>
      <c r="EJ363" t="e">
        <f>AND('PROG FORMACIÓN TITULADA'!#REF!,"AAAAAH6/vos=")</f>
        <v>#REF!</v>
      </c>
      <c r="EK363" t="e">
        <f>AND('PROG FORMACIÓN TITULADA'!#REF!,"AAAAAH6/vow=")</f>
        <v>#REF!</v>
      </c>
      <c r="EL363" t="e">
        <f>AND('PROG FORMACIÓN TITULADA'!#REF!,"AAAAAH6/vo0=")</f>
        <v>#REF!</v>
      </c>
      <c r="EM363" t="e">
        <f>IF('PROG FORMACIÓN TITULADA'!#REF!,"AAAAAH6/vo4=",0)</f>
        <v>#REF!</v>
      </c>
      <c r="EN363" t="e">
        <f>AND('PROG FORMACIÓN TITULADA'!#REF!,"AAAAAH6/vo8=")</f>
        <v>#REF!</v>
      </c>
      <c r="EO363" t="e">
        <f>AND('PROG FORMACIÓN TITULADA'!#REF!,"AAAAAH6/vpA=")</f>
        <v>#REF!</v>
      </c>
      <c r="EP363" t="e">
        <f>AND('PROG FORMACIÓN TITULADA'!#REF!,"AAAAAH6/vpE=")</f>
        <v>#REF!</v>
      </c>
      <c r="EQ363" t="e">
        <f>AND('PROG FORMACIÓN TITULADA'!#REF!,"AAAAAH6/vpI=")</f>
        <v>#REF!</v>
      </c>
      <c r="ER363" t="e">
        <f>AND('PROG FORMACIÓN TITULADA'!#REF!,"AAAAAH6/vpM=")</f>
        <v>#REF!</v>
      </c>
      <c r="ES363" t="e">
        <f>AND('PROG FORMACIÓN TITULADA'!#REF!,"AAAAAH6/vpQ=")</f>
        <v>#REF!</v>
      </c>
      <c r="ET363" t="e">
        <f>AND('PROG FORMACIÓN TITULADA'!#REF!,"AAAAAH6/vpU=")</f>
        <v>#REF!</v>
      </c>
      <c r="EU363" t="e">
        <f>AND('PROG FORMACIÓN TITULADA'!#REF!,"AAAAAH6/vpY=")</f>
        <v>#REF!</v>
      </c>
      <c r="EV363" t="e">
        <f>AND('PROG FORMACIÓN TITULADA'!#REF!,"AAAAAH6/vpc=")</f>
        <v>#REF!</v>
      </c>
      <c r="EW363" t="e">
        <f>AND('PROG FORMACIÓN TITULADA'!#REF!,"AAAAAH6/vpg=")</f>
        <v>#REF!</v>
      </c>
      <c r="EX363" t="e">
        <f>AND('PROG FORMACIÓN TITULADA'!#REF!,"AAAAAH6/vpk=")</f>
        <v>#REF!</v>
      </c>
      <c r="EY363" t="e">
        <f>AND('PROG FORMACIÓN TITULADA'!#REF!,"AAAAAH6/vpo=")</f>
        <v>#REF!</v>
      </c>
      <c r="EZ363" t="e">
        <f>AND('PROG FORMACIÓN TITULADA'!#REF!,"AAAAAH6/vps=")</f>
        <v>#REF!</v>
      </c>
      <c r="FA363" t="e">
        <f>AND('PROG FORMACIÓN TITULADA'!#REF!,"AAAAAH6/vpw=")</f>
        <v>#REF!</v>
      </c>
      <c r="FB363" t="e">
        <f>AND('PROG FORMACIÓN TITULADA'!#REF!,"AAAAAH6/vp0=")</f>
        <v>#REF!</v>
      </c>
      <c r="FC363" t="e">
        <f>AND('PROG FORMACIÓN TITULADA'!#REF!,"AAAAAH6/vp4=")</f>
        <v>#REF!</v>
      </c>
      <c r="FD363" t="e">
        <f>AND('PROG FORMACIÓN TITULADA'!#REF!,"AAAAAH6/vp8=")</f>
        <v>#REF!</v>
      </c>
      <c r="FE363" t="e">
        <f>AND('PROG FORMACIÓN TITULADA'!#REF!,"AAAAAH6/vqA=")</f>
        <v>#REF!</v>
      </c>
      <c r="FF363" t="e">
        <f>AND('PROG FORMACIÓN TITULADA'!#REF!,"AAAAAH6/vqE=")</f>
        <v>#REF!</v>
      </c>
      <c r="FG363" t="e">
        <f>AND('PROG FORMACIÓN TITULADA'!#REF!,"AAAAAH6/vqI=")</f>
        <v>#REF!</v>
      </c>
      <c r="FH363" t="e">
        <f>AND('PROG FORMACIÓN TITULADA'!#REF!,"AAAAAH6/vqM=")</f>
        <v>#REF!</v>
      </c>
      <c r="FI363" t="e">
        <f>AND('PROG FORMACIÓN TITULADA'!#REF!,"AAAAAH6/vqQ=")</f>
        <v>#REF!</v>
      </c>
      <c r="FJ363" t="e">
        <f>AND('PROG FORMACIÓN TITULADA'!#REF!,"AAAAAH6/vqU=")</f>
        <v>#REF!</v>
      </c>
      <c r="FK363" t="e">
        <f>AND('PROG FORMACIÓN TITULADA'!#REF!,"AAAAAH6/vqY=")</f>
        <v>#REF!</v>
      </c>
      <c r="FL363" t="e">
        <f>AND('PROG FORMACIÓN TITULADA'!#REF!,"AAAAAH6/vqc=")</f>
        <v>#REF!</v>
      </c>
      <c r="FM363" t="e">
        <f>AND('PROG FORMACIÓN TITULADA'!#REF!,"AAAAAH6/vqg=")</f>
        <v>#REF!</v>
      </c>
      <c r="FN363" t="e">
        <f>IF('PROG FORMACIÓN TITULADA'!#REF!,"AAAAAH6/vqk=",0)</f>
        <v>#REF!</v>
      </c>
      <c r="FO363" t="e">
        <f>AND('PROG FORMACIÓN TITULADA'!#REF!,"AAAAAH6/vqo=")</f>
        <v>#REF!</v>
      </c>
      <c r="FP363" t="e">
        <f>AND('PROG FORMACIÓN TITULADA'!#REF!,"AAAAAH6/vqs=")</f>
        <v>#REF!</v>
      </c>
      <c r="FQ363" t="e">
        <f>AND('PROG FORMACIÓN TITULADA'!#REF!,"AAAAAH6/vqw=")</f>
        <v>#REF!</v>
      </c>
      <c r="FR363" t="e">
        <f>AND('PROG FORMACIÓN TITULADA'!#REF!,"AAAAAH6/vq0=")</f>
        <v>#REF!</v>
      </c>
      <c r="FS363" t="e">
        <f>AND('PROG FORMACIÓN TITULADA'!#REF!,"AAAAAH6/vq4=")</f>
        <v>#REF!</v>
      </c>
      <c r="FT363" t="e">
        <f>AND('PROG FORMACIÓN TITULADA'!#REF!,"AAAAAH6/vq8=")</f>
        <v>#REF!</v>
      </c>
      <c r="FU363" t="e">
        <f>AND('PROG FORMACIÓN TITULADA'!#REF!,"AAAAAH6/vrA=")</f>
        <v>#REF!</v>
      </c>
      <c r="FV363" t="e">
        <f>AND('PROG FORMACIÓN TITULADA'!#REF!,"AAAAAH6/vrE=")</f>
        <v>#REF!</v>
      </c>
      <c r="FW363" t="e">
        <f>AND('PROG FORMACIÓN TITULADA'!#REF!,"AAAAAH6/vrI=")</f>
        <v>#REF!</v>
      </c>
      <c r="FX363" t="e">
        <f>AND('PROG FORMACIÓN TITULADA'!#REF!,"AAAAAH6/vrM=")</f>
        <v>#REF!</v>
      </c>
      <c r="FY363" t="e">
        <f>AND('PROG FORMACIÓN TITULADA'!#REF!,"AAAAAH6/vrQ=")</f>
        <v>#REF!</v>
      </c>
      <c r="FZ363" t="e">
        <f>AND('PROG FORMACIÓN TITULADA'!#REF!,"AAAAAH6/vrU=")</f>
        <v>#REF!</v>
      </c>
      <c r="GA363" t="e">
        <f>AND('PROG FORMACIÓN TITULADA'!#REF!,"AAAAAH6/vrY=")</f>
        <v>#REF!</v>
      </c>
      <c r="GB363" t="e">
        <f>AND('PROG FORMACIÓN TITULADA'!#REF!,"AAAAAH6/vrc=")</f>
        <v>#REF!</v>
      </c>
      <c r="GC363" t="e">
        <f>AND('PROG FORMACIÓN TITULADA'!#REF!,"AAAAAH6/vrg=")</f>
        <v>#REF!</v>
      </c>
      <c r="GD363" t="e">
        <f>AND('PROG FORMACIÓN TITULADA'!#REF!,"AAAAAH6/vrk=")</f>
        <v>#REF!</v>
      </c>
      <c r="GE363" t="e">
        <f>AND('PROG FORMACIÓN TITULADA'!#REF!,"AAAAAH6/vro=")</f>
        <v>#REF!</v>
      </c>
      <c r="GF363" t="e">
        <f>AND('PROG FORMACIÓN TITULADA'!#REF!,"AAAAAH6/vrs=")</f>
        <v>#REF!</v>
      </c>
      <c r="GG363" t="e">
        <f>AND('PROG FORMACIÓN TITULADA'!#REF!,"AAAAAH6/vrw=")</f>
        <v>#REF!</v>
      </c>
      <c r="GH363" t="e">
        <f>AND('PROG FORMACIÓN TITULADA'!#REF!,"AAAAAH6/vr0=")</f>
        <v>#REF!</v>
      </c>
      <c r="GI363" t="e">
        <f>AND('PROG FORMACIÓN TITULADA'!#REF!,"AAAAAH6/vr4=")</f>
        <v>#REF!</v>
      </c>
      <c r="GJ363" t="e">
        <f>AND('PROG FORMACIÓN TITULADA'!#REF!,"AAAAAH6/vr8=")</f>
        <v>#REF!</v>
      </c>
      <c r="GK363" t="e">
        <f>AND('PROG FORMACIÓN TITULADA'!#REF!,"AAAAAH6/vsA=")</f>
        <v>#REF!</v>
      </c>
      <c r="GL363" t="e">
        <f>AND('PROG FORMACIÓN TITULADA'!#REF!,"AAAAAH6/vsE=")</f>
        <v>#REF!</v>
      </c>
      <c r="GM363" t="e">
        <f>AND('PROG FORMACIÓN TITULADA'!#REF!,"AAAAAH6/vsI=")</f>
        <v>#REF!</v>
      </c>
      <c r="GN363" t="e">
        <f>AND('PROG FORMACIÓN TITULADA'!#REF!,"AAAAAH6/vsM=")</f>
        <v>#REF!</v>
      </c>
      <c r="GO363" t="e">
        <f>IF('PROG FORMACIÓN TITULADA'!#REF!,"AAAAAH6/vsQ=",0)</f>
        <v>#REF!</v>
      </c>
      <c r="GP363" t="e">
        <f>AND('PROG FORMACIÓN TITULADA'!#REF!,"AAAAAH6/vsU=")</f>
        <v>#REF!</v>
      </c>
      <c r="GQ363" t="e">
        <f>AND('PROG FORMACIÓN TITULADA'!#REF!,"AAAAAH6/vsY=")</f>
        <v>#REF!</v>
      </c>
      <c r="GR363" t="e">
        <f>AND('PROG FORMACIÓN TITULADA'!#REF!,"AAAAAH6/vsc=")</f>
        <v>#REF!</v>
      </c>
      <c r="GS363" t="e">
        <f>AND('PROG FORMACIÓN TITULADA'!#REF!,"AAAAAH6/vsg=")</f>
        <v>#REF!</v>
      </c>
      <c r="GT363" t="e">
        <f>AND('PROG FORMACIÓN TITULADA'!#REF!,"AAAAAH6/vsk=")</f>
        <v>#REF!</v>
      </c>
      <c r="GU363" t="e">
        <f>AND('PROG FORMACIÓN TITULADA'!#REF!,"AAAAAH6/vso=")</f>
        <v>#REF!</v>
      </c>
      <c r="GV363" t="e">
        <f>AND('PROG FORMACIÓN TITULADA'!#REF!,"AAAAAH6/vss=")</f>
        <v>#REF!</v>
      </c>
      <c r="GW363" t="e">
        <f>AND('PROG FORMACIÓN TITULADA'!#REF!,"AAAAAH6/vsw=")</f>
        <v>#REF!</v>
      </c>
      <c r="GX363" t="e">
        <f>AND('PROG FORMACIÓN TITULADA'!#REF!,"AAAAAH6/vs0=")</f>
        <v>#REF!</v>
      </c>
      <c r="GY363" t="e">
        <f>AND('PROG FORMACIÓN TITULADA'!#REF!,"AAAAAH6/vs4=")</f>
        <v>#REF!</v>
      </c>
      <c r="GZ363" t="e">
        <f>AND('PROG FORMACIÓN TITULADA'!#REF!,"AAAAAH6/vs8=")</f>
        <v>#REF!</v>
      </c>
      <c r="HA363" t="e">
        <f>AND('PROG FORMACIÓN TITULADA'!#REF!,"AAAAAH6/vtA=")</f>
        <v>#REF!</v>
      </c>
      <c r="HB363" t="e">
        <f>AND('PROG FORMACIÓN TITULADA'!#REF!,"AAAAAH6/vtE=")</f>
        <v>#REF!</v>
      </c>
      <c r="HC363" t="e">
        <f>AND('PROG FORMACIÓN TITULADA'!#REF!,"AAAAAH6/vtI=")</f>
        <v>#REF!</v>
      </c>
      <c r="HD363" t="e">
        <f>AND('PROG FORMACIÓN TITULADA'!#REF!,"AAAAAH6/vtM=")</f>
        <v>#REF!</v>
      </c>
      <c r="HE363" t="e">
        <f>AND('PROG FORMACIÓN TITULADA'!#REF!,"AAAAAH6/vtQ=")</f>
        <v>#REF!</v>
      </c>
      <c r="HF363" t="e">
        <f>AND('PROG FORMACIÓN TITULADA'!#REF!,"AAAAAH6/vtU=")</f>
        <v>#REF!</v>
      </c>
      <c r="HG363" t="e">
        <f>AND('PROG FORMACIÓN TITULADA'!#REF!,"AAAAAH6/vtY=")</f>
        <v>#REF!</v>
      </c>
      <c r="HH363" t="e">
        <f>AND('PROG FORMACIÓN TITULADA'!#REF!,"AAAAAH6/vtc=")</f>
        <v>#REF!</v>
      </c>
      <c r="HI363" t="e">
        <f>AND('PROG FORMACIÓN TITULADA'!#REF!,"AAAAAH6/vtg=")</f>
        <v>#REF!</v>
      </c>
      <c r="HJ363" t="e">
        <f>AND('PROG FORMACIÓN TITULADA'!#REF!,"AAAAAH6/vtk=")</f>
        <v>#REF!</v>
      </c>
      <c r="HK363" t="e">
        <f>AND('PROG FORMACIÓN TITULADA'!#REF!,"AAAAAH6/vto=")</f>
        <v>#REF!</v>
      </c>
      <c r="HL363" t="e">
        <f>AND('PROG FORMACIÓN TITULADA'!#REF!,"AAAAAH6/vts=")</f>
        <v>#REF!</v>
      </c>
      <c r="HM363" t="e">
        <f>AND('PROG FORMACIÓN TITULADA'!#REF!,"AAAAAH6/vtw=")</f>
        <v>#REF!</v>
      </c>
      <c r="HN363" t="e">
        <f>AND('PROG FORMACIÓN TITULADA'!#REF!,"AAAAAH6/vt0=")</f>
        <v>#REF!</v>
      </c>
      <c r="HO363" t="e">
        <f>AND('PROG FORMACIÓN TITULADA'!#REF!,"AAAAAH6/vt4=")</f>
        <v>#REF!</v>
      </c>
      <c r="HP363" t="e">
        <f>IF('PROG FORMACIÓN TITULADA'!#REF!,"AAAAAH6/vt8=",0)</f>
        <v>#REF!</v>
      </c>
      <c r="HQ363" t="e">
        <f>AND('PROG FORMACIÓN TITULADA'!#REF!,"AAAAAH6/vuA=")</f>
        <v>#REF!</v>
      </c>
      <c r="HR363" t="e">
        <f>AND('PROG FORMACIÓN TITULADA'!#REF!,"AAAAAH6/vuE=")</f>
        <v>#REF!</v>
      </c>
      <c r="HS363" t="e">
        <f>AND('PROG FORMACIÓN TITULADA'!#REF!,"AAAAAH6/vuI=")</f>
        <v>#REF!</v>
      </c>
      <c r="HT363" t="e">
        <f>AND('PROG FORMACIÓN TITULADA'!#REF!,"AAAAAH6/vuM=")</f>
        <v>#REF!</v>
      </c>
      <c r="HU363" t="e">
        <f>AND('PROG FORMACIÓN TITULADA'!#REF!,"AAAAAH6/vuQ=")</f>
        <v>#REF!</v>
      </c>
      <c r="HV363" t="e">
        <f>AND('PROG FORMACIÓN TITULADA'!#REF!,"AAAAAH6/vuU=")</f>
        <v>#REF!</v>
      </c>
      <c r="HW363" t="e">
        <f>AND('PROG FORMACIÓN TITULADA'!#REF!,"AAAAAH6/vuY=")</f>
        <v>#REF!</v>
      </c>
      <c r="HX363" t="e">
        <f>AND('PROG FORMACIÓN TITULADA'!#REF!,"AAAAAH6/vuc=")</f>
        <v>#REF!</v>
      </c>
      <c r="HY363" t="e">
        <f>AND('PROG FORMACIÓN TITULADA'!#REF!,"AAAAAH6/vug=")</f>
        <v>#REF!</v>
      </c>
      <c r="HZ363" t="e">
        <f>AND('PROG FORMACIÓN TITULADA'!#REF!,"AAAAAH6/vuk=")</f>
        <v>#REF!</v>
      </c>
      <c r="IA363" t="e">
        <f>AND('PROG FORMACIÓN TITULADA'!#REF!,"AAAAAH6/vuo=")</f>
        <v>#REF!</v>
      </c>
      <c r="IB363" t="e">
        <f>AND('PROG FORMACIÓN TITULADA'!#REF!,"AAAAAH6/vus=")</f>
        <v>#REF!</v>
      </c>
      <c r="IC363" t="e">
        <f>AND('PROG FORMACIÓN TITULADA'!#REF!,"AAAAAH6/vuw=")</f>
        <v>#REF!</v>
      </c>
      <c r="ID363" t="e">
        <f>AND('PROG FORMACIÓN TITULADA'!#REF!,"AAAAAH6/vu0=")</f>
        <v>#REF!</v>
      </c>
      <c r="IE363" t="e">
        <f>AND('PROG FORMACIÓN TITULADA'!#REF!,"AAAAAH6/vu4=")</f>
        <v>#REF!</v>
      </c>
      <c r="IF363" t="e">
        <f>AND('PROG FORMACIÓN TITULADA'!#REF!,"AAAAAH6/vu8=")</f>
        <v>#REF!</v>
      </c>
      <c r="IG363" t="e">
        <f>AND('PROG FORMACIÓN TITULADA'!#REF!,"AAAAAH6/vvA=")</f>
        <v>#REF!</v>
      </c>
      <c r="IH363" t="e">
        <f>AND('PROG FORMACIÓN TITULADA'!#REF!,"AAAAAH6/vvE=")</f>
        <v>#REF!</v>
      </c>
      <c r="II363" t="e">
        <f>AND('PROG FORMACIÓN TITULADA'!#REF!,"AAAAAH6/vvI=")</f>
        <v>#REF!</v>
      </c>
      <c r="IJ363" t="e">
        <f>AND('PROG FORMACIÓN TITULADA'!#REF!,"AAAAAH6/vvM=")</f>
        <v>#REF!</v>
      </c>
      <c r="IK363" t="e">
        <f>AND('PROG FORMACIÓN TITULADA'!#REF!,"AAAAAH6/vvQ=")</f>
        <v>#REF!</v>
      </c>
      <c r="IL363" t="e">
        <f>AND('PROG FORMACIÓN TITULADA'!#REF!,"AAAAAH6/vvU=")</f>
        <v>#REF!</v>
      </c>
      <c r="IM363" t="e">
        <f>AND('PROG FORMACIÓN TITULADA'!#REF!,"AAAAAH6/vvY=")</f>
        <v>#REF!</v>
      </c>
      <c r="IN363" t="e">
        <f>AND('PROG FORMACIÓN TITULADA'!#REF!,"AAAAAH6/vvc=")</f>
        <v>#REF!</v>
      </c>
      <c r="IO363" t="e">
        <f>AND('PROG FORMACIÓN TITULADA'!#REF!,"AAAAAH6/vvg=")</f>
        <v>#REF!</v>
      </c>
      <c r="IP363" t="e">
        <f>AND('PROG FORMACIÓN TITULADA'!#REF!,"AAAAAH6/vvk=")</f>
        <v>#REF!</v>
      </c>
      <c r="IQ363" t="e">
        <f>IF('PROG FORMACIÓN TITULADA'!#REF!,"AAAAAH6/vvo=",0)</f>
        <v>#REF!</v>
      </c>
      <c r="IR363" t="e">
        <f>AND('PROG FORMACIÓN TITULADA'!#REF!,"AAAAAH6/vvs=")</f>
        <v>#REF!</v>
      </c>
      <c r="IS363" t="e">
        <f>AND('PROG FORMACIÓN TITULADA'!#REF!,"AAAAAH6/vvw=")</f>
        <v>#REF!</v>
      </c>
      <c r="IT363" t="e">
        <f>AND('PROG FORMACIÓN TITULADA'!#REF!,"AAAAAH6/vv0=")</f>
        <v>#REF!</v>
      </c>
      <c r="IU363" t="e">
        <f>AND('PROG FORMACIÓN TITULADA'!#REF!,"AAAAAH6/vv4=")</f>
        <v>#REF!</v>
      </c>
      <c r="IV363" t="e">
        <f>AND('PROG FORMACIÓN TITULADA'!#REF!,"AAAAAH6/vv8=")</f>
        <v>#REF!</v>
      </c>
    </row>
    <row r="364" spans="1:256" x14ac:dyDescent="0.2">
      <c r="A364" t="e">
        <f>AND('PROG FORMACIÓN TITULADA'!#REF!,"AAAAAD/9+AA=")</f>
        <v>#REF!</v>
      </c>
      <c r="B364" t="e">
        <f>AND('PROG FORMACIÓN TITULADA'!#REF!,"AAAAAD/9+AE=")</f>
        <v>#REF!</v>
      </c>
      <c r="C364" t="e">
        <f>AND('PROG FORMACIÓN TITULADA'!#REF!,"AAAAAD/9+AI=")</f>
        <v>#REF!</v>
      </c>
      <c r="D364" t="e">
        <f>AND('PROG FORMACIÓN TITULADA'!#REF!,"AAAAAD/9+AM=")</f>
        <v>#REF!</v>
      </c>
      <c r="E364" t="e">
        <f>AND('PROG FORMACIÓN TITULADA'!#REF!,"AAAAAD/9+AQ=")</f>
        <v>#REF!</v>
      </c>
      <c r="F364" t="e">
        <f>AND('PROG FORMACIÓN TITULADA'!#REF!,"AAAAAD/9+AU=")</f>
        <v>#REF!</v>
      </c>
      <c r="G364" t="e">
        <f>AND('PROG FORMACIÓN TITULADA'!#REF!,"AAAAAD/9+AY=")</f>
        <v>#REF!</v>
      </c>
      <c r="H364" t="e">
        <f>AND('PROG FORMACIÓN TITULADA'!#REF!,"AAAAAD/9+Ac=")</f>
        <v>#REF!</v>
      </c>
      <c r="I364" t="e">
        <f>AND('PROG FORMACIÓN TITULADA'!#REF!,"AAAAAD/9+Ag=")</f>
        <v>#REF!</v>
      </c>
      <c r="J364" t="e">
        <f>AND('PROG FORMACIÓN TITULADA'!#REF!,"AAAAAD/9+Ak=")</f>
        <v>#REF!</v>
      </c>
      <c r="K364" t="e">
        <f>AND('PROG FORMACIÓN TITULADA'!#REF!,"AAAAAD/9+Ao=")</f>
        <v>#REF!</v>
      </c>
      <c r="L364" t="e">
        <f>AND('PROG FORMACIÓN TITULADA'!#REF!,"AAAAAD/9+As=")</f>
        <v>#REF!</v>
      </c>
      <c r="M364" t="e">
        <f>AND('PROG FORMACIÓN TITULADA'!#REF!,"AAAAAD/9+Aw=")</f>
        <v>#REF!</v>
      </c>
      <c r="N364" t="e">
        <f>AND('PROG FORMACIÓN TITULADA'!#REF!,"AAAAAD/9+A0=")</f>
        <v>#REF!</v>
      </c>
      <c r="O364" t="e">
        <f>AND('PROG FORMACIÓN TITULADA'!#REF!,"AAAAAD/9+A4=")</f>
        <v>#REF!</v>
      </c>
      <c r="P364" t="e">
        <f>AND('PROG FORMACIÓN TITULADA'!#REF!,"AAAAAD/9+A8=")</f>
        <v>#REF!</v>
      </c>
      <c r="Q364" t="e">
        <f>AND('PROG FORMACIÓN TITULADA'!#REF!,"AAAAAD/9+BA=")</f>
        <v>#REF!</v>
      </c>
      <c r="R364" t="e">
        <f>AND('PROG FORMACIÓN TITULADA'!#REF!,"AAAAAD/9+BE=")</f>
        <v>#REF!</v>
      </c>
      <c r="S364" t="e">
        <f>AND('PROG FORMACIÓN TITULADA'!#REF!,"AAAAAD/9+BI=")</f>
        <v>#REF!</v>
      </c>
      <c r="T364" t="e">
        <f>AND('PROG FORMACIÓN TITULADA'!#REF!,"AAAAAD/9+BM=")</f>
        <v>#REF!</v>
      </c>
      <c r="U364" t="e">
        <f>AND('PROG FORMACIÓN TITULADA'!#REF!,"AAAAAD/9+BQ=")</f>
        <v>#REF!</v>
      </c>
      <c r="V364" t="e">
        <f>IF('PROG FORMACIÓN TITULADA'!#REF!,"AAAAAD/9+BU=",0)</f>
        <v>#REF!</v>
      </c>
      <c r="W364" t="e">
        <f>AND('PROG FORMACIÓN TITULADA'!#REF!,"AAAAAD/9+BY=")</f>
        <v>#REF!</v>
      </c>
      <c r="X364" t="e">
        <f>AND('PROG FORMACIÓN TITULADA'!#REF!,"AAAAAD/9+Bc=")</f>
        <v>#REF!</v>
      </c>
      <c r="Y364" t="e">
        <f>AND('PROG FORMACIÓN TITULADA'!#REF!,"AAAAAD/9+Bg=")</f>
        <v>#REF!</v>
      </c>
      <c r="Z364" t="e">
        <f>AND('PROG FORMACIÓN TITULADA'!#REF!,"AAAAAD/9+Bk=")</f>
        <v>#REF!</v>
      </c>
      <c r="AA364" t="e">
        <f>AND('PROG FORMACIÓN TITULADA'!#REF!,"AAAAAD/9+Bo=")</f>
        <v>#REF!</v>
      </c>
      <c r="AB364" t="e">
        <f>AND('PROG FORMACIÓN TITULADA'!#REF!,"AAAAAD/9+Bs=")</f>
        <v>#REF!</v>
      </c>
      <c r="AC364" t="e">
        <f>AND('PROG FORMACIÓN TITULADA'!#REF!,"AAAAAD/9+Bw=")</f>
        <v>#REF!</v>
      </c>
      <c r="AD364" t="e">
        <f>AND('PROG FORMACIÓN TITULADA'!#REF!,"AAAAAD/9+B0=")</f>
        <v>#REF!</v>
      </c>
      <c r="AE364" t="e">
        <f>AND('PROG FORMACIÓN TITULADA'!#REF!,"AAAAAD/9+B4=")</f>
        <v>#REF!</v>
      </c>
      <c r="AF364" t="e">
        <f>AND('PROG FORMACIÓN TITULADA'!#REF!,"AAAAAD/9+B8=")</f>
        <v>#REF!</v>
      </c>
      <c r="AG364" t="e">
        <f>AND('PROG FORMACIÓN TITULADA'!#REF!,"AAAAAD/9+CA=")</f>
        <v>#REF!</v>
      </c>
      <c r="AH364" t="e">
        <f>AND('PROG FORMACIÓN TITULADA'!#REF!,"AAAAAD/9+CE=")</f>
        <v>#REF!</v>
      </c>
      <c r="AI364" t="e">
        <f>AND('PROG FORMACIÓN TITULADA'!#REF!,"AAAAAD/9+CI=")</f>
        <v>#REF!</v>
      </c>
      <c r="AJ364" t="e">
        <f>AND('PROG FORMACIÓN TITULADA'!#REF!,"AAAAAD/9+CM=")</f>
        <v>#REF!</v>
      </c>
      <c r="AK364" t="e">
        <f>AND('PROG FORMACIÓN TITULADA'!#REF!,"AAAAAD/9+CQ=")</f>
        <v>#REF!</v>
      </c>
      <c r="AL364" t="e">
        <f>AND('PROG FORMACIÓN TITULADA'!#REF!,"AAAAAD/9+CU=")</f>
        <v>#REF!</v>
      </c>
      <c r="AM364" t="e">
        <f>AND('PROG FORMACIÓN TITULADA'!#REF!,"AAAAAD/9+CY=")</f>
        <v>#REF!</v>
      </c>
      <c r="AN364" t="e">
        <f>AND('PROG FORMACIÓN TITULADA'!#REF!,"AAAAAD/9+Cc=")</f>
        <v>#REF!</v>
      </c>
      <c r="AO364" t="e">
        <f>AND('PROG FORMACIÓN TITULADA'!#REF!,"AAAAAD/9+Cg=")</f>
        <v>#REF!</v>
      </c>
      <c r="AP364" t="e">
        <f>AND('PROG FORMACIÓN TITULADA'!#REF!,"AAAAAD/9+Ck=")</f>
        <v>#REF!</v>
      </c>
      <c r="AQ364" t="e">
        <f>AND('PROG FORMACIÓN TITULADA'!#REF!,"AAAAAD/9+Co=")</f>
        <v>#REF!</v>
      </c>
      <c r="AR364" t="e">
        <f>AND('PROG FORMACIÓN TITULADA'!#REF!,"AAAAAD/9+Cs=")</f>
        <v>#REF!</v>
      </c>
      <c r="AS364" t="e">
        <f>AND('PROG FORMACIÓN TITULADA'!#REF!,"AAAAAD/9+Cw=")</f>
        <v>#REF!</v>
      </c>
      <c r="AT364" t="e">
        <f>AND('PROG FORMACIÓN TITULADA'!#REF!,"AAAAAD/9+C0=")</f>
        <v>#REF!</v>
      </c>
      <c r="AU364" t="e">
        <f>AND('PROG FORMACIÓN TITULADA'!#REF!,"AAAAAD/9+C4=")</f>
        <v>#REF!</v>
      </c>
      <c r="AV364" t="e">
        <f>AND('PROG FORMACIÓN TITULADA'!#REF!,"AAAAAD/9+C8=")</f>
        <v>#REF!</v>
      </c>
      <c r="AW364" t="e">
        <f>IF('PROG FORMACIÓN TITULADA'!#REF!,"AAAAAD/9+DA=",0)</f>
        <v>#REF!</v>
      </c>
      <c r="AX364" t="e">
        <f>AND('PROG FORMACIÓN TITULADA'!#REF!,"AAAAAD/9+DE=")</f>
        <v>#REF!</v>
      </c>
      <c r="AY364" t="e">
        <f>AND('PROG FORMACIÓN TITULADA'!#REF!,"AAAAAD/9+DI=")</f>
        <v>#REF!</v>
      </c>
      <c r="AZ364" t="e">
        <f>AND('PROG FORMACIÓN TITULADA'!#REF!,"AAAAAD/9+DM=")</f>
        <v>#REF!</v>
      </c>
      <c r="BA364" t="e">
        <f>AND('PROG FORMACIÓN TITULADA'!#REF!,"AAAAAD/9+DQ=")</f>
        <v>#REF!</v>
      </c>
      <c r="BB364" t="e">
        <f>AND('PROG FORMACIÓN TITULADA'!#REF!,"AAAAAD/9+DU=")</f>
        <v>#REF!</v>
      </c>
      <c r="BC364" t="e">
        <f>AND('PROG FORMACIÓN TITULADA'!#REF!,"AAAAAD/9+DY=")</f>
        <v>#REF!</v>
      </c>
      <c r="BD364" t="e">
        <f>AND('PROG FORMACIÓN TITULADA'!#REF!,"AAAAAD/9+Dc=")</f>
        <v>#REF!</v>
      </c>
      <c r="BE364" t="e">
        <f>AND('PROG FORMACIÓN TITULADA'!#REF!,"AAAAAD/9+Dg=")</f>
        <v>#REF!</v>
      </c>
      <c r="BF364" t="e">
        <f>AND('PROG FORMACIÓN TITULADA'!#REF!,"AAAAAD/9+Dk=")</f>
        <v>#REF!</v>
      </c>
      <c r="BG364" t="e">
        <f>AND('PROG FORMACIÓN TITULADA'!#REF!,"AAAAAD/9+Do=")</f>
        <v>#REF!</v>
      </c>
      <c r="BH364" t="e">
        <f>AND('PROG FORMACIÓN TITULADA'!#REF!,"AAAAAD/9+Ds=")</f>
        <v>#REF!</v>
      </c>
      <c r="BI364" t="e">
        <f>AND('PROG FORMACIÓN TITULADA'!#REF!,"AAAAAD/9+Dw=")</f>
        <v>#REF!</v>
      </c>
      <c r="BJ364" t="e">
        <f>AND('PROG FORMACIÓN TITULADA'!#REF!,"AAAAAD/9+D0=")</f>
        <v>#REF!</v>
      </c>
      <c r="BK364" t="e">
        <f>AND('PROG FORMACIÓN TITULADA'!#REF!,"AAAAAD/9+D4=")</f>
        <v>#REF!</v>
      </c>
      <c r="BL364" t="e">
        <f>AND('PROG FORMACIÓN TITULADA'!#REF!,"AAAAAD/9+D8=")</f>
        <v>#REF!</v>
      </c>
      <c r="BM364" t="e">
        <f>AND('PROG FORMACIÓN TITULADA'!#REF!,"AAAAAD/9+EA=")</f>
        <v>#REF!</v>
      </c>
      <c r="BN364" t="e">
        <f>AND('PROG FORMACIÓN TITULADA'!#REF!,"AAAAAD/9+EE=")</f>
        <v>#REF!</v>
      </c>
      <c r="BO364" t="e">
        <f>AND('PROG FORMACIÓN TITULADA'!#REF!,"AAAAAD/9+EI=")</f>
        <v>#REF!</v>
      </c>
      <c r="BP364" t="e">
        <f>AND('PROG FORMACIÓN TITULADA'!#REF!,"AAAAAD/9+EM=")</f>
        <v>#REF!</v>
      </c>
      <c r="BQ364" t="e">
        <f>AND('PROG FORMACIÓN TITULADA'!#REF!,"AAAAAD/9+EQ=")</f>
        <v>#REF!</v>
      </c>
      <c r="BR364" t="e">
        <f>AND('PROG FORMACIÓN TITULADA'!#REF!,"AAAAAD/9+EU=")</f>
        <v>#REF!</v>
      </c>
      <c r="BS364" t="e">
        <f>AND('PROG FORMACIÓN TITULADA'!#REF!,"AAAAAD/9+EY=")</f>
        <v>#REF!</v>
      </c>
      <c r="BT364" t="e">
        <f>AND('PROG FORMACIÓN TITULADA'!#REF!,"AAAAAD/9+Ec=")</f>
        <v>#REF!</v>
      </c>
      <c r="BU364" t="e">
        <f>AND('PROG FORMACIÓN TITULADA'!#REF!,"AAAAAD/9+Eg=")</f>
        <v>#REF!</v>
      </c>
      <c r="BV364" t="e">
        <f>AND('PROG FORMACIÓN TITULADA'!#REF!,"AAAAAD/9+Ek=")</f>
        <v>#REF!</v>
      </c>
      <c r="BW364" t="e">
        <f>AND('PROG FORMACIÓN TITULADA'!#REF!,"AAAAAD/9+Eo=")</f>
        <v>#REF!</v>
      </c>
      <c r="BX364" t="e">
        <f>IF('PROG FORMACIÓN TITULADA'!#REF!,"AAAAAD/9+Es=",0)</f>
        <v>#REF!</v>
      </c>
      <c r="BY364" t="e">
        <f>AND('PROG FORMACIÓN TITULADA'!#REF!,"AAAAAD/9+Ew=")</f>
        <v>#REF!</v>
      </c>
      <c r="BZ364" t="e">
        <f>AND('PROG FORMACIÓN TITULADA'!#REF!,"AAAAAD/9+E0=")</f>
        <v>#REF!</v>
      </c>
      <c r="CA364" t="e">
        <f>AND('PROG FORMACIÓN TITULADA'!#REF!,"AAAAAD/9+E4=")</f>
        <v>#REF!</v>
      </c>
      <c r="CB364" t="e">
        <f>AND('PROG FORMACIÓN TITULADA'!#REF!,"AAAAAD/9+E8=")</f>
        <v>#REF!</v>
      </c>
      <c r="CC364" t="e">
        <f>AND('PROG FORMACIÓN TITULADA'!#REF!,"AAAAAD/9+FA=")</f>
        <v>#REF!</v>
      </c>
      <c r="CD364" t="e">
        <f>AND('PROG FORMACIÓN TITULADA'!#REF!,"AAAAAD/9+FE=")</f>
        <v>#REF!</v>
      </c>
      <c r="CE364" t="e">
        <f>AND('PROG FORMACIÓN TITULADA'!#REF!,"AAAAAD/9+FI=")</f>
        <v>#REF!</v>
      </c>
      <c r="CF364" t="e">
        <f>AND('PROG FORMACIÓN TITULADA'!#REF!,"AAAAAD/9+FM=")</f>
        <v>#REF!</v>
      </c>
      <c r="CG364" t="e">
        <f>AND('PROG FORMACIÓN TITULADA'!#REF!,"AAAAAD/9+FQ=")</f>
        <v>#REF!</v>
      </c>
      <c r="CH364" t="e">
        <f>AND('PROG FORMACIÓN TITULADA'!#REF!,"AAAAAD/9+FU=")</f>
        <v>#REF!</v>
      </c>
      <c r="CI364" t="e">
        <f>AND('PROG FORMACIÓN TITULADA'!#REF!,"AAAAAD/9+FY=")</f>
        <v>#REF!</v>
      </c>
      <c r="CJ364" t="e">
        <f>AND('PROG FORMACIÓN TITULADA'!#REF!,"AAAAAD/9+Fc=")</f>
        <v>#REF!</v>
      </c>
      <c r="CK364" t="e">
        <f>AND('PROG FORMACIÓN TITULADA'!#REF!,"AAAAAD/9+Fg=")</f>
        <v>#REF!</v>
      </c>
      <c r="CL364" t="e">
        <f>AND('PROG FORMACIÓN TITULADA'!#REF!,"AAAAAD/9+Fk=")</f>
        <v>#REF!</v>
      </c>
      <c r="CM364" t="e">
        <f>AND('PROG FORMACIÓN TITULADA'!#REF!,"AAAAAD/9+Fo=")</f>
        <v>#REF!</v>
      </c>
      <c r="CN364" t="e">
        <f>AND('PROG FORMACIÓN TITULADA'!#REF!,"AAAAAD/9+Fs=")</f>
        <v>#REF!</v>
      </c>
      <c r="CO364" t="e">
        <f>AND('PROG FORMACIÓN TITULADA'!#REF!,"AAAAAD/9+Fw=")</f>
        <v>#REF!</v>
      </c>
      <c r="CP364" t="e">
        <f>AND('PROG FORMACIÓN TITULADA'!#REF!,"AAAAAD/9+F0=")</f>
        <v>#REF!</v>
      </c>
      <c r="CQ364" t="e">
        <f>AND('PROG FORMACIÓN TITULADA'!#REF!,"AAAAAD/9+F4=")</f>
        <v>#REF!</v>
      </c>
      <c r="CR364" t="e">
        <f>AND('PROG FORMACIÓN TITULADA'!#REF!,"AAAAAD/9+F8=")</f>
        <v>#REF!</v>
      </c>
      <c r="CS364" t="e">
        <f>AND('PROG FORMACIÓN TITULADA'!#REF!,"AAAAAD/9+GA=")</f>
        <v>#REF!</v>
      </c>
      <c r="CT364" t="e">
        <f>AND('PROG FORMACIÓN TITULADA'!#REF!,"AAAAAD/9+GE=")</f>
        <v>#REF!</v>
      </c>
      <c r="CU364" t="e">
        <f>AND('PROG FORMACIÓN TITULADA'!#REF!,"AAAAAD/9+GI=")</f>
        <v>#REF!</v>
      </c>
      <c r="CV364" t="e">
        <f>AND('PROG FORMACIÓN TITULADA'!#REF!,"AAAAAD/9+GM=")</f>
        <v>#REF!</v>
      </c>
      <c r="CW364" t="e">
        <f>AND('PROG FORMACIÓN TITULADA'!#REF!,"AAAAAD/9+GQ=")</f>
        <v>#REF!</v>
      </c>
      <c r="CX364" t="e">
        <f>AND('PROG FORMACIÓN TITULADA'!#REF!,"AAAAAD/9+GU=")</f>
        <v>#REF!</v>
      </c>
      <c r="CY364" t="e">
        <f>IF('PROG FORMACIÓN TITULADA'!#REF!,"AAAAAD/9+GY=",0)</f>
        <v>#REF!</v>
      </c>
      <c r="CZ364" t="e">
        <f>AND('PROG FORMACIÓN TITULADA'!#REF!,"AAAAAD/9+Gc=")</f>
        <v>#REF!</v>
      </c>
      <c r="DA364" t="e">
        <f>AND('PROG FORMACIÓN TITULADA'!#REF!,"AAAAAD/9+Gg=")</f>
        <v>#REF!</v>
      </c>
      <c r="DB364" t="e">
        <f>AND('PROG FORMACIÓN TITULADA'!#REF!,"AAAAAD/9+Gk=")</f>
        <v>#REF!</v>
      </c>
      <c r="DC364" t="e">
        <f>AND('PROG FORMACIÓN TITULADA'!#REF!,"AAAAAD/9+Go=")</f>
        <v>#REF!</v>
      </c>
      <c r="DD364" t="e">
        <f>AND('PROG FORMACIÓN TITULADA'!#REF!,"AAAAAD/9+Gs=")</f>
        <v>#REF!</v>
      </c>
      <c r="DE364" t="e">
        <f>AND('PROG FORMACIÓN TITULADA'!#REF!,"AAAAAD/9+Gw=")</f>
        <v>#REF!</v>
      </c>
      <c r="DF364" t="e">
        <f>AND('PROG FORMACIÓN TITULADA'!#REF!,"AAAAAD/9+G0=")</f>
        <v>#REF!</v>
      </c>
      <c r="DG364" t="e">
        <f>AND('PROG FORMACIÓN TITULADA'!#REF!,"AAAAAD/9+G4=")</f>
        <v>#REF!</v>
      </c>
      <c r="DH364" t="e">
        <f>AND('PROG FORMACIÓN TITULADA'!#REF!,"AAAAAD/9+G8=")</f>
        <v>#REF!</v>
      </c>
      <c r="DI364" t="e">
        <f>AND('PROG FORMACIÓN TITULADA'!#REF!,"AAAAAD/9+HA=")</f>
        <v>#REF!</v>
      </c>
      <c r="DJ364" t="e">
        <f>AND('PROG FORMACIÓN TITULADA'!#REF!,"AAAAAD/9+HE=")</f>
        <v>#REF!</v>
      </c>
      <c r="DK364" t="e">
        <f>AND('PROG FORMACIÓN TITULADA'!#REF!,"AAAAAD/9+HI=")</f>
        <v>#REF!</v>
      </c>
      <c r="DL364" t="e">
        <f>AND('PROG FORMACIÓN TITULADA'!#REF!,"AAAAAD/9+HM=")</f>
        <v>#REF!</v>
      </c>
      <c r="DM364" t="e">
        <f>AND('PROG FORMACIÓN TITULADA'!#REF!,"AAAAAD/9+HQ=")</f>
        <v>#REF!</v>
      </c>
      <c r="DN364" t="e">
        <f>AND('PROG FORMACIÓN TITULADA'!#REF!,"AAAAAD/9+HU=")</f>
        <v>#REF!</v>
      </c>
      <c r="DO364" t="e">
        <f>AND('PROG FORMACIÓN TITULADA'!#REF!,"AAAAAD/9+HY=")</f>
        <v>#REF!</v>
      </c>
      <c r="DP364" t="e">
        <f>AND('PROG FORMACIÓN TITULADA'!#REF!,"AAAAAD/9+Hc=")</f>
        <v>#REF!</v>
      </c>
      <c r="DQ364" t="e">
        <f>AND('PROG FORMACIÓN TITULADA'!#REF!,"AAAAAD/9+Hg=")</f>
        <v>#REF!</v>
      </c>
      <c r="DR364" t="e">
        <f>AND('PROG FORMACIÓN TITULADA'!#REF!,"AAAAAD/9+Hk=")</f>
        <v>#REF!</v>
      </c>
      <c r="DS364" t="e">
        <f>AND('PROG FORMACIÓN TITULADA'!#REF!,"AAAAAD/9+Ho=")</f>
        <v>#REF!</v>
      </c>
      <c r="DT364" t="e">
        <f>AND('PROG FORMACIÓN TITULADA'!#REF!,"AAAAAD/9+Hs=")</f>
        <v>#REF!</v>
      </c>
      <c r="DU364" t="e">
        <f>AND('PROG FORMACIÓN TITULADA'!#REF!,"AAAAAD/9+Hw=")</f>
        <v>#REF!</v>
      </c>
      <c r="DV364" t="e">
        <f>AND('PROG FORMACIÓN TITULADA'!#REF!,"AAAAAD/9+H0=")</f>
        <v>#REF!</v>
      </c>
      <c r="DW364" t="e">
        <f>AND('PROG FORMACIÓN TITULADA'!#REF!,"AAAAAD/9+H4=")</f>
        <v>#REF!</v>
      </c>
      <c r="DX364" t="e">
        <f>AND('PROG FORMACIÓN TITULADA'!#REF!,"AAAAAD/9+H8=")</f>
        <v>#REF!</v>
      </c>
      <c r="DY364" t="e">
        <f>AND('PROG FORMACIÓN TITULADA'!#REF!,"AAAAAD/9+IA=")</f>
        <v>#REF!</v>
      </c>
      <c r="DZ364" t="e">
        <f>IF('PROG FORMACIÓN TITULADA'!#REF!,"AAAAAD/9+IE=",0)</f>
        <v>#REF!</v>
      </c>
      <c r="EA364" t="e">
        <f>AND('PROG FORMACIÓN TITULADA'!#REF!,"AAAAAD/9+II=")</f>
        <v>#REF!</v>
      </c>
      <c r="EB364" t="e">
        <f>AND('PROG FORMACIÓN TITULADA'!#REF!,"AAAAAD/9+IM=")</f>
        <v>#REF!</v>
      </c>
      <c r="EC364" t="e">
        <f>AND('PROG FORMACIÓN TITULADA'!#REF!,"AAAAAD/9+IQ=")</f>
        <v>#REF!</v>
      </c>
      <c r="ED364" t="e">
        <f>AND('PROG FORMACIÓN TITULADA'!#REF!,"AAAAAD/9+IU=")</f>
        <v>#REF!</v>
      </c>
      <c r="EE364" t="e">
        <f>AND('PROG FORMACIÓN TITULADA'!#REF!,"AAAAAD/9+IY=")</f>
        <v>#REF!</v>
      </c>
      <c r="EF364" t="e">
        <f>AND('PROG FORMACIÓN TITULADA'!#REF!,"AAAAAD/9+Ic=")</f>
        <v>#REF!</v>
      </c>
      <c r="EG364" t="e">
        <f>AND('PROG FORMACIÓN TITULADA'!#REF!,"AAAAAD/9+Ig=")</f>
        <v>#REF!</v>
      </c>
      <c r="EH364" t="e">
        <f>AND('PROG FORMACIÓN TITULADA'!#REF!,"AAAAAD/9+Ik=")</f>
        <v>#REF!</v>
      </c>
      <c r="EI364" t="e">
        <f>AND('PROG FORMACIÓN TITULADA'!#REF!,"AAAAAD/9+Io=")</f>
        <v>#REF!</v>
      </c>
      <c r="EJ364" t="e">
        <f>AND('PROG FORMACIÓN TITULADA'!#REF!,"AAAAAD/9+Is=")</f>
        <v>#REF!</v>
      </c>
      <c r="EK364" t="e">
        <f>AND('PROG FORMACIÓN TITULADA'!#REF!,"AAAAAD/9+Iw=")</f>
        <v>#REF!</v>
      </c>
      <c r="EL364" t="e">
        <f>AND('PROG FORMACIÓN TITULADA'!#REF!,"AAAAAD/9+I0=")</f>
        <v>#REF!</v>
      </c>
      <c r="EM364" t="e">
        <f>AND('PROG FORMACIÓN TITULADA'!#REF!,"AAAAAD/9+I4=")</f>
        <v>#REF!</v>
      </c>
      <c r="EN364" t="e">
        <f>AND('PROG FORMACIÓN TITULADA'!#REF!,"AAAAAD/9+I8=")</f>
        <v>#REF!</v>
      </c>
      <c r="EO364" t="e">
        <f>AND('PROG FORMACIÓN TITULADA'!#REF!,"AAAAAD/9+JA=")</f>
        <v>#REF!</v>
      </c>
      <c r="EP364" t="e">
        <f>AND('PROG FORMACIÓN TITULADA'!#REF!,"AAAAAD/9+JE=")</f>
        <v>#REF!</v>
      </c>
      <c r="EQ364" t="e">
        <f>AND('PROG FORMACIÓN TITULADA'!#REF!,"AAAAAD/9+JI=")</f>
        <v>#REF!</v>
      </c>
      <c r="ER364" t="e">
        <f>AND('PROG FORMACIÓN TITULADA'!#REF!,"AAAAAD/9+JM=")</f>
        <v>#REF!</v>
      </c>
      <c r="ES364" t="e">
        <f>AND('PROG FORMACIÓN TITULADA'!#REF!,"AAAAAD/9+JQ=")</f>
        <v>#REF!</v>
      </c>
      <c r="ET364" t="e">
        <f>AND('PROG FORMACIÓN TITULADA'!#REF!,"AAAAAD/9+JU=")</f>
        <v>#REF!</v>
      </c>
      <c r="EU364" t="e">
        <f>AND('PROG FORMACIÓN TITULADA'!#REF!,"AAAAAD/9+JY=")</f>
        <v>#REF!</v>
      </c>
      <c r="EV364" t="e">
        <f>AND('PROG FORMACIÓN TITULADA'!#REF!,"AAAAAD/9+Jc=")</f>
        <v>#REF!</v>
      </c>
      <c r="EW364" t="e">
        <f>AND('PROG FORMACIÓN TITULADA'!#REF!,"AAAAAD/9+Jg=")</f>
        <v>#REF!</v>
      </c>
      <c r="EX364" t="e">
        <f>AND('PROG FORMACIÓN TITULADA'!#REF!,"AAAAAD/9+Jk=")</f>
        <v>#REF!</v>
      </c>
      <c r="EY364" t="e">
        <f>AND('PROG FORMACIÓN TITULADA'!#REF!,"AAAAAD/9+Jo=")</f>
        <v>#REF!</v>
      </c>
      <c r="EZ364" t="e">
        <f>AND('PROG FORMACIÓN TITULADA'!#REF!,"AAAAAD/9+Js=")</f>
        <v>#REF!</v>
      </c>
      <c r="FA364" t="e">
        <f>IF('PROG FORMACIÓN TITULADA'!#REF!,"AAAAAD/9+Jw=",0)</f>
        <v>#REF!</v>
      </c>
      <c r="FB364" t="e">
        <f>AND('PROG FORMACIÓN TITULADA'!#REF!,"AAAAAD/9+J0=")</f>
        <v>#REF!</v>
      </c>
      <c r="FC364" t="e">
        <f>AND('PROG FORMACIÓN TITULADA'!#REF!,"AAAAAD/9+J4=")</f>
        <v>#REF!</v>
      </c>
      <c r="FD364" t="e">
        <f>AND('PROG FORMACIÓN TITULADA'!#REF!,"AAAAAD/9+J8=")</f>
        <v>#REF!</v>
      </c>
      <c r="FE364" t="e">
        <f>AND('PROG FORMACIÓN TITULADA'!#REF!,"AAAAAD/9+KA=")</f>
        <v>#REF!</v>
      </c>
      <c r="FF364" t="e">
        <f>AND('PROG FORMACIÓN TITULADA'!#REF!,"AAAAAD/9+KE=")</f>
        <v>#REF!</v>
      </c>
      <c r="FG364" t="e">
        <f>AND('PROG FORMACIÓN TITULADA'!#REF!,"AAAAAD/9+KI=")</f>
        <v>#REF!</v>
      </c>
      <c r="FH364" t="e">
        <f>AND('PROG FORMACIÓN TITULADA'!#REF!,"AAAAAD/9+KM=")</f>
        <v>#REF!</v>
      </c>
      <c r="FI364" t="e">
        <f>AND('PROG FORMACIÓN TITULADA'!#REF!,"AAAAAD/9+KQ=")</f>
        <v>#REF!</v>
      </c>
      <c r="FJ364" t="e">
        <f>AND('PROG FORMACIÓN TITULADA'!#REF!,"AAAAAD/9+KU=")</f>
        <v>#REF!</v>
      </c>
      <c r="FK364" t="e">
        <f>AND('PROG FORMACIÓN TITULADA'!#REF!,"AAAAAD/9+KY=")</f>
        <v>#REF!</v>
      </c>
      <c r="FL364" t="e">
        <f>AND('PROG FORMACIÓN TITULADA'!#REF!,"AAAAAD/9+Kc=")</f>
        <v>#REF!</v>
      </c>
      <c r="FM364" t="e">
        <f>AND('PROG FORMACIÓN TITULADA'!#REF!,"AAAAAD/9+Kg=")</f>
        <v>#REF!</v>
      </c>
      <c r="FN364" t="e">
        <f>AND('PROG FORMACIÓN TITULADA'!#REF!,"AAAAAD/9+Kk=")</f>
        <v>#REF!</v>
      </c>
      <c r="FO364" t="e">
        <f>AND('PROG FORMACIÓN TITULADA'!#REF!,"AAAAAD/9+Ko=")</f>
        <v>#REF!</v>
      </c>
      <c r="FP364" t="e">
        <f>AND('PROG FORMACIÓN TITULADA'!#REF!,"AAAAAD/9+Ks=")</f>
        <v>#REF!</v>
      </c>
      <c r="FQ364" t="e">
        <f>AND('PROG FORMACIÓN TITULADA'!#REF!,"AAAAAD/9+Kw=")</f>
        <v>#REF!</v>
      </c>
      <c r="FR364" t="e">
        <f>AND('PROG FORMACIÓN TITULADA'!#REF!,"AAAAAD/9+K0=")</f>
        <v>#REF!</v>
      </c>
      <c r="FS364" t="e">
        <f>AND('PROG FORMACIÓN TITULADA'!#REF!,"AAAAAD/9+K4=")</f>
        <v>#REF!</v>
      </c>
      <c r="FT364" t="e">
        <f>AND('PROG FORMACIÓN TITULADA'!#REF!,"AAAAAD/9+K8=")</f>
        <v>#REF!</v>
      </c>
      <c r="FU364" t="e">
        <f>AND('PROG FORMACIÓN TITULADA'!#REF!,"AAAAAD/9+LA=")</f>
        <v>#REF!</v>
      </c>
      <c r="FV364" t="e">
        <f>AND('PROG FORMACIÓN TITULADA'!#REF!,"AAAAAD/9+LE=")</f>
        <v>#REF!</v>
      </c>
      <c r="FW364" t="e">
        <f>AND('PROG FORMACIÓN TITULADA'!#REF!,"AAAAAD/9+LI=")</f>
        <v>#REF!</v>
      </c>
      <c r="FX364" t="e">
        <f>AND('PROG FORMACIÓN TITULADA'!#REF!,"AAAAAD/9+LM=")</f>
        <v>#REF!</v>
      </c>
      <c r="FY364" t="e">
        <f>AND('PROG FORMACIÓN TITULADA'!#REF!,"AAAAAD/9+LQ=")</f>
        <v>#REF!</v>
      </c>
      <c r="FZ364" t="e">
        <f>AND('PROG FORMACIÓN TITULADA'!#REF!,"AAAAAD/9+LU=")</f>
        <v>#REF!</v>
      </c>
      <c r="GA364" t="e">
        <f>AND('PROG FORMACIÓN TITULADA'!#REF!,"AAAAAD/9+LY=")</f>
        <v>#REF!</v>
      </c>
      <c r="GB364" t="e">
        <f>IF('PROG FORMACIÓN TITULADA'!#REF!,"AAAAAD/9+Lc=",0)</f>
        <v>#REF!</v>
      </c>
      <c r="GC364" t="e">
        <f>AND('PROG FORMACIÓN TITULADA'!#REF!,"AAAAAD/9+Lg=")</f>
        <v>#REF!</v>
      </c>
      <c r="GD364" t="e">
        <f>AND('PROG FORMACIÓN TITULADA'!#REF!,"AAAAAD/9+Lk=")</f>
        <v>#REF!</v>
      </c>
      <c r="GE364" t="e">
        <f>AND('PROG FORMACIÓN TITULADA'!#REF!,"AAAAAD/9+Lo=")</f>
        <v>#REF!</v>
      </c>
      <c r="GF364" t="e">
        <f>AND('PROG FORMACIÓN TITULADA'!#REF!,"AAAAAD/9+Ls=")</f>
        <v>#REF!</v>
      </c>
      <c r="GG364" t="e">
        <f>AND('PROG FORMACIÓN TITULADA'!#REF!,"AAAAAD/9+Lw=")</f>
        <v>#REF!</v>
      </c>
      <c r="GH364" t="e">
        <f>AND('PROG FORMACIÓN TITULADA'!#REF!,"AAAAAD/9+L0=")</f>
        <v>#REF!</v>
      </c>
      <c r="GI364" t="e">
        <f>AND('PROG FORMACIÓN TITULADA'!#REF!,"AAAAAD/9+L4=")</f>
        <v>#REF!</v>
      </c>
      <c r="GJ364" t="e">
        <f>AND('PROG FORMACIÓN TITULADA'!#REF!,"AAAAAD/9+L8=")</f>
        <v>#REF!</v>
      </c>
      <c r="GK364" t="e">
        <f>AND('PROG FORMACIÓN TITULADA'!#REF!,"AAAAAD/9+MA=")</f>
        <v>#REF!</v>
      </c>
      <c r="GL364" t="e">
        <f>AND('PROG FORMACIÓN TITULADA'!#REF!,"AAAAAD/9+ME=")</f>
        <v>#REF!</v>
      </c>
      <c r="GM364" t="e">
        <f>AND('PROG FORMACIÓN TITULADA'!#REF!,"AAAAAD/9+MI=")</f>
        <v>#REF!</v>
      </c>
      <c r="GN364" t="e">
        <f>AND('PROG FORMACIÓN TITULADA'!#REF!,"AAAAAD/9+MM=")</f>
        <v>#REF!</v>
      </c>
      <c r="GO364" t="e">
        <f>AND('PROG FORMACIÓN TITULADA'!#REF!,"AAAAAD/9+MQ=")</f>
        <v>#REF!</v>
      </c>
      <c r="GP364" t="e">
        <f>AND('PROG FORMACIÓN TITULADA'!#REF!,"AAAAAD/9+MU=")</f>
        <v>#REF!</v>
      </c>
      <c r="GQ364" t="e">
        <f>AND('PROG FORMACIÓN TITULADA'!#REF!,"AAAAAD/9+MY=")</f>
        <v>#REF!</v>
      </c>
      <c r="GR364" t="e">
        <f>AND('PROG FORMACIÓN TITULADA'!#REF!,"AAAAAD/9+Mc=")</f>
        <v>#REF!</v>
      </c>
      <c r="GS364" t="e">
        <f>AND('PROG FORMACIÓN TITULADA'!#REF!,"AAAAAD/9+Mg=")</f>
        <v>#REF!</v>
      </c>
      <c r="GT364" t="e">
        <f>AND('PROG FORMACIÓN TITULADA'!#REF!,"AAAAAD/9+Mk=")</f>
        <v>#REF!</v>
      </c>
      <c r="GU364" t="e">
        <f>AND('PROG FORMACIÓN TITULADA'!#REF!,"AAAAAD/9+Mo=")</f>
        <v>#REF!</v>
      </c>
      <c r="GV364" t="e">
        <f>AND('PROG FORMACIÓN TITULADA'!#REF!,"AAAAAD/9+Ms=")</f>
        <v>#REF!</v>
      </c>
      <c r="GW364" t="e">
        <f>AND('PROG FORMACIÓN TITULADA'!#REF!,"AAAAAD/9+Mw=")</f>
        <v>#REF!</v>
      </c>
      <c r="GX364" t="e">
        <f>AND('PROG FORMACIÓN TITULADA'!#REF!,"AAAAAD/9+M0=")</f>
        <v>#REF!</v>
      </c>
      <c r="GY364" t="e">
        <f>AND('PROG FORMACIÓN TITULADA'!#REF!,"AAAAAD/9+M4=")</f>
        <v>#REF!</v>
      </c>
      <c r="GZ364" t="e">
        <f>AND('PROG FORMACIÓN TITULADA'!#REF!,"AAAAAD/9+M8=")</f>
        <v>#REF!</v>
      </c>
      <c r="HA364" t="e">
        <f>AND('PROG FORMACIÓN TITULADA'!#REF!,"AAAAAD/9+NA=")</f>
        <v>#REF!</v>
      </c>
      <c r="HB364" t="e">
        <f>AND('PROG FORMACIÓN TITULADA'!#REF!,"AAAAAD/9+NE=")</f>
        <v>#REF!</v>
      </c>
      <c r="HC364" t="e">
        <f>IF('PROG FORMACIÓN TITULADA'!#REF!,"AAAAAD/9+NI=",0)</f>
        <v>#REF!</v>
      </c>
      <c r="HD364" t="e">
        <f>AND('PROG FORMACIÓN TITULADA'!#REF!,"AAAAAD/9+NM=")</f>
        <v>#REF!</v>
      </c>
      <c r="HE364" t="e">
        <f>AND('PROG FORMACIÓN TITULADA'!#REF!,"AAAAAD/9+NQ=")</f>
        <v>#REF!</v>
      </c>
      <c r="HF364" t="e">
        <f>AND('PROG FORMACIÓN TITULADA'!#REF!,"AAAAAD/9+NU=")</f>
        <v>#REF!</v>
      </c>
      <c r="HG364" t="e">
        <f>AND('PROG FORMACIÓN TITULADA'!#REF!,"AAAAAD/9+NY=")</f>
        <v>#REF!</v>
      </c>
      <c r="HH364" t="e">
        <f>AND('PROG FORMACIÓN TITULADA'!#REF!,"AAAAAD/9+Nc=")</f>
        <v>#REF!</v>
      </c>
      <c r="HI364" t="e">
        <f>AND('PROG FORMACIÓN TITULADA'!#REF!,"AAAAAD/9+Ng=")</f>
        <v>#REF!</v>
      </c>
      <c r="HJ364" t="e">
        <f>AND('PROG FORMACIÓN TITULADA'!#REF!,"AAAAAD/9+Nk=")</f>
        <v>#REF!</v>
      </c>
      <c r="HK364" t="e">
        <f>AND('PROG FORMACIÓN TITULADA'!#REF!,"AAAAAD/9+No=")</f>
        <v>#REF!</v>
      </c>
      <c r="HL364" t="e">
        <f>AND('PROG FORMACIÓN TITULADA'!#REF!,"AAAAAD/9+Ns=")</f>
        <v>#REF!</v>
      </c>
      <c r="HM364" t="e">
        <f>AND('PROG FORMACIÓN TITULADA'!#REF!,"AAAAAD/9+Nw=")</f>
        <v>#REF!</v>
      </c>
      <c r="HN364" t="e">
        <f>AND('PROG FORMACIÓN TITULADA'!#REF!,"AAAAAD/9+N0=")</f>
        <v>#REF!</v>
      </c>
      <c r="HO364" t="e">
        <f>AND('PROG FORMACIÓN TITULADA'!#REF!,"AAAAAD/9+N4=")</f>
        <v>#REF!</v>
      </c>
      <c r="HP364" t="e">
        <f>AND('PROG FORMACIÓN TITULADA'!#REF!,"AAAAAD/9+N8=")</f>
        <v>#REF!</v>
      </c>
      <c r="HQ364" t="e">
        <f>AND('PROG FORMACIÓN TITULADA'!#REF!,"AAAAAD/9+OA=")</f>
        <v>#REF!</v>
      </c>
      <c r="HR364" t="e">
        <f>AND('PROG FORMACIÓN TITULADA'!#REF!,"AAAAAD/9+OE=")</f>
        <v>#REF!</v>
      </c>
      <c r="HS364" t="e">
        <f>AND('PROG FORMACIÓN TITULADA'!#REF!,"AAAAAD/9+OI=")</f>
        <v>#REF!</v>
      </c>
      <c r="HT364" t="e">
        <f>AND('PROG FORMACIÓN TITULADA'!#REF!,"AAAAAD/9+OM=")</f>
        <v>#REF!</v>
      </c>
      <c r="HU364" t="e">
        <f>AND('PROG FORMACIÓN TITULADA'!#REF!,"AAAAAD/9+OQ=")</f>
        <v>#REF!</v>
      </c>
      <c r="HV364" t="e">
        <f>AND('PROG FORMACIÓN TITULADA'!#REF!,"AAAAAD/9+OU=")</f>
        <v>#REF!</v>
      </c>
      <c r="HW364" t="e">
        <f>AND('PROG FORMACIÓN TITULADA'!#REF!,"AAAAAD/9+OY=")</f>
        <v>#REF!</v>
      </c>
      <c r="HX364" t="e">
        <f>AND('PROG FORMACIÓN TITULADA'!#REF!,"AAAAAD/9+Oc=")</f>
        <v>#REF!</v>
      </c>
      <c r="HY364" t="e">
        <f>AND('PROG FORMACIÓN TITULADA'!#REF!,"AAAAAD/9+Og=")</f>
        <v>#REF!</v>
      </c>
      <c r="HZ364" t="e">
        <f>AND('PROG FORMACIÓN TITULADA'!#REF!,"AAAAAD/9+Ok=")</f>
        <v>#REF!</v>
      </c>
      <c r="IA364" t="e">
        <f>AND('PROG FORMACIÓN TITULADA'!#REF!,"AAAAAD/9+Oo=")</f>
        <v>#REF!</v>
      </c>
      <c r="IB364" t="e">
        <f>AND('PROG FORMACIÓN TITULADA'!#REF!,"AAAAAD/9+Os=")</f>
        <v>#REF!</v>
      </c>
      <c r="IC364" t="e">
        <f>AND('PROG FORMACIÓN TITULADA'!#REF!,"AAAAAD/9+Ow=")</f>
        <v>#REF!</v>
      </c>
      <c r="ID364" t="e">
        <f>IF('PROG FORMACIÓN TITULADA'!#REF!,"AAAAAD/9+O0=",0)</f>
        <v>#REF!</v>
      </c>
      <c r="IE364" t="e">
        <f>AND('PROG FORMACIÓN TITULADA'!#REF!,"AAAAAD/9+O4=")</f>
        <v>#REF!</v>
      </c>
      <c r="IF364" t="e">
        <f>AND('PROG FORMACIÓN TITULADA'!#REF!,"AAAAAD/9+O8=")</f>
        <v>#REF!</v>
      </c>
      <c r="IG364" t="e">
        <f>AND('PROG FORMACIÓN TITULADA'!#REF!,"AAAAAD/9+PA=")</f>
        <v>#REF!</v>
      </c>
      <c r="IH364" t="e">
        <f>AND('PROG FORMACIÓN TITULADA'!#REF!,"AAAAAD/9+PE=")</f>
        <v>#REF!</v>
      </c>
      <c r="II364" t="e">
        <f>AND('PROG FORMACIÓN TITULADA'!#REF!,"AAAAAD/9+PI=")</f>
        <v>#REF!</v>
      </c>
      <c r="IJ364" t="e">
        <f>AND('PROG FORMACIÓN TITULADA'!#REF!,"AAAAAD/9+PM=")</f>
        <v>#REF!</v>
      </c>
      <c r="IK364" t="e">
        <f>AND('PROG FORMACIÓN TITULADA'!#REF!,"AAAAAD/9+PQ=")</f>
        <v>#REF!</v>
      </c>
      <c r="IL364" t="e">
        <f>AND('PROG FORMACIÓN TITULADA'!#REF!,"AAAAAD/9+PU=")</f>
        <v>#REF!</v>
      </c>
      <c r="IM364" t="e">
        <f>AND('PROG FORMACIÓN TITULADA'!#REF!,"AAAAAD/9+PY=")</f>
        <v>#REF!</v>
      </c>
      <c r="IN364" t="e">
        <f>AND('PROG FORMACIÓN TITULADA'!#REF!,"AAAAAD/9+Pc=")</f>
        <v>#REF!</v>
      </c>
      <c r="IO364" t="e">
        <f>AND('PROG FORMACIÓN TITULADA'!#REF!,"AAAAAD/9+Pg=")</f>
        <v>#REF!</v>
      </c>
      <c r="IP364" t="e">
        <f>AND('PROG FORMACIÓN TITULADA'!#REF!,"AAAAAD/9+Pk=")</f>
        <v>#REF!</v>
      </c>
      <c r="IQ364" t="e">
        <f>AND('PROG FORMACIÓN TITULADA'!#REF!,"AAAAAD/9+Po=")</f>
        <v>#REF!</v>
      </c>
      <c r="IR364" t="e">
        <f>AND('PROG FORMACIÓN TITULADA'!#REF!,"AAAAAD/9+Ps=")</f>
        <v>#REF!</v>
      </c>
      <c r="IS364" t="e">
        <f>AND('PROG FORMACIÓN TITULADA'!#REF!,"AAAAAD/9+Pw=")</f>
        <v>#REF!</v>
      </c>
      <c r="IT364" t="e">
        <f>AND('PROG FORMACIÓN TITULADA'!#REF!,"AAAAAD/9+P0=")</f>
        <v>#REF!</v>
      </c>
      <c r="IU364" t="e">
        <f>AND('PROG FORMACIÓN TITULADA'!#REF!,"AAAAAD/9+P4=")</f>
        <v>#REF!</v>
      </c>
      <c r="IV364" t="e">
        <f>AND('PROG FORMACIÓN TITULADA'!#REF!,"AAAAAD/9+P8=")</f>
        <v>#REF!</v>
      </c>
    </row>
    <row r="365" spans="1:256" x14ac:dyDescent="0.2">
      <c r="A365" t="e">
        <f>AND('PROG FORMACIÓN TITULADA'!#REF!,"AAAAAHZOzQA=")</f>
        <v>#REF!</v>
      </c>
      <c r="B365" t="e">
        <f>AND('PROG FORMACIÓN TITULADA'!#REF!,"AAAAAHZOzQE=")</f>
        <v>#REF!</v>
      </c>
      <c r="C365" t="e">
        <f>AND('PROG FORMACIÓN TITULADA'!#REF!,"AAAAAHZOzQI=")</f>
        <v>#REF!</v>
      </c>
      <c r="D365" t="e">
        <f>AND('PROG FORMACIÓN TITULADA'!#REF!,"AAAAAHZOzQM=")</f>
        <v>#REF!</v>
      </c>
      <c r="E365" t="e">
        <f>AND('PROG FORMACIÓN TITULADA'!#REF!,"AAAAAHZOzQQ=")</f>
        <v>#REF!</v>
      </c>
      <c r="F365" t="e">
        <f>AND('PROG FORMACIÓN TITULADA'!#REF!,"AAAAAHZOzQU=")</f>
        <v>#REF!</v>
      </c>
      <c r="G365" t="e">
        <f>AND('PROG FORMACIÓN TITULADA'!#REF!,"AAAAAHZOzQY=")</f>
        <v>#REF!</v>
      </c>
      <c r="H365" t="e">
        <f>AND('PROG FORMACIÓN TITULADA'!#REF!,"AAAAAHZOzQc=")</f>
        <v>#REF!</v>
      </c>
      <c r="I365" t="e">
        <f>IF('PROG FORMACIÓN TITULADA'!#REF!,"AAAAAHZOzQg=",0)</f>
        <v>#REF!</v>
      </c>
      <c r="J365" t="e">
        <f>AND('PROG FORMACIÓN TITULADA'!#REF!,"AAAAAHZOzQk=")</f>
        <v>#REF!</v>
      </c>
      <c r="K365" t="e">
        <f>AND('PROG FORMACIÓN TITULADA'!#REF!,"AAAAAHZOzQo=")</f>
        <v>#REF!</v>
      </c>
      <c r="L365" t="e">
        <f>AND('PROG FORMACIÓN TITULADA'!#REF!,"AAAAAHZOzQs=")</f>
        <v>#REF!</v>
      </c>
      <c r="M365" t="e">
        <f>AND('PROG FORMACIÓN TITULADA'!#REF!,"AAAAAHZOzQw=")</f>
        <v>#REF!</v>
      </c>
      <c r="N365" t="e">
        <f>AND('PROG FORMACIÓN TITULADA'!#REF!,"AAAAAHZOzQ0=")</f>
        <v>#REF!</v>
      </c>
      <c r="O365" t="e">
        <f>AND('PROG FORMACIÓN TITULADA'!#REF!,"AAAAAHZOzQ4=")</f>
        <v>#REF!</v>
      </c>
      <c r="P365" t="e">
        <f>AND('PROG FORMACIÓN TITULADA'!#REF!,"AAAAAHZOzQ8=")</f>
        <v>#REF!</v>
      </c>
      <c r="Q365" t="e">
        <f>AND('PROG FORMACIÓN TITULADA'!#REF!,"AAAAAHZOzRA=")</f>
        <v>#REF!</v>
      </c>
      <c r="R365" t="e">
        <f>AND('PROG FORMACIÓN TITULADA'!#REF!,"AAAAAHZOzRE=")</f>
        <v>#REF!</v>
      </c>
      <c r="S365" t="e">
        <f>AND('PROG FORMACIÓN TITULADA'!#REF!,"AAAAAHZOzRI=")</f>
        <v>#REF!</v>
      </c>
      <c r="T365" t="e">
        <f>AND('PROG FORMACIÓN TITULADA'!#REF!,"AAAAAHZOzRM=")</f>
        <v>#REF!</v>
      </c>
      <c r="U365" t="e">
        <f>AND('PROG FORMACIÓN TITULADA'!#REF!,"AAAAAHZOzRQ=")</f>
        <v>#REF!</v>
      </c>
      <c r="V365" t="e">
        <f>AND('PROG FORMACIÓN TITULADA'!#REF!,"AAAAAHZOzRU=")</f>
        <v>#REF!</v>
      </c>
      <c r="W365" t="e">
        <f>AND('PROG FORMACIÓN TITULADA'!#REF!,"AAAAAHZOzRY=")</f>
        <v>#REF!</v>
      </c>
      <c r="X365" t="e">
        <f>AND('PROG FORMACIÓN TITULADA'!#REF!,"AAAAAHZOzRc=")</f>
        <v>#REF!</v>
      </c>
      <c r="Y365" t="e">
        <f>AND('PROG FORMACIÓN TITULADA'!#REF!,"AAAAAHZOzRg=")</f>
        <v>#REF!</v>
      </c>
      <c r="Z365" t="e">
        <f>AND('PROG FORMACIÓN TITULADA'!#REF!,"AAAAAHZOzRk=")</f>
        <v>#REF!</v>
      </c>
      <c r="AA365" t="e">
        <f>AND('PROG FORMACIÓN TITULADA'!#REF!,"AAAAAHZOzRo=")</f>
        <v>#REF!</v>
      </c>
      <c r="AB365" t="e">
        <f>AND('PROG FORMACIÓN TITULADA'!#REF!,"AAAAAHZOzRs=")</f>
        <v>#REF!</v>
      </c>
      <c r="AC365" t="e">
        <f>AND('PROG FORMACIÓN TITULADA'!#REF!,"AAAAAHZOzRw=")</f>
        <v>#REF!</v>
      </c>
      <c r="AD365" t="e">
        <f>AND('PROG FORMACIÓN TITULADA'!#REF!,"AAAAAHZOzR0=")</f>
        <v>#REF!</v>
      </c>
      <c r="AE365" t="e">
        <f>AND('PROG FORMACIÓN TITULADA'!#REF!,"AAAAAHZOzR4=")</f>
        <v>#REF!</v>
      </c>
      <c r="AF365" t="e">
        <f>AND('PROG FORMACIÓN TITULADA'!#REF!,"AAAAAHZOzR8=")</f>
        <v>#REF!</v>
      </c>
      <c r="AG365" t="e">
        <f>AND('PROG FORMACIÓN TITULADA'!#REF!,"AAAAAHZOzSA=")</f>
        <v>#REF!</v>
      </c>
      <c r="AH365" t="e">
        <f>AND('PROG FORMACIÓN TITULADA'!#REF!,"AAAAAHZOzSE=")</f>
        <v>#REF!</v>
      </c>
      <c r="AI365" t="e">
        <f>AND('PROG FORMACIÓN TITULADA'!#REF!,"AAAAAHZOzSI=")</f>
        <v>#REF!</v>
      </c>
      <c r="AJ365" t="e">
        <f>IF('PROG FORMACIÓN TITULADA'!#REF!,"AAAAAHZOzSM=",0)</f>
        <v>#REF!</v>
      </c>
      <c r="AK365" t="e">
        <f>AND('PROG FORMACIÓN TITULADA'!#REF!,"AAAAAHZOzSQ=")</f>
        <v>#REF!</v>
      </c>
      <c r="AL365" t="e">
        <f>AND('PROG FORMACIÓN TITULADA'!#REF!,"AAAAAHZOzSU=")</f>
        <v>#REF!</v>
      </c>
      <c r="AM365" t="e">
        <f>AND('PROG FORMACIÓN TITULADA'!#REF!,"AAAAAHZOzSY=")</f>
        <v>#REF!</v>
      </c>
      <c r="AN365" t="e">
        <f>AND('PROG FORMACIÓN TITULADA'!#REF!,"AAAAAHZOzSc=")</f>
        <v>#REF!</v>
      </c>
      <c r="AO365" t="e">
        <f>AND('PROG FORMACIÓN TITULADA'!#REF!,"AAAAAHZOzSg=")</f>
        <v>#REF!</v>
      </c>
      <c r="AP365" t="e">
        <f>AND('PROG FORMACIÓN TITULADA'!#REF!,"AAAAAHZOzSk=")</f>
        <v>#REF!</v>
      </c>
      <c r="AQ365" t="e">
        <f>AND('PROG FORMACIÓN TITULADA'!#REF!,"AAAAAHZOzSo=")</f>
        <v>#REF!</v>
      </c>
      <c r="AR365" t="e">
        <f>AND('PROG FORMACIÓN TITULADA'!#REF!,"AAAAAHZOzSs=")</f>
        <v>#REF!</v>
      </c>
      <c r="AS365" t="e">
        <f>AND('PROG FORMACIÓN TITULADA'!#REF!,"AAAAAHZOzSw=")</f>
        <v>#REF!</v>
      </c>
      <c r="AT365" t="e">
        <f>AND('PROG FORMACIÓN TITULADA'!#REF!,"AAAAAHZOzS0=")</f>
        <v>#REF!</v>
      </c>
      <c r="AU365" t="e">
        <f>AND('PROG FORMACIÓN TITULADA'!#REF!,"AAAAAHZOzS4=")</f>
        <v>#REF!</v>
      </c>
      <c r="AV365" t="e">
        <f>AND('PROG FORMACIÓN TITULADA'!#REF!,"AAAAAHZOzS8=")</f>
        <v>#REF!</v>
      </c>
      <c r="AW365" t="e">
        <f>AND('PROG FORMACIÓN TITULADA'!#REF!,"AAAAAHZOzTA=")</f>
        <v>#REF!</v>
      </c>
      <c r="AX365" t="e">
        <f>AND('PROG FORMACIÓN TITULADA'!#REF!,"AAAAAHZOzTE=")</f>
        <v>#REF!</v>
      </c>
      <c r="AY365" t="e">
        <f>AND('PROG FORMACIÓN TITULADA'!#REF!,"AAAAAHZOzTI=")</f>
        <v>#REF!</v>
      </c>
      <c r="AZ365" t="e">
        <f>AND('PROG FORMACIÓN TITULADA'!#REF!,"AAAAAHZOzTM=")</f>
        <v>#REF!</v>
      </c>
      <c r="BA365" t="e">
        <f>AND('PROG FORMACIÓN TITULADA'!#REF!,"AAAAAHZOzTQ=")</f>
        <v>#REF!</v>
      </c>
      <c r="BB365" t="e">
        <f>AND('PROG FORMACIÓN TITULADA'!#REF!,"AAAAAHZOzTU=")</f>
        <v>#REF!</v>
      </c>
      <c r="BC365" t="e">
        <f>AND('PROG FORMACIÓN TITULADA'!#REF!,"AAAAAHZOzTY=")</f>
        <v>#REF!</v>
      </c>
      <c r="BD365" t="e">
        <f>AND('PROG FORMACIÓN TITULADA'!#REF!,"AAAAAHZOzTc=")</f>
        <v>#REF!</v>
      </c>
      <c r="BE365" t="e">
        <f>AND('PROG FORMACIÓN TITULADA'!#REF!,"AAAAAHZOzTg=")</f>
        <v>#REF!</v>
      </c>
      <c r="BF365" t="e">
        <f>AND('PROG FORMACIÓN TITULADA'!#REF!,"AAAAAHZOzTk=")</f>
        <v>#REF!</v>
      </c>
      <c r="BG365" t="e">
        <f>AND('PROG FORMACIÓN TITULADA'!#REF!,"AAAAAHZOzTo=")</f>
        <v>#REF!</v>
      </c>
      <c r="BH365" t="e">
        <f>AND('PROG FORMACIÓN TITULADA'!#REF!,"AAAAAHZOzTs=")</f>
        <v>#REF!</v>
      </c>
      <c r="BI365" t="e">
        <f>AND('PROG FORMACIÓN TITULADA'!#REF!,"AAAAAHZOzTw=")</f>
        <v>#REF!</v>
      </c>
      <c r="BJ365" t="e">
        <f>AND('PROG FORMACIÓN TITULADA'!#REF!,"AAAAAHZOzT0=")</f>
        <v>#REF!</v>
      </c>
      <c r="BK365" t="e">
        <f>IF('PROG FORMACIÓN TITULADA'!#REF!,"AAAAAHZOzT4=",0)</f>
        <v>#REF!</v>
      </c>
      <c r="BL365" t="e">
        <f>AND('PROG FORMACIÓN TITULADA'!#REF!,"AAAAAHZOzT8=")</f>
        <v>#REF!</v>
      </c>
      <c r="BM365" t="e">
        <f>AND('PROG FORMACIÓN TITULADA'!#REF!,"AAAAAHZOzUA=")</f>
        <v>#REF!</v>
      </c>
      <c r="BN365" t="e">
        <f>AND('PROG FORMACIÓN TITULADA'!#REF!,"AAAAAHZOzUE=")</f>
        <v>#REF!</v>
      </c>
      <c r="BO365" t="e">
        <f>AND('PROG FORMACIÓN TITULADA'!#REF!,"AAAAAHZOzUI=")</f>
        <v>#REF!</v>
      </c>
      <c r="BP365" t="e">
        <f>AND('PROG FORMACIÓN TITULADA'!#REF!,"AAAAAHZOzUM=")</f>
        <v>#REF!</v>
      </c>
      <c r="BQ365" t="e">
        <f>AND('PROG FORMACIÓN TITULADA'!#REF!,"AAAAAHZOzUQ=")</f>
        <v>#REF!</v>
      </c>
      <c r="BR365" t="e">
        <f>AND('PROG FORMACIÓN TITULADA'!#REF!,"AAAAAHZOzUU=")</f>
        <v>#REF!</v>
      </c>
      <c r="BS365" t="e">
        <f>AND('PROG FORMACIÓN TITULADA'!#REF!,"AAAAAHZOzUY=")</f>
        <v>#REF!</v>
      </c>
      <c r="BT365" t="e">
        <f>AND('PROG FORMACIÓN TITULADA'!#REF!,"AAAAAHZOzUc=")</f>
        <v>#REF!</v>
      </c>
      <c r="BU365" t="e">
        <f>AND('PROG FORMACIÓN TITULADA'!#REF!,"AAAAAHZOzUg=")</f>
        <v>#REF!</v>
      </c>
      <c r="BV365" t="e">
        <f>AND('PROG FORMACIÓN TITULADA'!#REF!,"AAAAAHZOzUk=")</f>
        <v>#REF!</v>
      </c>
      <c r="BW365" t="e">
        <f>AND('PROG FORMACIÓN TITULADA'!#REF!,"AAAAAHZOzUo=")</f>
        <v>#REF!</v>
      </c>
      <c r="BX365" t="e">
        <f>AND('PROG FORMACIÓN TITULADA'!#REF!,"AAAAAHZOzUs=")</f>
        <v>#REF!</v>
      </c>
      <c r="BY365" t="e">
        <f>AND('PROG FORMACIÓN TITULADA'!#REF!,"AAAAAHZOzUw=")</f>
        <v>#REF!</v>
      </c>
      <c r="BZ365" t="e">
        <f>AND('PROG FORMACIÓN TITULADA'!#REF!,"AAAAAHZOzU0=")</f>
        <v>#REF!</v>
      </c>
      <c r="CA365" t="e">
        <f>AND('PROG FORMACIÓN TITULADA'!#REF!,"AAAAAHZOzU4=")</f>
        <v>#REF!</v>
      </c>
      <c r="CB365" t="e">
        <f>AND('PROG FORMACIÓN TITULADA'!#REF!,"AAAAAHZOzU8=")</f>
        <v>#REF!</v>
      </c>
      <c r="CC365" t="e">
        <f>AND('PROG FORMACIÓN TITULADA'!#REF!,"AAAAAHZOzVA=")</f>
        <v>#REF!</v>
      </c>
      <c r="CD365" t="e">
        <f>AND('PROG FORMACIÓN TITULADA'!#REF!,"AAAAAHZOzVE=")</f>
        <v>#REF!</v>
      </c>
      <c r="CE365" t="e">
        <f>AND('PROG FORMACIÓN TITULADA'!#REF!,"AAAAAHZOzVI=")</f>
        <v>#REF!</v>
      </c>
      <c r="CF365" t="e">
        <f>AND('PROG FORMACIÓN TITULADA'!#REF!,"AAAAAHZOzVM=")</f>
        <v>#REF!</v>
      </c>
      <c r="CG365" t="e">
        <f>AND('PROG FORMACIÓN TITULADA'!#REF!,"AAAAAHZOzVQ=")</f>
        <v>#REF!</v>
      </c>
      <c r="CH365" t="e">
        <f>AND('PROG FORMACIÓN TITULADA'!#REF!,"AAAAAHZOzVU=")</f>
        <v>#REF!</v>
      </c>
      <c r="CI365" t="e">
        <f>AND('PROG FORMACIÓN TITULADA'!#REF!,"AAAAAHZOzVY=")</f>
        <v>#REF!</v>
      </c>
      <c r="CJ365" t="e">
        <f>AND('PROG FORMACIÓN TITULADA'!#REF!,"AAAAAHZOzVc=")</f>
        <v>#REF!</v>
      </c>
      <c r="CK365" t="e">
        <f>AND('PROG FORMACIÓN TITULADA'!#REF!,"AAAAAHZOzVg=")</f>
        <v>#REF!</v>
      </c>
      <c r="CL365" t="e">
        <f>IF('PROG FORMACIÓN TITULADA'!#REF!,"AAAAAHZOzVk=",0)</f>
        <v>#REF!</v>
      </c>
      <c r="CM365" t="e">
        <f>AND('PROG FORMACIÓN TITULADA'!#REF!,"AAAAAHZOzVo=")</f>
        <v>#REF!</v>
      </c>
      <c r="CN365" t="e">
        <f>AND('PROG FORMACIÓN TITULADA'!#REF!,"AAAAAHZOzVs=")</f>
        <v>#REF!</v>
      </c>
      <c r="CO365" t="e">
        <f>AND('PROG FORMACIÓN TITULADA'!#REF!,"AAAAAHZOzVw=")</f>
        <v>#REF!</v>
      </c>
      <c r="CP365" t="e">
        <f>AND('PROG FORMACIÓN TITULADA'!#REF!,"AAAAAHZOzV0=")</f>
        <v>#REF!</v>
      </c>
      <c r="CQ365" t="e">
        <f>AND('PROG FORMACIÓN TITULADA'!#REF!,"AAAAAHZOzV4=")</f>
        <v>#REF!</v>
      </c>
      <c r="CR365" t="e">
        <f>AND('PROG FORMACIÓN TITULADA'!#REF!,"AAAAAHZOzV8=")</f>
        <v>#REF!</v>
      </c>
      <c r="CS365" t="e">
        <f>AND('PROG FORMACIÓN TITULADA'!#REF!,"AAAAAHZOzWA=")</f>
        <v>#REF!</v>
      </c>
      <c r="CT365" t="e">
        <f>AND('PROG FORMACIÓN TITULADA'!#REF!,"AAAAAHZOzWE=")</f>
        <v>#REF!</v>
      </c>
      <c r="CU365" t="e">
        <f>AND('PROG FORMACIÓN TITULADA'!#REF!,"AAAAAHZOzWI=")</f>
        <v>#REF!</v>
      </c>
      <c r="CV365" t="e">
        <f>AND('PROG FORMACIÓN TITULADA'!#REF!,"AAAAAHZOzWM=")</f>
        <v>#REF!</v>
      </c>
      <c r="CW365" t="e">
        <f>AND('PROG FORMACIÓN TITULADA'!#REF!,"AAAAAHZOzWQ=")</f>
        <v>#REF!</v>
      </c>
      <c r="CX365" t="e">
        <f>AND('PROG FORMACIÓN TITULADA'!#REF!,"AAAAAHZOzWU=")</f>
        <v>#REF!</v>
      </c>
      <c r="CY365" t="e">
        <f>AND('PROG FORMACIÓN TITULADA'!#REF!,"AAAAAHZOzWY=")</f>
        <v>#REF!</v>
      </c>
      <c r="CZ365" t="e">
        <f>AND('PROG FORMACIÓN TITULADA'!#REF!,"AAAAAHZOzWc=")</f>
        <v>#REF!</v>
      </c>
      <c r="DA365" t="e">
        <f>AND('PROG FORMACIÓN TITULADA'!#REF!,"AAAAAHZOzWg=")</f>
        <v>#REF!</v>
      </c>
      <c r="DB365" t="e">
        <f>AND('PROG FORMACIÓN TITULADA'!#REF!,"AAAAAHZOzWk=")</f>
        <v>#REF!</v>
      </c>
      <c r="DC365" t="e">
        <f>AND('PROG FORMACIÓN TITULADA'!#REF!,"AAAAAHZOzWo=")</f>
        <v>#REF!</v>
      </c>
      <c r="DD365" t="e">
        <f>AND('PROG FORMACIÓN TITULADA'!#REF!,"AAAAAHZOzWs=")</f>
        <v>#REF!</v>
      </c>
      <c r="DE365" t="e">
        <f>AND('PROG FORMACIÓN TITULADA'!#REF!,"AAAAAHZOzWw=")</f>
        <v>#REF!</v>
      </c>
      <c r="DF365" t="e">
        <f>AND('PROG FORMACIÓN TITULADA'!#REF!,"AAAAAHZOzW0=")</f>
        <v>#REF!</v>
      </c>
      <c r="DG365" t="e">
        <f>AND('PROG FORMACIÓN TITULADA'!#REF!,"AAAAAHZOzW4=")</f>
        <v>#REF!</v>
      </c>
      <c r="DH365" t="e">
        <f>AND('PROG FORMACIÓN TITULADA'!#REF!,"AAAAAHZOzW8=")</f>
        <v>#REF!</v>
      </c>
      <c r="DI365" t="e">
        <f>AND('PROG FORMACIÓN TITULADA'!#REF!,"AAAAAHZOzXA=")</f>
        <v>#REF!</v>
      </c>
      <c r="DJ365" t="e">
        <f>AND('PROG FORMACIÓN TITULADA'!#REF!,"AAAAAHZOzXE=")</f>
        <v>#REF!</v>
      </c>
      <c r="DK365" t="e">
        <f>AND('PROG FORMACIÓN TITULADA'!#REF!,"AAAAAHZOzXI=")</f>
        <v>#REF!</v>
      </c>
      <c r="DL365" t="e">
        <f>AND('PROG FORMACIÓN TITULADA'!#REF!,"AAAAAHZOzXM=")</f>
        <v>#REF!</v>
      </c>
      <c r="DM365" t="e">
        <f>IF('PROG FORMACIÓN TITULADA'!#REF!,"AAAAAHZOzXQ=",0)</f>
        <v>#REF!</v>
      </c>
      <c r="DN365" t="e">
        <f>AND('PROG FORMACIÓN TITULADA'!#REF!,"AAAAAHZOzXU=")</f>
        <v>#REF!</v>
      </c>
      <c r="DO365" t="e">
        <f>AND('PROG FORMACIÓN TITULADA'!#REF!,"AAAAAHZOzXY=")</f>
        <v>#REF!</v>
      </c>
      <c r="DP365" t="e">
        <f>AND('PROG FORMACIÓN TITULADA'!#REF!,"AAAAAHZOzXc=")</f>
        <v>#REF!</v>
      </c>
      <c r="DQ365" t="e">
        <f>AND('PROG FORMACIÓN TITULADA'!#REF!,"AAAAAHZOzXg=")</f>
        <v>#REF!</v>
      </c>
      <c r="DR365" t="e">
        <f>AND('PROG FORMACIÓN TITULADA'!#REF!,"AAAAAHZOzXk=")</f>
        <v>#REF!</v>
      </c>
      <c r="DS365" t="e">
        <f>AND('PROG FORMACIÓN TITULADA'!#REF!,"AAAAAHZOzXo=")</f>
        <v>#REF!</v>
      </c>
      <c r="DT365" t="e">
        <f>AND('PROG FORMACIÓN TITULADA'!#REF!,"AAAAAHZOzXs=")</f>
        <v>#REF!</v>
      </c>
      <c r="DU365" t="e">
        <f>AND('PROG FORMACIÓN TITULADA'!#REF!,"AAAAAHZOzXw=")</f>
        <v>#REF!</v>
      </c>
      <c r="DV365" t="e">
        <f>AND('PROG FORMACIÓN TITULADA'!#REF!,"AAAAAHZOzX0=")</f>
        <v>#REF!</v>
      </c>
      <c r="DW365" t="e">
        <f>AND('PROG FORMACIÓN TITULADA'!#REF!,"AAAAAHZOzX4=")</f>
        <v>#REF!</v>
      </c>
      <c r="DX365" t="e">
        <f>AND('PROG FORMACIÓN TITULADA'!#REF!,"AAAAAHZOzX8=")</f>
        <v>#REF!</v>
      </c>
      <c r="DY365" t="e">
        <f>AND('PROG FORMACIÓN TITULADA'!#REF!,"AAAAAHZOzYA=")</f>
        <v>#REF!</v>
      </c>
      <c r="DZ365" t="e">
        <f>AND('PROG FORMACIÓN TITULADA'!#REF!,"AAAAAHZOzYE=")</f>
        <v>#REF!</v>
      </c>
      <c r="EA365" t="e">
        <f>AND('PROG FORMACIÓN TITULADA'!#REF!,"AAAAAHZOzYI=")</f>
        <v>#REF!</v>
      </c>
      <c r="EB365" t="e">
        <f>AND('PROG FORMACIÓN TITULADA'!#REF!,"AAAAAHZOzYM=")</f>
        <v>#REF!</v>
      </c>
      <c r="EC365" t="e">
        <f>AND('PROG FORMACIÓN TITULADA'!#REF!,"AAAAAHZOzYQ=")</f>
        <v>#REF!</v>
      </c>
      <c r="ED365" t="e">
        <f>AND('PROG FORMACIÓN TITULADA'!#REF!,"AAAAAHZOzYU=")</f>
        <v>#REF!</v>
      </c>
      <c r="EE365" t="e">
        <f>AND('PROG FORMACIÓN TITULADA'!#REF!,"AAAAAHZOzYY=")</f>
        <v>#REF!</v>
      </c>
      <c r="EF365" t="e">
        <f>AND('PROG FORMACIÓN TITULADA'!#REF!,"AAAAAHZOzYc=")</f>
        <v>#REF!</v>
      </c>
      <c r="EG365" t="e">
        <f>AND('PROG FORMACIÓN TITULADA'!#REF!,"AAAAAHZOzYg=")</f>
        <v>#REF!</v>
      </c>
      <c r="EH365" t="e">
        <f>AND('PROG FORMACIÓN TITULADA'!#REF!,"AAAAAHZOzYk=")</f>
        <v>#REF!</v>
      </c>
      <c r="EI365" t="e">
        <f>AND('PROG FORMACIÓN TITULADA'!#REF!,"AAAAAHZOzYo=")</f>
        <v>#REF!</v>
      </c>
      <c r="EJ365" t="e">
        <f>AND('PROG FORMACIÓN TITULADA'!#REF!,"AAAAAHZOzYs=")</f>
        <v>#REF!</v>
      </c>
      <c r="EK365" t="e">
        <f>AND('PROG FORMACIÓN TITULADA'!#REF!,"AAAAAHZOzYw=")</f>
        <v>#REF!</v>
      </c>
      <c r="EL365" t="e">
        <f>AND('PROG FORMACIÓN TITULADA'!#REF!,"AAAAAHZOzY0=")</f>
        <v>#REF!</v>
      </c>
      <c r="EM365" t="e">
        <f>AND('PROG FORMACIÓN TITULADA'!#REF!,"AAAAAHZOzY4=")</f>
        <v>#REF!</v>
      </c>
      <c r="EN365" t="e">
        <f>IF('PROG FORMACIÓN TITULADA'!#REF!,"AAAAAHZOzY8=",0)</f>
        <v>#REF!</v>
      </c>
      <c r="EO365" t="e">
        <f>AND('PROG FORMACIÓN TITULADA'!#REF!,"AAAAAHZOzZA=")</f>
        <v>#REF!</v>
      </c>
      <c r="EP365" t="e">
        <f>AND('PROG FORMACIÓN TITULADA'!#REF!,"AAAAAHZOzZE=")</f>
        <v>#REF!</v>
      </c>
      <c r="EQ365" t="e">
        <f>AND('PROG FORMACIÓN TITULADA'!#REF!,"AAAAAHZOzZI=")</f>
        <v>#REF!</v>
      </c>
      <c r="ER365" t="e">
        <f>AND('PROG FORMACIÓN TITULADA'!#REF!,"AAAAAHZOzZM=")</f>
        <v>#REF!</v>
      </c>
      <c r="ES365" t="e">
        <f>AND('PROG FORMACIÓN TITULADA'!#REF!,"AAAAAHZOzZQ=")</f>
        <v>#REF!</v>
      </c>
      <c r="ET365" t="e">
        <f>AND('PROG FORMACIÓN TITULADA'!#REF!,"AAAAAHZOzZU=")</f>
        <v>#REF!</v>
      </c>
      <c r="EU365" t="e">
        <f>AND('PROG FORMACIÓN TITULADA'!#REF!,"AAAAAHZOzZY=")</f>
        <v>#REF!</v>
      </c>
      <c r="EV365" t="e">
        <f>AND('PROG FORMACIÓN TITULADA'!#REF!,"AAAAAHZOzZc=")</f>
        <v>#REF!</v>
      </c>
      <c r="EW365" t="e">
        <f>AND('PROG FORMACIÓN TITULADA'!#REF!,"AAAAAHZOzZg=")</f>
        <v>#REF!</v>
      </c>
      <c r="EX365" t="e">
        <f>AND('PROG FORMACIÓN TITULADA'!#REF!,"AAAAAHZOzZk=")</f>
        <v>#REF!</v>
      </c>
      <c r="EY365" t="e">
        <f>AND('PROG FORMACIÓN TITULADA'!#REF!,"AAAAAHZOzZo=")</f>
        <v>#REF!</v>
      </c>
      <c r="EZ365" t="e">
        <f>AND('PROG FORMACIÓN TITULADA'!#REF!,"AAAAAHZOzZs=")</f>
        <v>#REF!</v>
      </c>
      <c r="FA365" t="e">
        <f>AND('PROG FORMACIÓN TITULADA'!#REF!,"AAAAAHZOzZw=")</f>
        <v>#REF!</v>
      </c>
      <c r="FB365" t="e">
        <f>AND('PROG FORMACIÓN TITULADA'!#REF!,"AAAAAHZOzZ0=")</f>
        <v>#REF!</v>
      </c>
      <c r="FC365" t="e">
        <f>AND('PROG FORMACIÓN TITULADA'!#REF!,"AAAAAHZOzZ4=")</f>
        <v>#REF!</v>
      </c>
      <c r="FD365" t="e">
        <f>AND('PROG FORMACIÓN TITULADA'!#REF!,"AAAAAHZOzZ8=")</f>
        <v>#REF!</v>
      </c>
      <c r="FE365" t="e">
        <f>AND('PROG FORMACIÓN TITULADA'!#REF!,"AAAAAHZOzaA=")</f>
        <v>#REF!</v>
      </c>
      <c r="FF365" t="e">
        <f>AND('PROG FORMACIÓN TITULADA'!#REF!,"AAAAAHZOzaE=")</f>
        <v>#REF!</v>
      </c>
      <c r="FG365" t="e">
        <f>AND('PROG FORMACIÓN TITULADA'!#REF!,"AAAAAHZOzaI=")</f>
        <v>#REF!</v>
      </c>
      <c r="FH365" t="e">
        <f>AND('PROG FORMACIÓN TITULADA'!#REF!,"AAAAAHZOzaM=")</f>
        <v>#REF!</v>
      </c>
      <c r="FI365" t="e">
        <f>AND('PROG FORMACIÓN TITULADA'!#REF!,"AAAAAHZOzaQ=")</f>
        <v>#REF!</v>
      </c>
      <c r="FJ365" t="e">
        <f>AND('PROG FORMACIÓN TITULADA'!#REF!,"AAAAAHZOzaU=")</f>
        <v>#REF!</v>
      </c>
      <c r="FK365" t="e">
        <f>AND('PROG FORMACIÓN TITULADA'!#REF!,"AAAAAHZOzaY=")</f>
        <v>#REF!</v>
      </c>
      <c r="FL365" t="e">
        <f>AND('PROG FORMACIÓN TITULADA'!#REF!,"AAAAAHZOzac=")</f>
        <v>#REF!</v>
      </c>
      <c r="FM365" t="e">
        <f>AND('PROG FORMACIÓN TITULADA'!#REF!,"AAAAAHZOzag=")</f>
        <v>#REF!</v>
      </c>
      <c r="FN365" t="e">
        <f>AND('PROG FORMACIÓN TITULADA'!#REF!,"AAAAAHZOzak=")</f>
        <v>#REF!</v>
      </c>
      <c r="FO365" t="e">
        <f>IF('PROG FORMACIÓN TITULADA'!#REF!,"AAAAAHZOzao=",0)</f>
        <v>#REF!</v>
      </c>
      <c r="FP365" t="e">
        <f>AND('PROG FORMACIÓN TITULADA'!#REF!,"AAAAAHZOzas=")</f>
        <v>#REF!</v>
      </c>
      <c r="FQ365" t="e">
        <f>AND('PROG FORMACIÓN TITULADA'!#REF!,"AAAAAHZOzaw=")</f>
        <v>#REF!</v>
      </c>
      <c r="FR365" t="e">
        <f>AND('PROG FORMACIÓN TITULADA'!#REF!,"AAAAAHZOza0=")</f>
        <v>#REF!</v>
      </c>
      <c r="FS365" t="e">
        <f>AND('PROG FORMACIÓN TITULADA'!#REF!,"AAAAAHZOza4=")</f>
        <v>#REF!</v>
      </c>
      <c r="FT365" t="e">
        <f>AND('PROG FORMACIÓN TITULADA'!#REF!,"AAAAAHZOza8=")</f>
        <v>#REF!</v>
      </c>
      <c r="FU365" t="e">
        <f>AND('PROG FORMACIÓN TITULADA'!#REF!,"AAAAAHZOzbA=")</f>
        <v>#REF!</v>
      </c>
      <c r="FV365" t="e">
        <f>AND('PROG FORMACIÓN TITULADA'!#REF!,"AAAAAHZOzbE=")</f>
        <v>#REF!</v>
      </c>
      <c r="FW365" t="e">
        <f>AND('PROG FORMACIÓN TITULADA'!#REF!,"AAAAAHZOzbI=")</f>
        <v>#REF!</v>
      </c>
      <c r="FX365" t="e">
        <f>AND('PROG FORMACIÓN TITULADA'!#REF!,"AAAAAHZOzbM=")</f>
        <v>#REF!</v>
      </c>
      <c r="FY365" t="e">
        <f>AND('PROG FORMACIÓN TITULADA'!#REF!,"AAAAAHZOzbQ=")</f>
        <v>#REF!</v>
      </c>
      <c r="FZ365" t="e">
        <f>AND('PROG FORMACIÓN TITULADA'!#REF!,"AAAAAHZOzbU=")</f>
        <v>#REF!</v>
      </c>
      <c r="GA365" t="e">
        <f>AND('PROG FORMACIÓN TITULADA'!#REF!,"AAAAAHZOzbY=")</f>
        <v>#REF!</v>
      </c>
      <c r="GB365" t="e">
        <f>AND('PROG FORMACIÓN TITULADA'!#REF!,"AAAAAHZOzbc=")</f>
        <v>#REF!</v>
      </c>
      <c r="GC365" t="e">
        <f>AND('PROG FORMACIÓN TITULADA'!#REF!,"AAAAAHZOzbg=")</f>
        <v>#REF!</v>
      </c>
      <c r="GD365" t="e">
        <f>AND('PROG FORMACIÓN TITULADA'!#REF!,"AAAAAHZOzbk=")</f>
        <v>#REF!</v>
      </c>
      <c r="GE365" t="e">
        <f>AND('PROG FORMACIÓN TITULADA'!#REF!,"AAAAAHZOzbo=")</f>
        <v>#REF!</v>
      </c>
      <c r="GF365" t="e">
        <f>AND('PROG FORMACIÓN TITULADA'!#REF!,"AAAAAHZOzbs=")</f>
        <v>#REF!</v>
      </c>
      <c r="GG365" t="e">
        <f>AND('PROG FORMACIÓN TITULADA'!#REF!,"AAAAAHZOzbw=")</f>
        <v>#REF!</v>
      </c>
      <c r="GH365" t="e">
        <f>AND('PROG FORMACIÓN TITULADA'!#REF!,"AAAAAHZOzb0=")</f>
        <v>#REF!</v>
      </c>
      <c r="GI365" t="e">
        <f>AND('PROG FORMACIÓN TITULADA'!#REF!,"AAAAAHZOzb4=")</f>
        <v>#REF!</v>
      </c>
      <c r="GJ365" t="e">
        <f>AND('PROG FORMACIÓN TITULADA'!#REF!,"AAAAAHZOzb8=")</f>
        <v>#REF!</v>
      </c>
      <c r="GK365" t="e">
        <f>AND('PROG FORMACIÓN TITULADA'!#REF!,"AAAAAHZOzcA=")</f>
        <v>#REF!</v>
      </c>
      <c r="GL365" t="e">
        <f>AND('PROG FORMACIÓN TITULADA'!#REF!,"AAAAAHZOzcE=")</f>
        <v>#REF!</v>
      </c>
      <c r="GM365" t="e">
        <f>AND('PROG FORMACIÓN TITULADA'!#REF!,"AAAAAHZOzcI=")</f>
        <v>#REF!</v>
      </c>
      <c r="GN365" t="e">
        <f>AND('PROG FORMACIÓN TITULADA'!#REF!,"AAAAAHZOzcM=")</f>
        <v>#REF!</v>
      </c>
      <c r="GO365" t="e">
        <f>AND('PROG FORMACIÓN TITULADA'!#REF!,"AAAAAHZOzcQ=")</f>
        <v>#REF!</v>
      </c>
      <c r="GP365" t="e">
        <f>IF('PROG FORMACIÓN TITULADA'!#REF!,"AAAAAHZOzcU=",0)</f>
        <v>#REF!</v>
      </c>
      <c r="GQ365" t="e">
        <f>AND('PROG FORMACIÓN TITULADA'!#REF!,"AAAAAHZOzcY=")</f>
        <v>#REF!</v>
      </c>
      <c r="GR365" t="e">
        <f>AND('PROG FORMACIÓN TITULADA'!#REF!,"AAAAAHZOzcc=")</f>
        <v>#REF!</v>
      </c>
      <c r="GS365" t="e">
        <f>AND('PROG FORMACIÓN TITULADA'!#REF!,"AAAAAHZOzcg=")</f>
        <v>#REF!</v>
      </c>
      <c r="GT365" t="e">
        <f>AND('PROG FORMACIÓN TITULADA'!#REF!,"AAAAAHZOzck=")</f>
        <v>#REF!</v>
      </c>
      <c r="GU365" t="e">
        <f>AND('PROG FORMACIÓN TITULADA'!#REF!,"AAAAAHZOzco=")</f>
        <v>#REF!</v>
      </c>
      <c r="GV365" t="e">
        <f>AND('PROG FORMACIÓN TITULADA'!#REF!,"AAAAAHZOzcs=")</f>
        <v>#REF!</v>
      </c>
      <c r="GW365" t="e">
        <f>AND('PROG FORMACIÓN TITULADA'!#REF!,"AAAAAHZOzcw=")</f>
        <v>#REF!</v>
      </c>
      <c r="GX365" t="e">
        <f>AND('PROG FORMACIÓN TITULADA'!#REF!,"AAAAAHZOzc0=")</f>
        <v>#REF!</v>
      </c>
      <c r="GY365" t="e">
        <f>AND('PROG FORMACIÓN TITULADA'!#REF!,"AAAAAHZOzc4=")</f>
        <v>#REF!</v>
      </c>
      <c r="GZ365" t="e">
        <f>AND('PROG FORMACIÓN TITULADA'!#REF!,"AAAAAHZOzc8=")</f>
        <v>#REF!</v>
      </c>
      <c r="HA365" t="e">
        <f>AND('PROG FORMACIÓN TITULADA'!#REF!,"AAAAAHZOzdA=")</f>
        <v>#REF!</v>
      </c>
      <c r="HB365" t="e">
        <f>AND('PROG FORMACIÓN TITULADA'!#REF!,"AAAAAHZOzdE=")</f>
        <v>#REF!</v>
      </c>
      <c r="HC365" t="e">
        <f>AND('PROG FORMACIÓN TITULADA'!#REF!,"AAAAAHZOzdI=")</f>
        <v>#REF!</v>
      </c>
      <c r="HD365" t="e">
        <f>AND('PROG FORMACIÓN TITULADA'!#REF!,"AAAAAHZOzdM=")</f>
        <v>#REF!</v>
      </c>
      <c r="HE365" t="e">
        <f>AND('PROG FORMACIÓN TITULADA'!#REF!,"AAAAAHZOzdQ=")</f>
        <v>#REF!</v>
      </c>
      <c r="HF365" t="e">
        <f>AND('PROG FORMACIÓN TITULADA'!#REF!,"AAAAAHZOzdU=")</f>
        <v>#REF!</v>
      </c>
      <c r="HG365" t="e">
        <f>AND('PROG FORMACIÓN TITULADA'!#REF!,"AAAAAHZOzdY=")</f>
        <v>#REF!</v>
      </c>
      <c r="HH365" t="e">
        <f>AND('PROG FORMACIÓN TITULADA'!#REF!,"AAAAAHZOzdc=")</f>
        <v>#REF!</v>
      </c>
      <c r="HI365" t="e">
        <f>AND('PROG FORMACIÓN TITULADA'!#REF!,"AAAAAHZOzdg=")</f>
        <v>#REF!</v>
      </c>
      <c r="HJ365" t="e">
        <f>AND('PROG FORMACIÓN TITULADA'!#REF!,"AAAAAHZOzdk=")</f>
        <v>#REF!</v>
      </c>
      <c r="HK365" t="e">
        <f>AND('PROG FORMACIÓN TITULADA'!#REF!,"AAAAAHZOzdo=")</f>
        <v>#REF!</v>
      </c>
      <c r="HL365" t="e">
        <f>AND('PROG FORMACIÓN TITULADA'!#REF!,"AAAAAHZOzds=")</f>
        <v>#REF!</v>
      </c>
      <c r="HM365" t="e">
        <f>AND('PROG FORMACIÓN TITULADA'!#REF!,"AAAAAHZOzdw=")</f>
        <v>#REF!</v>
      </c>
      <c r="HN365" t="e">
        <f>AND('PROG FORMACIÓN TITULADA'!#REF!,"AAAAAHZOzd0=")</f>
        <v>#REF!</v>
      </c>
      <c r="HO365" t="e">
        <f>AND('PROG FORMACIÓN TITULADA'!#REF!,"AAAAAHZOzd4=")</f>
        <v>#REF!</v>
      </c>
      <c r="HP365" t="e">
        <f>AND('PROG FORMACIÓN TITULADA'!#REF!,"AAAAAHZOzd8=")</f>
        <v>#REF!</v>
      </c>
      <c r="HQ365" t="e">
        <f>IF('PROG FORMACIÓN TITULADA'!#REF!,"AAAAAHZOzeA=",0)</f>
        <v>#REF!</v>
      </c>
      <c r="HR365" t="e">
        <f>AND('PROG FORMACIÓN TITULADA'!#REF!,"AAAAAHZOzeE=")</f>
        <v>#REF!</v>
      </c>
      <c r="HS365" t="e">
        <f>AND('PROG FORMACIÓN TITULADA'!#REF!,"AAAAAHZOzeI=")</f>
        <v>#REF!</v>
      </c>
      <c r="HT365" t="e">
        <f>AND('PROG FORMACIÓN TITULADA'!#REF!,"AAAAAHZOzeM=")</f>
        <v>#REF!</v>
      </c>
      <c r="HU365" t="e">
        <f>AND('PROG FORMACIÓN TITULADA'!#REF!,"AAAAAHZOzeQ=")</f>
        <v>#REF!</v>
      </c>
      <c r="HV365" t="e">
        <f>AND('PROG FORMACIÓN TITULADA'!#REF!,"AAAAAHZOzeU=")</f>
        <v>#REF!</v>
      </c>
      <c r="HW365" t="e">
        <f>AND('PROG FORMACIÓN TITULADA'!#REF!,"AAAAAHZOzeY=")</f>
        <v>#REF!</v>
      </c>
      <c r="HX365" t="e">
        <f>AND('PROG FORMACIÓN TITULADA'!#REF!,"AAAAAHZOzec=")</f>
        <v>#REF!</v>
      </c>
      <c r="HY365" t="e">
        <f>AND('PROG FORMACIÓN TITULADA'!#REF!,"AAAAAHZOzeg=")</f>
        <v>#REF!</v>
      </c>
      <c r="HZ365" t="e">
        <f>AND('PROG FORMACIÓN TITULADA'!#REF!,"AAAAAHZOzek=")</f>
        <v>#REF!</v>
      </c>
      <c r="IA365" t="e">
        <f>AND('PROG FORMACIÓN TITULADA'!#REF!,"AAAAAHZOzeo=")</f>
        <v>#REF!</v>
      </c>
      <c r="IB365" t="e">
        <f>AND('PROG FORMACIÓN TITULADA'!#REF!,"AAAAAHZOzes=")</f>
        <v>#REF!</v>
      </c>
      <c r="IC365" t="e">
        <f>AND('PROG FORMACIÓN TITULADA'!#REF!,"AAAAAHZOzew=")</f>
        <v>#REF!</v>
      </c>
      <c r="ID365" t="e">
        <f>AND('PROG FORMACIÓN TITULADA'!#REF!,"AAAAAHZOze0=")</f>
        <v>#REF!</v>
      </c>
      <c r="IE365" t="e">
        <f>AND('PROG FORMACIÓN TITULADA'!#REF!,"AAAAAHZOze4=")</f>
        <v>#REF!</v>
      </c>
      <c r="IF365" t="e">
        <f>AND('PROG FORMACIÓN TITULADA'!#REF!,"AAAAAHZOze8=")</f>
        <v>#REF!</v>
      </c>
      <c r="IG365" t="e">
        <f>AND('PROG FORMACIÓN TITULADA'!#REF!,"AAAAAHZOzfA=")</f>
        <v>#REF!</v>
      </c>
      <c r="IH365" t="e">
        <f>AND('PROG FORMACIÓN TITULADA'!#REF!,"AAAAAHZOzfE=")</f>
        <v>#REF!</v>
      </c>
      <c r="II365" t="e">
        <f>AND('PROG FORMACIÓN TITULADA'!#REF!,"AAAAAHZOzfI=")</f>
        <v>#REF!</v>
      </c>
      <c r="IJ365" t="e">
        <f>AND('PROG FORMACIÓN TITULADA'!#REF!,"AAAAAHZOzfM=")</f>
        <v>#REF!</v>
      </c>
      <c r="IK365" t="e">
        <f>AND('PROG FORMACIÓN TITULADA'!#REF!,"AAAAAHZOzfQ=")</f>
        <v>#REF!</v>
      </c>
      <c r="IL365" t="e">
        <f>AND('PROG FORMACIÓN TITULADA'!#REF!,"AAAAAHZOzfU=")</f>
        <v>#REF!</v>
      </c>
      <c r="IM365" t="e">
        <f>AND('PROG FORMACIÓN TITULADA'!#REF!,"AAAAAHZOzfY=")</f>
        <v>#REF!</v>
      </c>
      <c r="IN365" t="e">
        <f>AND('PROG FORMACIÓN TITULADA'!#REF!,"AAAAAHZOzfc=")</f>
        <v>#REF!</v>
      </c>
      <c r="IO365" t="e">
        <f>AND('PROG FORMACIÓN TITULADA'!#REF!,"AAAAAHZOzfg=")</f>
        <v>#REF!</v>
      </c>
      <c r="IP365" t="e">
        <f>AND('PROG FORMACIÓN TITULADA'!#REF!,"AAAAAHZOzfk=")</f>
        <v>#REF!</v>
      </c>
      <c r="IQ365" t="e">
        <f>AND('PROG FORMACIÓN TITULADA'!#REF!,"AAAAAHZOzfo=")</f>
        <v>#REF!</v>
      </c>
      <c r="IR365" t="e">
        <f>IF('PROG FORMACIÓN TITULADA'!#REF!,"AAAAAHZOzfs=",0)</f>
        <v>#REF!</v>
      </c>
      <c r="IS365" t="e">
        <f>AND('PROG FORMACIÓN TITULADA'!#REF!,"AAAAAHZOzfw=")</f>
        <v>#REF!</v>
      </c>
      <c r="IT365" t="e">
        <f>AND('PROG FORMACIÓN TITULADA'!#REF!,"AAAAAHZOzf0=")</f>
        <v>#REF!</v>
      </c>
      <c r="IU365" t="e">
        <f>AND('PROG FORMACIÓN TITULADA'!#REF!,"AAAAAHZOzf4=")</f>
        <v>#REF!</v>
      </c>
      <c r="IV365" t="e">
        <f>AND('PROG FORMACIÓN TITULADA'!#REF!,"AAAAAHZOzf8=")</f>
        <v>#REF!</v>
      </c>
    </row>
    <row r="366" spans="1:256" x14ac:dyDescent="0.2">
      <c r="A366" t="e">
        <f>AND('PROG FORMACIÓN TITULADA'!#REF!,"AAAAAH32/wA=")</f>
        <v>#REF!</v>
      </c>
      <c r="B366" t="e">
        <f>AND('PROG FORMACIÓN TITULADA'!#REF!,"AAAAAH32/wE=")</f>
        <v>#REF!</v>
      </c>
      <c r="C366" t="e">
        <f>AND('PROG FORMACIÓN TITULADA'!#REF!,"AAAAAH32/wI=")</f>
        <v>#REF!</v>
      </c>
      <c r="D366" t="e">
        <f>AND('PROG FORMACIÓN TITULADA'!#REF!,"AAAAAH32/wM=")</f>
        <v>#REF!</v>
      </c>
      <c r="E366" t="e">
        <f>AND('PROG FORMACIÓN TITULADA'!#REF!,"AAAAAH32/wQ=")</f>
        <v>#REF!</v>
      </c>
      <c r="F366" t="e">
        <f>AND('PROG FORMACIÓN TITULADA'!#REF!,"AAAAAH32/wU=")</f>
        <v>#REF!</v>
      </c>
      <c r="G366" t="e">
        <f>AND('PROG FORMACIÓN TITULADA'!#REF!,"AAAAAH32/wY=")</f>
        <v>#REF!</v>
      </c>
      <c r="H366" t="e">
        <f>AND('PROG FORMACIÓN TITULADA'!#REF!,"AAAAAH32/wc=")</f>
        <v>#REF!</v>
      </c>
      <c r="I366" t="e">
        <f>AND('PROG FORMACIÓN TITULADA'!#REF!,"AAAAAH32/wg=")</f>
        <v>#REF!</v>
      </c>
      <c r="J366" t="e">
        <f>AND('PROG FORMACIÓN TITULADA'!#REF!,"AAAAAH32/wk=")</f>
        <v>#REF!</v>
      </c>
      <c r="K366" t="e">
        <f>AND('PROG FORMACIÓN TITULADA'!#REF!,"AAAAAH32/wo=")</f>
        <v>#REF!</v>
      </c>
      <c r="L366" t="e">
        <f>AND('PROG FORMACIÓN TITULADA'!#REF!,"AAAAAH32/ws=")</f>
        <v>#REF!</v>
      </c>
      <c r="M366" t="e">
        <f>AND('PROG FORMACIÓN TITULADA'!#REF!,"AAAAAH32/ww=")</f>
        <v>#REF!</v>
      </c>
      <c r="N366" t="e">
        <f>AND('PROG FORMACIÓN TITULADA'!#REF!,"AAAAAH32/w0=")</f>
        <v>#REF!</v>
      </c>
      <c r="O366" t="e">
        <f>AND('PROG FORMACIÓN TITULADA'!#REF!,"AAAAAH32/w4=")</f>
        <v>#REF!</v>
      </c>
      <c r="P366" t="e">
        <f>AND('PROG FORMACIÓN TITULADA'!#REF!,"AAAAAH32/w8=")</f>
        <v>#REF!</v>
      </c>
      <c r="Q366" t="e">
        <f>AND('PROG FORMACIÓN TITULADA'!#REF!,"AAAAAH32/xA=")</f>
        <v>#REF!</v>
      </c>
      <c r="R366" t="e">
        <f>AND('PROG FORMACIÓN TITULADA'!#REF!,"AAAAAH32/xE=")</f>
        <v>#REF!</v>
      </c>
      <c r="S366" t="e">
        <f>AND('PROG FORMACIÓN TITULADA'!#REF!,"AAAAAH32/xI=")</f>
        <v>#REF!</v>
      </c>
      <c r="T366" t="e">
        <f>AND('PROG FORMACIÓN TITULADA'!#REF!,"AAAAAH32/xM=")</f>
        <v>#REF!</v>
      </c>
      <c r="U366" t="e">
        <f>AND('PROG FORMACIÓN TITULADA'!#REF!,"AAAAAH32/xQ=")</f>
        <v>#REF!</v>
      </c>
      <c r="V366" t="e">
        <f>AND('PROG FORMACIÓN TITULADA'!#REF!,"AAAAAH32/xU=")</f>
        <v>#REF!</v>
      </c>
      <c r="W366" t="e">
        <f>IF('PROG FORMACIÓN TITULADA'!#REF!,"AAAAAH32/xY=",0)</f>
        <v>#REF!</v>
      </c>
      <c r="X366" t="e">
        <f>AND('PROG FORMACIÓN TITULADA'!#REF!,"AAAAAH32/xc=")</f>
        <v>#REF!</v>
      </c>
      <c r="Y366" t="e">
        <f>AND('PROG FORMACIÓN TITULADA'!#REF!,"AAAAAH32/xg=")</f>
        <v>#REF!</v>
      </c>
      <c r="Z366" t="e">
        <f>AND('PROG FORMACIÓN TITULADA'!#REF!,"AAAAAH32/xk=")</f>
        <v>#REF!</v>
      </c>
      <c r="AA366" t="e">
        <f>AND('PROG FORMACIÓN TITULADA'!#REF!,"AAAAAH32/xo=")</f>
        <v>#REF!</v>
      </c>
      <c r="AB366" t="e">
        <f>AND('PROG FORMACIÓN TITULADA'!#REF!,"AAAAAH32/xs=")</f>
        <v>#REF!</v>
      </c>
      <c r="AC366" t="e">
        <f>AND('PROG FORMACIÓN TITULADA'!#REF!,"AAAAAH32/xw=")</f>
        <v>#REF!</v>
      </c>
      <c r="AD366" t="e">
        <f>AND('PROG FORMACIÓN TITULADA'!#REF!,"AAAAAH32/x0=")</f>
        <v>#REF!</v>
      </c>
      <c r="AE366" t="e">
        <f>AND('PROG FORMACIÓN TITULADA'!#REF!,"AAAAAH32/x4=")</f>
        <v>#REF!</v>
      </c>
      <c r="AF366" t="e">
        <f>AND('PROG FORMACIÓN TITULADA'!#REF!,"AAAAAH32/x8=")</f>
        <v>#REF!</v>
      </c>
      <c r="AG366" t="e">
        <f>AND('PROG FORMACIÓN TITULADA'!#REF!,"AAAAAH32/yA=")</f>
        <v>#REF!</v>
      </c>
      <c r="AH366" t="e">
        <f>AND('PROG FORMACIÓN TITULADA'!#REF!,"AAAAAH32/yE=")</f>
        <v>#REF!</v>
      </c>
      <c r="AI366" t="e">
        <f>AND('PROG FORMACIÓN TITULADA'!#REF!,"AAAAAH32/yI=")</f>
        <v>#REF!</v>
      </c>
      <c r="AJ366" t="e">
        <f>AND('PROG FORMACIÓN TITULADA'!#REF!,"AAAAAH32/yM=")</f>
        <v>#REF!</v>
      </c>
      <c r="AK366" t="e">
        <f>AND('PROG FORMACIÓN TITULADA'!#REF!,"AAAAAH32/yQ=")</f>
        <v>#REF!</v>
      </c>
      <c r="AL366" t="e">
        <f>AND('PROG FORMACIÓN TITULADA'!#REF!,"AAAAAH32/yU=")</f>
        <v>#REF!</v>
      </c>
      <c r="AM366" t="e">
        <f>AND('PROG FORMACIÓN TITULADA'!#REF!,"AAAAAH32/yY=")</f>
        <v>#REF!</v>
      </c>
      <c r="AN366" t="e">
        <f>AND('PROG FORMACIÓN TITULADA'!#REF!,"AAAAAH32/yc=")</f>
        <v>#REF!</v>
      </c>
      <c r="AO366" t="e">
        <f>AND('PROG FORMACIÓN TITULADA'!#REF!,"AAAAAH32/yg=")</f>
        <v>#REF!</v>
      </c>
      <c r="AP366" t="e">
        <f>AND('PROG FORMACIÓN TITULADA'!#REF!,"AAAAAH32/yk=")</f>
        <v>#REF!</v>
      </c>
      <c r="AQ366" t="e">
        <f>AND('PROG FORMACIÓN TITULADA'!#REF!,"AAAAAH32/yo=")</f>
        <v>#REF!</v>
      </c>
      <c r="AR366" t="e">
        <f>AND('PROG FORMACIÓN TITULADA'!#REF!,"AAAAAH32/ys=")</f>
        <v>#REF!</v>
      </c>
      <c r="AS366" t="e">
        <f>AND('PROG FORMACIÓN TITULADA'!#REF!,"AAAAAH32/yw=")</f>
        <v>#REF!</v>
      </c>
      <c r="AT366" t="e">
        <f>AND('PROG FORMACIÓN TITULADA'!#REF!,"AAAAAH32/y0=")</f>
        <v>#REF!</v>
      </c>
      <c r="AU366" t="e">
        <f>AND('PROG FORMACIÓN TITULADA'!#REF!,"AAAAAH32/y4=")</f>
        <v>#REF!</v>
      </c>
      <c r="AV366" t="e">
        <f>AND('PROG FORMACIÓN TITULADA'!#REF!,"AAAAAH32/y8=")</f>
        <v>#REF!</v>
      </c>
      <c r="AW366" t="e">
        <f>AND('PROG FORMACIÓN TITULADA'!#REF!,"AAAAAH32/zA=")</f>
        <v>#REF!</v>
      </c>
      <c r="AX366" t="e">
        <f>IF('PROG FORMACIÓN TITULADA'!#REF!,"AAAAAH32/zE=",0)</f>
        <v>#REF!</v>
      </c>
      <c r="AY366" t="e">
        <f>AND('PROG FORMACIÓN TITULADA'!#REF!,"AAAAAH32/zI=")</f>
        <v>#REF!</v>
      </c>
      <c r="AZ366" t="e">
        <f>AND('PROG FORMACIÓN TITULADA'!#REF!,"AAAAAH32/zM=")</f>
        <v>#REF!</v>
      </c>
      <c r="BA366" t="e">
        <f>AND('PROG FORMACIÓN TITULADA'!#REF!,"AAAAAH32/zQ=")</f>
        <v>#REF!</v>
      </c>
      <c r="BB366" t="e">
        <f>AND('PROG FORMACIÓN TITULADA'!#REF!,"AAAAAH32/zU=")</f>
        <v>#REF!</v>
      </c>
      <c r="BC366" t="e">
        <f>AND('PROG FORMACIÓN TITULADA'!#REF!,"AAAAAH32/zY=")</f>
        <v>#REF!</v>
      </c>
      <c r="BD366" t="e">
        <f>AND('PROG FORMACIÓN TITULADA'!#REF!,"AAAAAH32/zc=")</f>
        <v>#REF!</v>
      </c>
      <c r="BE366" t="e">
        <f>AND('PROG FORMACIÓN TITULADA'!#REF!,"AAAAAH32/zg=")</f>
        <v>#REF!</v>
      </c>
      <c r="BF366" t="e">
        <f>AND('PROG FORMACIÓN TITULADA'!#REF!,"AAAAAH32/zk=")</f>
        <v>#REF!</v>
      </c>
      <c r="BG366" t="e">
        <f>AND('PROG FORMACIÓN TITULADA'!#REF!,"AAAAAH32/zo=")</f>
        <v>#REF!</v>
      </c>
      <c r="BH366" t="e">
        <f>AND('PROG FORMACIÓN TITULADA'!#REF!,"AAAAAH32/zs=")</f>
        <v>#REF!</v>
      </c>
      <c r="BI366" t="e">
        <f>AND('PROG FORMACIÓN TITULADA'!#REF!,"AAAAAH32/zw=")</f>
        <v>#REF!</v>
      </c>
      <c r="BJ366" t="e">
        <f>AND('PROG FORMACIÓN TITULADA'!#REF!,"AAAAAH32/z0=")</f>
        <v>#REF!</v>
      </c>
      <c r="BK366" t="e">
        <f>AND('PROG FORMACIÓN TITULADA'!#REF!,"AAAAAH32/z4=")</f>
        <v>#REF!</v>
      </c>
      <c r="BL366" t="e">
        <f>AND('PROG FORMACIÓN TITULADA'!#REF!,"AAAAAH32/z8=")</f>
        <v>#REF!</v>
      </c>
      <c r="BM366" t="e">
        <f>AND('PROG FORMACIÓN TITULADA'!#REF!,"AAAAAH32/0A=")</f>
        <v>#REF!</v>
      </c>
      <c r="BN366" t="e">
        <f>AND('PROG FORMACIÓN TITULADA'!#REF!,"AAAAAH32/0E=")</f>
        <v>#REF!</v>
      </c>
      <c r="BO366" t="e">
        <f>AND('PROG FORMACIÓN TITULADA'!#REF!,"AAAAAH32/0I=")</f>
        <v>#REF!</v>
      </c>
      <c r="BP366" t="e">
        <f>AND('PROG FORMACIÓN TITULADA'!#REF!,"AAAAAH32/0M=")</f>
        <v>#REF!</v>
      </c>
      <c r="BQ366" t="e">
        <f>AND('PROG FORMACIÓN TITULADA'!#REF!,"AAAAAH32/0Q=")</f>
        <v>#REF!</v>
      </c>
      <c r="BR366" t="e">
        <f>AND('PROG FORMACIÓN TITULADA'!#REF!,"AAAAAH32/0U=")</f>
        <v>#REF!</v>
      </c>
      <c r="BS366" t="e">
        <f>AND('PROG FORMACIÓN TITULADA'!#REF!,"AAAAAH32/0Y=")</f>
        <v>#REF!</v>
      </c>
      <c r="BT366" t="e">
        <f>AND('PROG FORMACIÓN TITULADA'!#REF!,"AAAAAH32/0c=")</f>
        <v>#REF!</v>
      </c>
      <c r="BU366" t="e">
        <f>AND('PROG FORMACIÓN TITULADA'!#REF!,"AAAAAH32/0g=")</f>
        <v>#REF!</v>
      </c>
      <c r="BV366" t="e">
        <f>AND('PROG FORMACIÓN TITULADA'!#REF!,"AAAAAH32/0k=")</f>
        <v>#REF!</v>
      </c>
      <c r="BW366" t="e">
        <f>AND('PROG FORMACIÓN TITULADA'!#REF!,"AAAAAH32/0o=")</f>
        <v>#REF!</v>
      </c>
      <c r="BX366" t="e">
        <f>AND('PROG FORMACIÓN TITULADA'!#REF!,"AAAAAH32/0s=")</f>
        <v>#REF!</v>
      </c>
      <c r="BY366" t="e">
        <f>IF('PROG FORMACIÓN TITULADA'!#REF!,"AAAAAH32/0w=",0)</f>
        <v>#REF!</v>
      </c>
      <c r="BZ366" t="e">
        <f>AND('PROG FORMACIÓN TITULADA'!#REF!,"AAAAAH32/00=")</f>
        <v>#REF!</v>
      </c>
      <c r="CA366" t="e">
        <f>AND('PROG FORMACIÓN TITULADA'!#REF!,"AAAAAH32/04=")</f>
        <v>#REF!</v>
      </c>
      <c r="CB366" t="e">
        <f>AND('PROG FORMACIÓN TITULADA'!#REF!,"AAAAAH32/08=")</f>
        <v>#REF!</v>
      </c>
      <c r="CC366" t="e">
        <f>AND('PROG FORMACIÓN TITULADA'!#REF!,"AAAAAH32/1A=")</f>
        <v>#REF!</v>
      </c>
      <c r="CD366" t="e">
        <f>AND('PROG FORMACIÓN TITULADA'!#REF!,"AAAAAH32/1E=")</f>
        <v>#REF!</v>
      </c>
      <c r="CE366" t="e">
        <f>AND('PROG FORMACIÓN TITULADA'!#REF!,"AAAAAH32/1I=")</f>
        <v>#REF!</v>
      </c>
      <c r="CF366" t="e">
        <f>AND('PROG FORMACIÓN TITULADA'!#REF!,"AAAAAH32/1M=")</f>
        <v>#REF!</v>
      </c>
      <c r="CG366" t="e">
        <f>AND('PROG FORMACIÓN TITULADA'!#REF!,"AAAAAH32/1Q=")</f>
        <v>#REF!</v>
      </c>
      <c r="CH366" t="e">
        <f>AND('PROG FORMACIÓN TITULADA'!#REF!,"AAAAAH32/1U=")</f>
        <v>#REF!</v>
      </c>
      <c r="CI366" t="e">
        <f>AND('PROG FORMACIÓN TITULADA'!#REF!,"AAAAAH32/1Y=")</f>
        <v>#REF!</v>
      </c>
      <c r="CJ366" t="e">
        <f>AND('PROG FORMACIÓN TITULADA'!#REF!,"AAAAAH32/1c=")</f>
        <v>#REF!</v>
      </c>
      <c r="CK366" t="e">
        <f>AND('PROG FORMACIÓN TITULADA'!#REF!,"AAAAAH32/1g=")</f>
        <v>#REF!</v>
      </c>
      <c r="CL366" t="e">
        <f>AND('PROG FORMACIÓN TITULADA'!#REF!,"AAAAAH32/1k=")</f>
        <v>#REF!</v>
      </c>
      <c r="CM366" t="e">
        <f>AND('PROG FORMACIÓN TITULADA'!#REF!,"AAAAAH32/1o=")</f>
        <v>#REF!</v>
      </c>
      <c r="CN366" t="e">
        <f>AND('PROG FORMACIÓN TITULADA'!#REF!,"AAAAAH32/1s=")</f>
        <v>#REF!</v>
      </c>
      <c r="CO366" t="e">
        <f>AND('PROG FORMACIÓN TITULADA'!#REF!,"AAAAAH32/1w=")</f>
        <v>#REF!</v>
      </c>
      <c r="CP366" t="e">
        <f>AND('PROG FORMACIÓN TITULADA'!#REF!,"AAAAAH32/10=")</f>
        <v>#REF!</v>
      </c>
      <c r="CQ366" t="e">
        <f>AND('PROG FORMACIÓN TITULADA'!#REF!,"AAAAAH32/14=")</f>
        <v>#REF!</v>
      </c>
      <c r="CR366" t="e">
        <f>AND('PROG FORMACIÓN TITULADA'!#REF!,"AAAAAH32/18=")</f>
        <v>#REF!</v>
      </c>
      <c r="CS366" t="e">
        <f>AND('PROG FORMACIÓN TITULADA'!#REF!,"AAAAAH32/2A=")</f>
        <v>#REF!</v>
      </c>
      <c r="CT366" t="e">
        <f>AND('PROG FORMACIÓN TITULADA'!#REF!,"AAAAAH32/2E=")</f>
        <v>#REF!</v>
      </c>
      <c r="CU366" t="e">
        <f>AND('PROG FORMACIÓN TITULADA'!#REF!,"AAAAAH32/2I=")</f>
        <v>#REF!</v>
      </c>
      <c r="CV366" t="e">
        <f>AND('PROG FORMACIÓN TITULADA'!#REF!,"AAAAAH32/2M=")</f>
        <v>#REF!</v>
      </c>
      <c r="CW366" t="e">
        <f>AND('PROG FORMACIÓN TITULADA'!#REF!,"AAAAAH32/2Q=")</f>
        <v>#REF!</v>
      </c>
      <c r="CX366" t="e">
        <f>AND('PROG FORMACIÓN TITULADA'!#REF!,"AAAAAH32/2U=")</f>
        <v>#REF!</v>
      </c>
      <c r="CY366" t="e">
        <f>AND('PROG FORMACIÓN TITULADA'!#REF!,"AAAAAH32/2Y=")</f>
        <v>#REF!</v>
      </c>
      <c r="CZ366" t="e">
        <f>IF('PROG FORMACIÓN TITULADA'!#REF!,"AAAAAH32/2c=",0)</f>
        <v>#REF!</v>
      </c>
      <c r="DA366" t="e">
        <f>AND('PROG FORMACIÓN TITULADA'!#REF!,"AAAAAH32/2g=")</f>
        <v>#REF!</v>
      </c>
      <c r="DB366" t="e">
        <f>AND('PROG FORMACIÓN TITULADA'!#REF!,"AAAAAH32/2k=")</f>
        <v>#REF!</v>
      </c>
      <c r="DC366" t="e">
        <f>AND('PROG FORMACIÓN TITULADA'!#REF!,"AAAAAH32/2o=")</f>
        <v>#REF!</v>
      </c>
      <c r="DD366" t="e">
        <f>AND('PROG FORMACIÓN TITULADA'!#REF!,"AAAAAH32/2s=")</f>
        <v>#REF!</v>
      </c>
      <c r="DE366" t="e">
        <f>AND('PROG FORMACIÓN TITULADA'!#REF!,"AAAAAH32/2w=")</f>
        <v>#REF!</v>
      </c>
      <c r="DF366" t="e">
        <f>AND('PROG FORMACIÓN TITULADA'!#REF!,"AAAAAH32/20=")</f>
        <v>#REF!</v>
      </c>
      <c r="DG366" t="e">
        <f>AND('PROG FORMACIÓN TITULADA'!#REF!,"AAAAAH32/24=")</f>
        <v>#REF!</v>
      </c>
      <c r="DH366" t="e">
        <f>AND('PROG FORMACIÓN TITULADA'!#REF!,"AAAAAH32/28=")</f>
        <v>#REF!</v>
      </c>
      <c r="DI366" t="e">
        <f>AND('PROG FORMACIÓN TITULADA'!#REF!,"AAAAAH32/3A=")</f>
        <v>#REF!</v>
      </c>
      <c r="DJ366" t="e">
        <f>AND('PROG FORMACIÓN TITULADA'!#REF!,"AAAAAH32/3E=")</f>
        <v>#REF!</v>
      </c>
      <c r="DK366" t="e">
        <f>AND('PROG FORMACIÓN TITULADA'!#REF!,"AAAAAH32/3I=")</f>
        <v>#REF!</v>
      </c>
      <c r="DL366" t="e">
        <f>AND('PROG FORMACIÓN TITULADA'!#REF!,"AAAAAH32/3M=")</f>
        <v>#REF!</v>
      </c>
      <c r="DM366" t="e">
        <f>AND('PROG FORMACIÓN TITULADA'!#REF!,"AAAAAH32/3Q=")</f>
        <v>#REF!</v>
      </c>
      <c r="DN366" t="e">
        <f>AND('PROG FORMACIÓN TITULADA'!#REF!,"AAAAAH32/3U=")</f>
        <v>#REF!</v>
      </c>
      <c r="DO366" t="e">
        <f>AND('PROG FORMACIÓN TITULADA'!#REF!,"AAAAAH32/3Y=")</f>
        <v>#REF!</v>
      </c>
      <c r="DP366" t="e">
        <f>AND('PROG FORMACIÓN TITULADA'!#REF!,"AAAAAH32/3c=")</f>
        <v>#REF!</v>
      </c>
      <c r="DQ366" t="e">
        <f>AND('PROG FORMACIÓN TITULADA'!#REF!,"AAAAAH32/3g=")</f>
        <v>#REF!</v>
      </c>
      <c r="DR366" t="e">
        <f>AND('PROG FORMACIÓN TITULADA'!#REF!,"AAAAAH32/3k=")</f>
        <v>#REF!</v>
      </c>
      <c r="DS366" t="e">
        <f>AND('PROG FORMACIÓN TITULADA'!#REF!,"AAAAAH32/3o=")</f>
        <v>#REF!</v>
      </c>
      <c r="DT366" t="e">
        <f>AND('PROG FORMACIÓN TITULADA'!#REF!,"AAAAAH32/3s=")</f>
        <v>#REF!</v>
      </c>
      <c r="DU366" t="e">
        <f>AND('PROG FORMACIÓN TITULADA'!#REF!,"AAAAAH32/3w=")</f>
        <v>#REF!</v>
      </c>
      <c r="DV366" t="e">
        <f>AND('PROG FORMACIÓN TITULADA'!#REF!,"AAAAAH32/30=")</f>
        <v>#REF!</v>
      </c>
      <c r="DW366" t="e">
        <f>AND('PROG FORMACIÓN TITULADA'!#REF!,"AAAAAH32/34=")</f>
        <v>#REF!</v>
      </c>
      <c r="DX366" t="e">
        <f>AND('PROG FORMACIÓN TITULADA'!#REF!,"AAAAAH32/38=")</f>
        <v>#REF!</v>
      </c>
      <c r="DY366" t="e">
        <f>AND('PROG FORMACIÓN TITULADA'!#REF!,"AAAAAH32/4A=")</f>
        <v>#REF!</v>
      </c>
      <c r="DZ366" t="e">
        <f>AND('PROG FORMACIÓN TITULADA'!#REF!,"AAAAAH32/4E=")</f>
        <v>#REF!</v>
      </c>
      <c r="EA366" t="e">
        <f>IF('PROG FORMACIÓN TITULADA'!#REF!,"AAAAAH32/4I=",0)</f>
        <v>#REF!</v>
      </c>
      <c r="EB366" t="e">
        <f>AND('PROG FORMACIÓN TITULADA'!#REF!,"AAAAAH32/4M=")</f>
        <v>#REF!</v>
      </c>
      <c r="EC366" t="e">
        <f>AND('PROG FORMACIÓN TITULADA'!#REF!,"AAAAAH32/4Q=")</f>
        <v>#REF!</v>
      </c>
      <c r="ED366" t="e">
        <f>AND('PROG FORMACIÓN TITULADA'!#REF!,"AAAAAH32/4U=")</f>
        <v>#REF!</v>
      </c>
      <c r="EE366" t="e">
        <f>AND('PROG FORMACIÓN TITULADA'!#REF!,"AAAAAH32/4Y=")</f>
        <v>#REF!</v>
      </c>
      <c r="EF366" t="e">
        <f>AND('PROG FORMACIÓN TITULADA'!#REF!,"AAAAAH32/4c=")</f>
        <v>#REF!</v>
      </c>
      <c r="EG366" t="e">
        <f>AND('PROG FORMACIÓN TITULADA'!#REF!,"AAAAAH32/4g=")</f>
        <v>#REF!</v>
      </c>
      <c r="EH366" t="e">
        <f>AND('PROG FORMACIÓN TITULADA'!#REF!,"AAAAAH32/4k=")</f>
        <v>#REF!</v>
      </c>
      <c r="EI366" t="e">
        <f>AND('PROG FORMACIÓN TITULADA'!#REF!,"AAAAAH32/4o=")</f>
        <v>#REF!</v>
      </c>
      <c r="EJ366" t="e">
        <f>AND('PROG FORMACIÓN TITULADA'!#REF!,"AAAAAH32/4s=")</f>
        <v>#REF!</v>
      </c>
      <c r="EK366" t="e">
        <f>AND('PROG FORMACIÓN TITULADA'!#REF!,"AAAAAH32/4w=")</f>
        <v>#REF!</v>
      </c>
      <c r="EL366" t="e">
        <f>AND('PROG FORMACIÓN TITULADA'!#REF!,"AAAAAH32/40=")</f>
        <v>#REF!</v>
      </c>
      <c r="EM366" t="e">
        <f>AND('PROG FORMACIÓN TITULADA'!#REF!,"AAAAAH32/44=")</f>
        <v>#REF!</v>
      </c>
      <c r="EN366" t="e">
        <f>AND('PROG FORMACIÓN TITULADA'!#REF!,"AAAAAH32/48=")</f>
        <v>#REF!</v>
      </c>
      <c r="EO366" t="e">
        <f>AND('PROG FORMACIÓN TITULADA'!#REF!,"AAAAAH32/5A=")</f>
        <v>#REF!</v>
      </c>
      <c r="EP366" t="e">
        <f>AND('PROG FORMACIÓN TITULADA'!#REF!,"AAAAAH32/5E=")</f>
        <v>#REF!</v>
      </c>
      <c r="EQ366" t="e">
        <f>AND('PROG FORMACIÓN TITULADA'!#REF!,"AAAAAH32/5I=")</f>
        <v>#REF!</v>
      </c>
      <c r="ER366" t="e">
        <f>AND('PROG FORMACIÓN TITULADA'!#REF!,"AAAAAH32/5M=")</f>
        <v>#REF!</v>
      </c>
      <c r="ES366" t="e">
        <f>AND('PROG FORMACIÓN TITULADA'!#REF!,"AAAAAH32/5Q=")</f>
        <v>#REF!</v>
      </c>
      <c r="ET366" t="e">
        <f>AND('PROG FORMACIÓN TITULADA'!#REF!,"AAAAAH32/5U=")</f>
        <v>#REF!</v>
      </c>
      <c r="EU366" t="e">
        <f>AND('PROG FORMACIÓN TITULADA'!#REF!,"AAAAAH32/5Y=")</f>
        <v>#REF!</v>
      </c>
      <c r="EV366" t="e">
        <f>AND('PROG FORMACIÓN TITULADA'!#REF!,"AAAAAH32/5c=")</f>
        <v>#REF!</v>
      </c>
      <c r="EW366" t="e">
        <f>AND('PROG FORMACIÓN TITULADA'!#REF!,"AAAAAH32/5g=")</f>
        <v>#REF!</v>
      </c>
      <c r="EX366" t="e">
        <f>AND('PROG FORMACIÓN TITULADA'!#REF!,"AAAAAH32/5k=")</f>
        <v>#REF!</v>
      </c>
      <c r="EY366" t="e">
        <f>AND('PROG FORMACIÓN TITULADA'!#REF!,"AAAAAH32/5o=")</f>
        <v>#REF!</v>
      </c>
      <c r="EZ366" t="e">
        <f>AND('PROG FORMACIÓN TITULADA'!#REF!,"AAAAAH32/5s=")</f>
        <v>#REF!</v>
      </c>
      <c r="FA366" t="e">
        <f>AND('PROG FORMACIÓN TITULADA'!#REF!,"AAAAAH32/5w=")</f>
        <v>#REF!</v>
      </c>
      <c r="FB366" t="e">
        <f>IF('PROG FORMACIÓN TITULADA'!#REF!,"AAAAAH32/50=",0)</f>
        <v>#REF!</v>
      </c>
      <c r="FC366" t="e">
        <f>AND('PROG FORMACIÓN TITULADA'!#REF!,"AAAAAH32/54=")</f>
        <v>#REF!</v>
      </c>
      <c r="FD366" t="e">
        <f>AND('PROG FORMACIÓN TITULADA'!#REF!,"AAAAAH32/58=")</f>
        <v>#REF!</v>
      </c>
      <c r="FE366" t="e">
        <f>AND('PROG FORMACIÓN TITULADA'!#REF!,"AAAAAH32/6A=")</f>
        <v>#REF!</v>
      </c>
      <c r="FF366" t="e">
        <f>AND('PROG FORMACIÓN TITULADA'!#REF!,"AAAAAH32/6E=")</f>
        <v>#REF!</v>
      </c>
      <c r="FG366" t="e">
        <f>AND('PROG FORMACIÓN TITULADA'!#REF!,"AAAAAH32/6I=")</f>
        <v>#REF!</v>
      </c>
      <c r="FH366" t="e">
        <f>AND('PROG FORMACIÓN TITULADA'!#REF!,"AAAAAH32/6M=")</f>
        <v>#REF!</v>
      </c>
      <c r="FI366" t="e">
        <f>AND('PROG FORMACIÓN TITULADA'!#REF!,"AAAAAH32/6Q=")</f>
        <v>#REF!</v>
      </c>
      <c r="FJ366" t="e">
        <f>AND('PROG FORMACIÓN TITULADA'!#REF!,"AAAAAH32/6U=")</f>
        <v>#REF!</v>
      </c>
      <c r="FK366" t="e">
        <f>AND('PROG FORMACIÓN TITULADA'!#REF!,"AAAAAH32/6Y=")</f>
        <v>#REF!</v>
      </c>
      <c r="FL366" t="e">
        <f>AND('PROG FORMACIÓN TITULADA'!#REF!,"AAAAAH32/6c=")</f>
        <v>#REF!</v>
      </c>
      <c r="FM366" t="e">
        <f>AND('PROG FORMACIÓN TITULADA'!#REF!,"AAAAAH32/6g=")</f>
        <v>#REF!</v>
      </c>
      <c r="FN366" t="e">
        <f>AND('PROG FORMACIÓN TITULADA'!#REF!,"AAAAAH32/6k=")</f>
        <v>#REF!</v>
      </c>
      <c r="FO366" t="e">
        <f>AND('PROG FORMACIÓN TITULADA'!#REF!,"AAAAAH32/6o=")</f>
        <v>#REF!</v>
      </c>
      <c r="FP366" t="e">
        <f>AND('PROG FORMACIÓN TITULADA'!#REF!,"AAAAAH32/6s=")</f>
        <v>#REF!</v>
      </c>
      <c r="FQ366" t="e">
        <f>AND('PROG FORMACIÓN TITULADA'!#REF!,"AAAAAH32/6w=")</f>
        <v>#REF!</v>
      </c>
      <c r="FR366" t="e">
        <f>AND('PROG FORMACIÓN TITULADA'!#REF!,"AAAAAH32/60=")</f>
        <v>#REF!</v>
      </c>
      <c r="FS366" t="e">
        <f>AND('PROG FORMACIÓN TITULADA'!#REF!,"AAAAAH32/64=")</f>
        <v>#REF!</v>
      </c>
      <c r="FT366" t="e">
        <f>AND('PROG FORMACIÓN TITULADA'!#REF!,"AAAAAH32/68=")</f>
        <v>#REF!</v>
      </c>
      <c r="FU366" t="e">
        <f>AND('PROG FORMACIÓN TITULADA'!#REF!,"AAAAAH32/7A=")</f>
        <v>#REF!</v>
      </c>
      <c r="FV366" t="e">
        <f>AND('PROG FORMACIÓN TITULADA'!#REF!,"AAAAAH32/7E=")</f>
        <v>#REF!</v>
      </c>
      <c r="FW366" t="e">
        <f>AND('PROG FORMACIÓN TITULADA'!#REF!,"AAAAAH32/7I=")</f>
        <v>#REF!</v>
      </c>
      <c r="FX366" t="e">
        <f>AND('PROG FORMACIÓN TITULADA'!#REF!,"AAAAAH32/7M=")</f>
        <v>#REF!</v>
      </c>
      <c r="FY366" t="e">
        <f>AND('PROG FORMACIÓN TITULADA'!#REF!,"AAAAAH32/7Q=")</f>
        <v>#REF!</v>
      </c>
      <c r="FZ366" t="e">
        <f>AND('PROG FORMACIÓN TITULADA'!#REF!,"AAAAAH32/7U=")</f>
        <v>#REF!</v>
      </c>
      <c r="GA366" t="e">
        <f>AND('PROG FORMACIÓN TITULADA'!#REF!,"AAAAAH32/7Y=")</f>
        <v>#REF!</v>
      </c>
      <c r="GB366" t="e">
        <f>AND('PROG FORMACIÓN TITULADA'!#REF!,"AAAAAH32/7c=")</f>
        <v>#REF!</v>
      </c>
      <c r="GC366" t="e">
        <f>IF('PROG FORMACIÓN TITULADA'!#REF!,"AAAAAH32/7g=",0)</f>
        <v>#REF!</v>
      </c>
      <c r="GD366" t="e">
        <f>AND('PROG FORMACIÓN TITULADA'!#REF!,"AAAAAH32/7k=")</f>
        <v>#REF!</v>
      </c>
      <c r="GE366" t="e">
        <f>AND('PROG FORMACIÓN TITULADA'!#REF!,"AAAAAH32/7o=")</f>
        <v>#REF!</v>
      </c>
      <c r="GF366" t="e">
        <f>AND('PROG FORMACIÓN TITULADA'!#REF!,"AAAAAH32/7s=")</f>
        <v>#REF!</v>
      </c>
      <c r="GG366" t="e">
        <f>AND('PROG FORMACIÓN TITULADA'!#REF!,"AAAAAH32/7w=")</f>
        <v>#REF!</v>
      </c>
      <c r="GH366" t="e">
        <f>AND('PROG FORMACIÓN TITULADA'!#REF!,"AAAAAH32/70=")</f>
        <v>#REF!</v>
      </c>
      <c r="GI366" t="e">
        <f>AND('PROG FORMACIÓN TITULADA'!#REF!,"AAAAAH32/74=")</f>
        <v>#REF!</v>
      </c>
      <c r="GJ366" t="e">
        <f>AND('PROG FORMACIÓN TITULADA'!#REF!,"AAAAAH32/78=")</f>
        <v>#REF!</v>
      </c>
      <c r="GK366" t="e">
        <f>AND('PROG FORMACIÓN TITULADA'!#REF!,"AAAAAH32/8A=")</f>
        <v>#REF!</v>
      </c>
      <c r="GL366" t="e">
        <f>AND('PROG FORMACIÓN TITULADA'!#REF!,"AAAAAH32/8E=")</f>
        <v>#REF!</v>
      </c>
      <c r="GM366" t="e">
        <f>AND('PROG FORMACIÓN TITULADA'!#REF!,"AAAAAH32/8I=")</f>
        <v>#REF!</v>
      </c>
      <c r="GN366" t="e">
        <f>AND('PROG FORMACIÓN TITULADA'!#REF!,"AAAAAH32/8M=")</f>
        <v>#REF!</v>
      </c>
      <c r="GO366" t="e">
        <f>AND('PROG FORMACIÓN TITULADA'!#REF!,"AAAAAH32/8Q=")</f>
        <v>#REF!</v>
      </c>
      <c r="GP366" t="e">
        <f>AND('PROG FORMACIÓN TITULADA'!#REF!,"AAAAAH32/8U=")</f>
        <v>#REF!</v>
      </c>
      <c r="GQ366" t="e">
        <f>AND('PROG FORMACIÓN TITULADA'!#REF!,"AAAAAH32/8Y=")</f>
        <v>#REF!</v>
      </c>
      <c r="GR366" t="e">
        <f>AND('PROG FORMACIÓN TITULADA'!#REF!,"AAAAAH32/8c=")</f>
        <v>#REF!</v>
      </c>
      <c r="GS366" t="e">
        <f>AND('PROG FORMACIÓN TITULADA'!#REF!,"AAAAAH32/8g=")</f>
        <v>#REF!</v>
      </c>
      <c r="GT366" t="e">
        <f>AND('PROG FORMACIÓN TITULADA'!#REF!,"AAAAAH32/8k=")</f>
        <v>#REF!</v>
      </c>
      <c r="GU366" t="e">
        <f>AND('PROG FORMACIÓN TITULADA'!#REF!,"AAAAAH32/8o=")</f>
        <v>#REF!</v>
      </c>
      <c r="GV366" t="e">
        <f>AND('PROG FORMACIÓN TITULADA'!#REF!,"AAAAAH32/8s=")</f>
        <v>#REF!</v>
      </c>
      <c r="GW366" t="e">
        <f>AND('PROG FORMACIÓN TITULADA'!#REF!,"AAAAAH32/8w=")</f>
        <v>#REF!</v>
      </c>
      <c r="GX366" t="e">
        <f>AND('PROG FORMACIÓN TITULADA'!#REF!,"AAAAAH32/80=")</f>
        <v>#REF!</v>
      </c>
      <c r="GY366" t="e">
        <f>AND('PROG FORMACIÓN TITULADA'!#REF!,"AAAAAH32/84=")</f>
        <v>#REF!</v>
      </c>
      <c r="GZ366" t="e">
        <f>AND('PROG FORMACIÓN TITULADA'!#REF!,"AAAAAH32/88=")</f>
        <v>#REF!</v>
      </c>
      <c r="HA366" t="e">
        <f>AND('PROG FORMACIÓN TITULADA'!#REF!,"AAAAAH32/9A=")</f>
        <v>#REF!</v>
      </c>
      <c r="HB366" t="e">
        <f>AND('PROG FORMACIÓN TITULADA'!#REF!,"AAAAAH32/9E=")</f>
        <v>#REF!</v>
      </c>
      <c r="HC366" t="e">
        <f>AND('PROG FORMACIÓN TITULADA'!#REF!,"AAAAAH32/9I=")</f>
        <v>#REF!</v>
      </c>
      <c r="HD366" t="e">
        <f>IF('PROG FORMACIÓN TITULADA'!#REF!,"AAAAAH32/9M=",0)</f>
        <v>#REF!</v>
      </c>
      <c r="HE366" t="e">
        <f>AND('PROG FORMACIÓN TITULADA'!#REF!,"AAAAAH32/9Q=")</f>
        <v>#REF!</v>
      </c>
      <c r="HF366" t="e">
        <f>AND('PROG FORMACIÓN TITULADA'!#REF!,"AAAAAH32/9U=")</f>
        <v>#REF!</v>
      </c>
      <c r="HG366" t="e">
        <f>AND('PROG FORMACIÓN TITULADA'!#REF!,"AAAAAH32/9Y=")</f>
        <v>#REF!</v>
      </c>
      <c r="HH366" t="e">
        <f>AND('PROG FORMACIÓN TITULADA'!#REF!,"AAAAAH32/9c=")</f>
        <v>#REF!</v>
      </c>
      <c r="HI366" t="e">
        <f>AND('PROG FORMACIÓN TITULADA'!#REF!,"AAAAAH32/9g=")</f>
        <v>#REF!</v>
      </c>
      <c r="HJ366" t="e">
        <f>AND('PROG FORMACIÓN TITULADA'!#REF!,"AAAAAH32/9k=")</f>
        <v>#REF!</v>
      </c>
      <c r="HK366" t="e">
        <f>AND('PROG FORMACIÓN TITULADA'!#REF!,"AAAAAH32/9o=")</f>
        <v>#REF!</v>
      </c>
      <c r="HL366" t="e">
        <f>AND('PROG FORMACIÓN TITULADA'!#REF!,"AAAAAH32/9s=")</f>
        <v>#REF!</v>
      </c>
      <c r="HM366" t="e">
        <f>AND('PROG FORMACIÓN TITULADA'!#REF!,"AAAAAH32/9w=")</f>
        <v>#REF!</v>
      </c>
      <c r="HN366" t="e">
        <f>AND('PROG FORMACIÓN TITULADA'!#REF!,"AAAAAH32/90=")</f>
        <v>#REF!</v>
      </c>
      <c r="HO366" t="e">
        <f>AND('PROG FORMACIÓN TITULADA'!#REF!,"AAAAAH32/94=")</f>
        <v>#REF!</v>
      </c>
      <c r="HP366" t="e">
        <f>AND('PROG FORMACIÓN TITULADA'!#REF!,"AAAAAH32/98=")</f>
        <v>#REF!</v>
      </c>
      <c r="HQ366" t="e">
        <f>AND('PROG FORMACIÓN TITULADA'!#REF!,"AAAAAH32/+A=")</f>
        <v>#REF!</v>
      </c>
      <c r="HR366" t="e">
        <f>AND('PROG FORMACIÓN TITULADA'!#REF!,"AAAAAH32/+E=")</f>
        <v>#REF!</v>
      </c>
      <c r="HS366" t="e">
        <f>AND('PROG FORMACIÓN TITULADA'!#REF!,"AAAAAH32/+I=")</f>
        <v>#REF!</v>
      </c>
      <c r="HT366" t="e">
        <f>AND('PROG FORMACIÓN TITULADA'!#REF!,"AAAAAH32/+M=")</f>
        <v>#REF!</v>
      </c>
      <c r="HU366" t="e">
        <f>AND('PROG FORMACIÓN TITULADA'!#REF!,"AAAAAH32/+Q=")</f>
        <v>#REF!</v>
      </c>
      <c r="HV366" t="e">
        <f>AND('PROG FORMACIÓN TITULADA'!#REF!,"AAAAAH32/+U=")</f>
        <v>#REF!</v>
      </c>
      <c r="HW366" t="e">
        <f>AND('PROG FORMACIÓN TITULADA'!#REF!,"AAAAAH32/+Y=")</f>
        <v>#REF!</v>
      </c>
      <c r="HX366" t="e">
        <f>AND('PROG FORMACIÓN TITULADA'!#REF!,"AAAAAH32/+c=")</f>
        <v>#REF!</v>
      </c>
      <c r="HY366" t="e">
        <f>AND('PROG FORMACIÓN TITULADA'!#REF!,"AAAAAH32/+g=")</f>
        <v>#REF!</v>
      </c>
      <c r="HZ366" t="e">
        <f>AND('PROG FORMACIÓN TITULADA'!#REF!,"AAAAAH32/+k=")</f>
        <v>#REF!</v>
      </c>
      <c r="IA366" t="e">
        <f>AND('PROG FORMACIÓN TITULADA'!#REF!,"AAAAAH32/+o=")</f>
        <v>#REF!</v>
      </c>
      <c r="IB366" t="e">
        <f>AND('PROG FORMACIÓN TITULADA'!#REF!,"AAAAAH32/+s=")</f>
        <v>#REF!</v>
      </c>
      <c r="IC366" t="e">
        <f>AND('PROG FORMACIÓN TITULADA'!#REF!,"AAAAAH32/+w=")</f>
        <v>#REF!</v>
      </c>
      <c r="ID366" t="e">
        <f>AND('PROG FORMACIÓN TITULADA'!#REF!,"AAAAAH32/+0=")</f>
        <v>#REF!</v>
      </c>
      <c r="IE366" t="e">
        <f>IF('PROG FORMACIÓN TITULADA'!#REF!,"AAAAAH32/+4=",0)</f>
        <v>#REF!</v>
      </c>
      <c r="IF366" t="e">
        <f>AND('PROG FORMACIÓN TITULADA'!#REF!,"AAAAAH32/+8=")</f>
        <v>#REF!</v>
      </c>
      <c r="IG366" t="e">
        <f>AND('PROG FORMACIÓN TITULADA'!#REF!,"AAAAAH32//A=")</f>
        <v>#REF!</v>
      </c>
      <c r="IH366" t="e">
        <f>AND('PROG FORMACIÓN TITULADA'!#REF!,"AAAAAH32//E=")</f>
        <v>#REF!</v>
      </c>
      <c r="II366" t="e">
        <f>AND('PROG FORMACIÓN TITULADA'!#REF!,"AAAAAH32//I=")</f>
        <v>#REF!</v>
      </c>
      <c r="IJ366" t="e">
        <f>AND('PROG FORMACIÓN TITULADA'!#REF!,"AAAAAH32//M=")</f>
        <v>#REF!</v>
      </c>
      <c r="IK366" t="e">
        <f>AND('PROG FORMACIÓN TITULADA'!#REF!,"AAAAAH32//Q=")</f>
        <v>#REF!</v>
      </c>
      <c r="IL366" t="e">
        <f>AND('PROG FORMACIÓN TITULADA'!#REF!,"AAAAAH32//U=")</f>
        <v>#REF!</v>
      </c>
      <c r="IM366" t="e">
        <f>AND('PROG FORMACIÓN TITULADA'!#REF!,"AAAAAH32//Y=")</f>
        <v>#REF!</v>
      </c>
      <c r="IN366" t="e">
        <f>AND('PROG FORMACIÓN TITULADA'!#REF!,"AAAAAH32//c=")</f>
        <v>#REF!</v>
      </c>
      <c r="IO366" t="e">
        <f>AND('PROG FORMACIÓN TITULADA'!#REF!,"AAAAAH32//g=")</f>
        <v>#REF!</v>
      </c>
      <c r="IP366" t="e">
        <f>AND('PROG FORMACIÓN TITULADA'!#REF!,"AAAAAH32//k=")</f>
        <v>#REF!</v>
      </c>
      <c r="IQ366" t="e">
        <f>AND('PROG FORMACIÓN TITULADA'!#REF!,"AAAAAH32//o=")</f>
        <v>#REF!</v>
      </c>
      <c r="IR366" t="e">
        <f>AND('PROG FORMACIÓN TITULADA'!#REF!,"AAAAAH32//s=")</f>
        <v>#REF!</v>
      </c>
      <c r="IS366" t="e">
        <f>AND('PROG FORMACIÓN TITULADA'!#REF!,"AAAAAH32//w=")</f>
        <v>#REF!</v>
      </c>
      <c r="IT366" t="e">
        <f>AND('PROG FORMACIÓN TITULADA'!#REF!,"AAAAAH32//0=")</f>
        <v>#REF!</v>
      </c>
      <c r="IU366" t="e">
        <f>AND('PROG FORMACIÓN TITULADA'!#REF!,"AAAAAH32//4=")</f>
        <v>#REF!</v>
      </c>
      <c r="IV366" t="e">
        <f>AND('PROG FORMACIÓN TITULADA'!#REF!,"AAAAAH32//8=")</f>
        <v>#REF!</v>
      </c>
    </row>
    <row r="367" spans="1:256" x14ac:dyDescent="0.2">
      <c r="A367" t="e">
        <f>AND('PROG FORMACIÓN TITULADA'!#REF!,"AAAAAG3d3gA=")</f>
        <v>#REF!</v>
      </c>
      <c r="B367" t="e">
        <f>AND('PROG FORMACIÓN TITULADA'!#REF!,"AAAAAG3d3gE=")</f>
        <v>#REF!</v>
      </c>
      <c r="C367" t="e">
        <f>AND('PROG FORMACIÓN TITULADA'!#REF!,"AAAAAG3d3gI=")</f>
        <v>#REF!</v>
      </c>
      <c r="D367" t="e">
        <f>AND('PROG FORMACIÓN TITULADA'!#REF!,"AAAAAG3d3gM=")</f>
        <v>#REF!</v>
      </c>
      <c r="E367" t="e">
        <f>AND('PROG FORMACIÓN TITULADA'!#REF!,"AAAAAG3d3gQ=")</f>
        <v>#REF!</v>
      </c>
      <c r="F367" t="e">
        <f>AND('PROG FORMACIÓN TITULADA'!#REF!,"AAAAAG3d3gU=")</f>
        <v>#REF!</v>
      </c>
      <c r="G367" t="e">
        <f>AND('PROG FORMACIÓN TITULADA'!#REF!,"AAAAAG3d3gY=")</f>
        <v>#REF!</v>
      </c>
      <c r="H367" t="e">
        <f>AND('PROG FORMACIÓN TITULADA'!#REF!,"AAAAAG3d3gc=")</f>
        <v>#REF!</v>
      </c>
      <c r="I367" t="e">
        <f>AND('PROG FORMACIÓN TITULADA'!#REF!,"AAAAAG3d3gg=")</f>
        <v>#REF!</v>
      </c>
      <c r="J367" t="e">
        <f>IF('PROG FORMACIÓN TITULADA'!#REF!,"AAAAAG3d3gk=",0)</f>
        <v>#REF!</v>
      </c>
      <c r="K367" t="e">
        <f>AND('PROG FORMACIÓN TITULADA'!#REF!,"AAAAAG3d3go=")</f>
        <v>#REF!</v>
      </c>
      <c r="L367" t="e">
        <f>AND('PROG FORMACIÓN TITULADA'!#REF!,"AAAAAG3d3gs=")</f>
        <v>#REF!</v>
      </c>
      <c r="M367" t="e">
        <f>AND('PROG FORMACIÓN TITULADA'!#REF!,"AAAAAG3d3gw=")</f>
        <v>#REF!</v>
      </c>
      <c r="N367" t="e">
        <f>AND('PROG FORMACIÓN TITULADA'!#REF!,"AAAAAG3d3g0=")</f>
        <v>#REF!</v>
      </c>
      <c r="O367" t="e">
        <f>AND('PROG FORMACIÓN TITULADA'!#REF!,"AAAAAG3d3g4=")</f>
        <v>#REF!</v>
      </c>
      <c r="P367" t="e">
        <f>AND('PROG FORMACIÓN TITULADA'!#REF!,"AAAAAG3d3g8=")</f>
        <v>#REF!</v>
      </c>
      <c r="Q367" t="e">
        <f>AND('PROG FORMACIÓN TITULADA'!#REF!,"AAAAAG3d3hA=")</f>
        <v>#REF!</v>
      </c>
      <c r="R367" t="e">
        <f>AND('PROG FORMACIÓN TITULADA'!#REF!,"AAAAAG3d3hE=")</f>
        <v>#REF!</v>
      </c>
      <c r="S367" t="e">
        <f>AND('PROG FORMACIÓN TITULADA'!#REF!,"AAAAAG3d3hI=")</f>
        <v>#REF!</v>
      </c>
      <c r="T367" t="e">
        <f>AND('PROG FORMACIÓN TITULADA'!#REF!,"AAAAAG3d3hM=")</f>
        <v>#REF!</v>
      </c>
      <c r="U367" t="e">
        <f>AND('PROG FORMACIÓN TITULADA'!#REF!,"AAAAAG3d3hQ=")</f>
        <v>#REF!</v>
      </c>
      <c r="V367" t="e">
        <f>AND('PROG FORMACIÓN TITULADA'!#REF!,"AAAAAG3d3hU=")</f>
        <v>#REF!</v>
      </c>
      <c r="W367" t="e">
        <f>AND('PROG FORMACIÓN TITULADA'!#REF!,"AAAAAG3d3hY=")</f>
        <v>#REF!</v>
      </c>
      <c r="X367" t="e">
        <f>AND('PROG FORMACIÓN TITULADA'!#REF!,"AAAAAG3d3hc=")</f>
        <v>#REF!</v>
      </c>
      <c r="Y367" t="e">
        <f>AND('PROG FORMACIÓN TITULADA'!#REF!,"AAAAAG3d3hg=")</f>
        <v>#REF!</v>
      </c>
      <c r="Z367" t="e">
        <f>AND('PROG FORMACIÓN TITULADA'!#REF!,"AAAAAG3d3hk=")</f>
        <v>#REF!</v>
      </c>
      <c r="AA367" t="e">
        <f>AND('PROG FORMACIÓN TITULADA'!#REF!,"AAAAAG3d3ho=")</f>
        <v>#REF!</v>
      </c>
      <c r="AB367" t="e">
        <f>AND('PROG FORMACIÓN TITULADA'!#REF!,"AAAAAG3d3hs=")</f>
        <v>#REF!</v>
      </c>
      <c r="AC367" t="e">
        <f>AND('PROG FORMACIÓN TITULADA'!#REF!,"AAAAAG3d3hw=")</f>
        <v>#REF!</v>
      </c>
      <c r="AD367" t="e">
        <f>AND('PROG FORMACIÓN TITULADA'!#REF!,"AAAAAG3d3h0=")</f>
        <v>#REF!</v>
      </c>
      <c r="AE367" t="e">
        <f>AND('PROG FORMACIÓN TITULADA'!#REF!,"AAAAAG3d3h4=")</f>
        <v>#REF!</v>
      </c>
      <c r="AF367" t="e">
        <f>AND('PROG FORMACIÓN TITULADA'!#REF!,"AAAAAG3d3h8=")</f>
        <v>#REF!</v>
      </c>
      <c r="AG367" t="e">
        <f>AND('PROG FORMACIÓN TITULADA'!#REF!,"AAAAAG3d3iA=")</f>
        <v>#REF!</v>
      </c>
      <c r="AH367" t="e">
        <f>AND('PROG FORMACIÓN TITULADA'!#REF!,"AAAAAG3d3iE=")</f>
        <v>#REF!</v>
      </c>
      <c r="AI367" t="e">
        <f>AND('PROG FORMACIÓN TITULADA'!#REF!,"AAAAAG3d3iI=")</f>
        <v>#REF!</v>
      </c>
      <c r="AJ367" t="e">
        <f>AND('PROG FORMACIÓN TITULADA'!#REF!,"AAAAAG3d3iM=")</f>
        <v>#REF!</v>
      </c>
      <c r="AK367" t="e">
        <f>IF('PROG FORMACIÓN TITULADA'!#REF!,"AAAAAG3d3iQ=",0)</f>
        <v>#REF!</v>
      </c>
      <c r="AL367" t="e">
        <f>AND('PROG FORMACIÓN TITULADA'!#REF!,"AAAAAG3d3iU=")</f>
        <v>#REF!</v>
      </c>
      <c r="AM367" t="e">
        <f>AND('PROG FORMACIÓN TITULADA'!#REF!,"AAAAAG3d3iY=")</f>
        <v>#REF!</v>
      </c>
      <c r="AN367" t="e">
        <f>AND('PROG FORMACIÓN TITULADA'!#REF!,"AAAAAG3d3ic=")</f>
        <v>#REF!</v>
      </c>
      <c r="AO367" t="e">
        <f>AND('PROG FORMACIÓN TITULADA'!#REF!,"AAAAAG3d3ig=")</f>
        <v>#REF!</v>
      </c>
      <c r="AP367" t="e">
        <f>AND('PROG FORMACIÓN TITULADA'!#REF!,"AAAAAG3d3ik=")</f>
        <v>#REF!</v>
      </c>
      <c r="AQ367" t="e">
        <f>AND('PROG FORMACIÓN TITULADA'!#REF!,"AAAAAG3d3io=")</f>
        <v>#REF!</v>
      </c>
      <c r="AR367" t="e">
        <f>AND('PROG FORMACIÓN TITULADA'!#REF!,"AAAAAG3d3is=")</f>
        <v>#REF!</v>
      </c>
      <c r="AS367" t="e">
        <f>AND('PROG FORMACIÓN TITULADA'!#REF!,"AAAAAG3d3iw=")</f>
        <v>#REF!</v>
      </c>
      <c r="AT367" t="e">
        <f>AND('PROG FORMACIÓN TITULADA'!#REF!,"AAAAAG3d3i0=")</f>
        <v>#REF!</v>
      </c>
      <c r="AU367" t="e">
        <f>AND('PROG FORMACIÓN TITULADA'!#REF!,"AAAAAG3d3i4=")</f>
        <v>#REF!</v>
      </c>
      <c r="AV367" t="e">
        <f>AND('PROG FORMACIÓN TITULADA'!#REF!,"AAAAAG3d3i8=")</f>
        <v>#REF!</v>
      </c>
      <c r="AW367" t="e">
        <f>AND('PROG FORMACIÓN TITULADA'!#REF!,"AAAAAG3d3jA=")</f>
        <v>#REF!</v>
      </c>
      <c r="AX367" t="e">
        <f>AND('PROG FORMACIÓN TITULADA'!#REF!,"AAAAAG3d3jE=")</f>
        <v>#REF!</v>
      </c>
      <c r="AY367" t="e">
        <f>AND('PROG FORMACIÓN TITULADA'!#REF!,"AAAAAG3d3jI=")</f>
        <v>#REF!</v>
      </c>
      <c r="AZ367" t="e">
        <f>AND('PROG FORMACIÓN TITULADA'!#REF!,"AAAAAG3d3jM=")</f>
        <v>#REF!</v>
      </c>
      <c r="BA367" t="e">
        <f>AND('PROG FORMACIÓN TITULADA'!#REF!,"AAAAAG3d3jQ=")</f>
        <v>#REF!</v>
      </c>
      <c r="BB367" t="e">
        <f>AND('PROG FORMACIÓN TITULADA'!#REF!,"AAAAAG3d3jU=")</f>
        <v>#REF!</v>
      </c>
      <c r="BC367" t="e">
        <f>AND('PROG FORMACIÓN TITULADA'!#REF!,"AAAAAG3d3jY=")</f>
        <v>#REF!</v>
      </c>
      <c r="BD367" t="e">
        <f>AND('PROG FORMACIÓN TITULADA'!#REF!,"AAAAAG3d3jc=")</f>
        <v>#REF!</v>
      </c>
      <c r="BE367" t="e">
        <f>AND('PROG FORMACIÓN TITULADA'!#REF!,"AAAAAG3d3jg=")</f>
        <v>#REF!</v>
      </c>
      <c r="BF367" t="e">
        <f>AND('PROG FORMACIÓN TITULADA'!#REF!,"AAAAAG3d3jk=")</f>
        <v>#REF!</v>
      </c>
      <c r="BG367" t="e">
        <f>AND('PROG FORMACIÓN TITULADA'!#REF!,"AAAAAG3d3jo=")</f>
        <v>#REF!</v>
      </c>
      <c r="BH367" t="e">
        <f>AND('PROG FORMACIÓN TITULADA'!#REF!,"AAAAAG3d3js=")</f>
        <v>#REF!</v>
      </c>
      <c r="BI367" t="e">
        <f>AND('PROG FORMACIÓN TITULADA'!#REF!,"AAAAAG3d3jw=")</f>
        <v>#REF!</v>
      </c>
      <c r="BJ367" t="e">
        <f>AND('PROG FORMACIÓN TITULADA'!#REF!,"AAAAAG3d3j0=")</f>
        <v>#REF!</v>
      </c>
      <c r="BK367" t="e">
        <f>AND('PROG FORMACIÓN TITULADA'!#REF!,"AAAAAG3d3j4=")</f>
        <v>#REF!</v>
      </c>
      <c r="BL367" t="e">
        <f>IF('PROG FORMACIÓN TITULADA'!#REF!,"AAAAAG3d3j8=",0)</f>
        <v>#REF!</v>
      </c>
      <c r="BM367" t="e">
        <f>AND('PROG FORMACIÓN TITULADA'!#REF!,"AAAAAG3d3kA=")</f>
        <v>#REF!</v>
      </c>
      <c r="BN367" t="e">
        <f>AND('PROG FORMACIÓN TITULADA'!#REF!,"AAAAAG3d3kE=")</f>
        <v>#REF!</v>
      </c>
      <c r="BO367" t="e">
        <f>AND('PROG FORMACIÓN TITULADA'!#REF!,"AAAAAG3d3kI=")</f>
        <v>#REF!</v>
      </c>
      <c r="BP367" t="e">
        <f>AND('PROG FORMACIÓN TITULADA'!#REF!,"AAAAAG3d3kM=")</f>
        <v>#REF!</v>
      </c>
      <c r="BQ367" t="e">
        <f>AND('PROG FORMACIÓN TITULADA'!#REF!,"AAAAAG3d3kQ=")</f>
        <v>#REF!</v>
      </c>
      <c r="BR367" t="e">
        <f>AND('PROG FORMACIÓN TITULADA'!#REF!,"AAAAAG3d3kU=")</f>
        <v>#REF!</v>
      </c>
      <c r="BS367" t="e">
        <f>AND('PROG FORMACIÓN TITULADA'!#REF!,"AAAAAG3d3kY=")</f>
        <v>#REF!</v>
      </c>
      <c r="BT367" t="e">
        <f>AND('PROG FORMACIÓN TITULADA'!#REF!,"AAAAAG3d3kc=")</f>
        <v>#REF!</v>
      </c>
      <c r="BU367" t="e">
        <f>AND('PROG FORMACIÓN TITULADA'!#REF!,"AAAAAG3d3kg=")</f>
        <v>#REF!</v>
      </c>
      <c r="BV367" t="e">
        <f>AND('PROG FORMACIÓN TITULADA'!#REF!,"AAAAAG3d3kk=")</f>
        <v>#REF!</v>
      </c>
      <c r="BW367" t="e">
        <f>AND('PROG FORMACIÓN TITULADA'!#REF!,"AAAAAG3d3ko=")</f>
        <v>#REF!</v>
      </c>
      <c r="BX367" t="e">
        <f>AND('PROG FORMACIÓN TITULADA'!#REF!,"AAAAAG3d3ks=")</f>
        <v>#REF!</v>
      </c>
      <c r="BY367" t="e">
        <f>AND('PROG FORMACIÓN TITULADA'!#REF!,"AAAAAG3d3kw=")</f>
        <v>#REF!</v>
      </c>
      <c r="BZ367" t="e">
        <f>AND('PROG FORMACIÓN TITULADA'!#REF!,"AAAAAG3d3k0=")</f>
        <v>#REF!</v>
      </c>
      <c r="CA367" t="e">
        <f>AND('PROG FORMACIÓN TITULADA'!#REF!,"AAAAAG3d3k4=")</f>
        <v>#REF!</v>
      </c>
      <c r="CB367" t="e">
        <f>AND('PROG FORMACIÓN TITULADA'!#REF!,"AAAAAG3d3k8=")</f>
        <v>#REF!</v>
      </c>
      <c r="CC367" t="e">
        <f>AND('PROG FORMACIÓN TITULADA'!#REF!,"AAAAAG3d3lA=")</f>
        <v>#REF!</v>
      </c>
      <c r="CD367" t="e">
        <f>AND('PROG FORMACIÓN TITULADA'!#REF!,"AAAAAG3d3lE=")</f>
        <v>#REF!</v>
      </c>
      <c r="CE367" t="e">
        <f>AND('PROG FORMACIÓN TITULADA'!#REF!,"AAAAAG3d3lI=")</f>
        <v>#REF!</v>
      </c>
      <c r="CF367" t="e">
        <f>AND('PROG FORMACIÓN TITULADA'!#REF!,"AAAAAG3d3lM=")</f>
        <v>#REF!</v>
      </c>
      <c r="CG367" t="e">
        <f>AND('PROG FORMACIÓN TITULADA'!#REF!,"AAAAAG3d3lQ=")</f>
        <v>#REF!</v>
      </c>
      <c r="CH367" t="e">
        <f>AND('PROG FORMACIÓN TITULADA'!#REF!,"AAAAAG3d3lU=")</f>
        <v>#REF!</v>
      </c>
      <c r="CI367" t="e">
        <f>AND('PROG FORMACIÓN TITULADA'!#REF!,"AAAAAG3d3lY=")</f>
        <v>#REF!</v>
      </c>
      <c r="CJ367" t="e">
        <f>AND('PROG FORMACIÓN TITULADA'!#REF!,"AAAAAG3d3lc=")</f>
        <v>#REF!</v>
      </c>
      <c r="CK367" t="e">
        <f>AND('PROG FORMACIÓN TITULADA'!#REF!,"AAAAAG3d3lg=")</f>
        <v>#REF!</v>
      </c>
      <c r="CL367" t="e">
        <f>AND('PROG FORMACIÓN TITULADA'!#REF!,"AAAAAG3d3lk=")</f>
        <v>#REF!</v>
      </c>
      <c r="CM367" t="e">
        <f>IF('PROG FORMACIÓN TITULADA'!#REF!,"AAAAAG3d3lo=",0)</f>
        <v>#REF!</v>
      </c>
      <c r="CN367" t="e">
        <f>AND('PROG FORMACIÓN TITULADA'!#REF!,"AAAAAG3d3ls=")</f>
        <v>#REF!</v>
      </c>
      <c r="CO367" t="e">
        <f>AND('PROG FORMACIÓN TITULADA'!#REF!,"AAAAAG3d3lw=")</f>
        <v>#REF!</v>
      </c>
      <c r="CP367" t="e">
        <f>AND('PROG FORMACIÓN TITULADA'!#REF!,"AAAAAG3d3l0=")</f>
        <v>#REF!</v>
      </c>
      <c r="CQ367" t="e">
        <f>AND('PROG FORMACIÓN TITULADA'!#REF!,"AAAAAG3d3l4=")</f>
        <v>#REF!</v>
      </c>
      <c r="CR367" t="e">
        <f>AND('PROG FORMACIÓN TITULADA'!#REF!,"AAAAAG3d3l8=")</f>
        <v>#REF!</v>
      </c>
      <c r="CS367" t="e">
        <f>AND('PROG FORMACIÓN TITULADA'!#REF!,"AAAAAG3d3mA=")</f>
        <v>#REF!</v>
      </c>
      <c r="CT367" t="e">
        <f>AND('PROG FORMACIÓN TITULADA'!#REF!,"AAAAAG3d3mE=")</f>
        <v>#REF!</v>
      </c>
      <c r="CU367" t="e">
        <f>AND('PROG FORMACIÓN TITULADA'!#REF!,"AAAAAG3d3mI=")</f>
        <v>#REF!</v>
      </c>
      <c r="CV367" t="e">
        <f>AND('PROG FORMACIÓN TITULADA'!#REF!,"AAAAAG3d3mM=")</f>
        <v>#REF!</v>
      </c>
      <c r="CW367" t="e">
        <f>AND('PROG FORMACIÓN TITULADA'!#REF!,"AAAAAG3d3mQ=")</f>
        <v>#REF!</v>
      </c>
      <c r="CX367" t="e">
        <f>AND('PROG FORMACIÓN TITULADA'!#REF!,"AAAAAG3d3mU=")</f>
        <v>#REF!</v>
      </c>
      <c r="CY367" t="e">
        <f>AND('PROG FORMACIÓN TITULADA'!#REF!,"AAAAAG3d3mY=")</f>
        <v>#REF!</v>
      </c>
      <c r="CZ367" t="e">
        <f>AND('PROG FORMACIÓN TITULADA'!#REF!,"AAAAAG3d3mc=")</f>
        <v>#REF!</v>
      </c>
      <c r="DA367" t="e">
        <f>AND('PROG FORMACIÓN TITULADA'!#REF!,"AAAAAG3d3mg=")</f>
        <v>#REF!</v>
      </c>
      <c r="DB367" t="e">
        <f>AND('PROG FORMACIÓN TITULADA'!#REF!,"AAAAAG3d3mk=")</f>
        <v>#REF!</v>
      </c>
      <c r="DC367" t="e">
        <f>AND('PROG FORMACIÓN TITULADA'!#REF!,"AAAAAG3d3mo=")</f>
        <v>#REF!</v>
      </c>
      <c r="DD367" t="e">
        <f>AND('PROG FORMACIÓN TITULADA'!#REF!,"AAAAAG3d3ms=")</f>
        <v>#REF!</v>
      </c>
      <c r="DE367" t="e">
        <f>AND('PROG FORMACIÓN TITULADA'!#REF!,"AAAAAG3d3mw=")</f>
        <v>#REF!</v>
      </c>
      <c r="DF367" t="e">
        <f>AND('PROG FORMACIÓN TITULADA'!#REF!,"AAAAAG3d3m0=")</f>
        <v>#REF!</v>
      </c>
      <c r="DG367" t="e">
        <f>AND('PROG FORMACIÓN TITULADA'!#REF!,"AAAAAG3d3m4=")</f>
        <v>#REF!</v>
      </c>
      <c r="DH367" t="e">
        <f>AND('PROG FORMACIÓN TITULADA'!#REF!,"AAAAAG3d3m8=")</f>
        <v>#REF!</v>
      </c>
      <c r="DI367" t="e">
        <f>AND('PROG FORMACIÓN TITULADA'!#REF!,"AAAAAG3d3nA=")</f>
        <v>#REF!</v>
      </c>
      <c r="DJ367" t="e">
        <f>AND('PROG FORMACIÓN TITULADA'!#REF!,"AAAAAG3d3nE=")</f>
        <v>#REF!</v>
      </c>
      <c r="DK367" t="e">
        <f>AND('PROG FORMACIÓN TITULADA'!#REF!,"AAAAAG3d3nI=")</f>
        <v>#REF!</v>
      </c>
      <c r="DL367" t="e">
        <f>AND('PROG FORMACIÓN TITULADA'!#REF!,"AAAAAG3d3nM=")</f>
        <v>#REF!</v>
      </c>
      <c r="DM367" t="e">
        <f>AND('PROG FORMACIÓN TITULADA'!#REF!,"AAAAAG3d3nQ=")</f>
        <v>#REF!</v>
      </c>
      <c r="DN367" t="e">
        <f>IF('PROG FORMACIÓN TITULADA'!#REF!,"AAAAAG3d3nU=",0)</f>
        <v>#REF!</v>
      </c>
      <c r="DO367" t="e">
        <f>AND('PROG FORMACIÓN TITULADA'!#REF!,"AAAAAG3d3nY=")</f>
        <v>#REF!</v>
      </c>
      <c r="DP367" t="e">
        <f>AND('PROG FORMACIÓN TITULADA'!#REF!,"AAAAAG3d3nc=")</f>
        <v>#REF!</v>
      </c>
      <c r="DQ367" t="e">
        <f>AND('PROG FORMACIÓN TITULADA'!#REF!,"AAAAAG3d3ng=")</f>
        <v>#REF!</v>
      </c>
      <c r="DR367" t="e">
        <f>AND('PROG FORMACIÓN TITULADA'!#REF!,"AAAAAG3d3nk=")</f>
        <v>#REF!</v>
      </c>
      <c r="DS367" t="e">
        <f>AND('PROG FORMACIÓN TITULADA'!#REF!,"AAAAAG3d3no=")</f>
        <v>#REF!</v>
      </c>
      <c r="DT367" t="e">
        <f>AND('PROG FORMACIÓN TITULADA'!#REF!,"AAAAAG3d3ns=")</f>
        <v>#REF!</v>
      </c>
      <c r="DU367" t="e">
        <f>AND('PROG FORMACIÓN TITULADA'!#REF!,"AAAAAG3d3nw=")</f>
        <v>#REF!</v>
      </c>
      <c r="DV367" t="e">
        <f>AND('PROG FORMACIÓN TITULADA'!#REF!,"AAAAAG3d3n0=")</f>
        <v>#REF!</v>
      </c>
      <c r="DW367" t="e">
        <f>AND('PROG FORMACIÓN TITULADA'!#REF!,"AAAAAG3d3n4=")</f>
        <v>#REF!</v>
      </c>
      <c r="DX367" t="e">
        <f>AND('PROG FORMACIÓN TITULADA'!#REF!,"AAAAAG3d3n8=")</f>
        <v>#REF!</v>
      </c>
      <c r="DY367" t="e">
        <f>AND('PROG FORMACIÓN TITULADA'!#REF!,"AAAAAG3d3oA=")</f>
        <v>#REF!</v>
      </c>
      <c r="DZ367" t="e">
        <f>AND('PROG FORMACIÓN TITULADA'!#REF!,"AAAAAG3d3oE=")</f>
        <v>#REF!</v>
      </c>
      <c r="EA367" t="e">
        <f>AND('PROG FORMACIÓN TITULADA'!#REF!,"AAAAAG3d3oI=")</f>
        <v>#REF!</v>
      </c>
      <c r="EB367" t="e">
        <f>AND('PROG FORMACIÓN TITULADA'!#REF!,"AAAAAG3d3oM=")</f>
        <v>#REF!</v>
      </c>
      <c r="EC367" t="e">
        <f>AND('PROG FORMACIÓN TITULADA'!#REF!,"AAAAAG3d3oQ=")</f>
        <v>#REF!</v>
      </c>
      <c r="ED367" t="e">
        <f>AND('PROG FORMACIÓN TITULADA'!#REF!,"AAAAAG3d3oU=")</f>
        <v>#REF!</v>
      </c>
      <c r="EE367" t="e">
        <f>AND('PROG FORMACIÓN TITULADA'!#REF!,"AAAAAG3d3oY=")</f>
        <v>#REF!</v>
      </c>
      <c r="EF367" t="e">
        <f>AND('PROG FORMACIÓN TITULADA'!#REF!,"AAAAAG3d3oc=")</f>
        <v>#REF!</v>
      </c>
      <c r="EG367" t="e">
        <f>AND('PROG FORMACIÓN TITULADA'!#REF!,"AAAAAG3d3og=")</f>
        <v>#REF!</v>
      </c>
      <c r="EH367" t="e">
        <f>AND('PROG FORMACIÓN TITULADA'!#REF!,"AAAAAG3d3ok=")</f>
        <v>#REF!</v>
      </c>
      <c r="EI367" t="e">
        <f>AND('PROG FORMACIÓN TITULADA'!#REF!,"AAAAAG3d3oo=")</f>
        <v>#REF!</v>
      </c>
      <c r="EJ367" t="e">
        <f>AND('PROG FORMACIÓN TITULADA'!#REF!,"AAAAAG3d3os=")</f>
        <v>#REF!</v>
      </c>
      <c r="EK367" t="e">
        <f>AND('PROG FORMACIÓN TITULADA'!#REF!,"AAAAAG3d3ow=")</f>
        <v>#REF!</v>
      </c>
      <c r="EL367" t="e">
        <f>AND('PROG FORMACIÓN TITULADA'!#REF!,"AAAAAG3d3o0=")</f>
        <v>#REF!</v>
      </c>
      <c r="EM367" t="e">
        <f>AND('PROG FORMACIÓN TITULADA'!#REF!,"AAAAAG3d3o4=")</f>
        <v>#REF!</v>
      </c>
      <c r="EN367" t="e">
        <f>AND('PROG FORMACIÓN TITULADA'!#REF!,"AAAAAG3d3o8=")</f>
        <v>#REF!</v>
      </c>
      <c r="EO367" t="e">
        <f>IF('PROG FORMACIÓN TITULADA'!#REF!,"AAAAAG3d3pA=",0)</f>
        <v>#REF!</v>
      </c>
      <c r="EP367" t="e">
        <f>AND('PROG FORMACIÓN TITULADA'!#REF!,"AAAAAG3d3pE=")</f>
        <v>#REF!</v>
      </c>
      <c r="EQ367" t="e">
        <f>AND('PROG FORMACIÓN TITULADA'!#REF!,"AAAAAG3d3pI=")</f>
        <v>#REF!</v>
      </c>
      <c r="ER367" t="e">
        <f>AND('PROG FORMACIÓN TITULADA'!#REF!,"AAAAAG3d3pM=")</f>
        <v>#REF!</v>
      </c>
      <c r="ES367" t="e">
        <f>AND('PROG FORMACIÓN TITULADA'!#REF!,"AAAAAG3d3pQ=")</f>
        <v>#REF!</v>
      </c>
      <c r="ET367" t="e">
        <f>AND('PROG FORMACIÓN TITULADA'!#REF!,"AAAAAG3d3pU=")</f>
        <v>#REF!</v>
      </c>
      <c r="EU367" t="e">
        <f>AND('PROG FORMACIÓN TITULADA'!#REF!,"AAAAAG3d3pY=")</f>
        <v>#REF!</v>
      </c>
      <c r="EV367" t="e">
        <f>AND('PROG FORMACIÓN TITULADA'!#REF!,"AAAAAG3d3pc=")</f>
        <v>#REF!</v>
      </c>
      <c r="EW367" t="e">
        <f>AND('PROG FORMACIÓN TITULADA'!#REF!,"AAAAAG3d3pg=")</f>
        <v>#REF!</v>
      </c>
      <c r="EX367" t="e">
        <f>AND('PROG FORMACIÓN TITULADA'!#REF!,"AAAAAG3d3pk=")</f>
        <v>#REF!</v>
      </c>
      <c r="EY367" t="e">
        <f>AND('PROG FORMACIÓN TITULADA'!#REF!,"AAAAAG3d3po=")</f>
        <v>#REF!</v>
      </c>
      <c r="EZ367" t="e">
        <f>AND('PROG FORMACIÓN TITULADA'!#REF!,"AAAAAG3d3ps=")</f>
        <v>#REF!</v>
      </c>
      <c r="FA367" t="e">
        <f>AND('PROG FORMACIÓN TITULADA'!#REF!,"AAAAAG3d3pw=")</f>
        <v>#REF!</v>
      </c>
      <c r="FB367" t="e">
        <f>AND('PROG FORMACIÓN TITULADA'!#REF!,"AAAAAG3d3p0=")</f>
        <v>#REF!</v>
      </c>
      <c r="FC367" t="e">
        <f>AND('PROG FORMACIÓN TITULADA'!#REF!,"AAAAAG3d3p4=")</f>
        <v>#REF!</v>
      </c>
      <c r="FD367" t="e">
        <f>AND('PROG FORMACIÓN TITULADA'!#REF!,"AAAAAG3d3p8=")</f>
        <v>#REF!</v>
      </c>
      <c r="FE367" t="e">
        <f>AND('PROG FORMACIÓN TITULADA'!#REF!,"AAAAAG3d3qA=")</f>
        <v>#REF!</v>
      </c>
      <c r="FF367" t="e">
        <f>AND('PROG FORMACIÓN TITULADA'!#REF!,"AAAAAG3d3qE=")</f>
        <v>#REF!</v>
      </c>
      <c r="FG367" t="e">
        <f>AND('PROG FORMACIÓN TITULADA'!#REF!,"AAAAAG3d3qI=")</f>
        <v>#REF!</v>
      </c>
      <c r="FH367" t="e">
        <f>AND('PROG FORMACIÓN TITULADA'!#REF!,"AAAAAG3d3qM=")</f>
        <v>#REF!</v>
      </c>
      <c r="FI367" t="e">
        <f>AND('PROG FORMACIÓN TITULADA'!#REF!,"AAAAAG3d3qQ=")</f>
        <v>#REF!</v>
      </c>
      <c r="FJ367" t="e">
        <f>AND('PROG FORMACIÓN TITULADA'!#REF!,"AAAAAG3d3qU=")</f>
        <v>#REF!</v>
      </c>
      <c r="FK367" t="e">
        <f>AND('PROG FORMACIÓN TITULADA'!#REF!,"AAAAAG3d3qY=")</f>
        <v>#REF!</v>
      </c>
      <c r="FL367" t="e">
        <f>AND('PROG FORMACIÓN TITULADA'!#REF!,"AAAAAG3d3qc=")</f>
        <v>#REF!</v>
      </c>
      <c r="FM367" t="e">
        <f>AND('PROG FORMACIÓN TITULADA'!#REF!,"AAAAAG3d3qg=")</f>
        <v>#REF!</v>
      </c>
      <c r="FN367" t="e">
        <f>AND('PROG FORMACIÓN TITULADA'!#REF!,"AAAAAG3d3qk=")</f>
        <v>#REF!</v>
      </c>
      <c r="FO367" t="e">
        <f>AND('PROG FORMACIÓN TITULADA'!#REF!,"AAAAAG3d3qo=")</f>
        <v>#REF!</v>
      </c>
      <c r="FP367" t="e">
        <f>IF('PROG FORMACIÓN TITULADA'!#REF!,"AAAAAG3d3qs=",0)</f>
        <v>#REF!</v>
      </c>
      <c r="FQ367" t="e">
        <f>AND('PROG FORMACIÓN TITULADA'!#REF!,"AAAAAG3d3qw=")</f>
        <v>#REF!</v>
      </c>
      <c r="FR367" t="e">
        <f>AND('PROG FORMACIÓN TITULADA'!#REF!,"AAAAAG3d3q0=")</f>
        <v>#REF!</v>
      </c>
      <c r="FS367" t="e">
        <f>AND('PROG FORMACIÓN TITULADA'!#REF!,"AAAAAG3d3q4=")</f>
        <v>#REF!</v>
      </c>
      <c r="FT367" t="e">
        <f>AND('PROG FORMACIÓN TITULADA'!#REF!,"AAAAAG3d3q8=")</f>
        <v>#REF!</v>
      </c>
      <c r="FU367" t="e">
        <f>AND('PROG FORMACIÓN TITULADA'!#REF!,"AAAAAG3d3rA=")</f>
        <v>#REF!</v>
      </c>
      <c r="FV367" t="e">
        <f>AND('PROG FORMACIÓN TITULADA'!#REF!,"AAAAAG3d3rE=")</f>
        <v>#REF!</v>
      </c>
      <c r="FW367" t="e">
        <f>AND('PROG FORMACIÓN TITULADA'!#REF!,"AAAAAG3d3rI=")</f>
        <v>#REF!</v>
      </c>
      <c r="FX367" t="e">
        <f>AND('PROG FORMACIÓN TITULADA'!#REF!,"AAAAAG3d3rM=")</f>
        <v>#REF!</v>
      </c>
      <c r="FY367" t="e">
        <f>AND('PROG FORMACIÓN TITULADA'!#REF!,"AAAAAG3d3rQ=")</f>
        <v>#REF!</v>
      </c>
      <c r="FZ367" t="e">
        <f>AND('PROG FORMACIÓN TITULADA'!#REF!,"AAAAAG3d3rU=")</f>
        <v>#REF!</v>
      </c>
      <c r="GA367" t="e">
        <f>AND('PROG FORMACIÓN TITULADA'!#REF!,"AAAAAG3d3rY=")</f>
        <v>#REF!</v>
      </c>
      <c r="GB367" t="e">
        <f>AND('PROG FORMACIÓN TITULADA'!#REF!,"AAAAAG3d3rc=")</f>
        <v>#REF!</v>
      </c>
      <c r="GC367" t="e">
        <f>AND('PROG FORMACIÓN TITULADA'!#REF!,"AAAAAG3d3rg=")</f>
        <v>#REF!</v>
      </c>
      <c r="GD367" t="e">
        <f>AND('PROG FORMACIÓN TITULADA'!#REF!,"AAAAAG3d3rk=")</f>
        <v>#REF!</v>
      </c>
      <c r="GE367" t="e">
        <f>AND('PROG FORMACIÓN TITULADA'!#REF!,"AAAAAG3d3ro=")</f>
        <v>#REF!</v>
      </c>
      <c r="GF367" t="e">
        <f>AND('PROG FORMACIÓN TITULADA'!#REF!,"AAAAAG3d3rs=")</f>
        <v>#REF!</v>
      </c>
      <c r="GG367" t="e">
        <f>AND('PROG FORMACIÓN TITULADA'!#REF!,"AAAAAG3d3rw=")</f>
        <v>#REF!</v>
      </c>
      <c r="GH367" t="e">
        <f>AND('PROG FORMACIÓN TITULADA'!#REF!,"AAAAAG3d3r0=")</f>
        <v>#REF!</v>
      </c>
      <c r="GI367" t="e">
        <f>AND('PROG FORMACIÓN TITULADA'!#REF!,"AAAAAG3d3r4=")</f>
        <v>#REF!</v>
      </c>
      <c r="GJ367" t="e">
        <f>AND('PROG FORMACIÓN TITULADA'!#REF!,"AAAAAG3d3r8=")</f>
        <v>#REF!</v>
      </c>
      <c r="GK367" t="e">
        <f>AND('PROG FORMACIÓN TITULADA'!#REF!,"AAAAAG3d3sA=")</f>
        <v>#REF!</v>
      </c>
      <c r="GL367" t="e">
        <f>AND('PROG FORMACIÓN TITULADA'!#REF!,"AAAAAG3d3sE=")</f>
        <v>#REF!</v>
      </c>
      <c r="GM367" t="e">
        <f>AND('PROG FORMACIÓN TITULADA'!#REF!,"AAAAAG3d3sI=")</f>
        <v>#REF!</v>
      </c>
      <c r="GN367" t="e">
        <f>AND('PROG FORMACIÓN TITULADA'!#REF!,"AAAAAG3d3sM=")</f>
        <v>#REF!</v>
      </c>
      <c r="GO367" t="e">
        <f>AND('PROG FORMACIÓN TITULADA'!#REF!,"AAAAAG3d3sQ=")</f>
        <v>#REF!</v>
      </c>
      <c r="GP367" t="e">
        <f>AND('PROG FORMACIÓN TITULADA'!#REF!,"AAAAAG3d3sU=")</f>
        <v>#REF!</v>
      </c>
      <c r="GQ367" t="e">
        <f>IF('PROG FORMACIÓN TITULADA'!#REF!,"AAAAAG3d3sY=",0)</f>
        <v>#REF!</v>
      </c>
      <c r="GR367" t="e">
        <f>AND('PROG FORMACIÓN TITULADA'!#REF!,"AAAAAG3d3sc=")</f>
        <v>#REF!</v>
      </c>
      <c r="GS367" t="e">
        <f>AND('PROG FORMACIÓN TITULADA'!#REF!,"AAAAAG3d3sg=")</f>
        <v>#REF!</v>
      </c>
      <c r="GT367" t="e">
        <f>AND('PROG FORMACIÓN TITULADA'!#REF!,"AAAAAG3d3sk=")</f>
        <v>#REF!</v>
      </c>
      <c r="GU367" t="e">
        <f>AND('PROG FORMACIÓN TITULADA'!#REF!,"AAAAAG3d3so=")</f>
        <v>#REF!</v>
      </c>
      <c r="GV367" t="e">
        <f>AND('PROG FORMACIÓN TITULADA'!#REF!,"AAAAAG3d3ss=")</f>
        <v>#REF!</v>
      </c>
      <c r="GW367" t="e">
        <f>AND('PROG FORMACIÓN TITULADA'!#REF!,"AAAAAG3d3sw=")</f>
        <v>#REF!</v>
      </c>
      <c r="GX367" t="e">
        <f>AND('PROG FORMACIÓN TITULADA'!#REF!,"AAAAAG3d3s0=")</f>
        <v>#REF!</v>
      </c>
      <c r="GY367" t="e">
        <f>AND('PROG FORMACIÓN TITULADA'!#REF!,"AAAAAG3d3s4=")</f>
        <v>#REF!</v>
      </c>
      <c r="GZ367" t="e">
        <f>AND('PROG FORMACIÓN TITULADA'!#REF!,"AAAAAG3d3s8=")</f>
        <v>#REF!</v>
      </c>
      <c r="HA367" t="e">
        <f>AND('PROG FORMACIÓN TITULADA'!#REF!,"AAAAAG3d3tA=")</f>
        <v>#REF!</v>
      </c>
      <c r="HB367" t="e">
        <f>AND('PROG FORMACIÓN TITULADA'!#REF!,"AAAAAG3d3tE=")</f>
        <v>#REF!</v>
      </c>
      <c r="HC367" t="e">
        <f>AND('PROG FORMACIÓN TITULADA'!#REF!,"AAAAAG3d3tI=")</f>
        <v>#REF!</v>
      </c>
      <c r="HD367" t="e">
        <f>AND('PROG FORMACIÓN TITULADA'!#REF!,"AAAAAG3d3tM=")</f>
        <v>#REF!</v>
      </c>
      <c r="HE367" t="e">
        <f>AND('PROG FORMACIÓN TITULADA'!#REF!,"AAAAAG3d3tQ=")</f>
        <v>#REF!</v>
      </c>
      <c r="HF367" t="e">
        <f>AND('PROG FORMACIÓN TITULADA'!#REF!,"AAAAAG3d3tU=")</f>
        <v>#REF!</v>
      </c>
      <c r="HG367" t="e">
        <f>AND('PROG FORMACIÓN TITULADA'!#REF!,"AAAAAG3d3tY=")</f>
        <v>#REF!</v>
      </c>
      <c r="HH367" t="e">
        <f>AND('PROG FORMACIÓN TITULADA'!#REF!,"AAAAAG3d3tc=")</f>
        <v>#REF!</v>
      </c>
      <c r="HI367" t="e">
        <f>AND('PROG FORMACIÓN TITULADA'!#REF!,"AAAAAG3d3tg=")</f>
        <v>#REF!</v>
      </c>
      <c r="HJ367" t="e">
        <f>AND('PROG FORMACIÓN TITULADA'!#REF!,"AAAAAG3d3tk=")</f>
        <v>#REF!</v>
      </c>
      <c r="HK367" t="e">
        <f>AND('PROG FORMACIÓN TITULADA'!#REF!,"AAAAAG3d3to=")</f>
        <v>#REF!</v>
      </c>
      <c r="HL367" t="e">
        <f>AND('PROG FORMACIÓN TITULADA'!#REF!,"AAAAAG3d3ts=")</f>
        <v>#REF!</v>
      </c>
      <c r="HM367" t="e">
        <f>AND('PROG FORMACIÓN TITULADA'!#REF!,"AAAAAG3d3tw=")</f>
        <v>#REF!</v>
      </c>
      <c r="HN367" t="e">
        <f>AND('PROG FORMACIÓN TITULADA'!#REF!,"AAAAAG3d3t0=")</f>
        <v>#REF!</v>
      </c>
      <c r="HO367" t="e">
        <f>AND('PROG FORMACIÓN TITULADA'!#REF!,"AAAAAG3d3t4=")</f>
        <v>#REF!</v>
      </c>
      <c r="HP367" t="e">
        <f>AND('PROG FORMACIÓN TITULADA'!#REF!,"AAAAAG3d3t8=")</f>
        <v>#REF!</v>
      </c>
      <c r="HQ367" t="e">
        <f>AND('PROG FORMACIÓN TITULADA'!#REF!,"AAAAAG3d3uA=")</f>
        <v>#REF!</v>
      </c>
      <c r="HR367" t="e">
        <f>IF('PROG FORMACIÓN TITULADA'!#REF!,"AAAAAG3d3uE=",0)</f>
        <v>#REF!</v>
      </c>
      <c r="HS367" t="e">
        <f>AND('PROG FORMACIÓN TITULADA'!#REF!,"AAAAAG3d3uI=")</f>
        <v>#REF!</v>
      </c>
      <c r="HT367" t="e">
        <f>AND('PROG FORMACIÓN TITULADA'!#REF!,"AAAAAG3d3uM=")</f>
        <v>#REF!</v>
      </c>
      <c r="HU367" t="e">
        <f>AND('PROG FORMACIÓN TITULADA'!#REF!,"AAAAAG3d3uQ=")</f>
        <v>#REF!</v>
      </c>
      <c r="HV367" t="e">
        <f>AND('PROG FORMACIÓN TITULADA'!#REF!,"AAAAAG3d3uU=")</f>
        <v>#REF!</v>
      </c>
      <c r="HW367" t="e">
        <f>AND('PROG FORMACIÓN TITULADA'!#REF!,"AAAAAG3d3uY=")</f>
        <v>#REF!</v>
      </c>
      <c r="HX367" t="e">
        <f>AND('PROG FORMACIÓN TITULADA'!#REF!,"AAAAAG3d3uc=")</f>
        <v>#REF!</v>
      </c>
      <c r="HY367" t="e">
        <f>AND('PROG FORMACIÓN TITULADA'!#REF!,"AAAAAG3d3ug=")</f>
        <v>#REF!</v>
      </c>
      <c r="HZ367" t="e">
        <f>AND('PROG FORMACIÓN TITULADA'!#REF!,"AAAAAG3d3uk=")</f>
        <v>#REF!</v>
      </c>
      <c r="IA367" t="e">
        <f>AND('PROG FORMACIÓN TITULADA'!#REF!,"AAAAAG3d3uo=")</f>
        <v>#REF!</v>
      </c>
      <c r="IB367" t="e">
        <f>AND('PROG FORMACIÓN TITULADA'!#REF!,"AAAAAG3d3us=")</f>
        <v>#REF!</v>
      </c>
      <c r="IC367" t="e">
        <f>AND('PROG FORMACIÓN TITULADA'!#REF!,"AAAAAG3d3uw=")</f>
        <v>#REF!</v>
      </c>
      <c r="ID367" t="e">
        <f>AND('PROG FORMACIÓN TITULADA'!#REF!,"AAAAAG3d3u0=")</f>
        <v>#REF!</v>
      </c>
      <c r="IE367" t="e">
        <f>AND('PROG FORMACIÓN TITULADA'!#REF!,"AAAAAG3d3u4=")</f>
        <v>#REF!</v>
      </c>
      <c r="IF367" t="e">
        <f>AND('PROG FORMACIÓN TITULADA'!#REF!,"AAAAAG3d3u8=")</f>
        <v>#REF!</v>
      </c>
      <c r="IG367" t="e">
        <f>AND('PROG FORMACIÓN TITULADA'!#REF!,"AAAAAG3d3vA=")</f>
        <v>#REF!</v>
      </c>
      <c r="IH367" t="e">
        <f>AND('PROG FORMACIÓN TITULADA'!#REF!,"AAAAAG3d3vE=")</f>
        <v>#REF!</v>
      </c>
      <c r="II367" t="e">
        <f>AND('PROG FORMACIÓN TITULADA'!#REF!,"AAAAAG3d3vI=")</f>
        <v>#REF!</v>
      </c>
      <c r="IJ367" t="e">
        <f>AND('PROG FORMACIÓN TITULADA'!#REF!,"AAAAAG3d3vM=")</f>
        <v>#REF!</v>
      </c>
      <c r="IK367" t="e">
        <f>AND('PROG FORMACIÓN TITULADA'!#REF!,"AAAAAG3d3vQ=")</f>
        <v>#REF!</v>
      </c>
      <c r="IL367" t="e">
        <f>AND('PROG FORMACIÓN TITULADA'!#REF!,"AAAAAG3d3vU=")</f>
        <v>#REF!</v>
      </c>
      <c r="IM367" t="e">
        <f>AND('PROG FORMACIÓN TITULADA'!#REF!,"AAAAAG3d3vY=")</f>
        <v>#REF!</v>
      </c>
      <c r="IN367" t="e">
        <f>AND('PROG FORMACIÓN TITULADA'!#REF!,"AAAAAG3d3vc=")</f>
        <v>#REF!</v>
      </c>
      <c r="IO367" t="e">
        <f>AND('PROG FORMACIÓN TITULADA'!#REF!,"AAAAAG3d3vg=")</f>
        <v>#REF!</v>
      </c>
      <c r="IP367" t="e">
        <f>AND('PROG FORMACIÓN TITULADA'!#REF!,"AAAAAG3d3vk=")</f>
        <v>#REF!</v>
      </c>
      <c r="IQ367" t="e">
        <f>AND('PROG FORMACIÓN TITULADA'!#REF!,"AAAAAG3d3vo=")</f>
        <v>#REF!</v>
      </c>
      <c r="IR367" t="e">
        <f>AND('PROG FORMACIÓN TITULADA'!#REF!,"AAAAAG3d3vs=")</f>
        <v>#REF!</v>
      </c>
      <c r="IS367" t="e">
        <f>IF('PROG FORMACIÓN TITULADA'!#REF!,"AAAAAG3d3vw=",0)</f>
        <v>#REF!</v>
      </c>
      <c r="IT367" t="e">
        <f>AND('PROG FORMACIÓN TITULADA'!#REF!,"AAAAAG3d3v0=")</f>
        <v>#REF!</v>
      </c>
      <c r="IU367" t="e">
        <f>AND('PROG FORMACIÓN TITULADA'!#REF!,"AAAAAG3d3v4=")</f>
        <v>#REF!</v>
      </c>
      <c r="IV367" t="e">
        <f>AND('PROG FORMACIÓN TITULADA'!#REF!,"AAAAAG3d3v8=")</f>
        <v>#REF!</v>
      </c>
    </row>
    <row r="368" spans="1:256" x14ac:dyDescent="0.2">
      <c r="A368" t="e">
        <f>AND('PROG FORMACIÓN TITULADA'!#REF!,"AAAAAG/nvwA=")</f>
        <v>#REF!</v>
      </c>
      <c r="B368" t="e">
        <f>AND('PROG FORMACIÓN TITULADA'!#REF!,"AAAAAG/nvwE=")</f>
        <v>#REF!</v>
      </c>
      <c r="C368" t="e">
        <f>AND('PROG FORMACIÓN TITULADA'!#REF!,"AAAAAG/nvwI=")</f>
        <v>#REF!</v>
      </c>
      <c r="D368" t="e">
        <f>AND('PROG FORMACIÓN TITULADA'!#REF!,"AAAAAG/nvwM=")</f>
        <v>#REF!</v>
      </c>
      <c r="E368" t="e">
        <f>AND('PROG FORMACIÓN TITULADA'!#REF!,"AAAAAG/nvwQ=")</f>
        <v>#REF!</v>
      </c>
      <c r="F368" t="e">
        <f>AND('PROG FORMACIÓN TITULADA'!#REF!,"AAAAAG/nvwU=")</f>
        <v>#REF!</v>
      </c>
      <c r="G368" t="e">
        <f>AND('PROG FORMACIÓN TITULADA'!#REF!,"AAAAAG/nvwY=")</f>
        <v>#REF!</v>
      </c>
      <c r="H368" t="e">
        <f>AND('PROG FORMACIÓN TITULADA'!#REF!,"AAAAAG/nvwc=")</f>
        <v>#REF!</v>
      </c>
      <c r="I368" t="e">
        <f>AND('PROG FORMACIÓN TITULADA'!#REF!,"AAAAAG/nvwg=")</f>
        <v>#REF!</v>
      </c>
      <c r="J368" t="e">
        <f>AND('PROG FORMACIÓN TITULADA'!#REF!,"AAAAAG/nvwk=")</f>
        <v>#REF!</v>
      </c>
      <c r="K368" t="e">
        <f>AND('PROG FORMACIÓN TITULADA'!#REF!,"AAAAAG/nvwo=")</f>
        <v>#REF!</v>
      </c>
      <c r="L368" t="e">
        <f>AND('PROG FORMACIÓN TITULADA'!#REF!,"AAAAAG/nvws=")</f>
        <v>#REF!</v>
      </c>
      <c r="M368" t="e">
        <f>AND('PROG FORMACIÓN TITULADA'!#REF!,"AAAAAG/nvww=")</f>
        <v>#REF!</v>
      </c>
      <c r="N368" t="e">
        <f>AND('PROG FORMACIÓN TITULADA'!#REF!,"AAAAAG/nvw0=")</f>
        <v>#REF!</v>
      </c>
      <c r="O368" t="e">
        <f>AND('PROG FORMACIÓN TITULADA'!#REF!,"AAAAAG/nvw4=")</f>
        <v>#REF!</v>
      </c>
      <c r="P368" t="e">
        <f>AND('PROG FORMACIÓN TITULADA'!#REF!,"AAAAAG/nvw8=")</f>
        <v>#REF!</v>
      </c>
      <c r="Q368" t="e">
        <f>AND('PROG FORMACIÓN TITULADA'!#REF!,"AAAAAG/nvxA=")</f>
        <v>#REF!</v>
      </c>
      <c r="R368" t="e">
        <f>AND('PROG FORMACIÓN TITULADA'!#REF!,"AAAAAG/nvxE=")</f>
        <v>#REF!</v>
      </c>
      <c r="S368" t="e">
        <f>AND('PROG FORMACIÓN TITULADA'!#REF!,"AAAAAG/nvxI=")</f>
        <v>#REF!</v>
      </c>
      <c r="T368" t="e">
        <f>AND('PROG FORMACIÓN TITULADA'!#REF!,"AAAAAG/nvxM=")</f>
        <v>#REF!</v>
      </c>
      <c r="U368" t="e">
        <f>AND('PROG FORMACIÓN TITULADA'!#REF!,"AAAAAG/nvxQ=")</f>
        <v>#REF!</v>
      </c>
      <c r="V368" t="e">
        <f>AND('PROG FORMACIÓN TITULADA'!#REF!,"AAAAAG/nvxU=")</f>
        <v>#REF!</v>
      </c>
      <c r="W368" t="e">
        <f>AND('PROG FORMACIÓN TITULADA'!#REF!,"AAAAAG/nvxY=")</f>
        <v>#REF!</v>
      </c>
      <c r="X368" t="e">
        <f>IF('PROG FORMACIÓN TITULADA'!#REF!,"AAAAAG/nvxc=",0)</f>
        <v>#REF!</v>
      </c>
      <c r="Y368" t="e">
        <f>AND('PROG FORMACIÓN TITULADA'!#REF!,"AAAAAG/nvxg=")</f>
        <v>#REF!</v>
      </c>
      <c r="Z368" t="e">
        <f>AND('PROG FORMACIÓN TITULADA'!#REF!,"AAAAAG/nvxk=")</f>
        <v>#REF!</v>
      </c>
      <c r="AA368" t="e">
        <f>AND('PROG FORMACIÓN TITULADA'!#REF!,"AAAAAG/nvxo=")</f>
        <v>#REF!</v>
      </c>
      <c r="AB368" t="e">
        <f>AND('PROG FORMACIÓN TITULADA'!#REF!,"AAAAAG/nvxs=")</f>
        <v>#REF!</v>
      </c>
      <c r="AC368" t="e">
        <f>AND('PROG FORMACIÓN TITULADA'!#REF!,"AAAAAG/nvxw=")</f>
        <v>#REF!</v>
      </c>
      <c r="AD368" t="e">
        <f>AND('PROG FORMACIÓN TITULADA'!#REF!,"AAAAAG/nvx0=")</f>
        <v>#REF!</v>
      </c>
      <c r="AE368" t="e">
        <f>AND('PROG FORMACIÓN TITULADA'!#REF!,"AAAAAG/nvx4=")</f>
        <v>#REF!</v>
      </c>
      <c r="AF368" t="e">
        <f>AND('PROG FORMACIÓN TITULADA'!#REF!,"AAAAAG/nvx8=")</f>
        <v>#REF!</v>
      </c>
      <c r="AG368" t="e">
        <f>AND('PROG FORMACIÓN TITULADA'!#REF!,"AAAAAG/nvyA=")</f>
        <v>#REF!</v>
      </c>
      <c r="AH368" t="e">
        <f>AND('PROG FORMACIÓN TITULADA'!#REF!,"AAAAAG/nvyE=")</f>
        <v>#REF!</v>
      </c>
      <c r="AI368" t="e">
        <f>AND('PROG FORMACIÓN TITULADA'!#REF!,"AAAAAG/nvyI=")</f>
        <v>#REF!</v>
      </c>
      <c r="AJ368" t="e">
        <f>AND('PROG FORMACIÓN TITULADA'!#REF!,"AAAAAG/nvyM=")</f>
        <v>#REF!</v>
      </c>
      <c r="AK368" t="e">
        <f>AND('PROG FORMACIÓN TITULADA'!#REF!,"AAAAAG/nvyQ=")</f>
        <v>#REF!</v>
      </c>
      <c r="AL368" t="e">
        <f>AND('PROG FORMACIÓN TITULADA'!#REF!,"AAAAAG/nvyU=")</f>
        <v>#REF!</v>
      </c>
      <c r="AM368" t="e">
        <f>AND('PROG FORMACIÓN TITULADA'!#REF!,"AAAAAG/nvyY=")</f>
        <v>#REF!</v>
      </c>
      <c r="AN368" t="e">
        <f>AND('PROG FORMACIÓN TITULADA'!#REF!,"AAAAAG/nvyc=")</f>
        <v>#REF!</v>
      </c>
      <c r="AO368" t="e">
        <f>AND('PROG FORMACIÓN TITULADA'!#REF!,"AAAAAG/nvyg=")</f>
        <v>#REF!</v>
      </c>
      <c r="AP368" t="e">
        <f>AND('PROG FORMACIÓN TITULADA'!#REF!,"AAAAAG/nvyk=")</f>
        <v>#REF!</v>
      </c>
      <c r="AQ368" t="e">
        <f>AND('PROG FORMACIÓN TITULADA'!#REF!,"AAAAAG/nvyo=")</f>
        <v>#REF!</v>
      </c>
      <c r="AR368" t="e">
        <f>AND('PROG FORMACIÓN TITULADA'!#REF!,"AAAAAG/nvys=")</f>
        <v>#REF!</v>
      </c>
      <c r="AS368" t="e">
        <f>AND('PROG FORMACIÓN TITULADA'!#REF!,"AAAAAG/nvyw=")</f>
        <v>#REF!</v>
      </c>
      <c r="AT368" t="e">
        <f>AND('PROG FORMACIÓN TITULADA'!#REF!,"AAAAAG/nvy0=")</f>
        <v>#REF!</v>
      </c>
      <c r="AU368" t="e">
        <f>AND('PROG FORMACIÓN TITULADA'!#REF!,"AAAAAG/nvy4=")</f>
        <v>#REF!</v>
      </c>
      <c r="AV368" t="e">
        <f>AND('PROG FORMACIÓN TITULADA'!#REF!,"AAAAAG/nvy8=")</f>
        <v>#REF!</v>
      </c>
      <c r="AW368" t="e">
        <f>AND('PROG FORMACIÓN TITULADA'!#REF!,"AAAAAG/nvzA=")</f>
        <v>#REF!</v>
      </c>
      <c r="AX368" t="e">
        <f>AND('PROG FORMACIÓN TITULADA'!#REF!,"AAAAAG/nvzE=")</f>
        <v>#REF!</v>
      </c>
      <c r="AY368" t="e">
        <f>IF('PROG FORMACIÓN TITULADA'!#REF!,"AAAAAG/nvzI=",0)</f>
        <v>#REF!</v>
      </c>
      <c r="AZ368" t="e">
        <f>AND('PROG FORMACIÓN TITULADA'!#REF!,"AAAAAG/nvzM=")</f>
        <v>#REF!</v>
      </c>
      <c r="BA368" t="e">
        <f>AND('PROG FORMACIÓN TITULADA'!#REF!,"AAAAAG/nvzQ=")</f>
        <v>#REF!</v>
      </c>
      <c r="BB368" t="e">
        <f>AND('PROG FORMACIÓN TITULADA'!#REF!,"AAAAAG/nvzU=")</f>
        <v>#REF!</v>
      </c>
      <c r="BC368" t="e">
        <f>AND('PROG FORMACIÓN TITULADA'!#REF!,"AAAAAG/nvzY=")</f>
        <v>#REF!</v>
      </c>
      <c r="BD368" t="e">
        <f>AND('PROG FORMACIÓN TITULADA'!#REF!,"AAAAAG/nvzc=")</f>
        <v>#REF!</v>
      </c>
      <c r="BE368" t="e">
        <f>AND('PROG FORMACIÓN TITULADA'!#REF!,"AAAAAG/nvzg=")</f>
        <v>#REF!</v>
      </c>
      <c r="BF368" t="e">
        <f>AND('PROG FORMACIÓN TITULADA'!#REF!,"AAAAAG/nvzk=")</f>
        <v>#REF!</v>
      </c>
      <c r="BG368" t="e">
        <f>AND('PROG FORMACIÓN TITULADA'!#REF!,"AAAAAG/nvzo=")</f>
        <v>#REF!</v>
      </c>
      <c r="BH368" t="e">
        <f>AND('PROG FORMACIÓN TITULADA'!#REF!,"AAAAAG/nvzs=")</f>
        <v>#REF!</v>
      </c>
      <c r="BI368" t="e">
        <f>AND('PROG FORMACIÓN TITULADA'!#REF!,"AAAAAG/nvzw=")</f>
        <v>#REF!</v>
      </c>
      <c r="BJ368" t="e">
        <f>AND('PROG FORMACIÓN TITULADA'!#REF!,"AAAAAG/nvz0=")</f>
        <v>#REF!</v>
      </c>
      <c r="BK368" t="e">
        <f>AND('PROG FORMACIÓN TITULADA'!#REF!,"AAAAAG/nvz4=")</f>
        <v>#REF!</v>
      </c>
      <c r="BL368" t="e">
        <f>AND('PROG FORMACIÓN TITULADA'!#REF!,"AAAAAG/nvz8=")</f>
        <v>#REF!</v>
      </c>
      <c r="BM368" t="e">
        <f>AND('PROG FORMACIÓN TITULADA'!#REF!,"AAAAAG/nv0A=")</f>
        <v>#REF!</v>
      </c>
      <c r="BN368" t="e">
        <f>AND('PROG FORMACIÓN TITULADA'!#REF!,"AAAAAG/nv0E=")</f>
        <v>#REF!</v>
      </c>
      <c r="BO368" t="e">
        <f>AND('PROG FORMACIÓN TITULADA'!#REF!,"AAAAAG/nv0I=")</f>
        <v>#REF!</v>
      </c>
      <c r="BP368" t="e">
        <f>AND('PROG FORMACIÓN TITULADA'!#REF!,"AAAAAG/nv0M=")</f>
        <v>#REF!</v>
      </c>
      <c r="BQ368" t="e">
        <f>AND('PROG FORMACIÓN TITULADA'!#REF!,"AAAAAG/nv0Q=")</f>
        <v>#REF!</v>
      </c>
      <c r="BR368" t="e">
        <f>AND('PROG FORMACIÓN TITULADA'!#REF!,"AAAAAG/nv0U=")</f>
        <v>#REF!</v>
      </c>
      <c r="BS368" t="e">
        <f>AND('PROG FORMACIÓN TITULADA'!#REF!,"AAAAAG/nv0Y=")</f>
        <v>#REF!</v>
      </c>
      <c r="BT368" t="e">
        <f>AND('PROG FORMACIÓN TITULADA'!#REF!,"AAAAAG/nv0c=")</f>
        <v>#REF!</v>
      </c>
      <c r="BU368" t="e">
        <f>AND('PROG FORMACIÓN TITULADA'!#REF!,"AAAAAG/nv0g=")</f>
        <v>#REF!</v>
      </c>
      <c r="BV368" t="e">
        <f>AND('PROG FORMACIÓN TITULADA'!#REF!,"AAAAAG/nv0k=")</f>
        <v>#REF!</v>
      </c>
      <c r="BW368" t="e">
        <f>AND('PROG FORMACIÓN TITULADA'!#REF!,"AAAAAG/nv0o=")</f>
        <v>#REF!</v>
      </c>
      <c r="BX368" t="e">
        <f>AND('PROG FORMACIÓN TITULADA'!#REF!,"AAAAAG/nv0s=")</f>
        <v>#REF!</v>
      </c>
      <c r="BY368" t="e">
        <f>AND('PROG FORMACIÓN TITULADA'!#REF!,"AAAAAG/nv0w=")</f>
        <v>#REF!</v>
      </c>
      <c r="BZ368" t="e">
        <f>IF('PROG FORMACIÓN TITULADA'!#REF!,"AAAAAG/nv00=",0)</f>
        <v>#REF!</v>
      </c>
      <c r="CA368" t="e">
        <f>AND('PROG FORMACIÓN TITULADA'!#REF!,"AAAAAG/nv04=")</f>
        <v>#REF!</v>
      </c>
      <c r="CB368" t="e">
        <f>AND('PROG FORMACIÓN TITULADA'!#REF!,"AAAAAG/nv08=")</f>
        <v>#REF!</v>
      </c>
      <c r="CC368" t="e">
        <f>AND('PROG FORMACIÓN TITULADA'!#REF!,"AAAAAG/nv1A=")</f>
        <v>#REF!</v>
      </c>
      <c r="CD368" t="e">
        <f>AND('PROG FORMACIÓN TITULADA'!#REF!,"AAAAAG/nv1E=")</f>
        <v>#REF!</v>
      </c>
      <c r="CE368" t="e">
        <f>AND('PROG FORMACIÓN TITULADA'!#REF!,"AAAAAG/nv1I=")</f>
        <v>#REF!</v>
      </c>
      <c r="CF368" t="e">
        <f>AND('PROG FORMACIÓN TITULADA'!#REF!,"AAAAAG/nv1M=")</f>
        <v>#REF!</v>
      </c>
      <c r="CG368" t="e">
        <f>AND('PROG FORMACIÓN TITULADA'!#REF!,"AAAAAG/nv1Q=")</f>
        <v>#REF!</v>
      </c>
      <c r="CH368" t="e">
        <f>AND('PROG FORMACIÓN TITULADA'!#REF!,"AAAAAG/nv1U=")</f>
        <v>#REF!</v>
      </c>
      <c r="CI368" t="e">
        <f>AND('PROG FORMACIÓN TITULADA'!#REF!,"AAAAAG/nv1Y=")</f>
        <v>#REF!</v>
      </c>
      <c r="CJ368" t="e">
        <f>AND('PROG FORMACIÓN TITULADA'!#REF!,"AAAAAG/nv1c=")</f>
        <v>#REF!</v>
      </c>
      <c r="CK368" t="e">
        <f>AND('PROG FORMACIÓN TITULADA'!#REF!,"AAAAAG/nv1g=")</f>
        <v>#REF!</v>
      </c>
      <c r="CL368" t="e">
        <f>AND('PROG FORMACIÓN TITULADA'!#REF!,"AAAAAG/nv1k=")</f>
        <v>#REF!</v>
      </c>
      <c r="CM368" t="e">
        <f>AND('PROG FORMACIÓN TITULADA'!#REF!,"AAAAAG/nv1o=")</f>
        <v>#REF!</v>
      </c>
      <c r="CN368" t="e">
        <f>AND('PROG FORMACIÓN TITULADA'!#REF!,"AAAAAG/nv1s=")</f>
        <v>#REF!</v>
      </c>
      <c r="CO368" t="e">
        <f>AND('PROG FORMACIÓN TITULADA'!#REF!,"AAAAAG/nv1w=")</f>
        <v>#REF!</v>
      </c>
      <c r="CP368" t="e">
        <f>AND('PROG FORMACIÓN TITULADA'!#REF!,"AAAAAG/nv10=")</f>
        <v>#REF!</v>
      </c>
      <c r="CQ368" t="e">
        <f>AND('PROG FORMACIÓN TITULADA'!#REF!,"AAAAAG/nv14=")</f>
        <v>#REF!</v>
      </c>
      <c r="CR368" t="e">
        <f>AND('PROG FORMACIÓN TITULADA'!#REF!,"AAAAAG/nv18=")</f>
        <v>#REF!</v>
      </c>
      <c r="CS368" t="e">
        <f>AND('PROG FORMACIÓN TITULADA'!#REF!,"AAAAAG/nv2A=")</f>
        <v>#REF!</v>
      </c>
      <c r="CT368" t="e">
        <f>AND('PROG FORMACIÓN TITULADA'!#REF!,"AAAAAG/nv2E=")</f>
        <v>#REF!</v>
      </c>
      <c r="CU368" t="e">
        <f>AND('PROG FORMACIÓN TITULADA'!#REF!,"AAAAAG/nv2I=")</f>
        <v>#REF!</v>
      </c>
      <c r="CV368" t="e">
        <f>AND('PROG FORMACIÓN TITULADA'!#REF!,"AAAAAG/nv2M=")</f>
        <v>#REF!</v>
      </c>
      <c r="CW368" t="e">
        <f>AND('PROG FORMACIÓN TITULADA'!#REF!,"AAAAAG/nv2Q=")</f>
        <v>#REF!</v>
      </c>
      <c r="CX368" t="e">
        <f>AND('PROG FORMACIÓN TITULADA'!#REF!,"AAAAAG/nv2U=")</f>
        <v>#REF!</v>
      </c>
      <c r="CY368" t="e">
        <f>AND('PROG FORMACIÓN TITULADA'!#REF!,"AAAAAG/nv2Y=")</f>
        <v>#REF!</v>
      </c>
      <c r="CZ368" t="e">
        <f>AND('PROG FORMACIÓN TITULADA'!#REF!,"AAAAAG/nv2c=")</f>
        <v>#REF!</v>
      </c>
      <c r="DA368" t="e">
        <f>IF('PROG FORMACIÓN TITULADA'!#REF!,"AAAAAG/nv2g=",0)</f>
        <v>#REF!</v>
      </c>
      <c r="DB368" t="e">
        <f>AND('PROG FORMACIÓN TITULADA'!#REF!,"AAAAAG/nv2k=")</f>
        <v>#REF!</v>
      </c>
      <c r="DC368" t="e">
        <f>AND('PROG FORMACIÓN TITULADA'!#REF!,"AAAAAG/nv2o=")</f>
        <v>#REF!</v>
      </c>
      <c r="DD368" t="e">
        <f>AND('PROG FORMACIÓN TITULADA'!#REF!,"AAAAAG/nv2s=")</f>
        <v>#REF!</v>
      </c>
      <c r="DE368" t="e">
        <f>AND('PROG FORMACIÓN TITULADA'!#REF!,"AAAAAG/nv2w=")</f>
        <v>#REF!</v>
      </c>
      <c r="DF368" t="e">
        <f>AND('PROG FORMACIÓN TITULADA'!#REF!,"AAAAAG/nv20=")</f>
        <v>#REF!</v>
      </c>
      <c r="DG368" t="e">
        <f>AND('PROG FORMACIÓN TITULADA'!#REF!,"AAAAAG/nv24=")</f>
        <v>#REF!</v>
      </c>
      <c r="DH368" t="e">
        <f>AND('PROG FORMACIÓN TITULADA'!#REF!,"AAAAAG/nv28=")</f>
        <v>#REF!</v>
      </c>
      <c r="DI368" t="e">
        <f>AND('PROG FORMACIÓN TITULADA'!#REF!,"AAAAAG/nv3A=")</f>
        <v>#REF!</v>
      </c>
      <c r="DJ368" t="e">
        <f>AND('PROG FORMACIÓN TITULADA'!#REF!,"AAAAAG/nv3E=")</f>
        <v>#REF!</v>
      </c>
      <c r="DK368" t="e">
        <f>AND('PROG FORMACIÓN TITULADA'!#REF!,"AAAAAG/nv3I=")</f>
        <v>#REF!</v>
      </c>
      <c r="DL368" t="e">
        <f>AND('PROG FORMACIÓN TITULADA'!#REF!,"AAAAAG/nv3M=")</f>
        <v>#REF!</v>
      </c>
      <c r="DM368" t="e">
        <f>AND('PROG FORMACIÓN TITULADA'!#REF!,"AAAAAG/nv3Q=")</f>
        <v>#REF!</v>
      </c>
      <c r="DN368" t="e">
        <f>AND('PROG FORMACIÓN TITULADA'!#REF!,"AAAAAG/nv3U=")</f>
        <v>#REF!</v>
      </c>
      <c r="DO368" t="e">
        <f>AND('PROG FORMACIÓN TITULADA'!#REF!,"AAAAAG/nv3Y=")</f>
        <v>#REF!</v>
      </c>
      <c r="DP368" t="e">
        <f>AND('PROG FORMACIÓN TITULADA'!#REF!,"AAAAAG/nv3c=")</f>
        <v>#REF!</v>
      </c>
      <c r="DQ368" t="e">
        <f>AND('PROG FORMACIÓN TITULADA'!#REF!,"AAAAAG/nv3g=")</f>
        <v>#REF!</v>
      </c>
      <c r="DR368" t="e">
        <f>AND('PROG FORMACIÓN TITULADA'!#REF!,"AAAAAG/nv3k=")</f>
        <v>#REF!</v>
      </c>
      <c r="DS368" t="e">
        <f>AND('PROG FORMACIÓN TITULADA'!#REF!,"AAAAAG/nv3o=")</f>
        <v>#REF!</v>
      </c>
      <c r="DT368" t="e">
        <f>AND('PROG FORMACIÓN TITULADA'!#REF!,"AAAAAG/nv3s=")</f>
        <v>#REF!</v>
      </c>
      <c r="DU368" t="e">
        <f>AND('PROG FORMACIÓN TITULADA'!#REF!,"AAAAAG/nv3w=")</f>
        <v>#REF!</v>
      </c>
      <c r="DV368" t="e">
        <f>AND('PROG FORMACIÓN TITULADA'!#REF!,"AAAAAG/nv30=")</f>
        <v>#REF!</v>
      </c>
      <c r="DW368" t="e">
        <f>AND('PROG FORMACIÓN TITULADA'!#REF!,"AAAAAG/nv34=")</f>
        <v>#REF!</v>
      </c>
      <c r="DX368" t="e">
        <f>AND('PROG FORMACIÓN TITULADA'!#REF!,"AAAAAG/nv38=")</f>
        <v>#REF!</v>
      </c>
      <c r="DY368" t="e">
        <f>AND('PROG FORMACIÓN TITULADA'!#REF!,"AAAAAG/nv4A=")</f>
        <v>#REF!</v>
      </c>
      <c r="DZ368" t="e">
        <f>AND('PROG FORMACIÓN TITULADA'!#REF!,"AAAAAG/nv4E=")</f>
        <v>#REF!</v>
      </c>
      <c r="EA368" t="e">
        <f>AND('PROG FORMACIÓN TITULADA'!#REF!,"AAAAAG/nv4I=")</f>
        <v>#REF!</v>
      </c>
      <c r="EB368" t="e">
        <f>IF('PROG FORMACIÓN TITULADA'!#REF!,"AAAAAG/nv4M=",0)</f>
        <v>#REF!</v>
      </c>
      <c r="EC368" t="e">
        <f>AND('PROG FORMACIÓN TITULADA'!#REF!,"AAAAAG/nv4Q=")</f>
        <v>#REF!</v>
      </c>
      <c r="ED368" t="e">
        <f>AND('PROG FORMACIÓN TITULADA'!#REF!,"AAAAAG/nv4U=")</f>
        <v>#REF!</v>
      </c>
      <c r="EE368" t="e">
        <f>AND('PROG FORMACIÓN TITULADA'!#REF!,"AAAAAG/nv4Y=")</f>
        <v>#REF!</v>
      </c>
      <c r="EF368" t="e">
        <f>AND('PROG FORMACIÓN TITULADA'!#REF!,"AAAAAG/nv4c=")</f>
        <v>#REF!</v>
      </c>
      <c r="EG368" t="e">
        <f>AND('PROG FORMACIÓN TITULADA'!#REF!,"AAAAAG/nv4g=")</f>
        <v>#REF!</v>
      </c>
      <c r="EH368" t="e">
        <f>AND('PROG FORMACIÓN TITULADA'!#REF!,"AAAAAG/nv4k=")</f>
        <v>#REF!</v>
      </c>
      <c r="EI368" t="e">
        <f>AND('PROG FORMACIÓN TITULADA'!#REF!,"AAAAAG/nv4o=")</f>
        <v>#REF!</v>
      </c>
      <c r="EJ368" t="e">
        <f>AND('PROG FORMACIÓN TITULADA'!#REF!,"AAAAAG/nv4s=")</f>
        <v>#REF!</v>
      </c>
      <c r="EK368" t="e">
        <f>AND('PROG FORMACIÓN TITULADA'!#REF!,"AAAAAG/nv4w=")</f>
        <v>#REF!</v>
      </c>
      <c r="EL368" t="e">
        <f>AND('PROG FORMACIÓN TITULADA'!#REF!,"AAAAAG/nv40=")</f>
        <v>#REF!</v>
      </c>
      <c r="EM368" t="e">
        <f>AND('PROG FORMACIÓN TITULADA'!#REF!,"AAAAAG/nv44=")</f>
        <v>#REF!</v>
      </c>
      <c r="EN368" t="e">
        <f>AND('PROG FORMACIÓN TITULADA'!#REF!,"AAAAAG/nv48=")</f>
        <v>#REF!</v>
      </c>
      <c r="EO368" t="e">
        <f>AND('PROG FORMACIÓN TITULADA'!#REF!,"AAAAAG/nv5A=")</f>
        <v>#REF!</v>
      </c>
      <c r="EP368" t="e">
        <f>AND('PROG FORMACIÓN TITULADA'!#REF!,"AAAAAG/nv5E=")</f>
        <v>#REF!</v>
      </c>
      <c r="EQ368" t="e">
        <f>AND('PROG FORMACIÓN TITULADA'!#REF!,"AAAAAG/nv5I=")</f>
        <v>#REF!</v>
      </c>
      <c r="ER368" t="e">
        <f>AND('PROG FORMACIÓN TITULADA'!#REF!,"AAAAAG/nv5M=")</f>
        <v>#REF!</v>
      </c>
      <c r="ES368" t="e">
        <f>AND('PROG FORMACIÓN TITULADA'!#REF!,"AAAAAG/nv5Q=")</f>
        <v>#REF!</v>
      </c>
      <c r="ET368" t="e">
        <f>AND('PROG FORMACIÓN TITULADA'!#REF!,"AAAAAG/nv5U=")</f>
        <v>#REF!</v>
      </c>
      <c r="EU368" t="e">
        <f>AND('PROG FORMACIÓN TITULADA'!#REF!,"AAAAAG/nv5Y=")</f>
        <v>#REF!</v>
      </c>
      <c r="EV368" t="e">
        <f>AND('PROG FORMACIÓN TITULADA'!#REF!,"AAAAAG/nv5c=")</f>
        <v>#REF!</v>
      </c>
      <c r="EW368" t="e">
        <f>AND('PROG FORMACIÓN TITULADA'!#REF!,"AAAAAG/nv5g=")</f>
        <v>#REF!</v>
      </c>
      <c r="EX368" t="e">
        <f>AND('PROG FORMACIÓN TITULADA'!#REF!,"AAAAAG/nv5k=")</f>
        <v>#REF!</v>
      </c>
      <c r="EY368" t="e">
        <f>AND('PROG FORMACIÓN TITULADA'!#REF!,"AAAAAG/nv5o=")</f>
        <v>#REF!</v>
      </c>
      <c r="EZ368" t="e">
        <f>AND('PROG FORMACIÓN TITULADA'!#REF!,"AAAAAG/nv5s=")</f>
        <v>#REF!</v>
      </c>
      <c r="FA368" t="e">
        <f>AND('PROG FORMACIÓN TITULADA'!#REF!,"AAAAAG/nv5w=")</f>
        <v>#REF!</v>
      </c>
      <c r="FB368" t="e">
        <f>AND('PROG FORMACIÓN TITULADA'!#REF!,"AAAAAG/nv50=")</f>
        <v>#REF!</v>
      </c>
      <c r="FC368" t="e">
        <f>IF('PROG FORMACIÓN TITULADA'!#REF!,"AAAAAG/nv54=",0)</f>
        <v>#REF!</v>
      </c>
      <c r="FD368" t="e">
        <f>AND('PROG FORMACIÓN TITULADA'!#REF!,"AAAAAG/nv58=")</f>
        <v>#REF!</v>
      </c>
      <c r="FE368" t="e">
        <f>AND('PROG FORMACIÓN TITULADA'!#REF!,"AAAAAG/nv6A=")</f>
        <v>#REF!</v>
      </c>
      <c r="FF368" t="e">
        <f>AND('PROG FORMACIÓN TITULADA'!#REF!,"AAAAAG/nv6E=")</f>
        <v>#REF!</v>
      </c>
      <c r="FG368" t="e">
        <f>AND('PROG FORMACIÓN TITULADA'!#REF!,"AAAAAG/nv6I=")</f>
        <v>#REF!</v>
      </c>
      <c r="FH368" t="e">
        <f>AND('PROG FORMACIÓN TITULADA'!#REF!,"AAAAAG/nv6M=")</f>
        <v>#REF!</v>
      </c>
      <c r="FI368" t="e">
        <f>AND('PROG FORMACIÓN TITULADA'!#REF!,"AAAAAG/nv6Q=")</f>
        <v>#REF!</v>
      </c>
      <c r="FJ368" t="e">
        <f>AND('PROG FORMACIÓN TITULADA'!#REF!,"AAAAAG/nv6U=")</f>
        <v>#REF!</v>
      </c>
      <c r="FK368" t="e">
        <f>AND('PROG FORMACIÓN TITULADA'!#REF!,"AAAAAG/nv6Y=")</f>
        <v>#REF!</v>
      </c>
      <c r="FL368" t="e">
        <f>AND('PROG FORMACIÓN TITULADA'!#REF!,"AAAAAG/nv6c=")</f>
        <v>#REF!</v>
      </c>
      <c r="FM368" t="e">
        <f>AND('PROG FORMACIÓN TITULADA'!#REF!,"AAAAAG/nv6g=")</f>
        <v>#REF!</v>
      </c>
      <c r="FN368" t="e">
        <f>AND('PROG FORMACIÓN TITULADA'!#REF!,"AAAAAG/nv6k=")</f>
        <v>#REF!</v>
      </c>
      <c r="FO368" t="e">
        <f>AND('PROG FORMACIÓN TITULADA'!#REF!,"AAAAAG/nv6o=")</f>
        <v>#REF!</v>
      </c>
      <c r="FP368" t="e">
        <f>AND('PROG FORMACIÓN TITULADA'!#REF!,"AAAAAG/nv6s=")</f>
        <v>#REF!</v>
      </c>
      <c r="FQ368" t="e">
        <f>AND('PROG FORMACIÓN TITULADA'!#REF!,"AAAAAG/nv6w=")</f>
        <v>#REF!</v>
      </c>
      <c r="FR368" t="e">
        <f>AND('PROG FORMACIÓN TITULADA'!#REF!,"AAAAAG/nv60=")</f>
        <v>#REF!</v>
      </c>
      <c r="FS368" t="e">
        <f>AND('PROG FORMACIÓN TITULADA'!#REF!,"AAAAAG/nv64=")</f>
        <v>#REF!</v>
      </c>
      <c r="FT368" t="e">
        <f>AND('PROG FORMACIÓN TITULADA'!#REF!,"AAAAAG/nv68=")</f>
        <v>#REF!</v>
      </c>
      <c r="FU368" t="e">
        <f>AND('PROG FORMACIÓN TITULADA'!#REF!,"AAAAAG/nv7A=")</f>
        <v>#REF!</v>
      </c>
      <c r="FV368" t="e">
        <f>AND('PROG FORMACIÓN TITULADA'!#REF!,"AAAAAG/nv7E=")</f>
        <v>#REF!</v>
      </c>
      <c r="FW368" t="e">
        <f>AND('PROG FORMACIÓN TITULADA'!#REF!,"AAAAAG/nv7I=")</f>
        <v>#REF!</v>
      </c>
      <c r="FX368" t="e">
        <f>AND('PROG FORMACIÓN TITULADA'!#REF!,"AAAAAG/nv7M=")</f>
        <v>#REF!</v>
      </c>
      <c r="FY368" t="e">
        <f>AND('PROG FORMACIÓN TITULADA'!#REF!,"AAAAAG/nv7Q=")</f>
        <v>#REF!</v>
      </c>
      <c r="FZ368" t="e">
        <f>AND('PROG FORMACIÓN TITULADA'!#REF!,"AAAAAG/nv7U=")</f>
        <v>#REF!</v>
      </c>
      <c r="GA368" t="e">
        <f>AND('PROG FORMACIÓN TITULADA'!#REF!,"AAAAAG/nv7Y=")</f>
        <v>#REF!</v>
      </c>
      <c r="GB368" t="e">
        <f>AND('PROG FORMACIÓN TITULADA'!#REF!,"AAAAAG/nv7c=")</f>
        <v>#REF!</v>
      </c>
      <c r="GC368" t="e">
        <f>AND('PROG FORMACIÓN TITULADA'!#REF!,"AAAAAG/nv7g=")</f>
        <v>#REF!</v>
      </c>
      <c r="GD368" t="e">
        <f>IF('PROG FORMACIÓN TITULADA'!#REF!,"AAAAAG/nv7k=",0)</f>
        <v>#REF!</v>
      </c>
      <c r="GE368" t="e">
        <f>AND('PROG FORMACIÓN TITULADA'!#REF!,"AAAAAG/nv7o=")</f>
        <v>#REF!</v>
      </c>
      <c r="GF368" t="e">
        <f>AND('PROG FORMACIÓN TITULADA'!#REF!,"AAAAAG/nv7s=")</f>
        <v>#REF!</v>
      </c>
      <c r="GG368" t="e">
        <f>AND('PROG FORMACIÓN TITULADA'!#REF!,"AAAAAG/nv7w=")</f>
        <v>#REF!</v>
      </c>
      <c r="GH368" t="e">
        <f>AND('PROG FORMACIÓN TITULADA'!#REF!,"AAAAAG/nv70=")</f>
        <v>#REF!</v>
      </c>
      <c r="GI368" t="e">
        <f>AND('PROG FORMACIÓN TITULADA'!#REF!,"AAAAAG/nv74=")</f>
        <v>#REF!</v>
      </c>
      <c r="GJ368" t="e">
        <f>AND('PROG FORMACIÓN TITULADA'!#REF!,"AAAAAG/nv78=")</f>
        <v>#REF!</v>
      </c>
      <c r="GK368" t="e">
        <f>AND('PROG FORMACIÓN TITULADA'!#REF!,"AAAAAG/nv8A=")</f>
        <v>#REF!</v>
      </c>
      <c r="GL368" t="e">
        <f>AND('PROG FORMACIÓN TITULADA'!#REF!,"AAAAAG/nv8E=")</f>
        <v>#REF!</v>
      </c>
      <c r="GM368" t="e">
        <f>AND('PROG FORMACIÓN TITULADA'!#REF!,"AAAAAG/nv8I=")</f>
        <v>#REF!</v>
      </c>
      <c r="GN368" t="e">
        <f>AND('PROG FORMACIÓN TITULADA'!#REF!,"AAAAAG/nv8M=")</f>
        <v>#REF!</v>
      </c>
      <c r="GO368" t="e">
        <f>AND('PROG FORMACIÓN TITULADA'!#REF!,"AAAAAG/nv8Q=")</f>
        <v>#REF!</v>
      </c>
      <c r="GP368" t="e">
        <f>AND('PROG FORMACIÓN TITULADA'!#REF!,"AAAAAG/nv8U=")</f>
        <v>#REF!</v>
      </c>
      <c r="GQ368" t="e">
        <f>AND('PROG FORMACIÓN TITULADA'!#REF!,"AAAAAG/nv8Y=")</f>
        <v>#REF!</v>
      </c>
      <c r="GR368" t="e">
        <f>AND('PROG FORMACIÓN TITULADA'!#REF!,"AAAAAG/nv8c=")</f>
        <v>#REF!</v>
      </c>
      <c r="GS368" t="e">
        <f>AND('PROG FORMACIÓN TITULADA'!#REF!,"AAAAAG/nv8g=")</f>
        <v>#REF!</v>
      </c>
      <c r="GT368" t="e">
        <f>AND('PROG FORMACIÓN TITULADA'!#REF!,"AAAAAG/nv8k=")</f>
        <v>#REF!</v>
      </c>
      <c r="GU368" t="e">
        <f>AND('PROG FORMACIÓN TITULADA'!#REF!,"AAAAAG/nv8o=")</f>
        <v>#REF!</v>
      </c>
      <c r="GV368" t="e">
        <f>AND('PROG FORMACIÓN TITULADA'!#REF!,"AAAAAG/nv8s=")</f>
        <v>#REF!</v>
      </c>
      <c r="GW368" t="e">
        <f>AND('PROG FORMACIÓN TITULADA'!#REF!,"AAAAAG/nv8w=")</f>
        <v>#REF!</v>
      </c>
      <c r="GX368" t="e">
        <f>AND('PROG FORMACIÓN TITULADA'!#REF!,"AAAAAG/nv80=")</f>
        <v>#REF!</v>
      </c>
      <c r="GY368" t="e">
        <f>AND('PROG FORMACIÓN TITULADA'!#REF!,"AAAAAG/nv84=")</f>
        <v>#REF!</v>
      </c>
      <c r="GZ368" t="e">
        <f>AND('PROG FORMACIÓN TITULADA'!#REF!,"AAAAAG/nv88=")</f>
        <v>#REF!</v>
      </c>
      <c r="HA368" t="e">
        <f>AND('PROG FORMACIÓN TITULADA'!#REF!,"AAAAAG/nv9A=")</f>
        <v>#REF!</v>
      </c>
      <c r="HB368" t="e">
        <f>AND('PROG FORMACIÓN TITULADA'!#REF!,"AAAAAG/nv9E=")</f>
        <v>#REF!</v>
      </c>
      <c r="HC368" t="e">
        <f>AND('PROG FORMACIÓN TITULADA'!#REF!,"AAAAAG/nv9I=")</f>
        <v>#REF!</v>
      </c>
      <c r="HD368" t="e">
        <f>AND('PROG FORMACIÓN TITULADA'!#REF!,"AAAAAG/nv9M=")</f>
        <v>#REF!</v>
      </c>
      <c r="HE368" t="e">
        <f>IF('PROG FORMACIÓN TITULADA'!#REF!,"AAAAAG/nv9Q=",0)</f>
        <v>#REF!</v>
      </c>
      <c r="HF368" t="e">
        <f>AND('PROG FORMACIÓN TITULADA'!#REF!,"AAAAAG/nv9U=")</f>
        <v>#REF!</v>
      </c>
      <c r="HG368" t="e">
        <f>AND('PROG FORMACIÓN TITULADA'!#REF!,"AAAAAG/nv9Y=")</f>
        <v>#REF!</v>
      </c>
      <c r="HH368" t="e">
        <f>AND('PROG FORMACIÓN TITULADA'!#REF!,"AAAAAG/nv9c=")</f>
        <v>#REF!</v>
      </c>
      <c r="HI368" t="e">
        <f>AND('PROG FORMACIÓN TITULADA'!#REF!,"AAAAAG/nv9g=")</f>
        <v>#REF!</v>
      </c>
      <c r="HJ368" t="e">
        <f>AND('PROG FORMACIÓN TITULADA'!#REF!,"AAAAAG/nv9k=")</f>
        <v>#REF!</v>
      </c>
      <c r="HK368" t="e">
        <f>AND('PROG FORMACIÓN TITULADA'!#REF!,"AAAAAG/nv9o=")</f>
        <v>#REF!</v>
      </c>
      <c r="HL368" t="e">
        <f>AND('PROG FORMACIÓN TITULADA'!#REF!,"AAAAAG/nv9s=")</f>
        <v>#REF!</v>
      </c>
      <c r="HM368" t="e">
        <f>AND('PROG FORMACIÓN TITULADA'!#REF!,"AAAAAG/nv9w=")</f>
        <v>#REF!</v>
      </c>
      <c r="HN368" t="e">
        <f>AND('PROG FORMACIÓN TITULADA'!#REF!,"AAAAAG/nv90=")</f>
        <v>#REF!</v>
      </c>
      <c r="HO368" t="e">
        <f>AND('PROG FORMACIÓN TITULADA'!#REF!,"AAAAAG/nv94=")</f>
        <v>#REF!</v>
      </c>
      <c r="HP368" t="e">
        <f>AND('PROG FORMACIÓN TITULADA'!#REF!,"AAAAAG/nv98=")</f>
        <v>#REF!</v>
      </c>
      <c r="HQ368" t="e">
        <f>AND('PROG FORMACIÓN TITULADA'!#REF!,"AAAAAG/nv+A=")</f>
        <v>#REF!</v>
      </c>
      <c r="HR368" t="e">
        <f>AND('PROG FORMACIÓN TITULADA'!#REF!,"AAAAAG/nv+E=")</f>
        <v>#REF!</v>
      </c>
      <c r="HS368" t="e">
        <f>AND('PROG FORMACIÓN TITULADA'!#REF!,"AAAAAG/nv+I=")</f>
        <v>#REF!</v>
      </c>
      <c r="HT368" t="e">
        <f>AND('PROG FORMACIÓN TITULADA'!#REF!,"AAAAAG/nv+M=")</f>
        <v>#REF!</v>
      </c>
      <c r="HU368" t="e">
        <f>AND('PROG FORMACIÓN TITULADA'!#REF!,"AAAAAG/nv+Q=")</f>
        <v>#REF!</v>
      </c>
      <c r="HV368" t="e">
        <f>AND('PROG FORMACIÓN TITULADA'!#REF!,"AAAAAG/nv+U=")</f>
        <v>#REF!</v>
      </c>
      <c r="HW368" t="e">
        <f>AND('PROG FORMACIÓN TITULADA'!#REF!,"AAAAAG/nv+Y=")</f>
        <v>#REF!</v>
      </c>
      <c r="HX368" t="e">
        <f>AND('PROG FORMACIÓN TITULADA'!#REF!,"AAAAAG/nv+c=")</f>
        <v>#REF!</v>
      </c>
      <c r="HY368" t="e">
        <f>AND('PROG FORMACIÓN TITULADA'!#REF!,"AAAAAG/nv+g=")</f>
        <v>#REF!</v>
      </c>
      <c r="HZ368" t="e">
        <f>AND('PROG FORMACIÓN TITULADA'!#REF!,"AAAAAG/nv+k=")</f>
        <v>#REF!</v>
      </c>
      <c r="IA368" t="e">
        <f>AND('PROG FORMACIÓN TITULADA'!#REF!,"AAAAAG/nv+o=")</f>
        <v>#REF!</v>
      </c>
      <c r="IB368" t="e">
        <f>AND('PROG FORMACIÓN TITULADA'!#REF!,"AAAAAG/nv+s=")</f>
        <v>#REF!</v>
      </c>
      <c r="IC368" t="e">
        <f>AND('PROG FORMACIÓN TITULADA'!#REF!,"AAAAAG/nv+w=")</f>
        <v>#REF!</v>
      </c>
      <c r="ID368" t="e">
        <f>AND('PROG FORMACIÓN TITULADA'!#REF!,"AAAAAG/nv+0=")</f>
        <v>#REF!</v>
      </c>
      <c r="IE368" t="e">
        <f>AND('PROG FORMACIÓN TITULADA'!#REF!,"AAAAAG/nv+4=")</f>
        <v>#REF!</v>
      </c>
      <c r="IF368" t="e">
        <f>IF('PROG FORMACIÓN TITULADA'!#REF!,"AAAAAG/nv+8=",0)</f>
        <v>#REF!</v>
      </c>
      <c r="IG368" t="e">
        <f>AND('PROG FORMACIÓN TITULADA'!#REF!,"AAAAAG/nv/A=")</f>
        <v>#REF!</v>
      </c>
      <c r="IH368" t="e">
        <f>AND('PROG FORMACIÓN TITULADA'!#REF!,"AAAAAG/nv/E=")</f>
        <v>#REF!</v>
      </c>
      <c r="II368" t="e">
        <f>AND('PROG FORMACIÓN TITULADA'!#REF!,"AAAAAG/nv/I=")</f>
        <v>#REF!</v>
      </c>
      <c r="IJ368" t="e">
        <f>AND('PROG FORMACIÓN TITULADA'!#REF!,"AAAAAG/nv/M=")</f>
        <v>#REF!</v>
      </c>
      <c r="IK368" t="e">
        <f>AND('PROG FORMACIÓN TITULADA'!#REF!,"AAAAAG/nv/Q=")</f>
        <v>#REF!</v>
      </c>
      <c r="IL368" t="e">
        <f>AND('PROG FORMACIÓN TITULADA'!#REF!,"AAAAAG/nv/U=")</f>
        <v>#REF!</v>
      </c>
      <c r="IM368" t="e">
        <f>AND('PROG FORMACIÓN TITULADA'!#REF!,"AAAAAG/nv/Y=")</f>
        <v>#REF!</v>
      </c>
      <c r="IN368" t="e">
        <f>AND('PROG FORMACIÓN TITULADA'!#REF!,"AAAAAG/nv/c=")</f>
        <v>#REF!</v>
      </c>
      <c r="IO368" t="e">
        <f>AND('PROG FORMACIÓN TITULADA'!#REF!,"AAAAAG/nv/g=")</f>
        <v>#REF!</v>
      </c>
      <c r="IP368" t="e">
        <f>AND('PROG FORMACIÓN TITULADA'!#REF!,"AAAAAG/nv/k=")</f>
        <v>#REF!</v>
      </c>
      <c r="IQ368" t="e">
        <f>AND('PROG FORMACIÓN TITULADA'!#REF!,"AAAAAG/nv/o=")</f>
        <v>#REF!</v>
      </c>
      <c r="IR368" t="e">
        <f>AND('PROG FORMACIÓN TITULADA'!#REF!,"AAAAAG/nv/s=")</f>
        <v>#REF!</v>
      </c>
      <c r="IS368" t="e">
        <f>AND('PROG FORMACIÓN TITULADA'!#REF!,"AAAAAG/nv/w=")</f>
        <v>#REF!</v>
      </c>
      <c r="IT368" t="e">
        <f>AND('PROG FORMACIÓN TITULADA'!#REF!,"AAAAAG/nv/0=")</f>
        <v>#REF!</v>
      </c>
      <c r="IU368" t="e">
        <f>AND('PROG FORMACIÓN TITULADA'!#REF!,"AAAAAG/nv/4=")</f>
        <v>#REF!</v>
      </c>
      <c r="IV368" t="e">
        <f>AND('PROG FORMACIÓN TITULADA'!#REF!,"AAAAAG/nv/8=")</f>
        <v>#REF!</v>
      </c>
    </row>
    <row r="369" spans="1:256" x14ac:dyDescent="0.2">
      <c r="A369" t="e">
        <f>AND('PROG FORMACIÓN TITULADA'!#REF!,"AAAAAE7bvgA=")</f>
        <v>#REF!</v>
      </c>
      <c r="B369" t="e">
        <f>AND('PROG FORMACIÓN TITULADA'!#REF!,"AAAAAE7bvgE=")</f>
        <v>#REF!</v>
      </c>
      <c r="C369" t="e">
        <f>AND('PROG FORMACIÓN TITULADA'!#REF!,"AAAAAE7bvgI=")</f>
        <v>#REF!</v>
      </c>
      <c r="D369" t="e">
        <f>AND('PROG FORMACIÓN TITULADA'!#REF!,"AAAAAE7bvgM=")</f>
        <v>#REF!</v>
      </c>
      <c r="E369" t="e">
        <f>AND('PROG FORMACIÓN TITULADA'!#REF!,"AAAAAE7bvgQ=")</f>
        <v>#REF!</v>
      </c>
      <c r="F369" t="e">
        <f>AND('PROG FORMACIÓN TITULADA'!#REF!,"AAAAAE7bvgU=")</f>
        <v>#REF!</v>
      </c>
      <c r="G369" t="e">
        <f>AND('PROG FORMACIÓN TITULADA'!#REF!,"AAAAAE7bvgY=")</f>
        <v>#REF!</v>
      </c>
      <c r="H369" t="e">
        <f>AND('PROG FORMACIÓN TITULADA'!#REF!,"AAAAAE7bvgc=")</f>
        <v>#REF!</v>
      </c>
      <c r="I369" t="e">
        <f>AND('PROG FORMACIÓN TITULADA'!#REF!,"AAAAAE7bvgg=")</f>
        <v>#REF!</v>
      </c>
      <c r="J369" t="e">
        <f>AND('PROG FORMACIÓN TITULADA'!#REF!,"AAAAAE7bvgk=")</f>
        <v>#REF!</v>
      </c>
      <c r="K369" t="e">
        <f>IF('PROG FORMACIÓN TITULADA'!#REF!,"AAAAAE7bvgo=",0)</f>
        <v>#REF!</v>
      </c>
      <c r="L369" t="e">
        <f>AND('PROG FORMACIÓN TITULADA'!#REF!,"AAAAAE7bvgs=")</f>
        <v>#REF!</v>
      </c>
      <c r="M369" t="e">
        <f>AND('PROG FORMACIÓN TITULADA'!#REF!,"AAAAAE7bvgw=")</f>
        <v>#REF!</v>
      </c>
      <c r="N369" t="e">
        <f>AND('PROG FORMACIÓN TITULADA'!#REF!,"AAAAAE7bvg0=")</f>
        <v>#REF!</v>
      </c>
      <c r="O369" t="e">
        <f>AND('PROG FORMACIÓN TITULADA'!#REF!,"AAAAAE7bvg4=")</f>
        <v>#REF!</v>
      </c>
      <c r="P369" t="e">
        <f>AND('PROG FORMACIÓN TITULADA'!#REF!,"AAAAAE7bvg8=")</f>
        <v>#REF!</v>
      </c>
      <c r="Q369" t="e">
        <f>AND('PROG FORMACIÓN TITULADA'!#REF!,"AAAAAE7bvhA=")</f>
        <v>#REF!</v>
      </c>
      <c r="R369" t="e">
        <f>AND('PROG FORMACIÓN TITULADA'!#REF!,"AAAAAE7bvhE=")</f>
        <v>#REF!</v>
      </c>
      <c r="S369" t="e">
        <f>AND('PROG FORMACIÓN TITULADA'!#REF!,"AAAAAE7bvhI=")</f>
        <v>#REF!</v>
      </c>
      <c r="T369" t="e">
        <f>AND('PROG FORMACIÓN TITULADA'!#REF!,"AAAAAE7bvhM=")</f>
        <v>#REF!</v>
      </c>
      <c r="U369" t="e">
        <f>AND('PROG FORMACIÓN TITULADA'!#REF!,"AAAAAE7bvhQ=")</f>
        <v>#REF!</v>
      </c>
      <c r="V369" t="e">
        <f>AND('PROG FORMACIÓN TITULADA'!#REF!,"AAAAAE7bvhU=")</f>
        <v>#REF!</v>
      </c>
      <c r="W369" t="e">
        <f>AND('PROG FORMACIÓN TITULADA'!#REF!,"AAAAAE7bvhY=")</f>
        <v>#REF!</v>
      </c>
      <c r="X369" t="e">
        <f>AND('PROG FORMACIÓN TITULADA'!#REF!,"AAAAAE7bvhc=")</f>
        <v>#REF!</v>
      </c>
      <c r="Y369" t="e">
        <f>AND('PROG FORMACIÓN TITULADA'!#REF!,"AAAAAE7bvhg=")</f>
        <v>#REF!</v>
      </c>
      <c r="Z369" t="e">
        <f>AND('PROG FORMACIÓN TITULADA'!#REF!,"AAAAAE7bvhk=")</f>
        <v>#REF!</v>
      </c>
      <c r="AA369" t="e">
        <f>AND('PROG FORMACIÓN TITULADA'!#REF!,"AAAAAE7bvho=")</f>
        <v>#REF!</v>
      </c>
      <c r="AB369" t="e">
        <f>AND('PROG FORMACIÓN TITULADA'!#REF!,"AAAAAE7bvhs=")</f>
        <v>#REF!</v>
      </c>
      <c r="AC369" t="e">
        <f>AND('PROG FORMACIÓN TITULADA'!#REF!,"AAAAAE7bvhw=")</f>
        <v>#REF!</v>
      </c>
      <c r="AD369" t="e">
        <f>AND('PROG FORMACIÓN TITULADA'!#REF!,"AAAAAE7bvh0=")</f>
        <v>#REF!</v>
      </c>
      <c r="AE369" t="e">
        <f>AND('PROG FORMACIÓN TITULADA'!#REF!,"AAAAAE7bvh4=")</f>
        <v>#REF!</v>
      </c>
      <c r="AF369" t="e">
        <f>AND('PROG FORMACIÓN TITULADA'!#REF!,"AAAAAE7bvh8=")</f>
        <v>#REF!</v>
      </c>
      <c r="AG369" t="e">
        <f>AND('PROG FORMACIÓN TITULADA'!#REF!,"AAAAAE7bviA=")</f>
        <v>#REF!</v>
      </c>
      <c r="AH369" t="e">
        <f>AND('PROG FORMACIÓN TITULADA'!#REF!,"AAAAAE7bviE=")</f>
        <v>#REF!</v>
      </c>
      <c r="AI369" t="e">
        <f>AND('PROG FORMACIÓN TITULADA'!#REF!,"AAAAAE7bviI=")</f>
        <v>#REF!</v>
      </c>
      <c r="AJ369" t="e">
        <f>AND('PROG FORMACIÓN TITULADA'!#REF!,"AAAAAE7bviM=")</f>
        <v>#REF!</v>
      </c>
      <c r="AK369" t="e">
        <f>AND('PROG FORMACIÓN TITULADA'!#REF!,"AAAAAE7bviQ=")</f>
        <v>#REF!</v>
      </c>
      <c r="AL369" t="e">
        <f>IF('PROG FORMACIÓN TITULADA'!#REF!,"AAAAAE7bviU=",0)</f>
        <v>#REF!</v>
      </c>
      <c r="AM369" t="e">
        <f>AND('PROG FORMACIÓN TITULADA'!#REF!,"AAAAAE7bviY=")</f>
        <v>#REF!</v>
      </c>
      <c r="AN369" t="e">
        <f>AND('PROG FORMACIÓN TITULADA'!#REF!,"AAAAAE7bvic=")</f>
        <v>#REF!</v>
      </c>
      <c r="AO369" t="e">
        <f>AND('PROG FORMACIÓN TITULADA'!#REF!,"AAAAAE7bvig=")</f>
        <v>#REF!</v>
      </c>
      <c r="AP369" t="e">
        <f>AND('PROG FORMACIÓN TITULADA'!#REF!,"AAAAAE7bvik=")</f>
        <v>#REF!</v>
      </c>
      <c r="AQ369" t="e">
        <f>AND('PROG FORMACIÓN TITULADA'!#REF!,"AAAAAE7bvio=")</f>
        <v>#REF!</v>
      </c>
      <c r="AR369" t="e">
        <f>AND('PROG FORMACIÓN TITULADA'!#REF!,"AAAAAE7bvis=")</f>
        <v>#REF!</v>
      </c>
      <c r="AS369" t="e">
        <f>AND('PROG FORMACIÓN TITULADA'!#REF!,"AAAAAE7bviw=")</f>
        <v>#REF!</v>
      </c>
      <c r="AT369" t="e">
        <f>AND('PROG FORMACIÓN TITULADA'!#REF!,"AAAAAE7bvi0=")</f>
        <v>#REF!</v>
      </c>
      <c r="AU369" t="e">
        <f>AND('PROG FORMACIÓN TITULADA'!#REF!,"AAAAAE7bvi4=")</f>
        <v>#REF!</v>
      </c>
      <c r="AV369" t="e">
        <f>AND('PROG FORMACIÓN TITULADA'!#REF!,"AAAAAE7bvi8=")</f>
        <v>#REF!</v>
      </c>
      <c r="AW369" t="e">
        <f>AND('PROG FORMACIÓN TITULADA'!#REF!,"AAAAAE7bvjA=")</f>
        <v>#REF!</v>
      </c>
      <c r="AX369" t="e">
        <f>AND('PROG FORMACIÓN TITULADA'!#REF!,"AAAAAE7bvjE=")</f>
        <v>#REF!</v>
      </c>
      <c r="AY369" t="e">
        <f>AND('PROG FORMACIÓN TITULADA'!#REF!,"AAAAAE7bvjI=")</f>
        <v>#REF!</v>
      </c>
      <c r="AZ369" t="e">
        <f>AND('PROG FORMACIÓN TITULADA'!#REF!,"AAAAAE7bvjM=")</f>
        <v>#REF!</v>
      </c>
      <c r="BA369" t="e">
        <f>AND('PROG FORMACIÓN TITULADA'!#REF!,"AAAAAE7bvjQ=")</f>
        <v>#REF!</v>
      </c>
      <c r="BB369" t="e">
        <f>AND('PROG FORMACIÓN TITULADA'!#REF!,"AAAAAE7bvjU=")</f>
        <v>#REF!</v>
      </c>
      <c r="BC369" t="e">
        <f>AND('PROG FORMACIÓN TITULADA'!#REF!,"AAAAAE7bvjY=")</f>
        <v>#REF!</v>
      </c>
      <c r="BD369" t="e">
        <f>AND('PROG FORMACIÓN TITULADA'!#REF!,"AAAAAE7bvjc=")</f>
        <v>#REF!</v>
      </c>
      <c r="BE369" t="e">
        <f>AND('PROG FORMACIÓN TITULADA'!#REF!,"AAAAAE7bvjg=")</f>
        <v>#REF!</v>
      </c>
      <c r="BF369" t="e">
        <f>AND('PROG FORMACIÓN TITULADA'!#REF!,"AAAAAE7bvjk=")</f>
        <v>#REF!</v>
      </c>
      <c r="BG369" t="e">
        <f>AND('PROG FORMACIÓN TITULADA'!#REF!,"AAAAAE7bvjo=")</f>
        <v>#REF!</v>
      </c>
      <c r="BH369" t="e">
        <f>AND('PROG FORMACIÓN TITULADA'!#REF!,"AAAAAE7bvjs=")</f>
        <v>#REF!</v>
      </c>
      <c r="BI369" t="e">
        <f>AND('PROG FORMACIÓN TITULADA'!#REF!,"AAAAAE7bvjw=")</f>
        <v>#REF!</v>
      </c>
      <c r="BJ369" t="e">
        <f>AND('PROG FORMACIÓN TITULADA'!#REF!,"AAAAAE7bvj0=")</f>
        <v>#REF!</v>
      </c>
      <c r="BK369" t="e">
        <f>AND('PROG FORMACIÓN TITULADA'!#REF!,"AAAAAE7bvj4=")</f>
        <v>#REF!</v>
      </c>
      <c r="BL369" t="e">
        <f>AND('PROG FORMACIÓN TITULADA'!#REF!,"AAAAAE7bvj8=")</f>
        <v>#REF!</v>
      </c>
      <c r="BM369" t="e">
        <f>IF('PROG FORMACIÓN TITULADA'!#REF!,"AAAAAE7bvkA=",0)</f>
        <v>#REF!</v>
      </c>
      <c r="BN369" t="e">
        <f>AND('PROG FORMACIÓN TITULADA'!#REF!,"AAAAAE7bvkE=")</f>
        <v>#REF!</v>
      </c>
      <c r="BO369" t="e">
        <f>AND('PROG FORMACIÓN TITULADA'!#REF!,"AAAAAE7bvkI=")</f>
        <v>#REF!</v>
      </c>
      <c r="BP369" t="e">
        <f>AND('PROG FORMACIÓN TITULADA'!#REF!,"AAAAAE7bvkM=")</f>
        <v>#REF!</v>
      </c>
      <c r="BQ369" t="e">
        <f>AND('PROG FORMACIÓN TITULADA'!#REF!,"AAAAAE7bvkQ=")</f>
        <v>#REF!</v>
      </c>
      <c r="BR369" t="e">
        <f>AND('PROG FORMACIÓN TITULADA'!#REF!,"AAAAAE7bvkU=")</f>
        <v>#REF!</v>
      </c>
      <c r="BS369" t="e">
        <f>AND('PROG FORMACIÓN TITULADA'!#REF!,"AAAAAE7bvkY=")</f>
        <v>#REF!</v>
      </c>
      <c r="BT369" t="e">
        <f>AND('PROG FORMACIÓN TITULADA'!#REF!,"AAAAAE7bvkc=")</f>
        <v>#REF!</v>
      </c>
      <c r="BU369" t="e">
        <f>AND('PROG FORMACIÓN TITULADA'!#REF!,"AAAAAE7bvkg=")</f>
        <v>#REF!</v>
      </c>
      <c r="BV369" t="e">
        <f>AND('PROG FORMACIÓN TITULADA'!#REF!,"AAAAAE7bvkk=")</f>
        <v>#REF!</v>
      </c>
      <c r="BW369" t="e">
        <f>AND('PROG FORMACIÓN TITULADA'!#REF!,"AAAAAE7bvko=")</f>
        <v>#REF!</v>
      </c>
      <c r="BX369" t="e">
        <f>AND('PROG FORMACIÓN TITULADA'!#REF!,"AAAAAE7bvks=")</f>
        <v>#REF!</v>
      </c>
      <c r="BY369" t="e">
        <f>AND('PROG FORMACIÓN TITULADA'!#REF!,"AAAAAE7bvkw=")</f>
        <v>#REF!</v>
      </c>
      <c r="BZ369" t="e">
        <f>AND('PROG FORMACIÓN TITULADA'!#REF!,"AAAAAE7bvk0=")</f>
        <v>#REF!</v>
      </c>
      <c r="CA369" t="e">
        <f>AND('PROG FORMACIÓN TITULADA'!#REF!,"AAAAAE7bvk4=")</f>
        <v>#REF!</v>
      </c>
      <c r="CB369" t="e">
        <f>AND('PROG FORMACIÓN TITULADA'!#REF!,"AAAAAE7bvk8=")</f>
        <v>#REF!</v>
      </c>
      <c r="CC369" t="e">
        <f>AND('PROG FORMACIÓN TITULADA'!#REF!,"AAAAAE7bvlA=")</f>
        <v>#REF!</v>
      </c>
      <c r="CD369" t="e">
        <f>AND('PROG FORMACIÓN TITULADA'!#REF!,"AAAAAE7bvlE=")</f>
        <v>#REF!</v>
      </c>
      <c r="CE369" t="e">
        <f>AND('PROG FORMACIÓN TITULADA'!#REF!,"AAAAAE7bvlI=")</f>
        <v>#REF!</v>
      </c>
      <c r="CF369" t="e">
        <f>AND('PROG FORMACIÓN TITULADA'!#REF!,"AAAAAE7bvlM=")</f>
        <v>#REF!</v>
      </c>
      <c r="CG369" t="e">
        <f>AND('PROG FORMACIÓN TITULADA'!#REF!,"AAAAAE7bvlQ=")</f>
        <v>#REF!</v>
      </c>
      <c r="CH369" t="e">
        <f>AND('PROG FORMACIÓN TITULADA'!#REF!,"AAAAAE7bvlU=")</f>
        <v>#REF!</v>
      </c>
      <c r="CI369" t="e">
        <f>AND('PROG FORMACIÓN TITULADA'!#REF!,"AAAAAE7bvlY=")</f>
        <v>#REF!</v>
      </c>
      <c r="CJ369" t="e">
        <f>AND('PROG FORMACIÓN TITULADA'!#REF!,"AAAAAE7bvlc=")</f>
        <v>#REF!</v>
      </c>
      <c r="CK369" t="e">
        <f>AND('PROG FORMACIÓN TITULADA'!#REF!,"AAAAAE7bvlg=")</f>
        <v>#REF!</v>
      </c>
      <c r="CL369" t="e">
        <f>AND('PROG FORMACIÓN TITULADA'!#REF!,"AAAAAE7bvlk=")</f>
        <v>#REF!</v>
      </c>
      <c r="CM369" t="e">
        <f>AND('PROG FORMACIÓN TITULADA'!#REF!,"AAAAAE7bvlo=")</f>
        <v>#REF!</v>
      </c>
      <c r="CN369" t="e">
        <f>IF('PROG FORMACIÓN TITULADA'!#REF!,"AAAAAE7bvls=",0)</f>
        <v>#REF!</v>
      </c>
      <c r="CO369" t="e">
        <f>AND('PROG FORMACIÓN TITULADA'!#REF!,"AAAAAE7bvlw=")</f>
        <v>#REF!</v>
      </c>
      <c r="CP369" t="e">
        <f>AND('PROG FORMACIÓN TITULADA'!#REF!,"AAAAAE7bvl0=")</f>
        <v>#REF!</v>
      </c>
      <c r="CQ369" t="e">
        <f>AND('PROG FORMACIÓN TITULADA'!#REF!,"AAAAAE7bvl4=")</f>
        <v>#REF!</v>
      </c>
      <c r="CR369" t="e">
        <f>AND('PROG FORMACIÓN TITULADA'!#REF!,"AAAAAE7bvl8=")</f>
        <v>#REF!</v>
      </c>
      <c r="CS369" t="e">
        <f>AND('PROG FORMACIÓN TITULADA'!#REF!,"AAAAAE7bvmA=")</f>
        <v>#REF!</v>
      </c>
      <c r="CT369" t="e">
        <f>AND('PROG FORMACIÓN TITULADA'!#REF!,"AAAAAE7bvmE=")</f>
        <v>#REF!</v>
      </c>
      <c r="CU369" t="e">
        <f>AND('PROG FORMACIÓN TITULADA'!#REF!,"AAAAAE7bvmI=")</f>
        <v>#REF!</v>
      </c>
      <c r="CV369" t="e">
        <f>AND('PROG FORMACIÓN TITULADA'!#REF!,"AAAAAE7bvmM=")</f>
        <v>#REF!</v>
      </c>
      <c r="CW369" t="e">
        <f>AND('PROG FORMACIÓN TITULADA'!#REF!,"AAAAAE7bvmQ=")</f>
        <v>#REF!</v>
      </c>
      <c r="CX369" t="e">
        <f>AND('PROG FORMACIÓN TITULADA'!#REF!,"AAAAAE7bvmU=")</f>
        <v>#REF!</v>
      </c>
      <c r="CY369" t="e">
        <f>AND('PROG FORMACIÓN TITULADA'!#REF!,"AAAAAE7bvmY=")</f>
        <v>#REF!</v>
      </c>
      <c r="CZ369" t="e">
        <f>AND('PROG FORMACIÓN TITULADA'!#REF!,"AAAAAE7bvmc=")</f>
        <v>#REF!</v>
      </c>
      <c r="DA369" t="e">
        <f>AND('PROG FORMACIÓN TITULADA'!#REF!,"AAAAAE7bvmg=")</f>
        <v>#REF!</v>
      </c>
      <c r="DB369" t="e">
        <f>AND('PROG FORMACIÓN TITULADA'!#REF!,"AAAAAE7bvmk=")</f>
        <v>#REF!</v>
      </c>
      <c r="DC369" t="e">
        <f>AND('PROG FORMACIÓN TITULADA'!#REF!,"AAAAAE7bvmo=")</f>
        <v>#REF!</v>
      </c>
      <c r="DD369" t="e">
        <f>AND('PROG FORMACIÓN TITULADA'!#REF!,"AAAAAE7bvms=")</f>
        <v>#REF!</v>
      </c>
      <c r="DE369" t="e">
        <f>AND('PROG FORMACIÓN TITULADA'!#REF!,"AAAAAE7bvmw=")</f>
        <v>#REF!</v>
      </c>
      <c r="DF369" t="e">
        <f>AND('PROG FORMACIÓN TITULADA'!#REF!,"AAAAAE7bvm0=")</f>
        <v>#REF!</v>
      </c>
      <c r="DG369" t="e">
        <f>AND('PROG FORMACIÓN TITULADA'!#REF!,"AAAAAE7bvm4=")</f>
        <v>#REF!</v>
      </c>
      <c r="DH369" t="e">
        <f>AND('PROG FORMACIÓN TITULADA'!#REF!,"AAAAAE7bvm8=")</f>
        <v>#REF!</v>
      </c>
      <c r="DI369" t="e">
        <f>AND('PROG FORMACIÓN TITULADA'!#REF!,"AAAAAE7bvnA=")</f>
        <v>#REF!</v>
      </c>
      <c r="DJ369" t="e">
        <f>AND('PROG FORMACIÓN TITULADA'!#REF!,"AAAAAE7bvnE=")</f>
        <v>#REF!</v>
      </c>
      <c r="DK369" t="e">
        <f>AND('PROG FORMACIÓN TITULADA'!#REF!,"AAAAAE7bvnI=")</f>
        <v>#REF!</v>
      </c>
      <c r="DL369" t="e">
        <f>AND('PROG FORMACIÓN TITULADA'!#REF!,"AAAAAE7bvnM=")</f>
        <v>#REF!</v>
      </c>
      <c r="DM369" t="e">
        <f>AND('PROG FORMACIÓN TITULADA'!#REF!,"AAAAAE7bvnQ=")</f>
        <v>#REF!</v>
      </c>
      <c r="DN369" t="e">
        <f>AND('PROG FORMACIÓN TITULADA'!#REF!,"AAAAAE7bvnU=")</f>
        <v>#REF!</v>
      </c>
      <c r="DO369" t="e">
        <f>IF('PROG FORMACIÓN TITULADA'!#REF!,"AAAAAE7bvnY=",0)</f>
        <v>#REF!</v>
      </c>
      <c r="DP369" t="e">
        <f>AND('PROG FORMACIÓN TITULADA'!#REF!,"AAAAAE7bvnc=")</f>
        <v>#REF!</v>
      </c>
      <c r="DQ369" t="e">
        <f>AND('PROG FORMACIÓN TITULADA'!#REF!,"AAAAAE7bvng=")</f>
        <v>#REF!</v>
      </c>
      <c r="DR369" t="e">
        <f>AND('PROG FORMACIÓN TITULADA'!#REF!,"AAAAAE7bvnk=")</f>
        <v>#REF!</v>
      </c>
      <c r="DS369" t="e">
        <f>AND('PROG FORMACIÓN TITULADA'!#REF!,"AAAAAE7bvno=")</f>
        <v>#REF!</v>
      </c>
      <c r="DT369" t="e">
        <f>AND('PROG FORMACIÓN TITULADA'!#REF!,"AAAAAE7bvns=")</f>
        <v>#REF!</v>
      </c>
      <c r="DU369" t="e">
        <f>AND('PROG FORMACIÓN TITULADA'!#REF!,"AAAAAE7bvnw=")</f>
        <v>#REF!</v>
      </c>
      <c r="DV369" t="e">
        <f>AND('PROG FORMACIÓN TITULADA'!#REF!,"AAAAAE7bvn0=")</f>
        <v>#REF!</v>
      </c>
      <c r="DW369" t="e">
        <f>AND('PROG FORMACIÓN TITULADA'!#REF!,"AAAAAE7bvn4=")</f>
        <v>#REF!</v>
      </c>
      <c r="DX369" t="e">
        <f>AND('PROG FORMACIÓN TITULADA'!#REF!,"AAAAAE7bvn8=")</f>
        <v>#REF!</v>
      </c>
      <c r="DY369" t="e">
        <f>AND('PROG FORMACIÓN TITULADA'!#REF!,"AAAAAE7bvoA=")</f>
        <v>#REF!</v>
      </c>
      <c r="DZ369" t="e">
        <f>AND('PROG FORMACIÓN TITULADA'!#REF!,"AAAAAE7bvoE=")</f>
        <v>#REF!</v>
      </c>
      <c r="EA369" t="e">
        <f>AND('PROG FORMACIÓN TITULADA'!#REF!,"AAAAAE7bvoI=")</f>
        <v>#REF!</v>
      </c>
      <c r="EB369" t="e">
        <f>AND('PROG FORMACIÓN TITULADA'!#REF!,"AAAAAE7bvoM=")</f>
        <v>#REF!</v>
      </c>
      <c r="EC369" t="e">
        <f>AND('PROG FORMACIÓN TITULADA'!#REF!,"AAAAAE7bvoQ=")</f>
        <v>#REF!</v>
      </c>
      <c r="ED369" t="e">
        <f>AND('PROG FORMACIÓN TITULADA'!#REF!,"AAAAAE7bvoU=")</f>
        <v>#REF!</v>
      </c>
      <c r="EE369" t="e">
        <f>AND('PROG FORMACIÓN TITULADA'!#REF!,"AAAAAE7bvoY=")</f>
        <v>#REF!</v>
      </c>
      <c r="EF369" t="e">
        <f>AND('PROG FORMACIÓN TITULADA'!#REF!,"AAAAAE7bvoc=")</f>
        <v>#REF!</v>
      </c>
      <c r="EG369" t="e">
        <f>AND('PROG FORMACIÓN TITULADA'!#REF!,"AAAAAE7bvog=")</f>
        <v>#REF!</v>
      </c>
      <c r="EH369" t="e">
        <f>AND('PROG FORMACIÓN TITULADA'!#REF!,"AAAAAE7bvok=")</f>
        <v>#REF!</v>
      </c>
      <c r="EI369" t="e">
        <f>AND('PROG FORMACIÓN TITULADA'!#REF!,"AAAAAE7bvoo=")</f>
        <v>#REF!</v>
      </c>
      <c r="EJ369" t="e">
        <f>AND('PROG FORMACIÓN TITULADA'!#REF!,"AAAAAE7bvos=")</f>
        <v>#REF!</v>
      </c>
      <c r="EK369" t="e">
        <f>AND('PROG FORMACIÓN TITULADA'!#REF!,"AAAAAE7bvow=")</f>
        <v>#REF!</v>
      </c>
      <c r="EL369" t="e">
        <f>AND('PROG FORMACIÓN TITULADA'!#REF!,"AAAAAE7bvo0=")</f>
        <v>#REF!</v>
      </c>
      <c r="EM369" t="e">
        <f>AND('PROG FORMACIÓN TITULADA'!#REF!,"AAAAAE7bvo4=")</f>
        <v>#REF!</v>
      </c>
      <c r="EN369" t="e">
        <f>AND('PROG FORMACIÓN TITULADA'!#REF!,"AAAAAE7bvo8=")</f>
        <v>#REF!</v>
      </c>
      <c r="EO369" t="e">
        <f>AND('PROG FORMACIÓN TITULADA'!#REF!,"AAAAAE7bvpA=")</f>
        <v>#REF!</v>
      </c>
      <c r="EP369" t="e">
        <f>IF('PROG FORMACIÓN TITULADA'!#REF!,"AAAAAE7bvpE=",0)</f>
        <v>#REF!</v>
      </c>
      <c r="EQ369" t="e">
        <f>AND('PROG FORMACIÓN TITULADA'!#REF!,"AAAAAE7bvpI=")</f>
        <v>#REF!</v>
      </c>
      <c r="ER369" t="e">
        <f>AND('PROG FORMACIÓN TITULADA'!#REF!,"AAAAAE7bvpM=")</f>
        <v>#REF!</v>
      </c>
      <c r="ES369" t="e">
        <f>AND('PROG FORMACIÓN TITULADA'!#REF!,"AAAAAE7bvpQ=")</f>
        <v>#REF!</v>
      </c>
      <c r="ET369" t="e">
        <f>AND('PROG FORMACIÓN TITULADA'!#REF!,"AAAAAE7bvpU=")</f>
        <v>#REF!</v>
      </c>
      <c r="EU369" t="e">
        <f>AND('PROG FORMACIÓN TITULADA'!#REF!,"AAAAAE7bvpY=")</f>
        <v>#REF!</v>
      </c>
      <c r="EV369" t="e">
        <f>AND('PROG FORMACIÓN TITULADA'!#REF!,"AAAAAE7bvpc=")</f>
        <v>#REF!</v>
      </c>
      <c r="EW369" t="e">
        <f>AND('PROG FORMACIÓN TITULADA'!#REF!,"AAAAAE7bvpg=")</f>
        <v>#REF!</v>
      </c>
      <c r="EX369" t="e">
        <f>AND('PROG FORMACIÓN TITULADA'!#REF!,"AAAAAE7bvpk=")</f>
        <v>#REF!</v>
      </c>
      <c r="EY369" t="e">
        <f>AND('PROG FORMACIÓN TITULADA'!#REF!,"AAAAAE7bvpo=")</f>
        <v>#REF!</v>
      </c>
      <c r="EZ369" t="e">
        <f>AND('PROG FORMACIÓN TITULADA'!#REF!,"AAAAAE7bvps=")</f>
        <v>#REF!</v>
      </c>
      <c r="FA369" t="e">
        <f>AND('PROG FORMACIÓN TITULADA'!#REF!,"AAAAAE7bvpw=")</f>
        <v>#REF!</v>
      </c>
      <c r="FB369" t="e">
        <f>AND('PROG FORMACIÓN TITULADA'!#REF!,"AAAAAE7bvp0=")</f>
        <v>#REF!</v>
      </c>
      <c r="FC369" t="e">
        <f>AND('PROG FORMACIÓN TITULADA'!#REF!,"AAAAAE7bvp4=")</f>
        <v>#REF!</v>
      </c>
      <c r="FD369" t="e">
        <f>AND('PROG FORMACIÓN TITULADA'!#REF!,"AAAAAE7bvp8=")</f>
        <v>#REF!</v>
      </c>
      <c r="FE369" t="e">
        <f>AND('PROG FORMACIÓN TITULADA'!#REF!,"AAAAAE7bvqA=")</f>
        <v>#REF!</v>
      </c>
      <c r="FF369" t="e">
        <f>AND('PROG FORMACIÓN TITULADA'!#REF!,"AAAAAE7bvqE=")</f>
        <v>#REF!</v>
      </c>
      <c r="FG369" t="e">
        <f>AND('PROG FORMACIÓN TITULADA'!#REF!,"AAAAAE7bvqI=")</f>
        <v>#REF!</v>
      </c>
      <c r="FH369" t="e">
        <f>AND('PROG FORMACIÓN TITULADA'!#REF!,"AAAAAE7bvqM=")</f>
        <v>#REF!</v>
      </c>
      <c r="FI369" t="e">
        <f>AND('PROG FORMACIÓN TITULADA'!#REF!,"AAAAAE7bvqQ=")</f>
        <v>#REF!</v>
      </c>
      <c r="FJ369" t="e">
        <f>AND('PROG FORMACIÓN TITULADA'!#REF!,"AAAAAE7bvqU=")</f>
        <v>#REF!</v>
      </c>
      <c r="FK369" t="e">
        <f>AND('PROG FORMACIÓN TITULADA'!#REF!,"AAAAAE7bvqY=")</f>
        <v>#REF!</v>
      </c>
      <c r="FL369" t="e">
        <f>AND('PROG FORMACIÓN TITULADA'!#REF!,"AAAAAE7bvqc=")</f>
        <v>#REF!</v>
      </c>
      <c r="FM369" t="e">
        <f>AND('PROG FORMACIÓN TITULADA'!#REF!,"AAAAAE7bvqg=")</f>
        <v>#REF!</v>
      </c>
      <c r="FN369" t="e">
        <f>AND('PROG FORMACIÓN TITULADA'!#REF!,"AAAAAE7bvqk=")</f>
        <v>#REF!</v>
      </c>
      <c r="FO369" t="e">
        <f>AND('PROG FORMACIÓN TITULADA'!#REF!,"AAAAAE7bvqo=")</f>
        <v>#REF!</v>
      </c>
      <c r="FP369" t="e">
        <f>AND('PROG FORMACIÓN TITULADA'!#REF!,"AAAAAE7bvqs=")</f>
        <v>#REF!</v>
      </c>
      <c r="FQ369" t="e">
        <f>IF('PROG FORMACIÓN TITULADA'!#REF!,"AAAAAE7bvqw=",0)</f>
        <v>#REF!</v>
      </c>
      <c r="FR369" t="e">
        <f>AND('PROG FORMACIÓN TITULADA'!#REF!,"AAAAAE7bvq0=")</f>
        <v>#REF!</v>
      </c>
      <c r="FS369" t="e">
        <f>AND('PROG FORMACIÓN TITULADA'!#REF!,"AAAAAE7bvq4=")</f>
        <v>#REF!</v>
      </c>
      <c r="FT369" t="e">
        <f>AND('PROG FORMACIÓN TITULADA'!#REF!,"AAAAAE7bvq8=")</f>
        <v>#REF!</v>
      </c>
      <c r="FU369" t="e">
        <f>AND('PROG FORMACIÓN TITULADA'!#REF!,"AAAAAE7bvrA=")</f>
        <v>#REF!</v>
      </c>
      <c r="FV369" t="e">
        <f>AND('PROG FORMACIÓN TITULADA'!#REF!,"AAAAAE7bvrE=")</f>
        <v>#REF!</v>
      </c>
      <c r="FW369" t="e">
        <f>AND('PROG FORMACIÓN TITULADA'!#REF!,"AAAAAE7bvrI=")</f>
        <v>#REF!</v>
      </c>
      <c r="FX369" t="e">
        <f>AND('PROG FORMACIÓN TITULADA'!#REF!,"AAAAAE7bvrM=")</f>
        <v>#REF!</v>
      </c>
      <c r="FY369" t="e">
        <f>AND('PROG FORMACIÓN TITULADA'!#REF!,"AAAAAE7bvrQ=")</f>
        <v>#REF!</v>
      </c>
      <c r="FZ369" t="e">
        <f>AND('PROG FORMACIÓN TITULADA'!#REF!,"AAAAAE7bvrU=")</f>
        <v>#REF!</v>
      </c>
      <c r="GA369" t="e">
        <f>AND('PROG FORMACIÓN TITULADA'!#REF!,"AAAAAE7bvrY=")</f>
        <v>#REF!</v>
      </c>
      <c r="GB369" t="e">
        <f>AND('PROG FORMACIÓN TITULADA'!#REF!,"AAAAAE7bvrc=")</f>
        <v>#REF!</v>
      </c>
      <c r="GC369" t="e">
        <f>AND('PROG FORMACIÓN TITULADA'!#REF!,"AAAAAE7bvrg=")</f>
        <v>#REF!</v>
      </c>
      <c r="GD369" t="e">
        <f>AND('PROG FORMACIÓN TITULADA'!#REF!,"AAAAAE7bvrk=")</f>
        <v>#REF!</v>
      </c>
      <c r="GE369" t="e">
        <f>AND('PROG FORMACIÓN TITULADA'!#REF!,"AAAAAE7bvro=")</f>
        <v>#REF!</v>
      </c>
      <c r="GF369" t="e">
        <f>AND('PROG FORMACIÓN TITULADA'!#REF!,"AAAAAE7bvrs=")</f>
        <v>#REF!</v>
      </c>
      <c r="GG369" t="e">
        <f>AND('PROG FORMACIÓN TITULADA'!#REF!,"AAAAAE7bvrw=")</f>
        <v>#REF!</v>
      </c>
      <c r="GH369" t="e">
        <f>AND('PROG FORMACIÓN TITULADA'!#REF!,"AAAAAE7bvr0=")</f>
        <v>#REF!</v>
      </c>
      <c r="GI369" t="e">
        <f>AND('PROG FORMACIÓN TITULADA'!#REF!,"AAAAAE7bvr4=")</f>
        <v>#REF!</v>
      </c>
      <c r="GJ369" t="e">
        <f>AND('PROG FORMACIÓN TITULADA'!#REF!,"AAAAAE7bvr8=")</f>
        <v>#REF!</v>
      </c>
      <c r="GK369" t="e">
        <f>AND('PROG FORMACIÓN TITULADA'!#REF!,"AAAAAE7bvsA=")</f>
        <v>#REF!</v>
      </c>
      <c r="GL369" t="e">
        <f>AND('PROG FORMACIÓN TITULADA'!#REF!,"AAAAAE7bvsE=")</f>
        <v>#REF!</v>
      </c>
      <c r="GM369" t="e">
        <f>AND('PROG FORMACIÓN TITULADA'!#REF!,"AAAAAE7bvsI=")</f>
        <v>#REF!</v>
      </c>
      <c r="GN369" t="e">
        <f>AND('PROG FORMACIÓN TITULADA'!#REF!,"AAAAAE7bvsM=")</f>
        <v>#REF!</v>
      </c>
      <c r="GO369" t="e">
        <f>AND('PROG FORMACIÓN TITULADA'!#REF!,"AAAAAE7bvsQ=")</f>
        <v>#REF!</v>
      </c>
      <c r="GP369" t="e">
        <f>AND('PROG FORMACIÓN TITULADA'!#REF!,"AAAAAE7bvsU=")</f>
        <v>#REF!</v>
      </c>
      <c r="GQ369" t="e">
        <f>AND('PROG FORMACIÓN TITULADA'!#REF!,"AAAAAE7bvsY=")</f>
        <v>#REF!</v>
      </c>
      <c r="GR369" t="e">
        <f>IF('PROG FORMACIÓN TITULADA'!#REF!,"AAAAAE7bvsc=",0)</f>
        <v>#REF!</v>
      </c>
      <c r="GS369" t="e">
        <f>AND('PROG FORMACIÓN TITULADA'!#REF!,"AAAAAE7bvsg=")</f>
        <v>#REF!</v>
      </c>
      <c r="GT369" t="e">
        <f>AND('PROG FORMACIÓN TITULADA'!#REF!,"AAAAAE7bvsk=")</f>
        <v>#REF!</v>
      </c>
      <c r="GU369" t="e">
        <f>AND('PROG FORMACIÓN TITULADA'!#REF!,"AAAAAE7bvso=")</f>
        <v>#REF!</v>
      </c>
      <c r="GV369" t="e">
        <f>AND('PROG FORMACIÓN TITULADA'!#REF!,"AAAAAE7bvss=")</f>
        <v>#REF!</v>
      </c>
      <c r="GW369" t="e">
        <f>AND('PROG FORMACIÓN TITULADA'!#REF!,"AAAAAE7bvsw=")</f>
        <v>#REF!</v>
      </c>
      <c r="GX369" t="e">
        <f>AND('PROG FORMACIÓN TITULADA'!#REF!,"AAAAAE7bvs0=")</f>
        <v>#REF!</v>
      </c>
      <c r="GY369" t="e">
        <f>AND('PROG FORMACIÓN TITULADA'!#REF!,"AAAAAE7bvs4=")</f>
        <v>#REF!</v>
      </c>
      <c r="GZ369" t="e">
        <f>AND('PROG FORMACIÓN TITULADA'!#REF!,"AAAAAE7bvs8=")</f>
        <v>#REF!</v>
      </c>
      <c r="HA369" t="e">
        <f>AND('PROG FORMACIÓN TITULADA'!#REF!,"AAAAAE7bvtA=")</f>
        <v>#REF!</v>
      </c>
      <c r="HB369" t="e">
        <f>AND('PROG FORMACIÓN TITULADA'!#REF!,"AAAAAE7bvtE=")</f>
        <v>#REF!</v>
      </c>
      <c r="HC369" t="e">
        <f>AND('PROG FORMACIÓN TITULADA'!#REF!,"AAAAAE7bvtI=")</f>
        <v>#REF!</v>
      </c>
      <c r="HD369" t="e">
        <f>AND('PROG FORMACIÓN TITULADA'!#REF!,"AAAAAE7bvtM=")</f>
        <v>#REF!</v>
      </c>
      <c r="HE369" t="e">
        <f>AND('PROG FORMACIÓN TITULADA'!#REF!,"AAAAAE7bvtQ=")</f>
        <v>#REF!</v>
      </c>
      <c r="HF369" t="e">
        <f>AND('PROG FORMACIÓN TITULADA'!#REF!,"AAAAAE7bvtU=")</f>
        <v>#REF!</v>
      </c>
      <c r="HG369" t="e">
        <f>AND('PROG FORMACIÓN TITULADA'!#REF!,"AAAAAE7bvtY=")</f>
        <v>#REF!</v>
      </c>
      <c r="HH369" t="e">
        <f>AND('PROG FORMACIÓN TITULADA'!#REF!,"AAAAAE7bvtc=")</f>
        <v>#REF!</v>
      </c>
      <c r="HI369" t="e">
        <f>AND('PROG FORMACIÓN TITULADA'!#REF!,"AAAAAE7bvtg=")</f>
        <v>#REF!</v>
      </c>
      <c r="HJ369" t="e">
        <f>AND('PROG FORMACIÓN TITULADA'!#REF!,"AAAAAE7bvtk=")</f>
        <v>#REF!</v>
      </c>
      <c r="HK369" t="e">
        <f>AND('PROG FORMACIÓN TITULADA'!#REF!,"AAAAAE7bvto=")</f>
        <v>#REF!</v>
      </c>
      <c r="HL369" t="e">
        <f>AND('PROG FORMACIÓN TITULADA'!#REF!,"AAAAAE7bvts=")</f>
        <v>#REF!</v>
      </c>
      <c r="HM369" t="e">
        <f>AND('PROG FORMACIÓN TITULADA'!#REF!,"AAAAAE7bvtw=")</f>
        <v>#REF!</v>
      </c>
      <c r="HN369" t="e">
        <f>AND('PROG FORMACIÓN TITULADA'!#REF!,"AAAAAE7bvt0=")</f>
        <v>#REF!</v>
      </c>
      <c r="HO369" t="e">
        <f>AND('PROG FORMACIÓN TITULADA'!#REF!,"AAAAAE7bvt4=")</f>
        <v>#REF!</v>
      </c>
      <c r="HP369" t="e">
        <f>AND('PROG FORMACIÓN TITULADA'!#REF!,"AAAAAE7bvt8=")</f>
        <v>#REF!</v>
      </c>
      <c r="HQ369" t="e">
        <f>AND('PROG FORMACIÓN TITULADA'!#REF!,"AAAAAE7bvuA=")</f>
        <v>#REF!</v>
      </c>
      <c r="HR369" t="e">
        <f>AND('PROG FORMACIÓN TITULADA'!#REF!,"AAAAAE7bvuE=")</f>
        <v>#REF!</v>
      </c>
      <c r="HS369" t="e">
        <f>IF('PROG FORMACIÓN TITULADA'!#REF!,"AAAAAE7bvuI=",0)</f>
        <v>#REF!</v>
      </c>
      <c r="HT369" t="e">
        <f>AND('PROG FORMACIÓN TITULADA'!#REF!,"AAAAAE7bvuM=")</f>
        <v>#REF!</v>
      </c>
      <c r="HU369" t="e">
        <f>AND('PROG FORMACIÓN TITULADA'!#REF!,"AAAAAE7bvuQ=")</f>
        <v>#REF!</v>
      </c>
      <c r="HV369" t="e">
        <f>AND('PROG FORMACIÓN TITULADA'!#REF!,"AAAAAE7bvuU=")</f>
        <v>#REF!</v>
      </c>
      <c r="HW369" t="e">
        <f>AND('PROG FORMACIÓN TITULADA'!#REF!,"AAAAAE7bvuY=")</f>
        <v>#REF!</v>
      </c>
      <c r="HX369" t="e">
        <f>AND('PROG FORMACIÓN TITULADA'!#REF!,"AAAAAE7bvuc=")</f>
        <v>#REF!</v>
      </c>
      <c r="HY369" t="e">
        <f>AND('PROG FORMACIÓN TITULADA'!#REF!,"AAAAAE7bvug=")</f>
        <v>#REF!</v>
      </c>
      <c r="HZ369" t="e">
        <f>AND('PROG FORMACIÓN TITULADA'!#REF!,"AAAAAE7bvuk=")</f>
        <v>#REF!</v>
      </c>
      <c r="IA369" t="e">
        <f>AND('PROG FORMACIÓN TITULADA'!#REF!,"AAAAAE7bvuo=")</f>
        <v>#REF!</v>
      </c>
      <c r="IB369" t="e">
        <f>AND('PROG FORMACIÓN TITULADA'!#REF!,"AAAAAE7bvus=")</f>
        <v>#REF!</v>
      </c>
      <c r="IC369" t="e">
        <f>AND('PROG FORMACIÓN TITULADA'!#REF!,"AAAAAE7bvuw=")</f>
        <v>#REF!</v>
      </c>
      <c r="ID369" t="e">
        <f>AND('PROG FORMACIÓN TITULADA'!#REF!,"AAAAAE7bvu0=")</f>
        <v>#REF!</v>
      </c>
      <c r="IE369" t="e">
        <f>AND('PROG FORMACIÓN TITULADA'!#REF!,"AAAAAE7bvu4=")</f>
        <v>#REF!</v>
      </c>
      <c r="IF369" t="e">
        <f>AND('PROG FORMACIÓN TITULADA'!#REF!,"AAAAAE7bvu8=")</f>
        <v>#REF!</v>
      </c>
      <c r="IG369" t="e">
        <f>AND('PROG FORMACIÓN TITULADA'!#REF!,"AAAAAE7bvvA=")</f>
        <v>#REF!</v>
      </c>
      <c r="IH369" t="e">
        <f>AND('PROG FORMACIÓN TITULADA'!#REF!,"AAAAAE7bvvE=")</f>
        <v>#REF!</v>
      </c>
      <c r="II369" t="e">
        <f>AND('PROG FORMACIÓN TITULADA'!#REF!,"AAAAAE7bvvI=")</f>
        <v>#REF!</v>
      </c>
      <c r="IJ369" t="e">
        <f>AND('PROG FORMACIÓN TITULADA'!#REF!,"AAAAAE7bvvM=")</f>
        <v>#REF!</v>
      </c>
      <c r="IK369" t="e">
        <f>AND('PROG FORMACIÓN TITULADA'!#REF!,"AAAAAE7bvvQ=")</f>
        <v>#REF!</v>
      </c>
      <c r="IL369" t="e">
        <f>AND('PROG FORMACIÓN TITULADA'!#REF!,"AAAAAE7bvvU=")</f>
        <v>#REF!</v>
      </c>
      <c r="IM369" t="e">
        <f>AND('PROG FORMACIÓN TITULADA'!#REF!,"AAAAAE7bvvY=")</f>
        <v>#REF!</v>
      </c>
      <c r="IN369" t="e">
        <f>AND('PROG FORMACIÓN TITULADA'!#REF!,"AAAAAE7bvvc=")</f>
        <v>#REF!</v>
      </c>
      <c r="IO369" t="e">
        <f>AND('PROG FORMACIÓN TITULADA'!#REF!,"AAAAAE7bvvg=")</f>
        <v>#REF!</v>
      </c>
      <c r="IP369" t="e">
        <f>AND('PROG FORMACIÓN TITULADA'!#REF!,"AAAAAE7bvvk=")</f>
        <v>#REF!</v>
      </c>
      <c r="IQ369" t="e">
        <f>AND('PROG FORMACIÓN TITULADA'!#REF!,"AAAAAE7bvvo=")</f>
        <v>#REF!</v>
      </c>
      <c r="IR369" t="e">
        <f>AND('PROG FORMACIÓN TITULADA'!#REF!,"AAAAAE7bvvs=")</f>
        <v>#REF!</v>
      </c>
      <c r="IS369" t="e">
        <f>AND('PROG FORMACIÓN TITULADA'!#REF!,"AAAAAE7bvvw=")</f>
        <v>#REF!</v>
      </c>
      <c r="IT369" t="e">
        <f>IF('PROG FORMACIÓN TITULADA'!#REF!,"AAAAAE7bvv0=",0)</f>
        <v>#REF!</v>
      </c>
      <c r="IU369" t="e">
        <f>AND('PROG FORMACIÓN TITULADA'!#REF!,"AAAAAE7bvv4=")</f>
        <v>#REF!</v>
      </c>
      <c r="IV369" t="e">
        <f>AND('PROG FORMACIÓN TITULADA'!#REF!,"AAAAAE7bvv8=")</f>
        <v>#REF!</v>
      </c>
    </row>
    <row r="370" spans="1:256" x14ac:dyDescent="0.2">
      <c r="A370" t="e">
        <f>AND('PROG FORMACIÓN TITULADA'!#REF!,"AAAAADP9vgA=")</f>
        <v>#REF!</v>
      </c>
      <c r="B370" t="e">
        <f>AND('PROG FORMACIÓN TITULADA'!#REF!,"AAAAADP9vgE=")</f>
        <v>#REF!</v>
      </c>
      <c r="C370" t="e">
        <f>AND('PROG FORMACIÓN TITULADA'!#REF!,"AAAAADP9vgI=")</f>
        <v>#REF!</v>
      </c>
      <c r="D370" t="e">
        <f>AND('PROG FORMACIÓN TITULADA'!#REF!,"AAAAADP9vgM=")</f>
        <v>#REF!</v>
      </c>
      <c r="E370" t="e">
        <f>AND('PROG FORMACIÓN TITULADA'!#REF!,"AAAAADP9vgQ=")</f>
        <v>#REF!</v>
      </c>
      <c r="F370" t="e">
        <f>AND('PROG FORMACIÓN TITULADA'!#REF!,"AAAAADP9vgU=")</f>
        <v>#REF!</v>
      </c>
      <c r="G370" t="e">
        <f>AND('PROG FORMACIÓN TITULADA'!#REF!,"AAAAADP9vgY=")</f>
        <v>#REF!</v>
      </c>
      <c r="H370" t="e">
        <f>AND('PROG FORMACIÓN TITULADA'!#REF!,"AAAAADP9vgc=")</f>
        <v>#REF!</v>
      </c>
      <c r="I370" t="e">
        <f>AND('PROG FORMACIÓN TITULADA'!#REF!,"AAAAADP9vgg=")</f>
        <v>#REF!</v>
      </c>
      <c r="J370" t="e">
        <f>AND('PROG FORMACIÓN TITULADA'!#REF!,"AAAAADP9vgk=")</f>
        <v>#REF!</v>
      </c>
      <c r="K370" t="e">
        <f>AND('PROG FORMACIÓN TITULADA'!#REF!,"AAAAADP9vgo=")</f>
        <v>#REF!</v>
      </c>
      <c r="L370" t="e">
        <f>AND('PROG FORMACIÓN TITULADA'!#REF!,"AAAAADP9vgs=")</f>
        <v>#REF!</v>
      </c>
      <c r="M370" t="e">
        <f>AND('PROG FORMACIÓN TITULADA'!#REF!,"AAAAADP9vgw=")</f>
        <v>#REF!</v>
      </c>
      <c r="N370" t="e">
        <f>AND('PROG FORMACIÓN TITULADA'!#REF!,"AAAAADP9vg0=")</f>
        <v>#REF!</v>
      </c>
      <c r="O370" t="e">
        <f>AND('PROG FORMACIÓN TITULADA'!#REF!,"AAAAADP9vg4=")</f>
        <v>#REF!</v>
      </c>
      <c r="P370" t="e">
        <f>AND('PROG FORMACIÓN TITULADA'!#REF!,"AAAAADP9vg8=")</f>
        <v>#REF!</v>
      </c>
      <c r="Q370" t="e">
        <f>AND('PROG FORMACIÓN TITULADA'!#REF!,"AAAAADP9vhA=")</f>
        <v>#REF!</v>
      </c>
      <c r="R370" t="e">
        <f>AND('PROG FORMACIÓN TITULADA'!#REF!,"AAAAADP9vhE=")</f>
        <v>#REF!</v>
      </c>
      <c r="S370" t="e">
        <f>AND('PROG FORMACIÓN TITULADA'!#REF!,"AAAAADP9vhI=")</f>
        <v>#REF!</v>
      </c>
      <c r="T370" t="e">
        <f>AND('PROG FORMACIÓN TITULADA'!#REF!,"AAAAADP9vhM=")</f>
        <v>#REF!</v>
      </c>
      <c r="U370" t="e">
        <f>AND('PROG FORMACIÓN TITULADA'!#REF!,"AAAAADP9vhQ=")</f>
        <v>#REF!</v>
      </c>
      <c r="V370" t="e">
        <f>AND('PROG FORMACIÓN TITULADA'!#REF!,"AAAAADP9vhU=")</f>
        <v>#REF!</v>
      </c>
      <c r="W370" t="e">
        <f>AND('PROG FORMACIÓN TITULADA'!#REF!,"AAAAADP9vhY=")</f>
        <v>#REF!</v>
      </c>
      <c r="X370" t="e">
        <f>AND('PROG FORMACIÓN TITULADA'!#REF!,"AAAAADP9vhc=")</f>
        <v>#REF!</v>
      </c>
      <c r="Y370" t="e">
        <f>IF('PROG FORMACIÓN TITULADA'!#REF!,"AAAAADP9vhg=",0)</f>
        <v>#REF!</v>
      </c>
      <c r="Z370" t="e">
        <f>AND('PROG FORMACIÓN TITULADA'!#REF!,"AAAAADP9vhk=")</f>
        <v>#REF!</v>
      </c>
      <c r="AA370" t="e">
        <f>AND('PROG FORMACIÓN TITULADA'!#REF!,"AAAAADP9vho=")</f>
        <v>#REF!</v>
      </c>
      <c r="AB370" t="e">
        <f>AND('PROG FORMACIÓN TITULADA'!#REF!,"AAAAADP9vhs=")</f>
        <v>#REF!</v>
      </c>
      <c r="AC370" t="e">
        <f>AND('PROG FORMACIÓN TITULADA'!#REF!,"AAAAADP9vhw=")</f>
        <v>#REF!</v>
      </c>
      <c r="AD370" t="e">
        <f>AND('PROG FORMACIÓN TITULADA'!#REF!,"AAAAADP9vh0=")</f>
        <v>#REF!</v>
      </c>
      <c r="AE370" t="e">
        <f>AND('PROG FORMACIÓN TITULADA'!#REF!,"AAAAADP9vh4=")</f>
        <v>#REF!</v>
      </c>
      <c r="AF370" t="e">
        <f>AND('PROG FORMACIÓN TITULADA'!#REF!,"AAAAADP9vh8=")</f>
        <v>#REF!</v>
      </c>
      <c r="AG370" t="e">
        <f>AND('PROG FORMACIÓN TITULADA'!#REF!,"AAAAADP9viA=")</f>
        <v>#REF!</v>
      </c>
      <c r="AH370" t="e">
        <f>AND('PROG FORMACIÓN TITULADA'!#REF!,"AAAAADP9viE=")</f>
        <v>#REF!</v>
      </c>
      <c r="AI370" t="e">
        <f>AND('PROG FORMACIÓN TITULADA'!#REF!,"AAAAADP9viI=")</f>
        <v>#REF!</v>
      </c>
      <c r="AJ370" t="e">
        <f>AND('PROG FORMACIÓN TITULADA'!#REF!,"AAAAADP9viM=")</f>
        <v>#REF!</v>
      </c>
      <c r="AK370" t="e">
        <f>AND('PROG FORMACIÓN TITULADA'!#REF!,"AAAAADP9viQ=")</f>
        <v>#REF!</v>
      </c>
      <c r="AL370" t="e">
        <f>AND('PROG FORMACIÓN TITULADA'!#REF!,"AAAAADP9viU=")</f>
        <v>#REF!</v>
      </c>
      <c r="AM370" t="e">
        <f>AND('PROG FORMACIÓN TITULADA'!#REF!,"AAAAADP9viY=")</f>
        <v>#REF!</v>
      </c>
      <c r="AN370" t="e">
        <f>AND('PROG FORMACIÓN TITULADA'!#REF!,"AAAAADP9vic=")</f>
        <v>#REF!</v>
      </c>
      <c r="AO370" t="e">
        <f>AND('PROG FORMACIÓN TITULADA'!#REF!,"AAAAADP9vig=")</f>
        <v>#REF!</v>
      </c>
      <c r="AP370" t="e">
        <f>AND('PROG FORMACIÓN TITULADA'!#REF!,"AAAAADP9vik=")</f>
        <v>#REF!</v>
      </c>
      <c r="AQ370" t="e">
        <f>AND('PROG FORMACIÓN TITULADA'!#REF!,"AAAAADP9vio=")</f>
        <v>#REF!</v>
      </c>
      <c r="AR370" t="e">
        <f>AND('PROG FORMACIÓN TITULADA'!#REF!,"AAAAADP9vis=")</f>
        <v>#REF!</v>
      </c>
      <c r="AS370" t="e">
        <f>AND('PROG FORMACIÓN TITULADA'!#REF!,"AAAAADP9viw=")</f>
        <v>#REF!</v>
      </c>
      <c r="AT370" t="e">
        <f>AND('PROG FORMACIÓN TITULADA'!#REF!,"AAAAADP9vi0=")</f>
        <v>#REF!</v>
      </c>
      <c r="AU370" t="e">
        <f>AND('PROG FORMACIÓN TITULADA'!#REF!,"AAAAADP9vi4=")</f>
        <v>#REF!</v>
      </c>
      <c r="AV370" t="e">
        <f>AND('PROG FORMACIÓN TITULADA'!#REF!,"AAAAADP9vi8=")</f>
        <v>#REF!</v>
      </c>
      <c r="AW370" t="e">
        <f>AND('PROG FORMACIÓN TITULADA'!#REF!,"AAAAADP9vjA=")</f>
        <v>#REF!</v>
      </c>
      <c r="AX370" t="e">
        <f>AND('PROG FORMACIÓN TITULADA'!#REF!,"AAAAADP9vjE=")</f>
        <v>#REF!</v>
      </c>
      <c r="AY370" t="e">
        <f>AND('PROG FORMACIÓN TITULADA'!#REF!,"AAAAADP9vjI=")</f>
        <v>#REF!</v>
      </c>
      <c r="AZ370" t="e">
        <f>IF('PROG FORMACIÓN TITULADA'!#REF!,"AAAAADP9vjM=",0)</f>
        <v>#REF!</v>
      </c>
      <c r="BA370" t="e">
        <f>AND('PROG FORMACIÓN TITULADA'!#REF!,"AAAAADP9vjQ=")</f>
        <v>#REF!</v>
      </c>
      <c r="BB370" t="e">
        <f>AND('PROG FORMACIÓN TITULADA'!#REF!,"AAAAADP9vjU=")</f>
        <v>#REF!</v>
      </c>
      <c r="BC370" t="e">
        <f>AND('PROG FORMACIÓN TITULADA'!#REF!,"AAAAADP9vjY=")</f>
        <v>#REF!</v>
      </c>
      <c r="BD370" t="e">
        <f>AND('PROG FORMACIÓN TITULADA'!#REF!,"AAAAADP9vjc=")</f>
        <v>#REF!</v>
      </c>
      <c r="BE370" t="e">
        <f>AND('PROG FORMACIÓN TITULADA'!#REF!,"AAAAADP9vjg=")</f>
        <v>#REF!</v>
      </c>
      <c r="BF370" t="e">
        <f>AND('PROG FORMACIÓN TITULADA'!#REF!,"AAAAADP9vjk=")</f>
        <v>#REF!</v>
      </c>
      <c r="BG370" t="e">
        <f>AND('PROG FORMACIÓN TITULADA'!#REF!,"AAAAADP9vjo=")</f>
        <v>#REF!</v>
      </c>
      <c r="BH370" t="e">
        <f>AND('PROG FORMACIÓN TITULADA'!#REF!,"AAAAADP9vjs=")</f>
        <v>#REF!</v>
      </c>
      <c r="BI370" t="e">
        <f>AND('PROG FORMACIÓN TITULADA'!#REF!,"AAAAADP9vjw=")</f>
        <v>#REF!</v>
      </c>
      <c r="BJ370" t="e">
        <f>AND('PROG FORMACIÓN TITULADA'!#REF!,"AAAAADP9vj0=")</f>
        <v>#REF!</v>
      </c>
      <c r="BK370" t="e">
        <f>AND('PROG FORMACIÓN TITULADA'!#REF!,"AAAAADP9vj4=")</f>
        <v>#REF!</v>
      </c>
      <c r="BL370" t="e">
        <f>AND('PROG FORMACIÓN TITULADA'!#REF!,"AAAAADP9vj8=")</f>
        <v>#REF!</v>
      </c>
      <c r="BM370" t="e">
        <f>AND('PROG FORMACIÓN TITULADA'!#REF!,"AAAAADP9vkA=")</f>
        <v>#REF!</v>
      </c>
      <c r="BN370" t="e">
        <f>AND('PROG FORMACIÓN TITULADA'!#REF!,"AAAAADP9vkE=")</f>
        <v>#REF!</v>
      </c>
      <c r="BO370" t="e">
        <f>AND('PROG FORMACIÓN TITULADA'!#REF!,"AAAAADP9vkI=")</f>
        <v>#REF!</v>
      </c>
      <c r="BP370" t="e">
        <f>AND('PROG FORMACIÓN TITULADA'!#REF!,"AAAAADP9vkM=")</f>
        <v>#REF!</v>
      </c>
      <c r="BQ370" t="e">
        <f>AND('PROG FORMACIÓN TITULADA'!#REF!,"AAAAADP9vkQ=")</f>
        <v>#REF!</v>
      </c>
      <c r="BR370" t="e">
        <f>AND('PROG FORMACIÓN TITULADA'!#REF!,"AAAAADP9vkU=")</f>
        <v>#REF!</v>
      </c>
      <c r="BS370" t="e">
        <f>AND('PROG FORMACIÓN TITULADA'!#REF!,"AAAAADP9vkY=")</f>
        <v>#REF!</v>
      </c>
      <c r="BT370" t="e">
        <f>AND('PROG FORMACIÓN TITULADA'!#REF!,"AAAAADP9vkc=")</f>
        <v>#REF!</v>
      </c>
      <c r="BU370" t="e">
        <f>AND('PROG FORMACIÓN TITULADA'!#REF!,"AAAAADP9vkg=")</f>
        <v>#REF!</v>
      </c>
      <c r="BV370" t="e">
        <f>AND('PROG FORMACIÓN TITULADA'!#REF!,"AAAAADP9vkk=")</f>
        <v>#REF!</v>
      </c>
      <c r="BW370" t="e">
        <f>AND('PROG FORMACIÓN TITULADA'!#REF!,"AAAAADP9vko=")</f>
        <v>#REF!</v>
      </c>
      <c r="BX370" t="e">
        <f>AND('PROG FORMACIÓN TITULADA'!#REF!,"AAAAADP9vks=")</f>
        <v>#REF!</v>
      </c>
      <c r="BY370" t="e">
        <f>AND('PROG FORMACIÓN TITULADA'!#REF!,"AAAAADP9vkw=")</f>
        <v>#REF!</v>
      </c>
      <c r="BZ370" t="e">
        <f>AND('PROG FORMACIÓN TITULADA'!#REF!,"AAAAADP9vk0=")</f>
        <v>#REF!</v>
      </c>
      <c r="CA370" t="e">
        <f>IF('PROG FORMACIÓN TITULADA'!#REF!,"AAAAADP9vk4=",0)</f>
        <v>#REF!</v>
      </c>
      <c r="CB370" t="e">
        <f>AND('PROG FORMACIÓN TITULADA'!#REF!,"AAAAADP9vk8=")</f>
        <v>#REF!</v>
      </c>
      <c r="CC370" t="e">
        <f>AND('PROG FORMACIÓN TITULADA'!#REF!,"AAAAADP9vlA=")</f>
        <v>#REF!</v>
      </c>
      <c r="CD370" t="e">
        <f>AND('PROG FORMACIÓN TITULADA'!#REF!,"AAAAADP9vlE=")</f>
        <v>#REF!</v>
      </c>
      <c r="CE370" t="e">
        <f>AND('PROG FORMACIÓN TITULADA'!#REF!,"AAAAADP9vlI=")</f>
        <v>#REF!</v>
      </c>
      <c r="CF370" t="e">
        <f>AND('PROG FORMACIÓN TITULADA'!#REF!,"AAAAADP9vlM=")</f>
        <v>#REF!</v>
      </c>
      <c r="CG370" t="e">
        <f>AND('PROG FORMACIÓN TITULADA'!#REF!,"AAAAADP9vlQ=")</f>
        <v>#REF!</v>
      </c>
      <c r="CH370" t="e">
        <f>AND('PROG FORMACIÓN TITULADA'!#REF!,"AAAAADP9vlU=")</f>
        <v>#REF!</v>
      </c>
      <c r="CI370" t="e">
        <f>AND('PROG FORMACIÓN TITULADA'!#REF!,"AAAAADP9vlY=")</f>
        <v>#REF!</v>
      </c>
      <c r="CJ370" t="e">
        <f>AND('PROG FORMACIÓN TITULADA'!#REF!,"AAAAADP9vlc=")</f>
        <v>#REF!</v>
      </c>
      <c r="CK370" t="e">
        <f>AND('PROG FORMACIÓN TITULADA'!#REF!,"AAAAADP9vlg=")</f>
        <v>#REF!</v>
      </c>
      <c r="CL370" t="e">
        <f>AND('PROG FORMACIÓN TITULADA'!#REF!,"AAAAADP9vlk=")</f>
        <v>#REF!</v>
      </c>
      <c r="CM370" t="e">
        <f>AND('PROG FORMACIÓN TITULADA'!#REF!,"AAAAADP9vlo=")</f>
        <v>#REF!</v>
      </c>
      <c r="CN370" t="e">
        <f>AND('PROG FORMACIÓN TITULADA'!#REF!,"AAAAADP9vls=")</f>
        <v>#REF!</v>
      </c>
      <c r="CO370" t="e">
        <f>AND('PROG FORMACIÓN TITULADA'!#REF!,"AAAAADP9vlw=")</f>
        <v>#REF!</v>
      </c>
      <c r="CP370" t="e">
        <f>AND('PROG FORMACIÓN TITULADA'!#REF!,"AAAAADP9vl0=")</f>
        <v>#REF!</v>
      </c>
      <c r="CQ370" t="e">
        <f>AND('PROG FORMACIÓN TITULADA'!#REF!,"AAAAADP9vl4=")</f>
        <v>#REF!</v>
      </c>
      <c r="CR370" t="e">
        <f>AND('PROG FORMACIÓN TITULADA'!#REF!,"AAAAADP9vl8=")</f>
        <v>#REF!</v>
      </c>
      <c r="CS370" t="e">
        <f>AND('PROG FORMACIÓN TITULADA'!#REF!,"AAAAADP9vmA=")</f>
        <v>#REF!</v>
      </c>
      <c r="CT370" t="e">
        <f>AND('PROG FORMACIÓN TITULADA'!#REF!,"AAAAADP9vmE=")</f>
        <v>#REF!</v>
      </c>
      <c r="CU370" t="e">
        <f>AND('PROG FORMACIÓN TITULADA'!#REF!,"AAAAADP9vmI=")</f>
        <v>#REF!</v>
      </c>
      <c r="CV370" t="e">
        <f>AND('PROG FORMACIÓN TITULADA'!#REF!,"AAAAADP9vmM=")</f>
        <v>#REF!</v>
      </c>
      <c r="CW370" t="e">
        <f>AND('PROG FORMACIÓN TITULADA'!#REF!,"AAAAADP9vmQ=")</f>
        <v>#REF!</v>
      </c>
      <c r="CX370" t="e">
        <f>AND('PROG FORMACIÓN TITULADA'!#REF!,"AAAAADP9vmU=")</f>
        <v>#REF!</v>
      </c>
      <c r="CY370" t="e">
        <f>AND('PROG FORMACIÓN TITULADA'!#REF!,"AAAAADP9vmY=")</f>
        <v>#REF!</v>
      </c>
      <c r="CZ370" t="e">
        <f>AND('PROG FORMACIÓN TITULADA'!#REF!,"AAAAADP9vmc=")</f>
        <v>#REF!</v>
      </c>
      <c r="DA370" t="e">
        <f>AND('PROG FORMACIÓN TITULADA'!#REF!,"AAAAADP9vmg=")</f>
        <v>#REF!</v>
      </c>
      <c r="DB370" t="e">
        <f>IF('PROG FORMACIÓN TITULADA'!#REF!,"AAAAADP9vmk=",0)</f>
        <v>#REF!</v>
      </c>
      <c r="DC370" t="e">
        <f>AND('PROG FORMACIÓN TITULADA'!#REF!,"AAAAADP9vmo=")</f>
        <v>#REF!</v>
      </c>
      <c r="DD370" t="e">
        <f>AND('PROG FORMACIÓN TITULADA'!#REF!,"AAAAADP9vms=")</f>
        <v>#REF!</v>
      </c>
      <c r="DE370" t="e">
        <f>AND('PROG FORMACIÓN TITULADA'!#REF!,"AAAAADP9vmw=")</f>
        <v>#REF!</v>
      </c>
      <c r="DF370" t="e">
        <f>AND('PROG FORMACIÓN TITULADA'!#REF!,"AAAAADP9vm0=")</f>
        <v>#REF!</v>
      </c>
      <c r="DG370" t="e">
        <f>AND('PROG FORMACIÓN TITULADA'!#REF!,"AAAAADP9vm4=")</f>
        <v>#REF!</v>
      </c>
      <c r="DH370" t="e">
        <f>AND('PROG FORMACIÓN TITULADA'!#REF!,"AAAAADP9vm8=")</f>
        <v>#REF!</v>
      </c>
      <c r="DI370" t="e">
        <f>AND('PROG FORMACIÓN TITULADA'!#REF!,"AAAAADP9vnA=")</f>
        <v>#REF!</v>
      </c>
      <c r="DJ370" t="e">
        <f>AND('PROG FORMACIÓN TITULADA'!#REF!,"AAAAADP9vnE=")</f>
        <v>#REF!</v>
      </c>
      <c r="DK370" t="e">
        <f>AND('PROG FORMACIÓN TITULADA'!#REF!,"AAAAADP9vnI=")</f>
        <v>#REF!</v>
      </c>
      <c r="DL370" t="e">
        <f>AND('PROG FORMACIÓN TITULADA'!#REF!,"AAAAADP9vnM=")</f>
        <v>#REF!</v>
      </c>
      <c r="DM370" t="e">
        <f>AND('PROG FORMACIÓN TITULADA'!#REF!,"AAAAADP9vnQ=")</f>
        <v>#REF!</v>
      </c>
      <c r="DN370" t="e">
        <f>AND('PROG FORMACIÓN TITULADA'!#REF!,"AAAAADP9vnU=")</f>
        <v>#REF!</v>
      </c>
      <c r="DO370" t="e">
        <f>AND('PROG FORMACIÓN TITULADA'!#REF!,"AAAAADP9vnY=")</f>
        <v>#REF!</v>
      </c>
      <c r="DP370" t="e">
        <f>AND('PROG FORMACIÓN TITULADA'!#REF!,"AAAAADP9vnc=")</f>
        <v>#REF!</v>
      </c>
      <c r="DQ370" t="e">
        <f>AND('PROG FORMACIÓN TITULADA'!#REF!,"AAAAADP9vng=")</f>
        <v>#REF!</v>
      </c>
      <c r="DR370" t="e">
        <f>AND('PROG FORMACIÓN TITULADA'!#REF!,"AAAAADP9vnk=")</f>
        <v>#REF!</v>
      </c>
      <c r="DS370" t="e">
        <f>AND('PROG FORMACIÓN TITULADA'!#REF!,"AAAAADP9vno=")</f>
        <v>#REF!</v>
      </c>
      <c r="DT370" t="e">
        <f>AND('PROG FORMACIÓN TITULADA'!#REF!,"AAAAADP9vns=")</f>
        <v>#REF!</v>
      </c>
      <c r="DU370" t="e">
        <f>AND('PROG FORMACIÓN TITULADA'!#REF!,"AAAAADP9vnw=")</f>
        <v>#REF!</v>
      </c>
      <c r="DV370" t="e">
        <f>AND('PROG FORMACIÓN TITULADA'!#REF!,"AAAAADP9vn0=")</f>
        <v>#REF!</v>
      </c>
      <c r="DW370" t="e">
        <f>AND('PROG FORMACIÓN TITULADA'!#REF!,"AAAAADP9vn4=")</f>
        <v>#REF!</v>
      </c>
      <c r="DX370" t="e">
        <f>AND('PROG FORMACIÓN TITULADA'!#REF!,"AAAAADP9vn8=")</f>
        <v>#REF!</v>
      </c>
      <c r="DY370" t="e">
        <f>AND('PROG FORMACIÓN TITULADA'!#REF!,"AAAAADP9voA=")</f>
        <v>#REF!</v>
      </c>
      <c r="DZ370" t="e">
        <f>AND('PROG FORMACIÓN TITULADA'!#REF!,"AAAAADP9voE=")</f>
        <v>#REF!</v>
      </c>
      <c r="EA370" t="e">
        <f>AND('PROG FORMACIÓN TITULADA'!#REF!,"AAAAADP9voI=")</f>
        <v>#REF!</v>
      </c>
      <c r="EB370" t="e">
        <f>AND('PROG FORMACIÓN TITULADA'!#REF!,"AAAAADP9voM=")</f>
        <v>#REF!</v>
      </c>
      <c r="EC370" t="e">
        <f>IF('PROG FORMACIÓN TITULADA'!#REF!,"AAAAADP9voQ=",0)</f>
        <v>#REF!</v>
      </c>
      <c r="ED370" t="e">
        <f>AND('PROG FORMACIÓN TITULADA'!#REF!,"AAAAADP9voU=")</f>
        <v>#REF!</v>
      </c>
      <c r="EE370" t="e">
        <f>AND('PROG FORMACIÓN TITULADA'!#REF!,"AAAAADP9voY=")</f>
        <v>#REF!</v>
      </c>
      <c r="EF370" t="e">
        <f>AND('PROG FORMACIÓN TITULADA'!#REF!,"AAAAADP9voc=")</f>
        <v>#REF!</v>
      </c>
      <c r="EG370" t="e">
        <f>AND('PROG FORMACIÓN TITULADA'!#REF!,"AAAAADP9vog=")</f>
        <v>#REF!</v>
      </c>
      <c r="EH370" t="e">
        <f>AND('PROG FORMACIÓN TITULADA'!#REF!,"AAAAADP9vok=")</f>
        <v>#REF!</v>
      </c>
      <c r="EI370" t="e">
        <f>AND('PROG FORMACIÓN TITULADA'!#REF!,"AAAAADP9voo=")</f>
        <v>#REF!</v>
      </c>
      <c r="EJ370" t="e">
        <f>AND('PROG FORMACIÓN TITULADA'!#REF!,"AAAAADP9vos=")</f>
        <v>#REF!</v>
      </c>
      <c r="EK370" t="e">
        <f>AND('PROG FORMACIÓN TITULADA'!#REF!,"AAAAADP9vow=")</f>
        <v>#REF!</v>
      </c>
      <c r="EL370" t="e">
        <f>AND('PROG FORMACIÓN TITULADA'!#REF!,"AAAAADP9vo0=")</f>
        <v>#REF!</v>
      </c>
      <c r="EM370" t="e">
        <f>AND('PROG FORMACIÓN TITULADA'!#REF!,"AAAAADP9vo4=")</f>
        <v>#REF!</v>
      </c>
      <c r="EN370" t="e">
        <f>AND('PROG FORMACIÓN TITULADA'!#REF!,"AAAAADP9vo8=")</f>
        <v>#REF!</v>
      </c>
      <c r="EO370" t="e">
        <f>AND('PROG FORMACIÓN TITULADA'!#REF!,"AAAAADP9vpA=")</f>
        <v>#REF!</v>
      </c>
      <c r="EP370" t="e">
        <f>AND('PROG FORMACIÓN TITULADA'!#REF!,"AAAAADP9vpE=")</f>
        <v>#REF!</v>
      </c>
      <c r="EQ370" t="e">
        <f>AND('PROG FORMACIÓN TITULADA'!#REF!,"AAAAADP9vpI=")</f>
        <v>#REF!</v>
      </c>
      <c r="ER370" t="e">
        <f>AND('PROG FORMACIÓN TITULADA'!#REF!,"AAAAADP9vpM=")</f>
        <v>#REF!</v>
      </c>
      <c r="ES370" t="e">
        <f>AND('PROG FORMACIÓN TITULADA'!#REF!,"AAAAADP9vpQ=")</f>
        <v>#REF!</v>
      </c>
      <c r="ET370" t="e">
        <f>AND('PROG FORMACIÓN TITULADA'!#REF!,"AAAAADP9vpU=")</f>
        <v>#REF!</v>
      </c>
      <c r="EU370" t="e">
        <f>AND('PROG FORMACIÓN TITULADA'!#REF!,"AAAAADP9vpY=")</f>
        <v>#REF!</v>
      </c>
      <c r="EV370" t="e">
        <f>AND('PROG FORMACIÓN TITULADA'!#REF!,"AAAAADP9vpc=")</f>
        <v>#REF!</v>
      </c>
      <c r="EW370" t="e">
        <f>AND('PROG FORMACIÓN TITULADA'!#REF!,"AAAAADP9vpg=")</f>
        <v>#REF!</v>
      </c>
      <c r="EX370" t="e">
        <f>AND('PROG FORMACIÓN TITULADA'!#REF!,"AAAAADP9vpk=")</f>
        <v>#REF!</v>
      </c>
      <c r="EY370" t="e">
        <f>AND('PROG FORMACIÓN TITULADA'!#REF!,"AAAAADP9vpo=")</f>
        <v>#REF!</v>
      </c>
      <c r="EZ370" t="e">
        <f>AND('PROG FORMACIÓN TITULADA'!#REF!,"AAAAADP9vps=")</f>
        <v>#REF!</v>
      </c>
      <c r="FA370" t="e">
        <f>AND('PROG FORMACIÓN TITULADA'!#REF!,"AAAAADP9vpw=")</f>
        <v>#REF!</v>
      </c>
      <c r="FB370" t="e">
        <f>AND('PROG FORMACIÓN TITULADA'!#REF!,"AAAAADP9vp0=")</f>
        <v>#REF!</v>
      </c>
      <c r="FC370" t="e">
        <f>AND('PROG FORMACIÓN TITULADA'!#REF!,"AAAAADP9vp4=")</f>
        <v>#REF!</v>
      </c>
      <c r="FD370" t="e">
        <f>IF('PROG FORMACIÓN TITULADA'!#REF!,"AAAAADP9vp8=",0)</f>
        <v>#REF!</v>
      </c>
      <c r="FE370" t="e">
        <f>AND('PROG FORMACIÓN TITULADA'!#REF!,"AAAAADP9vqA=")</f>
        <v>#REF!</v>
      </c>
      <c r="FF370" t="e">
        <f>AND('PROG FORMACIÓN TITULADA'!#REF!,"AAAAADP9vqE=")</f>
        <v>#REF!</v>
      </c>
      <c r="FG370" t="e">
        <f>AND('PROG FORMACIÓN TITULADA'!#REF!,"AAAAADP9vqI=")</f>
        <v>#REF!</v>
      </c>
      <c r="FH370" t="e">
        <f>AND('PROG FORMACIÓN TITULADA'!#REF!,"AAAAADP9vqM=")</f>
        <v>#REF!</v>
      </c>
      <c r="FI370" t="e">
        <f>AND('PROG FORMACIÓN TITULADA'!#REF!,"AAAAADP9vqQ=")</f>
        <v>#REF!</v>
      </c>
      <c r="FJ370" t="e">
        <f>AND('PROG FORMACIÓN TITULADA'!#REF!,"AAAAADP9vqU=")</f>
        <v>#REF!</v>
      </c>
      <c r="FK370" t="e">
        <f>AND('PROG FORMACIÓN TITULADA'!#REF!,"AAAAADP9vqY=")</f>
        <v>#REF!</v>
      </c>
      <c r="FL370" t="e">
        <f>AND('PROG FORMACIÓN TITULADA'!#REF!,"AAAAADP9vqc=")</f>
        <v>#REF!</v>
      </c>
      <c r="FM370" t="e">
        <f>AND('PROG FORMACIÓN TITULADA'!#REF!,"AAAAADP9vqg=")</f>
        <v>#REF!</v>
      </c>
      <c r="FN370" t="e">
        <f>AND('PROG FORMACIÓN TITULADA'!#REF!,"AAAAADP9vqk=")</f>
        <v>#REF!</v>
      </c>
      <c r="FO370" t="e">
        <f>AND('PROG FORMACIÓN TITULADA'!#REF!,"AAAAADP9vqo=")</f>
        <v>#REF!</v>
      </c>
      <c r="FP370" t="e">
        <f>AND('PROG FORMACIÓN TITULADA'!#REF!,"AAAAADP9vqs=")</f>
        <v>#REF!</v>
      </c>
      <c r="FQ370" t="e">
        <f>AND('PROG FORMACIÓN TITULADA'!#REF!,"AAAAADP9vqw=")</f>
        <v>#REF!</v>
      </c>
      <c r="FR370" t="e">
        <f>AND('PROG FORMACIÓN TITULADA'!#REF!,"AAAAADP9vq0=")</f>
        <v>#REF!</v>
      </c>
      <c r="FS370" t="e">
        <f>AND('PROG FORMACIÓN TITULADA'!#REF!,"AAAAADP9vq4=")</f>
        <v>#REF!</v>
      </c>
      <c r="FT370" t="e">
        <f>AND('PROG FORMACIÓN TITULADA'!#REF!,"AAAAADP9vq8=")</f>
        <v>#REF!</v>
      </c>
      <c r="FU370" t="e">
        <f>AND('PROG FORMACIÓN TITULADA'!#REF!,"AAAAADP9vrA=")</f>
        <v>#REF!</v>
      </c>
      <c r="FV370" t="e">
        <f>AND('PROG FORMACIÓN TITULADA'!#REF!,"AAAAADP9vrE=")</f>
        <v>#REF!</v>
      </c>
      <c r="FW370" t="e">
        <f>AND('PROG FORMACIÓN TITULADA'!#REF!,"AAAAADP9vrI=")</f>
        <v>#REF!</v>
      </c>
      <c r="FX370" t="e">
        <f>AND('PROG FORMACIÓN TITULADA'!#REF!,"AAAAADP9vrM=")</f>
        <v>#REF!</v>
      </c>
      <c r="FY370" t="e">
        <f>AND('PROG FORMACIÓN TITULADA'!#REF!,"AAAAADP9vrQ=")</f>
        <v>#REF!</v>
      </c>
      <c r="FZ370" t="e">
        <f>AND('PROG FORMACIÓN TITULADA'!#REF!,"AAAAADP9vrU=")</f>
        <v>#REF!</v>
      </c>
      <c r="GA370" t="e">
        <f>AND('PROG FORMACIÓN TITULADA'!#REF!,"AAAAADP9vrY=")</f>
        <v>#REF!</v>
      </c>
      <c r="GB370" t="e">
        <f>AND('PROG FORMACIÓN TITULADA'!#REF!,"AAAAADP9vrc=")</f>
        <v>#REF!</v>
      </c>
      <c r="GC370" t="e">
        <f>AND('PROG FORMACIÓN TITULADA'!#REF!,"AAAAADP9vrg=")</f>
        <v>#REF!</v>
      </c>
      <c r="GD370" t="e">
        <f>AND('PROG FORMACIÓN TITULADA'!#REF!,"AAAAADP9vrk=")</f>
        <v>#REF!</v>
      </c>
      <c r="GE370" t="e">
        <f>IF('PROG FORMACIÓN TITULADA'!#REF!,"AAAAADP9vro=",0)</f>
        <v>#REF!</v>
      </c>
      <c r="GF370" t="e">
        <f>AND('PROG FORMACIÓN TITULADA'!#REF!,"AAAAADP9vrs=")</f>
        <v>#REF!</v>
      </c>
      <c r="GG370" t="e">
        <f>AND('PROG FORMACIÓN TITULADA'!#REF!,"AAAAADP9vrw=")</f>
        <v>#REF!</v>
      </c>
      <c r="GH370" t="e">
        <f>AND('PROG FORMACIÓN TITULADA'!#REF!,"AAAAADP9vr0=")</f>
        <v>#REF!</v>
      </c>
      <c r="GI370" t="e">
        <f>AND('PROG FORMACIÓN TITULADA'!#REF!,"AAAAADP9vr4=")</f>
        <v>#REF!</v>
      </c>
      <c r="GJ370" t="e">
        <f>AND('PROG FORMACIÓN TITULADA'!#REF!,"AAAAADP9vr8=")</f>
        <v>#REF!</v>
      </c>
      <c r="GK370" t="e">
        <f>AND('PROG FORMACIÓN TITULADA'!#REF!,"AAAAADP9vsA=")</f>
        <v>#REF!</v>
      </c>
      <c r="GL370" t="e">
        <f>AND('PROG FORMACIÓN TITULADA'!#REF!,"AAAAADP9vsE=")</f>
        <v>#REF!</v>
      </c>
      <c r="GM370" t="e">
        <f>AND('PROG FORMACIÓN TITULADA'!#REF!,"AAAAADP9vsI=")</f>
        <v>#REF!</v>
      </c>
      <c r="GN370" t="e">
        <f>AND('PROG FORMACIÓN TITULADA'!#REF!,"AAAAADP9vsM=")</f>
        <v>#REF!</v>
      </c>
      <c r="GO370" t="e">
        <f>AND('PROG FORMACIÓN TITULADA'!#REF!,"AAAAADP9vsQ=")</f>
        <v>#REF!</v>
      </c>
      <c r="GP370" t="e">
        <f>AND('PROG FORMACIÓN TITULADA'!#REF!,"AAAAADP9vsU=")</f>
        <v>#REF!</v>
      </c>
      <c r="GQ370" t="e">
        <f>AND('PROG FORMACIÓN TITULADA'!#REF!,"AAAAADP9vsY=")</f>
        <v>#REF!</v>
      </c>
      <c r="GR370" t="e">
        <f>AND('PROG FORMACIÓN TITULADA'!#REF!,"AAAAADP9vsc=")</f>
        <v>#REF!</v>
      </c>
      <c r="GS370" t="e">
        <f>AND('PROG FORMACIÓN TITULADA'!#REF!,"AAAAADP9vsg=")</f>
        <v>#REF!</v>
      </c>
      <c r="GT370" t="e">
        <f>AND('PROG FORMACIÓN TITULADA'!#REF!,"AAAAADP9vsk=")</f>
        <v>#REF!</v>
      </c>
      <c r="GU370" t="e">
        <f>AND('PROG FORMACIÓN TITULADA'!#REF!,"AAAAADP9vso=")</f>
        <v>#REF!</v>
      </c>
      <c r="GV370" t="e">
        <f>AND('PROG FORMACIÓN TITULADA'!#REF!,"AAAAADP9vss=")</f>
        <v>#REF!</v>
      </c>
      <c r="GW370" t="e">
        <f>AND('PROG FORMACIÓN TITULADA'!#REF!,"AAAAADP9vsw=")</f>
        <v>#REF!</v>
      </c>
      <c r="GX370" t="e">
        <f>AND('PROG FORMACIÓN TITULADA'!#REF!,"AAAAADP9vs0=")</f>
        <v>#REF!</v>
      </c>
      <c r="GY370" t="e">
        <f>AND('PROG FORMACIÓN TITULADA'!#REF!,"AAAAADP9vs4=")</f>
        <v>#REF!</v>
      </c>
      <c r="GZ370" t="e">
        <f>AND('PROG FORMACIÓN TITULADA'!#REF!,"AAAAADP9vs8=")</f>
        <v>#REF!</v>
      </c>
      <c r="HA370" t="e">
        <f>AND('PROG FORMACIÓN TITULADA'!#REF!,"AAAAADP9vtA=")</f>
        <v>#REF!</v>
      </c>
      <c r="HB370" t="e">
        <f>AND('PROG FORMACIÓN TITULADA'!#REF!,"AAAAADP9vtE=")</f>
        <v>#REF!</v>
      </c>
      <c r="HC370" t="e">
        <f>AND('PROG FORMACIÓN TITULADA'!#REF!,"AAAAADP9vtI=")</f>
        <v>#REF!</v>
      </c>
      <c r="HD370" t="e">
        <f>AND('PROG FORMACIÓN TITULADA'!#REF!,"AAAAADP9vtM=")</f>
        <v>#REF!</v>
      </c>
      <c r="HE370" t="e">
        <f>AND('PROG FORMACIÓN TITULADA'!#REF!,"AAAAADP9vtQ=")</f>
        <v>#REF!</v>
      </c>
      <c r="HF370" t="e">
        <f>IF('PROG FORMACIÓN TITULADA'!#REF!,"AAAAADP9vtU=",0)</f>
        <v>#REF!</v>
      </c>
      <c r="HG370" t="e">
        <f>AND('PROG FORMACIÓN TITULADA'!#REF!,"AAAAADP9vtY=")</f>
        <v>#REF!</v>
      </c>
      <c r="HH370" t="e">
        <f>AND('PROG FORMACIÓN TITULADA'!#REF!,"AAAAADP9vtc=")</f>
        <v>#REF!</v>
      </c>
      <c r="HI370" t="e">
        <f>AND('PROG FORMACIÓN TITULADA'!#REF!,"AAAAADP9vtg=")</f>
        <v>#REF!</v>
      </c>
      <c r="HJ370" t="e">
        <f>AND('PROG FORMACIÓN TITULADA'!#REF!,"AAAAADP9vtk=")</f>
        <v>#REF!</v>
      </c>
      <c r="HK370" t="e">
        <f>AND('PROG FORMACIÓN TITULADA'!#REF!,"AAAAADP9vto=")</f>
        <v>#REF!</v>
      </c>
      <c r="HL370" t="e">
        <f>AND('PROG FORMACIÓN TITULADA'!#REF!,"AAAAADP9vts=")</f>
        <v>#REF!</v>
      </c>
      <c r="HM370" t="e">
        <f>AND('PROG FORMACIÓN TITULADA'!#REF!,"AAAAADP9vtw=")</f>
        <v>#REF!</v>
      </c>
      <c r="HN370" t="e">
        <f>AND('PROG FORMACIÓN TITULADA'!#REF!,"AAAAADP9vt0=")</f>
        <v>#REF!</v>
      </c>
      <c r="HO370" t="e">
        <f>AND('PROG FORMACIÓN TITULADA'!#REF!,"AAAAADP9vt4=")</f>
        <v>#REF!</v>
      </c>
      <c r="HP370" t="e">
        <f>AND('PROG FORMACIÓN TITULADA'!#REF!,"AAAAADP9vt8=")</f>
        <v>#REF!</v>
      </c>
      <c r="HQ370" t="e">
        <f>AND('PROG FORMACIÓN TITULADA'!#REF!,"AAAAADP9vuA=")</f>
        <v>#REF!</v>
      </c>
      <c r="HR370" t="e">
        <f>AND('PROG FORMACIÓN TITULADA'!#REF!,"AAAAADP9vuE=")</f>
        <v>#REF!</v>
      </c>
      <c r="HS370" t="e">
        <f>AND('PROG FORMACIÓN TITULADA'!#REF!,"AAAAADP9vuI=")</f>
        <v>#REF!</v>
      </c>
      <c r="HT370" t="e">
        <f>AND('PROG FORMACIÓN TITULADA'!#REF!,"AAAAADP9vuM=")</f>
        <v>#REF!</v>
      </c>
      <c r="HU370" t="e">
        <f>AND('PROG FORMACIÓN TITULADA'!#REF!,"AAAAADP9vuQ=")</f>
        <v>#REF!</v>
      </c>
      <c r="HV370" t="e">
        <f>AND('PROG FORMACIÓN TITULADA'!#REF!,"AAAAADP9vuU=")</f>
        <v>#REF!</v>
      </c>
      <c r="HW370" t="e">
        <f>AND('PROG FORMACIÓN TITULADA'!#REF!,"AAAAADP9vuY=")</f>
        <v>#REF!</v>
      </c>
      <c r="HX370" t="e">
        <f>AND('PROG FORMACIÓN TITULADA'!#REF!,"AAAAADP9vuc=")</f>
        <v>#REF!</v>
      </c>
      <c r="HY370" t="e">
        <f>AND('PROG FORMACIÓN TITULADA'!#REF!,"AAAAADP9vug=")</f>
        <v>#REF!</v>
      </c>
      <c r="HZ370" t="e">
        <f>AND('PROG FORMACIÓN TITULADA'!#REF!,"AAAAADP9vuk=")</f>
        <v>#REF!</v>
      </c>
      <c r="IA370" t="e">
        <f>AND('PROG FORMACIÓN TITULADA'!#REF!,"AAAAADP9vuo=")</f>
        <v>#REF!</v>
      </c>
      <c r="IB370" t="e">
        <f>AND('PROG FORMACIÓN TITULADA'!#REF!,"AAAAADP9vus=")</f>
        <v>#REF!</v>
      </c>
      <c r="IC370" t="e">
        <f>AND('PROG FORMACIÓN TITULADA'!#REF!,"AAAAADP9vuw=")</f>
        <v>#REF!</v>
      </c>
      <c r="ID370" t="e">
        <f>AND('PROG FORMACIÓN TITULADA'!#REF!,"AAAAADP9vu0=")</f>
        <v>#REF!</v>
      </c>
      <c r="IE370" t="e">
        <f>AND('PROG FORMACIÓN TITULADA'!#REF!,"AAAAADP9vu4=")</f>
        <v>#REF!</v>
      </c>
      <c r="IF370" t="e">
        <f>AND('PROG FORMACIÓN TITULADA'!#REF!,"AAAAADP9vu8=")</f>
        <v>#REF!</v>
      </c>
      <c r="IG370" t="e">
        <f>IF('PROG FORMACIÓN TITULADA'!#REF!,"AAAAADP9vvA=",0)</f>
        <v>#REF!</v>
      </c>
      <c r="IH370" t="e">
        <f>AND('PROG FORMACIÓN TITULADA'!#REF!,"AAAAADP9vvE=")</f>
        <v>#REF!</v>
      </c>
      <c r="II370" t="e">
        <f>AND('PROG FORMACIÓN TITULADA'!#REF!,"AAAAADP9vvI=")</f>
        <v>#REF!</v>
      </c>
      <c r="IJ370" t="e">
        <f>AND('PROG FORMACIÓN TITULADA'!#REF!,"AAAAADP9vvM=")</f>
        <v>#REF!</v>
      </c>
      <c r="IK370" t="e">
        <f>AND('PROG FORMACIÓN TITULADA'!#REF!,"AAAAADP9vvQ=")</f>
        <v>#REF!</v>
      </c>
      <c r="IL370" t="e">
        <f>AND('PROG FORMACIÓN TITULADA'!#REF!,"AAAAADP9vvU=")</f>
        <v>#REF!</v>
      </c>
      <c r="IM370" t="e">
        <f>AND('PROG FORMACIÓN TITULADA'!#REF!,"AAAAADP9vvY=")</f>
        <v>#REF!</v>
      </c>
      <c r="IN370" t="e">
        <f>AND('PROG FORMACIÓN TITULADA'!#REF!,"AAAAADP9vvc=")</f>
        <v>#REF!</v>
      </c>
      <c r="IO370" t="e">
        <f>AND('PROG FORMACIÓN TITULADA'!#REF!,"AAAAADP9vvg=")</f>
        <v>#REF!</v>
      </c>
      <c r="IP370" t="e">
        <f>AND('PROG FORMACIÓN TITULADA'!#REF!,"AAAAADP9vvk=")</f>
        <v>#REF!</v>
      </c>
      <c r="IQ370" t="e">
        <f>AND('PROG FORMACIÓN TITULADA'!#REF!,"AAAAADP9vvo=")</f>
        <v>#REF!</v>
      </c>
      <c r="IR370" t="e">
        <f>AND('PROG FORMACIÓN TITULADA'!#REF!,"AAAAADP9vvs=")</f>
        <v>#REF!</v>
      </c>
      <c r="IS370" t="e">
        <f>AND('PROG FORMACIÓN TITULADA'!#REF!,"AAAAADP9vvw=")</f>
        <v>#REF!</v>
      </c>
      <c r="IT370" t="e">
        <f>AND('PROG FORMACIÓN TITULADA'!#REF!,"AAAAADP9vv0=")</f>
        <v>#REF!</v>
      </c>
      <c r="IU370" t="e">
        <f>AND('PROG FORMACIÓN TITULADA'!#REF!,"AAAAADP9vv4=")</f>
        <v>#REF!</v>
      </c>
      <c r="IV370" t="e">
        <f>AND('PROG FORMACIÓN TITULADA'!#REF!,"AAAAADP9vv8=")</f>
        <v>#REF!</v>
      </c>
    </row>
    <row r="371" spans="1:256" x14ac:dyDescent="0.2">
      <c r="A371" t="e">
        <f>AND('PROG FORMACIÓN TITULADA'!#REF!,"AAAAAH35+QA=")</f>
        <v>#REF!</v>
      </c>
      <c r="B371" t="e">
        <f>AND('PROG FORMACIÓN TITULADA'!#REF!,"AAAAAH35+QE=")</f>
        <v>#REF!</v>
      </c>
      <c r="C371" t="e">
        <f>AND('PROG FORMACIÓN TITULADA'!#REF!,"AAAAAH35+QI=")</f>
        <v>#REF!</v>
      </c>
      <c r="D371" t="e">
        <f>AND('PROG FORMACIÓN TITULADA'!#REF!,"AAAAAH35+QM=")</f>
        <v>#REF!</v>
      </c>
      <c r="E371" t="e">
        <f>AND('PROG FORMACIÓN TITULADA'!#REF!,"AAAAAH35+QQ=")</f>
        <v>#REF!</v>
      </c>
      <c r="F371" t="e">
        <f>AND('PROG FORMACIÓN TITULADA'!#REF!,"AAAAAH35+QU=")</f>
        <v>#REF!</v>
      </c>
      <c r="G371" t="e">
        <f>AND('PROG FORMACIÓN TITULADA'!#REF!,"AAAAAH35+QY=")</f>
        <v>#REF!</v>
      </c>
      <c r="H371" t="e">
        <f>AND('PROG FORMACIÓN TITULADA'!#REF!,"AAAAAH35+Qc=")</f>
        <v>#REF!</v>
      </c>
      <c r="I371" t="e">
        <f>AND('PROG FORMACIÓN TITULADA'!#REF!,"AAAAAH35+Qg=")</f>
        <v>#REF!</v>
      </c>
      <c r="J371" t="e">
        <f>AND('PROG FORMACIÓN TITULADA'!#REF!,"AAAAAH35+Qk=")</f>
        <v>#REF!</v>
      </c>
      <c r="K371" t="e">
        <f>AND('PROG FORMACIÓN TITULADA'!#REF!,"AAAAAH35+Qo=")</f>
        <v>#REF!</v>
      </c>
      <c r="L371" t="e">
        <f>IF('PROG FORMACIÓN TITULADA'!#REF!,"AAAAAH35+Qs=",0)</f>
        <v>#REF!</v>
      </c>
      <c r="M371" t="e">
        <f>AND('PROG FORMACIÓN TITULADA'!#REF!,"AAAAAH35+Qw=")</f>
        <v>#REF!</v>
      </c>
      <c r="N371" t="e">
        <f>AND('PROG FORMACIÓN TITULADA'!#REF!,"AAAAAH35+Q0=")</f>
        <v>#REF!</v>
      </c>
      <c r="O371" t="e">
        <f>AND('PROG FORMACIÓN TITULADA'!#REF!,"AAAAAH35+Q4=")</f>
        <v>#REF!</v>
      </c>
      <c r="P371" t="e">
        <f>AND('PROG FORMACIÓN TITULADA'!#REF!,"AAAAAH35+Q8=")</f>
        <v>#REF!</v>
      </c>
      <c r="Q371" t="e">
        <f>AND('PROG FORMACIÓN TITULADA'!#REF!,"AAAAAH35+RA=")</f>
        <v>#REF!</v>
      </c>
      <c r="R371" t="e">
        <f>AND('PROG FORMACIÓN TITULADA'!#REF!,"AAAAAH35+RE=")</f>
        <v>#REF!</v>
      </c>
      <c r="S371" t="e">
        <f>AND('PROG FORMACIÓN TITULADA'!#REF!,"AAAAAH35+RI=")</f>
        <v>#REF!</v>
      </c>
      <c r="T371" t="e">
        <f>AND('PROG FORMACIÓN TITULADA'!#REF!,"AAAAAH35+RM=")</f>
        <v>#REF!</v>
      </c>
      <c r="U371" t="e">
        <f>AND('PROG FORMACIÓN TITULADA'!#REF!,"AAAAAH35+RQ=")</f>
        <v>#REF!</v>
      </c>
      <c r="V371" t="e">
        <f>AND('PROG FORMACIÓN TITULADA'!#REF!,"AAAAAH35+RU=")</f>
        <v>#REF!</v>
      </c>
      <c r="W371" t="e">
        <f>AND('PROG FORMACIÓN TITULADA'!#REF!,"AAAAAH35+RY=")</f>
        <v>#REF!</v>
      </c>
      <c r="X371" t="e">
        <f>AND('PROG FORMACIÓN TITULADA'!#REF!,"AAAAAH35+Rc=")</f>
        <v>#REF!</v>
      </c>
      <c r="Y371" t="e">
        <f>AND('PROG FORMACIÓN TITULADA'!#REF!,"AAAAAH35+Rg=")</f>
        <v>#REF!</v>
      </c>
      <c r="Z371" t="e">
        <f>AND('PROG FORMACIÓN TITULADA'!#REF!,"AAAAAH35+Rk=")</f>
        <v>#REF!</v>
      </c>
      <c r="AA371" t="e">
        <f>AND('PROG FORMACIÓN TITULADA'!#REF!,"AAAAAH35+Ro=")</f>
        <v>#REF!</v>
      </c>
      <c r="AB371" t="e">
        <f>AND('PROG FORMACIÓN TITULADA'!#REF!,"AAAAAH35+Rs=")</f>
        <v>#REF!</v>
      </c>
      <c r="AC371" t="e">
        <f>AND('PROG FORMACIÓN TITULADA'!#REF!,"AAAAAH35+Rw=")</f>
        <v>#REF!</v>
      </c>
      <c r="AD371" t="e">
        <f>AND('PROG FORMACIÓN TITULADA'!#REF!,"AAAAAH35+R0=")</f>
        <v>#REF!</v>
      </c>
      <c r="AE371" t="e">
        <f>AND('PROG FORMACIÓN TITULADA'!#REF!,"AAAAAH35+R4=")</f>
        <v>#REF!</v>
      </c>
      <c r="AF371" t="e">
        <f>AND('PROG FORMACIÓN TITULADA'!#REF!,"AAAAAH35+R8=")</f>
        <v>#REF!</v>
      </c>
      <c r="AG371" t="e">
        <f>AND('PROG FORMACIÓN TITULADA'!#REF!,"AAAAAH35+SA=")</f>
        <v>#REF!</v>
      </c>
      <c r="AH371" t="e">
        <f>AND('PROG FORMACIÓN TITULADA'!#REF!,"AAAAAH35+SE=")</f>
        <v>#REF!</v>
      </c>
      <c r="AI371" t="e">
        <f>AND('PROG FORMACIÓN TITULADA'!#REF!,"AAAAAH35+SI=")</f>
        <v>#REF!</v>
      </c>
      <c r="AJ371" t="e">
        <f>AND('PROG FORMACIÓN TITULADA'!#REF!,"AAAAAH35+SM=")</f>
        <v>#REF!</v>
      </c>
      <c r="AK371" t="e">
        <f>AND('PROG FORMACIÓN TITULADA'!#REF!,"AAAAAH35+SQ=")</f>
        <v>#REF!</v>
      </c>
      <c r="AL371" t="e">
        <f>AND('PROG FORMACIÓN TITULADA'!#REF!,"AAAAAH35+SU=")</f>
        <v>#REF!</v>
      </c>
      <c r="AM371" t="e">
        <f>IF('PROG FORMACIÓN TITULADA'!#REF!,"AAAAAH35+SY=",0)</f>
        <v>#REF!</v>
      </c>
      <c r="AN371" t="e">
        <f>AND('PROG FORMACIÓN TITULADA'!#REF!,"AAAAAH35+Sc=")</f>
        <v>#REF!</v>
      </c>
      <c r="AO371" t="e">
        <f>AND('PROG FORMACIÓN TITULADA'!#REF!,"AAAAAH35+Sg=")</f>
        <v>#REF!</v>
      </c>
      <c r="AP371" t="e">
        <f>AND('PROG FORMACIÓN TITULADA'!#REF!,"AAAAAH35+Sk=")</f>
        <v>#REF!</v>
      </c>
      <c r="AQ371" t="e">
        <f>AND('PROG FORMACIÓN TITULADA'!#REF!,"AAAAAH35+So=")</f>
        <v>#REF!</v>
      </c>
      <c r="AR371" t="e">
        <f>AND('PROG FORMACIÓN TITULADA'!#REF!,"AAAAAH35+Ss=")</f>
        <v>#REF!</v>
      </c>
      <c r="AS371" t="e">
        <f>AND('PROG FORMACIÓN TITULADA'!#REF!,"AAAAAH35+Sw=")</f>
        <v>#REF!</v>
      </c>
      <c r="AT371" t="e">
        <f>AND('PROG FORMACIÓN TITULADA'!#REF!,"AAAAAH35+S0=")</f>
        <v>#REF!</v>
      </c>
      <c r="AU371" t="e">
        <f>AND('PROG FORMACIÓN TITULADA'!#REF!,"AAAAAH35+S4=")</f>
        <v>#REF!</v>
      </c>
      <c r="AV371" t="e">
        <f>AND('PROG FORMACIÓN TITULADA'!#REF!,"AAAAAH35+S8=")</f>
        <v>#REF!</v>
      </c>
      <c r="AW371" t="e">
        <f>AND('PROG FORMACIÓN TITULADA'!#REF!,"AAAAAH35+TA=")</f>
        <v>#REF!</v>
      </c>
      <c r="AX371" t="e">
        <f>AND('PROG FORMACIÓN TITULADA'!#REF!,"AAAAAH35+TE=")</f>
        <v>#REF!</v>
      </c>
      <c r="AY371" t="e">
        <f>AND('PROG FORMACIÓN TITULADA'!#REF!,"AAAAAH35+TI=")</f>
        <v>#REF!</v>
      </c>
      <c r="AZ371" t="e">
        <f>AND('PROG FORMACIÓN TITULADA'!#REF!,"AAAAAH35+TM=")</f>
        <v>#REF!</v>
      </c>
      <c r="BA371" t="e">
        <f>AND('PROG FORMACIÓN TITULADA'!#REF!,"AAAAAH35+TQ=")</f>
        <v>#REF!</v>
      </c>
      <c r="BB371" t="e">
        <f>AND('PROG FORMACIÓN TITULADA'!#REF!,"AAAAAH35+TU=")</f>
        <v>#REF!</v>
      </c>
      <c r="BC371" t="e">
        <f>AND('PROG FORMACIÓN TITULADA'!#REF!,"AAAAAH35+TY=")</f>
        <v>#REF!</v>
      </c>
      <c r="BD371" t="e">
        <f>AND('PROG FORMACIÓN TITULADA'!#REF!,"AAAAAH35+Tc=")</f>
        <v>#REF!</v>
      </c>
      <c r="BE371" t="e">
        <f>AND('PROG FORMACIÓN TITULADA'!#REF!,"AAAAAH35+Tg=")</f>
        <v>#REF!</v>
      </c>
      <c r="BF371" t="e">
        <f>AND('PROG FORMACIÓN TITULADA'!#REF!,"AAAAAH35+Tk=")</f>
        <v>#REF!</v>
      </c>
      <c r="BG371" t="e">
        <f>AND('PROG FORMACIÓN TITULADA'!#REF!,"AAAAAH35+To=")</f>
        <v>#REF!</v>
      </c>
      <c r="BH371" t="e">
        <f>AND('PROG FORMACIÓN TITULADA'!#REF!,"AAAAAH35+Ts=")</f>
        <v>#REF!</v>
      </c>
      <c r="BI371" t="e">
        <f>AND('PROG FORMACIÓN TITULADA'!#REF!,"AAAAAH35+Tw=")</f>
        <v>#REF!</v>
      </c>
      <c r="BJ371" t="e">
        <f>AND('PROG FORMACIÓN TITULADA'!#REF!,"AAAAAH35+T0=")</f>
        <v>#REF!</v>
      </c>
      <c r="BK371" t="e">
        <f>AND('PROG FORMACIÓN TITULADA'!#REF!,"AAAAAH35+T4=")</f>
        <v>#REF!</v>
      </c>
      <c r="BL371" t="e">
        <f>AND('PROG FORMACIÓN TITULADA'!#REF!,"AAAAAH35+T8=")</f>
        <v>#REF!</v>
      </c>
      <c r="BM371" t="e">
        <f>AND('PROG FORMACIÓN TITULADA'!#REF!,"AAAAAH35+UA=")</f>
        <v>#REF!</v>
      </c>
      <c r="BN371" t="e">
        <f>IF('PROG FORMACIÓN TITULADA'!#REF!,"AAAAAH35+UE=",0)</f>
        <v>#REF!</v>
      </c>
      <c r="BO371" t="e">
        <f>AND('PROG FORMACIÓN TITULADA'!#REF!,"AAAAAH35+UI=")</f>
        <v>#REF!</v>
      </c>
      <c r="BP371" t="e">
        <f>AND('PROG FORMACIÓN TITULADA'!#REF!,"AAAAAH35+UM=")</f>
        <v>#REF!</v>
      </c>
      <c r="BQ371" t="e">
        <f>AND('PROG FORMACIÓN TITULADA'!#REF!,"AAAAAH35+UQ=")</f>
        <v>#REF!</v>
      </c>
      <c r="BR371" t="e">
        <f>AND('PROG FORMACIÓN TITULADA'!#REF!,"AAAAAH35+UU=")</f>
        <v>#REF!</v>
      </c>
      <c r="BS371" t="e">
        <f>AND('PROG FORMACIÓN TITULADA'!#REF!,"AAAAAH35+UY=")</f>
        <v>#REF!</v>
      </c>
      <c r="BT371" t="e">
        <f>AND('PROG FORMACIÓN TITULADA'!#REF!,"AAAAAH35+Uc=")</f>
        <v>#REF!</v>
      </c>
      <c r="BU371" t="e">
        <f>AND('PROG FORMACIÓN TITULADA'!#REF!,"AAAAAH35+Ug=")</f>
        <v>#REF!</v>
      </c>
      <c r="BV371" t="e">
        <f>AND('PROG FORMACIÓN TITULADA'!#REF!,"AAAAAH35+Uk=")</f>
        <v>#REF!</v>
      </c>
      <c r="BW371" t="e">
        <f>AND('PROG FORMACIÓN TITULADA'!#REF!,"AAAAAH35+Uo=")</f>
        <v>#REF!</v>
      </c>
      <c r="BX371" t="e">
        <f>AND('PROG FORMACIÓN TITULADA'!#REF!,"AAAAAH35+Us=")</f>
        <v>#REF!</v>
      </c>
      <c r="BY371" t="e">
        <f>AND('PROG FORMACIÓN TITULADA'!#REF!,"AAAAAH35+Uw=")</f>
        <v>#REF!</v>
      </c>
      <c r="BZ371" t="e">
        <f>AND('PROG FORMACIÓN TITULADA'!#REF!,"AAAAAH35+U0=")</f>
        <v>#REF!</v>
      </c>
      <c r="CA371" t="e">
        <f>AND('PROG FORMACIÓN TITULADA'!#REF!,"AAAAAH35+U4=")</f>
        <v>#REF!</v>
      </c>
      <c r="CB371" t="e">
        <f>AND('PROG FORMACIÓN TITULADA'!#REF!,"AAAAAH35+U8=")</f>
        <v>#REF!</v>
      </c>
      <c r="CC371" t="e">
        <f>AND('PROG FORMACIÓN TITULADA'!#REF!,"AAAAAH35+VA=")</f>
        <v>#REF!</v>
      </c>
      <c r="CD371" t="e">
        <f>AND('PROG FORMACIÓN TITULADA'!#REF!,"AAAAAH35+VE=")</f>
        <v>#REF!</v>
      </c>
      <c r="CE371" t="e">
        <f>AND('PROG FORMACIÓN TITULADA'!#REF!,"AAAAAH35+VI=")</f>
        <v>#REF!</v>
      </c>
      <c r="CF371" t="e">
        <f>AND('PROG FORMACIÓN TITULADA'!#REF!,"AAAAAH35+VM=")</f>
        <v>#REF!</v>
      </c>
      <c r="CG371" t="e">
        <f>AND('PROG FORMACIÓN TITULADA'!#REF!,"AAAAAH35+VQ=")</f>
        <v>#REF!</v>
      </c>
      <c r="CH371" t="e">
        <f>AND('PROG FORMACIÓN TITULADA'!#REF!,"AAAAAH35+VU=")</f>
        <v>#REF!</v>
      </c>
      <c r="CI371" t="e">
        <f>AND('PROG FORMACIÓN TITULADA'!#REF!,"AAAAAH35+VY=")</f>
        <v>#REF!</v>
      </c>
      <c r="CJ371" t="e">
        <f>AND('PROG FORMACIÓN TITULADA'!#REF!,"AAAAAH35+Vc=")</f>
        <v>#REF!</v>
      </c>
      <c r="CK371" t="e">
        <f>AND('PROG FORMACIÓN TITULADA'!#REF!,"AAAAAH35+Vg=")</f>
        <v>#REF!</v>
      </c>
      <c r="CL371" t="e">
        <f>AND('PROG FORMACIÓN TITULADA'!#REF!,"AAAAAH35+Vk=")</f>
        <v>#REF!</v>
      </c>
      <c r="CM371" t="e">
        <f>AND('PROG FORMACIÓN TITULADA'!#REF!,"AAAAAH35+Vo=")</f>
        <v>#REF!</v>
      </c>
      <c r="CN371" t="e">
        <f>AND('PROG FORMACIÓN TITULADA'!#REF!,"AAAAAH35+Vs=")</f>
        <v>#REF!</v>
      </c>
      <c r="CO371" t="e">
        <f>IF('PROG FORMACIÓN TITULADA'!#REF!,"AAAAAH35+Vw=",0)</f>
        <v>#REF!</v>
      </c>
      <c r="CP371" t="e">
        <f>AND('PROG FORMACIÓN TITULADA'!#REF!,"AAAAAH35+V0=")</f>
        <v>#REF!</v>
      </c>
      <c r="CQ371" t="e">
        <f>AND('PROG FORMACIÓN TITULADA'!#REF!,"AAAAAH35+V4=")</f>
        <v>#REF!</v>
      </c>
      <c r="CR371" t="e">
        <f>AND('PROG FORMACIÓN TITULADA'!#REF!,"AAAAAH35+V8=")</f>
        <v>#REF!</v>
      </c>
      <c r="CS371" t="e">
        <f>AND('PROG FORMACIÓN TITULADA'!#REF!,"AAAAAH35+WA=")</f>
        <v>#REF!</v>
      </c>
      <c r="CT371" t="e">
        <f>AND('PROG FORMACIÓN TITULADA'!#REF!,"AAAAAH35+WE=")</f>
        <v>#REF!</v>
      </c>
      <c r="CU371" t="e">
        <f>AND('PROG FORMACIÓN TITULADA'!#REF!,"AAAAAH35+WI=")</f>
        <v>#REF!</v>
      </c>
      <c r="CV371" t="e">
        <f>AND('PROG FORMACIÓN TITULADA'!#REF!,"AAAAAH35+WM=")</f>
        <v>#REF!</v>
      </c>
      <c r="CW371" t="e">
        <f>AND('PROG FORMACIÓN TITULADA'!#REF!,"AAAAAH35+WQ=")</f>
        <v>#REF!</v>
      </c>
      <c r="CX371" t="e">
        <f>AND('PROG FORMACIÓN TITULADA'!#REF!,"AAAAAH35+WU=")</f>
        <v>#REF!</v>
      </c>
      <c r="CY371" t="e">
        <f>AND('PROG FORMACIÓN TITULADA'!#REF!,"AAAAAH35+WY=")</f>
        <v>#REF!</v>
      </c>
      <c r="CZ371" t="e">
        <f>AND('PROG FORMACIÓN TITULADA'!#REF!,"AAAAAH35+Wc=")</f>
        <v>#REF!</v>
      </c>
      <c r="DA371" t="e">
        <f>AND('PROG FORMACIÓN TITULADA'!#REF!,"AAAAAH35+Wg=")</f>
        <v>#REF!</v>
      </c>
      <c r="DB371" t="e">
        <f>AND('PROG FORMACIÓN TITULADA'!#REF!,"AAAAAH35+Wk=")</f>
        <v>#REF!</v>
      </c>
      <c r="DC371" t="e">
        <f>AND('PROG FORMACIÓN TITULADA'!#REF!,"AAAAAH35+Wo=")</f>
        <v>#REF!</v>
      </c>
      <c r="DD371" t="e">
        <f>AND('PROG FORMACIÓN TITULADA'!#REF!,"AAAAAH35+Ws=")</f>
        <v>#REF!</v>
      </c>
      <c r="DE371" t="e">
        <f>AND('PROG FORMACIÓN TITULADA'!#REF!,"AAAAAH35+Ww=")</f>
        <v>#REF!</v>
      </c>
      <c r="DF371" t="e">
        <f>AND('PROG FORMACIÓN TITULADA'!#REF!,"AAAAAH35+W0=")</f>
        <v>#REF!</v>
      </c>
      <c r="DG371" t="e">
        <f>AND('PROG FORMACIÓN TITULADA'!#REF!,"AAAAAH35+W4=")</f>
        <v>#REF!</v>
      </c>
      <c r="DH371" t="e">
        <f>AND('PROG FORMACIÓN TITULADA'!#REF!,"AAAAAH35+W8=")</f>
        <v>#REF!</v>
      </c>
      <c r="DI371" t="e">
        <f>AND('PROG FORMACIÓN TITULADA'!#REF!,"AAAAAH35+XA=")</f>
        <v>#REF!</v>
      </c>
      <c r="DJ371" t="e">
        <f>AND('PROG FORMACIÓN TITULADA'!#REF!,"AAAAAH35+XE=")</f>
        <v>#REF!</v>
      </c>
      <c r="DK371" t="e">
        <f>AND('PROG FORMACIÓN TITULADA'!#REF!,"AAAAAH35+XI=")</f>
        <v>#REF!</v>
      </c>
      <c r="DL371" t="e">
        <f>AND('PROG FORMACIÓN TITULADA'!#REF!,"AAAAAH35+XM=")</f>
        <v>#REF!</v>
      </c>
      <c r="DM371" t="e">
        <f>AND('PROG FORMACIÓN TITULADA'!#REF!,"AAAAAH35+XQ=")</f>
        <v>#REF!</v>
      </c>
      <c r="DN371" t="e">
        <f>AND('PROG FORMACIÓN TITULADA'!#REF!,"AAAAAH35+XU=")</f>
        <v>#REF!</v>
      </c>
      <c r="DO371" t="e">
        <f>AND('PROG FORMACIÓN TITULADA'!#REF!,"AAAAAH35+XY=")</f>
        <v>#REF!</v>
      </c>
      <c r="DP371" t="e">
        <f>IF('PROG FORMACIÓN TITULADA'!#REF!,"AAAAAH35+Xc=",0)</f>
        <v>#REF!</v>
      </c>
      <c r="DQ371" t="e">
        <f>AND('PROG FORMACIÓN TITULADA'!#REF!,"AAAAAH35+Xg=")</f>
        <v>#REF!</v>
      </c>
      <c r="DR371" t="e">
        <f>AND('PROG FORMACIÓN TITULADA'!#REF!,"AAAAAH35+Xk=")</f>
        <v>#REF!</v>
      </c>
      <c r="DS371" t="e">
        <f>AND('PROG FORMACIÓN TITULADA'!#REF!,"AAAAAH35+Xo=")</f>
        <v>#REF!</v>
      </c>
      <c r="DT371" t="e">
        <f>AND('PROG FORMACIÓN TITULADA'!#REF!,"AAAAAH35+Xs=")</f>
        <v>#REF!</v>
      </c>
      <c r="DU371" t="e">
        <f>AND('PROG FORMACIÓN TITULADA'!#REF!,"AAAAAH35+Xw=")</f>
        <v>#REF!</v>
      </c>
      <c r="DV371" t="e">
        <f>AND('PROG FORMACIÓN TITULADA'!#REF!,"AAAAAH35+X0=")</f>
        <v>#REF!</v>
      </c>
      <c r="DW371" t="e">
        <f>AND('PROG FORMACIÓN TITULADA'!#REF!,"AAAAAH35+X4=")</f>
        <v>#REF!</v>
      </c>
      <c r="DX371" t="e">
        <f>AND('PROG FORMACIÓN TITULADA'!#REF!,"AAAAAH35+X8=")</f>
        <v>#REF!</v>
      </c>
      <c r="DY371" t="e">
        <f>AND('PROG FORMACIÓN TITULADA'!#REF!,"AAAAAH35+YA=")</f>
        <v>#REF!</v>
      </c>
      <c r="DZ371" t="e">
        <f>AND('PROG FORMACIÓN TITULADA'!#REF!,"AAAAAH35+YE=")</f>
        <v>#REF!</v>
      </c>
      <c r="EA371" t="e">
        <f>AND('PROG FORMACIÓN TITULADA'!#REF!,"AAAAAH35+YI=")</f>
        <v>#REF!</v>
      </c>
      <c r="EB371" t="e">
        <f>AND('PROG FORMACIÓN TITULADA'!#REF!,"AAAAAH35+YM=")</f>
        <v>#REF!</v>
      </c>
      <c r="EC371" t="e">
        <f>AND('PROG FORMACIÓN TITULADA'!#REF!,"AAAAAH35+YQ=")</f>
        <v>#REF!</v>
      </c>
      <c r="ED371" t="e">
        <f>AND('PROG FORMACIÓN TITULADA'!#REF!,"AAAAAH35+YU=")</f>
        <v>#REF!</v>
      </c>
      <c r="EE371" t="e">
        <f>AND('PROG FORMACIÓN TITULADA'!#REF!,"AAAAAH35+YY=")</f>
        <v>#REF!</v>
      </c>
      <c r="EF371" t="e">
        <f>AND('PROG FORMACIÓN TITULADA'!#REF!,"AAAAAH35+Yc=")</f>
        <v>#REF!</v>
      </c>
      <c r="EG371" t="e">
        <f>AND('PROG FORMACIÓN TITULADA'!#REF!,"AAAAAH35+Yg=")</f>
        <v>#REF!</v>
      </c>
      <c r="EH371" t="e">
        <f>AND('PROG FORMACIÓN TITULADA'!#REF!,"AAAAAH35+Yk=")</f>
        <v>#REF!</v>
      </c>
      <c r="EI371" t="e">
        <f>AND('PROG FORMACIÓN TITULADA'!#REF!,"AAAAAH35+Yo=")</f>
        <v>#REF!</v>
      </c>
      <c r="EJ371" t="e">
        <f>AND('PROG FORMACIÓN TITULADA'!#REF!,"AAAAAH35+Ys=")</f>
        <v>#REF!</v>
      </c>
      <c r="EK371" t="e">
        <f>AND('PROG FORMACIÓN TITULADA'!#REF!,"AAAAAH35+Yw=")</f>
        <v>#REF!</v>
      </c>
      <c r="EL371" t="e">
        <f>AND('PROG FORMACIÓN TITULADA'!#REF!,"AAAAAH35+Y0=")</f>
        <v>#REF!</v>
      </c>
      <c r="EM371" t="e">
        <f>AND('PROG FORMACIÓN TITULADA'!#REF!,"AAAAAH35+Y4=")</f>
        <v>#REF!</v>
      </c>
      <c r="EN371" t="e">
        <f>AND('PROG FORMACIÓN TITULADA'!#REF!,"AAAAAH35+Y8=")</f>
        <v>#REF!</v>
      </c>
      <c r="EO371" t="e">
        <f>AND('PROG FORMACIÓN TITULADA'!#REF!,"AAAAAH35+ZA=")</f>
        <v>#REF!</v>
      </c>
      <c r="EP371" t="e">
        <f>AND('PROG FORMACIÓN TITULADA'!#REF!,"AAAAAH35+ZE=")</f>
        <v>#REF!</v>
      </c>
      <c r="EQ371" t="e">
        <f>IF('PROG FORMACIÓN TITULADA'!#REF!,"AAAAAH35+ZI=",0)</f>
        <v>#REF!</v>
      </c>
      <c r="ER371" t="e">
        <f>AND('PROG FORMACIÓN TITULADA'!#REF!,"AAAAAH35+ZM=")</f>
        <v>#REF!</v>
      </c>
      <c r="ES371" t="e">
        <f>AND('PROG FORMACIÓN TITULADA'!#REF!,"AAAAAH35+ZQ=")</f>
        <v>#REF!</v>
      </c>
      <c r="ET371" t="e">
        <f>AND('PROG FORMACIÓN TITULADA'!#REF!,"AAAAAH35+ZU=")</f>
        <v>#REF!</v>
      </c>
      <c r="EU371" t="e">
        <f>AND('PROG FORMACIÓN TITULADA'!#REF!,"AAAAAH35+ZY=")</f>
        <v>#REF!</v>
      </c>
      <c r="EV371" t="e">
        <f>AND('PROG FORMACIÓN TITULADA'!#REF!,"AAAAAH35+Zc=")</f>
        <v>#REF!</v>
      </c>
      <c r="EW371" t="e">
        <f>AND('PROG FORMACIÓN TITULADA'!#REF!,"AAAAAH35+Zg=")</f>
        <v>#REF!</v>
      </c>
      <c r="EX371" t="e">
        <f>AND('PROG FORMACIÓN TITULADA'!#REF!,"AAAAAH35+Zk=")</f>
        <v>#REF!</v>
      </c>
      <c r="EY371" t="e">
        <f>AND('PROG FORMACIÓN TITULADA'!#REF!,"AAAAAH35+Zo=")</f>
        <v>#REF!</v>
      </c>
      <c r="EZ371" t="e">
        <f>AND('PROG FORMACIÓN TITULADA'!#REF!,"AAAAAH35+Zs=")</f>
        <v>#REF!</v>
      </c>
      <c r="FA371" t="e">
        <f>AND('PROG FORMACIÓN TITULADA'!#REF!,"AAAAAH35+Zw=")</f>
        <v>#REF!</v>
      </c>
      <c r="FB371" t="e">
        <f>AND('PROG FORMACIÓN TITULADA'!#REF!,"AAAAAH35+Z0=")</f>
        <v>#REF!</v>
      </c>
      <c r="FC371" t="e">
        <f>AND('PROG FORMACIÓN TITULADA'!#REF!,"AAAAAH35+Z4=")</f>
        <v>#REF!</v>
      </c>
      <c r="FD371" t="e">
        <f>AND('PROG FORMACIÓN TITULADA'!#REF!,"AAAAAH35+Z8=")</f>
        <v>#REF!</v>
      </c>
      <c r="FE371" t="e">
        <f>AND('PROG FORMACIÓN TITULADA'!#REF!,"AAAAAH35+aA=")</f>
        <v>#REF!</v>
      </c>
      <c r="FF371" t="e">
        <f>AND('PROG FORMACIÓN TITULADA'!#REF!,"AAAAAH35+aE=")</f>
        <v>#REF!</v>
      </c>
      <c r="FG371" t="e">
        <f>AND('PROG FORMACIÓN TITULADA'!#REF!,"AAAAAH35+aI=")</f>
        <v>#REF!</v>
      </c>
      <c r="FH371" t="e">
        <f>AND('PROG FORMACIÓN TITULADA'!#REF!,"AAAAAH35+aM=")</f>
        <v>#REF!</v>
      </c>
      <c r="FI371" t="e">
        <f>AND('PROG FORMACIÓN TITULADA'!#REF!,"AAAAAH35+aQ=")</f>
        <v>#REF!</v>
      </c>
      <c r="FJ371" t="e">
        <f>AND('PROG FORMACIÓN TITULADA'!#REF!,"AAAAAH35+aU=")</f>
        <v>#REF!</v>
      </c>
      <c r="FK371" t="e">
        <f>AND('PROG FORMACIÓN TITULADA'!#REF!,"AAAAAH35+aY=")</f>
        <v>#REF!</v>
      </c>
      <c r="FL371" t="e">
        <f>AND('PROG FORMACIÓN TITULADA'!#REF!,"AAAAAH35+ac=")</f>
        <v>#REF!</v>
      </c>
      <c r="FM371" t="e">
        <f>AND('PROG FORMACIÓN TITULADA'!#REF!,"AAAAAH35+ag=")</f>
        <v>#REF!</v>
      </c>
      <c r="FN371" t="e">
        <f>AND('PROG FORMACIÓN TITULADA'!#REF!,"AAAAAH35+ak=")</f>
        <v>#REF!</v>
      </c>
      <c r="FO371" t="e">
        <f>AND('PROG FORMACIÓN TITULADA'!#REF!,"AAAAAH35+ao=")</f>
        <v>#REF!</v>
      </c>
      <c r="FP371" t="e">
        <f>AND('PROG FORMACIÓN TITULADA'!#REF!,"AAAAAH35+as=")</f>
        <v>#REF!</v>
      </c>
      <c r="FQ371" t="e">
        <f>AND('PROG FORMACIÓN TITULADA'!#REF!,"AAAAAH35+aw=")</f>
        <v>#REF!</v>
      </c>
      <c r="FR371" t="e">
        <f>IF('PROG FORMACIÓN TITULADA'!#REF!,"AAAAAH35+a0=",0)</f>
        <v>#REF!</v>
      </c>
      <c r="FS371" t="e">
        <f>AND('PROG FORMACIÓN TITULADA'!#REF!,"AAAAAH35+a4=")</f>
        <v>#REF!</v>
      </c>
      <c r="FT371" t="e">
        <f>AND('PROG FORMACIÓN TITULADA'!#REF!,"AAAAAH35+a8=")</f>
        <v>#REF!</v>
      </c>
      <c r="FU371" t="e">
        <f>AND('PROG FORMACIÓN TITULADA'!#REF!,"AAAAAH35+bA=")</f>
        <v>#REF!</v>
      </c>
      <c r="FV371" t="e">
        <f>AND('PROG FORMACIÓN TITULADA'!#REF!,"AAAAAH35+bE=")</f>
        <v>#REF!</v>
      </c>
      <c r="FW371" t="e">
        <f>AND('PROG FORMACIÓN TITULADA'!#REF!,"AAAAAH35+bI=")</f>
        <v>#REF!</v>
      </c>
      <c r="FX371" t="e">
        <f>AND('PROG FORMACIÓN TITULADA'!#REF!,"AAAAAH35+bM=")</f>
        <v>#REF!</v>
      </c>
      <c r="FY371" t="e">
        <f>AND('PROG FORMACIÓN TITULADA'!#REF!,"AAAAAH35+bQ=")</f>
        <v>#REF!</v>
      </c>
      <c r="FZ371" t="e">
        <f>AND('PROG FORMACIÓN TITULADA'!#REF!,"AAAAAH35+bU=")</f>
        <v>#REF!</v>
      </c>
      <c r="GA371" t="e">
        <f>AND('PROG FORMACIÓN TITULADA'!#REF!,"AAAAAH35+bY=")</f>
        <v>#REF!</v>
      </c>
      <c r="GB371" t="e">
        <f>AND('PROG FORMACIÓN TITULADA'!#REF!,"AAAAAH35+bc=")</f>
        <v>#REF!</v>
      </c>
      <c r="GC371" t="e">
        <f>AND('PROG FORMACIÓN TITULADA'!#REF!,"AAAAAH35+bg=")</f>
        <v>#REF!</v>
      </c>
      <c r="GD371" t="e">
        <f>AND('PROG FORMACIÓN TITULADA'!#REF!,"AAAAAH35+bk=")</f>
        <v>#REF!</v>
      </c>
      <c r="GE371" t="e">
        <f>AND('PROG FORMACIÓN TITULADA'!#REF!,"AAAAAH35+bo=")</f>
        <v>#REF!</v>
      </c>
      <c r="GF371" t="e">
        <f>AND('PROG FORMACIÓN TITULADA'!#REF!,"AAAAAH35+bs=")</f>
        <v>#REF!</v>
      </c>
      <c r="GG371" t="e">
        <f>AND('PROG FORMACIÓN TITULADA'!#REF!,"AAAAAH35+bw=")</f>
        <v>#REF!</v>
      </c>
      <c r="GH371" t="e">
        <f>AND('PROG FORMACIÓN TITULADA'!#REF!,"AAAAAH35+b0=")</f>
        <v>#REF!</v>
      </c>
      <c r="GI371" t="e">
        <f>AND('PROG FORMACIÓN TITULADA'!#REF!,"AAAAAH35+b4=")</f>
        <v>#REF!</v>
      </c>
      <c r="GJ371" t="e">
        <f>AND('PROG FORMACIÓN TITULADA'!#REF!,"AAAAAH35+b8=")</f>
        <v>#REF!</v>
      </c>
      <c r="GK371" t="e">
        <f>AND('PROG FORMACIÓN TITULADA'!#REF!,"AAAAAH35+cA=")</f>
        <v>#REF!</v>
      </c>
      <c r="GL371" t="e">
        <f>AND('PROG FORMACIÓN TITULADA'!#REF!,"AAAAAH35+cE=")</f>
        <v>#REF!</v>
      </c>
      <c r="GM371" t="e">
        <f>AND('PROG FORMACIÓN TITULADA'!#REF!,"AAAAAH35+cI=")</f>
        <v>#REF!</v>
      </c>
      <c r="GN371" t="e">
        <f>AND('PROG FORMACIÓN TITULADA'!#REF!,"AAAAAH35+cM=")</f>
        <v>#REF!</v>
      </c>
      <c r="GO371" t="e">
        <f>AND('PROG FORMACIÓN TITULADA'!#REF!,"AAAAAH35+cQ=")</f>
        <v>#REF!</v>
      </c>
      <c r="GP371" t="e">
        <f>AND('PROG FORMACIÓN TITULADA'!#REF!,"AAAAAH35+cU=")</f>
        <v>#REF!</v>
      </c>
      <c r="GQ371" t="e">
        <f>AND('PROG FORMACIÓN TITULADA'!#REF!,"AAAAAH35+cY=")</f>
        <v>#REF!</v>
      </c>
      <c r="GR371" t="e">
        <f>AND('PROG FORMACIÓN TITULADA'!#REF!,"AAAAAH35+cc=")</f>
        <v>#REF!</v>
      </c>
      <c r="GS371" t="e">
        <f>IF('PROG FORMACIÓN TITULADA'!#REF!,"AAAAAH35+cg=",0)</f>
        <v>#REF!</v>
      </c>
      <c r="GT371" t="e">
        <f>AND('PROG FORMACIÓN TITULADA'!#REF!,"AAAAAH35+ck=")</f>
        <v>#REF!</v>
      </c>
      <c r="GU371" t="e">
        <f>AND('PROG FORMACIÓN TITULADA'!#REF!,"AAAAAH35+co=")</f>
        <v>#REF!</v>
      </c>
      <c r="GV371" t="e">
        <f>AND('PROG FORMACIÓN TITULADA'!#REF!,"AAAAAH35+cs=")</f>
        <v>#REF!</v>
      </c>
      <c r="GW371" t="e">
        <f>AND('PROG FORMACIÓN TITULADA'!#REF!,"AAAAAH35+cw=")</f>
        <v>#REF!</v>
      </c>
      <c r="GX371" t="e">
        <f>AND('PROG FORMACIÓN TITULADA'!#REF!,"AAAAAH35+c0=")</f>
        <v>#REF!</v>
      </c>
      <c r="GY371" t="e">
        <f>AND('PROG FORMACIÓN TITULADA'!#REF!,"AAAAAH35+c4=")</f>
        <v>#REF!</v>
      </c>
      <c r="GZ371" t="e">
        <f>AND('PROG FORMACIÓN TITULADA'!#REF!,"AAAAAH35+c8=")</f>
        <v>#REF!</v>
      </c>
      <c r="HA371" t="e">
        <f>AND('PROG FORMACIÓN TITULADA'!#REF!,"AAAAAH35+dA=")</f>
        <v>#REF!</v>
      </c>
      <c r="HB371" t="e">
        <f>AND('PROG FORMACIÓN TITULADA'!#REF!,"AAAAAH35+dE=")</f>
        <v>#REF!</v>
      </c>
      <c r="HC371" t="e">
        <f>AND('PROG FORMACIÓN TITULADA'!#REF!,"AAAAAH35+dI=")</f>
        <v>#REF!</v>
      </c>
      <c r="HD371" t="e">
        <f>AND('PROG FORMACIÓN TITULADA'!#REF!,"AAAAAH35+dM=")</f>
        <v>#REF!</v>
      </c>
      <c r="HE371" t="e">
        <f>AND('PROG FORMACIÓN TITULADA'!#REF!,"AAAAAH35+dQ=")</f>
        <v>#REF!</v>
      </c>
      <c r="HF371" t="e">
        <f>AND('PROG FORMACIÓN TITULADA'!#REF!,"AAAAAH35+dU=")</f>
        <v>#REF!</v>
      </c>
      <c r="HG371" t="e">
        <f>AND('PROG FORMACIÓN TITULADA'!#REF!,"AAAAAH35+dY=")</f>
        <v>#REF!</v>
      </c>
      <c r="HH371" t="e">
        <f>AND('PROG FORMACIÓN TITULADA'!#REF!,"AAAAAH35+dc=")</f>
        <v>#REF!</v>
      </c>
      <c r="HI371" t="e">
        <f>AND('PROG FORMACIÓN TITULADA'!#REF!,"AAAAAH35+dg=")</f>
        <v>#REF!</v>
      </c>
      <c r="HJ371" t="e">
        <f>AND('PROG FORMACIÓN TITULADA'!#REF!,"AAAAAH35+dk=")</f>
        <v>#REF!</v>
      </c>
      <c r="HK371" t="e">
        <f>AND('PROG FORMACIÓN TITULADA'!#REF!,"AAAAAH35+do=")</f>
        <v>#REF!</v>
      </c>
      <c r="HL371" t="e">
        <f>AND('PROG FORMACIÓN TITULADA'!#REF!,"AAAAAH35+ds=")</f>
        <v>#REF!</v>
      </c>
      <c r="HM371" t="e">
        <f>AND('PROG FORMACIÓN TITULADA'!#REF!,"AAAAAH35+dw=")</f>
        <v>#REF!</v>
      </c>
      <c r="HN371" t="e">
        <f>AND('PROG FORMACIÓN TITULADA'!#REF!,"AAAAAH35+d0=")</f>
        <v>#REF!</v>
      </c>
      <c r="HO371" t="e">
        <f>AND('PROG FORMACIÓN TITULADA'!#REF!,"AAAAAH35+d4=")</f>
        <v>#REF!</v>
      </c>
      <c r="HP371" t="e">
        <f>AND('PROG FORMACIÓN TITULADA'!#REF!,"AAAAAH35+d8=")</f>
        <v>#REF!</v>
      </c>
      <c r="HQ371" t="e">
        <f>AND('PROG FORMACIÓN TITULADA'!#REF!,"AAAAAH35+eA=")</f>
        <v>#REF!</v>
      </c>
      <c r="HR371" t="e">
        <f>AND('PROG FORMACIÓN TITULADA'!#REF!,"AAAAAH35+eE=")</f>
        <v>#REF!</v>
      </c>
      <c r="HS371" t="e">
        <f>AND('PROG FORMACIÓN TITULADA'!#REF!,"AAAAAH35+eI=")</f>
        <v>#REF!</v>
      </c>
      <c r="HT371" t="e">
        <f>IF('PROG FORMACIÓN TITULADA'!#REF!,"AAAAAH35+eM=",0)</f>
        <v>#REF!</v>
      </c>
      <c r="HU371" t="e">
        <f>AND('PROG FORMACIÓN TITULADA'!#REF!,"AAAAAH35+eQ=")</f>
        <v>#REF!</v>
      </c>
      <c r="HV371" t="e">
        <f>AND('PROG FORMACIÓN TITULADA'!#REF!,"AAAAAH35+eU=")</f>
        <v>#REF!</v>
      </c>
      <c r="HW371" t="e">
        <f>AND('PROG FORMACIÓN TITULADA'!#REF!,"AAAAAH35+eY=")</f>
        <v>#REF!</v>
      </c>
      <c r="HX371" t="e">
        <f>AND('PROG FORMACIÓN TITULADA'!#REF!,"AAAAAH35+ec=")</f>
        <v>#REF!</v>
      </c>
      <c r="HY371" t="e">
        <f>AND('PROG FORMACIÓN TITULADA'!#REF!,"AAAAAH35+eg=")</f>
        <v>#REF!</v>
      </c>
      <c r="HZ371" t="e">
        <f>AND('PROG FORMACIÓN TITULADA'!#REF!,"AAAAAH35+ek=")</f>
        <v>#REF!</v>
      </c>
      <c r="IA371" t="e">
        <f>AND('PROG FORMACIÓN TITULADA'!#REF!,"AAAAAH35+eo=")</f>
        <v>#REF!</v>
      </c>
      <c r="IB371" t="e">
        <f>AND('PROG FORMACIÓN TITULADA'!#REF!,"AAAAAH35+es=")</f>
        <v>#REF!</v>
      </c>
      <c r="IC371" t="e">
        <f>AND('PROG FORMACIÓN TITULADA'!#REF!,"AAAAAH35+ew=")</f>
        <v>#REF!</v>
      </c>
      <c r="ID371" t="e">
        <f>AND('PROG FORMACIÓN TITULADA'!#REF!,"AAAAAH35+e0=")</f>
        <v>#REF!</v>
      </c>
      <c r="IE371" t="e">
        <f>AND('PROG FORMACIÓN TITULADA'!#REF!,"AAAAAH35+e4=")</f>
        <v>#REF!</v>
      </c>
      <c r="IF371" t="e">
        <f>AND('PROG FORMACIÓN TITULADA'!#REF!,"AAAAAH35+e8=")</f>
        <v>#REF!</v>
      </c>
      <c r="IG371" t="e">
        <f>AND('PROG FORMACIÓN TITULADA'!#REF!,"AAAAAH35+fA=")</f>
        <v>#REF!</v>
      </c>
      <c r="IH371" t="e">
        <f>AND('PROG FORMACIÓN TITULADA'!#REF!,"AAAAAH35+fE=")</f>
        <v>#REF!</v>
      </c>
      <c r="II371" t="e">
        <f>AND('PROG FORMACIÓN TITULADA'!#REF!,"AAAAAH35+fI=")</f>
        <v>#REF!</v>
      </c>
      <c r="IJ371" t="e">
        <f>AND('PROG FORMACIÓN TITULADA'!#REF!,"AAAAAH35+fM=")</f>
        <v>#REF!</v>
      </c>
      <c r="IK371" t="e">
        <f>AND('PROG FORMACIÓN TITULADA'!#REF!,"AAAAAH35+fQ=")</f>
        <v>#REF!</v>
      </c>
      <c r="IL371" t="e">
        <f>AND('PROG FORMACIÓN TITULADA'!#REF!,"AAAAAH35+fU=")</f>
        <v>#REF!</v>
      </c>
      <c r="IM371" t="e">
        <f>AND('PROG FORMACIÓN TITULADA'!#REF!,"AAAAAH35+fY=")</f>
        <v>#REF!</v>
      </c>
      <c r="IN371" t="e">
        <f>AND('PROG FORMACIÓN TITULADA'!#REF!,"AAAAAH35+fc=")</f>
        <v>#REF!</v>
      </c>
      <c r="IO371" t="e">
        <f>AND('PROG FORMACIÓN TITULADA'!#REF!,"AAAAAH35+fg=")</f>
        <v>#REF!</v>
      </c>
      <c r="IP371" t="e">
        <f>AND('PROG FORMACIÓN TITULADA'!#REF!,"AAAAAH35+fk=")</f>
        <v>#REF!</v>
      </c>
      <c r="IQ371" t="e">
        <f>AND('PROG FORMACIÓN TITULADA'!#REF!,"AAAAAH35+fo=")</f>
        <v>#REF!</v>
      </c>
      <c r="IR371" t="e">
        <f>AND('PROG FORMACIÓN TITULADA'!#REF!,"AAAAAH35+fs=")</f>
        <v>#REF!</v>
      </c>
      <c r="IS371" t="e">
        <f>AND('PROG FORMACIÓN TITULADA'!#REF!,"AAAAAH35+fw=")</f>
        <v>#REF!</v>
      </c>
      <c r="IT371" t="e">
        <f>AND('PROG FORMACIÓN TITULADA'!#REF!,"AAAAAH35+f0=")</f>
        <v>#REF!</v>
      </c>
      <c r="IU371" t="e">
        <f>IF('PROG FORMACIÓN TITULADA'!#REF!,"AAAAAH35+f4=",0)</f>
        <v>#REF!</v>
      </c>
      <c r="IV371" t="e">
        <f>AND('PROG FORMACIÓN TITULADA'!#REF!,"AAAAAH35+f8=")</f>
        <v>#REF!</v>
      </c>
    </row>
    <row r="372" spans="1:256" x14ac:dyDescent="0.2">
      <c r="A372" t="e">
        <f>AND('PROG FORMACIÓN TITULADA'!#REF!,"AAAAAD1v/AA=")</f>
        <v>#REF!</v>
      </c>
      <c r="B372" t="e">
        <f>AND('PROG FORMACIÓN TITULADA'!#REF!,"AAAAAD1v/AE=")</f>
        <v>#REF!</v>
      </c>
      <c r="C372" t="e">
        <f>AND('PROG FORMACIÓN TITULADA'!#REF!,"AAAAAD1v/AI=")</f>
        <v>#REF!</v>
      </c>
      <c r="D372" t="e">
        <f>AND('PROG FORMACIÓN TITULADA'!#REF!,"AAAAAD1v/AM=")</f>
        <v>#REF!</v>
      </c>
      <c r="E372" t="e">
        <f>AND('PROG FORMACIÓN TITULADA'!#REF!,"AAAAAD1v/AQ=")</f>
        <v>#REF!</v>
      </c>
      <c r="F372" t="e">
        <f>AND('PROG FORMACIÓN TITULADA'!#REF!,"AAAAAD1v/AU=")</f>
        <v>#REF!</v>
      </c>
      <c r="G372" t="e">
        <f>AND('PROG FORMACIÓN TITULADA'!#REF!,"AAAAAD1v/AY=")</f>
        <v>#REF!</v>
      </c>
      <c r="H372" t="e">
        <f>AND('PROG FORMACIÓN TITULADA'!#REF!,"AAAAAD1v/Ac=")</f>
        <v>#REF!</v>
      </c>
      <c r="I372" t="e">
        <f>AND('PROG FORMACIÓN TITULADA'!#REF!,"AAAAAD1v/Ag=")</f>
        <v>#REF!</v>
      </c>
      <c r="J372" t="e">
        <f>AND('PROG FORMACIÓN TITULADA'!#REF!,"AAAAAD1v/Ak=")</f>
        <v>#REF!</v>
      </c>
      <c r="K372" t="e">
        <f>AND('PROG FORMACIÓN TITULADA'!#REF!,"AAAAAD1v/Ao=")</f>
        <v>#REF!</v>
      </c>
      <c r="L372" t="e">
        <f>AND('PROG FORMACIÓN TITULADA'!#REF!,"AAAAAD1v/As=")</f>
        <v>#REF!</v>
      </c>
      <c r="M372" t="e">
        <f>AND('PROG FORMACIÓN TITULADA'!#REF!,"AAAAAD1v/Aw=")</f>
        <v>#REF!</v>
      </c>
      <c r="N372" t="e">
        <f>AND('PROG FORMACIÓN TITULADA'!#REF!,"AAAAAD1v/A0=")</f>
        <v>#REF!</v>
      </c>
      <c r="O372" t="e">
        <f>AND('PROG FORMACIÓN TITULADA'!#REF!,"AAAAAD1v/A4=")</f>
        <v>#REF!</v>
      </c>
      <c r="P372" t="e">
        <f>AND('PROG FORMACIÓN TITULADA'!#REF!,"AAAAAD1v/A8=")</f>
        <v>#REF!</v>
      </c>
      <c r="Q372" t="e">
        <f>AND('PROG FORMACIÓN TITULADA'!#REF!,"AAAAAD1v/BA=")</f>
        <v>#REF!</v>
      </c>
      <c r="R372" t="e">
        <f>AND('PROG FORMACIÓN TITULADA'!#REF!,"AAAAAD1v/BE=")</f>
        <v>#REF!</v>
      </c>
      <c r="S372" t="e">
        <f>AND('PROG FORMACIÓN TITULADA'!#REF!,"AAAAAD1v/BI=")</f>
        <v>#REF!</v>
      </c>
      <c r="T372" t="e">
        <f>AND('PROG FORMACIÓN TITULADA'!#REF!,"AAAAAD1v/BM=")</f>
        <v>#REF!</v>
      </c>
      <c r="U372" t="e">
        <f>AND('PROG FORMACIÓN TITULADA'!#REF!,"AAAAAD1v/BQ=")</f>
        <v>#REF!</v>
      </c>
      <c r="V372" t="e">
        <f>AND('PROG FORMACIÓN TITULADA'!#REF!,"AAAAAD1v/BU=")</f>
        <v>#REF!</v>
      </c>
      <c r="W372" t="e">
        <f>AND('PROG FORMACIÓN TITULADA'!#REF!,"AAAAAD1v/BY=")</f>
        <v>#REF!</v>
      </c>
      <c r="X372" t="e">
        <f>AND('PROG FORMACIÓN TITULADA'!#REF!,"AAAAAD1v/Bc=")</f>
        <v>#REF!</v>
      </c>
      <c r="Y372" t="e">
        <f>AND('PROG FORMACIÓN TITULADA'!#REF!,"AAAAAD1v/Bg=")</f>
        <v>#REF!</v>
      </c>
      <c r="Z372" t="e">
        <f>IF('PROG FORMACIÓN TITULADA'!#REF!,"AAAAAD1v/Bk=",0)</f>
        <v>#REF!</v>
      </c>
      <c r="AA372" t="e">
        <f>AND('PROG FORMACIÓN TITULADA'!#REF!,"AAAAAD1v/Bo=")</f>
        <v>#REF!</v>
      </c>
      <c r="AB372" t="e">
        <f>AND('PROG FORMACIÓN TITULADA'!#REF!,"AAAAAD1v/Bs=")</f>
        <v>#REF!</v>
      </c>
      <c r="AC372" t="e">
        <f>AND('PROG FORMACIÓN TITULADA'!#REF!,"AAAAAD1v/Bw=")</f>
        <v>#REF!</v>
      </c>
      <c r="AD372" t="e">
        <f>AND('PROG FORMACIÓN TITULADA'!#REF!,"AAAAAD1v/B0=")</f>
        <v>#REF!</v>
      </c>
      <c r="AE372" t="e">
        <f>AND('PROG FORMACIÓN TITULADA'!#REF!,"AAAAAD1v/B4=")</f>
        <v>#REF!</v>
      </c>
      <c r="AF372" t="e">
        <f>AND('PROG FORMACIÓN TITULADA'!#REF!,"AAAAAD1v/B8=")</f>
        <v>#REF!</v>
      </c>
      <c r="AG372" t="e">
        <f>AND('PROG FORMACIÓN TITULADA'!#REF!,"AAAAAD1v/CA=")</f>
        <v>#REF!</v>
      </c>
      <c r="AH372" t="e">
        <f>AND('PROG FORMACIÓN TITULADA'!#REF!,"AAAAAD1v/CE=")</f>
        <v>#REF!</v>
      </c>
      <c r="AI372" t="e">
        <f>AND('PROG FORMACIÓN TITULADA'!#REF!,"AAAAAD1v/CI=")</f>
        <v>#REF!</v>
      </c>
      <c r="AJ372" t="e">
        <f>AND('PROG FORMACIÓN TITULADA'!#REF!,"AAAAAD1v/CM=")</f>
        <v>#REF!</v>
      </c>
      <c r="AK372" t="e">
        <f>AND('PROG FORMACIÓN TITULADA'!#REF!,"AAAAAD1v/CQ=")</f>
        <v>#REF!</v>
      </c>
      <c r="AL372" t="e">
        <f>AND('PROG FORMACIÓN TITULADA'!#REF!,"AAAAAD1v/CU=")</f>
        <v>#REF!</v>
      </c>
      <c r="AM372" t="e">
        <f>AND('PROG FORMACIÓN TITULADA'!#REF!,"AAAAAD1v/CY=")</f>
        <v>#REF!</v>
      </c>
      <c r="AN372" t="e">
        <f>AND('PROG FORMACIÓN TITULADA'!#REF!,"AAAAAD1v/Cc=")</f>
        <v>#REF!</v>
      </c>
      <c r="AO372" t="e">
        <f>AND('PROG FORMACIÓN TITULADA'!#REF!,"AAAAAD1v/Cg=")</f>
        <v>#REF!</v>
      </c>
      <c r="AP372" t="e">
        <f>AND('PROG FORMACIÓN TITULADA'!#REF!,"AAAAAD1v/Ck=")</f>
        <v>#REF!</v>
      </c>
      <c r="AQ372" t="e">
        <f>AND('PROG FORMACIÓN TITULADA'!#REF!,"AAAAAD1v/Co=")</f>
        <v>#REF!</v>
      </c>
      <c r="AR372" t="e">
        <f>AND('PROG FORMACIÓN TITULADA'!#REF!,"AAAAAD1v/Cs=")</f>
        <v>#REF!</v>
      </c>
      <c r="AS372" t="e">
        <f>AND('PROG FORMACIÓN TITULADA'!#REF!,"AAAAAD1v/Cw=")</f>
        <v>#REF!</v>
      </c>
      <c r="AT372" t="e">
        <f>AND('PROG FORMACIÓN TITULADA'!#REF!,"AAAAAD1v/C0=")</f>
        <v>#REF!</v>
      </c>
      <c r="AU372" t="e">
        <f>AND('PROG FORMACIÓN TITULADA'!#REF!,"AAAAAD1v/C4=")</f>
        <v>#REF!</v>
      </c>
      <c r="AV372" t="e">
        <f>AND('PROG FORMACIÓN TITULADA'!#REF!,"AAAAAD1v/C8=")</f>
        <v>#REF!</v>
      </c>
      <c r="AW372" t="e">
        <f>AND('PROG FORMACIÓN TITULADA'!#REF!,"AAAAAD1v/DA=")</f>
        <v>#REF!</v>
      </c>
      <c r="AX372" t="e">
        <f>AND('PROG FORMACIÓN TITULADA'!#REF!,"AAAAAD1v/DE=")</f>
        <v>#REF!</v>
      </c>
      <c r="AY372" t="e">
        <f>AND('PROG FORMACIÓN TITULADA'!#REF!,"AAAAAD1v/DI=")</f>
        <v>#REF!</v>
      </c>
      <c r="AZ372" t="e">
        <f>AND('PROG FORMACIÓN TITULADA'!#REF!,"AAAAAD1v/DM=")</f>
        <v>#REF!</v>
      </c>
      <c r="BA372" t="e">
        <f>IF('PROG FORMACIÓN TITULADA'!#REF!,"AAAAAD1v/DQ=",0)</f>
        <v>#REF!</v>
      </c>
      <c r="BB372" t="e">
        <f>AND('PROG FORMACIÓN TITULADA'!#REF!,"AAAAAD1v/DU=")</f>
        <v>#REF!</v>
      </c>
      <c r="BC372" t="e">
        <f>AND('PROG FORMACIÓN TITULADA'!#REF!,"AAAAAD1v/DY=")</f>
        <v>#REF!</v>
      </c>
      <c r="BD372" t="e">
        <f>AND('PROG FORMACIÓN TITULADA'!#REF!,"AAAAAD1v/Dc=")</f>
        <v>#REF!</v>
      </c>
      <c r="BE372" t="e">
        <f>AND('PROG FORMACIÓN TITULADA'!#REF!,"AAAAAD1v/Dg=")</f>
        <v>#REF!</v>
      </c>
      <c r="BF372" t="e">
        <f>AND('PROG FORMACIÓN TITULADA'!#REF!,"AAAAAD1v/Dk=")</f>
        <v>#REF!</v>
      </c>
      <c r="BG372" t="e">
        <f>AND('PROG FORMACIÓN TITULADA'!#REF!,"AAAAAD1v/Do=")</f>
        <v>#REF!</v>
      </c>
      <c r="BH372" t="e">
        <f>AND('PROG FORMACIÓN TITULADA'!#REF!,"AAAAAD1v/Ds=")</f>
        <v>#REF!</v>
      </c>
      <c r="BI372" t="e">
        <f>AND('PROG FORMACIÓN TITULADA'!#REF!,"AAAAAD1v/Dw=")</f>
        <v>#REF!</v>
      </c>
      <c r="BJ372" t="e">
        <f>AND('PROG FORMACIÓN TITULADA'!#REF!,"AAAAAD1v/D0=")</f>
        <v>#REF!</v>
      </c>
      <c r="BK372" t="e">
        <f>AND('PROG FORMACIÓN TITULADA'!#REF!,"AAAAAD1v/D4=")</f>
        <v>#REF!</v>
      </c>
      <c r="BL372" t="e">
        <f>AND('PROG FORMACIÓN TITULADA'!#REF!,"AAAAAD1v/D8=")</f>
        <v>#REF!</v>
      </c>
      <c r="BM372" t="e">
        <f>AND('PROG FORMACIÓN TITULADA'!#REF!,"AAAAAD1v/EA=")</f>
        <v>#REF!</v>
      </c>
      <c r="BN372" t="e">
        <f>AND('PROG FORMACIÓN TITULADA'!#REF!,"AAAAAD1v/EE=")</f>
        <v>#REF!</v>
      </c>
      <c r="BO372" t="e">
        <f>AND('PROG FORMACIÓN TITULADA'!#REF!,"AAAAAD1v/EI=")</f>
        <v>#REF!</v>
      </c>
      <c r="BP372" t="e">
        <f>AND('PROG FORMACIÓN TITULADA'!#REF!,"AAAAAD1v/EM=")</f>
        <v>#REF!</v>
      </c>
      <c r="BQ372" t="e">
        <f>AND('PROG FORMACIÓN TITULADA'!#REF!,"AAAAAD1v/EQ=")</f>
        <v>#REF!</v>
      </c>
      <c r="BR372" t="e">
        <f>AND('PROG FORMACIÓN TITULADA'!#REF!,"AAAAAD1v/EU=")</f>
        <v>#REF!</v>
      </c>
      <c r="BS372" t="e">
        <f>AND('PROG FORMACIÓN TITULADA'!#REF!,"AAAAAD1v/EY=")</f>
        <v>#REF!</v>
      </c>
      <c r="BT372" t="e">
        <f>AND('PROG FORMACIÓN TITULADA'!#REF!,"AAAAAD1v/Ec=")</f>
        <v>#REF!</v>
      </c>
      <c r="BU372" t="e">
        <f>AND('PROG FORMACIÓN TITULADA'!#REF!,"AAAAAD1v/Eg=")</f>
        <v>#REF!</v>
      </c>
      <c r="BV372" t="e">
        <f>AND('PROG FORMACIÓN TITULADA'!#REF!,"AAAAAD1v/Ek=")</f>
        <v>#REF!</v>
      </c>
      <c r="BW372" t="e">
        <f>AND('PROG FORMACIÓN TITULADA'!#REF!,"AAAAAD1v/Eo=")</f>
        <v>#REF!</v>
      </c>
      <c r="BX372" t="e">
        <f>AND('PROG FORMACIÓN TITULADA'!#REF!,"AAAAAD1v/Es=")</f>
        <v>#REF!</v>
      </c>
      <c r="BY372" t="e">
        <f>AND('PROG FORMACIÓN TITULADA'!#REF!,"AAAAAD1v/Ew=")</f>
        <v>#REF!</v>
      </c>
      <c r="BZ372" t="e">
        <f>AND('PROG FORMACIÓN TITULADA'!#REF!,"AAAAAD1v/E0=")</f>
        <v>#REF!</v>
      </c>
      <c r="CA372" t="e">
        <f>AND('PROG FORMACIÓN TITULADA'!#REF!,"AAAAAD1v/E4=")</f>
        <v>#REF!</v>
      </c>
      <c r="CB372" t="e">
        <f>IF('PROG FORMACIÓN TITULADA'!#REF!,"AAAAAD1v/E8=",0)</f>
        <v>#REF!</v>
      </c>
      <c r="CC372" t="e">
        <f>AND('PROG FORMACIÓN TITULADA'!#REF!,"AAAAAD1v/FA=")</f>
        <v>#REF!</v>
      </c>
      <c r="CD372" t="e">
        <f>AND('PROG FORMACIÓN TITULADA'!#REF!,"AAAAAD1v/FE=")</f>
        <v>#REF!</v>
      </c>
      <c r="CE372" t="e">
        <f>AND('PROG FORMACIÓN TITULADA'!#REF!,"AAAAAD1v/FI=")</f>
        <v>#REF!</v>
      </c>
      <c r="CF372" t="e">
        <f>AND('PROG FORMACIÓN TITULADA'!#REF!,"AAAAAD1v/FM=")</f>
        <v>#REF!</v>
      </c>
      <c r="CG372" t="e">
        <f>AND('PROG FORMACIÓN TITULADA'!#REF!,"AAAAAD1v/FQ=")</f>
        <v>#REF!</v>
      </c>
      <c r="CH372" t="e">
        <f>AND('PROG FORMACIÓN TITULADA'!#REF!,"AAAAAD1v/FU=")</f>
        <v>#REF!</v>
      </c>
      <c r="CI372" t="e">
        <f>AND('PROG FORMACIÓN TITULADA'!#REF!,"AAAAAD1v/FY=")</f>
        <v>#REF!</v>
      </c>
      <c r="CJ372" t="e">
        <f>AND('PROG FORMACIÓN TITULADA'!#REF!,"AAAAAD1v/Fc=")</f>
        <v>#REF!</v>
      </c>
      <c r="CK372" t="e">
        <f>AND('PROG FORMACIÓN TITULADA'!#REF!,"AAAAAD1v/Fg=")</f>
        <v>#REF!</v>
      </c>
      <c r="CL372" t="e">
        <f>AND('PROG FORMACIÓN TITULADA'!#REF!,"AAAAAD1v/Fk=")</f>
        <v>#REF!</v>
      </c>
      <c r="CM372" t="e">
        <f>AND('PROG FORMACIÓN TITULADA'!#REF!,"AAAAAD1v/Fo=")</f>
        <v>#REF!</v>
      </c>
      <c r="CN372" t="e">
        <f>AND('PROG FORMACIÓN TITULADA'!#REF!,"AAAAAD1v/Fs=")</f>
        <v>#REF!</v>
      </c>
      <c r="CO372" t="e">
        <f>AND('PROG FORMACIÓN TITULADA'!#REF!,"AAAAAD1v/Fw=")</f>
        <v>#REF!</v>
      </c>
      <c r="CP372" t="e">
        <f>AND('PROG FORMACIÓN TITULADA'!#REF!,"AAAAAD1v/F0=")</f>
        <v>#REF!</v>
      </c>
      <c r="CQ372" t="e">
        <f>AND('PROG FORMACIÓN TITULADA'!#REF!,"AAAAAD1v/F4=")</f>
        <v>#REF!</v>
      </c>
      <c r="CR372" t="e">
        <f>AND('PROG FORMACIÓN TITULADA'!#REF!,"AAAAAD1v/F8=")</f>
        <v>#REF!</v>
      </c>
      <c r="CS372" t="e">
        <f>AND('PROG FORMACIÓN TITULADA'!#REF!,"AAAAAD1v/GA=")</f>
        <v>#REF!</v>
      </c>
      <c r="CT372" t="e">
        <f>AND('PROG FORMACIÓN TITULADA'!#REF!,"AAAAAD1v/GE=")</f>
        <v>#REF!</v>
      </c>
      <c r="CU372" t="e">
        <f>AND('PROG FORMACIÓN TITULADA'!#REF!,"AAAAAD1v/GI=")</f>
        <v>#REF!</v>
      </c>
      <c r="CV372" t="e">
        <f>AND('PROG FORMACIÓN TITULADA'!#REF!,"AAAAAD1v/GM=")</f>
        <v>#REF!</v>
      </c>
      <c r="CW372" t="e">
        <f>AND('PROG FORMACIÓN TITULADA'!#REF!,"AAAAAD1v/GQ=")</f>
        <v>#REF!</v>
      </c>
      <c r="CX372" t="e">
        <f>AND('PROG FORMACIÓN TITULADA'!#REF!,"AAAAAD1v/GU=")</f>
        <v>#REF!</v>
      </c>
      <c r="CY372" t="e">
        <f>AND('PROG FORMACIÓN TITULADA'!#REF!,"AAAAAD1v/GY=")</f>
        <v>#REF!</v>
      </c>
      <c r="CZ372" t="e">
        <f>AND('PROG FORMACIÓN TITULADA'!#REF!,"AAAAAD1v/Gc=")</f>
        <v>#REF!</v>
      </c>
      <c r="DA372" t="e">
        <f>AND('PROG FORMACIÓN TITULADA'!#REF!,"AAAAAD1v/Gg=")</f>
        <v>#REF!</v>
      </c>
      <c r="DB372" t="e">
        <f>AND('PROG FORMACIÓN TITULADA'!#REF!,"AAAAAD1v/Gk=")</f>
        <v>#REF!</v>
      </c>
      <c r="DC372" t="e">
        <f>IF('PROG FORMACIÓN TITULADA'!#REF!,"AAAAAD1v/Go=",0)</f>
        <v>#REF!</v>
      </c>
      <c r="DD372" t="e">
        <f>AND('PROG FORMACIÓN TITULADA'!#REF!,"AAAAAD1v/Gs=")</f>
        <v>#REF!</v>
      </c>
      <c r="DE372" t="e">
        <f>AND('PROG FORMACIÓN TITULADA'!#REF!,"AAAAAD1v/Gw=")</f>
        <v>#REF!</v>
      </c>
      <c r="DF372" t="e">
        <f>AND('PROG FORMACIÓN TITULADA'!#REF!,"AAAAAD1v/G0=")</f>
        <v>#REF!</v>
      </c>
      <c r="DG372" t="e">
        <f>AND('PROG FORMACIÓN TITULADA'!#REF!,"AAAAAD1v/G4=")</f>
        <v>#REF!</v>
      </c>
      <c r="DH372" t="e">
        <f>AND('PROG FORMACIÓN TITULADA'!#REF!,"AAAAAD1v/G8=")</f>
        <v>#REF!</v>
      </c>
      <c r="DI372" t="e">
        <f>AND('PROG FORMACIÓN TITULADA'!#REF!,"AAAAAD1v/HA=")</f>
        <v>#REF!</v>
      </c>
      <c r="DJ372" t="e">
        <f>AND('PROG FORMACIÓN TITULADA'!#REF!,"AAAAAD1v/HE=")</f>
        <v>#REF!</v>
      </c>
      <c r="DK372" t="e">
        <f>AND('PROG FORMACIÓN TITULADA'!#REF!,"AAAAAD1v/HI=")</f>
        <v>#REF!</v>
      </c>
      <c r="DL372" t="e">
        <f>AND('PROG FORMACIÓN TITULADA'!#REF!,"AAAAAD1v/HM=")</f>
        <v>#REF!</v>
      </c>
      <c r="DM372" t="e">
        <f>AND('PROG FORMACIÓN TITULADA'!#REF!,"AAAAAD1v/HQ=")</f>
        <v>#REF!</v>
      </c>
      <c r="DN372" t="e">
        <f>AND('PROG FORMACIÓN TITULADA'!#REF!,"AAAAAD1v/HU=")</f>
        <v>#REF!</v>
      </c>
      <c r="DO372" t="e">
        <f>AND('PROG FORMACIÓN TITULADA'!#REF!,"AAAAAD1v/HY=")</f>
        <v>#REF!</v>
      </c>
      <c r="DP372" t="e">
        <f>AND('PROG FORMACIÓN TITULADA'!#REF!,"AAAAAD1v/Hc=")</f>
        <v>#REF!</v>
      </c>
      <c r="DQ372" t="e">
        <f>AND('PROG FORMACIÓN TITULADA'!#REF!,"AAAAAD1v/Hg=")</f>
        <v>#REF!</v>
      </c>
      <c r="DR372" t="e">
        <f>AND('PROG FORMACIÓN TITULADA'!#REF!,"AAAAAD1v/Hk=")</f>
        <v>#REF!</v>
      </c>
      <c r="DS372" t="e">
        <f>AND('PROG FORMACIÓN TITULADA'!#REF!,"AAAAAD1v/Ho=")</f>
        <v>#REF!</v>
      </c>
      <c r="DT372" t="e">
        <f>AND('PROG FORMACIÓN TITULADA'!#REF!,"AAAAAD1v/Hs=")</f>
        <v>#REF!</v>
      </c>
      <c r="DU372" t="e">
        <f>AND('PROG FORMACIÓN TITULADA'!#REF!,"AAAAAD1v/Hw=")</f>
        <v>#REF!</v>
      </c>
      <c r="DV372" t="e">
        <f>AND('PROG FORMACIÓN TITULADA'!#REF!,"AAAAAD1v/H0=")</f>
        <v>#REF!</v>
      </c>
      <c r="DW372" t="e">
        <f>AND('PROG FORMACIÓN TITULADA'!#REF!,"AAAAAD1v/H4=")</f>
        <v>#REF!</v>
      </c>
      <c r="DX372" t="e">
        <f>AND('PROG FORMACIÓN TITULADA'!#REF!,"AAAAAD1v/H8=")</f>
        <v>#REF!</v>
      </c>
      <c r="DY372" t="e">
        <f>AND('PROG FORMACIÓN TITULADA'!#REF!,"AAAAAD1v/IA=")</f>
        <v>#REF!</v>
      </c>
      <c r="DZ372" t="e">
        <f>AND('PROG FORMACIÓN TITULADA'!#REF!,"AAAAAD1v/IE=")</f>
        <v>#REF!</v>
      </c>
      <c r="EA372" t="e">
        <f>AND('PROG FORMACIÓN TITULADA'!#REF!,"AAAAAD1v/II=")</f>
        <v>#REF!</v>
      </c>
      <c r="EB372" t="e">
        <f>AND('PROG FORMACIÓN TITULADA'!#REF!,"AAAAAD1v/IM=")</f>
        <v>#REF!</v>
      </c>
      <c r="EC372" t="e">
        <f>AND('PROG FORMACIÓN TITULADA'!#REF!,"AAAAAD1v/IQ=")</f>
        <v>#REF!</v>
      </c>
      <c r="ED372" t="e">
        <f>IF('PROG FORMACIÓN TITULADA'!#REF!,"AAAAAD1v/IU=",0)</f>
        <v>#REF!</v>
      </c>
      <c r="EE372" t="e">
        <f>AND('PROG FORMACIÓN TITULADA'!#REF!,"AAAAAD1v/IY=")</f>
        <v>#REF!</v>
      </c>
      <c r="EF372" t="e">
        <f>AND('PROG FORMACIÓN TITULADA'!#REF!,"AAAAAD1v/Ic=")</f>
        <v>#REF!</v>
      </c>
      <c r="EG372" t="e">
        <f>AND('PROG FORMACIÓN TITULADA'!#REF!,"AAAAAD1v/Ig=")</f>
        <v>#REF!</v>
      </c>
      <c r="EH372" t="e">
        <f>AND('PROG FORMACIÓN TITULADA'!#REF!,"AAAAAD1v/Ik=")</f>
        <v>#REF!</v>
      </c>
      <c r="EI372" t="e">
        <f>AND('PROG FORMACIÓN TITULADA'!#REF!,"AAAAAD1v/Io=")</f>
        <v>#REF!</v>
      </c>
      <c r="EJ372" t="e">
        <f>AND('PROG FORMACIÓN TITULADA'!#REF!,"AAAAAD1v/Is=")</f>
        <v>#REF!</v>
      </c>
      <c r="EK372" t="e">
        <f>AND('PROG FORMACIÓN TITULADA'!#REF!,"AAAAAD1v/Iw=")</f>
        <v>#REF!</v>
      </c>
      <c r="EL372" t="e">
        <f>AND('PROG FORMACIÓN TITULADA'!#REF!,"AAAAAD1v/I0=")</f>
        <v>#REF!</v>
      </c>
      <c r="EM372" t="e">
        <f>AND('PROG FORMACIÓN TITULADA'!#REF!,"AAAAAD1v/I4=")</f>
        <v>#REF!</v>
      </c>
      <c r="EN372" t="e">
        <f>AND('PROG FORMACIÓN TITULADA'!#REF!,"AAAAAD1v/I8=")</f>
        <v>#REF!</v>
      </c>
      <c r="EO372" t="e">
        <f>AND('PROG FORMACIÓN TITULADA'!#REF!,"AAAAAD1v/JA=")</f>
        <v>#REF!</v>
      </c>
      <c r="EP372" t="e">
        <f>AND('PROG FORMACIÓN TITULADA'!#REF!,"AAAAAD1v/JE=")</f>
        <v>#REF!</v>
      </c>
      <c r="EQ372" t="e">
        <f>AND('PROG FORMACIÓN TITULADA'!#REF!,"AAAAAD1v/JI=")</f>
        <v>#REF!</v>
      </c>
      <c r="ER372" t="e">
        <f>AND('PROG FORMACIÓN TITULADA'!#REF!,"AAAAAD1v/JM=")</f>
        <v>#REF!</v>
      </c>
      <c r="ES372" t="e">
        <f>AND('PROG FORMACIÓN TITULADA'!#REF!,"AAAAAD1v/JQ=")</f>
        <v>#REF!</v>
      </c>
      <c r="ET372" t="e">
        <f>AND('PROG FORMACIÓN TITULADA'!#REF!,"AAAAAD1v/JU=")</f>
        <v>#REF!</v>
      </c>
      <c r="EU372" t="e">
        <f>AND('PROG FORMACIÓN TITULADA'!#REF!,"AAAAAD1v/JY=")</f>
        <v>#REF!</v>
      </c>
      <c r="EV372" t="e">
        <f>AND('PROG FORMACIÓN TITULADA'!#REF!,"AAAAAD1v/Jc=")</f>
        <v>#REF!</v>
      </c>
      <c r="EW372" t="e">
        <f>AND('PROG FORMACIÓN TITULADA'!#REF!,"AAAAAD1v/Jg=")</f>
        <v>#REF!</v>
      </c>
      <c r="EX372" t="e">
        <f>AND('PROG FORMACIÓN TITULADA'!#REF!,"AAAAAD1v/Jk=")</f>
        <v>#REF!</v>
      </c>
      <c r="EY372" t="e">
        <f>AND('PROG FORMACIÓN TITULADA'!#REF!,"AAAAAD1v/Jo=")</f>
        <v>#REF!</v>
      </c>
      <c r="EZ372" t="e">
        <f>AND('PROG FORMACIÓN TITULADA'!#REF!,"AAAAAD1v/Js=")</f>
        <v>#REF!</v>
      </c>
      <c r="FA372" t="e">
        <f>AND('PROG FORMACIÓN TITULADA'!#REF!,"AAAAAD1v/Jw=")</f>
        <v>#REF!</v>
      </c>
      <c r="FB372" t="e">
        <f>AND('PROG FORMACIÓN TITULADA'!#REF!,"AAAAAD1v/J0=")</f>
        <v>#REF!</v>
      </c>
      <c r="FC372" t="e">
        <f>AND('PROG FORMACIÓN TITULADA'!#REF!,"AAAAAD1v/J4=")</f>
        <v>#REF!</v>
      </c>
      <c r="FD372" t="e">
        <f>AND('PROG FORMACIÓN TITULADA'!#REF!,"AAAAAD1v/J8=")</f>
        <v>#REF!</v>
      </c>
      <c r="FE372" t="e">
        <f>IF('PROG FORMACIÓN TITULADA'!#REF!,"AAAAAD1v/KA=",0)</f>
        <v>#REF!</v>
      </c>
      <c r="FF372" t="e">
        <f>AND('PROG FORMACIÓN TITULADA'!#REF!,"AAAAAD1v/KE=")</f>
        <v>#REF!</v>
      </c>
      <c r="FG372" t="e">
        <f>AND('PROG FORMACIÓN TITULADA'!#REF!,"AAAAAD1v/KI=")</f>
        <v>#REF!</v>
      </c>
      <c r="FH372" t="e">
        <f>AND('PROG FORMACIÓN TITULADA'!#REF!,"AAAAAD1v/KM=")</f>
        <v>#REF!</v>
      </c>
      <c r="FI372" t="e">
        <f>AND('PROG FORMACIÓN TITULADA'!#REF!,"AAAAAD1v/KQ=")</f>
        <v>#REF!</v>
      </c>
      <c r="FJ372" t="e">
        <f>AND('PROG FORMACIÓN TITULADA'!#REF!,"AAAAAD1v/KU=")</f>
        <v>#REF!</v>
      </c>
      <c r="FK372" t="e">
        <f>AND('PROG FORMACIÓN TITULADA'!#REF!,"AAAAAD1v/KY=")</f>
        <v>#REF!</v>
      </c>
      <c r="FL372" t="e">
        <f>AND('PROG FORMACIÓN TITULADA'!#REF!,"AAAAAD1v/Kc=")</f>
        <v>#REF!</v>
      </c>
      <c r="FM372" t="e">
        <f>AND('PROG FORMACIÓN TITULADA'!#REF!,"AAAAAD1v/Kg=")</f>
        <v>#REF!</v>
      </c>
      <c r="FN372" t="e">
        <f>AND('PROG FORMACIÓN TITULADA'!#REF!,"AAAAAD1v/Kk=")</f>
        <v>#REF!</v>
      </c>
      <c r="FO372" t="e">
        <f>AND('PROG FORMACIÓN TITULADA'!#REF!,"AAAAAD1v/Ko=")</f>
        <v>#REF!</v>
      </c>
      <c r="FP372" t="e">
        <f>AND('PROG FORMACIÓN TITULADA'!#REF!,"AAAAAD1v/Ks=")</f>
        <v>#REF!</v>
      </c>
      <c r="FQ372" t="e">
        <f>AND('PROG FORMACIÓN TITULADA'!#REF!,"AAAAAD1v/Kw=")</f>
        <v>#REF!</v>
      </c>
      <c r="FR372" t="e">
        <f>AND('PROG FORMACIÓN TITULADA'!#REF!,"AAAAAD1v/K0=")</f>
        <v>#REF!</v>
      </c>
      <c r="FS372" t="e">
        <f>AND('PROG FORMACIÓN TITULADA'!#REF!,"AAAAAD1v/K4=")</f>
        <v>#REF!</v>
      </c>
      <c r="FT372" t="e">
        <f>AND('PROG FORMACIÓN TITULADA'!#REF!,"AAAAAD1v/K8=")</f>
        <v>#REF!</v>
      </c>
      <c r="FU372" t="e">
        <f>AND('PROG FORMACIÓN TITULADA'!#REF!,"AAAAAD1v/LA=")</f>
        <v>#REF!</v>
      </c>
      <c r="FV372" t="e">
        <f>AND('PROG FORMACIÓN TITULADA'!#REF!,"AAAAAD1v/LE=")</f>
        <v>#REF!</v>
      </c>
      <c r="FW372" t="e">
        <f>AND('PROG FORMACIÓN TITULADA'!#REF!,"AAAAAD1v/LI=")</f>
        <v>#REF!</v>
      </c>
      <c r="FX372" t="e">
        <f>AND('PROG FORMACIÓN TITULADA'!#REF!,"AAAAAD1v/LM=")</f>
        <v>#REF!</v>
      </c>
      <c r="FY372" t="e">
        <f>AND('PROG FORMACIÓN TITULADA'!#REF!,"AAAAAD1v/LQ=")</f>
        <v>#REF!</v>
      </c>
      <c r="FZ372" t="e">
        <f>AND('PROG FORMACIÓN TITULADA'!#REF!,"AAAAAD1v/LU=")</f>
        <v>#REF!</v>
      </c>
      <c r="GA372" t="e">
        <f>AND('PROG FORMACIÓN TITULADA'!#REF!,"AAAAAD1v/LY=")</f>
        <v>#REF!</v>
      </c>
      <c r="GB372" t="e">
        <f>AND('PROG FORMACIÓN TITULADA'!#REF!,"AAAAAD1v/Lc=")</f>
        <v>#REF!</v>
      </c>
      <c r="GC372" t="e">
        <f>AND('PROG FORMACIÓN TITULADA'!#REF!,"AAAAAD1v/Lg=")</f>
        <v>#REF!</v>
      </c>
      <c r="GD372" t="e">
        <f>AND('PROG FORMACIÓN TITULADA'!#REF!,"AAAAAD1v/Lk=")</f>
        <v>#REF!</v>
      </c>
      <c r="GE372" t="e">
        <f>AND('PROG FORMACIÓN TITULADA'!#REF!,"AAAAAD1v/Lo=")</f>
        <v>#REF!</v>
      </c>
      <c r="GF372" t="e">
        <f>IF('PROG FORMACIÓN TITULADA'!#REF!,"AAAAAD1v/Ls=",0)</f>
        <v>#REF!</v>
      </c>
      <c r="GG372" t="e">
        <f>AND('PROG FORMACIÓN TITULADA'!#REF!,"AAAAAD1v/Lw=")</f>
        <v>#REF!</v>
      </c>
      <c r="GH372" t="e">
        <f>AND('PROG FORMACIÓN TITULADA'!#REF!,"AAAAAD1v/L0=")</f>
        <v>#REF!</v>
      </c>
      <c r="GI372" t="e">
        <f>AND('PROG FORMACIÓN TITULADA'!#REF!,"AAAAAD1v/L4=")</f>
        <v>#REF!</v>
      </c>
      <c r="GJ372" t="e">
        <f>AND('PROG FORMACIÓN TITULADA'!#REF!,"AAAAAD1v/L8=")</f>
        <v>#REF!</v>
      </c>
      <c r="GK372" t="e">
        <f>AND('PROG FORMACIÓN TITULADA'!#REF!,"AAAAAD1v/MA=")</f>
        <v>#REF!</v>
      </c>
      <c r="GL372" t="e">
        <f>AND('PROG FORMACIÓN TITULADA'!#REF!,"AAAAAD1v/ME=")</f>
        <v>#REF!</v>
      </c>
      <c r="GM372" t="e">
        <f>AND('PROG FORMACIÓN TITULADA'!#REF!,"AAAAAD1v/MI=")</f>
        <v>#REF!</v>
      </c>
      <c r="GN372" t="e">
        <f>AND('PROG FORMACIÓN TITULADA'!#REF!,"AAAAAD1v/MM=")</f>
        <v>#REF!</v>
      </c>
      <c r="GO372" t="e">
        <f>AND('PROG FORMACIÓN TITULADA'!#REF!,"AAAAAD1v/MQ=")</f>
        <v>#REF!</v>
      </c>
      <c r="GP372" t="e">
        <f>AND('PROG FORMACIÓN TITULADA'!#REF!,"AAAAAD1v/MU=")</f>
        <v>#REF!</v>
      </c>
      <c r="GQ372" t="e">
        <f>AND('PROG FORMACIÓN TITULADA'!#REF!,"AAAAAD1v/MY=")</f>
        <v>#REF!</v>
      </c>
      <c r="GR372" t="e">
        <f>AND('PROG FORMACIÓN TITULADA'!#REF!,"AAAAAD1v/Mc=")</f>
        <v>#REF!</v>
      </c>
      <c r="GS372" t="e">
        <f>AND('PROG FORMACIÓN TITULADA'!#REF!,"AAAAAD1v/Mg=")</f>
        <v>#REF!</v>
      </c>
      <c r="GT372" t="e">
        <f>AND('PROG FORMACIÓN TITULADA'!#REF!,"AAAAAD1v/Mk=")</f>
        <v>#REF!</v>
      </c>
      <c r="GU372" t="e">
        <f>AND('PROG FORMACIÓN TITULADA'!#REF!,"AAAAAD1v/Mo=")</f>
        <v>#REF!</v>
      </c>
      <c r="GV372" t="e">
        <f>AND('PROG FORMACIÓN TITULADA'!#REF!,"AAAAAD1v/Ms=")</f>
        <v>#REF!</v>
      </c>
      <c r="GW372" t="e">
        <f>AND('PROG FORMACIÓN TITULADA'!#REF!,"AAAAAD1v/Mw=")</f>
        <v>#REF!</v>
      </c>
      <c r="GX372" t="e">
        <f>AND('PROG FORMACIÓN TITULADA'!#REF!,"AAAAAD1v/M0=")</f>
        <v>#REF!</v>
      </c>
      <c r="GY372" t="e">
        <f>AND('PROG FORMACIÓN TITULADA'!#REF!,"AAAAAD1v/M4=")</f>
        <v>#REF!</v>
      </c>
      <c r="GZ372" t="e">
        <f>AND('PROG FORMACIÓN TITULADA'!#REF!,"AAAAAD1v/M8=")</f>
        <v>#REF!</v>
      </c>
      <c r="HA372" t="e">
        <f>AND('PROG FORMACIÓN TITULADA'!#REF!,"AAAAAD1v/NA=")</f>
        <v>#REF!</v>
      </c>
      <c r="HB372" t="e">
        <f>AND('PROG FORMACIÓN TITULADA'!#REF!,"AAAAAD1v/NE=")</f>
        <v>#REF!</v>
      </c>
      <c r="HC372" t="e">
        <f>AND('PROG FORMACIÓN TITULADA'!#REF!,"AAAAAD1v/NI=")</f>
        <v>#REF!</v>
      </c>
      <c r="HD372" t="e">
        <f>AND('PROG FORMACIÓN TITULADA'!#REF!,"AAAAAD1v/NM=")</f>
        <v>#REF!</v>
      </c>
      <c r="HE372" t="e">
        <f>AND('PROG FORMACIÓN TITULADA'!#REF!,"AAAAAD1v/NQ=")</f>
        <v>#REF!</v>
      </c>
      <c r="HF372" t="e">
        <f>AND('PROG FORMACIÓN TITULADA'!#REF!,"AAAAAD1v/NU=")</f>
        <v>#REF!</v>
      </c>
      <c r="HG372" t="e">
        <f>IF('PROG FORMACIÓN TITULADA'!#REF!,"AAAAAD1v/NY=",0)</f>
        <v>#REF!</v>
      </c>
      <c r="HH372" t="e">
        <f>AND('PROG FORMACIÓN TITULADA'!#REF!,"AAAAAD1v/Nc=")</f>
        <v>#REF!</v>
      </c>
      <c r="HI372" t="e">
        <f>AND('PROG FORMACIÓN TITULADA'!#REF!,"AAAAAD1v/Ng=")</f>
        <v>#REF!</v>
      </c>
      <c r="HJ372" t="e">
        <f>AND('PROG FORMACIÓN TITULADA'!#REF!,"AAAAAD1v/Nk=")</f>
        <v>#REF!</v>
      </c>
      <c r="HK372" t="e">
        <f>AND('PROG FORMACIÓN TITULADA'!#REF!,"AAAAAD1v/No=")</f>
        <v>#REF!</v>
      </c>
      <c r="HL372" t="e">
        <f>AND('PROG FORMACIÓN TITULADA'!#REF!,"AAAAAD1v/Ns=")</f>
        <v>#REF!</v>
      </c>
      <c r="HM372" t="e">
        <f>AND('PROG FORMACIÓN TITULADA'!#REF!,"AAAAAD1v/Nw=")</f>
        <v>#REF!</v>
      </c>
      <c r="HN372" t="e">
        <f>AND('PROG FORMACIÓN TITULADA'!#REF!,"AAAAAD1v/N0=")</f>
        <v>#REF!</v>
      </c>
      <c r="HO372" t="e">
        <f>AND('PROG FORMACIÓN TITULADA'!#REF!,"AAAAAD1v/N4=")</f>
        <v>#REF!</v>
      </c>
      <c r="HP372" t="e">
        <f>AND('PROG FORMACIÓN TITULADA'!#REF!,"AAAAAD1v/N8=")</f>
        <v>#REF!</v>
      </c>
      <c r="HQ372" t="e">
        <f>AND('PROG FORMACIÓN TITULADA'!#REF!,"AAAAAD1v/OA=")</f>
        <v>#REF!</v>
      </c>
      <c r="HR372" t="e">
        <f>AND('PROG FORMACIÓN TITULADA'!#REF!,"AAAAAD1v/OE=")</f>
        <v>#REF!</v>
      </c>
      <c r="HS372" t="e">
        <f>AND('PROG FORMACIÓN TITULADA'!#REF!,"AAAAAD1v/OI=")</f>
        <v>#REF!</v>
      </c>
      <c r="HT372" t="e">
        <f>AND('PROG FORMACIÓN TITULADA'!#REF!,"AAAAAD1v/OM=")</f>
        <v>#REF!</v>
      </c>
      <c r="HU372" t="e">
        <f>AND('PROG FORMACIÓN TITULADA'!#REF!,"AAAAAD1v/OQ=")</f>
        <v>#REF!</v>
      </c>
      <c r="HV372" t="e">
        <f>AND('PROG FORMACIÓN TITULADA'!#REF!,"AAAAAD1v/OU=")</f>
        <v>#REF!</v>
      </c>
      <c r="HW372" t="e">
        <f>AND('PROG FORMACIÓN TITULADA'!#REF!,"AAAAAD1v/OY=")</f>
        <v>#REF!</v>
      </c>
      <c r="HX372" t="e">
        <f>AND('PROG FORMACIÓN TITULADA'!#REF!,"AAAAAD1v/Oc=")</f>
        <v>#REF!</v>
      </c>
      <c r="HY372" t="e">
        <f>AND('PROG FORMACIÓN TITULADA'!#REF!,"AAAAAD1v/Og=")</f>
        <v>#REF!</v>
      </c>
      <c r="HZ372" t="e">
        <f>AND('PROG FORMACIÓN TITULADA'!#REF!,"AAAAAD1v/Ok=")</f>
        <v>#REF!</v>
      </c>
      <c r="IA372" t="e">
        <f>AND('PROG FORMACIÓN TITULADA'!#REF!,"AAAAAD1v/Oo=")</f>
        <v>#REF!</v>
      </c>
      <c r="IB372" t="e">
        <f>AND('PROG FORMACIÓN TITULADA'!#REF!,"AAAAAD1v/Os=")</f>
        <v>#REF!</v>
      </c>
      <c r="IC372" t="e">
        <f>AND('PROG FORMACIÓN TITULADA'!#REF!,"AAAAAD1v/Ow=")</f>
        <v>#REF!</v>
      </c>
      <c r="ID372" t="e">
        <f>AND('PROG FORMACIÓN TITULADA'!#REF!,"AAAAAD1v/O0=")</f>
        <v>#REF!</v>
      </c>
      <c r="IE372" t="e">
        <f>AND('PROG FORMACIÓN TITULADA'!#REF!,"AAAAAD1v/O4=")</f>
        <v>#REF!</v>
      </c>
      <c r="IF372" t="e">
        <f>AND('PROG FORMACIÓN TITULADA'!#REF!,"AAAAAD1v/O8=")</f>
        <v>#REF!</v>
      </c>
      <c r="IG372" t="e">
        <f>AND('PROG FORMACIÓN TITULADA'!#REF!,"AAAAAD1v/PA=")</f>
        <v>#REF!</v>
      </c>
      <c r="IH372" t="e">
        <f>IF('PROG FORMACIÓN TITULADA'!#REF!,"AAAAAD1v/PE=",0)</f>
        <v>#REF!</v>
      </c>
      <c r="II372" t="e">
        <f>AND('PROG FORMACIÓN TITULADA'!#REF!,"AAAAAD1v/PI=")</f>
        <v>#REF!</v>
      </c>
      <c r="IJ372" t="e">
        <f>AND('PROG FORMACIÓN TITULADA'!#REF!,"AAAAAD1v/PM=")</f>
        <v>#REF!</v>
      </c>
      <c r="IK372" t="e">
        <f>AND('PROG FORMACIÓN TITULADA'!#REF!,"AAAAAD1v/PQ=")</f>
        <v>#REF!</v>
      </c>
      <c r="IL372" t="e">
        <f>AND('PROG FORMACIÓN TITULADA'!#REF!,"AAAAAD1v/PU=")</f>
        <v>#REF!</v>
      </c>
      <c r="IM372" t="e">
        <f>AND('PROG FORMACIÓN TITULADA'!#REF!,"AAAAAD1v/PY=")</f>
        <v>#REF!</v>
      </c>
      <c r="IN372" t="e">
        <f>AND('PROG FORMACIÓN TITULADA'!#REF!,"AAAAAD1v/Pc=")</f>
        <v>#REF!</v>
      </c>
      <c r="IO372" t="e">
        <f>AND('PROG FORMACIÓN TITULADA'!#REF!,"AAAAAD1v/Pg=")</f>
        <v>#REF!</v>
      </c>
      <c r="IP372" t="e">
        <f>AND('PROG FORMACIÓN TITULADA'!#REF!,"AAAAAD1v/Pk=")</f>
        <v>#REF!</v>
      </c>
      <c r="IQ372" t="e">
        <f>AND('PROG FORMACIÓN TITULADA'!#REF!,"AAAAAD1v/Po=")</f>
        <v>#REF!</v>
      </c>
      <c r="IR372" t="e">
        <f>AND('PROG FORMACIÓN TITULADA'!#REF!,"AAAAAD1v/Ps=")</f>
        <v>#REF!</v>
      </c>
      <c r="IS372" t="e">
        <f>AND('PROG FORMACIÓN TITULADA'!#REF!,"AAAAAD1v/Pw=")</f>
        <v>#REF!</v>
      </c>
      <c r="IT372" t="e">
        <f>AND('PROG FORMACIÓN TITULADA'!#REF!,"AAAAAD1v/P0=")</f>
        <v>#REF!</v>
      </c>
      <c r="IU372" t="e">
        <f>AND('PROG FORMACIÓN TITULADA'!#REF!,"AAAAAD1v/P4=")</f>
        <v>#REF!</v>
      </c>
      <c r="IV372" t="e">
        <f>AND('PROG FORMACIÓN TITULADA'!#REF!,"AAAAAD1v/P8=")</f>
        <v>#REF!</v>
      </c>
    </row>
    <row r="373" spans="1:256" x14ac:dyDescent="0.2">
      <c r="A373" t="e">
        <f>AND('PROG FORMACIÓN TITULADA'!#REF!,"AAAAAH/5hgA=")</f>
        <v>#REF!</v>
      </c>
      <c r="B373" t="e">
        <f>AND('PROG FORMACIÓN TITULADA'!#REF!,"AAAAAH/5hgE=")</f>
        <v>#REF!</v>
      </c>
      <c r="C373" t="e">
        <f>AND('PROG FORMACIÓN TITULADA'!#REF!,"AAAAAH/5hgI=")</f>
        <v>#REF!</v>
      </c>
      <c r="D373" t="e">
        <f>AND('PROG FORMACIÓN TITULADA'!#REF!,"AAAAAH/5hgM=")</f>
        <v>#REF!</v>
      </c>
      <c r="E373" t="e">
        <f>AND('PROG FORMACIÓN TITULADA'!#REF!,"AAAAAH/5hgQ=")</f>
        <v>#REF!</v>
      </c>
      <c r="F373" t="e">
        <f>AND('PROG FORMACIÓN TITULADA'!#REF!,"AAAAAH/5hgU=")</f>
        <v>#REF!</v>
      </c>
      <c r="G373" t="e">
        <f>AND('PROG FORMACIÓN TITULADA'!#REF!,"AAAAAH/5hgY=")</f>
        <v>#REF!</v>
      </c>
      <c r="H373" t="e">
        <f>AND('PROG FORMACIÓN TITULADA'!#REF!,"AAAAAH/5hgc=")</f>
        <v>#REF!</v>
      </c>
      <c r="I373" t="e">
        <f>AND('PROG FORMACIÓN TITULADA'!#REF!,"AAAAAH/5hgg=")</f>
        <v>#REF!</v>
      </c>
      <c r="J373" t="e">
        <f>AND('PROG FORMACIÓN TITULADA'!#REF!,"AAAAAH/5hgk=")</f>
        <v>#REF!</v>
      </c>
      <c r="K373" t="e">
        <f>AND('PROG FORMACIÓN TITULADA'!#REF!,"AAAAAH/5hgo=")</f>
        <v>#REF!</v>
      </c>
      <c r="L373" t="e">
        <f>AND('PROG FORMACIÓN TITULADA'!#REF!,"AAAAAH/5hgs=")</f>
        <v>#REF!</v>
      </c>
      <c r="M373" t="e">
        <f>IF('PROG FORMACIÓN TITULADA'!#REF!,"AAAAAH/5hgw=",0)</f>
        <v>#REF!</v>
      </c>
      <c r="N373" t="e">
        <f>AND('PROG FORMACIÓN TITULADA'!#REF!,"AAAAAH/5hg0=")</f>
        <v>#REF!</v>
      </c>
      <c r="O373" t="e">
        <f>AND('PROG FORMACIÓN TITULADA'!#REF!,"AAAAAH/5hg4=")</f>
        <v>#REF!</v>
      </c>
      <c r="P373" t="e">
        <f>AND('PROG FORMACIÓN TITULADA'!#REF!,"AAAAAH/5hg8=")</f>
        <v>#REF!</v>
      </c>
      <c r="Q373" t="e">
        <f>AND('PROG FORMACIÓN TITULADA'!#REF!,"AAAAAH/5hhA=")</f>
        <v>#REF!</v>
      </c>
      <c r="R373" t="e">
        <f>AND('PROG FORMACIÓN TITULADA'!#REF!,"AAAAAH/5hhE=")</f>
        <v>#REF!</v>
      </c>
      <c r="S373" t="e">
        <f>AND('PROG FORMACIÓN TITULADA'!#REF!,"AAAAAH/5hhI=")</f>
        <v>#REF!</v>
      </c>
      <c r="T373" t="e">
        <f>AND('PROG FORMACIÓN TITULADA'!#REF!,"AAAAAH/5hhM=")</f>
        <v>#REF!</v>
      </c>
      <c r="U373" t="e">
        <f>AND('PROG FORMACIÓN TITULADA'!#REF!,"AAAAAH/5hhQ=")</f>
        <v>#REF!</v>
      </c>
      <c r="V373" t="e">
        <f>AND('PROG FORMACIÓN TITULADA'!#REF!,"AAAAAH/5hhU=")</f>
        <v>#REF!</v>
      </c>
      <c r="W373" t="e">
        <f>AND('PROG FORMACIÓN TITULADA'!#REF!,"AAAAAH/5hhY=")</f>
        <v>#REF!</v>
      </c>
      <c r="X373" t="e">
        <f>AND('PROG FORMACIÓN TITULADA'!#REF!,"AAAAAH/5hhc=")</f>
        <v>#REF!</v>
      </c>
      <c r="Y373" t="e">
        <f>AND('PROG FORMACIÓN TITULADA'!#REF!,"AAAAAH/5hhg=")</f>
        <v>#REF!</v>
      </c>
      <c r="Z373" t="e">
        <f>AND('PROG FORMACIÓN TITULADA'!#REF!,"AAAAAH/5hhk=")</f>
        <v>#REF!</v>
      </c>
      <c r="AA373" t="e">
        <f>AND('PROG FORMACIÓN TITULADA'!#REF!,"AAAAAH/5hho=")</f>
        <v>#REF!</v>
      </c>
      <c r="AB373" t="e">
        <f>AND('PROG FORMACIÓN TITULADA'!#REF!,"AAAAAH/5hhs=")</f>
        <v>#REF!</v>
      </c>
      <c r="AC373" t="e">
        <f>AND('PROG FORMACIÓN TITULADA'!#REF!,"AAAAAH/5hhw=")</f>
        <v>#REF!</v>
      </c>
      <c r="AD373" t="e">
        <f>AND('PROG FORMACIÓN TITULADA'!#REF!,"AAAAAH/5hh0=")</f>
        <v>#REF!</v>
      </c>
      <c r="AE373" t="e">
        <f>AND('PROG FORMACIÓN TITULADA'!#REF!,"AAAAAH/5hh4=")</f>
        <v>#REF!</v>
      </c>
      <c r="AF373" t="e">
        <f>AND('PROG FORMACIÓN TITULADA'!#REF!,"AAAAAH/5hh8=")</f>
        <v>#REF!</v>
      </c>
      <c r="AG373" t="e">
        <f>AND('PROG FORMACIÓN TITULADA'!#REF!,"AAAAAH/5hiA=")</f>
        <v>#REF!</v>
      </c>
      <c r="AH373" t="e">
        <f>AND('PROG FORMACIÓN TITULADA'!#REF!,"AAAAAH/5hiE=")</f>
        <v>#REF!</v>
      </c>
      <c r="AI373" t="e">
        <f>AND('PROG FORMACIÓN TITULADA'!#REF!,"AAAAAH/5hiI=")</f>
        <v>#REF!</v>
      </c>
      <c r="AJ373" t="e">
        <f>AND('PROG FORMACIÓN TITULADA'!#REF!,"AAAAAH/5hiM=")</f>
        <v>#REF!</v>
      </c>
      <c r="AK373" t="e">
        <f>AND('PROG FORMACIÓN TITULADA'!#REF!,"AAAAAH/5hiQ=")</f>
        <v>#REF!</v>
      </c>
      <c r="AL373" t="e">
        <f>AND('PROG FORMACIÓN TITULADA'!#REF!,"AAAAAH/5hiU=")</f>
        <v>#REF!</v>
      </c>
      <c r="AM373" t="e">
        <f>AND('PROG FORMACIÓN TITULADA'!#REF!,"AAAAAH/5hiY=")</f>
        <v>#REF!</v>
      </c>
      <c r="AN373" t="e">
        <f>IF('PROG FORMACIÓN TITULADA'!#REF!,"AAAAAH/5hic=",0)</f>
        <v>#REF!</v>
      </c>
      <c r="AO373" t="e">
        <f>AND('PROG FORMACIÓN TITULADA'!#REF!,"AAAAAH/5hig=")</f>
        <v>#REF!</v>
      </c>
      <c r="AP373" t="e">
        <f>AND('PROG FORMACIÓN TITULADA'!#REF!,"AAAAAH/5hik=")</f>
        <v>#REF!</v>
      </c>
      <c r="AQ373" t="e">
        <f>AND('PROG FORMACIÓN TITULADA'!#REF!,"AAAAAH/5hio=")</f>
        <v>#REF!</v>
      </c>
      <c r="AR373" t="e">
        <f>AND('PROG FORMACIÓN TITULADA'!#REF!,"AAAAAH/5his=")</f>
        <v>#REF!</v>
      </c>
      <c r="AS373" t="e">
        <f>AND('PROG FORMACIÓN TITULADA'!#REF!,"AAAAAH/5hiw=")</f>
        <v>#REF!</v>
      </c>
      <c r="AT373" t="e">
        <f>AND('PROG FORMACIÓN TITULADA'!#REF!,"AAAAAH/5hi0=")</f>
        <v>#REF!</v>
      </c>
      <c r="AU373" t="e">
        <f>AND('PROG FORMACIÓN TITULADA'!#REF!,"AAAAAH/5hi4=")</f>
        <v>#REF!</v>
      </c>
      <c r="AV373" t="e">
        <f>AND('PROG FORMACIÓN TITULADA'!#REF!,"AAAAAH/5hi8=")</f>
        <v>#REF!</v>
      </c>
      <c r="AW373" t="e">
        <f>AND('PROG FORMACIÓN TITULADA'!#REF!,"AAAAAH/5hjA=")</f>
        <v>#REF!</v>
      </c>
      <c r="AX373" t="e">
        <f>AND('PROG FORMACIÓN TITULADA'!#REF!,"AAAAAH/5hjE=")</f>
        <v>#REF!</v>
      </c>
      <c r="AY373" t="e">
        <f>AND('PROG FORMACIÓN TITULADA'!#REF!,"AAAAAH/5hjI=")</f>
        <v>#REF!</v>
      </c>
      <c r="AZ373" t="e">
        <f>AND('PROG FORMACIÓN TITULADA'!#REF!,"AAAAAH/5hjM=")</f>
        <v>#REF!</v>
      </c>
      <c r="BA373" t="e">
        <f>AND('PROG FORMACIÓN TITULADA'!#REF!,"AAAAAH/5hjQ=")</f>
        <v>#REF!</v>
      </c>
      <c r="BB373" t="e">
        <f>AND('PROG FORMACIÓN TITULADA'!#REF!,"AAAAAH/5hjU=")</f>
        <v>#REF!</v>
      </c>
      <c r="BC373" t="e">
        <f>AND('PROG FORMACIÓN TITULADA'!#REF!,"AAAAAH/5hjY=")</f>
        <v>#REF!</v>
      </c>
      <c r="BD373" t="e">
        <f>AND('PROG FORMACIÓN TITULADA'!#REF!,"AAAAAH/5hjc=")</f>
        <v>#REF!</v>
      </c>
      <c r="BE373" t="e">
        <f>AND('PROG FORMACIÓN TITULADA'!#REF!,"AAAAAH/5hjg=")</f>
        <v>#REF!</v>
      </c>
      <c r="BF373" t="e">
        <f>AND('PROG FORMACIÓN TITULADA'!#REF!,"AAAAAH/5hjk=")</f>
        <v>#REF!</v>
      </c>
      <c r="BG373" t="e">
        <f>AND('PROG FORMACIÓN TITULADA'!#REF!,"AAAAAH/5hjo=")</f>
        <v>#REF!</v>
      </c>
      <c r="BH373" t="e">
        <f>AND('PROG FORMACIÓN TITULADA'!#REF!,"AAAAAH/5hjs=")</f>
        <v>#REF!</v>
      </c>
      <c r="BI373" t="e">
        <f>AND('PROG FORMACIÓN TITULADA'!#REF!,"AAAAAH/5hjw=")</f>
        <v>#REF!</v>
      </c>
      <c r="BJ373" t="e">
        <f>AND('PROG FORMACIÓN TITULADA'!#REF!,"AAAAAH/5hj0=")</f>
        <v>#REF!</v>
      </c>
      <c r="BK373" t="e">
        <f>AND('PROG FORMACIÓN TITULADA'!#REF!,"AAAAAH/5hj4=")</f>
        <v>#REF!</v>
      </c>
      <c r="BL373" t="e">
        <f>AND('PROG FORMACIÓN TITULADA'!#REF!,"AAAAAH/5hj8=")</f>
        <v>#REF!</v>
      </c>
      <c r="BM373" t="e">
        <f>AND('PROG FORMACIÓN TITULADA'!#REF!,"AAAAAH/5hkA=")</f>
        <v>#REF!</v>
      </c>
      <c r="BN373" t="e">
        <f>AND('PROG FORMACIÓN TITULADA'!#REF!,"AAAAAH/5hkE=")</f>
        <v>#REF!</v>
      </c>
      <c r="BO373" t="e">
        <f>IF('PROG FORMACIÓN TITULADA'!#REF!,"AAAAAH/5hkI=",0)</f>
        <v>#REF!</v>
      </c>
      <c r="BP373" t="e">
        <f>AND('PROG FORMACIÓN TITULADA'!#REF!,"AAAAAH/5hkM=")</f>
        <v>#REF!</v>
      </c>
      <c r="BQ373" t="e">
        <f>AND('PROG FORMACIÓN TITULADA'!#REF!,"AAAAAH/5hkQ=")</f>
        <v>#REF!</v>
      </c>
      <c r="BR373" t="e">
        <f>AND('PROG FORMACIÓN TITULADA'!#REF!,"AAAAAH/5hkU=")</f>
        <v>#REF!</v>
      </c>
      <c r="BS373" t="e">
        <f>AND('PROG FORMACIÓN TITULADA'!#REF!,"AAAAAH/5hkY=")</f>
        <v>#REF!</v>
      </c>
      <c r="BT373" t="e">
        <f>AND('PROG FORMACIÓN TITULADA'!#REF!,"AAAAAH/5hkc=")</f>
        <v>#REF!</v>
      </c>
      <c r="BU373" t="e">
        <f>AND('PROG FORMACIÓN TITULADA'!#REF!,"AAAAAH/5hkg=")</f>
        <v>#REF!</v>
      </c>
      <c r="BV373" t="e">
        <f>AND('PROG FORMACIÓN TITULADA'!#REF!,"AAAAAH/5hkk=")</f>
        <v>#REF!</v>
      </c>
      <c r="BW373" t="e">
        <f>AND('PROG FORMACIÓN TITULADA'!#REF!,"AAAAAH/5hko=")</f>
        <v>#REF!</v>
      </c>
      <c r="BX373" t="e">
        <f>AND('PROG FORMACIÓN TITULADA'!#REF!,"AAAAAH/5hks=")</f>
        <v>#REF!</v>
      </c>
      <c r="BY373" t="e">
        <f>AND('PROG FORMACIÓN TITULADA'!#REF!,"AAAAAH/5hkw=")</f>
        <v>#REF!</v>
      </c>
      <c r="BZ373" t="e">
        <f>AND('PROG FORMACIÓN TITULADA'!#REF!,"AAAAAH/5hk0=")</f>
        <v>#REF!</v>
      </c>
      <c r="CA373" t="e">
        <f>AND('PROG FORMACIÓN TITULADA'!#REF!,"AAAAAH/5hk4=")</f>
        <v>#REF!</v>
      </c>
      <c r="CB373" t="e">
        <f>AND('PROG FORMACIÓN TITULADA'!#REF!,"AAAAAH/5hk8=")</f>
        <v>#REF!</v>
      </c>
      <c r="CC373" t="e">
        <f>AND('PROG FORMACIÓN TITULADA'!#REF!,"AAAAAH/5hlA=")</f>
        <v>#REF!</v>
      </c>
      <c r="CD373" t="e">
        <f>AND('PROG FORMACIÓN TITULADA'!#REF!,"AAAAAH/5hlE=")</f>
        <v>#REF!</v>
      </c>
      <c r="CE373" t="e">
        <f>AND('PROG FORMACIÓN TITULADA'!#REF!,"AAAAAH/5hlI=")</f>
        <v>#REF!</v>
      </c>
      <c r="CF373" t="e">
        <f>AND('PROG FORMACIÓN TITULADA'!#REF!,"AAAAAH/5hlM=")</f>
        <v>#REF!</v>
      </c>
      <c r="CG373" t="e">
        <f>AND('PROG FORMACIÓN TITULADA'!#REF!,"AAAAAH/5hlQ=")</f>
        <v>#REF!</v>
      </c>
      <c r="CH373" t="e">
        <f>AND('PROG FORMACIÓN TITULADA'!#REF!,"AAAAAH/5hlU=")</f>
        <v>#REF!</v>
      </c>
      <c r="CI373" t="e">
        <f>AND('PROG FORMACIÓN TITULADA'!#REF!,"AAAAAH/5hlY=")</f>
        <v>#REF!</v>
      </c>
      <c r="CJ373" t="e">
        <f>AND('PROG FORMACIÓN TITULADA'!#REF!,"AAAAAH/5hlc=")</f>
        <v>#REF!</v>
      </c>
      <c r="CK373" t="e">
        <f>AND('PROG FORMACIÓN TITULADA'!#REF!,"AAAAAH/5hlg=")</f>
        <v>#REF!</v>
      </c>
      <c r="CL373" t="e">
        <f>AND('PROG FORMACIÓN TITULADA'!#REF!,"AAAAAH/5hlk=")</f>
        <v>#REF!</v>
      </c>
      <c r="CM373" t="e">
        <f>AND('PROG FORMACIÓN TITULADA'!#REF!,"AAAAAH/5hlo=")</f>
        <v>#REF!</v>
      </c>
      <c r="CN373" t="e">
        <f>AND('PROG FORMACIÓN TITULADA'!#REF!,"AAAAAH/5hls=")</f>
        <v>#REF!</v>
      </c>
      <c r="CO373" t="e">
        <f>AND('PROG FORMACIÓN TITULADA'!#REF!,"AAAAAH/5hlw=")</f>
        <v>#REF!</v>
      </c>
      <c r="CP373" t="e">
        <f>IF('PROG FORMACIÓN TITULADA'!#REF!,"AAAAAH/5hl0=",0)</f>
        <v>#REF!</v>
      </c>
      <c r="CQ373" t="e">
        <f>AND('PROG FORMACIÓN TITULADA'!#REF!,"AAAAAH/5hl4=")</f>
        <v>#REF!</v>
      </c>
      <c r="CR373" t="e">
        <f>AND('PROG FORMACIÓN TITULADA'!#REF!,"AAAAAH/5hl8=")</f>
        <v>#REF!</v>
      </c>
      <c r="CS373" t="e">
        <f>AND('PROG FORMACIÓN TITULADA'!#REF!,"AAAAAH/5hmA=")</f>
        <v>#REF!</v>
      </c>
      <c r="CT373" t="e">
        <f>AND('PROG FORMACIÓN TITULADA'!#REF!,"AAAAAH/5hmE=")</f>
        <v>#REF!</v>
      </c>
      <c r="CU373" t="e">
        <f>AND('PROG FORMACIÓN TITULADA'!#REF!,"AAAAAH/5hmI=")</f>
        <v>#REF!</v>
      </c>
      <c r="CV373" t="e">
        <f>AND('PROG FORMACIÓN TITULADA'!#REF!,"AAAAAH/5hmM=")</f>
        <v>#REF!</v>
      </c>
      <c r="CW373" t="e">
        <f>AND('PROG FORMACIÓN TITULADA'!#REF!,"AAAAAH/5hmQ=")</f>
        <v>#REF!</v>
      </c>
      <c r="CX373" t="e">
        <f>AND('PROG FORMACIÓN TITULADA'!#REF!,"AAAAAH/5hmU=")</f>
        <v>#REF!</v>
      </c>
      <c r="CY373" t="e">
        <f>AND('PROG FORMACIÓN TITULADA'!#REF!,"AAAAAH/5hmY=")</f>
        <v>#REF!</v>
      </c>
      <c r="CZ373" t="e">
        <f>AND('PROG FORMACIÓN TITULADA'!#REF!,"AAAAAH/5hmc=")</f>
        <v>#REF!</v>
      </c>
      <c r="DA373" t="e">
        <f>AND('PROG FORMACIÓN TITULADA'!#REF!,"AAAAAH/5hmg=")</f>
        <v>#REF!</v>
      </c>
      <c r="DB373" t="e">
        <f>AND('PROG FORMACIÓN TITULADA'!#REF!,"AAAAAH/5hmk=")</f>
        <v>#REF!</v>
      </c>
      <c r="DC373" t="e">
        <f>AND('PROG FORMACIÓN TITULADA'!#REF!,"AAAAAH/5hmo=")</f>
        <v>#REF!</v>
      </c>
      <c r="DD373" t="e">
        <f>AND('PROG FORMACIÓN TITULADA'!#REF!,"AAAAAH/5hms=")</f>
        <v>#REF!</v>
      </c>
      <c r="DE373" t="e">
        <f>AND('PROG FORMACIÓN TITULADA'!#REF!,"AAAAAH/5hmw=")</f>
        <v>#REF!</v>
      </c>
      <c r="DF373" t="e">
        <f>AND('PROG FORMACIÓN TITULADA'!#REF!,"AAAAAH/5hm0=")</f>
        <v>#REF!</v>
      </c>
      <c r="DG373" t="e">
        <f>AND('PROG FORMACIÓN TITULADA'!#REF!,"AAAAAH/5hm4=")</f>
        <v>#REF!</v>
      </c>
      <c r="DH373" t="e">
        <f>AND('PROG FORMACIÓN TITULADA'!#REF!,"AAAAAH/5hm8=")</f>
        <v>#REF!</v>
      </c>
      <c r="DI373" t="e">
        <f>AND('PROG FORMACIÓN TITULADA'!#REF!,"AAAAAH/5hnA=")</f>
        <v>#REF!</v>
      </c>
      <c r="DJ373" t="e">
        <f>AND('PROG FORMACIÓN TITULADA'!#REF!,"AAAAAH/5hnE=")</f>
        <v>#REF!</v>
      </c>
      <c r="DK373" t="e">
        <f>AND('PROG FORMACIÓN TITULADA'!#REF!,"AAAAAH/5hnI=")</f>
        <v>#REF!</v>
      </c>
      <c r="DL373" t="e">
        <f>AND('PROG FORMACIÓN TITULADA'!#REF!,"AAAAAH/5hnM=")</f>
        <v>#REF!</v>
      </c>
      <c r="DM373" t="e">
        <f>AND('PROG FORMACIÓN TITULADA'!#REF!,"AAAAAH/5hnQ=")</f>
        <v>#REF!</v>
      </c>
      <c r="DN373" t="e">
        <f>AND('PROG FORMACIÓN TITULADA'!#REF!,"AAAAAH/5hnU=")</f>
        <v>#REF!</v>
      </c>
      <c r="DO373" t="e">
        <f>AND('PROG FORMACIÓN TITULADA'!#REF!,"AAAAAH/5hnY=")</f>
        <v>#REF!</v>
      </c>
      <c r="DP373" t="e">
        <f>AND('PROG FORMACIÓN TITULADA'!#REF!,"AAAAAH/5hnc=")</f>
        <v>#REF!</v>
      </c>
      <c r="DQ373" t="e">
        <f>IF('PROG FORMACIÓN TITULADA'!#REF!,"AAAAAH/5hng=",0)</f>
        <v>#REF!</v>
      </c>
      <c r="DR373" t="e">
        <f>AND('PROG FORMACIÓN TITULADA'!#REF!,"AAAAAH/5hnk=")</f>
        <v>#REF!</v>
      </c>
      <c r="DS373" t="e">
        <f>AND('PROG FORMACIÓN TITULADA'!#REF!,"AAAAAH/5hno=")</f>
        <v>#REF!</v>
      </c>
      <c r="DT373" t="e">
        <f>AND('PROG FORMACIÓN TITULADA'!#REF!,"AAAAAH/5hns=")</f>
        <v>#REF!</v>
      </c>
      <c r="DU373" t="e">
        <f>AND('PROG FORMACIÓN TITULADA'!#REF!,"AAAAAH/5hnw=")</f>
        <v>#REF!</v>
      </c>
      <c r="DV373" t="e">
        <f>AND('PROG FORMACIÓN TITULADA'!#REF!,"AAAAAH/5hn0=")</f>
        <v>#REF!</v>
      </c>
      <c r="DW373" t="e">
        <f>AND('PROG FORMACIÓN TITULADA'!#REF!,"AAAAAH/5hn4=")</f>
        <v>#REF!</v>
      </c>
      <c r="DX373" t="e">
        <f>AND('PROG FORMACIÓN TITULADA'!#REF!,"AAAAAH/5hn8=")</f>
        <v>#REF!</v>
      </c>
      <c r="DY373" t="e">
        <f>AND('PROG FORMACIÓN TITULADA'!#REF!,"AAAAAH/5hoA=")</f>
        <v>#REF!</v>
      </c>
      <c r="DZ373" t="e">
        <f>AND('PROG FORMACIÓN TITULADA'!#REF!,"AAAAAH/5hoE=")</f>
        <v>#REF!</v>
      </c>
      <c r="EA373" t="e">
        <f>AND('PROG FORMACIÓN TITULADA'!#REF!,"AAAAAH/5hoI=")</f>
        <v>#REF!</v>
      </c>
      <c r="EB373" t="e">
        <f>AND('PROG FORMACIÓN TITULADA'!#REF!,"AAAAAH/5hoM=")</f>
        <v>#REF!</v>
      </c>
      <c r="EC373" t="e">
        <f>AND('PROG FORMACIÓN TITULADA'!#REF!,"AAAAAH/5hoQ=")</f>
        <v>#REF!</v>
      </c>
      <c r="ED373" t="e">
        <f>AND('PROG FORMACIÓN TITULADA'!#REF!,"AAAAAH/5hoU=")</f>
        <v>#REF!</v>
      </c>
      <c r="EE373" t="e">
        <f>AND('PROG FORMACIÓN TITULADA'!#REF!,"AAAAAH/5hoY=")</f>
        <v>#REF!</v>
      </c>
      <c r="EF373" t="e">
        <f>AND('PROG FORMACIÓN TITULADA'!#REF!,"AAAAAH/5hoc=")</f>
        <v>#REF!</v>
      </c>
      <c r="EG373" t="e">
        <f>AND('PROG FORMACIÓN TITULADA'!#REF!,"AAAAAH/5hog=")</f>
        <v>#REF!</v>
      </c>
      <c r="EH373" t="e">
        <f>AND('PROG FORMACIÓN TITULADA'!#REF!,"AAAAAH/5hok=")</f>
        <v>#REF!</v>
      </c>
      <c r="EI373" t="e">
        <f>AND('PROG FORMACIÓN TITULADA'!#REF!,"AAAAAH/5hoo=")</f>
        <v>#REF!</v>
      </c>
      <c r="EJ373" t="e">
        <f>AND('PROG FORMACIÓN TITULADA'!#REF!,"AAAAAH/5hos=")</f>
        <v>#REF!</v>
      </c>
      <c r="EK373" t="e">
        <f>AND('PROG FORMACIÓN TITULADA'!#REF!,"AAAAAH/5how=")</f>
        <v>#REF!</v>
      </c>
      <c r="EL373" t="e">
        <f>AND('PROG FORMACIÓN TITULADA'!#REF!,"AAAAAH/5ho0=")</f>
        <v>#REF!</v>
      </c>
      <c r="EM373" t="e">
        <f>AND('PROG FORMACIÓN TITULADA'!#REF!,"AAAAAH/5ho4=")</f>
        <v>#REF!</v>
      </c>
      <c r="EN373" t="e">
        <f>AND('PROG FORMACIÓN TITULADA'!#REF!,"AAAAAH/5ho8=")</f>
        <v>#REF!</v>
      </c>
      <c r="EO373" t="e">
        <f>AND('PROG FORMACIÓN TITULADA'!#REF!,"AAAAAH/5hpA=")</f>
        <v>#REF!</v>
      </c>
      <c r="EP373" t="e">
        <f>AND('PROG FORMACIÓN TITULADA'!#REF!,"AAAAAH/5hpE=")</f>
        <v>#REF!</v>
      </c>
      <c r="EQ373" t="e">
        <f>AND('PROG FORMACIÓN TITULADA'!#REF!,"AAAAAH/5hpI=")</f>
        <v>#REF!</v>
      </c>
      <c r="ER373" t="e">
        <f>IF('PROG FORMACIÓN TITULADA'!#REF!,"AAAAAH/5hpM=",0)</f>
        <v>#REF!</v>
      </c>
      <c r="ES373" t="e">
        <f>AND('PROG FORMACIÓN TITULADA'!#REF!,"AAAAAH/5hpQ=")</f>
        <v>#REF!</v>
      </c>
      <c r="ET373" t="e">
        <f>AND('PROG FORMACIÓN TITULADA'!#REF!,"AAAAAH/5hpU=")</f>
        <v>#REF!</v>
      </c>
      <c r="EU373" t="e">
        <f>AND('PROG FORMACIÓN TITULADA'!#REF!,"AAAAAH/5hpY=")</f>
        <v>#REF!</v>
      </c>
      <c r="EV373" t="e">
        <f>AND('PROG FORMACIÓN TITULADA'!#REF!,"AAAAAH/5hpc=")</f>
        <v>#REF!</v>
      </c>
      <c r="EW373" t="e">
        <f>AND('PROG FORMACIÓN TITULADA'!#REF!,"AAAAAH/5hpg=")</f>
        <v>#REF!</v>
      </c>
      <c r="EX373" t="e">
        <f>AND('PROG FORMACIÓN TITULADA'!#REF!,"AAAAAH/5hpk=")</f>
        <v>#REF!</v>
      </c>
      <c r="EY373" t="e">
        <f>AND('PROG FORMACIÓN TITULADA'!#REF!,"AAAAAH/5hpo=")</f>
        <v>#REF!</v>
      </c>
      <c r="EZ373" t="e">
        <f>AND('PROG FORMACIÓN TITULADA'!#REF!,"AAAAAH/5hps=")</f>
        <v>#REF!</v>
      </c>
      <c r="FA373" t="e">
        <f>AND('PROG FORMACIÓN TITULADA'!#REF!,"AAAAAH/5hpw=")</f>
        <v>#REF!</v>
      </c>
      <c r="FB373" t="e">
        <f>AND('PROG FORMACIÓN TITULADA'!#REF!,"AAAAAH/5hp0=")</f>
        <v>#REF!</v>
      </c>
      <c r="FC373" t="e">
        <f>AND('PROG FORMACIÓN TITULADA'!#REF!,"AAAAAH/5hp4=")</f>
        <v>#REF!</v>
      </c>
      <c r="FD373" t="e">
        <f>AND('PROG FORMACIÓN TITULADA'!#REF!,"AAAAAH/5hp8=")</f>
        <v>#REF!</v>
      </c>
      <c r="FE373" t="e">
        <f>AND('PROG FORMACIÓN TITULADA'!#REF!,"AAAAAH/5hqA=")</f>
        <v>#REF!</v>
      </c>
      <c r="FF373" t="e">
        <f>AND('PROG FORMACIÓN TITULADA'!#REF!,"AAAAAH/5hqE=")</f>
        <v>#REF!</v>
      </c>
      <c r="FG373" t="e">
        <f>AND('PROG FORMACIÓN TITULADA'!#REF!,"AAAAAH/5hqI=")</f>
        <v>#REF!</v>
      </c>
      <c r="FH373" t="e">
        <f>AND('PROG FORMACIÓN TITULADA'!#REF!,"AAAAAH/5hqM=")</f>
        <v>#REF!</v>
      </c>
      <c r="FI373" t="e">
        <f>AND('PROG FORMACIÓN TITULADA'!#REF!,"AAAAAH/5hqQ=")</f>
        <v>#REF!</v>
      </c>
      <c r="FJ373" t="e">
        <f>AND('PROG FORMACIÓN TITULADA'!#REF!,"AAAAAH/5hqU=")</f>
        <v>#REF!</v>
      </c>
      <c r="FK373" t="e">
        <f>AND('PROG FORMACIÓN TITULADA'!#REF!,"AAAAAH/5hqY=")</f>
        <v>#REF!</v>
      </c>
      <c r="FL373" t="e">
        <f>AND('PROG FORMACIÓN TITULADA'!#REF!,"AAAAAH/5hqc=")</f>
        <v>#REF!</v>
      </c>
      <c r="FM373" t="e">
        <f>AND('PROG FORMACIÓN TITULADA'!#REF!,"AAAAAH/5hqg=")</f>
        <v>#REF!</v>
      </c>
      <c r="FN373" t="e">
        <f>AND('PROG FORMACIÓN TITULADA'!#REF!,"AAAAAH/5hqk=")</f>
        <v>#REF!</v>
      </c>
      <c r="FO373" t="e">
        <f>AND('PROG FORMACIÓN TITULADA'!#REF!,"AAAAAH/5hqo=")</f>
        <v>#REF!</v>
      </c>
      <c r="FP373" t="e">
        <f>AND('PROG FORMACIÓN TITULADA'!#REF!,"AAAAAH/5hqs=")</f>
        <v>#REF!</v>
      </c>
      <c r="FQ373" t="e">
        <f>AND('PROG FORMACIÓN TITULADA'!#REF!,"AAAAAH/5hqw=")</f>
        <v>#REF!</v>
      </c>
      <c r="FR373" t="e">
        <f>AND('PROG FORMACIÓN TITULADA'!#REF!,"AAAAAH/5hq0=")</f>
        <v>#REF!</v>
      </c>
      <c r="FS373" t="e">
        <f>IF('PROG FORMACIÓN TITULADA'!#REF!,"AAAAAH/5hq4=",0)</f>
        <v>#REF!</v>
      </c>
      <c r="FT373" t="e">
        <f>AND('PROG FORMACIÓN TITULADA'!#REF!,"AAAAAH/5hq8=")</f>
        <v>#REF!</v>
      </c>
      <c r="FU373" t="e">
        <f>AND('PROG FORMACIÓN TITULADA'!#REF!,"AAAAAH/5hrA=")</f>
        <v>#REF!</v>
      </c>
      <c r="FV373" t="e">
        <f>AND('PROG FORMACIÓN TITULADA'!#REF!,"AAAAAH/5hrE=")</f>
        <v>#REF!</v>
      </c>
      <c r="FW373" t="e">
        <f>AND('PROG FORMACIÓN TITULADA'!#REF!,"AAAAAH/5hrI=")</f>
        <v>#REF!</v>
      </c>
      <c r="FX373" t="e">
        <f>AND('PROG FORMACIÓN TITULADA'!#REF!,"AAAAAH/5hrM=")</f>
        <v>#REF!</v>
      </c>
      <c r="FY373" t="e">
        <f>AND('PROG FORMACIÓN TITULADA'!#REF!,"AAAAAH/5hrQ=")</f>
        <v>#REF!</v>
      </c>
      <c r="FZ373" t="e">
        <f>AND('PROG FORMACIÓN TITULADA'!#REF!,"AAAAAH/5hrU=")</f>
        <v>#REF!</v>
      </c>
      <c r="GA373" t="e">
        <f>AND('PROG FORMACIÓN TITULADA'!#REF!,"AAAAAH/5hrY=")</f>
        <v>#REF!</v>
      </c>
      <c r="GB373" t="e">
        <f>AND('PROG FORMACIÓN TITULADA'!#REF!,"AAAAAH/5hrc=")</f>
        <v>#REF!</v>
      </c>
      <c r="GC373" t="e">
        <f>AND('PROG FORMACIÓN TITULADA'!#REF!,"AAAAAH/5hrg=")</f>
        <v>#REF!</v>
      </c>
      <c r="GD373" t="e">
        <f>AND('PROG FORMACIÓN TITULADA'!#REF!,"AAAAAH/5hrk=")</f>
        <v>#REF!</v>
      </c>
      <c r="GE373" t="e">
        <f>AND('PROG FORMACIÓN TITULADA'!#REF!,"AAAAAH/5hro=")</f>
        <v>#REF!</v>
      </c>
      <c r="GF373" t="e">
        <f>AND('PROG FORMACIÓN TITULADA'!#REF!,"AAAAAH/5hrs=")</f>
        <v>#REF!</v>
      </c>
      <c r="GG373" t="e">
        <f>AND('PROG FORMACIÓN TITULADA'!#REF!,"AAAAAH/5hrw=")</f>
        <v>#REF!</v>
      </c>
      <c r="GH373" t="e">
        <f>AND('PROG FORMACIÓN TITULADA'!#REF!,"AAAAAH/5hr0=")</f>
        <v>#REF!</v>
      </c>
      <c r="GI373" t="e">
        <f>AND('PROG FORMACIÓN TITULADA'!#REF!,"AAAAAH/5hr4=")</f>
        <v>#REF!</v>
      </c>
      <c r="GJ373" t="e">
        <f>AND('PROG FORMACIÓN TITULADA'!#REF!,"AAAAAH/5hr8=")</f>
        <v>#REF!</v>
      </c>
      <c r="GK373" t="e">
        <f>AND('PROG FORMACIÓN TITULADA'!#REF!,"AAAAAH/5hsA=")</f>
        <v>#REF!</v>
      </c>
      <c r="GL373" t="e">
        <f>AND('PROG FORMACIÓN TITULADA'!#REF!,"AAAAAH/5hsE=")</f>
        <v>#REF!</v>
      </c>
      <c r="GM373" t="e">
        <f>AND('PROG FORMACIÓN TITULADA'!#REF!,"AAAAAH/5hsI=")</f>
        <v>#REF!</v>
      </c>
      <c r="GN373" t="e">
        <f>AND('PROG FORMACIÓN TITULADA'!#REF!,"AAAAAH/5hsM=")</f>
        <v>#REF!</v>
      </c>
      <c r="GO373" t="e">
        <f>AND('PROG FORMACIÓN TITULADA'!#REF!,"AAAAAH/5hsQ=")</f>
        <v>#REF!</v>
      </c>
      <c r="GP373" t="e">
        <f>AND('PROG FORMACIÓN TITULADA'!#REF!,"AAAAAH/5hsU=")</f>
        <v>#REF!</v>
      </c>
      <c r="GQ373" t="e">
        <f>AND('PROG FORMACIÓN TITULADA'!#REF!,"AAAAAH/5hsY=")</f>
        <v>#REF!</v>
      </c>
      <c r="GR373" t="e">
        <f>AND('PROG FORMACIÓN TITULADA'!#REF!,"AAAAAH/5hsc=")</f>
        <v>#REF!</v>
      </c>
      <c r="GS373" t="e">
        <f>AND('PROG FORMACIÓN TITULADA'!#REF!,"AAAAAH/5hsg=")</f>
        <v>#REF!</v>
      </c>
      <c r="GT373" t="e">
        <f>IF('PROG FORMACIÓN TITULADA'!#REF!,"AAAAAH/5hsk=",0)</f>
        <v>#REF!</v>
      </c>
      <c r="GU373" t="e">
        <f>AND('PROG FORMACIÓN TITULADA'!#REF!,"AAAAAH/5hso=")</f>
        <v>#REF!</v>
      </c>
      <c r="GV373" t="e">
        <f>AND('PROG FORMACIÓN TITULADA'!#REF!,"AAAAAH/5hss=")</f>
        <v>#REF!</v>
      </c>
      <c r="GW373" t="e">
        <f>AND('PROG FORMACIÓN TITULADA'!#REF!,"AAAAAH/5hsw=")</f>
        <v>#REF!</v>
      </c>
      <c r="GX373" t="e">
        <f>AND('PROG FORMACIÓN TITULADA'!#REF!,"AAAAAH/5hs0=")</f>
        <v>#REF!</v>
      </c>
      <c r="GY373" t="e">
        <f>AND('PROG FORMACIÓN TITULADA'!#REF!,"AAAAAH/5hs4=")</f>
        <v>#REF!</v>
      </c>
      <c r="GZ373" t="e">
        <f>AND('PROG FORMACIÓN TITULADA'!#REF!,"AAAAAH/5hs8=")</f>
        <v>#REF!</v>
      </c>
      <c r="HA373" t="e">
        <f>AND('PROG FORMACIÓN TITULADA'!#REF!,"AAAAAH/5htA=")</f>
        <v>#REF!</v>
      </c>
      <c r="HB373" t="e">
        <f>AND('PROG FORMACIÓN TITULADA'!#REF!,"AAAAAH/5htE=")</f>
        <v>#REF!</v>
      </c>
      <c r="HC373" t="e">
        <f>AND('PROG FORMACIÓN TITULADA'!#REF!,"AAAAAH/5htI=")</f>
        <v>#REF!</v>
      </c>
      <c r="HD373" t="e">
        <f>AND('PROG FORMACIÓN TITULADA'!#REF!,"AAAAAH/5htM=")</f>
        <v>#REF!</v>
      </c>
      <c r="HE373" t="e">
        <f>AND('PROG FORMACIÓN TITULADA'!#REF!,"AAAAAH/5htQ=")</f>
        <v>#REF!</v>
      </c>
      <c r="HF373" t="e">
        <f>AND('PROG FORMACIÓN TITULADA'!#REF!,"AAAAAH/5htU=")</f>
        <v>#REF!</v>
      </c>
      <c r="HG373" t="e">
        <f>AND('PROG FORMACIÓN TITULADA'!#REF!,"AAAAAH/5htY=")</f>
        <v>#REF!</v>
      </c>
      <c r="HH373" t="e">
        <f>AND('PROG FORMACIÓN TITULADA'!#REF!,"AAAAAH/5htc=")</f>
        <v>#REF!</v>
      </c>
      <c r="HI373" t="e">
        <f>AND('PROG FORMACIÓN TITULADA'!#REF!,"AAAAAH/5htg=")</f>
        <v>#REF!</v>
      </c>
      <c r="HJ373" t="e">
        <f>AND('PROG FORMACIÓN TITULADA'!#REF!,"AAAAAH/5htk=")</f>
        <v>#REF!</v>
      </c>
      <c r="HK373" t="e">
        <f>AND('PROG FORMACIÓN TITULADA'!#REF!,"AAAAAH/5hto=")</f>
        <v>#REF!</v>
      </c>
      <c r="HL373" t="e">
        <f>AND('PROG FORMACIÓN TITULADA'!#REF!,"AAAAAH/5hts=")</f>
        <v>#REF!</v>
      </c>
      <c r="HM373" t="e">
        <f>AND('PROG FORMACIÓN TITULADA'!#REF!,"AAAAAH/5htw=")</f>
        <v>#REF!</v>
      </c>
      <c r="HN373" t="e">
        <f>AND('PROG FORMACIÓN TITULADA'!#REF!,"AAAAAH/5ht0=")</f>
        <v>#REF!</v>
      </c>
      <c r="HO373" t="e">
        <f>AND('PROG FORMACIÓN TITULADA'!#REF!,"AAAAAH/5ht4=")</f>
        <v>#REF!</v>
      </c>
      <c r="HP373" t="e">
        <f>AND('PROG FORMACIÓN TITULADA'!#REF!,"AAAAAH/5ht8=")</f>
        <v>#REF!</v>
      </c>
      <c r="HQ373" t="e">
        <f>AND('PROG FORMACIÓN TITULADA'!#REF!,"AAAAAH/5huA=")</f>
        <v>#REF!</v>
      </c>
      <c r="HR373" t="e">
        <f>AND('PROG FORMACIÓN TITULADA'!#REF!,"AAAAAH/5huE=")</f>
        <v>#REF!</v>
      </c>
      <c r="HS373" t="e">
        <f>AND('PROG FORMACIÓN TITULADA'!#REF!,"AAAAAH/5huI=")</f>
        <v>#REF!</v>
      </c>
      <c r="HT373" t="e">
        <f>AND('PROG FORMACIÓN TITULADA'!#REF!,"AAAAAH/5huM=")</f>
        <v>#REF!</v>
      </c>
      <c r="HU373" t="e">
        <f>IF('PROG FORMACIÓN TITULADA'!#REF!,"AAAAAH/5huQ=",0)</f>
        <v>#REF!</v>
      </c>
      <c r="HV373" t="e">
        <f>AND('PROG FORMACIÓN TITULADA'!#REF!,"AAAAAH/5huU=")</f>
        <v>#REF!</v>
      </c>
      <c r="HW373" t="e">
        <f>AND('PROG FORMACIÓN TITULADA'!#REF!,"AAAAAH/5huY=")</f>
        <v>#REF!</v>
      </c>
      <c r="HX373" t="e">
        <f>AND('PROG FORMACIÓN TITULADA'!#REF!,"AAAAAH/5huc=")</f>
        <v>#REF!</v>
      </c>
      <c r="HY373" t="e">
        <f>AND('PROG FORMACIÓN TITULADA'!#REF!,"AAAAAH/5hug=")</f>
        <v>#REF!</v>
      </c>
      <c r="HZ373" t="e">
        <f>AND('PROG FORMACIÓN TITULADA'!#REF!,"AAAAAH/5huk=")</f>
        <v>#REF!</v>
      </c>
      <c r="IA373" t="e">
        <f>AND('PROG FORMACIÓN TITULADA'!#REF!,"AAAAAH/5huo=")</f>
        <v>#REF!</v>
      </c>
      <c r="IB373" t="e">
        <f>AND('PROG FORMACIÓN TITULADA'!#REF!,"AAAAAH/5hus=")</f>
        <v>#REF!</v>
      </c>
      <c r="IC373" t="e">
        <f>AND('PROG FORMACIÓN TITULADA'!#REF!,"AAAAAH/5huw=")</f>
        <v>#REF!</v>
      </c>
      <c r="ID373" t="e">
        <f>AND('PROG FORMACIÓN TITULADA'!#REF!,"AAAAAH/5hu0=")</f>
        <v>#REF!</v>
      </c>
      <c r="IE373" t="e">
        <f>AND('PROG FORMACIÓN TITULADA'!#REF!,"AAAAAH/5hu4=")</f>
        <v>#REF!</v>
      </c>
      <c r="IF373" t="e">
        <f>AND('PROG FORMACIÓN TITULADA'!#REF!,"AAAAAH/5hu8=")</f>
        <v>#REF!</v>
      </c>
      <c r="IG373" t="e">
        <f>AND('PROG FORMACIÓN TITULADA'!#REF!,"AAAAAH/5hvA=")</f>
        <v>#REF!</v>
      </c>
      <c r="IH373" t="e">
        <f>AND('PROG FORMACIÓN TITULADA'!#REF!,"AAAAAH/5hvE=")</f>
        <v>#REF!</v>
      </c>
      <c r="II373" t="e">
        <f>AND('PROG FORMACIÓN TITULADA'!#REF!,"AAAAAH/5hvI=")</f>
        <v>#REF!</v>
      </c>
      <c r="IJ373" t="e">
        <f>AND('PROG FORMACIÓN TITULADA'!#REF!,"AAAAAH/5hvM=")</f>
        <v>#REF!</v>
      </c>
      <c r="IK373" t="e">
        <f>AND('PROG FORMACIÓN TITULADA'!#REF!,"AAAAAH/5hvQ=")</f>
        <v>#REF!</v>
      </c>
      <c r="IL373" t="e">
        <f>AND('PROG FORMACIÓN TITULADA'!#REF!,"AAAAAH/5hvU=")</f>
        <v>#REF!</v>
      </c>
      <c r="IM373" t="e">
        <f>AND('PROG FORMACIÓN TITULADA'!#REF!,"AAAAAH/5hvY=")</f>
        <v>#REF!</v>
      </c>
      <c r="IN373" t="e">
        <f>AND('PROG FORMACIÓN TITULADA'!#REF!,"AAAAAH/5hvc=")</f>
        <v>#REF!</v>
      </c>
      <c r="IO373" t="e">
        <f>AND('PROG FORMACIÓN TITULADA'!#REF!,"AAAAAH/5hvg=")</f>
        <v>#REF!</v>
      </c>
      <c r="IP373" t="e">
        <f>AND('PROG FORMACIÓN TITULADA'!#REF!,"AAAAAH/5hvk=")</f>
        <v>#REF!</v>
      </c>
      <c r="IQ373" t="e">
        <f>AND('PROG FORMACIÓN TITULADA'!#REF!,"AAAAAH/5hvo=")</f>
        <v>#REF!</v>
      </c>
      <c r="IR373" t="e">
        <f>AND('PROG FORMACIÓN TITULADA'!#REF!,"AAAAAH/5hvs=")</f>
        <v>#REF!</v>
      </c>
      <c r="IS373" t="e">
        <f>AND('PROG FORMACIÓN TITULADA'!#REF!,"AAAAAH/5hvw=")</f>
        <v>#REF!</v>
      </c>
      <c r="IT373" t="e">
        <f>AND('PROG FORMACIÓN TITULADA'!#REF!,"AAAAAH/5hv0=")</f>
        <v>#REF!</v>
      </c>
      <c r="IU373" t="e">
        <f>AND('PROG FORMACIÓN TITULADA'!#REF!,"AAAAAH/5hv4=")</f>
        <v>#REF!</v>
      </c>
      <c r="IV373" t="e">
        <f>IF('PROG FORMACIÓN TITULADA'!#REF!,"AAAAAH/5hv8=",0)</f>
        <v>#REF!</v>
      </c>
    </row>
    <row r="374" spans="1:256" x14ac:dyDescent="0.2">
      <c r="A374" t="e">
        <f>AND('PROG FORMACIÓN TITULADA'!#REF!,"AAAAABfdNgA=")</f>
        <v>#REF!</v>
      </c>
      <c r="B374" t="e">
        <f>AND('PROG FORMACIÓN TITULADA'!#REF!,"AAAAABfdNgE=")</f>
        <v>#REF!</v>
      </c>
      <c r="C374" t="e">
        <f>AND('PROG FORMACIÓN TITULADA'!#REF!,"AAAAABfdNgI=")</f>
        <v>#REF!</v>
      </c>
      <c r="D374" t="e">
        <f>AND('PROG FORMACIÓN TITULADA'!#REF!,"AAAAABfdNgM=")</f>
        <v>#REF!</v>
      </c>
      <c r="E374" t="e">
        <f>AND('PROG FORMACIÓN TITULADA'!#REF!,"AAAAABfdNgQ=")</f>
        <v>#REF!</v>
      </c>
      <c r="F374" t="e">
        <f>AND('PROG FORMACIÓN TITULADA'!#REF!,"AAAAABfdNgU=")</f>
        <v>#REF!</v>
      </c>
      <c r="G374" t="e">
        <f>AND('PROG FORMACIÓN TITULADA'!#REF!,"AAAAABfdNgY=")</f>
        <v>#REF!</v>
      </c>
      <c r="H374" t="e">
        <f>AND('PROG FORMACIÓN TITULADA'!#REF!,"AAAAABfdNgc=")</f>
        <v>#REF!</v>
      </c>
      <c r="I374" t="e">
        <f>AND('PROG FORMACIÓN TITULADA'!#REF!,"AAAAABfdNgg=")</f>
        <v>#REF!</v>
      </c>
      <c r="J374" t="e">
        <f>AND('PROG FORMACIÓN TITULADA'!#REF!,"AAAAABfdNgk=")</f>
        <v>#REF!</v>
      </c>
      <c r="K374" t="e">
        <f>AND('PROG FORMACIÓN TITULADA'!#REF!,"AAAAABfdNgo=")</f>
        <v>#REF!</v>
      </c>
      <c r="L374" t="e">
        <f>AND('PROG FORMACIÓN TITULADA'!#REF!,"AAAAABfdNgs=")</f>
        <v>#REF!</v>
      </c>
      <c r="M374" t="e">
        <f>AND('PROG FORMACIÓN TITULADA'!#REF!,"AAAAABfdNgw=")</f>
        <v>#REF!</v>
      </c>
      <c r="N374" t="e">
        <f>AND('PROG FORMACIÓN TITULADA'!#REF!,"AAAAABfdNg0=")</f>
        <v>#REF!</v>
      </c>
      <c r="O374" t="e">
        <f>AND('PROG FORMACIÓN TITULADA'!#REF!,"AAAAABfdNg4=")</f>
        <v>#REF!</v>
      </c>
      <c r="P374" t="e">
        <f>AND('PROG FORMACIÓN TITULADA'!#REF!,"AAAAABfdNg8=")</f>
        <v>#REF!</v>
      </c>
      <c r="Q374" t="e">
        <f>AND('PROG FORMACIÓN TITULADA'!#REF!,"AAAAABfdNhA=")</f>
        <v>#REF!</v>
      </c>
      <c r="R374" t="e">
        <f>AND('PROG FORMACIÓN TITULADA'!#REF!,"AAAAABfdNhE=")</f>
        <v>#REF!</v>
      </c>
      <c r="S374" t="e">
        <f>AND('PROG FORMACIÓN TITULADA'!#REF!,"AAAAABfdNhI=")</f>
        <v>#REF!</v>
      </c>
      <c r="T374" t="e">
        <f>AND('PROG FORMACIÓN TITULADA'!#REF!,"AAAAABfdNhM=")</f>
        <v>#REF!</v>
      </c>
      <c r="U374" t="e">
        <f>AND('PROG FORMACIÓN TITULADA'!#REF!,"AAAAABfdNhQ=")</f>
        <v>#REF!</v>
      </c>
      <c r="V374" t="e">
        <f>AND('PROG FORMACIÓN TITULADA'!#REF!,"AAAAABfdNhU=")</f>
        <v>#REF!</v>
      </c>
      <c r="W374" t="e">
        <f>AND('PROG FORMACIÓN TITULADA'!#REF!,"AAAAABfdNhY=")</f>
        <v>#REF!</v>
      </c>
      <c r="X374" t="e">
        <f>AND('PROG FORMACIÓN TITULADA'!#REF!,"AAAAABfdNhc=")</f>
        <v>#REF!</v>
      </c>
      <c r="Y374" t="e">
        <f>AND('PROG FORMACIÓN TITULADA'!#REF!,"AAAAABfdNhg=")</f>
        <v>#REF!</v>
      </c>
      <c r="Z374" t="e">
        <f>AND('PROG FORMACIÓN TITULADA'!#REF!,"AAAAABfdNhk=")</f>
        <v>#REF!</v>
      </c>
      <c r="AA374" t="e">
        <f>IF('PROG FORMACIÓN TITULADA'!#REF!,"AAAAABfdNho=",0)</f>
        <v>#REF!</v>
      </c>
      <c r="AB374" t="e">
        <f>AND('PROG FORMACIÓN TITULADA'!#REF!,"AAAAABfdNhs=")</f>
        <v>#REF!</v>
      </c>
      <c r="AC374" t="e">
        <f>AND('PROG FORMACIÓN TITULADA'!#REF!,"AAAAABfdNhw=")</f>
        <v>#REF!</v>
      </c>
      <c r="AD374" t="e">
        <f>AND('PROG FORMACIÓN TITULADA'!#REF!,"AAAAABfdNh0=")</f>
        <v>#REF!</v>
      </c>
      <c r="AE374" t="e">
        <f>AND('PROG FORMACIÓN TITULADA'!#REF!,"AAAAABfdNh4=")</f>
        <v>#REF!</v>
      </c>
      <c r="AF374" t="e">
        <f>AND('PROG FORMACIÓN TITULADA'!#REF!,"AAAAABfdNh8=")</f>
        <v>#REF!</v>
      </c>
      <c r="AG374" t="e">
        <f>AND('PROG FORMACIÓN TITULADA'!#REF!,"AAAAABfdNiA=")</f>
        <v>#REF!</v>
      </c>
      <c r="AH374" t="e">
        <f>AND('PROG FORMACIÓN TITULADA'!#REF!,"AAAAABfdNiE=")</f>
        <v>#REF!</v>
      </c>
      <c r="AI374" t="e">
        <f>AND('PROG FORMACIÓN TITULADA'!#REF!,"AAAAABfdNiI=")</f>
        <v>#REF!</v>
      </c>
      <c r="AJ374" t="e">
        <f>AND('PROG FORMACIÓN TITULADA'!#REF!,"AAAAABfdNiM=")</f>
        <v>#REF!</v>
      </c>
      <c r="AK374" t="e">
        <f>AND('PROG FORMACIÓN TITULADA'!#REF!,"AAAAABfdNiQ=")</f>
        <v>#REF!</v>
      </c>
      <c r="AL374" t="e">
        <f>AND('PROG FORMACIÓN TITULADA'!#REF!,"AAAAABfdNiU=")</f>
        <v>#REF!</v>
      </c>
      <c r="AM374" t="e">
        <f>AND('PROG FORMACIÓN TITULADA'!#REF!,"AAAAABfdNiY=")</f>
        <v>#REF!</v>
      </c>
      <c r="AN374" t="e">
        <f>AND('PROG FORMACIÓN TITULADA'!#REF!,"AAAAABfdNic=")</f>
        <v>#REF!</v>
      </c>
      <c r="AO374" t="e">
        <f>AND('PROG FORMACIÓN TITULADA'!#REF!,"AAAAABfdNig=")</f>
        <v>#REF!</v>
      </c>
      <c r="AP374" t="e">
        <f>AND('PROG FORMACIÓN TITULADA'!#REF!,"AAAAABfdNik=")</f>
        <v>#REF!</v>
      </c>
      <c r="AQ374" t="e">
        <f>AND('PROG FORMACIÓN TITULADA'!#REF!,"AAAAABfdNio=")</f>
        <v>#REF!</v>
      </c>
      <c r="AR374" t="e">
        <f>AND('PROG FORMACIÓN TITULADA'!#REF!,"AAAAABfdNis=")</f>
        <v>#REF!</v>
      </c>
      <c r="AS374" t="e">
        <f>AND('PROG FORMACIÓN TITULADA'!#REF!,"AAAAABfdNiw=")</f>
        <v>#REF!</v>
      </c>
      <c r="AT374" t="e">
        <f>AND('PROG FORMACIÓN TITULADA'!#REF!,"AAAAABfdNi0=")</f>
        <v>#REF!</v>
      </c>
      <c r="AU374" t="e">
        <f>AND('PROG FORMACIÓN TITULADA'!#REF!,"AAAAABfdNi4=")</f>
        <v>#REF!</v>
      </c>
      <c r="AV374" t="e">
        <f>AND('PROG FORMACIÓN TITULADA'!#REF!,"AAAAABfdNi8=")</f>
        <v>#REF!</v>
      </c>
      <c r="AW374" t="e">
        <f>AND('PROG FORMACIÓN TITULADA'!#REF!,"AAAAABfdNjA=")</f>
        <v>#REF!</v>
      </c>
      <c r="AX374" t="e">
        <f>AND('PROG FORMACIÓN TITULADA'!#REF!,"AAAAABfdNjE=")</f>
        <v>#REF!</v>
      </c>
      <c r="AY374" t="e">
        <f>AND('PROG FORMACIÓN TITULADA'!#REF!,"AAAAABfdNjI=")</f>
        <v>#REF!</v>
      </c>
      <c r="AZ374" t="e">
        <f>AND('PROG FORMACIÓN TITULADA'!#REF!,"AAAAABfdNjM=")</f>
        <v>#REF!</v>
      </c>
      <c r="BA374" t="e">
        <f>AND('PROG FORMACIÓN TITULADA'!#REF!,"AAAAABfdNjQ=")</f>
        <v>#REF!</v>
      </c>
      <c r="BB374" t="e">
        <f>IF('PROG FORMACIÓN TITULADA'!#REF!,"AAAAABfdNjU=",0)</f>
        <v>#REF!</v>
      </c>
      <c r="BC374" t="e">
        <f>AND('PROG FORMACIÓN TITULADA'!#REF!,"AAAAABfdNjY=")</f>
        <v>#REF!</v>
      </c>
      <c r="BD374" t="e">
        <f>AND('PROG FORMACIÓN TITULADA'!#REF!,"AAAAABfdNjc=")</f>
        <v>#REF!</v>
      </c>
      <c r="BE374" t="e">
        <f>AND('PROG FORMACIÓN TITULADA'!#REF!,"AAAAABfdNjg=")</f>
        <v>#REF!</v>
      </c>
      <c r="BF374" t="e">
        <f>AND('PROG FORMACIÓN TITULADA'!#REF!,"AAAAABfdNjk=")</f>
        <v>#REF!</v>
      </c>
      <c r="BG374" t="e">
        <f>AND('PROG FORMACIÓN TITULADA'!#REF!,"AAAAABfdNjo=")</f>
        <v>#REF!</v>
      </c>
      <c r="BH374" t="e">
        <f>AND('PROG FORMACIÓN TITULADA'!#REF!,"AAAAABfdNjs=")</f>
        <v>#REF!</v>
      </c>
      <c r="BI374" t="e">
        <f>AND('PROG FORMACIÓN TITULADA'!#REF!,"AAAAABfdNjw=")</f>
        <v>#REF!</v>
      </c>
      <c r="BJ374" t="e">
        <f>AND('PROG FORMACIÓN TITULADA'!#REF!,"AAAAABfdNj0=")</f>
        <v>#REF!</v>
      </c>
      <c r="BK374" t="e">
        <f>AND('PROG FORMACIÓN TITULADA'!#REF!,"AAAAABfdNj4=")</f>
        <v>#REF!</v>
      </c>
      <c r="BL374" t="e">
        <f>AND('PROG FORMACIÓN TITULADA'!#REF!,"AAAAABfdNj8=")</f>
        <v>#REF!</v>
      </c>
      <c r="BM374" t="e">
        <f>AND('PROG FORMACIÓN TITULADA'!#REF!,"AAAAABfdNkA=")</f>
        <v>#REF!</v>
      </c>
      <c r="BN374" t="e">
        <f>AND('PROG FORMACIÓN TITULADA'!#REF!,"AAAAABfdNkE=")</f>
        <v>#REF!</v>
      </c>
      <c r="BO374" t="e">
        <f>AND('PROG FORMACIÓN TITULADA'!#REF!,"AAAAABfdNkI=")</f>
        <v>#REF!</v>
      </c>
      <c r="BP374" t="e">
        <f>AND('PROG FORMACIÓN TITULADA'!#REF!,"AAAAABfdNkM=")</f>
        <v>#REF!</v>
      </c>
      <c r="BQ374" t="e">
        <f>AND('PROG FORMACIÓN TITULADA'!#REF!,"AAAAABfdNkQ=")</f>
        <v>#REF!</v>
      </c>
      <c r="BR374" t="e">
        <f>AND('PROG FORMACIÓN TITULADA'!#REF!,"AAAAABfdNkU=")</f>
        <v>#REF!</v>
      </c>
      <c r="BS374" t="e">
        <f>AND('PROG FORMACIÓN TITULADA'!#REF!,"AAAAABfdNkY=")</f>
        <v>#REF!</v>
      </c>
      <c r="BT374" t="e">
        <f>AND('PROG FORMACIÓN TITULADA'!#REF!,"AAAAABfdNkc=")</f>
        <v>#REF!</v>
      </c>
      <c r="BU374" t="e">
        <f>AND('PROG FORMACIÓN TITULADA'!#REF!,"AAAAABfdNkg=")</f>
        <v>#REF!</v>
      </c>
      <c r="BV374" t="e">
        <f>AND('PROG FORMACIÓN TITULADA'!#REF!,"AAAAABfdNkk=")</f>
        <v>#REF!</v>
      </c>
      <c r="BW374" t="e">
        <f>AND('PROG FORMACIÓN TITULADA'!#REF!,"AAAAABfdNko=")</f>
        <v>#REF!</v>
      </c>
      <c r="BX374" t="e">
        <f>AND('PROG FORMACIÓN TITULADA'!#REF!,"AAAAABfdNks=")</f>
        <v>#REF!</v>
      </c>
      <c r="BY374" t="e">
        <f>AND('PROG FORMACIÓN TITULADA'!#REF!,"AAAAABfdNkw=")</f>
        <v>#REF!</v>
      </c>
      <c r="BZ374" t="e">
        <f>AND('PROG FORMACIÓN TITULADA'!#REF!,"AAAAABfdNk0=")</f>
        <v>#REF!</v>
      </c>
      <c r="CA374" t="e">
        <f>AND('PROG FORMACIÓN TITULADA'!#REF!,"AAAAABfdNk4=")</f>
        <v>#REF!</v>
      </c>
      <c r="CB374" t="e">
        <f>AND('PROG FORMACIÓN TITULADA'!#REF!,"AAAAABfdNk8=")</f>
        <v>#REF!</v>
      </c>
      <c r="CC374" t="e">
        <f>IF('PROG FORMACIÓN TITULADA'!#REF!,"AAAAABfdNlA=",0)</f>
        <v>#REF!</v>
      </c>
      <c r="CD374" t="e">
        <f>AND('PROG FORMACIÓN TITULADA'!#REF!,"AAAAABfdNlE=")</f>
        <v>#REF!</v>
      </c>
      <c r="CE374" t="e">
        <f>AND('PROG FORMACIÓN TITULADA'!#REF!,"AAAAABfdNlI=")</f>
        <v>#REF!</v>
      </c>
      <c r="CF374" t="e">
        <f>AND('PROG FORMACIÓN TITULADA'!#REF!,"AAAAABfdNlM=")</f>
        <v>#REF!</v>
      </c>
      <c r="CG374" t="e">
        <f>AND('PROG FORMACIÓN TITULADA'!#REF!,"AAAAABfdNlQ=")</f>
        <v>#REF!</v>
      </c>
      <c r="CH374" t="e">
        <f>AND('PROG FORMACIÓN TITULADA'!#REF!,"AAAAABfdNlU=")</f>
        <v>#REF!</v>
      </c>
      <c r="CI374" t="e">
        <f>AND('PROG FORMACIÓN TITULADA'!#REF!,"AAAAABfdNlY=")</f>
        <v>#REF!</v>
      </c>
      <c r="CJ374" t="e">
        <f>AND('PROG FORMACIÓN TITULADA'!#REF!,"AAAAABfdNlc=")</f>
        <v>#REF!</v>
      </c>
      <c r="CK374" t="e">
        <f>AND('PROG FORMACIÓN TITULADA'!#REF!,"AAAAABfdNlg=")</f>
        <v>#REF!</v>
      </c>
      <c r="CL374" t="e">
        <f>AND('PROG FORMACIÓN TITULADA'!#REF!,"AAAAABfdNlk=")</f>
        <v>#REF!</v>
      </c>
      <c r="CM374" t="e">
        <f>AND('PROG FORMACIÓN TITULADA'!#REF!,"AAAAABfdNlo=")</f>
        <v>#REF!</v>
      </c>
      <c r="CN374" t="e">
        <f>AND('PROG FORMACIÓN TITULADA'!#REF!,"AAAAABfdNls=")</f>
        <v>#REF!</v>
      </c>
      <c r="CO374" t="e">
        <f>AND('PROG FORMACIÓN TITULADA'!#REF!,"AAAAABfdNlw=")</f>
        <v>#REF!</v>
      </c>
      <c r="CP374" t="e">
        <f>AND('PROG FORMACIÓN TITULADA'!#REF!,"AAAAABfdNl0=")</f>
        <v>#REF!</v>
      </c>
      <c r="CQ374" t="e">
        <f>AND('PROG FORMACIÓN TITULADA'!#REF!,"AAAAABfdNl4=")</f>
        <v>#REF!</v>
      </c>
      <c r="CR374" t="e">
        <f>AND('PROG FORMACIÓN TITULADA'!#REF!,"AAAAABfdNl8=")</f>
        <v>#REF!</v>
      </c>
      <c r="CS374" t="e">
        <f>AND('PROG FORMACIÓN TITULADA'!#REF!,"AAAAABfdNmA=")</f>
        <v>#REF!</v>
      </c>
      <c r="CT374" t="e">
        <f>AND('PROG FORMACIÓN TITULADA'!#REF!,"AAAAABfdNmE=")</f>
        <v>#REF!</v>
      </c>
      <c r="CU374" t="e">
        <f>AND('PROG FORMACIÓN TITULADA'!#REF!,"AAAAABfdNmI=")</f>
        <v>#REF!</v>
      </c>
      <c r="CV374" t="e">
        <f>AND('PROG FORMACIÓN TITULADA'!#REF!,"AAAAABfdNmM=")</f>
        <v>#REF!</v>
      </c>
      <c r="CW374" t="e">
        <f>AND('PROG FORMACIÓN TITULADA'!#REF!,"AAAAABfdNmQ=")</f>
        <v>#REF!</v>
      </c>
      <c r="CX374" t="e">
        <f>AND('PROG FORMACIÓN TITULADA'!#REF!,"AAAAABfdNmU=")</f>
        <v>#REF!</v>
      </c>
      <c r="CY374" t="e">
        <f>AND('PROG FORMACIÓN TITULADA'!#REF!,"AAAAABfdNmY=")</f>
        <v>#REF!</v>
      </c>
      <c r="CZ374" t="e">
        <f>AND('PROG FORMACIÓN TITULADA'!#REF!,"AAAAABfdNmc=")</f>
        <v>#REF!</v>
      </c>
      <c r="DA374" t="e">
        <f>AND('PROG FORMACIÓN TITULADA'!#REF!,"AAAAABfdNmg=")</f>
        <v>#REF!</v>
      </c>
      <c r="DB374" t="e">
        <f>AND('PROG FORMACIÓN TITULADA'!#REF!,"AAAAABfdNmk=")</f>
        <v>#REF!</v>
      </c>
      <c r="DC374" t="e">
        <f>AND('PROG FORMACIÓN TITULADA'!#REF!,"AAAAABfdNmo=")</f>
        <v>#REF!</v>
      </c>
      <c r="DD374" t="e">
        <f>IF('PROG FORMACIÓN TITULADA'!#REF!,"AAAAABfdNms=",0)</f>
        <v>#REF!</v>
      </c>
      <c r="DE374" t="e">
        <f>AND('PROG FORMACIÓN TITULADA'!#REF!,"AAAAABfdNmw=")</f>
        <v>#REF!</v>
      </c>
      <c r="DF374" t="e">
        <f>AND('PROG FORMACIÓN TITULADA'!#REF!,"AAAAABfdNm0=")</f>
        <v>#REF!</v>
      </c>
      <c r="DG374" t="e">
        <f>AND('PROG FORMACIÓN TITULADA'!#REF!,"AAAAABfdNm4=")</f>
        <v>#REF!</v>
      </c>
      <c r="DH374" t="e">
        <f>AND('PROG FORMACIÓN TITULADA'!#REF!,"AAAAABfdNm8=")</f>
        <v>#REF!</v>
      </c>
      <c r="DI374" t="e">
        <f>AND('PROG FORMACIÓN TITULADA'!#REF!,"AAAAABfdNnA=")</f>
        <v>#REF!</v>
      </c>
      <c r="DJ374" t="e">
        <f>AND('PROG FORMACIÓN TITULADA'!#REF!,"AAAAABfdNnE=")</f>
        <v>#REF!</v>
      </c>
      <c r="DK374" t="e">
        <f>AND('PROG FORMACIÓN TITULADA'!#REF!,"AAAAABfdNnI=")</f>
        <v>#REF!</v>
      </c>
      <c r="DL374" t="e">
        <f>AND('PROG FORMACIÓN TITULADA'!#REF!,"AAAAABfdNnM=")</f>
        <v>#REF!</v>
      </c>
      <c r="DM374" t="e">
        <f>AND('PROG FORMACIÓN TITULADA'!#REF!,"AAAAABfdNnQ=")</f>
        <v>#REF!</v>
      </c>
      <c r="DN374" t="e">
        <f>AND('PROG FORMACIÓN TITULADA'!#REF!,"AAAAABfdNnU=")</f>
        <v>#REF!</v>
      </c>
      <c r="DO374" t="e">
        <f>AND('PROG FORMACIÓN TITULADA'!#REF!,"AAAAABfdNnY=")</f>
        <v>#REF!</v>
      </c>
      <c r="DP374" t="e">
        <f>AND('PROG FORMACIÓN TITULADA'!#REF!,"AAAAABfdNnc=")</f>
        <v>#REF!</v>
      </c>
      <c r="DQ374" t="e">
        <f>AND('PROG FORMACIÓN TITULADA'!#REF!,"AAAAABfdNng=")</f>
        <v>#REF!</v>
      </c>
      <c r="DR374" t="e">
        <f>AND('PROG FORMACIÓN TITULADA'!#REF!,"AAAAABfdNnk=")</f>
        <v>#REF!</v>
      </c>
      <c r="DS374" t="e">
        <f>AND('PROG FORMACIÓN TITULADA'!#REF!,"AAAAABfdNno=")</f>
        <v>#REF!</v>
      </c>
      <c r="DT374" t="e">
        <f>AND('PROG FORMACIÓN TITULADA'!#REF!,"AAAAABfdNns=")</f>
        <v>#REF!</v>
      </c>
      <c r="DU374" t="e">
        <f>AND('PROG FORMACIÓN TITULADA'!#REF!,"AAAAABfdNnw=")</f>
        <v>#REF!</v>
      </c>
      <c r="DV374" t="e">
        <f>AND('PROG FORMACIÓN TITULADA'!#REF!,"AAAAABfdNn0=")</f>
        <v>#REF!</v>
      </c>
      <c r="DW374" t="e">
        <f>AND('PROG FORMACIÓN TITULADA'!#REF!,"AAAAABfdNn4=")</f>
        <v>#REF!</v>
      </c>
      <c r="DX374" t="e">
        <f>AND('PROG FORMACIÓN TITULADA'!#REF!,"AAAAABfdNn8=")</f>
        <v>#REF!</v>
      </c>
      <c r="DY374" t="e">
        <f>AND('PROG FORMACIÓN TITULADA'!#REF!,"AAAAABfdNoA=")</f>
        <v>#REF!</v>
      </c>
      <c r="DZ374" t="e">
        <f>AND('PROG FORMACIÓN TITULADA'!#REF!,"AAAAABfdNoE=")</f>
        <v>#REF!</v>
      </c>
      <c r="EA374" t="e">
        <f>AND('PROG FORMACIÓN TITULADA'!#REF!,"AAAAABfdNoI=")</f>
        <v>#REF!</v>
      </c>
      <c r="EB374" t="e">
        <f>AND('PROG FORMACIÓN TITULADA'!#REF!,"AAAAABfdNoM=")</f>
        <v>#REF!</v>
      </c>
      <c r="EC374" t="e">
        <f>AND('PROG FORMACIÓN TITULADA'!#REF!,"AAAAABfdNoQ=")</f>
        <v>#REF!</v>
      </c>
      <c r="ED374" t="e">
        <f>AND('PROG FORMACIÓN TITULADA'!#REF!,"AAAAABfdNoU=")</f>
        <v>#REF!</v>
      </c>
      <c r="EE374" t="e">
        <f>IF('PROG FORMACIÓN TITULADA'!#REF!,"AAAAABfdNoY=",0)</f>
        <v>#REF!</v>
      </c>
      <c r="EF374" t="e">
        <f>AND('PROG FORMACIÓN TITULADA'!#REF!,"AAAAABfdNoc=")</f>
        <v>#REF!</v>
      </c>
      <c r="EG374" t="e">
        <f>AND('PROG FORMACIÓN TITULADA'!#REF!,"AAAAABfdNog=")</f>
        <v>#REF!</v>
      </c>
      <c r="EH374" t="e">
        <f>AND('PROG FORMACIÓN TITULADA'!#REF!,"AAAAABfdNok=")</f>
        <v>#REF!</v>
      </c>
      <c r="EI374" t="e">
        <f>AND('PROG FORMACIÓN TITULADA'!#REF!,"AAAAABfdNoo=")</f>
        <v>#REF!</v>
      </c>
      <c r="EJ374" t="e">
        <f>AND('PROG FORMACIÓN TITULADA'!#REF!,"AAAAABfdNos=")</f>
        <v>#REF!</v>
      </c>
      <c r="EK374" t="e">
        <f>AND('PROG FORMACIÓN TITULADA'!#REF!,"AAAAABfdNow=")</f>
        <v>#REF!</v>
      </c>
      <c r="EL374" t="e">
        <f>AND('PROG FORMACIÓN TITULADA'!#REF!,"AAAAABfdNo0=")</f>
        <v>#REF!</v>
      </c>
      <c r="EM374" t="e">
        <f>AND('PROG FORMACIÓN TITULADA'!#REF!,"AAAAABfdNo4=")</f>
        <v>#REF!</v>
      </c>
      <c r="EN374" t="e">
        <f>AND('PROG FORMACIÓN TITULADA'!#REF!,"AAAAABfdNo8=")</f>
        <v>#REF!</v>
      </c>
      <c r="EO374" t="e">
        <f>AND('PROG FORMACIÓN TITULADA'!#REF!,"AAAAABfdNpA=")</f>
        <v>#REF!</v>
      </c>
      <c r="EP374" t="e">
        <f>AND('PROG FORMACIÓN TITULADA'!#REF!,"AAAAABfdNpE=")</f>
        <v>#REF!</v>
      </c>
      <c r="EQ374" t="e">
        <f>AND('PROG FORMACIÓN TITULADA'!#REF!,"AAAAABfdNpI=")</f>
        <v>#REF!</v>
      </c>
      <c r="ER374" t="e">
        <f>AND('PROG FORMACIÓN TITULADA'!#REF!,"AAAAABfdNpM=")</f>
        <v>#REF!</v>
      </c>
      <c r="ES374" t="e">
        <f>AND('PROG FORMACIÓN TITULADA'!#REF!,"AAAAABfdNpQ=")</f>
        <v>#REF!</v>
      </c>
      <c r="ET374" t="e">
        <f>AND('PROG FORMACIÓN TITULADA'!#REF!,"AAAAABfdNpU=")</f>
        <v>#REF!</v>
      </c>
      <c r="EU374" t="e">
        <f>AND('PROG FORMACIÓN TITULADA'!#REF!,"AAAAABfdNpY=")</f>
        <v>#REF!</v>
      </c>
      <c r="EV374" t="e">
        <f>AND('PROG FORMACIÓN TITULADA'!#REF!,"AAAAABfdNpc=")</f>
        <v>#REF!</v>
      </c>
      <c r="EW374" t="e">
        <f>AND('PROG FORMACIÓN TITULADA'!#REF!,"AAAAABfdNpg=")</f>
        <v>#REF!</v>
      </c>
      <c r="EX374" t="e">
        <f>AND('PROG FORMACIÓN TITULADA'!#REF!,"AAAAABfdNpk=")</f>
        <v>#REF!</v>
      </c>
      <c r="EY374" t="e">
        <f>AND('PROG FORMACIÓN TITULADA'!#REF!,"AAAAABfdNpo=")</f>
        <v>#REF!</v>
      </c>
      <c r="EZ374" t="e">
        <f>AND('PROG FORMACIÓN TITULADA'!#REF!,"AAAAABfdNps=")</f>
        <v>#REF!</v>
      </c>
      <c r="FA374" t="e">
        <f>AND('PROG FORMACIÓN TITULADA'!#REF!,"AAAAABfdNpw=")</f>
        <v>#REF!</v>
      </c>
      <c r="FB374" t="e">
        <f>AND('PROG FORMACIÓN TITULADA'!#REF!,"AAAAABfdNp0=")</f>
        <v>#REF!</v>
      </c>
      <c r="FC374" t="e">
        <f>AND('PROG FORMACIÓN TITULADA'!#REF!,"AAAAABfdNp4=")</f>
        <v>#REF!</v>
      </c>
      <c r="FD374" t="e">
        <f>AND('PROG FORMACIÓN TITULADA'!#REF!,"AAAAABfdNp8=")</f>
        <v>#REF!</v>
      </c>
      <c r="FE374" t="e">
        <f>AND('PROG FORMACIÓN TITULADA'!#REF!,"AAAAABfdNqA=")</f>
        <v>#REF!</v>
      </c>
      <c r="FF374" t="e">
        <f>IF('PROG FORMACIÓN TITULADA'!#REF!,"AAAAABfdNqE=",0)</f>
        <v>#REF!</v>
      </c>
      <c r="FG374" t="e">
        <f>AND('PROG FORMACIÓN TITULADA'!#REF!,"AAAAABfdNqI=")</f>
        <v>#REF!</v>
      </c>
      <c r="FH374" t="e">
        <f>AND('PROG FORMACIÓN TITULADA'!#REF!,"AAAAABfdNqM=")</f>
        <v>#REF!</v>
      </c>
      <c r="FI374" t="e">
        <f>AND('PROG FORMACIÓN TITULADA'!#REF!,"AAAAABfdNqQ=")</f>
        <v>#REF!</v>
      </c>
      <c r="FJ374" t="e">
        <f>AND('PROG FORMACIÓN TITULADA'!#REF!,"AAAAABfdNqU=")</f>
        <v>#REF!</v>
      </c>
      <c r="FK374" t="e">
        <f>AND('PROG FORMACIÓN TITULADA'!#REF!,"AAAAABfdNqY=")</f>
        <v>#REF!</v>
      </c>
      <c r="FL374" t="e">
        <f>AND('PROG FORMACIÓN TITULADA'!#REF!,"AAAAABfdNqc=")</f>
        <v>#REF!</v>
      </c>
      <c r="FM374" t="e">
        <f>AND('PROG FORMACIÓN TITULADA'!#REF!,"AAAAABfdNqg=")</f>
        <v>#REF!</v>
      </c>
      <c r="FN374" t="e">
        <f>AND('PROG FORMACIÓN TITULADA'!#REF!,"AAAAABfdNqk=")</f>
        <v>#REF!</v>
      </c>
      <c r="FO374" t="e">
        <f>AND('PROG FORMACIÓN TITULADA'!#REF!,"AAAAABfdNqo=")</f>
        <v>#REF!</v>
      </c>
      <c r="FP374" t="e">
        <f>AND('PROG FORMACIÓN TITULADA'!#REF!,"AAAAABfdNqs=")</f>
        <v>#REF!</v>
      </c>
      <c r="FQ374" t="e">
        <f>AND('PROG FORMACIÓN TITULADA'!#REF!,"AAAAABfdNqw=")</f>
        <v>#REF!</v>
      </c>
      <c r="FR374" t="e">
        <f>AND('PROG FORMACIÓN TITULADA'!#REF!,"AAAAABfdNq0=")</f>
        <v>#REF!</v>
      </c>
      <c r="FS374" t="e">
        <f>AND('PROG FORMACIÓN TITULADA'!#REF!,"AAAAABfdNq4=")</f>
        <v>#REF!</v>
      </c>
      <c r="FT374" t="e">
        <f>AND('PROG FORMACIÓN TITULADA'!#REF!,"AAAAABfdNq8=")</f>
        <v>#REF!</v>
      </c>
      <c r="FU374" t="e">
        <f>AND('PROG FORMACIÓN TITULADA'!#REF!,"AAAAABfdNrA=")</f>
        <v>#REF!</v>
      </c>
      <c r="FV374" t="e">
        <f>AND('PROG FORMACIÓN TITULADA'!#REF!,"AAAAABfdNrE=")</f>
        <v>#REF!</v>
      </c>
      <c r="FW374" t="e">
        <f>AND('PROG FORMACIÓN TITULADA'!#REF!,"AAAAABfdNrI=")</f>
        <v>#REF!</v>
      </c>
      <c r="FX374" t="e">
        <f>AND('PROG FORMACIÓN TITULADA'!#REF!,"AAAAABfdNrM=")</f>
        <v>#REF!</v>
      </c>
      <c r="FY374" t="e">
        <f>AND('PROG FORMACIÓN TITULADA'!#REF!,"AAAAABfdNrQ=")</f>
        <v>#REF!</v>
      </c>
      <c r="FZ374" t="e">
        <f>AND('PROG FORMACIÓN TITULADA'!#REF!,"AAAAABfdNrU=")</f>
        <v>#REF!</v>
      </c>
      <c r="GA374" t="e">
        <f>AND('PROG FORMACIÓN TITULADA'!#REF!,"AAAAABfdNrY=")</f>
        <v>#REF!</v>
      </c>
      <c r="GB374" t="e">
        <f>AND('PROG FORMACIÓN TITULADA'!#REF!,"AAAAABfdNrc=")</f>
        <v>#REF!</v>
      </c>
      <c r="GC374" t="e">
        <f>AND('PROG FORMACIÓN TITULADA'!#REF!,"AAAAABfdNrg=")</f>
        <v>#REF!</v>
      </c>
      <c r="GD374" t="e">
        <f>AND('PROG FORMACIÓN TITULADA'!#REF!,"AAAAABfdNrk=")</f>
        <v>#REF!</v>
      </c>
      <c r="GE374" t="e">
        <f>AND('PROG FORMACIÓN TITULADA'!#REF!,"AAAAABfdNro=")</f>
        <v>#REF!</v>
      </c>
      <c r="GF374" t="e">
        <f>AND('PROG FORMACIÓN TITULADA'!#REF!,"AAAAABfdNrs=")</f>
        <v>#REF!</v>
      </c>
      <c r="GG374" t="e">
        <f>IF('PROG FORMACIÓN TITULADA'!#REF!,"AAAAABfdNrw=",0)</f>
        <v>#REF!</v>
      </c>
      <c r="GH374" t="e">
        <f>AND('PROG FORMACIÓN TITULADA'!#REF!,"AAAAABfdNr0=")</f>
        <v>#REF!</v>
      </c>
      <c r="GI374" t="e">
        <f>AND('PROG FORMACIÓN TITULADA'!#REF!,"AAAAABfdNr4=")</f>
        <v>#REF!</v>
      </c>
      <c r="GJ374" t="e">
        <f>AND('PROG FORMACIÓN TITULADA'!#REF!,"AAAAABfdNr8=")</f>
        <v>#REF!</v>
      </c>
      <c r="GK374" t="e">
        <f>AND('PROG FORMACIÓN TITULADA'!#REF!,"AAAAABfdNsA=")</f>
        <v>#REF!</v>
      </c>
      <c r="GL374" t="e">
        <f>AND('PROG FORMACIÓN TITULADA'!#REF!,"AAAAABfdNsE=")</f>
        <v>#REF!</v>
      </c>
      <c r="GM374" t="e">
        <f>AND('PROG FORMACIÓN TITULADA'!#REF!,"AAAAABfdNsI=")</f>
        <v>#REF!</v>
      </c>
      <c r="GN374" t="e">
        <f>AND('PROG FORMACIÓN TITULADA'!#REF!,"AAAAABfdNsM=")</f>
        <v>#REF!</v>
      </c>
      <c r="GO374" t="e">
        <f>AND('PROG FORMACIÓN TITULADA'!#REF!,"AAAAABfdNsQ=")</f>
        <v>#REF!</v>
      </c>
      <c r="GP374" t="e">
        <f>AND('PROG FORMACIÓN TITULADA'!#REF!,"AAAAABfdNsU=")</f>
        <v>#REF!</v>
      </c>
      <c r="GQ374" t="e">
        <f>AND('PROG FORMACIÓN TITULADA'!#REF!,"AAAAABfdNsY=")</f>
        <v>#REF!</v>
      </c>
      <c r="GR374" t="e">
        <f>AND('PROG FORMACIÓN TITULADA'!#REF!,"AAAAABfdNsc=")</f>
        <v>#REF!</v>
      </c>
      <c r="GS374" t="e">
        <f>AND('PROG FORMACIÓN TITULADA'!#REF!,"AAAAABfdNsg=")</f>
        <v>#REF!</v>
      </c>
      <c r="GT374" t="e">
        <f>AND('PROG FORMACIÓN TITULADA'!#REF!,"AAAAABfdNsk=")</f>
        <v>#REF!</v>
      </c>
      <c r="GU374" t="e">
        <f>AND('PROG FORMACIÓN TITULADA'!#REF!,"AAAAABfdNso=")</f>
        <v>#REF!</v>
      </c>
      <c r="GV374" t="e">
        <f>AND('PROG FORMACIÓN TITULADA'!#REF!,"AAAAABfdNss=")</f>
        <v>#REF!</v>
      </c>
      <c r="GW374" t="e">
        <f>AND('PROG FORMACIÓN TITULADA'!#REF!,"AAAAABfdNsw=")</f>
        <v>#REF!</v>
      </c>
      <c r="GX374" t="e">
        <f>AND('PROG FORMACIÓN TITULADA'!#REF!,"AAAAABfdNs0=")</f>
        <v>#REF!</v>
      </c>
      <c r="GY374" t="e">
        <f>AND('PROG FORMACIÓN TITULADA'!#REF!,"AAAAABfdNs4=")</f>
        <v>#REF!</v>
      </c>
      <c r="GZ374" t="e">
        <f>AND('PROG FORMACIÓN TITULADA'!#REF!,"AAAAABfdNs8=")</f>
        <v>#REF!</v>
      </c>
      <c r="HA374" t="e">
        <f>AND('PROG FORMACIÓN TITULADA'!#REF!,"AAAAABfdNtA=")</f>
        <v>#REF!</v>
      </c>
      <c r="HB374" t="e">
        <f>AND('PROG FORMACIÓN TITULADA'!#REF!,"AAAAABfdNtE=")</f>
        <v>#REF!</v>
      </c>
      <c r="HC374" t="e">
        <f>AND('PROG FORMACIÓN TITULADA'!#REF!,"AAAAABfdNtI=")</f>
        <v>#REF!</v>
      </c>
      <c r="HD374" t="e">
        <f>AND('PROG FORMACIÓN TITULADA'!#REF!,"AAAAABfdNtM=")</f>
        <v>#REF!</v>
      </c>
      <c r="HE374" t="e">
        <f>AND('PROG FORMACIÓN TITULADA'!#REF!,"AAAAABfdNtQ=")</f>
        <v>#REF!</v>
      </c>
      <c r="HF374" t="e">
        <f>AND('PROG FORMACIÓN TITULADA'!#REF!,"AAAAABfdNtU=")</f>
        <v>#REF!</v>
      </c>
      <c r="HG374" t="e">
        <f>AND('PROG FORMACIÓN TITULADA'!#REF!,"AAAAABfdNtY=")</f>
        <v>#REF!</v>
      </c>
      <c r="HH374" t="e">
        <f>IF('PROG FORMACIÓN TITULADA'!#REF!,"AAAAABfdNtc=",0)</f>
        <v>#REF!</v>
      </c>
      <c r="HI374" t="e">
        <f>AND('PROG FORMACIÓN TITULADA'!#REF!,"AAAAABfdNtg=")</f>
        <v>#REF!</v>
      </c>
      <c r="HJ374" t="e">
        <f>AND('PROG FORMACIÓN TITULADA'!#REF!,"AAAAABfdNtk=")</f>
        <v>#REF!</v>
      </c>
      <c r="HK374" t="e">
        <f>AND('PROG FORMACIÓN TITULADA'!#REF!,"AAAAABfdNto=")</f>
        <v>#REF!</v>
      </c>
      <c r="HL374" t="e">
        <f>AND('PROG FORMACIÓN TITULADA'!#REF!,"AAAAABfdNts=")</f>
        <v>#REF!</v>
      </c>
      <c r="HM374" t="e">
        <f>AND('PROG FORMACIÓN TITULADA'!#REF!,"AAAAABfdNtw=")</f>
        <v>#REF!</v>
      </c>
      <c r="HN374" t="e">
        <f>AND('PROG FORMACIÓN TITULADA'!#REF!,"AAAAABfdNt0=")</f>
        <v>#REF!</v>
      </c>
      <c r="HO374" t="e">
        <f>AND('PROG FORMACIÓN TITULADA'!#REF!,"AAAAABfdNt4=")</f>
        <v>#REF!</v>
      </c>
      <c r="HP374" t="e">
        <f>AND('PROG FORMACIÓN TITULADA'!#REF!,"AAAAABfdNt8=")</f>
        <v>#REF!</v>
      </c>
      <c r="HQ374" t="e">
        <f>AND('PROG FORMACIÓN TITULADA'!#REF!,"AAAAABfdNuA=")</f>
        <v>#REF!</v>
      </c>
      <c r="HR374" t="e">
        <f>AND('PROG FORMACIÓN TITULADA'!#REF!,"AAAAABfdNuE=")</f>
        <v>#REF!</v>
      </c>
      <c r="HS374" t="e">
        <f>AND('PROG FORMACIÓN TITULADA'!#REF!,"AAAAABfdNuI=")</f>
        <v>#REF!</v>
      </c>
      <c r="HT374" t="e">
        <f>AND('PROG FORMACIÓN TITULADA'!#REF!,"AAAAABfdNuM=")</f>
        <v>#REF!</v>
      </c>
      <c r="HU374" t="e">
        <f>AND('PROG FORMACIÓN TITULADA'!#REF!,"AAAAABfdNuQ=")</f>
        <v>#REF!</v>
      </c>
      <c r="HV374" t="e">
        <f>AND('PROG FORMACIÓN TITULADA'!#REF!,"AAAAABfdNuU=")</f>
        <v>#REF!</v>
      </c>
      <c r="HW374" t="e">
        <f>AND('PROG FORMACIÓN TITULADA'!#REF!,"AAAAABfdNuY=")</f>
        <v>#REF!</v>
      </c>
      <c r="HX374" t="e">
        <f>AND('PROG FORMACIÓN TITULADA'!#REF!,"AAAAABfdNuc=")</f>
        <v>#REF!</v>
      </c>
      <c r="HY374" t="e">
        <f>AND('PROG FORMACIÓN TITULADA'!#REF!,"AAAAABfdNug=")</f>
        <v>#REF!</v>
      </c>
      <c r="HZ374" t="e">
        <f>AND('PROG FORMACIÓN TITULADA'!#REF!,"AAAAABfdNuk=")</f>
        <v>#REF!</v>
      </c>
      <c r="IA374" t="e">
        <f>AND('PROG FORMACIÓN TITULADA'!#REF!,"AAAAABfdNuo=")</f>
        <v>#REF!</v>
      </c>
      <c r="IB374" t="e">
        <f>AND('PROG FORMACIÓN TITULADA'!#REF!,"AAAAABfdNus=")</f>
        <v>#REF!</v>
      </c>
      <c r="IC374" t="e">
        <f>AND('PROG FORMACIÓN TITULADA'!#REF!,"AAAAABfdNuw=")</f>
        <v>#REF!</v>
      </c>
      <c r="ID374" t="e">
        <f>AND('PROG FORMACIÓN TITULADA'!#REF!,"AAAAABfdNu0=")</f>
        <v>#REF!</v>
      </c>
      <c r="IE374" t="e">
        <f>AND('PROG FORMACIÓN TITULADA'!#REF!,"AAAAABfdNu4=")</f>
        <v>#REF!</v>
      </c>
      <c r="IF374" t="e">
        <f>AND('PROG FORMACIÓN TITULADA'!#REF!,"AAAAABfdNu8=")</f>
        <v>#REF!</v>
      </c>
      <c r="IG374" t="e">
        <f>AND('PROG FORMACIÓN TITULADA'!#REF!,"AAAAABfdNvA=")</f>
        <v>#REF!</v>
      </c>
      <c r="IH374" t="e">
        <f>AND('PROG FORMACIÓN TITULADA'!#REF!,"AAAAABfdNvE=")</f>
        <v>#REF!</v>
      </c>
      <c r="II374" t="e">
        <f>IF('PROG FORMACIÓN TITULADA'!#REF!,"AAAAABfdNvI=",0)</f>
        <v>#REF!</v>
      </c>
      <c r="IJ374" t="e">
        <f>AND('PROG FORMACIÓN TITULADA'!#REF!,"AAAAABfdNvM=")</f>
        <v>#REF!</v>
      </c>
      <c r="IK374" t="e">
        <f>AND('PROG FORMACIÓN TITULADA'!#REF!,"AAAAABfdNvQ=")</f>
        <v>#REF!</v>
      </c>
      <c r="IL374" t="e">
        <f>AND('PROG FORMACIÓN TITULADA'!#REF!,"AAAAABfdNvU=")</f>
        <v>#REF!</v>
      </c>
      <c r="IM374" t="e">
        <f>AND('PROG FORMACIÓN TITULADA'!#REF!,"AAAAABfdNvY=")</f>
        <v>#REF!</v>
      </c>
      <c r="IN374" t="e">
        <f>AND('PROG FORMACIÓN TITULADA'!#REF!,"AAAAABfdNvc=")</f>
        <v>#REF!</v>
      </c>
      <c r="IO374" t="e">
        <f>AND('PROG FORMACIÓN TITULADA'!#REF!,"AAAAABfdNvg=")</f>
        <v>#REF!</v>
      </c>
      <c r="IP374" t="e">
        <f>AND('PROG FORMACIÓN TITULADA'!#REF!,"AAAAABfdNvk=")</f>
        <v>#REF!</v>
      </c>
      <c r="IQ374" t="e">
        <f>AND('PROG FORMACIÓN TITULADA'!#REF!,"AAAAABfdNvo=")</f>
        <v>#REF!</v>
      </c>
      <c r="IR374" t="e">
        <f>AND('PROG FORMACIÓN TITULADA'!#REF!,"AAAAABfdNvs=")</f>
        <v>#REF!</v>
      </c>
      <c r="IS374" t="e">
        <f>AND('PROG FORMACIÓN TITULADA'!#REF!,"AAAAABfdNvw=")</f>
        <v>#REF!</v>
      </c>
      <c r="IT374" t="e">
        <f>AND('PROG FORMACIÓN TITULADA'!#REF!,"AAAAABfdNv0=")</f>
        <v>#REF!</v>
      </c>
      <c r="IU374" t="e">
        <f>AND('PROG FORMACIÓN TITULADA'!#REF!,"AAAAABfdNv4=")</f>
        <v>#REF!</v>
      </c>
      <c r="IV374" t="e">
        <f>AND('PROG FORMACIÓN TITULADA'!#REF!,"AAAAABfdNv8=")</f>
        <v>#REF!</v>
      </c>
    </row>
    <row r="375" spans="1:256" x14ac:dyDescent="0.2">
      <c r="A375" t="e">
        <f>AND('PROG FORMACIÓN TITULADA'!#REF!,"AAAAAD7bTwA=")</f>
        <v>#REF!</v>
      </c>
      <c r="B375" t="e">
        <f>AND('PROG FORMACIÓN TITULADA'!#REF!,"AAAAAD7bTwE=")</f>
        <v>#REF!</v>
      </c>
      <c r="C375" t="e">
        <f>AND('PROG FORMACIÓN TITULADA'!#REF!,"AAAAAD7bTwI=")</f>
        <v>#REF!</v>
      </c>
      <c r="D375" t="e">
        <f>AND('PROG FORMACIÓN TITULADA'!#REF!,"AAAAAD7bTwM=")</f>
        <v>#REF!</v>
      </c>
      <c r="E375" t="e">
        <f>AND('PROG FORMACIÓN TITULADA'!#REF!,"AAAAAD7bTwQ=")</f>
        <v>#REF!</v>
      </c>
      <c r="F375" t="e">
        <f>AND('PROG FORMACIÓN TITULADA'!#REF!,"AAAAAD7bTwU=")</f>
        <v>#REF!</v>
      </c>
      <c r="G375" t="e">
        <f>AND('PROG FORMACIÓN TITULADA'!#REF!,"AAAAAD7bTwY=")</f>
        <v>#REF!</v>
      </c>
      <c r="H375" t="e">
        <f>AND('PROG FORMACIÓN TITULADA'!#REF!,"AAAAAD7bTwc=")</f>
        <v>#REF!</v>
      </c>
      <c r="I375" t="e">
        <f>AND('PROG FORMACIÓN TITULADA'!#REF!,"AAAAAD7bTwg=")</f>
        <v>#REF!</v>
      </c>
      <c r="J375" t="e">
        <f>AND('PROG FORMACIÓN TITULADA'!#REF!,"AAAAAD7bTwk=")</f>
        <v>#REF!</v>
      </c>
      <c r="K375" t="e">
        <f>AND('PROG FORMACIÓN TITULADA'!#REF!,"AAAAAD7bTwo=")</f>
        <v>#REF!</v>
      </c>
      <c r="L375" t="e">
        <f>AND('PROG FORMACIÓN TITULADA'!#REF!,"AAAAAD7bTws=")</f>
        <v>#REF!</v>
      </c>
      <c r="M375" t="e">
        <f>AND('PROG FORMACIÓN TITULADA'!#REF!,"AAAAAD7bTww=")</f>
        <v>#REF!</v>
      </c>
      <c r="N375" t="e">
        <f>IF('PROG FORMACIÓN TITULADA'!#REF!,"AAAAAD7bTw0=",0)</f>
        <v>#REF!</v>
      </c>
      <c r="O375" t="e">
        <f>AND('PROG FORMACIÓN TITULADA'!#REF!,"AAAAAD7bTw4=")</f>
        <v>#REF!</v>
      </c>
      <c r="P375" t="e">
        <f>AND('PROG FORMACIÓN TITULADA'!#REF!,"AAAAAD7bTw8=")</f>
        <v>#REF!</v>
      </c>
      <c r="Q375" t="e">
        <f>AND('PROG FORMACIÓN TITULADA'!#REF!,"AAAAAD7bTxA=")</f>
        <v>#REF!</v>
      </c>
      <c r="R375" t="e">
        <f>AND('PROG FORMACIÓN TITULADA'!#REF!,"AAAAAD7bTxE=")</f>
        <v>#REF!</v>
      </c>
      <c r="S375" t="e">
        <f>AND('PROG FORMACIÓN TITULADA'!#REF!,"AAAAAD7bTxI=")</f>
        <v>#REF!</v>
      </c>
      <c r="T375" t="e">
        <f>AND('PROG FORMACIÓN TITULADA'!#REF!,"AAAAAD7bTxM=")</f>
        <v>#REF!</v>
      </c>
      <c r="U375" t="e">
        <f>AND('PROG FORMACIÓN TITULADA'!#REF!,"AAAAAD7bTxQ=")</f>
        <v>#REF!</v>
      </c>
      <c r="V375" t="e">
        <f>AND('PROG FORMACIÓN TITULADA'!#REF!,"AAAAAD7bTxU=")</f>
        <v>#REF!</v>
      </c>
      <c r="W375" t="e">
        <f>AND('PROG FORMACIÓN TITULADA'!#REF!,"AAAAAD7bTxY=")</f>
        <v>#REF!</v>
      </c>
      <c r="X375" t="e">
        <f>AND('PROG FORMACIÓN TITULADA'!#REF!,"AAAAAD7bTxc=")</f>
        <v>#REF!</v>
      </c>
      <c r="Y375" t="e">
        <f>AND('PROG FORMACIÓN TITULADA'!#REF!,"AAAAAD7bTxg=")</f>
        <v>#REF!</v>
      </c>
      <c r="Z375" t="e">
        <f>AND('PROG FORMACIÓN TITULADA'!#REF!,"AAAAAD7bTxk=")</f>
        <v>#REF!</v>
      </c>
      <c r="AA375" t="e">
        <f>AND('PROG FORMACIÓN TITULADA'!#REF!,"AAAAAD7bTxo=")</f>
        <v>#REF!</v>
      </c>
      <c r="AB375" t="e">
        <f>AND('PROG FORMACIÓN TITULADA'!#REF!,"AAAAAD7bTxs=")</f>
        <v>#REF!</v>
      </c>
      <c r="AC375" t="e">
        <f>AND('PROG FORMACIÓN TITULADA'!#REF!,"AAAAAD7bTxw=")</f>
        <v>#REF!</v>
      </c>
      <c r="AD375" t="e">
        <f>AND('PROG FORMACIÓN TITULADA'!#REF!,"AAAAAD7bTx0=")</f>
        <v>#REF!</v>
      </c>
      <c r="AE375" t="e">
        <f>AND('PROG FORMACIÓN TITULADA'!#REF!,"AAAAAD7bTx4=")</f>
        <v>#REF!</v>
      </c>
      <c r="AF375" t="e">
        <f>AND('PROG FORMACIÓN TITULADA'!#REF!,"AAAAAD7bTx8=")</f>
        <v>#REF!</v>
      </c>
      <c r="AG375" t="e">
        <f>AND('PROG FORMACIÓN TITULADA'!#REF!,"AAAAAD7bTyA=")</f>
        <v>#REF!</v>
      </c>
      <c r="AH375" t="e">
        <f>AND('PROG FORMACIÓN TITULADA'!#REF!,"AAAAAD7bTyE=")</f>
        <v>#REF!</v>
      </c>
      <c r="AI375" t="e">
        <f>AND('PROG FORMACIÓN TITULADA'!#REF!,"AAAAAD7bTyI=")</f>
        <v>#REF!</v>
      </c>
      <c r="AJ375" t="e">
        <f>AND('PROG FORMACIÓN TITULADA'!#REF!,"AAAAAD7bTyM=")</f>
        <v>#REF!</v>
      </c>
      <c r="AK375" t="e">
        <f>AND('PROG FORMACIÓN TITULADA'!#REF!,"AAAAAD7bTyQ=")</f>
        <v>#REF!</v>
      </c>
      <c r="AL375" t="e">
        <f>AND('PROG FORMACIÓN TITULADA'!#REF!,"AAAAAD7bTyU=")</f>
        <v>#REF!</v>
      </c>
      <c r="AM375" t="e">
        <f>AND('PROG FORMACIÓN TITULADA'!#REF!,"AAAAAD7bTyY=")</f>
        <v>#REF!</v>
      </c>
      <c r="AN375" t="e">
        <f>AND('PROG FORMACIÓN TITULADA'!#REF!,"AAAAAD7bTyc=")</f>
        <v>#REF!</v>
      </c>
      <c r="AO375" t="e">
        <f>IF('PROG FORMACIÓN TITULADA'!#REF!,"AAAAAD7bTyg=",0)</f>
        <v>#REF!</v>
      </c>
      <c r="AP375" t="e">
        <f>AND('PROG FORMACIÓN TITULADA'!#REF!,"AAAAAD7bTyk=")</f>
        <v>#REF!</v>
      </c>
      <c r="AQ375" t="e">
        <f>AND('PROG FORMACIÓN TITULADA'!#REF!,"AAAAAD7bTyo=")</f>
        <v>#REF!</v>
      </c>
      <c r="AR375" t="e">
        <f>AND('PROG FORMACIÓN TITULADA'!#REF!,"AAAAAD7bTys=")</f>
        <v>#REF!</v>
      </c>
      <c r="AS375" t="e">
        <f>AND('PROG FORMACIÓN TITULADA'!#REF!,"AAAAAD7bTyw=")</f>
        <v>#REF!</v>
      </c>
      <c r="AT375" t="e">
        <f>AND('PROG FORMACIÓN TITULADA'!#REF!,"AAAAAD7bTy0=")</f>
        <v>#REF!</v>
      </c>
      <c r="AU375" t="e">
        <f>AND('PROG FORMACIÓN TITULADA'!#REF!,"AAAAAD7bTy4=")</f>
        <v>#REF!</v>
      </c>
      <c r="AV375" t="e">
        <f>AND('PROG FORMACIÓN TITULADA'!#REF!,"AAAAAD7bTy8=")</f>
        <v>#REF!</v>
      </c>
      <c r="AW375" t="e">
        <f>AND('PROG FORMACIÓN TITULADA'!#REF!,"AAAAAD7bTzA=")</f>
        <v>#REF!</v>
      </c>
      <c r="AX375" t="e">
        <f>AND('PROG FORMACIÓN TITULADA'!#REF!,"AAAAAD7bTzE=")</f>
        <v>#REF!</v>
      </c>
      <c r="AY375" t="e">
        <f>AND('PROG FORMACIÓN TITULADA'!#REF!,"AAAAAD7bTzI=")</f>
        <v>#REF!</v>
      </c>
      <c r="AZ375" t="e">
        <f>AND('PROG FORMACIÓN TITULADA'!#REF!,"AAAAAD7bTzM=")</f>
        <v>#REF!</v>
      </c>
      <c r="BA375" t="e">
        <f>AND('PROG FORMACIÓN TITULADA'!#REF!,"AAAAAD7bTzQ=")</f>
        <v>#REF!</v>
      </c>
      <c r="BB375" t="e">
        <f>AND('PROG FORMACIÓN TITULADA'!#REF!,"AAAAAD7bTzU=")</f>
        <v>#REF!</v>
      </c>
      <c r="BC375" t="e">
        <f>AND('PROG FORMACIÓN TITULADA'!#REF!,"AAAAAD7bTzY=")</f>
        <v>#REF!</v>
      </c>
      <c r="BD375" t="e">
        <f>AND('PROG FORMACIÓN TITULADA'!#REF!,"AAAAAD7bTzc=")</f>
        <v>#REF!</v>
      </c>
      <c r="BE375" t="e">
        <f>AND('PROG FORMACIÓN TITULADA'!#REF!,"AAAAAD7bTzg=")</f>
        <v>#REF!</v>
      </c>
      <c r="BF375" t="e">
        <f>AND('PROG FORMACIÓN TITULADA'!#REF!,"AAAAAD7bTzk=")</f>
        <v>#REF!</v>
      </c>
      <c r="BG375" t="e">
        <f>AND('PROG FORMACIÓN TITULADA'!#REF!,"AAAAAD7bTzo=")</f>
        <v>#REF!</v>
      </c>
      <c r="BH375" t="e">
        <f>AND('PROG FORMACIÓN TITULADA'!#REF!,"AAAAAD7bTzs=")</f>
        <v>#REF!</v>
      </c>
      <c r="BI375" t="e">
        <f>AND('PROG FORMACIÓN TITULADA'!#REF!,"AAAAAD7bTzw=")</f>
        <v>#REF!</v>
      </c>
      <c r="BJ375" t="e">
        <f>AND('PROG FORMACIÓN TITULADA'!#REF!,"AAAAAD7bTz0=")</f>
        <v>#REF!</v>
      </c>
      <c r="BK375" t="e">
        <f>AND('PROG FORMACIÓN TITULADA'!#REF!,"AAAAAD7bTz4=")</f>
        <v>#REF!</v>
      </c>
      <c r="BL375" t="e">
        <f>AND('PROG FORMACIÓN TITULADA'!#REF!,"AAAAAD7bTz8=")</f>
        <v>#REF!</v>
      </c>
      <c r="BM375" t="e">
        <f>AND('PROG FORMACIÓN TITULADA'!#REF!,"AAAAAD7bT0A=")</f>
        <v>#REF!</v>
      </c>
      <c r="BN375" t="e">
        <f>AND('PROG FORMACIÓN TITULADA'!#REF!,"AAAAAD7bT0E=")</f>
        <v>#REF!</v>
      </c>
      <c r="BO375" t="e">
        <f>AND('PROG FORMACIÓN TITULADA'!#REF!,"AAAAAD7bT0I=")</f>
        <v>#REF!</v>
      </c>
      <c r="BP375" t="e">
        <f>IF('PROG FORMACIÓN TITULADA'!#REF!,"AAAAAD7bT0M=",0)</f>
        <v>#REF!</v>
      </c>
      <c r="BQ375" t="e">
        <f>AND('PROG FORMACIÓN TITULADA'!#REF!,"AAAAAD7bT0Q=")</f>
        <v>#REF!</v>
      </c>
      <c r="BR375" t="e">
        <f>AND('PROG FORMACIÓN TITULADA'!#REF!,"AAAAAD7bT0U=")</f>
        <v>#REF!</v>
      </c>
      <c r="BS375" t="e">
        <f>AND('PROG FORMACIÓN TITULADA'!#REF!,"AAAAAD7bT0Y=")</f>
        <v>#REF!</v>
      </c>
      <c r="BT375" t="e">
        <f>AND('PROG FORMACIÓN TITULADA'!#REF!,"AAAAAD7bT0c=")</f>
        <v>#REF!</v>
      </c>
      <c r="BU375" t="e">
        <f>AND('PROG FORMACIÓN TITULADA'!#REF!,"AAAAAD7bT0g=")</f>
        <v>#REF!</v>
      </c>
      <c r="BV375" t="e">
        <f>AND('PROG FORMACIÓN TITULADA'!#REF!,"AAAAAD7bT0k=")</f>
        <v>#REF!</v>
      </c>
      <c r="BW375" t="e">
        <f>AND('PROG FORMACIÓN TITULADA'!#REF!,"AAAAAD7bT0o=")</f>
        <v>#REF!</v>
      </c>
      <c r="BX375" t="e">
        <f>AND('PROG FORMACIÓN TITULADA'!#REF!,"AAAAAD7bT0s=")</f>
        <v>#REF!</v>
      </c>
      <c r="BY375" t="e">
        <f>AND('PROG FORMACIÓN TITULADA'!#REF!,"AAAAAD7bT0w=")</f>
        <v>#REF!</v>
      </c>
      <c r="BZ375" t="e">
        <f>AND('PROG FORMACIÓN TITULADA'!#REF!,"AAAAAD7bT00=")</f>
        <v>#REF!</v>
      </c>
      <c r="CA375" t="e">
        <f>AND('PROG FORMACIÓN TITULADA'!#REF!,"AAAAAD7bT04=")</f>
        <v>#REF!</v>
      </c>
      <c r="CB375" t="e">
        <f>AND('PROG FORMACIÓN TITULADA'!#REF!,"AAAAAD7bT08=")</f>
        <v>#REF!</v>
      </c>
      <c r="CC375" t="e">
        <f>AND('PROG FORMACIÓN TITULADA'!#REF!,"AAAAAD7bT1A=")</f>
        <v>#REF!</v>
      </c>
      <c r="CD375" t="e">
        <f>AND('PROG FORMACIÓN TITULADA'!#REF!,"AAAAAD7bT1E=")</f>
        <v>#REF!</v>
      </c>
      <c r="CE375" t="e">
        <f>AND('PROG FORMACIÓN TITULADA'!#REF!,"AAAAAD7bT1I=")</f>
        <v>#REF!</v>
      </c>
      <c r="CF375" t="e">
        <f>AND('PROG FORMACIÓN TITULADA'!#REF!,"AAAAAD7bT1M=")</f>
        <v>#REF!</v>
      </c>
      <c r="CG375" t="e">
        <f>AND('PROG FORMACIÓN TITULADA'!#REF!,"AAAAAD7bT1Q=")</f>
        <v>#REF!</v>
      </c>
      <c r="CH375" t="e">
        <f>AND('PROG FORMACIÓN TITULADA'!#REF!,"AAAAAD7bT1U=")</f>
        <v>#REF!</v>
      </c>
      <c r="CI375" t="e">
        <f>AND('PROG FORMACIÓN TITULADA'!#REF!,"AAAAAD7bT1Y=")</f>
        <v>#REF!</v>
      </c>
      <c r="CJ375" t="e">
        <f>AND('PROG FORMACIÓN TITULADA'!#REF!,"AAAAAD7bT1c=")</f>
        <v>#REF!</v>
      </c>
      <c r="CK375" t="e">
        <f>AND('PROG FORMACIÓN TITULADA'!#REF!,"AAAAAD7bT1g=")</f>
        <v>#REF!</v>
      </c>
      <c r="CL375" t="e">
        <f>AND('PROG FORMACIÓN TITULADA'!#REF!,"AAAAAD7bT1k=")</f>
        <v>#REF!</v>
      </c>
      <c r="CM375" t="e">
        <f>AND('PROG FORMACIÓN TITULADA'!#REF!,"AAAAAD7bT1o=")</f>
        <v>#REF!</v>
      </c>
      <c r="CN375" t="e">
        <f>AND('PROG FORMACIÓN TITULADA'!#REF!,"AAAAAD7bT1s=")</f>
        <v>#REF!</v>
      </c>
      <c r="CO375" t="e">
        <f>AND('PROG FORMACIÓN TITULADA'!#REF!,"AAAAAD7bT1w=")</f>
        <v>#REF!</v>
      </c>
      <c r="CP375" t="e">
        <f>AND('PROG FORMACIÓN TITULADA'!#REF!,"AAAAAD7bT10=")</f>
        <v>#REF!</v>
      </c>
      <c r="CQ375" t="e">
        <f>IF('PROG FORMACIÓN TITULADA'!#REF!,"AAAAAD7bT14=",0)</f>
        <v>#REF!</v>
      </c>
      <c r="CR375" t="e">
        <f>AND('PROG FORMACIÓN TITULADA'!#REF!,"AAAAAD7bT18=")</f>
        <v>#REF!</v>
      </c>
      <c r="CS375" t="e">
        <f>AND('PROG FORMACIÓN TITULADA'!#REF!,"AAAAAD7bT2A=")</f>
        <v>#REF!</v>
      </c>
      <c r="CT375" t="e">
        <f>AND('PROG FORMACIÓN TITULADA'!#REF!,"AAAAAD7bT2E=")</f>
        <v>#REF!</v>
      </c>
      <c r="CU375" t="e">
        <f>AND('PROG FORMACIÓN TITULADA'!#REF!,"AAAAAD7bT2I=")</f>
        <v>#REF!</v>
      </c>
      <c r="CV375" t="e">
        <f>AND('PROG FORMACIÓN TITULADA'!#REF!,"AAAAAD7bT2M=")</f>
        <v>#REF!</v>
      </c>
      <c r="CW375" t="e">
        <f>AND('PROG FORMACIÓN TITULADA'!#REF!,"AAAAAD7bT2Q=")</f>
        <v>#REF!</v>
      </c>
      <c r="CX375" t="e">
        <f>AND('PROG FORMACIÓN TITULADA'!#REF!,"AAAAAD7bT2U=")</f>
        <v>#REF!</v>
      </c>
      <c r="CY375" t="e">
        <f>AND('PROG FORMACIÓN TITULADA'!#REF!,"AAAAAD7bT2Y=")</f>
        <v>#REF!</v>
      </c>
      <c r="CZ375" t="e">
        <f>AND('PROG FORMACIÓN TITULADA'!#REF!,"AAAAAD7bT2c=")</f>
        <v>#REF!</v>
      </c>
      <c r="DA375" t="e">
        <f>AND('PROG FORMACIÓN TITULADA'!#REF!,"AAAAAD7bT2g=")</f>
        <v>#REF!</v>
      </c>
      <c r="DB375" t="e">
        <f>AND('PROG FORMACIÓN TITULADA'!#REF!,"AAAAAD7bT2k=")</f>
        <v>#REF!</v>
      </c>
      <c r="DC375" t="e">
        <f>AND('PROG FORMACIÓN TITULADA'!#REF!,"AAAAAD7bT2o=")</f>
        <v>#REF!</v>
      </c>
      <c r="DD375" t="e">
        <f>AND('PROG FORMACIÓN TITULADA'!#REF!,"AAAAAD7bT2s=")</f>
        <v>#REF!</v>
      </c>
      <c r="DE375" t="e">
        <f>AND('PROG FORMACIÓN TITULADA'!#REF!,"AAAAAD7bT2w=")</f>
        <v>#REF!</v>
      </c>
      <c r="DF375" t="e">
        <f>AND('PROG FORMACIÓN TITULADA'!#REF!,"AAAAAD7bT20=")</f>
        <v>#REF!</v>
      </c>
      <c r="DG375" t="e">
        <f>AND('PROG FORMACIÓN TITULADA'!#REF!,"AAAAAD7bT24=")</f>
        <v>#REF!</v>
      </c>
      <c r="DH375" t="e">
        <f>AND('PROG FORMACIÓN TITULADA'!#REF!,"AAAAAD7bT28=")</f>
        <v>#REF!</v>
      </c>
      <c r="DI375" t="e">
        <f>AND('PROG FORMACIÓN TITULADA'!#REF!,"AAAAAD7bT3A=")</f>
        <v>#REF!</v>
      </c>
      <c r="DJ375" t="e">
        <f>AND('PROG FORMACIÓN TITULADA'!#REF!,"AAAAAD7bT3E=")</f>
        <v>#REF!</v>
      </c>
      <c r="DK375" t="e">
        <f>AND('PROG FORMACIÓN TITULADA'!#REF!,"AAAAAD7bT3I=")</f>
        <v>#REF!</v>
      </c>
      <c r="DL375" t="e">
        <f>AND('PROG FORMACIÓN TITULADA'!#REF!,"AAAAAD7bT3M=")</f>
        <v>#REF!</v>
      </c>
      <c r="DM375" t="e">
        <f>AND('PROG FORMACIÓN TITULADA'!#REF!,"AAAAAD7bT3Q=")</f>
        <v>#REF!</v>
      </c>
      <c r="DN375" t="e">
        <f>AND('PROG FORMACIÓN TITULADA'!#REF!,"AAAAAD7bT3U=")</f>
        <v>#REF!</v>
      </c>
      <c r="DO375" t="e">
        <f>AND('PROG FORMACIÓN TITULADA'!#REF!,"AAAAAD7bT3Y=")</f>
        <v>#REF!</v>
      </c>
      <c r="DP375" t="e">
        <f>AND('PROG FORMACIÓN TITULADA'!#REF!,"AAAAAD7bT3c=")</f>
        <v>#REF!</v>
      </c>
      <c r="DQ375" t="e">
        <f>AND('PROG FORMACIÓN TITULADA'!#REF!,"AAAAAD7bT3g=")</f>
        <v>#REF!</v>
      </c>
      <c r="DR375" t="e">
        <f>IF('PROG FORMACIÓN TITULADA'!#REF!,"AAAAAD7bT3k=",0)</f>
        <v>#REF!</v>
      </c>
      <c r="DS375" t="e">
        <f>AND('PROG FORMACIÓN TITULADA'!#REF!,"AAAAAD7bT3o=")</f>
        <v>#REF!</v>
      </c>
      <c r="DT375" t="e">
        <f>AND('PROG FORMACIÓN TITULADA'!#REF!,"AAAAAD7bT3s=")</f>
        <v>#REF!</v>
      </c>
      <c r="DU375" t="e">
        <f>AND('PROG FORMACIÓN TITULADA'!#REF!,"AAAAAD7bT3w=")</f>
        <v>#REF!</v>
      </c>
      <c r="DV375" t="e">
        <f>AND('PROG FORMACIÓN TITULADA'!#REF!,"AAAAAD7bT30=")</f>
        <v>#REF!</v>
      </c>
      <c r="DW375" t="e">
        <f>AND('PROG FORMACIÓN TITULADA'!#REF!,"AAAAAD7bT34=")</f>
        <v>#REF!</v>
      </c>
      <c r="DX375" t="e">
        <f>AND('PROG FORMACIÓN TITULADA'!#REF!,"AAAAAD7bT38=")</f>
        <v>#REF!</v>
      </c>
      <c r="DY375" t="e">
        <f>AND('PROG FORMACIÓN TITULADA'!#REF!,"AAAAAD7bT4A=")</f>
        <v>#REF!</v>
      </c>
      <c r="DZ375" t="e">
        <f>AND('PROG FORMACIÓN TITULADA'!#REF!,"AAAAAD7bT4E=")</f>
        <v>#REF!</v>
      </c>
      <c r="EA375" t="e">
        <f>AND('PROG FORMACIÓN TITULADA'!#REF!,"AAAAAD7bT4I=")</f>
        <v>#REF!</v>
      </c>
      <c r="EB375" t="e">
        <f>AND('PROG FORMACIÓN TITULADA'!#REF!,"AAAAAD7bT4M=")</f>
        <v>#REF!</v>
      </c>
      <c r="EC375" t="e">
        <f>AND('PROG FORMACIÓN TITULADA'!#REF!,"AAAAAD7bT4Q=")</f>
        <v>#REF!</v>
      </c>
      <c r="ED375" t="e">
        <f>AND('PROG FORMACIÓN TITULADA'!#REF!,"AAAAAD7bT4U=")</f>
        <v>#REF!</v>
      </c>
      <c r="EE375" t="e">
        <f>AND('PROG FORMACIÓN TITULADA'!#REF!,"AAAAAD7bT4Y=")</f>
        <v>#REF!</v>
      </c>
      <c r="EF375" t="e">
        <f>AND('PROG FORMACIÓN TITULADA'!#REF!,"AAAAAD7bT4c=")</f>
        <v>#REF!</v>
      </c>
      <c r="EG375" t="e">
        <f>AND('PROG FORMACIÓN TITULADA'!#REF!,"AAAAAD7bT4g=")</f>
        <v>#REF!</v>
      </c>
      <c r="EH375" t="e">
        <f>AND('PROG FORMACIÓN TITULADA'!#REF!,"AAAAAD7bT4k=")</f>
        <v>#REF!</v>
      </c>
      <c r="EI375" t="e">
        <f>AND('PROG FORMACIÓN TITULADA'!#REF!,"AAAAAD7bT4o=")</f>
        <v>#REF!</v>
      </c>
      <c r="EJ375" t="e">
        <f>AND('PROG FORMACIÓN TITULADA'!#REF!,"AAAAAD7bT4s=")</f>
        <v>#REF!</v>
      </c>
      <c r="EK375" t="e">
        <f>AND('PROG FORMACIÓN TITULADA'!#REF!,"AAAAAD7bT4w=")</f>
        <v>#REF!</v>
      </c>
      <c r="EL375" t="e">
        <f>AND('PROG FORMACIÓN TITULADA'!#REF!,"AAAAAD7bT40=")</f>
        <v>#REF!</v>
      </c>
      <c r="EM375" t="e">
        <f>AND('PROG FORMACIÓN TITULADA'!#REF!,"AAAAAD7bT44=")</f>
        <v>#REF!</v>
      </c>
      <c r="EN375" t="e">
        <f>AND('PROG FORMACIÓN TITULADA'!#REF!,"AAAAAD7bT48=")</f>
        <v>#REF!</v>
      </c>
      <c r="EO375" t="e">
        <f>AND('PROG FORMACIÓN TITULADA'!#REF!,"AAAAAD7bT5A=")</f>
        <v>#REF!</v>
      </c>
      <c r="EP375" t="e">
        <f>AND('PROG FORMACIÓN TITULADA'!#REF!,"AAAAAD7bT5E=")</f>
        <v>#REF!</v>
      </c>
      <c r="EQ375" t="e">
        <f>AND('PROG FORMACIÓN TITULADA'!#REF!,"AAAAAD7bT5I=")</f>
        <v>#REF!</v>
      </c>
      <c r="ER375" t="e">
        <f>AND('PROG FORMACIÓN TITULADA'!#REF!,"AAAAAD7bT5M=")</f>
        <v>#REF!</v>
      </c>
      <c r="ES375" t="e">
        <f>IF('PROG FORMACIÓN TITULADA'!#REF!,"AAAAAD7bT5Q=",0)</f>
        <v>#REF!</v>
      </c>
      <c r="ET375" t="e">
        <f>AND('PROG FORMACIÓN TITULADA'!#REF!,"AAAAAD7bT5U=")</f>
        <v>#REF!</v>
      </c>
      <c r="EU375" t="e">
        <f>AND('PROG FORMACIÓN TITULADA'!#REF!,"AAAAAD7bT5Y=")</f>
        <v>#REF!</v>
      </c>
      <c r="EV375" t="e">
        <f>AND('PROG FORMACIÓN TITULADA'!#REF!,"AAAAAD7bT5c=")</f>
        <v>#REF!</v>
      </c>
      <c r="EW375" t="e">
        <f>AND('PROG FORMACIÓN TITULADA'!#REF!,"AAAAAD7bT5g=")</f>
        <v>#REF!</v>
      </c>
      <c r="EX375" t="e">
        <f>AND('PROG FORMACIÓN TITULADA'!#REF!,"AAAAAD7bT5k=")</f>
        <v>#REF!</v>
      </c>
      <c r="EY375" t="e">
        <f>AND('PROG FORMACIÓN TITULADA'!#REF!,"AAAAAD7bT5o=")</f>
        <v>#REF!</v>
      </c>
      <c r="EZ375" t="e">
        <f>AND('PROG FORMACIÓN TITULADA'!#REF!,"AAAAAD7bT5s=")</f>
        <v>#REF!</v>
      </c>
      <c r="FA375" t="e">
        <f>AND('PROG FORMACIÓN TITULADA'!#REF!,"AAAAAD7bT5w=")</f>
        <v>#REF!</v>
      </c>
      <c r="FB375" t="e">
        <f>AND('PROG FORMACIÓN TITULADA'!#REF!,"AAAAAD7bT50=")</f>
        <v>#REF!</v>
      </c>
      <c r="FC375" t="e">
        <f>AND('PROG FORMACIÓN TITULADA'!#REF!,"AAAAAD7bT54=")</f>
        <v>#REF!</v>
      </c>
      <c r="FD375" t="e">
        <f>AND('PROG FORMACIÓN TITULADA'!#REF!,"AAAAAD7bT58=")</f>
        <v>#REF!</v>
      </c>
      <c r="FE375" t="e">
        <f>AND('PROG FORMACIÓN TITULADA'!#REF!,"AAAAAD7bT6A=")</f>
        <v>#REF!</v>
      </c>
      <c r="FF375" t="e">
        <f>AND('PROG FORMACIÓN TITULADA'!#REF!,"AAAAAD7bT6E=")</f>
        <v>#REF!</v>
      </c>
      <c r="FG375" t="e">
        <f>AND('PROG FORMACIÓN TITULADA'!#REF!,"AAAAAD7bT6I=")</f>
        <v>#REF!</v>
      </c>
      <c r="FH375" t="e">
        <f>AND('PROG FORMACIÓN TITULADA'!#REF!,"AAAAAD7bT6M=")</f>
        <v>#REF!</v>
      </c>
      <c r="FI375" t="e">
        <f>AND('PROG FORMACIÓN TITULADA'!#REF!,"AAAAAD7bT6Q=")</f>
        <v>#REF!</v>
      </c>
      <c r="FJ375" t="e">
        <f>AND('PROG FORMACIÓN TITULADA'!#REF!,"AAAAAD7bT6U=")</f>
        <v>#REF!</v>
      </c>
      <c r="FK375" t="e">
        <f>AND('PROG FORMACIÓN TITULADA'!#REF!,"AAAAAD7bT6Y=")</f>
        <v>#REF!</v>
      </c>
      <c r="FL375" t="e">
        <f>AND('PROG FORMACIÓN TITULADA'!#REF!,"AAAAAD7bT6c=")</f>
        <v>#REF!</v>
      </c>
      <c r="FM375" t="e">
        <f>AND('PROG FORMACIÓN TITULADA'!#REF!,"AAAAAD7bT6g=")</f>
        <v>#REF!</v>
      </c>
      <c r="FN375" t="e">
        <f>AND('PROG FORMACIÓN TITULADA'!#REF!,"AAAAAD7bT6k=")</f>
        <v>#REF!</v>
      </c>
      <c r="FO375" t="e">
        <f>AND('PROG FORMACIÓN TITULADA'!#REF!,"AAAAAD7bT6o=")</f>
        <v>#REF!</v>
      </c>
      <c r="FP375" t="e">
        <f>AND('PROG FORMACIÓN TITULADA'!#REF!,"AAAAAD7bT6s=")</f>
        <v>#REF!</v>
      </c>
      <c r="FQ375" t="e">
        <f>AND('PROG FORMACIÓN TITULADA'!#REF!,"AAAAAD7bT6w=")</f>
        <v>#REF!</v>
      </c>
      <c r="FR375" t="e">
        <f>AND('PROG FORMACIÓN TITULADA'!#REF!,"AAAAAD7bT60=")</f>
        <v>#REF!</v>
      </c>
      <c r="FS375" t="e">
        <f>AND('PROG FORMACIÓN TITULADA'!#REF!,"AAAAAD7bT64=")</f>
        <v>#REF!</v>
      </c>
      <c r="FT375" t="e">
        <f>IF('PROG FORMACIÓN TITULADA'!#REF!,"AAAAAD7bT68=",0)</f>
        <v>#REF!</v>
      </c>
      <c r="FU375" t="e">
        <f>AND('PROG FORMACIÓN TITULADA'!#REF!,"AAAAAD7bT7A=")</f>
        <v>#REF!</v>
      </c>
      <c r="FV375" t="e">
        <f>AND('PROG FORMACIÓN TITULADA'!#REF!,"AAAAAD7bT7E=")</f>
        <v>#REF!</v>
      </c>
      <c r="FW375" t="e">
        <f>AND('PROG FORMACIÓN TITULADA'!#REF!,"AAAAAD7bT7I=")</f>
        <v>#REF!</v>
      </c>
      <c r="FX375" t="e">
        <f>AND('PROG FORMACIÓN TITULADA'!#REF!,"AAAAAD7bT7M=")</f>
        <v>#REF!</v>
      </c>
      <c r="FY375" t="e">
        <f>AND('PROG FORMACIÓN TITULADA'!#REF!,"AAAAAD7bT7Q=")</f>
        <v>#REF!</v>
      </c>
      <c r="FZ375" t="e">
        <f>AND('PROG FORMACIÓN TITULADA'!#REF!,"AAAAAD7bT7U=")</f>
        <v>#REF!</v>
      </c>
      <c r="GA375" t="e">
        <f>AND('PROG FORMACIÓN TITULADA'!#REF!,"AAAAAD7bT7Y=")</f>
        <v>#REF!</v>
      </c>
      <c r="GB375" t="e">
        <f>AND('PROG FORMACIÓN TITULADA'!#REF!,"AAAAAD7bT7c=")</f>
        <v>#REF!</v>
      </c>
      <c r="GC375" t="e">
        <f>AND('PROG FORMACIÓN TITULADA'!#REF!,"AAAAAD7bT7g=")</f>
        <v>#REF!</v>
      </c>
      <c r="GD375" t="e">
        <f>AND('PROG FORMACIÓN TITULADA'!#REF!,"AAAAAD7bT7k=")</f>
        <v>#REF!</v>
      </c>
      <c r="GE375" t="e">
        <f>AND('PROG FORMACIÓN TITULADA'!#REF!,"AAAAAD7bT7o=")</f>
        <v>#REF!</v>
      </c>
      <c r="GF375" t="e">
        <f>AND('PROG FORMACIÓN TITULADA'!#REF!,"AAAAAD7bT7s=")</f>
        <v>#REF!</v>
      </c>
      <c r="GG375" t="e">
        <f>AND('PROG FORMACIÓN TITULADA'!#REF!,"AAAAAD7bT7w=")</f>
        <v>#REF!</v>
      </c>
      <c r="GH375" t="e">
        <f>AND('PROG FORMACIÓN TITULADA'!#REF!,"AAAAAD7bT70=")</f>
        <v>#REF!</v>
      </c>
      <c r="GI375" t="e">
        <f>AND('PROG FORMACIÓN TITULADA'!#REF!,"AAAAAD7bT74=")</f>
        <v>#REF!</v>
      </c>
      <c r="GJ375" t="e">
        <f>AND('PROG FORMACIÓN TITULADA'!#REF!,"AAAAAD7bT78=")</f>
        <v>#REF!</v>
      </c>
      <c r="GK375" t="e">
        <f>AND('PROG FORMACIÓN TITULADA'!#REF!,"AAAAAD7bT8A=")</f>
        <v>#REF!</v>
      </c>
      <c r="GL375" t="e">
        <f>AND('PROG FORMACIÓN TITULADA'!#REF!,"AAAAAD7bT8E=")</f>
        <v>#REF!</v>
      </c>
      <c r="GM375" t="e">
        <f>AND('PROG FORMACIÓN TITULADA'!#REF!,"AAAAAD7bT8I=")</f>
        <v>#REF!</v>
      </c>
      <c r="GN375" t="e">
        <f>AND('PROG FORMACIÓN TITULADA'!#REF!,"AAAAAD7bT8M=")</f>
        <v>#REF!</v>
      </c>
      <c r="GO375" t="e">
        <f>AND('PROG FORMACIÓN TITULADA'!#REF!,"AAAAAD7bT8Q=")</f>
        <v>#REF!</v>
      </c>
      <c r="GP375" t="e">
        <f>AND('PROG FORMACIÓN TITULADA'!#REF!,"AAAAAD7bT8U=")</f>
        <v>#REF!</v>
      </c>
      <c r="GQ375" t="e">
        <f>AND('PROG FORMACIÓN TITULADA'!#REF!,"AAAAAD7bT8Y=")</f>
        <v>#REF!</v>
      </c>
      <c r="GR375" t="e">
        <f>AND('PROG FORMACIÓN TITULADA'!#REF!,"AAAAAD7bT8c=")</f>
        <v>#REF!</v>
      </c>
      <c r="GS375" t="e">
        <f>AND('PROG FORMACIÓN TITULADA'!#REF!,"AAAAAD7bT8g=")</f>
        <v>#REF!</v>
      </c>
      <c r="GT375" t="e">
        <f>AND('PROG FORMACIÓN TITULADA'!#REF!,"AAAAAD7bT8k=")</f>
        <v>#REF!</v>
      </c>
      <c r="GU375" t="e">
        <f>IF('PROG FORMACIÓN TITULADA'!#REF!,"AAAAAD7bT8o=",0)</f>
        <v>#REF!</v>
      </c>
      <c r="GV375" t="e">
        <f>AND('PROG FORMACIÓN TITULADA'!#REF!,"AAAAAD7bT8s=")</f>
        <v>#REF!</v>
      </c>
      <c r="GW375" t="e">
        <f>AND('PROG FORMACIÓN TITULADA'!#REF!,"AAAAAD7bT8w=")</f>
        <v>#REF!</v>
      </c>
      <c r="GX375" t="e">
        <f>AND('PROG FORMACIÓN TITULADA'!#REF!,"AAAAAD7bT80=")</f>
        <v>#REF!</v>
      </c>
      <c r="GY375" t="e">
        <f>AND('PROG FORMACIÓN TITULADA'!#REF!,"AAAAAD7bT84=")</f>
        <v>#REF!</v>
      </c>
      <c r="GZ375" t="e">
        <f>AND('PROG FORMACIÓN TITULADA'!#REF!,"AAAAAD7bT88=")</f>
        <v>#REF!</v>
      </c>
      <c r="HA375" t="e">
        <f>AND('PROG FORMACIÓN TITULADA'!#REF!,"AAAAAD7bT9A=")</f>
        <v>#REF!</v>
      </c>
      <c r="HB375" t="e">
        <f>AND('PROG FORMACIÓN TITULADA'!#REF!,"AAAAAD7bT9E=")</f>
        <v>#REF!</v>
      </c>
      <c r="HC375" t="e">
        <f>AND('PROG FORMACIÓN TITULADA'!#REF!,"AAAAAD7bT9I=")</f>
        <v>#REF!</v>
      </c>
      <c r="HD375" t="e">
        <f>AND('PROG FORMACIÓN TITULADA'!#REF!,"AAAAAD7bT9M=")</f>
        <v>#REF!</v>
      </c>
      <c r="HE375" t="e">
        <f>AND('PROG FORMACIÓN TITULADA'!#REF!,"AAAAAD7bT9Q=")</f>
        <v>#REF!</v>
      </c>
      <c r="HF375" t="e">
        <f>AND('PROG FORMACIÓN TITULADA'!#REF!,"AAAAAD7bT9U=")</f>
        <v>#REF!</v>
      </c>
      <c r="HG375" t="e">
        <f>AND('PROG FORMACIÓN TITULADA'!#REF!,"AAAAAD7bT9Y=")</f>
        <v>#REF!</v>
      </c>
      <c r="HH375" t="e">
        <f>AND('PROG FORMACIÓN TITULADA'!#REF!,"AAAAAD7bT9c=")</f>
        <v>#REF!</v>
      </c>
      <c r="HI375" t="e">
        <f>AND('PROG FORMACIÓN TITULADA'!#REF!,"AAAAAD7bT9g=")</f>
        <v>#REF!</v>
      </c>
      <c r="HJ375" t="e">
        <f>AND('PROG FORMACIÓN TITULADA'!#REF!,"AAAAAD7bT9k=")</f>
        <v>#REF!</v>
      </c>
      <c r="HK375" t="e">
        <f>AND('PROG FORMACIÓN TITULADA'!#REF!,"AAAAAD7bT9o=")</f>
        <v>#REF!</v>
      </c>
      <c r="HL375" t="e">
        <f>AND('PROG FORMACIÓN TITULADA'!#REF!,"AAAAAD7bT9s=")</f>
        <v>#REF!</v>
      </c>
      <c r="HM375" t="e">
        <f>AND('PROG FORMACIÓN TITULADA'!#REF!,"AAAAAD7bT9w=")</f>
        <v>#REF!</v>
      </c>
      <c r="HN375" t="e">
        <f>AND('PROG FORMACIÓN TITULADA'!#REF!,"AAAAAD7bT90=")</f>
        <v>#REF!</v>
      </c>
      <c r="HO375" t="e">
        <f>AND('PROG FORMACIÓN TITULADA'!#REF!,"AAAAAD7bT94=")</f>
        <v>#REF!</v>
      </c>
      <c r="HP375" t="e">
        <f>AND('PROG FORMACIÓN TITULADA'!#REF!,"AAAAAD7bT98=")</f>
        <v>#REF!</v>
      </c>
      <c r="HQ375" t="e">
        <f>AND('PROG FORMACIÓN TITULADA'!#REF!,"AAAAAD7bT+A=")</f>
        <v>#REF!</v>
      </c>
      <c r="HR375" t="e">
        <f>AND('PROG FORMACIÓN TITULADA'!#REF!,"AAAAAD7bT+E=")</f>
        <v>#REF!</v>
      </c>
      <c r="HS375" t="e">
        <f>AND('PROG FORMACIÓN TITULADA'!#REF!,"AAAAAD7bT+I=")</f>
        <v>#REF!</v>
      </c>
      <c r="HT375" t="e">
        <f>AND('PROG FORMACIÓN TITULADA'!#REF!,"AAAAAD7bT+M=")</f>
        <v>#REF!</v>
      </c>
      <c r="HU375" t="e">
        <f>AND('PROG FORMACIÓN TITULADA'!#REF!,"AAAAAD7bT+Q=")</f>
        <v>#REF!</v>
      </c>
      <c r="HV375" t="e">
        <f>IF('PROG FORMACIÓN TITULADA'!#REF!,"AAAAAD7bT+U=",0)</f>
        <v>#REF!</v>
      </c>
      <c r="HW375" t="e">
        <f>AND('PROG FORMACIÓN TITULADA'!#REF!,"AAAAAD7bT+Y=")</f>
        <v>#REF!</v>
      </c>
      <c r="HX375" t="e">
        <f>AND('PROG FORMACIÓN TITULADA'!#REF!,"AAAAAD7bT+c=")</f>
        <v>#REF!</v>
      </c>
      <c r="HY375" t="e">
        <f>AND('PROG FORMACIÓN TITULADA'!#REF!,"AAAAAD7bT+g=")</f>
        <v>#REF!</v>
      </c>
      <c r="HZ375" t="e">
        <f>AND('PROG FORMACIÓN TITULADA'!#REF!,"AAAAAD7bT+k=")</f>
        <v>#REF!</v>
      </c>
      <c r="IA375" t="e">
        <f>AND('PROG FORMACIÓN TITULADA'!#REF!,"AAAAAD7bT+o=")</f>
        <v>#REF!</v>
      </c>
      <c r="IB375" t="e">
        <f>AND('PROG FORMACIÓN TITULADA'!#REF!,"AAAAAD7bT+s=")</f>
        <v>#REF!</v>
      </c>
      <c r="IC375" t="e">
        <f>AND('PROG FORMACIÓN TITULADA'!#REF!,"AAAAAD7bT+w=")</f>
        <v>#REF!</v>
      </c>
      <c r="ID375" t="e">
        <f>AND('PROG FORMACIÓN TITULADA'!#REF!,"AAAAAD7bT+0=")</f>
        <v>#REF!</v>
      </c>
      <c r="IE375" t="e">
        <f>AND('PROG FORMACIÓN TITULADA'!#REF!,"AAAAAD7bT+4=")</f>
        <v>#REF!</v>
      </c>
      <c r="IF375" t="e">
        <f>AND('PROG FORMACIÓN TITULADA'!#REF!,"AAAAAD7bT+8=")</f>
        <v>#REF!</v>
      </c>
      <c r="IG375" t="e">
        <f>AND('PROG FORMACIÓN TITULADA'!#REF!,"AAAAAD7bT/A=")</f>
        <v>#REF!</v>
      </c>
      <c r="IH375" t="e">
        <f>AND('PROG FORMACIÓN TITULADA'!#REF!,"AAAAAD7bT/E=")</f>
        <v>#REF!</v>
      </c>
      <c r="II375" t="e">
        <f>AND('PROG FORMACIÓN TITULADA'!#REF!,"AAAAAD7bT/I=")</f>
        <v>#REF!</v>
      </c>
      <c r="IJ375" t="e">
        <f>AND('PROG FORMACIÓN TITULADA'!#REF!,"AAAAAD7bT/M=")</f>
        <v>#REF!</v>
      </c>
      <c r="IK375" t="e">
        <f>AND('PROG FORMACIÓN TITULADA'!#REF!,"AAAAAD7bT/Q=")</f>
        <v>#REF!</v>
      </c>
      <c r="IL375" t="e">
        <f>AND('PROG FORMACIÓN TITULADA'!#REF!,"AAAAAD7bT/U=")</f>
        <v>#REF!</v>
      </c>
      <c r="IM375" t="e">
        <f>AND('PROG FORMACIÓN TITULADA'!#REF!,"AAAAAD7bT/Y=")</f>
        <v>#REF!</v>
      </c>
      <c r="IN375" t="e">
        <f>AND('PROG FORMACIÓN TITULADA'!#REF!,"AAAAAD7bT/c=")</f>
        <v>#REF!</v>
      </c>
      <c r="IO375" t="e">
        <f>AND('PROG FORMACIÓN TITULADA'!#REF!,"AAAAAD7bT/g=")</f>
        <v>#REF!</v>
      </c>
      <c r="IP375" t="e">
        <f>AND('PROG FORMACIÓN TITULADA'!#REF!,"AAAAAD7bT/k=")</f>
        <v>#REF!</v>
      </c>
      <c r="IQ375" t="e">
        <f>AND('PROG FORMACIÓN TITULADA'!#REF!,"AAAAAD7bT/o=")</f>
        <v>#REF!</v>
      </c>
      <c r="IR375" t="e">
        <f>AND('PROG FORMACIÓN TITULADA'!#REF!,"AAAAAD7bT/s=")</f>
        <v>#REF!</v>
      </c>
      <c r="IS375" t="e">
        <f>AND('PROG FORMACIÓN TITULADA'!#REF!,"AAAAAD7bT/w=")</f>
        <v>#REF!</v>
      </c>
      <c r="IT375" t="e">
        <f>AND('PROG FORMACIÓN TITULADA'!#REF!,"AAAAAD7bT/0=")</f>
        <v>#REF!</v>
      </c>
      <c r="IU375" t="e">
        <f>AND('PROG FORMACIÓN TITULADA'!#REF!,"AAAAAD7bT/4=")</f>
        <v>#REF!</v>
      </c>
      <c r="IV375" t="e">
        <f>AND('PROG FORMACIÓN TITULADA'!#REF!,"AAAAAD7bT/8=")</f>
        <v>#REF!</v>
      </c>
    </row>
    <row r="376" spans="1:256" x14ac:dyDescent="0.2">
      <c r="A376" t="e">
        <f>IF('PROG FORMACIÓN TITULADA'!#REF!,"AAAAAHi9/wA=",0)</f>
        <v>#REF!</v>
      </c>
      <c r="B376" t="e">
        <f>AND('PROG FORMACIÓN TITULADA'!#REF!,"AAAAAHi9/wE=")</f>
        <v>#REF!</v>
      </c>
      <c r="C376" t="e">
        <f>AND('PROG FORMACIÓN TITULADA'!#REF!,"AAAAAHi9/wI=")</f>
        <v>#REF!</v>
      </c>
      <c r="D376" t="e">
        <f>AND('PROG FORMACIÓN TITULADA'!#REF!,"AAAAAHi9/wM=")</f>
        <v>#REF!</v>
      </c>
      <c r="E376" t="e">
        <f>AND('PROG FORMACIÓN TITULADA'!#REF!,"AAAAAHi9/wQ=")</f>
        <v>#REF!</v>
      </c>
      <c r="F376" t="e">
        <f>AND('PROG FORMACIÓN TITULADA'!#REF!,"AAAAAHi9/wU=")</f>
        <v>#REF!</v>
      </c>
      <c r="G376" t="e">
        <f>AND('PROG FORMACIÓN TITULADA'!#REF!,"AAAAAHi9/wY=")</f>
        <v>#REF!</v>
      </c>
      <c r="H376" t="e">
        <f>AND('PROG FORMACIÓN TITULADA'!#REF!,"AAAAAHi9/wc=")</f>
        <v>#REF!</v>
      </c>
      <c r="I376" t="e">
        <f>AND('PROG FORMACIÓN TITULADA'!#REF!,"AAAAAHi9/wg=")</f>
        <v>#REF!</v>
      </c>
      <c r="J376" t="e">
        <f>AND('PROG FORMACIÓN TITULADA'!#REF!,"AAAAAHi9/wk=")</f>
        <v>#REF!</v>
      </c>
      <c r="K376" t="e">
        <f>AND('PROG FORMACIÓN TITULADA'!#REF!,"AAAAAHi9/wo=")</f>
        <v>#REF!</v>
      </c>
      <c r="L376" t="e">
        <f>AND('PROG FORMACIÓN TITULADA'!#REF!,"AAAAAHi9/ws=")</f>
        <v>#REF!</v>
      </c>
      <c r="M376" t="e">
        <f>AND('PROG FORMACIÓN TITULADA'!#REF!,"AAAAAHi9/ww=")</f>
        <v>#REF!</v>
      </c>
      <c r="N376" t="e">
        <f>AND('PROG FORMACIÓN TITULADA'!#REF!,"AAAAAHi9/w0=")</f>
        <v>#REF!</v>
      </c>
      <c r="O376" t="e">
        <f>AND('PROG FORMACIÓN TITULADA'!#REF!,"AAAAAHi9/w4=")</f>
        <v>#REF!</v>
      </c>
      <c r="P376" t="e">
        <f>AND('PROG FORMACIÓN TITULADA'!#REF!,"AAAAAHi9/w8=")</f>
        <v>#REF!</v>
      </c>
      <c r="Q376" t="e">
        <f>AND('PROG FORMACIÓN TITULADA'!#REF!,"AAAAAHi9/xA=")</f>
        <v>#REF!</v>
      </c>
      <c r="R376" t="e">
        <f>AND('PROG FORMACIÓN TITULADA'!#REF!,"AAAAAHi9/xE=")</f>
        <v>#REF!</v>
      </c>
      <c r="S376" t="e">
        <f>AND('PROG FORMACIÓN TITULADA'!#REF!,"AAAAAHi9/xI=")</f>
        <v>#REF!</v>
      </c>
      <c r="T376" t="e">
        <f>AND('PROG FORMACIÓN TITULADA'!#REF!,"AAAAAHi9/xM=")</f>
        <v>#REF!</v>
      </c>
      <c r="U376" t="e">
        <f>AND('PROG FORMACIÓN TITULADA'!#REF!,"AAAAAHi9/xQ=")</f>
        <v>#REF!</v>
      </c>
      <c r="V376" t="e">
        <f>AND('PROG FORMACIÓN TITULADA'!#REF!,"AAAAAHi9/xU=")</f>
        <v>#REF!</v>
      </c>
      <c r="W376" t="e">
        <f>AND('PROG FORMACIÓN TITULADA'!#REF!,"AAAAAHi9/xY=")</f>
        <v>#REF!</v>
      </c>
      <c r="X376" t="e">
        <f>AND('PROG FORMACIÓN TITULADA'!#REF!,"AAAAAHi9/xc=")</f>
        <v>#REF!</v>
      </c>
      <c r="Y376" t="e">
        <f>AND('PROG FORMACIÓN TITULADA'!#REF!,"AAAAAHi9/xg=")</f>
        <v>#REF!</v>
      </c>
      <c r="Z376" t="e">
        <f>AND('PROG FORMACIÓN TITULADA'!#REF!,"AAAAAHi9/xk=")</f>
        <v>#REF!</v>
      </c>
      <c r="AA376" t="e">
        <f>AND('PROG FORMACIÓN TITULADA'!#REF!,"AAAAAHi9/xo=")</f>
        <v>#REF!</v>
      </c>
      <c r="AB376" t="e">
        <f>IF('PROG FORMACIÓN TITULADA'!#REF!,"AAAAAHi9/xs=",0)</f>
        <v>#REF!</v>
      </c>
      <c r="AC376" t="e">
        <f>AND('PROG FORMACIÓN TITULADA'!#REF!,"AAAAAHi9/xw=")</f>
        <v>#REF!</v>
      </c>
      <c r="AD376" t="e">
        <f>AND('PROG FORMACIÓN TITULADA'!#REF!,"AAAAAHi9/x0=")</f>
        <v>#REF!</v>
      </c>
      <c r="AE376" t="e">
        <f>AND('PROG FORMACIÓN TITULADA'!#REF!,"AAAAAHi9/x4=")</f>
        <v>#REF!</v>
      </c>
      <c r="AF376" t="e">
        <f>AND('PROG FORMACIÓN TITULADA'!#REF!,"AAAAAHi9/x8=")</f>
        <v>#REF!</v>
      </c>
      <c r="AG376" t="e">
        <f>AND('PROG FORMACIÓN TITULADA'!#REF!,"AAAAAHi9/yA=")</f>
        <v>#REF!</v>
      </c>
      <c r="AH376" t="e">
        <f>AND('PROG FORMACIÓN TITULADA'!#REF!,"AAAAAHi9/yE=")</f>
        <v>#REF!</v>
      </c>
      <c r="AI376" t="e">
        <f>AND('PROG FORMACIÓN TITULADA'!#REF!,"AAAAAHi9/yI=")</f>
        <v>#REF!</v>
      </c>
      <c r="AJ376" t="e">
        <f>AND('PROG FORMACIÓN TITULADA'!#REF!,"AAAAAHi9/yM=")</f>
        <v>#REF!</v>
      </c>
      <c r="AK376" t="e">
        <f>AND('PROG FORMACIÓN TITULADA'!#REF!,"AAAAAHi9/yQ=")</f>
        <v>#REF!</v>
      </c>
      <c r="AL376" t="e">
        <f>AND('PROG FORMACIÓN TITULADA'!#REF!,"AAAAAHi9/yU=")</f>
        <v>#REF!</v>
      </c>
      <c r="AM376" t="e">
        <f>AND('PROG FORMACIÓN TITULADA'!#REF!,"AAAAAHi9/yY=")</f>
        <v>#REF!</v>
      </c>
      <c r="AN376" t="e">
        <f>AND('PROG FORMACIÓN TITULADA'!#REF!,"AAAAAHi9/yc=")</f>
        <v>#REF!</v>
      </c>
      <c r="AO376" t="e">
        <f>AND('PROG FORMACIÓN TITULADA'!#REF!,"AAAAAHi9/yg=")</f>
        <v>#REF!</v>
      </c>
      <c r="AP376" t="e">
        <f>AND('PROG FORMACIÓN TITULADA'!#REF!,"AAAAAHi9/yk=")</f>
        <v>#REF!</v>
      </c>
      <c r="AQ376" t="e">
        <f>AND('PROG FORMACIÓN TITULADA'!#REF!,"AAAAAHi9/yo=")</f>
        <v>#REF!</v>
      </c>
      <c r="AR376" t="e">
        <f>AND('PROG FORMACIÓN TITULADA'!#REF!,"AAAAAHi9/ys=")</f>
        <v>#REF!</v>
      </c>
      <c r="AS376" t="e">
        <f>AND('PROG FORMACIÓN TITULADA'!#REF!,"AAAAAHi9/yw=")</f>
        <v>#REF!</v>
      </c>
      <c r="AT376" t="e">
        <f>AND('PROG FORMACIÓN TITULADA'!#REF!,"AAAAAHi9/y0=")</f>
        <v>#REF!</v>
      </c>
      <c r="AU376" t="e">
        <f>AND('PROG FORMACIÓN TITULADA'!#REF!,"AAAAAHi9/y4=")</f>
        <v>#REF!</v>
      </c>
      <c r="AV376" t="e">
        <f>AND('PROG FORMACIÓN TITULADA'!#REF!,"AAAAAHi9/y8=")</f>
        <v>#REF!</v>
      </c>
      <c r="AW376" t="e">
        <f>AND('PROG FORMACIÓN TITULADA'!#REF!,"AAAAAHi9/zA=")</f>
        <v>#REF!</v>
      </c>
      <c r="AX376" t="e">
        <f>AND('PROG FORMACIÓN TITULADA'!#REF!,"AAAAAHi9/zE=")</f>
        <v>#REF!</v>
      </c>
      <c r="AY376" t="e">
        <f>AND('PROG FORMACIÓN TITULADA'!#REF!,"AAAAAHi9/zI=")</f>
        <v>#REF!</v>
      </c>
      <c r="AZ376" t="e">
        <f>AND('PROG FORMACIÓN TITULADA'!#REF!,"AAAAAHi9/zM=")</f>
        <v>#REF!</v>
      </c>
      <c r="BA376" t="e">
        <f>AND('PROG FORMACIÓN TITULADA'!#REF!,"AAAAAHi9/zQ=")</f>
        <v>#REF!</v>
      </c>
      <c r="BB376" t="e">
        <f>AND('PROG FORMACIÓN TITULADA'!#REF!,"AAAAAHi9/zU=")</f>
        <v>#REF!</v>
      </c>
      <c r="BC376" t="e">
        <f>IF('PROG FORMACIÓN TITULADA'!#REF!,"AAAAAHi9/zY=",0)</f>
        <v>#REF!</v>
      </c>
      <c r="BD376" t="e">
        <f>AND('PROG FORMACIÓN TITULADA'!#REF!,"AAAAAHi9/zc=")</f>
        <v>#REF!</v>
      </c>
      <c r="BE376" t="e">
        <f>AND('PROG FORMACIÓN TITULADA'!#REF!,"AAAAAHi9/zg=")</f>
        <v>#REF!</v>
      </c>
      <c r="BF376" t="e">
        <f>AND('PROG FORMACIÓN TITULADA'!#REF!,"AAAAAHi9/zk=")</f>
        <v>#REF!</v>
      </c>
      <c r="BG376" t="e">
        <f>AND('PROG FORMACIÓN TITULADA'!#REF!,"AAAAAHi9/zo=")</f>
        <v>#REF!</v>
      </c>
      <c r="BH376" t="e">
        <f>AND('PROG FORMACIÓN TITULADA'!#REF!,"AAAAAHi9/zs=")</f>
        <v>#REF!</v>
      </c>
      <c r="BI376" t="e">
        <f>AND('PROG FORMACIÓN TITULADA'!#REF!,"AAAAAHi9/zw=")</f>
        <v>#REF!</v>
      </c>
      <c r="BJ376" t="e">
        <f>AND('PROG FORMACIÓN TITULADA'!#REF!,"AAAAAHi9/z0=")</f>
        <v>#REF!</v>
      </c>
      <c r="BK376" t="e">
        <f>AND('PROG FORMACIÓN TITULADA'!#REF!,"AAAAAHi9/z4=")</f>
        <v>#REF!</v>
      </c>
      <c r="BL376" t="e">
        <f>AND('PROG FORMACIÓN TITULADA'!#REF!,"AAAAAHi9/z8=")</f>
        <v>#REF!</v>
      </c>
      <c r="BM376" t="e">
        <f>AND('PROG FORMACIÓN TITULADA'!#REF!,"AAAAAHi9/0A=")</f>
        <v>#REF!</v>
      </c>
      <c r="BN376" t="e">
        <f>AND('PROG FORMACIÓN TITULADA'!#REF!,"AAAAAHi9/0E=")</f>
        <v>#REF!</v>
      </c>
      <c r="BO376" t="e">
        <f>AND('PROG FORMACIÓN TITULADA'!#REF!,"AAAAAHi9/0I=")</f>
        <v>#REF!</v>
      </c>
      <c r="BP376" t="e">
        <f>AND('PROG FORMACIÓN TITULADA'!#REF!,"AAAAAHi9/0M=")</f>
        <v>#REF!</v>
      </c>
      <c r="BQ376" t="e">
        <f>AND('PROG FORMACIÓN TITULADA'!#REF!,"AAAAAHi9/0Q=")</f>
        <v>#REF!</v>
      </c>
      <c r="BR376" t="e">
        <f>AND('PROG FORMACIÓN TITULADA'!#REF!,"AAAAAHi9/0U=")</f>
        <v>#REF!</v>
      </c>
      <c r="BS376" t="e">
        <f>AND('PROG FORMACIÓN TITULADA'!#REF!,"AAAAAHi9/0Y=")</f>
        <v>#REF!</v>
      </c>
      <c r="BT376" t="e">
        <f>AND('PROG FORMACIÓN TITULADA'!#REF!,"AAAAAHi9/0c=")</f>
        <v>#REF!</v>
      </c>
      <c r="BU376" t="e">
        <f>AND('PROG FORMACIÓN TITULADA'!#REF!,"AAAAAHi9/0g=")</f>
        <v>#REF!</v>
      </c>
      <c r="BV376" t="e">
        <f>AND('PROG FORMACIÓN TITULADA'!#REF!,"AAAAAHi9/0k=")</f>
        <v>#REF!</v>
      </c>
      <c r="BW376" t="e">
        <f>AND('PROG FORMACIÓN TITULADA'!#REF!,"AAAAAHi9/0o=")</f>
        <v>#REF!</v>
      </c>
      <c r="BX376" t="e">
        <f>AND('PROG FORMACIÓN TITULADA'!#REF!,"AAAAAHi9/0s=")</f>
        <v>#REF!</v>
      </c>
      <c r="BY376" t="e">
        <f>AND('PROG FORMACIÓN TITULADA'!#REF!,"AAAAAHi9/0w=")</f>
        <v>#REF!</v>
      </c>
      <c r="BZ376" t="e">
        <f>AND('PROG FORMACIÓN TITULADA'!#REF!,"AAAAAHi9/00=")</f>
        <v>#REF!</v>
      </c>
      <c r="CA376" t="e">
        <f>AND('PROG FORMACIÓN TITULADA'!#REF!,"AAAAAHi9/04=")</f>
        <v>#REF!</v>
      </c>
      <c r="CB376" t="e">
        <f>AND('PROG FORMACIÓN TITULADA'!#REF!,"AAAAAHi9/08=")</f>
        <v>#REF!</v>
      </c>
      <c r="CC376" t="e">
        <f>AND('PROG FORMACIÓN TITULADA'!#REF!,"AAAAAHi9/1A=")</f>
        <v>#REF!</v>
      </c>
      <c r="CD376" t="e">
        <f>IF('PROG FORMACIÓN TITULADA'!#REF!,"AAAAAHi9/1E=",0)</f>
        <v>#REF!</v>
      </c>
      <c r="CE376" t="e">
        <f>AND('PROG FORMACIÓN TITULADA'!#REF!,"AAAAAHi9/1I=")</f>
        <v>#REF!</v>
      </c>
      <c r="CF376" t="e">
        <f>AND('PROG FORMACIÓN TITULADA'!#REF!,"AAAAAHi9/1M=")</f>
        <v>#REF!</v>
      </c>
      <c r="CG376" t="e">
        <f>AND('PROG FORMACIÓN TITULADA'!#REF!,"AAAAAHi9/1Q=")</f>
        <v>#REF!</v>
      </c>
      <c r="CH376" t="e">
        <f>AND('PROG FORMACIÓN TITULADA'!#REF!,"AAAAAHi9/1U=")</f>
        <v>#REF!</v>
      </c>
      <c r="CI376" t="e">
        <f>AND('PROG FORMACIÓN TITULADA'!#REF!,"AAAAAHi9/1Y=")</f>
        <v>#REF!</v>
      </c>
      <c r="CJ376" t="e">
        <f>AND('PROG FORMACIÓN TITULADA'!#REF!,"AAAAAHi9/1c=")</f>
        <v>#REF!</v>
      </c>
      <c r="CK376" t="e">
        <f>AND('PROG FORMACIÓN TITULADA'!#REF!,"AAAAAHi9/1g=")</f>
        <v>#REF!</v>
      </c>
      <c r="CL376" t="e">
        <f>AND('PROG FORMACIÓN TITULADA'!#REF!,"AAAAAHi9/1k=")</f>
        <v>#REF!</v>
      </c>
      <c r="CM376" t="e">
        <f>AND('PROG FORMACIÓN TITULADA'!#REF!,"AAAAAHi9/1o=")</f>
        <v>#REF!</v>
      </c>
      <c r="CN376" t="e">
        <f>AND('PROG FORMACIÓN TITULADA'!#REF!,"AAAAAHi9/1s=")</f>
        <v>#REF!</v>
      </c>
      <c r="CO376" t="e">
        <f>AND('PROG FORMACIÓN TITULADA'!#REF!,"AAAAAHi9/1w=")</f>
        <v>#REF!</v>
      </c>
      <c r="CP376" t="e">
        <f>AND('PROG FORMACIÓN TITULADA'!#REF!,"AAAAAHi9/10=")</f>
        <v>#REF!</v>
      </c>
      <c r="CQ376" t="e">
        <f>AND('PROG FORMACIÓN TITULADA'!#REF!,"AAAAAHi9/14=")</f>
        <v>#REF!</v>
      </c>
      <c r="CR376" t="e">
        <f>AND('PROG FORMACIÓN TITULADA'!#REF!,"AAAAAHi9/18=")</f>
        <v>#REF!</v>
      </c>
      <c r="CS376" t="e">
        <f>AND('PROG FORMACIÓN TITULADA'!#REF!,"AAAAAHi9/2A=")</f>
        <v>#REF!</v>
      </c>
      <c r="CT376" t="e">
        <f>AND('PROG FORMACIÓN TITULADA'!#REF!,"AAAAAHi9/2E=")</f>
        <v>#REF!</v>
      </c>
      <c r="CU376" t="e">
        <f>AND('PROG FORMACIÓN TITULADA'!#REF!,"AAAAAHi9/2I=")</f>
        <v>#REF!</v>
      </c>
      <c r="CV376" t="e">
        <f>AND('PROG FORMACIÓN TITULADA'!#REF!,"AAAAAHi9/2M=")</f>
        <v>#REF!</v>
      </c>
      <c r="CW376" t="e">
        <f>AND('PROG FORMACIÓN TITULADA'!#REF!,"AAAAAHi9/2Q=")</f>
        <v>#REF!</v>
      </c>
      <c r="CX376" t="e">
        <f>AND('PROG FORMACIÓN TITULADA'!#REF!,"AAAAAHi9/2U=")</f>
        <v>#REF!</v>
      </c>
      <c r="CY376" t="e">
        <f>AND('PROG FORMACIÓN TITULADA'!#REF!,"AAAAAHi9/2Y=")</f>
        <v>#REF!</v>
      </c>
      <c r="CZ376" t="e">
        <f>AND('PROG FORMACIÓN TITULADA'!#REF!,"AAAAAHi9/2c=")</f>
        <v>#REF!</v>
      </c>
      <c r="DA376" t="e">
        <f>AND('PROG FORMACIÓN TITULADA'!#REF!,"AAAAAHi9/2g=")</f>
        <v>#REF!</v>
      </c>
      <c r="DB376" t="e">
        <f>AND('PROG FORMACIÓN TITULADA'!#REF!,"AAAAAHi9/2k=")</f>
        <v>#REF!</v>
      </c>
      <c r="DC376" t="e">
        <f>AND('PROG FORMACIÓN TITULADA'!#REF!,"AAAAAHi9/2o=")</f>
        <v>#REF!</v>
      </c>
      <c r="DD376" t="e">
        <f>AND('PROG FORMACIÓN TITULADA'!#REF!,"AAAAAHi9/2s=")</f>
        <v>#REF!</v>
      </c>
      <c r="DE376" t="e">
        <f>IF('PROG FORMACIÓN TITULADA'!#REF!,"AAAAAHi9/2w=",0)</f>
        <v>#REF!</v>
      </c>
      <c r="DF376" t="e">
        <f>AND('PROG FORMACIÓN TITULADA'!#REF!,"AAAAAHi9/20=")</f>
        <v>#REF!</v>
      </c>
      <c r="DG376" t="e">
        <f>AND('PROG FORMACIÓN TITULADA'!#REF!,"AAAAAHi9/24=")</f>
        <v>#REF!</v>
      </c>
      <c r="DH376" t="e">
        <f>AND('PROG FORMACIÓN TITULADA'!#REF!,"AAAAAHi9/28=")</f>
        <v>#REF!</v>
      </c>
      <c r="DI376" t="e">
        <f>AND('PROG FORMACIÓN TITULADA'!#REF!,"AAAAAHi9/3A=")</f>
        <v>#REF!</v>
      </c>
      <c r="DJ376" t="e">
        <f>AND('PROG FORMACIÓN TITULADA'!#REF!,"AAAAAHi9/3E=")</f>
        <v>#REF!</v>
      </c>
      <c r="DK376" t="e">
        <f>AND('PROG FORMACIÓN TITULADA'!#REF!,"AAAAAHi9/3I=")</f>
        <v>#REF!</v>
      </c>
      <c r="DL376" t="e">
        <f>AND('PROG FORMACIÓN TITULADA'!#REF!,"AAAAAHi9/3M=")</f>
        <v>#REF!</v>
      </c>
      <c r="DM376" t="e">
        <f>AND('PROG FORMACIÓN TITULADA'!#REF!,"AAAAAHi9/3Q=")</f>
        <v>#REF!</v>
      </c>
      <c r="DN376" t="e">
        <f>AND('PROG FORMACIÓN TITULADA'!#REF!,"AAAAAHi9/3U=")</f>
        <v>#REF!</v>
      </c>
      <c r="DO376" t="e">
        <f>AND('PROG FORMACIÓN TITULADA'!#REF!,"AAAAAHi9/3Y=")</f>
        <v>#REF!</v>
      </c>
      <c r="DP376" t="e">
        <f>AND('PROG FORMACIÓN TITULADA'!#REF!,"AAAAAHi9/3c=")</f>
        <v>#REF!</v>
      </c>
      <c r="DQ376" t="e">
        <f>AND('PROG FORMACIÓN TITULADA'!#REF!,"AAAAAHi9/3g=")</f>
        <v>#REF!</v>
      </c>
      <c r="DR376" t="e">
        <f>AND('PROG FORMACIÓN TITULADA'!#REF!,"AAAAAHi9/3k=")</f>
        <v>#REF!</v>
      </c>
      <c r="DS376" t="e">
        <f>AND('PROG FORMACIÓN TITULADA'!#REF!,"AAAAAHi9/3o=")</f>
        <v>#REF!</v>
      </c>
      <c r="DT376" t="e">
        <f>AND('PROG FORMACIÓN TITULADA'!#REF!,"AAAAAHi9/3s=")</f>
        <v>#REF!</v>
      </c>
      <c r="DU376" t="e">
        <f>AND('PROG FORMACIÓN TITULADA'!#REF!,"AAAAAHi9/3w=")</f>
        <v>#REF!</v>
      </c>
      <c r="DV376" t="e">
        <f>AND('PROG FORMACIÓN TITULADA'!#REF!,"AAAAAHi9/30=")</f>
        <v>#REF!</v>
      </c>
      <c r="DW376" t="e">
        <f>AND('PROG FORMACIÓN TITULADA'!#REF!,"AAAAAHi9/34=")</f>
        <v>#REF!</v>
      </c>
      <c r="DX376" t="e">
        <f>AND('PROG FORMACIÓN TITULADA'!#REF!,"AAAAAHi9/38=")</f>
        <v>#REF!</v>
      </c>
      <c r="DY376" t="e">
        <f>AND('PROG FORMACIÓN TITULADA'!#REF!,"AAAAAHi9/4A=")</f>
        <v>#REF!</v>
      </c>
      <c r="DZ376" t="e">
        <f>AND('PROG FORMACIÓN TITULADA'!#REF!,"AAAAAHi9/4E=")</f>
        <v>#REF!</v>
      </c>
      <c r="EA376" t="e">
        <f>AND('PROG FORMACIÓN TITULADA'!#REF!,"AAAAAHi9/4I=")</f>
        <v>#REF!</v>
      </c>
      <c r="EB376" t="e">
        <f>AND('PROG FORMACIÓN TITULADA'!#REF!,"AAAAAHi9/4M=")</f>
        <v>#REF!</v>
      </c>
      <c r="EC376" t="e">
        <f>AND('PROG FORMACIÓN TITULADA'!#REF!,"AAAAAHi9/4Q=")</f>
        <v>#REF!</v>
      </c>
      <c r="ED376" t="e">
        <f>AND('PROG FORMACIÓN TITULADA'!#REF!,"AAAAAHi9/4U=")</f>
        <v>#REF!</v>
      </c>
      <c r="EE376" t="e">
        <f>AND('PROG FORMACIÓN TITULADA'!#REF!,"AAAAAHi9/4Y=")</f>
        <v>#REF!</v>
      </c>
      <c r="EF376" t="e">
        <f>IF('PROG FORMACIÓN TITULADA'!#REF!,"AAAAAHi9/4c=",0)</f>
        <v>#REF!</v>
      </c>
      <c r="EG376" t="e">
        <f>AND('PROG FORMACIÓN TITULADA'!#REF!,"AAAAAHi9/4g=")</f>
        <v>#REF!</v>
      </c>
      <c r="EH376" t="e">
        <f>AND('PROG FORMACIÓN TITULADA'!#REF!,"AAAAAHi9/4k=")</f>
        <v>#REF!</v>
      </c>
      <c r="EI376" t="e">
        <f>AND('PROG FORMACIÓN TITULADA'!#REF!,"AAAAAHi9/4o=")</f>
        <v>#REF!</v>
      </c>
      <c r="EJ376" t="e">
        <f>AND('PROG FORMACIÓN TITULADA'!#REF!,"AAAAAHi9/4s=")</f>
        <v>#REF!</v>
      </c>
      <c r="EK376" t="e">
        <f>AND('PROG FORMACIÓN TITULADA'!#REF!,"AAAAAHi9/4w=")</f>
        <v>#REF!</v>
      </c>
      <c r="EL376" t="e">
        <f>AND('PROG FORMACIÓN TITULADA'!#REF!,"AAAAAHi9/40=")</f>
        <v>#REF!</v>
      </c>
      <c r="EM376" t="e">
        <f>AND('PROG FORMACIÓN TITULADA'!#REF!,"AAAAAHi9/44=")</f>
        <v>#REF!</v>
      </c>
      <c r="EN376" t="e">
        <f>AND('PROG FORMACIÓN TITULADA'!#REF!,"AAAAAHi9/48=")</f>
        <v>#REF!</v>
      </c>
      <c r="EO376" t="e">
        <f>AND('PROG FORMACIÓN TITULADA'!#REF!,"AAAAAHi9/5A=")</f>
        <v>#REF!</v>
      </c>
      <c r="EP376" t="e">
        <f>AND('PROG FORMACIÓN TITULADA'!#REF!,"AAAAAHi9/5E=")</f>
        <v>#REF!</v>
      </c>
      <c r="EQ376" t="e">
        <f>AND('PROG FORMACIÓN TITULADA'!#REF!,"AAAAAHi9/5I=")</f>
        <v>#REF!</v>
      </c>
      <c r="ER376" t="e">
        <f>AND('PROG FORMACIÓN TITULADA'!#REF!,"AAAAAHi9/5M=")</f>
        <v>#REF!</v>
      </c>
      <c r="ES376" t="e">
        <f>AND('PROG FORMACIÓN TITULADA'!#REF!,"AAAAAHi9/5Q=")</f>
        <v>#REF!</v>
      </c>
      <c r="ET376" t="e">
        <f>AND('PROG FORMACIÓN TITULADA'!#REF!,"AAAAAHi9/5U=")</f>
        <v>#REF!</v>
      </c>
      <c r="EU376" t="e">
        <f>AND('PROG FORMACIÓN TITULADA'!#REF!,"AAAAAHi9/5Y=")</f>
        <v>#REF!</v>
      </c>
      <c r="EV376" t="e">
        <f>AND('PROG FORMACIÓN TITULADA'!#REF!,"AAAAAHi9/5c=")</f>
        <v>#REF!</v>
      </c>
      <c r="EW376" t="e">
        <f>AND('PROG FORMACIÓN TITULADA'!#REF!,"AAAAAHi9/5g=")</f>
        <v>#REF!</v>
      </c>
      <c r="EX376" t="e">
        <f>AND('PROG FORMACIÓN TITULADA'!#REF!,"AAAAAHi9/5k=")</f>
        <v>#REF!</v>
      </c>
      <c r="EY376" t="e">
        <f>AND('PROG FORMACIÓN TITULADA'!#REF!,"AAAAAHi9/5o=")</f>
        <v>#REF!</v>
      </c>
      <c r="EZ376" t="e">
        <f>AND('PROG FORMACIÓN TITULADA'!#REF!,"AAAAAHi9/5s=")</f>
        <v>#REF!</v>
      </c>
      <c r="FA376" t="e">
        <f>AND('PROG FORMACIÓN TITULADA'!#REF!,"AAAAAHi9/5w=")</f>
        <v>#REF!</v>
      </c>
      <c r="FB376" t="e">
        <f>AND('PROG FORMACIÓN TITULADA'!#REF!,"AAAAAHi9/50=")</f>
        <v>#REF!</v>
      </c>
      <c r="FC376" t="e">
        <f>AND('PROG FORMACIÓN TITULADA'!#REF!,"AAAAAHi9/54=")</f>
        <v>#REF!</v>
      </c>
      <c r="FD376" t="e">
        <f>AND('PROG FORMACIÓN TITULADA'!#REF!,"AAAAAHi9/58=")</f>
        <v>#REF!</v>
      </c>
      <c r="FE376" t="e">
        <f>AND('PROG FORMACIÓN TITULADA'!#REF!,"AAAAAHi9/6A=")</f>
        <v>#REF!</v>
      </c>
      <c r="FF376" t="e">
        <f>AND('PROG FORMACIÓN TITULADA'!#REF!,"AAAAAHi9/6E=")</f>
        <v>#REF!</v>
      </c>
      <c r="FG376" t="e">
        <f>IF('PROG FORMACIÓN TITULADA'!#REF!,"AAAAAHi9/6I=",0)</f>
        <v>#REF!</v>
      </c>
      <c r="FH376" t="e">
        <f>AND('PROG FORMACIÓN TITULADA'!#REF!,"AAAAAHi9/6M=")</f>
        <v>#REF!</v>
      </c>
      <c r="FI376" t="e">
        <f>AND('PROG FORMACIÓN TITULADA'!#REF!,"AAAAAHi9/6Q=")</f>
        <v>#REF!</v>
      </c>
      <c r="FJ376" t="e">
        <f>AND('PROG FORMACIÓN TITULADA'!#REF!,"AAAAAHi9/6U=")</f>
        <v>#REF!</v>
      </c>
      <c r="FK376" t="e">
        <f>AND('PROG FORMACIÓN TITULADA'!#REF!,"AAAAAHi9/6Y=")</f>
        <v>#REF!</v>
      </c>
      <c r="FL376" t="e">
        <f>AND('PROG FORMACIÓN TITULADA'!#REF!,"AAAAAHi9/6c=")</f>
        <v>#REF!</v>
      </c>
      <c r="FM376" t="e">
        <f>AND('PROG FORMACIÓN TITULADA'!#REF!,"AAAAAHi9/6g=")</f>
        <v>#REF!</v>
      </c>
      <c r="FN376" t="e">
        <f>AND('PROG FORMACIÓN TITULADA'!#REF!,"AAAAAHi9/6k=")</f>
        <v>#REF!</v>
      </c>
      <c r="FO376" t="e">
        <f>AND('PROG FORMACIÓN TITULADA'!#REF!,"AAAAAHi9/6o=")</f>
        <v>#REF!</v>
      </c>
      <c r="FP376" t="e">
        <f>AND('PROG FORMACIÓN TITULADA'!#REF!,"AAAAAHi9/6s=")</f>
        <v>#REF!</v>
      </c>
      <c r="FQ376" t="e">
        <f>AND('PROG FORMACIÓN TITULADA'!#REF!,"AAAAAHi9/6w=")</f>
        <v>#REF!</v>
      </c>
      <c r="FR376" t="e">
        <f>AND('PROG FORMACIÓN TITULADA'!#REF!,"AAAAAHi9/60=")</f>
        <v>#REF!</v>
      </c>
      <c r="FS376" t="e">
        <f>AND('PROG FORMACIÓN TITULADA'!#REF!,"AAAAAHi9/64=")</f>
        <v>#REF!</v>
      </c>
      <c r="FT376" t="e">
        <f>AND('PROG FORMACIÓN TITULADA'!#REF!,"AAAAAHi9/68=")</f>
        <v>#REF!</v>
      </c>
      <c r="FU376" t="e">
        <f>AND('PROG FORMACIÓN TITULADA'!#REF!,"AAAAAHi9/7A=")</f>
        <v>#REF!</v>
      </c>
      <c r="FV376" t="e">
        <f>AND('PROG FORMACIÓN TITULADA'!#REF!,"AAAAAHi9/7E=")</f>
        <v>#REF!</v>
      </c>
      <c r="FW376" t="e">
        <f>AND('PROG FORMACIÓN TITULADA'!#REF!,"AAAAAHi9/7I=")</f>
        <v>#REF!</v>
      </c>
      <c r="FX376" t="e">
        <f>AND('PROG FORMACIÓN TITULADA'!#REF!,"AAAAAHi9/7M=")</f>
        <v>#REF!</v>
      </c>
      <c r="FY376" t="e">
        <f>AND('PROG FORMACIÓN TITULADA'!#REF!,"AAAAAHi9/7Q=")</f>
        <v>#REF!</v>
      </c>
      <c r="FZ376" t="e">
        <f>AND('PROG FORMACIÓN TITULADA'!#REF!,"AAAAAHi9/7U=")</f>
        <v>#REF!</v>
      </c>
      <c r="GA376" t="e">
        <f>AND('PROG FORMACIÓN TITULADA'!#REF!,"AAAAAHi9/7Y=")</f>
        <v>#REF!</v>
      </c>
      <c r="GB376" t="e">
        <f>AND('PROG FORMACIÓN TITULADA'!#REF!,"AAAAAHi9/7c=")</f>
        <v>#REF!</v>
      </c>
      <c r="GC376" t="e">
        <f>AND('PROG FORMACIÓN TITULADA'!#REF!,"AAAAAHi9/7g=")</f>
        <v>#REF!</v>
      </c>
      <c r="GD376" t="e">
        <f>AND('PROG FORMACIÓN TITULADA'!#REF!,"AAAAAHi9/7k=")</f>
        <v>#REF!</v>
      </c>
      <c r="GE376" t="e">
        <f>AND('PROG FORMACIÓN TITULADA'!#REF!,"AAAAAHi9/7o=")</f>
        <v>#REF!</v>
      </c>
      <c r="GF376" t="e">
        <f>AND('PROG FORMACIÓN TITULADA'!#REF!,"AAAAAHi9/7s=")</f>
        <v>#REF!</v>
      </c>
      <c r="GG376" t="e">
        <f>AND('PROG FORMACIÓN TITULADA'!#REF!,"AAAAAHi9/7w=")</f>
        <v>#REF!</v>
      </c>
      <c r="GH376" t="e">
        <f>IF('PROG FORMACIÓN TITULADA'!#REF!,"AAAAAHi9/70=",0)</f>
        <v>#REF!</v>
      </c>
      <c r="GI376" t="e">
        <f>AND('PROG FORMACIÓN TITULADA'!#REF!,"AAAAAHi9/74=")</f>
        <v>#REF!</v>
      </c>
      <c r="GJ376" t="e">
        <f>AND('PROG FORMACIÓN TITULADA'!#REF!,"AAAAAHi9/78=")</f>
        <v>#REF!</v>
      </c>
      <c r="GK376" t="e">
        <f>AND('PROG FORMACIÓN TITULADA'!#REF!,"AAAAAHi9/8A=")</f>
        <v>#REF!</v>
      </c>
      <c r="GL376" t="e">
        <f>AND('PROG FORMACIÓN TITULADA'!#REF!,"AAAAAHi9/8E=")</f>
        <v>#REF!</v>
      </c>
      <c r="GM376" t="e">
        <f>AND('PROG FORMACIÓN TITULADA'!#REF!,"AAAAAHi9/8I=")</f>
        <v>#REF!</v>
      </c>
      <c r="GN376" t="e">
        <f>AND('PROG FORMACIÓN TITULADA'!#REF!,"AAAAAHi9/8M=")</f>
        <v>#REF!</v>
      </c>
      <c r="GO376" t="e">
        <f>AND('PROG FORMACIÓN TITULADA'!#REF!,"AAAAAHi9/8Q=")</f>
        <v>#REF!</v>
      </c>
      <c r="GP376" t="e">
        <f>AND('PROG FORMACIÓN TITULADA'!#REF!,"AAAAAHi9/8U=")</f>
        <v>#REF!</v>
      </c>
      <c r="GQ376" t="e">
        <f>AND('PROG FORMACIÓN TITULADA'!#REF!,"AAAAAHi9/8Y=")</f>
        <v>#REF!</v>
      </c>
      <c r="GR376" t="e">
        <f>AND('PROG FORMACIÓN TITULADA'!#REF!,"AAAAAHi9/8c=")</f>
        <v>#REF!</v>
      </c>
      <c r="GS376" t="e">
        <f>AND('PROG FORMACIÓN TITULADA'!#REF!,"AAAAAHi9/8g=")</f>
        <v>#REF!</v>
      </c>
      <c r="GT376" t="e">
        <f>AND('PROG FORMACIÓN TITULADA'!#REF!,"AAAAAHi9/8k=")</f>
        <v>#REF!</v>
      </c>
      <c r="GU376" t="e">
        <f>AND('PROG FORMACIÓN TITULADA'!#REF!,"AAAAAHi9/8o=")</f>
        <v>#REF!</v>
      </c>
      <c r="GV376" t="e">
        <f>AND('PROG FORMACIÓN TITULADA'!#REF!,"AAAAAHi9/8s=")</f>
        <v>#REF!</v>
      </c>
      <c r="GW376" t="e">
        <f>AND('PROG FORMACIÓN TITULADA'!#REF!,"AAAAAHi9/8w=")</f>
        <v>#REF!</v>
      </c>
      <c r="GX376" t="e">
        <f>AND('PROG FORMACIÓN TITULADA'!#REF!,"AAAAAHi9/80=")</f>
        <v>#REF!</v>
      </c>
      <c r="GY376" t="e">
        <f>AND('PROG FORMACIÓN TITULADA'!#REF!,"AAAAAHi9/84=")</f>
        <v>#REF!</v>
      </c>
      <c r="GZ376" t="e">
        <f>AND('PROG FORMACIÓN TITULADA'!#REF!,"AAAAAHi9/88=")</f>
        <v>#REF!</v>
      </c>
      <c r="HA376" t="e">
        <f>AND('PROG FORMACIÓN TITULADA'!#REF!,"AAAAAHi9/9A=")</f>
        <v>#REF!</v>
      </c>
      <c r="HB376" t="e">
        <f>AND('PROG FORMACIÓN TITULADA'!#REF!,"AAAAAHi9/9E=")</f>
        <v>#REF!</v>
      </c>
      <c r="HC376" t="e">
        <f>AND('PROG FORMACIÓN TITULADA'!#REF!,"AAAAAHi9/9I=")</f>
        <v>#REF!</v>
      </c>
      <c r="HD376" t="e">
        <f>AND('PROG FORMACIÓN TITULADA'!#REF!,"AAAAAHi9/9M=")</f>
        <v>#REF!</v>
      </c>
      <c r="HE376" t="e">
        <f>AND('PROG FORMACIÓN TITULADA'!#REF!,"AAAAAHi9/9Q=")</f>
        <v>#REF!</v>
      </c>
      <c r="HF376" t="e">
        <f>AND('PROG FORMACIÓN TITULADA'!#REF!,"AAAAAHi9/9U=")</f>
        <v>#REF!</v>
      </c>
      <c r="HG376" t="e">
        <f>AND('PROG FORMACIÓN TITULADA'!#REF!,"AAAAAHi9/9Y=")</f>
        <v>#REF!</v>
      </c>
      <c r="HH376" t="e">
        <f>AND('PROG FORMACIÓN TITULADA'!#REF!,"AAAAAHi9/9c=")</f>
        <v>#REF!</v>
      </c>
      <c r="HI376" t="e">
        <f>IF('PROG FORMACIÓN TITULADA'!#REF!,"AAAAAHi9/9g=",0)</f>
        <v>#REF!</v>
      </c>
      <c r="HJ376" t="e">
        <f>AND('PROG FORMACIÓN TITULADA'!#REF!,"AAAAAHi9/9k=")</f>
        <v>#REF!</v>
      </c>
      <c r="HK376" t="e">
        <f>AND('PROG FORMACIÓN TITULADA'!#REF!,"AAAAAHi9/9o=")</f>
        <v>#REF!</v>
      </c>
      <c r="HL376" t="e">
        <f>AND('PROG FORMACIÓN TITULADA'!#REF!,"AAAAAHi9/9s=")</f>
        <v>#REF!</v>
      </c>
      <c r="HM376" t="e">
        <f>AND('PROG FORMACIÓN TITULADA'!#REF!,"AAAAAHi9/9w=")</f>
        <v>#REF!</v>
      </c>
      <c r="HN376" t="e">
        <f>AND('PROG FORMACIÓN TITULADA'!#REF!,"AAAAAHi9/90=")</f>
        <v>#REF!</v>
      </c>
      <c r="HO376" t="e">
        <f>AND('PROG FORMACIÓN TITULADA'!#REF!,"AAAAAHi9/94=")</f>
        <v>#REF!</v>
      </c>
      <c r="HP376" t="e">
        <f>AND('PROG FORMACIÓN TITULADA'!#REF!,"AAAAAHi9/98=")</f>
        <v>#REF!</v>
      </c>
      <c r="HQ376" t="e">
        <f>AND('PROG FORMACIÓN TITULADA'!#REF!,"AAAAAHi9/+A=")</f>
        <v>#REF!</v>
      </c>
      <c r="HR376" t="e">
        <f>AND('PROG FORMACIÓN TITULADA'!#REF!,"AAAAAHi9/+E=")</f>
        <v>#REF!</v>
      </c>
      <c r="HS376" t="e">
        <f>AND('PROG FORMACIÓN TITULADA'!#REF!,"AAAAAHi9/+I=")</f>
        <v>#REF!</v>
      </c>
      <c r="HT376" t="e">
        <f>AND('PROG FORMACIÓN TITULADA'!#REF!,"AAAAAHi9/+M=")</f>
        <v>#REF!</v>
      </c>
      <c r="HU376" t="e">
        <f>AND('PROG FORMACIÓN TITULADA'!#REF!,"AAAAAHi9/+Q=")</f>
        <v>#REF!</v>
      </c>
      <c r="HV376" t="e">
        <f>AND('PROG FORMACIÓN TITULADA'!#REF!,"AAAAAHi9/+U=")</f>
        <v>#REF!</v>
      </c>
      <c r="HW376" t="e">
        <f>AND('PROG FORMACIÓN TITULADA'!#REF!,"AAAAAHi9/+Y=")</f>
        <v>#REF!</v>
      </c>
      <c r="HX376" t="e">
        <f>AND('PROG FORMACIÓN TITULADA'!#REF!,"AAAAAHi9/+c=")</f>
        <v>#REF!</v>
      </c>
      <c r="HY376" t="e">
        <f>AND('PROG FORMACIÓN TITULADA'!#REF!,"AAAAAHi9/+g=")</f>
        <v>#REF!</v>
      </c>
      <c r="HZ376" t="e">
        <f>AND('PROG FORMACIÓN TITULADA'!#REF!,"AAAAAHi9/+k=")</f>
        <v>#REF!</v>
      </c>
      <c r="IA376" t="e">
        <f>AND('PROG FORMACIÓN TITULADA'!#REF!,"AAAAAHi9/+o=")</f>
        <v>#REF!</v>
      </c>
      <c r="IB376" t="e">
        <f>AND('PROG FORMACIÓN TITULADA'!#REF!,"AAAAAHi9/+s=")</f>
        <v>#REF!</v>
      </c>
      <c r="IC376" t="e">
        <f>AND('PROG FORMACIÓN TITULADA'!#REF!,"AAAAAHi9/+w=")</f>
        <v>#REF!</v>
      </c>
      <c r="ID376" t="e">
        <f>AND('PROG FORMACIÓN TITULADA'!#REF!,"AAAAAHi9/+0=")</f>
        <v>#REF!</v>
      </c>
      <c r="IE376" t="e">
        <f>AND('PROG FORMACIÓN TITULADA'!#REF!,"AAAAAHi9/+4=")</f>
        <v>#REF!</v>
      </c>
      <c r="IF376" t="e">
        <f>AND('PROG FORMACIÓN TITULADA'!#REF!,"AAAAAHi9/+8=")</f>
        <v>#REF!</v>
      </c>
      <c r="IG376" t="e">
        <f>AND('PROG FORMACIÓN TITULADA'!#REF!,"AAAAAHi9//A=")</f>
        <v>#REF!</v>
      </c>
      <c r="IH376" t="e">
        <f>AND('PROG FORMACIÓN TITULADA'!#REF!,"AAAAAHi9//E=")</f>
        <v>#REF!</v>
      </c>
      <c r="II376" t="e">
        <f>AND('PROG FORMACIÓN TITULADA'!#REF!,"AAAAAHi9//I=")</f>
        <v>#REF!</v>
      </c>
      <c r="IJ376" t="e">
        <f>IF('PROG FORMACIÓN TITULADA'!#REF!,"AAAAAHi9//M=",0)</f>
        <v>#REF!</v>
      </c>
      <c r="IK376" t="e">
        <f>AND('PROG FORMACIÓN TITULADA'!#REF!,"AAAAAHi9//Q=")</f>
        <v>#REF!</v>
      </c>
      <c r="IL376" t="e">
        <f>AND('PROG FORMACIÓN TITULADA'!#REF!,"AAAAAHi9//U=")</f>
        <v>#REF!</v>
      </c>
      <c r="IM376" t="e">
        <f>AND('PROG FORMACIÓN TITULADA'!#REF!,"AAAAAHi9//Y=")</f>
        <v>#REF!</v>
      </c>
      <c r="IN376" t="e">
        <f>AND('PROG FORMACIÓN TITULADA'!#REF!,"AAAAAHi9//c=")</f>
        <v>#REF!</v>
      </c>
      <c r="IO376" t="e">
        <f>AND('PROG FORMACIÓN TITULADA'!#REF!,"AAAAAHi9//g=")</f>
        <v>#REF!</v>
      </c>
      <c r="IP376" t="e">
        <f>AND('PROG FORMACIÓN TITULADA'!#REF!,"AAAAAHi9//k=")</f>
        <v>#REF!</v>
      </c>
      <c r="IQ376" t="e">
        <f>AND('PROG FORMACIÓN TITULADA'!#REF!,"AAAAAHi9//o=")</f>
        <v>#REF!</v>
      </c>
      <c r="IR376" t="e">
        <f>AND('PROG FORMACIÓN TITULADA'!#REF!,"AAAAAHi9//s=")</f>
        <v>#REF!</v>
      </c>
      <c r="IS376" t="e">
        <f>AND('PROG FORMACIÓN TITULADA'!#REF!,"AAAAAHi9//w=")</f>
        <v>#REF!</v>
      </c>
      <c r="IT376" t="e">
        <f>AND('PROG FORMACIÓN TITULADA'!#REF!,"AAAAAHi9//0=")</f>
        <v>#REF!</v>
      </c>
      <c r="IU376" t="e">
        <f>AND('PROG FORMACIÓN TITULADA'!#REF!,"AAAAAHi9//4=")</f>
        <v>#REF!</v>
      </c>
      <c r="IV376" t="e">
        <f>AND('PROG FORMACIÓN TITULADA'!#REF!,"AAAAAHi9//8=")</f>
        <v>#REF!</v>
      </c>
    </row>
    <row r="377" spans="1:256" x14ac:dyDescent="0.2">
      <c r="A377" t="e">
        <f>AND('PROG FORMACIÓN TITULADA'!#REF!,"AAAAAF9FjwA=")</f>
        <v>#REF!</v>
      </c>
      <c r="B377" t="e">
        <f>AND('PROG FORMACIÓN TITULADA'!#REF!,"AAAAAF9FjwE=")</f>
        <v>#REF!</v>
      </c>
      <c r="C377" t="e">
        <f>AND('PROG FORMACIÓN TITULADA'!#REF!,"AAAAAF9FjwI=")</f>
        <v>#REF!</v>
      </c>
      <c r="D377" t="e">
        <f>AND('PROG FORMACIÓN TITULADA'!#REF!,"AAAAAF9FjwM=")</f>
        <v>#REF!</v>
      </c>
      <c r="E377" t="e">
        <f>AND('PROG FORMACIÓN TITULADA'!#REF!,"AAAAAF9FjwQ=")</f>
        <v>#REF!</v>
      </c>
      <c r="F377" t="e">
        <f>AND('PROG FORMACIÓN TITULADA'!#REF!,"AAAAAF9FjwU=")</f>
        <v>#REF!</v>
      </c>
      <c r="G377" t="e">
        <f>AND('PROG FORMACIÓN TITULADA'!#REF!,"AAAAAF9FjwY=")</f>
        <v>#REF!</v>
      </c>
      <c r="H377" t="e">
        <f>AND('PROG FORMACIÓN TITULADA'!#REF!,"AAAAAF9Fjwc=")</f>
        <v>#REF!</v>
      </c>
      <c r="I377" t="e">
        <f>AND('PROG FORMACIÓN TITULADA'!#REF!,"AAAAAF9Fjwg=")</f>
        <v>#REF!</v>
      </c>
      <c r="J377" t="e">
        <f>AND('PROG FORMACIÓN TITULADA'!#REF!,"AAAAAF9Fjwk=")</f>
        <v>#REF!</v>
      </c>
      <c r="K377" t="e">
        <f>AND('PROG FORMACIÓN TITULADA'!#REF!,"AAAAAF9Fjwo=")</f>
        <v>#REF!</v>
      </c>
      <c r="L377" t="e">
        <f>AND('PROG FORMACIÓN TITULADA'!#REF!,"AAAAAF9Fjws=")</f>
        <v>#REF!</v>
      </c>
      <c r="M377" t="e">
        <f>AND('PROG FORMACIÓN TITULADA'!#REF!,"AAAAAF9Fjww=")</f>
        <v>#REF!</v>
      </c>
      <c r="N377" t="e">
        <f>AND('PROG FORMACIÓN TITULADA'!#REF!,"AAAAAF9Fjw0=")</f>
        <v>#REF!</v>
      </c>
      <c r="O377" t="e">
        <f>IF('PROG FORMACIÓN TITULADA'!#REF!,"AAAAAF9Fjw4=",0)</f>
        <v>#REF!</v>
      </c>
      <c r="P377" t="e">
        <f>AND('PROG FORMACIÓN TITULADA'!#REF!,"AAAAAF9Fjw8=")</f>
        <v>#REF!</v>
      </c>
      <c r="Q377" t="e">
        <f>AND('PROG FORMACIÓN TITULADA'!#REF!,"AAAAAF9FjxA=")</f>
        <v>#REF!</v>
      </c>
      <c r="R377" t="e">
        <f>AND('PROG FORMACIÓN TITULADA'!#REF!,"AAAAAF9FjxE=")</f>
        <v>#REF!</v>
      </c>
      <c r="S377" t="e">
        <f>AND('PROG FORMACIÓN TITULADA'!#REF!,"AAAAAF9FjxI=")</f>
        <v>#REF!</v>
      </c>
      <c r="T377" t="e">
        <f>AND('PROG FORMACIÓN TITULADA'!#REF!,"AAAAAF9FjxM=")</f>
        <v>#REF!</v>
      </c>
      <c r="U377" t="e">
        <f>AND('PROG FORMACIÓN TITULADA'!#REF!,"AAAAAF9FjxQ=")</f>
        <v>#REF!</v>
      </c>
      <c r="V377" t="e">
        <f>AND('PROG FORMACIÓN TITULADA'!#REF!,"AAAAAF9FjxU=")</f>
        <v>#REF!</v>
      </c>
      <c r="W377" t="e">
        <f>AND('PROG FORMACIÓN TITULADA'!#REF!,"AAAAAF9FjxY=")</f>
        <v>#REF!</v>
      </c>
      <c r="X377" t="e">
        <f>AND('PROG FORMACIÓN TITULADA'!#REF!,"AAAAAF9Fjxc=")</f>
        <v>#REF!</v>
      </c>
      <c r="Y377" t="e">
        <f>AND('PROG FORMACIÓN TITULADA'!#REF!,"AAAAAF9Fjxg=")</f>
        <v>#REF!</v>
      </c>
      <c r="Z377" t="e">
        <f>AND('PROG FORMACIÓN TITULADA'!#REF!,"AAAAAF9Fjxk=")</f>
        <v>#REF!</v>
      </c>
      <c r="AA377" t="e">
        <f>AND('PROG FORMACIÓN TITULADA'!#REF!,"AAAAAF9Fjxo=")</f>
        <v>#REF!</v>
      </c>
      <c r="AB377" t="e">
        <f>AND('PROG FORMACIÓN TITULADA'!#REF!,"AAAAAF9Fjxs=")</f>
        <v>#REF!</v>
      </c>
      <c r="AC377" t="e">
        <f>AND('PROG FORMACIÓN TITULADA'!#REF!,"AAAAAF9Fjxw=")</f>
        <v>#REF!</v>
      </c>
      <c r="AD377" t="e">
        <f>AND('PROG FORMACIÓN TITULADA'!#REF!,"AAAAAF9Fjx0=")</f>
        <v>#REF!</v>
      </c>
      <c r="AE377" t="e">
        <f>AND('PROG FORMACIÓN TITULADA'!#REF!,"AAAAAF9Fjx4=")</f>
        <v>#REF!</v>
      </c>
      <c r="AF377" t="e">
        <f>AND('PROG FORMACIÓN TITULADA'!#REF!,"AAAAAF9Fjx8=")</f>
        <v>#REF!</v>
      </c>
      <c r="AG377" t="e">
        <f>AND('PROG FORMACIÓN TITULADA'!#REF!,"AAAAAF9FjyA=")</f>
        <v>#REF!</v>
      </c>
      <c r="AH377" t="e">
        <f>AND('PROG FORMACIÓN TITULADA'!#REF!,"AAAAAF9FjyE=")</f>
        <v>#REF!</v>
      </c>
      <c r="AI377" t="e">
        <f>AND('PROG FORMACIÓN TITULADA'!#REF!,"AAAAAF9FjyI=")</f>
        <v>#REF!</v>
      </c>
      <c r="AJ377" t="e">
        <f>AND('PROG FORMACIÓN TITULADA'!#REF!,"AAAAAF9FjyM=")</f>
        <v>#REF!</v>
      </c>
      <c r="AK377" t="e">
        <f>AND('PROG FORMACIÓN TITULADA'!#REF!,"AAAAAF9FjyQ=")</f>
        <v>#REF!</v>
      </c>
      <c r="AL377" t="e">
        <f>AND('PROG FORMACIÓN TITULADA'!#REF!,"AAAAAF9FjyU=")</f>
        <v>#REF!</v>
      </c>
      <c r="AM377" t="e">
        <f>AND('PROG FORMACIÓN TITULADA'!#REF!,"AAAAAF9FjyY=")</f>
        <v>#REF!</v>
      </c>
      <c r="AN377" t="e">
        <f>AND('PROG FORMACIÓN TITULADA'!#REF!,"AAAAAF9Fjyc=")</f>
        <v>#REF!</v>
      </c>
      <c r="AO377" t="e">
        <f>AND('PROG FORMACIÓN TITULADA'!#REF!,"AAAAAF9Fjyg=")</f>
        <v>#REF!</v>
      </c>
      <c r="AP377" t="e">
        <f>IF('PROG FORMACIÓN TITULADA'!#REF!,"AAAAAF9Fjyk=",0)</f>
        <v>#REF!</v>
      </c>
      <c r="AQ377" t="e">
        <f>AND('PROG FORMACIÓN TITULADA'!#REF!,"AAAAAF9Fjyo=")</f>
        <v>#REF!</v>
      </c>
      <c r="AR377" t="e">
        <f>AND('PROG FORMACIÓN TITULADA'!#REF!,"AAAAAF9Fjys=")</f>
        <v>#REF!</v>
      </c>
      <c r="AS377" t="e">
        <f>AND('PROG FORMACIÓN TITULADA'!#REF!,"AAAAAF9Fjyw=")</f>
        <v>#REF!</v>
      </c>
      <c r="AT377" t="e">
        <f>AND('PROG FORMACIÓN TITULADA'!#REF!,"AAAAAF9Fjy0=")</f>
        <v>#REF!</v>
      </c>
      <c r="AU377" t="e">
        <f>AND('PROG FORMACIÓN TITULADA'!#REF!,"AAAAAF9Fjy4=")</f>
        <v>#REF!</v>
      </c>
      <c r="AV377" t="e">
        <f>AND('PROG FORMACIÓN TITULADA'!#REF!,"AAAAAF9Fjy8=")</f>
        <v>#REF!</v>
      </c>
      <c r="AW377" t="e">
        <f>AND('PROG FORMACIÓN TITULADA'!#REF!,"AAAAAF9FjzA=")</f>
        <v>#REF!</v>
      </c>
      <c r="AX377" t="e">
        <f>AND('PROG FORMACIÓN TITULADA'!#REF!,"AAAAAF9FjzE=")</f>
        <v>#REF!</v>
      </c>
      <c r="AY377" t="e">
        <f>AND('PROG FORMACIÓN TITULADA'!#REF!,"AAAAAF9FjzI=")</f>
        <v>#REF!</v>
      </c>
      <c r="AZ377" t="e">
        <f>AND('PROG FORMACIÓN TITULADA'!#REF!,"AAAAAF9FjzM=")</f>
        <v>#REF!</v>
      </c>
      <c r="BA377" t="e">
        <f>AND('PROG FORMACIÓN TITULADA'!#REF!,"AAAAAF9FjzQ=")</f>
        <v>#REF!</v>
      </c>
      <c r="BB377" t="e">
        <f>AND('PROG FORMACIÓN TITULADA'!#REF!,"AAAAAF9FjzU=")</f>
        <v>#REF!</v>
      </c>
      <c r="BC377" t="e">
        <f>AND('PROG FORMACIÓN TITULADA'!#REF!,"AAAAAF9FjzY=")</f>
        <v>#REF!</v>
      </c>
      <c r="BD377" t="e">
        <f>AND('PROG FORMACIÓN TITULADA'!#REF!,"AAAAAF9Fjzc=")</f>
        <v>#REF!</v>
      </c>
      <c r="BE377" t="e">
        <f>AND('PROG FORMACIÓN TITULADA'!#REF!,"AAAAAF9Fjzg=")</f>
        <v>#REF!</v>
      </c>
      <c r="BF377" t="e">
        <f>AND('PROG FORMACIÓN TITULADA'!#REF!,"AAAAAF9Fjzk=")</f>
        <v>#REF!</v>
      </c>
      <c r="BG377" t="e">
        <f>AND('PROG FORMACIÓN TITULADA'!#REF!,"AAAAAF9Fjzo=")</f>
        <v>#REF!</v>
      </c>
      <c r="BH377" t="e">
        <f>AND('PROG FORMACIÓN TITULADA'!#REF!,"AAAAAF9Fjzs=")</f>
        <v>#REF!</v>
      </c>
      <c r="BI377" t="e">
        <f>AND('PROG FORMACIÓN TITULADA'!#REF!,"AAAAAF9Fjzw=")</f>
        <v>#REF!</v>
      </c>
      <c r="BJ377" t="e">
        <f>AND('PROG FORMACIÓN TITULADA'!#REF!,"AAAAAF9Fjz0=")</f>
        <v>#REF!</v>
      </c>
      <c r="BK377" t="e">
        <f>AND('PROG FORMACIÓN TITULADA'!#REF!,"AAAAAF9Fjz4=")</f>
        <v>#REF!</v>
      </c>
      <c r="BL377" t="e">
        <f>AND('PROG FORMACIÓN TITULADA'!#REF!,"AAAAAF9Fjz8=")</f>
        <v>#REF!</v>
      </c>
      <c r="BM377" t="e">
        <f>AND('PROG FORMACIÓN TITULADA'!#REF!,"AAAAAF9Fj0A=")</f>
        <v>#REF!</v>
      </c>
      <c r="BN377" t="e">
        <f>AND('PROG FORMACIÓN TITULADA'!#REF!,"AAAAAF9Fj0E=")</f>
        <v>#REF!</v>
      </c>
      <c r="BO377" t="e">
        <f>AND('PROG FORMACIÓN TITULADA'!#REF!,"AAAAAF9Fj0I=")</f>
        <v>#REF!</v>
      </c>
      <c r="BP377" t="e">
        <f>AND('PROG FORMACIÓN TITULADA'!#REF!,"AAAAAF9Fj0M=")</f>
        <v>#REF!</v>
      </c>
      <c r="BQ377" t="e">
        <f>IF('PROG FORMACIÓN TITULADA'!#REF!,"AAAAAF9Fj0Q=",0)</f>
        <v>#REF!</v>
      </c>
      <c r="BR377" t="e">
        <f>AND('PROG FORMACIÓN TITULADA'!#REF!,"AAAAAF9Fj0U=")</f>
        <v>#REF!</v>
      </c>
      <c r="BS377" t="e">
        <f>AND('PROG FORMACIÓN TITULADA'!#REF!,"AAAAAF9Fj0Y=")</f>
        <v>#REF!</v>
      </c>
      <c r="BT377" t="e">
        <f>AND('PROG FORMACIÓN TITULADA'!#REF!,"AAAAAF9Fj0c=")</f>
        <v>#REF!</v>
      </c>
      <c r="BU377" t="e">
        <f>AND('PROG FORMACIÓN TITULADA'!#REF!,"AAAAAF9Fj0g=")</f>
        <v>#REF!</v>
      </c>
      <c r="BV377" t="e">
        <f>AND('PROG FORMACIÓN TITULADA'!#REF!,"AAAAAF9Fj0k=")</f>
        <v>#REF!</v>
      </c>
      <c r="BW377" t="e">
        <f>AND('PROG FORMACIÓN TITULADA'!#REF!,"AAAAAF9Fj0o=")</f>
        <v>#REF!</v>
      </c>
      <c r="BX377" t="e">
        <f>AND('PROG FORMACIÓN TITULADA'!#REF!,"AAAAAF9Fj0s=")</f>
        <v>#REF!</v>
      </c>
      <c r="BY377" t="e">
        <f>AND('PROG FORMACIÓN TITULADA'!#REF!,"AAAAAF9Fj0w=")</f>
        <v>#REF!</v>
      </c>
      <c r="BZ377" t="e">
        <f>AND('PROG FORMACIÓN TITULADA'!#REF!,"AAAAAF9Fj00=")</f>
        <v>#REF!</v>
      </c>
      <c r="CA377" t="e">
        <f>AND('PROG FORMACIÓN TITULADA'!#REF!,"AAAAAF9Fj04=")</f>
        <v>#REF!</v>
      </c>
      <c r="CB377" t="e">
        <f>AND('PROG FORMACIÓN TITULADA'!#REF!,"AAAAAF9Fj08=")</f>
        <v>#REF!</v>
      </c>
      <c r="CC377" t="e">
        <f>AND('PROG FORMACIÓN TITULADA'!#REF!,"AAAAAF9Fj1A=")</f>
        <v>#REF!</v>
      </c>
      <c r="CD377" t="e">
        <f>AND('PROG FORMACIÓN TITULADA'!#REF!,"AAAAAF9Fj1E=")</f>
        <v>#REF!</v>
      </c>
      <c r="CE377" t="e">
        <f>AND('PROG FORMACIÓN TITULADA'!#REF!,"AAAAAF9Fj1I=")</f>
        <v>#REF!</v>
      </c>
      <c r="CF377" t="e">
        <f>AND('PROG FORMACIÓN TITULADA'!#REF!,"AAAAAF9Fj1M=")</f>
        <v>#REF!</v>
      </c>
      <c r="CG377" t="e">
        <f>AND('PROG FORMACIÓN TITULADA'!#REF!,"AAAAAF9Fj1Q=")</f>
        <v>#REF!</v>
      </c>
      <c r="CH377" t="e">
        <f>AND('PROG FORMACIÓN TITULADA'!#REF!,"AAAAAF9Fj1U=")</f>
        <v>#REF!</v>
      </c>
      <c r="CI377" t="e">
        <f>AND('PROG FORMACIÓN TITULADA'!#REF!,"AAAAAF9Fj1Y=")</f>
        <v>#REF!</v>
      </c>
      <c r="CJ377" t="e">
        <f>AND('PROG FORMACIÓN TITULADA'!#REF!,"AAAAAF9Fj1c=")</f>
        <v>#REF!</v>
      </c>
      <c r="CK377" t="e">
        <f>AND('PROG FORMACIÓN TITULADA'!#REF!,"AAAAAF9Fj1g=")</f>
        <v>#REF!</v>
      </c>
      <c r="CL377" t="e">
        <f>AND('PROG FORMACIÓN TITULADA'!#REF!,"AAAAAF9Fj1k=")</f>
        <v>#REF!</v>
      </c>
      <c r="CM377" t="e">
        <f>AND('PROG FORMACIÓN TITULADA'!#REF!,"AAAAAF9Fj1o=")</f>
        <v>#REF!</v>
      </c>
      <c r="CN377" t="e">
        <f>AND('PROG FORMACIÓN TITULADA'!#REF!,"AAAAAF9Fj1s=")</f>
        <v>#REF!</v>
      </c>
      <c r="CO377" t="e">
        <f>AND('PROG FORMACIÓN TITULADA'!#REF!,"AAAAAF9Fj1w=")</f>
        <v>#REF!</v>
      </c>
      <c r="CP377" t="e">
        <f>AND('PROG FORMACIÓN TITULADA'!#REF!,"AAAAAF9Fj10=")</f>
        <v>#REF!</v>
      </c>
      <c r="CQ377" t="e">
        <f>AND('PROG FORMACIÓN TITULADA'!#REF!,"AAAAAF9Fj14=")</f>
        <v>#REF!</v>
      </c>
      <c r="CR377" t="e">
        <f>IF('PROG FORMACIÓN TITULADA'!#REF!,"AAAAAF9Fj18=",0)</f>
        <v>#REF!</v>
      </c>
      <c r="CS377" t="e">
        <f>AND('PROG FORMACIÓN TITULADA'!#REF!,"AAAAAF9Fj2A=")</f>
        <v>#REF!</v>
      </c>
      <c r="CT377" t="e">
        <f>AND('PROG FORMACIÓN TITULADA'!#REF!,"AAAAAF9Fj2E=")</f>
        <v>#REF!</v>
      </c>
      <c r="CU377" t="e">
        <f>AND('PROG FORMACIÓN TITULADA'!#REF!,"AAAAAF9Fj2I=")</f>
        <v>#REF!</v>
      </c>
      <c r="CV377" t="e">
        <f>AND('PROG FORMACIÓN TITULADA'!#REF!,"AAAAAF9Fj2M=")</f>
        <v>#REF!</v>
      </c>
      <c r="CW377" t="e">
        <f>AND('PROG FORMACIÓN TITULADA'!#REF!,"AAAAAF9Fj2Q=")</f>
        <v>#REF!</v>
      </c>
      <c r="CX377" t="e">
        <f>AND('PROG FORMACIÓN TITULADA'!#REF!,"AAAAAF9Fj2U=")</f>
        <v>#REF!</v>
      </c>
      <c r="CY377" t="e">
        <f>AND('PROG FORMACIÓN TITULADA'!#REF!,"AAAAAF9Fj2Y=")</f>
        <v>#REF!</v>
      </c>
      <c r="CZ377" t="e">
        <f>AND('PROG FORMACIÓN TITULADA'!#REF!,"AAAAAF9Fj2c=")</f>
        <v>#REF!</v>
      </c>
      <c r="DA377" t="e">
        <f>AND('PROG FORMACIÓN TITULADA'!#REF!,"AAAAAF9Fj2g=")</f>
        <v>#REF!</v>
      </c>
      <c r="DB377" t="e">
        <f>AND('PROG FORMACIÓN TITULADA'!#REF!,"AAAAAF9Fj2k=")</f>
        <v>#REF!</v>
      </c>
      <c r="DC377" t="e">
        <f>AND('PROG FORMACIÓN TITULADA'!#REF!,"AAAAAF9Fj2o=")</f>
        <v>#REF!</v>
      </c>
      <c r="DD377" t="e">
        <f>AND('PROG FORMACIÓN TITULADA'!#REF!,"AAAAAF9Fj2s=")</f>
        <v>#REF!</v>
      </c>
      <c r="DE377" t="e">
        <f>AND('PROG FORMACIÓN TITULADA'!#REF!,"AAAAAF9Fj2w=")</f>
        <v>#REF!</v>
      </c>
      <c r="DF377" t="e">
        <f>AND('PROG FORMACIÓN TITULADA'!#REF!,"AAAAAF9Fj20=")</f>
        <v>#REF!</v>
      </c>
      <c r="DG377" t="e">
        <f>AND('PROG FORMACIÓN TITULADA'!#REF!,"AAAAAF9Fj24=")</f>
        <v>#REF!</v>
      </c>
      <c r="DH377" t="e">
        <f>AND('PROG FORMACIÓN TITULADA'!#REF!,"AAAAAF9Fj28=")</f>
        <v>#REF!</v>
      </c>
      <c r="DI377" t="e">
        <f>AND('PROG FORMACIÓN TITULADA'!#REF!,"AAAAAF9Fj3A=")</f>
        <v>#REF!</v>
      </c>
      <c r="DJ377" t="e">
        <f>AND('PROG FORMACIÓN TITULADA'!#REF!,"AAAAAF9Fj3E=")</f>
        <v>#REF!</v>
      </c>
      <c r="DK377" t="e">
        <f>AND('PROG FORMACIÓN TITULADA'!#REF!,"AAAAAF9Fj3I=")</f>
        <v>#REF!</v>
      </c>
      <c r="DL377" t="e">
        <f>AND('PROG FORMACIÓN TITULADA'!#REF!,"AAAAAF9Fj3M=")</f>
        <v>#REF!</v>
      </c>
      <c r="DM377" t="e">
        <f>AND('PROG FORMACIÓN TITULADA'!#REF!,"AAAAAF9Fj3Q=")</f>
        <v>#REF!</v>
      </c>
      <c r="DN377" t="e">
        <f>AND('PROG FORMACIÓN TITULADA'!#REF!,"AAAAAF9Fj3U=")</f>
        <v>#REF!</v>
      </c>
      <c r="DO377" t="e">
        <f>AND('PROG FORMACIÓN TITULADA'!#REF!,"AAAAAF9Fj3Y=")</f>
        <v>#REF!</v>
      </c>
      <c r="DP377" t="e">
        <f>AND('PROG FORMACIÓN TITULADA'!#REF!,"AAAAAF9Fj3c=")</f>
        <v>#REF!</v>
      </c>
      <c r="DQ377" t="e">
        <f>AND('PROG FORMACIÓN TITULADA'!#REF!,"AAAAAF9Fj3g=")</f>
        <v>#REF!</v>
      </c>
      <c r="DR377" t="e">
        <f>AND('PROG FORMACIÓN TITULADA'!#REF!,"AAAAAF9Fj3k=")</f>
        <v>#REF!</v>
      </c>
      <c r="DS377" t="e">
        <f>IF('PROG FORMACIÓN TITULADA'!#REF!,"AAAAAF9Fj3o=",0)</f>
        <v>#REF!</v>
      </c>
      <c r="DT377" t="e">
        <f>AND('PROG FORMACIÓN TITULADA'!#REF!,"AAAAAF9Fj3s=")</f>
        <v>#REF!</v>
      </c>
      <c r="DU377" t="e">
        <f>AND('PROG FORMACIÓN TITULADA'!#REF!,"AAAAAF9Fj3w=")</f>
        <v>#REF!</v>
      </c>
      <c r="DV377" t="e">
        <f>AND('PROG FORMACIÓN TITULADA'!#REF!,"AAAAAF9Fj30=")</f>
        <v>#REF!</v>
      </c>
      <c r="DW377" t="e">
        <f>AND('PROG FORMACIÓN TITULADA'!#REF!,"AAAAAF9Fj34=")</f>
        <v>#REF!</v>
      </c>
      <c r="DX377" t="e">
        <f>AND('PROG FORMACIÓN TITULADA'!#REF!,"AAAAAF9Fj38=")</f>
        <v>#REF!</v>
      </c>
      <c r="DY377" t="e">
        <f>AND('PROG FORMACIÓN TITULADA'!#REF!,"AAAAAF9Fj4A=")</f>
        <v>#REF!</v>
      </c>
      <c r="DZ377" t="e">
        <f>AND('PROG FORMACIÓN TITULADA'!#REF!,"AAAAAF9Fj4E=")</f>
        <v>#REF!</v>
      </c>
      <c r="EA377" t="e">
        <f>AND('PROG FORMACIÓN TITULADA'!#REF!,"AAAAAF9Fj4I=")</f>
        <v>#REF!</v>
      </c>
      <c r="EB377" t="e">
        <f>AND('PROG FORMACIÓN TITULADA'!#REF!,"AAAAAF9Fj4M=")</f>
        <v>#REF!</v>
      </c>
      <c r="EC377" t="e">
        <f>AND('PROG FORMACIÓN TITULADA'!#REF!,"AAAAAF9Fj4Q=")</f>
        <v>#REF!</v>
      </c>
      <c r="ED377" t="e">
        <f>AND('PROG FORMACIÓN TITULADA'!#REF!,"AAAAAF9Fj4U=")</f>
        <v>#REF!</v>
      </c>
      <c r="EE377" t="e">
        <f>AND('PROG FORMACIÓN TITULADA'!#REF!,"AAAAAF9Fj4Y=")</f>
        <v>#REF!</v>
      </c>
      <c r="EF377" t="e">
        <f>AND('PROG FORMACIÓN TITULADA'!#REF!,"AAAAAF9Fj4c=")</f>
        <v>#REF!</v>
      </c>
      <c r="EG377" t="e">
        <f>AND('PROG FORMACIÓN TITULADA'!#REF!,"AAAAAF9Fj4g=")</f>
        <v>#REF!</v>
      </c>
      <c r="EH377" t="e">
        <f>AND('PROG FORMACIÓN TITULADA'!#REF!,"AAAAAF9Fj4k=")</f>
        <v>#REF!</v>
      </c>
      <c r="EI377" t="e">
        <f>AND('PROG FORMACIÓN TITULADA'!#REF!,"AAAAAF9Fj4o=")</f>
        <v>#REF!</v>
      </c>
      <c r="EJ377" t="e">
        <f>AND('PROG FORMACIÓN TITULADA'!#REF!,"AAAAAF9Fj4s=")</f>
        <v>#REF!</v>
      </c>
      <c r="EK377" t="e">
        <f>AND('PROG FORMACIÓN TITULADA'!#REF!,"AAAAAF9Fj4w=")</f>
        <v>#REF!</v>
      </c>
      <c r="EL377" t="e">
        <f>AND('PROG FORMACIÓN TITULADA'!#REF!,"AAAAAF9Fj40=")</f>
        <v>#REF!</v>
      </c>
      <c r="EM377" t="e">
        <f>AND('PROG FORMACIÓN TITULADA'!#REF!,"AAAAAF9Fj44=")</f>
        <v>#REF!</v>
      </c>
      <c r="EN377" t="e">
        <f>AND('PROG FORMACIÓN TITULADA'!#REF!,"AAAAAF9Fj48=")</f>
        <v>#REF!</v>
      </c>
      <c r="EO377" t="e">
        <f>AND('PROG FORMACIÓN TITULADA'!#REF!,"AAAAAF9Fj5A=")</f>
        <v>#REF!</v>
      </c>
      <c r="EP377" t="e">
        <f>AND('PROG FORMACIÓN TITULADA'!#REF!,"AAAAAF9Fj5E=")</f>
        <v>#REF!</v>
      </c>
      <c r="EQ377" t="e">
        <f>AND('PROG FORMACIÓN TITULADA'!#REF!,"AAAAAF9Fj5I=")</f>
        <v>#REF!</v>
      </c>
      <c r="ER377" t="e">
        <f>AND('PROG FORMACIÓN TITULADA'!#REF!,"AAAAAF9Fj5M=")</f>
        <v>#REF!</v>
      </c>
      <c r="ES377" t="e">
        <f>AND('PROG FORMACIÓN TITULADA'!#REF!,"AAAAAF9Fj5Q=")</f>
        <v>#REF!</v>
      </c>
      <c r="ET377" t="e">
        <f>IF('PROG FORMACIÓN TITULADA'!#REF!,"AAAAAF9Fj5U=",0)</f>
        <v>#REF!</v>
      </c>
      <c r="EU377" t="e">
        <f>AND('PROG FORMACIÓN TITULADA'!#REF!,"AAAAAF9Fj5Y=")</f>
        <v>#REF!</v>
      </c>
      <c r="EV377" t="e">
        <f>AND('PROG FORMACIÓN TITULADA'!#REF!,"AAAAAF9Fj5c=")</f>
        <v>#REF!</v>
      </c>
      <c r="EW377" t="e">
        <f>AND('PROG FORMACIÓN TITULADA'!#REF!,"AAAAAF9Fj5g=")</f>
        <v>#REF!</v>
      </c>
      <c r="EX377" t="e">
        <f>AND('PROG FORMACIÓN TITULADA'!#REF!,"AAAAAF9Fj5k=")</f>
        <v>#REF!</v>
      </c>
      <c r="EY377" t="e">
        <f>AND('PROG FORMACIÓN TITULADA'!#REF!,"AAAAAF9Fj5o=")</f>
        <v>#REF!</v>
      </c>
      <c r="EZ377" t="e">
        <f>AND('PROG FORMACIÓN TITULADA'!#REF!,"AAAAAF9Fj5s=")</f>
        <v>#REF!</v>
      </c>
      <c r="FA377" t="e">
        <f>AND('PROG FORMACIÓN TITULADA'!#REF!,"AAAAAF9Fj5w=")</f>
        <v>#REF!</v>
      </c>
      <c r="FB377" t="e">
        <f>AND('PROG FORMACIÓN TITULADA'!#REF!,"AAAAAF9Fj50=")</f>
        <v>#REF!</v>
      </c>
      <c r="FC377" t="e">
        <f>AND('PROG FORMACIÓN TITULADA'!#REF!,"AAAAAF9Fj54=")</f>
        <v>#REF!</v>
      </c>
      <c r="FD377" t="e">
        <f>AND('PROG FORMACIÓN TITULADA'!#REF!,"AAAAAF9Fj58=")</f>
        <v>#REF!</v>
      </c>
      <c r="FE377" t="e">
        <f>AND('PROG FORMACIÓN TITULADA'!#REF!,"AAAAAF9Fj6A=")</f>
        <v>#REF!</v>
      </c>
      <c r="FF377" t="e">
        <f>AND('PROG FORMACIÓN TITULADA'!#REF!,"AAAAAF9Fj6E=")</f>
        <v>#REF!</v>
      </c>
      <c r="FG377" t="e">
        <f>AND('PROG FORMACIÓN TITULADA'!#REF!,"AAAAAF9Fj6I=")</f>
        <v>#REF!</v>
      </c>
      <c r="FH377" t="e">
        <f>AND('PROG FORMACIÓN TITULADA'!#REF!,"AAAAAF9Fj6M=")</f>
        <v>#REF!</v>
      </c>
      <c r="FI377" t="e">
        <f>AND('PROG FORMACIÓN TITULADA'!#REF!,"AAAAAF9Fj6Q=")</f>
        <v>#REF!</v>
      </c>
      <c r="FJ377" t="e">
        <f>AND('PROG FORMACIÓN TITULADA'!#REF!,"AAAAAF9Fj6U=")</f>
        <v>#REF!</v>
      </c>
      <c r="FK377" t="e">
        <f>AND('PROG FORMACIÓN TITULADA'!#REF!,"AAAAAF9Fj6Y=")</f>
        <v>#REF!</v>
      </c>
      <c r="FL377" t="e">
        <f>AND('PROG FORMACIÓN TITULADA'!#REF!,"AAAAAF9Fj6c=")</f>
        <v>#REF!</v>
      </c>
      <c r="FM377" t="e">
        <f>AND('PROG FORMACIÓN TITULADA'!#REF!,"AAAAAF9Fj6g=")</f>
        <v>#REF!</v>
      </c>
      <c r="FN377" t="e">
        <f>AND('PROG FORMACIÓN TITULADA'!#REF!,"AAAAAF9Fj6k=")</f>
        <v>#REF!</v>
      </c>
      <c r="FO377" t="e">
        <f>AND('PROG FORMACIÓN TITULADA'!#REF!,"AAAAAF9Fj6o=")</f>
        <v>#REF!</v>
      </c>
      <c r="FP377" t="e">
        <f>AND('PROG FORMACIÓN TITULADA'!#REF!,"AAAAAF9Fj6s=")</f>
        <v>#REF!</v>
      </c>
      <c r="FQ377" t="e">
        <f>AND('PROG FORMACIÓN TITULADA'!#REF!,"AAAAAF9Fj6w=")</f>
        <v>#REF!</v>
      </c>
      <c r="FR377" t="e">
        <f>AND('PROG FORMACIÓN TITULADA'!#REF!,"AAAAAF9Fj60=")</f>
        <v>#REF!</v>
      </c>
      <c r="FS377" t="e">
        <f>AND('PROG FORMACIÓN TITULADA'!#REF!,"AAAAAF9Fj64=")</f>
        <v>#REF!</v>
      </c>
      <c r="FT377" t="e">
        <f>AND('PROG FORMACIÓN TITULADA'!#REF!,"AAAAAF9Fj68=")</f>
        <v>#REF!</v>
      </c>
      <c r="FU377" t="e">
        <f>IF('PROG FORMACIÓN TITULADA'!#REF!,"AAAAAF9Fj7A=",0)</f>
        <v>#REF!</v>
      </c>
      <c r="FV377" t="e">
        <f>AND('PROG FORMACIÓN TITULADA'!#REF!,"AAAAAF9Fj7E=")</f>
        <v>#REF!</v>
      </c>
      <c r="FW377" t="e">
        <f>AND('PROG FORMACIÓN TITULADA'!#REF!,"AAAAAF9Fj7I=")</f>
        <v>#REF!</v>
      </c>
      <c r="FX377" t="e">
        <f>AND('PROG FORMACIÓN TITULADA'!#REF!,"AAAAAF9Fj7M=")</f>
        <v>#REF!</v>
      </c>
      <c r="FY377" t="e">
        <f>AND('PROG FORMACIÓN TITULADA'!#REF!,"AAAAAF9Fj7Q=")</f>
        <v>#REF!</v>
      </c>
      <c r="FZ377" t="e">
        <f>AND('PROG FORMACIÓN TITULADA'!#REF!,"AAAAAF9Fj7U=")</f>
        <v>#REF!</v>
      </c>
      <c r="GA377" t="e">
        <f>AND('PROG FORMACIÓN TITULADA'!#REF!,"AAAAAF9Fj7Y=")</f>
        <v>#REF!</v>
      </c>
      <c r="GB377" t="e">
        <f>AND('PROG FORMACIÓN TITULADA'!#REF!,"AAAAAF9Fj7c=")</f>
        <v>#REF!</v>
      </c>
      <c r="GC377" t="e">
        <f>AND('PROG FORMACIÓN TITULADA'!#REF!,"AAAAAF9Fj7g=")</f>
        <v>#REF!</v>
      </c>
      <c r="GD377" t="e">
        <f>AND('PROG FORMACIÓN TITULADA'!#REF!,"AAAAAF9Fj7k=")</f>
        <v>#REF!</v>
      </c>
      <c r="GE377" t="e">
        <f>AND('PROG FORMACIÓN TITULADA'!#REF!,"AAAAAF9Fj7o=")</f>
        <v>#REF!</v>
      </c>
      <c r="GF377" t="e">
        <f>AND('PROG FORMACIÓN TITULADA'!#REF!,"AAAAAF9Fj7s=")</f>
        <v>#REF!</v>
      </c>
      <c r="GG377" t="e">
        <f>AND('PROG FORMACIÓN TITULADA'!#REF!,"AAAAAF9Fj7w=")</f>
        <v>#REF!</v>
      </c>
      <c r="GH377" t="e">
        <f>AND('PROG FORMACIÓN TITULADA'!#REF!,"AAAAAF9Fj70=")</f>
        <v>#REF!</v>
      </c>
      <c r="GI377" t="e">
        <f>AND('PROG FORMACIÓN TITULADA'!#REF!,"AAAAAF9Fj74=")</f>
        <v>#REF!</v>
      </c>
      <c r="GJ377" t="e">
        <f>AND('PROG FORMACIÓN TITULADA'!#REF!,"AAAAAF9Fj78=")</f>
        <v>#REF!</v>
      </c>
      <c r="GK377" t="e">
        <f>AND('PROG FORMACIÓN TITULADA'!#REF!,"AAAAAF9Fj8A=")</f>
        <v>#REF!</v>
      </c>
      <c r="GL377" t="e">
        <f>AND('PROG FORMACIÓN TITULADA'!#REF!,"AAAAAF9Fj8E=")</f>
        <v>#REF!</v>
      </c>
      <c r="GM377" t="e">
        <f>AND('PROG FORMACIÓN TITULADA'!#REF!,"AAAAAF9Fj8I=")</f>
        <v>#REF!</v>
      </c>
      <c r="GN377" t="e">
        <f>AND('PROG FORMACIÓN TITULADA'!#REF!,"AAAAAF9Fj8M=")</f>
        <v>#REF!</v>
      </c>
      <c r="GO377" t="e">
        <f>AND('PROG FORMACIÓN TITULADA'!#REF!,"AAAAAF9Fj8Q=")</f>
        <v>#REF!</v>
      </c>
      <c r="GP377" t="e">
        <f>AND('PROG FORMACIÓN TITULADA'!#REF!,"AAAAAF9Fj8U=")</f>
        <v>#REF!</v>
      </c>
      <c r="GQ377" t="e">
        <f>AND('PROG FORMACIÓN TITULADA'!#REF!,"AAAAAF9Fj8Y=")</f>
        <v>#REF!</v>
      </c>
      <c r="GR377" t="e">
        <f>AND('PROG FORMACIÓN TITULADA'!#REF!,"AAAAAF9Fj8c=")</f>
        <v>#REF!</v>
      </c>
      <c r="GS377" t="e">
        <f>AND('PROG FORMACIÓN TITULADA'!#REF!,"AAAAAF9Fj8g=")</f>
        <v>#REF!</v>
      </c>
      <c r="GT377" t="e">
        <f>AND('PROG FORMACIÓN TITULADA'!#REF!,"AAAAAF9Fj8k=")</f>
        <v>#REF!</v>
      </c>
      <c r="GU377" t="e">
        <f>AND('PROG FORMACIÓN TITULADA'!#REF!,"AAAAAF9Fj8o=")</f>
        <v>#REF!</v>
      </c>
      <c r="GV377" t="e">
        <f>IF('PROG FORMACIÓN TITULADA'!#REF!,"AAAAAF9Fj8s=",0)</f>
        <v>#REF!</v>
      </c>
      <c r="GW377" t="e">
        <f>AND('PROG FORMACIÓN TITULADA'!#REF!,"AAAAAF9Fj8w=")</f>
        <v>#REF!</v>
      </c>
      <c r="GX377" t="e">
        <f>AND('PROG FORMACIÓN TITULADA'!#REF!,"AAAAAF9Fj80=")</f>
        <v>#REF!</v>
      </c>
      <c r="GY377" t="e">
        <f>AND('PROG FORMACIÓN TITULADA'!#REF!,"AAAAAF9Fj84=")</f>
        <v>#REF!</v>
      </c>
      <c r="GZ377" t="e">
        <f>AND('PROG FORMACIÓN TITULADA'!#REF!,"AAAAAF9Fj88=")</f>
        <v>#REF!</v>
      </c>
      <c r="HA377" t="e">
        <f>AND('PROG FORMACIÓN TITULADA'!#REF!,"AAAAAF9Fj9A=")</f>
        <v>#REF!</v>
      </c>
      <c r="HB377" t="e">
        <f>AND('PROG FORMACIÓN TITULADA'!#REF!,"AAAAAF9Fj9E=")</f>
        <v>#REF!</v>
      </c>
      <c r="HC377" t="e">
        <f>AND('PROG FORMACIÓN TITULADA'!#REF!,"AAAAAF9Fj9I=")</f>
        <v>#REF!</v>
      </c>
      <c r="HD377" t="e">
        <f>AND('PROG FORMACIÓN TITULADA'!#REF!,"AAAAAF9Fj9M=")</f>
        <v>#REF!</v>
      </c>
      <c r="HE377" t="e">
        <f>AND('PROG FORMACIÓN TITULADA'!#REF!,"AAAAAF9Fj9Q=")</f>
        <v>#REF!</v>
      </c>
      <c r="HF377" t="e">
        <f>AND('PROG FORMACIÓN TITULADA'!#REF!,"AAAAAF9Fj9U=")</f>
        <v>#REF!</v>
      </c>
      <c r="HG377" t="e">
        <f>AND('PROG FORMACIÓN TITULADA'!#REF!,"AAAAAF9Fj9Y=")</f>
        <v>#REF!</v>
      </c>
      <c r="HH377" t="e">
        <f>AND('PROG FORMACIÓN TITULADA'!#REF!,"AAAAAF9Fj9c=")</f>
        <v>#REF!</v>
      </c>
      <c r="HI377" t="e">
        <f>AND('PROG FORMACIÓN TITULADA'!#REF!,"AAAAAF9Fj9g=")</f>
        <v>#REF!</v>
      </c>
      <c r="HJ377" t="e">
        <f>AND('PROG FORMACIÓN TITULADA'!#REF!,"AAAAAF9Fj9k=")</f>
        <v>#REF!</v>
      </c>
      <c r="HK377" t="e">
        <f>AND('PROG FORMACIÓN TITULADA'!#REF!,"AAAAAF9Fj9o=")</f>
        <v>#REF!</v>
      </c>
      <c r="HL377" t="e">
        <f>AND('PROG FORMACIÓN TITULADA'!#REF!,"AAAAAF9Fj9s=")</f>
        <v>#REF!</v>
      </c>
      <c r="HM377" t="e">
        <f>AND('PROG FORMACIÓN TITULADA'!#REF!,"AAAAAF9Fj9w=")</f>
        <v>#REF!</v>
      </c>
      <c r="HN377" t="e">
        <f>AND('PROG FORMACIÓN TITULADA'!#REF!,"AAAAAF9Fj90=")</f>
        <v>#REF!</v>
      </c>
      <c r="HO377" t="e">
        <f>AND('PROG FORMACIÓN TITULADA'!#REF!,"AAAAAF9Fj94=")</f>
        <v>#REF!</v>
      </c>
      <c r="HP377" t="e">
        <f>AND('PROG FORMACIÓN TITULADA'!#REF!,"AAAAAF9Fj98=")</f>
        <v>#REF!</v>
      </c>
      <c r="HQ377" t="e">
        <f>AND('PROG FORMACIÓN TITULADA'!#REF!,"AAAAAF9Fj+A=")</f>
        <v>#REF!</v>
      </c>
      <c r="HR377" t="e">
        <f>AND('PROG FORMACIÓN TITULADA'!#REF!,"AAAAAF9Fj+E=")</f>
        <v>#REF!</v>
      </c>
      <c r="HS377" t="e">
        <f>AND('PROG FORMACIÓN TITULADA'!#REF!,"AAAAAF9Fj+I=")</f>
        <v>#REF!</v>
      </c>
      <c r="HT377" t="e">
        <f>AND('PROG FORMACIÓN TITULADA'!#REF!,"AAAAAF9Fj+M=")</f>
        <v>#REF!</v>
      </c>
      <c r="HU377" t="e">
        <f>AND('PROG FORMACIÓN TITULADA'!#REF!,"AAAAAF9Fj+Q=")</f>
        <v>#REF!</v>
      </c>
      <c r="HV377" t="e">
        <f>AND('PROG FORMACIÓN TITULADA'!#REF!,"AAAAAF9Fj+U=")</f>
        <v>#REF!</v>
      </c>
      <c r="HW377" t="e">
        <f>IF('PROG FORMACIÓN TITULADA'!#REF!,"AAAAAF9Fj+Y=",0)</f>
        <v>#REF!</v>
      </c>
      <c r="HX377" t="e">
        <f>AND('PROG FORMACIÓN TITULADA'!#REF!,"AAAAAF9Fj+c=")</f>
        <v>#REF!</v>
      </c>
      <c r="HY377" t="e">
        <f>AND('PROG FORMACIÓN TITULADA'!#REF!,"AAAAAF9Fj+g=")</f>
        <v>#REF!</v>
      </c>
      <c r="HZ377" t="e">
        <f>AND('PROG FORMACIÓN TITULADA'!#REF!,"AAAAAF9Fj+k=")</f>
        <v>#REF!</v>
      </c>
      <c r="IA377" t="e">
        <f>AND('PROG FORMACIÓN TITULADA'!#REF!,"AAAAAF9Fj+o=")</f>
        <v>#REF!</v>
      </c>
      <c r="IB377" t="e">
        <f>AND('PROG FORMACIÓN TITULADA'!#REF!,"AAAAAF9Fj+s=")</f>
        <v>#REF!</v>
      </c>
      <c r="IC377" t="e">
        <f>AND('PROG FORMACIÓN TITULADA'!#REF!,"AAAAAF9Fj+w=")</f>
        <v>#REF!</v>
      </c>
      <c r="ID377" t="e">
        <f>AND('PROG FORMACIÓN TITULADA'!#REF!,"AAAAAF9Fj+0=")</f>
        <v>#REF!</v>
      </c>
      <c r="IE377" t="e">
        <f>AND('PROG FORMACIÓN TITULADA'!#REF!,"AAAAAF9Fj+4=")</f>
        <v>#REF!</v>
      </c>
      <c r="IF377" t="e">
        <f>AND('PROG FORMACIÓN TITULADA'!#REF!,"AAAAAF9Fj+8=")</f>
        <v>#REF!</v>
      </c>
      <c r="IG377" t="e">
        <f>AND('PROG FORMACIÓN TITULADA'!#REF!,"AAAAAF9Fj/A=")</f>
        <v>#REF!</v>
      </c>
      <c r="IH377" t="e">
        <f>AND('PROG FORMACIÓN TITULADA'!#REF!,"AAAAAF9Fj/E=")</f>
        <v>#REF!</v>
      </c>
      <c r="II377" t="e">
        <f>AND('PROG FORMACIÓN TITULADA'!#REF!,"AAAAAF9Fj/I=")</f>
        <v>#REF!</v>
      </c>
      <c r="IJ377" t="e">
        <f>AND('PROG FORMACIÓN TITULADA'!#REF!,"AAAAAF9Fj/M=")</f>
        <v>#REF!</v>
      </c>
      <c r="IK377" t="e">
        <f>AND('PROG FORMACIÓN TITULADA'!#REF!,"AAAAAF9Fj/Q=")</f>
        <v>#REF!</v>
      </c>
      <c r="IL377" t="e">
        <f>AND('PROG FORMACIÓN TITULADA'!#REF!,"AAAAAF9Fj/U=")</f>
        <v>#REF!</v>
      </c>
      <c r="IM377" t="e">
        <f>AND('PROG FORMACIÓN TITULADA'!#REF!,"AAAAAF9Fj/Y=")</f>
        <v>#REF!</v>
      </c>
      <c r="IN377" t="e">
        <f>AND('PROG FORMACIÓN TITULADA'!#REF!,"AAAAAF9Fj/c=")</f>
        <v>#REF!</v>
      </c>
      <c r="IO377" t="e">
        <f>AND('PROG FORMACIÓN TITULADA'!#REF!,"AAAAAF9Fj/g=")</f>
        <v>#REF!</v>
      </c>
      <c r="IP377" t="e">
        <f>AND('PROG FORMACIÓN TITULADA'!#REF!,"AAAAAF9Fj/k=")</f>
        <v>#REF!</v>
      </c>
      <c r="IQ377" t="e">
        <f>AND('PROG FORMACIÓN TITULADA'!#REF!,"AAAAAF9Fj/o=")</f>
        <v>#REF!</v>
      </c>
      <c r="IR377" t="e">
        <f>AND('PROG FORMACIÓN TITULADA'!#REF!,"AAAAAF9Fj/s=")</f>
        <v>#REF!</v>
      </c>
      <c r="IS377" t="e">
        <f>AND('PROG FORMACIÓN TITULADA'!#REF!,"AAAAAF9Fj/w=")</f>
        <v>#REF!</v>
      </c>
      <c r="IT377" t="e">
        <f>AND('PROG FORMACIÓN TITULADA'!#REF!,"AAAAAF9Fj/0=")</f>
        <v>#REF!</v>
      </c>
      <c r="IU377" t="e">
        <f>AND('PROG FORMACIÓN TITULADA'!#REF!,"AAAAAF9Fj/4=")</f>
        <v>#REF!</v>
      </c>
      <c r="IV377" t="e">
        <f>AND('PROG FORMACIÓN TITULADA'!#REF!,"AAAAAF9Fj/8=")</f>
        <v>#REF!</v>
      </c>
    </row>
    <row r="378" spans="1:256" x14ac:dyDescent="0.2">
      <c r="A378" t="e">
        <f>AND('PROG FORMACIÓN TITULADA'!#REF!,"AAAAAHh3+wA=")</f>
        <v>#REF!</v>
      </c>
      <c r="B378" t="e">
        <f>IF('PROG FORMACIÓN TITULADA'!#REF!,"AAAAAHh3+wE=",0)</f>
        <v>#REF!</v>
      </c>
      <c r="C378" t="e">
        <f>AND('PROG FORMACIÓN TITULADA'!#REF!,"AAAAAHh3+wI=")</f>
        <v>#REF!</v>
      </c>
      <c r="D378" t="e">
        <f>AND('PROG FORMACIÓN TITULADA'!#REF!,"AAAAAHh3+wM=")</f>
        <v>#REF!</v>
      </c>
      <c r="E378" t="e">
        <f>AND('PROG FORMACIÓN TITULADA'!#REF!,"AAAAAHh3+wQ=")</f>
        <v>#REF!</v>
      </c>
      <c r="F378" t="e">
        <f>AND('PROG FORMACIÓN TITULADA'!#REF!,"AAAAAHh3+wU=")</f>
        <v>#REF!</v>
      </c>
      <c r="G378" t="e">
        <f>AND('PROG FORMACIÓN TITULADA'!#REF!,"AAAAAHh3+wY=")</f>
        <v>#REF!</v>
      </c>
      <c r="H378" t="e">
        <f>AND('PROG FORMACIÓN TITULADA'!#REF!,"AAAAAHh3+wc=")</f>
        <v>#REF!</v>
      </c>
      <c r="I378" t="e">
        <f>AND('PROG FORMACIÓN TITULADA'!#REF!,"AAAAAHh3+wg=")</f>
        <v>#REF!</v>
      </c>
      <c r="J378" t="e">
        <f>AND('PROG FORMACIÓN TITULADA'!#REF!,"AAAAAHh3+wk=")</f>
        <v>#REF!</v>
      </c>
      <c r="K378" t="e">
        <f>AND('PROG FORMACIÓN TITULADA'!#REF!,"AAAAAHh3+wo=")</f>
        <v>#REF!</v>
      </c>
      <c r="L378" t="e">
        <f>AND('PROG FORMACIÓN TITULADA'!#REF!,"AAAAAHh3+ws=")</f>
        <v>#REF!</v>
      </c>
      <c r="M378" t="e">
        <f>AND('PROG FORMACIÓN TITULADA'!#REF!,"AAAAAHh3+ww=")</f>
        <v>#REF!</v>
      </c>
      <c r="N378" t="e">
        <f>AND('PROG FORMACIÓN TITULADA'!#REF!,"AAAAAHh3+w0=")</f>
        <v>#REF!</v>
      </c>
      <c r="O378" t="e">
        <f>AND('PROG FORMACIÓN TITULADA'!#REF!,"AAAAAHh3+w4=")</f>
        <v>#REF!</v>
      </c>
      <c r="P378" t="e">
        <f>AND('PROG FORMACIÓN TITULADA'!#REF!,"AAAAAHh3+w8=")</f>
        <v>#REF!</v>
      </c>
      <c r="Q378" t="e">
        <f>AND('PROG FORMACIÓN TITULADA'!#REF!,"AAAAAHh3+xA=")</f>
        <v>#REF!</v>
      </c>
      <c r="R378" t="e">
        <f>AND('PROG FORMACIÓN TITULADA'!#REF!,"AAAAAHh3+xE=")</f>
        <v>#REF!</v>
      </c>
      <c r="S378" t="e">
        <f>AND('PROG FORMACIÓN TITULADA'!#REF!,"AAAAAHh3+xI=")</f>
        <v>#REF!</v>
      </c>
      <c r="T378" t="e">
        <f>AND('PROG FORMACIÓN TITULADA'!#REF!,"AAAAAHh3+xM=")</f>
        <v>#REF!</v>
      </c>
      <c r="U378" t="e">
        <f>AND('PROG FORMACIÓN TITULADA'!#REF!,"AAAAAHh3+xQ=")</f>
        <v>#REF!</v>
      </c>
      <c r="V378" t="e">
        <f>AND('PROG FORMACIÓN TITULADA'!#REF!,"AAAAAHh3+xU=")</f>
        <v>#REF!</v>
      </c>
      <c r="W378" t="e">
        <f>AND('PROG FORMACIÓN TITULADA'!#REF!,"AAAAAHh3+xY=")</f>
        <v>#REF!</v>
      </c>
      <c r="X378" t="e">
        <f>AND('PROG FORMACIÓN TITULADA'!#REF!,"AAAAAHh3+xc=")</f>
        <v>#REF!</v>
      </c>
      <c r="Y378" t="e">
        <f>AND('PROG FORMACIÓN TITULADA'!#REF!,"AAAAAHh3+xg=")</f>
        <v>#REF!</v>
      </c>
      <c r="Z378" t="e">
        <f>AND('PROG FORMACIÓN TITULADA'!#REF!,"AAAAAHh3+xk=")</f>
        <v>#REF!</v>
      </c>
      <c r="AA378" t="e">
        <f>AND('PROG FORMACIÓN TITULADA'!#REF!,"AAAAAHh3+xo=")</f>
        <v>#REF!</v>
      </c>
      <c r="AB378" t="e">
        <f>AND('PROG FORMACIÓN TITULADA'!#REF!,"AAAAAHh3+xs=")</f>
        <v>#REF!</v>
      </c>
      <c r="AC378" t="e">
        <f>IF('PROG FORMACIÓN TITULADA'!#REF!,"AAAAAHh3+xw=",0)</f>
        <v>#REF!</v>
      </c>
      <c r="AD378" t="e">
        <f>AND('PROG FORMACIÓN TITULADA'!#REF!,"AAAAAHh3+x0=")</f>
        <v>#REF!</v>
      </c>
      <c r="AE378" t="e">
        <f>AND('PROG FORMACIÓN TITULADA'!#REF!,"AAAAAHh3+x4=")</f>
        <v>#REF!</v>
      </c>
      <c r="AF378" t="e">
        <f>AND('PROG FORMACIÓN TITULADA'!#REF!,"AAAAAHh3+x8=")</f>
        <v>#REF!</v>
      </c>
      <c r="AG378" t="e">
        <f>AND('PROG FORMACIÓN TITULADA'!#REF!,"AAAAAHh3+yA=")</f>
        <v>#REF!</v>
      </c>
      <c r="AH378" t="e">
        <f>AND('PROG FORMACIÓN TITULADA'!#REF!,"AAAAAHh3+yE=")</f>
        <v>#REF!</v>
      </c>
      <c r="AI378" t="e">
        <f>AND('PROG FORMACIÓN TITULADA'!#REF!,"AAAAAHh3+yI=")</f>
        <v>#REF!</v>
      </c>
      <c r="AJ378" t="e">
        <f>AND('PROG FORMACIÓN TITULADA'!#REF!,"AAAAAHh3+yM=")</f>
        <v>#REF!</v>
      </c>
      <c r="AK378" t="e">
        <f>AND('PROG FORMACIÓN TITULADA'!#REF!,"AAAAAHh3+yQ=")</f>
        <v>#REF!</v>
      </c>
      <c r="AL378" t="e">
        <f>AND('PROG FORMACIÓN TITULADA'!#REF!,"AAAAAHh3+yU=")</f>
        <v>#REF!</v>
      </c>
      <c r="AM378" t="e">
        <f>AND('PROG FORMACIÓN TITULADA'!#REF!,"AAAAAHh3+yY=")</f>
        <v>#REF!</v>
      </c>
      <c r="AN378" t="e">
        <f>AND('PROG FORMACIÓN TITULADA'!#REF!,"AAAAAHh3+yc=")</f>
        <v>#REF!</v>
      </c>
      <c r="AO378" t="e">
        <f>AND('PROG FORMACIÓN TITULADA'!#REF!,"AAAAAHh3+yg=")</f>
        <v>#REF!</v>
      </c>
      <c r="AP378" t="e">
        <f>AND('PROG FORMACIÓN TITULADA'!#REF!,"AAAAAHh3+yk=")</f>
        <v>#REF!</v>
      </c>
      <c r="AQ378" t="e">
        <f>AND('PROG FORMACIÓN TITULADA'!#REF!,"AAAAAHh3+yo=")</f>
        <v>#REF!</v>
      </c>
      <c r="AR378" t="e">
        <f>AND('PROG FORMACIÓN TITULADA'!#REF!,"AAAAAHh3+ys=")</f>
        <v>#REF!</v>
      </c>
      <c r="AS378" t="e">
        <f>AND('PROG FORMACIÓN TITULADA'!#REF!,"AAAAAHh3+yw=")</f>
        <v>#REF!</v>
      </c>
      <c r="AT378" t="e">
        <f>AND('PROG FORMACIÓN TITULADA'!#REF!,"AAAAAHh3+y0=")</f>
        <v>#REF!</v>
      </c>
      <c r="AU378" t="e">
        <f>AND('PROG FORMACIÓN TITULADA'!#REF!,"AAAAAHh3+y4=")</f>
        <v>#REF!</v>
      </c>
      <c r="AV378" t="e">
        <f>AND('PROG FORMACIÓN TITULADA'!#REF!,"AAAAAHh3+y8=")</f>
        <v>#REF!</v>
      </c>
      <c r="AW378" t="e">
        <f>AND('PROG FORMACIÓN TITULADA'!#REF!,"AAAAAHh3+zA=")</f>
        <v>#REF!</v>
      </c>
      <c r="AX378" t="e">
        <f>AND('PROG FORMACIÓN TITULADA'!#REF!,"AAAAAHh3+zE=")</f>
        <v>#REF!</v>
      </c>
      <c r="AY378" t="e">
        <f>AND('PROG FORMACIÓN TITULADA'!#REF!,"AAAAAHh3+zI=")</f>
        <v>#REF!</v>
      </c>
      <c r="AZ378" t="e">
        <f>AND('PROG FORMACIÓN TITULADA'!#REF!,"AAAAAHh3+zM=")</f>
        <v>#REF!</v>
      </c>
      <c r="BA378" t="e">
        <f>AND('PROG FORMACIÓN TITULADA'!#REF!,"AAAAAHh3+zQ=")</f>
        <v>#REF!</v>
      </c>
      <c r="BB378" t="e">
        <f>AND('PROG FORMACIÓN TITULADA'!#REF!,"AAAAAHh3+zU=")</f>
        <v>#REF!</v>
      </c>
      <c r="BC378" t="e">
        <f>AND('PROG FORMACIÓN TITULADA'!#REF!,"AAAAAHh3+zY=")</f>
        <v>#REF!</v>
      </c>
      <c r="BD378" t="e">
        <f>IF('PROG FORMACIÓN TITULADA'!#REF!,"AAAAAHh3+zc=",0)</f>
        <v>#REF!</v>
      </c>
      <c r="BE378" t="e">
        <f>AND('PROG FORMACIÓN TITULADA'!#REF!,"AAAAAHh3+zg=")</f>
        <v>#REF!</v>
      </c>
      <c r="BF378" t="e">
        <f>AND('PROG FORMACIÓN TITULADA'!#REF!,"AAAAAHh3+zk=")</f>
        <v>#REF!</v>
      </c>
      <c r="BG378" t="e">
        <f>AND('PROG FORMACIÓN TITULADA'!#REF!,"AAAAAHh3+zo=")</f>
        <v>#REF!</v>
      </c>
      <c r="BH378" t="e">
        <f>AND('PROG FORMACIÓN TITULADA'!#REF!,"AAAAAHh3+zs=")</f>
        <v>#REF!</v>
      </c>
      <c r="BI378" t="e">
        <f>AND('PROG FORMACIÓN TITULADA'!#REF!,"AAAAAHh3+zw=")</f>
        <v>#REF!</v>
      </c>
      <c r="BJ378" t="e">
        <f>AND('PROG FORMACIÓN TITULADA'!#REF!,"AAAAAHh3+z0=")</f>
        <v>#REF!</v>
      </c>
      <c r="BK378" t="e">
        <f>AND('PROG FORMACIÓN TITULADA'!#REF!,"AAAAAHh3+z4=")</f>
        <v>#REF!</v>
      </c>
      <c r="BL378" t="e">
        <f>AND('PROG FORMACIÓN TITULADA'!#REF!,"AAAAAHh3+z8=")</f>
        <v>#REF!</v>
      </c>
      <c r="BM378" t="e">
        <f>AND('PROG FORMACIÓN TITULADA'!#REF!,"AAAAAHh3+0A=")</f>
        <v>#REF!</v>
      </c>
      <c r="BN378" t="e">
        <f>AND('PROG FORMACIÓN TITULADA'!#REF!,"AAAAAHh3+0E=")</f>
        <v>#REF!</v>
      </c>
      <c r="BO378" t="e">
        <f>AND('PROG FORMACIÓN TITULADA'!#REF!,"AAAAAHh3+0I=")</f>
        <v>#REF!</v>
      </c>
      <c r="BP378" t="e">
        <f>AND('PROG FORMACIÓN TITULADA'!#REF!,"AAAAAHh3+0M=")</f>
        <v>#REF!</v>
      </c>
      <c r="BQ378" t="e">
        <f>AND('PROG FORMACIÓN TITULADA'!#REF!,"AAAAAHh3+0Q=")</f>
        <v>#REF!</v>
      </c>
      <c r="BR378" t="e">
        <f>AND('PROG FORMACIÓN TITULADA'!#REF!,"AAAAAHh3+0U=")</f>
        <v>#REF!</v>
      </c>
      <c r="BS378" t="e">
        <f>AND('PROG FORMACIÓN TITULADA'!#REF!,"AAAAAHh3+0Y=")</f>
        <v>#REF!</v>
      </c>
      <c r="BT378" t="e">
        <f>AND('PROG FORMACIÓN TITULADA'!#REF!,"AAAAAHh3+0c=")</f>
        <v>#REF!</v>
      </c>
      <c r="BU378" t="e">
        <f>AND('PROG FORMACIÓN TITULADA'!#REF!,"AAAAAHh3+0g=")</f>
        <v>#REF!</v>
      </c>
      <c r="BV378" t="e">
        <f>AND('PROG FORMACIÓN TITULADA'!#REF!,"AAAAAHh3+0k=")</f>
        <v>#REF!</v>
      </c>
      <c r="BW378" t="e">
        <f>AND('PROG FORMACIÓN TITULADA'!#REF!,"AAAAAHh3+0o=")</f>
        <v>#REF!</v>
      </c>
      <c r="BX378" t="e">
        <f>AND('PROG FORMACIÓN TITULADA'!#REF!,"AAAAAHh3+0s=")</f>
        <v>#REF!</v>
      </c>
      <c r="BY378" t="e">
        <f>AND('PROG FORMACIÓN TITULADA'!#REF!,"AAAAAHh3+0w=")</f>
        <v>#REF!</v>
      </c>
      <c r="BZ378" t="e">
        <f>AND('PROG FORMACIÓN TITULADA'!#REF!,"AAAAAHh3+00=")</f>
        <v>#REF!</v>
      </c>
      <c r="CA378" t="e">
        <f>AND('PROG FORMACIÓN TITULADA'!#REF!,"AAAAAHh3+04=")</f>
        <v>#REF!</v>
      </c>
      <c r="CB378" t="e">
        <f>AND('PROG FORMACIÓN TITULADA'!#REF!,"AAAAAHh3+08=")</f>
        <v>#REF!</v>
      </c>
      <c r="CC378" t="e">
        <f>AND('PROG FORMACIÓN TITULADA'!#REF!,"AAAAAHh3+1A=")</f>
        <v>#REF!</v>
      </c>
      <c r="CD378" t="e">
        <f>AND('PROG FORMACIÓN TITULADA'!#REF!,"AAAAAHh3+1E=")</f>
        <v>#REF!</v>
      </c>
      <c r="CE378" t="e">
        <f>IF('PROG FORMACIÓN TITULADA'!#REF!,"AAAAAHh3+1I=",0)</f>
        <v>#REF!</v>
      </c>
      <c r="CF378" t="e">
        <f>AND('PROG FORMACIÓN TITULADA'!#REF!,"AAAAAHh3+1M=")</f>
        <v>#REF!</v>
      </c>
      <c r="CG378" t="e">
        <f>AND('PROG FORMACIÓN TITULADA'!#REF!,"AAAAAHh3+1Q=")</f>
        <v>#REF!</v>
      </c>
      <c r="CH378" t="e">
        <f>AND('PROG FORMACIÓN TITULADA'!#REF!,"AAAAAHh3+1U=")</f>
        <v>#REF!</v>
      </c>
      <c r="CI378" t="e">
        <f>AND('PROG FORMACIÓN TITULADA'!#REF!,"AAAAAHh3+1Y=")</f>
        <v>#REF!</v>
      </c>
      <c r="CJ378" t="e">
        <f>AND('PROG FORMACIÓN TITULADA'!#REF!,"AAAAAHh3+1c=")</f>
        <v>#REF!</v>
      </c>
      <c r="CK378" t="e">
        <f>AND('PROG FORMACIÓN TITULADA'!#REF!,"AAAAAHh3+1g=")</f>
        <v>#REF!</v>
      </c>
      <c r="CL378" t="e">
        <f>AND('PROG FORMACIÓN TITULADA'!#REF!,"AAAAAHh3+1k=")</f>
        <v>#REF!</v>
      </c>
      <c r="CM378" t="e">
        <f>AND('PROG FORMACIÓN TITULADA'!#REF!,"AAAAAHh3+1o=")</f>
        <v>#REF!</v>
      </c>
      <c r="CN378" t="e">
        <f>AND('PROG FORMACIÓN TITULADA'!#REF!,"AAAAAHh3+1s=")</f>
        <v>#REF!</v>
      </c>
      <c r="CO378" t="e">
        <f>AND('PROG FORMACIÓN TITULADA'!#REF!,"AAAAAHh3+1w=")</f>
        <v>#REF!</v>
      </c>
      <c r="CP378" t="e">
        <f>AND('PROG FORMACIÓN TITULADA'!#REF!,"AAAAAHh3+10=")</f>
        <v>#REF!</v>
      </c>
      <c r="CQ378" t="e">
        <f>AND('PROG FORMACIÓN TITULADA'!#REF!,"AAAAAHh3+14=")</f>
        <v>#REF!</v>
      </c>
      <c r="CR378" t="e">
        <f>AND('PROG FORMACIÓN TITULADA'!#REF!,"AAAAAHh3+18=")</f>
        <v>#REF!</v>
      </c>
      <c r="CS378" t="e">
        <f>AND('PROG FORMACIÓN TITULADA'!#REF!,"AAAAAHh3+2A=")</f>
        <v>#REF!</v>
      </c>
      <c r="CT378" t="e">
        <f>AND('PROG FORMACIÓN TITULADA'!#REF!,"AAAAAHh3+2E=")</f>
        <v>#REF!</v>
      </c>
      <c r="CU378" t="e">
        <f>AND('PROG FORMACIÓN TITULADA'!#REF!,"AAAAAHh3+2I=")</f>
        <v>#REF!</v>
      </c>
      <c r="CV378" t="e">
        <f>AND('PROG FORMACIÓN TITULADA'!#REF!,"AAAAAHh3+2M=")</f>
        <v>#REF!</v>
      </c>
      <c r="CW378" t="e">
        <f>AND('PROG FORMACIÓN TITULADA'!#REF!,"AAAAAHh3+2Q=")</f>
        <v>#REF!</v>
      </c>
      <c r="CX378" t="e">
        <f>AND('PROG FORMACIÓN TITULADA'!#REF!,"AAAAAHh3+2U=")</f>
        <v>#REF!</v>
      </c>
      <c r="CY378" t="e">
        <f>AND('PROG FORMACIÓN TITULADA'!#REF!,"AAAAAHh3+2Y=")</f>
        <v>#REF!</v>
      </c>
      <c r="CZ378" t="e">
        <f>AND('PROG FORMACIÓN TITULADA'!#REF!,"AAAAAHh3+2c=")</f>
        <v>#REF!</v>
      </c>
      <c r="DA378" t="e">
        <f>AND('PROG FORMACIÓN TITULADA'!#REF!,"AAAAAHh3+2g=")</f>
        <v>#REF!</v>
      </c>
      <c r="DB378" t="e">
        <f>AND('PROG FORMACIÓN TITULADA'!#REF!,"AAAAAHh3+2k=")</f>
        <v>#REF!</v>
      </c>
      <c r="DC378" t="e">
        <f>AND('PROG FORMACIÓN TITULADA'!#REF!,"AAAAAHh3+2o=")</f>
        <v>#REF!</v>
      </c>
      <c r="DD378" t="e">
        <f>AND('PROG FORMACIÓN TITULADA'!#REF!,"AAAAAHh3+2s=")</f>
        <v>#REF!</v>
      </c>
      <c r="DE378" t="e">
        <f>AND('PROG FORMACIÓN TITULADA'!#REF!,"AAAAAHh3+2w=")</f>
        <v>#REF!</v>
      </c>
      <c r="DF378" t="e">
        <f>IF('PROG FORMACIÓN TITULADA'!#REF!,"AAAAAHh3+20=",0)</f>
        <v>#REF!</v>
      </c>
      <c r="DG378" t="e">
        <f>AND('PROG FORMACIÓN TITULADA'!#REF!,"AAAAAHh3+24=")</f>
        <v>#REF!</v>
      </c>
      <c r="DH378" t="e">
        <f>AND('PROG FORMACIÓN TITULADA'!#REF!,"AAAAAHh3+28=")</f>
        <v>#REF!</v>
      </c>
      <c r="DI378" t="e">
        <f>AND('PROG FORMACIÓN TITULADA'!#REF!,"AAAAAHh3+3A=")</f>
        <v>#REF!</v>
      </c>
      <c r="DJ378" t="e">
        <f>AND('PROG FORMACIÓN TITULADA'!#REF!,"AAAAAHh3+3E=")</f>
        <v>#REF!</v>
      </c>
      <c r="DK378" t="e">
        <f>AND('PROG FORMACIÓN TITULADA'!#REF!,"AAAAAHh3+3I=")</f>
        <v>#REF!</v>
      </c>
      <c r="DL378" t="e">
        <f>AND('PROG FORMACIÓN TITULADA'!#REF!,"AAAAAHh3+3M=")</f>
        <v>#REF!</v>
      </c>
      <c r="DM378" t="e">
        <f>AND('PROG FORMACIÓN TITULADA'!#REF!,"AAAAAHh3+3Q=")</f>
        <v>#REF!</v>
      </c>
      <c r="DN378" t="e">
        <f>AND('PROG FORMACIÓN TITULADA'!#REF!,"AAAAAHh3+3U=")</f>
        <v>#REF!</v>
      </c>
      <c r="DO378" t="e">
        <f>AND('PROG FORMACIÓN TITULADA'!#REF!,"AAAAAHh3+3Y=")</f>
        <v>#REF!</v>
      </c>
      <c r="DP378" t="e">
        <f>AND('PROG FORMACIÓN TITULADA'!#REF!,"AAAAAHh3+3c=")</f>
        <v>#REF!</v>
      </c>
      <c r="DQ378" t="e">
        <f>AND('PROG FORMACIÓN TITULADA'!#REF!,"AAAAAHh3+3g=")</f>
        <v>#REF!</v>
      </c>
      <c r="DR378" t="e">
        <f>AND('PROG FORMACIÓN TITULADA'!#REF!,"AAAAAHh3+3k=")</f>
        <v>#REF!</v>
      </c>
      <c r="DS378" t="e">
        <f>AND('PROG FORMACIÓN TITULADA'!#REF!,"AAAAAHh3+3o=")</f>
        <v>#REF!</v>
      </c>
      <c r="DT378" t="e">
        <f>AND('PROG FORMACIÓN TITULADA'!#REF!,"AAAAAHh3+3s=")</f>
        <v>#REF!</v>
      </c>
      <c r="DU378" t="e">
        <f>AND('PROG FORMACIÓN TITULADA'!#REF!,"AAAAAHh3+3w=")</f>
        <v>#REF!</v>
      </c>
      <c r="DV378" t="e">
        <f>AND('PROG FORMACIÓN TITULADA'!#REF!,"AAAAAHh3+30=")</f>
        <v>#REF!</v>
      </c>
      <c r="DW378" t="e">
        <f>AND('PROG FORMACIÓN TITULADA'!#REF!,"AAAAAHh3+34=")</f>
        <v>#REF!</v>
      </c>
      <c r="DX378" t="e">
        <f>AND('PROG FORMACIÓN TITULADA'!#REF!,"AAAAAHh3+38=")</f>
        <v>#REF!</v>
      </c>
      <c r="DY378" t="e">
        <f>AND('PROG FORMACIÓN TITULADA'!#REF!,"AAAAAHh3+4A=")</f>
        <v>#REF!</v>
      </c>
      <c r="DZ378" t="e">
        <f>AND('PROG FORMACIÓN TITULADA'!#REF!,"AAAAAHh3+4E=")</f>
        <v>#REF!</v>
      </c>
      <c r="EA378" t="e">
        <f>AND('PROG FORMACIÓN TITULADA'!#REF!,"AAAAAHh3+4I=")</f>
        <v>#REF!</v>
      </c>
      <c r="EB378" t="e">
        <f>AND('PROG FORMACIÓN TITULADA'!#REF!,"AAAAAHh3+4M=")</f>
        <v>#REF!</v>
      </c>
      <c r="EC378" t="e">
        <f>AND('PROG FORMACIÓN TITULADA'!#REF!,"AAAAAHh3+4Q=")</f>
        <v>#REF!</v>
      </c>
      <c r="ED378" t="e">
        <f>AND('PROG FORMACIÓN TITULADA'!#REF!,"AAAAAHh3+4U=")</f>
        <v>#REF!</v>
      </c>
      <c r="EE378" t="e">
        <f>AND('PROG FORMACIÓN TITULADA'!#REF!,"AAAAAHh3+4Y=")</f>
        <v>#REF!</v>
      </c>
      <c r="EF378" t="e">
        <f>AND('PROG FORMACIÓN TITULADA'!#REF!,"AAAAAHh3+4c=")</f>
        <v>#REF!</v>
      </c>
      <c r="EG378" t="e">
        <f>IF('PROG FORMACIÓN TITULADA'!#REF!,"AAAAAHh3+4g=",0)</f>
        <v>#REF!</v>
      </c>
      <c r="EH378" t="e">
        <f>AND('PROG FORMACIÓN TITULADA'!#REF!,"AAAAAHh3+4k=")</f>
        <v>#REF!</v>
      </c>
      <c r="EI378" t="e">
        <f>AND('PROG FORMACIÓN TITULADA'!#REF!,"AAAAAHh3+4o=")</f>
        <v>#REF!</v>
      </c>
      <c r="EJ378" t="e">
        <f>AND('PROG FORMACIÓN TITULADA'!#REF!,"AAAAAHh3+4s=")</f>
        <v>#REF!</v>
      </c>
      <c r="EK378" t="e">
        <f>AND('PROG FORMACIÓN TITULADA'!#REF!,"AAAAAHh3+4w=")</f>
        <v>#REF!</v>
      </c>
      <c r="EL378" t="e">
        <f>AND('PROG FORMACIÓN TITULADA'!#REF!,"AAAAAHh3+40=")</f>
        <v>#REF!</v>
      </c>
      <c r="EM378" t="e">
        <f>AND('PROG FORMACIÓN TITULADA'!#REF!,"AAAAAHh3+44=")</f>
        <v>#REF!</v>
      </c>
      <c r="EN378" t="e">
        <f>AND('PROG FORMACIÓN TITULADA'!#REF!,"AAAAAHh3+48=")</f>
        <v>#REF!</v>
      </c>
      <c r="EO378" t="e">
        <f>AND('PROG FORMACIÓN TITULADA'!#REF!,"AAAAAHh3+5A=")</f>
        <v>#REF!</v>
      </c>
      <c r="EP378" t="e">
        <f>AND('PROG FORMACIÓN TITULADA'!#REF!,"AAAAAHh3+5E=")</f>
        <v>#REF!</v>
      </c>
      <c r="EQ378" t="e">
        <f>AND('PROG FORMACIÓN TITULADA'!#REF!,"AAAAAHh3+5I=")</f>
        <v>#REF!</v>
      </c>
      <c r="ER378" t="e">
        <f>AND('PROG FORMACIÓN TITULADA'!#REF!,"AAAAAHh3+5M=")</f>
        <v>#REF!</v>
      </c>
      <c r="ES378" t="e">
        <f>AND('PROG FORMACIÓN TITULADA'!#REF!,"AAAAAHh3+5Q=")</f>
        <v>#REF!</v>
      </c>
      <c r="ET378" t="e">
        <f>AND('PROG FORMACIÓN TITULADA'!#REF!,"AAAAAHh3+5U=")</f>
        <v>#REF!</v>
      </c>
      <c r="EU378" t="e">
        <f>AND('PROG FORMACIÓN TITULADA'!#REF!,"AAAAAHh3+5Y=")</f>
        <v>#REF!</v>
      </c>
      <c r="EV378" t="e">
        <f>AND('PROG FORMACIÓN TITULADA'!#REF!,"AAAAAHh3+5c=")</f>
        <v>#REF!</v>
      </c>
      <c r="EW378" t="e">
        <f>AND('PROG FORMACIÓN TITULADA'!#REF!,"AAAAAHh3+5g=")</f>
        <v>#REF!</v>
      </c>
      <c r="EX378" t="e">
        <f>AND('PROG FORMACIÓN TITULADA'!#REF!,"AAAAAHh3+5k=")</f>
        <v>#REF!</v>
      </c>
      <c r="EY378" t="e">
        <f>AND('PROG FORMACIÓN TITULADA'!#REF!,"AAAAAHh3+5o=")</f>
        <v>#REF!</v>
      </c>
      <c r="EZ378" t="e">
        <f>AND('PROG FORMACIÓN TITULADA'!#REF!,"AAAAAHh3+5s=")</f>
        <v>#REF!</v>
      </c>
      <c r="FA378" t="e">
        <f>AND('PROG FORMACIÓN TITULADA'!#REF!,"AAAAAHh3+5w=")</f>
        <v>#REF!</v>
      </c>
      <c r="FB378" t="e">
        <f>AND('PROG FORMACIÓN TITULADA'!#REF!,"AAAAAHh3+50=")</f>
        <v>#REF!</v>
      </c>
      <c r="FC378" t="e">
        <f>AND('PROG FORMACIÓN TITULADA'!#REF!,"AAAAAHh3+54=")</f>
        <v>#REF!</v>
      </c>
      <c r="FD378" t="e">
        <f>AND('PROG FORMACIÓN TITULADA'!#REF!,"AAAAAHh3+58=")</f>
        <v>#REF!</v>
      </c>
      <c r="FE378" t="e">
        <f>AND('PROG FORMACIÓN TITULADA'!#REF!,"AAAAAHh3+6A=")</f>
        <v>#REF!</v>
      </c>
      <c r="FF378" t="e">
        <f>AND('PROG FORMACIÓN TITULADA'!#REF!,"AAAAAHh3+6E=")</f>
        <v>#REF!</v>
      </c>
      <c r="FG378" t="e">
        <f>AND('PROG FORMACIÓN TITULADA'!#REF!,"AAAAAHh3+6I=")</f>
        <v>#REF!</v>
      </c>
      <c r="FH378" t="e">
        <f>IF('PROG FORMACIÓN TITULADA'!#REF!,"AAAAAHh3+6M=",0)</f>
        <v>#REF!</v>
      </c>
      <c r="FI378" t="e">
        <f>AND('PROG FORMACIÓN TITULADA'!#REF!,"AAAAAHh3+6Q=")</f>
        <v>#REF!</v>
      </c>
      <c r="FJ378" t="e">
        <f>AND('PROG FORMACIÓN TITULADA'!#REF!,"AAAAAHh3+6U=")</f>
        <v>#REF!</v>
      </c>
      <c r="FK378" t="e">
        <f>AND('PROG FORMACIÓN TITULADA'!#REF!,"AAAAAHh3+6Y=")</f>
        <v>#REF!</v>
      </c>
      <c r="FL378" t="e">
        <f>AND('PROG FORMACIÓN TITULADA'!#REF!,"AAAAAHh3+6c=")</f>
        <v>#REF!</v>
      </c>
      <c r="FM378" t="e">
        <f>AND('PROG FORMACIÓN TITULADA'!#REF!,"AAAAAHh3+6g=")</f>
        <v>#REF!</v>
      </c>
      <c r="FN378" t="e">
        <f>AND('PROG FORMACIÓN TITULADA'!#REF!,"AAAAAHh3+6k=")</f>
        <v>#REF!</v>
      </c>
      <c r="FO378" t="e">
        <f>AND('PROG FORMACIÓN TITULADA'!#REF!,"AAAAAHh3+6o=")</f>
        <v>#REF!</v>
      </c>
      <c r="FP378" t="e">
        <f>AND('PROG FORMACIÓN TITULADA'!#REF!,"AAAAAHh3+6s=")</f>
        <v>#REF!</v>
      </c>
      <c r="FQ378" t="e">
        <f>AND('PROG FORMACIÓN TITULADA'!#REF!,"AAAAAHh3+6w=")</f>
        <v>#REF!</v>
      </c>
      <c r="FR378" t="e">
        <f>AND('PROG FORMACIÓN TITULADA'!#REF!,"AAAAAHh3+60=")</f>
        <v>#REF!</v>
      </c>
      <c r="FS378" t="e">
        <f>AND('PROG FORMACIÓN TITULADA'!#REF!,"AAAAAHh3+64=")</f>
        <v>#REF!</v>
      </c>
      <c r="FT378" t="e">
        <f>AND('PROG FORMACIÓN TITULADA'!#REF!,"AAAAAHh3+68=")</f>
        <v>#REF!</v>
      </c>
      <c r="FU378" t="e">
        <f>AND('PROG FORMACIÓN TITULADA'!#REF!,"AAAAAHh3+7A=")</f>
        <v>#REF!</v>
      </c>
      <c r="FV378" t="e">
        <f>AND('PROG FORMACIÓN TITULADA'!#REF!,"AAAAAHh3+7E=")</f>
        <v>#REF!</v>
      </c>
      <c r="FW378" t="e">
        <f>AND('PROG FORMACIÓN TITULADA'!#REF!,"AAAAAHh3+7I=")</f>
        <v>#REF!</v>
      </c>
      <c r="FX378" t="e">
        <f>AND('PROG FORMACIÓN TITULADA'!#REF!,"AAAAAHh3+7M=")</f>
        <v>#REF!</v>
      </c>
      <c r="FY378" t="e">
        <f>AND('PROG FORMACIÓN TITULADA'!#REF!,"AAAAAHh3+7Q=")</f>
        <v>#REF!</v>
      </c>
      <c r="FZ378" t="e">
        <f>AND('PROG FORMACIÓN TITULADA'!#REF!,"AAAAAHh3+7U=")</f>
        <v>#REF!</v>
      </c>
      <c r="GA378" t="e">
        <f>AND('PROG FORMACIÓN TITULADA'!#REF!,"AAAAAHh3+7Y=")</f>
        <v>#REF!</v>
      </c>
      <c r="GB378" t="e">
        <f>AND('PROG FORMACIÓN TITULADA'!#REF!,"AAAAAHh3+7c=")</f>
        <v>#REF!</v>
      </c>
      <c r="GC378" t="e">
        <f>AND('PROG FORMACIÓN TITULADA'!#REF!,"AAAAAHh3+7g=")</f>
        <v>#REF!</v>
      </c>
      <c r="GD378" t="e">
        <f>AND('PROG FORMACIÓN TITULADA'!#REF!,"AAAAAHh3+7k=")</f>
        <v>#REF!</v>
      </c>
      <c r="GE378" t="e">
        <f>AND('PROG FORMACIÓN TITULADA'!#REF!,"AAAAAHh3+7o=")</f>
        <v>#REF!</v>
      </c>
      <c r="GF378" t="e">
        <f>AND('PROG FORMACIÓN TITULADA'!#REF!,"AAAAAHh3+7s=")</f>
        <v>#REF!</v>
      </c>
      <c r="GG378" t="e">
        <f>AND('PROG FORMACIÓN TITULADA'!#REF!,"AAAAAHh3+7w=")</f>
        <v>#REF!</v>
      </c>
      <c r="GH378" t="e">
        <f>AND('PROG FORMACIÓN TITULADA'!#REF!,"AAAAAHh3+70=")</f>
        <v>#REF!</v>
      </c>
      <c r="GI378" t="e">
        <f>IF('PROG FORMACIÓN TITULADA'!#REF!,"AAAAAHh3+74=",0)</f>
        <v>#REF!</v>
      </c>
      <c r="GJ378" t="e">
        <f>AND('PROG FORMACIÓN TITULADA'!#REF!,"AAAAAHh3+78=")</f>
        <v>#REF!</v>
      </c>
      <c r="GK378" t="e">
        <f>AND('PROG FORMACIÓN TITULADA'!#REF!,"AAAAAHh3+8A=")</f>
        <v>#REF!</v>
      </c>
      <c r="GL378" t="e">
        <f>AND('PROG FORMACIÓN TITULADA'!#REF!,"AAAAAHh3+8E=")</f>
        <v>#REF!</v>
      </c>
      <c r="GM378" t="e">
        <f>AND('PROG FORMACIÓN TITULADA'!#REF!,"AAAAAHh3+8I=")</f>
        <v>#REF!</v>
      </c>
      <c r="GN378" t="e">
        <f>AND('PROG FORMACIÓN TITULADA'!#REF!,"AAAAAHh3+8M=")</f>
        <v>#REF!</v>
      </c>
      <c r="GO378" t="e">
        <f>AND('PROG FORMACIÓN TITULADA'!#REF!,"AAAAAHh3+8Q=")</f>
        <v>#REF!</v>
      </c>
      <c r="GP378" t="e">
        <f>AND('PROG FORMACIÓN TITULADA'!#REF!,"AAAAAHh3+8U=")</f>
        <v>#REF!</v>
      </c>
      <c r="GQ378" t="e">
        <f>AND('PROG FORMACIÓN TITULADA'!#REF!,"AAAAAHh3+8Y=")</f>
        <v>#REF!</v>
      </c>
      <c r="GR378" t="e">
        <f>AND('PROG FORMACIÓN TITULADA'!#REF!,"AAAAAHh3+8c=")</f>
        <v>#REF!</v>
      </c>
      <c r="GS378" t="e">
        <f>AND('PROG FORMACIÓN TITULADA'!#REF!,"AAAAAHh3+8g=")</f>
        <v>#REF!</v>
      </c>
      <c r="GT378" t="e">
        <f>AND('PROG FORMACIÓN TITULADA'!#REF!,"AAAAAHh3+8k=")</f>
        <v>#REF!</v>
      </c>
      <c r="GU378" t="e">
        <f>AND('PROG FORMACIÓN TITULADA'!#REF!,"AAAAAHh3+8o=")</f>
        <v>#REF!</v>
      </c>
      <c r="GV378" t="e">
        <f>AND('PROG FORMACIÓN TITULADA'!#REF!,"AAAAAHh3+8s=")</f>
        <v>#REF!</v>
      </c>
      <c r="GW378" t="e">
        <f>AND('PROG FORMACIÓN TITULADA'!#REF!,"AAAAAHh3+8w=")</f>
        <v>#REF!</v>
      </c>
      <c r="GX378" t="e">
        <f>AND('PROG FORMACIÓN TITULADA'!#REF!,"AAAAAHh3+80=")</f>
        <v>#REF!</v>
      </c>
      <c r="GY378" t="e">
        <f>AND('PROG FORMACIÓN TITULADA'!#REF!,"AAAAAHh3+84=")</f>
        <v>#REF!</v>
      </c>
      <c r="GZ378" t="e">
        <f>AND('PROG FORMACIÓN TITULADA'!#REF!,"AAAAAHh3+88=")</f>
        <v>#REF!</v>
      </c>
      <c r="HA378" t="e">
        <f>AND('PROG FORMACIÓN TITULADA'!#REF!,"AAAAAHh3+9A=")</f>
        <v>#REF!</v>
      </c>
      <c r="HB378" t="e">
        <f>AND('PROG FORMACIÓN TITULADA'!#REF!,"AAAAAHh3+9E=")</f>
        <v>#REF!</v>
      </c>
      <c r="HC378" t="e">
        <f>AND('PROG FORMACIÓN TITULADA'!#REF!,"AAAAAHh3+9I=")</f>
        <v>#REF!</v>
      </c>
      <c r="HD378" t="e">
        <f>AND('PROG FORMACIÓN TITULADA'!#REF!,"AAAAAHh3+9M=")</f>
        <v>#REF!</v>
      </c>
      <c r="HE378" t="e">
        <f>AND('PROG FORMACIÓN TITULADA'!#REF!,"AAAAAHh3+9Q=")</f>
        <v>#REF!</v>
      </c>
      <c r="HF378" t="e">
        <f>AND('PROG FORMACIÓN TITULADA'!#REF!,"AAAAAHh3+9U=")</f>
        <v>#REF!</v>
      </c>
      <c r="HG378" t="e">
        <f>AND('PROG FORMACIÓN TITULADA'!#REF!,"AAAAAHh3+9Y=")</f>
        <v>#REF!</v>
      </c>
      <c r="HH378" t="e">
        <f>AND('PROG FORMACIÓN TITULADA'!#REF!,"AAAAAHh3+9c=")</f>
        <v>#REF!</v>
      </c>
      <c r="HI378" t="e">
        <f>AND('PROG FORMACIÓN TITULADA'!#REF!,"AAAAAHh3+9g=")</f>
        <v>#REF!</v>
      </c>
      <c r="HJ378" t="e">
        <f>IF('PROG FORMACIÓN TITULADA'!#REF!,"AAAAAHh3+9k=",0)</f>
        <v>#REF!</v>
      </c>
      <c r="HK378" t="e">
        <f>AND('PROG FORMACIÓN TITULADA'!#REF!,"AAAAAHh3+9o=")</f>
        <v>#REF!</v>
      </c>
      <c r="HL378" t="e">
        <f>AND('PROG FORMACIÓN TITULADA'!#REF!,"AAAAAHh3+9s=")</f>
        <v>#REF!</v>
      </c>
      <c r="HM378" t="e">
        <f>AND('PROG FORMACIÓN TITULADA'!#REF!,"AAAAAHh3+9w=")</f>
        <v>#REF!</v>
      </c>
      <c r="HN378" t="e">
        <f>AND('PROG FORMACIÓN TITULADA'!#REF!,"AAAAAHh3+90=")</f>
        <v>#REF!</v>
      </c>
      <c r="HO378" t="e">
        <f>AND('PROG FORMACIÓN TITULADA'!#REF!,"AAAAAHh3+94=")</f>
        <v>#REF!</v>
      </c>
      <c r="HP378" t="e">
        <f>AND('PROG FORMACIÓN TITULADA'!#REF!,"AAAAAHh3+98=")</f>
        <v>#REF!</v>
      </c>
      <c r="HQ378" t="e">
        <f>AND('PROG FORMACIÓN TITULADA'!#REF!,"AAAAAHh3++A=")</f>
        <v>#REF!</v>
      </c>
      <c r="HR378" t="e">
        <f>AND('PROG FORMACIÓN TITULADA'!#REF!,"AAAAAHh3++E=")</f>
        <v>#REF!</v>
      </c>
      <c r="HS378" t="e">
        <f>AND('PROG FORMACIÓN TITULADA'!#REF!,"AAAAAHh3++I=")</f>
        <v>#REF!</v>
      </c>
      <c r="HT378" t="e">
        <f>AND('PROG FORMACIÓN TITULADA'!#REF!,"AAAAAHh3++M=")</f>
        <v>#REF!</v>
      </c>
      <c r="HU378" t="e">
        <f>AND('PROG FORMACIÓN TITULADA'!#REF!,"AAAAAHh3++Q=")</f>
        <v>#REF!</v>
      </c>
      <c r="HV378" t="e">
        <f>AND('PROG FORMACIÓN TITULADA'!#REF!,"AAAAAHh3++U=")</f>
        <v>#REF!</v>
      </c>
      <c r="HW378" t="e">
        <f>AND('PROG FORMACIÓN TITULADA'!#REF!,"AAAAAHh3++Y=")</f>
        <v>#REF!</v>
      </c>
      <c r="HX378" t="e">
        <f>AND('PROG FORMACIÓN TITULADA'!#REF!,"AAAAAHh3++c=")</f>
        <v>#REF!</v>
      </c>
      <c r="HY378" t="e">
        <f>AND('PROG FORMACIÓN TITULADA'!#REF!,"AAAAAHh3++g=")</f>
        <v>#REF!</v>
      </c>
      <c r="HZ378" t="e">
        <f>AND('PROG FORMACIÓN TITULADA'!#REF!,"AAAAAHh3++k=")</f>
        <v>#REF!</v>
      </c>
      <c r="IA378" t="e">
        <f>AND('PROG FORMACIÓN TITULADA'!#REF!,"AAAAAHh3++o=")</f>
        <v>#REF!</v>
      </c>
      <c r="IB378" t="e">
        <f>AND('PROG FORMACIÓN TITULADA'!#REF!,"AAAAAHh3++s=")</f>
        <v>#REF!</v>
      </c>
      <c r="IC378" t="e">
        <f>AND('PROG FORMACIÓN TITULADA'!#REF!,"AAAAAHh3++w=")</f>
        <v>#REF!</v>
      </c>
      <c r="ID378" t="e">
        <f>AND('PROG FORMACIÓN TITULADA'!#REF!,"AAAAAHh3++0=")</f>
        <v>#REF!</v>
      </c>
      <c r="IE378" t="e">
        <f>AND('PROG FORMACIÓN TITULADA'!#REF!,"AAAAAHh3++4=")</f>
        <v>#REF!</v>
      </c>
      <c r="IF378" t="e">
        <f>AND('PROG FORMACIÓN TITULADA'!#REF!,"AAAAAHh3++8=")</f>
        <v>#REF!</v>
      </c>
      <c r="IG378" t="e">
        <f>AND('PROG FORMACIÓN TITULADA'!#REF!,"AAAAAHh3+/A=")</f>
        <v>#REF!</v>
      </c>
      <c r="IH378" t="e">
        <f>AND('PROG FORMACIÓN TITULADA'!#REF!,"AAAAAHh3+/E=")</f>
        <v>#REF!</v>
      </c>
      <c r="II378" t="e">
        <f>AND('PROG FORMACIÓN TITULADA'!#REF!,"AAAAAHh3+/I=")</f>
        <v>#REF!</v>
      </c>
      <c r="IJ378" t="e">
        <f>AND('PROG FORMACIÓN TITULADA'!#REF!,"AAAAAHh3+/M=")</f>
        <v>#REF!</v>
      </c>
      <c r="IK378" t="e">
        <f>IF('PROG FORMACIÓN TITULADA'!#REF!,"AAAAAHh3+/Q=",0)</f>
        <v>#REF!</v>
      </c>
      <c r="IL378" t="e">
        <f>AND('PROG FORMACIÓN TITULADA'!#REF!,"AAAAAHh3+/U=")</f>
        <v>#REF!</v>
      </c>
      <c r="IM378" t="e">
        <f>AND('PROG FORMACIÓN TITULADA'!#REF!,"AAAAAHh3+/Y=")</f>
        <v>#REF!</v>
      </c>
      <c r="IN378" t="e">
        <f>AND('PROG FORMACIÓN TITULADA'!#REF!,"AAAAAHh3+/c=")</f>
        <v>#REF!</v>
      </c>
      <c r="IO378" t="e">
        <f>AND('PROG FORMACIÓN TITULADA'!#REF!,"AAAAAHh3+/g=")</f>
        <v>#REF!</v>
      </c>
      <c r="IP378" t="e">
        <f>AND('PROG FORMACIÓN TITULADA'!#REF!,"AAAAAHh3+/k=")</f>
        <v>#REF!</v>
      </c>
      <c r="IQ378" t="e">
        <f>AND('PROG FORMACIÓN TITULADA'!#REF!,"AAAAAHh3+/o=")</f>
        <v>#REF!</v>
      </c>
      <c r="IR378" t="e">
        <f>AND('PROG FORMACIÓN TITULADA'!#REF!,"AAAAAHh3+/s=")</f>
        <v>#REF!</v>
      </c>
      <c r="IS378" t="e">
        <f>AND('PROG FORMACIÓN TITULADA'!#REF!,"AAAAAHh3+/w=")</f>
        <v>#REF!</v>
      </c>
      <c r="IT378" t="e">
        <f>AND('PROG FORMACIÓN TITULADA'!#REF!,"AAAAAHh3+/0=")</f>
        <v>#REF!</v>
      </c>
      <c r="IU378" t="e">
        <f>AND('PROG FORMACIÓN TITULADA'!#REF!,"AAAAAHh3+/4=")</f>
        <v>#REF!</v>
      </c>
      <c r="IV378" t="e">
        <f>AND('PROG FORMACIÓN TITULADA'!#REF!,"AAAAAHh3+/8=")</f>
        <v>#REF!</v>
      </c>
    </row>
    <row r="379" spans="1:256" x14ac:dyDescent="0.2">
      <c r="A379" t="e">
        <f>AND('PROG FORMACIÓN TITULADA'!#REF!,"AAAAAH3j8gA=")</f>
        <v>#REF!</v>
      </c>
      <c r="B379" t="e">
        <f>AND('PROG FORMACIÓN TITULADA'!#REF!,"AAAAAH3j8gE=")</f>
        <v>#REF!</v>
      </c>
      <c r="C379" t="e">
        <f>AND('PROG FORMACIÓN TITULADA'!#REF!,"AAAAAH3j8gI=")</f>
        <v>#REF!</v>
      </c>
      <c r="D379" t="e">
        <f>AND('PROG FORMACIÓN TITULADA'!#REF!,"AAAAAH3j8gM=")</f>
        <v>#REF!</v>
      </c>
      <c r="E379" t="e">
        <f>AND('PROG FORMACIÓN TITULADA'!#REF!,"AAAAAH3j8gQ=")</f>
        <v>#REF!</v>
      </c>
      <c r="F379" t="e">
        <f>AND('PROG FORMACIÓN TITULADA'!#REF!,"AAAAAH3j8gU=")</f>
        <v>#REF!</v>
      </c>
      <c r="G379" t="e">
        <f>AND('PROG FORMACIÓN TITULADA'!#REF!,"AAAAAH3j8gY=")</f>
        <v>#REF!</v>
      </c>
      <c r="H379" t="e">
        <f>AND('PROG FORMACIÓN TITULADA'!#REF!,"AAAAAH3j8gc=")</f>
        <v>#REF!</v>
      </c>
      <c r="I379" t="e">
        <f>AND('PROG FORMACIÓN TITULADA'!#REF!,"AAAAAH3j8gg=")</f>
        <v>#REF!</v>
      </c>
      <c r="J379" t="e">
        <f>AND('PROG FORMACIÓN TITULADA'!#REF!,"AAAAAH3j8gk=")</f>
        <v>#REF!</v>
      </c>
      <c r="K379" t="e">
        <f>AND('PROG FORMACIÓN TITULADA'!#REF!,"AAAAAH3j8go=")</f>
        <v>#REF!</v>
      </c>
      <c r="L379" t="e">
        <f>AND('PROG FORMACIÓN TITULADA'!#REF!,"AAAAAH3j8gs=")</f>
        <v>#REF!</v>
      </c>
      <c r="M379" t="e">
        <f>AND('PROG FORMACIÓN TITULADA'!#REF!,"AAAAAH3j8gw=")</f>
        <v>#REF!</v>
      </c>
      <c r="N379" t="e">
        <f>AND('PROG FORMACIÓN TITULADA'!#REF!,"AAAAAH3j8g0=")</f>
        <v>#REF!</v>
      </c>
      <c r="O379" t="e">
        <f>AND('PROG FORMACIÓN TITULADA'!#REF!,"AAAAAH3j8g4=")</f>
        <v>#REF!</v>
      </c>
      <c r="P379" t="e">
        <f>IF('PROG FORMACIÓN TITULADA'!#REF!,"AAAAAH3j8g8=",0)</f>
        <v>#REF!</v>
      </c>
      <c r="Q379" t="e">
        <f>AND('PROG FORMACIÓN TITULADA'!#REF!,"AAAAAH3j8hA=")</f>
        <v>#REF!</v>
      </c>
      <c r="R379" t="e">
        <f>AND('PROG FORMACIÓN TITULADA'!#REF!,"AAAAAH3j8hE=")</f>
        <v>#REF!</v>
      </c>
      <c r="S379" t="e">
        <f>AND('PROG FORMACIÓN TITULADA'!#REF!,"AAAAAH3j8hI=")</f>
        <v>#REF!</v>
      </c>
      <c r="T379" t="e">
        <f>AND('PROG FORMACIÓN TITULADA'!#REF!,"AAAAAH3j8hM=")</f>
        <v>#REF!</v>
      </c>
      <c r="U379" t="e">
        <f>AND('PROG FORMACIÓN TITULADA'!#REF!,"AAAAAH3j8hQ=")</f>
        <v>#REF!</v>
      </c>
      <c r="V379" t="e">
        <f>AND('PROG FORMACIÓN TITULADA'!#REF!,"AAAAAH3j8hU=")</f>
        <v>#REF!</v>
      </c>
      <c r="W379" t="e">
        <f>AND('PROG FORMACIÓN TITULADA'!#REF!,"AAAAAH3j8hY=")</f>
        <v>#REF!</v>
      </c>
      <c r="X379" t="e">
        <f>AND('PROG FORMACIÓN TITULADA'!#REF!,"AAAAAH3j8hc=")</f>
        <v>#REF!</v>
      </c>
      <c r="Y379" t="e">
        <f>AND('PROG FORMACIÓN TITULADA'!#REF!,"AAAAAH3j8hg=")</f>
        <v>#REF!</v>
      </c>
      <c r="Z379" t="e">
        <f>AND('PROG FORMACIÓN TITULADA'!#REF!,"AAAAAH3j8hk=")</f>
        <v>#REF!</v>
      </c>
      <c r="AA379" t="e">
        <f>AND('PROG FORMACIÓN TITULADA'!#REF!,"AAAAAH3j8ho=")</f>
        <v>#REF!</v>
      </c>
      <c r="AB379" t="e">
        <f>AND('PROG FORMACIÓN TITULADA'!#REF!,"AAAAAH3j8hs=")</f>
        <v>#REF!</v>
      </c>
      <c r="AC379" t="e">
        <f>AND('PROG FORMACIÓN TITULADA'!#REF!,"AAAAAH3j8hw=")</f>
        <v>#REF!</v>
      </c>
      <c r="AD379" t="e">
        <f>AND('PROG FORMACIÓN TITULADA'!#REF!,"AAAAAH3j8h0=")</f>
        <v>#REF!</v>
      </c>
      <c r="AE379" t="e">
        <f>AND('PROG FORMACIÓN TITULADA'!#REF!,"AAAAAH3j8h4=")</f>
        <v>#REF!</v>
      </c>
      <c r="AF379" t="e">
        <f>AND('PROG FORMACIÓN TITULADA'!#REF!,"AAAAAH3j8h8=")</f>
        <v>#REF!</v>
      </c>
      <c r="AG379" t="e">
        <f>AND('PROG FORMACIÓN TITULADA'!#REF!,"AAAAAH3j8iA=")</f>
        <v>#REF!</v>
      </c>
      <c r="AH379" t="e">
        <f>AND('PROG FORMACIÓN TITULADA'!#REF!,"AAAAAH3j8iE=")</f>
        <v>#REF!</v>
      </c>
      <c r="AI379" t="e">
        <f>AND('PROG FORMACIÓN TITULADA'!#REF!,"AAAAAH3j8iI=")</f>
        <v>#REF!</v>
      </c>
      <c r="AJ379" t="e">
        <f>AND('PROG FORMACIÓN TITULADA'!#REF!,"AAAAAH3j8iM=")</f>
        <v>#REF!</v>
      </c>
      <c r="AK379" t="e">
        <f>AND('PROG FORMACIÓN TITULADA'!#REF!,"AAAAAH3j8iQ=")</f>
        <v>#REF!</v>
      </c>
      <c r="AL379" t="e">
        <f>AND('PROG FORMACIÓN TITULADA'!#REF!,"AAAAAH3j8iU=")</f>
        <v>#REF!</v>
      </c>
      <c r="AM379" t="e">
        <f>AND('PROG FORMACIÓN TITULADA'!#REF!,"AAAAAH3j8iY=")</f>
        <v>#REF!</v>
      </c>
      <c r="AN379" t="e">
        <f>AND('PROG FORMACIÓN TITULADA'!#REF!,"AAAAAH3j8ic=")</f>
        <v>#REF!</v>
      </c>
      <c r="AO379" t="e">
        <f>AND('PROG FORMACIÓN TITULADA'!#REF!,"AAAAAH3j8ig=")</f>
        <v>#REF!</v>
      </c>
      <c r="AP379" t="e">
        <f>AND('PROG FORMACIÓN TITULADA'!#REF!,"AAAAAH3j8ik=")</f>
        <v>#REF!</v>
      </c>
      <c r="AQ379" t="e">
        <f>IF('PROG FORMACIÓN TITULADA'!#REF!,"AAAAAH3j8io=",0)</f>
        <v>#REF!</v>
      </c>
      <c r="AR379" t="e">
        <f>AND('PROG FORMACIÓN TITULADA'!#REF!,"AAAAAH3j8is=")</f>
        <v>#REF!</v>
      </c>
      <c r="AS379" t="e">
        <f>AND('PROG FORMACIÓN TITULADA'!#REF!,"AAAAAH3j8iw=")</f>
        <v>#REF!</v>
      </c>
      <c r="AT379" t="e">
        <f>AND('PROG FORMACIÓN TITULADA'!#REF!,"AAAAAH3j8i0=")</f>
        <v>#REF!</v>
      </c>
      <c r="AU379" t="e">
        <f>AND('PROG FORMACIÓN TITULADA'!#REF!,"AAAAAH3j8i4=")</f>
        <v>#REF!</v>
      </c>
      <c r="AV379" t="e">
        <f>AND('PROG FORMACIÓN TITULADA'!#REF!,"AAAAAH3j8i8=")</f>
        <v>#REF!</v>
      </c>
      <c r="AW379" t="e">
        <f>AND('PROG FORMACIÓN TITULADA'!#REF!,"AAAAAH3j8jA=")</f>
        <v>#REF!</v>
      </c>
      <c r="AX379" t="e">
        <f>AND('PROG FORMACIÓN TITULADA'!#REF!,"AAAAAH3j8jE=")</f>
        <v>#REF!</v>
      </c>
      <c r="AY379" t="e">
        <f>AND('PROG FORMACIÓN TITULADA'!#REF!,"AAAAAH3j8jI=")</f>
        <v>#REF!</v>
      </c>
      <c r="AZ379" t="e">
        <f>AND('PROG FORMACIÓN TITULADA'!#REF!,"AAAAAH3j8jM=")</f>
        <v>#REF!</v>
      </c>
      <c r="BA379" t="e">
        <f>AND('PROG FORMACIÓN TITULADA'!#REF!,"AAAAAH3j8jQ=")</f>
        <v>#REF!</v>
      </c>
      <c r="BB379" t="e">
        <f>AND('PROG FORMACIÓN TITULADA'!#REF!,"AAAAAH3j8jU=")</f>
        <v>#REF!</v>
      </c>
      <c r="BC379" t="e">
        <f>AND('PROG FORMACIÓN TITULADA'!#REF!,"AAAAAH3j8jY=")</f>
        <v>#REF!</v>
      </c>
      <c r="BD379" t="e">
        <f>AND('PROG FORMACIÓN TITULADA'!#REF!,"AAAAAH3j8jc=")</f>
        <v>#REF!</v>
      </c>
      <c r="BE379" t="e">
        <f>AND('PROG FORMACIÓN TITULADA'!#REF!,"AAAAAH3j8jg=")</f>
        <v>#REF!</v>
      </c>
      <c r="BF379" t="e">
        <f>AND('PROG FORMACIÓN TITULADA'!#REF!,"AAAAAH3j8jk=")</f>
        <v>#REF!</v>
      </c>
      <c r="BG379" t="e">
        <f>AND('PROG FORMACIÓN TITULADA'!#REF!,"AAAAAH3j8jo=")</f>
        <v>#REF!</v>
      </c>
      <c r="BH379" t="e">
        <f>AND('PROG FORMACIÓN TITULADA'!#REF!,"AAAAAH3j8js=")</f>
        <v>#REF!</v>
      </c>
      <c r="BI379" t="e">
        <f>AND('PROG FORMACIÓN TITULADA'!#REF!,"AAAAAH3j8jw=")</f>
        <v>#REF!</v>
      </c>
      <c r="BJ379" t="e">
        <f>AND('PROG FORMACIÓN TITULADA'!#REF!,"AAAAAH3j8j0=")</f>
        <v>#REF!</v>
      </c>
      <c r="BK379" t="e">
        <f>AND('PROG FORMACIÓN TITULADA'!#REF!,"AAAAAH3j8j4=")</f>
        <v>#REF!</v>
      </c>
      <c r="BL379" t="e">
        <f>AND('PROG FORMACIÓN TITULADA'!#REF!,"AAAAAH3j8j8=")</f>
        <v>#REF!</v>
      </c>
      <c r="BM379" t="e">
        <f>AND('PROG FORMACIÓN TITULADA'!#REF!,"AAAAAH3j8kA=")</f>
        <v>#REF!</v>
      </c>
      <c r="BN379" t="e">
        <f>AND('PROG FORMACIÓN TITULADA'!#REF!,"AAAAAH3j8kE=")</f>
        <v>#REF!</v>
      </c>
      <c r="BO379" t="e">
        <f>AND('PROG FORMACIÓN TITULADA'!#REF!,"AAAAAH3j8kI=")</f>
        <v>#REF!</v>
      </c>
      <c r="BP379" t="e">
        <f>AND('PROG FORMACIÓN TITULADA'!#REF!,"AAAAAH3j8kM=")</f>
        <v>#REF!</v>
      </c>
      <c r="BQ379" t="e">
        <f>AND('PROG FORMACIÓN TITULADA'!#REF!,"AAAAAH3j8kQ=")</f>
        <v>#REF!</v>
      </c>
      <c r="BR379" t="e">
        <f>IF('PROG FORMACIÓN TITULADA'!#REF!,"AAAAAH3j8kU=",0)</f>
        <v>#REF!</v>
      </c>
      <c r="BS379" t="e">
        <f>AND('PROG FORMACIÓN TITULADA'!#REF!,"AAAAAH3j8kY=")</f>
        <v>#REF!</v>
      </c>
      <c r="BT379" t="e">
        <f>AND('PROG FORMACIÓN TITULADA'!#REF!,"AAAAAH3j8kc=")</f>
        <v>#REF!</v>
      </c>
      <c r="BU379" t="e">
        <f>AND('PROG FORMACIÓN TITULADA'!#REF!,"AAAAAH3j8kg=")</f>
        <v>#REF!</v>
      </c>
      <c r="BV379" t="e">
        <f>AND('PROG FORMACIÓN TITULADA'!#REF!,"AAAAAH3j8kk=")</f>
        <v>#REF!</v>
      </c>
      <c r="BW379" t="e">
        <f>AND('PROG FORMACIÓN TITULADA'!#REF!,"AAAAAH3j8ko=")</f>
        <v>#REF!</v>
      </c>
      <c r="BX379" t="e">
        <f>AND('PROG FORMACIÓN TITULADA'!#REF!,"AAAAAH3j8ks=")</f>
        <v>#REF!</v>
      </c>
      <c r="BY379" t="e">
        <f>AND('PROG FORMACIÓN TITULADA'!#REF!,"AAAAAH3j8kw=")</f>
        <v>#REF!</v>
      </c>
      <c r="BZ379" t="e">
        <f>AND('PROG FORMACIÓN TITULADA'!#REF!,"AAAAAH3j8k0=")</f>
        <v>#REF!</v>
      </c>
      <c r="CA379" t="e">
        <f>AND('PROG FORMACIÓN TITULADA'!#REF!,"AAAAAH3j8k4=")</f>
        <v>#REF!</v>
      </c>
      <c r="CB379" t="e">
        <f>AND('PROG FORMACIÓN TITULADA'!#REF!,"AAAAAH3j8k8=")</f>
        <v>#REF!</v>
      </c>
      <c r="CC379" t="e">
        <f>AND('PROG FORMACIÓN TITULADA'!#REF!,"AAAAAH3j8lA=")</f>
        <v>#REF!</v>
      </c>
      <c r="CD379" t="e">
        <f>AND('PROG FORMACIÓN TITULADA'!#REF!,"AAAAAH3j8lE=")</f>
        <v>#REF!</v>
      </c>
      <c r="CE379" t="e">
        <f>AND('PROG FORMACIÓN TITULADA'!#REF!,"AAAAAH3j8lI=")</f>
        <v>#REF!</v>
      </c>
      <c r="CF379" t="e">
        <f>AND('PROG FORMACIÓN TITULADA'!#REF!,"AAAAAH3j8lM=")</f>
        <v>#REF!</v>
      </c>
      <c r="CG379" t="e">
        <f>AND('PROG FORMACIÓN TITULADA'!#REF!,"AAAAAH3j8lQ=")</f>
        <v>#REF!</v>
      </c>
      <c r="CH379" t="e">
        <f>AND('PROG FORMACIÓN TITULADA'!#REF!,"AAAAAH3j8lU=")</f>
        <v>#REF!</v>
      </c>
      <c r="CI379" t="e">
        <f>AND('PROG FORMACIÓN TITULADA'!#REF!,"AAAAAH3j8lY=")</f>
        <v>#REF!</v>
      </c>
      <c r="CJ379" t="e">
        <f>AND('PROG FORMACIÓN TITULADA'!#REF!,"AAAAAH3j8lc=")</f>
        <v>#REF!</v>
      </c>
      <c r="CK379" t="e">
        <f>AND('PROG FORMACIÓN TITULADA'!#REF!,"AAAAAH3j8lg=")</f>
        <v>#REF!</v>
      </c>
      <c r="CL379" t="e">
        <f>AND('PROG FORMACIÓN TITULADA'!#REF!,"AAAAAH3j8lk=")</f>
        <v>#REF!</v>
      </c>
      <c r="CM379" t="e">
        <f>AND('PROG FORMACIÓN TITULADA'!#REF!,"AAAAAH3j8lo=")</f>
        <v>#REF!</v>
      </c>
      <c r="CN379" t="e">
        <f>AND('PROG FORMACIÓN TITULADA'!#REF!,"AAAAAH3j8ls=")</f>
        <v>#REF!</v>
      </c>
      <c r="CO379" t="e">
        <f>AND('PROG FORMACIÓN TITULADA'!#REF!,"AAAAAH3j8lw=")</f>
        <v>#REF!</v>
      </c>
      <c r="CP379" t="e">
        <f>AND('PROG FORMACIÓN TITULADA'!#REF!,"AAAAAH3j8l0=")</f>
        <v>#REF!</v>
      </c>
      <c r="CQ379" t="e">
        <f>AND('PROG FORMACIÓN TITULADA'!#REF!,"AAAAAH3j8l4=")</f>
        <v>#REF!</v>
      </c>
      <c r="CR379" t="e">
        <f>AND('PROG FORMACIÓN TITULADA'!#REF!,"AAAAAH3j8l8=")</f>
        <v>#REF!</v>
      </c>
      <c r="CS379" t="e">
        <f>IF('PROG FORMACIÓN TITULADA'!#REF!,"AAAAAH3j8mA=",0)</f>
        <v>#REF!</v>
      </c>
      <c r="CT379" t="e">
        <f>AND('PROG FORMACIÓN TITULADA'!#REF!,"AAAAAH3j8mE=")</f>
        <v>#REF!</v>
      </c>
      <c r="CU379" t="e">
        <f>AND('PROG FORMACIÓN TITULADA'!#REF!,"AAAAAH3j8mI=")</f>
        <v>#REF!</v>
      </c>
      <c r="CV379" t="e">
        <f>AND('PROG FORMACIÓN TITULADA'!#REF!,"AAAAAH3j8mM=")</f>
        <v>#REF!</v>
      </c>
      <c r="CW379" t="e">
        <f>AND('PROG FORMACIÓN TITULADA'!#REF!,"AAAAAH3j8mQ=")</f>
        <v>#REF!</v>
      </c>
      <c r="CX379" t="e">
        <f>AND('PROG FORMACIÓN TITULADA'!#REF!,"AAAAAH3j8mU=")</f>
        <v>#REF!</v>
      </c>
      <c r="CY379" t="e">
        <f>AND('PROG FORMACIÓN TITULADA'!#REF!,"AAAAAH3j8mY=")</f>
        <v>#REF!</v>
      </c>
      <c r="CZ379" t="e">
        <f>AND('PROG FORMACIÓN TITULADA'!#REF!,"AAAAAH3j8mc=")</f>
        <v>#REF!</v>
      </c>
      <c r="DA379" t="e">
        <f>AND('PROG FORMACIÓN TITULADA'!#REF!,"AAAAAH3j8mg=")</f>
        <v>#REF!</v>
      </c>
      <c r="DB379" t="e">
        <f>AND('PROG FORMACIÓN TITULADA'!#REF!,"AAAAAH3j8mk=")</f>
        <v>#REF!</v>
      </c>
      <c r="DC379" t="e">
        <f>AND('PROG FORMACIÓN TITULADA'!#REF!,"AAAAAH3j8mo=")</f>
        <v>#REF!</v>
      </c>
      <c r="DD379" t="e">
        <f>AND('PROG FORMACIÓN TITULADA'!#REF!,"AAAAAH3j8ms=")</f>
        <v>#REF!</v>
      </c>
      <c r="DE379" t="e">
        <f>AND('PROG FORMACIÓN TITULADA'!#REF!,"AAAAAH3j8mw=")</f>
        <v>#REF!</v>
      </c>
      <c r="DF379" t="e">
        <f>AND('PROG FORMACIÓN TITULADA'!#REF!,"AAAAAH3j8m0=")</f>
        <v>#REF!</v>
      </c>
      <c r="DG379" t="e">
        <f>AND('PROG FORMACIÓN TITULADA'!#REF!,"AAAAAH3j8m4=")</f>
        <v>#REF!</v>
      </c>
      <c r="DH379" t="e">
        <f>AND('PROG FORMACIÓN TITULADA'!#REF!,"AAAAAH3j8m8=")</f>
        <v>#REF!</v>
      </c>
      <c r="DI379" t="e">
        <f>AND('PROG FORMACIÓN TITULADA'!#REF!,"AAAAAH3j8nA=")</f>
        <v>#REF!</v>
      </c>
      <c r="DJ379" t="e">
        <f>AND('PROG FORMACIÓN TITULADA'!#REF!,"AAAAAH3j8nE=")</f>
        <v>#REF!</v>
      </c>
      <c r="DK379" t="e">
        <f>AND('PROG FORMACIÓN TITULADA'!#REF!,"AAAAAH3j8nI=")</f>
        <v>#REF!</v>
      </c>
      <c r="DL379" t="e">
        <f>AND('PROG FORMACIÓN TITULADA'!#REF!,"AAAAAH3j8nM=")</f>
        <v>#REF!</v>
      </c>
      <c r="DM379" t="e">
        <f>AND('PROG FORMACIÓN TITULADA'!#REF!,"AAAAAH3j8nQ=")</f>
        <v>#REF!</v>
      </c>
      <c r="DN379" t="e">
        <f>AND('PROG FORMACIÓN TITULADA'!#REF!,"AAAAAH3j8nU=")</f>
        <v>#REF!</v>
      </c>
      <c r="DO379" t="e">
        <f>AND('PROG FORMACIÓN TITULADA'!#REF!,"AAAAAH3j8nY=")</f>
        <v>#REF!</v>
      </c>
      <c r="DP379" t="e">
        <f>AND('PROG FORMACIÓN TITULADA'!#REF!,"AAAAAH3j8nc=")</f>
        <v>#REF!</v>
      </c>
      <c r="DQ379" t="e">
        <f>AND('PROG FORMACIÓN TITULADA'!#REF!,"AAAAAH3j8ng=")</f>
        <v>#REF!</v>
      </c>
      <c r="DR379" t="e">
        <f>AND('PROG FORMACIÓN TITULADA'!#REF!,"AAAAAH3j8nk=")</f>
        <v>#REF!</v>
      </c>
      <c r="DS379" t="e">
        <f>AND('PROG FORMACIÓN TITULADA'!#REF!,"AAAAAH3j8no=")</f>
        <v>#REF!</v>
      </c>
      <c r="DT379" t="e">
        <f>IF('PROG FORMACIÓN TITULADA'!#REF!,"AAAAAH3j8ns=",0)</f>
        <v>#REF!</v>
      </c>
      <c r="DU379" t="e">
        <f>AND('PROG FORMACIÓN TITULADA'!#REF!,"AAAAAH3j8nw=")</f>
        <v>#REF!</v>
      </c>
      <c r="DV379" t="e">
        <f>AND('PROG FORMACIÓN TITULADA'!#REF!,"AAAAAH3j8n0=")</f>
        <v>#REF!</v>
      </c>
      <c r="DW379" t="e">
        <f>AND('PROG FORMACIÓN TITULADA'!#REF!,"AAAAAH3j8n4=")</f>
        <v>#REF!</v>
      </c>
      <c r="DX379" t="e">
        <f>AND('PROG FORMACIÓN TITULADA'!#REF!,"AAAAAH3j8n8=")</f>
        <v>#REF!</v>
      </c>
      <c r="DY379" t="e">
        <f>AND('PROG FORMACIÓN TITULADA'!#REF!,"AAAAAH3j8oA=")</f>
        <v>#REF!</v>
      </c>
      <c r="DZ379" t="e">
        <f>AND('PROG FORMACIÓN TITULADA'!#REF!,"AAAAAH3j8oE=")</f>
        <v>#REF!</v>
      </c>
      <c r="EA379" t="e">
        <f>AND('PROG FORMACIÓN TITULADA'!#REF!,"AAAAAH3j8oI=")</f>
        <v>#REF!</v>
      </c>
      <c r="EB379" t="e">
        <f>AND('PROG FORMACIÓN TITULADA'!#REF!,"AAAAAH3j8oM=")</f>
        <v>#REF!</v>
      </c>
      <c r="EC379" t="e">
        <f>AND('PROG FORMACIÓN TITULADA'!#REF!,"AAAAAH3j8oQ=")</f>
        <v>#REF!</v>
      </c>
      <c r="ED379" t="e">
        <f>AND('PROG FORMACIÓN TITULADA'!#REF!,"AAAAAH3j8oU=")</f>
        <v>#REF!</v>
      </c>
      <c r="EE379" t="e">
        <f>AND('PROG FORMACIÓN TITULADA'!#REF!,"AAAAAH3j8oY=")</f>
        <v>#REF!</v>
      </c>
      <c r="EF379" t="e">
        <f>AND('PROG FORMACIÓN TITULADA'!#REF!,"AAAAAH3j8oc=")</f>
        <v>#REF!</v>
      </c>
      <c r="EG379" t="e">
        <f>AND('PROG FORMACIÓN TITULADA'!#REF!,"AAAAAH3j8og=")</f>
        <v>#REF!</v>
      </c>
      <c r="EH379" t="e">
        <f>AND('PROG FORMACIÓN TITULADA'!#REF!,"AAAAAH3j8ok=")</f>
        <v>#REF!</v>
      </c>
      <c r="EI379" t="e">
        <f>AND('PROG FORMACIÓN TITULADA'!#REF!,"AAAAAH3j8oo=")</f>
        <v>#REF!</v>
      </c>
      <c r="EJ379" t="e">
        <f>AND('PROG FORMACIÓN TITULADA'!#REF!,"AAAAAH3j8os=")</f>
        <v>#REF!</v>
      </c>
      <c r="EK379" t="e">
        <f>AND('PROG FORMACIÓN TITULADA'!#REF!,"AAAAAH3j8ow=")</f>
        <v>#REF!</v>
      </c>
      <c r="EL379" t="e">
        <f>AND('PROG FORMACIÓN TITULADA'!#REF!,"AAAAAH3j8o0=")</f>
        <v>#REF!</v>
      </c>
      <c r="EM379" t="e">
        <f>AND('PROG FORMACIÓN TITULADA'!#REF!,"AAAAAH3j8o4=")</f>
        <v>#REF!</v>
      </c>
      <c r="EN379" t="e">
        <f>AND('PROG FORMACIÓN TITULADA'!#REF!,"AAAAAH3j8o8=")</f>
        <v>#REF!</v>
      </c>
      <c r="EO379" t="e">
        <f>AND('PROG FORMACIÓN TITULADA'!#REF!,"AAAAAH3j8pA=")</f>
        <v>#REF!</v>
      </c>
      <c r="EP379" t="e">
        <f>AND('PROG FORMACIÓN TITULADA'!#REF!,"AAAAAH3j8pE=")</f>
        <v>#REF!</v>
      </c>
      <c r="EQ379" t="e">
        <f>AND('PROG FORMACIÓN TITULADA'!#REF!,"AAAAAH3j8pI=")</f>
        <v>#REF!</v>
      </c>
      <c r="ER379" t="e">
        <f>AND('PROG FORMACIÓN TITULADA'!#REF!,"AAAAAH3j8pM=")</f>
        <v>#REF!</v>
      </c>
      <c r="ES379" t="e">
        <f>AND('PROG FORMACIÓN TITULADA'!#REF!,"AAAAAH3j8pQ=")</f>
        <v>#REF!</v>
      </c>
      <c r="ET379" t="e">
        <f>AND('PROG FORMACIÓN TITULADA'!#REF!,"AAAAAH3j8pU=")</f>
        <v>#REF!</v>
      </c>
      <c r="EU379" t="e">
        <f>IF('PROG FORMACIÓN TITULADA'!#REF!,"AAAAAH3j8pY=",0)</f>
        <v>#REF!</v>
      </c>
      <c r="EV379" t="e">
        <f>AND('PROG FORMACIÓN TITULADA'!#REF!,"AAAAAH3j8pc=")</f>
        <v>#REF!</v>
      </c>
      <c r="EW379" t="e">
        <f>AND('PROG FORMACIÓN TITULADA'!#REF!,"AAAAAH3j8pg=")</f>
        <v>#REF!</v>
      </c>
      <c r="EX379" t="e">
        <f>AND('PROG FORMACIÓN TITULADA'!#REF!,"AAAAAH3j8pk=")</f>
        <v>#REF!</v>
      </c>
      <c r="EY379" t="e">
        <f>AND('PROG FORMACIÓN TITULADA'!#REF!,"AAAAAH3j8po=")</f>
        <v>#REF!</v>
      </c>
      <c r="EZ379" t="e">
        <f>AND('PROG FORMACIÓN TITULADA'!#REF!,"AAAAAH3j8ps=")</f>
        <v>#REF!</v>
      </c>
      <c r="FA379" t="e">
        <f>AND('PROG FORMACIÓN TITULADA'!#REF!,"AAAAAH3j8pw=")</f>
        <v>#REF!</v>
      </c>
      <c r="FB379" t="e">
        <f>AND('PROG FORMACIÓN TITULADA'!#REF!,"AAAAAH3j8p0=")</f>
        <v>#REF!</v>
      </c>
      <c r="FC379" t="e">
        <f>AND('PROG FORMACIÓN TITULADA'!#REF!,"AAAAAH3j8p4=")</f>
        <v>#REF!</v>
      </c>
      <c r="FD379" t="e">
        <f>AND('PROG FORMACIÓN TITULADA'!#REF!,"AAAAAH3j8p8=")</f>
        <v>#REF!</v>
      </c>
      <c r="FE379" t="e">
        <f>AND('PROG FORMACIÓN TITULADA'!#REF!,"AAAAAH3j8qA=")</f>
        <v>#REF!</v>
      </c>
      <c r="FF379" t="e">
        <f>AND('PROG FORMACIÓN TITULADA'!#REF!,"AAAAAH3j8qE=")</f>
        <v>#REF!</v>
      </c>
      <c r="FG379" t="e">
        <f>AND('PROG FORMACIÓN TITULADA'!#REF!,"AAAAAH3j8qI=")</f>
        <v>#REF!</v>
      </c>
      <c r="FH379" t="e">
        <f>AND('PROG FORMACIÓN TITULADA'!#REF!,"AAAAAH3j8qM=")</f>
        <v>#REF!</v>
      </c>
      <c r="FI379" t="e">
        <f>AND('PROG FORMACIÓN TITULADA'!#REF!,"AAAAAH3j8qQ=")</f>
        <v>#REF!</v>
      </c>
      <c r="FJ379" t="e">
        <f>AND('PROG FORMACIÓN TITULADA'!#REF!,"AAAAAH3j8qU=")</f>
        <v>#REF!</v>
      </c>
      <c r="FK379" t="e">
        <f>AND('PROG FORMACIÓN TITULADA'!#REF!,"AAAAAH3j8qY=")</f>
        <v>#REF!</v>
      </c>
      <c r="FL379" t="e">
        <f>AND('PROG FORMACIÓN TITULADA'!#REF!,"AAAAAH3j8qc=")</f>
        <v>#REF!</v>
      </c>
      <c r="FM379" t="e">
        <f>AND('PROG FORMACIÓN TITULADA'!#REF!,"AAAAAH3j8qg=")</f>
        <v>#REF!</v>
      </c>
      <c r="FN379" t="e">
        <f>AND('PROG FORMACIÓN TITULADA'!#REF!,"AAAAAH3j8qk=")</f>
        <v>#REF!</v>
      </c>
      <c r="FO379" t="e">
        <f>AND('PROG FORMACIÓN TITULADA'!#REF!,"AAAAAH3j8qo=")</f>
        <v>#REF!</v>
      </c>
      <c r="FP379" t="e">
        <f>AND('PROG FORMACIÓN TITULADA'!#REF!,"AAAAAH3j8qs=")</f>
        <v>#REF!</v>
      </c>
      <c r="FQ379" t="e">
        <f>AND('PROG FORMACIÓN TITULADA'!#REF!,"AAAAAH3j8qw=")</f>
        <v>#REF!</v>
      </c>
      <c r="FR379" t="e">
        <f>AND('PROG FORMACIÓN TITULADA'!#REF!,"AAAAAH3j8q0=")</f>
        <v>#REF!</v>
      </c>
      <c r="FS379" t="e">
        <f>AND('PROG FORMACIÓN TITULADA'!#REF!,"AAAAAH3j8q4=")</f>
        <v>#REF!</v>
      </c>
      <c r="FT379" t="e">
        <f>AND('PROG FORMACIÓN TITULADA'!#REF!,"AAAAAH3j8q8=")</f>
        <v>#REF!</v>
      </c>
      <c r="FU379" t="e">
        <f>AND('PROG FORMACIÓN TITULADA'!#REF!,"AAAAAH3j8rA=")</f>
        <v>#REF!</v>
      </c>
      <c r="FV379" t="e">
        <f>IF('PROG FORMACIÓN TITULADA'!#REF!,"AAAAAH3j8rE=",0)</f>
        <v>#REF!</v>
      </c>
      <c r="FW379" t="e">
        <f>AND('PROG FORMACIÓN TITULADA'!#REF!,"AAAAAH3j8rI=")</f>
        <v>#REF!</v>
      </c>
      <c r="FX379" t="e">
        <f>AND('PROG FORMACIÓN TITULADA'!#REF!,"AAAAAH3j8rM=")</f>
        <v>#REF!</v>
      </c>
      <c r="FY379" t="e">
        <f>AND('PROG FORMACIÓN TITULADA'!#REF!,"AAAAAH3j8rQ=")</f>
        <v>#REF!</v>
      </c>
      <c r="FZ379" t="e">
        <f>AND('PROG FORMACIÓN TITULADA'!#REF!,"AAAAAH3j8rU=")</f>
        <v>#REF!</v>
      </c>
      <c r="GA379" t="e">
        <f>AND('PROG FORMACIÓN TITULADA'!#REF!,"AAAAAH3j8rY=")</f>
        <v>#REF!</v>
      </c>
      <c r="GB379" t="e">
        <f>AND('PROG FORMACIÓN TITULADA'!#REF!,"AAAAAH3j8rc=")</f>
        <v>#REF!</v>
      </c>
      <c r="GC379" t="e">
        <f>AND('PROG FORMACIÓN TITULADA'!#REF!,"AAAAAH3j8rg=")</f>
        <v>#REF!</v>
      </c>
      <c r="GD379" t="e">
        <f>AND('PROG FORMACIÓN TITULADA'!#REF!,"AAAAAH3j8rk=")</f>
        <v>#REF!</v>
      </c>
      <c r="GE379" t="e">
        <f>AND('PROG FORMACIÓN TITULADA'!#REF!,"AAAAAH3j8ro=")</f>
        <v>#REF!</v>
      </c>
      <c r="GF379" t="e">
        <f>AND('PROG FORMACIÓN TITULADA'!#REF!,"AAAAAH3j8rs=")</f>
        <v>#REF!</v>
      </c>
      <c r="GG379" t="e">
        <f>AND('PROG FORMACIÓN TITULADA'!#REF!,"AAAAAH3j8rw=")</f>
        <v>#REF!</v>
      </c>
      <c r="GH379" t="e">
        <f>AND('PROG FORMACIÓN TITULADA'!#REF!,"AAAAAH3j8r0=")</f>
        <v>#REF!</v>
      </c>
      <c r="GI379" t="e">
        <f>AND('PROG FORMACIÓN TITULADA'!#REF!,"AAAAAH3j8r4=")</f>
        <v>#REF!</v>
      </c>
      <c r="GJ379" t="e">
        <f>AND('PROG FORMACIÓN TITULADA'!#REF!,"AAAAAH3j8r8=")</f>
        <v>#REF!</v>
      </c>
      <c r="GK379" t="e">
        <f>AND('PROG FORMACIÓN TITULADA'!#REF!,"AAAAAH3j8sA=")</f>
        <v>#REF!</v>
      </c>
      <c r="GL379" t="e">
        <f>AND('PROG FORMACIÓN TITULADA'!#REF!,"AAAAAH3j8sE=")</f>
        <v>#REF!</v>
      </c>
      <c r="GM379" t="e">
        <f>AND('PROG FORMACIÓN TITULADA'!#REF!,"AAAAAH3j8sI=")</f>
        <v>#REF!</v>
      </c>
      <c r="GN379" t="e">
        <f>AND('PROG FORMACIÓN TITULADA'!#REF!,"AAAAAH3j8sM=")</f>
        <v>#REF!</v>
      </c>
      <c r="GO379" t="e">
        <f>AND('PROG FORMACIÓN TITULADA'!#REF!,"AAAAAH3j8sQ=")</f>
        <v>#REF!</v>
      </c>
      <c r="GP379" t="e">
        <f>AND('PROG FORMACIÓN TITULADA'!#REF!,"AAAAAH3j8sU=")</f>
        <v>#REF!</v>
      </c>
      <c r="GQ379" t="e">
        <f>AND('PROG FORMACIÓN TITULADA'!#REF!,"AAAAAH3j8sY=")</f>
        <v>#REF!</v>
      </c>
      <c r="GR379" t="e">
        <f>AND('PROG FORMACIÓN TITULADA'!#REF!,"AAAAAH3j8sc=")</f>
        <v>#REF!</v>
      </c>
      <c r="GS379" t="e">
        <f>AND('PROG FORMACIÓN TITULADA'!#REF!,"AAAAAH3j8sg=")</f>
        <v>#REF!</v>
      </c>
      <c r="GT379" t="e">
        <f>AND('PROG FORMACIÓN TITULADA'!#REF!,"AAAAAH3j8sk=")</f>
        <v>#REF!</v>
      </c>
      <c r="GU379" t="e">
        <f>AND('PROG FORMACIÓN TITULADA'!#REF!,"AAAAAH3j8so=")</f>
        <v>#REF!</v>
      </c>
      <c r="GV379" t="e">
        <f>AND('PROG FORMACIÓN TITULADA'!#REF!,"AAAAAH3j8ss=")</f>
        <v>#REF!</v>
      </c>
      <c r="GW379" t="e">
        <f>IF('PROG FORMACIÓN TITULADA'!#REF!,"AAAAAH3j8sw=",0)</f>
        <v>#REF!</v>
      </c>
      <c r="GX379" t="e">
        <f>AND('PROG FORMACIÓN TITULADA'!#REF!,"AAAAAH3j8s0=")</f>
        <v>#REF!</v>
      </c>
      <c r="GY379" t="e">
        <f>AND('PROG FORMACIÓN TITULADA'!#REF!,"AAAAAH3j8s4=")</f>
        <v>#REF!</v>
      </c>
      <c r="GZ379" t="e">
        <f>AND('PROG FORMACIÓN TITULADA'!#REF!,"AAAAAH3j8s8=")</f>
        <v>#REF!</v>
      </c>
      <c r="HA379" t="e">
        <f>AND('PROG FORMACIÓN TITULADA'!#REF!,"AAAAAH3j8tA=")</f>
        <v>#REF!</v>
      </c>
      <c r="HB379" t="e">
        <f>AND('PROG FORMACIÓN TITULADA'!#REF!,"AAAAAH3j8tE=")</f>
        <v>#REF!</v>
      </c>
      <c r="HC379" t="e">
        <f>AND('PROG FORMACIÓN TITULADA'!#REF!,"AAAAAH3j8tI=")</f>
        <v>#REF!</v>
      </c>
      <c r="HD379" t="e">
        <f>AND('PROG FORMACIÓN TITULADA'!#REF!,"AAAAAH3j8tM=")</f>
        <v>#REF!</v>
      </c>
      <c r="HE379" t="e">
        <f>AND('PROG FORMACIÓN TITULADA'!#REF!,"AAAAAH3j8tQ=")</f>
        <v>#REF!</v>
      </c>
      <c r="HF379" t="e">
        <f>AND('PROG FORMACIÓN TITULADA'!#REF!,"AAAAAH3j8tU=")</f>
        <v>#REF!</v>
      </c>
      <c r="HG379" t="e">
        <f>AND('PROG FORMACIÓN TITULADA'!#REF!,"AAAAAH3j8tY=")</f>
        <v>#REF!</v>
      </c>
      <c r="HH379" t="e">
        <f>AND('PROG FORMACIÓN TITULADA'!#REF!,"AAAAAH3j8tc=")</f>
        <v>#REF!</v>
      </c>
      <c r="HI379" t="e">
        <f>AND('PROG FORMACIÓN TITULADA'!#REF!,"AAAAAH3j8tg=")</f>
        <v>#REF!</v>
      </c>
      <c r="HJ379" t="e">
        <f>AND('PROG FORMACIÓN TITULADA'!#REF!,"AAAAAH3j8tk=")</f>
        <v>#REF!</v>
      </c>
      <c r="HK379" t="e">
        <f>AND('PROG FORMACIÓN TITULADA'!#REF!,"AAAAAH3j8to=")</f>
        <v>#REF!</v>
      </c>
      <c r="HL379" t="e">
        <f>AND('PROG FORMACIÓN TITULADA'!#REF!,"AAAAAH3j8ts=")</f>
        <v>#REF!</v>
      </c>
      <c r="HM379" t="e">
        <f>AND('PROG FORMACIÓN TITULADA'!#REF!,"AAAAAH3j8tw=")</f>
        <v>#REF!</v>
      </c>
      <c r="HN379" t="e">
        <f>AND('PROG FORMACIÓN TITULADA'!#REF!,"AAAAAH3j8t0=")</f>
        <v>#REF!</v>
      </c>
      <c r="HO379" t="e">
        <f>AND('PROG FORMACIÓN TITULADA'!#REF!,"AAAAAH3j8t4=")</f>
        <v>#REF!</v>
      </c>
      <c r="HP379" t="e">
        <f>AND('PROG FORMACIÓN TITULADA'!#REF!,"AAAAAH3j8t8=")</f>
        <v>#REF!</v>
      </c>
      <c r="HQ379" t="e">
        <f>AND('PROG FORMACIÓN TITULADA'!#REF!,"AAAAAH3j8uA=")</f>
        <v>#REF!</v>
      </c>
      <c r="HR379" t="e">
        <f>AND('PROG FORMACIÓN TITULADA'!#REF!,"AAAAAH3j8uE=")</f>
        <v>#REF!</v>
      </c>
      <c r="HS379" t="e">
        <f>AND('PROG FORMACIÓN TITULADA'!#REF!,"AAAAAH3j8uI=")</f>
        <v>#REF!</v>
      </c>
      <c r="HT379" t="e">
        <f>AND('PROG FORMACIÓN TITULADA'!#REF!,"AAAAAH3j8uM=")</f>
        <v>#REF!</v>
      </c>
      <c r="HU379" t="e">
        <f>AND('PROG FORMACIÓN TITULADA'!#REF!,"AAAAAH3j8uQ=")</f>
        <v>#REF!</v>
      </c>
      <c r="HV379" t="e">
        <f>AND('PROG FORMACIÓN TITULADA'!#REF!,"AAAAAH3j8uU=")</f>
        <v>#REF!</v>
      </c>
      <c r="HW379" t="e">
        <f>AND('PROG FORMACIÓN TITULADA'!#REF!,"AAAAAH3j8uY=")</f>
        <v>#REF!</v>
      </c>
      <c r="HX379" t="e">
        <f>IF('PROG FORMACIÓN TITULADA'!#REF!,"AAAAAH3j8uc=",0)</f>
        <v>#REF!</v>
      </c>
      <c r="HY379" t="e">
        <f>AND('PROG FORMACIÓN TITULADA'!#REF!,"AAAAAH3j8ug=")</f>
        <v>#REF!</v>
      </c>
      <c r="HZ379" t="e">
        <f>AND('PROG FORMACIÓN TITULADA'!#REF!,"AAAAAH3j8uk=")</f>
        <v>#REF!</v>
      </c>
      <c r="IA379" t="e">
        <f>AND('PROG FORMACIÓN TITULADA'!#REF!,"AAAAAH3j8uo=")</f>
        <v>#REF!</v>
      </c>
      <c r="IB379" t="e">
        <f>AND('PROG FORMACIÓN TITULADA'!#REF!,"AAAAAH3j8us=")</f>
        <v>#REF!</v>
      </c>
      <c r="IC379" t="e">
        <f>AND('PROG FORMACIÓN TITULADA'!#REF!,"AAAAAH3j8uw=")</f>
        <v>#REF!</v>
      </c>
      <c r="ID379" t="e">
        <f>AND('PROG FORMACIÓN TITULADA'!#REF!,"AAAAAH3j8u0=")</f>
        <v>#REF!</v>
      </c>
      <c r="IE379" t="e">
        <f>AND('PROG FORMACIÓN TITULADA'!#REF!,"AAAAAH3j8u4=")</f>
        <v>#REF!</v>
      </c>
      <c r="IF379" t="e">
        <f>AND('PROG FORMACIÓN TITULADA'!#REF!,"AAAAAH3j8u8=")</f>
        <v>#REF!</v>
      </c>
      <c r="IG379" t="e">
        <f>AND('PROG FORMACIÓN TITULADA'!#REF!,"AAAAAH3j8vA=")</f>
        <v>#REF!</v>
      </c>
      <c r="IH379" t="e">
        <f>AND('PROG FORMACIÓN TITULADA'!#REF!,"AAAAAH3j8vE=")</f>
        <v>#REF!</v>
      </c>
      <c r="II379" t="e">
        <f>AND('PROG FORMACIÓN TITULADA'!#REF!,"AAAAAH3j8vI=")</f>
        <v>#REF!</v>
      </c>
      <c r="IJ379" t="e">
        <f>AND('PROG FORMACIÓN TITULADA'!#REF!,"AAAAAH3j8vM=")</f>
        <v>#REF!</v>
      </c>
      <c r="IK379" t="e">
        <f>AND('PROG FORMACIÓN TITULADA'!#REF!,"AAAAAH3j8vQ=")</f>
        <v>#REF!</v>
      </c>
      <c r="IL379" t="e">
        <f>AND('PROG FORMACIÓN TITULADA'!#REF!,"AAAAAH3j8vU=")</f>
        <v>#REF!</v>
      </c>
      <c r="IM379" t="e">
        <f>AND('PROG FORMACIÓN TITULADA'!#REF!,"AAAAAH3j8vY=")</f>
        <v>#REF!</v>
      </c>
      <c r="IN379" t="e">
        <f>AND('PROG FORMACIÓN TITULADA'!#REF!,"AAAAAH3j8vc=")</f>
        <v>#REF!</v>
      </c>
      <c r="IO379" t="e">
        <f>AND('PROG FORMACIÓN TITULADA'!#REF!,"AAAAAH3j8vg=")</f>
        <v>#REF!</v>
      </c>
      <c r="IP379" t="e">
        <f>AND('PROG FORMACIÓN TITULADA'!#REF!,"AAAAAH3j8vk=")</f>
        <v>#REF!</v>
      </c>
      <c r="IQ379" t="e">
        <f>AND('PROG FORMACIÓN TITULADA'!#REF!,"AAAAAH3j8vo=")</f>
        <v>#REF!</v>
      </c>
      <c r="IR379" t="e">
        <f>AND('PROG FORMACIÓN TITULADA'!#REF!,"AAAAAH3j8vs=")</f>
        <v>#REF!</v>
      </c>
      <c r="IS379" t="e">
        <f>AND('PROG FORMACIÓN TITULADA'!#REF!,"AAAAAH3j8vw=")</f>
        <v>#REF!</v>
      </c>
      <c r="IT379" t="e">
        <f>AND('PROG FORMACIÓN TITULADA'!#REF!,"AAAAAH3j8v0=")</f>
        <v>#REF!</v>
      </c>
      <c r="IU379" t="e">
        <f>AND('PROG FORMACIÓN TITULADA'!#REF!,"AAAAAH3j8v4=")</f>
        <v>#REF!</v>
      </c>
      <c r="IV379" t="e">
        <f>AND('PROG FORMACIÓN TITULADA'!#REF!,"AAAAAH3j8v8=")</f>
        <v>#REF!</v>
      </c>
    </row>
    <row r="380" spans="1:256" x14ac:dyDescent="0.2">
      <c r="A380" t="e">
        <f>AND('PROG FORMACIÓN TITULADA'!#REF!,"AAAAAH9/7gA=")</f>
        <v>#REF!</v>
      </c>
      <c r="B380" t="e">
        <f>AND('PROG FORMACIÓN TITULADA'!#REF!,"AAAAAH9/7gE=")</f>
        <v>#REF!</v>
      </c>
      <c r="C380" t="e">
        <f>IF('PROG FORMACIÓN TITULADA'!#REF!,"AAAAAH9/7gI=",0)</f>
        <v>#REF!</v>
      </c>
      <c r="D380" t="e">
        <f>AND('PROG FORMACIÓN TITULADA'!#REF!,"AAAAAH9/7gM=")</f>
        <v>#REF!</v>
      </c>
      <c r="E380" t="e">
        <f>AND('PROG FORMACIÓN TITULADA'!#REF!,"AAAAAH9/7gQ=")</f>
        <v>#REF!</v>
      </c>
      <c r="F380" t="e">
        <f>AND('PROG FORMACIÓN TITULADA'!#REF!,"AAAAAH9/7gU=")</f>
        <v>#REF!</v>
      </c>
      <c r="G380" t="e">
        <f>AND('PROG FORMACIÓN TITULADA'!#REF!,"AAAAAH9/7gY=")</f>
        <v>#REF!</v>
      </c>
      <c r="H380" t="e">
        <f>AND('PROG FORMACIÓN TITULADA'!#REF!,"AAAAAH9/7gc=")</f>
        <v>#REF!</v>
      </c>
      <c r="I380" t="e">
        <f>AND('PROG FORMACIÓN TITULADA'!#REF!,"AAAAAH9/7gg=")</f>
        <v>#REF!</v>
      </c>
      <c r="J380" t="e">
        <f>AND('PROG FORMACIÓN TITULADA'!#REF!,"AAAAAH9/7gk=")</f>
        <v>#REF!</v>
      </c>
      <c r="K380" t="e">
        <f>AND('PROG FORMACIÓN TITULADA'!#REF!,"AAAAAH9/7go=")</f>
        <v>#REF!</v>
      </c>
      <c r="L380" t="e">
        <f>AND('PROG FORMACIÓN TITULADA'!#REF!,"AAAAAH9/7gs=")</f>
        <v>#REF!</v>
      </c>
      <c r="M380" t="e">
        <f>AND('PROG FORMACIÓN TITULADA'!#REF!,"AAAAAH9/7gw=")</f>
        <v>#REF!</v>
      </c>
      <c r="N380" t="e">
        <f>AND('PROG FORMACIÓN TITULADA'!#REF!,"AAAAAH9/7g0=")</f>
        <v>#REF!</v>
      </c>
      <c r="O380" t="e">
        <f>AND('PROG FORMACIÓN TITULADA'!#REF!,"AAAAAH9/7g4=")</f>
        <v>#REF!</v>
      </c>
      <c r="P380" t="e">
        <f>AND('PROG FORMACIÓN TITULADA'!#REF!,"AAAAAH9/7g8=")</f>
        <v>#REF!</v>
      </c>
      <c r="Q380" t="e">
        <f>AND('PROG FORMACIÓN TITULADA'!#REF!,"AAAAAH9/7hA=")</f>
        <v>#REF!</v>
      </c>
      <c r="R380" t="e">
        <f>AND('PROG FORMACIÓN TITULADA'!#REF!,"AAAAAH9/7hE=")</f>
        <v>#REF!</v>
      </c>
      <c r="S380" t="e">
        <f>AND('PROG FORMACIÓN TITULADA'!#REF!,"AAAAAH9/7hI=")</f>
        <v>#REF!</v>
      </c>
      <c r="T380" t="e">
        <f>AND('PROG FORMACIÓN TITULADA'!#REF!,"AAAAAH9/7hM=")</f>
        <v>#REF!</v>
      </c>
      <c r="U380" t="e">
        <f>AND('PROG FORMACIÓN TITULADA'!#REF!,"AAAAAH9/7hQ=")</f>
        <v>#REF!</v>
      </c>
      <c r="V380" t="e">
        <f>AND('PROG FORMACIÓN TITULADA'!#REF!,"AAAAAH9/7hU=")</f>
        <v>#REF!</v>
      </c>
      <c r="W380" t="e">
        <f>AND('PROG FORMACIÓN TITULADA'!#REF!,"AAAAAH9/7hY=")</f>
        <v>#REF!</v>
      </c>
      <c r="X380" t="e">
        <f>AND('PROG FORMACIÓN TITULADA'!#REF!,"AAAAAH9/7hc=")</f>
        <v>#REF!</v>
      </c>
      <c r="Y380" t="e">
        <f>AND('PROG FORMACIÓN TITULADA'!#REF!,"AAAAAH9/7hg=")</f>
        <v>#REF!</v>
      </c>
      <c r="Z380" t="e">
        <f>AND('PROG FORMACIÓN TITULADA'!#REF!,"AAAAAH9/7hk=")</f>
        <v>#REF!</v>
      </c>
      <c r="AA380" t="e">
        <f>AND('PROG FORMACIÓN TITULADA'!#REF!,"AAAAAH9/7ho=")</f>
        <v>#REF!</v>
      </c>
      <c r="AB380" t="e">
        <f>AND('PROG FORMACIÓN TITULADA'!#REF!,"AAAAAH9/7hs=")</f>
        <v>#REF!</v>
      </c>
      <c r="AC380" t="e">
        <f>AND('PROG FORMACIÓN TITULADA'!#REF!,"AAAAAH9/7hw=")</f>
        <v>#REF!</v>
      </c>
      <c r="AD380" t="e">
        <f>IF('PROG FORMACIÓN TITULADA'!#REF!,"AAAAAH9/7h0=",0)</f>
        <v>#REF!</v>
      </c>
      <c r="AE380" t="e">
        <f>AND('PROG FORMACIÓN TITULADA'!#REF!,"AAAAAH9/7h4=")</f>
        <v>#REF!</v>
      </c>
      <c r="AF380" t="e">
        <f>AND('PROG FORMACIÓN TITULADA'!#REF!,"AAAAAH9/7h8=")</f>
        <v>#REF!</v>
      </c>
      <c r="AG380" t="e">
        <f>AND('PROG FORMACIÓN TITULADA'!#REF!,"AAAAAH9/7iA=")</f>
        <v>#REF!</v>
      </c>
      <c r="AH380" t="e">
        <f>AND('PROG FORMACIÓN TITULADA'!#REF!,"AAAAAH9/7iE=")</f>
        <v>#REF!</v>
      </c>
      <c r="AI380" t="e">
        <f>AND('PROG FORMACIÓN TITULADA'!#REF!,"AAAAAH9/7iI=")</f>
        <v>#REF!</v>
      </c>
      <c r="AJ380" t="e">
        <f>AND('PROG FORMACIÓN TITULADA'!#REF!,"AAAAAH9/7iM=")</f>
        <v>#REF!</v>
      </c>
      <c r="AK380" t="e">
        <f>AND('PROG FORMACIÓN TITULADA'!#REF!,"AAAAAH9/7iQ=")</f>
        <v>#REF!</v>
      </c>
      <c r="AL380" t="e">
        <f>AND('PROG FORMACIÓN TITULADA'!#REF!,"AAAAAH9/7iU=")</f>
        <v>#REF!</v>
      </c>
      <c r="AM380" t="e">
        <f>AND('PROG FORMACIÓN TITULADA'!#REF!,"AAAAAH9/7iY=")</f>
        <v>#REF!</v>
      </c>
      <c r="AN380" t="e">
        <f>AND('PROG FORMACIÓN TITULADA'!#REF!,"AAAAAH9/7ic=")</f>
        <v>#REF!</v>
      </c>
      <c r="AO380" t="e">
        <f>AND('PROG FORMACIÓN TITULADA'!#REF!,"AAAAAH9/7ig=")</f>
        <v>#REF!</v>
      </c>
      <c r="AP380" t="e">
        <f>AND('PROG FORMACIÓN TITULADA'!#REF!,"AAAAAH9/7ik=")</f>
        <v>#REF!</v>
      </c>
      <c r="AQ380" t="e">
        <f>AND('PROG FORMACIÓN TITULADA'!#REF!,"AAAAAH9/7io=")</f>
        <v>#REF!</v>
      </c>
      <c r="AR380" t="e">
        <f>AND('PROG FORMACIÓN TITULADA'!#REF!,"AAAAAH9/7is=")</f>
        <v>#REF!</v>
      </c>
      <c r="AS380" t="e">
        <f>AND('PROG FORMACIÓN TITULADA'!#REF!,"AAAAAH9/7iw=")</f>
        <v>#REF!</v>
      </c>
      <c r="AT380" t="e">
        <f>AND('PROG FORMACIÓN TITULADA'!#REF!,"AAAAAH9/7i0=")</f>
        <v>#REF!</v>
      </c>
      <c r="AU380" t="e">
        <f>AND('PROG FORMACIÓN TITULADA'!#REF!,"AAAAAH9/7i4=")</f>
        <v>#REF!</v>
      </c>
      <c r="AV380" t="e">
        <f>AND('PROG FORMACIÓN TITULADA'!#REF!,"AAAAAH9/7i8=")</f>
        <v>#REF!</v>
      </c>
      <c r="AW380" t="e">
        <f>AND('PROG FORMACIÓN TITULADA'!#REF!,"AAAAAH9/7jA=")</f>
        <v>#REF!</v>
      </c>
      <c r="AX380" t="e">
        <f>AND('PROG FORMACIÓN TITULADA'!#REF!,"AAAAAH9/7jE=")</f>
        <v>#REF!</v>
      </c>
      <c r="AY380" t="e">
        <f>AND('PROG FORMACIÓN TITULADA'!#REF!,"AAAAAH9/7jI=")</f>
        <v>#REF!</v>
      </c>
      <c r="AZ380" t="e">
        <f>AND('PROG FORMACIÓN TITULADA'!#REF!,"AAAAAH9/7jM=")</f>
        <v>#REF!</v>
      </c>
      <c r="BA380" t="e">
        <f>AND('PROG FORMACIÓN TITULADA'!#REF!,"AAAAAH9/7jQ=")</f>
        <v>#REF!</v>
      </c>
      <c r="BB380" t="e">
        <f>AND('PROG FORMACIÓN TITULADA'!#REF!,"AAAAAH9/7jU=")</f>
        <v>#REF!</v>
      </c>
      <c r="BC380" t="e">
        <f>AND('PROG FORMACIÓN TITULADA'!#REF!,"AAAAAH9/7jY=")</f>
        <v>#REF!</v>
      </c>
      <c r="BD380" t="e">
        <f>AND('PROG FORMACIÓN TITULADA'!#REF!,"AAAAAH9/7jc=")</f>
        <v>#REF!</v>
      </c>
      <c r="BE380" t="e">
        <f>IF('PROG FORMACIÓN TITULADA'!#REF!,"AAAAAH9/7jg=",0)</f>
        <v>#REF!</v>
      </c>
      <c r="BF380" t="e">
        <f>AND('PROG FORMACIÓN TITULADA'!#REF!,"AAAAAH9/7jk=")</f>
        <v>#REF!</v>
      </c>
      <c r="BG380" t="e">
        <f>AND('PROG FORMACIÓN TITULADA'!#REF!,"AAAAAH9/7jo=")</f>
        <v>#REF!</v>
      </c>
      <c r="BH380" t="e">
        <f>AND('PROG FORMACIÓN TITULADA'!#REF!,"AAAAAH9/7js=")</f>
        <v>#REF!</v>
      </c>
      <c r="BI380" t="e">
        <f>AND('PROG FORMACIÓN TITULADA'!#REF!,"AAAAAH9/7jw=")</f>
        <v>#REF!</v>
      </c>
      <c r="BJ380" t="e">
        <f>AND('PROG FORMACIÓN TITULADA'!#REF!,"AAAAAH9/7j0=")</f>
        <v>#REF!</v>
      </c>
      <c r="BK380" t="e">
        <f>AND('PROG FORMACIÓN TITULADA'!#REF!,"AAAAAH9/7j4=")</f>
        <v>#REF!</v>
      </c>
      <c r="BL380" t="e">
        <f>AND('PROG FORMACIÓN TITULADA'!#REF!,"AAAAAH9/7j8=")</f>
        <v>#REF!</v>
      </c>
      <c r="BM380" t="e">
        <f>AND('PROG FORMACIÓN TITULADA'!#REF!,"AAAAAH9/7kA=")</f>
        <v>#REF!</v>
      </c>
      <c r="BN380" t="e">
        <f>AND('PROG FORMACIÓN TITULADA'!#REF!,"AAAAAH9/7kE=")</f>
        <v>#REF!</v>
      </c>
      <c r="BO380" t="e">
        <f>AND('PROG FORMACIÓN TITULADA'!#REF!,"AAAAAH9/7kI=")</f>
        <v>#REF!</v>
      </c>
      <c r="BP380" t="e">
        <f>AND('PROG FORMACIÓN TITULADA'!#REF!,"AAAAAH9/7kM=")</f>
        <v>#REF!</v>
      </c>
      <c r="BQ380" t="e">
        <f>AND('PROG FORMACIÓN TITULADA'!#REF!,"AAAAAH9/7kQ=")</f>
        <v>#REF!</v>
      </c>
      <c r="BR380" t="e">
        <f>AND('PROG FORMACIÓN TITULADA'!#REF!,"AAAAAH9/7kU=")</f>
        <v>#REF!</v>
      </c>
      <c r="BS380" t="e">
        <f>AND('PROG FORMACIÓN TITULADA'!#REF!,"AAAAAH9/7kY=")</f>
        <v>#REF!</v>
      </c>
      <c r="BT380" t="e">
        <f>AND('PROG FORMACIÓN TITULADA'!#REF!,"AAAAAH9/7kc=")</f>
        <v>#REF!</v>
      </c>
      <c r="BU380" t="e">
        <f>AND('PROG FORMACIÓN TITULADA'!#REF!,"AAAAAH9/7kg=")</f>
        <v>#REF!</v>
      </c>
      <c r="BV380" t="e">
        <f>AND('PROG FORMACIÓN TITULADA'!#REF!,"AAAAAH9/7kk=")</f>
        <v>#REF!</v>
      </c>
      <c r="BW380" t="e">
        <f>AND('PROG FORMACIÓN TITULADA'!#REF!,"AAAAAH9/7ko=")</f>
        <v>#REF!</v>
      </c>
      <c r="BX380" t="e">
        <f>AND('PROG FORMACIÓN TITULADA'!#REF!,"AAAAAH9/7ks=")</f>
        <v>#REF!</v>
      </c>
      <c r="BY380" t="e">
        <f>AND('PROG FORMACIÓN TITULADA'!#REF!,"AAAAAH9/7kw=")</f>
        <v>#REF!</v>
      </c>
      <c r="BZ380" t="e">
        <f>AND('PROG FORMACIÓN TITULADA'!#REF!,"AAAAAH9/7k0=")</f>
        <v>#REF!</v>
      </c>
      <c r="CA380" t="e">
        <f>AND('PROG FORMACIÓN TITULADA'!#REF!,"AAAAAH9/7k4=")</f>
        <v>#REF!</v>
      </c>
      <c r="CB380" t="e">
        <f>AND('PROG FORMACIÓN TITULADA'!#REF!,"AAAAAH9/7k8=")</f>
        <v>#REF!</v>
      </c>
      <c r="CC380" t="e">
        <f>AND('PROG FORMACIÓN TITULADA'!#REF!,"AAAAAH9/7lA=")</f>
        <v>#REF!</v>
      </c>
      <c r="CD380" t="e">
        <f>AND('PROG FORMACIÓN TITULADA'!#REF!,"AAAAAH9/7lE=")</f>
        <v>#REF!</v>
      </c>
      <c r="CE380" t="e">
        <f>AND('PROG FORMACIÓN TITULADA'!#REF!,"AAAAAH9/7lI=")</f>
        <v>#REF!</v>
      </c>
      <c r="CF380" t="e">
        <f>IF('PROG FORMACIÓN TITULADA'!#REF!,"AAAAAH9/7lM=",0)</f>
        <v>#REF!</v>
      </c>
      <c r="CG380" t="e">
        <f>AND('PROG FORMACIÓN TITULADA'!#REF!,"AAAAAH9/7lQ=")</f>
        <v>#REF!</v>
      </c>
      <c r="CH380" t="e">
        <f>AND('PROG FORMACIÓN TITULADA'!#REF!,"AAAAAH9/7lU=")</f>
        <v>#REF!</v>
      </c>
      <c r="CI380" t="e">
        <f>AND('PROG FORMACIÓN TITULADA'!#REF!,"AAAAAH9/7lY=")</f>
        <v>#REF!</v>
      </c>
      <c r="CJ380" t="e">
        <f>AND('PROG FORMACIÓN TITULADA'!#REF!,"AAAAAH9/7lc=")</f>
        <v>#REF!</v>
      </c>
      <c r="CK380" t="e">
        <f>AND('PROG FORMACIÓN TITULADA'!#REF!,"AAAAAH9/7lg=")</f>
        <v>#REF!</v>
      </c>
      <c r="CL380" t="e">
        <f>AND('PROG FORMACIÓN TITULADA'!#REF!,"AAAAAH9/7lk=")</f>
        <v>#REF!</v>
      </c>
      <c r="CM380" t="e">
        <f>AND('PROG FORMACIÓN TITULADA'!#REF!,"AAAAAH9/7lo=")</f>
        <v>#REF!</v>
      </c>
      <c r="CN380" t="e">
        <f>AND('PROG FORMACIÓN TITULADA'!#REF!,"AAAAAH9/7ls=")</f>
        <v>#REF!</v>
      </c>
      <c r="CO380" t="e">
        <f>AND('PROG FORMACIÓN TITULADA'!#REF!,"AAAAAH9/7lw=")</f>
        <v>#REF!</v>
      </c>
      <c r="CP380" t="e">
        <f>AND('PROG FORMACIÓN TITULADA'!#REF!,"AAAAAH9/7l0=")</f>
        <v>#REF!</v>
      </c>
      <c r="CQ380" t="e">
        <f>AND('PROG FORMACIÓN TITULADA'!#REF!,"AAAAAH9/7l4=")</f>
        <v>#REF!</v>
      </c>
      <c r="CR380" t="e">
        <f>AND('PROG FORMACIÓN TITULADA'!#REF!,"AAAAAH9/7l8=")</f>
        <v>#REF!</v>
      </c>
      <c r="CS380" t="e">
        <f>AND('PROG FORMACIÓN TITULADA'!#REF!,"AAAAAH9/7mA=")</f>
        <v>#REF!</v>
      </c>
      <c r="CT380" t="e">
        <f>AND('PROG FORMACIÓN TITULADA'!#REF!,"AAAAAH9/7mE=")</f>
        <v>#REF!</v>
      </c>
      <c r="CU380" t="e">
        <f>AND('PROG FORMACIÓN TITULADA'!#REF!,"AAAAAH9/7mI=")</f>
        <v>#REF!</v>
      </c>
      <c r="CV380" t="e">
        <f>AND('PROG FORMACIÓN TITULADA'!#REF!,"AAAAAH9/7mM=")</f>
        <v>#REF!</v>
      </c>
      <c r="CW380" t="e">
        <f>AND('PROG FORMACIÓN TITULADA'!#REF!,"AAAAAH9/7mQ=")</f>
        <v>#REF!</v>
      </c>
      <c r="CX380" t="e">
        <f>AND('PROG FORMACIÓN TITULADA'!#REF!,"AAAAAH9/7mU=")</f>
        <v>#REF!</v>
      </c>
      <c r="CY380" t="e">
        <f>AND('PROG FORMACIÓN TITULADA'!#REF!,"AAAAAH9/7mY=")</f>
        <v>#REF!</v>
      </c>
      <c r="CZ380" t="e">
        <f>AND('PROG FORMACIÓN TITULADA'!#REF!,"AAAAAH9/7mc=")</f>
        <v>#REF!</v>
      </c>
      <c r="DA380" t="e">
        <f>AND('PROG FORMACIÓN TITULADA'!#REF!,"AAAAAH9/7mg=")</f>
        <v>#REF!</v>
      </c>
      <c r="DB380" t="e">
        <f>AND('PROG FORMACIÓN TITULADA'!#REF!,"AAAAAH9/7mk=")</f>
        <v>#REF!</v>
      </c>
      <c r="DC380" t="e">
        <f>AND('PROG FORMACIÓN TITULADA'!#REF!,"AAAAAH9/7mo=")</f>
        <v>#REF!</v>
      </c>
      <c r="DD380" t="e">
        <f>AND('PROG FORMACIÓN TITULADA'!#REF!,"AAAAAH9/7ms=")</f>
        <v>#REF!</v>
      </c>
      <c r="DE380" t="e">
        <f>AND('PROG FORMACIÓN TITULADA'!#REF!,"AAAAAH9/7mw=")</f>
        <v>#REF!</v>
      </c>
      <c r="DF380" t="e">
        <f>AND('PROG FORMACIÓN TITULADA'!#REF!,"AAAAAH9/7m0=")</f>
        <v>#REF!</v>
      </c>
      <c r="DG380" t="e">
        <f>IF('PROG FORMACIÓN TITULADA'!#REF!,"AAAAAH9/7m4=",0)</f>
        <v>#REF!</v>
      </c>
      <c r="DH380" t="e">
        <f>AND('PROG FORMACIÓN TITULADA'!#REF!,"AAAAAH9/7m8=")</f>
        <v>#REF!</v>
      </c>
      <c r="DI380" t="e">
        <f>AND('PROG FORMACIÓN TITULADA'!#REF!,"AAAAAH9/7nA=")</f>
        <v>#REF!</v>
      </c>
      <c r="DJ380" t="e">
        <f>AND('PROG FORMACIÓN TITULADA'!#REF!,"AAAAAH9/7nE=")</f>
        <v>#REF!</v>
      </c>
      <c r="DK380" t="e">
        <f>AND('PROG FORMACIÓN TITULADA'!#REF!,"AAAAAH9/7nI=")</f>
        <v>#REF!</v>
      </c>
      <c r="DL380" t="e">
        <f>AND('PROG FORMACIÓN TITULADA'!#REF!,"AAAAAH9/7nM=")</f>
        <v>#REF!</v>
      </c>
      <c r="DM380" t="e">
        <f>AND('PROG FORMACIÓN TITULADA'!#REF!,"AAAAAH9/7nQ=")</f>
        <v>#REF!</v>
      </c>
      <c r="DN380" t="e">
        <f>AND('PROG FORMACIÓN TITULADA'!#REF!,"AAAAAH9/7nU=")</f>
        <v>#REF!</v>
      </c>
      <c r="DO380" t="e">
        <f>AND('PROG FORMACIÓN TITULADA'!#REF!,"AAAAAH9/7nY=")</f>
        <v>#REF!</v>
      </c>
      <c r="DP380" t="e">
        <f>AND('PROG FORMACIÓN TITULADA'!#REF!,"AAAAAH9/7nc=")</f>
        <v>#REF!</v>
      </c>
      <c r="DQ380" t="e">
        <f>AND('PROG FORMACIÓN TITULADA'!#REF!,"AAAAAH9/7ng=")</f>
        <v>#REF!</v>
      </c>
      <c r="DR380" t="e">
        <f>AND('PROG FORMACIÓN TITULADA'!#REF!,"AAAAAH9/7nk=")</f>
        <v>#REF!</v>
      </c>
      <c r="DS380" t="e">
        <f>AND('PROG FORMACIÓN TITULADA'!#REF!,"AAAAAH9/7no=")</f>
        <v>#REF!</v>
      </c>
      <c r="DT380" t="e">
        <f>AND('PROG FORMACIÓN TITULADA'!#REF!,"AAAAAH9/7ns=")</f>
        <v>#REF!</v>
      </c>
      <c r="DU380" t="e">
        <f>AND('PROG FORMACIÓN TITULADA'!#REF!,"AAAAAH9/7nw=")</f>
        <v>#REF!</v>
      </c>
      <c r="DV380" t="e">
        <f>AND('PROG FORMACIÓN TITULADA'!#REF!,"AAAAAH9/7n0=")</f>
        <v>#REF!</v>
      </c>
      <c r="DW380" t="e">
        <f>AND('PROG FORMACIÓN TITULADA'!#REF!,"AAAAAH9/7n4=")</f>
        <v>#REF!</v>
      </c>
      <c r="DX380" t="e">
        <f>AND('PROG FORMACIÓN TITULADA'!#REF!,"AAAAAH9/7n8=")</f>
        <v>#REF!</v>
      </c>
      <c r="DY380" t="e">
        <f>AND('PROG FORMACIÓN TITULADA'!#REF!,"AAAAAH9/7oA=")</f>
        <v>#REF!</v>
      </c>
      <c r="DZ380" t="e">
        <f>AND('PROG FORMACIÓN TITULADA'!#REF!,"AAAAAH9/7oE=")</f>
        <v>#REF!</v>
      </c>
      <c r="EA380" t="e">
        <f>AND('PROG FORMACIÓN TITULADA'!#REF!,"AAAAAH9/7oI=")</f>
        <v>#REF!</v>
      </c>
      <c r="EB380" t="e">
        <f>AND('PROG FORMACIÓN TITULADA'!#REF!,"AAAAAH9/7oM=")</f>
        <v>#REF!</v>
      </c>
      <c r="EC380" t="e">
        <f>AND('PROG FORMACIÓN TITULADA'!#REF!,"AAAAAH9/7oQ=")</f>
        <v>#REF!</v>
      </c>
      <c r="ED380" t="e">
        <f>AND('PROG FORMACIÓN TITULADA'!#REF!,"AAAAAH9/7oU=")</f>
        <v>#REF!</v>
      </c>
      <c r="EE380" t="e">
        <f>AND('PROG FORMACIÓN TITULADA'!#REF!,"AAAAAH9/7oY=")</f>
        <v>#REF!</v>
      </c>
      <c r="EF380" t="e">
        <f>AND('PROG FORMACIÓN TITULADA'!#REF!,"AAAAAH9/7oc=")</f>
        <v>#REF!</v>
      </c>
      <c r="EG380" t="e">
        <f>AND('PROG FORMACIÓN TITULADA'!#REF!,"AAAAAH9/7og=")</f>
        <v>#REF!</v>
      </c>
      <c r="EH380" t="e">
        <f>IF('PROG FORMACIÓN TITULADA'!#REF!,"AAAAAH9/7ok=",0)</f>
        <v>#REF!</v>
      </c>
      <c r="EI380" t="e">
        <f>AND('PROG FORMACIÓN TITULADA'!#REF!,"AAAAAH9/7oo=")</f>
        <v>#REF!</v>
      </c>
      <c r="EJ380" t="e">
        <f>AND('PROG FORMACIÓN TITULADA'!#REF!,"AAAAAH9/7os=")</f>
        <v>#REF!</v>
      </c>
      <c r="EK380" t="e">
        <f>AND('PROG FORMACIÓN TITULADA'!#REF!,"AAAAAH9/7ow=")</f>
        <v>#REF!</v>
      </c>
      <c r="EL380" t="e">
        <f>AND('PROG FORMACIÓN TITULADA'!#REF!,"AAAAAH9/7o0=")</f>
        <v>#REF!</v>
      </c>
      <c r="EM380" t="e">
        <f>AND('PROG FORMACIÓN TITULADA'!#REF!,"AAAAAH9/7o4=")</f>
        <v>#REF!</v>
      </c>
      <c r="EN380" t="e">
        <f>AND('PROG FORMACIÓN TITULADA'!#REF!,"AAAAAH9/7o8=")</f>
        <v>#REF!</v>
      </c>
      <c r="EO380" t="e">
        <f>AND('PROG FORMACIÓN TITULADA'!#REF!,"AAAAAH9/7pA=")</f>
        <v>#REF!</v>
      </c>
      <c r="EP380" t="e">
        <f>AND('PROG FORMACIÓN TITULADA'!#REF!,"AAAAAH9/7pE=")</f>
        <v>#REF!</v>
      </c>
      <c r="EQ380" t="e">
        <f>AND('PROG FORMACIÓN TITULADA'!#REF!,"AAAAAH9/7pI=")</f>
        <v>#REF!</v>
      </c>
      <c r="ER380" t="e">
        <f>AND('PROG FORMACIÓN TITULADA'!#REF!,"AAAAAH9/7pM=")</f>
        <v>#REF!</v>
      </c>
      <c r="ES380" t="e">
        <f>AND('PROG FORMACIÓN TITULADA'!#REF!,"AAAAAH9/7pQ=")</f>
        <v>#REF!</v>
      </c>
      <c r="ET380" t="e">
        <f>AND('PROG FORMACIÓN TITULADA'!#REF!,"AAAAAH9/7pU=")</f>
        <v>#REF!</v>
      </c>
      <c r="EU380" t="e">
        <f>AND('PROG FORMACIÓN TITULADA'!#REF!,"AAAAAH9/7pY=")</f>
        <v>#REF!</v>
      </c>
      <c r="EV380" t="e">
        <f>AND('PROG FORMACIÓN TITULADA'!#REF!,"AAAAAH9/7pc=")</f>
        <v>#REF!</v>
      </c>
      <c r="EW380" t="e">
        <f>AND('PROG FORMACIÓN TITULADA'!#REF!,"AAAAAH9/7pg=")</f>
        <v>#REF!</v>
      </c>
      <c r="EX380" t="e">
        <f>AND('PROG FORMACIÓN TITULADA'!#REF!,"AAAAAH9/7pk=")</f>
        <v>#REF!</v>
      </c>
      <c r="EY380" t="e">
        <f>AND('PROG FORMACIÓN TITULADA'!#REF!,"AAAAAH9/7po=")</f>
        <v>#REF!</v>
      </c>
      <c r="EZ380" t="e">
        <f>AND('PROG FORMACIÓN TITULADA'!#REF!,"AAAAAH9/7ps=")</f>
        <v>#REF!</v>
      </c>
      <c r="FA380" t="e">
        <f>AND('PROG FORMACIÓN TITULADA'!#REF!,"AAAAAH9/7pw=")</f>
        <v>#REF!</v>
      </c>
      <c r="FB380" t="e">
        <f>AND('PROG FORMACIÓN TITULADA'!#REF!,"AAAAAH9/7p0=")</f>
        <v>#REF!</v>
      </c>
      <c r="FC380" t="e">
        <f>AND('PROG FORMACIÓN TITULADA'!#REF!,"AAAAAH9/7p4=")</f>
        <v>#REF!</v>
      </c>
      <c r="FD380" t="e">
        <f>AND('PROG FORMACIÓN TITULADA'!#REF!,"AAAAAH9/7p8=")</f>
        <v>#REF!</v>
      </c>
      <c r="FE380" t="e">
        <f>AND('PROG FORMACIÓN TITULADA'!#REF!,"AAAAAH9/7qA=")</f>
        <v>#REF!</v>
      </c>
      <c r="FF380" t="e">
        <f>AND('PROG FORMACIÓN TITULADA'!#REF!,"AAAAAH9/7qE=")</f>
        <v>#REF!</v>
      </c>
      <c r="FG380" t="e">
        <f>AND('PROG FORMACIÓN TITULADA'!#REF!,"AAAAAH9/7qI=")</f>
        <v>#REF!</v>
      </c>
      <c r="FH380" t="e">
        <f>AND('PROG FORMACIÓN TITULADA'!#REF!,"AAAAAH9/7qM=")</f>
        <v>#REF!</v>
      </c>
      <c r="FI380" t="e">
        <f>IF('PROG FORMACIÓN TITULADA'!#REF!,"AAAAAH9/7qQ=",0)</f>
        <v>#REF!</v>
      </c>
      <c r="FJ380" t="e">
        <f>AND('PROG FORMACIÓN TITULADA'!#REF!,"AAAAAH9/7qU=")</f>
        <v>#REF!</v>
      </c>
      <c r="FK380" t="e">
        <f>AND('PROG FORMACIÓN TITULADA'!#REF!,"AAAAAH9/7qY=")</f>
        <v>#REF!</v>
      </c>
      <c r="FL380" t="e">
        <f>AND('PROG FORMACIÓN TITULADA'!#REF!,"AAAAAH9/7qc=")</f>
        <v>#REF!</v>
      </c>
      <c r="FM380" t="e">
        <f>AND('PROG FORMACIÓN TITULADA'!#REF!,"AAAAAH9/7qg=")</f>
        <v>#REF!</v>
      </c>
      <c r="FN380" t="e">
        <f>AND('PROG FORMACIÓN TITULADA'!#REF!,"AAAAAH9/7qk=")</f>
        <v>#REF!</v>
      </c>
      <c r="FO380" t="e">
        <f>AND('PROG FORMACIÓN TITULADA'!#REF!,"AAAAAH9/7qo=")</f>
        <v>#REF!</v>
      </c>
      <c r="FP380" t="e">
        <f>AND('PROG FORMACIÓN TITULADA'!#REF!,"AAAAAH9/7qs=")</f>
        <v>#REF!</v>
      </c>
      <c r="FQ380" t="e">
        <f>AND('PROG FORMACIÓN TITULADA'!#REF!,"AAAAAH9/7qw=")</f>
        <v>#REF!</v>
      </c>
      <c r="FR380" t="e">
        <f>AND('PROG FORMACIÓN TITULADA'!#REF!,"AAAAAH9/7q0=")</f>
        <v>#REF!</v>
      </c>
      <c r="FS380" t="e">
        <f>AND('PROG FORMACIÓN TITULADA'!#REF!,"AAAAAH9/7q4=")</f>
        <v>#REF!</v>
      </c>
      <c r="FT380" t="e">
        <f>AND('PROG FORMACIÓN TITULADA'!#REF!,"AAAAAH9/7q8=")</f>
        <v>#REF!</v>
      </c>
      <c r="FU380" t="e">
        <f>AND('PROG FORMACIÓN TITULADA'!#REF!,"AAAAAH9/7rA=")</f>
        <v>#REF!</v>
      </c>
      <c r="FV380" t="e">
        <f>AND('PROG FORMACIÓN TITULADA'!#REF!,"AAAAAH9/7rE=")</f>
        <v>#REF!</v>
      </c>
      <c r="FW380" t="e">
        <f>AND('PROG FORMACIÓN TITULADA'!#REF!,"AAAAAH9/7rI=")</f>
        <v>#REF!</v>
      </c>
      <c r="FX380" t="e">
        <f>AND('PROG FORMACIÓN TITULADA'!#REF!,"AAAAAH9/7rM=")</f>
        <v>#REF!</v>
      </c>
      <c r="FY380" t="e">
        <f>AND('PROG FORMACIÓN TITULADA'!#REF!,"AAAAAH9/7rQ=")</f>
        <v>#REF!</v>
      </c>
      <c r="FZ380" t="e">
        <f>AND('PROG FORMACIÓN TITULADA'!#REF!,"AAAAAH9/7rU=")</f>
        <v>#REF!</v>
      </c>
      <c r="GA380" t="e">
        <f>AND('PROG FORMACIÓN TITULADA'!#REF!,"AAAAAH9/7rY=")</f>
        <v>#REF!</v>
      </c>
      <c r="GB380" t="e">
        <f>AND('PROG FORMACIÓN TITULADA'!#REF!,"AAAAAH9/7rc=")</f>
        <v>#REF!</v>
      </c>
      <c r="GC380" t="e">
        <f>AND('PROG FORMACIÓN TITULADA'!#REF!,"AAAAAH9/7rg=")</f>
        <v>#REF!</v>
      </c>
      <c r="GD380" t="e">
        <f>AND('PROG FORMACIÓN TITULADA'!#REF!,"AAAAAH9/7rk=")</f>
        <v>#REF!</v>
      </c>
      <c r="GE380" t="e">
        <f>AND('PROG FORMACIÓN TITULADA'!#REF!,"AAAAAH9/7ro=")</f>
        <v>#REF!</v>
      </c>
      <c r="GF380" t="e">
        <f>AND('PROG FORMACIÓN TITULADA'!#REF!,"AAAAAH9/7rs=")</f>
        <v>#REF!</v>
      </c>
      <c r="GG380" t="e">
        <f>AND('PROG FORMACIÓN TITULADA'!#REF!,"AAAAAH9/7rw=")</f>
        <v>#REF!</v>
      </c>
      <c r="GH380" t="e">
        <f>AND('PROG FORMACIÓN TITULADA'!#REF!,"AAAAAH9/7r0=")</f>
        <v>#REF!</v>
      </c>
      <c r="GI380" t="e">
        <f>AND('PROG FORMACIÓN TITULADA'!#REF!,"AAAAAH9/7r4=")</f>
        <v>#REF!</v>
      </c>
      <c r="GJ380" t="e">
        <f>IF('PROG FORMACIÓN TITULADA'!#REF!,"AAAAAH9/7r8=",0)</f>
        <v>#REF!</v>
      </c>
      <c r="GK380" t="e">
        <f>AND('PROG FORMACIÓN TITULADA'!#REF!,"AAAAAH9/7sA=")</f>
        <v>#REF!</v>
      </c>
      <c r="GL380" t="e">
        <f>AND('PROG FORMACIÓN TITULADA'!#REF!,"AAAAAH9/7sE=")</f>
        <v>#REF!</v>
      </c>
      <c r="GM380" t="e">
        <f>AND('PROG FORMACIÓN TITULADA'!#REF!,"AAAAAH9/7sI=")</f>
        <v>#REF!</v>
      </c>
      <c r="GN380" t="e">
        <f>AND('PROG FORMACIÓN TITULADA'!#REF!,"AAAAAH9/7sM=")</f>
        <v>#REF!</v>
      </c>
      <c r="GO380" t="e">
        <f>AND('PROG FORMACIÓN TITULADA'!#REF!,"AAAAAH9/7sQ=")</f>
        <v>#REF!</v>
      </c>
      <c r="GP380" t="e">
        <f>AND('PROG FORMACIÓN TITULADA'!#REF!,"AAAAAH9/7sU=")</f>
        <v>#REF!</v>
      </c>
      <c r="GQ380" t="e">
        <f>AND('PROG FORMACIÓN TITULADA'!#REF!,"AAAAAH9/7sY=")</f>
        <v>#REF!</v>
      </c>
      <c r="GR380" t="e">
        <f>AND('PROG FORMACIÓN TITULADA'!#REF!,"AAAAAH9/7sc=")</f>
        <v>#REF!</v>
      </c>
      <c r="GS380" t="e">
        <f>AND('PROG FORMACIÓN TITULADA'!#REF!,"AAAAAH9/7sg=")</f>
        <v>#REF!</v>
      </c>
      <c r="GT380" t="e">
        <f>AND('PROG FORMACIÓN TITULADA'!#REF!,"AAAAAH9/7sk=")</f>
        <v>#REF!</v>
      </c>
      <c r="GU380" t="e">
        <f>AND('PROG FORMACIÓN TITULADA'!#REF!,"AAAAAH9/7so=")</f>
        <v>#REF!</v>
      </c>
      <c r="GV380" t="e">
        <f>AND('PROG FORMACIÓN TITULADA'!#REF!,"AAAAAH9/7ss=")</f>
        <v>#REF!</v>
      </c>
      <c r="GW380" t="e">
        <f>AND('PROG FORMACIÓN TITULADA'!#REF!,"AAAAAH9/7sw=")</f>
        <v>#REF!</v>
      </c>
      <c r="GX380" t="e">
        <f>AND('PROG FORMACIÓN TITULADA'!#REF!,"AAAAAH9/7s0=")</f>
        <v>#REF!</v>
      </c>
      <c r="GY380" t="e">
        <f>AND('PROG FORMACIÓN TITULADA'!#REF!,"AAAAAH9/7s4=")</f>
        <v>#REF!</v>
      </c>
      <c r="GZ380" t="e">
        <f>AND('PROG FORMACIÓN TITULADA'!#REF!,"AAAAAH9/7s8=")</f>
        <v>#REF!</v>
      </c>
      <c r="HA380" t="e">
        <f>AND('PROG FORMACIÓN TITULADA'!#REF!,"AAAAAH9/7tA=")</f>
        <v>#REF!</v>
      </c>
      <c r="HB380" t="e">
        <f>AND('PROG FORMACIÓN TITULADA'!#REF!,"AAAAAH9/7tE=")</f>
        <v>#REF!</v>
      </c>
      <c r="HC380" t="e">
        <f>AND('PROG FORMACIÓN TITULADA'!#REF!,"AAAAAH9/7tI=")</f>
        <v>#REF!</v>
      </c>
      <c r="HD380" t="e">
        <f>AND('PROG FORMACIÓN TITULADA'!#REF!,"AAAAAH9/7tM=")</f>
        <v>#REF!</v>
      </c>
      <c r="HE380" t="e">
        <f>AND('PROG FORMACIÓN TITULADA'!#REF!,"AAAAAH9/7tQ=")</f>
        <v>#REF!</v>
      </c>
      <c r="HF380" t="e">
        <f>AND('PROG FORMACIÓN TITULADA'!#REF!,"AAAAAH9/7tU=")</f>
        <v>#REF!</v>
      </c>
      <c r="HG380" t="e">
        <f>AND('PROG FORMACIÓN TITULADA'!#REF!,"AAAAAH9/7tY=")</f>
        <v>#REF!</v>
      </c>
      <c r="HH380" t="e">
        <f>AND('PROG FORMACIÓN TITULADA'!#REF!,"AAAAAH9/7tc=")</f>
        <v>#REF!</v>
      </c>
      <c r="HI380" t="e">
        <f>AND('PROG FORMACIÓN TITULADA'!#REF!,"AAAAAH9/7tg=")</f>
        <v>#REF!</v>
      </c>
      <c r="HJ380" t="e">
        <f>AND('PROG FORMACIÓN TITULADA'!#REF!,"AAAAAH9/7tk=")</f>
        <v>#REF!</v>
      </c>
      <c r="HK380" t="e">
        <f>IF('PROG FORMACIÓN TITULADA'!#REF!,"AAAAAH9/7to=",0)</f>
        <v>#REF!</v>
      </c>
      <c r="HL380" t="e">
        <f>AND('PROG FORMACIÓN TITULADA'!#REF!,"AAAAAH9/7ts=")</f>
        <v>#REF!</v>
      </c>
      <c r="HM380" t="e">
        <f>AND('PROG FORMACIÓN TITULADA'!#REF!,"AAAAAH9/7tw=")</f>
        <v>#REF!</v>
      </c>
      <c r="HN380" t="e">
        <f>AND('PROG FORMACIÓN TITULADA'!#REF!,"AAAAAH9/7t0=")</f>
        <v>#REF!</v>
      </c>
      <c r="HO380" t="e">
        <f>AND('PROG FORMACIÓN TITULADA'!#REF!,"AAAAAH9/7t4=")</f>
        <v>#REF!</v>
      </c>
      <c r="HP380" t="e">
        <f>AND('PROG FORMACIÓN TITULADA'!#REF!,"AAAAAH9/7t8=")</f>
        <v>#REF!</v>
      </c>
      <c r="HQ380" t="e">
        <f>AND('PROG FORMACIÓN TITULADA'!#REF!,"AAAAAH9/7uA=")</f>
        <v>#REF!</v>
      </c>
      <c r="HR380" t="e">
        <f>AND('PROG FORMACIÓN TITULADA'!#REF!,"AAAAAH9/7uE=")</f>
        <v>#REF!</v>
      </c>
      <c r="HS380" t="e">
        <f>AND('PROG FORMACIÓN TITULADA'!#REF!,"AAAAAH9/7uI=")</f>
        <v>#REF!</v>
      </c>
      <c r="HT380" t="e">
        <f>AND('PROG FORMACIÓN TITULADA'!#REF!,"AAAAAH9/7uM=")</f>
        <v>#REF!</v>
      </c>
      <c r="HU380" t="e">
        <f>AND('PROG FORMACIÓN TITULADA'!#REF!,"AAAAAH9/7uQ=")</f>
        <v>#REF!</v>
      </c>
      <c r="HV380" t="e">
        <f>AND('PROG FORMACIÓN TITULADA'!#REF!,"AAAAAH9/7uU=")</f>
        <v>#REF!</v>
      </c>
      <c r="HW380" t="e">
        <f>AND('PROG FORMACIÓN TITULADA'!#REF!,"AAAAAH9/7uY=")</f>
        <v>#REF!</v>
      </c>
      <c r="HX380" t="e">
        <f>AND('PROG FORMACIÓN TITULADA'!#REF!,"AAAAAH9/7uc=")</f>
        <v>#REF!</v>
      </c>
      <c r="HY380" t="e">
        <f>AND('PROG FORMACIÓN TITULADA'!#REF!,"AAAAAH9/7ug=")</f>
        <v>#REF!</v>
      </c>
      <c r="HZ380" t="e">
        <f>AND('PROG FORMACIÓN TITULADA'!#REF!,"AAAAAH9/7uk=")</f>
        <v>#REF!</v>
      </c>
      <c r="IA380" t="e">
        <f>AND('PROG FORMACIÓN TITULADA'!#REF!,"AAAAAH9/7uo=")</f>
        <v>#REF!</v>
      </c>
      <c r="IB380" t="e">
        <f>AND('PROG FORMACIÓN TITULADA'!#REF!,"AAAAAH9/7us=")</f>
        <v>#REF!</v>
      </c>
      <c r="IC380" t="e">
        <f>AND('PROG FORMACIÓN TITULADA'!#REF!,"AAAAAH9/7uw=")</f>
        <v>#REF!</v>
      </c>
      <c r="ID380" t="e">
        <f>AND('PROG FORMACIÓN TITULADA'!#REF!,"AAAAAH9/7u0=")</f>
        <v>#REF!</v>
      </c>
      <c r="IE380" t="e">
        <f>AND('PROG FORMACIÓN TITULADA'!#REF!,"AAAAAH9/7u4=")</f>
        <v>#REF!</v>
      </c>
      <c r="IF380" t="e">
        <f>AND('PROG FORMACIÓN TITULADA'!#REF!,"AAAAAH9/7u8=")</f>
        <v>#REF!</v>
      </c>
      <c r="IG380" t="e">
        <f>AND('PROG FORMACIÓN TITULADA'!#REF!,"AAAAAH9/7vA=")</f>
        <v>#REF!</v>
      </c>
      <c r="IH380" t="e">
        <f>AND('PROG FORMACIÓN TITULADA'!#REF!,"AAAAAH9/7vE=")</f>
        <v>#REF!</v>
      </c>
      <c r="II380" t="e">
        <f>AND('PROG FORMACIÓN TITULADA'!#REF!,"AAAAAH9/7vI=")</f>
        <v>#REF!</v>
      </c>
      <c r="IJ380" t="e">
        <f>AND('PROG FORMACIÓN TITULADA'!#REF!,"AAAAAH9/7vM=")</f>
        <v>#REF!</v>
      </c>
      <c r="IK380" t="e">
        <f>AND('PROG FORMACIÓN TITULADA'!#REF!,"AAAAAH9/7vQ=")</f>
        <v>#REF!</v>
      </c>
      <c r="IL380" t="e">
        <f>IF('PROG FORMACIÓN TITULADA'!#REF!,"AAAAAH9/7vU=",0)</f>
        <v>#REF!</v>
      </c>
      <c r="IM380" t="e">
        <f>AND('PROG FORMACIÓN TITULADA'!#REF!,"AAAAAH9/7vY=")</f>
        <v>#REF!</v>
      </c>
      <c r="IN380" t="e">
        <f>AND('PROG FORMACIÓN TITULADA'!#REF!,"AAAAAH9/7vc=")</f>
        <v>#REF!</v>
      </c>
      <c r="IO380" t="e">
        <f>AND('PROG FORMACIÓN TITULADA'!#REF!,"AAAAAH9/7vg=")</f>
        <v>#REF!</v>
      </c>
      <c r="IP380" t="e">
        <f>AND('PROG FORMACIÓN TITULADA'!#REF!,"AAAAAH9/7vk=")</f>
        <v>#REF!</v>
      </c>
      <c r="IQ380" t="e">
        <f>AND('PROG FORMACIÓN TITULADA'!#REF!,"AAAAAH9/7vo=")</f>
        <v>#REF!</v>
      </c>
      <c r="IR380" t="e">
        <f>AND('PROG FORMACIÓN TITULADA'!#REF!,"AAAAAH9/7vs=")</f>
        <v>#REF!</v>
      </c>
      <c r="IS380" t="e">
        <f>AND('PROG FORMACIÓN TITULADA'!#REF!,"AAAAAH9/7vw=")</f>
        <v>#REF!</v>
      </c>
      <c r="IT380" t="e">
        <f>AND('PROG FORMACIÓN TITULADA'!#REF!,"AAAAAH9/7v0=")</f>
        <v>#REF!</v>
      </c>
      <c r="IU380" t="e">
        <f>AND('PROG FORMACIÓN TITULADA'!#REF!,"AAAAAH9/7v4=")</f>
        <v>#REF!</v>
      </c>
      <c r="IV380" t="e">
        <f>AND('PROG FORMACIÓN TITULADA'!#REF!,"AAAAAH9/7v8=")</f>
        <v>#REF!</v>
      </c>
    </row>
    <row r="381" spans="1:256" x14ac:dyDescent="0.2">
      <c r="A381" t="e">
        <f>AND('PROG FORMACIÓN TITULADA'!#REF!,"AAAAAH931wA=")</f>
        <v>#REF!</v>
      </c>
      <c r="B381" t="e">
        <f>AND('PROG FORMACIÓN TITULADA'!#REF!,"AAAAAH931wE=")</f>
        <v>#REF!</v>
      </c>
      <c r="C381" t="e">
        <f>AND('PROG FORMACIÓN TITULADA'!#REF!,"AAAAAH931wI=")</f>
        <v>#REF!</v>
      </c>
      <c r="D381" t="e">
        <f>AND('PROG FORMACIÓN TITULADA'!#REF!,"AAAAAH931wM=")</f>
        <v>#REF!</v>
      </c>
      <c r="E381" t="e">
        <f>AND('PROG FORMACIÓN TITULADA'!#REF!,"AAAAAH931wQ=")</f>
        <v>#REF!</v>
      </c>
      <c r="F381" t="e">
        <f>AND('PROG FORMACIÓN TITULADA'!#REF!,"AAAAAH931wU=")</f>
        <v>#REF!</v>
      </c>
      <c r="G381" t="e">
        <f>AND('PROG FORMACIÓN TITULADA'!#REF!,"AAAAAH931wY=")</f>
        <v>#REF!</v>
      </c>
      <c r="H381" t="e">
        <f>AND('PROG FORMACIÓN TITULADA'!#REF!,"AAAAAH931wc=")</f>
        <v>#REF!</v>
      </c>
      <c r="I381" t="e">
        <f>AND('PROG FORMACIÓN TITULADA'!#REF!,"AAAAAH931wg=")</f>
        <v>#REF!</v>
      </c>
      <c r="J381" t="e">
        <f>AND('PROG FORMACIÓN TITULADA'!#REF!,"AAAAAH931wk=")</f>
        <v>#REF!</v>
      </c>
      <c r="K381" t="e">
        <f>AND('PROG FORMACIÓN TITULADA'!#REF!,"AAAAAH931wo=")</f>
        <v>#REF!</v>
      </c>
      <c r="L381" t="e">
        <f>AND('PROG FORMACIÓN TITULADA'!#REF!,"AAAAAH931ws=")</f>
        <v>#REF!</v>
      </c>
      <c r="M381" t="e">
        <f>AND('PROG FORMACIÓN TITULADA'!#REF!,"AAAAAH931ww=")</f>
        <v>#REF!</v>
      </c>
      <c r="N381" t="e">
        <f>AND('PROG FORMACIÓN TITULADA'!#REF!,"AAAAAH931w0=")</f>
        <v>#REF!</v>
      </c>
      <c r="O381" t="e">
        <f>AND('PROG FORMACIÓN TITULADA'!#REF!,"AAAAAH931w4=")</f>
        <v>#REF!</v>
      </c>
      <c r="P381" t="e">
        <f>AND('PROG FORMACIÓN TITULADA'!#REF!,"AAAAAH931w8=")</f>
        <v>#REF!</v>
      </c>
      <c r="Q381" t="e">
        <f>IF('PROG FORMACIÓN TITULADA'!#REF!,"AAAAAH931xA=",0)</f>
        <v>#REF!</v>
      </c>
      <c r="R381" t="e">
        <f>AND('PROG FORMACIÓN TITULADA'!#REF!,"AAAAAH931xE=")</f>
        <v>#REF!</v>
      </c>
      <c r="S381" t="e">
        <f>AND('PROG FORMACIÓN TITULADA'!#REF!,"AAAAAH931xI=")</f>
        <v>#REF!</v>
      </c>
      <c r="T381" t="e">
        <f>AND('PROG FORMACIÓN TITULADA'!#REF!,"AAAAAH931xM=")</f>
        <v>#REF!</v>
      </c>
      <c r="U381" t="e">
        <f>AND('PROG FORMACIÓN TITULADA'!#REF!,"AAAAAH931xQ=")</f>
        <v>#REF!</v>
      </c>
      <c r="V381" t="e">
        <f>AND('PROG FORMACIÓN TITULADA'!#REF!,"AAAAAH931xU=")</f>
        <v>#REF!</v>
      </c>
      <c r="W381" t="e">
        <f>AND('PROG FORMACIÓN TITULADA'!#REF!,"AAAAAH931xY=")</f>
        <v>#REF!</v>
      </c>
      <c r="X381" t="e">
        <f>AND('PROG FORMACIÓN TITULADA'!#REF!,"AAAAAH931xc=")</f>
        <v>#REF!</v>
      </c>
      <c r="Y381" t="e">
        <f>AND('PROG FORMACIÓN TITULADA'!#REF!,"AAAAAH931xg=")</f>
        <v>#REF!</v>
      </c>
      <c r="Z381" t="e">
        <f>AND('PROG FORMACIÓN TITULADA'!#REF!,"AAAAAH931xk=")</f>
        <v>#REF!</v>
      </c>
      <c r="AA381" t="e">
        <f>AND('PROG FORMACIÓN TITULADA'!#REF!,"AAAAAH931xo=")</f>
        <v>#REF!</v>
      </c>
      <c r="AB381" t="e">
        <f>AND('PROG FORMACIÓN TITULADA'!#REF!,"AAAAAH931xs=")</f>
        <v>#REF!</v>
      </c>
      <c r="AC381" t="e">
        <f>AND('PROG FORMACIÓN TITULADA'!#REF!,"AAAAAH931xw=")</f>
        <v>#REF!</v>
      </c>
      <c r="AD381" t="e">
        <f>AND('PROG FORMACIÓN TITULADA'!#REF!,"AAAAAH931x0=")</f>
        <v>#REF!</v>
      </c>
      <c r="AE381" t="e">
        <f>AND('PROG FORMACIÓN TITULADA'!#REF!,"AAAAAH931x4=")</f>
        <v>#REF!</v>
      </c>
      <c r="AF381" t="e">
        <f>AND('PROG FORMACIÓN TITULADA'!#REF!,"AAAAAH931x8=")</f>
        <v>#REF!</v>
      </c>
      <c r="AG381" t="e">
        <f>AND('PROG FORMACIÓN TITULADA'!#REF!,"AAAAAH931yA=")</f>
        <v>#REF!</v>
      </c>
      <c r="AH381" t="e">
        <f>AND('PROG FORMACIÓN TITULADA'!#REF!,"AAAAAH931yE=")</f>
        <v>#REF!</v>
      </c>
      <c r="AI381" t="e">
        <f>AND('PROG FORMACIÓN TITULADA'!#REF!,"AAAAAH931yI=")</f>
        <v>#REF!</v>
      </c>
      <c r="AJ381" t="e">
        <f>AND('PROG FORMACIÓN TITULADA'!#REF!,"AAAAAH931yM=")</f>
        <v>#REF!</v>
      </c>
      <c r="AK381" t="e">
        <f>AND('PROG FORMACIÓN TITULADA'!#REF!,"AAAAAH931yQ=")</f>
        <v>#REF!</v>
      </c>
      <c r="AL381" t="e">
        <f>AND('PROG FORMACIÓN TITULADA'!#REF!,"AAAAAH931yU=")</f>
        <v>#REF!</v>
      </c>
      <c r="AM381" t="e">
        <f>AND('PROG FORMACIÓN TITULADA'!#REF!,"AAAAAH931yY=")</f>
        <v>#REF!</v>
      </c>
      <c r="AN381" t="e">
        <f>AND('PROG FORMACIÓN TITULADA'!#REF!,"AAAAAH931yc=")</f>
        <v>#REF!</v>
      </c>
      <c r="AO381" t="e">
        <f>AND('PROG FORMACIÓN TITULADA'!#REF!,"AAAAAH931yg=")</f>
        <v>#REF!</v>
      </c>
      <c r="AP381" t="e">
        <f>AND('PROG FORMACIÓN TITULADA'!#REF!,"AAAAAH931yk=")</f>
        <v>#REF!</v>
      </c>
      <c r="AQ381" t="e">
        <f>AND('PROG FORMACIÓN TITULADA'!#REF!,"AAAAAH931yo=")</f>
        <v>#REF!</v>
      </c>
      <c r="AR381" t="e">
        <f>IF('PROG FORMACIÓN TITULADA'!#REF!,"AAAAAH931ys=",0)</f>
        <v>#REF!</v>
      </c>
      <c r="AS381" t="e">
        <f>AND('PROG FORMACIÓN TITULADA'!#REF!,"AAAAAH931yw=")</f>
        <v>#REF!</v>
      </c>
      <c r="AT381" t="e">
        <f>AND('PROG FORMACIÓN TITULADA'!#REF!,"AAAAAH931y0=")</f>
        <v>#REF!</v>
      </c>
      <c r="AU381" t="e">
        <f>AND('PROG FORMACIÓN TITULADA'!#REF!,"AAAAAH931y4=")</f>
        <v>#REF!</v>
      </c>
      <c r="AV381" t="e">
        <f>AND('PROG FORMACIÓN TITULADA'!#REF!,"AAAAAH931y8=")</f>
        <v>#REF!</v>
      </c>
      <c r="AW381" t="e">
        <f>AND('PROG FORMACIÓN TITULADA'!#REF!,"AAAAAH931zA=")</f>
        <v>#REF!</v>
      </c>
      <c r="AX381" t="e">
        <f>AND('PROG FORMACIÓN TITULADA'!#REF!,"AAAAAH931zE=")</f>
        <v>#REF!</v>
      </c>
      <c r="AY381" t="e">
        <f>AND('PROG FORMACIÓN TITULADA'!#REF!,"AAAAAH931zI=")</f>
        <v>#REF!</v>
      </c>
      <c r="AZ381" t="e">
        <f>AND('PROG FORMACIÓN TITULADA'!#REF!,"AAAAAH931zM=")</f>
        <v>#REF!</v>
      </c>
      <c r="BA381" t="e">
        <f>AND('PROG FORMACIÓN TITULADA'!#REF!,"AAAAAH931zQ=")</f>
        <v>#REF!</v>
      </c>
      <c r="BB381" t="e">
        <f>AND('PROG FORMACIÓN TITULADA'!#REF!,"AAAAAH931zU=")</f>
        <v>#REF!</v>
      </c>
      <c r="BC381" t="e">
        <f>AND('PROG FORMACIÓN TITULADA'!#REF!,"AAAAAH931zY=")</f>
        <v>#REF!</v>
      </c>
      <c r="BD381" t="e">
        <f>AND('PROG FORMACIÓN TITULADA'!#REF!,"AAAAAH931zc=")</f>
        <v>#REF!</v>
      </c>
      <c r="BE381" t="e">
        <f>AND('PROG FORMACIÓN TITULADA'!#REF!,"AAAAAH931zg=")</f>
        <v>#REF!</v>
      </c>
      <c r="BF381" t="e">
        <f>AND('PROG FORMACIÓN TITULADA'!#REF!,"AAAAAH931zk=")</f>
        <v>#REF!</v>
      </c>
      <c r="BG381" t="e">
        <f>AND('PROG FORMACIÓN TITULADA'!#REF!,"AAAAAH931zo=")</f>
        <v>#REF!</v>
      </c>
      <c r="BH381" t="e">
        <f>AND('PROG FORMACIÓN TITULADA'!#REF!,"AAAAAH931zs=")</f>
        <v>#REF!</v>
      </c>
      <c r="BI381" t="e">
        <f>AND('PROG FORMACIÓN TITULADA'!#REF!,"AAAAAH931zw=")</f>
        <v>#REF!</v>
      </c>
      <c r="BJ381" t="e">
        <f>AND('PROG FORMACIÓN TITULADA'!#REF!,"AAAAAH931z0=")</f>
        <v>#REF!</v>
      </c>
      <c r="BK381" t="e">
        <f>AND('PROG FORMACIÓN TITULADA'!#REF!,"AAAAAH931z4=")</f>
        <v>#REF!</v>
      </c>
      <c r="BL381" t="e">
        <f>AND('PROG FORMACIÓN TITULADA'!#REF!,"AAAAAH931z8=")</f>
        <v>#REF!</v>
      </c>
      <c r="BM381" t="e">
        <f>AND('PROG FORMACIÓN TITULADA'!#REF!,"AAAAAH9310A=")</f>
        <v>#REF!</v>
      </c>
      <c r="BN381" t="e">
        <f>AND('PROG FORMACIÓN TITULADA'!#REF!,"AAAAAH9310E=")</f>
        <v>#REF!</v>
      </c>
      <c r="BO381" t="e">
        <f>AND('PROG FORMACIÓN TITULADA'!#REF!,"AAAAAH9310I=")</f>
        <v>#REF!</v>
      </c>
      <c r="BP381" t="e">
        <f>AND('PROG FORMACIÓN TITULADA'!#REF!,"AAAAAH9310M=")</f>
        <v>#REF!</v>
      </c>
      <c r="BQ381" t="e">
        <f>AND('PROG FORMACIÓN TITULADA'!#REF!,"AAAAAH9310Q=")</f>
        <v>#REF!</v>
      </c>
      <c r="BR381" t="e">
        <f>AND('PROG FORMACIÓN TITULADA'!#REF!,"AAAAAH9310U=")</f>
        <v>#REF!</v>
      </c>
      <c r="BS381" t="e">
        <f>IF('PROG FORMACIÓN TITULADA'!#REF!,"AAAAAH9310Y=",0)</f>
        <v>#REF!</v>
      </c>
      <c r="BT381" t="e">
        <f>AND('PROG FORMACIÓN TITULADA'!#REF!,"AAAAAH9310c=")</f>
        <v>#REF!</v>
      </c>
      <c r="BU381" t="e">
        <f>AND('PROG FORMACIÓN TITULADA'!#REF!,"AAAAAH9310g=")</f>
        <v>#REF!</v>
      </c>
      <c r="BV381" t="e">
        <f>AND('PROG FORMACIÓN TITULADA'!#REF!,"AAAAAH9310k=")</f>
        <v>#REF!</v>
      </c>
      <c r="BW381" t="e">
        <f>AND('PROG FORMACIÓN TITULADA'!#REF!,"AAAAAH9310o=")</f>
        <v>#REF!</v>
      </c>
      <c r="BX381" t="e">
        <f>AND('PROG FORMACIÓN TITULADA'!#REF!,"AAAAAH9310s=")</f>
        <v>#REF!</v>
      </c>
      <c r="BY381" t="e">
        <f>AND('PROG FORMACIÓN TITULADA'!#REF!,"AAAAAH9310w=")</f>
        <v>#REF!</v>
      </c>
      <c r="BZ381" t="e">
        <f>AND('PROG FORMACIÓN TITULADA'!#REF!,"AAAAAH93100=")</f>
        <v>#REF!</v>
      </c>
      <c r="CA381" t="e">
        <f>AND('PROG FORMACIÓN TITULADA'!#REF!,"AAAAAH93104=")</f>
        <v>#REF!</v>
      </c>
      <c r="CB381" t="e">
        <f>AND('PROG FORMACIÓN TITULADA'!#REF!,"AAAAAH93108=")</f>
        <v>#REF!</v>
      </c>
      <c r="CC381" t="e">
        <f>AND('PROG FORMACIÓN TITULADA'!#REF!,"AAAAAH9311A=")</f>
        <v>#REF!</v>
      </c>
      <c r="CD381" t="e">
        <f>AND('PROG FORMACIÓN TITULADA'!#REF!,"AAAAAH9311E=")</f>
        <v>#REF!</v>
      </c>
      <c r="CE381" t="e">
        <f>AND('PROG FORMACIÓN TITULADA'!#REF!,"AAAAAH9311I=")</f>
        <v>#REF!</v>
      </c>
      <c r="CF381" t="e">
        <f>AND('PROG FORMACIÓN TITULADA'!#REF!,"AAAAAH9311M=")</f>
        <v>#REF!</v>
      </c>
      <c r="CG381" t="e">
        <f>AND('PROG FORMACIÓN TITULADA'!#REF!,"AAAAAH9311Q=")</f>
        <v>#REF!</v>
      </c>
      <c r="CH381" t="e">
        <f>AND('PROG FORMACIÓN TITULADA'!#REF!,"AAAAAH9311U=")</f>
        <v>#REF!</v>
      </c>
      <c r="CI381" t="e">
        <f>AND('PROG FORMACIÓN TITULADA'!#REF!,"AAAAAH9311Y=")</f>
        <v>#REF!</v>
      </c>
      <c r="CJ381" t="e">
        <f>AND('PROG FORMACIÓN TITULADA'!#REF!,"AAAAAH9311c=")</f>
        <v>#REF!</v>
      </c>
      <c r="CK381" t="e">
        <f>AND('PROG FORMACIÓN TITULADA'!#REF!,"AAAAAH9311g=")</f>
        <v>#REF!</v>
      </c>
      <c r="CL381" t="e">
        <f>AND('PROG FORMACIÓN TITULADA'!#REF!,"AAAAAH9311k=")</f>
        <v>#REF!</v>
      </c>
      <c r="CM381" t="e">
        <f>AND('PROG FORMACIÓN TITULADA'!#REF!,"AAAAAH9311o=")</f>
        <v>#REF!</v>
      </c>
      <c r="CN381" t="e">
        <f>AND('PROG FORMACIÓN TITULADA'!#REF!,"AAAAAH9311s=")</f>
        <v>#REF!</v>
      </c>
      <c r="CO381" t="e">
        <f>AND('PROG FORMACIÓN TITULADA'!#REF!,"AAAAAH9311w=")</f>
        <v>#REF!</v>
      </c>
      <c r="CP381" t="e">
        <f>AND('PROG FORMACIÓN TITULADA'!#REF!,"AAAAAH93110=")</f>
        <v>#REF!</v>
      </c>
      <c r="CQ381" t="e">
        <f>AND('PROG FORMACIÓN TITULADA'!#REF!,"AAAAAH93114=")</f>
        <v>#REF!</v>
      </c>
      <c r="CR381" t="e">
        <f>AND('PROG FORMACIÓN TITULADA'!#REF!,"AAAAAH93118=")</f>
        <v>#REF!</v>
      </c>
      <c r="CS381" t="e">
        <f>AND('PROG FORMACIÓN TITULADA'!#REF!,"AAAAAH9312A=")</f>
        <v>#REF!</v>
      </c>
      <c r="CT381" t="e">
        <f>IF('PROG FORMACIÓN TITULADA'!#REF!,"AAAAAH9312E=",0)</f>
        <v>#REF!</v>
      </c>
      <c r="CU381" t="e">
        <f>AND('PROG FORMACIÓN TITULADA'!#REF!,"AAAAAH9312I=")</f>
        <v>#REF!</v>
      </c>
      <c r="CV381" t="e">
        <f>AND('PROG FORMACIÓN TITULADA'!#REF!,"AAAAAH9312M=")</f>
        <v>#REF!</v>
      </c>
      <c r="CW381" t="e">
        <f>AND('PROG FORMACIÓN TITULADA'!#REF!,"AAAAAH9312Q=")</f>
        <v>#REF!</v>
      </c>
      <c r="CX381" t="e">
        <f>AND('PROG FORMACIÓN TITULADA'!#REF!,"AAAAAH9312U=")</f>
        <v>#REF!</v>
      </c>
      <c r="CY381" t="e">
        <f>AND('PROG FORMACIÓN TITULADA'!#REF!,"AAAAAH9312Y=")</f>
        <v>#REF!</v>
      </c>
      <c r="CZ381" t="e">
        <f>AND('PROG FORMACIÓN TITULADA'!#REF!,"AAAAAH9312c=")</f>
        <v>#REF!</v>
      </c>
      <c r="DA381" t="e">
        <f>AND('PROG FORMACIÓN TITULADA'!#REF!,"AAAAAH9312g=")</f>
        <v>#REF!</v>
      </c>
      <c r="DB381" t="e">
        <f>AND('PROG FORMACIÓN TITULADA'!#REF!,"AAAAAH9312k=")</f>
        <v>#REF!</v>
      </c>
      <c r="DC381" t="e">
        <f>AND('PROG FORMACIÓN TITULADA'!#REF!,"AAAAAH9312o=")</f>
        <v>#REF!</v>
      </c>
      <c r="DD381" t="e">
        <f>AND('PROG FORMACIÓN TITULADA'!#REF!,"AAAAAH9312s=")</f>
        <v>#REF!</v>
      </c>
      <c r="DE381" t="e">
        <f>AND('PROG FORMACIÓN TITULADA'!#REF!,"AAAAAH9312w=")</f>
        <v>#REF!</v>
      </c>
      <c r="DF381" t="e">
        <f>AND('PROG FORMACIÓN TITULADA'!#REF!,"AAAAAH93120=")</f>
        <v>#REF!</v>
      </c>
      <c r="DG381" t="e">
        <f>AND('PROG FORMACIÓN TITULADA'!#REF!,"AAAAAH93124=")</f>
        <v>#REF!</v>
      </c>
      <c r="DH381" t="e">
        <f>AND('PROG FORMACIÓN TITULADA'!#REF!,"AAAAAH93128=")</f>
        <v>#REF!</v>
      </c>
      <c r="DI381" t="e">
        <f>AND('PROG FORMACIÓN TITULADA'!#REF!,"AAAAAH9313A=")</f>
        <v>#REF!</v>
      </c>
      <c r="DJ381" t="e">
        <f>AND('PROG FORMACIÓN TITULADA'!#REF!,"AAAAAH9313E=")</f>
        <v>#REF!</v>
      </c>
      <c r="DK381" t="e">
        <f>AND('PROG FORMACIÓN TITULADA'!#REF!,"AAAAAH9313I=")</f>
        <v>#REF!</v>
      </c>
      <c r="DL381" t="e">
        <f>AND('PROG FORMACIÓN TITULADA'!#REF!,"AAAAAH9313M=")</f>
        <v>#REF!</v>
      </c>
      <c r="DM381" t="e">
        <f>AND('PROG FORMACIÓN TITULADA'!#REF!,"AAAAAH9313Q=")</f>
        <v>#REF!</v>
      </c>
      <c r="DN381" t="e">
        <f>AND('PROG FORMACIÓN TITULADA'!#REF!,"AAAAAH9313U=")</f>
        <v>#REF!</v>
      </c>
      <c r="DO381" t="e">
        <f>AND('PROG FORMACIÓN TITULADA'!#REF!,"AAAAAH9313Y=")</f>
        <v>#REF!</v>
      </c>
      <c r="DP381" t="e">
        <f>AND('PROG FORMACIÓN TITULADA'!#REF!,"AAAAAH9313c=")</f>
        <v>#REF!</v>
      </c>
      <c r="DQ381" t="e">
        <f>AND('PROG FORMACIÓN TITULADA'!#REF!,"AAAAAH9313g=")</f>
        <v>#REF!</v>
      </c>
      <c r="DR381" t="e">
        <f>AND('PROG FORMACIÓN TITULADA'!#REF!,"AAAAAH9313k=")</f>
        <v>#REF!</v>
      </c>
      <c r="DS381" t="e">
        <f>AND('PROG FORMACIÓN TITULADA'!#REF!,"AAAAAH9313o=")</f>
        <v>#REF!</v>
      </c>
      <c r="DT381" t="e">
        <f>AND('PROG FORMACIÓN TITULADA'!#REF!,"AAAAAH9313s=")</f>
        <v>#REF!</v>
      </c>
      <c r="DU381" t="e">
        <f>IF('PROG FORMACIÓN TITULADA'!#REF!,"AAAAAH9313w=",0)</f>
        <v>#REF!</v>
      </c>
      <c r="DV381" t="e">
        <f>AND('PROG FORMACIÓN TITULADA'!#REF!,"AAAAAH93130=")</f>
        <v>#REF!</v>
      </c>
      <c r="DW381" t="e">
        <f>AND('PROG FORMACIÓN TITULADA'!#REF!,"AAAAAH93134=")</f>
        <v>#REF!</v>
      </c>
      <c r="DX381" t="e">
        <f>AND('PROG FORMACIÓN TITULADA'!#REF!,"AAAAAH93138=")</f>
        <v>#REF!</v>
      </c>
      <c r="DY381" t="e">
        <f>AND('PROG FORMACIÓN TITULADA'!#REF!,"AAAAAH9314A=")</f>
        <v>#REF!</v>
      </c>
      <c r="DZ381" t="e">
        <f>AND('PROG FORMACIÓN TITULADA'!#REF!,"AAAAAH9314E=")</f>
        <v>#REF!</v>
      </c>
      <c r="EA381" t="e">
        <f>AND('PROG FORMACIÓN TITULADA'!#REF!,"AAAAAH9314I=")</f>
        <v>#REF!</v>
      </c>
      <c r="EB381" t="e">
        <f>AND('PROG FORMACIÓN TITULADA'!#REF!,"AAAAAH9314M=")</f>
        <v>#REF!</v>
      </c>
      <c r="EC381" t="e">
        <f>AND('PROG FORMACIÓN TITULADA'!#REF!,"AAAAAH9314Q=")</f>
        <v>#REF!</v>
      </c>
      <c r="ED381" t="e">
        <f>AND('PROG FORMACIÓN TITULADA'!#REF!,"AAAAAH9314U=")</f>
        <v>#REF!</v>
      </c>
      <c r="EE381" t="e">
        <f>AND('PROG FORMACIÓN TITULADA'!#REF!,"AAAAAH9314Y=")</f>
        <v>#REF!</v>
      </c>
      <c r="EF381" t="e">
        <f>AND('PROG FORMACIÓN TITULADA'!#REF!,"AAAAAH9314c=")</f>
        <v>#REF!</v>
      </c>
      <c r="EG381" t="e">
        <f>AND('PROG FORMACIÓN TITULADA'!#REF!,"AAAAAH9314g=")</f>
        <v>#REF!</v>
      </c>
      <c r="EH381" t="e">
        <f>AND('PROG FORMACIÓN TITULADA'!#REF!,"AAAAAH9314k=")</f>
        <v>#REF!</v>
      </c>
      <c r="EI381" t="e">
        <f>AND('PROG FORMACIÓN TITULADA'!#REF!,"AAAAAH9314o=")</f>
        <v>#REF!</v>
      </c>
      <c r="EJ381" t="e">
        <f>AND('PROG FORMACIÓN TITULADA'!#REF!,"AAAAAH9314s=")</f>
        <v>#REF!</v>
      </c>
      <c r="EK381" t="e">
        <f>AND('PROG FORMACIÓN TITULADA'!#REF!,"AAAAAH9314w=")</f>
        <v>#REF!</v>
      </c>
      <c r="EL381" t="e">
        <f>AND('PROG FORMACIÓN TITULADA'!#REF!,"AAAAAH93140=")</f>
        <v>#REF!</v>
      </c>
      <c r="EM381" t="e">
        <f>AND('PROG FORMACIÓN TITULADA'!#REF!,"AAAAAH93144=")</f>
        <v>#REF!</v>
      </c>
      <c r="EN381" t="e">
        <f>AND('PROG FORMACIÓN TITULADA'!#REF!,"AAAAAH93148=")</f>
        <v>#REF!</v>
      </c>
      <c r="EO381" t="e">
        <f>AND('PROG FORMACIÓN TITULADA'!#REF!,"AAAAAH9315A=")</f>
        <v>#REF!</v>
      </c>
      <c r="EP381" t="e">
        <f>AND('PROG FORMACIÓN TITULADA'!#REF!,"AAAAAH9315E=")</f>
        <v>#REF!</v>
      </c>
      <c r="EQ381" t="e">
        <f>AND('PROG FORMACIÓN TITULADA'!#REF!,"AAAAAH9315I=")</f>
        <v>#REF!</v>
      </c>
      <c r="ER381" t="e">
        <f>AND('PROG FORMACIÓN TITULADA'!#REF!,"AAAAAH9315M=")</f>
        <v>#REF!</v>
      </c>
      <c r="ES381" t="e">
        <f>AND('PROG FORMACIÓN TITULADA'!#REF!,"AAAAAH9315Q=")</f>
        <v>#REF!</v>
      </c>
      <c r="ET381" t="e">
        <f>AND('PROG FORMACIÓN TITULADA'!#REF!,"AAAAAH9315U=")</f>
        <v>#REF!</v>
      </c>
      <c r="EU381" t="e">
        <f>AND('PROG FORMACIÓN TITULADA'!#REF!,"AAAAAH9315Y=")</f>
        <v>#REF!</v>
      </c>
      <c r="EV381" t="e">
        <f>IF('PROG FORMACIÓN TITULADA'!#REF!,"AAAAAH9315c=",0)</f>
        <v>#REF!</v>
      </c>
      <c r="EW381" t="e">
        <f>AND('PROG FORMACIÓN TITULADA'!#REF!,"AAAAAH9315g=")</f>
        <v>#REF!</v>
      </c>
      <c r="EX381" t="e">
        <f>AND('PROG FORMACIÓN TITULADA'!#REF!,"AAAAAH9315k=")</f>
        <v>#REF!</v>
      </c>
      <c r="EY381" t="e">
        <f>AND('PROG FORMACIÓN TITULADA'!#REF!,"AAAAAH9315o=")</f>
        <v>#REF!</v>
      </c>
      <c r="EZ381" t="e">
        <f>AND('PROG FORMACIÓN TITULADA'!#REF!,"AAAAAH9315s=")</f>
        <v>#REF!</v>
      </c>
      <c r="FA381" t="e">
        <f>AND('PROG FORMACIÓN TITULADA'!#REF!,"AAAAAH9315w=")</f>
        <v>#REF!</v>
      </c>
      <c r="FB381" t="e">
        <f>AND('PROG FORMACIÓN TITULADA'!#REF!,"AAAAAH93150=")</f>
        <v>#REF!</v>
      </c>
      <c r="FC381" t="e">
        <f>AND('PROG FORMACIÓN TITULADA'!#REF!,"AAAAAH93154=")</f>
        <v>#REF!</v>
      </c>
      <c r="FD381" t="e">
        <f>AND('PROG FORMACIÓN TITULADA'!#REF!,"AAAAAH93158=")</f>
        <v>#REF!</v>
      </c>
      <c r="FE381" t="e">
        <f>AND('PROG FORMACIÓN TITULADA'!#REF!,"AAAAAH9316A=")</f>
        <v>#REF!</v>
      </c>
      <c r="FF381" t="e">
        <f>AND('PROG FORMACIÓN TITULADA'!#REF!,"AAAAAH9316E=")</f>
        <v>#REF!</v>
      </c>
      <c r="FG381" t="e">
        <f>AND('PROG FORMACIÓN TITULADA'!#REF!,"AAAAAH9316I=")</f>
        <v>#REF!</v>
      </c>
      <c r="FH381" t="e">
        <f>AND('PROG FORMACIÓN TITULADA'!#REF!,"AAAAAH9316M=")</f>
        <v>#REF!</v>
      </c>
      <c r="FI381" t="e">
        <f>AND('PROG FORMACIÓN TITULADA'!#REF!,"AAAAAH9316Q=")</f>
        <v>#REF!</v>
      </c>
      <c r="FJ381" t="e">
        <f>AND('PROG FORMACIÓN TITULADA'!#REF!,"AAAAAH9316U=")</f>
        <v>#REF!</v>
      </c>
      <c r="FK381" t="e">
        <f>AND('PROG FORMACIÓN TITULADA'!#REF!,"AAAAAH9316Y=")</f>
        <v>#REF!</v>
      </c>
      <c r="FL381" t="e">
        <f>AND('PROG FORMACIÓN TITULADA'!#REF!,"AAAAAH9316c=")</f>
        <v>#REF!</v>
      </c>
      <c r="FM381" t="e">
        <f>AND('PROG FORMACIÓN TITULADA'!#REF!,"AAAAAH9316g=")</f>
        <v>#REF!</v>
      </c>
      <c r="FN381" t="e">
        <f>AND('PROG FORMACIÓN TITULADA'!#REF!,"AAAAAH9316k=")</f>
        <v>#REF!</v>
      </c>
      <c r="FO381" t="e">
        <f>AND('PROG FORMACIÓN TITULADA'!#REF!,"AAAAAH9316o=")</f>
        <v>#REF!</v>
      </c>
      <c r="FP381" t="e">
        <f>AND('PROG FORMACIÓN TITULADA'!#REF!,"AAAAAH9316s=")</f>
        <v>#REF!</v>
      </c>
      <c r="FQ381" t="e">
        <f>AND('PROG FORMACIÓN TITULADA'!#REF!,"AAAAAH9316w=")</f>
        <v>#REF!</v>
      </c>
      <c r="FR381" t="e">
        <f>AND('PROG FORMACIÓN TITULADA'!#REF!,"AAAAAH93160=")</f>
        <v>#REF!</v>
      </c>
      <c r="FS381" t="e">
        <f>AND('PROG FORMACIÓN TITULADA'!#REF!,"AAAAAH93164=")</f>
        <v>#REF!</v>
      </c>
      <c r="FT381" t="e">
        <f>AND('PROG FORMACIÓN TITULADA'!#REF!,"AAAAAH93168=")</f>
        <v>#REF!</v>
      </c>
      <c r="FU381" t="e">
        <f>AND('PROG FORMACIÓN TITULADA'!#REF!,"AAAAAH9317A=")</f>
        <v>#REF!</v>
      </c>
      <c r="FV381" t="e">
        <f>AND('PROG FORMACIÓN TITULADA'!#REF!,"AAAAAH9317E=")</f>
        <v>#REF!</v>
      </c>
      <c r="FW381" t="e">
        <f>IF('PROG FORMACIÓN TITULADA'!#REF!,"AAAAAH9317I=",0)</f>
        <v>#REF!</v>
      </c>
      <c r="FX381" t="e">
        <f>AND('PROG FORMACIÓN TITULADA'!#REF!,"AAAAAH9317M=")</f>
        <v>#REF!</v>
      </c>
      <c r="FY381" t="e">
        <f>AND('PROG FORMACIÓN TITULADA'!#REF!,"AAAAAH9317Q=")</f>
        <v>#REF!</v>
      </c>
      <c r="FZ381" t="e">
        <f>AND('PROG FORMACIÓN TITULADA'!#REF!,"AAAAAH9317U=")</f>
        <v>#REF!</v>
      </c>
      <c r="GA381" t="e">
        <f>AND('PROG FORMACIÓN TITULADA'!#REF!,"AAAAAH9317Y=")</f>
        <v>#REF!</v>
      </c>
      <c r="GB381" t="e">
        <f>AND('PROG FORMACIÓN TITULADA'!#REF!,"AAAAAH9317c=")</f>
        <v>#REF!</v>
      </c>
      <c r="GC381" t="e">
        <f>AND('PROG FORMACIÓN TITULADA'!#REF!,"AAAAAH9317g=")</f>
        <v>#REF!</v>
      </c>
      <c r="GD381" t="e">
        <f>AND('PROG FORMACIÓN TITULADA'!#REF!,"AAAAAH9317k=")</f>
        <v>#REF!</v>
      </c>
      <c r="GE381" t="e">
        <f>AND('PROG FORMACIÓN TITULADA'!#REF!,"AAAAAH9317o=")</f>
        <v>#REF!</v>
      </c>
      <c r="GF381" t="e">
        <f>AND('PROG FORMACIÓN TITULADA'!#REF!,"AAAAAH9317s=")</f>
        <v>#REF!</v>
      </c>
      <c r="GG381" t="e">
        <f>AND('PROG FORMACIÓN TITULADA'!#REF!,"AAAAAH9317w=")</f>
        <v>#REF!</v>
      </c>
      <c r="GH381" t="e">
        <f>AND('PROG FORMACIÓN TITULADA'!#REF!,"AAAAAH93170=")</f>
        <v>#REF!</v>
      </c>
      <c r="GI381" t="e">
        <f>AND('PROG FORMACIÓN TITULADA'!#REF!,"AAAAAH93174=")</f>
        <v>#REF!</v>
      </c>
      <c r="GJ381" t="e">
        <f>AND('PROG FORMACIÓN TITULADA'!#REF!,"AAAAAH93178=")</f>
        <v>#REF!</v>
      </c>
      <c r="GK381" t="e">
        <f>AND('PROG FORMACIÓN TITULADA'!#REF!,"AAAAAH9318A=")</f>
        <v>#REF!</v>
      </c>
      <c r="GL381" t="e">
        <f>AND('PROG FORMACIÓN TITULADA'!#REF!,"AAAAAH9318E=")</f>
        <v>#REF!</v>
      </c>
      <c r="GM381" t="e">
        <f>AND('PROG FORMACIÓN TITULADA'!#REF!,"AAAAAH9318I=")</f>
        <v>#REF!</v>
      </c>
      <c r="GN381" t="e">
        <f>AND('PROG FORMACIÓN TITULADA'!#REF!,"AAAAAH9318M=")</f>
        <v>#REF!</v>
      </c>
      <c r="GO381" t="e">
        <f>AND('PROG FORMACIÓN TITULADA'!#REF!,"AAAAAH9318Q=")</f>
        <v>#REF!</v>
      </c>
      <c r="GP381" t="e">
        <f>AND('PROG FORMACIÓN TITULADA'!#REF!,"AAAAAH9318U=")</f>
        <v>#REF!</v>
      </c>
      <c r="GQ381" t="e">
        <f>AND('PROG FORMACIÓN TITULADA'!#REF!,"AAAAAH9318Y=")</f>
        <v>#REF!</v>
      </c>
      <c r="GR381" t="e">
        <f>AND('PROG FORMACIÓN TITULADA'!#REF!,"AAAAAH9318c=")</f>
        <v>#REF!</v>
      </c>
      <c r="GS381" t="e">
        <f>AND('PROG FORMACIÓN TITULADA'!#REF!,"AAAAAH9318g=")</f>
        <v>#REF!</v>
      </c>
      <c r="GT381" t="e">
        <f>AND('PROG FORMACIÓN TITULADA'!#REF!,"AAAAAH9318k=")</f>
        <v>#REF!</v>
      </c>
      <c r="GU381" t="e">
        <f>AND('PROG FORMACIÓN TITULADA'!#REF!,"AAAAAH9318o=")</f>
        <v>#REF!</v>
      </c>
      <c r="GV381" t="e">
        <f>AND('PROG FORMACIÓN TITULADA'!#REF!,"AAAAAH9318s=")</f>
        <v>#REF!</v>
      </c>
      <c r="GW381" t="e">
        <f>AND('PROG FORMACIÓN TITULADA'!#REF!,"AAAAAH9318w=")</f>
        <v>#REF!</v>
      </c>
      <c r="GX381" t="e">
        <f>IF('PROG FORMACIÓN TITULADA'!#REF!,"AAAAAH93180=",0)</f>
        <v>#REF!</v>
      </c>
      <c r="GY381" t="e">
        <f>AND('PROG FORMACIÓN TITULADA'!#REF!,"AAAAAH93184=")</f>
        <v>#REF!</v>
      </c>
      <c r="GZ381" t="e">
        <f>AND('PROG FORMACIÓN TITULADA'!#REF!,"AAAAAH93188=")</f>
        <v>#REF!</v>
      </c>
      <c r="HA381" t="e">
        <f>AND('PROG FORMACIÓN TITULADA'!#REF!,"AAAAAH9319A=")</f>
        <v>#REF!</v>
      </c>
      <c r="HB381" t="e">
        <f>AND('PROG FORMACIÓN TITULADA'!#REF!,"AAAAAH9319E=")</f>
        <v>#REF!</v>
      </c>
      <c r="HC381" t="e">
        <f>AND('PROG FORMACIÓN TITULADA'!#REF!,"AAAAAH9319I=")</f>
        <v>#REF!</v>
      </c>
      <c r="HD381" t="e">
        <f>AND('PROG FORMACIÓN TITULADA'!#REF!,"AAAAAH9319M=")</f>
        <v>#REF!</v>
      </c>
      <c r="HE381" t="e">
        <f>AND('PROG FORMACIÓN TITULADA'!#REF!,"AAAAAH9319Q=")</f>
        <v>#REF!</v>
      </c>
      <c r="HF381" t="e">
        <f>AND('PROG FORMACIÓN TITULADA'!#REF!,"AAAAAH9319U=")</f>
        <v>#REF!</v>
      </c>
      <c r="HG381" t="e">
        <f>AND('PROG FORMACIÓN TITULADA'!#REF!,"AAAAAH9319Y=")</f>
        <v>#REF!</v>
      </c>
      <c r="HH381" t="e">
        <f>AND('PROG FORMACIÓN TITULADA'!#REF!,"AAAAAH9319c=")</f>
        <v>#REF!</v>
      </c>
      <c r="HI381" t="e">
        <f>AND('PROG FORMACIÓN TITULADA'!#REF!,"AAAAAH9319g=")</f>
        <v>#REF!</v>
      </c>
      <c r="HJ381" t="e">
        <f>AND('PROG FORMACIÓN TITULADA'!#REF!,"AAAAAH9319k=")</f>
        <v>#REF!</v>
      </c>
      <c r="HK381" t="e">
        <f>AND('PROG FORMACIÓN TITULADA'!#REF!,"AAAAAH9319o=")</f>
        <v>#REF!</v>
      </c>
      <c r="HL381" t="e">
        <f>AND('PROG FORMACIÓN TITULADA'!#REF!,"AAAAAH9319s=")</f>
        <v>#REF!</v>
      </c>
      <c r="HM381" t="e">
        <f>AND('PROG FORMACIÓN TITULADA'!#REF!,"AAAAAH9319w=")</f>
        <v>#REF!</v>
      </c>
      <c r="HN381" t="e">
        <f>AND('PROG FORMACIÓN TITULADA'!#REF!,"AAAAAH93190=")</f>
        <v>#REF!</v>
      </c>
      <c r="HO381" t="e">
        <f>AND('PROG FORMACIÓN TITULADA'!#REF!,"AAAAAH93194=")</f>
        <v>#REF!</v>
      </c>
      <c r="HP381" t="e">
        <f>AND('PROG FORMACIÓN TITULADA'!#REF!,"AAAAAH93198=")</f>
        <v>#REF!</v>
      </c>
      <c r="HQ381" t="e">
        <f>AND('PROG FORMACIÓN TITULADA'!#REF!,"AAAAAH931+A=")</f>
        <v>#REF!</v>
      </c>
      <c r="HR381" t="e">
        <f>AND('PROG FORMACIÓN TITULADA'!#REF!,"AAAAAH931+E=")</f>
        <v>#REF!</v>
      </c>
      <c r="HS381" t="e">
        <f>AND('PROG FORMACIÓN TITULADA'!#REF!,"AAAAAH931+I=")</f>
        <v>#REF!</v>
      </c>
      <c r="HT381" t="e">
        <f>AND('PROG FORMACIÓN TITULADA'!#REF!,"AAAAAH931+M=")</f>
        <v>#REF!</v>
      </c>
      <c r="HU381" t="e">
        <f>AND('PROG FORMACIÓN TITULADA'!#REF!,"AAAAAH931+Q=")</f>
        <v>#REF!</v>
      </c>
      <c r="HV381" t="e">
        <f>AND('PROG FORMACIÓN TITULADA'!#REF!,"AAAAAH931+U=")</f>
        <v>#REF!</v>
      </c>
      <c r="HW381" t="e">
        <f>AND('PROG FORMACIÓN TITULADA'!#REF!,"AAAAAH931+Y=")</f>
        <v>#REF!</v>
      </c>
      <c r="HX381" t="e">
        <f>AND('PROG FORMACIÓN TITULADA'!#REF!,"AAAAAH931+c=")</f>
        <v>#REF!</v>
      </c>
      <c r="HY381" t="e">
        <f>IF('PROG FORMACIÓN TITULADA'!#REF!,"AAAAAH931+g=",0)</f>
        <v>#REF!</v>
      </c>
      <c r="HZ381" t="e">
        <f>AND('PROG FORMACIÓN TITULADA'!#REF!,"AAAAAH931+k=")</f>
        <v>#REF!</v>
      </c>
      <c r="IA381" t="e">
        <f>AND('PROG FORMACIÓN TITULADA'!#REF!,"AAAAAH931+o=")</f>
        <v>#REF!</v>
      </c>
      <c r="IB381" t="e">
        <f>AND('PROG FORMACIÓN TITULADA'!#REF!,"AAAAAH931+s=")</f>
        <v>#REF!</v>
      </c>
      <c r="IC381" t="e">
        <f>AND('PROG FORMACIÓN TITULADA'!#REF!,"AAAAAH931+w=")</f>
        <v>#REF!</v>
      </c>
      <c r="ID381" t="e">
        <f>AND('PROG FORMACIÓN TITULADA'!#REF!,"AAAAAH931+0=")</f>
        <v>#REF!</v>
      </c>
      <c r="IE381" t="e">
        <f>AND('PROG FORMACIÓN TITULADA'!#REF!,"AAAAAH931+4=")</f>
        <v>#REF!</v>
      </c>
      <c r="IF381" t="e">
        <f>AND('PROG FORMACIÓN TITULADA'!#REF!,"AAAAAH931+8=")</f>
        <v>#REF!</v>
      </c>
      <c r="IG381" t="e">
        <f>AND('PROG FORMACIÓN TITULADA'!#REF!,"AAAAAH931/A=")</f>
        <v>#REF!</v>
      </c>
      <c r="IH381" t="e">
        <f>AND('PROG FORMACIÓN TITULADA'!#REF!,"AAAAAH931/E=")</f>
        <v>#REF!</v>
      </c>
      <c r="II381" t="e">
        <f>AND('PROG FORMACIÓN TITULADA'!#REF!,"AAAAAH931/I=")</f>
        <v>#REF!</v>
      </c>
      <c r="IJ381" t="e">
        <f>AND('PROG FORMACIÓN TITULADA'!#REF!,"AAAAAH931/M=")</f>
        <v>#REF!</v>
      </c>
      <c r="IK381" t="e">
        <f>AND('PROG FORMACIÓN TITULADA'!#REF!,"AAAAAH931/Q=")</f>
        <v>#REF!</v>
      </c>
      <c r="IL381" t="e">
        <f>AND('PROG FORMACIÓN TITULADA'!#REF!,"AAAAAH931/U=")</f>
        <v>#REF!</v>
      </c>
      <c r="IM381" t="e">
        <f>AND('PROG FORMACIÓN TITULADA'!#REF!,"AAAAAH931/Y=")</f>
        <v>#REF!</v>
      </c>
      <c r="IN381" t="e">
        <f>AND('PROG FORMACIÓN TITULADA'!#REF!,"AAAAAH931/c=")</f>
        <v>#REF!</v>
      </c>
      <c r="IO381" t="e">
        <f>AND('PROG FORMACIÓN TITULADA'!#REF!,"AAAAAH931/g=")</f>
        <v>#REF!</v>
      </c>
      <c r="IP381" t="e">
        <f>AND('PROG FORMACIÓN TITULADA'!#REF!,"AAAAAH931/k=")</f>
        <v>#REF!</v>
      </c>
      <c r="IQ381" t="e">
        <f>AND('PROG FORMACIÓN TITULADA'!#REF!,"AAAAAH931/o=")</f>
        <v>#REF!</v>
      </c>
      <c r="IR381" t="e">
        <f>AND('PROG FORMACIÓN TITULADA'!#REF!,"AAAAAH931/s=")</f>
        <v>#REF!</v>
      </c>
      <c r="IS381" t="e">
        <f>AND('PROG FORMACIÓN TITULADA'!#REF!,"AAAAAH931/w=")</f>
        <v>#REF!</v>
      </c>
      <c r="IT381" t="e">
        <f>AND('PROG FORMACIÓN TITULADA'!#REF!,"AAAAAH931/0=")</f>
        <v>#REF!</v>
      </c>
      <c r="IU381" t="e">
        <f>AND('PROG FORMACIÓN TITULADA'!#REF!,"AAAAAH931/4=")</f>
        <v>#REF!</v>
      </c>
      <c r="IV381" t="e">
        <f>AND('PROG FORMACIÓN TITULADA'!#REF!,"AAAAAH931/8=")</f>
        <v>#REF!</v>
      </c>
    </row>
    <row r="382" spans="1:256" x14ac:dyDescent="0.2">
      <c r="A382" t="e">
        <f>AND('PROG FORMACIÓN TITULADA'!#REF!,"AAAAAH+pqgA=")</f>
        <v>#REF!</v>
      </c>
      <c r="B382" t="e">
        <f>AND('PROG FORMACIÓN TITULADA'!#REF!,"AAAAAH+pqgE=")</f>
        <v>#REF!</v>
      </c>
      <c r="C382" t="e">
        <f>AND('PROG FORMACIÓN TITULADA'!#REF!,"AAAAAH+pqgI=")</f>
        <v>#REF!</v>
      </c>
      <c r="D382" t="e">
        <f>IF('PROG FORMACIÓN TITULADA'!#REF!,"AAAAAH+pqgM=",0)</f>
        <v>#REF!</v>
      </c>
      <c r="E382" t="e">
        <f>AND('PROG FORMACIÓN TITULADA'!#REF!,"AAAAAH+pqgQ=")</f>
        <v>#REF!</v>
      </c>
      <c r="F382" t="e">
        <f>AND('PROG FORMACIÓN TITULADA'!#REF!,"AAAAAH+pqgU=")</f>
        <v>#REF!</v>
      </c>
      <c r="G382" t="e">
        <f>AND('PROG FORMACIÓN TITULADA'!#REF!,"AAAAAH+pqgY=")</f>
        <v>#REF!</v>
      </c>
      <c r="H382" t="e">
        <f>AND('PROG FORMACIÓN TITULADA'!#REF!,"AAAAAH+pqgc=")</f>
        <v>#REF!</v>
      </c>
      <c r="I382" t="e">
        <f>AND('PROG FORMACIÓN TITULADA'!#REF!,"AAAAAH+pqgg=")</f>
        <v>#REF!</v>
      </c>
      <c r="J382" t="e">
        <f>AND('PROG FORMACIÓN TITULADA'!#REF!,"AAAAAH+pqgk=")</f>
        <v>#REF!</v>
      </c>
      <c r="K382" t="e">
        <f>AND('PROG FORMACIÓN TITULADA'!#REF!,"AAAAAH+pqgo=")</f>
        <v>#REF!</v>
      </c>
      <c r="L382" t="e">
        <f>AND('PROG FORMACIÓN TITULADA'!#REF!,"AAAAAH+pqgs=")</f>
        <v>#REF!</v>
      </c>
      <c r="M382" t="e">
        <f>AND('PROG FORMACIÓN TITULADA'!#REF!,"AAAAAH+pqgw=")</f>
        <v>#REF!</v>
      </c>
      <c r="N382" t="e">
        <f>AND('PROG FORMACIÓN TITULADA'!#REF!,"AAAAAH+pqg0=")</f>
        <v>#REF!</v>
      </c>
      <c r="O382" t="e">
        <f>AND('PROG FORMACIÓN TITULADA'!#REF!,"AAAAAH+pqg4=")</f>
        <v>#REF!</v>
      </c>
      <c r="P382" t="e">
        <f>AND('PROG FORMACIÓN TITULADA'!#REF!,"AAAAAH+pqg8=")</f>
        <v>#REF!</v>
      </c>
      <c r="Q382" t="e">
        <f>AND('PROG FORMACIÓN TITULADA'!#REF!,"AAAAAH+pqhA=")</f>
        <v>#REF!</v>
      </c>
      <c r="R382" t="e">
        <f>AND('PROG FORMACIÓN TITULADA'!#REF!,"AAAAAH+pqhE=")</f>
        <v>#REF!</v>
      </c>
      <c r="S382" t="e">
        <f>AND('PROG FORMACIÓN TITULADA'!#REF!,"AAAAAH+pqhI=")</f>
        <v>#REF!</v>
      </c>
      <c r="T382" t="e">
        <f>AND('PROG FORMACIÓN TITULADA'!#REF!,"AAAAAH+pqhM=")</f>
        <v>#REF!</v>
      </c>
      <c r="U382" t="e">
        <f>AND('PROG FORMACIÓN TITULADA'!#REF!,"AAAAAH+pqhQ=")</f>
        <v>#REF!</v>
      </c>
      <c r="V382" t="e">
        <f>AND('PROG FORMACIÓN TITULADA'!#REF!,"AAAAAH+pqhU=")</f>
        <v>#REF!</v>
      </c>
      <c r="W382" t="e">
        <f>AND('PROG FORMACIÓN TITULADA'!#REF!,"AAAAAH+pqhY=")</f>
        <v>#REF!</v>
      </c>
      <c r="X382" t="e">
        <f>AND('PROG FORMACIÓN TITULADA'!#REF!,"AAAAAH+pqhc=")</f>
        <v>#REF!</v>
      </c>
      <c r="Y382" t="e">
        <f>AND('PROG FORMACIÓN TITULADA'!#REF!,"AAAAAH+pqhg=")</f>
        <v>#REF!</v>
      </c>
      <c r="Z382" t="e">
        <f>AND('PROG FORMACIÓN TITULADA'!#REF!,"AAAAAH+pqhk=")</f>
        <v>#REF!</v>
      </c>
      <c r="AA382" t="e">
        <f>AND('PROG FORMACIÓN TITULADA'!#REF!,"AAAAAH+pqho=")</f>
        <v>#REF!</v>
      </c>
      <c r="AB382" t="e">
        <f>AND('PROG FORMACIÓN TITULADA'!#REF!,"AAAAAH+pqhs=")</f>
        <v>#REF!</v>
      </c>
      <c r="AC382" t="e">
        <f>AND('PROG FORMACIÓN TITULADA'!#REF!,"AAAAAH+pqhw=")</f>
        <v>#REF!</v>
      </c>
      <c r="AD382" t="e">
        <f>AND('PROG FORMACIÓN TITULADA'!#REF!,"AAAAAH+pqh0=")</f>
        <v>#REF!</v>
      </c>
      <c r="AE382" t="e">
        <f>IF('PROG FORMACIÓN TITULADA'!#REF!,"AAAAAH+pqh4=",0)</f>
        <v>#REF!</v>
      </c>
      <c r="AF382" t="e">
        <f>AND('PROG FORMACIÓN TITULADA'!#REF!,"AAAAAH+pqh8=")</f>
        <v>#REF!</v>
      </c>
      <c r="AG382" t="e">
        <f>AND('PROG FORMACIÓN TITULADA'!#REF!,"AAAAAH+pqiA=")</f>
        <v>#REF!</v>
      </c>
      <c r="AH382" t="e">
        <f>AND('PROG FORMACIÓN TITULADA'!#REF!,"AAAAAH+pqiE=")</f>
        <v>#REF!</v>
      </c>
      <c r="AI382" t="e">
        <f>AND('PROG FORMACIÓN TITULADA'!#REF!,"AAAAAH+pqiI=")</f>
        <v>#REF!</v>
      </c>
      <c r="AJ382" t="e">
        <f>AND('PROG FORMACIÓN TITULADA'!#REF!,"AAAAAH+pqiM=")</f>
        <v>#REF!</v>
      </c>
      <c r="AK382" t="e">
        <f>AND('PROG FORMACIÓN TITULADA'!#REF!,"AAAAAH+pqiQ=")</f>
        <v>#REF!</v>
      </c>
      <c r="AL382" t="e">
        <f>AND('PROG FORMACIÓN TITULADA'!#REF!,"AAAAAH+pqiU=")</f>
        <v>#REF!</v>
      </c>
      <c r="AM382" t="e">
        <f>AND('PROG FORMACIÓN TITULADA'!#REF!,"AAAAAH+pqiY=")</f>
        <v>#REF!</v>
      </c>
      <c r="AN382" t="e">
        <f>AND('PROG FORMACIÓN TITULADA'!#REF!,"AAAAAH+pqic=")</f>
        <v>#REF!</v>
      </c>
      <c r="AO382" t="e">
        <f>AND('PROG FORMACIÓN TITULADA'!#REF!,"AAAAAH+pqig=")</f>
        <v>#REF!</v>
      </c>
      <c r="AP382" t="e">
        <f>AND('PROG FORMACIÓN TITULADA'!#REF!,"AAAAAH+pqik=")</f>
        <v>#REF!</v>
      </c>
      <c r="AQ382" t="e">
        <f>AND('PROG FORMACIÓN TITULADA'!#REF!,"AAAAAH+pqio=")</f>
        <v>#REF!</v>
      </c>
      <c r="AR382" t="e">
        <f>AND('PROG FORMACIÓN TITULADA'!#REF!,"AAAAAH+pqis=")</f>
        <v>#REF!</v>
      </c>
      <c r="AS382" t="e">
        <f>AND('PROG FORMACIÓN TITULADA'!#REF!,"AAAAAH+pqiw=")</f>
        <v>#REF!</v>
      </c>
      <c r="AT382" t="e">
        <f>AND('PROG FORMACIÓN TITULADA'!#REF!,"AAAAAH+pqi0=")</f>
        <v>#REF!</v>
      </c>
      <c r="AU382" t="e">
        <f>AND('PROG FORMACIÓN TITULADA'!#REF!,"AAAAAH+pqi4=")</f>
        <v>#REF!</v>
      </c>
      <c r="AV382" t="e">
        <f>AND('PROG FORMACIÓN TITULADA'!#REF!,"AAAAAH+pqi8=")</f>
        <v>#REF!</v>
      </c>
      <c r="AW382" t="e">
        <f>AND('PROG FORMACIÓN TITULADA'!#REF!,"AAAAAH+pqjA=")</f>
        <v>#REF!</v>
      </c>
      <c r="AX382" t="e">
        <f>AND('PROG FORMACIÓN TITULADA'!#REF!,"AAAAAH+pqjE=")</f>
        <v>#REF!</v>
      </c>
      <c r="AY382" t="e">
        <f>AND('PROG FORMACIÓN TITULADA'!#REF!,"AAAAAH+pqjI=")</f>
        <v>#REF!</v>
      </c>
      <c r="AZ382" t="e">
        <f>AND('PROG FORMACIÓN TITULADA'!#REF!,"AAAAAH+pqjM=")</f>
        <v>#REF!</v>
      </c>
      <c r="BA382" t="e">
        <f>AND('PROG FORMACIÓN TITULADA'!#REF!,"AAAAAH+pqjQ=")</f>
        <v>#REF!</v>
      </c>
      <c r="BB382" t="e">
        <f>AND('PROG FORMACIÓN TITULADA'!#REF!,"AAAAAH+pqjU=")</f>
        <v>#REF!</v>
      </c>
      <c r="BC382" t="e">
        <f>AND('PROG FORMACIÓN TITULADA'!#REF!,"AAAAAH+pqjY=")</f>
        <v>#REF!</v>
      </c>
      <c r="BD382" t="e">
        <f>AND('PROG FORMACIÓN TITULADA'!#REF!,"AAAAAH+pqjc=")</f>
        <v>#REF!</v>
      </c>
      <c r="BE382" t="e">
        <f>AND('PROG FORMACIÓN TITULADA'!#REF!,"AAAAAH+pqjg=")</f>
        <v>#REF!</v>
      </c>
      <c r="BF382" t="e">
        <f>IF('PROG FORMACIÓN TITULADA'!#REF!,"AAAAAH+pqjk=",0)</f>
        <v>#REF!</v>
      </c>
      <c r="BG382" t="e">
        <f>AND('PROG FORMACIÓN TITULADA'!#REF!,"AAAAAH+pqjo=")</f>
        <v>#REF!</v>
      </c>
      <c r="BH382" t="e">
        <f>AND('PROG FORMACIÓN TITULADA'!#REF!,"AAAAAH+pqjs=")</f>
        <v>#REF!</v>
      </c>
      <c r="BI382" t="e">
        <f>AND('PROG FORMACIÓN TITULADA'!#REF!,"AAAAAH+pqjw=")</f>
        <v>#REF!</v>
      </c>
      <c r="BJ382" t="e">
        <f>AND('PROG FORMACIÓN TITULADA'!#REF!,"AAAAAH+pqj0=")</f>
        <v>#REF!</v>
      </c>
      <c r="BK382" t="e">
        <f>AND('PROG FORMACIÓN TITULADA'!#REF!,"AAAAAH+pqj4=")</f>
        <v>#REF!</v>
      </c>
      <c r="BL382" t="e">
        <f>AND('PROG FORMACIÓN TITULADA'!#REF!,"AAAAAH+pqj8=")</f>
        <v>#REF!</v>
      </c>
      <c r="BM382" t="e">
        <f>AND('PROG FORMACIÓN TITULADA'!#REF!,"AAAAAH+pqkA=")</f>
        <v>#REF!</v>
      </c>
      <c r="BN382" t="e">
        <f>AND('PROG FORMACIÓN TITULADA'!#REF!,"AAAAAH+pqkE=")</f>
        <v>#REF!</v>
      </c>
      <c r="BO382" t="e">
        <f>AND('PROG FORMACIÓN TITULADA'!#REF!,"AAAAAH+pqkI=")</f>
        <v>#REF!</v>
      </c>
      <c r="BP382" t="e">
        <f>AND('PROG FORMACIÓN TITULADA'!#REF!,"AAAAAH+pqkM=")</f>
        <v>#REF!</v>
      </c>
      <c r="BQ382" t="e">
        <f>AND('PROG FORMACIÓN TITULADA'!#REF!,"AAAAAH+pqkQ=")</f>
        <v>#REF!</v>
      </c>
      <c r="BR382" t="e">
        <f>AND('PROG FORMACIÓN TITULADA'!#REF!,"AAAAAH+pqkU=")</f>
        <v>#REF!</v>
      </c>
      <c r="BS382" t="e">
        <f>AND('PROG FORMACIÓN TITULADA'!#REF!,"AAAAAH+pqkY=")</f>
        <v>#REF!</v>
      </c>
      <c r="BT382" t="e">
        <f>AND('PROG FORMACIÓN TITULADA'!#REF!,"AAAAAH+pqkc=")</f>
        <v>#REF!</v>
      </c>
      <c r="BU382" t="e">
        <f>AND('PROG FORMACIÓN TITULADA'!#REF!,"AAAAAH+pqkg=")</f>
        <v>#REF!</v>
      </c>
      <c r="BV382" t="e">
        <f>AND('PROG FORMACIÓN TITULADA'!#REF!,"AAAAAH+pqkk=")</f>
        <v>#REF!</v>
      </c>
      <c r="BW382" t="e">
        <f>AND('PROG FORMACIÓN TITULADA'!#REF!,"AAAAAH+pqko=")</f>
        <v>#REF!</v>
      </c>
      <c r="BX382" t="e">
        <f>AND('PROG FORMACIÓN TITULADA'!#REF!,"AAAAAH+pqks=")</f>
        <v>#REF!</v>
      </c>
      <c r="BY382" t="e">
        <f>AND('PROG FORMACIÓN TITULADA'!#REF!,"AAAAAH+pqkw=")</f>
        <v>#REF!</v>
      </c>
      <c r="BZ382" t="e">
        <f>AND('PROG FORMACIÓN TITULADA'!#REF!,"AAAAAH+pqk0=")</f>
        <v>#REF!</v>
      </c>
      <c r="CA382" t="e">
        <f>AND('PROG FORMACIÓN TITULADA'!#REF!,"AAAAAH+pqk4=")</f>
        <v>#REF!</v>
      </c>
      <c r="CB382" t="e">
        <f>AND('PROG FORMACIÓN TITULADA'!#REF!,"AAAAAH+pqk8=")</f>
        <v>#REF!</v>
      </c>
      <c r="CC382" t="e">
        <f>AND('PROG FORMACIÓN TITULADA'!#REF!,"AAAAAH+pqlA=")</f>
        <v>#REF!</v>
      </c>
      <c r="CD382" t="e">
        <f>AND('PROG FORMACIÓN TITULADA'!#REF!,"AAAAAH+pqlE=")</f>
        <v>#REF!</v>
      </c>
      <c r="CE382" t="e">
        <f>AND('PROG FORMACIÓN TITULADA'!#REF!,"AAAAAH+pqlI=")</f>
        <v>#REF!</v>
      </c>
      <c r="CF382" t="e">
        <f>AND('PROG FORMACIÓN TITULADA'!#REF!,"AAAAAH+pqlM=")</f>
        <v>#REF!</v>
      </c>
      <c r="CG382" t="e">
        <f>IF('PROG FORMACIÓN TITULADA'!#REF!,"AAAAAH+pqlQ=",0)</f>
        <v>#REF!</v>
      </c>
      <c r="CH382" t="e">
        <f>AND('PROG FORMACIÓN TITULADA'!#REF!,"AAAAAH+pqlU=")</f>
        <v>#REF!</v>
      </c>
      <c r="CI382" t="e">
        <f>AND('PROG FORMACIÓN TITULADA'!#REF!,"AAAAAH+pqlY=")</f>
        <v>#REF!</v>
      </c>
      <c r="CJ382" t="e">
        <f>AND('PROG FORMACIÓN TITULADA'!#REF!,"AAAAAH+pqlc=")</f>
        <v>#REF!</v>
      </c>
      <c r="CK382" t="e">
        <f>AND('PROG FORMACIÓN TITULADA'!#REF!,"AAAAAH+pqlg=")</f>
        <v>#REF!</v>
      </c>
      <c r="CL382" t="e">
        <f>AND('PROG FORMACIÓN TITULADA'!#REF!,"AAAAAH+pqlk=")</f>
        <v>#REF!</v>
      </c>
      <c r="CM382" t="e">
        <f>AND('PROG FORMACIÓN TITULADA'!#REF!,"AAAAAH+pqlo=")</f>
        <v>#REF!</v>
      </c>
      <c r="CN382" t="e">
        <f>AND('PROG FORMACIÓN TITULADA'!#REF!,"AAAAAH+pqls=")</f>
        <v>#REF!</v>
      </c>
      <c r="CO382" t="e">
        <f>AND('PROG FORMACIÓN TITULADA'!#REF!,"AAAAAH+pqlw=")</f>
        <v>#REF!</v>
      </c>
      <c r="CP382" t="e">
        <f>AND('PROG FORMACIÓN TITULADA'!#REF!,"AAAAAH+pql0=")</f>
        <v>#REF!</v>
      </c>
      <c r="CQ382" t="e">
        <f>AND('PROG FORMACIÓN TITULADA'!#REF!,"AAAAAH+pql4=")</f>
        <v>#REF!</v>
      </c>
      <c r="CR382" t="e">
        <f>AND('PROG FORMACIÓN TITULADA'!#REF!,"AAAAAH+pql8=")</f>
        <v>#REF!</v>
      </c>
      <c r="CS382" t="e">
        <f>AND('PROG FORMACIÓN TITULADA'!#REF!,"AAAAAH+pqmA=")</f>
        <v>#REF!</v>
      </c>
      <c r="CT382" t="e">
        <f>AND('PROG FORMACIÓN TITULADA'!#REF!,"AAAAAH+pqmE=")</f>
        <v>#REF!</v>
      </c>
      <c r="CU382" t="e">
        <f>AND('PROG FORMACIÓN TITULADA'!#REF!,"AAAAAH+pqmI=")</f>
        <v>#REF!</v>
      </c>
      <c r="CV382" t="e">
        <f>AND('PROG FORMACIÓN TITULADA'!#REF!,"AAAAAH+pqmM=")</f>
        <v>#REF!</v>
      </c>
      <c r="CW382" t="e">
        <f>AND('PROG FORMACIÓN TITULADA'!#REF!,"AAAAAH+pqmQ=")</f>
        <v>#REF!</v>
      </c>
      <c r="CX382" t="e">
        <f>AND('PROG FORMACIÓN TITULADA'!#REF!,"AAAAAH+pqmU=")</f>
        <v>#REF!</v>
      </c>
      <c r="CY382" t="e">
        <f>AND('PROG FORMACIÓN TITULADA'!#REF!,"AAAAAH+pqmY=")</f>
        <v>#REF!</v>
      </c>
      <c r="CZ382" t="e">
        <f>AND('PROG FORMACIÓN TITULADA'!#REF!,"AAAAAH+pqmc=")</f>
        <v>#REF!</v>
      </c>
      <c r="DA382" t="e">
        <f>AND('PROG FORMACIÓN TITULADA'!#REF!,"AAAAAH+pqmg=")</f>
        <v>#REF!</v>
      </c>
      <c r="DB382" t="e">
        <f>AND('PROG FORMACIÓN TITULADA'!#REF!,"AAAAAH+pqmk=")</f>
        <v>#REF!</v>
      </c>
      <c r="DC382" t="e">
        <f>AND('PROG FORMACIÓN TITULADA'!#REF!,"AAAAAH+pqmo=")</f>
        <v>#REF!</v>
      </c>
      <c r="DD382" t="e">
        <f>AND('PROG FORMACIÓN TITULADA'!#REF!,"AAAAAH+pqms=")</f>
        <v>#REF!</v>
      </c>
      <c r="DE382" t="e">
        <f>AND('PROG FORMACIÓN TITULADA'!#REF!,"AAAAAH+pqmw=")</f>
        <v>#REF!</v>
      </c>
      <c r="DF382" t="e">
        <f>AND('PROG FORMACIÓN TITULADA'!#REF!,"AAAAAH+pqm0=")</f>
        <v>#REF!</v>
      </c>
      <c r="DG382" t="e">
        <f>AND('PROG FORMACIÓN TITULADA'!#REF!,"AAAAAH+pqm4=")</f>
        <v>#REF!</v>
      </c>
      <c r="DH382" t="e">
        <f>IF('PROG FORMACIÓN TITULADA'!#REF!,"AAAAAH+pqm8=",0)</f>
        <v>#REF!</v>
      </c>
      <c r="DI382" t="e">
        <f>AND('PROG FORMACIÓN TITULADA'!#REF!,"AAAAAH+pqnA=")</f>
        <v>#REF!</v>
      </c>
      <c r="DJ382" t="e">
        <f>AND('PROG FORMACIÓN TITULADA'!#REF!,"AAAAAH+pqnE=")</f>
        <v>#REF!</v>
      </c>
      <c r="DK382" t="e">
        <f>AND('PROG FORMACIÓN TITULADA'!#REF!,"AAAAAH+pqnI=")</f>
        <v>#REF!</v>
      </c>
      <c r="DL382" t="e">
        <f>AND('PROG FORMACIÓN TITULADA'!#REF!,"AAAAAH+pqnM=")</f>
        <v>#REF!</v>
      </c>
      <c r="DM382" t="e">
        <f>AND('PROG FORMACIÓN TITULADA'!#REF!,"AAAAAH+pqnQ=")</f>
        <v>#REF!</v>
      </c>
      <c r="DN382" t="e">
        <f>AND('PROG FORMACIÓN TITULADA'!#REF!,"AAAAAH+pqnU=")</f>
        <v>#REF!</v>
      </c>
      <c r="DO382" t="e">
        <f>AND('PROG FORMACIÓN TITULADA'!#REF!,"AAAAAH+pqnY=")</f>
        <v>#REF!</v>
      </c>
      <c r="DP382" t="e">
        <f>AND('PROG FORMACIÓN TITULADA'!#REF!,"AAAAAH+pqnc=")</f>
        <v>#REF!</v>
      </c>
      <c r="DQ382" t="e">
        <f>AND('PROG FORMACIÓN TITULADA'!#REF!,"AAAAAH+pqng=")</f>
        <v>#REF!</v>
      </c>
      <c r="DR382" t="e">
        <f>AND('PROG FORMACIÓN TITULADA'!#REF!,"AAAAAH+pqnk=")</f>
        <v>#REF!</v>
      </c>
      <c r="DS382" t="e">
        <f>AND('PROG FORMACIÓN TITULADA'!#REF!,"AAAAAH+pqno=")</f>
        <v>#REF!</v>
      </c>
      <c r="DT382" t="e">
        <f>AND('PROG FORMACIÓN TITULADA'!#REF!,"AAAAAH+pqns=")</f>
        <v>#REF!</v>
      </c>
      <c r="DU382" t="e">
        <f>AND('PROG FORMACIÓN TITULADA'!#REF!,"AAAAAH+pqnw=")</f>
        <v>#REF!</v>
      </c>
      <c r="DV382" t="e">
        <f>AND('PROG FORMACIÓN TITULADA'!#REF!,"AAAAAH+pqn0=")</f>
        <v>#REF!</v>
      </c>
      <c r="DW382" t="e">
        <f>AND('PROG FORMACIÓN TITULADA'!#REF!,"AAAAAH+pqn4=")</f>
        <v>#REF!</v>
      </c>
      <c r="DX382" t="e">
        <f>AND('PROG FORMACIÓN TITULADA'!#REF!,"AAAAAH+pqn8=")</f>
        <v>#REF!</v>
      </c>
      <c r="DY382" t="e">
        <f>AND('PROG FORMACIÓN TITULADA'!#REF!,"AAAAAH+pqoA=")</f>
        <v>#REF!</v>
      </c>
      <c r="DZ382" t="e">
        <f>AND('PROG FORMACIÓN TITULADA'!#REF!,"AAAAAH+pqoE=")</f>
        <v>#REF!</v>
      </c>
      <c r="EA382" t="e">
        <f>AND('PROG FORMACIÓN TITULADA'!#REF!,"AAAAAH+pqoI=")</f>
        <v>#REF!</v>
      </c>
      <c r="EB382" t="e">
        <f>AND('PROG FORMACIÓN TITULADA'!#REF!,"AAAAAH+pqoM=")</f>
        <v>#REF!</v>
      </c>
      <c r="EC382" t="e">
        <f>AND('PROG FORMACIÓN TITULADA'!#REF!,"AAAAAH+pqoQ=")</f>
        <v>#REF!</v>
      </c>
      <c r="ED382" t="e">
        <f>AND('PROG FORMACIÓN TITULADA'!#REF!,"AAAAAH+pqoU=")</f>
        <v>#REF!</v>
      </c>
      <c r="EE382" t="e">
        <f>AND('PROG FORMACIÓN TITULADA'!#REF!,"AAAAAH+pqoY=")</f>
        <v>#REF!</v>
      </c>
      <c r="EF382" t="e">
        <f>AND('PROG FORMACIÓN TITULADA'!#REF!,"AAAAAH+pqoc=")</f>
        <v>#REF!</v>
      </c>
      <c r="EG382" t="e">
        <f>AND('PROG FORMACIÓN TITULADA'!#REF!,"AAAAAH+pqog=")</f>
        <v>#REF!</v>
      </c>
      <c r="EH382" t="e">
        <f>AND('PROG FORMACIÓN TITULADA'!#REF!,"AAAAAH+pqok=")</f>
        <v>#REF!</v>
      </c>
      <c r="EI382" t="e">
        <f>IF('PROG FORMACIÓN TITULADA'!#REF!,"AAAAAH+pqoo=",0)</f>
        <v>#REF!</v>
      </c>
      <c r="EJ382" t="e">
        <f>AND('PROG FORMACIÓN TITULADA'!#REF!,"AAAAAH+pqos=")</f>
        <v>#REF!</v>
      </c>
      <c r="EK382" t="e">
        <f>AND('PROG FORMACIÓN TITULADA'!#REF!,"AAAAAH+pqow=")</f>
        <v>#REF!</v>
      </c>
      <c r="EL382" t="e">
        <f>AND('PROG FORMACIÓN TITULADA'!#REF!,"AAAAAH+pqo0=")</f>
        <v>#REF!</v>
      </c>
      <c r="EM382" t="e">
        <f>AND('PROG FORMACIÓN TITULADA'!#REF!,"AAAAAH+pqo4=")</f>
        <v>#REF!</v>
      </c>
      <c r="EN382" t="e">
        <f>AND('PROG FORMACIÓN TITULADA'!#REF!,"AAAAAH+pqo8=")</f>
        <v>#REF!</v>
      </c>
      <c r="EO382" t="e">
        <f>AND('PROG FORMACIÓN TITULADA'!#REF!,"AAAAAH+pqpA=")</f>
        <v>#REF!</v>
      </c>
      <c r="EP382" t="e">
        <f>AND('PROG FORMACIÓN TITULADA'!#REF!,"AAAAAH+pqpE=")</f>
        <v>#REF!</v>
      </c>
      <c r="EQ382" t="e">
        <f>AND('PROG FORMACIÓN TITULADA'!#REF!,"AAAAAH+pqpI=")</f>
        <v>#REF!</v>
      </c>
      <c r="ER382" t="e">
        <f>AND('PROG FORMACIÓN TITULADA'!#REF!,"AAAAAH+pqpM=")</f>
        <v>#REF!</v>
      </c>
      <c r="ES382" t="e">
        <f>AND('PROG FORMACIÓN TITULADA'!#REF!,"AAAAAH+pqpQ=")</f>
        <v>#REF!</v>
      </c>
      <c r="ET382" t="e">
        <f>AND('PROG FORMACIÓN TITULADA'!#REF!,"AAAAAH+pqpU=")</f>
        <v>#REF!</v>
      </c>
      <c r="EU382" t="e">
        <f>AND('PROG FORMACIÓN TITULADA'!#REF!,"AAAAAH+pqpY=")</f>
        <v>#REF!</v>
      </c>
      <c r="EV382" t="e">
        <f>AND('PROG FORMACIÓN TITULADA'!#REF!,"AAAAAH+pqpc=")</f>
        <v>#REF!</v>
      </c>
      <c r="EW382" t="e">
        <f>AND('PROG FORMACIÓN TITULADA'!#REF!,"AAAAAH+pqpg=")</f>
        <v>#REF!</v>
      </c>
      <c r="EX382" t="e">
        <f>AND('PROG FORMACIÓN TITULADA'!#REF!,"AAAAAH+pqpk=")</f>
        <v>#REF!</v>
      </c>
      <c r="EY382" t="e">
        <f>AND('PROG FORMACIÓN TITULADA'!#REF!,"AAAAAH+pqpo=")</f>
        <v>#REF!</v>
      </c>
      <c r="EZ382" t="e">
        <f>AND('PROG FORMACIÓN TITULADA'!#REF!,"AAAAAH+pqps=")</f>
        <v>#REF!</v>
      </c>
      <c r="FA382" t="e">
        <f>AND('PROG FORMACIÓN TITULADA'!#REF!,"AAAAAH+pqpw=")</f>
        <v>#REF!</v>
      </c>
      <c r="FB382" t="e">
        <f>AND('PROG FORMACIÓN TITULADA'!#REF!,"AAAAAH+pqp0=")</f>
        <v>#REF!</v>
      </c>
      <c r="FC382" t="e">
        <f>AND('PROG FORMACIÓN TITULADA'!#REF!,"AAAAAH+pqp4=")</f>
        <v>#REF!</v>
      </c>
      <c r="FD382" t="e">
        <f>AND('PROG FORMACIÓN TITULADA'!#REF!,"AAAAAH+pqp8=")</f>
        <v>#REF!</v>
      </c>
      <c r="FE382" t="e">
        <f>AND('PROG FORMACIÓN TITULADA'!#REF!,"AAAAAH+pqqA=")</f>
        <v>#REF!</v>
      </c>
      <c r="FF382" t="e">
        <f>AND('PROG FORMACIÓN TITULADA'!#REF!,"AAAAAH+pqqE=")</f>
        <v>#REF!</v>
      </c>
      <c r="FG382" t="e">
        <f>AND('PROG FORMACIÓN TITULADA'!#REF!,"AAAAAH+pqqI=")</f>
        <v>#REF!</v>
      </c>
      <c r="FH382" t="e">
        <f>AND('PROG FORMACIÓN TITULADA'!#REF!,"AAAAAH+pqqM=")</f>
        <v>#REF!</v>
      </c>
      <c r="FI382" t="e">
        <f>AND('PROG FORMACIÓN TITULADA'!#REF!,"AAAAAH+pqqQ=")</f>
        <v>#REF!</v>
      </c>
      <c r="FJ382" t="e">
        <f>IF('PROG FORMACIÓN TITULADA'!#REF!,"AAAAAH+pqqU=",0)</f>
        <v>#REF!</v>
      </c>
      <c r="FK382" t="e">
        <f>AND('PROG FORMACIÓN TITULADA'!#REF!,"AAAAAH+pqqY=")</f>
        <v>#REF!</v>
      </c>
      <c r="FL382" t="e">
        <f>AND('PROG FORMACIÓN TITULADA'!#REF!,"AAAAAH+pqqc=")</f>
        <v>#REF!</v>
      </c>
      <c r="FM382" t="e">
        <f>AND('PROG FORMACIÓN TITULADA'!#REF!,"AAAAAH+pqqg=")</f>
        <v>#REF!</v>
      </c>
      <c r="FN382" t="e">
        <f>AND('PROG FORMACIÓN TITULADA'!#REF!,"AAAAAH+pqqk=")</f>
        <v>#REF!</v>
      </c>
      <c r="FO382" t="e">
        <f>AND('PROG FORMACIÓN TITULADA'!#REF!,"AAAAAH+pqqo=")</f>
        <v>#REF!</v>
      </c>
      <c r="FP382" t="e">
        <f>AND('PROG FORMACIÓN TITULADA'!#REF!,"AAAAAH+pqqs=")</f>
        <v>#REF!</v>
      </c>
      <c r="FQ382" t="e">
        <f>AND('PROG FORMACIÓN TITULADA'!#REF!,"AAAAAH+pqqw=")</f>
        <v>#REF!</v>
      </c>
      <c r="FR382" t="e">
        <f>AND('PROG FORMACIÓN TITULADA'!#REF!,"AAAAAH+pqq0=")</f>
        <v>#REF!</v>
      </c>
      <c r="FS382" t="e">
        <f>AND('PROG FORMACIÓN TITULADA'!#REF!,"AAAAAH+pqq4=")</f>
        <v>#REF!</v>
      </c>
      <c r="FT382" t="e">
        <f>AND('PROG FORMACIÓN TITULADA'!#REF!,"AAAAAH+pqq8=")</f>
        <v>#REF!</v>
      </c>
      <c r="FU382" t="e">
        <f>AND('PROG FORMACIÓN TITULADA'!#REF!,"AAAAAH+pqrA=")</f>
        <v>#REF!</v>
      </c>
      <c r="FV382" t="e">
        <f>AND('PROG FORMACIÓN TITULADA'!#REF!,"AAAAAH+pqrE=")</f>
        <v>#REF!</v>
      </c>
      <c r="FW382" t="e">
        <f>AND('PROG FORMACIÓN TITULADA'!#REF!,"AAAAAH+pqrI=")</f>
        <v>#REF!</v>
      </c>
      <c r="FX382" t="e">
        <f>AND('PROG FORMACIÓN TITULADA'!#REF!,"AAAAAH+pqrM=")</f>
        <v>#REF!</v>
      </c>
      <c r="FY382" t="e">
        <f>AND('PROG FORMACIÓN TITULADA'!#REF!,"AAAAAH+pqrQ=")</f>
        <v>#REF!</v>
      </c>
      <c r="FZ382" t="e">
        <f>AND('PROG FORMACIÓN TITULADA'!#REF!,"AAAAAH+pqrU=")</f>
        <v>#REF!</v>
      </c>
      <c r="GA382" t="e">
        <f>AND('PROG FORMACIÓN TITULADA'!#REF!,"AAAAAH+pqrY=")</f>
        <v>#REF!</v>
      </c>
      <c r="GB382" t="e">
        <f>AND('PROG FORMACIÓN TITULADA'!#REF!,"AAAAAH+pqrc=")</f>
        <v>#REF!</v>
      </c>
      <c r="GC382" t="e">
        <f>AND('PROG FORMACIÓN TITULADA'!#REF!,"AAAAAH+pqrg=")</f>
        <v>#REF!</v>
      </c>
      <c r="GD382" t="e">
        <f>AND('PROG FORMACIÓN TITULADA'!#REF!,"AAAAAH+pqrk=")</f>
        <v>#REF!</v>
      </c>
      <c r="GE382" t="e">
        <f>AND('PROG FORMACIÓN TITULADA'!#REF!,"AAAAAH+pqro=")</f>
        <v>#REF!</v>
      </c>
      <c r="GF382" t="e">
        <f>AND('PROG FORMACIÓN TITULADA'!#REF!,"AAAAAH+pqrs=")</f>
        <v>#REF!</v>
      </c>
      <c r="GG382" t="e">
        <f>AND('PROG FORMACIÓN TITULADA'!#REF!,"AAAAAH+pqrw=")</f>
        <v>#REF!</v>
      </c>
      <c r="GH382" t="e">
        <f>AND('PROG FORMACIÓN TITULADA'!#REF!,"AAAAAH+pqr0=")</f>
        <v>#REF!</v>
      </c>
      <c r="GI382" t="e">
        <f>AND('PROG FORMACIÓN TITULADA'!#REF!,"AAAAAH+pqr4=")</f>
        <v>#REF!</v>
      </c>
      <c r="GJ382" t="e">
        <f>AND('PROG FORMACIÓN TITULADA'!#REF!,"AAAAAH+pqr8=")</f>
        <v>#REF!</v>
      </c>
      <c r="GK382" t="e">
        <f>IF('PROG FORMACIÓN TITULADA'!#REF!,"AAAAAH+pqsA=",0)</f>
        <v>#REF!</v>
      </c>
      <c r="GL382" t="e">
        <f>AND('PROG FORMACIÓN TITULADA'!#REF!,"AAAAAH+pqsE=")</f>
        <v>#REF!</v>
      </c>
      <c r="GM382" t="e">
        <f>AND('PROG FORMACIÓN TITULADA'!#REF!,"AAAAAH+pqsI=")</f>
        <v>#REF!</v>
      </c>
      <c r="GN382" t="e">
        <f>AND('PROG FORMACIÓN TITULADA'!#REF!,"AAAAAH+pqsM=")</f>
        <v>#REF!</v>
      </c>
      <c r="GO382" t="e">
        <f>AND('PROG FORMACIÓN TITULADA'!#REF!,"AAAAAH+pqsQ=")</f>
        <v>#REF!</v>
      </c>
      <c r="GP382" t="e">
        <f>AND('PROG FORMACIÓN TITULADA'!#REF!,"AAAAAH+pqsU=")</f>
        <v>#REF!</v>
      </c>
      <c r="GQ382" t="e">
        <f>AND('PROG FORMACIÓN TITULADA'!#REF!,"AAAAAH+pqsY=")</f>
        <v>#REF!</v>
      </c>
      <c r="GR382" t="e">
        <f>AND('PROG FORMACIÓN TITULADA'!#REF!,"AAAAAH+pqsc=")</f>
        <v>#REF!</v>
      </c>
      <c r="GS382" t="e">
        <f>AND('PROG FORMACIÓN TITULADA'!#REF!,"AAAAAH+pqsg=")</f>
        <v>#REF!</v>
      </c>
      <c r="GT382" t="e">
        <f>AND('PROG FORMACIÓN TITULADA'!#REF!,"AAAAAH+pqsk=")</f>
        <v>#REF!</v>
      </c>
      <c r="GU382" t="e">
        <f>AND('PROG FORMACIÓN TITULADA'!#REF!,"AAAAAH+pqso=")</f>
        <v>#REF!</v>
      </c>
      <c r="GV382" t="e">
        <f>AND('PROG FORMACIÓN TITULADA'!#REF!,"AAAAAH+pqss=")</f>
        <v>#REF!</v>
      </c>
      <c r="GW382" t="e">
        <f>AND('PROG FORMACIÓN TITULADA'!#REF!,"AAAAAH+pqsw=")</f>
        <v>#REF!</v>
      </c>
      <c r="GX382" t="e">
        <f>AND('PROG FORMACIÓN TITULADA'!#REF!,"AAAAAH+pqs0=")</f>
        <v>#REF!</v>
      </c>
      <c r="GY382" t="e">
        <f>AND('PROG FORMACIÓN TITULADA'!#REF!,"AAAAAH+pqs4=")</f>
        <v>#REF!</v>
      </c>
      <c r="GZ382" t="e">
        <f>AND('PROG FORMACIÓN TITULADA'!#REF!,"AAAAAH+pqs8=")</f>
        <v>#REF!</v>
      </c>
      <c r="HA382" t="e">
        <f>AND('PROG FORMACIÓN TITULADA'!#REF!,"AAAAAH+pqtA=")</f>
        <v>#REF!</v>
      </c>
      <c r="HB382" t="e">
        <f>AND('PROG FORMACIÓN TITULADA'!#REF!,"AAAAAH+pqtE=")</f>
        <v>#REF!</v>
      </c>
      <c r="HC382" t="e">
        <f>AND('PROG FORMACIÓN TITULADA'!#REF!,"AAAAAH+pqtI=")</f>
        <v>#REF!</v>
      </c>
      <c r="HD382" t="e">
        <f>AND('PROG FORMACIÓN TITULADA'!#REF!,"AAAAAH+pqtM=")</f>
        <v>#REF!</v>
      </c>
      <c r="HE382" t="e">
        <f>AND('PROG FORMACIÓN TITULADA'!#REF!,"AAAAAH+pqtQ=")</f>
        <v>#REF!</v>
      </c>
      <c r="HF382" t="e">
        <f>AND('PROG FORMACIÓN TITULADA'!#REF!,"AAAAAH+pqtU=")</f>
        <v>#REF!</v>
      </c>
      <c r="HG382" t="e">
        <f>AND('PROG FORMACIÓN TITULADA'!#REF!,"AAAAAH+pqtY=")</f>
        <v>#REF!</v>
      </c>
      <c r="HH382" t="e">
        <f>AND('PROG FORMACIÓN TITULADA'!#REF!,"AAAAAH+pqtc=")</f>
        <v>#REF!</v>
      </c>
      <c r="HI382" t="e">
        <f>AND('PROG FORMACIÓN TITULADA'!#REF!,"AAAAAH+pqtg=")</f>
        <v>#REF!</v>
      </c>
      <c r="HJ382" t="e">
        <f>AND('PROG FORMACIÓN TITULADA'!#REF!,"AAAAAH+pqtk=")</f>
        <v>#REF!</v>
      </c>
      <c r="HK382" t="e">
        <f>AND('PROG FORMACIÓN TITULADA'!#REF!,"AAAAAH+pqto=")</f>
        <v>#REF!</v>
      </c>
      <c r="HL382" t="e">
        <f>IF('PROG FORMACIÓN TITULADA'!#REF!,"AAAAAH+pqts=",0)</f>
        <v>#REF!</v>
      </c>
      <c r="HM382" t="e">
        <f>AND('PROG FORMACIÓN TITULADA'!#REF!,"AAAAAH+pqtw=")</f>
        <v>#REF!</v>
      </c>
      <c r="HN382" t="e">
        <f>AND('PROG FORMACIÓN TITULADA'!#REF!,"AAAAAH+pqt0=")</f>
        <v>#REF!</v>
      </c>
      <c r="HO382" t="e">
        <f>AND('PROG FORMACIÓN TITULADA'!#REF!,"AAAAAH+pqt4=")</f>
        <v>#REF!</v>
      </c>
      <c r="HP382" t="e">
        <f>AND('PROG FORMACIÓN TITULADA'!#REF!,"AAAAAH+pqt8=")</f>
        <v>#REF!</v>
      </c>
      <c r="HQ382" t="e">
        <f>AND('PROG FORMACIÓN TITULADA'!#REF!,"AAAAAH+pquA=")</f>
        <v>#REF!</v>
      </c>
      <c r="HR382" t="e">
        <f>AND('PROG FORMACIÓN TITULADA'!#REF!,"AAAAAH+pquE=")</f>
        <v>#REF!</v>
      </c>
      <c r="HS382" t="e">
        <f>AND('PROG FORMACIÓN TITULADA'!#REF!,"AAAAAH+pquI=")</f>
        <v>#REF!</v>
      </c>
      <c r="HT382" t="e">
        <f>AND('PROG FORMACIÓN TITULADA'!#REF!,"AAAAAH+pquM=")</f>
        <v>#REF!</v>
      </c>
      <c r="HU382" t="e">
        <f>AND('PROG FORMACIÓN TITULADA'!#REF!,"AAAAAH+pquQ=")</f>
        <v>#REF!</v>
      </c>
      <c r="HV382" t="e">
        <f>AND('PROG FORMACIÓN TITULADA'!#REF!,"AAAAAH+pquU=")</f>
        <v>#REF!</v>
      </c>
      <c r="HW382" t="e">
        <f>AND('PROG FORMACIÓN TITULADA'!#REF!,"AAAAAH+pquY=")</f>
        <v>#REF!</v>
      </c>
      <c r="HX382" t="e">
        <f>AND('PROG FORMACIÓN TITULADA'!#REF!,"AAAAAH+pquc=")</f>
        <v>#REF!</v>
      </c>
      <c r="HY382" t="e">
        <f>AND('PROG FORMACIÓN TITULADA'!#REF!,"AAAAAH+pqug=")</f>
        <v>#REF!</v>
      </c>
      <c r="HZ382" t="e">
        <f>AND('PROG FORMACIÓN TITULADA'!#REF!,"AAAAAH+pquk=")</f>
        <v>#REF!</v>
      </c>
      <c r="IA382" t="e">
        <f>AND('PROG FORMACIÓN TITULADA'!#REF!,"AAAAAH+pquo=")</f>
        <v>#REF!</v>
      </c>
      <c r="IB382" t="e">
        <f>AND('PROG FORMACIÓN TITULADA'!#REF!,"AAAAAH+pqus=")</f>
        <v>#REF!</v>
      </c>
      <c r="IC382" t="e">
        <f>AND('PROG FORMACIÓN TITULADA'!#REF!,"AAAAAH+pquw=")</f>
        <v>#REF!</v>
      </c>
      <c r="ID382" t="e">
        <f>AND('PROG FORMACIÓN TITULADA'!#REF!,"AAAAAH+pqu0=")</f>
        <v>#REF!</v>
      </c>
      <c r="IE382" t="e">
        <f>AND('PROG FORMACIÓN TITULADA'!#REF!,"AAAAAH+pqu4=")</f>
        <v>#REF!</v>
      </c>
      <c r="IF382" t="e">
        <f>AND('PROG FORMACIÓN TITULADA'!#REF!,"AAAAAH+pqu8=")</f>
        <v>#REF!</v>
      </c>
      <c r="IG382" t="e">
        <f>AND('PROG FORMACIÓN TITULADA'!#REF!,"AAAAAH+pqvA=")</f>
        <v>#REF!</v>
      </c>
      <c r="IH382" t="e">
        <f>AND('PROG FORMACIÓN TITULADA'!#REF!,"AAAAAH+pqvE=")</f>
        <v>#REF!</v>
      </c>
      <c r="II382" t="e">
        <f>AND('PROG FORMACIÓN TITULADA'!#REF!,"AAAAAH+pqvI=")</f>
        <v>#REF!</v>
      </c>
      <c r="IJ382" t="e">
        <f>AND('PROG FORMACIÓN TITULADA'!#REF!,"AAAAAH+pqvM=")</f>
        <v>#REF!</v>
      </c>
      <c r="IK382" t="e">
        <f>AND('PROG FORMACIÓN TITULADA'!#REF!,"AAAAAH+pqvQ=")</f>
        <v>#REF!</v>
      </c>
      <c r="IL382" t="e">
        <f>AND('PROG FORMACIÓN TITULADA'!#REF!,"AAAAAH+pqvU=")</f>
        <v>#REF!</v>
      </c>
      <c r="IM382" t="e">
        <f>IF('PROG FORMACIÓN TITULADA'!#REF!,"AAAAAH+pqvY=",0)</f>
        <v>#REF!</v>
      </c>
      <c r="IN382" t="e">
        <f>AND('PROG FORMACIÓN TITULADA'!#REF!,"AAAAAH+pqvc=")</f>
        <v>#REF!</v>
      </c>
      <c r="IO382" t="e">
        <f>AND('PROG FORMACIÓN TITULADA'!#REF!,"AAAAAH+pqvg=")</f>
        <v>#REF!</v>
      </c>
      <c r="IP382" t="e">
        <f>AND('PROG FORMACIÓN TITULADA'!#REF!,"AAAAAH+pqvk=")</f>
        <v>#REF!</v>
      </c>
      <c r="IQ382" t="e">
        <f>AND('PROG FORMACIÓN TITULADA'!#REF!,"AAAAAH+pqvo=")</f>
        <v>#REF!</v>
      </c>
      <c r="IR382" t="e">
        <f>AND('PROG FORMACIÓN TITULADA'!#REF!,"AAAAAH+pqvs=")</f>
        <v>#REF!</v>
      </c>
      <c r="IS382" t="e">
        <f>AND('PROG FORMACIÓN TITULADA'!#REF!,"AAAAAH+pqvw=")</f>
        <v>#REF!</v>
      </c>
      <c r="IT382" t="e">
        <f>AND('PROG FORMACIÓN TITULADA'!#REF!,"AAAAAH+pqv0=")</f>
        <v>#REF!</v>
      </c>
      <c r="IU382" t="e">
        <f>AND('PROG FORMACIÓN TITULADA'!#REF!,"AAAAAH+pqv4=")</f>
        <v>#REF!</v>
      </c>
      <c r="IV382" t="e">
        <f>AND('PROG FORMACIÓN TITULADA'!#REF!,"AAAAAH+pqv8=")</f>
        <v>#REF!</v>
      </c>
    </row>
    <row r="383" spans="1:256" x14ac:dyDescent="0.2">
      <c r="A383" t="e">
        <f>AND('PROG FORMACIÓN TITULADA'!#REF!,"AAAAAFN/vwA=")</f>
        <v>#REF!</v>
      </c>
      <c r="B383" t="e">
        <f>AND('PROG FORMACIÓN TITULADA'!#REF!,"AAAAAFN/vwE=")</f>
        <v>#REF!</v>
      </c>
      <c r="C383" t="e">
        <f>AND('PROG FORMACIÓN TITULADA'!#REF!,"AAAAAFN/vwI=")</f>
        <v>#REF!</v>
      </c>
      <c r="D383" t="e">
        <f>AND('PROG FORMACIÓN TITULADA'!#REF!,"AAAAAFN/vwM=")</f>
        <v>#REF!</v>
      </c>
      <c r="E383" t="e">
        <f>AND('PROG FORMACIÓN TITULADA'!#REF!,"AAAAAFN/vwQ=")</f>
        <v>#REF!</v>
      </c>
      <c r="F383" t="e">
        <f>AND('PROG FORMACIÓN TITULADA'!#REF!,"AAAAAFN/vwU=")</f>
        <v>#REF!</v>
      </c>
      <c r="G383" t="e">
        <f>AND('PROG FORMACIÓN TITULADA'!#REF!,"AAAAAFN/vwY=")</f>
        <v>#REF!</v>
      </c>
      <c r="H383" t="e">
        <f>AND('PROG FORMACIÓN TITULADA'!#REF!,"AAAAAFN/vwc=")</f>
        <v>#REF!</v>
      </c>
      <c r="I383" t="e">
        <f>AND('PROG FORMACIÓN TITULADA'!#REF!,"AAAAAFN/vwg=")</f>
        <v>#REF!</v>
      </c>
      <c r="J383" t="e">
        <f>AND('PROG FORMACIÓN TITULADA'!#REF!,"AAAAAFN/vwk=")</f>
        <v>#REF!</v>
      </c>
      <c r="K383" t="e">
        <f>AND('PROG FORMACIÓN TITULADA'!#REF!,"AAAAAFN/vwo=")</f>
        <v>#REF!</v>
      </c>
      <c r="L383" t="e">
        <f>AND('PROG FORMACIÓN TITULADA'!#REF!,"AAAAAFN/vws=")</f>
        <v>#REF!</v>
      </c>
      <c r="M383" t="e">
        <f>AND('PROG FORMACIÓN TITULADA'!#REF!,"AAAAAFN/vww=")</f>
        <v>#REF!</v>
      </c>
      <c r="N383" t="e">
        <f>AND('PROG FORMACIÓN TITULADA'!#REF!,"AAAAAFN/vw0=")</f>
        <v>#REF!</v>
      </c>
      <c r="O383" t="e">
        <f>AND('PROG FORMACIÓN TITULADA'!#REF!,"AAAAAFN/vw4=")</f>
        <v>#REF!</v>
      </c>
      <c r="P383" t="e">
        <f>AND('PROG FORMACIÓN TITULADA'!#REF!,"AAAAAFN/vw8=")</f>
        <v>#REF!</v>
      </c>
      <c r="Q383" t="e">
        <f>AND('PROG FORMACIÓN TITULADA'!#REF!,"AAAAAFN/vxA=")</f>
        <v>#REF!</v>
      </c>
      <c r="R383" t="e">
        <f>IF('PROG FORMACIÓN TITULADA'!#REF!,"AAAAAFN/vxE=",0)</f>
        <v>#REF!</v>
      </c>
      <c r="S383" t="e">
        <f>AND('PROG FORMACIÓN TITULADA'!#REF!,"AAAAAFN/vxI=")</f>
        <v>#REF!</v>
      </c>
      <c r="T383" t="e">
        <f>AND('PROG FORMACIÓN TITULADA'!#REF!,"AAAAAFN/vxM=")</f>
        <v>#REF!</v>
      </c>
      <c r="U383" t="e">
        <f>AND('PROG FORMACIÓN TITULADA'!#REF!,"AAAAAFN/vxQ=")</f>
        <v>#REF!</v>
      </c>
      <c r="V383" t="e">
        <f>AND('PROG FORMACIÓN TITULADA'!#REF!,"AAAAAFN/vxU=")</f>
        <v>#REF!</v>
      </c>
      <c r="W383" t="e">
        <f>AND('PROG FORMACIÓN TITULADA'!#REF!,"AAAAAFN/vxY=")</f>
        <v>#REF!</v>
      </c>
      <c r="X383" t="e">
        <f>AND('PROG FORMACIÓN TITULADA'!#REF!,"AAAAAFN/vxc=")</f>
        <v>#REF!</v>
      </c>
      <c r="Y383" t="e">
        <f>AND('PROG FORMACIÓN TITULADA'!#REF!,"AAAAAFN/vxg=")</f>
        <v>#REF!</v>
      </c>
      <c r="Z383" t="e">
        <f>AND('PROG FORMACIÓN TITULADA'!#REF!,"AAAAAFN/vxk=")</f>
        <v>#REF!</v>
      </c>
      <c r="AA383" t="e">
        <f>AND('PROG FORMACIÓN TITULADA'!#REF!,"AAAAAFN/vxo=")</f>
        <v>#REF!</v>
      </c>
      <c r="AB383" t="e">
        <f>AND('PROG FORMACIÓN TITULADA'!#REF!,"AAAAAFN/vxs=")</f>
        <v>#REF!</v>
      </c>
      <c r="AC383" t="e">
        <f>AND('PROG FORMACIÓN TITULADA'!#REF!,"AAAAAFN/vxw=")</f>
        <v>#REF!</v>
      </c>
      <c r="AD383" t="e">
        <f>AND('PROG FORMACIÓN TITULADA'!#REF!,"AAAAAFN/vx0=")</f>
        <v>#REF!</v>
      </c>
      <c r="AE383" t="e">
        <f>AND('PROG FORMACIÓN TITULADA'!#REF!,"AAAAAFN/vx4=")</f>
        <v>#REF!</v>
      </c>
      <c r="AF383" t="e">
        <f>AND('PROG FORMACIÓN TITULADA'!#REF!,"AAAAAFN/vx8=")</f>
        <v>#REF!</v>
      </c>
      <c r="AG383" t="e">
        <f>AND('PROG FORMACIÓN TITULADA'!#REF!,"AAAAAFN/vyA=")</f>
        <v>#REF!</v>
      </c>
      <c r="AH383" t="e">
        <f>AND('PROG FORMACIÓN TITULADA'!#REF!,"AAAAAFN/vyE=")</f>
        <v>#REF!</v>
      </c>
      <c r="AI383" t="e">
        <f>AND('PROG FORMACIÓN TITULADA'!#REF!,"AAAAAFN/vyI=")</f>
        <v>#REF!</v>
      </c>
      <c r="AJ383" t="e">
        <f>AND('PROG FORMACIÓN TITULADA'!#REF!,"AAAAAFN/vyM=")</f>
        <v>#REF!</v>
      </c>
      <c r="AK383" t="e">
        <f>AND('PROG FORMACIÓN TITULADA'!#REF!,"AAAAAFN/vyQ=")</f>
        <v>#REF!</v>
      </c>
      <c r="AL383" t="e">
        <f>AND('PROG FORMACIÓN TITULADA'!#REF!,"AAAAAFN/vyU=")</f>
        <v>#REF!</v>
      </c>
      <c r="AM383" t="e">
        <f>AND('PROG FORMACIÓN TITULADA'!#REF!,"AAAAAFN/vyY=")</f>
        <v>#REF!</v>
      </c>
      <c r="AN383" t="e">
        <f>AND('PROG FORMACIÓN TITULADA'!#REF!,"AAAAAFN/vyc=")</f>
        <v>#REF!</v>
      </c>
      <c r="AO383" t="e">
        <f>AND('PROG FORMACIÓN TITULADA'!#REF!,"AAAAAFN/vyg=")</f>
        <v>#REF!</v>
      </c>
      <c r="AP383" t="e">
        <f>AND('PROG FORMACIÓN TITULADA'!#REF!,"AAAAAFN/vyk=")</f>
        <v>#REF!</v>
      </c>
      <c r="AQ383" t="e">
        <f>AND('PROG FORMACIÓN TITULADA'!#REF!,"AAAAAFN/vyo=")</f>
        <v>#REF!</v>
      </c>
      <c r="AR383" t="e">
        <f>AND('PROG FORMACIÓN TITULADA'!#REF!,"AAAAAFN/vys=")</f>
        <v>#REF!</v>
      </c>
      <c r="AS383" t="e">
        <f>IF('PROG FORMACIÓN TITULADA'!#REF!,"AAAAAFN/vyw=",0)</f>
        <v>#REF!</v>
      </c>
      <c r="AT383" t="e">
        <f>AND('PROG FORMACIÓN TITULADA'!#REF!,"AAAAAFN/vy0=")</f>
        <v>#REF!</v>
      </c>
      <c r="AU383" t="e">
        <f>AND('PROG FORMACIÓN TITULADA'!#REF!,"AAAAAFN/vy4=")</f>
        <v>#REF!</v>
      </c>
      <c r="AV383" t="e">
        <f>AND('PROG FORMACIÓN TITULADA'!#REF!,"AAAAAFN/vy8=")</f>
        <v>#REF!</v>
      </c>
      <c r="AW383" t="e">
        <f>AND('PROG FORMACIÓN TITULADA'!#REF!,"AAAAAFN/vzA=")</f>
        <v>#REF!</v>
      </c>
      <c r="AX383" t="e">
        <f>AND('PROG FORMACIÓN TITULADA'!#REF!,"AAAAAFN/vzE=")</f>
        <v>#REF!</v>
      </c>
      <c r="AY383" t="e">
        <f>AND('PROG FORMACIÓN TITULADA'!#REF!,"AAAAAFN/vzI=")</f>
        <v>#REF!</v>
      </c>
      <c r="AZ383" t="e">
        <f>AND('PROG FORMACIÓN TITULADA'!#REF!,"AAAAAFN/vzM=")</f>
        <v>#REF!</v>
      </c>
      <c r="BA383" t="e">
        <f>AND('PROG FORMACIÓN TITULADA'!#REF!,"AAAAAFN/vzQ=")</f>
        <v>#REF!</v>
      </c>
      <c r="BB383" t="e">
        <f>AND('PROG FORMACIÓN TITULADA'!#REF!,"AAAAAFN/vzU=")</f>
        <v>#REF!</v>
      </c>
      <c r="BC383" t="e">
        <f>AND('PROG FORMACIÓN TITULADA'!#REF!,"AAAAAFN/vzY=")</f>
        <v>#REF!</v>
      </c>
      <c r="BD383" t="e">
        <f>AND('PROG FORMACIÓN TITULADA'!#REF!,"AAAAAFN/vzc=")</f>
        <v>#REF!</v>
      </c>
      <c r="BE383" t="e">
        <f>AND('PROG FORMACIÓN TITULADA'!#REF!,"AAAAAFN/vzg=")</f>
        <v>#REF!</v>
      </c>
      <c r="BF383" t="e">
        <f>AND('PROG FORMACIÓN TITULADA'!#REF!,"AAAAAFN/vzk=")</f>
        <v>#REF!</v>
      </c>
      <c r="BG383" t="e">
        <f>AND('PROG FORMACIÓN TITULADA'!#REF!,"AAAAAFN/vzo=")</f>
        <v>#REF!</v>
      </c>
      <c r="BH383" t="e">
        <f>AND('PROG FORMACIÓN TITULADA'!#REF!,"AAAAAFN/vzs=")</f>
        <v>#REF!</v>
      </c>
      <c r="BI383" t="e">
        <f>AND('PROG FORMACIÓN TITULADA'!#REF!,"AAAAAFN/vzw=")</f>
        <v>#REF!</v>
      </c>
      <c r="BJ383" t="e">
        <f>AND('PROG FORMACIÓN TITULADA'!#REF!,"AAAAAFN/vz0=")</f>
        <v>#REF!</v>
      </c>
      <c r="BK383" t="e">
        <f>AND('PROG FORMACIÓN TITULADA'!#REF!,"AAAAAFN/vz4=")</f>
        <v>#REF!</v>
      </c>
      <c r="BL383" t="e">
        <f>AND('PROG FORMACIÓN TITULADA'!#REF!,"AAAAAFN/vz8=")</f>
        <v>#REF!</v>
      </c>
      <c r="BM383" t="e">
        <f>AND('PROG FORMACIÓN TITULADA'!#REF!,"AAAAAFN/v0A=")</f>
        <v>#REF!</v>
      </c>
      <c r="BN383" t="e">
        <f>AND('PROG FORMACIÓN TITULADA'!#REF!,"AAAAAFN/v0E=")</f>
        <v>#REF!</v>
      </c>
      <c r="BO383" t="e">
        <f>AND('PROG FORMACIÓN TITULADA'!#REF!,"AAAAAFN/v0I=")</f>
        <v>#REF!</v>
      </c>
      <c r="BP383" t="e">
        <f>AND('PROG FORMACIÓN TITULADA'!#REF!,"AAAAAFN/v0M=")</f>
        <v>#REF!</v>
      </c>
      <c r="BQ383" t="e">
        <f>AND('PROG FORMACIÓN TITULADA'!#REF!,"AAAAAFN/v0Q=")</f>
        <v>#REF!</v>
      </c>
      <c r="BR383" t="e">
        <f>AND('PROG FORMACIÓN TITULADA'!#REF!,"AAAAAFN/v0U=")</f>
        <v>#REF!</v>
      </c>
      <c r="BS383" t="e">
        <f>AND('PROG FORMACIÓN TITULADA'!#REF!,"AAAAAFN/v0Y=")</f>
        <v>#REF!</v>
      </c>
      <c r="BT383" t="e">
        <f>IF('PROG FORMACIÓN TITULADA'!#REF!,"AAAAAFN/v0c=",0)</f>
        <v>#REF!</v>
      </c>
      <c r="BU383" t="e">
        <f>AND('PROG FORMACIÓN TITULADA'!#REF!,"AAAAAFN/v0g=")</f>
        <v>#REF!</v>
      </c>
      <c r="BV383" t="e">
        <f>AND('PROG FORMACIÓN TITULADA'!#REF!,"AAAAAFN/v0k=")</f>
        <v>#REF!</v>
      </c>
      <c r="BW383" t="e">
        <f>AND('PROG FORMACIÓN TITULADA'!#REF!,"AAAAAFN/v0o=")</f>
        <v>#REF!</v>
      </c>
      <c r="BX383" t="e">
        <f>AND('PROG FORMACIÓN TITULADA'!#REF!,"AAAAAFN/v0s=")</f>
        <v>#REF!</v>
      </c>
      <c r="BY383" t="e">
        <f>AND('PROG FORMACIÓN TITULADA'!#REF!,"AAAAAFN/v0w=")</f>
        <v>#REF!</v>
      </c>
      <c r="BZ383" t="e">
        <f>AND('PROG FORMACIÓN TITULADA'!#REF!,"AAAAAFN/v00=")</f>
        <v>#REF!</v>
      </c>
      <c r="CA383" t="e">
        <f>AND('PROG FORMACIÓN TITULADA'!#REF!,"AAAAAFN/v04=")</f>
        <v>#REF!</v>
      </c>
      <c r="CB383" t="e">
        <f>AND('PROG FORMACIÓN TITULADA'!#REF!,"AAAAAFN/v08=")</f>
        <v>#REF!</v>
      </c>
      <c r="CC383" t="e">
        <f>AND('PROG FORMACIÓN TITULADA'!#REF!,"AAAAAFN/v1A=")</f>
        <v>#REF!</v>
      </c>
      <c r="CD383" t="e">
        <f>AND('PROG FORMACIÓN TITULADA'!#REF!,"AAAAAFN/v1E=")</f>
        <v>#REF!</v>
      </c>
      <c r="CE383" t="e">
        <f>AND('PROG FORMACIÓN TITULADA'!#REF!,"AAAAAFN/v1I=")</f>
        <v>#REF!</v>
      </c>
      <c r="CF383" t="e">
        <f>AND('PROG FORMACIÓN TITULADA'!#REF!,"AAAAAFN/v1M=")</f>
        <v>#REF!</v>
      </c>
      <c r="CG383" t="e">
        <f>AND('PROG FORMACIÓN TITULADA'!#REF!,"AAAAAFN/v1Q=")</f>
        <v>#REF!</v>
      </c>
      <c r="CH383" t="e">
        <f>AND('PROG FORMACIÓN TITULADA'!#REF!,"AAAAAFN/v1U=")</f>
        <v>#REF!</v>
      </c>
      <c r="CI383" t="e">
        <f>AND('PROG FORMACIÓN TITULADA'!#REF!,"AAAAAFN/v1Y=")</f>
        <v>#REF!</v>
      </c>
      <c r="CJ383" t="e">
        <f>AND('PROG FORMACIÓN TITULADA'!#REF!,"AAAAAFN/v1c=")</f>
        <v>#REF!</v>
      </c>
      <c r="CK383" t="e">
        <f>AND('PROG FORMACIÓN TITULADA'!#REF!,"AAAAAFN/v1g=")</f>
        <v>#REF!</v>
      </c>
      <c r="CL383" t="e">
        <f>AND('PROG FORMACIÓN TITULADA'!#REF!,"AAAAAFN/v1k=")</f>
        <v>#REF!</v>
      </c>
      <c r="CM383" t="e">
        <f>AND('PROG FORMACIÓN TITULADA'!#REF!,"AAAAAFN/v1o=")</f>
        <v>#REF!</v>
      </c>
      <c r="CN383" t="e">
        <f>AND('PROG FORMACIÓN TITULADA'!#REF!,"AAAAAFN/v1s=")</f>
        <v>#REF!</v>
      </c>
      <c r="CO383" t="e">
        <f>AND('PROG FORMACIÓN TITULADA'!#REF!,"AAAAAFN/v1w=")</f>
        <v>#REF!</v>
      </c>
      <c r="CP383" t="e">
        <f>AND('PROG FORMACIÓN TITULADA'!#REF!,"AAAAAFN/v10=")</f>
        <v>#REF!</v>
      </c>
      <c r="CQ383" t="e">
        <f>AND('PROG FORMACIÓN TITULADA'!#REF!,"AAAAAFN/v14=")</f>
        <v>#REF!</v>
      </c>
      <c r="CR383" t="e">
        <f>AND('PROG FORMACIÓN TITULADA'!#REF!,"AAAAAFN/v18=")</f>
        <v>#REF!</v>
      </c>
      <c r="CS383" t="e">
        <f>AND('PROG FORMACIÓN TITULADA'!#REF!,"AAAAAFN/v2A=")</f>
        <v>#REF!</v>
      </c>
      <c r="CT383" t="e">
        <f>AND('PROG FORMACIÓN TITULADA'!#REF!,"AAAAAFN/v2E=")</f>
        <v>#REF!</v>
      </c>
      <c r="CU383" t="e">
        <f>IF('PROG FORMACIÓN TITULADA'!#REF!,"AAAAAFN/v2I=",0)</f>
        <v>#REF!</v>
      </c>
      <c r="CV383" t="e">
        <f>AND('PROG FORMACIÓN TITULADA'!#REF!,"AAAAAFN/v2M=")</f>
        <v>#REF!</v>
      </c>
      <c r="CW383" t="e">
        <f>AND('PROG FORMACIÓN TITULADA'!#REF!,"AAAAAFN/v2Q=")</f>
        <v>#REF!</v>
      </c>
      <c r="CX383" t="e">
        <f>AND('PROG FORMACIÓN TITULADA'!#REF!,"AAAAAFN/v2U=")</f>
        <v>#REF!</v>
      </c>
      <c r="CY383" t="e">
        <f>AND('PROG FORMACIÓN TITULADA'!#REF!,"AAAAAFN/v2Y=")</f>
        <v>#REF!</v>
      </c>
      <c r="CZ383" t="e">
        <f>AND('PROG FORMACIÓN TITULADA'!#REF!,"AAAAAFN/v2c=")</f>
        <v>#REF!</v>
      </c>
      <c r="DA383" t="e">
        <f>AND('PROG FORMACIÓN TITULADA'!#REF!,"AAAAAFN/v2g=")</f>
        <v>#REF!</v>
      </c>
      <c r="DB383" t="e">
        <f>AND('PROG FORMACIÓN TITULADA'!#REF!,"AAAAAFN/v2k=")</f>
        <v>#REF!</v>
      </c>
      <c r="DC383" t="e">
        <f>AND('PROG FORMACIÓN TITULADA'!#REF!,"AAAAAFN/v2o=")</f>
        <v>#REF!</v>
      </c>
      <c r="DD383" t="e">
        <f>AND('PROG FORMACIÓN TITULADA'!#REF!,"AAAAAFN/v2s=")</f>
        <v>#REF!</v>
      </c>
      <c r="DE383" t="e">
        <f>AND('PROG FORMACIÓN TITULADA'!#REF!,"AAAAAFN/v2w=")</f>
        <v>#REF!</v>
      </c>
      <c r="DF383" t="e">
        <f>AND('PROG FORMACIÓN TITULADA'!#REF!,"AAAAAFN/v20=")</f>
        <v>#REF!</v>
      </c>
      <c r="DG383" t="e">
        <f>AND('PROG FORMACIÓN TITULADA'!#REF!,"AAAAAFN/v24=")</f>
        <v>#REF!</v>
      </c>
      <c r="DH383" t="e">
        <f>AND('PROG FORMACIÓN TITULADA'!#REF!,"AAAAAFN/v28=")</f>
        <v>#REF!</v>
      </c>
      <c r="DI383" t="e">
        <f>AND('PROG FORMACIÓN TITULADA'!#REF!,"AAAAAFN/v3A=")</f>
        <v>#REF!</v>
      </c>
      <c r="DJ383" t="e">
        <f>AND('PROG FORMACIÓN TITULADA'!#REF!,"AAAAAFN/v3E=")</f>
        <v>#REF!</v>
      </c>
      <c r="DK383" t="e">
        <f>AND('PROG FORMACIÓN TITULADA'!#REF!,"AAAAAFN/v3I=")</f>
        <v>#REF!</v>
      </c>
      <c r="DL383" t="e">
        <f>AND('PROG FORMACIÓN TITULADA'!#REF!,"AAAAAFN/v3M=")</f>
        <v>#REF!</v>
      </c>
      <c r="DM383" t="e">
        <f>AND('PROG FORMACIÓN TITULADA'!#REF!,"AAAAAFN/v3Q=")</f>
        <v>#REF!</v>
      </c>
      <c r="DN383" t="e">
        <f>AND('PROG FORMACIÓN TITULADA'!#REF!,"AAAAAFN/v3U=")</f>
        <v>#REF!</v>
      </c>
      <c r="DO383" t="e">
        <f>AND('PROG FORMACIÓN TITULADA'!#REF!,"AAAAAFN/v3Y=")</f>
        <v>#REF!</v>
      </c>
      <c r="DP383" t="e">
        <f>AND('PROG FORMACIÓN TITULADA'!#REF!,"AAAAAFN/v3c=")</f>
        <v>#REF!</v>
      </c>
      <c r="DQ383" t="e">
        <f>AND('PROG FORMACIÓN TITULADA'!#REF!,"AAAAAFN/v3g=")</f>
        <v>#REF!</v>
      </c>
      <c r="DR383" t="e">
        <f>AND('PROG FORMACIÓN TITULADA'!#REF!,"AAAAAFN/v3k=")</f>
        <v>#REF!</v>
      </c>
      <c r="DS383" t="e">
        <f>AND('PROG FORMACIÓN TITULADA'!#REF!,"AAAAAFN/v3o=")</f>
        <v>#REF!</v>
      </c>
      <c r="DT383" t="e">
        <f>AND('PROG FORMACIÓN TITULADA'!#REF!,"AAAAAFN/v3s=")</f>
        <v>#REF!</v>
      </c>
      <c r="DU383" t="e">
        <f>AND('PROG FORMACIÓN TITULADA'!#REF!,"AAAAAFN/v3w=")</f>
        <v>#REF!</v>
      </c>
      <c r="DV383" t="e">
        <f>IF('PROG FORMACIÓN TITULADA'!#REF!,"AAAAAFN/v30=",0)</f>
        <v>#REF!</v>
      </c>
      <c r="DW383" t="e">
        <f>AND('PROG FORMACIÓN TITULADA'!#REF!,"AAAAAFN/v34=")</f>
        <v>#REF!</v>
      </c>
      <c r="DX383" t="e">
        <f>AND('PROG FORMACIÓN TITULADA'!#REF!,"AAAAAFN/v38=")</f>
        <v>#REF!</v>
      </c>
      <c r="DY383" t="e">
        <f>AND('PROG FORMACIÓN TITULADA'!#REF!,"AAAAAFN/v4A=")</f>
        <v>#REF!</v>
      </c>
      <c r="DZ383" t="e">
        <f>AND('PROG FORMACIÓN TITULADA'!#REF!,"AAAAAFN/v4E=")</f>
        <v>#REF!</v>
      </c>
      <c r="EA383" t="e">
        <f>AND('PROG FORMACIÓN TITULADA'!#REF!,"AAAAAFN/v4I=")</f>
        <v>#REF!</v>
      </c>
      <c r="EB383" t="e">
        <f>AND('PROG FORMACIÓN TITULADA'!#REF!,"AAAAAFN/v4M=")</f>
        <v>#REF!</v>
      </c>
      <c r="EC383" t="e">
        <f>AND('PROG FORMACIÓN TITULADA'!#REF!,"AAAAAFN/v4Q=")</f>
        <v>#REF!</v>
      </c>
      <c r="ED383" t="e">
        <f>AND('PROG FORMACIÓN TITULADA'!#REF!,"AAAAAFN/v4U=")</f>
        <v>#REF!</v>
      </c>
      <c r="EE383" t="e">
        <f>AND('PROG FORMACIÓN TITULADA'!#REF!,"AAAAAFN/v4Y=")</f>
        <v>#REF!</v>
      </c>
      <c r="EF383" t="e">
        <f>AND('PROG FORMACIÓN TITULADA'!#REF!,"AAAAAFN/v4c=")</f>
        <v>#REF!</v>
      </c>
      <c r="EG383" t="e">
        <f>AND('PROG FORMACIÓN TITULADA'!#REF!,"AAAAAFN/v4g=")</f>
        <v>#REF!</v>
      </c>
      <c r="EH383" t="e">
        <f>AND('PROG FORMACIÓN TITULADA'!#REF!,"AAAAAFN/v4k=")</f>
        <v>#REF!</v>
      </c>
      <c r="EI383" t="e">
        <f>AND('PROG FORMACIÓN TITULADA'!#REF!,"AAAAAFN/v4o=")</f>
        <v>#REF!</v>
      </c>
      <c r="EJ383" t="e">
        <f>AND('PROG FORMACIÓN TITULADA'!#REF!,"AAAAAFN/v4s=")</f>
        <v>#REF!</v>
      </c>
      <c r="EK383" t="e">
        <f>AND('PROG FORMACIÓN TITULADA'!#REF!,"AAAAAFN/v4w=")</f>
        <v>#REF!</v>
      </c>
      <c r="EL383" t="e">
        <f>AND('PROG FORMACIÓN TITULADA'!#REF!,"AAAAAFN/v40=")</f>
        <v>#REF!</v>
      </c>
      <c r="EM383" t="e">
        <f>AND('PROG FORMACIÓN TITULADA'!#REF!,"AAAAAFN/v44=")</f>
        <v>#REF!</v>
      </c>
      <c r="EN383" t="e">
        <f>AND('PROG FORMACIÓN TITULADA'!#REF!,"AAAAAFN/v48=")</f>
        <v>#REF!</v>
      </c>
      <c r="EO383" t="e">
        <f>AND('PROG FORMACIÓN TITULADA'!#REF!,"AAAAAFN/v5A=")</f>
        <v>#REF!</v>
      </c>
      <c r="EP383" t="e">
        <f>AND('PROG FORMACIÓN TITULADA'!#REF!,"AAAAAFN/v5E=")</f>
        <v>#REF!</v>
      </c>
      <c r="EQ383" t="e">
        <f>AND('PROG FORMACIÓN TITULADA'!#REF!,"AAAAAFN/v5I=")</f>
        <v>#REF!</v>
      </c>
      <c r="ER383" t="e">
        <f>AND('PROG FORMACIÓN TITULADA'!#REF!,"AAAAAFN/v5M=")</f>
        <v>#REF!</v>
      </c>
      <c r="ES383" t="e">
        <f>AND('PROG FORMACIÓN TITULADA'!#REF!,"AAAAAFN/v5Q=")</f>
        <v>#REF!</v>
      </c>
      <c r="ET383" t="e">
        <f>AND('PROG FORMACIÓN TITULADA'!#REF!,"AAAAAFN/v5U=")</f>
        <v>#REF!</v>
      </c>
      <c r="EU383" t="e">
        <f>AND('PROG FORMACIÓN TITULADA'!#REF!,"AAAAAFN/v5Y=")</f>
        <v>#REF!</v>
      </c>
      <c r="EV383" t="e">
        <f>AND('PROG FORMACIÓN TITULADA'!#REF!,"AAAAAFN/v5c=")</f>
        <v>#REF!</v>
      </c>
      <c r="EW383" t="e">
        <f>IF('PROG FORMACIÓN TITULADA'!#REF!,"AAAAAFN/v5g=",0)</f>
        <v>#REF!</v>
      </c>
      <c r="EX383" t="e">
        <f>AND('PROG FORMACIÓN TITULADA'!#REF!,"AAAAAFN/v5k=")</f>
        <v>#REF!</v>
      </c>
      <c r="EY383" t="e">
        <f>AND('PROG FORMACIÓN TITULADA'!#REF!,"AAAAAFN/v5o=")</f>
        <v>#REF!</v>
      </c>
      <c r="EZ383" t="e">
        <f>AND('PROG FORMACIÓN TITULADA'!#REF!,"AAAAAFN/v5s=")</f>
        <v>#REF!</v>
      </c>
      <c r="FA383" t="e">
        <f>AND('PROG FORMACIÓN TITULADA'!#REF!,"AAAAAFN/v5w=")</f>
        <v>#REF!</v>
      </c>
      <c r="FB383" t="e">
        <f>AND('PROG FORMACIÓN TITULADA'!#REF!,"AAAAAFN/v50=")</f>
        <v>#REF!</v>
      </c>
      <c r="FC383" t="e">
        <f>AND('PROG FORMACIÓN TITULADA'!#REF!,"AAAAAFN/v54=")</f>
        <v>#REF!</v>
      </c>
      <c r="FD383" t="e">
        <f>AND('PROG FORMACIÓN TITULADA'!#REF!,"AAAAAFN/v58=")</f>
        <v>#REF!</v>
      </c>
      <c r="FE383" t="e">
        <f>AND('PROG FORMACIÓN TITULADA'!#REF!,"AAAAAFN/v6A=")</f>
        <v>#REF!</v>
      </c>
      <c r="FF383" t="e">
        <f>AND('PROG FORMACIÓN TITULADA'!#REF!,"AAAAAFN/v6E=")</f>
        <v>#REF!</v>
      </c>
      <c r="FG383" t="e">
        <f>AND('PROG FORMACIÓN TITULADA'!#REF!,"AAAAAFN/v6I=")</f>
        <v>#REF!</v>
      </c>
      <c r="FH383" t="e">
        <f>AND('PROG FORMACIÓN TITULADA'!#REF!,"AAAAAFN/v6M=")</f>
        <v>#REF!</v>
      </c>
      <c r="FI383" t="e">
        <f>AND('PROG FORMACIÓN TITULADA'!#REF!,"AAAAAFN/v6Q=")</f>
        <v>#REF!</v>
      </c>
      <c r="FJ383" t="e">
        <f>AND('PROG FORMACIÓN TITULADA'!#REF!,"AAAAAFN/v6U=")</f>
        <v>#REF!</v>
      </c>
      <c r="FK383" t="e">
        <f>AND('PROG FORMACIÓN TITULADA'!#REF!,"AAAAAFN/v6Y=")</f>
        <v>#REF!</v>
      </c>
      <c r="FL383" t="e">
        <f>AND('PROG FORMACIÓN TITULADA'!#REF!,"AAAAAFN/v6c=")</f>
        <v>#REF!</v>
      </c>
      <c r="FM383" t="e">
        <f>AND('PROG FORMACIÓN TITULADA'!#REF!,"AAAAAFN/v6g=")</f>
        <v>#REF!</v>
      </c>
      <c r="FN383" t="e">
        <f>AND('PROG FORMACIÓN TITULADA'!#REF!,"AAAAAFN/v6k=")</f>
        <v>#REF!</v>
      </c>
      <c r="FO383" t="e">
        <f>AND('PROG FORMACIÓN TITULADA'!#REF!,"AAAAAFN/v6o=")</f>
        <v>#REF!</v>
      </c>
      <c r="FP383" t="e">
        <f>AND('PROG FORMACIÓN TITULADA'!#REF!,"AAAAAFN/v6s=")</f>
        <v>#REF!</v>
      </c>
      <c r="FQ383" t="e">
        <f>AND('PROG FORMACIÓN TITULADA'!#REF!,"AAAAAFN/v6w=")</f>
        <v>#REF!</v>
      </c>
      <c r="FR383" t="e">
        <f>AND('PROG FORMACIÓN TITULADA'!#REF!,"AAAAAFN/v60=")</f>
        <v>#REF!</v>
      </c>
      <c r="FS383" t="e">
        <f>AND('PROG FORMACIÓN TITULADA'!#REF!,"AAAAAFN/v64=")</f>
        <v>#REF!</v>
      </c>
      <c r="FT383" t="e">
        <f>AND('PROG FORMACIÓN TITULADA'!#REF!,"AAAAAFN/v68=")</f>
        <v>#REF!</v>
      </c>
      <c r="FU383" t="e">
        <f>AND('PROG FORMACIÓN TITULADA'!#REF!,"AAAAAFN/v7A=")</f>
        <v>#REF!</v>
      </c>
      <c r="FV383" t="e">
        <f>AND('PROG FORMACIÓN TITULADA'!#REF!,"AAAAAFN/v7E=")</f>
        <v>#REF!</v>
      </c>
      <c r="FW383" t="e">
        <f>AND('PROG FORMACIÓN TITULADA'!#REF!,"AAAAAFN/v7I=")</f>
        <v>#REF!</v>
      </c>
      <c r="FX383" t="e">
        <f>IF('PROG FORMACIÓN TITULADA'!#REF!,"AAAAAFN/v7M=",0)</f>
        <v>#REF!</v>
      </c>
      <c r="FY383" t="e">
        <f>AND('PROG FORMACIÓN TITULADA'!#REF!,"AAAAAFN/v7Q=")</f>
        <v>#REF!</v>
      </c>
      <c r="FZ383" t="e">
        <f>AND('PROG FORMACIÓN TITULADA'!#REF!,"AAAAAFN/v7U=")</f>
        <v>#REF!</v>
      </c>
      <c r="GA383" t="e">
        <f>AND('PROG FORMACIÓN TITULADA'!#REF!,"AAAAAFN/v7Y=")</f>
        <v>#REF!</v>
      </c>
      <c r="GB383" t="e">
        <f>AND('PROG FORMACIÓN TITULADA'!#REF!,"AAAAAFN/v7c=")</f>
        <v>#REF!</v>
      </c>
      <c r="GC383" t="e">
        <f>AND('PROG FORMACIÓN TITULADA'!#REF!,"AAAAAFN/v7g=")</f>
        <v>#REF!</v>
      </c>
      <c r="GD383" t="e">
        <f>AND('PROG FORMACIÓN TITULADA'!#REF!,"AAAAAFN/v7k=")</f>
        <v>#REF!</v>
      </c>
      <c r="GE383" t="e">
        <f>AND('PROG FORMACIÓN TITULADA'!#REF!,"AAAAAFN/v7o=")</f>
        <v>#REF!</v>
      </c>
      <c r="GF383" t="e">
        <f>AND('PROG FORMACIÓN TITULADA'!#REF!,"AAAAAFN/v7s=")</f>
        <v>#REF!</v>
      </c>
      <c r="GG383" t="e">
        <f>AND('PROG FORMACIÓN TITULADA'!#REF!,"AAAAAFN/v7w=")</f>
        <v>#REF!</v>
      </c>
      <c r="GH383" t="e">
        <f>AND('PROG FORMACIÓN TITULADA'!#REF!,"AAAAAFN/v70=")</f>
        <v>#REF!</v>
      </c>
      <c r="GI383" t="e">
        <f>AND('PROG FORMACIÓN TITULADA'!#REF!,"AAAAAFN/v74=")</f>
        <v>#REF!</v>
      </c>
      <c r="GJ383" t="e">
        <f>AND('PROG FORMACIÓN TITULADA'!#REF!,"AAAAAFN/v78=")</f>
        <v>#REF!</v>
      </c>
      <c r="GK383" t="e">
        <f>AND('PROG FORMACIÓN TITULADA'!#REF!,"AAAAAFN/v8A=")</f>
        <v>#REF!</v>
      </c>
      <c r="GL383" t="e">
        <f>AND('PROG FORMACIÓN TITULADA'!#REF!,"AAAAAFN/v8E=")</f>
        <v>#REF!</v>
      </c>
      <c r="GM383" t="e">
        <f>AND('PROG FORMACIÓN TITULADA'!#REF!,"AAAAAFN/v8I=")</f>
        <v>#REF!</v>
      </c>
      <c r="GN383" t="e">
        <f>AND('PROG FORMACIÓN TITULADA'!#REF!,"AAAAAFN/v8M=")</f>
        <v>#REF!</v>
      </c>
      <c r="GO383" t="e">
        <f>AND('PROG FORMACIÓN TITULADA'!#REF!,"AAAAAFN/v8Q=")</f>
        <v>#REF!</v>
      </c>
      <c r="GP383" t="e">
        <f>AND('PROG FORMACIÓN TITULADA'!#REF!,"AAAAAFN/v8U=")</f>
        <v>#REF!</v>
      </c>
      <c r="GQ383" t="e">
        <f>AND('PROG FORMACIÓN TITULADA'!#REF!,"AAAAAFN/v8Y=")</f>
        <v>#REF!</v>
      </c>
      <c r="GR383" t="e">
        <f>AND('PROG FORMACIÓN TITULADA'!#REF!,"AAAAAFN/v8c=")</f>
        <v>#REF!</v>
      </c>
      <c r="GS383" t="e">
        <f>AND('PROG FORMACIÓN TITULADA'!#REF!,"AAAAAFN/v8g=")</f>
        <v>#REF!</v>
      </c>
      <c r="GT383" t="e">
        <f>AND('PROG FORMACIÓN TITULADA'!#REF!,"AAAAAFN/v8k=")</f>
        <v>#REF!</v>
      </c>
      <c r="GU383" t="e">
        <f>AND('PROG FORMACIÓN TITULADA'!#REF!,"AAAAAFN/v8o=")</f>
        <v>#REF!</v>
      </c>
      <c r="GV383" t="e">
        <f>AND('PROG FORMACIÓN TITULADA'!#REF!,"AAAAAFN/v8s=")</f>
        <v>#REF!</v>
      </c>
      <c r="GW383" t="e">
        <f>AND('PROG FORMACIÓN TITULADA'!#REF!,"AAAAAFN/v8w=")</f>
        <v>#REF!</v>
      </c>
      <c r="GX383" t="e">
        <f>AND('PROG FORMACIÓN TITULADA'!#REF!,"AAAAAFN/v80=")</f>
        <v>#REF!</v>
      </c>
      <c r="GY383" t="e">
        <f>IF('PROG FORMACIÓN TITULADA'!#REF!,"AAAAAFN/v84=",0)</f>
        <v>#REF!</v>
      </c>
      <c r="GZ383" t="e">
        <f>AND('PROG FORMACIÓN TITULADA'!#REF!,"AAAAAFN/v88=")</f>
        <v>#REF!</v>
      </c>
      <c r="HA383" t="e">
        <f>AND('PROG FORMACIÓN TITULADA'!#REF!,"AAAAAFN/v9A=")</f>
        <v>#REF!</v>
      </c>
      <c r="HB383" t="e">
        <f>AND('PROG FORMACIÓN TITULADA'!#REF!,"AAAAAFN/v9E=")</f>
        <v>#REF!</v>
      </c>
      <c r="HC383" t="e">
        <f>AND('PROG FORMACIÓN TITULADA'!#REF!,"AAAAAFN/v9I=")</f>
        <v>#REF!</v>
      </c>
      <c r="HD383" t="e">
        <f>AND('PROG FORMACIÓN TITULADA'!#REF!,"AAAAAFN/v9M=")</f>
        <v>#REF!</v>
      </c>
      <c r="HE383" t="e">
        <f>AND('PROG FORMACIÓN TITULADA'!#REF!,"AAAAAFN/v9Q=")</f>
        <v>#REF!</v>
      </c>
      <c r="HF383" t="e">
        <f>AND('PROG FORMACIÓN TITULADA'!#REF!,"AAAAAFN/v9U=")</f>
        <v>#REF!</v>
      </c>
      <c r="HG383" t="e">
        <f>AND('PROG FORMACIÓN TITULADA'!#REF!,"AAAAAFN/v9Y=")</f>
        <v>#REF!</v>
      </c>
      <c r="HH383" t="e">
        <f>AND('PROG FORMACIÓN TITULADA'!#REF!,"AAAAAFN/v9c=")</f>
        <v>#REF!</v>
      </c>
      <c r="HI383" t="e">
        <f>AND('PROG FORMACIÓN TITULADA'!#REF!,"AAAAAFN/v9g=")</f>
        <v>#REF!</v>
      </c>
      <c r="HJ383" t="e">
        <f>AND('PROG FORMACIÓN TITULADA'!#REF!,"AAAAAFN/v9k=")</f>
        <v>#REF!</v>
      </c>
      <c r="HK383" t="e">
        <f>AND('PROG FORMACIÓN TITULADA'!#REF!,"AAAAAFN/v9o=")</f>
        <v>#REF!</v>
      </c>
      <c r="HL383" t="e">
        <f>AND('PROG FORMACIÓN TITULADA'!#REF!,"AAAAAFN/v9s=")</f>
        <v>#REF!</v>
      </c>
      <c r="HM383" t="e">
        <f>AND('PROG FORMACIÓN TITULADA'!#REF!,"AAAAAFN/v9w=")</f>
        <v>#REF!</v>
      </c>
      <c r="HN383" t="e">
        <f>AND('PROG FORMACIÓN TITULADA'!#REF!,"AAAAAFN/v90=")</f>
        <v>#REF!</v>
      </c>
      <c r="HO383" t="e">
        <f>AND('PROG FORMACIÓN TITULADA'!#REF!,"AAAAAFN/v94=")</f>
        <v>#REF!</v>
      </c>
      <c r="HP383" t="e">
        <f>AND('PROG FORMACIÓN TITULADA'!#REF!,"AAAAAFN/v98=")</f>
        <v>#REF!</v>
      </c>
      <c r="HQ383" t="e">
        <f>AND('PROG FORMACIÓN TITULADA'!#REF!,"AAAAAFN/v+A=")</f>
        <v>#REF!</v>
      </c>
      <c r="HR383" t="e">
        <f>AND('PROG FORMACIÓN TITULADA'!#REF!,"AAAAAFN/v+E=")</f>
        <v>#REF!</v>
      </c>
      <c r="HS383" t="e">
        <f>AND('PROG FORMACIÓN TITULADA'!#REF!,"AAAAAFN/v+I=")</f>
        <v>#REF!</v>
      </c>
      <c r="HT383" t="e">
        <f>AND('PROG FORMACIÓN TITULADA'!#REF!,"AAAAAFN/v+M=")</f>
        <v>#REF!</v>
      </c>
      <c r="HU383" t="e">
        <f>AND('PROG FORMACIÓN TITULADA'!#REF!,"AAAAAFN/v+Q=")</f>
        <v>#REF!</v>
      </c>
      <c r="HV383" t="e">
        <f>AND('PROG FORMACIÓN TITULADA'!#REF!,"AAAAAFN/v+U=")</f>
        <v>#REF!</v>
      </c>
      <c r="HW383" t="e">
        <f>AND('PROG FORMACIÓN TITULADA'!#REF!,"AAAAAFN/v+Y=")</f>
        <v>#REF!</v>
      </c>
      <c r="HX383" t="e">
        <f>AND('PROG FORMACIÓN TITULADA'!#REF!,"AAAAAFN/v+c=")</f>
        <v>#REF!</v>
      </c>
      <c r="HY383" t="e">
        <f>AND('PROG FORMACIÓN TITULADA'!#REF!,"AAAAAFN/v+g=")</f>
        <v>#REF!</v>
      </c>
      <c r="HZ383" t="e">
        <f>IF('PROG FORMACIÓN TITULADA'!#REF!,"AAAAAFN/v+k=",0)</f>
        <v>#REF!</v>
      </c>
      <c r="IA383" t="e">
        <f>AND('PROG FORMACIÓN TITULADA'!#REF!,"AAAAAFN/v+o=")</f>
        <v>#REF!</v>
      </c>
      <c r="IB383" t="e">
        <f>AND('PROG FORMACIÓN TITULADA'!#REF!,"AAAAAFN/v+s=")</f>
        <v>#REF!</v>
      </c>
      <c r="IC383" t="e">
        <f>AND('PROG FORMACIÓN TITULADA'!#REF!,"AAAAAFN/v+w=")</f>
        <v>#REF!</v>
      </c>
      <c r="ID383" t="e">
        <f>AND('PROG FORMACIÓN TITULADA'!#REF!,"AAAAAFN/v+0=")</f>
        <v>#REF!</v>
      </c>
      <c r="IE383" t="e">
        <f>AND('PROG FORMACIÓN TITULADA'!#REF!,"AAAAAFN/v+4=")</f>
        <v>#REF!</v>
      </c>
      <c r="IF383" t="e">
        <f>AND('PROG FORMACIÓN TITULADA'!#REF!,"AAAAAFN/v+8=")</f>
        <v>#REF!</v>
      </c>
      <c r="IG383" t="e">
        <f>AND('PROG FORMACIÓN TITULADA'!#REF!,"AAAAAFN/v/A=")</f>
        <v>#REF!</v>
      </c>
      <c r="IH383" t="e">
        <f>AND('PROG FORMACIÓN TITULADA'!#REF!,"AAAAAFN/v/E=")</f>
        <v>#REF!</v>
      </c>
      <c r="II383" t="e">
        <f>AND('PROG FORMACIÓN TITULADA'!#REF!,"AAAAAFN/v/I=")</f>
        <v>#REF!</v>
      </c>
      <c r="IJ383" t="e">
        <f>AND('PROG FORMACIÓN TITULADA'!#REF!,"AAAAAFN/v/M=")</f>
        <v>#REF!</v>
      </c>
      <c r="IK383" t="e">
        <f>AND('PROG FORMACIÓN TITULADA'!#REF!,"AAAAAFN/v/Q=")</f>
        <v>#REF!</v>
      </c>
      <c r="IL383" t="e">
        <f>AND('PROG FORMACIÓN TITULADA'!#REF!,"AAAAAFN/v/U=")</f>
        <v>#REF!</v>
      </c>
      <c r="IM383" t="e">
        <f>AND('PROG FORMACIÓN TITULADA'!#REF!,"AAAAAFN/v/Y=")</f>
        <v>#REF!</v>
      </c>
      <c r="IN383" t="e">
        <f>AND('PROG FORMACIÓN TITULADA'!#REF!,"AAAAAFN/v/c=")</f>
        <v>#REF!</v>
      </c>
      <c r="IO383" t="e">
        <f>AND('PROG FORMACIÓN TITULADA'!#REF!,"AAAAAFN/v/g=")</f>
        <v>#REF!</v>
      </c>
      <c r="IP383" t="e">
        <f>AND('PROG FORMACIÓN TITULADA'!#REF!,"AAAAAFN/v/k=")</f>
        <v>#REF!</v>
      </c>
      <c r="IQ383" t="e">
        <f>AND('PROG FORMACIÓN TITULADA'!#REF!,"AAAAAFN/v/o=")</f>
        <v>#REF!</v>
      </c>
      <c r="IR383" t="e">
        <f>AND('PROG FORMACIÓN TITULADA'!#REF!,"AAAAAFN/v/s=")</f>
        <v>#REF!</v>
      </c>
      <c r="IS383" t="e">
        <f>AND('PROG FORMACIÓN TITULADA'!#REF!,"AAAAAFN/v/w=")</f>
        <v>#REF!</v>
      </c>
      <c r="IT383" t="e">
        <f>AND('PROG FORMACIÓN TITULADA'!#REF!,"AAAAAFN/v/0=")</f>
        <v>#REF!</v>
      </c>
      <c r="IU383" t="e">
        <f>AND('PROG FORMACIÓN TITULADA'!#REF!,"AAAAAFN/v/4=")</f>
        <v>#REF!</v>
      </c>
      <c r="IV383" t="e">
        <f>AND('PROG FORMACIÓN TITULADA'!#REF!,"AAAAAFN/v/8=")</f>
        <v>#REF!</v>
      </c>
    </row>
    <row r="384" spans="1:256" x14ac:dyDescent="0.2">
      <c r="A384" t="e">
        <f>AND('PROG FORMACIÓN TITULADA'!#REF!,"AAAAAHrNmQA=")</f>
        <v>#REF!</v>
      </c>
      <c r="B384" t="e">
        <f>AND('PROG FORMACIÓN TITULADA'!#REF!,"AAAAAHrNmQE=")</f>
        <v>#REF!</v>
      </c>
      <c r="C384" t="e">
        <f>AND('PROG FORMACIÓN TITULADA'!#REF!,"AAAAAHrNmQI=")</f>
        <v>#REF!</v>
      </c>
      <c r="D384" t="e">
        <f>AND('PROG FORMACIÓN TITULADA'!#REF!,"AAAAAHrNmQM=")</f>
        <v>#REF!</v>
      </c>
      <c r="E384" t="e">
        <f>IF('PROG FORMACIÓN TITULADA'!#REF!,"AAAAAHrNmQQ=",0)</f>
        <v>#REF!</v>
      </c>
      <c r="F384" t="e">
        <f>AND('PROG FORMACIÓN TITULADA'!#REF!,"AAAAAHrNmQU=")</f>
        <v>#REF!</v>
      </c>
      <c r="G384" t="e">
        <f>AND('PROG FORMACIÓN TITULADA'!#REF!,"AAAAAHrNmQY=")</f>
        <v>#REF!</v>
      </c>
      <c r="H384" t="e">
        <f>AND('PROG FORMACIÓN TITULADA'!#REF!,"AAAAAHrNmQc=")</f>
        <v>#REF!</v>
      </c>
      <c r="I384" t="e">
        <f>AND('PROG FORMACIÓN TITULADA'!#REF!,"AAAAAHrNmQg=")</f>
        <v>#REF!</v>
      </c>
      <c r="J384" t="e">
        <f>AND('PROG FORMACIÓN TITULADA'!#REF!,"AAAAAHrNmQk=")</f>
        <v>#REF!</v>
      </c>
      <c r="K384" t="e">
        <f>AND('PROG FORMACIÓN TITULADA'!#REF!,"AAAAAHrNmQo=")</f>
        <v>#REF!</v>
      </c>
      <c r="L384" t="e">
        <f>AND('PROG FORMACIÓN TITULADA'!#REF!,"AAAAAHrNmQs=")</f>
        <v>#REF!</v>
      </c>
      <c r="M384" t="e">
        <f>AND('PROG FORMACIÓN TITULADA'!#REF!,"AAAAAHrNmQw=")</f>
        <v>#REF!</v>
      </c>
      <c r="N384" t="e">
        <f>AND('PROG FORMACIÓN TITULADA'!#REF!,"AAAAAHrNmQ0=")</f>
        <v>#REF!</v>
      </c>
      <c r="O384" t="e">
        <f>AND('PROG FORMACIÓN TITULADA'!#REF!,"AAAAAHrNmQ4=")</f>
        <v>#REF!</v>
      </c>
      <c r="P384" t="e">
        <f>AND('PROG FORMACIÓN TITULADA'!#REF!,"AAAAAHrNmQ8=")</f>
        <v>#REF!</v>
      </c>
      <c r="Q384" t="e">
        <f>AND('PROG FORMACIÓN TITULADA'!#REF!,"AAAAAHrNmRA=")</f>
        <v>#REF!</v>
      </c>
      <c r="R384" t="e">
        <f>AND('PROG FORMACIÓN TITULADA'!#REF!,"AAAAAHrNmRE=")</f>
        <v>#REF!</v>
      </c>
      <c r="S384" t="e">
        <f>AND('PROG FORMACIÓN TITULADA'!#REF!,"AAAAAHrNmRI=")</f>
        <v>#REF!</v>
      </c>
      <c r="T384" t="e">
        <f>AND('PROG FORMACIÓN TITULADA'!#REF!,"AAAAAHrNmRM=")</f>
        <v>#REF!</v>
      </c>
      <c r="U384" t="e">
        <f>AND('PROG FORMACIÓN TITULADA'!#REF!,"AAAAAHrNmRQ=")</f>
        <v>#REF!</v>
      </c>
      <c r="V384" t="e">
        <f>AND('PROG FORMACIÓN TITULADA'!#REF!,"AAAAAHrNmRU=")</f>
        <v>#REF!</v>
      </c>
      <c r="W384" t="e">
        <f>AND('PROG FORMACIÓN TITULADA'!#REF!,"AAAAAHrNmRY=")</f>
        <v>#REF!</v>
      </c>
      <c r="X384" t="e">
        <f>AND('PROG FORMACIÓN TITULADA'!#REF!,"AAAAAHrNmRc=")</f>
        <v>#REF!</v>
      </c>
      <c r="Y384" t="e">
        <f>AND('PROG FORMACIÓN TITULADA'!#REF!,"AAAAAHrNmRg=")</f>
        <v>#REF!</v>
      </c>
      <c r="Z384" t="e">
        <f>AND('PROG FORMACIÓN TITULADA'!#REF!,"AAAAAHrNmRk=")</f>
        <v>#REF!</v>
      </c>
      <c r="AA384" t="e">
        <f>AND('PROG FORMACIÓN TITULADA'!#REF!,"AAAAAHrNmRo=")</f>
        <v>#REF!</v>
      </c>
      <c r="AB384" t="e">
        <f>AND('PROG FORMACIÓN TITULADA'!#REF!,"AAAAAHrNmRs=")</f>
        <v>#REF!</v>
      </c>
      <c r="AC384" t="e">
        <f>AND('PROG FORMACIÓN TITULADA'!#REF!,"AAAAAHrNmRw=")</f>
        <v>#REF!</v>
      </c>
      <c r="AD384" t="e">
        <f>AND('PROG FORMACIÓN TITULADA'!#REF!,"AAAAAHrNmR0=")</f>
        <v>#REF!</v>
      </c>
      <c r="AE384" t="e">
        <f>AND('PROG FORMACIÓN TITULADA'!#REF!,"AAAAAHrNmR4=")</f>
        <v>#REF!</v>
      </c>
      <c r="AF384" t="e">
        <f>IF('PROG FORMACIÓN TITULADA'!#REF!,"AAAAAHrNmR8=",0)</f>
        <v>#REF!</v>
      </c>
      <c r="AG384" t="e">
        <f>AND('PROG FORMACIÓN TITULADA'!#REF!,"AAAAAHrNmSA=")</f>
        <v>#REF!</v>
      </c>
      <c r="AH384" t="e">
        <f>AND('PROG FORMACIÓN TITULADA'!#REF!,"AAAAAHrNmSE=")</f>
        <v>#REF!</v>
      </c>
      <c r="AI384" t="e">
        <f>AND('PROG FORMACIÓN TITULADA'!#REF!,"AAAAAHrNmSI=")</f>
        <v>#REF!</v>
      </c>
      <c r="AJ384" t="e">
        <f>AND('PROG FORMACIÓN TITULADA'!#REF!,"AAAAAHrNmSM=")</f>
        <v>#REF!</v>
      </c>
      <c r="AK384" t="e">
        <f>AND('PROG FORMACIÓN TITULADA'!#REF!,"AAAAAHrNmSQ=")</f>
        <v>#REF!</v>
      </c>
      <c r="AL384" t="e">
        <f>AND('PROG FORMACIÓN TITULADA'!#REF!,"AAAAAHrNmSU=")</f>
        <v>#REF!</v>
      </c>
      <c r="AM384" t="e">
        <f>AND('PROG FORMACIÓN TITULADA'!#REF!,"AAAAAHrNmSY=")</f>
        <v>#REF!</v>
      </c>
      <c r="AN384" t="e">
        <f>AND('PROG FORMACIÓN TITULADA'!#REF!,"AAAAAHrNmSc=")</f>
        <v>#REF!</v>
      </c>
      <c r="AO384" t="e">
        <f>AND('PROG FORMACIÓN TITULADA'!#REF!,"AAAAAHrNmSg=")</f>
        <v>#REF!</v>
      </c>
      <c r="AP384" t="e">
        <f>AND('PROG FORMACIÓN TITULADA'!#REF!,"AAAAAHrNmSk=")</f>
        <v>#REF!</v>
      </c>
      <c r="AQ384" t="e">
        <f>AND('PROG FORMACIÓN TITULADA'!#REF!,"AAAAAHrNmSo=")</f>
        <v>#REF!</v>
      </c>
      <c r="AR384" t="e">
        <f>AND('PROG FORMACIÓN TITULADA'!#REF!,"AAAAAHrNmSs=")</f>
        <v>#REF!</v>
      </c>
      <c r="AS384" t="e">
        <f>AND('PROG FORMACIÓN TITULADA'!#REF!,"AAAAAHrNmSw=")</f>
        <v>#REF!</v>
      </c>
      <c r="AT384" t="e">
        <f>AND('PROG FORMACIÓN TITULADA'!#REF!,"AAAAAHrNmS0=")</f>
        <v>#REF!</v>
      </c>
      <c r="AU384" t="e">
        <f>AND('PROG FORMACIÓN TITULADA'!#REF!,"AAAAAHrNmS4=")</f>
        <v>#REF!</v>
      </c>
      <c r="AV384" t="e">
        <f>AND('PROG FORMACIÓN TITULADA'!#REF!,"AAAAAHrNmS8=")</f>
        <v>#REF!</v>
      </c>
      <c r="AW384" t="e">
        <f>AND('PROG FORMACIÓN TITULADA'!#REF!,"AAAAAHrNmTA=")</f>
        <v>#REF!</v>
      </c>
      <c r="AX384" t="e">
        <f>AND('PROG FORMACIÓN TITULADA'!#REF!,"AAAAAHrNmTE=")</f>
        <v>#REF!</v>
      </c>
      <c r="AY384" t="e">
        <f>AND('PROG FORMACIÓN TITULADA'!#REF!,"AAAAAHrNmTI=")</f>
        <v>#REF!</v>
      </c>
      <c r="AZ384" t="e">
        <f>AND('PROG FORMACIÓN TITULADA'!#REF!,"AAAAAHrNmTM=")</f>
        <v>#REF!</v>
      </c>
      <c r="BA384" t="e">
        <f>AND('PROG FORMACIÓN TITULADA'!#REF!,"AAAAAHrNmTQ=")</f>
        <v>#REF!</v>
      </c>
      <c r="BB384" t="e">
        <f>AND('PROG FORMACIÓN TITULADA'!#REF!,"AAAAAHrNmTU=")</f>
        <v>#REF!</v>
      </c>
      <c r="BC384" t="e">
        <f>AND('PROG FORMACIÓN TITULADA'!#REF!,"AAAAAHrNmTY=")</f>
        <v>#REF!</v>
      </c>
      <c r="BD384" t="e">
        <f>AND('PROG FORMACIÓN TITULADA'!#REF!,"AAAAAHrNmTc=")</f>
        <v>#REF!</v>
      </c>
      <c r="BE384" t="e">
        <f>AND('PROG FORMACIÓN TITULADA'!#REF!,"AAAAAHrNmTg=")</f>
        <v>#REF!</v>
      </c>
      <c r="BF384" t="e">
        <f>AND('PROG FORMACIÓN TITULADA'!#REF!,"AAAAAHrNmTk=")</f>
        <v>#REF!</v>
      </c>
      <c r="BG384" t="e">
        <f>IF('PROG FORMACIÓN TITULADA'!#REF!,"AAAAAHrNmTo=",0)</f>
        <v>#REF!</v>
      </c>
      <c r="BH384" t="e">
        <f>AND('PROG FORMACIÓN TITULADA'!#REF!,"AAAAAHrNmTs=")</f>
        <v>#REF!</v>
      </c>
      <c r="BI384" t="e">
        <f>AND('PROG FORMACIÓN TITULADA'!#REF!,"AAAAAHrNmTw=")</f>
        <v>#REF!</v>
      </c>
      <c r="BJ384" t="e">
        <f>AND('PROG FORMACIÓN TITULADA'!#REF!,"AAAAAHrNmT0=")</f>
        <v>#REF!</v>
      </c>
      <c r="BK384" t="e">
        <f>AND('PROG FORMACIÓN TITULADA'!#REF!,"AAAAAHrNmT4=")</f>
        <v>#REF!</v>
      </c>
      <c r="BL384" t="e">
        <f>AND('PROG FORMACIÓN TITULADA'!#REF!,"AAAAAHrNmT8=")</f>
        <v>#REF!</v>
      </c>
      <c r="BM384" t="e">
        <f>AND('PROG FORMACIÓN TITULADA'!#REF!,"AAAAAHrNmUA=")</f>
        <v>#REF!</v>
      </c>
      <c r="BN384" t="e">
        <f>AND('PROG FORMACIÓN TITULADA'!#REF!,"AAAAAHrNmUE=")</f>
        <v>#REF!</v>
      </c>
      <c r="BO384" t="e">
        <f>AND('PROG FORMACIÓN TITULADA'!#REF!,"AAAAAHrNmUI=")</f>
        <v>#REF!</v>
      </c>
      <c r="BP384" t="e">
        <f>AND('PROG FORMACIÓN TITULADA'!#REF!,"AAAAAHrNmUM=")</f>
        <v>#REF!</v>
      </c>
      <c r="BQ384" t="e">
        <f>AND('PROG FORMACIÓN TITULADA'!#REF!,"AAAAAHrNmUQ=")</f>
        <v>#REF!</v>
      </c>
      <c r="BR384" t="e">
        <f>AND('PROG FORMACIÓN TITULADA'!#REF!,"AAAAAHrNmUU=")</f>
        <v>#REF!</v>
      </c>
      <c r="BS384" t="e">
        <f>AND('PROG FORMACIÓN TITULADA'!#REF!,"AAAAAHrNmUY=")</f>
        <v>#REF!</v>
      </c>
      <c r="BT384" t="e">
        <f>AND('PROG FORMACIÓN TITULADA'!#REF!,"AAAAAHrNmUc=")</f>
        <v>#REF!</v>
      </c>
      <c r="BU384" t="e">
        <f>AND('PROG FORMACIÓN TITULADA'!#REF!,"AAAAAHrNmUg=")</f>
        <v>#REF!</v>
      </c>
      <c r="BV384" t="e">
        <f>AND('PROG FORMACIÓN TITULADA'!#REF!,"AAAAAHrNmUk=")</f>
        <v>#REF!</v>
      </c>
      <c r="BW384" t="e">
        <f>AND('PROG FORMACIÓN TITULADA'!#REF!,"AAAAAHrNmUo=")</f>
        <v>#REF!</v>
      </c>
      <c r="BX384" t="e">
        <f>AND('PROG FORMACIÓN TITULADA'!#REF!,"AAAAAHrNmUs=")</f>
        <v>#REF!</v>
      </c>
      <c r="BY384" t="e">
        <f>AND('PROG FORMACIÓN TITULADA'!#REF!,"AAAAAHrNmUw=")</f>
        <v>#REF!</v>
      </c>
      <c r="BZ384" t="e">
        <f>AND('PROG FORMACIÓN TITULADA'!#REF!,"AAAAAHrNmU0=")</f>
        <v>#REF!</v>
      </c>
      <c r="CA384" t="e">
        <f>AND('PROG FORMACIÓN TITULADA'!#REF!,"AAAAAHrNmU4=")</f>
        <v>#REF!</v>
      </c>
      <c r="CB384" t="e">
        <f>AND('PROG FORMACIÓN TITULADA'!#REF!,"AAAAAHrNmU8=")</f>
        <v>#REF!</v>
      </c>
      <c r="CC384" t="e">
        <f>AND('PROG FORMACIÓN TITULADA'!#REF!,"AAAAAHrNmVA=")</f>
        <v>#REF!</v>
      </c>
      <c r="CD384" t="e">
        <f>AND('PROG FORMACIÓN TITULADA'!#REF!,"AAAAAHrNmVE=")</f>
        <v>#REF!</v>
      </c>
      <c r="CE384" t="e">
        <f>AND('PROG FORMACIÓN TITULADA'!#REF!,"AAAAAHrNmVI=")</f>
        <v>#REF!</v>
      </c>
      <c r="CF384" t="e">
        <f>AND('PROG FORMACIÓN TITULADA'!#REF!,"AAAAAHrNmVM=")</f>
        <v>#REF!</v>
      </c>
      <c r="CG384" t="e">
        <f>AND('PROG FORMACIÓN TITULADA'!#REF!,"AAAAAHrNmVQ=")</f>
        <v>#REF!</v>
      </c>
      <c r="CH384" t="e">
        <f>IF('PROG FORMACIÓN TITULADA'!#REF!,"AAAAAHrNmVU=",0)</f>
        <v>#REF!</v>
      </c>
      <c r="CI384" t="e">
        <f>AND('PROG FORMACIÓN TITULADA'!#REF!,"AAAAAHrNmVY=")</f>
        <v>#REF!</v>
      </c>
      <c r="CJ384" t="e">
        <f>AND('PROG FORMACIÓN TITULADA'!#REF!,"AAAAAHrNmVc=")</f>
        <v>#REF!</v>
      </c>
      <c r="CK384" t="e">
        <f>AND('PROG FORMACIÓN TITULADA'!#REF!,"AAAAAHrNmVg=")</f>
        <v>#REF!</v>
      </c>
      <c r="CL384" t="e">
        <f>AND('PROG FORMACIÓN TITULADA'!#REF!,"AAAAAHrNmVk=")</f>
        <v>#REF!</v>
      </c>
      <c r="CM384" t="e">
        <f>AND('PROG FORMACIÓN TITULADA'!#REF!,"AAAAAHrNmVo=")</f>
        <v>#REF!</v>
      </c>
      <c r="CN384" t="e">
        <f>AND('PROG FORMACIÓN TITULADA'!#REF!,"AAAAAHrNmVs=")</f>
        <v>#REF!</v>
      </c>
      <c r="CO384" t="e">
        <f>AND('PROG FORMACIÓN TITULADA'!#REF!,"AAAAAHrNmVw=")</f>
        <v>#REF!</v>
      </c>
      <c r="CP384" t="e">
        <f>AND('PROG FORMACIÓN TITULADA'!#REF!,"AAAAAHrNmV0=")</f>
        <v>#REF!</v>
      </c>
      <c r="CQ384" t="e">
        <f>AND('PROG FORMACIÓN TITULADA'!#REF!,"AAAAAHrNmV4=")</f>
        <v>#REF!</v>
      </c>
      <c r="CR384" t="e">
        <f>AND('PROG FORMACIÓN TITULADA'!#REF!,"AAAAAHrNmV8=")</f>
        <v>#REF!</v>
      </c>
      <c r="CS384" t="e">
        <f>AND('PROG FORMACIÓN TITULADA'!#REF!,"AAAAAHrNmWA=")</f>
        <v>#REF!</v>
      </c>
      <c r="CT384" t="e">
        <f>AND('PROG FORMACIÓN TITULADA'!#REF!,"AAAAAHrNmWE=")</f>
        <v>#REF!</v>
      </c>
      <c r="CU384" t="e">
        <f>AND('PROG FORMACIÓN TITULADA'!#REF!,"AAAAAHrNmWI=")</f>
        <v>#REF!</v>
      </c>
      <c r="CV384" t="e">
        <f>AND('PROG FORMACIÓN TITULADA'!#REF!,"AAAAAHrNmWM=")</f>
        <v>#REF!</v>
      </c>
      <c r="CW384" t="e">
        <f>AND('PROG FORMACIÓN TITULADA'!#REF!,"AAAAAHrNmWQ=")</f>
        <v>#REF!</v>
      </c>
      <c r="CX384" t="e">
        <f>AND('PROG FORMACIÓN TITULADA'!#REF!,"AAAAAHrNmWU=")</f>
        <v>#REF!</v>
      </c>
      <c r="CY384" t="e">
        <f>AND('PROG FORMACIÓN TITULADA'!#REF!,"AAAAAHrNmWY=")</f>
        <v>#REF!</v>
      </c>
      <c r="CZ384" t="e">
        <f>AND('PROG FORMACIÓN TITULADA'!#REF!,"AAAAAHrNmWc=")</f>
        <v>#REF!</v>
      </c>
      <c r="DA384" t="e">
        <f>AND('PROG FORMACIÓN TITULADA'!#REF!,"AAAAAHrNmWg=")</f>
        <v>#REF!</v>
      </c>
      <c r="DB384" t="e">
        <f>AND('PROG FORMACIÓN TITULADA'!#REF!,"AAAAAHrNmWk=")</f>
        <v>#REF!</v>
      </c>
      <c r="DC384" t="e">
        <f>AND('PROG FORMACIÓN TITULADA'!#REF!,"AAAAAHrNmWo=")</f>
        <v>#REF!</v>
      </c>
      <c r="DD384" t="e">
        <f>AND('PROG FORMACIÓN TITULADA'!#REF!,"AAAAAHrNmWs=")</f>
        <v>#REF!</v>
      </c>
      <c r="DE384" t="e">
        <f>AND('PROG FORMACIÓN TITULADA'!#REF!,"AAAAAHrNmWw=")</f>
        <v>#REF!</v>
      </c>
      <c r="DF384" t="e">
        <f>AND('PROG FORMACIÓN TITULADA'!#REF!,"AAAAAHrNmW0=")</f>
        <v>#REF!</v>
      </c>
      <c r="DG384" t="e">
        <f>AND('PROG FORMACIÓN TITULADA'!#REF!,"AAAAAHrNmW4=")</f>
        <v>#REF!</v>
      </c>
      <c r="DH384" t="e">
        <f>AND('PROG FORMACIÓN TITULADA'!#REF!,"AAAAAHrNmW8=")</f>
        <v>#REF!</v>
      </c>
      <c r="DI384" t="e">
        <f>IF('PROG FORMACIÓN TITULADA'!#REF!,"AAAAAHrNmXA=",0)</f>
        <v>#REF!</v>
      </c>
      <c r="DJ384" t="e">
        <f>AND('PROG FORMACIÓN TITULADA'!#REF!,"AAAAAHrNmXE=")</f>
        <v>#REF!</v>
      </c>
      <c r="DK384" t="e">
        <f>AND('PROG FORMACIÓN TITULADA'!#REF!,"AAAAAHrNmXI=")</f>
        <v>#REF!</v>
      </c>
      <c r="DL384" t="e">
        <f>AND('PROG FORMACIÓN TITULADA'!#REF!,"AAAAAHrNmXM=")</f>
        <v>#REF!</v>
      </c>
      <c r="DM384" t="e">
        <f>AND('PROG FORMACIÓN TITULADA'!#REF!,"AAAAAHrNmXQ=")</f>
        <v>#REF!</v>
      </c>
      <c r="DN384" t="e">
        <f>AND('PROG FORMACIÓN TITULADA'!#REF!,"AAAAAHrNmXU=")</f>
        <v>#REF!</v>
      </c>
      <c r="DO384" t="e">
        <f>AND('PROG FORMACIÓN TITULADA'!#REF!,"AAAAAHrNmXY=")</f>
        <v>#REF!</v>
      </c>
      <c r="DP384" t="e">
        <f>AND('PROG FORMACIÓN TITULADA'!#REF!,"AAAAAHrNmXc=")</f>
        <v>#REF!</v>
      </c>
      <c r="DQ384" t="e">
        <f>AND('PROG FORMACIÓN TITULADA'!#REF!,"AAAAAHrNmXg=")</f>
        <v>#REF!</v>
      </c>
      <c r="DR384" t="e">
        <f>AND('PROG FORMACIÓN TITULADA'!#REF!,"AAAAAHrNmXk=")</f>
        <v>#REF!</v>
      </c>
      <c r="DS384" t="e">
        <f>AND('PROG FORMACIÓN TITULADA'!#REF!,"AAAAAHrNmXo=")</f>
        <v>#REF!</v>
      </c>
      <c r="DT384" t="e">
        <f>AND('PROG FORMACIÓN TITULADA'!#REF!,"AAAAAHrNmXs=")</f>
        <v>#REF!</v>
      </c>
      <c r="DU384" t="e">
        <f>AND('PROG FORMACIÓN TITULADA'!#REF!,"AAAAAHrNmXw=")</f>
        <v>#REF!</v>
      </c>
      <c r="DV384" t="e">
        <f>AND('PROG FORMACIÓN TITULADA'!#REF!,"AAAAAHrNmX0=")</f>
        <v>#REF!</v>
      </c>
      <c r="DW384" t="e">
        <f>AND('PROG FORMACIÓN TITULADA'!#REF!,"AAAAAHrNmX4=")</f>
        <v>#REF!</v>
      </c>
      <c r="DX384" t="e">
        <f>AND('PROG FORMACIÓN TITULADA'!#REF!,"AAAAAHrNmX8=")</f>
        <v>#REF!</v>
      </c>
      <c r="DY384" t="e">
        <f>AND('PROG FORMACIÓN TITULADA'!#REF!,"AAAAAHrNmYA=")</f>
        <v>#REF!</v>
      </c>
      <c r="DZ384" t="e">
        <f>AND('PROG FORMACIÓN TITULADA'!#REF!,"AAAAAHrNmYE=")</f>
        <v>#REF!</v>
      </c>
      <c r="EA384" t="e">
        <f>AND('PROG FORMACIÓN TITULADA'!#REF!,"AAAAAHrNmYI=")</f>
        <v>#REF!</v>
      </c>
      <c r="EB384" t="e">
        <f>AND('PROG FORMACIÓN TITULADA'!#REF!,"AAAAAHrNmYM=")</f>
        <v>#REF!</v>
      </c>
      <c r="EC384" t="e">
        <f>AND('PROG FORMACIÓN TITULADA'!#REF!,"AAAAAHrNmYQ=")</f>
        <v>#REF!</v>
      </c>
      <c r="ED384" t="e">
        <f>AND('PROG FORMACIÓN TITULADA'!#REF!,"AAAAAHrNmYU=")</f>
        <v>#REF!</v>
      </c>
      <c r="EE384" t="e">
        <f>AND('PROG FORMACIÓN TITULADA'!#REF!,"AAAAAHrNmYY=")</f>
        <v>#REF!</v>
      </c>
      <c r="EF384" t="e">
        <f>AND('PROG FORMACIÓN TITULADA'!#REF!,"AAAAAHrNmYc=")</f>
        <v>#REF!</v>
      </c>
      <c r="EG384" t="e">
        <f>AND('PROG FORMACIÓN TITULADA'!#REF!,"AAAAAHrNmYg=")</f>
        <v>#REF!</v>
      </c>
      <c r="EH384" t="e">
        <f>AND('PROG FORMACIÓN TITULADA'!#REF!,"AAAAAHrNmYk=")</f>
        <v>#REF!</v>
      </c>
      <c r="EI384" t="e">
        <f>AND('PROG FORMACIÓN TITULADA'!#REF!,"AAAAAHrNmYo=")</f>
        <v>#REF!</v>
      </c>
      <c r="EJ384" t="e">
        <f>IF('PROG FORMACIÓN TITULADA'!#REF!,"AAAAAHrNmYs=",0)</f>
        <v>#REF!</v>
      </c>
      <c r="EK384" t="e">
        <f>AND('PROG FORMACIÓN TITULADA'!#REF!,"AAAAAHrNmYw=")</f>
        <v>#REF!</v>
      </c>
      <c r="EL384" t="e">
        <f>AND('PROG FORMACIÓN TITULADA'!#REF!,"AAAAAHrNmY0=")</f>
        <v>#REF!</v>
      </c>
      <c r="EM384" t="e">
        <f>AND('PROG FORMACIÓN TITULADA'!#REF!,"AAAAAHrNmY4=")</f>
        <v>#REF!</v>
      </c>
      <c r="EN384" t="e">
        <f>AND('PROG FORMACIÓN TITULADA'!#REF!,"AAAAAHrNmY8=")</f>
        <v>#REF!</v>
      </c>
      <c r="EO384" t="e">
        <f>AND('PROG FORMACIÓN TITULADA'!#REF!,"AAAAAHrNmZA=")</f>
        <v>#REF!</v>
      </c>
      <c r="EP384" t="e">
        <f>AND('PROG FORMACIÓN TITULADA'!#REF!,"AAAAAHrNmZE=")</f>
        <v>#REF!</v>
      </c>
      <c r="EQ384" t="e">
        <f>AND('PROG FORMACIÓN TITULADA'!#REF!,"AAAAAHrNmZI=")</f>
        <v>#REF!</v>
      </c>
      <c r="ER384" t="e">
        <f>AND('PROG FORMACIÓN TITULADA'!#REF!,"AAAAAHrNmZM=")</f>
        <v>#REF!</v>
      </c>
      <c r="ES384" t="e">
        <f>AND('PROG FORMACIÓN TITULADA'!#REF!,"AAAAAHrNmZQ=")</f>
        <v>#REF!</v>
      </c>
      <c r="ET384" t="e">
        <f>AND('PROG FORMACIÓN TITULADA'!#REF!,"AAAAAHrNmZU=")</f>
        <v>#REF!</v>
      </c>
      <c r="EU384" t="e">
        <f>AND('PROG FORMACIÓN TITULADA'!#REF!,"AAAAAHrNmZY=")</f>
        <v>#REF!</v>
      </c>
      <c r="EV384" t="e">
        <f>AND('PROG FORMACIÓN TITULADA'!#REF!,"AAAAAHrNmZc=")</f>
        <v>#REF!</v>
      </c>
      <c r="EW384" t="e">
        <f>AND('PROG FORMACIÓN TITULADA'!#REF!,"AAAAAHrNmZg=")</f>
        <v>#REF!</v>
      </c>
      <c r="EX384" t="e">
        <f>AND('PROG FORMACIÓN TITULADA'!#REF!,"AAAAAHrNmZk=")</f>
        <v>#REF!</v>
      </c>
      <c r="EY384" t="e">
        <f>AND('PROG FORMACIÓN TITULADA'!#REF!,"AAAAAHrNmZo=")</f>
        <v>#REF!</v>
      </c>
      <c r="EZ384" t="e">
        <f>AND('PROG FORMACIÓN TITULADA'!#REF!,"AAAAAHrNmZs=")</f>
        <v>#REF!</v>
      </c>
      <c r="FA384" t="e">
        <f>AND('PROG FORMACIÓN TITULADA'!#REF!,"AAAAAHrNmZw=")</f>
        <v>#REF!</v>
      </c>
      <c r="FB384" t="e">
        <f>AND('PROG FORMACIÓN TITULADA'!#REF!,"AAAAAHrNmZ0=")</f>
        <v>#REF!</v>
      </c>
      <c r="FC384" t="e">
        <f>AND('PROG FORMACIÓN TITULADA'!#REF!,"AAAAAHrNmZ4=")</f>
        <v>#REF!</v>
      </c>
      <c r="FD384" t="e">
        <f>AND('PROG FORMACIÓN TITULADA'!#REF!,"AAAAAHrNmZ8=")</f>
        <v>#REF!</v>
      </c>
      <c r="FE384" t="e">
        <f>AND('PROG FORMACIÓN TITULADA'!#REF!,"AAAAAHrNmaA=")</f>
        <v>#REF!</v>
      </c>
      <c r="FF384" t="e">
        <f>AND('PROG FORMACIÓN TITULADA'!#REF!,"AAAAAHrNmaE=")</f>
        <v>#REF!</v>
      </c>
      <c r="FG384" t="e">
        <f>AND('PROG FORMACIÓN TITULADA'!#REF!,"AAAAAHrNmaI=")</f>
        <v>#REF!</v>
      </c>
      <c r="FH384" t="e">
        <f>AND('PROG FORMACIÓN TITULADA'!#REF!,"AAAAAHrNmaM=")</f>
        <v>#REF!</v>
      </c>
      <c r="FI384" t="e">
        <f>AND('PROG FORMACIÓN TITULADA'!#REF!,"AAAAAHrNmaQ=")</f>
        <v>#REF!</v>
      </c>
      <c r="FJ384" t="e">
        <f>AND('PROG FORMACIÓN TITULADA'!#REF!,"AAAAAHrNmaU=")</f>
        <v>#REF!</v>
      </c>
      <c r="FK384" t="e">
        <f>IF('PROG FORMACIÓN TITULADA'!#REF!,"AAAAAHrNmaY=",0)</f>
        <v>#REF!</v>
      </c>
      <c r="FL384" t="e">
        <f>AND('PROG FORMACIÓN TITULADA'!#REF!,"AAAAAHrNmac=")</f>
        <v>#REF!</v>
      </c>
      <c r="FM384" t="e">
        <f>AND('PROG FORMACIÓN TITULADA'!#REF!,"AAAAAHrNmag=")</f>
        <v>#REF!</v>
      </c>
      <c r="FN384" t="e">
        <f>AND('PROG FORMACIÓN TITULADA'!#REF!,"AAAAAHrNmak=")</f>
        <v>#REF!</v>
      </c>
      <c r="FO384" t="e">
        <f>AND('PROG FORMACIÓN TITULADA'!#REF!,"AAAAAHrNmao=")</f>
        <v>#REF!</v>
      </c>
      <c r="FP384" t="e">
        <f>AND('PROG FORMACIÓN TITULADA'!#REF!,"AAAAAHrNmas=")</f>
        <v>#REF!</v>
      </c>
      <c r="FQ384" t="e">
        <f>AND('PROG FORMACIÓN TITULADA'!#REF!,"AAAAAHrNmaw=")</f>
        <v>#REF!</v>
      </c>
      <c r="FR384" t="e">
        <f>AND('PROG FORMACIÓN TITULADA'!#REF!,"AAAAAHrNma0=")</f>
        <v>#REF!</v>
      </c>
      <c r="FS384" t="e">
        <f>AND('PROG FORMACIÓN TITULADA'!#REF!,"AAAAAHrNma4=")</f>
        <v>#REF!</v>
      </c>
      <c r="FT384" t="e">
        <f>AND('PROG FORMACIÓN TITULADA'!#REF!,"AAAAAHrNma8=")</f>
        <v>#REF!</v>
      </c>
      <c r="FU384" t="e">
        <f>AND('PROG FORMACIÓN TITULADA'!#REF!,"AAAAAHrNmbA=")</f>
        <v>#REF!</v>
      </c>
      <c r="FV384" t="e">
        <f>AND('PROG FORMACIÓN TITULADA'!#REF!,"AAAAAHrNmbE=")</f>
        <v>#REF!</v>
      </c>
      <c r="FW384" t="e">
        <f>AND('PROG FORMACIÓN TITULADA'!#REF!,"AAAAAHrNmbI=")</f>
        <v>#REF!</v>
      </c>
      <c r="FX384" t="e">
        <f>AND('PROG FORMACIÓN TITULADA'!#REF!,"AAAAAHrNmbM=")</f>
        <v>#REF!</v>
      </c>
      <c r="FY384" t="e">
        <f>AND('PROG FORMACIÓN TITULADA'!#REF!,"AAAAAHrNmbQ=")</f>
        <v>#REF!</v>
      </c>
      <c r="FZ384" t="e">
        <f>AND('PROG FORMACIÓN TITULADA'!#REF!,"AAAAAHrNmbU=")</f>
        <v>#REF!</v>
      </c>
      <c r="GA384" t="e">
        <f>AND('PROG FORMACIÓN TITULADA'!#REF!,"AAAAAHrNmbY=")</f>
        <v>#REF!</v>
      </c>
      <c r="GB384" t="e">
        <f>AND('PROG FORMACIÓN TITULADA'!#REF!,"AAAAAHrNmbc=")</f>
        <v>#REF!</v>
      </c>
      <c r="GC384" t="e">
        <f>AND('PROG FORMACIÓN TITULADA'!#REF!,"AAAAAHrNmbg=")</f>
        <v>#REF!</v>
      </c>
      <c r="GD384" t="e">
        <f>AND('PROG FORMACIÓN TITULADA'!#REF!,"AAAAAHrNmbk=")</f>
        <v>#REF!</v>
      </c>
      <c r="GE384" t="e">
        <f>AND('PROG FORMACIÓN TITULADA'!#REF!,"AAAAAHrNmbo=")</f>
        <v>#REF!</v>
      </c>
      <c r="GF384" t="e">
        <f>AND('PROG FORMACIÓN TITULADA'!#REF!,"AAAAAHrNmbs=")</f>
        <v>#REF!</v>
      </c>
      <c r="GG384" t="e">
        <f>AND('PROG FORMACIÓN TITULADA'!#REF!,"AAAAAHrNmbw=")</f>
        <v>#REF!</v>
      </c>
      <c r="GH384" t="e">
        <f>AND('PROG FORMACIÓN TITULADA'!#REF!,"AAAAAHrNmb0=")</f>
        <v>#REF!</v>
      </c>
      <c r="GI384" t="e">
        <f>AND('PROG FORMACIÓN TITULADA'!#REF!,"AAAAAHrNmb4=")</f>
        <v>#REF!</v>
      </c>
      <c r="GJ384" t="e">
        <f>AND('PROG FORMACIÓN TITULADA'!#REF!,"AAAAAHrNmb8=")</f>
        <v>#REF!</v>
      </c>
      <c r="GK384" t="e">
        <f>AND('PROG FORMACIÓN TITULADA'!#REF!,"AAAAAHrNmcA=")</f>
        <v>#REF!</v>
      </c>
      <c r="GL384" t="e">
        <f>IF('PROG FORMACIÓN TITULADA'!#REF!,"AAAAAHrNmcE=",0)</f>
        <v>#REF!</v>
      </c>
      <c r="GM384" t="e">
        <f>AND('PROG FORMACIÓN TITULADA'!#REF!,"AAAAAHrNmcI=")</f>
        <v>#REF!</v>
      </c>
      <c r="GN384" t="e">
        <f>AND('PROG FORMACIÓN TITULADA'!#REF!,"AAAAAHrNmcM=")</f>
        <v>#REF!</v>
      </c>
      <c r="GO384" t="e">
        <f>AND('PROG FORMACIÓN TITULADA'!#REF!,"AAAAAHrNmcQ=")</f>
        <v>#REF!</v>
      </c>
      <c r="GP384" t="e">
        <f>AND('PROG FORMACIÓN TITULADA'!#REF!,"AAAAAHrNmcU=")</f>
        <v>#REF!</v>
      </c>
      <c r="GQ384" t="e">
        <f>AND('PROG FORMACIÓN TITULADA'!#REF!,"AAAAAHrNmcY=")</f>
        <v>#REF!</v>
      </c>
      <c r="GR384" t="e">
        <f>AND('PROG FORMACIÓN TITULADA'!#REF!,"AAAAAHrNmcc=")</f>
        <v>#REF!</v>
      </c>
      <c r="GS384" t="e">
        <f>AND('PROG FORMACIÓN TITULADA'!#REF!,"AAAAAHrNmcg=")</f>
        <v>#REF!</v>
      </c>
      <c r="GT384" t="e">
        <f>AND('PROG FORMACIÓN TITULADA'!#REF!,"AAAAAHrNmck=")</f>
        <v>#REF!</v>
      </c>
      <c r="GU384" t="e">
        <f>AND('PROG FORMACIÓN TITULADA'!#REF!,"AAAAAHrNmco=")</f>
        <v>#REF!</v>
      </c>
      <c r="GV384" t="e">
        <f>AND('PROG FORMACIÓN TITULADA'!#REF!,"AAAAAHrNmcs=")</f>
        <v>#REF!</v>
      </c>
      <c r="GW384" t="e">
        <f>AND('PROG FORMACIÓN TITULADA'!#REF!,"AAAAAHrNmcw=")</f>
        <v>#REF!</v>
      </c>
      <c r="GX384" t="e">
        <f>AND('PROG FORMACIÓN TITULADA'!#REF!,"AAAAAHrNmc0=")</f>
        <v>#REF!</v>
      </c>
      <c r="GY384" t="e">
        <f>AND('PROG FORMACIÓN TITULADA'!#REF!,"AAAAAHrNmc4=")</f>
        <v>#REF!</v>
      </c>
      <c r="GZ384" t="e">
        <f>AND('PROG FORMACIÓN TITULADA'!#REF!,"AAAAAHrNmc8=")</f>
        <v>#REF!</v>
      </c>
      <c r="HA384" t="e">
        <f>AND('PROG FORMACIÓN TITULADA'!#REF!,"AAAAAHrNmdA=")</f>
        <v>#REF!</v>
      </c>
      <c r="HB384" t="e">
        <f>AND('PROG FORMACIÓN TITULADA'!#REF!,"AAAAAHrNmdE=")</f>
        <v>#REF!</v>
      </c>
      <c r="HC384" t="e">
        <f>AND('PROG FORMACIÓN TITULADA'!#REF!,"AAAAAHrNmdI=")</f>
        <v>#REF!</v>
      </c>
      <c r="HD384" t="e">
        <f>AND('PROG FORMACIÓN TITULADA'!#REF!,"AAAAAHrNmdM=")</f>
        <v>#REF!</v>
      </c>
      <c r="HE384" t="e">
        <f>AND('PROG FORMACIÓN TITULADA'!#REF!,"AAAAAHrNmdQ=")</f>
        <v>#REF!</v>
      </c>
      <c r="HF384" t="e">
        <f>AND('PROG FORMACIÓN TITULADA'!#REF!,"AAAAAHrNmdU=")</f>
        <v>#REF!</v>
      </c>
      <c r="HG384" t="e">
        <f>AND('PROG FORMACIÓN TITULADA'!#REF!,"AAAAAHrNmdY=")</f>
        <v>#REF!</v>
      </c>
      <c r="HH384" t="e">
        <f>AND('PROG FORMACIÓN TITULADA'!#REF!,"AAAAAHrNmdc=")</f>
        <v>#REF!</v>
      </c>
      <c r="HI384" t="e">
        <f>AND('PROG FORMACIÓN TITULADA'!#REF!,"AAAAAHrNmdg=")</f>
        <v>#REF!</v>
      </c>
      <c r="HJ384" t="e">
        <f>AND('PROG FORMACIÓN TITULADA'!#REF!,"AAAAAHrNmdk=")</f>
        <v>#REF!</v>
      </c>
      <c r="HK384" t="e">
        <f>AND('PROG FORMACIÓN TITULADA'!#REF!,"AAAAAHrNmdo=")</f>
        <v>#REF!</v>
      </c>
      <c r="HL384" t="e">
        <f>AND('PROG FORMACIÓN TITULADA'!#REF!,"AAAAAHrNmds=")</f>
        <v>#REF!</v>
      </c>
      <c r="HM384" t="e">
        <f>IF('PROG FORMACIÓN TITULADA'!#REF!,"AAAAAHrNmdw=",0)</f>
        <v>#REF!</v>
      </c>
      <c r="HN384" t="e">
        <f>AND('PROG FORMACIÓN TITULADA'!#REF!,"AAAAAHrNmd0=")</f>
        <v>#REF!</v>
      </c>
      <c r="HO384" t="e">
        <f>AND('PROG FORMACIÓN TITULADA'!#REF!,"AAAAAHrNmd4=")</f>
        <v>#REF!</v>
      </c>
      <c r="HP384" t="e">
        <f>AND('PROG FORMACIÓN TITULADA'!#REF!,"AAAAAHrNmd8=")</f>
        <v>#REF!</v>
      </c>
      <c r="HQ384" t="e">
        <f>AND('PROG FORMACIÓN TITULADA'!#REF!,"AAAAAHrNmeA=")</f>
        <v>#REF!</v>
      </c>
      <c r="HR384" t="e">
        <f>AND('PROG FORMACIÓN TITULADA'!#REF!,"AAAAAHrNmeE=")</f>
        <v>#REF!</v>
      </c>
      <c r="HS384" t="e">
        <f>AND('PROG FORMACIÓN TITULADA'!#REF!,"AAAAAHrNmeI=")</f>
        <v>#REF!</v>
      </c>
      <c r="HT384" t="e">
        <f>AND('PROG FORMACIÓN TITULADA'!#REF!,"AAAAAHrNmeM=")</f>
        <v>#REF!</v>
      </c>
      <c r="HU384" t="e">
        <f>AND('PROG FORMACIÓN TITULADA'!#REF!,"AAAAAHrNmeQ=")</f>
        <v>#REF!</v>
      </c>
      <c r="HV384" t="e">
        <f>AND('PROG FORMACIÓN TITULADA'!#REF!,"AAAAAHrNmeU=")</f>
        <v>#REF!</v>
      </c>
      <c r="HW384" t="e">
        <f>AND('PROG FORMACIÓN TITULADA'!#REF!,"AAAAAHrNmeY=")</f>
        <v>#REF!</v>
      </c>
      <c r="HX384" t="e">
        <f>AND('PROG FORMACIÓN TITULADA'!#REF!,"AAAAAHrNmec=")</f>
        <v>#REF!</v>
      </c>
      <c r="HY384" t="e">
        <f>AND('PROG FORMACIÓN TITULADA'!#REF!,"AAAAAHrNmeg=")</f>
        <v>#REF!</v>
      </c>
      <c r="HZ384" t="e">
        <f>AND('PROG FORMACIÓN TITULADA'!#REF!,"AAAAAHrNmek=")</f>
        <v>#REF!</v>
      </c>
      <c r="IA384" t="e">
        <f>AND('PROG FORMACIÓN TITULADA'!#REF!,"AAAAAHrNmeo=")</f>
        <v>#REF!</v>
      </c>
      <c r="IB384" t="e">
        <f>AND('PROG FORMACIÓN TITULADA'!#REF!,"AAAAAHrNmes=")</f>
        <v>#REF!</v>
      </c>
      <c r="IC384" t="e">
        <f>AND('PROG FORMACIÓN TITULADA'!#REF!,"AAAAAHrNmew=")</f>
        <v>#REF!</v>
      </c>
      <c r="ID384" t="e">
        <f>AND('PROG FORMACIÓN TITULADA'!#REF!,"AAAAAHrNme0=")</f>
        <v>#REF!</v>
      </c>
      <c r="IE384" t="e">
        <f>AND('PROG FORMACIÓN TITULADA'!#REF!,"AAAAAHrNme4=")</f>
        <v>#REF!</v>
      </c>
      <c r="IF384" t="e">
        <f>AND('PROG FORMACIÓN TITULADA'!#REF!,"AAAAAHrNme8=")</f>
        <v>#REF!</v>
      </c>
      <c r="IG384" t="e">
        <f>AND('PROG FORMACIÓN TITULADA'!#REF!,"AAAAAHrNmfA=")</f>
        <v>#REF!</v>
      </c>
      <c r="IH384" t="e">
        <f>AND('PROG FORMACIÓN TITULADA'!#REF!,"AAAAAHrNmfE=")</f>
        <v>#REF!</v>
      </c>
      <c r="II384" t="e">
        <f>AND('PROG FORMACIÓN TITULADA'!#REF!,"AAAAAHrNmfI=")</f>
        <v>#REF!</v>
      </c>
      <c r="IJ384" t="e">
        <f>AND('PROG FORMACIÓN TITULADA'!#REF!,"AAAAAHrNmfM=")</f>
        <v>#REF!</v>
      </c>
      <c r="IK384" t="e">
        <f>AND('PROG FORMACIÓN TITULADA'!#REF!,"AAAAAHrNmfQ=")</f>
        <v>#REF!</v>
      </c>
      <c r="IL384" t="e">
        <f>AND('PROG FORMACIÓN TITULADA'!#REF!,"AAAAAHrNmfU=")</f>
        <v>#REF!</v>
      </c>
      <c r="IM384" t="e">
        <f>AND('PROG FORMACIÓN TITULADA'!#REF!,"AAAAAHrNmfY=")</f>
        <v>#REF!</v>
      </c>
      <c r="IN384" t="e">
        <f>IF('PROG FORMACIÓN TITULADA'!#REF!,"AAAAAHrNmfc=",0)</f>
        <v>#REF!</v>
      </c>
      <c r="IO384" t="e">
        <f>AND('PROG FORMACIÓN TITULADA'!#REF!,"AAAAAHrNmfg=")</f>
        <v>#REF!</v>
      </c>
      <c r="IP384" t="e">
        <f>AND('PROG FORMACIÓN TITULADA'!#REF!,"AAAAAHrNmfk=")</f>
        <v>#REF!</v>
      </c>
      <c r="IQ384" t="e">
        <f>AND('PROG FORMACIÓN TITULADA'!#REF!,"AAAAAHrNmfo=")</f>
        <v>#REF!</v>
      </c>
      <c r="IR384" t="e">
        <f>AND('PROG FORMACIÓN TITULADA'!#REF!,"AAAAAHrNmfs=")</f>
        <v>#REF!</v>
      </c>
      <c r="IS384" t="e">
        <f>AND('PROG FORMACIÓN TITULADA'!#REF!,"AAAAAHrNmfw=")</f>
        <v>#REF!</v>
      </c>
      <c r="IT384" t="e">
        <f>AND('PROG FORMACIÓN TITULADA'!#REF!,"AAAAAHrNmf0=")</f>
        <v>#REF!</v>
      </c>
      <c r="IU384" t="e">
        <f>AND('PROG FORMACIÓN TITULADA'!#REF!,"AAAAAHrNmf4=")</f>
        <v>#REF!</v>
      </c>
      <c r="IV384" t="e">
        <f>AND('PROG FORMACIÓN TITULADA'!#REF!,"AAAAAHrNmf8=")</f>
        <v>#REF!</v>
      </c>
    </row>
    <row r="385" spans="1:256" x14ac:dyDescent="0.2">
      <c r="A385" t="e">
        <f>AND('PROG FORMACIÓN TITULADA'!#REF!,"AAAAAC334wA=")</f>
        <v>#REF!</v>
      </c>
      <c r="B385" t="e">
        <f>AND('PROG FORMACIÓN TITULADA'!#REF!,"AAAAAC334wE=")</f>
        <v>#REF!</v>
      </c>
      <c r="C385" t="e">
        <f>AND('PROG FORMACIÓN TITULADA'!#REF!,"AAAAAC334wI=")</f>
        <v>#REF!</v>
      </c>
      <c r="D385" t="e">
        <f>AND('PROG FORMACIÓN TITULADA'!#REF!,"AAAAAC334wM=")</f>
        <v>#REF!</v>
      </c>
      <c r="E385" t="e">
        <f>AND('PROG FORMACIÓN TITULADA'!#REF!,"AAAAAC334wQ=")</f>
        <v>#REF!</v>
      </c>
      <c r="F385" t="e">
        <f>AND('PROG FORMACIÓN TITULADA'!#REF!,"AAAAAC334wU=")</f>
        <v>#REF!</v>
      </c>
      <c r="G385" t="e">
        <f>AND('PROG FORMACIÓN TITULADA'!#REF!,"AAAAAC334wY=")</f>
        <v>#REF!</v>
      </c>
      <c r="H385" t="e">
        <f>AND('PROG FORMACIÓN TITULADA'!#REF!,"AAAAAC334wc=")</f>
        <v>#REF!</v>
      </c>
      <c r="I385" t="e">
        <f>AND('PROG FORMACIÓN TITULADA'!#REF!,"AAAAAC334wg=")</f>
        <v>#REF!</v>
      </c>
      <c r="J385" t="e">
        <f>AND('PROG FORMACIÓN TITULADA'!#REF!,"AAAAAC334wk=")</f>
        <v>#REF!</v>
      </c>
      <c r="K385" t="e">
        <f>AND('PROG FORMACIÓN TITULADA'!#REF!,"AAAAAC334wo=")</f>
        <v>#REF!</v>
      </c>
      <c r="L385" t="e">
        <f>AND('PROG FORMACIÓN TITULADA'!#REF!,"AAAAAC334ws=")</f>
        <v>#REF!</v>
      </c>
      <c r="M385" t="e">
        <f>AND('PROG FORMACIÓN TITULADA'!#REF!,"AAAAAC334ww=")</f>
        <v>#REF!</v>
      </c>
      <c r="N385" t="e">
        <f>AND('PROG FORMACIÓN TITULADA'!#REF!,"AAAAAC334w0=")</f>
        <v>#REF!</v>
      </c>
      <c r="O385" t="e">
        <f>AND('PROG FORMACIÓN TITULADA'!#REF!,"AAAAAC334w4=")</f>
        <v>#REF!</v>
      </c>
      <c r="P385" t="e">
        <f>AND('PROG FORMACIÓN TITULADA'!#REF!,"AAAAAC334w8=")</f>
        <v>#REF!</v>
      </c>
      <c r="Q385" t="e">
        <f>AND('PROG FORMACIÓN TITULADA'!#REF!,"AAAAAC334xA=")</f>
        <v>#REF!</v>
      </c>
      <c r="R385" t="e">
        <f>AND('PROG FORMACIÓN TITULADA'!#REF!,"AAAAAC334xE=")</f>
        <v>#REF!</v>
      </c>
      <c r="S385" t="e">
        <f>IF('PROG FORMACIÓN TITULADA'!#REF!,"AAAAAC334xI=",0)</f>
        <v>#REF!</v>
      </c>
      <c r="T385" t="e">
        <f>AND('PROG FORMACIÓN TITULADA'!#REF!,"AAAAAC334xM=")</f>
        <v>#REF!</v>
      </c>
      <c r="U385" t="e">
        <f>AND('PROG FORMACIÓN TITULADA'!#REF!,"AAAAAC334xQ=")</f>
        <v>#REF!</v>
      </c>
      <c r="V385" t="e">
        <f>AND('PROG FORMACIÓN TITULADA'!#REF!,"AAAAAC334xU=")</f>
        <v>#REF!</v>
      </c>
      <c r="W385" t="e">
        <f>AND('PROG FORMACIÓN TITULADA'!#REF!,"AAAAAC334xY=")</f>
        <v>#REF!</v>
      </c>
      <c r="X385" t="e">
        <f>AND('PROG FORMACIÓN TITULADA'!#REF!,"AAAAAC334xc=")</f>
        <v>#REF!</v>
      </c>
      <c r="Y385" t="e">
        <f>AND('PROG FORMACIÓN TITULADA'!#REF!,"AAAAAC334xg=")</f>
        <v>#REF!</v>
      </c>
      <c r="Z385" t="e">
        <f>AND('PROG FORMACIÓN TITULADA'!#REF!,"AAAAAC334xk=")</f>
        <v>#REF!</v>
      </c>
      <c r="AA385" t="e">
        <f>AND('PROG FORMACIÓN TITULADA'!#REF!,"AAAAAC334xo=")</f>
        <v>#REF!</v>
      </c>
      <c r="AB385" t="e">
        <f>AND('PROG FORMACIÓN TITULADA'!#REF!,"AAAAAC334xs=")</f>
        <v>#REF!</v>
      </c>
      <c r="AC385" t="e">
        <f>AND('PROG FORMACIÓN TITULADA'!#REF!,"AAAAAC334xw=")</f>
        <v>#REF!</v>
      </c>
      <c r="AD385" t="e">
        <f>AND('PROG FORMACIÓN TITULADA'!#REF!,"AAAAAC334x0=")</f>
        <v>#REF!</v>
      </c>
      <c r="AE385" t="e">
        <f>AND('PROG FORMACIÓN TITULADA'!#REF!,"AAAAAC334x4=")</f>
        <v>#REF!</v>
      </c>
      <c r="AF385" t="e">
        <f>AND('PROG FORMACIÓN TITULADA'!#REF!,"AAAAAC334x8=")</f>
        <v>#REF!</v>
      </c>
      <c r="AG385" t="e">
        <f>AND('PROG FORMACIÓN TITULADA'!#REF!,"AAAAAC334yA=")</f>
        <v>#REF!</v>
      </c>
      <c r="AH385" t="e">
        <f>AND('PROG FORMACIÓN TITULADA'!#REF!,"AAAAAC334yE=")</f>
        <v>#REF!</v>
      </c>
      <c r="AI385" t="e">
        <f>AND('PROG FORMACIÓN TITULADA'!#REF!,"AAAAAC334yI=")</f>
        <v>#REF!</v>
      </c>
      <c r="AJ385" t="e">
        <f>AND('PROG FORMACIÓN TITULADA'!#REF!,"AAAAAC334yM=")</f>
        <v>#REF!</v>
      </c>
      <c r="AK385" t="e">
        <f>AND('PROG FORMACIÓN TITULADA'!#REF!,"AAAAAC334yQ=")</f>
        <v>#REF!</v>
      </c>
      <c r="AL385" t="e">
        <f>AND('PROG FORMACIÓN TITULADA'!#REF!,"AAAAAC334yU=")</f>
        <v>#REF!</v>
      </c>
      <c r="AM385" t="e">
        <f>AND('PROG FORMACIÓN TITULADA'!#REF!,"AAAAAC334yY=")</f>
        <v>#REF!</v>
      </c>
      <c r="AN385" t="e">
        <f>AND('PROG FORMACIÓN TITULADA'!#REF!,"AAAAAC334yc=")</f>
        <v>#REF!</v>
      </c>
      <c r="AO385" t="e">
        <f>AND('PROG FORMACIÓN TITULADA'!#REF!,"AAAAAC334yg=")</f>
        <v>#REF!</v>
      </c>
      <c r="AP385" t="e">
        <f>AND('PROG FORMACIÓN TITULADA'!#REF!,"AAAAAC334yk=")</f>
        <v>#REF!</v>
      </c>
      <c r="AQ385" t="e">
        <f>AND('PROG FORMACIÓN TITULADA'!#REF!,"AAAAAC334yo=")</f>
        <v>#REF!</v>
      </c>
      <c r="AR385" t="e">
        <f>AND('PROG FORMACIÓN TITULADA'!#REF!,"AAAAAC334ys=")</f>
        <v>#REF!</v>
      </c>
      <c r="AS385" t="e">
        <f>AND('PROG FORMACIÓN TITULADA'!#REF!,"AAAAAC334yw=")</f>
        <v>#REF!</v>
      </c>
      <c r="AT385" t="e">
        <f>IF('PROG FORMACIÓN TITULADA'!#REF!,"AAAAAC334y0=",0)</f>
        <v>#REF!</v>
      </c>
      <c r="AU385" t="e">
        <f>AND('PROG FORMACIÓN TITULADA'!#REF!,"AAAAAC334y4=")</f>
        <v>#REF!</v>
      </c>
      <c r="AV385" t="e">
        <f>AND('PROG FORMACIÓN TITULADA'!#REF!,"AAAAAC334y8=")</f>
        <v>#REF!</v>
      </c>
      <c r="AW385" t="e">
        <f>AND('PROG FORMACIÓN TITULADA'!#REF!,"AAAAAC334zA=")</f>
        <v>#REF!</v>
      </c>
      <c r="AX385" t="e">
        <f>AND('PROG FORMACIÓN TITULADA'!#REF!,"AAAAAC334zE=")</f>
        <v>#REF!</v>
      </c>
      <c r="AY385" t="e">
        <f>AND('PROG FORMACIÓN TITULADA'!#REF!,"AAAAAC334zI=")</f>
        <v>#REF!</v>
      </c>
      <c r="AZ385" t="e">
        <f>AND('PROG FORMACIÓN TITULADA'!#REF!,"AAAAAC334zM=")</f>
        <v>#REF!</v>
      </c>
      <c r="BA385" t="e">
        <f>AND('PROG FORMACIÓN TITULADA'!#REF!,"AAAAAC334zQ=")</f>
        <v>#REF!</v>
      </c>
      <c r="BB385" t="e">
        <f>AND('PROG FORMACIÓN TITULADA'!#REF!,"AAAAAC334zU=")</f>
        <v>#REF!</v>
      </c>
      <c r="BC385" t="e">
        <f>AND('PROG FORMACIÓN TITULADA'!#REF!,"AAAAAC334zY=")</f>
        <v>#REF!</v>
      </c>
      <c r="BD385" t="e">
        <f>AND('PROG FORMACIÓN TITULADA'!#REF!,"AAAAAC334zc=")</f>
        <v>#REF!</v>
      </c>
      <c r="BE385" t="e">
        <f>AND('PROG FORMACIÓN TITULADA'!#REF!,"AAAAAC334zg=")</f>
        <v>#REF!</v>
      </c>
      <c r="BF385" t="e">
        <f>AND('PROG FORMACIÓN TITULADA'!#REF!,"AAAAAC334zk=")</f>
        <v>#REF!</v>
      </c>
      <c r="BG385" t="e">
        <f>AND('PROG FORMACIÓN TITULADA'!#REF!,"AAAAAC334zo=")</f>
        <v>#REF!</v>
      </c>
      <c r="BH385" t="e">
        <f>AND('PROG FORMACIÓN TITULADA'!#REF!,"AAAAAC334zs=")</f>
        <v>#REF!</v>
      </c>
      <c r="BI385" t="e">
        <f>AND('PROG FORMACIÓN TITULADA'!#REF!,"AAAAAC334zw=")</f>
        <v>#REF!</v>
      </c>
      <c r="BJ385" t="e">
        <f>AND('PROG FORMACIÓN TITULADA'!#REF!,"AAAAAC334z0=")</f>
        <v>#REF!</v>
      </c>
      <c r="BK385" t="e">
        <f>AND('PROG FORMACIÓN TITULADA'!#REF!,"AAAAAC334z4=")</f>
        <v>#REF!</v>
      </c>
      <c r="BL385" t="e">
        <f>AND('PROG FORMACIÓN TITULADA'!#REF!,"AAAAAC334z8=")</f>
        <v>#REF!</v>
      </c>
      <c r="BM385" t="e">
        <f>AND('PROG FORMACIÓN TITULADA'!#REF!,"AAAAAC3340A=")</f>
        <v>#REF!</v>
      </c>
      <c r="BN385" t="e">
        <f>AND('PROG FORMACIÓN TITULADA'!#REF!,"AAAAAC3340E=")</f>
        <v>#REF!</v>
      </c>
      <c r="BO385" t="e">
        <f>AND('PROG FORMACIÓN TITULADA'!#REF!,"AAAAAC3340I=")</f>
        <v>#REF!</v>
      </c>
      <c r="BP385" t="e">
        <f>AND('PROG FORMACIÓN TITULADA'!#REF!,"AAAAAC3340M=")</f>
        <v>#REF!</v>
      </c>
      <c r="BQ385" t="e">
        <f>AND('PROG FORMACIÓN TITULADA'!#REF!,"AAAAAC3340Q=")</f>
        <v>#REF!</v>
      </c>
      <c r="BR385" t="e">
        <f>AND('PROG FORMACIÓN TITULADA'!#REF!,"AAAAAC3340U=")</f>
        <v>#REF!</v>
      </c>
      <c r="BS385" t="e">
        <f>AND('PROG FORMACIÓN TITULADA'!#REF!,"AAAAAC3340Y=")</f>
        <v>#REF!</v>
      </c>
      <c r="BT385" t="e">
        <f>AND('PROG FORMACIÓN TITULADA'!#REF!,"AAAAAC3340c=")</f>
        <v>#REF!</v>
      </c>
      <c r="BU385" t="e">
        <f>IF('PROG FORMACIÓN TITULADA'!#REF!,"AAAAAC3340g=",0)</f>
        <v>#REF!</v>
      </c>
      <c r="BV385" t="e">
        <f>AND('PROG FORMACIÓN TITULADA'!#REF!,"AAAAAC3340k=")</f>
        <v>#REF!</v>
      </c>
      <c r="BW385" t="e">
        <f>AND('PROG FORMACIÓN TITULADA'!#REF!,"AAAAAC3340o=")</f>
        <v>#REF!</v>
      </c>
      <c r="BX385" t="e">
        <f>AND('PROG FORMACIÓN TITULADA'!#REF!,"AAAAAC3340s=")</f>
        <v>#REF!</v>
      </c>
      <c r="BY385" t="e">
        <f>AND('PROG FORMACIÓN TITULADA'!#REF!,"AAAAAC3340w=")</f>
        <v>#REF!</v>
      </c>
      <c r="BZ385" t="e">
        <f>AND('PROG FORMACIÓN TITULADA'!#REF!,"AAAAAC33400=")</f>
        <v>#REF!</v>
      </c>
      <c r="CA385" t="e">
        <f>AND('PROG FORMACIÓN TITULADA'!#REF!,"AAAAAC33404=")</f>
        <v>#REF!</v>
      </c>
      <c r="CB385" t="e">
        <f>AND('PROG FORMACIÓN TITULADA'!#REF!,"AAAAAC33408=")</f>
        <v>#REF!</v>
      </c>
      <c r="CC385" t="e">
        <f>AND('PROG FORMACIÓN TITULADA'!#REF!,"AAAAAC3341A=")</f>
        <v>#REF!</v>
      </c>
      <c r="CD385" t="e">
        <f>AND('PROG FORMACIÓN TITULADA'!#REF!,"AAAAAC3341E=")</f>
        <v>#REF!</v>
      </c>
      <c r="CE385" t="e">
        <f>AND('PROG FORMACIÓN TITULADA'!#REF!,"AAAAAC3341I=")</f>
        <v>#REF!</v>
      </c>
      <c r="CF385" t="e">
        <f>AND('PROG FORMACIÓN TITULADA'!#REF!,"AAAAAC3341M=")</f>
        <v>#REF!</v>
      </c>
      <c r="CG385" t="e">
        <f>AND('PROG FORMACIÓN TITULADA'!#REF!,"AAAAAC3341Q=")</f>
        <v>#REF!</v>
      </c>
      <c r="CH385" t="e">
        <f>AND('PROG FORMACIÓN TITULADA'!#REF!,"AAAAAC3341U=")</f>
        <v>#REF!</v>
      </c>
      <c r="CI385" t="e">
        <f>AND('PROG FORMACIÓN TITULADA'!#REF!,"AAAAAC3341Y=")</f>
        <v>#REF!</v>
      </c>
      <c r="CJ385" t="e">
        <f>AND('PROG FORMACIÓN TITULADA'!#REF!,"AAAAAC3341c=")</f>
        <v>#REF!</v>
      </c>
      <c r="CK385" t="e">
        <f>AND('PROG FORMACIÓN TITULADA'!#REF!,"AAAAAC3341g=")</f>
        <v>#REF!</v>
      </c>
      <c r="CL385" t="e">
        <f>AND('PROG FORMACIÓN TITULADA'!#REF!,"AAAAAC3341k=")</f>
        <v>#REF!</v>
      </c>
      <c r="CM385" t="e">
        <f>AND('PROG FORMACIÓN TITULADA'!#REF!,"AAAAAC3341o=")</f>
        <v>#REF!</v>
      </c>
      <c r="CN385" t="e">
        <f>AND('PROG FORMACIÓN TITULADA'!#REF!,"AAAAAC3341s=")</f>
        <v>#REF!</v>
      </c>
      <c r="CO385" t="e">
        <f>AND('PROG FORMACIÓN TITULADA'!#REF!,"AAAAAC3341w=")</f>
        <v>#REF!</v>
      </c>
      <c r="CP385" t="e">
        <f>AND('PROG FORMACIÓN TITULADA'!#REF!,"AAAAAC33410=")</f>
        <v>#REF!</v>
      </c>
      <c r="CQ385" t="e">
        <f>AND('PROG FORMACIÓN TITULADA'!#REF!,"AAAAAC33414=")</f>
        <v>#REF!</v>
      </c>
      <c r="CR385" t="e">
        <f>AND('PROG FORMACIÓN TITULADA'!#REF!,"AAAAAC33418=")</f>
        <v>#REF!</v>
      </c>
      <c r="CS385" t="e">
        <f>AND('PROG FORMACIÓN TITULADA'!#REF!,"AAAAAC3342A=")</f>
        <v>#REF!</v>
      </c>
      <c r="CT385" t="e">
        <f>AND('PROG FORMACIÓN TITULADA'!#REF!,"AAAAAC3342E=")</f>
        <v>#REF!</v>
      </c>
      <c r="CU385" t="e">
        <f>AND('PROG FORMACIÓN TITULADA'!#REF!,"AAAAAC3342I=")</f>
        <v>#REF!</v>
      </c>
      <c r="CV385" t="e">
        <f>IF('PROG FORMACIÓN TITULADA'!#REF!,"AAAAAC3342M=",0)</f>
        <v>#REF!</v>
      </c>
      <c r="CW385" t="e">
        <f>AND('PROG FORMACIÓN TITULADA'!#REF!,"AAAAAC3342Q=")</f>
        <v>#REF!</v>
      </c>
      <c r="CX385" t="e">
        <f>AND('PROG FORMACIÓN TITULADA'!#REF!,"AAAAAC3342U=")</f>
        <v>#REF!</v>
      </c>
      <c r="CY385" t="e">
        <f>AND('PROG FORMACIÓN TITULADA'!#REF!,"AAAAAC3342Y=")</f>
        <v>#REF!</v>
      </c>
      <c r="CZ385" t="e">
        <f>AND('PROG FORMACIÓN TITULADA'!#REF!,"AAAAAC3342c=")</f>
        <v>#REF!</v>
      </c>
      <c r="DA385" t="e">
        <f>AND('PROG FORMACIÓN TITULADA'!#REF!,"AAAAAC3342g=")</f>
        <v>#REF!</v>
      </c>
      <c r="DB385" t="e">
        <f>AND('PROG FORMACIÓN TITULADA'!#REF!,"AAAAAC3342k=")</f>
        <v>#REF!</v>
      </c>
      <c r="DC385" t="e">
        <f>AND('PROG FORMACIÓN TITULADA'!#REF!,"AAAAAC3342o=")</f>
        <v>#REF!</v>
      </c>
      <c r="DD385" t="e">
        <f>AND('PROG FORMACIÓN TITULADA'!#REF!,"AAAAAC3342s=")</f>
        <v>#REF!</v>
      </c>
      <c r="DE385" t="e">
        <f>AND('PROG FORMACIÓN TITULADA'!#REF!,"AAAAAC3342w=")</f>
        <v>#REF!</v>
      </c>
      <c r="DF385" t="e">
        <f>AND('PROG FORMACIÓN TITULADA'!#REF!,"AAAAAC33420=")</f>
        <v>#REF!</v>
      </c>
      <c r="DG385" t="e">
        <f>AND('PROG FORMACIÓN TITULADA'!#REF!,"AAAAAC33424=")</f>
        <v>#REF!</v>
      </c>
      <c r="DH385" t="e">
        <f>AND('PROG FORMACIÓN TITULADA'!#REF!,"AAAAAC33428=")</f>
        <v>#REF!</v>
      </c>
      <c r="DI385" t="e">
        <f>AND('PROG FORMACIÓN TITULADA'!#REF!,"AAAAAC3343A=")</f>
        <v>#REF!</v>
      </c>
      <c r="DJ385" t="e">
        <f>AND('PROG FORMACIÓN TITULADA'!#REF!,"AAAAAC3343E=")</f>
        <v>#REF!</v>
      </c>
      <c r="DK385" t="e">
        <f>AND('PROG FORMACIÓN TITULADA'!#REF!,"AAAAAC3343I=")</f>
        <v>#REF!</v>
      </c>
      <c r="DL385" t="e">
        <f>AND('PROG FORMACIÓN TITULADA'!#REF!,"AAAAAC3343M=")</f>
        <v>#REF!</v>
      </c>
      <c r="DM385" t="e">
        <f>AND('PROG FORMACIÓN TITULADA'!#REF!,"AAAAAC3343Q=")</f>
        <v>#REF!</v>
      </c>
      <c r="DN385" t="e">
        <f>AND('PROG FORMACIÓN TITULADA'!#REF!,"AAAAAC3343U=")</f>
        <v>#REF!</v>
      </c>
      <c r="DO385" t="e">
        <f>AND('PROG FORMACIÓN TITULADA'!#REF!,"AAAAAC3343Y=")</f>
        <v>#REF!</v>
      </c>
      <c r="DP385" t="e">
        <f>AND('PROG FORMACIÓN TITULADA'!#REF!,"AAAAAC3343c=")</f>
        <v>#REF!</v>
      </c>
      <c r="DQ385" t="e">
        <f>AND('PROG FORMACIÓN TITULADA'!#REF!,"AAAAAC3343g=")</f>
        <v>#REF!</v>
      </c>
      <c r="DR385" t="e">
        <f>AND('PROG FORMACIÓN TITULADA'!#REF!,"AAAAAC3343k=")</f>
        <v>#REF!</v>
      </c>
      <c r="DS385" t="e">
        <f>AND('PROG FORMACIÓN TITULADA'!#REF!,"AAAAAC3343o=")</f>
        <v>#REF!</v>
      </c>
      <c r="DT385" t="e">
        <f>AND('PROG FORMACIÓN TITULADA'!#REF!,"AAAAAC3343s=")</f>
        <v>#REF!</v>
      </c>
      <c r="DU385" t="e">
        <f>AND('PROG FORMACIÓN TITULADA'!#REF!,"AAAAAC3343w=")</f>
        <v>#REF!</v>
      </c>
      <c r="DV385" t="e">
        <f>AND('PROG FORMACIÓN TITULADA'!#REF!,"AAAAAC33430=")</f>
        <v>#REF!</v>
      </c>
      <c r="DW385" t="e">
        <f>IF('PROG FORMACIÓN TITULADA'!#REF!,"AAAAAC33434=",0)</f>
        <v>#REF!</v>
      </c>
      <c r="DX385" t="e">
        <f>AND('PROG FORMACIÓN TITULADA'!#REF!,"AAAAAC33438=")</f>
        <v>#REF!</v>
      </c>
      <c r="DY385" t="e">
        <f>AND('PROG FORMACIÓN TITULADA'!#REF!,"AAAAAC3344A=")</f>
        <v>#REF!</v>
      </c>
      <c r="DZ385" t="e">
        <f>AND('PROG FORMACIÓN TITULADA'!#REF!,"AAAAAC3344E=")</f>
        <v>#REF!</v>
      </c>
      <c r="EA385" t="e">
        <f>AND('PROG FORMACIÓN TITULADA'!#REF!,"AAAAAC3344I=")</f>
        <v>#REF!</v>
      </c>
      <c r="EB385" t="e">
        <f>AND('PROG FORMACIÓN TITULADA'!#REF!,"AAAAAC3344M=")</f>
        <v>#REF!</v>
      </c>
      <c r="EC385" t="e">
        <f>AND('PROG FORMACIÓN TITULADA'!#REF!,"AAAAAC3344Q=")</f>
        <v>#REF!</v>
      </c>
      <c r="ED385" t="e">
        <f>AND('PROG FORMACIÓN TITULADA'!#REF!,"AAAAAC3344U=")</f>
        <v>#REF!</v>
      </c>
      <c r="EE385" t="e">
        <f>AND('PROG FORMACIÓN TITULADA'!#REF!,"AAAAAC3344Y=")</f>
        <v>#REF!</v>
      </c>
      <c r="EF385" t="e">
        <f>AND('PROG FORMACIÓN TITULADA'!#REF!,"AAAAAC3344c=")</f>
        <v>#REF!</v>
      </c>
      <c r="EG385" t="e">
        <f>AND('PROG FORMACIÓN TITULADA'!#REF!,"AAAAAC3344g=")</f>
        <v>#REF!</v>
      </c>
      <c r="EH385" t="e">
        <f>AND('PROG FORMACIÓN TITULADA'!#REF!,"AAAAAC3344k=")</f>
        <v>#REF!</v>
      </c>
      <c r="EI385" t="e">
        <f>AND('PROG FORMACIÓN TITULADA'!#REF!,"AAAAAC3344o=")</f>
        <v>#REF!</v>
      </c>
      <c r="EJ385" t="e">
        <f>AND('PROG FORMACIÓN TITULADA'!#REF!,"AAAAAC3344s=")</f>
        <v>#REF!</v>
      </c>
      <c r="EK385" t="e">
        <f>AND('PROG FORMACIÓN TITULADA'!#REF!,"AAAAAC3344w=")</f>
        <v>#REF!</v>
      </c>
      <c r="EL385" t="e">
        <f>AND('PROG FORMACIÓN TITULADA'!#REF!,"AAAAAC33440=")</f>
        <v>#REF!</v>
      </c>
      <c r="EM385" t="e">
        <f>AND('PROG FORMACIÓN TITULADA'!#REF!,"AAAAAC33444=")</f>
        <v>#REF!</v>
      </c>
      <c r="EN385" t="e">
        <f>AND('PROG FORMACIÓN TITULADA'!#REF!,"AAAAAC33448=")</f>
        <v>#REF!</v>
      </c>
      <c r="EO385" t="e">
        <f>AND('PROG FORMACIÓN TITULADA'!#REF!,"AAAAAC3345A=")</f>
        <v>#REF!</v>
      </c>
      <c r="EP385" t="e">
        <f>AND('PROG FORMACIÓN TITULADA'!#REF!,"AAAAAC3345E=")</f>
        <v>#REF!</v>
      </c>
      <c r="EQ385" t="e">
        <f>AND('PROG FORMACIÓN TITULADA'!#REF!,"AAAAAC3345I=")</f>
        <v>#REF!</v>
      </c>
      <c r="ER385" t="e">
        <f>AND('PROG FORMACIÓN TITULADA'!#REF!,"AAAAAC3345M=")</f>
        <v>#REF!</v>
      </c>
      <c r="ES385" t="e">
        <f>AND('PROG FORMACIÓN TITULADA'!#REF!,"AAAAAC3345Q=")</f>
        <v>#REF!</v>
      </c>
      <c r="ET385" t="e">
        <f>AND('PROG FORMACIÓN TITULADA'!#REF!,"AAAAAC3345U=")</f>
        <v>#REF!</v>
      </c>
      <c r="EU385" t="e">
        <f>AND('PROG FORMACIÓN TITULADA'!#REF!,"AAAAAC3345Y=")</f>
        <v>#REF!</v>
      </c>
      <c r="EV385" t="e">
        <f>AND('PROG FORMACIÓN TITULADA'!#REF!,"AAAAAC3345c=")</f>
        <v>#REF!</v>
      </c>
      <c r="EW385" t="e">
        <f>AND('PROG FORMACIÓN TITULADA'!#REF!,"AAAAAC3345g=")</f>
        <v>#REF!</v>
      </c>
      <c r="EX385" t="e">
        <f>IF('PROG FORMACIÓN TITULADA'!#REF!,"AAAAAC3345k=",0)</f>
        <v>#REF!</v>
      </c>
      <c r="EY385" t="e">
        <f>AND('PROG FORMACIÓN TITULADA'!#REF!,"AAAAAC3345o=")</f>
        <v>#REF!</v>
      </c>
      <c r="EZ385" t="e">
        <f>AND('PROG FORMACIÓN TITULADA'!#REF!,"AAAAAC3345s=")</f>
        <v>#REF!</v>
      </c>
      <c r="FA385" t="e">
        <f>AND('PROG FORMACIÓN TITULADA'!#REF!,"AAAAAC3345w=")</f>
        <v>#REF!</v>
      </c>
      <c r="FB385" t="e">
        <f>AND('PROG FORMACIÓN TITULADA'!#REF!,"AAAAAC33450=")</f>
        <v>#REF!</v>
      </c>
      <c r="FC385" t="e">
        <f>AND('PROG FORMACIÓN TITULADA'!#REF!,"AAAAAC33454=")</f>
        <v>#REF!</v>
      </c>
      <c r="FD385" t="e">
        <f>AND('PROG FORMACIÓN TITULADA'!#REF!,"AAAAAC33458=")</f>
        <v>#REF!</v>
      </c>
      <c r="FE385" t="e">
        <f>AND('PROG FORMACIÓN TITULADA'!#REF!,"AAAAAC3346A=")</f>
        <v>#REF!</v>
      </c>
      <c r="FF385" t="e">
        <f>AND('PROG FORMACIÓN TITULADA'!#REF!,"AAAAAC3346E=")</f>
        <v>#REF!</v>
      </c>
      <c r="FG385" t="e">
        <f>AND('PROG FORMACIÓN TITULADA'!#REF!,"AAAAAC3346I=")</f>
        <v>#REF!</v>
      </c>
      <c r="FH385" t="e">
        <f>AND('PROG FORMACIÓN TITULADA'!#REF!,"AAAAAC3346M=")</f>
        <v>#REF!</v>
      </c>
      <c r="FI385" t="e">
        <f>AND('PROG FORMACIÓN TITULADA'!#REF!,"AAAAAC3346Q=")</f>
        <v>#REF!</v>
      </c>
      <c r="FJ385" t="e">
        <f>AND('PROG FORMACIÓN TITULADA'!#REF!,"AAAAAC3346U=")</f>
        <v>#REF!</v>
      </c>
      <c r="FK385" t="e">
        <f>AND('PROG FORMACIÓN TITULADA'!#REF!,"AAAAAC3346Y=")</f>
        <v>#REF!</v>
      </c>
      <c r="FL385" t="e">
        <f>AND('PROG FORMACIÓN TITULADA'!#REF!,"AAAAAC3346c=")</f>
        <v>#REF!</v>
      </c>
      <c r="FM385" t="e">
        <f>AND('PROG FORMACIÓN TITULADA'!#REF!,"AAAAAC3346g=")</f>
        <v>#REF!</v>
      </c>
      <c r="FN385" t="e">
        <f>AND('PROG FORMACIÓN TITULADA'!#REF!,"AAAAAC3346k=")</f>
        <v>#REF!</v>
      </c>
      <c r="FO385" t="e">
        <f>AND('PROG FORMACIÓN TITULADA'!#REF!,"AAAAAC3346o=")</f>
        <v>#REF!</v>
      </c>
      <c r="FP385" t="e">
        <f>AND('PROG FORMACIÓN TITULADA'!#REF!,"AAAAAC3346s=")</f>
        <v>#REF!</v>
      </c>
      <c r="FQ385" t="e">
        <f>AND('PROG FORMACIÓN TITULADA'!#REF!,"AAAAAC3346w=")</f>
        <v>#REF!</v>
      </c>
      <c r="FR385" t="e">
        <f>AND('PROG FORMACIÓN TITULADA'!#REF!,"AAAAAC33460=")</f>
        <v>#REF!</v>
      </c>
      <c r="FS385" t="e">
        <f>AND('PROG FORMACIÓN TITULADA'!#REF!,"AAAAAC33464=")</f>
        <v>#REF!</v>
      </c>
      <c r="FT385" t="e">
        <f>AND('PROG FORMACIÓN TITULADA'!#REF!,"AAAAAC33468=")</f>
        <v>#REF!</v>
      </c>
      <c r="FU385" t="e">
        <f>AND('PROG FORMACIÓN TITULADA'!#REF!,"AAAAAC3347A=")</f>
        <v>#REF!</v>
      </c>
      <c r="FV385" t="e">
        <f>AND('PROG FORMACIÓN TITULADA'!#REF!,"AAAAAC3347E=")</f>
        <v>#REF!</v>
      </c>
      <c r="FW385" t="e">
        <f>AND('PROG FORMACIÓN TITULADA'!#REF!,"AAAAAC3347I=")</f>
        <v>#REF!</v>
      </c>
      <c r="FX385" t="e">
        <f>AND('PROG FORMACIÓN TITULADA'!#REF!,"AAAAAC3347M=")</f>
        <v>#REF!</v>
      </c>
      <c r="FY385" t="e">
        <f>IF('PROG FORMACIÓN TITULADA'!#REF!,"AAAAAC3347Q=",0)</f>
        <v>#REF!</v>
      </c>
      <c r="FZ385" t="e">
        <f>AND('PROG FORMACIÓN TITULADA'!#REF!,"AAAAAC3347U=")</f>
        <v>#REF!</v>
      </c>
      <c r="GA385" t="e">
        <f>AND('PROG FORMACIÓN TITULADA'!#REF!,"AAAAAC3347Y=")</f>
        <v>#REF!</v>
      </c>
      <c r="GB385" t="e">
        <f>AND('PROG FORMACIÓN TITULADA'!#REF!,"AAAAAC3347c=")</f>
        <v>#REF!</v>
      </c>
      <c r="GC385" t="e">
        <f>AND('PROG FORMACIÓN TITULADA'!#REF!,"AAAAAC3347g=")</f>
        <v>#REF!</v>
      </c>
      <c r="GD385" t="e">
        <f>AND('PROG FORMACIÓN TITULADA'!#REF!,"AAAAAC3347k=")</f>
        <v>#REF!</v>
      </c>
      <c r="GE385" t="e">
        <f>AND('PROG FORMACIÓN TITULADA'!#REF!,"AAAAAC3347o=")</f>
        <v>#REF!</v>
      </c>
      <c r="GF385" t="e">
        <f>AND('PROG FORMACIÓN TITULADA'!#REF!,"AAAAAC3347s=")</f>
        <v>#REF!</v>
      </c>
      <c r="GG385" t="e">
        <f>AND('PROG FORMACIÓN TITULADA'!#REF!,"AAAAAC3347w=")</f>
        <v>#REF!</v>
      </c>
      <c r="GH385" t="e">
        <f>AND('PROG FORMACIÓN TITULADA'!#REF!,"AAAAAC33470=")</f>
        <v>#REF!</v>
      </c>
      <c r="GI385" t="e">
        <f>AND('PROG FORMACIÓN TITULADA'!#REF!,"AAAAAC33474=")</f>
        <v>#REF!</v>
      </c>
      <c r="GJ385" t="e">
        <f>AND('PROG FORMACIÓN TITULADA'!#REF!,"AAAAAC33478=")</f>
        <v>#REF!</v>
      </c>
      <c r="GK385" t="e">
        <f>AND('PROG FORMACIÓN TITULADA'!#REF!,"AAAAAC3348A=")</f>
        <v>#REF!</v>
      </c>
      <c r="GL385" t="e">
        <f>AND('PROG FORMACIÓN TITULADA'!#REF!,"AAAAAC3348E=")</f>
        <v>#REF!</v>
      </c>
      <c r="GM385" t="e">
        <f>AND('PROG FORMACIÓN TITULADA'!#REF!,"AAAAAC3348I=")</f>
        <v>#REF!</v>
      </c>
      <c r="GN385" t="e">
        <f>AND('PROG FORMACIÓN TITULADA'!#REF!,"AAAAAC3348M=")</f>
        <v>#REF!</v>
      </c>
      <c r="GO385" t="e">
        <f>AND('PROG FORMACIÓN TITULADA'!#REF!,"AAAAAC3348Q=")</f>
        <v>#REF!</v>
      </c>
      <c r="GP385" t="e">
        <f>AND('PROG FORMACIÓN TITULADA'!#REF!,"AAAAAC3348U=")</f>
        <v>#REF!</v>
      </c>
      <c r="GQ385" t="e">
        <f>AND('PROG FORMACIÓN TITULADA'!#REF!,"AAAAAC3348Y=")</f>
        <v>#REF!</v>
      </c>
      <c r="GR385" t="e">
        <f>AND('PROG FORMACIÓN TITULADA'!#REF!,"AAAAAC3348c=")</f>
        <v>#REF!</v>
      </c>
      <c r="GS385" t="e">
        <f>AND('PROG FORMACIÓN TITULADA'!#REF!,"AAAAAC3348g=")</f>
        <v>#REF!</v>
      </c>
      <c r="GT385" t="e">
        <f>AND('PROG FORMACIÓN TITULADA'!#REF!,"AAAAAC3348k=")</f>
        <v>#REF!</v>
      </c>
      <c r="GU385" t="e">
        <f>AND('PROG FORMACIÓN TITULADA'!#REF!,"AAAAAC3348o=")</f>
        <v>#REF!</v>
      </c>
      <c r="GV385" t="e">
        <f>AND('PROG FORMACIÓN TITULADA'!#REF!,"AAAAAC3348s=")</f>
        <v>#REF!</v>
      </c>
      <c r="GW385" t="e">
        <f>AND('PROG FORMACIÓN TITULADA'!#REF!,"AAAAAC3348w=")</f>
        <v>#REF!</v>
      </c>
      <c r="GX385" t="e">
        <f>AND('PROG FORMACIÓN TITULADA'!#REF!,"AAAAAC33480=")</f>
        <v>#REF!</v>
      </c>
      <c r="GY385" t="e">
        <f>AND('PROG FORMACIÓN TITULADA'!#REF!,"AAAAAC33484=")</f>
        <v>#REF!</v>
      </c>
      <c r="GZ385" t="e">
        <f>IF('PROG FORMACIÓN TITULADA'!#REF!,"AAAAAC33488=",0)</f>
        <v>#REF!</v>
      </c>
      <c r="HA385" t="e">
        <f>AND('PROG FORMACIÓN TITULADA'!#REF!,"AAAAAC3349A=")</f>
        <v>#REF!</v>
      </c>
      <c r="HB385" t="e">
        <f>AND('PROG FORMACIÓN TITULADA'!#REF!,"AAAAAC3349E=")</f>
        <v>#REF!</v>
      </c>
      <c r="HC385" t="e">
        <f>AND('PROG FORMACIÓN TITULADA'!#REF!,"AAAAAC3349I=")</f>
        <v>#REF!</v>
      </c>
      <c r="HD385" t="e">
        <f>AND('PROG FORMACIÓN TITULADA'!#REF!,"AAAAAC3349M=")</f>
        <v>#REF!</v>
      </c>
      <c r="HE385" t="e">
        <f>AND('PROG FORMACIÓN TITULADA'!#REF!,"AAAAAC3349Q=")</f>
        <v>#REF!</v>
      </c>
      <c r="HF385" t="e">
        <f>AND('PROG FORMACIÓN TITULADA'!#REF!,"AAAAAC3349U=")</f>
        <v>#REF!</v>
      </c>
      <c r="HG385" t="e">
        <f>AND('PROG FORMACIÓN TITULADA'!#REF!,"AAAAAC3349Y=")</f>
        <v>#REF!</v>
      </c>
      <c r="HH385" t="e">
        <f>AND('PROG FORMACIÓN TITULADA'!#REF!,"AAAAAC3349c=")</f>
        <v>#REF!</v>
      </c>
      <c r="HI385" t="e">
        <f>AND('PROG FORMACIÓN TITULADA'!#REF!,"AAAAAC3349g=")</f>
        <v>#REF!</v>
      </c>
      <c r="HJ385" t="e">
        <f>AND('PROG FORMACIÓN TITULADA'!#REF!,"AAAAAC3349k=")</f>
        <v>#REF!</v>
      </c>
      <c r="HK385" t="e">
        <f>AND('PROG FORMACIÓN TITULADA'!#REF!,"AAAAAC3349o=")</f>
        <v>#REF!</v>
      </c>
      <c r="HL385" t="e">
        <f>AND('PROG FORMACIÓN TITULADA'!#REF!,"AAAAAC3349s=")</f>
        <v>#REF!</v>
      </c>
      <c r="HM385" t="e">
        <f>AND('PROG FORMACIÓN TITULADA'!#REF!,"AAAAAC3349w=")</f>
        <v>#REF!</v>
      </c>
      <c r="HN385" t="e">
        <f>AND('PROG FORMACIÓN TITULADA'!#REF!,"AAAAAC33490=")</f>
        <v>#REF!</v>
      </c>
      <c r="HO385" t="e">
        <f>AND('PROG FORMACIÓN TITULADA'!#REF!,"AAAAAC33494=")</f>
        <v>#REF!</v>
      </c>
      <c r="HP385" t="e">
        <f>AND('PROG FORMACIÓN TITULADA'!#REF!,"AAAAAC33498=")</f>
        <v>#REF!</v>
      </c>
      <c r="HQ385" t="e">
        <f>AND('PROG FORMACIÓN TITULADA'!#REF!,"AAAAAC334+A=")</f>
        <v>#REF!</v>
      </c>
      <c r="HR385" t="e">
        <f>AND('PROG FORMACIÓN TITULADA'!#REF!,"AAAAAC334+E=")</f>
        <v>#REF!</v>
      </c>
      <c r="HS385" t="e">
        <f>AND('PROG FORMACIÓN TITULADA'!#REF!,"AAAAAC334+I=")</f>
        <v>#REF!</v>
      </c>
      <c r="HT385" t="e">
        <f>AND('PROG FORMACIÓN TITULADA'!#REF!,"AAAAAC334+M=")</f>
        <v>#REF!</v>
      </c>
      <c r="HU385" t="e">
        <f>AND('PROG FORMACIÓN TITULADA'!#REF!,"AAAAAC334+Q=")</f>
        <v>#REF!</v>
      </c>
      <c r="HV385" t="e">
        <f>AND('PROG FORMACIÓN TITULADA'!#REF!,"AAAAAC334+U=")</f>
        <v>#REF!</v>
      </c>
      <c r="HW385" t="e">
        <f>AND('PROG FORMACIÓN TITULADA'!#REF!,"AAAAAC334+Y=")</f>
        <v>#REF!</v>
      </c>
      <c r="HX385" t="e">
        <f>AND('PROG FORMACIÓN TITULADA'!#REF!,"AAAAAC334+c=")</f>
        <v>#REF!</v>
      </c>
      <c r="HY385" t="e">
        <f>AND('PROG FORMACIÓN TITULADA'!#REF!,"AAAAAC334+g=")</f>
        <v>#REF!</v>
      </c>
      <c r="HZ385" t="e">
        <f>AND('PROG FORMACIÓN TITULADA'!#REF!,"AAAAAC334+k=")</f>
        <v>#REF!</v>
      </c>
      <c r="IA385" t="e">
        <f>IF('PROG FORMACIÓN TITULADA'!#REF!,"AAAAAC334+o=",0)</f>
        <v>#REF!</v>
      </c>
      <c r="IB385" t="e">
        <f>AND('PROG FORMACIÓN TITULADA'!#REF!,"AAAAAC334+s=")</f>
        <v>#REF!</v>
      </c>
      <c r="IC385" t="e">
        <f>AND('PROG FORMACIÓN TITULADA'!#REF!,"AAAAAC334+w=")</f>
        <v>#REF!</v>
      </c>
      <c r="ID385" t="e">
        <f>AND('PROG FORMACIÓN TITULADA'!#REF!,"AAAAAC334+0=")</f>
        <v>#REF!</v>
      </c>
      <c r="IE385" t="e">
        <f>AND('PROG FORMACIÓN TITULADA'!#REF!,"AAAAAC334+4=")</f>
        <v>#REF!</v>
      </c>
      <c r="IF385" t="e">
        <f>AND('PROG FORMACIÓN TITULADA'!#REF!,"AAAAAC334+8=")</f>
        <v>#REF!</v>
      </c>
      <c r="IG385" t="e">
        <f>AND('PROG FORMACIÓN TITULADA'!#REF!,"AAAAAC334/A=")</f>
        <v>#REF!</v>
      </c>
      <c r="IH385" t="e">
        <f>AND('PROG FORMACIÓN TITULADA'!#REF!,"AAAAAC334/E=")</f>
        <v>#REF!</v>
      </c>
      <c r="II385" t="e">
        <f>AND('PROG FORMACIÓN TITULADA'!#REF!,"AAAAAC334/I=")</f>
        <v>#REF!</v>
      </c>
      <c r="IJ385" t="e">
        <f>AND('PROG FORMACIÓN TITULADA'!#REF!,"AAAAAC334/M=")</f>
        <v>#REF!</v>
      </c>
      <c r="IK385" t="e">
        <f>AND('PROG FORMACIÓN TITULADA'!#REF!,"AAAAAC334/Q=")</f>
        <v>#REF!</v>
      </c>
      <c r="IL385" t="e">
        <f>AND('PROG FORMACIÓN TITULADA'!#REF!,"AAAAAC334/U=")</f>
        <v>#REF!</v>
      </c>
      <c r="IM385" t="e">
        <f>AND('PROG FORMACIÓN TITULADA'!#REF!,"AAAAAC334/Y=")</f>
        <v>#REF!</v>
      </c>
      <c r="IN385" t="e">
        <f>AND('PROG FORMACIÓN TITULADA'!#REF!,"AAAAAC334/c=")</f>
        <v>#REF!</v>
      </c>
      <c r="IO385" t="e">
        <f>AND('PROG FORMACIÓN TITULADA'!#REF!,"AAAAAC334/g=")</f>
        <v>#REF!</v>
      </c>
      <c r="IP385" t="e">
        <f>AND('PROG FORMACIÓN TITULADA'!#REF!,"AAAAAC334/k=")</f>
        <v>#REF!</v>
      </c>
      <c r="IQ385" t="e">
        <f>AND('PROG FORMACIÓN TITULADA'!#REF!,"AAAAAC334/o=")</f>
        <v>#REF!</v>
      </c>
      <c r="IR385" t="e">
        <f>AND('PROG FORMACIÓN TITULADA'!#REF!,"AAAAAC334/s=")</f>
        <v>#REF!</v>
      </c>
      <c r="IS385" t="e">
        <f>AND('PROG FORMACIÓN TITULADA'!#REF!,"AAAAAC334/w=")</f>
        <v>#REF!</v>
      </c>
      <c r="IT385" t="e">
        <f>AND('PROG FORMACIÓN TITULADA'!#REF!,"AAAAAC334/0=")</f>
        <v>#REF!</v>
      </c>
      <c r="IU385" t="e">
        <f>AND('PROG FORMACIÓN TITULADA'!#REF!,"AAAAAC334/4=")</f>
        <v>#REF!</v>
      </c>
      <c r="IV385" t="e">
        <f>AND('PROG FORMACIÓN TITULADA'!#REF!,"AAAAAC334/8=")</f>
        <v>#REF!</v>
      </c>
    </row>
    <row r="386" spans="1:256" x14ac:dyDescent="0.2">
      <c r="A386" t="e">
        <f>AND('PROG FORMACIÓN TITULADA'!#REF!,"AAAAAH7tzwA=")</f>
        <v>#REF!</v>
      </c>
      <c r="B386" t="e">
        <f>AND('PROG FORMACIÓN TITULADA'!#REF!,"AAAAAH7tzwE=")</f>
        <v>#REF!</v>
      </c>
      <c r="C386" t="e">
        <f>AND('PROG FORMACIÓN TITULADA'!#REF!,"AAAAAH7tzwI=")</f>
        <v>#REF!</v>
      </c>
      <c r="D386" t="e">
        <f>AND('PROG FORMACIÓN TITULADA'!#REF!,"AAAAAH7tzwM=")</f>
        <v>#REF!</v>
      </c>
      <c r="E386" t="e">
        <f>AND('PROG FORMACIÓN TITULADA'!#REF!,"AAAAAH7tzwQ=")</f>
        <v>#REF!</v>
      </c>
      <c r="F386" t="e">
        <f>IF('PROG FORMACIÓN TITULADA'!#REF!,"AAAAAH7tzwU=",0)</f>
        <v>#REF!</v>
      </c>
      <c r="G386" t="e">
        <f>AND('PROG FORMACIÓN TITULADA'!#REF!,"AAAAAH7tzwY=")</f>
        <v>#REF!</v>
      </c>
      <c r="H386" t="e">
        <f>AND('PROG FORMACIÓN TITULADA'!#REF!,"AAAAAH7tzwc=")</f>
        <v>#REF!</v>
      </c>
      <c r="I386" t="e">
        <f>AND('PROG FORMACIÓN TITULADA'!#REF!,"AAAAAH7tzwg=")</f>
        <v>#REF!</v>
      </c>
      <c r="J386" t="e">
        <f>AND('PROG FORMACIÓN TITULADA'!#REF!,"AAAAAH7tzwk=")</f>
        <v>#REF!</v>
      </c>
      <c r="K386" t="e">
        <f>AND('PROG FORMACIÓN TITULADA'!#REF!,"AAAAAH7tzwo=")</f>
        <v>#REF!</v>
      </c>
      <c r="L386" t="e">
        <f>AND('PROG FORMACIÓN TITULADA'!#REF!,"AAAAAH7tzws=")</f>
        <v>#REF!</v>
      </c>
      <c r="M386" t="e">
        <f>AND('PROG FORMACIÓN TITULADA'!#REF!,"AAAAAH7tzww=")</f>
        <v>#REF!</v>
      </c>
      <c r="N386" t="e">
        <f>AND('PROG FORMACIÓN TITULADA'!#REF!,"AAAAAH7tzw0=")</f>
        <v>#REF!</v>
      </c>
      <c r="O386" t="e">
        <f>AND('PROG FORMACIÓN TITULADA'!#REF!,"AAAAAH7tzw4=")</f>
        <v>#REF!</v>
      </c>
      <c r="P386" t="e">
        <f>AND('PROG FORMACIÓN TITULADA'!#REF!,"AAAAAH7tzw8=")</f>
        <v>#REF!</v>
      </c>
      <c r="Q386" t="e">
        <f>AND('PROG FORMACIÓN TITULADA'!#REF!,"AAAAAH7tzxA=")</f>
        <v>#REF!</v>
      </c>
      <c r="R386" t="e">
        <f>AND('PROG FORMACIÓN TITULADA'!#REF!,"AAAAAH7tzxE=")</f>
        <v>#REF!</v>
      </c>
      <c r="S386" t="e">
        <f>AND('PROG FORMACIÓN TITULADA'!#REF!,"AAAAAH7tzxI=")</f>
        <v>#REF!</v>
      </c>
      <c r="T386" t="e">
        <f>AND('PROG FORMACIÓN TITULADA'!#REF!,"AAAAAH7tzxM=")</f>
        <v>#REF!</v>
      </c>
      <c r="U386" t="e">
        <f>AND('PROG FORMACIÓN TITULADA'!#REF!,"AAAAAH7tzxQ=")</f>
        <v>#REF!</v>
      </c>
      <c r="V386" t="e">
        <f>AND('PROG FORMACIÓN TITULADA'!#REF!,"AAAAAH7tzxU=")</f>
        <v>#REF!</v>
      </c>
      <c r="W386" t="e">
        <f>AND('PROG FORMACIÓN TITULADA'!#REF!,"AAAAAH7tzxY=")</f>
        <v>#REF!</v>
      </c>
      <c r="X386" t="e">
        <f>AND('PROG FORMACIÓN TITULADA'!#REF!,"AAAAAH7tzxc=")</f>
        <v>#REF!</v>
      </c>
      <c r="Y386" t="e">
        <f>AND('PROG FORMACIÓN TITULADA'!#REF!,"AAAAAH7tzxg=")</f>
        <v>#REF!</v>
      </c>
      <c r="Z386" t="e">
        <f>AND('PROG FORMACIÓN TITULADA'!#REF!,"AAAAAH7tzxk=")</f>
        <v>#REF!</v>
      </c>
      <c r="AA386" t="e">
        <f>AND('PROG FORMACIÓN TITULADA'!#REF!,"AAAAAH7tzxo=")</f>
        <v>#REF!</v>
      </c>
      <c r="AB386" t="e">
        <f>AND('PROG FORMACIÓN TITULADA'!#REF!,"AAAAAH7tzxs=")</f>
        <v>#REF!</v>
      </c>
      <c r="AC386" t="e">
        <f>AND('PROG FORMACIÓN TITULADA'!#REF!,"AAAAAH7tzxw=")</f>
        <v>#REF!</v>
      </c>
      <c r="AD386" t="e">
        <f>AND('PROG FORMACIÓN TITULADA'!#REF!,"AAAAAH7tzx0=")</f>
        <v>#REF!</v>
      </c>
      <c r="AE386" t="e">
        <f>AND('PROG FORMACIÓN TITULADA'!#REF!,"AAAAAH7tzx4=")</f>
        <v>#REF!</v>
      </c>
      <c r="AF386" t="e">
        <f>AND('PROG FORMACIÓN TITULADA'!#REF!,"AAAAAH7tzx8=")</f>
        <v>#REF!</v>
      </c>
      <c r="AG386" t="e">
        <f>IF('PROG FORMACIÓN TITULADA'!#REF!,"AAAAAH7tzyA=",0)</f>
        <v>#REF!</v>
      </c>
      <c r="AH386" t="e">
        <f>AND('PROG FORMACIÓN TITULADA'!#REF!,"AAAAAH7tzyE=")</f>
        <v>#REF!</v>
      </c>
      <c r="AI386" t="e">
        <f>AND('PROG FORMACIÓN TITULADA'!#REF!,"AAAAAH7tzyI=")</f>
        <v>#REF!</v>
      </c>
      <c r="AJ386" t="e">
        <f>AND('PROG FORMACIÓN TITULADA'!#REF!,"AAAAAH7tzyM=")</f>
        <v>#REF!</v>
      </c>
      <c r="AK386" t="e">
        <f>AND('PROG FORMACIÓN TITULADA'!#REF!,"AAAAAH7tzyQ=")</f>
        <v>#REF!</v>
      </c>
      <c r="AL386" t="e">
        <f>AND('PROG FORMACIÓN TITULADA'!#REF!,"AAAAAH7tzyU=")</f>
        <v>#REF!</v>
      </c>
      <c r="AM386" t="e">
        <f>AND('PROG FORMACIÓN TITULADA'!#REF!,"AAAAAH7tzyY=")</f>
        <v>#REF!</v>
      </c>
      <c r="AN386" t="e">
        <f>AND('PROG FORMACIÓN TITULADA'!#REF!,"AAAAAH7tzyc=")</f>
        <v>#REF!</v>
      </c>
      <c r="AO386" t="e">
        <f>AND('PROG FORMACIÓN TITULADA'!#REF!,"AAAAAH7tzyg=")</f>
        <v>#REF!</v>
      </c>
      <c r="AP386" t="e">
        <f>AND('PROG FORMACIÓN TITULADA'!#REF!,"AAAAAH7tzyk=")</f>
        <v>#REF!</v>
      </c>
      <c r="AQ386" t="e">
        <f>AND('PROG FORMACIÓN TITULADA'!#REF!,"AAAAAH7tzyo=")</f>
        <v>#REF!</v>
      </c>
      <c r="AR386" t="e">
        <f>AND('PROG FORMACIÓN TITULADA'!#REF!,"AAAAAH7tzys=")</f>
        <v>#REF!</v>
      </c>
      <c r="AS386" t="e">
        <f>AND('PROG FORMACIÓN TITULADA'!#REF!,"AAAAAH7tzyw=")</f>
        <v>#REF!</v>
      </c>
      <c r="AT386" t="e">
        <f>AND('PROG FORMACIÓN TITULADA'!#REF!,"AAAAAH7tzy0=")</f>
        <v>#REF!</v>
      </c>
      <c r="AU386" t="e">
        <f>AND('PROG FORMACIÓN TITULADA'!#REF!,"AAAAAH7tzy4=")</f>
        <v>#REF!</v>
      </c>
      <c r="AV386" t="e">
        <f>AND('PROG FORMACIÓN TITULADA'!#REF!,"AAAAAH7tzy8=")</f>
        <v>#REF!</v>
      </c>
      <c r="AW386" t="e">
        <f>AND('PROG FORMACIÓN TITULADA'!#REF!,"AAAAAH7tzzA=")</f>
        <v>#REF!</v>
      </c>
      <c r="AX386" t="e">
        <f>AND('PROG FORMACIÓN TITULADA'!#REF!,"AAAAAH7tzzE=")</f>
        <v>#REF!</v>
      </c>
      <c r="AY386" t="e">
        <f>AND('PROG FORMACIÓN TITULADA'!#REF!,"AAAAAH7tzzI=")</f>
        <v>#REF!</v>
      </c>
      <c r="AZ386" t="e">
        <f>AND('PROG FORMACIÓN TITULADA'!#REF!,"AAAAAH7tzzM=")</f>
        <v>#REF!</v>
      </c>
      <c r="BA386" t="e">
        <f>AND('PROG FORMACIÓN TITULADA'!#REF!,"AAAAAH7tzzQ=")</f>
        <v>#REF!</v>
      </c>
      <c r="BB386" t="e">
        <f>AND('PROG FORMACIÓN TITULADA'!#REF!,"AAAAAH7tzzU=")</f>
        <v>#REF!</v>
      </c>
      <c r="BC386" t="e">
        <f>AND('PROG FORMACIÓN TITULADA'!#REF!,"AAAAAH7tzzY=")</f>
        <v>#REF!</v>
      </c>
      <c r="BD386" t="e">
        <f>AND('PROG FORMACIÓN TITULADA'!#REF!,"AAAAAH7tzzc=")</f>
        <v>#REF!</v>
      </c>
      <c r="BE386" t="e">
        <f>AND('PROG FORMACIÓN TITULADA'!#REF!,"AAAAAH7tzzg=")</f>
        <v>#REF!</v>
      </c>
      <c r="BF386" t="e">
        <f>AND('PROG FORMACIÓN TITULADA'!#REF!,"AAAAAH7tzzk=")</f>
        <v>#REF!</v>
      </c>
      <c r="BG386" t="e">
        <f>AND('PROG FORMACIÓN TITULADA'!#REF!,"AAAAAH7tzzo=")</f>
        <v>#REF!</v>
      </c>
      <c r="BH386" t="e">
        <f>IF('PROG FORMACIÓN TITULADA'!#REF!,"AAAAAH7tzzs=",0)</f>
        <v>#REF!</v>
      </c>
      <c r="BI386" t="e">
        <f>AND('PROG FORMACIÓN TITULADA'!#REF!,"AAAAAH7tzzw=")</f>
        <v>#REF!</v>
      </c>
      <c r="BJ386" t="e">
        <f>AND('PROG FORMACIÓN TITULADA'!#REF!,"AAAAAH7tzz0=")</f>
        <v>#REF!</v>
      </c>
      <c r="BK386" t="e">
        <f>AND('PROG FORMACIÓN TITULADA'!#REF!,"AAAAAH7tzz4=")</f>
        <v>#REF!</v>
      </c>
      <c r="BL386" t="e">
        <f>AND('PROG FORMACIÓN TITULADA'!#REF!,"AAAAAH7tzz8=")</f>
        <v>#REF!</v>
      </c>
      <c r="BM386" t="e">
        <f>AND('PROG FORMACIÓN TITULADA'!#REF!,"AAAAAH7tz0A=")</f>
        <v>#REF!</v>
      </c>
      <c r="BN386" t="e">
        <f>AND('PROG FORMACIÓN TITULADA'!#REF!,"AAAAAH7tz0E=")</f>
        <v>#REF!</v>
      </c>
      <c r="BO386" t="e">
        <f>AND('PROG FORMACIÓN TITULADA'!#REF!,"AAAAAH7tz0I=")</f>
        <v>#REF!</v>
      </c>
      <c r="BP386" t="e">
        <f>AND('PROG FORMACIÓN TITULADA'!#REF!,"AAAAAH7tz0M=")</f>
        <v>#REF!</v>
      </c>
      <c r="BQ386" t="e">
        <f>AND('PROG FORMACIÓN TITULADA'!#REF!,"AAAAAH7tz0Q=")</f>
        <v>#REF!</v>
      </c>
      <c r="BR386" t="e">
        <f>AND('PROG FORMACIÓN TITULADA'!#REF!,"AAAAAH7tz0U=")</f>
        <v>#REF!</v>
      </c>
      <c r="BS386" t="e">
        <f>AND('PROG FORMACIÓN TITULADA'!#REF!,"AAAAAH7tz0Y=")</f>
        <v>#REF!</v>
      </c>
      <c r="BT386" t="e">
        <f>AND('PROG FORMACIÓN TITULADA'!#REF!,"AAAAAH7tz0c=")</f>
        <v>#REF!</v>
      </c>
      <c r="BU386" t="e">
        <f>AND('PROG FORMACIÓN TITULADA'!#REF!,"AAAAAH7tz0g=")</f>
        <v>#REF!</v>
      </c>
      <c r="BV386" t="e">
        <f>AND('PROG FORMACIÓN TITULADA'!#REF!,"AAAAAH7tz0k=")</f>
        <v>#REF!</v>
      </c>
      <c r="BW386" t="e">
        <f>AND('PROG FORMACIÓN TITULADA'!#REF!,"AAAAAH7tz0o=")</f>
        <v>#REF!</v>
      </c>
      <c r="BX386" t="e">
        <f>AND('PROG FORMACIÓN TITULADA'!#REF!,"AAAAAH7tz0s=")</f>
        <v>#REF!</v>
      </c>
      <c r="BY386" t="e">
        <f>AND('PROG FORMACIÓN TITULADA'!#REF!,"AAAAAH7tz0w=")</f>
        <v>#REF!</v>
      </c>
      <c r="BZ386" t="e">
        <f>AND('PROG FORMACIÓN TITULADA'!#REF!,"AAAAAH7tz00=")</f>
        <v>#REF!</v>
      </c>
      <c r="CA386" t="e">
        <f>AND('PROG FORMACIÓN TITULADA'!#REF!,"AAAAAH7tz04=")</f>
        <v>#REF!</v>
      </c>
      <c r="CB386" t="e">
        <f>AND('PROG FORMACIÓN TITULADA'!#REF!,"AAAAAH7tz08=")</f>
        <v>#REF!</v>
      </c>
      <c r="CC386" t="e">
        <f>AND('PROG FORMACIÓN TITULADA'!#REF!,"AAAAAH7tz1A=")</f>
        <v>#REF!</v>
      </c>
      <c r="CD386" t="e">
        <f>AND('PROG FORMACIÓN TITULADA'!#REF!,"AAAAAH7tz1E=")</f>
        <v>#REF!</v>
      </c>
      <c r="CE386" t="e">
        <f>AND('PROG FORMACIÓN TITULADA'!#REF!,"AAAAAH7tz1I=")</f>
        <v>#REF!</v>
      </c>
      <c r="CF386" t="e">
        <f>AND('PROG FORMACIÓN TITULADA'!#REF!,"AAAAAH7tz1M=")</f>
        <v>#REF!</v>
      </c>
      <c r="CG386" t="e">
        <f>AND('PROG FORMACIÓN TITULADA'!#REF!,"AAAAAH7tz1Q=")</f>
        <v>#REF!</v>
      </c>
      <c r="CH386" t="e">
        <f>AND('PROG FORMACIÓN TITULADA'!#REF!,"AAAAAH7tz1U=")</f>
        <v>#REF!</v>
      </c>
      <c r="CI386" t="e">
        <f>IF('PROG FORMACIÓN TITULADA'!#REF!,"AAAAAH7tz1Y=",0)</f>
        <v>#REF!</v>
      </c>
      <c r="CJ386" t="e">
        <f>AND('PROG FORMACIÓN TITULADA'!#REF!,"AAAAAH7tz1c=")</f>
        <v>#REF!</v>
      </c>
      <c r="CK386" t="e">
        <f>AND('PROG FORMACIÓN TITULADA'!#REF!,"AAAAAH7tz1g=")</f>
        <v>#REF!</v>
      </c>
      <c r="CL386" t="e">
        <f>AND('PROG FORMACIÓN TITULADA'!#REF!,"AAAAAH7tz1k=")</f>
        <v>#REF!</v>
      </c>
      <c r="CM386" t="e">
        <f>AND('PROG FORMACIÓN TITULADA'!#REF!,"AAAAAH7tz1o=")</f>
        <v>#REF!</v>
      </c>
      <c r="CN386" t="e">
        <f>AND('PROG FORMACIÓN TITULADA'!#REF!,"AAAAAH7tz1s=")</f>
        <v>#REF!</v>
      </c>
      <c r="CO386" t="e">
        <f>AND('PROG FORMACIÓN TITULADA'!#REF!,"AAAAAH7tz1w=")</f>
        <v>#REF!</v>
      </c>
      <c r="CP386" t="e">
        <f>AND('PROG FORMACIÓN TITULADA'!#REF!,"AAAAAH7tz10=")</f>
        <v>#REF!</v>
      </c>
      <c r="CQ386" t="e">
        <f>AND('PROG FORMACIÓN TITULADA'!#REF!,"AAAAAH7tz14=")</f>
        <v>#REF!</v>
      </c>
      <c r="CR386" t="e">
        <f>AND('PROG FORMACIÓN TITULADA'!#REF!,"AAAAAH7tz18=")</f>
        <v>#REF!</v>
      </c>
      <c r="CS386" t="e">
        <f>AND('PROG FORMACIÓN TITULADA'!#REF!,"AAAAAH7tz2A=")</f>
        <v>#REF!</v>
      </c>
      <c r="CT386" t="e">
        <f>AND('PROG FORMACIÓN TITULADA'!#REF!,"AAAAAH7tz2E=")</f>
        <v>#REF!</v>
      </c>
      <c r="CU386" t="e">
        <f>AND('PROG FORMACIÓN TITULADA'!#REF!,"AAAAAH7tz2I=")</f>
        <v>#REF!</v>
      </c>
      <c r="CV386" t="e">
        <f>AND('PROG FORMACIÓN TITULADA'!#REF!,"AAAAAH7tz2M=")</f>
        <v>#REF!</v>
      </c>
      <c r="CW386" t="e">
        <f>AND('PROG FORMACIÓN TITULADA'!#REF!,"AAAAAH7tz2Q=")</f>
        <v>#REF!</v>
      </c>
      <c r="CX386" t="e">
        <f>AND('PROG FORMACIÓN TITULADA'!#REF!,"AAAAAH7tz2U=")</f>
        <v>#REF!</v>
      </c>
      <c r="CY386" t="e">
        <f>AND('PROG FORMACIÓN TITULADA'!#REF!,"AAAAAH7tz2Y=")</f>
        <v>#REF!</v>
      </c>
      <c r="CZ386" t="e">
        <f>AND('PROG FORMACIÓN TITULADA'!#REF!,"AAAAAH7tz2c=")</f>
        <v>#REF!</v>
      </c>
      <c r="DA386" t="e">
        <f>AND('PROG FORMACIÓN TITULADA'!#REF!,"AAAAAH7tz2g=")</f>
        <v>#REF!</v>
      </c>
      <c r="DB386" t="e">
        <f>AND('PROG FORMACIÓN TITULADA'!#REF!,"AAAAAH7tz2k=")</f>
        <v>#REF!</v>
      </c>
      <c r="DC386" t="e">
        <f>AND('PROG FORMACIÓN TITULADA'!#REF!,"AAAAAH7tz2o=")</f>
        <v>#REF!</v>
      </c>
      <c r="DD386" t="e">
        <f>AND('PROG FORMACIÓN TITULADA'!#REF!,"AAAAAH7tz2s=")</f>
        <v>#REF!</v>
      </c>
      <c r="DE386" t="e">
        <f>AND('PROG FORMACIÓN TITULADA'!#REF!,"AAAAAH7tz2w=")</f>
        <v>#REF!</v>
      </c>
      <c r="DF386" t="e">
        <f>AND('PROG FORMACIÓN TITULADA'!#REF!,"AAAAAH7tz20=")</f>
        <v>#REF!</v>
      </c>
      <c r="DG386" t="e">
        <f>AND('PROG FORMACIÓN TITULADA'!#REF!,"AAAAAH7tz24=")</f>
        <v>#REF!</v>
      </c>
      <c r="DH386" t="e">
        <f>AND('PROG FORMACIÓN TITULADA'!#REF!,"AAAAAH7tz28=")</f>
        <v>#REF!</v>
      </c>
      <c r="DI386" t="e">
        <f>AND('PROG FORMACIÓN TITULADA'!#REF!,"AAAAAH7tz3A=")</f>
        <v>#REF!</v>
      </c>
      <c r="DJ386" t="e">
        <f>IF('PROG FORMACIÓN TITULADA'!#REF!,"AAAAAH7tz3E=",0)</f>
        <v>#REF!</v>
      </c>
      <c r="DK386" t="e">
        <f>AND('PROG FORMACIÓN TITULADA'!#REF!,"AAAAAH7tz3I=")</f>
        <v>#REF!</v>
      </c>
      <c r="DL386" t="e">
        <f>AND('PROG FORMACIÓN TITULADA'!#REF!,"AAAAAH7tz3M=")</f>
        <v>#REF!</v>
      </c>
      <c r="DM386" t="e">
        <f>AND('PROG FORMACIÓN TITULADA'!#REF!,"AAAAAH7tz3Q=")</f>
        <v>#REF!</v>
      </c>
      <c r="DN386" t="e">
        <f>AND('PROG FORMACIÓN TITULADA'!#REF!,"AAAAAH7tz3U=")</f>
        <v>#REF!</v>
      </c>
      <c r="DO386" t="e">
        <f>AND('PROG FORMACIÓN TITULADA'!#REF!,"AAAAAH7tz3Y=")</f>
        <v>#REF!</v>
      </c>
      <c r="DP386" t="e">
        <f>AND('PROG FORMACIÓN TITULADA'!#REF!,"AAAAAH7tz3c=")</f>
        <v>#REF!</v>
      </c>
      <c r="DQ386" t="e">
        <f>AND('PROG FORMACIÓN TITULADA'!#REF!,"AAAAAH7tz3g=")</f>
        <v>#REF!</v>
      </c>
      <c r="DR386" t="e">
        <f>AND('PROG FORMACIÓN TITULADA'!#REF!,"AAAAAH7tz3k=")</f>
        <v>#REF!</v>
      </c>
      <c r="DS386" t="e">
        <f>AND('PROG FORMACIÓN TITULADA'!#REF!,"AAAAAH7tz3o=")</f>
        <v>#REF!</v>
      </c>
      <c r="DT386" t="e">
        <f>AND('PROG FORMACIÓN TITULADA'!#REF!,"AAAAAH7tz3s=")</f>
        <v>#REF!</v>
      </c>
      <c r="DU386" t="e">
        <f>AND('PROG FORMACIÓN TITULADA'!#REF!,"AAAAAH7tz3w=")</f>
        <v>#REF!</v>
      </c>
      <c r="DV386" t="e">
        <f>AND('PROG FORMACIÓN TITULADA'!#REF!,"AAAAAH7tz30=")</f>
        <v>#REF!</v>
      </c>
      <c r="DW386" t="e">
        <f>AND('PROG FORMACIÓN TITULADA'!#REF!,"AAAAAH7tz34=")</f>
        <v>#REF!</v>
      </c>
      <c r="DX386" t="e">
        <f>AND('PROG FORMACIÓN TITULADA'!#REF!,"AAAAAH7tz38=")</f>
        <v>#REF!</v>
      </c>
      <c r="DY386" t="e">
        <f>AND('PROG FORMACIÓN TITULADA'!#REF!,"AAAAAH7tz4A=")</f>
        <v>#REF!</v>
      </c>
      <c r="DZ386" t="e">
        <f>AND('PROG FORMACIÓN TITULADA'!#REF!,"AAAAAH7tz4E=")</f>
        <v>#REF!</v>
      </c>
      <c r="EA386" t="e">
        <f>AND('PROG FORMACIÓN TITULADA'!#REF!,"AAAAAH7tz4I=")</f>
        <v>#REF!</v>
      </c>
      <c r="EB386" t="e">
        <f>AND('PROG FORMACIÓN TITULADA'!#REF!,"AAAAAH7tz4M=")</f>
        <v>#REF!</v>
      </c>
      <c r="EC386" t="e">
        <f>AND('PROG FORMACIÓN TITULADA'!#REF!,"AAAAAH7tz4Q=")</f>
        <v>#REF!</v>
      </c>
      <c r="ED386" t="e">
        <f>AND('PROG FORMACIÓN TITULADA'!#REF!,"AAAAAH7tz4U=")</f>
        <v>#REF!</v>
      </c>
      <c r="EE386" t="e">
        <f>AND('PROG FORMACIÓN TITULADA'!#REF!,"AAAAAH7tz4Y=")</f>
        <v>#REF!</v>
      </c>
      <c r="EF386" t="e">
        <f>AND('PROG FORMACIÓN TITULADA'!#REF!,"AAAAAH7tz4c=")</f>
        <v>#REF!</v>
      </c>
      <c r="EG386" t="e">
        <f>AND('PROG FORMACIÓN TITULADA'!#REF!,"AAAAAH7tz4g=")</f>
        <v>#REF!</v>
      </c>
      <c r="EH386" t="e">
        <f>AND('PROG FORMACIÓN TITULADA'!#REF!,"AAAAAH7tz4k=")</f>
        <v>#REF!</v>
      </c>
      <c r="EI386" t="e">
        <f>AND('PROG FORMACIÓN TITULADA'!#REF!,"AAAAAH7tz4o=")</f>
        <v>#REF!</v>
      </c>
      <c r="EJ386" t="e">
        <f>AND('PROG FORMACIÓN TITULADA'!#REF!,"AAAAAH7tz4s=")</f>
        <v>#REF!</v>
      </c>
      <c r="EK386" t="e">
        <f>IF('PROG FORMACIÓN TITULADA'!#REF!,"AAAAAH7tz4w=",0)</f>
        <v>#REF!</v>
      </c>
      <c r="EL386" t="e">
        <f>AND('PROG FORMACIÓN TITULADA'!#REF!,"AAAAAH7tz40=")</f>
        <v>#REF!</v>
      </c>
      <c r="EM386" t="e">
        <f>AND('PROG FORMACIÓN TITULADA'!#REF!,"AAAAAH7tz44=")</f>
        <v>#REF!</v>
      </c>
      <c r="EN386" t="e">
        <f>AND('PROG FORMACIÓN TITULADA'!#REF!,"AAAAAH7tz48=")</f>
        <v>#REF!</v>
      </c>
      <c r="EO386" t="e">
        <f>AND('PROG FORMACIÓN TITULADA'!#REF!,"AAAAAH7tz5A=")</f>
        <v>#REF!</v>
      </c>
      <c r="EP386" t="e">
        <f>AND('PROG FORMACIÓN TITULADA'!#REF!,"AAAAAH7tz5E=")</f>
        <v>#REF!</v>
      </c>
      <c r="EQ386" t="e">
        <f>AND('PROG FORMACIÓN TITULADA'!#REF!,"AAAAAH7tz5I=")</f>
        <v>#REF!</v>
      </c>
      <c r="ER386" t="e">
        <f>AND('PROG FORMACIÓN TITULADA'!#REF!,"AAAAAH7tz5M=")</f>
        <v>#REF!</v>
      </c>
      <c r="ES386" t="e">
        <f>AND('PROG FORMACIÓN TITULADA'!#REF!,"AAAAAH7tz5Q=")</f>
        <v>#REF!</v>
      </c>
      <c r="ET386" t="e">
        <f>AND('PROG FORMACIÓN TITULADA'!#REF!,"AAAAAH7tz5U=")</f>
        <v>#REF!</v>
      </c>
      <c r="EU386" t="e">
        <f>AND('PROG FORMACIÓN TITULADA'!#REF!,"AAAAAH7tz5Y=")</f>
        <v>#REF!</v>
      </c>
      <c r="EV386" t="e">
        <f>AND('PROG FORMACIÓN TITULADA'!#REF!,"AAAAAH7tz5c=")</f>
        <v>#REF!</v>
      </c>
      <c r="EW386" t="e">
        <f>AND('PROG FORMACIÓN TITULADA'!#REF!,"AAAAAH7tz5g=")</f>
        <v>#REF!</v>
      </c>
      <c r="EX386" t="e">
        <f>AND('PROG FORMACIÓN TITULADA'!#REF!,"AAAAAH7tz5k=")</f>
        <v>#REF!</v>
      </c>
      <c r="EY386" t="e">
        <f>AND('PROG FORMACIÓN TITULADA'!#REF!,"AAAAAH7tz5o=")</f>
        <v>#REF!</v>
      </c>
      <c r="EZ386" t="e">
        <f>AND('PROG FORMACIÓN TITULADA'!#REF!,"AAAAAH7tz5s=")</f>
        <v>#REF!</v>
      </c>
      <c r="FA386" t="e">
        <f>AND('PROG FORMACIÓN TITULADA'!#REF!,"AAAAAH7tz5w=")</f>
        <v>#REF!</v>
      </c>
      <c r="FB386" t="e">
        <f>AND('PROG FORMACIÓN TITULADA'!#REF!,"AAAAAH7tz50=")</f>
        <v>#REF!</v>
      </c>
      <c r="FC386" t="e">
        <f>AND('PROG FORMACIÓN TITULADA'!#REF!,"AAAAAH7tz54=")</f>
        <v>#REF!</v>
      </c>
      <c r="FD386" t="e">
        <f>AND('PROG FORMACIÓN TITULADA'!#REF!,"AAAAAH7tz58=")</f>
        <v>#REF!</v>
      </c>
      <c r="FE386" t="e">
        <f>AND('PROG FORMACIÓN TITULADA'!#REF!,"AAAAAH7tz6A=")</f>
        <v>#REF!</v>
      </c>
      <c r="FF386" t="e">
        <f>AND('PROG FORMACIÓN TITULADA'!#REF!,"AAAAAH7tz6E=")</f>
        <v>#REF!</v>
      </c>
      <c r="FG386" t="e">
        <f>AND('PROG FORMACIÓN TITULADA'!#REF!,"AAAAAH7tz6I=")</f>
        <v>#REF!</v>
      </c>
      <c r="FH386" t="e">
        <f>AND('PROG FORMACIÓN TITULADA'!#REF!,"AAAAAH7tz6M=")</f>
        <v>#REF!</v>
      </c>
      <c r="FI386" t="e">
        <f>AND('PROG FORMACIÓN TITULADA'!#REF!,"AAAAAH7tz6Q=")</f>
        <v>#REF!</v>
      </c>
      <c r="FJ386" t="e">
        <f>AND('PROG FORMACIÓN TITULADA'!#REF!,"AAAAAH7tz6U=")</f>
        <v>#REF!</v>
      </c>
      <c r="FK386" t="e">
        <f>AND('PROG FORMACIÓN TITULADA'!#REF!,"AAAAAH7tz6Y=")</f>
        <v>#REF!</v>
      </c>
      <c r="FL386" t="e">
        <f>IF('PROG FORMACIÓN TITULADA'!#REF!,"AAAAAH7tz6c=",0)</f>
        <v>#REF!</v>
      </c>
      <c r="FM386" t="e">
        <f>AND('PROG FORMACIÓN TITULADA'!#REF!,"AAAAAH7tz6g=")</f>
        <v>#REF!</v>
      </c>
      <c r="FN386" t="e">
        <f>AND('PROG FORMACIÓN TITULADA'!#REF!,"AAAAAH7tz6k=")</f>
        <v>#REF!</v>
      </c>
      <c r="FO386" t="e">
        <f>AND('PROG FORMACIÓN TITULADA'!#REF!,"AAAAAH7tz6o=")</f>
        <v>#REF!</v>
      </c>
      <c r="FP386" t="e">
        <f>AND('PROG FORMACIÓN TITULADA'!#REF!,"AAAAAH7tz6s=")</f>
        <v>#REF!</v>
      </c>
      <c r="FQ386" t="e">
        <f>AND('PROG FORMACIÓN TITULADA'!#REF!,"AAAAAH7tz6w=")</f>
        <v>#REF!</v>
      </c>
      <c r="FR386" t="e">
        <f>AND('PROG FORMACIÓN TITULADA'!#REF!,"AAAAAH7tz60=")</f>
        <v>#REF!</v>
      </c>
      <c r="FS386" t="e">
        <f>AND('PROG FORMACIÓN TITULADA'!#REF!,"AAAAAH7tz64=")</f>
        <v>#REF!</v>
      </c>
      <c r="FT386" t="e">
        <f>AND('PROG FORMACIÓN TITULADA'!#REF!,"AAAAAH7tz68=")</f>
        <v>#REF!</v>
      </c>
      <c r="FU386" t="e">
        <f>AND('PROG FORMACIÓN TITULADA'!#REF!,"AAAAAH7tz7A=")</f>
        <v>#REF!</v>
      </c>
      <c r="FV386" t="e">
        <f>AND('PROG FORMACIÓN TITULADA'!#REF!,"AAAAAH7tz7E=")</f>
        <v>#REF!</v>
      </c>
      <c r="FW386" t="e">
        <f>AND('PROG FORMACIÓN TITULADA'!#REF!,"AAAAAH7tz7I=")</f>
        <v>#REF!</v>
      </c>
      <c r="FX386" t="e">
        <f>AND('PROG FORMACIÓN TITULADA'!#REF!,"AAAAAH7tz7M=")</f>
        <v>#REF!</v>
      </c>
      <c r="FY386" t="e">
        <f>AND('PROG FORMACIÓN TITULADA'!#REF!,"AAAAAH7tz7Q=")</f>
        <v>#REF!</v>
      </c>
      <c r="FZ386" t="e">
        <f>AND('PROG FORMACIÓN TITULADA'!#REF!,"AAAAAH7tz7U=")</f>
        <v>#REF!</v>
      </c>
      <c r="GA386" t="e">
        <f>AND('PROG FORMACIÓN TITULADA'!#REF!,"AAAAAH7tz7Y=")</f>
        <v>#REF!</v>
      </c>
      <c r="GB386" t="e">
        <f>AND('PROG FORMACIÓN TITULADA'!#REF!,"AAAAAH7tz7c=")</f>
        <v>#REF!</v>
      </c>
      <c r="GC386" t="e">
        <f>AND('PROG FORMACIÓN TITULADA'!#REF!,"AAAAAH7tz7g=")</f>
        <v>#REF!</v>
      </c>
      <c r="GD386" t="e">
        <f>AND('PROG FORMACIÓN TITULADA'!#REF!,"AAAAAH7tz7k=")</f>
        <v>#REF!</v>
      </c>
      <c r="GE386" t="e">
        <f>AND('PROG FORMACIÓN TITULADA'!#REF!,"AAAAAH7tz7o=")</f>
        <v>#REF!</v>
      </c>
      <c r="GF386" t="e">
        <f>AND('PROG FORMACIÓN TITULADA'!#REF!,"AAAAAH7tz7s=")</f>
        <v>#REF!</v>
      </c>
      <c r="GG386" t="e">
        <f>AND('PROG FORMACIÓN TITULADA'!#REF!,"AAAAAH7tz7w=")</f>
        <v>#REF!</v>
      </c>
      <c r="GH386" t="e">
        <f>AND('PROG FORMACIÓN TITULADA'!#REF!,"AAAAAH7tz70=")</f>
        <v>#REF!</v>
      </c>
      <c r="GI386" t="e">
        <f>AND('PROG FORMACIÓN TITULADA'!#REF!,"AAAAAH7tz74=")</f>
        <v>#REF!</v>
      </c>
      <c r="GJ386" t="e">
        <f>AND('PROG FORMACIÓN TITULADA'!#REF!,"AAAAAH7tz78=")</f>
        <v>#REF!</v>
      </c>
      <c r="GK386" t="e">
        <f>AND('PROG FORMACIÓN TITULADA'!#REF!,"AAAAAH7tz8A=")</f>
        <v>#REF!</v>
      </c>
      <c r="GL386" t="e">
        <f>AND('PROG FORMACIÓN TITULADA'!#REF!,"AAAAAH7tz8E=")</f>
        <v>#REF!</v>
      </c>
      <c r="GM386" t="e">
        <f>IF('PROG FORMACIÓN TITULADA'!#REF!,"AAAAAH7tz8I=",0)</f>
        <v>#REF!</v>
      </c>
      <c r="GN386" t="e">
        <f>AND('PROG FORMACIÓN TITULADA'!#REF!,"AAAAAH7tz8M=")</f>
        <v>#REF!</v>
      </c>
      <c r="GO386" t="e">
        <f>AND('PROG FORMACIÓN TITULADA'!#REF!,"AAAAAH7tz8Q=")</f>
        <v>#REF!</v>
      </c>
      <c r="GP386" t="e">
        <f>AND('PROG FORMACIÓN TITULADA'!#REF!,"AAAAAH7tz8U=")</f>
        <v>#REF!</v>
      </c>
      <c r="GQ386" t="e">
        <f>AND('PROG FORMACIÓN TITULADA'!#REF!,"AAAAAH7tz8Y=")</f>
        <v>#REF!</v>
      </c>
      <c r="GR386" t="e">
        <f>AND('PROG FORMACIÓN TITULADA'!#REF!,"AAAAAH7tz8c=")</f>
        <v>#REF!</v>
      </c>
      <c r="GS386" t="e">
        <f>AND('PROG FORMACIÓN TITULADA'!#REF!,"AAAAAH7tz8g=")</f>
        <v>#REF!</v>
      </c>
      <c r="GT386" t="e">
        <f>AND('PROG FORMACIÓN TITULADA'!#REF!,"AAAAAH7tz8k=")</f>
        <v>#REF!</v>
      </c>
      <c r="GU386" t="e">
        <f>AND('PROG FORMACIÓN TITULADA'!#REF!,"AAAAAH7tz8o=")</f>
        <v>#REF!</v>
      </c>
      <c r="GV386" t="e">
        <f>AND('PROG FORMACIÓN TITULADA'!#REF!,"AAAAAH7tz8s=")</f>
        <v>#REF!</v>
      </c>
      <c r="GW386" t="e">
        <f>AND('PROG FORMACIÓN TITULADA'!#REF!,"AAAAAH7tz8w=")</f>
        <v>#REF!</v>
      </c>
      <c r="GX386" t="e">
        <f>AND('PROG FORMACIÓN TITULADA'!#REF!,"AAAAAH7tz80=")</f>
        <v>#REF!</v>
      </c>
      <c r="GY386" t="e">
        <f>AND('PROG FORMACIÓN TITULADA'!#REF!,"AAAAAH7tz84=")</f>
        <v>#REF!</v>
      </c>
      <c r="GZ386" t="e">
        <f>AND('PROG FORMACIÓN TITULADA'!#REF!,"AAAAAH7tz88=")</f>
        <v>#REF!</v>
      </c>
      <c r="HA386" t="e">
        <f>AND('PROG FORMACIÓN TITULADA'!#REF!,"AAAAAH7tz9A=")</f>
        <v>#REF!</v>
      </c>
      <c r="HB386" t="e">
        <f>AND('PROG FORMACIÓN TITULADA'!#REF!,"AAAAAH7tz9E=")</f>
        <v>#REF!</v>
      </c>
      <c r="HC386" t="e">
        <f>AND('PROG FORMACIÓN TITULADA'!#REF!,"AAAAAH7tz9I=")</f>
        <v>#REF!</v>
      </c>
      <c r="HD386" t="e">
        <f>AND('PROG FORMACIÓN TITULADA'!#REF!,"AAAAAH7tz9M=")</f>
        <v>#REF!</v>
      </c>
      <c r="HE386" t="e">
        <f>AND('PROG FORMACIÓN TITULADA'!#REF!,"AAAAAH7tz9Q=")</f>
        <v>#REF!</v>
      </c>
      <c r="HF386" t="e">
        <f>AND('PROG FORMACIÓN TITULADA'!#REF!,"AAAAAH7tz9U=")</f>
        <v>#REF!</v>
      </c>
      <c r="HG386" t="e">
        <f>AND('PROG FORMACIÓN TITULADA'!#REF!,"AAAAAH7tz9Y=")</f>
        <v>#REF!</v>
      </c>
      <c r="HH386" t="e">
        <f>AND('PROG FORMACIÓN TITULADA'!#REF!,"AAAAAH7tz9c=")</f>
        <v>#REF!</v>
      </c>
      <c r="HI386" t="e">
        <f>AND('PROG FORMACIÓN TITULADA'!#REF!,"AAAAAH7tz9g=")</f>
        <v>#REF!</v>
      </c>
      <c r="HJ386" t="e">
        <f>AND('PROG FORMACIÓN TITULADA'!#REF!,"AAAAAH7tz9k=")</f>
        <v>#REF!</v>
      </c>
      <c r="HK386" t="e">
        <f>AND('PROG FORMACIÓN TITULADA'!#REF!,"AAAAAH7tz9o=")</f>
        <v>#REF!</v>
      </c>
      <c r="HL386" t="e">
        <f>AND('PROG FORMACIÓN TITULADA'!#REF!,"AAAAAH7tz9s=")</f>
        <v>#REF!</v>
      </c>
      <c r="HM386" t="e">
        <f>AND('PROG FORMACIÓN TITULADA'!#REF!,"AAAAAH7tz9w=")</f>
        <v>#REF!</v>
      </c>
      <c r="HN386" t="e">
        <f>IF('PROG FORMACIÓN TITULADA'!#REF!,"AAAAAH7tz90=",0)</f>
        <v>#REF!</v>
      </c>
      <c r="HO386" t="e">
        <f>AND('PROG FORMACIÓN TITULADA'!#REF!,"AAAAAH7tz94=")</f>
        <v>#REF!</v>
      </c>
      <c r="HP386" t="e">
        <f>AND('PROG FORMACIÓN TITULADA'!#REF!,"AAAAAH7tz98=")</f>
        <v>#REF!</v>
      </c>
      <c r="HQ386" t="e">
        <f>AND('PROG FORMACIÓN TITULADA'!#REF!,"AAAAAH7tz+A=")</f>
        <v>#REF!</v>
      </c>
      <c r="HR386" t="e">
        <f>AND('PROG FORMACIÓN TITULADA'!#REF!,"AAAAAH7tz+E=")</f>
        <v>#REF!</v>
      </c>
      <c r="HS386" t="e">
        <f>AND('PROG FORMACIÓN TITULADA'!#REF!,"AAAAAH7tz+I=")</f>
        <v>#REF!</v>
      </c>
      <c r="HT386" t="e">
        <f>AND('PROG FORMACIÓN TITULADA'!#REF!,"AAAAAH7tz+M=")</f>
        <v>#REF!</v>
      </c>
      <c r="HU386" t="e">
        <f>AND('PROG FORMACIÓN TITULADA'!#REF!,"AAAAAH7tz+Q=")</f>
        <v>#REF!</v>
      </c>
      <c r="HV386" t="e">
        <f>AND('PROG FORMACIÓN TITULADA'!#REF!,"AAAAAH7tz+U=")</f>
        <v>#REF!</v>
      </c>
      <c r="HW386" t="e">
        <f>AND('PROG FORMACIÓN TITULADA'!#REF!,"AAAAAH7tz+Y=")</f>
        <v>#REF!</v>
      </c>
      <c r="HX386" t="e">
        <f>AND('PROG FORMACIÓN TITULADA'!#REF!,"AAAAAH7tz+c=")</f>
        <v>#REF!</v>
      </c>
      <c r="HY386" t="e">
        <f>AND('PROG FORMACIÓN TITULADA'!#REF!,"AAAAAH7tz+g=")</f>
        <v>#REF!</v>
      </c>
      <c r="HZ386" t="e">
        <f>AND('PROG FORMACIÓN TITULADA'!#REF!,"AAAAAH7tz+k=")</f>
        <v>#REF!</v>
      </c>
      <c r="IA386" t="e">
        <f>AND('PROG FORMACIÓN TITULADA'!#REF!,"AAAAAH7tz+o=")</f>
        <v>#REF!</v>
      </c>
      <c r="IB386" t="e">
        <f>AND('PROG FORMACIÓN TITULADA'!#REF!,"AAAAAH7tz+s=")</f>
        <v>#REF!</v>
      </c>
      <c r="IC386" t="e">
        <f>AND('PROG FORMACIÓN TITULADA'!#REF!,"AAAAAH7tz+w=")</f>
        <v>#REF!</v>
      </c>
      <c r="ID386" t="e">
        <f>AND('PROG FORMACIÓN TITULADA'!#REF!,"AAAAAH7tz+0=")</f>
        <v>#REF!</v>
      </c>
      <c r="IE386" t="e">
        <f>AND('PROG FORMACIÓN TITULADA'!#REF!,"AAAAAH7tz+4=")</f>
        <v>#REF!</v>
      </c>
      <c r="IF386" t="e">
        <f>AND('PROG FORMACIÓN TITULADA'!#REF!,"AAAAAH7tz+8=")</f>
        <v>#REF!</v>
      </c>
      <c r="IG386" t="e">
        <f>AND('PROG FORMACIÓN TITULADA'!#REF!,"AAAAAH7tz/A=")</f>
        <v>#REF!</v>
      </c>
      <c r="IH386" t="e">
        <f>AND('PROG FORMACIÓN TITULADA'!#REF!,"AAAAAH7tz/E=")</f>
        <v>#REF!</v>
      </c>
      <c r="II386" t="e">
        <f>AND('PROG FORMACIÓN TITULADA'!#REF!,"AAAAAH7tz/I=")</f>
        <v>#REF!</v>
      </c>
      <c r="IJ386" t="e">
        <f>AND('PROG FORMACIÓN TITULADA'!#REF!,"AAAAAH7tz/M=")</f>
        <v>#REF!</v>
      </c>
      <c r="IK386" t="e">
        <f>AND('PROG FORMACIÓN TITULADA'!#REF!,"AAAAAH7tz/Q=")</f>
        <v>#REF!</v>
      </c>
      <c r="IL386" t="e">
        <f>AND('PROG FORMACIÓN TITULADA'!#REF!,"AAAAAH7tz/U=")</f>
        <v>#REF!</v>
      </c>
      <c r="IM386" t="e">
        <f>AND('PROG FORMACIÓN TITULADA'!#REF!,"AAAAAH7tz/Y=")</f>
        <v>#REF!</v>
      </c>
      <c r="IN386" t="e">
        <f>AND('PROG FORMACIÓN TITULADA'!#REF!,"AAAAAH7tz/c=")</f>
        <v>#REF!</v>
      </c>
      <c r="IO386" t="e">
        <f>IF('PROG FORMACIÓN TITULADA'!#REF!,"AAAAAH7tz/g=",0)</f>
        <v>#REF!</v>
      </c>
      <c r="IP386" t="e">
        <f>AND('PROG FORMACIÓN TITULADA'!#REF!,"AAAAAH7tz/k=")</f>
        <v>#REF!</v>
      </c>
      <c r="IQ386" t="e">
        <f>AND('PROG FORMACIÓN TITULADA'!#REF!,"AAAAAH7tz/o=")</f>
        <v>#REF!</v>
      </c>
      <c r="IR386" t="e">
        <f>AND('PROG FORMACIÓN TITULADA'!#REF!,"AAAAAH7tz/s=")</f>
        <v>#REF!</v>
      </c>
      <c r="IS386" t="e">
        <f>AND('PROG FORMACIÓN TITULADA'!#REF!,"AAAAAH7tz/w=")</f>
        <v>#REF!</v>
      </c>
      <c r="IT386" t="e">
        <f>AND('PROG FORMACIÓN TITULADA'!#REF!,"AAAAAH7tz/0=")</f>
        <v>#REF!</v>
      </c>
      <c r="IU386" t="e">
        <f>AND('PROG FORMACIÓN TITULADA'!#REF!,"AAAAAH7tz/4=")</f>
        <v>#REF!</v>
      </c>
      <c r="IV386" t="e">
        <f>AND('PROG FORMACIÓN TITULADA'!#REF!,"AAAAAH7tz/8=")</f>
        <v>#REF!</v>
      </c>
    </row>
    <row r="387" spans="1:256" x14ac:dyDescent="0.2">
      <c r="A387" t="e">
        <f>AND('PROG FORMACIÓN TITULADA'!#REF!,"AAAAAD9aZwA=")</f>
        <v>#REF!</v>
      </c>
      <c r="B387" t="e">
        <f>AND('PROG FORMACIÓN TITULADA'!#REF!,"AAAAAD9aZwE=")</f>
        <v>#REF!</v>
      </c>
      <c r="C387" t="e">
        <f>AND('PROG FORMACIÓN TITULADA'!#REF!,"AAAAAD9aZwI=")</f>
        <v>#REF!</v>
      </c>
      <c r="D387" t="e">
        <f>AND('PROG FORMACIÓN TITULADA'!#REF!,"AAAAAD9aZwM=")</f>
        <v>#REF!</v>
      </c>
      <c r="E387" t="e">
        <f>AND('PROG FORMACIÓN TITULADA'!#REF!,"AAAAAD9aZwQ=")</f>
        <v>#REF!</v>
      </c>
      <c r="F387" t="e">
        <f>AND('PROG FORMACIÓN TITULADA'!#REF!,"AAAAAD9aZwU=")</f>
        <v>#REF!</v>
      </c>
      <c r="G387" t="e">
        <f>AND('PROG FORMACIÓN TITULADA'!#REF!,"AAAAAD9aZwY=")</f>
        <v>#REF!</v>
      </c>
      <c r="H387" t="e">
        <f>AND('PROG FORMACIÓN TITULADA'!#REF!,"AAAAAD9aZwc=")</f>
        <v>#REF!</v>
      </c>
      <c r="I387" t="e">
        <f>AND('PROG FORMACIÓN TITULADA'!#REF!,"AAAAAD9aZwg=")</f>
        <v>#REF!</v>
      </c>
      <c r="J387" t="e">
        <f>AND('PROG FORMACIÓN TITULADA'!#REF!,"AAAAAD9aZwk=")</f>
        <v>#REF!</v>
      </c>
      <c r="K387" t="e">
        <f>AND('PROG FORMACIÓN TITULADA'!#REF!,"AAAAAD9aZwo=")</f>
        <v>#REF!</v>
      </c>
      <c r="L387" t="e">
        <f>AND('PROG FORMACIÓN TITULADA'!#REF!,"AAAAAD9aZws=")</f>
        <v>#REF!</v>
      </c>
      <c r="M387" t="e">
        <f>AND('PROG FORMACIÓN TITULADA'!#REF!,"AAAAAD9aZww=")</f>
        <v>#REF!</v>
      </c>
      <c r="N387" t="e">
        <f>AND('PROG FORMACIÓN TITULADA'!#REF!,"AAAAAD9aZw0=")</f>
        <v>#REF!</v>
      </c>
      <c r="O387" t="e">
        <f>AND('PROG FORMACIÓN TITULADA'!#REF!,"AAAAAD9aZw4=")</f>
        <v>#REF!</v>
      </c>
      <c r="P387" t="e">
        <f>AND('PROG FORMACIÓN TITULADA'!#REF!,"AAAAAD9aZw8=")</f>
        <v>#REF!</v>
      </c>
      <c r="Q387" t="e">
        <f>AND('PROG FORMACIÓN TITULADA'!#REF!,"AAAAAD9aZxA=")</f>
        <v>#REF!</v>
      </c>
      <c r="R387" t="e">
        <f>AND('PROG FORMACIÓN TITULADA'!#REF!,"AAAAAD9aZxE=")</f>
        <v>#REF!</v>
      </c>
      <c r="S387" t="e">
        <f>AND('PROG FORMACIÓN TITULADA'!#REF!,"AAAAAD9aZxI=")</f>
        <v>#REF!</v>
      </c>
      <c r="T387" t="e">
        <f>IF('PROG FORMACIÓN TITULADA'!#REF!,"AAAAAD9aZxM=",0)</f>
        <v>#REF!</v>
      </c>
      <c r="U387" t="e">
        <f>AND('PROG FORMACIÓN TITULADA'!#REF!,"AAAAAD9aZxQ=")</f>
        <v>#REF!</v>
      </c>
      <c r="V387" t="e">
        <f>AND('PROG FORMACIÓN TITULADA'!#REF!,"AAAAAD9aZxU=")</f>
        <v>#REF!</v>
      </c>
      <c r="W387" t="e">
        <f>AND('PROG FORMACIÓN TITULADA'!#REF!,"AAAAAD9aZxY=")</f>
        <v>#REF!</v>
      </c>
      <c r="X387" t="e">
        <f>AND('PROG FORMACIÓN TITULADA'!#REF!,"AAAAAD9aZxc=")</f>
        <v>#REF!</v>
      </c>
      <c r="Y387" t="e">
        <f>AND('PROG FORMACIÓN TITULADA'!#REF!,"AAAAAD9aZxg=")</f>
        <v>#REF!</v>
      </c>
      <c r="Z387" t="e">
        <f>AND('PROG FORMACIÓN TITULADA'!#REF!,"AAAAAD9aZxk=")</f>
        <v>#REF!</v>
      </c>
      <c r="AA387" t="e">
        <f>AND('PROG FORMACIÓN TITULADA'!#REF!,"AAAAAD9aZxo=")</f>
        <v>#REF!</v>
      </c>
      <c r="AB387" t="e">
        <f>AND('PROG FORMACIÓN TITULADA'!#REF!,"AAAAAD9aZxs=")</f>
        <v>#REF!</v>
      </c>
      <c r="AC387" t="e">
        <f>AND('PROG FORMACIÓN TITULADA'!#REF!,"AAAAAD9aZxw=")</f>
        <v>#REF!</v>
      </c>
      <c r="AD387" t="e">
        <f>AND('PROG FORMACIÓN TITULADA'!#REF!,"AAAAAD9aZx0=")</f>
        <v>#REF!</v>
      </c>
      <c r="AE387" t="e">
        <f>AND('PROG FORMACIÓN TITULADA'!#REF!,"AAAAAD9aZx4=")</f>
        <v>#REF!</v>
      </c>
      <c r="AF387" t="e">
        <f>AND('PROG FORMACIÓN TITULADA'!#REF!,"AAAAAD9aZx8=")</f>
        <v>#REF!</v>
      </c>
      <c r="AG387" t="e">
        <f>AND('PROG FORMACIÓN TITULADA'!#REF!,"AAAAAD9aZyA=")</f>
        <v>#REF!</v>
      </c>
      <c r="AH387" t="e">
        <f>AND('PROG FORMACIÓN TITULADA'!#REF!,"AAAAAD9aZyE=")</f>
        <v>#REF!</v>
      </c>
      <c r="AI387" t="e">
        <f>AND('PROG FORMACIÓN TITULADA'!#REF!,"AAAAAD9aZyI=")</f>
        <v>#REF!</v>
      </c>
      <c r="AJ387" t="e">
        <f>AND('PROG FORMACIÓN TITULADA'!#REF!,"AAAAAD9aZyM=")</f>
        <v>#REF!</v>
      </c>
      <c r="AK387" t="e">
        <f>AND('PROG FORMACIÓN TITULADA'!#REF!,"AAAAAD9aZyQ=")</f>
        <v>#REF!</v>
      </c>
      <c r="AL387" t="e">
        <f>AND('PROG FORMACIÓN TITULADA'!#REF!,"AAAAAD9aZyU=")</f>
        <v>#REF!</v>
      </c>
      <c r="AM387" t="e">
        <f>AND('PROG FORMACIÓN TITULADA'!#REF!,"AAAAAD9aZyY=")</f>
        <v>#REF!</v>
      </c>
      <c r="AN387" t="e">
        <f>AND('PROG FORMACIÓN TITULADA'!#REF!,"AAAAAD9aZyc=")</f>
        <v>#REF!</v>
      </c>
      <c r="AO387" t="e">
        <f>AND('PROG FORMACIÓN TITULADA'!#REF!,"AAAAAD9aZyg=")</f>
        <v>#REF!</v>
      </c>
      <c r="AP387" t="e">
        <f>AND('PROG FORMACIÓN TITULADA'!#REF!,"AAAAAD9aZyk=")</f>
        <v>#REF!</v>
      </c>
      <c r="AQ387" t="e">
        <f>AND('PROG FORMACIÓN TITULADA'!#REF!,"AAAAAD9aZyo=")</f>
        <v>#REF!</v>
      </c>
      <c r="AR387" t="e">
        <f>AND('PROG FORMACIÓN TITULADA'!#REF!,"AAAAAD9aZys=")</f>
        <v>#REF!</v>
      </c>
      <c r="AS387" t="e">
        <f>AND('PROG FORMACIÓN TITULADA'!#REF!,"AAAAAD9aZyw=")</f>
        <v>#REF!</v>
      </c>
      <c r="AT387" t="e">
        <f>AND('PROG FORMACIÓN TITULADA'!#REF!,"AAAAAD9aZy0=")</f>
        <v>#REF!</v>
      </c>
      <c r="AU387" t="e">
        <f>IF('PROG FORMACIÓN TITULADA'!#REF!,"AAAAAD9aZy4=",0)</f>
        <v>#REF!</v>
      </c>
      <c r="AV387" t="e">
        <f>AND('PROG FORMACIÓN TITULADA'!#REF!,"AAAAAD9aZy8=")</f>
        <v>#REF!</v>
      </c>
      <c r="AW387" t="e">
        <f>AND('PROG FORMACIÓN TITULADA'!#REF!,"AAAAAD9aZzA=")</f>
        <v>#REF!</v>
      </c>
      <c r="AX387" t="e">
        <f>AND('PROG FORMACIÓN TITULADA'!#REF!,"AAAAAD9aZzE=")</f>
        <v>#REF!</v>
      </c>
      <c r="AY387" t="e">
        <f>AND('PROG FORMACIÓN TITULADA'!#REF!,"AAAAAD9aZzI=")</f>
        <v>#REF!</v>
      </c>
      <c r="AZ387" t="e">
        <f>AND('PROG FORMACIÓN TITULADA'!#REF!,"AAAAAD9aZzM=")</f>
        <v>#REF!</v>
      </c>
      <c r="BA387" t="e">
        <f>AND('PROG FORMACIÓN TITULADA'!#REF!,"AAAAAD9aZzQ=")</f>
        <v>#REF!</v>
      </c>
      <c r="BB387" t="e">
        <f>AND('PROG FORMACIÓN TITULADA'!#REF!,"AAAAAD9aZzU=")</f>
        <v>#REF!</v>
      </c>
      <c r="BC387" t="e">
        <f>AND('PROG FORMACIÓN TITULADA'!#REF!,"AAAAAD9aZzY=")</f>
        <v>#REF!</v>
      </c>
      <c r="BD387" t="e">
        <f>AND('PROG FORMACIÓN TITULADA'!#REF!,"AAAAAD9aZzc=")</f>
        <v>#REF!</v>
      </c>
      <c r="BE387" t="e">
        <f>AND('PROG FORMACIÓN TITULADA'!#REF!,"AAAAAD9aZzg=")</f>
        <v>#REF!</v>
      </c>
      <c r="BF387" t="e">
        <f>AND('PROG FORMACIÓN TITULADA'!#REF!,"AAAAAD9aZzk=")</f>
        <v>#REF!</v>
      </c>
      <c r="BG387" t="e">
        <f>AND('PROG FORMACIÓN TITULADA'!#REF!,"AAAAAD9aZzo=")</f>
        <v>#REF!</v>
      </c>
      <c r="BH387" t="e">
        <f>AND('PROG FORMACIÓN TITULADA'!#REF!,"AAAAAD9aZzs=")</f>
        <v>#REF!</v>
      </c>
      <c r="BI387" t="e">
        <f>AND('PROG FORMACIÓN TITULADA'!#REF!,"AAAAAD9aZzw=")</f>
        <v>#REF!</v>
      </c>
      <c r="BJ387" t="e">
        <f>AND('PROG FORMACIÓN TITULADA'!#REF!,"AAAAAD9aZz0=")</f>
        <v>#REF!</v>
      </c>
      <c r="BK387" t="e">
        <f>AND('PROG FORMACIÓN TITULADA'!#REF!,"AAAAAD9aZz4=")</f>
        <v>#REF!</v>
      </c>
      <c r="BL387" t="e">
        <f>AND('PROG FORMACIÓN TITULADA'!#REF!,"AAAAAD9aZz8=")</f>
        <v>#REF!</v>
      </c>
      <c r="BM387" t="e">
        <f>AND('PROG FORMACIÓN TITULADA'!#REF!,"AAAAAD9aZ0A=")</f>
        <v>#REF!</v>
      </c>
      <c r="BN387" t="e">
        <f>AND('PROG FORMACIÓN TITULADA'!#REF!,"AAAAAD9aZ0E=")</f>
        <v>#REF!</v>
      </c>
      <c r="BO387" t="e">
        <f>AND('PROG FORMACIÓN TITULADA'!#REF!,"AAAAAD9aZ0I=")</f>
        <v>#REF!</v>
      </c>
      <c r="BP387" t="e">
        <f>AND('PROG FORMACIÓN TITULADA'!#REF!,"AAAAAD9aZ0M=")</f>
        <v>#REF!</v>
      </c>
      <c r="BQ387" t="e">
        <f>AND('PROG FORMACIÓN TITULADA'!#REF!,"AAAAAD9aZ0Q=")</f>
        <v>#REF!</v>
      </c>
      <c r="BR387" t="e">
        <f>AND('PROG FORMACIÓN TITULADA'!#REF!,"AAAAAD9aZ0U=")</f>
        <v>#REF!</v>
      </c>
      <c r="BS387" t="e">
        <f>AND('PROG FORMACIÓN TITULADA'!#REF!,"AAAAAD9aZ0Y=")</f>
        <v>#REF!</v>
      </c>
      <c r="BT387" t="e">
        <f>AND('PROG FORMACIÓN TITULADA'!#REF!,"AAAAAD9aZ0c=")</f>
        <v>#REF!</v>
      </c>
      <c r="BU387" t="e">
        <f>AND('PROG FORMACIÓN TITULADA'!#REF!,"AAAAAD9aZ0g=")</f>
        <v>#REF!</v>
      </c>
      <c r="BV387" t="e">
        <f>IF('PROG FORMACIÓN TITULADA'!#REF!,"AAAAAD9aZ0k=",0)</f>
        <v>#REF!</v>
      </c>
      <c r="BW387" t="e">
        <f>AND('PROG FORMACIÓN TITULADA'!#REF!,"AAAAAD9aZ0o=")</f>
        <v>#REF!</v>
      </c>
      <c r="BX387" t="e">
        <f>AND('PROG FORMACIÓN TITULADA'!#REF!,"AAAAAD9aZ0s=")</f>
        <v>#REF!</v>
      </c>
      <c r="BY387" t="e">
        <f>AND('PROG FORMACIÓN TITULADA'!#REF!,"AAAAAD9aZ0w=")</f>
        <v>#REF!</v>
      </c>
      <c r="BZ387" t="e">
        <f>AND('PROG FORMACIÓN TITULADA'!#REF!,"AAAAAD9aZ00=")</f>
        <v>#REF!</v>
      </c>
      <c r="CA387" t="e">
        <f>AND('PROG FORMACIÓN TITULADA'!#REF!,"AAAAAD9aZ04=")</f>
        <v>#REF!</v>
      </c>
      <c r="CB387" t="e">
        <f>AND('PROG FORMACIÓN TITULADA'!#REF!,"AAAAAD9aZ08=")</f>
        <v>#REF!</v>
      </c>
      <c r="CC387" t="e">
        <f>AND('PROG FORMACIÓN TITULADA'!#REF!,"AAAAAD9aZ1A=")</f>
        <v>#REF!</v>
      </c>
      <c r="CD387" t="e">
        <f>AND('PROG FORMACIÓN TITULADA'!#REF!,"AAAAAD9aZ1E=")</f>
        <v>#REF!</v>
      </c>
      <c r="CE387" t="e">
        <f>AND('PROG FORMACIÓN TITULADA'!#REF!,"AAAAAD9aZ1I=")</f>
        <v>#REF!</v>
      </c>
      <c r="CF387" t="e">
        <f>AND('PROG FORMACIÓN TITULADA'!#REF!,"AAAAAD9aZ1M=")</f>
        <v>#REF!</v>
      </c>
      <c r="CG387" t="e">
        <f>AND('PROG FORMACIÓN TITULADA'!#REF!,"AAAAAD9aZ1Q=")</f>
        <v>#REF!</v>
      </c>
      <c r="CH387" t="e">
        <f>AND('PROG FORMACIÓN TITULADA'!#REF!,"AAAAAD9aZ1U=")</f>
        <v>#REF!</v>
      </c>
      <c r="CI387" t="e">
        <f>AND('PROG FORMACIÓN TITULADA'!#REF!,"AAAAAD9aZ1Y=")</f>
        <v>#REF!</v>
      </c>
      <c r="CJ387" t="e">
        <f>AND('PROG FORMACIÓN TITULADA'!#REF!,"AAAAAD9aZ1c=")</f>
        <v>#REF!</v>
      </c>
      <c r="CK387" t="e">
        <f>AND('PROG FORMACIÓN TITULADA'!#REF!,"AAAAAD9aZ1g=")</f>
        <v>#REF!</v>
      </c>
      <c r="CL387" t="e">
        <f>AND('PROG FORMACIÓN TITULADA'!#REF!,"AAAAAD9aZ1k=")</f>
        <v>#REF!</v>
      </c>
      <c r="CM387" t="e">
        <f>AND('PROG FORMACIÓN TITULADA'!#REF!,"AAAAAD9aZ1o=")</f>
        <v>#REF!</v>
      </c>
      <c r="CN387" t="e">
        <f>AND('PROG FORMACIÓN TITULADA'!#REF!,"AAAAAD9aZ1s=")</f>
        <v>#REF!</v>
      </c>
      <c r="CO387" t="e">
        <f>AND('PROG FORMACIÓN TITULADA'!#REF!,"AAAAAD9aZ1w=")</f>
        <v>#REF!</v>
      </c>
      <c r="CP387" t="e">
        <f>AND('PROG FORMACIÓN TITULADA'!#REF!,"AAAAAD9aZ10=")</f>
        <v>#REF!</v>
      </c>
      <c r="CQ387" t="e">
        <f>AND('PROG FORMACIÓN TITULADA'!#REF!,"AAAAAD9aZ14=")</f>
        <v>#REF!</v>
      </c>
      <c r="CR387" t="e">
        <f>AND('PROG FORMACIÓN TITULADA'!#REF!,"AAAAAD9aZ18=")</f>
        <v>#REF!</v>
      </c>
      <c r="CS387" t="e">
        <f>AND('PROG FORMACIÓN TITULADA'!#REF!,"AAAAAD9aZ2A=")</f>
        <v>#REF!</v>
      </c>
      <c r="CT387" t="e">
        <f>AND('PROG FORMACIÓN TITULADA'!#REF!,"AAAAAD9aZ2E=")</f>
        <v>#REF!</v>
      </c>
      <c r="CU387" t="e">
        <f>AND('PROG FORMACIÓN TITULADA'!#REF!,"AAAAAD9aZ2I=")</f>
        <v>#REF!</v>
      </c>
      <c r="CV387" t="e">
        <f>AND('PROG FORMACIÓN TITULADA'!#REF!,"AAAAAD9aZ2M=")</f>
        <v>#REF!</v>
      </c>
      <c r="CW387" t="e">
        <f>IF('PROG FORMACIÓN TITULADA'!#REF!,"AAAAAD9aZ2Q=",0)</f>
        <v>#REF!</v>
      </c>
      <c r="CX387" t="e">
        <f>AND('PROG FORMACIÓN TITULADA'!#REF!,"AAAAAD9aZ2U=")</f>
        <v>#REF!</v>
      </c>
      <c r="CY387" t="e">
        <f>AND('PROG FORMACIÓN TITULADA'!#REF!,"AAAAAD9aZ2Y=")</f>
        <v>#REF!</v>
      </c>
      <c r="CZ387" t="e">
        <f>AND('PROG FORMACIÓN TITULADA'!#REF!,"AAAAAD9aZ2c=")</f>
        <v>#REF!</v>
      </c>
      <c r="DA387" t="e">
        <f>AND('PROG FORMACIÓN TITULADA'!#REF!,"AAAAAD9aZ2g=")</f>
        <v>#REF!</v>
      </c>
      <c r="DB387" t="e">
        <f>AND('PROG FORMACIÓN TITULADA'!#REF!,"AAAAAD9aZ2k=")</f>
        <v>#REF!</v>
      </c>
      <c r="DC387" t="e">
        <f>AND('PROG FORMACIÓN TITULADA'!#REF!,"AAAAAD9aZ2o=")</f>
        <v>#REF!</v>
      </c>
      <c r="DD387" t="e">
        <f>AND('PROG FORMACIÓN TITULADA'!#REF!,"AAAAAD9aZ2s=")</f>
        <v>#REF!</v>
      </c>
      <c r="DE387" t="e">
        <f>AND('PROG FORMACIÓN TITULADA'!#REF!,"AAAAAD9aZ2w=")</f>
        <v>#REF!</v>
      </c>
      <c r="DF387" t="e">
        <f>AND('PROG FORMACIÓN TITULADA'!#REF!,"AAAAAD9aZ20=")</f>
        <v>#REF!</v>
      </c>
      <c r="DG387" t="e">
        <f>AND('PROG FORMACIÓN TITULADA'!#REF!,"AAAAAD9aZ24=")</f>
        <v>#REF!</v>
      </c>
      <c r="DH387" t="e">
        <f>AND('PROG FORMACIÓN TITULADA'!#REF!,"AAAAAD9aZ28=")</f>
        <v>#REF!</v>
      </c>
      <c r="DI387" t="e">
        <f>AND('PROG FORMACIÓN TITULADA'!#REF!,"AAAAAD9aZ3A=")</f>
        <v>#REF!</v>
      </c>
      <c r="DJ387" t="e">
        <f>AND('PROG FORMACIÓN TITULADA'!#REF!,"AAAAAD9aZ3E=")</f>
        <v>#REF!</v>
      </c>
      <c r="DK387" t="e">
        <f>AND('PROG FORMACIÓN TITULADA'!#REF!,"AAAAAD9aZ3I=")</f>
        <v>#REF!</v>
      </c>
      <c r="DL387" t="e">
        <f>AND('PROG FORMACIÓN TITULADA'!#REF!,"AAAAAD9aZ3M=")</f>
        <v>#REF!</v>
      </c>
      <c r="DM387" t="e">
        <f>AND('PROG FORMACIÓN TITULADA'!#REF!,"AAAAAD9aZ3Q=")</f>
        <v>#REF!</v>
      </c>
      <c r="DN387" t="e">
        <f>AND('PROG FORMACIÓN TITULADA'!#REF!,"AAAAAD9aZ3U=")</f>
        <v>#REF!</v>
      </c>
      <c r="DO387" t="e">
        <f>AND('PROG FORMACIÓN TITULADA'!#REF!,"AAAAAD9aZ3Y=")</f>
        <v>#REF!</v>
      </c>
      <c r="DP387" t="e">
        <f>AND('PROG FORMACIÓN TITULADA'!#REF!,"AAAAAD9aZ3c=")</f>
        <v>#REF!</v>
      </c>
      <c r="DQ387" t="e">
        <f>AND('PROG FORMACIÓN TITULADA'!#REF!,"AAAAAD9aZ3g=")</f>
        <v>#REF!</v>
      </c>
      <c r="DR387" t="e">
        <f>AND('PROG FORMACIÓN TITULADA'!#REF!,"AAAAAD9aZ3k=")</f>
        <v>#REF!</v>
      </c>
      <c r="DS387" t="e">
        <f>AND('PROG FORMACIÓN TITULADA'!#REF!,"AAAAAD9aZ3o=")</f>
        <v>#REF!</v>
      </c>
      <c r="DT387" t="e">
        <f>AND('PROG FORMACIÓN TITULADA'!#REF!,"AAAAAD9aZ3s=")</f>
        <v>#REF!</v>
      </c>
      <c r="DU387" t="e">
        <f>AND('PROG FORMACIÓN TITULADA'!#REF!,"AAAAAD9aZ3w=")</f>
        <v>#REF!</v>
      </c>
      <c r="DV387" t="e">
        <f>AND('PROG FORMACIÓN TITULADA'!#REF!,"AAAAAD9aZ30=")</f>
        <v>#REF!</v>
      </c>
      <c r="DW387" t="e">
        <f>AND('PROG FORMACIÓN TITULADA'!#REF!,"AAAAAD9aZ34=")</f>
        <v>#REF!</v>
      </c>
      <c r="DX387" t="e">
        <f>IF('PROG FORMACIÓN TITULADA'!#REF!,"AAAAAD9aZ38=",0)</f>
        <v>#REF!</v>
      </c>
      <c r="DY387" t="e">
        <f>AND('PROG FORMACIÓN TITULADA'!#REF!,"AAAAAD9aZ4A=")</f>
        <v>#REF!</v>
      </c>
      <c r="DZ387" t="e">
        <f>AND('PROG FORMACIÓN TITULADA'!#REF!,"AAAAAD9aZ4E=")</f>
        <v>#REF!</v>
      </c>
      <c r="EA387" t="e">
        <f>AND('PROG FORMACIÓN TITULADA'!#REF!,"AAAAAD9aZ4I=")</f>
        <v>#REF!</v>
      </c>
      <c r="EB387" t="e">
        <f>AND('PROG FORMACIÓN TITULADA'!#REF!,"AAAAAD9aZ4M=")</f>
        <v>#REF!</v>
      </c>
      <c r="EC387" t="e">
        <f>AND('PROG FORMACIÓN TITULADA'!#REF!,"AAAAAD9aZ4Q=")</f>
        <v>#REF!</v>
      </c>
      <c r="ED387" t="e">
        <f>AND('PROG FORMACIÓN TITULADA'!#REF!,"AAAAAD9aZ4U=")</f>
        <v>#REF!</v>
      </c>
      <c r="EE387" t="e">
        <f>AND('PROG FORMACIÓN TITULADA'!#REF!,"AAAAAD9aZ4Y=")</f>
        <v>#REF!</v>
      </c>
      <c r="EF387" t="e">
        <f>AND('PROG FORMACIÓN TITULADA'!#REF!,"AAAAAD9aZ4c=")</f>
        <v>#REF!</v>
      </c>
      <c r="EG387" t="e">
        <f>AND('PROG FORMACIÓN TITULADA'!#REF!,"AAAAAD9aZ4g=")</f>
        <v>#REF!</v>
      </c>
      <c r="EH387" t="e">
        <f>AND('PROG FORMACIÓN TITULADA'!#REF!,"AAAAAD9aZ4k=")</f>
        <v>#REF!</v>
      </c>
      <c r="EI387" t="e">
        <f>AND('PROG FORMACIÓN TITULADA'!#REF!,"AAAAAD9aZ4o=")</f>
        <v>#REF!</v>
      </c>
      <c r="EJ387" t="e">
        <f>AND('PROG FORMACIÓN TITULADA'!#REF!,"AAAAAD9aZ4s=")</f>
        <v>#REF!</v>
      </c>
      <c r="EK387" t="e">
        <f>AND('PROG FORMACIÓN TITULADA'!#REF!,"AAAAAD9aZ4w=")</f>
        <v>#REF!</v>
      </c>
      <c r="EL387" t="e">
        <f>AND('PROG FORMACIÓN TITULADA'!#REF!,"AAAAAD9aZ40=")</f>
        <v>#REF!</v>
      </c>
      <c r="EM387" t="e">
        <f>AND('PROG FORMACIÓN TITULADA'!#REF!,"AAAAAD9aZ44=")</f>
        <v>#REF!</v>
      </c>
      <c r="EN387" t="e">
        <f>AND('PROG FORMACIÓN TITULADA'!#REF!,"AAAAAD9aZ48=")</f>
        <v>#REF!</v>
      </c>
      <c r="EO387" t="e">
        <f>AND('PROG FORMACIÓN TITULADA'!#REF!,"AAAAAD9aZ5A=")</f>
        <v>#REF!</v>
      </c>
      <c r="EP387" t="e">
        <f>AND('PROG FORMACIÓN TITULADA'!#REF!,"AAAAAD9aZ5E=")</f>
        <v>#REF!</v>
      </c>
      <c r="EQ387" t="e">
        <f>AND('PROG FORMACIÓN TITULADA'!#REF!,"AAAAAD9aZ5I=")</f>
        <v>#REF!</v>
      </c>
      <c r="ER387" t="e">
        <f>AND('PROG FORMACIÓN TITULADA'!#REF!,"AAAAAD9aZ5M=")</f>
        <v>#REF!</v>
      </c>
      <c r="ES387" t="e">
        <f>AND('PROG FORMACIÓN TITULADA'!#REF!,"AAAAAD9aZ5Q=")</f>
        <v>#REF!</v>
      </c>
      <c r="ET387" t="e">
        <f>AND('PROG FORMACIÓN TITULADA'!#REF!,"AAAAAD9aZ5U=")</f>
        <v>#REF!</v>
      </c>
      <c r="EU387" t="e">
        <f>AND('PROG FORMACIÓN TITULADA'!#REF!,"AAAAAD9aZ5Y=")</f>
        <v>#REF!</v>
      </c>
      <c r="EV387" t="e">
        <f>AND('PROG FORMACIÓN TITULADA'!#REF!,"AAAAAD9aZ5c=")</f>
        <v>#REF!</v>
      </c>
      <c r="EW387" t="e">
        <f>AND('PROG FORMACIÓN TITULADA'!#REF!,"AAAAAD9aZ5g=")</f>
        <v>#REF!</v>
      </c>
      <c r="EX387" t="e">
        <f>AND('PROG FORMACIÓN TITULADA'!#REF!,"AAAAAD9aZ5k=")</f>
        <v>#REF!</v>
      </c>
      <c r="EY387" t="e">
        <f>IF('PROG FORMACIÓN TITULADA'!#REF!,"AAAAAD9aZ5o=",0)</f>
        <v>#REF!</v>
      </c>
      <c r="EZ387" t="e">
        <f>AND('PROG FORMACIÓN TITULADA'!#REF!,"AAAAAD9aZ5s=")</f>
        <v>#REF!</v>
      </c>
      <c r="FA387" t="e">
        <f>AND('PROG FORMACIÓN TITULADA'!#REF!,"AAAAAD9aZ5w=")</f>
        <v>#REF!</v>
      </c>
      <c r="FB387" t="e">
        <f>AND('PROG FORMACIÓN TITULADA'!#REF!,"AAAAAD9aZ50=")</f>
        <v>#REF!</v>
      </c>
      <c r="FC387" t="e">
        <f>AND('PROG FORMACIÓN TITULADA'!#REF!,"AAAAAD9aZ54=")</f>
        <v>#REF!</v>
      </c>
      <c r="FD387" t="e">
        <f>AND('PROG FORMACIÓN TITULADA'!#REF!,"AAAAAD9aZ58=")</f>
        <v>#REF!</v>
      </c>
      <c r="FE387" t="e">
        <f>AND('PROG FORMACIÓN TITULADA'!#REF!,"AAAAAD9aZ6A=")</f>
        <v>#REF!</v>
      </c>
      <c r="FF387" t="e">
        <f>AND('PROG FORMACIÓN TITULADA'!#REF!,"AAAAAD9aZ6E=")</f>
        <v>#REF!</v>
      </c>
      <c r="FG387" t="e">
        <f>AND('PROG FORMACIÓN TITULADA'!#REF!,"AAAAAD9aZ6I=")</f>
        <v>#REF!</v>
      </c>
      <c r="FH387" t="e">
        <f>AND('PROG FORMACIÓN TITULADA'!#REF!,"AAAAAD9aZ6M=")</f>
        <v>#REF!</v>
      </c>
      <c r="FI387" t="e">
        <f>AND('PROG FORMACIÓN TITULADA'!#REF!,"AAAAAD9aZ6Q=")</f>
        <v>#REF!</v>
      </c>
      <c r="FJ387" t="e">
        <f>AND('PROG FORMACIÓN TITULADA'!#REF!,"AAAAAD9aZ6U=")</f>
        <v>#REF!</v>
      </c>
      <c r="FK387" t="e">
        <f>AND('PROG FORMACIÓN TITULADA'!#REF!,"AAAAAD9aZ6Y=")</f>
        <v>#REF!</v>
      </c>
      <c r="FL387" t="e">
        <f>AND('PROG FORMACIÓN TITULADA'!#REF!,"AAAAAD9aZ6c=")</f>
        <v>#REF!</v>
      </c>
      <c r="FM387" t="e">
        <f>AND('PROG FORMACIÓN TITULADA'!#REF!,"AAAAAD9aZ6g=")</f>
        <v>#REF!</v>
      </c>
      <c r="FN387" t="e">
        <f>AND('PROG FORMACIÓN TITULADA'!#REF!,"AAAAAD9aZ6k=")</f>
        <v>#REF!</v>
      </c>
      <c r="FO387" t="e">
        <f>AND('PROG FORMACIÓN TITULADA'!#REF!,"AAAAAD9aZ6o=")</f>
        <v>#REF!</v>
      </c>
      <c r="FP387" t="e">
        <f>AND('PROG FORMACIÓN TITULADA'!#REF!,"AAAAAD9aZ6s=")</f>
        <v>#REF!</v>
      </c>
      <c r="FQ387" t="e">
        <f>AND('PROG FORMACIÓN TITULADA'!#REF!,"AAAAAD9aZ6w=")</f>
        <v>#REF!</v>
      </c>
      <c r="FR387" t="e">
        <f>AND('PROG FORMACIÓN TITULADA'!#REF!,"AAAAAD9aZ60=")</f>
        <v>#REF!</v>
      </c>
      <c r="FS387" t="e">
        <f>AND('PROG FORMACIÓN TITULADA'!#REF!,"AAAAAD9aZ64=")</f>
        <v>#REF!</v>
      </c>
      <c r="FT387" t="e">
        <f>AND('PROG FORMACIÓN TITULADA'!#REF!,"AAAAAD9aZ68=")</f>
        <v>#REF!</v>
      </c>
      <c r="FU387" t="e">
        <f>AND('PROG FORMACIÓN TITULADA'!#REF!,"AAAAAD9aZ7A=")</f>
        <v>#REF!</v>
      </c>
      <c r="FV387" t="e">
        <f>AND('PROG FORMACIÓN TITULADA'!#REF!,"AAAAAD9aZ7E=")</f>
        <v>#REF!</v>
      </c>
      <c r="FW387" t="e">
        <f>AND('PROG FORMACIÓN TITULADA'!#REF!,"AAAAAD9aZ7I=")</f>
        <v>#REF!</v>
      </c>
      <c r="FX387" t="e">
        <f>AND('PROG FORMACIÓN TITULADA'!#REF!,"AAAAAD9aZ7M=")</f>
        <v>#REF!</v>
      </c>
      <c r="FY387" t="e">
        <f>AND('PROG FORMACIÓN TITULADA'!#REF!,"AAAAAD9aZ7Q=")</f>
        <v>#REF!</v>
      </c>
      <c r="FZ387" t="e">
        <f>IF('PROG FORMACIÓN TITULADA'!#REF!,"AAAAAD9aZ7U=",0)</f>
        <v>#REF!</v>
      </c>
      <c r="GA387" t="e">
        <f>AND('PROG FORMACIÓN TITULADA'!#REF!,"AAAAAD9aZ7Y=")</f>
        <v>#REF!</v>
      </c>
      <c r="GB387" t="e">
        <f>AND('PROG FORMACIÓN TITULADA'!#REF!,"AAAAAD9aZ7c=")</f>
        <v>#REF!</v>
      </c>
      <c r="GC387" t="e">
        <f>AND('PROG FORMACIÓN TITULADA'!#REF!,"AAAAAD9aZ7g=")</f>
        <v>#REF!</v>
      </c>
      <c r="GD387" t="e">
        <f>AND('PROG FORMACIÓN TITULADA'!#REF!,"AAAAAD9aZ7k=")</f>
        <v>#REF!</v>
      </c>
      <c r="GE387" t="e">
        <f>AND('PROG FORMACIÓN TITULADA'!#REF!,"AAAAAD9aZ7o=")</f>
        <v>#REF!</v>
      </c>
      <c r="GF387" t="e">
        <f>AND('PROG FORMACIÓN TITULADA'!#REF!,"AAAAAD9aZ7s=")</f>
        <v>#REF!</v>
      </c>
      <c r="GG387" t="e">
        <f>AND('PROG FORMACIÓN TITULADA'!#REF!,"AAAAAD9aZ7w=")</f>
        <v>#REF!</v>
      </c>
      <c r="GH387" t="e">
        <f>AND('PROG FORMACIÓN TITULADA'!#REF!,"AAAAAD9aZ70=")</f>
        <v>#REF!</v>
      </c>
      <c r="GI387" t="e">
        <f>AND('PROG FORMACIÓN TITULADA'!#REF!,"AAAAAD9aZ74=")</f>
        <v>#REF!</v>
      </c>
      <c r="GJ387" t="e">
        <f>AND('PROG FORMACIÓN TITULADA'!#REF!,"AAAAAD9aZ78=")</f>
        <v>#REF!</v>
      </c>
      <c r="GK387" t="e">
        <f>AND('PROG FORMACIÓN TITULADA'!#REF!,"AAAAAD9aZ8A=")</f>
        <v>#REF!</v>
      </c>
      <c r="GL387" t="e">
        <f>AND('PROG FORMACIÓN TITULADA'!#REF!,"AAAAAD9aZ8E=")</f>
        <v>#REF!</v>
      </c>
      <c r="GM387" t="e">
        <f>AND('PROG FORMACIÓN TITULADA'!#REF!,"AAAAAD9aZ8I=")</f>
        <v>#REF!</v>
      </c>
      <c r="GN387" t="e">
        <f>AND('PROG FORMACIÓN TITULADA'!#REF!,"AAAAAD9aZ8M=")</f>
        <v>#REF!</v>
      </c>
      <c r="GO387" t="e">
        <f>AND('PROG FORMACIÓN TITULADA'!#REF!,"AAAAAD9aZ8Q=")</f>
        <v>#REF!</v>
      </c>
      <c r="GP387" t="e">
        <f>AND('PROG FORMACIÓN TITULADA'!#REF!,"AAAAAD9aZ8U=")</f>
        <v>#REF!</v>
      </c>
      <c r="GQ387" t="e">
        <f>AND('PROG FORMACIÓN TITULADA'!#REF!,"AAAAAD9aZ8Y=")</f>
        <v>#REF!</v>
      </c>
      <c r="GR387" t="e">
        <f>AND('PROG FORMACIÓN TITULADA'!#REF!,"AAAAAD9aZ8c=")</f>
        <v>#REF!</v>
      </c>
      <c r="GS387" t="e">
        <f>AND('PROG FORMACIÓN TITULADA'!#REF!,"AAAAAD9aZ8g=")</f>
        <v>#REF!</v>
      </c>
      <c r="GT387" t="e">
        <f>AND('PROG FORMACIÓN TITULADA'!#REF!,"AAAAAD9aZ8k=")</f>
        <v>#REF!</v>
      </c>
      <c r="GU387" t="e">
        <f>AND('PROG FORMACIÓN TITULADA'!#REF!,"AAAAAD9aZ8o=")</f>
        <v>#REF!</v>
      </c>
      <c r="GV387" t="e">
        <f>AND('PROG FORMACIÓN TITULADA'!#REF!,"AAAAAD9aZ8s=")</f>
        <v>#REF!</v>
      </c>
      <c r="GW387" t="e">
        <f>AND('PROG FORMACIÓN TITULADA'!#REF!,"AAAAAD9aZ8w=")</f>
        <v>#REF!</v>
      </c>
      <c r="GX387" t="e">
        <f>AND('PROG FORMACIÓN TITULADA'!#REF!,"AAAAAD9aZ80=")</f>
        <v>#REF!</v>
      </c>
      <c r="GY387" t="e">
        <f>AND('PROG FORMACIÓN TITULADA'!#REF!,"AAAAAD9aZ84=")</f>
        <v>#REF!</v>
      </c>
      <c r="GZ387" t="e">
        <f>AND('PROG FORMACIÓN TITULADA'!#REF!,"AAAAAD9aZ88=")</f>
        <v>#REF!</v>
      </c>
      <c r="HA387" t="e">
        <f>IF('PROG FORMACIÓN TITULADA'!#REF!,"AAAAAD9aZ9A=",0)</f>
        <v>#REF!</v>
      </c>
      <c r="HB387" t="e">
        <f>AND('PROG FORMACIÓN TITULADA'!#REF!,"AAAAAD9aZ9E=")</f>
        <v>#REF!</v>
      </c>
      <c r="HC387" t="e">
        <f>AND('PROG FORMACIÓN TITULADA'!#REF!,"AAAAAD9aZ9I=")</f>
        <v>#REF!</v>
      </c>
      <c r="HD387" t="e">
        <f>AND('PROG FORMACIÓN TITULADA'!#REF!,"AAAAAD9aZ9M=")</f>
        <v>#REF!</v>
      </c>
      <c r="HE387" t="e">
        <f>AND('PROG FORMACIÓN TITULADA'!#REF!,"AAAAAD9aZ9Q=")</f>
        <v>#REF!</v>
      </c>
      <c r="HF387" t="e">
        <f>AND('PROG FORMACIÓN TITULADA'!#REF!,"AAAAAD9aZ9U=")</f>
        <v>#REF!</v>
      </c>
      <c r="HG387" t="e">
        <f>AND('PROG FORMACIÓN TITULADA'!#REF!,"AAAAAD9aZ9Y=")</f>
        <v>#REF!</v>
      </c>
      <c r="HH387" t="e">
        <f>AND('PROG FORMACIÓN TITULADA'!#REF!,"AAAAAD9aZ9c=")</f>
        <v>#REF!</v>
      </c>
      <c r="HI387" t="e">
        <f>AND('PROG FORMACIÓN TITULADA'!#REF!,"AAAAAD9aZ9g=")</f>
        <v>#REF!</v>
      </c>
      <c r="HJ387" t="e">
        <f>AND('PROG FORMACIÓN TITULADA'!#REF!,"AAAAAD9aZ9k=")</f>
        <v>#REF!</v>
      </c>
      <c r="HK387" t="e">
        <f>AND('PROG FORMACIÓN TITULADA'!#REF!,"AAAAAD9aZ9o=")</f>
        <v>#REF!</v>
      </c>
      <c r="HL387" t="e">
        <f>AND('PROG FORMACIÓN TITULADA'!#REF!,"AAAAAD9aZ9s=")</f>
        <v>#REF!</v>
      </c>
      <c r="HM387" t="e">
        <f>AND('PROG FORMACIÓN TITULADA'!#REF!,"AAAAAD9aZ9w=")</f>
        <v>#REF!</v>
      </c>
      <c r="HN387" t="e">
        <f>AND('PROG FORMACIÓN TITULADA'!#REF!,"AAAAAD9aZ90=")</f>
        <v>#REF!</v>
      </c>
      <c r="HO387" t="e">
        <f>AND('PROG FORMACIÓN TITULADA'!#REF!,"AAAAAD9aZ94=")</f>
        <v>#REF!</v>
      </c>
      <c r="HP387" t="e">
        <f>AND('PROG FORMACIÓN TITULADA'!#REF!,"AAAAAD9aZ98=")</f>
        <v>#REF!</v>
      </c>
      <c r="HQ387" t="e">
        <f>AND('PROG FORMACIÓN TITULADA'!#REF!,"AAAAAD9aZ+A=")</f>
        <v>#REF!</v>
      </c>
      <c r="HR387" t="e">
        <f>AND('PROG FORMACIÓN TITULADA'!#REF!,"AAAAAD9aZ+E=")</f>
        <v>#REF!</v>
      </c>
      <c r="HS387" t="e">
        <f>AND('PROG FORMACIÓN TITULADA'!#REF!,"AAAAAD9aZ+I=")</f>
        <v>#REF!</v>
      </c>
      <c r="HT387" t="e">
        <f>AND('PROG FORMACIÓN TITULADA'!#REF!,"AAAAAD9aZ+M=")</f>
        <v>#REF!</v>
      </c>
      <c r="HU387" t="e">
        <f>AND('PROG FORMACIÓN TITULADA'!#REF!,"AAAAAD9aZ+Q=")</f>
        <v>#REF!</v>
      </c>
      <c r="HV387" t="e">
        <f>AND('PROG FORMACIÓN TITULADA'!#REF!,"AAAAAD9aZ+U=")</f>
        <v>#REF!</v>
      </c>
      <c r="HW387" t="e">
        <f>AND('PROG FORMACIÓN TITULADA'!#REF!,"AAAAAD9aZ+Y=")</f>
        <v>#REF!</v>
      </c>
      <c r="HX387" t="e">
        <f>AND('PROG FORMACIÓN TITULADA'!#REF!,"AAAAAD9aZ+c=")</f>
        <v>#REF!</v>
      </c>
      <c r="HY387" t="e">
        <f>AND('PROG FORMACIÓN TITULADA'!#REF!,"AAAAAD9aZ+g=")</f>
        <v>#REF!</v>
      </c>
      <c r="HZ387" t="e">
        <f>AND('PROG FORMACIÓN TITULADA'!#REF!,"AAAAAD9aZ+k=")</f>
        <v>#REF!</v>
      </c>
      <c r="IA387" t="e">
        <f>AND('PROG FORMACIÓN TITULADA'!#REF!,"AAAAAD9aZ+o=")</f>
        <v>#REF!</v>
      </c>
      <c r="IB387" t="e">
        <f>IF('PROG FORMACIÓN TITULADA'!#REF!,"AAAAAD9aZ+s=",0)</f>
        <v>#REF!</v>
      </c>
      <c r="IC387" t="e">
        <f>AND('PROG FORMACIÓN TITULADA'!#REF!,"AAAAAD9aZ+w=")</f>
        <v>#REF!</v>
      </c>
      <c r="ID387" t="e">
        <f>AND('PROG FORMACIÓN TITULADA'!#REF!,"AAAAAD9aZ+0=")</f>
        <v>#REF!</v>
      </c>
      <c r="IE387" t="e">
        <f>AND('PROG FORMACIÓN TITULADA'!#REF!,"AAAAAD9aZ+4=")</f>
        <v>#REF!</v>
      </c>
      <c r="IF387" t="e">
        <f>AND('PROG FORMACIÓN TITULADA'!#REF!,"AAAAAD9aZ+8=")</f>
        <v>#REF!</v>
      </c>
      <c r="IG387" t="e">
        <f>AND('PROG FORMACIÓN TITULADA'!#REF!,"AAAAAD9aZ/A=")</f>
        <v>#REF!</v>
      </c>
      <c r="IH387" t="e">
        <f>AND('PROG FORMACIÓN TITULADA'!#REF!,"AAAAAD9aZ/E=")</f>
        <v>#REF!</v>
      </c>
      <c r="II387" t="e">
        <f>AND('PROG FORMACIÓN TITULADA'!#REF!,"AAAAAD9aZ/I=")</f>
        <v>#REF!</v>
      </c>
      <c r="IJ387" t="e">
        <f>AND('PROG FORMACIÓN TITULADA'!#REF!,"AAAAAD9aZ/M=")</f>
        <v>#REF!</v>
      </c>
      <c r="IK387" t="e">
        <f>AND('PROG FORMACIÓN TITULADA'!#REF!,"AAAAAD9aZ/Q=")</f>
        <v>#REF!</v>
      </c>
      <c r="IL387" t="e">
        <f>AND('PROG FORMACIÓN TITULADA'!#REF!,"AAAAAD9aZ/U=")</f>
        <v>#REF!</v>
      </c>
      <c r="IM387" t="e">
        <f>AND('PROG FORMACIÓN TITULADA'!#REF!,"AAAAAD9aZ/Y=")</f>
        <v>#REF!</v>
      </c>
      <c r="IN387" t="e">
        <f>AND('PROG FORMACIÓN TITULADA'!#REF!,"AAAAAD9aZ/c=")</f>
        <v>#REF!</v>
      </c>
      <c r="IO387" t="e">
        <f>AND('PROG FORMACIÓN TITULADA'!#REF!,"AAAAAD9aZ/g=")</f>
        <v>#REF!</v>
      </c>
      <c r="IP387" t="e">
        <f>AND('PROG FORMACIÓN TITULADA'!#REF!,"AAAAAD9aZ/k=")</f>
        <v>#REF!</v>
      </c>
      <c r="IQ387" t="e">
        <f>AND('PROG FORMACIÓN TITULADA'!#REF!,"AAAAAD9aZ/o=")</f>
        <v>#REF!</v>
      </c>
      <c r="IR387" t="e">
        <f>AND('PROG FORMACIÓN TITULADA'!#REF!,"AAAAAD9aZ/s=")</f>
        <v>#REF!</v>
      </c>
      <c r="IS387" t="e">
        <f>AND('PROG FORMACIÓN TITULADA'!#REF!,"AAAAAD9aZ/w=")</f>
        <v>#REF!</v>
      </c>
      <c r="IT387" t="e">
        <f>AND('PROG FORMACIÓN TITULADA'!#REF!,"AAAAAD9aZ/0=")</f>
        <v>#REF!</v>
      </c>
      <c r="IU387" t="e">
        <f>AND('PROG FORMACIÓN TITULADA'!#REF!,"AAAAAD9aZ/4=")</f>
        <v>#REF!</v>
      </c>
      <c r="IV387" t="e">
        <f>AND('PROG FORMACIÓN TITULADA'!#REF!,"AAAAAD9aZ/8=")</f>
        <v>#REF!</v>
      </c>
    </row>
    <row r="388" spans="1:256" x14ac:dyDescent="0.2">
      <c r="A388" t="e">
        <f>AND('PROG FORMACIÓN TITULADA'!#REF!,"AAAAAFn/dwA=")</f>
        <v>#REF!</v>
      </c>
      <c r="B388" t="e">
        <f>AND('PROG FORMACIÓN TITULADA'!#REF!,"AAAAAFn/dwE=")</f>
        <v>#REF!</v>
      </c>
      <c r="C388" t="e">
        <f>AND('PROG FORMACIÓN TITULADA'!#REF!,"AAAAAFn/dwI=")</f>
        <v>#REF!</v>
      </c>
      <c r="D388" t="e">
        <f>AND('PROG FORMACIÓN TITULADA'!#REF!,"AAAAAFn/dwM=")</f>
        <v>#REF!</v>
      </c>
      <c r="E388" t="e">
        <f>AND('PROG FORMACIÓN TITULADA'!#REF!,"AAAAAFn/dwQ=")</f>
        <v>#REF!</v>
      </c>
      <c r="F388" t="e">
        <f>AND('PROG FORMACIÓN TITULADA'!#REF!,"AAAAAFn/dwU=")</f>
        <v>#REF!</v>
      </c>
      <c r="G388" t="e">
        <f>IF('PROG FORMACIÓN TITULADA'!#REF!,"AAAAAFn/dwY=",0)</f>
        <v>#REF!</v>
      </c>
      <c r="H388" t="e">
        <f>AND('PROG FORMACIÓN TITULADA'!#REF!,"AAAAAFn/dwc=")</f>
        <v>#REF!</v>
      </c>
      <c r="I388" t="e">
        <f>AND('PROG FORMACIÓN TITULADA'!#REF!,"AAAAAFn/dwg=")</f>
        <v>#REF!</v>
      </c>
      <c r="J388" t="e">
        <f>AND('PROG FORMACIÓN TITULADA'!#REF!,"AAAAAFn/dwk=")</f>
        <v>#REF!</v>
      </c>
      <c r="K388" t="e">
        <f>AND('PROG FORMACIÓN TITULADA'!#REF!,"AAAAAFn/dwo=")</f>
        <v>#REF!</v>
      </c>
      <c r="L388" t="e">
        <f>AND('PROG FORMACIÓN TITULADA'!#REF!,"AAAAAFn/dws=")</f>
        <v>#REF!</v>
      </c>
      <c r="M388" t="e">
        <f>AND('PROG FORMACIÓN TITULADA'!#REF!,"AAAAAFn/dww=")</f>
        <v>#REF!</v>
      </c>
      <c r="N388" t="e">
        <f>AND('PROG FORMACIÓN TITULADA'!#REF!,"AAAAAFn/dw0=")</f>
        <v>#REF!</v>
      </c>
      <c r="O388" t="e">
        <f>AND('PROG FORMACIÓN TITULADA'!#REF!,"AAAAAFn/dw4=")</f>
        <v>#REF!</v>
      </c>
      <c r="P388" t="e">
        <f>AND('PROG FORMACIÓN TITULADA'!#REF!,"AAAAAFn/dw8=")</f>
        <v>#REF!</v>
      </c>
      <c r="Q388" t="e">
        <f>AND('PROG FORMACIÓN TITULADA'!#REF!,"AAAAAFn/dxA=")</f>
        <v>#REF!</v>
      </c>
      <c r="R388" t="e">
        <f>AND('PROG FORMACIÓN TITULADA'!#REF!,"AAAAAFn/dxE=")</f>
        <v>#REF!</v>
      </c>
      <c r="S388" t="e">
        <f>AND('PROG FORMACIÓN TITULADA'!#REF!,"AAAAAFn/dxI=")</f>
        <v>#REF!</v>
      </c>
      <c r="T388" t="e">
        <f>AND('PROG FORMACIÓN TITULADA'!#REF!,"AAAAAFn/dxM=")</f>
        <v>#REF!</v>
      </c>
      <c r="U388" t="e">
        <f>AND('PROG FORMACIÓN TITULADA'!#REF!,"AAAAAFn/dxQ=")</f>
        <v>#REF!</v>
      </c>
      <c r="V388" t="e">
        <f>AND('PROG FORMACIÓN TITULADA'!#REF!,"AAAAAFn/dxU=")</f>
        <v>#REF!</v>
      </c>
      <c r="W388" t="e">
        <f>AND('PROG FORMACIÓN TITULADA'!#REF!,"AAAAAFn/dxY=")</f>
        <v>#REF!</v>
      </c>
      <c r="X388" t="e">
        <f>AND('PROG FORMACIÓN TITULADA'!#REF!,"AAAAAFn/dxc=")</f>
        <v>#REF!</v>
      </c>
      <c r="Y388" t="e">
        <f>AND('PROG FORMACIÓN TITULADA'!#REF!,"AAAAAFn/dxg=")</f>
        <v>#REF!</v>
      </c>
      <c r="Z388" t="e">
        <f>AND('PROG FORMACIÓN TITULADA'!#REF!,"AAAAAFn/dxk=")</f>
        <v>#REF!</v>
      </c>
      <c r="AA388" t="e">
        <f>AND('PROG FORMACIÓN TITULADA'!#REF!,"AAAAAFn/dxo=")</f>
        <v>#REF!</v>
      </c>
      <c r="AB388" t="e">
        <f>AND('PROG FORMACIÓN TITULADA'!#REF!,"AAAAAFn/dxs=")</f>
        <v>#REF!</v>
      </c>
      <c r="AC388" t="e">
        <f>AND('PROG FORMACIÓN TITULADA'!#REF!,"AAAAAFn/dxw=")</f>
        <v>#REF!</v>
      </c>
      <c r="AD388" t="e">
        <f>AND('PROG FORMACIÓN TITULADA'!#REF!,"AAAAAFn/dx0=")</f>
        <v>#REF!</v>
      </c>
      <c r="AE388" t="e">
        <f>AND('PROG FORMACIÓN TITULADA'!#REF!,"AAAAAFn/dx4=")</f>
        <v>#REF!</v>
      </c>
      <c r="AF388" t="e">
        <f>AND('PROG FORMACIÓN TITULADA'!#REF!,"AAAAAFn/dx8=")</f>
        <v>#REF!</v>
      </c>
      <c r="AG388" t="e">
        <f>AND('PROG FORMACIÓN TITULADA'!#REF!,"AAAAAFn/dyA=")</f>
        <v>#REF!</v>
      </c>
      <c r="AH388" t="e">
        <f>IF('PROG FORMACIÓN TITULADA'!#REF!,"AAAAAFn/dyE=",0)</f>
        <v>#REF!</v>
      </c>
      <c r="AI388" t="e">
        <f>AND('PROG FORMACIÓN TITULADA'!#REF!,"AAAAAFn/dyI=")</f>
        <v>#REF!</v>
      </c>
      <c r="AJ388" t="e">
        <f>AND('PROG FORMACIÓN TITULADA'!#REF!,"AAAAAFn/dyM=")</f>
        <v>#REF!</v>
      </c>
      <c r="AK388" t="e">
        <f>AND('PROG FORMACIÓN TITULADA'!#REF!,"AAAAAFn/dyQ=")</f>
        <v>#REF!</v>
      </c>
      <c r="AL388" t="e">
        <f>AND('PROG FORMACIÓN TITULADA'!#REF!,"AAAAAFn/dyU=")</f>
        <v>#REF!</v>
      </c>
      <c r="AM388" t="e">
        <f>AND('PROG FORMACIÓN TITULADA'!#REF!,"AAAAAFn/dyY=")</f>
        <v>#REF!</v>
      </c>
      <c r="AN388" t="e">
        <f>AND('PROG FORMACIÓN TITULADA'!#REF!,"AAAAAFn/dyc=")</f>
        <v>#REF!</v>
      </c>
      <c r="AO388" t="e">
        <f>AND('PROG FORMACIÓN TITULADA'!#REF!,"AAAAAFn/dyg=")</f>
        <v>#REF!</v>
      </c>
      <c r="AP388" t="e">
        <f>AND('PROG FORMACIÓN TITULADA'!#REF!,"AAAAAFn/dyk=")</f>
        <v>#REF!</v>
      </c>
      <c r="AQ388" t="e">
        <f>AND('PROG FORMACIÓN TITULADA'!#REF!,"AAAAAFn/dyo=")</f>
        <v>#REF!</v>
      </c>
      <c r="AR388" t="e">
        <f>AND('PROG FORMACIÓN TITULADA'!#REF!,"AAAAAFn/dys=")</f>
        <v>#REF!</v>
      </c>
      <c r="AS388" t="e">
        <f>AND('PROG FORMACIÓN TITULADA'!#REF!,"AAAAAFn/dyw=")</f>
        <v>#REF!</v>
      </c>
      <c r="AT388" t="e">
        <f>AND('PROG FORMACIÓN TITULADA'!#REF!,"AAAAAFn/dy0=")</f>
        <v>#REF!</v>
      </c>
      <c r="AU388" t="e">
        <f>AND('PROG FORMACIÓN TITULADA'!#REF!,"AAAAAFn/dy4=")</f>
        <v>#REF!</v>
      </c>
      <c r="AV388" t="e">
        <f>AND('PROG FORMACIÓN TITULADA'!#REF!,"AAAAAFn/dy8=")</f>
        <v>#REF!</v>
      </c>
      <c r="AW388" t="e">
        <f>AND('PROG FORMACIÓN TITULADA'!#REF!,"AAAAAFn/dzA=")</f>
        <v>#REF!</v>
      </c>
      <c r="AX388" t="e">
        <f>AND('PROG FORMACIÓN TITULADA'!#REF!,"AAAAAFn/dzE=")</f>
        <v>#REF!</v>
      </c>
      <c r="AY388" t="e">
        <f>AND('PROG FORMACIÓN TITULADA'!#REF!,"AAAAAFn/dzI=")</f>
        <v>#REF!</v>
      </c>
      <c r="AZ388" t="e">
        <f>AND('PROG FORMACIÓN TITULADA'!#REF!,"AAAAAFn/dzM=")</f>
        <v>#REF!</v>
      </c>
      <c r="BA388" t="e">
        <f>AND('PROG FORMACIÓN TITULADA'!#REF!,"AAAAAFn/dzQ=")</f>
        <v>#REF!</v>
      </c>
      <c r="BB388" t="e">
        <f>AND('PROG FORMACIÓN TITULADA'!#REF!,"AAAAAFn/dzU=")</f>
        <v>#REF!</v>
      </c>
      <c r="BC388" t="e">
        <f>AND('PROG FORMACIÓN TITULADA'!#REF!,"AAAAAFn/dzY=")</f>
        <v>#REF!</v>
      </c>
      <c r="BD388" t="e">
        <f>AND('PROG FORMACIÓN TITULADA'!#REF!,"AAAAAFn/dzc=")</f>
        <v>#REF!</v>
      </c>
      <c r="BE388" t="e">
        <f>AND('PROG FORMACIÓN TITULADA'!#REF!,"AAAAAFn/dzg=")</f>
        <v>#REF!</v>
      </c>
      <c r="BF388" t="e">
        <f>AND('PROG FORMACIÓN TITULADA'!#REF!,"AAAAAFn/dzk=")</f>
        <v>#REF!</v>
      </c>
      <c r="BG388" t="e">
        <f>AND('PROG FORMACIÓN TITULADA'!#REF!,"AAAAAFn/dzo=")</f>
        <v>#REF!</v>
      </c>
      <c r="BH388" t="e">
        <f>AND('PROG FORMACIÓN TITULADA'!#REF!,"AAAAAFn/dzs=")</f>
        <v>#REF!</v>
      </c>
      <c r="BI388" t="e">
        <f>IF('PROG FORMACIÓN TITULADA'!#REF!,"AAAAAFn/dzw=",0)</f>
        <v>#REF!</v>
      </c>
      <c r="BJ388" t="e">
        <f>AND('PROG FORMACIÓN TITULADA'!#REF!,"AAAAAFn/dz0=")</f>
        <v>#REF!</v>
      </c>
      <c r="BK388" t="e">
        <f>AND('PROG FORMACIÓN TITULADA'!#REF!,"AAAAAFn/dz4=")</f>
        <v>#REF!</v>
      </c>
      <c r="BL388" t="e">
        <f>AND('PROG FORMACIÓN TITULADA'!#REF!,"AAAAAFn/dz8=")</f>
        <v>#REF!</v>
      </c>
      <c r="BM388" t="e">
        <f>AND('PROG FORMACIÓN TITULADA'!#REF!,"AAAAAFn/d0A=")</f>
        <v>#REF!</v>
      </c>
      <c r="BN388" t="e">
        <f>AND('PROG FORMACIÓN TITULADA'!#REF!,"AAAAAFn/d0E=")</f>
        <v>#REF!</v>
      </c>
      <c r="BO388" t="e">
        <f>AND('PROG FORMACIÓN TITULADA'!#REF!,"AAAAAFn/d0I=")</f>
        <v>#REF!</v>
      </c>
      <c r="BP388" t="e">
        <f>AND('PROG FORMACIÓN TITULADA'!#REF!,"AAAAAFn/d0M=")</f>
        <v>#REF!</v>
      </c>
      <c r="BQ388" t="e">
        <f>AND('PROG FORMACIÓN TITULADA'!#REF!,"AAAAAFn/d0Q=")</f>
        <v>#REF!</v>
      </c>
      <c r="BR388" t="e">
        <f>AND('PROG FORMACIÓN TITULADA'!#REF!,"AAAAAFn/d0U=")</f>
        <v>#REF!</v>
      </c>
      <c r="BS388" t="e">
        <f>AND('PROG FORMACIÓN TITULADA'!#REF!,"AAAAAFn/d0Y=")</f>
        <v>#REF!</v>
      </c>
      <c r="BT388" t="e">
        <f>AND('PROG FORMACIÓN TITULADA'!#REF!,"AAAAAFn/d0c=")</f>
        <v>#REF!</v>
      </c>
      <c r="BU388" t="e">
        <f>AND('PROG FORMACIÓN TITULADA'!#REF!,"AAAAAFn/d0g=")</f>
        <v>#REF!</v>
      </c>
      <c r="BV388" t="e">
        <f>AND('PROG FORMACIÓN TITULADA'!#REF!,"AAAAAFn/d0k=")</f>
        <v>#REF!</v>
      </c>
      <c r="BW388" t="e">
        <f>AND('PROG FORMACIÓN TITULADA'!#REF!,"AAAAAFn/d0o=")</f>
        <v>#REF!</v>
      </c>
      <c r="BX388" t="e">
        <f>AND('PROG FORMACIÓN TITULADA'!#REF!,"AAAAAFn/d0s=")</f>
        <v>#REF!</v>
      </c>
      <c r="BY388" t="e">
        <f>AND('PROG FORMACIÓN TITULADA'!#REF!,"AAAAAFn/d0w=")</f>
        <v>#REF!</v>
      </c>
      <c r="BZ388" t="e">
        <f>AND('PROG FORMACIÓN TITULADA'!#REF!,"AAAAAFn/d00=")</f>
        <v>#REF!</v>
      </c>
      <c r="CA388" t="e">
        <f>AND('PROG FORMACIÓN TITULADA'!#REF!,"AAAAAFn/d04=")</f>
        <v>#REF!</v>
      </c>
      <c r="CB388" t="e">
        <f>AND('PROG FORMACIÓN TITULADA'!#REF!,"AAAAAFn/d08=")</f>
        <v>#REF!</v>
      </c>
      <c r="CC388" t="e">
        <f>AND('PROG FORMACIÓN TITULADA'!#REF!,"AAAAAFn/d1A=")</f>
        <v>#REF!</v>
      </c>
      <c r="CD388" t="e">
        <f>AND('PROG FORMACIÓN TITULADA'!#REF!,"AAAAAFn/d1E=")</f>
        <v>#REF!</v>
      </c>
      <c r="CE388" t="e">
        <f>AND('PROG FORMACIÓN TITULADA'!#REF!,"AAAAAFn/d1I=")</f>
        <v>#REF!</v>
      </c>
      <c r="CF388" t="e">
        <f>AND('PROG FORMACIÓN TITULADA'!#REF!,"AAAAAFn/d1M=")</f>
        <v>#REF!</v>
      </c>
      <c r="CG388" t="e">
        <f>AND('PROG FORMACIÓN TITULADA'!#REF!,"AAAAAFn/d1Q=")</f>
        <v>#REF!</v>
      </c>
      <c r="CH388" t="e">
        <f>AND('PROG FORMACIÓN TITULADA'!#REF!,"AAAAAFn/d1U=")</f>
        <v>#REF!</v>
      </c>
      <c r="CI388" t="e">
        <f>AND('PROG FORMACIÓN TITULADA'!#REF!,"AAAAAFn/d1Y=")</f>
        <v>#REF!</v>
      </c>
      <c r="CJ388" t="e">
        <f>IF('PROG FORMACIÓN TITULADA'!#REF!,"AAAAAFn/d1c=",0)</f>
        <v>#REF!</v>
      </c>
      <c r="CK388" t="e">
        <f>AND('PROG FORMACIÓN TITULADA'!#REF!,"AAAAAFn/d1g=")</f>
        <v>#REF!</v>
      </c>
      <c r="CL388" t="e">
        <f>AND('PROG FORMACIÓN TITULADA'!#REF!,"AAAAAFn/d1k=")</f>
        <v>#REF!</v>
      </c>
      <c r="CM388" t="e">
        <f>AND('PROG FORMACIÓN TITULADA'!#REF!,"AAAAAFn/d1o=")</f>
        <v>#REF!</v>
      </c>
      <c r="CN388" t="e">
        <f>AND('PROG FORMACIÓN TITULADA'!#REF!,"AAAAAFn/d1s=")</f>
        <v>#REF!</v>
      </c>
      <c r="CO388" t="e">
        <f>AND('PROG FORMACIÓN TITULADA'!#REF!,"AAAAAFn/d1w=")</f>
        <v>#REF!</v>
      </c>
      <c r="CP388" t="e">
        <f>AND('PROG FORMACIÓN TITULADA'!#REF!,"AAAAAFn/d10=")</f>
        <v>#REF!</v>
      </c>
      <c r="CQ388" t="e">
        <f>AND('PROG FORMACIÓN TITULADA'!#REF!,"AAAAAFn/d14=")</f>
        <v>#REF!</v>
      </c>
      <c r="CR388" t="e">
        <f>AND('PROG FORMACIÓN TITULADA'!#REF!,"AAAAAFn/d18=")</f>
        <v>#REF!</v>
      </c>
      <c r="CS388" t="e">
        <f>AND('PROG FORMACIÓN TITULADA'!#REF!,"AAAAAFn/d2A=")</f>
        <v>#REF!</v>
      </c>
      <c r="CT388" t="e">
        <f>AND('PROG FORMACIÓN TITULADA'!#REF!,"AAAAAFn/d2E=")</f>
        <v>#REF!</v>
      </c>
      <c r="CU388" t="e">
        <f>AND('PROG FORMACIÓN TITULADA'!#REF!,"AAAAAFn/d2I=")</f>
        <v>#REF!</v>
      </c>
      <c r="CV388" t="e">
        <f>AND('PROG FORMACIÓN TITULADA'!#REF!,"AAAAAFn/d2M=")</f>
        <v>#REF!</v>
      </c>
      <c r="CW388" t="e">
        <f>AND('PROG FORMACIÓN TITULADA'!#REF!,"AAAAAFn/d2Q=")</f>
        <v>#REF!</v>
      </c>
      <c r="CX388" t="e">
        <f>AND('PROG FORMACIÓN TITULADA'!#REF!,"AAAAAFn/d2U=")</f>
        <v>#REF!</v>
      </c>
      <c r="CY388" t="e">
        <f>AND('PROG FORMACIÓN TITULADA'!#REF!,"AAAAAFn/d2Y=")</f>
        <v>#REF!</v>
      </c>
      <c r="CZ388" t="e">
        <f>AND('PROG FORMACIÓN TITULADA'!#REF!,"AAAAAFn/d2c=")</f>
        <v>#REF!</v>
      </c>
      <c r="DA388" t="e">
        <f>AND('PROG FORMACIÓN TITULADA'!#REF!,"AAAAAFn/d2g=")</f>
        <v>#REF!</v>
      </c>
      <c r="DB388" t="e">
        <f>AND('PROG FORMACIÓN TITULADA'!#REF!,"AAAAAFn/d2k=")</f>
        <v>#REF!</v>
      </c>
      <c r="DC388" t="e">
        <f>AND('PROG FORMACIÓN TITULADA'!#REF!,"AAAAAFn/d2o=")</f>
        <v>#REF!</v>
      </c>
      <c r="DD388" t="e">
        <f>AND('PROG FORMACIÓN TITULADA'!#REF!,"AAAAAFn/d2s=")</f>
        <v>#REF!</v>
      </c>
      <c r="DE388" t="e">
        <f>AND('PROG FORMACIÓN TITULADA'!#REF!,"AAAAAFn/d2w=")</f>
        <v>#REF!</v>
      </c>
      <c r="DF388" t="e">
        <f>AND('PROG FORMACIÓN TITULADA'!#REF!,"AAAAAFn/d20=")</f>
        <v>#REF!</v>
      </c>
      <c r="DG388" t="e">
        <f>AND('PROG FORMACIÓN TITULADA'!#REF!,"AAAAAFn/d24=")</f>
        <v>#REF!</v>
      </c>
      <c r="DH388" t="e">
        <f>AND('PROG FORMACIÓN TITULADA'!#REF!,"AAAAAFn/d28=")</f>
        <v>#REF!</v>
      </c>
      <c r="DI388" t="e">
        <f>AND('PROG FORMACIÓN TITULADA'!#REF!,"AAAAAFn/d3A=")</f>
        <v>#REF!</v>
      </c>
      <c r="DJ388" t="e">
        <f>AND('PROG FORMACIÓN TITULADA'!#REF!,"AAAAAFn/d3E=")</f>
        <v>#REF!</v>
      </c>
      <c r="DK388" t="e">
        <f>IF('PROG FORMACIÓN TITULADA'!#REF!,"AAAAAFn/d3I=",0)</f>
        <v>#REF!</v>
      </c>
      <c r="DL388" t="e">
        <f>AND('PROG FORMACIÓN TITULADA'!#REF!,"AAAAAFn/d3M=")</f>
        <v>#REF!</v>
      </c>
      <c r="DM388" t="e">
        <f>AND('PROG FORMACIÓN TITULADA'!#REF!,"AAAAAFn/d3Q=")</f>
        <v>#REF!</v>
      </c>
      <c r="DN388" t="e">
        <f>AND('PROG FORMACIÓN TITULADA'!#REF!,"AAAAAFn/d3U=")</f>
        <v>#REF!</v>
      </c>
      <c r="DO388" t="e">
        <f>AND('PROG FORMACIÓN TITULADA'!#REF!,"AAAAAFn/d3Y=")</f>
        <v>#REF!</v>
      </c>
      <c r="DP388" t="e">
        <f>AND('PROG FORMACIÓN TITULADA'!#REF!,"AAAAAFn/d3c=")</f>
        <v>#REF!</v>
      </c>
      <c r="DQ388" t="e">
        <f>AND('PROG FORMACIÓN TITULADA'!#REF!,"AAAAAFn/d3g=")</f>
        <v>#REF!</v>
      </c>
      <c r="DR388" t="e">
        <f>AND('PROG FORMACIÓN TITULADA'!#REF!,"AAAAAFn/d3k=")</f>
        <v>#REF!</v>
      </c>
      <c r="DS388" t="e">
        <f>AND('PROG FORMACIÓN TITULADA'!#REF!,"AAAAAFn/d3o=")</f>
        <v>#REF!</v>
      </c>
      <c r="DT388" t="e">
        <f>AND('PROG FORMACIÓN TITULADA'!#REF!,"AAAAAFn/d3s=")</f>
        <v>#REF!</v>
      </c>
      <c r="DU388" t="e">
        <f>AND('PROG FORMACIÓN TITULADA'!#REF!,"AAAAAFn/d3w=")</f>
        <v>#REF!</v>
      </c>
      <c r="DV388" t="e">
        <f>AND('PROG FORMACIÓN TITULADA'!#REF!,"AAAAAFn/d30=")</f>
        <v>#REF!</v>
      </c>
      <c r="DW388" t="e">
        <f>AND('PROG FORMACIÓN TITULADA'!#REF!,"AAAAAFn/d34=")</f>
        <v>#REF!</v>
      </c>
      <c r="DX388" t="e">
        <f>AND('PROG FORMACIÓN TITULADA'!#REF!,"AAAAAFn/d38=")</f>
        <v>#REF!</v>
      </c>
      <c r="DY388" t="e">
        <f>AND('PROG FORMACIÓN TITULADA'!#REF!,"AAAAAFn/d4A=")</f>
        <v>#REF!</v>
      </c>
      <c r="DZ388" t="e">
        <f>AND('PROG FORMACIÓN TITULADA'!#REF!,"AAAAAFn/d4E=")</f>
        <v>#REF!</v>
      </c>
      <c r="EA388" t="e">
        <f>AND('PROG FORMACIÓN TITULADA'!#REF!,"AAAAAFn/d4I=")</f>
        <v>#REF!</v>
      </c>
      <c r="EB388" t="e">
        <f>AND('PROG FORMACIÓN TITULADA'!#REF!,"AAAAAFn/d4M=")</f>
        <v>#REF!</v>
      </c>
      <c r="EC388" t="e">
        <f>AND('PROG FORMACIÓN TITULADA'!#REF!,"AAAAAFn/d4Q=")</f>
        <v>#REF!</v>
      </c>
      <c r="ED388" t="e">
        <f>AND('PROG FORMACIÓN TITULADA'!#REF!,"AAAAAFn/d4U=")</f>
        <v>#REF!</v>
      </c>
      <c r="EE388" t="e">
        <f>AND('PROG FORMACIÓN TITULADA'!#REF!,"AAAAAFn/d4Y=")</f>
        <v>#REF!</v>
      </c>
      <c r="EF388" t="e">
        <f>AND('PROG FORMACIÓN TITULADA'!#REF!,"AAAAAFn/d4c=")</f>
        <v>#REF!</v>
      </c>
      <c r="EG388" t="e">
        <f>AND('PROG FORMACIÓN TITULADA'!#REF!,"AAAAAFn/d4g=")</f>
        <v>#REF!</v>
      </c>
      <c r="EH388" t="e">
        <f>AND('PROG FORMACIÓN TITULADA'!#REF!,"AAAAAFn/d4k=")</f>
        <v>#REF!</v>
      </c>
      <c r="EI388" t="e">
        <f>AND('PROG FORMACIÓN TITULADA'!#REF!,"AAAAAFn/d4o=")</f>
        <v>#REF!</v>
      </c>
      <c r="EJ388" t="e">
        <f>AND('PROG FORMACIÓN TITULADA'!#REF!,"AAAAAFn/d4s=")</f>
        <v>#REF!</v>
      </c>
      <c r="EK388" t="e">
        <f>AND('PROG FORMACIÓN TITULADA'!#REF!,"AAAAAFn/d4w=")</f>
        <v>#REF!</v>
      </c>
      <c r="EL388" t="e">
        <f>IF('PROG FORMACIÓN TITULADA'!#REF!,"AAAAAFn/d40=",0)</f>
        <v>#REF!</v>
      </c>
      <c r="EM388" t="e">
        <f>AND('PROG FORMACIÓN TITULADA'!#REF!,"AAAAAFn/d44=")</f>
        <v>#REF!</v>
      </c>
      <c r="EN388" t="e">
        <f>AND('PROG FORMACIÓN TITULADA'!#REF!,"AAAAAFn/d48=")</f>
        <v>#REF!</v>
      </c>
      <c r="EO388" t="e">
        <f>AND('PROG FORMACIÓN TITULADA'!#REF!,"AAAAAFn/d5A=")</f>
        <v>#REF!</v>
      </c>
      <c r="EP388" t="e">
        <f>AND('PROG FORMACIÓN TITULADA'!#REF!,"AAAAAFn/d5E=")</f>
        <v>#REF!</v>
      </c>
      <c r="EQ388" t="e">
        <f>AND('PROG FORMACIÓN TITULADA'!#REF!,"AAAAAFn/d5I=")</f>
        <v>#REF!</v>
      </c>
      <c r="ER388" t="e">
        <f>AND('PROG FORMACIÓN TITULADA'!#REF!,"AAAAAFn/d5M=")</f>
        <v>#REF!</v>
      </c>
      <c r="ES388" t="e">
        <f>AND('PROG FORMACIÓN TITULADA'!#REF!,"AAAAAFn/d5Q=")</f>
        <v>#REF!</v>
      </c>
      <c r="ET388" t="e">
        <f>AND('PROG FORMACIÓN TITULADA'!#REF!,"AAAAAFn/d5U=")</f>
        <v>#REF!</v>
      </c>
      <c r="EU388" t="e">
        <f>AND('PROG FORMACIÓN TITULADA'!#REF!,"AAAAAFn/d5Y=")</f>
        <v>#REF!</v>
      </c>
      <c r="EV388" t="e">
        <f>AND('PROG FORMACIÓN TITULADA'!#REF!,"AAAAAFn/d5c=")</f>
        <v>#REF!</v>
      </c>
      <c r="EW388" t="e">
        <f>AND('PROG FORMACIÓN TITULADA'!#REF!,"AAAAAFn/d5g=")</f>
        <v>#REF!</v>
      </c>
      <c r="EX388" t="e">
        <f>AND('PROG FORMACIÓN TITULADA'!#REF!,"AAAAAFn/d5k=")</f>
        <v>#REF!</v>
      </c>
      <c r="EY388" t="e">
        <f>AND('PROG FORMACIÓN TITULADA'!#REF!,"AAAAAFn/d5o=")</f>
        <v>#REF!</v>
      </c>
      <c r="EZ388" t="e">
        <f>AND('PROG FORMACIÓN TITULADA'!#REF!,"AAAAAFn/d5s=")</f>
        <v>#REF!</v>
      </c>
      <c r="FA388" t="e">
        <f>AND('PROG FORMACIÓN TITULADA'!#REF!,"AAAAAFn/d5w=")</f>
        <v>#REF!</v>
      </c>
      <c r="FB388" t="e">
        <f>AND('PROG FORMACIÓN TITULADA'!#REF!,"AAAAAFn/d50=")</f>
        <v>#REF!</v>
      </c>
      <c r="FC388" t="e">
        <f>AND('PROG FORMACIÓN TITULADA'!#REF!,"AAAAAFn/d54=")</f>
        <v>#REF!</v>
      </c>
      <c r="FD388" t="e">
        <f>AND('PROG FORMACIÓN TITULADA'!#REF!,"AAAAAFn/d58=")</f>
        <v>#REF!</v>
      </c>
      <c r="FE388" t="e">
        <f>AND('PROG FORMACIÓN TITULADA'!#REF!,"AAAAAFn/d6A=")</f>
        <v>#REF!</v>
      </c>
      <c r="FF388" t="e">
        <f>AND('PROG FORMACIÓN TITULADA'!#REF!,"AAAAAFn/d6E=")</f>
        <v>#REF!</v>
      </c>
      <c r="FG388" t="e">
        <f>AND('PROG FORMACIÓN TITULADA'!#REF!,"AAAAAFn/d6I=")</f>
        <v>#REF!</v>
      </c>
      <c r="FH388" t="e">
        <f>AND('PROG FORMACIÓN TITULADA'!#REF!,"AAAAAFn/d6M=")</f>
        <v>#REF!</v>
      </c>
      <c r="FI388" t="e">
        <f>AND('PROG FORMACIÓN TITULADA'!#REF!,"AAAAAFn/d6Q=")</f>
        <v>#REF!</v>
      </c>
      <c r="FJ388" t="e">
        <f>AND('PROG FORMACIÓN TITULADA'!#REF!,"AAAAAFn/d6U=")</f>
        <v>#REF!</v>
      </c>
      <c r="FK388" t="e">
        <f>AND('PROG FORMACIÓN TITULADA'!#REF!,"AAAAAFn/d6Y=")</f>
        <v>#REF!</v>
      </c>
      <c r="FL388" t="e">
        <f>AND('PROG FORMACIÓN TITULADA'!#REF!,"AAAAAFn/d6c=")</f>
        <v>#REF!</v>
      </c>
      <c r="FM388" t="e">
        <f>IF('PROG FORMACIÓN TITULADA'!#REF!,"AAAAAFn/d6g=",0)</f>
        <v>#REF!</v>
      </c>
      <c r="FN388" t="e">
        <f>AND('PROG FORMACIÓN TITULADA'!#REF!,"AAAAAFn/d6k=")</f>
        <v>#REF!</v>
      </c>
      <c r="FO388" t="e">
        <f>AND('PROG FORMACIÓN TITULADA'!#REF!,"AAAAAFn/d6o=")</f>
        <v>#REF!</v>
      </c>
      <c r="FP388" t="e">
        <f>AND('PROG FORMACIÓN TITULADA'!#REF!,"AAAAAFn/d6s=")</f>
        <v>#REF!</v>
      </c>
      <c r="FQ388" t="e">
        <f>AND('PROG FORMACIÓN TITULADA'!#REF!,"AAAAAFn/d6w=")</f>
        <v>#REF!</v>
      </c>
      <c r="FR388" t="e">
        <f>AND('PROG FORMACIÓN TITULADA'!#REF!,"AAAAAFn/d60=")</f>
        <v>#REF!</v>
      </c>
      <c r="FS388" t="e">
        <f>AND('PROG FORMACIÓN TITULADA'!#REF!,"AAAAAFn/d64=")</f>
        <v>#REF!</v>
      </c>
      <c r="FT388" t="e">
        <f>AND('PROG FORMACIÓN TITULADA'!#REF!,"AAAAAFn/d68=")</f>
        <v>#REF!</v>
      </c>
      <c r="FU388" t="e">
        <f>AND('PROG FORMACIÓN TITULADA'!#REF!,"AAAAAFn/d7A=")</f>
        <v>#REF!</v>
      </c>
      <c r="FV388" t="e">
        <f>AND('PROG FORMACIÓN TITULADA'!#REF!,"AAAAAFn/d7E=")</f>
        <v>#REF!</v>
      </c>
      <c r="FW388" t="e">
        <f>AND('PROG FORMACIÓN TITULADA'!#REF!,"AAAAAFn/d7I=")</f>
        <v>#REF!</v>
      </c>
      <c r="FX388" t="e">
        <f>AND('PROG FORMACIÓN TITULADA'!#REF!,"AAAAAFn/d7M=")</f>
        <v>#REF!</v>
      </c>
      <c r="FY388" t="e">
        <f>AND('PROG FORMACIÓN TITULADA'!#REF!,"AAAAAFn/d7Q=")</f>
        <v>#REF!</v>
      </c>
      <c r="FZ388" t="e">
        <f>AND('PROG FORMACIÓN TITULADA'!#REF!,"AAAAAFn/d7U=")</f>
        <v>#REF!</v>
      </c>
      <c r="GA388" t="e">
        <f>AND('PROG FORMACIÓN TITULADA'!#REF!,"AAAAAFn/d7Y=")</f>
        <v>#REF!</v>
      </c>
      <c r="GB388" t="e">
        <f>AND('PROG FORMACIÓN TITULADA'!#REF!,"AAAAAFn/d7c=")</f>
        <v>#REF!</v>
      </c>
      <c r="GC388" t="e">
        <f>AND('PROG FORMACIÓN TITULADA'!#REF!,"AAAAAFn/d7g=")</f>
        <v>#REF!</v>
      </c>
      <c r="GD388" t="e">
        <f>AND('PROG FORMACIÓN TITULADA'!#REF!,"AAAAAFn/d7k=")</f>
        <v>#REF!</v>
      </c>
      <c r="GE388" t="e">
        <f>AND('PROG FORMACIÓN TITULADA'!#REF!,"AAAAAFn/d7o=")</f>
        <v>#REF!</v>
      </c>
      <c r="GF388" t="e">
        <f>AND('PROG FORMACIÓN TITULADA'!#REF!,"AAAAAFn/d7s=")</f>
        <v>#REF!</v>
      </c>
      <c r="GG388" t="e">
        <f>AND('PROG FORMACIÓN TITULADA'!#REF!,"AAAAAFn/d7w=")</f>
        <v>#REF!</v>
      </c>
      <c r="GH388" t="e">
        <f>AND('PROG FORMACIÓN TITULADA'!#REF!,"AAAAAFn/d70=")</f>
        <v>#REF!</v>
      </c>
      <c r="GI388" t="e">
        <f>AND('PROG FORMACIÓN TITULADA'!#REF!,"AAAAAFn/d74=")</f>
        <v>#REF!</v>
      </c>
      <c r="GJ388" t="e">
        <f>AND('PROG FORMACIÓN TITULADA'!#REF!,"AAAAAFn/d78=")</f>
        <v>#REF!</v>
      </c>
      <c r="GK388" t="e">
        <f>AND('PROG FORMACIÓN TITULADA'!#REF!,"AAAAAFn/d8A=")</f>
        <v>#REF!</v>
      </c>
      <c r="GL388" t="e">
        <f>AND('PROG FORMACIÓN TITULADA'!#REF!,"AAAAAFn/d8E=")</f>
        <v>#REF!</v>
      </c>
      <c r="GM388" t="e">
        <f>AND('PROG FORMACIÓN TITULADA'!#REF!,"AAAAAFn/d8I=")</f>
        <v>#REF!</v>
      </c>
      <c r="GN388" t="e">
        <f>IF('PROG FORMACIÓN TITULADA'!#REF!,"AAAAAFn/d8M=",0)</f>
        <v>#REF!</v>
      </c>
      <c r="GO388" t="e">
        <f>AND('PROG FORMACIÓN TITULADA'!#REF!,"AAAAAFn/d8Q=")</f>
        <v>#REF!</v>
      </c>
      <c r="GP388" t="e">
        <f>AND('PROG FORMACIÓN TITULADA'!#REF!,"AAAAAFn/d8U=")</f>
        <v>#REF!</v>
      </c>
      <c r="GQ388" t="e">
        <f>AND('PROG FORMACIÓN TITULADA'!#REF!,"AAAAAFn/d8Y=")</f>
        <v>#REF!</v>
      </c>
      <c r="GR388" t="e">
        <f>AND('PROG FORMACIÓN TITULADA'!#REF!,"AAAAAFn/d8c=")</f>
        <v>#REF!</v>
      </c>
      <c r="GS388" t="e">
        <f>AND('PROG FORMACIÓN TITULADA'!#REF!,"AAAAAFn/d8g=")</f>
        <v>#REF!</v>
      </c>
      <c r="GT388" t="e">
        <f>AND('PROG FORMACIÓN TITULADA'!#REF!,"AAAAAFn/d8k=")</f>
        <v>#REF!</v>
      </c>
      <c r="GU388" t="e">
        <f>AND('PROG FORMACIÓN TITULADA'!#REF!,"AAAAAFn/d8o=")</f>
        <v>#REF!</v>
      </c>
      <c r="GV388" t="e">
        <f>AND('PROG FORMACIÓN TITULADA'!#REF!,"AAAAAFn/d8s=")</f>
        <v>#REF!</v>
      </c>
      <c r="GW388" t="e">
        <f>AND('PROG FORMACIÓN TITULADA'!#REF!,"AAAAAFn/d8w=")</f>
        <v>#REF!</v>
      </c>
      <c r="GX388" t="e">
        <f>AND('PROG FORMACIÓN TITULADA'!#REF!,"AAAAAFn/d80=")</f>
        <v>#REF!</v>
      </c>
      <c r="GY388" t="e">
        <f>AND('PROG FORMACIÓN TITULADA'!#REF!,"AAAAAFn/d84=")</f>
        <v>#REF!</v>
      </c>
      <c r="GZ388" t="e">
        <f>AND('PROG FORMACIÓN TITULADA'!#REF!,"AAAAAFn/d88=")</f>
        <v>#REF!</v>
      </c>
      <c r="HA388" t="e">
        <f>AND('PROG FORMACIÓN TITULADA'!#REF!,"AAAAAFn/d9A=")</f>
        <v>#REF!</v>
      </c>
      <c r="HB388" t="e">
        <f>AND('PROG FORMACIÓN TITULADA'!#REF!,"AAAAAFn/d9E=")</f>
        <v>#REF!</v>
      </c>
      <c r="HC388" t="e">
        <f>AND('PROG FORMACIÓN TITULADA'!#REF!,"AAAAAFn/d9I=")</f>
        <v>#REF!</v>
      </c>
      <c r="HD388" t="e">
        <f>AND('PROG FORMACIÓN TITULADA'!#REF!,"AAAAAFn/d9M=")</f>
        <v>#REF!</v>
      </c>
      <c r="HE388" t="e">
        <f>AND('PROG FORMACIÓN TITULADA'!#REF!,"AAAAAFn/d9Q=")</f>
        <v>#REF!</v>
      </c>
      <c r="HF388" t="e">
        <f>AND('PROG FORMACIÓN TITULADA'!#REF!,"AAAAAFn/d9U=")</f>
        <v>#REF!</v>
      </c>
      <c r="HG388" t="e">
        <f>AND('PROG FORMACIÓN TITULADA'!#REF!,"AAAAAFn/d9Y=")</f>
        <v>#REF!</v>
      </c>
      <c r="HH388" t="e">
        <f>AND('PROG FORMACIÓN TITULADA'!#REF!,"AAAAAFn/d9c=")</f>
        <v>#REF!</v>
      </c>
      <c r="HI388" t="e">
        <f>AND('PROG FORMACIÓN TITULADA'!#REF!,"AAAAAFn/d9g=")</f>
        <v>#REF!</v>
      </c>
      <c r="HJ388" t="e">
        <f>AND('PROG FORMACIÓN TITULADA'!#REF!,"AAAAAFn/d9k=")</f>
        <v>#REF!</v>
      </c>
      <c r="HK388" t="e">
        <f>AND('PROG FORMACIÓN TITULADA'!#REF!,"AAAAAFn/d9o=")</f>
        <v>#REF!</v>
      </c>
      <c r="HL388" t="e">
        <f>AND('PROG FORMACIÓN TITULADA'!#REF!,"AAAAAFn/d9s=")</f>
        <v>#REF!</v>
      </c>
      <c r="HM388" t="e">
        <f>AND('PROG FORMACIÓN TITULADA'!#REF!,"AAAAAFn/d9w=")</f>
        <v>#REF!</v>
      </c>
      <c r="HN388" t="e">
        <f>AND('PROG FORMACIÓN TITULADA'!#REF!,"AAAAAFn/d90=")</f>
        <v>#REF!</v>
      </c>
      <c r="HO388" t="e">
        <f>IF('PROG FORMACIÓN TITULADA'!#REF!,"AAAAAFn/d94=",0)</f>
        <v>#REF!</v>
      </c>
      <c r="HP388" t="e">
        <f>AND('PROG FORMACIÓN TITULADA'!#REF!,"AAAAAFn/d98=")</f>
        <v>#REF!</v>
      </c>
      <c r="HQ388" t="e">
        <f>AND('PROG FORMACIÓN TITULADA'!#REF!,"AAAAAFn/d+A=")</f>
        <v>#REF!</v>
      </c>
      <c r="HR388" t="e">
        <f>AND('PROG FORMACIÓN TITULADA'!#REF!,"AAAAAFn/d+E=")</f>
        <v>#REF!</v>
      </c>
      <c r="HS388" t="e">
        <f>AND('PROG FORMACIÓN TITULADA'!#REF!,"AAAAAFn/d+I=")</f>
        <v>#REF!</v>
      </c>
      <c r="HT388" t="e">
        <f>AND('PROG FORMACIÓN TITULADA'!#REF!,"AAAAAFn/d+M=")</f>
        <v>#REF!</v>
      </c>
      <c r="HU388" t="e">
        <f>AND('PROG FORMACIÓN TITULADA'!#REF!,"AAAAAFn/d+Q=")</f>
        <v>#REF!</v>
      </c>
      <c r="HV388" t="e">
        <f>AND('PROG FORMACIÓN TITULADA'!#REF!,"AAAAAFn/d+U=")</f>
        <v>#REF!</v>
      </c>
      <c r="HW388" t="e">
        <f>AND('PROG FORMACIÓN TITULADA'!#REF!,"AAAAAFn/d+Y=")</f>
        <v>#REF!</v>
      </c>
      <c r="HX388" t="e">
        <f>AND('PROG FORMACIÓN TITULADA'!#REF!,"AAAAAFn/d+c=")</f>
        <v>#REF!</v>
      </c>
      <c r="HY388" t="e">
        <f>AND('PROG FORMACIÓN TITULADA'!#REF!,"AAAAAFn/d+g=")</f>
        <v>#REF!</v>
      </c>
      <c r="HZ388" t="e">
        <f>AND('PROG FORMACIÓN TITULADA'!#REF!,"AAAAAFn/d+k=")</f>
        <v>#REF!</v>
      </c>
      <c r="IA388" t="e">
        <f>AND('PROG FORMACIÓN TITULADA'!#REF!,"AAAAAFn/d+o=")</f>
        <v>#REF!</v>
      </c>
      <c r="IB388" t="e">
        <f>AND('PROG FORMACIÓN TITULADA'!#REF!,"AAAAAFn/d+s=")</f>
        <v>#REF!</v>
      </c>
      <c r="IC388" t="e">
        <f>AND('PROG FORMACIÓN TITULADA'!#REF!,"AAAAAFn/d+w=")</f>
        <v>#REF!</v>
      </c>
      <c r="ID388" t="e">
        <f>AND('PROG FORMACIÓN TITULADA'!#REF!,"AAAAAFn/d+0=")</f>
        <v>#REF!</v>
      </c>
      <c r="IE388" t="e">
        <f>AND('PROG FORMACIÓN TITULADA'!#REF!,"AAAAAFn/d+4=")</f>
        <v>#REF!</v>
      </c>
      <c r="IF388" t="e">
        <f>AND('PROG FORMACIÓN TITULADA'!#REF!,"AAAAAFn/d+8=")</f>
        <v>#REF!</v>
      </c>
      <c r="IG388" t="e">
        <f>AND('PROG FORMACIÓN TITULADA'!#REF!,"AAAAAFn/d/A=")</f>
        <v>#REF!</v>
      </c>
      <c r="IH388" t="e">
        <f>AND('PROG FORMACIÓN TITULADA'!#REF!,"AAAAAFn/d/E=")</f>
        <v>#REF!</v>
      </c>
      <c r="II388" t="e">
        <f>AND('PROG FORMACIÓN TITULADA'!#REF!,"AAAAAFn/d/I=")</f>
        <v>#REF!</v>
      </c>
      <c r="IJ388" t="e">
        <f>AND('PROG FORMACIÓN TITULADA'!#REF!,"AAAAAFn/d/M=")</f>
        <v>#REF!</v>
      </c>
      <c r="IK388" t="e">
        <f>AND('PROG FORMACIÓN TITULADA'!#REF!,"AAAAAFn/d/Q=")</f>
        <v>#REF!</v>
      </c>
      <c r="IL388" t="e">
        <f>AND('PROG FORMACIÓN TITULADA'!#REF!,"AAAAAFn/d/U=")</f>
        <v>#REF!</v>
      </c>
      <c r="IM388" t="e">
        <f>AND('PROG FORMACIÓN TITULADA'!#REF!,"AAAAAFn/d/Y=")</f>
        <v>#REF!</v>
      </c>
      <c r="IN388" t="e">
        <f>AND('PROG FORMACIÓN TITULADA'!#REF!,"AAAAAFn/d/c=")</f>
        <v>#REF!</v>
      </c>
      <c r="IO388" t="e">
        <f>AND('PROG FORMACIÓN TITULADA'!#REF!,"AAAAAFn/d/g=")</f>
        <v>#REF!</v>
      </c>
      <c r="IP388" t="e">
        <f>IF('PROG FORMACIÓN TITULADA'!#REF!,"AAAAAFn/d/k=",0)</f>
        <v>#REF!</v>
      </c>
      <c r="IQ388" t="e">
        <f>AND('PROG FORMACIÓN TITULADA'!#REF!,"AAAAAFn/d/o=")</f>
        <v>#REF!</v>
      </c>
      <c r="IR388" t="e">
        <f>AND('PROG FORMACIÓN TITULADA'!#REF!,"AAAAAFn/d/s=")</f>
        <v>#REF!</v>
      </c>
      <c r="IS388" t="e">
        <f>AND('PROG FORMACIÓN TITULADA'!#REF!,"AAAAAFn/d/w=")</f>
        <v>#REF!</v>
      </c>
      <c r="IT388" t="e">
        <f>AND('PROG FORMACIÓN TITULADA'!#REF!,"AAAAAFn/d/0=")</f>
        <v>#REF!</v>
      </c>
      <c r="IU388" t="e">
        <f>AND('PROG FORMACIÓN TITULADA'!#REF!,"AAAAAFn/d/4=")</f>
        <v>#REF!</v>
      </c>
      <c r="IV388" t="e">
        <f>AND('PROG FORMACIÓN TITULADA'!#REF!,"AAAAAFn/d/8=")</f>
        <v>#REF!</v>
      </c>
    </row>
    <row r="389" spans="1:256" x14ac:dyDescent="0.2">
      <c r="A389" t="e">
        <f>AND('PROG FORMACIÓN TITULADA'!#REF!,"AAAAAHNz9gA=")</f>
        <v>#REF!</v>
      </c>
      <c r="B389" t="e">
        <f>AND('PROG FORMACIÓN TITULADA'!#REF!,"AAAAAHNz9gE=")</f>
        <v>#REF!</v>
      </c>
      <c r="C389" t="e">
        <f>AND('PROG FORMACIÓN TITULADA'!#REF!,"AAAAAHNz9gI=")</f>
        <v>#REF!</v>
      </c>
      <c r="D389" t="e">
        <f>AND('PROG FORMACIÓN TITULADA'!#REF!,"AAAAAHNz9gM=")</f>
        <v>#REF!</v>
      </c>
      <c r="E389" t="e">
        <f>AND('PROG FORMACIÓN TITULADA'!#REF!,"AAAAAHNz9gQ=")</f>
        <v>#REF!</v>
      </c>
      <c r="F389" t="e">
        <f>AND('PROG FORMACIÓN TITULADA'!#REF!,"AAAAAHNz9gU=")</f>
        <v>#REF!</v>
      </c>
      <c r="G389" t="e">
        <f>AND('PROG FORMACIÓN TITULADA'!#REF!,"AAAAAHNz9gY=")</f>
        <v>#REF!</v>
      </c>
      <c r="H389" t="e">
        <f>AND('PROG FORMACIÓN TITULADA'!#REF!,"AAAAAHNz9gc=")</f>
        <v>#REF!</v>
      </c>
      <c r="I389" t="e">
        <f>AND('PROG FORMACIÓN TITULADA'!#REF!,"AAAAAHNz9gg=")</f>
        <v>#REF!</v>
      </c>
      <c r="J389" t="e">
        <f>AND('PROG FORMACIÓN TITULADA'!#REF!,"AAAAAHNz9gk=")</f>
        <v>#REF!</v>
      </c>
      <c r="K389" t="e">
        <f>AND('PROG FORMACIÓN TITULADA'!#REF!,"AAAAAHNz9go=")</f>
        <v>#REF!</v>
      </c>
      <c r="L389" t="e">
        <f>AND('PROG FORMACIÓN TITULADA'!#REF!,"AAAAAHNz9gs=")</f>
        <v>#REF!</v>
      </c>
      <c r="M389" t="e">
        <f>AND('PROG FORMACIÓN TITULADA'!#REF!,"AAAAAHNz9gw=")</f>
        <v>#REF!</v>
      </c>
      <c r="N389" t="e">
        <f>AND('PROG FORMACIÓN TITULADA'!#REF!,"AAAAAHNz9g0=")</f>
        <v>#REF!</v>
      </c>
      <c r="O389" t="e">
        <f>AND('PROG FORMACIÓN TITULADA'!#REF!,"AAAAAHNz9g4=")</f>
        <v>#REF!</v>
      </c>
      <c r="P389" t="e">
        <f>AND('PROG FORMACIÓN TITULADA'!#REF!,"AAAAAHNz9g8=")</f>
        <v>#REF!</v>
      </c>
      <c r="Q389" t="e">
        <f>AND('PROG FORMACIÓN TITULADA'!#REF!,"AAAAAHNz9hA=")</f>
        <v>#REF!</v>
      </c>
      <c r="R389" t="e">
        <f>AND('PROG FORMACIÓN TITULADA'!#REF!,"AAAAAHNz9hE=")</f>
        <v>#REF!</v>
      </c>
      <c r="S389" t="e">
        <f>AND('PROG FORMACIÓN TITULADA'!#REF!,"AAAAAHNz9hI=")</f>
        <v>#REF!</v>
      </c>
      <c r="T389" t="e">
        <f>AND('PROG FORMACIÓN TITULADA'!#REF!,"AAAAAHNz9hM=")</f>
        <v>#REF!</v>
      </c>
      <c r="U389" t="e">
        <f>IF('PROG FORMACIÓN TITULADA'!#REF!,"AAAAAHNz9hQ=",0)</f>
        <v>#REF!</v>
      </c>
      <c r="V389" t="e">
        <f>AND('PROG FORMACIÓN TITULADA'!#REF!,"AAAAAHNz9hU=")</f>
        <v>#REF!</v>
      </c>
      <c r="W389" t="e">
        <f>AND('PROG FORMACIÓN TITULADA'!#REF!,"AAAAAHNz9hY=")</f>
        <v>#REF!</v>
      </c>
      <c r="X389" t="e">
        <f>AND('PROG FORMACIÓN TITULADA'!#REF!,"AAAAAHNz9hc=")</f>
        <v>#REF!</v>
      </c>
      <c r="Y389" t="e">
        <f>AND('PROG FORMACIÓN TITULADA'!#REF!,"AAAAAHNz9hg=")</f>
        <v>#REF!</v>
      </c>
      <c r="Z389" t="e">
        <f>AND('PROG FORMACIÓN TITULADA'!#REF!,"AAAAAHNz9hk=")</f>
        <v>#REF!</v>
      </c>
      <c r="AA389" t="e">
        <f>AND('PROG FORMACIÓN TITULADA'!#REF!,"AAAAAHNz9ho=")</f>
        <v>#REF!</v>
      </c>
      <c r="AB389" t="e">
        <f>AND('PROG FORMACIÓN TITULADA'!#REF!,"AAAAAHNz9hs=")</f>
        <v>#REF!</v>
      </c>
      <c r="AC389" t="e">
        <f>AND('PROG FORMACIÓN TITULADA'!#REF!,"AAAAAHNz9hw=")</f>
        <v>#REF!</v>
      </c>
      <c r="AD389" t="e">
        <f>AND('PROG FORMACIÓN TITULADA'!#REF!,"AAAAAHNz9h0=")</f>
        <v>#REF!</v>
      </c>
      <c r="AE389" t="e">
        <f>AND('PROG FORMACIÓN TITULADA'!#REF!,"AAAAAHNz9h4=")</f>
        <v>#REF!</v>
      </c>
      <c r="AF389" t="e">
        <f>AND('PROG FORMACIÓN TITULADA'!#REF!,"AAAAAHNz9h8=")</f>
        <v>#REF!</v>
      </c>
      <c r="AG389" t="e">
        <f>AND('PROG FORMACIÓN TITULADA'!#REF!,"AAAAAHNz9iA=")</f>
        <v>#REF!</v>
      </c>
      <c r="AH389" t="e">
        <f>AND('PROG FORMACIÓN TITULADA'!#REF!,"AAAAAHNz9iE=")</f>
        <v>#REF!</v>
      </c>
      <c r="AI389" t="e">
        <f>AND('PROG FORMACIÓN TITULADA'!#REF!,"AAAAAHNz9iI=")</f>
        <v>#REF!</v>
      </c>
      <c r="AJ389" t="e">
        <f>AND('PROG FORMACIÓN TITULADA'!#REF!,"AAAAAHNz9iM=")</f>
        <v>#REF!</v>
      </c>
      <c r="AK389" t="e">
        <f>AND('PROG FORMACIÓN TITULADA'!#REF!,"AAAAAHNz9iQ=")</f>
        <v>#REF!</v>
      </c>
      <c r="AL389" t="e">
        <f>AND('PROG FORMACIÓN TITULADA'!#REF!,"AAAAAHNz9iU=")</f>
        <v>#REF!</v>
      </c>
      <c r="AM389" t="e">
        <f>AND('PROG FORMACIÓN TITULADA'!#REF!,"AAAAAHNz9iY=")</f>
        <v>#REF!</v>
      </c>
      <c r="AN389" t="e">
        <f>AND('PROG FORMACIÓN TITULADA'!#REF!,"AAAAAHNz9ic=")</f>
        <v>#REF!</v>
      </c>
      <c r="AO389" t="e">
        <f>AND('PROG FORMACIÓN TITULADA'!#REF!,"AAAAAHNz9ig=")</f>
        <v>#REF!</v>
      </c>
      <c r="AP389" t="e">
        <f>AND('PROG FORMACIÓN TITULADA'!#REF!,"AAAAAHNz9ik=")</f>
        <v>#REF!</v>
      </c>
      <c r="AQ389" t="e">
        <f>AND('PROG FORMACIÓN TITULADA'!#REF!,"AAAAAHNz9io=")</f>
        <v>#REF!</v>
      </c>
      <c r="AR389" t="e">
        <f>AND('PROG FORMACIÓN TITULADA'!#REF!,"AAAAAHNz9is=")</f>
        <v>#REF!</v>
      </c>
      <c r="AS389" t="e">
        <f>AND('PROG FORMACIÓN TITULADA'!#REF!,"AAAAAHNz9iw=")</f>
        <v>#REF!</v>
      </c>
      <c r="AT389" t="e">
        <f>AND('PROG FORMACIÓN TITULADA'!#REF!,"AAAAAHNz9i0=")</f>
        <v>#REF!</v>
      </c>
      <c r="AU389" t="e">
        <f>AND('PROG FORMACIÓN TITULADA'!#REF!,"AAAAAHNz9i4=")</f>
        <v>#REF!</v>
      </c>
      <c r="AV389" t="e">
        <f>IF('PROG FORMACIÓN TITULADA'!#REF!,"AAAAAHNz9i8=",0)</f>
        <v>#REF!</v>
      </c>
      <c r="AW389" t="e">
        <f>AND('PROG FORMACIÓN TITULADA'!#REF!,"AAAAAHNz9jA=")</f>
        <v>#REF!</v>
      </c>
      <c r="AX389" t="e">
        <f>AND('PROG FORMACIÓN TITULADA'!#REF!,"AAAAAHNz9jE=")</f>
        <v>#REF!</v>
      </c>
      <c r="AY389" t="e">
        <f>AND('PROG FORMACIÓN TITULADA'!#REF!,"AAAAAHNz9jI=")</f>
        <v>#REF!</v>
      </c>
      <c r="AZ389" t="e">
        <f>AND('PROG FORMACIÓN TITULADA'!#REF!,"AAAAAHNz9jM=")</f>
        <v>#REF!</v>
      </c>
      <c r="BA389" t="e">
        <f>AND('PROG FORMACIÓN TITULADA'!#REF!,"AAAAAHNz9jQ=")</f>
        <v>#REF!</v>
      </c>
      <c r="BB389" t="e">
        <f>AND('PROG FORMACIÓN TITULADA'!#REF!,"AAAAAHNz9jU=")</f>
        <v>#REF!</v>
      </c>
      <c r="BC389" t="e">
        <f>AND('PROG FORMACIÓN TITULADA'!#REF!,"AAAAAHNz9jY=")</f>
        <v>#REF!</v>
      </c>
      <c r="BD389" t="e">
        <f>AND('PROG FORMACIÓN TITULADA'!#REF!,"AAAAAHNz9jc=")</f>
        <v>#REF!</v>
      </c>
      <c r="BE389" t="e">
        <f>AND('PROG FORMACIÓN TITULADA'!#REF!,"AAAAAHNz9jg=")</f>
        <v>#REF!</v>
      </c>
      <c r="BF389" t="e">
        <f>AND('PROG FORMACIÓN TITULADA'!#REF!,"AAAAAHNz9jk=")</f>
        <v>#REF!</v>
      </c>
      <c r="BG389" t="e">
        <f>AND('PROG FORMACIÓN TITULADA'!#REF!,"AAAAAHNz9jo=")</f>
        <v>#REF!</v>
      </c>
      <c r="BH389" t="e">
        <f>AND('PROG FORMACIÓN TITULADA'!#REF!,"AAAAAHNz9js=")</f>
        <v>#REF!</v>
      </c>
      <c r="BI389" t="e">
        <f>AND('PROG FORMACIÓN TITULADA'!#REF!,"AAAAAHNz9jw=")</f>
        <v>#REF!</v>
      </c>
      <c r="BJ389" t="e">
        <f>AND('PROG FORMACIÓN TITULADA'!#REF!,"AAAAAHNz9j0=")</f>
        <v>#REF!</v>
      </c>
      <c r="BK389" t="e">
        <f>AND('PROG FORMACIÓN TITULADA'!#REF!,"AAAAAHNz9j4=")</f>
        <v>#REF!</v>
      </c>
      <c r="BL389" t="e">
        <f>AND('PROG FORMACIÓN TITULADA'!#REF!,"AAAAAHNz9j8=")</f>
        <v>#REF!</v>
      </c>
      <c r="BM389" t="e">
        <f>AND('PROG FORMACIÓN TITULADA'!#REF!,"AAAAAHNz9kA=")</f>
        <v>#REF!</v>
      </c>
      <c r="BN389" t="e">
        <f>AND('PROG FORMACIÓN TITULADA'!#REF!,"AAAAAHNz9kE=")</f>
        <v>#REF!</v>
      </c>
      <c r="BO389" t="e">
        <f>AND('PROG FORMACIÓN TITULADA'!#REF!,"AAAAAHNz9kI=")</f>
        <v>#REF!</v>
      </c>
      <c r="BP389" t="e">
        <f>AND('PROG FORMACIÓN TITULADA'!#REF!,"AAAAAHNz9kM=")</f>
        <v>#REF!</v>
      </c>
      <c r="BQ389" t="e">
        <f>AND('PROG FORMACIÓN TITULADA'!#REF!,"AAAAAHNz9kQ=")</f>
        <v>#REF!</v>
      </c>
      <c r="BR389" t="e">
        <f>AND('PROG FORMACIÓN TITULADA'!#REF!,"AAAAAHNz9kU=")</f>
        <v>#REF!</v>
      </c>
      <c r="BS389" t="e">
        <f>AND('PROG FORMACIÓN TITULADA'!#REF!,"AAAAAHNz9kY=")</f>
        <v>#REF!</v>
      </c>
      <c r="BT389" t="e">
        <f>AND('PROG FORMACIÓN TITULADA'!#REF!,"AAAAAHNz9kc=")</f>
        <v>#REF!</v>
      </c>
      <c r="BU389" t="e">
        <f>AND('PROG FORMACIÓN TITULADA'!#REF!,"AAAAAHNz9kg=")</f>
        <v>#REF!</v>
      </c>
      <c r="BV389" t="e">
        <f>AND('PROG FORMACIÓN TITULADA'!#REF!,"AAAAAHNz9kk=")</f>
        <v>#REF!</v>
      </c>
      <c r="BW389" t="e">
        <f>IF('PROG FORMACIÓN TITULADA'!#REF!,"AAAAAHNz9ko=",0)</f>
        <v>#REF!</v>
      </c>
      <c r="BX389" t="e">
        <f>AND('PROG FORMACIÓN TITULADA'!#REF!,"AAAAAHNz9ks=")</f>
        <v>#REF!</v>
      </c>
      <c r="BY389" t="e">
        <f>AND('PROG FORMACIÓN TITULADA'!#REF!,"AAAAAHNz9kw=")</f>
        <v>#REF!</v>
      </c>
      <c r="BZ389" t="e">
        <f>AND('PROG FORMACIÓN TITULADA'!#REF!,"AAAAAHNz9k0=")</f>
        <v>#REF!</v>
      </c>
      <c r="CA389" t="e">
        <f>AND('PROG FORMACIÓN TITULADA'!#REF!,"AAAAAHNz9k4=")</f>
        <v>#REF!</v>
      </c>
      <c r="CB389" t="e">
        <f>AND('PROG FORMACIÓN TITULADA'!#REF!,"AAAAAHNz9k8=")</f>
        <v>#REF!</v>
      </c>
      <c r="CC389" t="e">
        <f>AND('PROG FORMACIÓN TITULADA'!#REF!,"AAAAAHNz9lA=")</f>
        <v>#REF!</v>
      </c>
      <c r="CD389" t="e">
        <f>AND('PROG FORMACIÓN TITULADA'!#REF!,"AAAAAHNz9lE=")</f>
        <v>#REF!</v>
      </c>
      <c r="CE389" t="e">
        <f>AND('PROG FORMACIÓN TITULADA'!#REF!,"AAAAAHNz9lI=")</f>
        <v>#REF!</v>
      </c>
      <c r="CF389" t="e">
        <f>AND('PROG FORMACIÓN TITULADA'!#REF!,"AAAAAHNz9lM=")</f>
        <v>#REF!</v>
      </c>
      <c r="CG389" t="e">
        <f>AND('PROG FORMACIÓN TITULADA'!#REF!,"AAAAAHNz9lQ=")</f>
        <v>#REF!</v>
      </c>
      <c r="CH389" t="e">
        <f>AND('PROG FORMACIÓN TITULADA'!#REF!,"AAAAAHNz9lU=")</f>
        <v>#REF!</v>
      </c>
      <c r="CI389" t="e">
        <f>AND('PROG FORMACIÓN TITULADA'!#REF!,"AAAAAHNz9lY=")</f>
        <v>#REF!</v>
      </c>
      <c r="CJ389" t="e">
        <f>AND('PROG FORMACIÓN TITULADA'!#REF!,"AAAAAHNz9lc=")</f>
        <v>#REF!</v>
      </c>
      <c r="CK389" t="e">
        <f>AND('PROG FORMACIÓN TITULADA'!#REF!,"AAAAAHNz9lg=")</f>
        <v>#REF!</v>
      </c>
      <c r="CL389" t="e">
        <f>AND('PROG FORMACIÓN TITULADA'!#REF!,"AAAAAHNz9lk=")</f>
        <v>#REF!</v>
      </c>
      <c r="CM389" t="e">
        <f>AND('PROG FORMACIÓN TITULADA'!#REF!,"AAAAAHNz9lo=")</f>
        <v>#REF!</v>
      </c>
      <c r="CN389" t="e">
        <f>AND('PROG FORMACIÓN TITULADA'!#REF!,"AAAAAHNz9ls=")</f>
        <v>#REF!</v>
      </c>
      <c r="CO389" t="e">
        <f>AND('PROG FORMACIÓN TITULADA'!#REF!,"AAAAAHNz9lw=")</f>
        <v>#REF!</v>
      </c>
      <c r="CP389" t="e">
        <f>AND('PROG FORMACIÓN TITULADA'!#REF!,"AAAAAHNz9l0=")</f>
        <v>#REF!</v>
      </c>
      <c r="CQ389" t="e">
        <f>AND('PROG FORMACIÓN TITULADA'!#REF!,"AAAAAHNz9l4=")</f>
        <v>#REF!</v>
      </c>
      <c r="CR389" t="e">
        <f>AND('PROG FORMACIÓN TITULADA'!#REF!,"AAAAAHNz9l8=")</f>
        <v>#REF!</v>
      </c>
      <c r="CS389" t="e">
        <f>AND('PROG FORMACIÓN TITULADA'!#REF!,"AAAAAHNz9mA=")</f>
        <v>#REF!</v>
      </c>
      <c r="CT389" t="e">
        <f>AND('PROG FORMACIÓN TITULADA'!#REF!,"AAAAAHNz9mE=")</f>
        <v>#REF!</v>
      </c>
      <c r="CU389" t="e">
        <f>AND('PROG FORMACIÓN TITULADA'!#REF!,"AAAAAHNz9mI=")</f>
        <v>#REF!</v>
      </c>
      <c r="CV389" t="e">
        <f>AND('PROG FORMACIÓN TITULADA'!#REF!,"AAAAAHNz9mM=")</f>
        <v>#REF!</v>
      </c>
      <c r="CW389" t="e">
        <f>AND('PROG FORMACIÓN TITULADA'!#REF!,"AAAAAHNz9mQ=")</f>
        <v>#REF!</v>
      </c>
      <c r="CX389" t="e">
        <f>IF('PROG FORMACIÓN TITULADA'!#REF!,"AAAAAHNz9mU=",0)</f>
        <v>#REF!</v>
      </c>
      <c r="CY389" t="e">
        <f>AND('PROG FORMACIÓN TITULADA'!#REF!,"AAAAAHNz9mY=")</f>
        <v>#REF!</v>
      </c>
      <c r="CZ389" t="e">
        <f>AND('PROG FORMACIÓN TITULADA'!#REF!,"AAAAAHNz9mc=")</f>
        <v>#REF!</v>
      </c>
      <c r="DA389" t="e">
        <f>AND('PROG FORMACIÓN TITULADA'!#REF!,"AAAAAHNz9mg=")</f>
        <v>#REF!</v>
      </c>
      <c r="DB389" t="e">
        <f>AND('PROG FORMACIÓN TITULADA'!#REF!,"AAAAAHNz9mk=")</f>
        <v>#REF!</v>
      </c>
      <c r="DC389" t="e">
        <f>AND('PROG FORMACIÓN TITULADA'!#REF!,"AAAAAHNz9mo=")</f>
        <v>#REF!</v>
      </c>
      <c r="DD389" t="e">
        <f>AND('PROG FORMACIÓN TITULADA'!#REF!,"AAAAAHNz9ms=")</f>
        <v>#REF!</v>
      </c>
      <c r="DE389" t="e">
        <f>AND('PROG FORMACIÓN TITULADA'!#REF!,"AAAAAHNz9mw=")</f>
        <v>#REF!</v>
      </c>
      <c r="DF389" t="e">
        <f>AND('PROG FORMACIÓN TITULADA'!#REF!,"AAAAAHNz9m0=")</f>
        <v>#REF!</v>
      </c>
      <c r="DG389" t="e">
        <f>AND('PROG FORMACIÓN TITULADA'!#REF!,"AAAAAHNz9m4=")</f>
        <v>#REF!</v>
      </c>
      <c r="DH389" t="e">
        <f>AND('PROG FORMACIÓN TITULADA'!#REF!,"AAAAAHNz9m8=")</f>
        <v>#REF!</v>
      </c>
      <c r="DI389" t="e">
        <f>AND('PROG FORMACIÓN TITULADA'!#REF!,"AAAAAHNz9nA=")</f>
        <v>#REF!</v>
      </c>
      <c r="DJ389" t="e">
        <f>AND('PROG FORMACIÓN TITULADA'!#REF!,"AAAAAHNz9nE=")</f>
        <v>#REF!</v>
      </c>
      <c r="DK389" t="e">
        <f>AND('PROG FORMACIÓN TITULADA'!#REF!,"AAAAAHNz9nI=")</f>
        <v>#REF!</v>
      </c>
      <c r="DL389" t="e">
        <f>AND('PROG FORMACIÓN TITULADA'!#REF!,"AAAAAHNz9nM=")</f>
        <v>#REF!</v>
      </c>
      <c r="DM389" t="e">
        <f>AND('PROG FORMACIÓN TITULADA'!#REF!,"AAAAAHNz9nQ=")</f>
        <v>#REF!</v>
      </c>
      <c r="DN389" t="e">
        <f>AND('PROG FORMACIÓN TITULADA'!#REF!,"AAAAAHNz9nU=")</f>
        <v>#REF!</v>
      </c>
      <c r="DO389" t="e">
        <f>AND('PROG FORMACIÓN TITULADA'!#REF!,"AAAAAHNz9nY=")</f>
        <v>#REF!</v>
      </c>
      <c r="DP389" t="e">
        <f>AND('PROG FORMACIÓN TITULADA'!#REF!,"AAAAAHNz9nc=")</f>
        <v>#REF!</v>
      </c>
      <c r="DQ389" t="e">
        <f>AND('PROG FORMACIÓN TITULADA'!#REF!,"AAAAAHNz9ng=")</f>
        <v>#REF!</v>
      </c>
      <c r="DR389" t="e">
        <f>AND('PROG FORMACIÓN TITULADA'!#REF!,"AAAAAHNz9nk=")</f>
        <v>#REF!</v>
      </c>
      <c r="DS389" t="e">
        <f>AND('PROG FORMACIÓN TITULADA'!#REF!,"AAAAAHNz9no=")</f>
        <v>#REF!</v>
      </c>
      <c r="DT389" t="e">
        <f>AND('PROG FORMACIÓN TITULADA'!#REF!,"AAAAAHNz9ns=")</f>
        <v>#REF!</v>
      </c>
      <c r="DU389" t="e">
        <f>AND('PROG FORMACIÓN TITULADA'!#REF!,"AAAAAHNz9nw=")</f>
        <v>#REF!</v>
      </c>
      <c r="DV389" t="e">
        <f>AND('PROG FORMACIÓN TITULADA'!#REF!,"AAAAAHNz9n0=")</f>
        <v>#REF!</v>
      </c>
      <c r="DW389" t="e">
        <f>AND('PROG FORMACIÓN TITULADA'!#REF!,"AAAAAHNz9n4=")</f>
        <v>#REF!</v>
      </c>
      <c r="DX389" t="e">
        <f>AND('PROG FORMACIÓN TITULADA'!#REF!,"AAAAAHNz9n8=")</f>
        <v>#REF!</v>
      </c>
      <c r="DY389" t="e">
        <f>IF('PROG FORMACIÓN TITULADA'!#REF!,"AAAAAHNz9oA=",0)</f>
        <v>#REF!</v>
      </c>
      <c r="DZ389" t="e">
        <f>AND('PROG FORMACIÓN TITULADA'!#REF!,"AAAAAHNz9oE=")</f>
        <v>#REF!</v>
      </c>
      <c r="EA389" t="e">
        <f>AND('PROG FORMACIÓN TITULADA'!#REF!,"AAAAAHNz9oI=")</f>
        <v>#REF!</v>
      </c>
      <c r="EB389" t="e">
        <f>AND('PROG FORMACIÓN TITULADA'!#REF!,"AAAAAHNz9oM=")</f>
        <v>#REF!</v>
      </c>
      <c r="EC389" t="e">
        <f>AND('PROG FORMACIÓN TITULADA'!#REF!,"AAAAAHNz9oQ=")</f>
        <v>#REF!</v>
      </c>
      <c r="ED389" t="e">
        <f>AND('PROG FORMACIÓN TITULADA'!#REF!,"AAAAAHNz9oU=")</f>
        <v>#REF!</v>
      </c>
      <c r="EE389" t="e">
        <f>AND('PROG FORMACIÓN TITULADA'!#REF!,"AAAAAHNz9oY=")</f>
        <v>#REF!</v>
      </c>
      <c r="EF389" t="e">
        <f>AND('PROG FORMACIÓN TITULADA'!#REF!,"AAAAAHNz9oc=")</f>
        <v>#REF!</v>
      </c>
      <c r="EG389" t="e">
        <f>AND('PROG FORMACIÓN TITULADA'!#REF!,"AAAAAHNz9og=")</f>
        <v>#REF!</v>
      </c>
      <c r="EH389" t="e">
        <f>AND('PROG FORMACIÓN TITULADA'!#REF!,"AAAAAHNz9ok=")</f>
        <v>#REF!</v>
      </c>
      <c r="EI389" t="e">
        <f>AND('PROG FORMACIÓN TITULADA'!#REF!,"AAAAAHNz9oo=")</f>
        <v>#REF!</v>
      </c>
      <c r="EJ389" t="e">
        <f>AND('PROG FORMACIÓN TITULADA'!#REF!,"AAAAAHNz9os=")</f>
        <v>#REF!</v>
      </c>
      <c r="EK389" t="e">
        <f>AND('PROG FORMACIÓN TITULADA'!#REF!,"AAAAAHNz9ow=")</f>
        <v>#REF!</v>
      </c>
      <c r="EL389" t="e">
        <f>AND('PROG FORMACIÓN TITULADA'!#REF!,"AAAAAHNz9o0=")</f>
        <v>#REF!</v>
      </c>
      <c r="EM389" t="e">
        <f>AND('PROG FORMACIÓN TITULADA'!#REF!,"AAAAAHNz9o4=")</f>
        <v>#REF!</v>
      </c>
      <c r="EN389" t="e">
        <f>AND('PROG FORMACIÓN TITULADA'!#REF!,"AAAAAHNz9o8=")</f>
        <v>#REF!</v>
      </c>
      <c r="EO389" t="e">
        <f>AND('PROG FORMACIÓN TITULADA'!#REF!,"AAAAAHNz9pA=")</f>
        <v>#REF!</v>
      </c>
      <c r="EP389" t="e">
        <f>AND('PROG FORMACIÓN TITULADA'!#REF!,"AAAAAHNz9pE=")</f>
        <v>#REF!</v>
      </c>
      <c r="EQ389" t="e">
        <f>AND('PROG FORMACIÓN TITULADA'!#REF!,"AAAAAHNz9pI=")</f>
        <v>#REF!</v>
      </c>
      <c r="ER389" t="e">
        <f>AND('PROG FORMACIÓN TITULADA'!#REF!,"AAAAAHNz9pM=")</f>
        <v>#REF!</v>
      </c>
      <c r="ES389" t="e">
        <f>AND('PROG FORMACIÓN TITULADA'!#REF!,"AAAAAHNz9pQ=")</f>
        <v>#REF!</v>
      </c>
      <c r="ET389" t="e">
        <f>AND('PROG FORMACIÓN TITULADA'!#REF!,"AAAAAHNz9pU=")</f>
        <v>#REF!</v>
      </c>
      <c r="EU389" t="e">
        <f>AND('PROG FORMACIÓN TITULADA'!#REF!,"AAAAAHNz9pY=")</f>
        <v>#REF!</v>
      </c>
      <c r="EV389" t="e">
        <f>AND('PROG FORMACIÓN TITULADA'!#REF!,"AAAAAHNz9pc=")</f>
        <v>#REF!</v>
      </c>
      <c r="EW389" t="e">
        <f>AND('PROG FORMACIÓN TITULADA'!#REF!,"AAAAAHNz9pg=")</f>
        <v>#REF!</v>
      </c>
      <c r="EX389" t="e">
        <f>AND('PROG FORMACIÓN TITULADA'!#REF!,"AAAAAHNz9pk=")</f>
        <v>#REF!</v>
      </c>
      <c r="EY389" t="e">
        <f>AND('PROG FORMACIÓN TITULADA'!#REF!,"AAAAAHNz9po=")</f>
        <v>#REF!</v>
      </c>
      <c r="EZ389" t="e">
        <f>IF('PROG FORMACIÓN TITULADA'!#REF!,"AAAAAHNz9ps=",0)</f>
        <v>#REF!</v>
      </c>
      <c r="FA389" t="e">
        <f>AND('PROG FORMACIÓN TITULADA'!#REF!,"AAAAAHNz9pw=")</f>
        <v>#REF!</v>
      </c>
      <c r="FB389" t="e">
        <f>AND('PROG FORMACIÓN TITULADA'!#REF!,"AAAAAHNz9p0=")</f>
        <v>#REF!</v>
      </c>
      <c r="FC389" t="e">
        <f>AND('PROG FORMACIÓN TITULADA'!#REF!,"AAAAAHNz9p4=")</f>
        <v>#REF!</v>
      </c>
      <c r="FD389" t="e">
        <f>AND('PROG FORMACIÓN TITULADA'!#REF!,"AAAAAHNz9p8=")</f>
        <v>#REF!</v>
      </c>
      <c r="FE389" t="e">
        <f>AND('PROG FORMACIÓN TITULADA'!#REF!,"AAAAAHNz9qA=")</f>
        <v>#REF!</v>
      </c>
      <c r="FF389" t="e">
        <f>AND('PROG FORMACIÓN TITULADA'!#REF!,"AAAAAHNz9qE=")</f>
        <v>#REF!</v>
      </c>
      <c r="FG389" t="e">
        <f>AND('PROG FORMACIÓN TITULADA'!#REF!,"AAAAAHNz9qI=")</f>
        <v>#REF!</v>
      </c>
      <c r="FH389" t="e">
        <f>AND('PROG FORMACIÓN TITULADA'!#REF!,"AAAAAHNz9qM=")</f>
        <v>#REF!</v>
      </c>
      <c r="FI389" t="e">
        <f>AND('PROG FORMACIÓN TITULADA'!#REF!,"AAAAAHNz9qQ=")</f>
        <v>#REF!</v>
      </c>
      <c r="FJ389" t="e">
        <f>AND('PROG FORMACIÓN TITULADA'!#REF!,"AAAAAHNz9qU=")</f>
        <v>#REF!</v>
      </c>
      <c r="FK389" t="e">
        <f>AND('PROG FORMACIÓN TITULADA'!#REF!,"AAAAAHNz9qY=")</f>
        <v>#REF!</v>
      </c>
      <c r="FL389" t="e">
        <f>AND('PROG FORMACIÓN TITULADA'!#REF!,"AAAAAHNz9qc=")</f>
        <v>#REF!</v>
      </c>
      <c r="FM389" t="e">
        <f>AND('PROG FORMACIÓN TITULADA'!#REF!,"AAAAAHNz9qg=")</f>
        <v>#REF!</v>
      </c>
      <c r="FN389" t="e">
        <f>AND('PROG FORMACIÓN TITULADA'!#REF!,"AAAAAHNz9qk=")</f>
        <v>#REF!</v>
      </c>
      <c r="FO389" t="e">
        <f>AND('PROG FORMACIÓN TITULADA'!#REF!,"AAAAAHNz9qo=")</f>
        <v>#REF!</v>
      </c>
      <c r="FP389" t="e">
        <f>AND('PROG FORMACIÓN TITULADA'!#REF!,"AAAAAHNz9qs=")</f>
        <v>#REF!</v>
      </c>
      <c r="FQ389" t="e">
        <f>AND('PROG FORMACIÓN TITULADA'!#REF!,"AAAAAHNz9qw=")</f>
        <v>#REF!</v>
      </c>
      <c r="FR389" t="e">
        <f>AND('PROG FORMACIÓN TITULADA'!#REF!,"AAAAAHNz9q0=")</f>
        <v>#REF!</v>
      </c>
      <c r="FS389" t="e">
        <f>AND('PROG FORMACIÓN TITULADA'!#REF!,"AAAAAHNz9q4=")</f>
        <v>#REF!</v>
      </c>
      <c r="FT389" t="e">
        <f>AND('PROG FORMACIÓN TITULADA'!#REF!,"AAAAAHNz9q8=")</f>
        <v>#REF!</v>
      </c>
      <c r="FU389" t="e">
        <f>AND('PROG FORMACIÓN TITULADA'!#REF!,"AAAAAHNz9rA=")</f>
        <v>#REF!</v>
      </c>
      <c r="FV389" t="e">
        <f>AND('PROG FORMACIÓN TITULADA'!#REF!,"AAAAAHNz9rE=")</f>
        <v>#REF!</v>
      </c>
      <c r="FW389" t="e">
        <f>AND('PROG FORMACIÓN TITULADA'!#REF!,"AAAAAHNz9rI=")</f>
        <v>#REF!</v>
      </c>
      <c r="FX389" t="e">
        <f>AND('PROG FORMACIÓN TITULADA'!#REF!,"AAAAAHNz9rM=")</f>
        <v>#REF!</v>
      </c>
      <c r="FY389" t="e">
        <f>AND('PROG FORMACIÓN TITULADA'!#REF!,"AAAAAHNz9rQ=")</f>
        <v>#REF!</v>
      </c>
      <c r="FZ389" t="e">
        <f>AND('PROG FORMACIÓN TITULADA'!#REF!,"AAAAAHNz9rU=")</f>
        <v>#REF!</v>
      </c>
      <c r="GA389" t="e">
        <f>IF('PROG FORMACIÓN TITULADA'!#REF!,"AAAAAHNz9rY=",0)</f>
        <v>#REF!</v>
      </c>
      <c r="GB389" t="e">
        <f>AND('PROG FORMACIÓN TITULADA'!#REF!,"AAAAAHNz9rc=")</f>
        <v>#REF!</v>
      </c>
      <c r="GC389" t="e">
        <f>AND('PROG FORMACIÓN TITULADA'!#REF!,"AAAAAHNz9rg=")</f>
        <v>#REF!</v>
      </c>
      <c r="GD389" t="e">
        <f>AND('PROG FORMACIÓN TITULADA'!#REF!,"AAAAAHNz9rk=")</f>
        <v>#REF!</v>
      </c>
      <c r="GE389" t="e">
        <f>AND('PROG FORMACIÓN TITULADA'!#REF!,"AAAAAHNz9ro=")</f>
        <v>#REF!</v>
      </c>
      <c r="GF389" t="e">
        <f>AND('PROG FORMACIÓN TITULADA'!#REF!,"AAAAAHNz9rs=")</f>
        <v>#REF!</v>
      </c>
      <c r="GG389" t="e">
        <f>AND('PROG FORMACIÓN TITULADA'!#REF!,"AAAAAHNz9rw=")</f>
        <v>#REF!</v>
      </c>
      <c r="GH389" t="e">
        <f>AND('PROG FORMACIÓN TITULADA'!#REF!,"AAAAAHNz9r0=")</f>
        <v>#REF!</v>
      </c>
      <c r="GI389" t="e">
        <f>AND('PROG FORMACIÓN TITULADA'!#REF!,"AAAAAHNz9r4=")</f>
        <v>#REF!</v>
      </c>
      <c r="GJ389" t="e">
        <f>AND('PROG FORMACIÓN TITULADA'!#REF!,"AAAAAHNz9r8=")</f>
        <v>#REF!</v>
      </c>
      <c r="GK389" t="e">
        <f>AND('PROG FORMACIÓN TITULADA'!#REF!,"AAAAAHNz9sA=")</f>
        <v>#REF!</v>
      </c>
      <c r="GL389" t="e">
        <f>AND('PROG FORMACIÓN TITULADA'!#REF!,"AAAAAHNz9sE=")</f>
        <v>#REF!</v>
      </c>
      <c r="GM389" t="e">
        <f>AND('PROG FORMACIÓN TITULADA'!#REF!,"AAAAAHNz9sI=")</f>
        <v>#REF!</v>
      </c>
      <c r="GN389" t="e">
        <f>AND('PROG FORMACIÓN TITULADA'!#REF!,"AAAAAHNz9sM=")</f>
        <v>#REF!</v>
      </c>
      <c r="GO389" t="e">
        <f>AND('PROG FORMACIÓN TITULADA'!#REF!,"AAAAAHNz9sQ=")</f>
        <v>#REF!</v>
      </c>
      <c r="GP389" t="e">
        <f>AND('PROG FORMACIÓN TITULADA'!#REF!,"AAAAAHNz9sU=")</f>
        <v>#REF!</v>
      </c>
      <c r="GQ389" t="e">
        <f>AND('PROG FORMACIÓN TITULADA'!#REF!,"AAAAAHNz9sY=")</f>
        <v>#REF!</v>
      </c>
      <c r="GR389" t="e">
        <f>AND('PROG FORMACIÓN TITULADA'!#REF!,"AAAAAHNz9sc=")</f>
        <v>#REF!</v>
      </c>
      <c r="GS389" t="e">
        <f>AND('PROG FORMACIÓN TITULADA'!#REF!,"AAAAAHNz9sg=")</f>
        <v>#REF!</v>
      </c>
      <c r="GT389" t="e">
        <f>AND('PROG FORMACIÓN TITULADA'!#REF!,"AAAAAHNz9sk=")</f>
        <v>#REF!</v>
      </c>
      <c r="GU389" t="e">
        <f>AND('PROG FORMACIÓN TITULADA'!#REF!,"AAAAAHNz9so=")</f>
        <v>#REF!</v>
      </c>
      <c r="GV389" t="e">
        <f>AND('PROG FORMACIÓN TITULADA'!#REF!,"AAAAAHNz9ss=")</f>
        <v>#REF!</v>
      </c>
      <c r="GW389" t="e">
        <f>AND('PROG FORMACIÓN TITULADA'!#REF!,"AAAAAHNz9sw=")</f>
        <v>#REF!</v>
      </c>
      <c r="GX389" t="e">
        <f>AND('PROG FORMACIÓN TITULADA'!#REF!,"AAAAAHNz9s0=")</f>
        <v>#REF!</v>
      </c>
      <c r="GY389" t="e">
        <f>AND('PROG FORMACIÓN TITULADA'!#REF!,"AAAAAHNz9s4=")</f>
        <v>#REF!</v>
      </c>
      <c r="GZ389" t="e">
        <f>AND('PROG FORMACIÓN TITULADA'!#REF!,"AAAAAHNz9s8=")</f>
        <v>#REF!</v>
      </c>
      <c r="HA389" t="e">
        <f>AND('PROG FORMACIÓN TITULADA'!#REF!,"AAAAAHNz9tA=")</f>
        <v>#REF!</v>
      </c>
      <c r="HB389" t="e">
        <f>IF('PROG FORMACIÓN TITULADA'!#REF!,"AAAAAHNz9tE=",0)</f>
        <v>#REF!</v>
      </c>
      <c r="HC389" t="e">
        <f>AND('PROG FORMACIÓN TITULADA'!#REF!,"AAAAAHNz9tI=")</f>
        <v>#REF!</v>
      </c>
      <c r="HD389" t="e">
        <f>AND('PROG FORMACIÓN TITULADA'!#REF!,"AAAAAHNz9tM=")</f>
        <v>#REF!</v>
      </c>
      <c r="HE389" t="e">
        <f>AND('PROG FORMACIÓN TITULADA'!#REF!,"AAAAAHNz9tQ=")</f>
        <v>#REF!</v>
      </c>
      <c r="HF389" t="e">
        <f>AND('PROG FORMACIÓN TITULADA'!#REF!,"AAAAAHNz9tU=")</f>
        <v>#REF!</v>
      </c>
      <c r="HG389" t="e">
        <f>AND('PROG FORMACIÓN TITULADA'!#REF!,"AAAAAHNz9tY=")</f>
        <v>#REF!</v>
      </c>
      <c r="HH389" t="e">
        <f>AND('PROG FORMACIÓN TITULADA'!#REF!,"AAAAAHNz9tc=")</f>
        <v>#REF!</v>
      </c>
      <c r="HI389" t="e">
        <f>AND('PROG FORMACIÓN TITULADA'!#REF!,"AAAAAHNz9tg=")</f>
        <v>#REF!</v>
      </c>
      <c r="HJ389" t="e">
        <f>AND('PROG FORMACIÓN TITULADA'!#REF!,"AAAAAHNz9tk=")</f>
        <v>#REF!</v>
      </c>
      <c r="HK389" t="e">
        <f>AND('PROG FORMACIÓN TITULADA'!#REF!,"AAAAAHNz9to=")</f>
        <v>#REF!</v>
      </c>
      <c r="HL389" t="e">
        <f>AND('PROG FORMACIÓN TITULADA'!#REF!,"AAAAAHNz9ts=")</f>
        <v>#REF!</v>
      </c>
      <c r="HM389" t="e">
        <f>AND('PROG FORMACIÓN TITULADA'!#REF!,"AAAAAHNz9tw=")</f>
        <v>#REF!</v>
      </c>
      <c r="HN389" t="e">
        <f>AND('PROG FORMACIÓN TITULADA'!#REF!,"AAAAAHNz9t0=")</f>
        <v>#REF!</v>
      </c>
      <c r="HO389" t="e">
        <f>AND('PROG FORMACIÓN TITULADA'!#REF!,"AAAAAHNz9t4=")</f>
        <v>#REF!</v>
      </c>
      <c r="HP389" t="e">
        <f>AND('PROG FORMACIÓN TITULADA'!#REF!,"AAAAAHNz9t8=")</f>
        <v>#REF!</v>
      </c>
      <c r="HQ389" t="e">
        <f>AND('PROG FORMACIÓN TITULADA'!#REF!,"AAAAAHNz9uA=")</f>
        <v>#REF!</v>
      </c>
      <c r="HR389" t="e">
        <f>AND('PROG FORMACIÓN TITULADA'!#REF!,"AAAAAHNz9uE=")</f>
        <v>#REF!</v>
      </c>
      <c r="HS389" t="e">
        <f>AND('PROG FORMACIÓN TITULADA'!#REF!,"AAAAAHNz9uI=")</f>
        <v>#REF!</v>
      </c>
      <c r="HT389" t="e">
        <f>AND('PROG FORMACIÓN TITULADA'!#REF!,"AAAAAHNz9uM=")</f>
        <v>#REF!</v>
      </c>
      <c r="HU389" t="e">
        <f>AND('PROG FORMACIÓN TITULADA'!#REF!,"AAAAAHNz9uQ=")</f>
        <v>#REF!</v>
      </c>
      <c r="HV389" t="e">
        <f>AND('PROG FORMACIÓN TITULADA'!#REF!,"AAAAAHNz9uU=")</f>
        <v>#REF!</v>
      </c>
      <c r="HW389" t="e">
        <f>AND('PROG FORMACIÓN TITULADA'!#REF!,"AAAAAHNz9uY=")</f>
        <v>#REF!</v>
      </c>
      <c r="HX389" t="e">
        <f>AND('PROG FORMACIÓN TITULADA'!#REF!,"AAAAAHNz9uc=")</f>
        <v>#REF!</v>
      </c>
      <c r="HY389" t="e">
        <f>AND('PROG FORMACIÓN TITULADA'!#REF!,"AAAAAHNz9ug=")</f>
        <v>#REF!</v>
      </c>
      <c r="HZ389" t="e">
        <f>AND('PROG FORMACIÓN TITULADA'!#REF!,"AAAAAHNz9uk=")</f>
        <v>#REF!</v>
      </c>
      <c r="IA389" t="e">
        <f>AND('PROG FORMACIÓN TITULADA'!#REF!,"AAAAAHNz9uo=")</f>
        <v>#REF!</v>
      </c>
      <c r="IB389" t="e">
        <f>AND('PROG FORMACIÓN TITULADA'!#REF!,"AAAAAHNz9us=")</f>
        <v>#REF!</v>
      </c>
      <c r="IC389" t="e">
        <f>IF('PROG FORMACIÓN TITULADA'!#REF!,"AAAAAHNz9uw=",0)</f>
        <v>#REF!</v>
      </c>
      <c r="ID389" t="e">
        <f>AND('PROG FORMACIÓN TITULADA'!#REF!,"AAAAAHNz9u0=")</f>
        <v>#REF!</v>
      </c>
      <c r="IE389" t="e">
        <f>AND('PROG FORMACIÓN TITULADA'!#REF!,"AAAAAHNz9u4=")</f>
        <v>#REF!</v>
      </c>
      <c r="IF389" t="e">
        <f>AND('PROG FORMACIÓN TITULADA'!#REF!,"AAAAAHNz9u8=")</f>
        <v>#REF!</v>
      </c>
      <c r="IG389" t="e">
        <f>AND('PROG FORMACIÓN TITULADA'!#REF!,"AAAAAHNz9vA=")</f>
        <v>#REF!</v>
      </c>
      <c r="IH389" t="e">
        <f>AND('PROG FORMACIÓN TITULADA'!#REF!,"AAAAAHNz9vE=")</f>
        <v>#REF!</v>
      </c>
      <c r="II389" t="e">
        <f>AND('PROG FORMACIÓN TITULADA'!#REF!,"AAAAAHNz9vI=")</f>
        <v>#REF!</v>
      </c>
      <c r="IJ389" t="e">
        <f>AND('PROG FORMACIÓN TITULADA'!#REF!,"AAAAAHNz9vM=")</f>
        <v>#REF!</v>
      </c>
      <c r="IK389" t="e">
        <f>AND('PROG FORMACIÓN TITULADA'!#REF!,"AAAAAHNz9vQ=")</f>
        <v>#REF!</v>
      </c>
      <c r="IL389" t="e">
        <f>AND('PROG FORMACIÓN TITULADA'!#REF!,"AAAAAHNz9vU=")</f>
        <v>#REF!</v>
      </c>
      <c r="IM389" t="e">
        <f>AND('PROG FORMACIÓN TITULADA'!#REF!,"AAAAAHNz9vY=")</f>
        <v>#REF!</v>
      </c>
      <c r="IN389" t="e">
        <f>AND('PROG FORMACIÓN TITULADA'!#REF!,"AAAAAHNz9vc=")</f>
        <v>#REF!</v>
      </c>
      <c r="IO389" t="e">
        <f>AND('PROG FORMACIÓN TITULADA'!#REF!,"AAAAAHNz9vg=")</f>
        <v>#REF!</v>
      </c>
      <c r="IP389" t="e">
        <f>AND('PROG FORMACIÓN TITULADA'!#REF!,"AAAAAHNz9vk=")</f>
        <v>#REF!</v>
      </c>
      <c r="IQ389" t="e">
        <f>AND('PROG FORMACIÓN TITULADA'!#REF!,"AAAAAHNz9vo=")</f>
        <v>#REF!</v>
      </c>
      <c r="IR389" t="e">
        <f>AND('PROG FORMACIÓN TITULADA'!#REF!,"AAAAAHNz9vs=")</f>
        <v>#REF!</v>
      </c>
      <c r="IS389" t="e">
        <f>AND('PROG FORMACIÓN TITULADA'!#REF!,"AAAAAHNz9vw=")</f>
        <v>#REF!</v>
      </c>
      <c r="IT389" t="e">
        <f>AND('PROG FORMACIÓN TITULADA'!#REF!,"AAAAAHNz9v0=")</f>
        <v>#REF!</v>
      </c>
      <c r="IU389" t="e">
        <f>AND('PROG FORMACIÓN TITULADA'!#REF!,"AAAAAHNz9v4=")</f>
        <v>#REF!</v>
      </c>
      <c r="IV389" t="e">
        <f>AND('PROG FORMACIÓN TITULADA'!#REF!,"AAAAAHNz9v8=")</f>
        <v>#REF!</v>
      </c>
    </row>
    <row r="390" spans="1:256" x14ac:dyDescent="0.2">
      <c r="A390" t="e">
        <f>AND('PROG FORMACIÓN TITULADA'!#REF!,"AAAAAGc/+wA=")</f>
        <v>#REF!</v>
      </c>
      <c r="B390" t="e">
        <f>AND('PROG FORMACIÓN TITULADA'!#REF!,"AAAAAGc/+wE=")</f>
        <v>#REF!</v>
      </c>
      <c r="C390" t="e">
        <f>AND('PROG FORMACIÓN TITULADA'!#REF!,"AAAAAGc/+wI=")</f>
        <v>#REF!</v>
      </c>
      <c r="D390" t="e">
        <f>AND('PROG FORMACIÓN TITULADA'!#REF!,"AAAAAGc/+wM=")</f>
        <v>#REF!</v>
      </c>
      <c r="E390" t="e">
        <f>AND('PROG FORMACIÓN TITULADA'!#REF!,"AAAAAGc/+wQ=")</f>
        <v>#REF!</v>
      </c>
      <c r="F390" t="e">
        <f>AND('PROG FORMACIÓN TITULADA'!#REF!,"AAAAAGc/+wU=")</f>
        <v>#REF!</v>
      </c>
      <c r="G390" t="e">
        <f>AND('PROG FORMACIÓN TITULADA'!#REF!,"AAAAAGc/+wY=")</f>
        <v>#REF!</v>
      </c>
      <c r="H390" t="e">
        <f>IF('PROG FORMACIÓN TITULADA'!#REF!,"AAAAAGc/+wc=",0)</f>
        <v>#REF!</v>
      </c>
      <c r="I390" t="e">
        <f>AND('PROG FORMACIÓN TITULADA'!#REF!,"AAAAAGc/+wg=")</f>
        <v>#REF!</v>
      </c>
      <c r="J390" t="e">
        <f>AND('PROG FORMACIÓN TITULADA'!#REF!,"AAAAAGc/+wk=")</f>
        <v>#REF!</v>
      </c>
      <c r="K390" t="e">
        <f>AND('PROG FORMACIÓN TITULADA'!#REF!,"AAAAAGc/+wo=")</f>
        <v>#REF!</v>
      </c>
      <c r="L390" t="e">
        <f>AND('PROG FORMACIÓN TITULADA'!#REF!,"AAAAAGc/+ws=")</f>
        <v>#REF!</v>
      </c>
      <c r="M390" t="e">
        <f>AND('PROG FORMACIÓN TITULADA'!#REF!,"AAAAAGc/+ww=")</f>
        <v>#REF!</v>
      </c>
      <c r="N390" t="e">
        <f>AND('PROG FORMACIÓN TITULADA'!#REF!,"AAAAAGc/+w0=")</f>
        <v>#REF!</v>
      </c>
      <c r="O390" t="e">
        <f>AND('PROG FORMACIÓN TITULADA'!#REF!,"AAAAAGc/+w4=")</f>
        <v>#REF!</v>
      </c>
      <c r="P390" t="e">
        <f>AND('PROG FORMACIÓN TITULADA'!#REF!,"AAAAAGc/+w8=")</f>
        <v>#REF!</v>
      </c>
      <c r="Q390" t="e">
        <f>AND('PROG FORMACIÓN TITULADA'!#REF!,"AAAAAGc/+xA=")</f>
        <v>#REF!</v>
      </c>
      <c r="R390" t="e">
        <f>AND('PROG FORMACIÓN TITULADA'!#REF!,"AAAAAGc/+xE=")</f>
        <v>#REF!</v>
      </c>
      <c r="S390" t="e">
        <f>AND('PROG FORMACIÓN TITULADA'!#REF!,"AAAAAGc/+xI=")</f>
        <v>#REF!</v>
      </c>
      <c r="T390" t="e">
        <f>AND('PROG FORMACIÓN TITULADA'!#REF!,"AAAAAGc/+xM=")</f>
        <v>#REF!</v>
      </c>
      <c r="U390" t="e">
        <f>AND('PROG FORMACIÓN TITULADA'!#REF!,"AAAAAGc/+xQ=")</f>
        <v>#REF!</v>
      </c>
      <c r="V390" t="e">
        <f>AND('PROG FORMACIÓN TITULADA'!#REF!,"AAAAAGc/+xU=")</f>
        <v>#REF!</v>
      </c>
      <c r="W390" t="e">
        <f>AND('PROG FORMACIÓN TITULADA'!#REF!,"AAAAAGc/+xY=")</f>
        <v>#REF!</v>
      </c>
      <c r="X390" t="e">
        <f>AND('PROG FORMACIÓN TITULADA'!#REF!,"AAAAAGc/+xc=")</f>
        <v>#REF!</v>
      </c>
      <c r="Y390" t="e">
        <f>AND('PROG FORMACIÓN TITULADA'!#REF!,"AAAAAGc/+xg=")</f>
        <v>#REF!</v>
      </c>
      <c r="Z390" t="e">
        <f>AND('PROG FORMACIÓN TITULADA'!#REF!,"AAAAAGc/+xk=")</f>
        <v>#REF!</v>
      </c>
      <c r="AA390" t="e">
        <f>AND('PROG FORMACIÓN TITULADA'!#REF!,"AAAAAGc/+xo=")</f>
        <v>#REF!</v>
      </c>
      <c r="AB390" t="e">
        <f>AND('PROG FORMACIÓN TITULADA'!#REF!,"AAAAAGc/+xs=")</f>
        <v>#REF!</v>
      </c>
      <c r="AC390" t="e">
        <f>AND('PROG FORMACIÓN TITULADA'!#REF!,"AAAAAGc/+xw=")</f>
        <v>#REF!</v>
      </c>
      <c r="AD390" t="e">
        <f>AND('PROG FORMACIÓN TITULADA'!#REF!,"AAAAAGc/+x0=")</f>
        <v>#REF!</v>
      </c>
      <c r="AE390" t="e">
        <f>AND('PROG FORMACIÓN TITULADA'!#REF!,"AAAAAGc/+x4=")</f>
        <v>#REF!</v>
      </c>
      <c r="AF390" t="e">
        <f>AND('PROG FORMACIÓN TITULADA'!#REF!,"AAAAAGc/+x8=")</f>
        <v>#REF!</v>
      </c>
      <c r="AG390" t="e">
        <f>AND('PROG FORMACIÓN TITULADA'!#REF!,"AAAAAGc/+yA=")</f>
        <v>#REF!</v>
      </c>
      <c r="AH390" t="e">
        <f>AND('PROG FORMACIÓN TITULADA'!#REF!,"AAAAAGc/+yE=")</f>
        <v>#REF!</v>
      </c>
      <c r="AI390" t="e">
        <f>IF('PROG FORMACIÓN TITULADA'!#REF!,"AAAAAGc/+yI=",0)</f>
        <v>#REF!</v>
      </c>
      <c r="AJ390" t="e">
        <f>AND('PROG FORMACIÓN TITULADA'!#REF!,"AAAAAGc/+yM=")</f>
        <v>#REF!</v>
      </c>
      <c r="AK390" t="e">
        <f>AND('PROG FORMACIÓN TITULADA'!#REF!,"AAAAAGc/+yQ=")</f>
        <v>#REF!</v>
      </c>
      <c r="AL390" t="e">
        <f>AND('PROG FORMACIÓN TITULADA'!#REF!,"AAAAAGc/+yU=")</f>
        <v>#REF!</v>
      </c>
      <c r="AM390" t="e">
        <f>AND('PROG FORMACIÓN TITULADA'!#REF!,"AAAAAGc/+yY=")</f>
        <v>#REF!</v>
      </c>
      <c r="AN390" t="e">
        <f>AND('PROG FORMACIÓN TITULADA'!#REF!,"AAAAAGc/+yc=")</f>
        <v>#REF!</v>
      </c>
      <c r="AO390" t="e">
        <f>AND('PROG FORMACIÓN TITULADA'!#REF!,"AAAAAGc/+yg=")</f>
        <v>#REF!</v>
      </c>
      <c r="AP390" t="e">
        <f>AND('PROG FORMACIÓN TITULADA'!#REF!,"AAAAAGc/+yk=")</f>
        <v>#REF!</v>
      </c>
      <c r="AQ390" t="e">
        <f>AND('PROG FORMACIÓN TITULADA'!#REF!,"AAAAAGc/+yo=")</f>
        <v>#REF!</v>
      </c>
      <c r="AR390" t="e">
        <f>AND('PROG FORMACIÓN TITULADA'!#REF!,"AAAAAGc/+ys=")</f>
        <v>#REF!</v>
      </c>
      <c r="AS390" t="e">
        <f>AND('PROG FORMACIÓN TITULADA'!#REF!,"AAAAAGc/+yw=")</f>
        <v>#REF!</v>
      </c>
      <c r="AT390" t="e">
        <f>AND('PROG FORMACIÓN TITULADA'!#REF!,"AAAAAGc/+y0=")</f>
        <v>#REF!</v>
      </c>
      <c r="AU390" t="e">
        <f>AND('PROG FORMACIÓN TITULADA'!#REF!,"AAAAAGc/+y4=")</f>
        <v>#REF!</v>
      </c>
      <c r="AV390" t="e">
        <f>AND('PROG FORMACIÓN TITULADA'!#REF!,"AAAAAGc/+y8=")</f>
        <v>#REF!</v>
      </c>
      <c r="AW390" t="e">
        <f>AND('PROG FORMACIÓN TITULADA'!#REF!,"AAAAAGc/+zA=")</f>
        <v>#REF!</v>
      </c>
      <c r="AX390" t="e">
        <f>AND('PROG FORMACIÓN TITULADA'!#REF!,"AAAAAGc/+zE=")</f>
        <v>#REF!</v>
      </c>
      <c r="AY390" t="e">
        <f>AND('PROG FORMACIÓN TITULADA'!#REF!,"AAAAAGc/+zI=")</f>
        <v>#REF!</v>
      </c>
      <c r="AZ390" t="e">
        <f>AND('PROG FORMACIÓN TITULADA'!#REF!,"AAAAAGc/+zM=")</f>
        <v>#REF!</v>
      </c>
      <c r="BA390" t="e">
        <f>AND('PROG FORMACIÓN TITULADA'!#REF!,"AAAAAGc/+zQ=")</f>
        <v>#REF!</v>
      </c>
      <c r="BB390" t="e">
        <f>AND('PROG FORMACIÓN TITULADA'!#REF!,"AAAAAGc/+zU=")</f>
        <v>#REF!</v>
      </c>
      <c r="BC390" t="e">
        <f>AND('PROG FORMACIÓN TITULADA'!#REF!,"AAAAAGc/+zY=")</f>
        <v>#REF!</v>
      </c>
      <c r="BD390" t="e">
        <f>AND('PROG FORMACIÓN TITULADA'!#REF!,"AAAAAGc/+zc=")</f>
        <v>#REF!</v>
      </c>
      <c r="BE390" t="e">
        <f>AND('PROG FORMACIÓN TITULADA'!#REF!,"AAAAAGc/+zg=")</f>
        <v>#REF!</v>
      </c>
      <c r="BF390" t="e">
        <f>AND('PROG FORMACIÓN TITULADA'!#REF!,"AAAAAGc/+zk=")</f>
        <v>#REF!</v>
      </c>
      <c r="BG390" t="e">
        <f>AND('PROG FORMACIÓN TITULADA'!#REF!,"AAAAAGc/+zo=")</f>
        <v>#REF!</v>
      </c>
      <c r="BH390" t="e">
        <f>AND('PROG FORMACIÓN TITULADA'!#REF!,"AAAAAGc/+zs=")</f>
        <v>#REF!</v>
      </c>
      <c r="BI390" t="e">
        <f>AND('PROG FORMACIÓN TITULADA'!#REF!,"AAAAAGc/+zw=")</f>
        <v>#REF!</v>
      </c>
      <c r="BJ390" t="e">
        <f>IF('PROG FORMACIÓN TITULADA'!#REF!,"AAAAAGc/+z0=",0)</f>
        <v>#REF!</v>
      </c>
      <c r="BK390" t="e">
        <f>AND('PROG FORMACIÓN TITULADA'!#REF!,"AAAAAGc/+z4=")</f>
        <v>#REF!</v>
      </c>
      <c r="BL390" t="e">
        <f>AND('PROG FORMACIÓN TITULADA'!#REF!,"AAAAAGc/+z8=")</f>
        <v>#REF!</v>
      </c>
      <c r="BM390" t="e">
        <f>AND('PROG FORMACIÓN TITULADA'!#REF!,"AAAAAGc/+0A=")</f>
        <v>#REF!</v>
      </c>
      <c r="BN390" t="e">
        <f>AND('PROG FORMACIÓN TITULADA'!#REF!,"AAAAAGc/+0E=")</f>
        <v>#REF!</v>
      </c>
      <c r="BO390" t="e">
        <f>AND('PROG FORMACIÓN TITULADA'!#REF!,"AAAAAGc/+0I=")</f>
        <v>#REF!</v>
      </c>
      <c r="BP390" t="e">
        <f>AND('PROG FORMACIÓN TITULADA'!#REF!,"AAAAAGc/+0M=")</f>
        <v>#REF!</v>
      </c>
      <c r="BQ390" t="e">
        <f>AND('PROG FORMACIÓN TITULADA'!#REF!,"AAAAAGc/+0Q=")</f>
        <v>#REF!</v>
      </c>
      <c r="BR390" t="e">
        <f>AND('PROG FORMACIÓN TITULADA'!#REF!,"AAAAAGc/+0U=")</f>
        <v>#REF!</v>
      </c>
      <c r="BS390" t="e">
        <f>AND('PROG FORMACIÓN TITULADA'!#REF!,"AAAAAGc/+0Y=")</f>
        <v>#REF!</v>
      </c>
      <c r="BT390" t="e">
        <f>AND('PROG FORMACIÓN TITULADA'!#REF!,"AAAAAGc/+0c=")</f>
        <v>#REF!</v>
      </c>
      <c r="BU390" t="e">
        <f>AND('PROG FORMACIÓN TITULADA'!#REF!,"AAAAAGc/+0g=")</f>
        <v>#REF!</v>
      </c>
      <c r="BV390" t="e">
        <f>AND('PROG FORMACIÓN TITULADA'!#REF!,"AAAAAGc/+0k=")</f>
        <v>#REF!</v>
      </c>
      <c r="BW390" t="e">
        <f>AND('PROG FORMACIÓN TITULADA'!#REF!,"AAAAAGc/+0o=")</f>
        <v>#REF!</v>
      </c>
      <c r="BX390" t="e">
        <f>AND('PROG FORMACIÓN TITULADA'!#REF!,"AAAAAGc/+0s=")</f>
        <v>#REF!</v>
      </c>
      <c r="BY390" t="e">
        <f>AND('PROG FORMACIÓN TITULADA'!#REF!,"AAAAAGc/+0w=")</f>
        <v>#REF!</v>
      </c>
      <c r="BZ390" t="e">
        <f>AND('PROG FORMACIÓN TITULADA'!#REF!,"AAAAAGc/+00=")</f>
        <v>#REF!</v>
      </c>
      <c r="CA390" t="e">
        <f>AND('PROG FORMACIÓN TITULADA'!#REF!,"AAAAAGc/+04=")</f>
        <v>#REF!</v>
      </c>
      <c r="CB390" t="e">
        <f>AND('PROG FORMACIÓN TITULADA'!#REF!,"AAAAAGc/+08=")</f>
        <v>#REF!</v>
      </c>
      <c r="CC390" t="e">
        <f>AND('PROG FORMACIÓN TITULADA'!#REF!,"AAAAAGc/+1A=")</f>
        <v>#REF!</v>
      </c>
      <c r="CD390" t="e">
        <f>AND('PROG FORMACIÓN TITULADA'!#REF!,"AAAAAGc/+1E=")</f>
        <v>#REF!</v>
      </c>
      <c r="CE390" t="e">
        <f>AND('PROG FORMACIÓN TITULADA'!#REF!,"AAAAAGc/+1I=")</f>
        <v>#REF!</v>
      </c>
      <c r="CF390" t="e">
        <f>AND('PROG FORMACIÓN TITULADA'!#REF!,"AAAAAGc/+1M=")</f>
        <v>#REF!</v>
      </c>
      <c r="CG390" t="e">
        <f>AND('PROG FORMACIÓN TITULADA'!#REF!,"AAAAAGc/+1Q=")</f>
        <v>#REF!</v>
      </c>
      <c r="CH390" t="e">
        <f>AND('PROG FORMACIÓN TITULADA'!#REF!,"AAAAAGc/+1U=")</f>
        <v>#REF!</v>
      </c>
      <c r="CI390" t="e">
        <f>AND('PROG FORMACIÓN TITULADA'!#REF!,"AAAAAGc/+1Y=")</f>
        <v>#REF!</v>
      </c>
      <c r="CJ390" t="e">
        <f>AND('PROG FORMACIÓN TITULADA'!#REF!,"AAAAAGc/+1c=")</f>
        <v>#REF!</v>
      </c>
      <c r="CK390" t="e">
        <f>IF('PROG FORMACIÓN TITULADA'!#REF!,"AAAAAGc/+1g=",0)</f>
        <v>#REF!</v>
      </c>
      <c r="CL390" t="e">
        <f>AND('PROG FORMACIÓN TITULADA'!#REF!,"AAAAAGc/+1k=")</f>
        <v>#REF!</v>
      </c>
      <c r="CM390" t="e">
        <f>AND('PROG FORMACIÓN TITULADA'!#REF!,"AAAAAGc/+1o=")</f>
        <v>#REF!</v>
      </c>
      <c r="CN390" t="e">
        <f>AND('PROG FORMACIÓN TITULADA'!#REF!,"AAAAAGc/+1s=")</f>
        <v>#REF!</v>
      </c>
      <c r="CO390" t="e">
        <f>AND('PROG FORMACIÓN TITULADA'!#REF!,"AAAAAGc/+1w=")</f>
        <v>#REF!</v>
      </c>
      <c r="CP390" t="e">
        <f>AND('PROG FORMACIÓN TITULADA'!#REF!,"AAAAAGc/+10=")</f>
        <v>#REF!</v>
      </c>
      <c r="CQ390" t="e">
        <f>AND('PROG FORMACIÓN TITULADA'!#REF!,"AAAAAGc/+14=")</f>
        <v>#REF!</v>
      </c>
      <c r="CR390" t="e">
        <f>AND('PROG FORMACIÓN TITULADA'!#REF!,"AAAAAGc/+18=")</f>
        <v>#REF!</v>
      </c>
      <c r="CS390" t="e">
        <f>AND('PROG FORMACIÓN TITULADA'!#REF!,"AAAAAGc/+2A=")</f>
        <v>#REF!</v>
      </c>
      <c r="CT390" t="e">
        <f>AND('PROG FORMACIÓN TITULADA'!#REF!,"AAAAAGc/+2E=")</f>
        <v>#REF!</v>
      </c>
      <c r="CU390" t="e">
        <f>AND('PROG FORMACIÓN TITULADA'!#REF!,"AAAAAGc/+2I=")</f>
        <v>#REF!</v>
      </c>
      <c r="CV390" t="e">
        <f>AND('PROG FORMACIÓN TITULADA'!#REF!,"AAAAAGc/+2M=")</f>
        <v>#REF!</v>
      </c>
      <c r="CW390" t="e">
        <f>AND('PROG FORMACIÓN TITULADA'!#REF!,"AAAAAGc/+2Q=")</f>
        <v>#REF!</v>
      </c>
      <c r="CX390" t="e">
        <f>AND('PROG FORMACIÓN TITULADA'!#REF!,"AAAAAGc/+2U=")</f>
        <v>#REF!</v>
      </c>
      <c r="CY390" t="e">
        <f>AND('PROG FORMACIÓN TITULADA'!#REF!,"AAAAAGc/+2Y=")</f>
        <v>#REF!</v>
      </c>
      <c r="CZ390" t="e">
        <f>AND('PROG FORMACIÓN TITULADA'!#REF!,"AAAAAGc/+2c=")</f>
        <v>#REF!</v>
      </c>
      <c r="DA390" t="e">
        <f>AND('PROG FORMACIÓN TITULADA'!#REF!,"AAAAAGc/+2g=")</f>
        <v>#REF!</v>
      </c>
      <c r="DB390" t="e">
        <f>AND('PROG FORMACIÓN TITULADA'!#REF!,"AAAAAGc/+2k=")</f>
        <v>#REF!</v>
      </c>
      <c r="DC390" t="e">
        <f>AND('PROG FORMACIÓN TITULADA'!#REF!,"AAAAAGc/+2o=")</f>
        <v>#REF!</v>
      </c>
      <c r="DD390" t="e">
        <f>AND('PROG FORMACIÓN TITULADA'!#REF!,"AAAAAGc/+2s=")</f>
        <v>#REF!</v>
      </c>
      <c r="DE390" t="e">
        <f>AND('PROG FORMACIÓN TITULADA'!#REF!,"AAAAAGc/+2w=")</f>
        <v>#REF!</v>
      </c>
      <c r="DF390" t="e">
        <f>AND('PROG FORMACIÓN TITULADA'!#REF!,"AAAAAGc/+20=")</f>
        <v>#REF!</v>
      </c>
      <c r="DG390" t="e">
        <f>AND('PROG FORMACIÓN TITULADA'!#REF!,"AAAAAGc/+24=")</f>
        <v>#REF!</v>
      </c>
      <c r="DH390" t="e">
        <f>AND('PROG FORMACIÓN TITULADA'!#REF!,"AAAAAGc/+28=")</f>
        <v>#REF!</v>
      </c>
      <c r="DI390" t="e">
        <f>AND('PROG FORMACIÓN TITULADA'!#REF!,"AAAAAGc/+3A=")</f>
        <v>#REF!</v>
      </c>
      <c r="DJ390" t="e">
        <f>AND('PROG FORMACIÓN TITULADA'!#REF!,"AAAAAGc/+3E=")</f>
        <v>#REF!</v>
      </c>
      <c r="DK390" t="e">
        <f>AND('PROG FORMACIÓN TITULADA'!#REF!,"AAAAAGc/+3I=")</f>
        <v>#REF!</v>
      </c>
      <c r="DL390" t="e">
        <f>IF('PROG FORMACIÓN TITULADA'!#REF!,"AAAAAGc/+3M=",0)</f>
        <v>#REF!</v>
      </c>
      <c r="DM390" t="e">
        <f>AND('PROG FORMACIÓN TITULADA'!#REF!,"AAAAAGc/+3Q=")</f>
        <v>#REF!</v>
      </c>
      <c r="DN390" t="e">
        <f>AND('PROG FORMACIÓN TITULADA'!#REF!,"AAAAAGc/+3U=")</f>
        <v>#REF!</v>
      </c>
      <c r="DO390" t="e">
        <f>AND('PROG FORMACIÓN TITULADA'!#REF!,"AAAAAGc/+3Y=")</f>
        <v>#REF!</v>
      </c>
      <c r="DP390" t="e">
        <f>AND('PROG FORMACIÓN TITULADA'!#REF!,"AAAAAGc/+3c=")</f>
        <v>#REF!</v>
      </c>
      <c r="DQ390" t="e">
        <f>AND('PROG FORMACIÓN TITULADA'!#REF!,"AAAAAGc/+3g=")</f>
        <v>#REF!</v>
      </c>
      <c r="DR390" t="e">
        <f>AND('PROG FORMACIÓN TITULADA'!#REF!,"AAAAAGc/+3k=")</f>
        <v>#REF!</v>
      </c>
      <c r="DS390" t="e">
        <f>AND('PROG FORMACIÓN TITULADA'!#REF!,"AAAAAGc/+3o=")</f>
        <v>#REF!</v>
      </c>
      <c r="DT390" t="e">
        <f>AND('PROG FORMACIÓN TITULADA'!#REF!,"AAAAAGc/+3s=")</f>
        <v>#REF!</v>
      </c>
      <c r="DU390" t="e">
        <f>AND('PROG FORMACIÓN TITULADA'!#REF!,"AAAAAGc/+3w=")</f>
        <v>#REF!</v>
      </c>
      <c r="DV390" t="e">
        <f>AND('PROG FORMACIÓN TITULADA'!#REF!,"AAAAAGc/+30=")</f>
        <v>#REF!</v>
      </c>
      <c r="DW390" t="e">
        <f>AND('PROG FORMACIÓN TITULADA'!#REF!,"AAAAAGc/+34=")</f>
        <v>#REF!</v>
      </c>
      <c r="DX390" t="e">
        <f>AND('PROG FORMACIÓN TITULADA'!#REF!,"AAAAAGc/+38=")</f>
        <v>#REF!</v>
      </c>
      <c r="DY390" t="e">
        <f>AND('PROG FORMACIÓN TITULADA'!#REF!,"AAAAAGc/+4A=")</f>
        <v>#REF!</v>
      </c>
      <c r="DZ390" t="e">
        <f>AND('PROG FORMACIÓN TITULADA'!#REF!,"AAAAAGc/+4E=")</f>
        <v>#REF!</v>
      </c>
      <c r="EA390" t="e">
        <f>AND('PROG FORMACIÓN TITULADA'!#REF!,"AAAAAGc/+4I=")</f>
        <v>#REF!</v>
      </c>
      <c r="EB390" t="e">
        <f>AND('PROG FORMACIÓN TITULADA'!#REF!,"AAAAAGc/+4M=")</f>
        <v>#REF!</v>
      </c>
      <c r="EC390" t="e">
        <f>AND('PROG FORMACIÓN TITULADA'!#REF!,"AAAAAGc/+4Q=")</f>
        <v>#REF!</v>
      </c>
      <c r="ED390" t="e">
        <f>AND('PROG FORMACIÓN TITULADA'!#REF!,"AAAAAGc/+4U=")</f>
        <v>#REF!</v>
      </c>
      <c r="EE390" t="e">
        <f>AND('PROG FORMACIÓN TITULADA'!#REF!,"AAAAAGc/+4Y=")</f>
        <v>#REF!</v>
      </c>
      <c r="EF390" t="e">
        <f>AND('PROG FORMACIÓN TITULADA'!#REF!,"AAAAAGc/+4c=")</f>
        <v>#REF!</v>
      </c>
      <c r="EG390" t="e">
        <f>AND('PROG FORMACIÓN TITULADA'!#REF!,"AAAAAGc/+4g=")</f>
        <v>#REF!</v>
      </c>
      <c r="EH390" t="e">
        <f>AND('PROG FORMACIÓN TITULADA'!#REF!,"AAAAAGc/+4k=")</f>
        <v>#REF!</v>
      </c>
      <c r="EI390" t="e">
        <f>AND('PROG FORMACIÓN TITULADA'!#REF!,"AAAAAGc/+4o=")</f>
        <v>#REF!</v>
      </c>
      <c r="EJ390" t="e">
        <f>AND('PROG FORMACIÓN TITULADA'!#REF!,"AAAAAGc/+4s=")</f>
        <v>#REF!</v>
      </c>
      <c r="EK390" t="e">
        <f>AND('PROG FORMACIÓN TITULADA'!#REF!,"AAAAAGc/+4w=")</f>
        <v>#REF!</v>
      </c>
      <c r="EL390" t="e">
        <f>AND('PROG FORMACIÓN TITULADA'!#REF!,"AAAAAGc/+40=")</f>
        <v>#REF!</v>
      </c>
      <c r="EM390" t="e">
        <f>IF('PROG FORMACIÓN TITULADA'!#REF!,"AAAAAGc/+44=",0)</f>
        <v>#REF!</v>
      </c>
      <c r="EN390" t="e">
        <f>AND('PROG FORMACIÓN TITULADA'!#REF!,"AAAAAGc/+48=")</f>
        <v>#REF!</v>
      </c>
      <c r="EO390" t="e">
        <f>AND('PROG FORMACIÓN TITULADA'!#REF!,"AAAAAGc/+5A=")</f>
        <v>#REF!</v>
      </c>
      <c r="EP390" t="e">
        <f>AND('PROG FORMACIÓN TITULADA'!#REF!,"AAAAAGc/+5E=")</f>
        <v>#REF!</v>
      </c>
      <c r="EQ390" t="e">
        <f>AND('PROG FORMACIÓN TITULADA'!#REF!,"AAAAAGc/+5I=")</f>
        <v>#REF!</v>
      </c>
      <c r="ER390" t="e">
        <f>AND('PROG FORMACIÓN TITULADA'!#REF!,"AAAAAGc/+5M=")</f>
        <v>#REF!</v>
      </c>
      <c r="ES390" t="e">
        <f>AND('PROG FORMACIÓN TITULADA'!#REF!,"AAAAAGc/+5Q=")</f>
        <v>#REF!</v>
      </c>
      <c r="ET390" t="e">
        <f>AND('PROG FORMACIÓN TITULADA'!#REF!,"AAAAAGc/+5U=")</f>
        <v>#REF!</v>
      </c>
      <c r="EU390" t="e">
        <f>AND('PROG FORMACIÓN TITULADA'!#REF!,"AAAAAGc/+5Y=")</f>
        <v>#REF!</v>
      </c>
      <c r="EV390" t="e">
        <f>AND('PROG FORMACIÓN TITULADA'!#REF!,"AAAAAGc/+5c=")</f>
        <v>#REF!</v>
      </c>
      <c r="EW390" t="e">
        <f>AND('PROG FORMACIÓN TITULADA'!#REF!,"AAAAAGc/+5g=")</f>
        <v>#REF!</v>
      </c>
      <c r="EX390" t="e">
        <f>AND('PROG FORMACIÓN TITULADA'!#REF!,"AAAAAGc/+5k=")</f>
        <v>#REF!</v>
      </c>
      <c r="EY390" t="e">
        <f>AND('PROG FORMACIÓN TITULADA'!#REF!,"AAAAAGc/+5o=")</f>
        <v>#REF!</v>
      </c>
      <c r="EZ390" t="e">
        <f>AND('PROG FORMACIÓN TITULADA'!#REF!,"AAAAAGc/+5s=")</f>
        <v>#REF!</v>
      </c>
      <c r="FA390" t="e">
        <f>AND('PROG FORMACIÓN TITULADA'!#REF!,"AAAAAGc/+5w=")</f>
        <v>#REF!</v>
      </c>
      <c r="FB390" t="e">
        <f>AND('PROG FORMACIÓN TITULADA'!#REF!,"AAAAAGc/+50=")</f>
        <v>#REF!</v>
      </c>
      <c r="FC390" t="e">
        <f>AND('PROG FORMACIÓN TITULADA'!#REF!,"AAAAAGc/+54=")</f>
        <v>#REF!</v>
      </c>
      <c r="FD390" t="e">
        <f>AND('PROG FORMACIÓN TITULADA'!#REF!,"AAAAAGc/+58=")</f>
        <v>#REF!</v>
      </c>
      <c r="FE390" t="e">
        <f>AND('PROG FORMACIÓN TITULADA'!#REF!,"AAAAAGc/+6A=")</f>
        <v>#REF!</v>
      </c>
      <c r="FF390" t="e">
        <f>AND('PROG FORMACIÓN TITULADA'!#REF!,"AAAAAGc/+6E=")</f>
        <v>#REF!</v>
      </c>
      <c r="FG390" t="e">
        <f>AND('PROG FORMACIÓN TITULADA'!#REF!,"AAAAAGc/+6I=")</f>
        <v>#REF!</v>
      </c>
      <c r="FH390" t="e">
        <f>AND('PROG FORMACIÓN TITULADA'!#REF!,"AAAAAGc/+6M=")</f>
        <v>#REF!</v>
      </c>
      <c r="FI390" t="e">
        <f>AND('PROG FORMACIÓN TITULADA'!#REF!,"AAAAAGc/+6Q=")</f>
        <v>#REF!</v>
      </c>
      <c r="FJ390" t="e">
        <f>AND('PROG FORMACIÓN TITULADA'!#REF!,"AAAAAGc/+6U=")</f>
        <v>#REF!</v>
      </c>
      <c r="FK390" t="e">
        <f>AND('PROG FORMACIÓN TITULADA'!#REF!,"AAAAAGc/+6Y=")</f>
        <v>#REF!</v>
      </c>
      <c r="FL390" t="e">
        <f>AND('PROG FORMACIÓN TITULADA'!#REF!,"AAAAAGc/+6c=")</f>
        <v>#REF!</v>
      </c>
      <c r="FM390" t="e">
        <f>AND('PROG FORMACIÓN TITULADA'!#REF!,"AAAAAGc/+6g=")</f>
        <v>#REF!</v>
      </c>
      <c r="FN390" t="e">
        <f>IF('PROG FORMACIÓN TITULADA'!#REF!,"AAAAAGc/+6k=",0)</f>
        <v>#REF!</v>
      </c>
      <c r="FO390" t="e">
        <f>AND('PROG FORMACIÓN TITULADA'!#REF!,"AAAAAGc/+6o=")</f>
        <v>#REF!</v>
      </c>
      <c r="FP390" t="e">
        <f>AND('PROG FORMACIÓN TITULADA'!#REF!,"AAAAAGc/+6s=")</f>
        <v>#REF!</v>
      </c>
      <c r="FQ390" t="e">
        <f>AND('PROG FORMACIÓN TITULADA'!#REF!,"AAAAAGc/+6w=")</f>
        <v>#REF!</v>
      </c>
      <c r="FR390" t="e">
        <f>AND('PROG FORMACIÓN TITULADA'!#REF!,"AAAAAGc/+60=")</f>
        <v>#REF!</v>
      </c>
      <c r="FS390" t="e">
        <f>AND('PROG FORMACIÓN TITULADA'!#REF!,"AAAAAGc/+64=")</f>
        <v>#REF!</v>
      </c>
      <c r="FT390" t="e">
        <f>AND('PROG FORMACIÓN TITULADA'!#REF!,"AAAAAGc/+68=")</f>
        <v>#REF!</v>
      </c>
      <c r="FU390" t="e">
        <f>AND('PROG FORMACIÓN TITULADA'!#REF!,"AAAAAGc/+7A=")</f>
        <v>#REF!</v>
      </c>
      <c r="FV390" t="e">
        <f>AND('PROG FORMACIÓN TITULADA'!#REF!,"AAAAAGc/+7E=")</f>
        <v>#REF!</v>
      </c>
      <c r="FW390" t="e">
        <f>AND('PROG FORMACIÓN TITULADA'!#REF!,"AAAAAGc/+7I=")</f>
        <v>#REF!</v>
      </c>
      <c r="FX390" t="e">
        <f>AND('PROG FORMACIÓN TITULADA'!#REF!,"AAAAAGc/+7M=")</f>
        <v>#REF!</v>
      </c>
      <c r="FY390" t="e">
        <f>AND('PROG FORMACIÓN TITULADA'!#REF!,"AAAAAGc/+7Q=")</f>
        <v>#REF!</v>
      </c>
      <c r="FZ390" t="e">
        <f>AND('PROG FORMACIÓN TITULADA'!#REF!,"AAAAAGc/+7U=")</f>
        <v>#REF!</v>
      </c>
      <c r="GA390" t="e">
        <f>AND('PROG FORMACIÓN TITULADA'!#REF!,"AAAAAGc/+7Y=")</f>
        <v>#REF!</v>
      </c>
      <c r="GB390" t="e">
        <f>AND('PROG FORMACIÓN TITULADA'!#REF!,"AAAAAGc/+7c=")</f>
        <v>#REF!</v>
      </c>
      <c r="GC390" t="e">
        <f>AND('PROG FORMACIÓN TITULADA'!#REF!,"AAAAAGc/+7g=")</f>
        <v>#REF!</v>
      </c>
      <c r="GD390" t="e">
        <f>AND('PROG FORMACIÓN TITULADA'!#REF!,"AAAAAGc/+7k=")</f>
        <v>#REF!</v>
      </c>
      <c r="GE390" t="e">
        <f>AND('PROG FORMACIÓN TITULADA'!#REF!,"AAAAAGc/+7o=")</f>
        <v>#REF!</v>
      </c>
      <c r="GF390" t="e">
        <f>AND('PROG FORMACIÓN TITULADA'!#REF!,"AAAAAGc/+7s=")</f>
        <v>#REF!</v>
      </c>
      <c r="GG390" t="e">
        <f>AND('PROG FORMACIÓN TITULADA'!#REF!,"AAAAAGc/+7w=")</f>
        <v>#REF!</v>
      </c>
      <c r="GH390" t="e">
        <f>AND('PROG FORMACIÓN TITULADA'!#REF!,"AAAAAGc/+70=")</f>
        <v>#REF!</v>
      </c>
      <c r="GI390" t="e">
        <f>AND('PROG FORMACIÓN TITULADA'!#REF!,"AAAAAGc/+74=")</f>
        <v>#REF!</v>
      </c>
      <c r="GJ390" t="e">
        <f>AND('PROG FORMACIÓN TITULADA'!#REF!,"AAAAAGc/+78=")</f>
        <v>#REF!</v>
      </c>
      <c r="GK390" t="e">
        <f>AND('PROG FORMACIÓN TITULADA'!#REF!,"AAAAAGc/+8A=")</f>
        <v>#REF!</v>
      </c>
      <c r="GL390" t="e">
        <f>AND('PROG FORMACIÓN TITULADA'!#REF!,"AAAAAGc/+8E=")</f>
        <v>#REF!</v>
      </c>
      <c r="GM390" t="e">
        <f>AND('PROG FORMACIÓN TITULADA'!#REF!,"AAAAAGc/+8I=")</f>
        <v>#REF!</v>
      </c>
      <c r="GN390" t="e">
        <f>AND('PROG FORMACIÓN TITULADA'!#REF!,"AAAAAGc/+8M=")</f>
        <v>#REF!</v>
      </c>
      <c r="GO390" t="e">
        <f>IF('PROG FORMACIÓN TITULADA'!#REF!,"AAAAAGc/+8Q=",0)</f>
        <v>#REF!</v>
      </c>
      <c r="GP390" t="e">
        <f>AND('PROG FORMACIÓN TITULADA'!#REF!,"AAAAAGc/+8U=")</f>
        <v>#REF!</v>
      </c>
      <c r="GQ390" t="e">
        <f>AND('PROG FORMACIÓN TITULADA'!#REF!,"AAAAAGc/+8Y=")</f>
        <v>#REF!</v>
      </c>
      <c r="GR390" t="e">
        <f>AND('PROG FORMACIÓN TITULADA'!#REF!,"AAAAAGc/+8c=")</f>
        <v>#REF!</v>
      </c>
      <c r="GS390" t="e">
        <f>AND('PROG FORMACIÓN TITULADA'!#REF!,"AAAAAGc/+8g=")</f>
        <v>#REF!</v>
      </c>
      <c r="GT390" t="e">
        <f>AND('PROG FORMACIÓN TITULADA'!#REF!,"AAAAAGc/+8k=")</f>
        <v>#REF!</v>
      </c>
      <c r="GU390" t="e">
        <f>AND('PROG FORMACIÓN TITULADA'!#REF!,"AAAAAGc/+8o=")</f>
        <v>#REF!</v>
      </c>
      <c r="GV390" t="e">
        <f>AND('PROG FORMACIÓN TITULADA'!#REF!,"AAAAAGc/+8s=")</f>
        <v>#REF!</v>
      </c>
      <c r="GW390" t="e">
        <f>AND('PROG FORMACIÓN TITULADA'!#REF!,"AAAAAGc/+8w=")</f>
        <v>#REF!</v>
      </c>
      <c r="GX390" t="e">
        <f>AND('PROG FORMACIÓN TITULADA'!#REF!,"AAAAAGc/+80=")</f>
        <v>#REF!</v>
      </c>
      <c r="GY390" t="e">
        <f>AND('PROG FORMACIÓN TITULADA'!#REF!,"AAAAAGc/+84=")</f>
        <v>#REF!</v>
      </c>
      <c r="GZ390" t="e">
        <f>AND('PROG FORMACIÓN TITULADA'!#REF!,"AAAAAGc/+88=")</f>
        <v>#REF!</v>
      </c>
      <c r="HA390" t="e">
        <f>AND('PROG FORMACIÓN TITULADA'!#REF!,"AAAAAGc/+9A=")</f>
        <v>#REF!</v>
      </c>
      <c r="HB390" t="e">
        <f>AND('PROG FORMACIÓN TITULADA'!#REF!,"AAAAAGc/+9E=")</f>
        <v>#REF!</v>
      </c>
      <c r="HC390" t="e">
        <f>AND('PROG FORMACIÓN TITULADA'!#REF!,"AAAAAGc/+9I=")</f>
        <v>#REF!</v>
      </c>
      <c r="HD390" t="e">
        <f>AND('PROG FORMACIÓN TITULADA'!#REF!,"AAAAAGc/+9M=")</f>
        <v>#REF!</v>
      </c>
      <c r="HE390" t="e">
        <f>AND('PROG FORMACIÓN TITULADA'!#REF!,"AAAAAGc/+9Q=")</f>
        <v>#REF!</v>
      </c>
      <c r="HF390" t="e">
        <f>AND('PROG FORMACIÓN TITULADA'!#REF!,"AAAAAGc/+9U=")</f>
        <v>#REF!</v>
      </c>
      <c r="HG390" t="e">
        <f>AND('PROG FORMACIÓN TITULADA'!#REF!,"AAAAAGc/+9Y=")</f>
        <v>#REF!</v>
      </c>
      <c r="HH390" t="e">
        <f>AND('PROG FORMACIÓN TITULADA'!#REF!,"AAAAAGc/+9c=")</f>
        <v>#REF!</v>
      </c>
      <c r="HI390" t="e">
        <f>AND('PROG FORMACIÓN TITULADA'!#REF!,"AAAAAGc/+9g=")</f>
        <v>#REF!</v>
      </c>
      <c r="HJ390" t="e">
        <f>AND('PROG FORMACIÓN TITULADA'!#REF!,"AAAAAGc/+9k=")</f>
        <v>#REF!</v>
      </c>
      <c r="HK390" t="e">
        <f>AND('PROG FORMACIÓN TITULADA'!#REF!,"AAAAAGc/+9o=")</f>
        <v>#REF!</v>
      </c>
      <c r="HL390" t="e">
        <f>AND('PROG FORMACIÓN TITULADA'!#REF!,"AAAAAGc/+9s=")</f>
        <v>#REF!</v>
      </c>
      <c r="HM390" t="e">
        <f>AND('PROG FORMACIÓN TITULADA'!#REF!,"AAAAAGc/+9w=")</f>
        <v>#REF!</v>
      </c>
      <c r="HN390" t="e">
        <f>AND('PROG FORMACIÓN TITULADA'!#REF!,"AAAAAGc/+90=")</f>
        <v>#REF!</v>
      </c>
      <c r="HO390" t="e">
        <f>AND('PROG FORMACIÓN TITULADA'!#REF!,"AAAAAGc/+94=")</f>
        <v>#REF!</v>
      </c>
      <c r="HP390" t="e">
        <f>IF('PROG FORMACIÓN TITULADA'!#REF!,"AAAAAGc/+98=",0)</f>
        <v>#REF!</v>
      </c>
      <c r="HQ390" t="e">
        <f>AND('PROG FORMACIÓN TITULADA'!#REF!,"AAAAAGc/++A=")</f>
        <v>#REF!</v>
      </c>
      <c r="HR390" t="e">
        <f>AND('PROG FORMACIÓN TITULADA'!#REF!,"AAAAAGc/++E=")</f>
        <v>#REF!</v>
      </c>
      <c r="HS390" t="e">
        <f>AND('PROG FORMACIÓN TITULADA'!#REF!,"AAAAAGc/++I=")</f>
        <v>#REF!</v>
      </c>
      <c r="HT390" t="e">
        <f>AND('PROG FORMACIÓN TITULADA'!#REF!,"AAAAAGc/++M=")</f>
        <v>#REF!</v>
      </c>
      <c r="HU390" t="e">
        <f>AND('PROG FORMACIÓN TITULADA'!#REF!,"AAAAAGc/++Q=")</f>
        <v>#REF!</v>
      </c>
      <c r="HV390" t="e">
        <f>AND('PROG FORMACIÓN TITULADA'!#REF!,"AAAAAGc/++U=")</f>
        <v>#REF!</v>
      </c>
      <c r="HW390" t="e">
        <f>AND('PROG FORMACIÓN TITULADA'!#REF!,"AAAAAGc/++Y=")</f>
        <v>#REF!</v>
      </c>
      <c r="HX390" t="e">
        <f>AND('PROG FORMACIÓN TITULADA'!#REF!,"AAAAAGc/++c=")</f>
        <v>#REF!</v>
      </c>
      <c r="HY390" t="e">
        <f>AND('PROG FORMACIÓN TITULADA'!#REF!,"AAAAAGc/++g=")</f>
        <v>#REF!</v>
      </c>
      <c r="HZ390" t="e">
        <f>AND('PROG FORMACIÓN TITULADA'!#REF!,"AAAAAGc/++k=")</f>
        <v>#REF!</v>
      </c>
      <c r="IA390" t="e">
        <f>AND('PROG FORMACIÓN TITULADA'!#REF!,"AAAAAGc/++o=")</f>
        <v>#REF!</v>
      </c>
      <c r="IB390" t="e">
        <f>AND('PROG FORMACIÓN TITULADA'!#REF!,"AAAAAGc/++s=")</f>
        <v>#REF!</v>
      </c>
      <c r="IC390" t="e">
        <f>AND('PROG FORMACIÓN TITULADA'!#REF!,"AAAAAGc/++w=")</f>
        <v>#REF!</v>
      </c>
      <c r="ID390" t="e">
        <f>AND('PROG FORMACIÓN TITULADA'!#REF!,"AAAAAGc/++0=")</f>
        <v>#REF!</v>
      </c>
      <c r="IE390" t="e">
        <f>AND('PROG FORMACIÓN TITULADA'!#REF!,"AAAAAGc/++4=")</f>
        <v>#REF!</v>
      </c>
      <c r="IF390" t="e">
        <f>AND('PROG FORMACIÓN TITULADA'!#REF!,"AAAAAGc/++8=")</f>
        <v>#REF!</v>
      </c>
      <c r="IG390" t="e">
        <f>AND('PROG FORMACIÓN TITULADA'!#REF!,"AAAAAGc/+/A=")</f>
        <v>#REF!</v>
      </c>
      <c r="IH390" t="e">
        <f>AND('PROG FORMACIÓN TITULADA'!#REF!,"AAAAAGc/+/E=")</f>
        <v>#REF!</v>
      </c>
      <c r="II390" t="e">
        <f>AND('PROG FORMACIÓN TITULADA'!#REF!,"AAAAAGc/+/I=")</f>
        <v>#REF!</v>
      </c>
      <c r="IJ390" t="e">
        <f>AND('PROG FORMACIÓN TITULADA'!#REF!,"AAAAAGc/+/M=")</f>
        <v>#REF!</v>
      </c>
      <c r="IK390" t="e">
        <f>AND('PROG FORMACIÓN TITULADA'!#REF!,"AAAAAGc/+/Q=")</f>
        <v>#REF!</v>
      </c>
      <c r="IL390" t="e">
        <f>AND('PROG FORMACIÓN TITULADA'!#REF!,"AAAAAGc/+/U=")</f>
        <v>#REF!</v>
      </c>
      <c r="IM390" t="e">
        <f>AND('PROG FORMACIÓN TITULADA'!#REF!,"AAAAAGc/+/Y=")</f>
        <v>#REF!</v>
      </c>
      <c r="IN390" t="e">
        <f>AND('PROG FORMACIÓN TITULADA'!#REF!,"AAAAAGc/+/c=")</f>
        <v>#REF!</v>
      </c>
      <c r="IO390" t="e">
        <f>AND('PROG FORMACIÓN TITULADA'!#REF!,"AAAAAGc/+/g=")</f>
        <v>#REF!</v>
      </c>
      <c r="IP390" t="e">
        <f>AND('PROG FORMACIÓN TITULADA'!#REF!,"AAAAAGc/+/k=")</f>
        <v>#REF!</v>
      </c>
      <c r="IQ390" t="e">
        <f>IF('PROG FORMACIÓN TITULADA'!#REF!,"AAAAAGc/+/o=",0)</f>
        <v>#REF!</v>
      </c>
      <c r="IR390" t="e">
        <f>AND('PROG FORMACIÓN TITULADA'!#REF!,"AAAAAGc/+/s=")</f>
        <v>#REF!</v>
      </c>
      <c r="IS390" t="e">
        <f>AND('PROG FORMACIÓN TITULADA'!#REF!,"AAAAAGc/+/w=")</f>
        <v>#REF!</v>
      </c>
      <c r="IT390" t="e">
        <f>AND('PROG FORMACIÓN TITULADA'!#REF!,"AAAAAGc/+/0=")</f>
        <v>#REF!</v>
      </c>
      <c r="IU390" t="e">
        <f>AND('PROG FORMACIÓN TITULADA'!#REF!,"AAAAAGc/+/4=")</f>
        <v>#REF!</v>
      </c>
      <c r="IV390" t="e">
        <f>AND('PROG FORMACIÓN TITULADA'!#REF!,"AAAAAGc/+/8=")</f>
        <v>#REF!</v>
      </c>
    </row>
    <row r="391" spans="1:256" x14ac:dyDescent="0.2">
      <c r="A391" t="e">
        <f>AND('PROG FORMACIÓN TITULADA'!#REF!,"AAAAAD7t9wA=")</f>
        <v>#REF!</v>
      </c>
      <c r="B391" t="e">
        <f>AND('PROG FORMACIÓN TITULADA'!#REF!,"AAAAAD7t9wE=")</f>
        <v>#REF!</v>
      </c>
      <c r="C391" t="e">
        <f>AND('PROG FORMACIÓN TITULADA'!#REF!,"AAAAAD7t9wI=")</f>
        <v>#REF!</v>
      </c>
      <c r="D391" t="e">
        <f>AND('PROG FORMACIÓN TITULADA'!#REF!,"AAAAAD7t9wM=")</f>
        <v>#REF!</v>
      </c>
      <c r="E391" t="e">
        <f>AND('PROG FORMACIÓN TITULADA'!#REF!,"AAAAAD7t9wQ=")</f>
        <v>#REF!</v>
      </c>
      <c r="F391" t="e">
        <f>AND('PROG FORMACIÓN TITULADA'!#REF!,"AAAAAD7t9wU=")</f>
        <v>#REF!</v>
      </c>
      <c r="G391" t="e">
        <f>AND('PROG FORMACIÓN TITULADA'!#REF!,"AAAAAD7t9wY=")</f>
        <v>#REF!</v>
      </c>
      <c r="H391" t="e">
        <f>AND('PROG FORMACIÓN TITULADA'!#REF!,"AAAAAD7t9wc=")</f>
        <v>#REF!</v>
      </c>
      <c r="I391" t="e">
        <f>AND('PROG FORMACIÓN TITULADA'!#REF!,"AAAAAD7t9wg=")</f>
        <v>#REF!</v>
      </c>
      <c r="J391" t="e">
        <f>AND('PROG FORMACIÓN TITULADA'!#REF!,"AAAAAD7t9wk=")</f>
        <v>#REF!</v>
      </c>
      <c r="K391" t="e">
        <f>AND('PROG FORMACIÓN TITULADA'!#REF!,"AAAAAD7t9wo=")</f>
        <v>#REF!</v>
      </c>
      <c r="L391" t="e">
        <f>AND('PROG FORMACIÓN TITULADA'!#REF!,"AAAAAD7t9ws=")</f>
        <v>#REF!</v>
      </c>
      <c r="M391" t="e">
        <f>AND('PROG FORMACIÓN TITULADA'!#REF!,"AAAAAD7t9ww=")</f>
        <v>#REF!</v>
      </c>
      <c r="N391" t="e">
        <f>AND('PROG FORMACIÓN TITULADA'!#REF!,"AAAAAD7t9w0=")</f>
        <v>#REF!</v>
      </c>
      <c r="O391" t="e">
        <f>AND('PROG FORMACIÓN TITULADA'!#REF!,"AAAAAD7t9w4=")</f>
        <v>#REF!</v>
      </c>
      <c r="P391" t="e">
        <f>AND('PROG FORMACIÓN TITULADA'!#REF!,"AAAAAD7t9w8=")</f>
        <v>#REF!</v>
      </c>
      <c r="Q391" t="e">
        <f>AND('PROG FORMACIÓN TITULADA'!#REF!,"AAAAAD7t9xA=")</f>
        <v>#REF!</v>
      </c>
      <c r="R391" t="e">
        <f>AND('PROG FORMACIÓN TITULADA'!#REF!,"AAAAAD7t9xE=")</f>
        <v>#REF!</v>
      </c>
      <c r="S391" t="e">
        <f>AND('PROG FORMACIÓN TITULADA'!#REF!,"AAAAAD7t9xI=")</f>
        <v>#REF!</v>
      </c>
      <c r="T391" t="e">
        <f>AND('PROG FORMACIÓN TITULADA'!#REF!,"AAAAAD7t9xM=")</f>
        <v>#REF!</v>
      </c>
      <c r="U391" t="e">
        <f>AND('PROG FORMACIÓN TITULADA'!#REF!,"AAAAAD7t9xQ=")</f>
        <v>#REF!</v>
      </c>
      <c r="V391" t="e">
        <f>IF('PROG FORMACIÓN TITULADA'!#REF!,"AAAAAD7t9xU=",0)</f>
        <v>#REF!</v>
      </c>
      <c r="W391" t="e">
        <f>AND('PROG FORMACIÓN TITULADA'!#REF!,"AAAAAD7t9xY=")</f>
        <v>#REF!</v>
      </c>
      <c r="X391" t="e">
        <f>AND('PROG FORMACIÓN TITULADA'!#REF!,"AAAAAD7t9xc=")</f>
        <v>#REF!</v>
      </c>
      <c r="Y391" t="e">
        <f>AND('PROG FORMACIÓN TITULADA'!#REF!,"AAAAAD7t9xg=")</f>
        <v>#REF!</v>
      </c>
      <c r="Z391" t="e">
        <f>AND('PROG FORMACIÓN TITULADA'!#REF!,"AAAAAD7t9xk=")</f>
        <v>#REF!</v>
      </c>
      <c r="AA391" t="e">
        <f>AND('PROG FORMACIÓN TITULADA'!#REF!,"AAAAAD7t9xo=")</f>
        <v>#REF!</v>
      </c>
      <c r="AB391" t="e">
        <f>AND('PROG FORMACIÓN TITULADA'!#REF!,"AAAAAD7t9xs=")</f>
        <v>#REF!</v>
      </c>
      <c r="AC391" t="e">
        <f>AND('PROG FORMACIÓN TITULADA'!#REF!,"AAAAAD7t9xw=")</f>
        <v>#REF!</v>
      </c>
      <c r="AD391" t="e">
        <f>AND('PROG FORMACIÓN TITULADA'!#REF!,"AAAAAD7t9x0=")</f>
        <v>#REF!</v>
      </c>
      <c r="AE391" t="e">
        <f>AND('PROG FORMACIÓN TITULADA'!#REF!,"AAAAAD7t9x4=")</f>
        <v>#REF!</v>
      </c>
      <c r="AF391" t="e">
        <f>AND('PROG FORMACIÓN TITULADA'!#REF!,"AAAAAD7t9x8=")</f>
        <v>#REF!</v>
      </c>
      <c r="AG391" t="e">
        <f>AND('PROG FORMACIÓN TITULADA'!#REF!,"AAAAAD7t9yA=")</f>
        <v>#REF!</v>
      </c>
      <c r="AH391" t="e">
        <f>AND('PROG FORMACIÓN TITULADA'!#REF!,"AAAAAD7t9yE=")</f>
        <v>#REF!</v>
      </c>
      <c r="AI391" t="e">
        <f>AND('PROG FORMACIÓN TITULADA'!#REF!,"AAAAAD7t9yI=")</f>
        <v>#REF!</v>
      </c>
      <c r="AJ391" t="e">
        <f>AND('PROG FORMACIÓN TITULADA'!#REF!,"AAAAAD7t9yM=")</f>
        <v>#REF!</v>
      </c>
      <c r="AK391" t="e">
        <f>AND('PROG FORMACIÓN TITULADA'!#REF!,"AAAAAD7t9yQ=")</f>
        <v>#REF!</v>
      </c>
      <c r="AL391" t="e">
        <f>AND('PROG FORMACIÓN TITULADA'!#REF!,"AAAAAD7t9yU=")</f>
        <v>#REF!</v>
      </c>
      <c r="AM391" t="e">
        <f>AND('PROG FORMACIÓN TITULADA'!#REF!,"AAAAAD7t9yY=")</f>
        <v>#REF!</v>
      </c>
      <c r="AN391" t="e">
        <f>AND('PROG FORMACIÓN TITULADA'!#REF!,"AAAAAD7t9yc=")</f>
        <v>#REF!</v>
      </c>
      <c r="AO391" t="e">
        <f>AND('PROG FORMACIÓN TITULADA'!#REF!,"AAAAAD7t9yg=")</f>
        <v>#REF!</v>
      </c>
      <c r="AP391" t="e">
        <f>AND('PROG FORMACIÓN TITULADA'!#REF!,"AAAAAD7t9yk=")</f>
        <v>#REF!</v>
      </c>
      <c r="AQ391" t="e">
        <f>AND('PROG FORMACIÓN TITULADA'!#REF!,"AAAAAD7t9yo=")</f>
        <v>#REF!</v>
      </c>
      <c r="AR391" t="e">
        <f>AND('PROG FORMACIÓN TITULADA'!#REF!,"AAAAAD7t9ys=")</f>
        <v>#REF!</v>
      </c>
      <c r="AS391" t="e">
        <f>AND('PROG FORMACIÓN TITULADA'!#REF!,"AAAAAD7t9yw=")</f>
        <v>#REF!</v>
      </c>
      <c r="AT391" t="e">
        <f>AND('PROG FORMACIÓN TITULADA'!#REF!,"AAAAAD7t9y0=")</f>
        <v>#REF!</v>
      </c>
      <c r="AU391" t="e">
        <f>AND('PROG FORMACIÓN TITULADA'!#REF!,"AAAAAD7t9y4=")</f>
        <v>#REF!</v>
      </c>
      <c r="AV391" t="e">
        <f>AND('PROG FORMACIÓN TITULADA'!#REF!,"AAAAAD7t9y8=")</f>
        <v>#REF!</v>
      </c>
      <c r="AW391" t="e">
        <f>IF('PROG FORMACIÓN TITULADA'!#REF!,"AAAAAD7t9zA=",0)</f>
        <v>#REF!</v>
      </c>
      <c r="AX391" t="e">
        <f>AND('PROG FORMACIÓN TITULADA'!#REF!,"AAAAAD7t9zE=")</f>
        <v>#REF!</v>
      </c>
      <c r="AY391" t="e">
        <f>AND('PROG FORMACIÓN TITULADA'!#REF!,"AAAAAD7t9zI=")</f>
        <v>#REF!</v>
      </c>
      <c r="AZ391" t="e">
        <f>AND('PROG FORMACIÓN TITULADA'!#REF!,"AAAAAD7t9zM=")</f>
        <v>#REF!</v>
      </c>
      <c r="BA391" t="e">
        <f>AND('PROG FORMACIÓN TITULADA'!#REF!,"AAAAAD7t9zQ=")</f>
        <v>#REF!</v>
      </c>
      <c r="BB391" t="e">
        <f>AND('PROG FORMACIÓN TITULADA'!#REF!,"AAAAAD7t9zU=")</f>
        <v>#REF!</v>
      </c>
      <c r="BC391" t="e">
        <f>AND('PROG FORMACIÓN TITULADA'!#REF!,"AAAAAD7t9zY=")</f>
        <v>#REF!</v>
      </c>
      <c r="BD391" t="e">
        <f>AND('PROG FORMACIÓN TITULADA'!#REF!,"AAAAAD7t9zc=")</f>
        <v>#REF!</v>
      </c>
      <c r="BE391" t="e">
        <f>AND('PROG FORMACIÓN TITULADA'!#REF!,"AAAAAD7t9zg=")</f>
        <v>#REF!</v>
      </c>
      <c r="BF391" t="e">
        <f>AND('PROG FORMACIÓN TITULADA'!#REF!,"AAAAAD7t9zk=")</f>
        <v>#REF!</v>
      </c>
      <c r="BG391" t="e">
        <f>AND('PROG FORMACIÓN TITULADA'!#REF!,"AAAAAD7t9zo=")</f>
        <v>#REF!</v>
      </c>
      <c r="BH391" t="e">
        <f>AND('PROG FORMACIÓN TITULADA'!#REF!,"AAAAAD7t9zs=")</f>
        <v>#REF!</v>
      </c>
      <c r="BI391" t="e">
        <f>AND('PROG FORMACIÓN TITULADA'!#REF!,"AAAAAD7t9zw=")</f>
        <v>#REF!</v>
      </c>
      <c r="BJ391" t="e">
        <f>AND('PROG FORMACIÓN TITULADA'!#REF!,"AAAAAD7t9z0=")</f>
        <v>#REF!</v>
      </c>
      <c r="BK391" t="e">
        <f>AND('PROG FORMACIÓN TITULADA'!#REF!,"AAAAAD7t9z4=")</f>
        <v>#REF!</v>
      </c>
      <c r="BL391" t="e">
        <f>AND('PROG FORMACIÓN TITULADA'!#REF!,"AAAAAD7t9z8=")</f>
        <v>#REF!</v>
      </c>
      <c r="BM391" t="e">
        <f>AND('PROG FORMACIÓN TITULADA'!#REF!,"AAAAAD7t90A=")</f>
        <v>#REF!</v>
      </c>
      <c r="BN391" t="e">
        <f>AND('PROG FORMACIÓN TITULADA'!#REF!,"AAAAAD7t90E=")</f>
        <v>#REF!</v>
      </c>
      <c r="BO391" t="e">
        <f>AND('PROG FORMACIÓN TITULADA'!#REF!,"AAAAAD7t90I=")</f>
        <v>#REF!</v>
      </c>
      <c r="BP391" t="e">
        <f>AND('PROG FORMACIÓN TITULADA'!#REF!,"AAAAAD7t90M=")</f>
        <v>#REF!</v>
      </c>
      <c r="BQ391" t="e">
        <f>AND('PROG FORMACIÓN TITULADA'!#REF!,"AAAAAD7t90Q=")</f>
        <v>#REF!</v>
      </c>
      <c r="BR391" t="e">
        <f>AND('PROG FORMACIÓN TITULADA'!#REF!,"AAAAAD7t90U=")</f>
        <v>#REF!</v>
      </c>
      <c r="BS391" t="e">
        <f>AND('PROG FORMACIÓN TITULADA'!#REF!,"AAAAAD7t90Y=")</f>
        <v>#REF!</v>
      </c>
      <c r="BT391" t="e">
        <f>AND('PROG FORMACIÓN TITULADA'!#REF!,"AAAAAD7t90c=")</f>
        <v>#REF!</v>
      </c>
      <c r="BU391" t="e">
        <f>AND('PROG FORMACIÓN TITULADA'!#REF!,"AAAAAD7t90g=")</f>
        <v>#REF!</v>
      </c>
      <c r="BV391" t="e">
        <f>AND('PROG FORMACIÓN TITULADA'!#REF!,"AAAAAD7t90k=")</f>
        <v>#REF!</v>
      </c>
      <c r="BW391" t="e">
        <f>AND('PROG FORMACIÓN TITULADA'!#REF!,"AAAAAD7t90o=")</f>
        <v>#REF!</v>
      </c>
      <c r="BX391" t="e">
        <f>IF('PROG FORMACIÓN TITULADA'!#REF!,"AAAAAD7t90s=",0)</f>
        <v>#REF!</v>
      </c>
      <c r="BY391" t="e">
        <f>AND('PROG FORMACIÓN TITULADA'!#REF!,"AAAAAD7t90w=")</f>
        <v>#REF!</v>
      </c>
      <c r="BZ391" t="e">
        <f>AND('PROG FORMACIÓN TITULADA'!#REF!,"AAAAAD7t900=")</f>
        <v>#REF!</v>
      </c>
      <c r="CA391" t="e">
        <f>AND('PROG FORMACIÓN TITULADA'!#REF!,"AAAAAD7t904=")</f>
        <v>#REF!</v>
      </c>
      <c r="CB391" t="e">
        <f>AND('PROG FORMACIÓN TITULADA'!#REF!,"AAAAAD7t908=")</f>
        <v>#REF!</v>
      </c>
      <c r="CC391" t="e">
        <f>AND('PROG FORMACIÓN TITULADA'!#REF!,"AAAAAD7t91A=")</f>
        <v>#REF!</v>
      </c>
      <c r="CD391" t="e">
        <f>AND('PROG FORMACIÓN TITULADA'!#REF!,"AAAAAD7t91E=")</f>
        <v>#REF!</v>
      </c>
      <c r="CE391" t="e">
        <f>AND('PROG FORMACIÓN TITULADA'!#REF!,"AAAAAD7t91I=")</f>
        <v>#REF!</v>
      </c>
      <c r="CF391" t="e">
        <f>AND('PROG FORMACIÓN TITULADA'!#REF!,"AAAAAD7t91M=")</f>
        <v>#REF!</v>
      </c>
      <c r="CG391" t="e">
        <f>AND('PROG FORMACIÓN TITULADA'!#REF!,"AAAAAD7t91Q=")</f>
        <v>#REF!</v>
      </c>
      <c r="CH391" t="e">
        <f>AND('PROG FORMACIÓN TITULADA'!#REF!,"AAAAAD7t91U=")</f>
        <v>#REF!</v>
      </c>
      <c r="CI391" t="e">
        <f>AND('PROG FORMACIÓN TITULADA'!#REF!,"AAAAAD7t91Y=")</f>
        <v>#REF!</v>
      </c>
      <c r="CJ391" t="e">
        <f>AND('PROG FORMACIÓN TITULADA'!#REF!,"AAAAAD7t91c=")</f>
        <v>#REF!</v>
      </c>
      <c r="CK391" t="e">
        <f>AND('PROG FORMACIÓN TITULADA'!#REF!,"AAAAAD7t91g=")</f>
        <v>#REF!</v>
      </c>
      <c r="CL391" t="e">
        <f>AND('PROG FORMACIÓN TITULADA'!#REF!,"AAAAAD7t91k=")</f>
        <v>#REF!</v>
      </c>
      <c r="CM391" t="e">
        <f>AND('PROG FORMACIÓN TITULADA'!#REF!,"AAAAAD7t91o=")</f>
        <v>#REF!</v>
      </c>
      <c r="CN391" t="e">
        <f>AND('PROG FORMACIÓN TITULADA'!#REF!,"AAAAAD7t91s=")</f>
        <v>#REF!</v>
      </c>
      <c r="CO391" t="e">
        <f>AND('PROG FORMACIÓN TITULADA'!#REF!,"AAAAAD7t91w=")</f>
        <v>#REF!</v>
      </c>
      <c r="CP391" t="e">
        <f>AND('PROG FORMACIÓN TITULADA'!#REF!,"AAAAAD7t910=")</f>
        <v>#REF!</v>
      </c>
      <c r="CQ391" t="e">
        <f>AND('PROG FORMACIÓN TITULADA'!#REF!,"AAAAAD7t914=")</f>
        <v>#REF!</v>
      </c>
      <c r="CR391" t="e">
        <f>AND('PROG FORMACIÓN TITULADA'!#REF!,"AAAAAD7t918=")</f>
        <v>#REF!</v>
      </c>
      <c r="CS391" t="e">
        <f>AND('PROG FORMACIÓN TITULADA'!#REF!,"AAAAAD7t92A=")</f>
        <v>#REF!</v>
      </c>
      <c r="CT391" t="e">
        <f>AND('PROG FORMACIÓN TITULADA'!#REF!,"AAAAAD7t92E=")</f>
        <v>#REF!</v>
      </c>
      <c r="CU391" t="e">
        <f>AND('PROG FORMACIÓN TITULADA'!#REF!,"AAAAAD7t92I=")</f>
        <v>#REF!</v>
      </c>
      <c r="CV391" t="e">
        <f>AND('PROG FORMACIÓN TITULADA'!#REF!,"AAAAAD7t92M=")</f>
        <v>#REF!</v>
      </c>
      <c r="CW391" t="e">
        <f>AND('PROG FORMACIÓN TITULADA'!#REF!,"AAAAAD7t92Q=")</f>
        <v>#REF!</v>
      </c>
      <c r="CX391" t="e">
        <f>AND('PROG FORMACIÓN TITULADA'!#REF!,"AAAAAD7t92U=")</f>
        <v>#REF!</v>
      </c>
      <c r="CY391" t="e">
        <f>IF('PROG FORMACIÓN TITULADA'!#REF!,"AAAAAD7t92Y=",0)</f>
        <v>#REF!</v>
      </c>
      <c r="CZ391" t="e">
        <f>AND('PROG FORMACIÓN TITULADA'!#REF!,"AAAAAD7t92c=")</f>
        <v>#REF!</v>
      </c>
      <c r="DA391" t="e">
        <f>AND('PROG FORMACIÓN TITULADA'!#REF!,"AAAAAD7t92g=")</f>
        <v>#REF!</v>
      </c>
      <c r="DB391" t="e">
        <f>AND('PROG FORMACIÓN TITULADA'!#REF!,"AAAAAD7t92k=")</f>
        <v>#REF!</v>
      </c>
      <c r="DC391" t="e">
        <f>AND('PROG FORMACIÓN TITULADA'!#REF!,"AAAAAD7t92o=")</f>
        <v>#REF!</v>
      </c>
      <c r="DD391" t="e">
        <f>AND('PROG FORMACIÓN TITULADA'!#REF!,"AAAAAD7t92s=")</f>
        <v>#REF!</v>
      </c>
      <c r="DE391" t="e">
        <f>AND('PROG FORMACIÓN TITULADA'!#REF!,"AAAAAD7t92w=")</f>
        <v>#REF!</v>
      </c>
      <c r="DF391" t="e">
        <f>AND('PROG FORMACIÓN TITULADA'!#REF!,"AAAAAD7t920=")</f>
        <v>#REF!</v>
      </c>
      <c r="DG391" t="e">
        <f>AND('PROG FORMACIÓN TITULADA'!#REF!,"AAAAAD7t924=")</f>
        <v>#REF!</v>
      </c>
      <c r="DH391" t="e">
        <f>AND('PROG FORMACIÓN TITULADA'!#REF!,"AAAAAD7t928=")</f>
        <v>#REF!</v>
      </c>
      <c r="DI391" t="e">
        <f>AND('PROG FORMACIÓN TITULADA'!#REF!,"AAAAAD7t93A=")</f>
        <v>#REF!</v>
      </c>
      <c r="DJ391" t="e">
        <f>AND('PROG FORMACIÓN TITULADA'!#REF!,"AAAAAD7t93E=")</f>
        <v>#REF!</v>
      </c>
      <c r="DK391" t="e">
        <f>AND('PROG FORMACIÓN TITULADA'!#REF!,"AAAAAD7t93I=")</f>
        <v>#REF!</v>
      </c>
      <c r="DL391" t="e">
        <f>AND('PROG FORMACIÓN TITULADA'!#REF!,"AAAAAD7t93M=")</f>
        <v>#REF!</v>
      </c>
      <c r="DM391" t="e">
        <f>AND('PROG FORMACIÓN TITULADA'!#REF!,"AAAAAD7t93Q=")</f>
        <v>#REF!</v>
      </c>
      <c r="DN391" t="e">
        <f>AND('PROG FORMACIÓN TITULADA'!#REF!,"AAAAAD7t93U=")</f>
        <v>#REF!</v>
      </c>
      <c r="DO391" t="e">
        <f>AND('PROG FORMACIÓN TITULADA'!#REF!,"AAAAAD7t93Y=")</f>
        <v>#REF!</v>
      </c>
      <c r="DP391" t="e">
        <f>AND('PROG FORMACIÓN TITULADA'!#REF!,"AAAAAD7t93c=")</f>
        <v>#REF!</v>
      </c>
      <c r="DQ391" t="e">
        <f>AND('PROG FORMACIÓN TITULADA'!#REF!,"AAAAAD7t93g=")</f>
        <v>#REF!</v>
      </c>
      <c r="DR391" t="e">
        <f>AND('PROG FORMACIÓN TITULADA'!#REF!,"AAAAAD7t93k=")</f>
        <v>#REF!</v>
      </c>
      <c r="DS391" t="e">
        <f>AND('PROG FORMACIÓN TITULADA'!#REF!,"AAAAAD7t93o=")</f>
        <v>#REF!</v>
      </c>
      <c r="DT391" t="e">
        <f>AND('PROG FORMACIÓN TITULADA'!#REF!,"AAAAAD7t93s=")</f>
        <v>#REF!</v>
      </c>
      <c r="DU391" t="e">
        <f>AND('PROG FORMACIÓN TITULADA'!#REF!,"AAAAAD7t93w=")</f>
        <v>#REF!</v>
      </c>
      <c r="DV391" t="e">
        <f>AND('PROG FORMACIÓN TITULADA'!#REF!,"AAAAAD7t930=")</f>
        <v>#REF!</v>
      </c>
      <c r="DW391" t="e">
        <f>AND('PROG FORMACIÓN TITULADA'!#REF!,"AAAAAD7t934=")</f>
        <v>#REF!</v>
      </c>
      <c r="DX391" t="e">
        <f>AND('PROG FORMACIÓN TITULADA'!#REF!,"AAAAAD7t938=")</f>
        <v>#REF!</v>
      </c>
      <c r="DY391" t="e">
        <f>AND('PROG FORMACIÓN TITULADA'!#REF!,"AAAAAD7t94A=")</f>
        <v>#REF!</v>
      </c>
      <c r="DZ391" t="e">
        <f>IF('PROG FORMACIÓN TITULADA'!#REF!,"AAAAAD7t94E=",0)</f>
        <v>#REF!</v>
      </c>
      <c r="EA391" t="e">
        <f>AND('PROG FORMACIÓN TITULADA'!#REF!,"AAAAAD7t94I=")</f>
        <v>#REF!</v>
      </c>
      <c r="EB391" t="e">
        <f>AND('PROG FORMACIÓN TITULADA'!#REF!,"AAAAAD7t94M=")</f>
        <v>#REF!</v>
      </c>
      <c r="EC391" t="e">
        <f>AND('PROG FORMACIÓN TITULADA'!#REF!,"AAAAAD7t94Q=")</f>
        <v>#REF!</v>
      </c>
      <c r="ED391" t="e">
        <f>AND('PROG FORMACIÓN TITULADA'!#REF!,"AAAAAD7t94U=")</f>
        <v>#REF!</v>
      </c>
      <c r="EE391" t="e">
        <f>AND('PROG FORMACIÓN TITULADA'!#REF!,"AAAAAD7t94Y=")</f>
        <v>#REF!</v>
      </c>
      <c r="EF391" t="e">
        <f>AND('PROG FORMACIÓN TITULADA'!#REF!,"AAAAAD7t94c=")</f>
        <v>#REF!</v>
      </c>
      <c r="EG391" t="e">
        <f>AND('PROG FORMACIÓN TITULADA'!#REF!,"AAAAAD7t94g=")</f>
        <v>#REF!</v>
      </c>
      <c r="EH391" t="e">
        <f>AND('PROG FORMACIÓN TITULADA'!#REF!,"AAAAAD7t94k=")</f>
        <v>#REF!</v>
      </c>
      <c r="EI391" t="e">
        <f>AND('PROG FORMACIÓN TITULADA'!#REF!,"AAAAAD7t94o=")</f>
        <v>#REF!</v>
      </c>
      <c r="EJ391" t="e">
        <f>AND('PROG FORMACIÓN TITULADA'!#REF!,"AAAAAD7t94s=")</f>
        <v>#REF!</v>
      </c>
      <c r="EK391" t="e">
        <f>AND('PROG FORMACIÓN TITULADA'!#REF!,"AAAAAD7t94w=")</f>
        <v>#REF!</v>
      </c>
      <c r="EL391" t="e">
        <f>AND('PROG FORMACIÓN TITULADA'!#REF!,"AAAAAD7t940=")</f>
        <v>#REF!</v>
      </c>
      <c r="EM391" t="e">
        <f>AND('PROG FORMACIÓN TITULADA'!#REF!,"AAAAAD7t944=")</f>
        <v>#REF!</v>
      </c>
      <c r="EN391" t="e">
        <f>AND('PROG FORMACIÓN TITULADA'!#REF!,"AAAAAD7t948=")</f>
        <v>#REF!</v>
      </c>
      <c r="EO391" t="e">
        <f>AND('PROG FORMACIÓN TITULADA'!#REF!,"AAAAAD7t95A=")</f>
        <v>#REF!</v>
      </c>
      <c r="EP391" t="e">
        <f>AND('PROG FORMACIÓN TITULADA'!#REF!,"AAAAAD7t95E=")</f>
        <v>#REF!</v>
      </c>
      <c r="EQ391" t="e">
        <f>AND('PROG FORMACIÓN TITULADA'!#REF!,"AAAAAD7t95I=")</f>
        <v>#REF!</v>
      </c>
      <c r="ER391" t="e">
        <f>AND('PROG FORMACIÓN TITULADA'!#REF!,"AAAAAD7t95M=")</f>
        <v>#REF!</v>
      </c>
      <c r="ES391" t="e">
        <f>AND('PROG FORMACIÓN TITULADA'!#REF!,"AAAAAD7t95Q=")</f>
        <v>#REF!</v>
      </c>
      <c r="ET391" t="e">
        <f>AND('PROG FORMACIÓN TITULADA'!#REF!,"AAAAAD7t95U=")</f>
        <v>#REF!</v>
      </c>
      <c r="EU391" t="e">
        <f>AND('PROG FORMACIÓN TITULADA'!#REF!,"AAAAAD7t95Y=")</f>
        <v>#REF!</v>
      </c>
      <c r="EV391" t="e">
        <f>AND('PROG FORMACIÓN TITULADA'!#REF!,"AAAAAD7t95c=")</f>
        <v>#REF!</v>
      </c>
      <c r="EW391" t="e">
        <f>AND('PROG FORMACIÓN TITULADA'!#REF!,"AAAAAD7t95g=")</f>
        <v>#REF!</v>
      </c>
      <c r="EX391" t="e">
        <f>AND('PROG FORMACIÓN TITULADA'!#REF!,"AAAAAD7t95k=")</f>
        <v>#REF!</v>
      </c>
      <c r="EY391" t="e">
        <f>AND('PROG FORMACIÓN TITULADA'!#REF!,"AAAAAD7t95o=")</f>
        <v>#REF!</v>
      </c>
      <c r="EZ391" t="e">
        <f>AND('PROG FORMACIÓN TITULADA'!#REF!,"AAAAAD7t95s=")</f>
        <v>#REF!</v>
      </c>
      <c r="FA391" t="e">
        <f>IF('PROG FORMACIÓN TITULADA'!#REF!,"AAAAAD7t95w=",0)</f>
        <v>#REF!</v>
      </c>
      <c r="FB391" t="e">
        <f>AND('PROG FORMACIÓN TITULADA'!#REF!,"AAAAAD7t950=")</f>
        <v>#REF!</v>
      </c>
      <c r="FC391" t="e">
        <f>AND('PROG FORMACIÓN TITULADA'!#REF!,"AAAAAD7t954=")</f>
        <v>#REF!</v>
      </c>
      <c r="FD391" t="e">
        <f>AND('PROG FORMACIÓN TITULADA'!#REF!,"AAAAAD7t958=")</f>
        <v>#REF!</v>
      </c>
      <c r="FE391" t="e">
        <f>AND('PROG FORMACIÓN TITULADA'!#REF!,"AAAAAD7t96A=")</f>
        <v>#REF!</v>
      </c>
      <c r="FF391" t="e">
        <f>AND('PROG FORMACIÓN TITULADA'!#REF!,"AAAAAD7t96E=")</f>
        <v>#REF!</v>
      </c>
      <c r="FG391" t="e">
        <f>AND('PROG FORMACIÓN TITULADA'!#REF!,"AAAAAD7t96I=")</f>
        <v>#REF!</v>
      </c>
      <c r="FH391" t="e">
        <f>AND('PROG FORMACIÓN TITULADA'!#REF!,"AAAAAD7t96M=")</f>
        <v>#REF!</v>
      </c>
      <c r="FI391" t="e">
        <f>AND('PROG FORMACIÓN TITULADA'!#REF!,"AAAAAD7t96Q=")</f>
        <v>#REF!</v>
      </c>
      <c r="FJ391" t="e">
        <f>AND('PROG FORMACIÓN TITULADA'!#REF!,"AAAAAD7t96U=")</f>
        <v>#REF!</v>
      </c>
      <c r="FK391" t="e">
        <f>AND('PROG FORMACIÓN TITULADA'!#REF!,"AAAAAD7t96Y=")</f>
        <v>#REF!</v>
      </c>
      <c r="FL391" t="e">
        <f>AND('PROG FORMACIÓN TITULADA'!#REF!,"AAAAAD7t96c=")</f>
        <v>#REF!</v>
      </c>
      <c r="FM391" t="e">
        <f>AND('PROG FORMACIÓN TITULADA'!#REF!,"AAAAAD7t96g=")</f>
        <v>#REF!</v>
      </c>
      <c r="FN391" t="e">
        <f>AND('PROG FORMACIÓN TITULADA'!#REF!,"AAAAAD7t96k=")</f>
        <v>#REF!</v>
      </c>
      <c r="FO391" t="e">
        <f>AND('PROG FORMACIÓN TITULADA'!#REF!,"AAAAAD7t96o=")</f>
        <v>#REF!</v>
      </c>
      <c r="FP391" t="e">
        <f>AND('PROG FORMACIÓN TITULADA'!#REF!,"AAAAAD7t96s=")</f>
        <v>#REF!</v>
      </c>
      <c r="FQ391" t="e">
        <f>AND('PROG FORMACIÓN TITULADA'!#REF!,"AAAAAD7t96w=")</f>
        <v>#REF!</v>
      </c>
      <c r="FR391" t="e">
        <f>AND('PROG FORMACIÓN TITULADA'!#REF!,"AAAAAD7t960=")</f>
        <v>#REF!</v>
      </c>
      <c r="FS391" t="e">
        <f>AND('PROG FORMACIÓN TITULADA'!#REF!,"AAAAAD7t964=")</f>
        <v>#REF!</v>
      </c>
      <c r="FT391" t="e">
        <f>AND('PROG FORMACIÓN TITULADA'!#REF!,"AAAAAD7t968=")</f>
        <v>#REF!</v>
      </c>
      <c r="FU391" t="e">
        <f>AND('PROG FORMACIÓN TITULADA'!#REF!,"AAAAAD7t97A=")</f>
        <v>#REF!</v>
      </c>
      <c r="FV391" t="e">
        <f>AND('PROG FORMACIÓN TITULADA'!#REF!,"AAAAAD7t97E=")</f>
        <v>#REF!</v>
      </c>
      <c r="FW391" t="e">
        <f>AND('PROG FORMACIÓN TITULADA'!#REF!,"AAAAAD7t97I=")</f>
        <v>#REF!</v>
      </c>
      <c r="FX391" t="e">
        <f>AND('PROG FORMACIÓN TITULADA'!#REF!,"AAAAAD7t97M=")</f>
        <v>#REF!</v>
      </c>
      <c r="FY391" t="e">
        <f>AND('PROG FORMACIÓN TITULADA'!#REF!,"AAAAAD7t97Q=")</f>
        <v>#REF!</v>
      </c>
      <c r="FZ391" t="e">
        <f>AND('PROG FORMACIÓN TITULADA'!#REF!,"AAAAAD7t97U=")</f>
        <v>#REF!</v>
      </c>
      <c r="GA391" t="e">
        <f>AND('PROG FORMACIÓN TITULADA'!#REF!,"AAAAAD7t97Y=")</f>
        <v>#REF!</v>
      </c>
      <c r="GB391" t="e">
        <f>IF('PROG FORMACIÓN TITULADA'!#REF!,"AAAAAD7t97c=",0)</f>
        <v>#REF!</v>
      </c>
      <c r="GC391" t="e">
        <f>AND('PROG FORMACIÓN TITULADA'!#REF!,"AAAAAD7t97g=")</f>
        <v>#REF!</v>
      </c>
      <c r="GD391" t="e">
        <f>AND('PROG FORMACIÓN TITULADA'!#REF!,"AAAAAD7t97k=")</f>
        <v>#REF!</v>
      </c>
      <c r="GE391" t="e">
        <f>AND('PROG FORMACIÓN TITULADA'!#REF!,"AAAAAD7t97o=")</f>
        <v>#REF!</v>
      </c>
      <c r="GF391" t="e">
        <f>AND('PROG FORMACIÓN TITULADA'!#REF!,"AAAAAD7t97s=")</f>
        <v>#REF!</v>
      </c>
      <c r="GG391" t="e">
        <f>AND('PROG FORMACIÓN TITULADA'!#REF!,"AAAAAD7t97w=")</f>
        <v>#REF!</v>
      </c>
      <c r="GH391" t="e">
        <f>AND('PROG FORMACIÓN TITULADA'!#REF!,"AAAAAD7t970=")</f>
        <v>#REF!</v>
      </c>
      <c r="GI391" t="e">
        <f>AND('PROG FORMACIÓN TITULADA'!#REF!,"AAAAAD7t974=")</f>
        <v>#REF!</v>
      </c>
      <c r="GJ391" t="e">
        <f>AND('PROG FORMACIÓN TITULADA'!#REF!,"AAAAAD7t978=")</f>
        <v>#REF!</v>
      </c>
      <c r="GK391" t="e">
        <f>AND('PROG FORMACIÓN TITULADA'!#REF!,"AAAAAD7t98A=")</f>
        <v>#REF!</v>
      </c>
      <c r="GL391" t="e">
        <f>AND('PROG FORMACIÓN TITULADA'!#REF!,"AAAAAD7t98E=")</f>
        <v>#REF!</v>
      </c>
      <c r="GM391" t="e">
        <f>AND('PROG FORMACIÓN TITULADA'!#REF!,"AAAAAD7t98I=")</f>
        <v>#REF!</v>
      </c>
      <c r="GN391" t="e">
        <f>AND('PROG FORMACIÓN TITULADA'!#REF!,"AAAAAD7t98M=")</f>
        <v>#REF!</v>
      </c>
      <c r="GO391" t="e">
        <f>AND('PROG FORMACIÓN TITULADA'!#REF!,"AAAAAD7t98Q=")</f>
        <v>#REF!</v>
      </c>
      <c r="GP391" t="e">
        <f>AND('PROG FORMACIÓN TITULADA'!#REF!,"AAAAAD7t98U=")</f>
        <v>#REF!</v>
      </c>
      <c r="GQ391" t="e">
        <f>AND('PROG FORMACIÓN TITULADA'!#REF!,"AAAAAD7t98Y=")</f>
        <v>#REF!</v>
      </c>
      <c r="GR391" t="e">
        <f>AND('PROG FORMACIÓN TITULADA'!#REF!,"AAAAAD7t98c=")</f>
        <v>#REF!</v>
      </c>
      <c r="GS391" t="e">
        <f>AND('PROG FORMACIÓN TITULADA'!#REF!,"AAAAAD7t98g=")</f>
        <v>#REF!</v>
      </c>
      <c r="GT391" t="e">
        <f>AND('PROG FORMACIÓN TITULADA'!#REF!,"AAAAAD7t98k=")</f>
        <v>#REF!</v>
      </c>
      <c r="GU391" t="e">
        <f>AND('PROG FORMACIÓN TITULADA'!#REF!,"AAAAAD7t98o=")</f>
        <v>#REF!</v>
      </c>
      <c r="GV391" t="e">
        <f>AND('PROG FORMACIÓN TITULADA'!#REF!,"AAAAAD7t98s=")</f>
        <v>#REF!</v>
      </c>
      <c r="GW391" t="e">
        <f>AND('PROG FORMACIÓN TITULADA'!#REF!,"AAAAAD7t98w=")</f>
        <v>#REF!</v>
      </c>
      <c r="GX391" t="e">
        <f>AND('PROG FORMACIÓN TITULADA'!#REF!,"AAAAAD7t980=")</f>
        <v>#REF!</v>
      </c>
      <c r="GY391" t="e">
        <f>AND('PROG FORMACIÓN TITULADA'!#REF!,"AAAAAD7t984=")</f>
        <v>#REF!</v>
      </c>
      <c r="GZ391" t="e">
        <f>AND('PROG FORMACIÓN TITULADA'!#REF!,"AAAAAD7t988=")</f>
        <v>#REF!</v>
      </c>
      <c r="HA391" t="e">
        <f>AND('PROG FORMACIÓN TITULADA'!#REF!,"AAAAAD7t99A=")</f>
        <v>#REF!</v>
      </c>
      <c r="HB391" t="e">
        <f>AND('PROG FORMACIÓN TITULADA'!#REF!,"AAAAAD7t99E=")</f>
        <v>#REF!</v>
      </c>
      <c r="HC391" t="e">
        <f>IF('PROG FORMACIÓN TITULADA'!#REF!,"AAAAAD7t99I=",0)</f>
        <v>#REF!</v>
      </c>
      <c r="HD391" t="e">
        <f>AND('PROG FORMACIÓN TITULADA'!#REF!,"AAAAAD7t99M=")</f>
        <v>#REF!</v>
      </c>
      <c r="HE391" t="e">
        <f>AND('PROG FORMACIÓN TITULADA'!#REF!,"AAAAAD7t99Q=")</f>
        <v>#REF!</v>
      </c>
      <c r="HF391" t="e">
        <f>AND('PROG FORMACIÓN TITULADA'!#REF!,"AAAAAD7t99U=")</f>
        <v>#REF!</v>
      </c>
      <c r="HG391" t="e">
        <f>AND('PROG FORMACIÓN TITULADA'!#REF!,"AAAAAD7t99Y=")</f>
        <v>#REF!</v>
      </c>
      <c r="HH391" t="e">
        <f>AND('PROG FORMACIÓN TITULADA'!#REF!,"AAAAAD7t99c=")</f>
        <v>#REF!</v>
      </c>
      <c r="HI391" t="e">
        <f>AND('PROG FORMACIÓN TITULADA'!#REF!,"AAAAAD7t99g=")</f>
        <v>#REF!</v>
      </c>
      <c r="HJ391" t="e">
        <f>AND('PROG FORMACIÓN TITULADA'!#REF!,"AAAAAD7t99k=")</f>
        <v>#REF!</v>
      </c>
      <c r="HK391" t="e">
        <f>AND('PROG FORMACIÓN TITULADA'!#REF!,"AAAAAD7t99o=")</f>
        <v>#REF!</v>
      </c>
      <c r="HL391" t="e">
        <f>AND('PROG FORMACIÓN TITULADA'!#REF!,"AAAAAD7t99s=")</f>
        <v>#REF!</v>
      </c>
      <c r="HM391" t="e">
        <f>AND('PROG FORMACIÓN TITULADA'!#REF!,"AAAAAD7t99w=")</f>
        <v>#REF!</v>
      </c>
      <c r="HN391" t="e">
        <f>AND('PROG FORMACIÓN TITULADA'!#REF!,"AAAAAD7t990=")</f>
        <v>#REF!</v>
      </c>
      <c r="HO391" t="e">
        <f>AND('PROG FORMACIÓN TITULADA'!#REF!,"AAAAAD7t994=")</f>
        <v>#REF!</v>
      </c>
      <c r="HP391" t="e">
        <f>AND('PROG FORMACIÓN TITULADA'!#REF!,"AAAAAD7t998=")</f>
        <v>#REF!</v>
      </c>
      <c r="HQ391" t="e">
        <f>AND('PROG FORMACIÓN TITULADA'!#REF!,"AAAAAD7t9+A=")</f>
        <v>#REF!</v>
      </c>
      <c r="HR391" t="e">
        <f>AND('PROG FORMACIÓN TITULADA'!#REF!,"AAAAAD7t9+E=")</f>
        <v>#REF!</v>
      </c>
      <c r="HS391" t="e">
        <f>AND('PROG FORMACIÓN TITULADA'!#REF!,"AAAAAD7t9+I=")</f>
        <v>#REF!</v>
      </c>
      <c r="HT391" t="e">
        <f>AND('PROG FORMACIÓN TITULADA'!#REF!,"AAAAAD7t9+M=")</f>
        <v>#REF!</v>
      </c>
      <c r="HU391" t="e">
        <f>AND('PROG FORMACIÓN TITULADA'!#REF!,"AAAAAD7t9+Q=")</f>
        <v>#REF!</v>
      </c>
      <c r="HV391" t="e">
        <f>AND('PROG FORMACIÓN TITULADA'!#REF!,"AAAAAD7t9+U=")</f>
        <v>#REF!</v>
      </c>
      <c r="HW391" t="e">
        <f>AND('PROG FORMACIÓN TITULADA'!#REF!,"AAAAAD7t9+Y=")</f>
        <v>#REF!</v>
      </c>
      <c r="HX391" t="e">
        <f>AND('PROG FORMACIÓN TITULADA'!#REF!,"AAAAAD7t9+c=")</f>
        <v>#REF!</v>
      </c>
      <c r="HY391" t="e">
        <f>AND('PROG FORMACIÓN TITULADA'!#REF!,"AAAAAD7t9+g=")</f>
        <v>#REF!</v>
      </c>
      <c r="HZ391" t="e">
        <f>AND('PROG FORMACIÓN TITULADA'!#REF!,"AAAAAD7t9+k=")</f>
        <v>#REF!</v>
      </c>
      <c r="IA391" t="e">
        <f>AND('PROG FORMACIÓN TITULADA'!#REF!,"AAAAAD7t9+o=")</f>
        <v>#REF!</v>
      </c>
      <c r="IB391" t="e">
        <f>AND('PROG FORMACIÓN TITULADA'!#REF!,"AAAAAD7t9+s=")</f>
        <v>#REF!</v>
      </c>
      <c r="IC391" t="e">
        <f>AND('PROG FORMACIÓN TITULADA'!#REF!,"AAAAAD7t9+w=")</f>
        <v>#REF!</v>
      </c>
      <c r="ID391" t="e">
        <f>IF('PROG FORMACIÓN TITULADA'!#REF!,"AAAAAD7t9+0=",0)</f>
        <v>#REF!</v>
      </c>
      <c r="IE391" t="e">
        <f>AND('PROG FORMACIÓN TITULADA'!#REF!,"AAAAAD7t9+4=")</f>
        <v>#REF!</v>
      </c>
      <c r="IF391" t="e">
        <f>AND('PROG FORMACIÓN TITULADA'!#REF!,"AAAAAD7t9+8=")</f>
        <v>#REF!</v>
      </c>
      <c r="IG391" t="e">
        <f>AND('PROG FORMACIÓN TITULADA'!#REF!,"AAAAAD7t9/A=")</f>
        <v>#REF!</v>
      </c>
      <c r="IH391" t="e">
        <f>AND('PROG FORMACIÓN TITULADA'!#REF!,"AAAAAD7t9/E=")</f>
        <v>#REF!</v>
      </c>
      <c r="II391" t="e">
        <f>AND('PROG FORMACIÓN TITULADA'!#REF!,"AAAAAD7t9/I=")</f>
        <v>#REF!</v>
      </c>
      <c r="IJ391" t="e">
        <f>AND('PROG FORMACIÓN TITULADA'!#REF!,"AAAAAD7t9/M=")</f>
        <v>#REF!</v>
      </c>
      <c r="IK391" t="e">
        <f>AND('PROG FORMACIÓN TITULADA'!#REF!,"AAAAAD7t9/Q=")</f>
        <v>#REF!</v>
      </c>
      <c r="IL391" t="e">
        <f>AND('PROG FORMACIÓN TITULADA'!#REF!,"AAAAAD7t9/U=")</f>
        <v>#REF!</v>
      </c>
      <c r="IM391" t="e">
        <f>AND('PROG FORMACIÓN TITULADA'!#REF!,"AAAAAD7t9/Y=")</f>
        <v>#REF!</v>
      </c>
      <c r="IN391" t="e">
        <f>AND('PROG FORMACIÓN TITULADA'!#REF!,"AAAAAD7t9/c=")</f>
        <v>#REF!</v>
      </c>
      <c r="IO391" t="e">
        <f>AND('PROG FORMACIÓN TITULADA'!#REF!,"AAAAAD7t9/g=")</f>
        <v>#REF!</v>
      </c>
      <c r="IP391" t="e">
        <f>AND('PROG FORMACIÓN TITULADA'!#REF!,"AAAAAD7t9/k=")</f>
        <v>#REF!</v>
      </c>
      <c r="IQ391" t="e">
        <f>AND('PROG FORMACIÓN TITULADA'!#REF!,"AAAAAD7t9/o=")</f>
        <v>#REF!</v>
      </c>
      <c r="IR391" t="e">
        <f>AND('PROG FORMACIÓN TITULADA'!#REF!,"AAAAAD7t9/s=")</f>
        <v>#REF!</v>
      </c>
      <c r="IS391" t="e">
        <f>AND('PROG FORMACIÓN TITULADA'!#REF!,"AAAAAD7t9/w=")</f>
        <v>#REF!</v>
      </c>
      <c r="IT391" t="e">
        <f>AND('PROG FORMACIÓN TITULADA'!#REF!,"AAAAAD7t9/0=")</f>
        <v>#REF!</v>
      </c>
      <c r="IU391" t="e">
        <f>AND('PROG FORMACIÓN TITULADA'!#REF!,"AAAAAD7t9/4=")</f>
        <v>#REF!</v>
      </c>
      <c r="IV391" t="e">
        <f>AND('PROG FORMACIÓN TITULADA'!#REF!,"AAAAAD7t9/8=")</f>
        <v>#REF!</v>
      </c>
    </row>
    <row r="392" spans="1:256" x14ac:dyDescent="0.2">
      <c r="A392" t="e">
        <f>AND('PROG FORMACIÓN TITULADA'!#REF!,"AAAAACXbvwA=")</f>
        <v>#REF!</v>
      </c>
      <c r="B392" t="e">
        <f>AND('PROG FORMACIÓN TITULADA'!#REF!,"AAAAACXbvwE=")</f>
        <v>#REF!</v>
      </c>
      <c r="C392" t="e">
        <f>AND('PROG FORMACIÓN TITULADA'!#REF!,"AAAAACXbvwI=")</f>
        <v>#REF!</v>
      </c>
      <c r="D392" t="e">
        <f>AND('PROG FORMACIÓN TITULADA'!#REF!,"AAAAACXbvwM=")</f>
        <v>#REF!</v>
      </c>
      <c r="E392" t="e">
        <f>AND('PROG FORMACIÓN TITULADA'!#REF!,"AAAAACXbvwQ=")</f>
        <v>#REF!</v>
      </c>
      <c r="F392" t="e">
        <f>AND('PROG FORMACIÓN TITULADA'!#REF!,"AAAAACXbvwU=")</f>
        <v>#REF!</v>
      </c>
      <c r="G392" t="e">
        <f>AND('PROG FORMACIÓN TITULADA'!#REF!,"AAAAACXbvwY=")</f>
        <v>#REF!</v>
      </c>
      <c r="H392" t="e">
        <f>AND('PROG FORMACIÓN TITULADA'!#REF!,"AAAAACXbvwc=")</f>
        <v>#REF!</v>
      </c>
      <c r="I392" t="e">
        <f>IF('PROG FORMACIÓN TITULADA'!#REF!,"AAAAACXbvwg=",0)</f>
        <v>#REF!</v>
      </c>
      <c r="J392" t="e">
        <f>AND('PROG FORMACIÓN TITULADA'!#REF!,"AAAAACXbvwk=")</f>
        <v>#REF!</v>
      </c>
      <c r="K392" t="e">
        <f>AND('PROG FORMACIÓN TITULADA'!#REF!,"AAAAACXbvwo=")</f>
        <v>#REF!</v>
      </c>
      <c r="L392" t="e">
        <f>AND('PROG FORMACIÓN TITULADA'!#REF!,"AAAAACXbvws=")</f>
        <v>#REF!</v>
      </c>
      <c r="M392" t="e">
        <f>AND('PROG FORMACIÓN TITULADA'!#REF!,"AAAAACXbvww=")</f>
        <v>#REF!</v>
      </c>
      <c r="N392" t="e">
        <f>AND('PROG FORMACIÓN TITULADA'!#REF!,"AAAAACXbvw0=")</f>
        <v>#REF!</v>
      </c>
      <c r="O392" t="e">
        <f>AND('PROG FORMACIÓN TITULADA'!#REF!,"AAAAACXbvw4=")</f>
        <v>#REF!</v>
      </c>
      <c r="P392" t="e">
        <f>AND('PROG FORMACIÓN TITULADA'!#REF!,"AAAAACXbvw8=")</f>
        <v>#REF!</v>
      </c>
      <c r="Q392" t="e">
        <f>AND('PROG FORMACIÓN TITULADA'!#REF!,"AAAAACXbvxA=")</f>
        <v>#REF!</v>
      </c>
      <c r="R392" t="e">
        <f>AND('PROG FORMACIÓN TITULADA'!#REF!,"AAAAACXbvxE=")</f>
        <v>#REF!</v>
      </c>
      <c r="S392" t="e">
        <f>AND('PROG FORMACIÓN TITULADA'!#REF!,"AAAAACXbvxI=")</f>
        <v>#REF!</v>
      </c>
      <c r="T392" t="e">
        <f>AND('PROG FORMACIÓN TITULADA'!#REF!,"AAAAACXbvxM=")</f>
        <v>#REF!</v>
      </c>
      <c r="U392" t="e">
        <f>AND('PROG FORMACIÓN TITULADA'!#REF!,"AAAAACXbvxQ=")</f>
        <v>#REF!</v>
      </c>
      <c r="V392" t="e">
        <f>AND('PROG FORMACIÓN TITULADA'!#REF!,"AAAAACXbvxU=")</f>
        <v>#REF!</v>
      </c>
      <c r="W392" t="e">
        <f>AND('PROG FORMACIÓN TITULADA'!#REF!,"AAAAACXbvxY=")</f>
        <v>#REF!</v>
      </c>
      <c r="X392" t="e">
        <f>AND('PROG FORMACIÓN TITULADA'!#REF!,"AAAAACXbvxc=")</f>
        <v>#REF!</v>
      </c>
      <c r="Y392" t="e">
        <f>AND('PROG FORMACIÓN TITULADA'!#REF!,"AAAAACXbvxg=")</f>
        <v>#REF!</v>
      </c>
      <c r="Z392" t="e">
        <f>AND('PROG FORMACIÓN TITULADA'!#REF!,"AAAAACXbvxk=")</f>
        <v>#REF!</v>
      </c>
      <c r="AA392" t="e">
        <f>AND('PROG FORMACIÓN TITULADA'!#REF!,"AAAAACXbvxo=")</f>
        <v>#REF!</v>
      </c>
      <c r="AB392" t="e">
        <f>AND('PROG FORMACIÓN TITULADA'!#REF!,"AAAAACXbvxs=")</f>
        <v>#REF!</v>
      </c>
      <c r="AC392" t="e">
        <f>AND('PROG FORMACIÓN TITULADA'!#REF!,"AAAAACXbvxw=")</f>
        <v>#REF!</v>
      </c>
      <c r="AD392" t="e">
        <f>AND('PROG FORMACIÓN TITULADA'!#REF!,"AAAAACXbvx0=")</f>
        <v>#REF!</v>
      </c>
      <c r="AE392" t="e">
        <f>AND('PROG FORMACIÓN TITULADA'!#REF!,"AAAAACXbvx4=")</f>
        <v>#REF!</v>
      </c>
      <c r="AF392" t="e">
        <f>AND('PROG FORMACIÓN TITULADA'!#REF!,"AAAAACXbvx8=")</f>
        <v>#REF!</v>
      </c>
      <c r="AG392" t="e">
        <f>AND('PROG FORMACIÓN TITULADA'!#REF!,"AAAAACXbvyA=")</f>
        <v>#REF!</v>
      </c>
      <c r="AH392" t="e">
        <f>AND('PROG FORMACIÓN TITULADA'!#REF!,"AAAAACXbvyE=")</f>
        <v>#REF!</v>
      </c>
      <c r="AI392" t="e">
        <f>AND('PROG FORMACIÓN TITULADA'!#REF!,"AAAAACXbvyI=")</f>
        <v>#REF!</v>
      </c>
      <c r="AJ392" t="e">
        <f>IF('PROG FORMACIÓN TITULADA'!#REF!,"AAAAACXbvyM=",0)</f>
        <v>#REF!</v>
      </c>
      <c r="AK392" t="e">
        <f>AND('PROG FORMACIÓN TITULADA'!#REF!,"AAAAACXbvyQ=")</f>
        <v>#REF!</v>
      </c>
      <c r="AL392" t="e">
        <f>AND('PROG FORMACIÓN TITULADA'!#REF!,"AAAAACXbvyU=")</f>
        <v>#REF!</v>
      </c>
      <c r="AM392" t="e">
        <f>AND('PROG FORMACIÓN TITULADA'!#REF!,"AAAAACXbvyY=")</f>
        <v>#REF!</v>
      </c>
      <c r="AN392" t="e">
        <f>AND('PROG FORMACIÓN TITULADA'!#REF!,"AAAAACXbvyc=")</f>
        <v>#REF!</v>
      </c>
      <c r="AO392" t="e">
        <f>AND('PROG FORMACIÓN TITULADA'!#REF!,"AAAAACXbvyg=")</f>
        <v>#REF!</v>
      </c>
      <c r="AP392" t="e">
        <f>AND('PROG FORMACIÓN TITULADA'!#REF!,"AAAAACXbvyk=")</f>
        <v>#REF!</v>
      </c>
      <c r="AQ392" t="e">
        <f>AND('PROG FORMACIÓN TITULADA'!#REF!,"AAAAACXbvyo=")</f>
        <v>#REF!</v>
      </c>
      <c r="AR392" t="e">
        <f>AND('PROG FORMACIÓN TITULADA'!#REF!,"AAAAACXbvys=")</f>
        <v>#REF!</v>
      </c>
      <c r="AS392" t="e">
        <f>AND('PROG FORMACIÓN TITULADA'!#REF!,"AAAAACXbvyw=")</f>
        <v>#REF!</v>
      </c>
      <c r="AT392" t="e">
        <f>AND('PROG FORMACIÓN TITULADA'!#REF!,"AAAAACXbvy0=")</f>
        <v>#REF!</v>
      </c>
      <c r="AU392" t="e">
        <f>AND('PROG FORMACIÓN TITULADA'!#REF!,"AAAAACXbvy4=")</f>
        <v>#REF!</v>
      </c>
      <c r="AV392" t="e">
        <f>AND('PROG FORMACIÓN TITULADA'!#REF!,"AAAAACXbvy8=")</f>
        <v>#REF!</v>
      </c>
      <c r="AW392" t="e">
        <f>AND('PROG FORMACIÓN TITULADA'!#REF!,"AAAAACXbvzA=")</f>
        <v>#REF!</v>
      </c>
      <c r="AX392" t="e">
        <f>AND('PROG FORMACIÓN TITULADA'!#REF!,"AAAAACXbvzE=")</f>
        <v>#REF!</v>
      </c>
      <c r="AY392" t="e">
        <f>AND('PROG FORMACIÓN TITULADA'!#REF!,"AAAAACXbvzI=")</f>
        <v>#REF!</v>
      </c>
      <c r="AZ392" t="e">
        <f>AND('PROG FORMACIÓN TITULADA'!#REF!,"AAAAACXbvzM=")</f>
        <v>#REF!</v>
      </c>
      <c r="BA392" t="e">
        <f>AND('PROG FORMACIÓN TITULADA'!#REF!,"AAAAACXbvzQ=")</f>
        <v>#REF!</v>
      </c>
      <c r="BB392" t="e">
        <f>AND('PROG FORMACIÓN TITULADA'!#REF!,"AAAAACXbvzU=")</f>
        <v>#REF!</v>
      </c>
      <c r="BC392" t="e">
        <f>AND('PROG FORMACIÓN TITULADA'!#REF!,"AAAAACXbvzY=")</f>
        <v>#REF!</v>
      </c>
      <c r="BD392" t="e">
        <f>AND('PROG FORMACIÓN TITULADA'!#REF!,"AAAAACXbvzc=")</f>
        <v>#REF!</v>
      </c>
      <c r="BE392" t="e">
        <f>AND('PROG FORMACIÓN TITULADA'!#REF!,"AAAAACXbvzg=")</f>
        <v>#REF!</v>
      </c>
      <c r="BF392" t="e">
        <f>AND('PROG FORMACIÓN TITULADA'!#REF!,"AAAAACXbvzk=")</f>
        <v>#REF!</v>
      </c>
      <c r="BG392" t="e">
        <f>AND('PROG FORMACIÓN TITULADA'!#REF!,"AAAAACXbvzo=")</f>
        <v>#REF!</v>
      </c>
      <c r="BH392" t="e">
        <f>AND('PROG FORMACIÓN TITULADA'!#REF!,"AAAAACXbvzs=")</f>
        <v>#REF!</v>
      </c>
      <c r="BI392" t="e">
        <f>AND('PROG FORMACIÓN TITULADA'!#REF!,"AAAAACXbvzw=")</f>
        <v>#REF!</v>
      </c>
      <c r="BJ392" t="e">
        <f>AND('PROG FORMACIÓN TITULADA'!#REF!,"AAAAACXbvz0=")</f>
        <v>#REF!</v>
      </c>
      <c r="BK392" t="e">
        <f>IF('PROG FORMACIÓN TITULADA'!#REF!,"AAAAACXbvz4=",0)</f>
        <v>#REF!</v>
      </c>
      <c r="BL392" t="e">
        <f>AND('PROG FORMACIÓN TITULADA'!#REF!,"AAAAACXbvz8=")</f>
        <v>#REF!</v>
      </c>
      <c r="BM392" t="e">
        <f>AND('PROG FORMACIÓN TITULADA'!#REF!,"AAAAACXbv0A=")</f>
        <v>#REF!</v>
      </c>
      <c r="BN392" t="e">
        <f>AND('PROG FORMACIÓN TITULADA'!#REF!,"AAAAACXbv0E=")</f>
        <v>#REF!</v>
      </c>
      <c r="BO392" t="e">
        <f>AND('PROG FORMACIÓN TITULADA'!#REF!,"AAAAACXbv0I=")</f>
        <v>#REF!</v>
      </c>
      <c r="BP392" t="e">
        <f>AND('PROG FORMACIÓN TITULADA'!#REF!,"AAAAACXbv0M=")</f>
        <v>#REF!</v>
      </c>
      <c r="BQ392" t="e">
        <f>AND('PROG FORMACIÓN TITULADA'!#REF!,"AAAAACXbv0Q=")</f>
        <v>#REF!</v>
      </c>
      <c r="BR392" t="e">
        <f>AND('PROG FORMACIÓN TITULADA'!#REF!,"AAAAACXbv0U=")</f>
        <v>#REF!</v>
      </c>
      <c r="BS392" t="e">
        <f>AND('PROG FORMACIÓN TITULADA'!#REF!,"AAAAACXbv0Y=")</f>
        <v>#REF!</v>
      </c>
      <c r="BT392" t="e">
        <f>AND('PROG FORMACIÓN TITULADA'!#REF!,"AAAAACXbv0c=")</f>
        <v>#REF!</v>
      </c>
      <c r="BU392" t="e">
        <f>AND('PROG FORMACIÓN TITULADA'!#REF!,"AAAAACXbv0g=")</f>
        <v>#REF!</v>
      </c>
      <c r="BV392" t="e">
        <f>AND('PROG FORMACIÓN TITULADA'!#REF!,"AAAAACXbv0k=")</f>
        <v>#REF!</v>
      </c>
      <c r="BW392" t="e">
        <f>AND('PROG FORMACIÓN TITULADA'!#REF!,"AAAAACXbv0o=")</f>
        <v>#REF!</v>
      </c>
      <c r="BX392" t="e">
        <f>AND('PROG FORMACIÓN TITULADA'!#REF!,"AAAAACXbv0s=")</f>
        <v>#REF!</v>
      </c>
      <c r="BY392" t="e">
        <f>AND('PROG FORMACIÓN TITULADA'!#REF!,"AAAAACXbv0w=")</f>
        <v>#REF!</v>
      </c>
      <c r="BZ392" t="e">
        <f>AND('PROG FORMACIÓN TITULADA'!#REF!,"AAAAACXbv00=")</f>
        <v>#REF!</v>
      </c>
      <c r="CA392" t="e">
        <f>AND('PROG FORMACIÓN TITULADA'!#REF!,"AAAAACXbv04=")</f>
        <v>#REF!</v>
      </c>
      <c r="CB392" t="e">
        <f>AND('PROG FORMACIÓN TITULADA'!#REF!,"AAAAACXbv08=")</f>
        <v>#REF!</v>
      </c>
      <c r="CC392" t="e">
        <f>AND('PROG FORMACIÓN TITULADA'!#REF!,"AAAAACXbv1A=")</f>
        <v>#REF!</v>
      </c>
      <c r="CD392" t="e">
        <f>AND('PROG FORMACIÓN TITULADA'!#REF!,"AAAAACXbv1E=")</f>
        <v>#REF!</v>
      </c>
      <c r="CE392" t="e">
        <f>AND('PROG FORMACIÓN TITULADA'!#REF!,"AAAAACXbv1I=")</f>
        <v>#REF!</v>
      </c>
      <c r="CF392" t="e">
        <f>AND('PROG FORMACIÓN TITULADA'!#REF!,"AAAAACXbv1M=")</f>
        <v>#REF!</v>
      </c>
      <c r="CG392" t="e">
        <f>AND('PROG FORMACIÓN TITULADA'!#REF!,"AAAAACXbv1Q=")</f>
        <v>#REF!</v>
      </c>
      <c r="CH392" t="e">
        <f>AND('PROG FORMACIÓN TITULADA'!#REF!,"AAAAACXbv1U=")</f>
        <v>#REF!</v>
      </c>
      <c r="CI392" t="e">
        <f>AND('PROG FORMACIÓN TITULADA'!#REF!,"AAAAACXbv1Y=")</f>
        <v>#REF!</v>
      </c>
      <c r="CJ392" t="e">
        <f>AND('PROG FORMACIÓN TITULADA'!#REF!,"AAAAACXbv1c=")</f>
        <v>#REF!</v>
      </c>
      <c r="CK392" t="e">
        <f>AND('PROG FORMACIÓN TITULADA'!#REF!,"AAAAACXbv1g=")</f>
        <v>#REF!</v>
      </c>
      <c r="CL392" t="e">
        <f>IF('PROG FORMACIÓN TITULADA'!#REF!,"AAAAACXbv1k=",0)</f>
        <v>#REF!</v>
      </c>
      <c r="CM392" t="e">
        <f>AND('PROG FORMACIÓN TITULADA'!#REF!,"AAAAACXbv1o=")</f>
        <v>#REF!</v>
      </c>
      <c r="CN392" t="e">
        <f>AND('PROG FORMACIÓN TITULADA'!#REF!,"AAAAACXbv1s=")</f>
        <v>#REF!</v>
      </c>
      <c r="CO392" t="e">
        <f>AND('PROG FORMACIÓN TITULADA'!#REF!,"AAAAACXbv1w=")</f>
        <v>#REF!</v>
      </c>
      <c r="CP392" t="e">
        <f>AND('PROG FORMACIÓN TITULADA'!#REF!,"AAAAACXbv10=")</f>
        <v>#REF!</v>
      </c>
      <c r="CQ392" t="e">
        <f>AND('PROG FORMACIÓN TITULADA'!#REF!,"AAAAACXbv14=")</f>
        <v>#REF!</v>
      </c>
      <c r="CR392" t="e">
        <f>AND('PROG FORMACIÓN TITULADA'!#REF!,"AAAAACXbv18=")</f>
        <v>#REF!</v>
      </c>
      <c r="CS392" t="e">
        <f>AND('PROG FORMACIÓN TITULADA'!#REF!,"AAAAACXbv2A=")</f>
        <v>#REF!</v>
      </c>
      <c r="CT392" t="e">
        <f>AND('PROG FORMACIÓN TITULADA'!#REF!,"AAAAACXbv2E=")</f>
        <v>#REF!</v>
      </c>
      <c r="CU392" t="e">
        <f>AND('PROG FORMACIÓN TITULADA'!#REF!,"AAAAACXbv2I=")</f>
        <v>#REF!</v>
      </c>
      <c r="CV392" t="e">
        <f>AND('PROG FORMACIÓN TITULADA'!#REF!,"AAAAACXbv2M=")</f>
        <v>#REF!</v>
      </c>
      <c r="CW392" t="e">
        <f>AND('PROG FORMACIÓN TITULADA'!#REF!,"AAAAACXbv2Q=")</f>
        <v>#REF!</v>
      </c>
      <c r="CX392" t="e">
        <f>AND('PROG FORMACIÓN TITULADA'!#REF!,"AAAAACXbv2U=")</f>
        <v>#REF!</v>
      </c>
      <c r="CY392" t="e">
        <f>AND('PROG FORMACIÓN TITULADA'!#REF!,"AAAAACXbv2Y=")</f>
        <v>#REF!</v>
      </c>
      <c r="CZ392" t="e">
        <f>AND('PROG FORMACIÓN TITULADA'!#REF!,"AAAAACXbv2c=")</f>
        <v>#REF!</v>
      </c>
      <c r="DA392" t="e">
        <f>AND('PROG FORMACIÓN TITULADA'!#REF!,"AAAAACXbv2g=")</f>
        <v>#REF!</v>
      </c>
      <c r="DB392" t="e">
        <f>AND('PROG FORMACIÓN TITULADA'!#REF!,"AAAAACXbv2k=")</f>
        <v>#REF!</v>
      </c>
      <c r="DC392" t="e">
        <f>AND('PROG FORMACIÓN TITULADA'!#REF!,"AAAAACXbv2o=")</f>
        <v>#REF!</v>
      </c>
      <c r="DD392" t="e">
        <f>AND('PROG FORMACIÓN TITULADA'!#REF!,"AAAAACXbv2s=")</f>
        <v>#REF!</v>
      </c>
      <c r="DE392" t="e">
        <f>AND('PROG FORMACIÓN TITULADA'!#REF!,"AAAAACXbv2w=")</f>
        <v>#REF!</v>
      </c>
      <c r="DF392" t="e">
        <f>AND('PROG FORMACIÓN TITULADA'!#REF!,"AAAAACXbv20=")</f>
        <v>#REF!</v>
      </c>
      <c r="DG392" t="e">
        <f>AND('PROG FORMACIÓN TITULADA'!#REF!,"AAAAACXbv24=")</f>
        <v>#REF!</v>
      </c>
      <c r="DH392" t="e">
        <f>AND('PROG FORMACIÓN TITULADA'!#REF!,"AAAAACXbv28=")</f>
        <v>#REF!</v>
      </c>
      <c r="DI392" t="e">
        <f>AND('PROG FORMACIÓN TITULADA'!#REF!,"AAAAACXbv3A=")</f>
        <v>#REF!</v>
      </c>
      <c r="DJ392" t="e">
        <f>AND('PROG FORMACIÓN TITULADA'!#REF!,"AAAAACXbv3E=")</f>
        <v>#REF!</v>
      </c>
      <c r="DK392" t="e">
        <f>AND('PROG FORMACIÓN TITULADA'!#REF!,"AAAAACXbv3I=")</f>
        <v>#REF!</v>
      </c>
      <c r="DL392" t="e">
        <f>AND('PROG FORMACIÓN TITULADA'!#REF!,"AAAAACXbv3M=")</f>
        <v>#REF!</v>
      </c>
      <c r="DM392" t="e">
        <f>IF('PROG FORMACIÓN TITULADA'!#REF!,"AAAAACXbv3Q=",0)</f>
        <v>#REF!</v>
      </c>
      <c r="DN392" t="e">
        <f>AND('PROG FORMACIÓN TITULADA'!#REF!,"AAAAACXbv3U=")</f>
        <v>#REF!</v>
      </c>
      <c r="DO392" t="e">
        <f>AND('PROG FORMACIÓN TITULADA'!#REF!,"AAAAACXbv3Y=")</f>
        <v>#REF!</v>
      </c>
      <c r="DP392" t="e">
        <f>AND('PROG FORMACIÓN TITULADA'!#REF!,"AAAAACXbv3c=")</f>
        <v>#REF!</v>
      </c>
      <c r="DQ392" t="e">
        <f>AND('PROG FORMACIÓN TITULADA'!#REF!,"AAAAACXbv3g=")</f>
        <v>#REF!</v>
      </c>
      <c r="DR392" t="e">
        <f>AND('PROG FORMACIÓN TITULADA'!#REF!,"AAAAACXbv3k=")</f>
        <v>#REF!</v>
      </c>
      <c r="DS392" t="e">
        <f>AND('PROG FORMACIÓN TITULADA'!#REF!,"AAAAACXbv3o=")</f>
        <v>#REF!</v>
      </c>
      <c r="DT392" t="e">
        <f>AND('PROG FORMACIÓN TITULADA'!#REF!,"AAAAACXbv3s=")</f>
        <v>#REF!</v>
      </c>
      <c r="DU392" t="e">
        <f>AND('PROG FORMACIÓN TITULADA'!#REF!,"AAAAACXbv3w=")</f>
        <v>#REF!</v>
      </c>
      <c r="DV392" t="e">
        <f>AND('PROG FORMACIÓN TITULADA'!#REF!,"AAAAACXbv30=")</f>
        <v>#REF!</v>
      </c>
      <c r="DW392" t="e">
        <f>AND('PROG FORMACIÓN TITULADA'!#REF!,"AAAAACXbv34=")</f>
        <v>#REF!</v>
      </c>
      <c r="DX392" t="e">
        <f>AND('PROG FORMACIÓN TITULADA'!#REF!,"AAAAACXbv38=")</f>
        <v>#REF!</v>
      </c>
      <c r="DY392" t="e">
        <f>AND('PROG FORMACIÓN TITULADA'!#REF!,"AAAAACXbv4A=")</f>
        <v>#REF!</v>
      </c>
      <c r="DZ392" t="e">
        <f>AND('PROG FORMACIÓN TITULADA'!#REF!,"AAAAACXbv4E=")</f>
        <v>#REF!</v>
      </c>
      <c r="EA392" t="e">
        <f>AND('PROG FORMACIÓN TITULADA'!#REF!,"AAAAACXbv4I=")</f>
        <v>#REF!</v>
      </c>
      <c r="EB392" t="e">
        <f>AND('PROG FORMACIÓN TITULADA'!#REF!,"AAAAACXbv4M=")</f>
        <v>#REF!</v>
      </c>
      <c r="EC392" t="e">
        <f>AND('PROG FORMACIÓN TITULADA'!#REF!,"AAAAACXbv4Q=")</f>
        <v>#REF!</v>
      </c>
      <c r="ED392" t="e">
        <f>AND('PROG FORMACIÓN TITULADA'!#REF!,"AAAAACXbv4U=")</f>
        <v>#REF!</v>
      </c>
      <c r="EE392" t="e">
        <f>AND('PROG FORMACIÓN TITULADA'!#REF!,"AAAAACXbv4Y=")</f>
        <v>#REF!</v>
      </c>
      <c r="EF392" t="e">
        <f>AND('PROG FORMACIÓN TITULADA'!#REF!,"AAAAACXbv4c=")</f>
        <v>#REF!</v>
      </c>
      <c r="EG392" t="e">
        <f>AND('PROG FORMACIÓN TITULADA'!#REF!,"AAAAACXbv4g=")</f>
        <v>#REF!</v>
      </c>
      <c r="EH392" t="e">
        <f>AND('PROG FORMACIÓN TITULADA'!#REF!,"AAAAACXbv4k=")</f>
        <v>#REF!</v>
      </c>
      <c r="EI392" t="e">
        <f>AND('PROG FORMACIÓN TITULADA'!#REF!,"AAAAACXbv4o=")</f>
        <v>#REF!</v>
      </c>
      <c r="EJ392" t="e">
        <f>AND('PROG FORMACIÓN TITULADA'!#REF!,"AAAAACXbv4s=")</f>
        <v>#REF!</v>
      </c>
      <c r="EK392" t="e">
        <f>AND('PROG FORMACIÓN TITULADA'!#REF!,"AAAAACXbv4w=")</f>
        <v>#REF!</v>
      </c>
      <c r="EL392" t="e">
        <f>AND('PROG FORMACIÓN TITULADA'!#REF!,"AAAAACXbv40=")</f>
        <v>#REF!</v>
      </c>
      <c r="EM392" t="e">
        <f>AND('PROG FORMACIÓN TITULADA'!#REF!,"AAAAACXbv44=")</f>
        <v>#REF!</v>
      </c>
      <c r="EN392" t="e">
        <f>IF('PROG FORMACIÓN TITULADA'!#REF!,"AAAAACXbv48=",0)</f>
        <v>#REF!</v>
      </c>
      <c r="EO392" t="e">
        <f>AND('PROG FORMACIÓN TITULADA'!#REF!,"AAAAACXbv5A=")</f>
        <v>#REF!</v>
      </c>
      <c r="EP392" t="e">
        <f>AND('PROG FORMACIÓN TITULADA'!#REF!,"AAAAACXbv5E=")</f>
        <v>#REF!</v>
      </c>
      <c r="EQ392" t="e">
        <f>AND('PROG FORMACIÓN TITULADA'!#REF!,"AAAAACXbv5I=")</f>
        <v>#REF!</v>
      </c>
      <c r="ER392" t="e">
        <f>AND('PROG FORMACIÓN TITULADA'!#REF!,"AAAAACXbv5M=")</f>
        <v>#REF!</v>
      </c>
      <c r="ES392" t="e">
        <f>AND('PROG FORMACIÓN TITULADA'!#REF!,"AAAAACXbv5Q=")</f>
        <v>#REF!</v>
      </c>
      <c r="ET392" t="e">
        <f>AND('PROG FORMACIÓN TITULADA'!#REF!,"AAAAACXbv5U=")</f>
        <v>#REF!</v>
      </c>
      <c r="EU392" t="e">
        <f>AND('PROG FORMACIÓN TITULADA'!#REF!,"AAAAACXbv5Y=")</f>
        <v>#REF!</v>
      </c>
      <c r="EV392" t="e">
        <f>AND('PROG FORMACIÓN TITULADA'!#REF!,"AAAAACXbv5c=")</f>
        <v>#REF!</v>
      </c>
      <c r="EW392" t="e">
        <f>AND('PROG FORMACIÓN TITULADA'!#REF!,"AAAAACXbv5g=")</f>
        <v>#REF!</v>
      </c>
      <c r="EX392" t="e">
        <f>AND('PROG FORMACIÓN TITULADA'!#REF!,"AAAAACXbv5k=")</f>
        <v>#REF!</v>
      </c>
      <c r="EY392" t="e">
        <f>AND('PROG FORMACIÓN TITULADA'!#REF!,"AAAAACXbv5o=")</f>
        <v>#REF!</v>
      </c>
      <c r="EZ392" t="e">
        <f>AND('PROG FORMACIÓN TITULADA'!#REF!,"AAAAACXbv5s=")</f>
        <v>#REF!</v>
      </c>
      <c r="FA392" t="e">
        <f>AND('PROG FORMACIÓN TITULADA'!#REF!,"AAAAACXbv5w=")</f>
        <v>#REF!</v>
      </c>
      <c r="FB392" t="e">
        <f>AND('PROG FORMACIÓN TITULADA'!#REF!,"AAAAACXbv50=")</f>
        <v>#REF!</v>
      </c>
      <c r="FC392" t="e">
        <f>AND('PROG FORMACIÓN TITULADA'!#REF!,"AAAAACXbv54=")</f>
        <v>#REF!</v>
      </c>
      <c r="FD392" t="e">
        <f>AND('PROG FORMACIÓN TITULADA'!#REF!,"AAAAACXbv58=")</f>
        <v>#REF!</v>
      </c>
      <c r="FE392" t="e">
        <f>AND('PROG FORMACIÓN TITULADA'!#REF!,"AAAAACXbv6A=")</f>
        <v>#REF!</v>
      </c>
      <c r="FF392" t="e">
        <f>AND('PROG FORMACIÓN TITULADA'!#REF!,"AAAAACXbv6E=")</f>
        <v>#REF!</v>
      </c>
      <c r="FG392" t="e">
        <f>AND('PROG FORMACIÓN TITULADA'!#REF!,"AAAAACXbv6I=")</f>
        <v>#REF!</v>
      </c>
      <c r="FH392" t="e">
        <f>AND('PROG FORMACIÓN TITULADA'!#REF!,"AAAAACXbv6M=")</f>
        <v>#REF!</v>
      </c>
      <c r="FI392" t="e">
        <f>AND('PROG FORMACIÓN TITULADA'!#REF!,"AAAAACXbv6Q=")</f>
        <v>#REF!</v>
      </c>
      <c r="FJ392" t="e">
        <f>AND('PROG FORMACIÓN TITULADA'!#REF!,"AAAAACXbv6U=")</f>
        <v>#REF!</v>
      </c>
      <c r="FK392" t="e">
        <f>AND('PROG FORMACIÓN TITULADA'!#REF!,"AAAAACXbv6Y=")</f>
        <v>#REF!</v>
      </c>
      <c r="FL392" t="e">
        <f>AND('PROG FORMACIÓN TITULADA'!#REF!,"AAAAACXbv6c=")</f>
        <v>#REF!</v>
      </c>
      <c r="FM392" t="e">
        <f>AND('PROG FORMACIÓN TITULADA'!#REF!,"AAAAACXbv6g=")</f>
        <v>#REF!</v>
      </c>
      <c r="FN392" t="e">
        <f>AND('PROG FORMACIÓN TITULADA'!#REF!,"AAAAACXbv6k=")</f>
        <v>#REF!</v>
      </c>
      <c r="FO392" t="e">
        <f>IF('PROG FORMACIÓN TITULADA'!#REF!,"AAAAACXbv6o=",0)</f>
        <v>#REF!</v>
      </c>
      <c r="FP392" t="e">
        <f>AND('PROG FORMACIÓN TITULADA'!#REF!,"AAAAACXbv6s=")</f>
        <v>#REF!</v>
      </c>
      <c r="FQ392" t="e">
        <f>AND('PROG FORMACIÓN TITULADA'!#REF!,"AAAAACXbv6w=")</f>
        <v>#REF!</v>
      </c>
      <c r="FR392" t="e">
        <f>AND('PROG FORMACIÓN TITULADA'!#REF!,"AAAAACXbv60=")</f>
        <v>#REF!</v>
      </c>
      <c r="FS392" t="e">
        <f>AND('PROG FORMACIÓN TITULADA'!#REF!,"AAAAACXbv64=")</f>
        <v>#REF!</v>
      </c>
      <c r="FT392" t="e">
        <f>AND('PROG FORMACIÓN TITULADA'!#REF!,"AAAAACXbv68=")</f>
        <v>#REF!</v>
      </c>
      <c r="FU392" t="e">
        <f>AND('PROG FORMACIÓN TITULADA'!#REF!,"AAAAACXbv7A=")</f>
        <v>#REF!</v>
      </c>
      <c r="FV392" t="e">
        <f>AND('PROG FORMACIÓN TITULADA'!#REF!,"AAAAACXbv7E=")</f>
        <v>#REF!</v>
      </c>
      <c r="FW392" t="e">
        <f>AND('PROG FORMACIÓN TITULADA'!#REF!,"AAAAACXbv7I=")</f>
        <v>#REF!</v>
      </c>
      <c r="FX392" t="e">
        <f>AND('PROG FORMACIÓN TITULADA'!#REF!,"AAAAACXbv7M=")</f>
        <v>#REF!</v>
      </c>
      <c r="FY392" t="e">
        <f>AND('PROG FORMACIÓN TITULADA'!#REF!,"AAAAACXbv7Q=")</f>
        <v>#REF!</v>
      </c>
      <c r="FZ392" t="e">
        <f>AND('PROG FORMACIÓN TITULADA'!#REF!,"AAAAACXbv7U=")</f>
        <v>#REF!</v>
      </c>
      <c r="GA392" t="e">
        <f>AND('PROG FORMACIÓN TITULADA'!#REF!,"AAAAACXbv7Y=")</f>
        <v>#REF!</v>
      </c>
      <c r="GB392" t="e">
        <f>AND('PROG FORMACIÓN TITULADA'!#REF!,"AAAAACXbv7c=")</f>
        <v>#REF!</v>
      </c>
      <c r="GC392" t="e">
        <f>AND('PROG FORMACIÓN TITULADA'!#REF!,"AAAAACXbv7g=")</f>
        <v>#REF!</v>
      </c>
      <c r="GD392" t="e">
        <f>AND('PROG FORMACIÓN TITULADA'!#REF!,"AAAAACXbv7k=")</f>
        <v>#REF!</v>
      </c>
      <c r="GE392" t="e">
        <f>AND('PROG FORMACIÓN TITULADA'!#REF!,"AAAAACXbv7o=")</f>
        <v>#REF!</v>
      </c>
      <c r="GF392" t="e">
        <f>AND('PROG FORMACIÓN TITULADA'!#REF!,"AAAAACXbv7s=")</f>
        <v>#REF!</v>
      </c>
      <c r="GG392" t="e">
        <f>AND('PROG FORMACIÓN TITULADA'!#REF!,"AAAAACXbv7w=")</f>
        <v>#REF!</v>
      </c>
      <c r="GH392" t="e">
        <f>AND('PROG FORMACIÓN TITULADA'!#REF!,"AAAAACXbv70=")</f>
        <v>#REF!</v>
      </c>
      <c r="GI392" t="e">
        <f>AND('PROG FORMACIÓN TITULADA'!#REF!,"AAAAACXbv74=")</f>
        <v>#REF!</v>
      </c>
      <c r="GJ392" t="e">
        <f>AND('PROG FORMACIÓN TITULADA'!#REF!,"AAAAACXbv78=")</f>
        <v>#REF!</v>
      </c>
      <c r="GK392" t="e">
        <f>AND('PROG FORMACIÓN TITULADA'!#REF!,"AAAAACXbv8A=")</f>
        <v>#REF!</v>
      </c>
      <c r="GL392" t="e">
        <f>AND('PROG FORMACIÓN TITULADA'!#REF!,"AAAAACXbv8E=")</f>
        <v>#REF!</v>
      </c>
      <c r="GM392" t="e">
        <f>AND('PROG FORMACIÓN TITULADA'!#REF!,"AAAAACXbv8I=")</f>
        <v>#REF!</v>
      </c>
      <c r="GN392" t="e">
        <f>AND('PROG FORMACIÓN TITULADA'!#REF!,"AAAAACXbv8M=")</f>
        <v>#REF!</v>
      </c>
      <c r="GO392" t="e">
        <f>AND('PROG FORMACIÓN TITULADA'!#REF!,"AAAAACXbv8Q=")</f>
        <v>#REF!</v>
      </c>
      <c r="GP392" t="e">
        <f>IF('PROG FORMACIÓN TITULADA'!#REF!,"AAAAACXbv8U=",0)</f>
        <v>#REF!</v>
      </c>
      <c r="GQ392" t="e">
        <f>AND('PROG FORMACIÓN TITULADA'!#REF!,"AAAAACXbv8Y=")</f>
        <v>#REF!</v>
      </c>
      <c r="GR392" t="e">
        <f>AND('PROG FORMACIÓN TITULADA'!#REF!,"AAAAACXbv8c=")</f>
        <v>#REF!</v>
      </c>
      <c r="GS392" t="e">
        <f>AND('PROG FORMACIÓN TITULADA'!#REF!,"AAAAACXbv8g=")</f>
        <v>#REF!</v>
      </c>
      <c r="GT392" t="e">
        <f>AND('PROG FORMACIÓN TITULADA'!#REF!,"AAAAACXbv8k=")</f>
        <v>#REF!</v>
      </c>
      <c r="GU392" t="e">
        <f>AND('PROG FORMACIÓN TITULADA'!#REF!,"AAAAACXbv8o=")</f>
        <v>#REF!</v>
      </c>
      <c r="GV392" t="e">
        <f>AND('PROG FORMACIÓN TITULADA'!#REF!,"AAAAACXbv8s=")</f>
        <v>#REF!</v>
      </c>
      <c r="GW392" t="e">
        <f>AND('PROG FORMACIÓN TITULADA'!#REF!,"AAAAACXbv8w=")</f>
        <v>#REF!</v>
      </c>
      <c r="GX392" t="e">
        <f>AND('PROG FORMACIÓN TITULADA'!#REF!,"AAAAACXbv80=")</f>
        <v>#REF!</v>
      </c>
      <c r="GY392" t="e">
        <f>AND('PROG FORMACIÓN TITULADA'!#REF!,"AAAAACXbv84=")</f>
        <v>#REF!</v>
      </c>
      <c r="GZ392" t="e">
        <f>AND('PROG FORMACIÓN TITULADA'!#REF!,"AAAAACXbv88=")</f>
        <v>#REF!</v>
      </c>
      <c r="HA392" t="e">
        <f>AND('PROG FORMACIÓN TITULADA'!#REF!,"AAAAACXbv9A=")</f>
        <v>#REF!</v>
      </c>
      <c r="HB392" t="e">
        <f>AND('PROG FORMACIÓN TITULADA'!#REF!,"AAAAACXbv9E=")</f>
        <v>#REF!</v>
      </c>
      <c r="HC392" t="e">
        <f>AND('PROG FORMACIÓN TITULADA'!#REF!,"AAAAACXbv9I=")</f>
        <v>#REF!</v>
      </c>
      <c r="HD392" t="e">
        <f>AND('PROG FORMACIÓN TITULADA'!#REF!,"AAAAACXbv9M=")</f>
        <v>#REF!</v>
      </c>
      <c r="HE392" t="e">
        <f>AND('PROG FORMACIÓN TITULADA'!#REF!,"AAAAACXbv9Q=")</f>
        <v>#REF!</v>
      </c>
      <c r="HF392" t="e">
        <f>AND('PROG FORMACIÓN TITULADA'!#REF!,"AAAAACXbv9U=")</f>
        <v>#REF!</v>
      </c>
      <c r="HG392" t="e">
        <f>AND('PROG FORMACIÓN TITULADA'!#REF!,"AAAAACXbv9Y=")</f>
        <v>#REF!</v>
      </c>
      <c r="HH392" t="e">
        <f>AND('PROG FORMACIÓN TITULADA'!#REF!,"AAAAACXbv9c=")</f>
        <v>#REF!</v>
      </c>
      <c r="HI392" t="e">
        <f>AND('PROG FORMACIÓN TITULADA'!#REF!,"AAAAACXbv9g=")</f>
        <v>#REF!</v>
      </c>
      <c r="HJ392" t="e">
        <f>AND('PROG FORMACIÓN TITULADA'!#REF!,"AAAAACXbv9k=")</f>
        <v>#REF!</v>
      </c>
      <c r="HK392" t="e">
        <f>AND('PROG FORMACIÓN TITULADA'!#REF!,"AAAAACXbv9o=")</f>
        <v>#REF!</v>
      </c>
      <c r="HL392" t="e">
        <f>AND('PROG FORMACIÓN TITULADA'!#REF!,"AAAAACXbv9s=")</f>
        <v>#REF!</v>
      </c>
      <c r="HM392" t="e">
        <f>AND('PROG FORMACIÓN TITULADA'!#REF!,"AAAAACXbv9w=")</f>
        <v>#REF!</v>
      </c>
      <c r="HN392" t="e">
        <f>AND('PROG FORMACIÓN TITULADA'!#REF!,"AAAAACXbv90=")</f>
        <v>#REF!</v>
      </c>
      <c r="HO392" t="e">
        <f>AND('PROG FORMACIÓN TITULADA'!#REF!,"AAAAACXbv94=")</f>
        <v>#REF!</v>
      </c>
      <c r="HP392" t="e">
        <f>AND('PROG FORMACIÓN TITULADA'!#REF!,"AAAAACXbv98=")</f>
        <v>#REF!</v>
      </c>
      <c r="HQ392" t="e">
        <f>IF('PROG FORMACIÓN TITULADA'!#REF!,"AAAAACXbv+A=",0)</f>
        <v>#REF!</v>
      </c>
      <c r="HR392" t="e">
        <f>AND('PROG FORMACIÓN TITULADA'!#REF!,"AAAAACXbv+E=")</f>
        <v>#REF!</v>
      </c>
      <c r="HS392" t="e">
        <f>AND('PROG FORMACIÓN TITULADA'!#REF!,"AAAAACXbv+I=")</f>
        <v>#REF!</v>
      </c>
      <c r="HT392" t="e">
        <f>AND('PROG FORMACIÓN TITULADA'!#REF!,"AAAAACXbv+M=")</f>
        <v>#REF!</v>
      </c>
      <c r="HU392" t="e">
        <f>AND('PROG FORMACIÓN TITULADA'!#REF!,"AAAAACXbv+Q=")</f>
        <v>#REF!</v>
      </c>
      <c r="HV392" t="e">
        <f>AND('PROG FORMACIÓN TITULADA'!#REF!,"AAAAACXbv+U=")</f>
        <v>#REF!</v>
      </c>
      <c r="HW392" t="e">
        <f>AND('PROG FORMACIÓN TITULADA'!#REF!,"AAAAACXbv+Y=")</f>
        <v>#REF!</v>
      </c>
      <c r="HX392" t="e">
        <f>AND('PROG FORMACIÓN TITULADA'!#REF!,"AAAAACXbv+c=")</f>
        <v>#REF!</v>
      </c>
      <c r="HY392" t="e">
        <f>AND('PROG FORMACIÓN TITULADA'!#REF!,"AAAAACXbv+g=")</f>
        <v>#REF!</v>
      </c>
      <c r="HZ392" t="e">
        <f>AND('PROG FORMACIÓN TITULADA'!#REF!,"AAAAACXbv+k=")</f>
        <v>#REF!</v>
      </c>
      <c r="IA392" t="e">
        <f>AND('PROG FORMACIÓN TITULADA'!#REF!,"AAAAACXbv+o=")</f>
        <v>#REF!</v>
      </c>
      <c r="IB392" t="e">
        <f>AND('PROG FORMACIÓN TITULADA'!#REF!,"AAAAACXbv+s=")</f>
        <v>#REF!</v>
      </c>
      <c r="IC392" t="e">
        <f>AND('PROG FORMACIÓN TITULADA'!#REF!,"AAAAACXbv+w=")</f>
        <v>#REF!</v>
      </c>
      <c r="ID392" t="e">
        <f>AND('PROG FORMACIÓN TITULADA'!#REF!,"AAAAACXbv+0=")</f>
        <v>#REF!</v>
      </c>
      <c r="IE392" t="e">
        <f>AND('PROG FORMACIÓN TITULADA'!#REF!,"AAAAACXbv+4=")</f>
        <v>#REF!</v>
      </c>
      <c r="IF392" t="e">
        <f>AND('PROG FORMACIÓN TITULADA'!#REF!,"AAAAACXbv+8=")</f>
        <v>#REF!</v>
      </c>
      <c r="IG392" t="e">
        <f>AND('PROG FORMACIÓN TITULADA'!#REF!,"AAAAACXbv/A=")</f>
        <v>#REF!</v>
      </c>
      <c r="IH392" t="e">
        <f>AND('PROG FORMACIÓN TITULADA'!#REF!,"AAAAACXbv/E=")</f>
        <v>#REF!</v>
      </c>
      <c r="II392" t="e">
        <f>AND('PROG FORMACIÓN TITULADA'!#REF!,"AAAAACXbv/I=")</f>
        <v>#REF!</v>
      </c>
      <c r="IJ392" t="e">
        <f>AND('PROG FORMACIÓN TITULADA'!#REF!,"AAAAACXbv/M=")</f>
        <v>#REF!</v>
      </c>
      <c r="IK392" t="e">
        <f>AND('PROG FORMACIÓN TITULADA'!#REF!,"AAAAACXbv/Q=")</f>
        <v>#REF!</v>
      </c>
      <c r="IL392" t="e">
        <f>AND('PROG FORMACIÓN TITULADA'!#REF!,"AAAAACXbv/U=")</f>
        <v>#REF!</v>
      </c>
      <c r="IM392" t="e">
        <f>AND('PROG FORMACIÓN TITULADA'!#REF!,"AAAAACXbv/Y=")</f>
        <v>#REF!</v>
      </c>
      <c r="IN392" t="e">
        <f>AND('PROG FORMACIÓN TITULADA'!#REF!,"AAAAACXbv/c=")</f>
        <v>#REF!</v>
      </c>
      <c r="IO392" t="e">
        <f>AND('PROG FORMACIÓN TITULADA'!#REF!,"AAAAACXbv/g=")</f>
        <v>#REF!</v>
      </c>
      <c r="IP392" t="e">
        <f>AND('PROG FORMACIÓN TITULADA'!#REF!,"AAAAACXbv/k=")</f>
        <v>#REF!</v>
      </c>
      <c r="IQ392" t="e">
        <f>AND('PROG FORMACIÓN TITULADA'!#REF!,"AAAAACXbv/o=")</f>
        <v>#REF!</v>
      </c>
      <c r="IR392" t="e">
        <f>IF('PROG FORMACIÓN TITULADA'!#REF!,"AAAAACXbv/s=",0)</f>
        <v>#REF!</v>
      </c>
      <c r="IS392" t="e">
        <f>AND('PROG FORMACIÓN TITULADA'!#REF!,"AAAAACXbv/w=")</f>
        <v>#REF!</v>
      </c>
      <c r="IT392" t="e">
        <f>AND('PROG FORMACIÓN TITULADA'!#REF!,"AAAAACXbv/0=")</f>
        <v>#REF!</v>
      </c>
      <c r="IU392" t="e">
        <f>AND('PROG FORMACIÓN TITULADA'!#REF!,"AAAAACXbv/4=")</f>
        <v>#REF!</v>
      </c>
      <c r="IV392" t="e">
        <f>AND('PROG FORMACIÓN TITULADA'!#REF!,"AAAAACXbv/8=")</f>
        <v>#REF!</v>
      </c>
    </row>
    <row r="393" spans="1:256" x14ac:dyDescent="0.2">
      <c r="A393" t="e">
        <f>AND('PROG FORMACIÓN TITULADA'!#REF!,"AAAAAHfy3gA=")</f>
        <v>#REF!</v>
      </c>
      <c r="B393" t="e">
        <f>AND('PROG FORMACIÓN TITULADA'!#REF!,"AAAAAHfy3gE=")</f>
        <v>#REF!</v>
      </c>
      <c r="C393" t="e">
        <f>AND('PROG FORMACIÓN TITULADA'!#REF!,"AAAAAHfy3gI=")</f>
        <v>#REF!</v>
      </c>
      <c r="D393" t="e">
        <f>AND('PROG FORMACIÓN TITULADA'!#REF!,"AAAAAHfy3gM=")</f>
        <v>#REF!</v>
      </c>
      <c r="E393" t="e">
        <f>AND('PROG FORMACIÓN TITULADA'!#REF!,"AAAAAHfy3gQ=")</f>
        <v>#REF!</v>
      </c>
      <c r="F393" t="e">
        <f>AND('PROG FORMACIÓN TITULADA'!#REF!,"AAAAAHfy3gU=")</f>
        <v>#REF!</v>
      </c>
      <c r="G393" t="e">
        <f>AND('PROG FORMACIÓN TITULADA'!#REF!,"AAAAAHfy3gY=")</f>
        <v>#REF!</v>
      </c>
      <c r="H393" t="e">
        <f>AND('PROG FORMACIÓN TITULADA'!#REF!,"AAAAAHfy3gc=")</f>
        <v>#REF!</v>
      </c>
      <c r="I393" t="e">
        <f>AND('PROG FORMACIÓN TITULADA'!#REF!,"AAAAAHfy3gg=")</f>
        <v>#REF!</v>
      </c>
      <c r="J393" t="e">
        <f>AND('PROG FORMACIÓN TITULADA'!#REF!,"AAAAAHfy3gk=")</f>
        <v>#REF!</v>
      </c>
      <c r="K393" t="e">
        <f>AND('PROG FORMACIÓN TITULADA'!#REF!,"AAAAAHfy3go=")</f>
        <v>#REF!</v>
      </c>
      <c r="L393" t="e">
        <f>AND('PROG FORMACIÓN TITULADA'!#REF!,"AAAAAHfy3gs=")</f>
        <v>#REF!</v>
      </c>
      <c r="M393" t="e">
        <f>AND('PROG FORMACIÓN TITULADA'!#REF!,"AAAAAHfy3gw=")</f>
        <v>#REF!</v>
      </c>
      <c r="N393" t="e">
        <f>AND('PROG FORMACIÓN TITULADA'!#REF!,"AAAAAHfy3g0=")</f>
        <v>#REF!</v>
      </c>
      <c r="O393" t="e">
        <f>AND('PROG FORMACIÓN TITULADA'!#REF!,"AAAAAHfy3g4=")</f>
        <v>#REF!</v>
      </c>
      <c r="P393" t="e">
        <f>AND('PROG FORMACIÓN TITULADA'!#REF!,"AAAAAHfy3g8=")</f>
        <v>#REF!</v>
      </c>
      <c r="Q393" t="e">
        <f>AND('PROG FORMACIÓN TITULADA'!#REF!,"AAAAAHfy3hA=")</f>
        <v>#REF!</v>
      </c>
      <c r="R393" t="e">
        <f>AND('PROG FORMACIÓN TITULADA'!#REF!,"AAAAAHfy3hE=")</f>
        <v>#REF!</v>
      </c>
      <c r="S393" t="e">
        <f>AND('PROG FORMACIÓN TITULADA'!#REF!,"AAAAAHfy3hI=")</f>
        <v>#REF!</v>
      </c>
      <c r="T393" t="e">
        <f>AND('PROG FORMACIÓN TITULADA'!#REF!,"AAAAAHfy3hM=")</f>
        <v>#REF!</v>
      </c>
      <c r="U393" t="e">
        <f>AND('PROG FORMACIÓN TITULADA'!#REF!,"AAAAAHfy3hQ=")</f>
        <v>#REF!</v>
      </c>
      <c r="V393" t="e">
        <f>AND('PROG FORMACIÓN TITULADA'!#REF!,"AAAAAHfy3hU=")</f>
        <v>#REF!</v>
      </c>
      <c r="W393" t="e">
        <f>IF('PROG FORMACIÓN TITULADA'!#REF!,"AAAAAHfy3hY=",0)</f>
        <v>#REF!</v>
      </c>
      <c r="X393" t="e">
        <f>AND('PROG FORMACIÓN TITULADA'!#REF!,"AAAAAHfy3hc=")</f>
        <v>#REF!</v>
      </c>
      <c r="Y393" t="e">
        <f>AND('PROG FORMACIÓN TITULADA'!#REF!,"AAAAAHfy3hg=")</f>
        <v>#REF!</v>
      </c>
      <c r="Z393" t="e">
        <f>AND('PROG FORMACIÓN TITULADA'!#REF!,"AAAAAHfy3hk=")</f>
        <v>#REF!</v>
      </c>
      <c r="AA393" t="e">
        <f>AND('PROG FORMACIÓN TITULADA'!#REF!,"AAAAAHfy3ho=")</f>
        <v>#REF!</v>
      </c>
      <c r="AB393" t="e">
        <f>AND('PROG FORMACIÓN TITULADA'!#REF!,"AAAAAHfy3hs=")</f>
        <v>#REF!</v>
      </c>
      <c r="AC393" t="e">
        <f>AND('PROG FORMACIÓN TITULADA'!#REF!,"AAAAAHfy3hw=")</f>
        <v>#REF!</v>
      </c>
      <c r="AD393" t="e">
        <f>AND('PROG FORMACIÓN TITULADA'!#REF!,"AAAAAHfy3h0=")</f>
        <v>#REF!</v>
      </c>
      <c r="AE393" t="e">
        <f>AND('PROG FORMACIÓN TITULADA'!#REF!,"AAAAAHfy3h4=")</f>
        <v>#REF!</v>
      </c>
      <c r="AF393" t="e">
        <f>AND('PROG FORMACIÓN TITULADA'!#REF!,"AAAAAHfy3h8=")</f>
        <v>#REF!</v>
      </c>
      <c r="AG393" t="e">
        <f>AND('PROG FORMACIÓN TITULADA'!#REF!,"AAAAAHfy3iA=")</f>
        <v>#REF!</v>
      </c>
      <c r="AH393" t="e">
        <f>AND('PROG FORMACIÓN TITULADA'!#REF!,"AAAAAHfy3iE=")</f>
        <v>#REF!</v>
      </c>
      <c r="AI393" t="e">
        <f>AND('PROG FORMACIÓN TITULADA'!#REF!,"AAAAAHfy3iI=")</f>
        <v>#REF!</v>
      </c>
      <c r="AJ393" t="e">
        <f>AND('PROG FORMACIÓN TITULADA'!#REF!,"AAAAAHfy3iM=")</f>
        <v>#REF!</v>
      </c>
      <c r="AK393" t="e">
        <f>AND('PROG FORMACIÓN TITULADA'!#REF!,"AAAAAHfy3iQ=")</f>
        <v>#REF!</v>
      </c>
      <c r="AL393" t="e">
        <f>AND('PROG FORMACIÓN TITULADA'!#REF!,"AAAAAHfy3iU=")</f>
        <v>#REF!</v>
      </c>
      <c r="AM393" t="e">
        <f>AND('PROG FORMACIÓN TITULADA'!#REF!,"AAAAAHfy3iY=")</f>
        <v>#REF!</v>
      </c>
      <c r="AN393" t="e">
        <f>AND('PROG FORMACIÓN TITULADA'!#REF!,"AAAAAHfy3ic=")</f>
        <v>#REF!</v>
      </c>
      <c r="AO393" t="e">
        <f>AND('PROG FORMACIÓN TITULADA'!#REF!,"AAAAAHfy3ig=")</f>
        <v>#REF!</v>
      </c>
      <c r="AP393" t="e">
        <f>AND('PROG FORMACIÓN TITULADA'!#REF!,"AAAAAHfy3ik=")</f>
        <v>#REF!</v>
      </c>
      <c r="AQ393" t="e">
        <f>AND('PROG FORMACIÓN TITULADA'!#REF!,"AAAAAHfy3io=")</f>
        <v>#REF!</v>
      </c>
      <c r="AR393" t="e">
        <f>AND('PROG FORMACIÓN TITULADA'!#REF!,"AAAAAHfy3is=")</f>
        <v>#REF!</v>
      </c>
      <c r="AS393" t="e">
        <f>AND('PROG FORMACIÓN TITULADA'!#REF!,"AAAAAHfy3iw=")</f>
        <v>#REF!</v>
      </c>
      <c r="AT393" t="e">
        <f>AND('PROG FORMACIÓN TITULADA'!#REF!,"AAAAAHfy3i0=")</f>
        <v>#REF!</v>
      </c>
      <c r="AU393" t="e">
        <f>AND('PROG FORMACIÓN TITULADA'!#REF!,"AAAAAHfy3i4=")</f>
        <v>#REF!</v>
      </c>
      <c r="AV393" t="e">
        <f>AND('PROG FORMACIÓN TITULADA'!#REF!,"AAAAAHfy3i8=")</f>
        <v>#REF!</v>
      </c>
      <c r="AW393" t="e">
        <f>AND('PROG FORMACIÓN TITULADA'!#REF!,"AAAAAHfy3jA=")</f>
        <v>#REF!</v>
      </c>
      <c r="AX393" t="e">
        <f>IF('PROG FORMACIÓN TITULADA'!#REF!,"AAAAAHfy3jE=",0)</f>
        <v>#REF!</v>
      </c>
      <c r="AY393" t="e">
        <f>AND('PROG FORMACIÓN TITULADA'!#REF!,"AAAAAHfy3jI=")</f>
        <v>#REF!</v>
      </c>
      <c r="AZ393" t="e">
        <f>AND('PROG FORMACIÓN TITULADA'!#REF!,"AAAAAHfy3jM=")</f>
        <v>#REF!</v>
      </c>
      <c r="BA393" t="e">
        <f>AND('PROG FORMACIÓN TITULADA'!#REF!,"AAAAAHfy3jQ=")</f>
        <v>#REF!</v>
      </c>
      <c r="BB393" t="e">
        <f>AND('PROG FORMACIÓN TITULADA'!#REF!,"AAAAAHfy3jU=")</f>
        <v>#REF!</v>
      </c>
      <c r="BC393" t="e">
        <f>AND('PROG FORMACIÓN TITULADA'!#REF!,"AAAAAHfy3jY=")</f>
        <v>#REF!</v>
      </c>
      <c r="BD393" t="e">
        <f>AND('PROG FORMACIÓN TITULADA'!#REF!,"AAAAAHfy3jc=")</f>
        <v>#REF!</v>
      </c>
      <c r="BE393" t="e">
        <f>AND('PROG FORMACIÓN TITULADA'!#REF!,"AAAAAHfy3jg=")</f>
        <v>#REF!</v>
      </c>
      <c r="BF393" t="e">
        <f>AND('PROG FORMACIÓN TITULADA'!#REF!,"AAAAAHfy3jk=")</f>
        <v>#REF!</v>
      </c>
      <c r="BG393" t="e">
        <f>AND('PROG FORMACIÓN TITULADA'!#REF!,"AAAAAHfy3jo=")</f>
        <v>#REF!</v>
      </c>
      <c r="BH393" t="e">
        <f>AND('PROG FORMACIÓN TITULADA'!#REF!,"AAAAAHfy3js=")</f>
        <v>#REF!</v>
      </c>
      <c r="BI393" t="e">
        <f>AND('PROG FORMACIÓN TITULADA'!#REF!,"AAAAAHfy3jw=")</f>
        <v>#REF!</v>
      </c>
      <c r="BJ393" t="e">
        <f>AND('PROG FORMACIÓN TITULADA'!#REF!,"AAAAAHfy3j0=")</f>
        <v>#REF!</v>
      </c>
      <c r="BK393" t="e">
        <f>AND('PROG FORMACIÓN TITULADA'!#REF!,"AAAAAHfy3j4=")</f>
        <v>#REF!</v>
      </c>
      <c r="BL393" t="e">
        <f>AND('PROG FORMACIÓN TITULADA'!#REF!,"AAAAAHfy3j8=")</f>
        <v>#REF!</v>
      </c>
      <c r="BM393" t="e">
        <f>AND('PROG FORMACIÓN TITULADA'!#REF!,"AAAAAHfy3kA=")</f>
        <v>#REF!</v>
      </c>
      <c r="BN393" t="e">
        <f>AND('PROG FORMACIÓN TITULADA'!#REF!,"AAAAAHfy3kE=")</f>
        <v>#REF!</v>
      </c>
      <c r="BO393" t="e">
        <f>AND('PROG FORMACIÓN TITULADA'!#REF!,"AAAAAHfy3kI=")</f>
        <v>#REF!</v>
      </c>
      <c r="BP393" t="e">
        <f>AND('PROG FORMACIÓN TITULADA'!#REF!,"AAAAAHfy3kM=")</f>
        <v>#REF!</v>
      </c>
      <c r="BQ393" t="e">
        <f>AND('PROG FORMACIÓN TITULADA'!#REF!,"AAAAAHfy3kQ=")</f>
        <v>#REF!</v>
      </c>
      <c r="BR393" t="e">
        <f>AND('PROG FORMACIÓN TITULADA'!#REF!,"AAAAAHfy3kU=")</f>
        <v>#REF!</v>
      </c>
      <c r="BS393" t="e">
        <f>AND('PROG FORMACIÓN TITULADA'!#REF!,"AAAAAHfy3kY=")</f>
        <v>#REF!</v>
      </c>
      <c r="BT393" t="e">
        <f>AND('PROG FORMACIÓN TITULADA'!#REF!,"AAAAAHfy3kc=")</f>
        <v>#REF!</v>
      </c>
      <c r="BU393" t="e">
        <f>AND('PROG FORMACIÓN TITULADA'!#REF!,"AAAAAHfy3kg=")</f>
        <v>#REF!</v>
      </c>
      <c r="BV393" t="e">
        <f>AND('PROG FORMACIÓN TITULADA'!#REF!,"AAAAAHfy3kk=")</f>
        <v>#REF!</v>
      </c>
      <c r="BW393" t="e">
        <f>AND('PROG FORMACIÓN TITULADA'!#REF!,"AAAAAHfy3ko=")</f>
        <v>#REF!</v>
      </c>
      <c r="BX393" t="e">
        <f>AND('PROG FORMACIÓN TITULADA'!#REF!,"AAAAAHfy3ks=")</f>
        <v>#REF!</v>
      </c>
      <c r="BY393" t="e">
        <f>IF('PROG FORMACIÓN TITULADA'!#REF!,"AAAAAHfy3kw=",0)</f>
        <v>#REF!</v>
      </c>
      <c r="BZ393" t="e">
        <f>AND('PROG FORMACIÓN TITULADA'!#REF!,"AAAAAHfy3k0=")</f>
        <v>#REF!</v>
      </c>
      <c r="CA393" t="e">
        <f>AND('PROG FORMACIÓN TITULADA'!#REF!,"AAAAAHfy3k4=")</f>
        <v>#REF!</v>
      </c>
      <c r="CB393" t="e">
        <f>AND('PROG FORMACIÓN TITULADA'!#REF!,"AAAAAHfy3k8=")</f>
        <v>#REF!</v>
      </c>
      <c r="CC393" t="e">
        <f>AND('PROG FORMACIÓN TITULADA'!#REF!,"AAAAAHfy3lA=")</f>
        <v>#REF!</v>
      </c>
      <c r="CD393" t="e">
        <f>AND('PROG FORMACIÓN TITULADA'!#REF!,"AAAAAHfy3lE=")</f>
        <v>#REF!</v>
      </c>
      <c r="CE393" t="e">
        <f>AND('PROG FORMACIÓN TITULADA'!#REF!,"AAAAAHfy3lI=")</f>
        <v>#REF!</v>
      </c>
      <c r="CF393" t="e">
        <f>AND('PROG FORMACIÓN TITULADA'!#REF!,"AAAAAHfy3lM=")</f>
        <v>#REF!</v>
      </c>
      <c r="CG393" t="e">
        <f>AND('PROG FORMACIÓN TITULADA'!#REF!,"AAAAAHfy3lQ=")</f>
        <v>#REF!</v>
      </c>
      <c r="CH393" t="e">
        <f>AND('PROG FORMACIÓN TITULADA'!#REF!,"AAAAAHfy3lU=")</f>
        <v>#REF!</v>
      </c>
      <c r="CI393" t="e">
        <f>AND('PROG FORMACIÓN TITULADA'!#REF!,"AAAAAHfy3lY=")</f>
        <v>#REF!</v>
      </c>
      <c r="CJ393" t="e">
        <f>AND('PROG FORMACIÓN TITULADA'!#REF!,"AAAAAHfy3lc=")</f>
        <v>#REF!</v>
      </c>
      <c r="CK393" t="e">
        <f>AND('PROG FORMACIÓN TITULADA'!#REF!,"AAAAAHfy3lg=")</f>
        <v>#REF!</v>
      </c>
      <c r="CL393" t="e">
        <f>AND('PROG FORMACIÓN TITULADA'!#REF!,"AAAAAHfy3lk=")</f>
        <v>#REF!</v>
      </c>
      <c r="CM393" t="e">
        <f>AND('PROG FORMACIÓN TITULADA'!#REF!,"AAAAAHfy3lo=")</f>
        <v>#REF!</v>
      </c>
      <c r="CN393" t="e">
        <f>AND('PROG FORMACIÓN TITULADA'!#REF!,"AAAAAHfy3ls=")</f>
        <v>#REF!</v>
      </c>
      <c r="CO393" t="e">
        <f>AND('PROG FORMACIÓN TITULADA'!#REF!,"AAAAAHfy3lw=")</f>
        <v>#REF!</v>
      </c>
      <c r="CP393" t="e">
        <f>AND('PROG FORMACIÓN TITULADA'!#REF!,"AAAAAHfy3l0=")</f>
        <v>#REF!</v>
      </c>
      <c r="CQ393" t="e">
        <f>AND('PROG FORMACIÓN TITULADA'!#REF!,"AAAAAHfy3l4=")</f>
        <v>#REF!</v>
      </c>
      <c r="CR393" t="e">
        <f>AND('PROG FORMACIÓN TITULADA'!#REF!,"AAAAAHfy3l8=")</f>
        <v>#REF!</v>
      </c>
      <c r="CS393" t="e">
        <f>AND('PROG FORMACIÓN TITULADA'!#REF!,"AAAAAHfy3mA=")</f>
        <v>#REF!</v>
      </c>
      <c r="CT393" t="e">
        <f>AND('PROG FORMACIÓN TITULADA'!#REF!,"AAAAAHfy3mE=")</f>
        <v>#REF!</v>
      </c>
      <c r="CU393" t="e">
        <f>AND('PROG FORMACIÓN TITULADA'!#REF!,"AAAAAHfy3mI=")</f>
        <v>#REF!</v>
      </c>
      <c r="CV393" t="e">
        <f>AND('PROG FORMACIÓN TITULADA'!#REF!,"AAAAAHfy3mM=")</f>
        <v>#REF!</v>
      </c>
      <c r="CW393" t="e">
        <f>AND('PROG FORMACIÓN TITULADA'!#REF!,"AAAAAHfy3mQ=")</f>
        <v>#REF!</v>
      </c>
      <c r="CX393" t="e">
        <f>AND('PROG FORMACIÓN TITULADA'!#REF!,"AAAAAHfy3mU=")</f>
        <v>#REF!</v>
      </c>
      <c r="CY393" t="e">
        <f>AND('PROG FORMACIÓN TITULADA'!#REF!,"AAAAAHfy3mY=")</f>
        <v>#REF!</v>
      </c>
      <c r="CZ393" t="e">
        <f>IF('PROG FORMACIÓN TITULADA'!#REF!,"AAAAAHfy3mc=",0)</f>
        <v>#REF!</v>
      </c>
      <c r="DA393" t="e">
        <f>AND('PROG FORMACIÓN TITULADA'!#REF!,"AAAAAHfy3mg=")</f>
        <v>#REF!</v>
      </c>
      <c r="DB393" t="e">
        <f>AND('PROG FORMACIÓN TITULADA'!#REF!,"AAAAAHfy3mk=")</f>
        <v>#REF!</v>
      </c>
      <c r="DC393" t="e">
        <f>AND('PROG FORMACIÓN TITULADA'!#REF!,"AAAAAHfy3mo=")</f>
        <v>#REF!</v>
      </c>
      <c r="DD393" t="e">
        <f>AND('PROG FORMACIÓN TITULADA'!#REF!,"AAAAAHfy3ms=")</f>
        <v>#REF!</v>
      </c>
      <c r="DE393" t="e">
        <f>AND('PROG FORMACIÓN TITULADA'!#REF!,"AAAAAHfy3mw=")</f>
        <v>#REF!</v>
      </c>
      <c r="DF393" t="e">
        <f>AND('PROG FORMACIÓN TITULADA'!#REF!,"AAAAAHfy3m0=")</f>
        <v>#REF!</v>
      </c>
      <c r="DG393" t="e">
        <f>AND('PROG FORMACIÓN TITULADA'!#REF!,"AAAAAHfy3m4=")</f>
        <v>#REF!</v>
      </c>
      <c r="DH393" t="e">
        <f>AND('PROG FORMACIÓN TITULADA'!#REF!,"AAAAAHfy3m8=")</f>
        <v>#REF!</v>
      </c>
      <c r="DI393" t="e">
        <f>AND('PROG FORMACIÓN TITULADA'!#REF!,"AAAAAHfy3nA=")</f>
        <v>#REF!</v>
      </c>
      <c r="DJ393" t="e">
        <f>AND('PROG FORMACIÓN TITULADA'!#REF!,"AAAAAHfy3nE=")</f>
        <v>#REF!</v>
      </c>
      <c r="DK393" t="e">
        <f>AND('PROG FORMACIÓN TITULADA'!#REF!,"AAAAAHfy3nI=")</f>
        <v>#REF!</v>
      </c>
      <c r="DL393" t="e">
        <f>AND('PROG FORMACIÓN TITULADA'!#REF!,"AAAAAHfy3nM=")</f>
        <v>#REF!</v>
      </c>
      <c r="DM393" t="e">
        <f>AND('PROG FORMACIÓN TITULADA'!#REF!,"AAAAAHfy3nQ=")</f>
        <v>#REF!</v>
      </c>
      <c r="DN393" t="e">
        <f>AND('PROG FORMACIÓN TITULADA'!#REF!,"AAAAAHfy3nU=")</f>
        <v>#REF!</v>
      </c>
      <c r="DO393" t="e">
        <f>AND('PROG FORMACIÓN TITULADA'!#REF!,"AAAAAHfy3nY=")</f>
        <v>#REF!</v>
      </c>
      <c r="DP393" t="e">
        <f>AND('PROG FORMACIÓN TITULADA'!#REF!,"AAAAAHfy3nc=")</f>
        <v>#REF!</v>
      </c>
      <c r="DQ393" t="e">
        <f>AND('PROG FORMACIÓN TITULADA'!#REF!,"AAAAAHfy3ng=")</f>
        <v>#REF!</v>
      </c>
      <c r="DR393" t="e">
        <f>AND('PROG FORMACIÓN TITULADA'!#REF!,"AAAAAHfy3nk=")</f>
        <v>#REF!</v>
      </c>
      <c r="DS393" t="e">
        <f>AND('PROG FORMACIÓN TITULADA'!#REF!,"AAAAAHfy3no=")</f>
        <v>#REF!</v>
      </c>
      <c r="DT393" t="e">
        <f>AND('PROG FORMACIÓN TITULADA'!#REF!,"AAAAAHfy3ns=")</f>
        <v>#REF!</v>
      </c>
      <c r="DU393" t="e">
        <f>AND('PROG FORMACIÓN TITULADA'!#REF!,"AAAAAHfy3nw=")</f>
        <v>#REF!</v>
      </c>
      <c r="DV393" t="e">
        <f>AND('PROG FORMACIÓN TITULADA'!#REF!,"AAAAAHfy3n0=")</f>
        <v>#REF!</v>
      </c>
      <c r="DW393" t="e">
        <f>AND('PROG FORMACIÓN TITULADA'!#REF!,"AAAAAHfy3n4=")</f>
        <v>#REF!</v>
      </c>
      <c r="DX393" t="e">
        <f>AND('PROG FORMACIÓN TITULADA'!#REF!,"AAAAAHfy3n8=")</f>
        <v>#REF!</v>
      </c>
      <c r="DY393" t="e">
        <f>AND('PROG FORMACIÓN TITULADA'!#REF!,"AAAAAHfy3oA=")</f>
        <v>#REF!</v>
      </c>
      <c r="DZ393" t="e">
        <f>AND('PROG FORMACIÓN TITULADA'!#REF!,"AAAAAHfy3oE=")</f>
        <v>#REF!</v>
      </c>
      <c r="EA393" t="e">
        <f>IF('PROG FORMACIÓN TITULADA'!#REF!,"AAAAAHfy3oI=",0)</f>
        <v>#REF!</v>
      </c>
      <c r="EB393" t="e">
        <f>AND('PROG FORMACIÓN TITULADA'!#REF!,"AAAAAHfy3oM=")</f>
        <v>#REF!</v>
      </c>
      <c r="EC393" t="e">
        <f>AND('PROG FORMACIÓN TITULADA'!#REF!,"AAAAAHfy3oQ=")</f>
        <v>#REF!</v>
      </c>
      <c r="ED393" t="e">
        <f>AND('PROG FORMACIÓN TITULADA'!#REF!,"AAAAAHfy3oU=")</f>
        <v>#REF!</v>
      </c>
      <c r="EE393" t="e">
        <f>AND('PROG FORMACIÓN TITULADA'!#REF!,"AAAAAHfy3oY=")</f>
        <v>#REF!</v>
      </c>
      <c r="EF393" t="e">
        <f>AND('PROG FORMACIÓN TITULADA'!#REF!,"AAAAAHfy3oc=")</f>
        <v>#REF!</v>
      </c>
      <c r="EG393" t="e">
        <f>AND('PROG FORMACIÓN TITULADA'!#REF!,"AAAAAHfy3og=")</f>
        <v>#REF!</v>
      </c>
      <c r="EH393" t="e">
        <f>AND('PROG FORMACIÓN TITULADA'!#REF!,"AAAAAHfy3ok=")</f>
        <v>#REF!</v>
      </c>
      <c r="EI393" t="e">
        <f>AND('PROG FORMACIÓN TITULADA'!#REF!,"AAAAAHfy3oo=")</f>
        <v>#REF!</v>
      </c>
      <c r="EJ393" t="e">
        <f>AND('PROG FORMACIÓN TITULADA'!#REF!,"AAAAAHfy3os=")</f>
        <v>#REF!</v>
      </c>
      <c r="EK393" t="e">
        <f>AND('PROG FORMACIÓN TITULADA'!#REF!,"AAAAAHfy3ow=")</f>
        <v>#REF!</v>
      </c>
      <c r="EL393" t="e">
        <f>AND('PROG FORMACIÓN TITULADA'!#REF!,"AAAAAHfy3o0=")</f>
        <v>#REF!</v>
      </c>
      <c r="EM393" t="e">
        <f>AND('PROG FORMACIÓN TITULADA'!#REF!,"AAAAAHfy3o4=")</f>
        <v>#REF!</v>
      </c>
      <c r="EN393" t="e">
        <f>AND('PROG FORMACIÓN TITULADA'!#REF!,"AAAAAHfy3o8=")</f>
        <v>#REF!</v>
      </c>
      <c r="EO393" t="e">
        <f>AND('PROG FORMACIÓN TITULADA'!#REF!,"AAAAAHfy3pA=")</f>
        <v>#REF!</v>
      </c>
      <c r="EP393" t="e">
        <f>AND('PROG FORMACIÓN TITULADA'!#REF!,"AAAAAHfy3pE=")</f>
        <v>#REF!</v>
      </c>
      <c r="EQ393" t="e">
        <f>AND('PROG FORMACIÓN TITULADA'!#REF!,"AAAAAHfy3pI=")</f>
        <v>#REF!</v>
      </c>
      <c r="ER393" t="e">
        <f>AND('PROG FORMACIÓN TITULADA'!#REF!,"AAAAAHfy3pM=")</f>
        <v>#REF!</v>
      </c>
      <c r="ES393" t="e">
        <f>AND('PROG FORMACIÓN TITULADA'!#REF!,"AAAAAHfy3pQ=")</f>
        <v>#REF!</v>
      </c>
      <c r="ET393" t="e">
        <f>AND('PROG FORMACIÓN TITULADA'!#REF!,"AAAAAHfy3pU=")</f>
        <v>#REF!</v>
      </c>
      <c r="EU393" t="e">
        <f>AND('PROG FORMACIÓN TITULADA'!#REF!,"AAAAAHfy3pY=")</f>
        <v>#REF!</v>
      </c>
      <c r="EV393" t="e">
        <f>AND('PROG FORMACIÓN TITULADA'!#REF!,"AAAAAHfy3pc=")</f>
        <v>#REF!</v>
      </c>
      <c r="EW393" t="e">
        <f>AND('PROG FORMACIÓN TITULADA'!#REF!,"AAAAAHfy3pg=")</f>
        <v>#REF!</v>
      </c>
      <c r="EX393" t="e">
        <f>AND('PROG FORMACIÓN TITULADA'!#REF!,"AAAAAHfy3pk=")</f>
        <v>#REF!</v>
      </c>
      <c r="EY393" t="e">
        <f>AND('PROG FORMACIÓN TITULADA'!#REF!,"AAAAAHfy3po=")</f>
        <v>#REF!</v>
      </c>
      <c r="EZ393" t="e">
        <f>AND('PROG FORMACIÓN TITULADA'!#REF!,"AAAAAHfy3ps=")</f>
        <v>#REF!</v>
      </c>
      <c r="FA393" t="e">
        <f>AND('PROG FORMACIÓN TITULADA'!#REF!,"AAAAAHfy3pw=")</f>
        <v>#REF!</v>
      </c>
      <c r="FB393" t="e">
        <f>IF('PROG FORMACIÓN TITULADA'!#REF!,"AAAAAHfy3p0=",0)</f>
        <v>#REF!</v>
      </c>
      <c r="FC393" t="e">
        <f>AND('PROG FORMACIÓN TITULADA'!#REF!,"AAAAAHfy3p4=")</f>
        <v>#REF!</v>
      </c>
      <c r="FD393" t="e">
        <f>AND('PROG FORMACIÓN TITULADA'!#REF!,"AAAAAHfy3p8=")</f>
        <v>#REF!</v>
      </c>
      <c r="FE393" t="e">
        <f>AND('PROG FORMACIÓN TITULADA'!#REF!,"AAAAAHfy3qA=")</f>
        <v>#REF!</v>
      </c>
      <c r="FF393" t="e">
        <f>AND('PROG FORMACIÓN TITULADA'!#REF!,"AAAAAHfy3qE=")</f>
        <v>#REF!</v>
      </c>
      <c r="FG393" t="e">
        <f>AND('PROG FORMACIÓN TITULADA'!#REF!,"AAAAAHfy3qI=")</f>
        <v>#REF!</v>
      </c>
      <c r="FH393" t="e">
        <f>AND('PROG FORMACIÓN TITULADA'!#REF!,"AAAAAHfy3qM=")</f>
        <v>#REF!</v>
      </c>
      <c r="FI393" t="e">
        <f>AND('PROG FORMACIÓN TITULADA'!#REF!,"AAAAAHfy3qQ=")</f>
        <v>#REF!</v>
      </c>
      <c r="FJ393" t="e">
        <f>AND('PROG FORMACIÓN TITULADA'!#REF!,"AAAAAHfy3qU=")</f>
        <v>#REF!</v>
      </c>
      <c r="FK393" t="e">
        <f>AND('PROG FORMACIÓN TITULADA'!#REF!,"AAAAAHfy3qY=")</f>
        <v>#REF!</v>
      </c>
      <c r="FL393" t="e">
        <f>AND('PROG FORMACIÓN TITULADA'!#REF!,"AAAAAHfy3qc=")</f>
        <v>#REF!</v>
      </c>
      <c r="FM393" t="e">
        <f>AND('PROG FORMACIÓN TITULADA'!#REF!,"AAAAAHfy3qg=")</f>
        <v>#REF!</v>
      </c>
      <c r="FN393" t="e">
        <f>AND('PROG FORMACIÓN TITULADA'!#REF!,"AAAAAHfy3qk=")</f>
        <v>#REF!</v>
      </c>
      <c r="FO393" t="e">
        <f>AND('PROG FORMACIÓN TITULADA'!#REF!,"AAAAAHfy3qo=")</f>
        <v>#REF!</v>
      </c>
      <c r="FP393" t="e">
        <f>AND('PROG FORMACIÓN TITULADA'!#REF!,"AAAAAHfy3qs=")</f>
        <v>#REF!</v>
      </c>
      <c r="FQ393" t="e">
        <f>AND('PROG FORMACIÓN TITULADA'!#REF!,"AAAAAHfy3qw=")</f>
        <v>#REF!</v>
      </c>
      <c r="FR393" t="e">
        <f>AND('PROG FORMACIÓN TITULADA'!#REF!,"AAAAAHfy3q0=")</f>
        <v>#REF!</v>
      </c>
      <c r="FS393" t="e">
        <f>AND('PROG FORMACIÓN TITULADA'!#REF!,"AAAAAHfy3q4=")</f>
        <v>#REF!</v>
      </c>
      <c r="FT393" t="e">
        <f>AND('PROG FORMACIÓN TITULADA'!#REF!,"AAAAAHfy3q8=")</f>
        <v>#REF!</v>
      </c>
      <c r="FU393" t="e">
        <f>AND('PROG FORMACIÓN TITULADA'!#REF!,"AAAAAHfy3rA=")</f>
        <v>#REF!</v>
      </c>
      <c r="FV393" t="e">
        <f>AND('PROG FORMACIÓN TITULADA'!#REF!,"AAAAAHfy3rE=")</f>
        <v>#REF!</v>
      </c>
      <c r="FW393" t="e">
        <f>AND('PROG FORMACIÓN TITULADA'!#REF!,"AAAAAHfy3rI=")</f>
        <v>#REF!</v>
      </c>
      <c r="FX393" t="e">
        <f>AND('PROG FORMACIÓN TITULADA'!#REF!,"AAAAAHfy3rM=")</f>
        <v>#REF!</v>
      </c>
      <c r="FY393" t="e">
        <f>AND('PROG FORMACIÓN TITULADA'!#REF!,"AAAAAHfy3rQ=")</f>
        <v>#REF!</v>
      </c>
      <c r="FZ393" t="e">
        <f>AND('PROG FORMACIÓN TITULADA'!#REF!,"AAAAAHfy3rU=")</f>
        <v>#REF!</v>
      </c>
      <c r="GA393" t="e">
        <f>AND('PROG FORMACIÓN TITULADA'!#REF!,"AAAAAHfy3rY=")</f>
        <v>#REF!</v>
      </c>
      <c r="GB393" t="e">
        <f>AND('PROG FORMACIÓN TITULADA'!#REF!,"AAAAAHfy3rc=")</f>
        <v>#REF!</v>
      </c>
      <c r="GC393" t="e">
        <f>IF('PROG FORMACIÓN TITULADA'!#REF!,"AAAAAHfy3rg=",0)</f>
        <v>#REF!</v>
      </c>
      <c r="GD393" t="e">
        <f>AND('PROG FORMACIÓN TITULADA'!#REF!,"AAAAAHfy3rk=")</f>
        <v>#REF!</v>
      </c>
      <c r="GE393" t="e">
        <f>AND('PROG FORMACIÓN TITULADA'!#REF!,"AAAAAHfy3ro=")</f>
        <v>#REF!</v>
      </c>
      <c r="GF393" t="e">
        <f>AND('PROG FORMACIÓN TITULADA'!#REF!,"AAAAAHfy3rs=")</f>
        <v>#REF!</v>
      </c>
      <c r="GG393" t="e">
        <f>AND('PROG FORMACIÓN TITULADA'!#REF!,"AAAAAHfy3rw=")</f>
        <v>#REF!</v>
      </c>
      <c r="GH393" t="e">
        <f>AND('PROG FORMACIÓN TITULADA'!#REF!,"AAAAAHfy3r0=")</f>
        <v>#REF!</v>
      </c>
      <c r="GI393" t="e">
        <f>AND('PROG FORMACIÓN TITULADA'!#REF!,"AAAAAHfy3r4=")</f>
        <v>#REF!</v>
      </c>
      <c r="GJ393" t="e">
        <f>AND('PROG FORMACIÓN TITULADA'!#REF!,"AAAAAHfy3r8=")</f>
        <v>#REF!</v>
      </c>
      <c r="GK393" t="e">
        <f>AND('PROG FORMACIÓN TITULADA'!#REF!,"AAAAAHfy3sA=")</f>
        <v>#REF!</v>
      </c>
      <c r="GL393" t="e">
        <f>AND('PROG FORMACIÓN TITULADA'!#REF!,"AAAAAHfy3sE=")</f>
        <v>#REF!</v>
      </c>
      <c r="GM393" t="e">
        <f>AND('PROG FORMACIÓN TITULADA'!#REF!,"AAAAAHfy3sI=")</f>
        <v>#REF!</v>
      </c>
      <c r="GN393" t="e">
        <f>AND('PROG FORMACIÓN TITULADA'!#REF!,"AAAAAHfy3sM=")</f>
        <v>#REF!</v>
      </c>
      <c r="GO393" t="e">
        <f>AND('PROG FORMACIÓN TITULADA'!#REF!,"AAAAAHfy3sQ=")</f>
        <v>#REF!</v>
      </c>
      <c r="GP393" t="e">
        <f>AND('PROG FORMACIÓN TITULADA'!#REF!,"AAAAAHfy3sU=")</f>
        <v>#REF!</v>
      </c>
      <c r="GQ393" t="e">
        <f>AND('PROG FORMACIÓN TITULADA'!#REF!,"AAAAAHfy3sY=")</f>
        <v>#REF!</v>
      </c>
      <c r="GR393" t="e">
        <f>AND('PROG FORMACIÓN TITULADA'!#REF!,"AAAAAHfy3sc=")</f>
        <v>#REF!</v>
      </c>
      <c r="GS393" t="e">
        <f>AND('PROG FORMACIÓN TITULADA'!#REF!,"AAAAAHfy3sg=")</f>
        <v>#REF!</v>
      </c>
      <c r="GT393" t="e">
        <f>AND('PROG FORMACIÓN TITULADA'!#REF!,"AAAAAHfy3sk=")</f>
        <v>#REF!</v>
      </c>
      <c r="GU393" t="e">
        <f>AND('PROG FORMACIÓN TITULADA'!#REF!,"AAAAAHfy3so=")</f>
        <v>#REF!</v>
      </c>
      <c r="GV393" t="e">
        <f>AND('PROG FORMACIÓN TITULADA'!#REF!,"AAAAAHfy3ss=")</f>
        <v>#REF!</v>
      </c>
      <c r="GW393" t="e">
        <f>AND('PROG FORMACIÓN TITULADA'!#REF!,"AAAAAHfy3sw=")</f>
        <v>#REF!</v>
      </c>
      <c r="GX393" t="e">
        <f>AND('PROG FORMACIÓN TITULADA'!#REF!,"AAAAAHfy3s0=")</f>
        <v>#REF!</v>
      </c>
      <c r="GY393" t="e">
        <f>AND('PROG FORMACIÓN TITULADA'!#REF!,"AAAAAHfy3s4=")</f>
        <v>#REF!</v>
      </c>
      <c r="GZ393" t="e">
        <f>AND('PROG FORMACIÓN TITULADA'!#REF!,"AAAAAHfy3s8=")</f>
        <v>#REF!</v>
      </c>
      <c r="HA393" t="e">
        <f>AND('PROG FORMACIÓN TITULADA'!#REF!,"AAAAAHfy3tA=")</f>
        <v>#REF!</v>
      </c>
      <c r="HB393" t="e">
        <f>AND('PROG FORMACIÓN TITULADA'!#REF!,"AAAAAHfy3tE=")</f>
        <v>#REF!</v>
      </c>
      <c r="HC393" t="e">
        <f>AND('PROG FORMACIÓN TITULADA'!#REF!,"AAAAAHfy3tI=")</f>
        <v>#REF!</v>
      </c>
      <c r="HD393" t="e">
        <f>IF('PROG FORMACIÓN TITULADA'!#REF!,"AAAAAHfy3tM=",0)</f>
        <v>#REF!</v>
      </c>
      <c r="HE393" t="e">
        <f>AND('PROG FORMACIÓN TITULADA'!#REF!,"AAAAAHfy3tQ=")</f>
        <v>#REF!</v>
      </c>
      <c r="HF393" t="e">
        <f>AND('PROG FORMACIÓN TITULADA'!#REF!,"AAAAAHfy3tU=")</f>
        <v>#REF!</v>
      </c>
      <c r="HG393" t="e">
        <f>AND('PROG FORMACIÓN TITULADA'!#REF!,"AAAAAHfy3tY=")</f>
        <v>#REF!</v>
      </c>
      <c r="HH393" t="e">
        <f>AND('PROG FORMACIÓN TITULADA'!#REF!,"AAAAAHfy3tc=")</f>
        <v>#REF!</v>
      </c>
      <c r="HI393" t="e">
        <f>AND('PROG FORMACIÓN TITULADA'!#REF!,"AAAAAHfy3tg=")</f>
        <v>#REF!</v>
      </c>
      <c r="HJ393" t="e">
        <f>AND('PROG FORMACIÓN TITULADA'!#REF!,"AAAAAHfy3tk=")</f>
        <v>#REF!</v>
      </c>
      <c r="HK393" t="e">
        <f>AND('PROG FORMACIÓN TITULADA'!#REF!,"AAAAAHfy3to=")</f>
        <v>#REF!</v>
      </c>
      <c r="HL393" t="e">
        <f>AND('PROG FORMACIÓN TITULADA'!#REF!,"AAAAAHfy3ts=")</f>
        <v>#REF!</v>
      </c>
      <c r="HM393" t="e">
        <f>AND('PROG FORMACIÓN TITULADA'!#REF!,"AAAAAHfy3tw=")</f>
        <v>#REF!</v>
      </c>
      <c r="HN393" t="e">
        <f>AND('PROG FORMACIÓN TITULADA'!#REF!,"AAAAAHfy3t0=")</f>
        <v>#REF!</v>
      </c>
      <c r="HO393" t="e">
        <f>AND('PROG FORMACIÓN TITULADA'!#REF!,"AAAAAHfy3t4=")</f>
        <v>#REF!</v>
      </c>
      <c r="HP393" t="e">
        <f>AND('PROG FORMACIÓN TITULADA'!#REF!,"AAAAAHfy3t8=")</f>
        <v>#REF!</v>
      </c>
      <c r="HQ393" t="e">
        <f>AND('PROG FORMACIÓN TITULADA'!#REF!,"AAAAAHfy3uA=")</f>
        <v>#REF!</v>
      </c>
      <c r="HR393" t="e">
        <f>AND('PROG FORMACIÓN TITULADA'!#REF!,"AAAAAHfy3uE=")</f>
        <v>#REF!</v>
      </c>
      <c r="HS393" t="e">
        <f>AND('PROG FORMACIÓN TITULADA'!#REF!,"AAAAAHfy3uI=")</f>
        <v>#REF!</v>
      </c>
      <c r="HT393" t="e">
        <f>AND('PROG FORMACIÓN TITULADA'!#REF!,"AAAAAHfy3uM=")</f>
        <v>#REF!</v>
      </c>
      <c r="HU393" t="e">
        <f>AND('PROG FORMACIÓN TITULADA'!#REF!,"AAAAAHfy3uQ=")</f>
        <v>#REF!</v>
      </c>
      <c r="HV393" t="e">
        <f>AND('PROG FORMACIÓN TITULADA'!#REF!,"AAAAAHfy3uU=")</f>
        <v>#REF!</v>
      </c>
      <c r="HW393" t="e">
        <f>AND('PROG FORMACIÓN TITULADA'!#REF!,"AAAAAHfy3uY=")</f>
        <v>#REF!</v>
      </c>
      <c r="HX393" t="e">
        <f>AND('PROG FORMACIÓN TITULADA'!#REF!,"AAAAAHfy3uc=")</f>
        <v>#REF!</v>
      </c>
      <c r="HY393" t="e">
        <f>AND('PROG FORMACIÓN TITULADA'!#REF!,"AAAAAHfy3ug=")</f>
        <v>#REF!</v>
      </c>
      <c r="HZ393" t="e">
        <f>AND('PROG FORMACIÓN TITULADA'!#REF!,"AAAAAHfy3uk=")</f>
        <v>#REF!</v>
      </c>
      <c r="IA393" t="e">
        <f>AND('PROG FORMACIÓN TITULADA'!#REF!,"AAAAAHfy3uo=")</f>
        <v>#REF!</v>
      </c>
      <c r="IB393" t="e">
        <f>AND('PROG FORMACIÓN TITULADA'!#REF!,"AAAAAHfy3us=")</f>
        <v>#REF!</v>
      </c>
      <c r="IC393" t="e">
        <f>AND('PROG FORMACIÓN TITULADA'!#REF!,"AAAAAHfy3uw=")</f>
        <v>#REF!</v>
      </c>
      <c r="ID393" t="e">
        <f>AND('PROG FORMACIÓN TITULADA'!#REF!,"AAAAAHfy3u0=")</f>
        <v>#REF!</v>
      </c>
      <c r="IE393" t="e">
        <f>IF('PROG FORMACIÓN TITULADA'!#REF!,"AAAAAHfy3u4=",0)</f>
        <v>#REF!</v>
      </c>
      <c r="IF393" t="e">
        <f>AND('PROG FORMACIÓN TITULADA'!#REF!,"AAAAAHfy3u8=")</f>
        <v>#REF!</v>
      </c>
      <c r="IG393" t="e">
        <f>AND('PROG FORMACIÓN TITULADA'!#REF!,"AAAAAHfy3vA=")</f>
        <v>#REF!</v>
      </c>
      <c r="IH393" t="e">
        <f>AND('PROG FORMACIÓN TITULADA'!#REF!,"AAAAAHfy3vE=")</f>
        <v>#REF!</v>
      </c>
      <c r="II393" t="e">
        <f>AND('PROG FORMACIÓN TITULADA'!#REF!,"AAAAAHfy3vI=")</f>
        <v>#REF!</v>
      </c>
      <c r="IJ393" t="e">
        <f>AND('PROG FORMACIÓN TITULADA'!#REF!,"AAAAAHfy3vM=")</f>
        <v>#REF!</v>
      </c>
      <c r="IK393" t="e">
        <f>AND('PROG FORMACIÓN TITULADA'!#REF!,"AAAAAHfy3vQ=")</f>
        <v>#REF!</v>
      </c>
      <c r="IL393" t="e">
        <f>AND('PROG FORMACIÓN TITULADA'!#REF!,"AAAAAHfy3vU=")</f>
        <v>#REF!</v>
      </c>
      <c r="IM393" t="e">
        <f>AND('PROG FORMACIÓN TITULADA'!#REF!,"AAAAAHfy3vY=")</f>
        <v>#REF!</v>
      </c>
      <c r="IN393" t="e">
        <f>AND('PROG FORMACIÓN TITULADA'!#REF!,"AAAAAHfy3vc=")</f>
        <v>#REF!</v>
      </c>
      <c r="IO393" t="e">
        <f>AND('PROG FORMACIÓN TITULADA'!#REF!,"AAAAAHfy3vg=")</f>
        <v>#REF!</v>
      </c>
      <c r="IP393" t="e">
        <f>AND('PROG FORMACIÓN TITULADA'!#REF!,"AAAAAHfy3vk=")</f>
        <v>#REF!</v>
      </c>
      <c r="IQ393" t="e">
        <f>AND('PROG FORMACIÓN TITULADA'!#REF!,"AAAAAHfy3vo=")</f>
        <v>#REF!</v>
      </c>
      <c r="IR393" t="e">
        <f>AND('PROG FORMACIÓN TITULADA'!#REF!,"AAAAAHfy3vs=")</f>
        <v>#REF!</v>
      </c>
      <c r="IS393" t="e">
        <f>AND('PROG FORMACIÓN TITULADA'!#REF!,"AAAAAHfy3vw=")</f>
        <v>#REF!</v>
      </c>
      <c r="IT393" t="e">
        <f>AND('PROG FORMACIÓN TITULADA'!#REF!,"AAAAAHfy3v0=")</f>
        <v>#REF!</v>
      </c>
      <c r="IU393" t="e">
        <f>AND('PROG FORMACIÓN TITULADA'!#REF!,"AAAAAHfy3v4=")</f>
        <v>#REF!</v>
      </c>
      <c r="IV393" t="e">
        <f>AND('PROG FORMACIÓN TITULADA'!#REF!,"AAAAAHfy3v8=")</f>
        <v>#REF!</v>
      </c>
    </row>
    <row r="394" spans="1:256" x14ac:dyDescent="0.2">
      <c r="A394" t="e">
        <f>AND('PROG FORMACIÓN TITULADA'!#REF!,"AAAAAHXd3wA=")</f>
        <v>#REF!</v>
      </c>
      <c r="B394" t="e">
        <f>AND('PROG FORMACIÓN TITULADA'!#REF!,"AAAAAHXd3wE=")</f>
        <v>#REF!</v>
      </c>
      <c r="C394" t="e">
        <f>AND('PROG FORMACIÓN TITULADA'!#REF!,"AAAAAHXd3wI=")</f>
        <v>#REF!</v>
      </c>
      <c r="D394" t="e">
        <f>AND('PROG FORMACIÓN TITULADA'!#REF!,"AAAAAHXd3wM=")</f>
        <v>#REF!</v>
      </c>
      <c r="E394" t="e">
        <f>AND('PROG FORMACIÓN TITULADA'!#REF!,"AAAAAHXd3wQ=")</f>
        <v>#REF!</v>
      </c>
      <c r="F394" t="e">
        <f>AND('PROG FORMACIÓN TITULADA'!#REF!,"AAAAAHXd3wU=")</f>
        <v>#REF!</v>
      </c>
      <c r="G394" t="e">
        <f>AND('PROG FORMACIÓN TITULADA'!#REF!,"AAAAAHXd3wY=")</f>
        <v>#REF!</v>
      </c>
      <c r="H394" t="e">
        <f>AND('PROG FORMACIÓN TITULADA'!#REF!,"AAAAAHXd3wc=")</f>
        <v>#REF!</v>
      </c>
      <c r="I394" t="e">
        <f>AND('PROG FORMACIÓN TITULADA'!#REF!,"AAAAAHXd3wg=")</f>
        <v>#REF!</v>
      </c>
      <c r="J394" t="e">
        <f>IF('PROG FORMACIÓN TITULADA'!#REF!,"AAAAAHXd3wk=",0)</f>
        <v>#REF!</v>
      </c>
      <c r="K394" t="e">
        <f>AND('PROG FORMACIÓN TITULADA'!#REF!,"AAAAAHXd3wo=")</f>
        <v>#REF!</v>
      </c>
      <c r="L394" t="e">
        <f>AND('PROG FORMACIÓN TITULADA'!#REF!,"AAAAAHXd3ws=")</f>
        <v>#REF!</v>
      </c>
      <c r="M394" t="e">
        <f>AND('PROG FORMACIÓN TITULADA'!#REF!,"AAAAAHXd3ww=")</f>
        <v>#REF!</v>
      </c>
      <c r="N394" t="e">
        <f>AND('PROG FORMACIÓN TITULADA'!#REF!,"AAAAAHXd3w0=")</f>
        <v>#REF!</v>
      </c>
      <c r="O394" t="e">
        <f>AND('PROG FORMACIÓN TITULADA'!#REF!,"AAAAAHXd3w4=")</f>
        <v>#REF!</v>
      </c>
      <c r="P394" t="e">
        <f>AND('PROG FORMACIÓN TITULADA'!#REF!,"AAAAAHXd3w8=")</f>
        <v>#REF!</v>
      </c>
      <c r="Q394" t="e">
        <f>AND('PROG FORMACIÓN TITULADA'!#REF!,"AAAAAHXd3xA=")</f>
        <v>#REF!</v>
      </c>
      <c r="R394" t="e">
        <f>AND('PROG FORMACIÓN TITULADA'!#REF!,"AAAAAHXd3xE=")</f>
        <v>#REF!</v>
      </c>
      <c r="S394" t="e">
        <f>AND('PROG FORMACIÓN TITULADA'!#REF!,"AAAAAHXd3xI=")</f>
        <v>#REF!</v>
      </c>
      <c r="T394" t="e">
        <f>AND('PROG FORMACIÓN TITULADA'!#REF!,"AAAAAHXd3xM=")</f>
        <v>#REF!</v>
      </c>
      <c r="U394" t="e">
        <f>AND('PROG FORMACIÓN TITULADA'!#REF!,"AAAAAHXd3xQ=")</f>
        <v>#REF!</v>
      </c>
      <c r="V394" t="e">
        <f>AND('PROG FORMACIÓN TITULADA'!#REF!,"AAAAAHXd3xU=")</f>
        <v>#REF!</v>
      </c>
      <c r="W394" t="e">
        <f>AND('PROG FORMACIÓN TITULADA'!#REF!,"AAAAAHXd3xY=")</f>
        <v>#REF!</v>
      </c>
      <c r="X394" t="e">
        <f>AND('PROG FORMACIÓN TITULADA'!#REF!,"AAAAAHXd3xc=")</f>
        <v>#REF!</v>
      </c>
      <c r="Y394" t="e">
        <f>AND('PROG FORMACIÓN TITULADA'!#REF!,"AAAAAHXd3xg=")</f>
        <v>#REF!</v>
      </c>
      <c r="Z394" t="e">
        <f>AND('PROG FORMACIÓN TITULADA'!#REF!,"AAAAAHXd3xk=")</f>
        <v>#REF!</v>
      </c>
      <c r="AA394" t="e">
        <f>AND('PROG FORMACIÓN TITULADA'!#REF!,"AAAAAHXd3xo=")</f>
        <v>#REF!</v>
      </c>
      <c r="AB394" t="e">
        <f>AND('PROG FORMACIÓN TITULADA'!#REF!,"AAAAAHXd3xs=")</f>
        <v>#REF!</v>
      </c>
      <c r="AC394" t="e">
        <f>AND('PROG FORMACIÓN TITULADA'!#REF!,"AAAAAHXd3xw=")</f>
        <v>#REF!</v>
      </c>
      <c r="AD394" t="e">
        <f>AND('PROG FORMACIÓN TITULADA'!#REF!,"AAAAAHXd3x0=")</f>
        <v>#REF!</v>
      </c>
      <c r="AE394" t="e">
        <f>AND('PROG FORMACIÓN TITULADA'!#REF!,"AAAAAHXd3x4=")</f>
        <v>#REF!</v>
      </c>
      <c r="AF394" t="e">
        <f>AND('PROG FORMACIÓN TITULADA'!#REF!,"AAAAAHXd3x8=")</f>
        <v>#REF!</v>
      </c>
      <c r="AG394" t="e">
        <f>AND('PROG FORMACIÓN TITULADA'!#REF!,"AAAAAHXd3yA=")</f>
        <v>#REF!</v>
      </c>
      <c r="AH394" t="e">
        <f>AND('PROG FORMACIÓN TITULADA'!#REF!,"AAAAAHXd3yE=")</f>
        <v>#REF!</v>
      </c>
      <c r="AI394" t="e">
        <f>AND('PROG FORMACIÓN TITULADA'!#REF!,"AAAAAHXd3yI=")</f>
        <v>#REF!</v>
      </c>
      <c r="AJ394" t="e">
        <f>AND('PROG FORMACIÓN TITULADA'!#REF!,"AAAAAHXd3yM=")</f>
        <v>#REF!</v>
      </c>
      <c r="AK394" t="e">
        <f>IF('PROG FORMACIÓN TITULADA'!#REF!,"AAAAAHXd3yQ=",0)</f>
        <v>#REF!</v>
      </c>
      <c r="AL394" t="e">
        <f>AND('PROG FORMACIÓN TITULADA'!#REF!,"AAAAAHXd3yU=")</f>
        <v>#REF!</v>
      </c>
      <c r="AM394" t="e">
        <f>AND('PROG FORMACIÓN TITULADA'!#REF!,"AAAAAHXd3yY=")</f>
        <v>#REF!</v>
      </c>
      <c r="AN394" t="e">
        <f>AND('PROG FORMACIÓN TITULADA'!#REF!,"AAAAAHXd3yc=")</f>
        <v>#REF!</v>
      </c>
      <c r="AO394" t="e">
        <f>AND('PROG FORMACIÓN TITULADA'!#REF!,"AAAAAHXd3yg=")</f>
        <v>#REF!</v>
      </c>
      <c r="AP394" t="e">
        <f>AND('PROG FORMACIÓN TITULADA'!#REF!,"AAAAAHXd3yk=")</f>
        <v>#REF!</v>
      </c>
      <c r="AQ394" t="e">
        <f>AND('PROG FORMACIÓN TITULADA'!#REF!,"AAAAAHXd3yo=")</f>
        <v>#REF!</v>
      </c>
      <c r="AR394" t="e">
        <f>AND('PROG FORMACIÓN TITULADA'!#REF!,"AAAAAHXd3ys=")</f>
        <v>#REF!</v>
      </c>
      <c r="AS394" t="e">
        <f>AND('PROG FORMACIÓN TITULADA'!#REF!,"AAAAAHXd3yw=")</f>
        <v>#REF!</v>
      </c>
      <c r="AT394" t="e">
        <f>AND('PROG FORMACIÓN TITULADA'!#REF!,"AAAAAHXd3y0=")</f>
        <v>#REF!</v>
      </c>
      <c r="AU394" t="e">
        <f>AND('PROG FORMACIÓN TITULADA'!#REF!,"AAAAAHXd3y4=")</f>
        <v>#REF!</v>
      </c>
      <c r="AV394" t="e">
        <f>AND('PROG FORMACIÓN TITULADA'!#REF!,"AAAAAHXd3y8=")</f>
        <v>#REF!</v>
      </c>
      <c r="AW394" t="e">
        <f>AND('PROG FORMACIÓN TITULADA'!#REF!,"AAAAAHXd3zA=")</f>
        <v>#REF!</v>
      </c>
      <c r="AX394" t="e">
        <f>AND('PROG FORMACIÓN TITULADA'!#REF!,"AAAAAHXd3zE=")</f>
        <v>#REF!</v>
      </c>
      <c r="AY394" t="e">
        <f>AND('PROG FORMACIÓN TITULADA'!#REF!,"AAAAAHXd3zI=")</f>
        <v>#REF!</v>
      </c>
      <c r="AZ394" t="e">
        <f>AND('PROG FORMACIÓN TITULADA'!#REF!,"AAAAAHXd3zM=")</f>
        <v>#REF!</v>
      </c>
      <c r="BA394" t="e">
        <f>AND('PROG FORMACIÓN TITULADA'!#REF!,"AAAAAHXd3zQ=")</f>
        <v>#REF!</v>
      </c>
      <c r="BB394" t="e">
        <f>AND('PROG FORMACIÓN TITULADA'!#REF!,"AAAAAHXd3zU=")</f>
        <v>#REF!</v>
      </c>
      <c r="BC394" t="e">
        <f>AND('PROG FORMACIÓN TITULADA'!#REF!,"AAAAAHXd3zY=")</f>
        <v>#REF!</v>
      </c>
      <c r="BD394" t="e">
        <f>AND('PROG FORMACIÓN TITULADA'!#REF!,"AAAAAHXd3zc=")</f>
        <v>#REF!</v>
      </c>
      <c r="BE394" t="e">
        <f>AND('PROG FORMACIÓN TITULADA'!#REF!,"AAAAAHXd3zg=")</f>
        <v>#REF!</v>
      </c>
      <c r="BF394" t="e">
        <f>AND('PROG FORMACIÓN TITULADA'!#REF!,"AAAAAHXd3zk=")</f>
        <v>#REF!</v>
      </c>
      <c r="BG394" t="e">
        <f>AND('PROG FORMACIÓN TITULADA'!#REF!,"AAAAAHXd3zo=")</f>
        <v>#REF!</v>
      </c>
      <c r="BH394" t="e">
        <f>AND('PROG FORMACIÓN TITULADA'!#REF!,"AAAAAHXd3zs=")</f>
        <v>#REF!</v>
      </c>
      <c r="BI394" t="e">
        <f>AND('PROG FORMACIÓN TITULADA'!#REF!,"AAAAAHXd3zw=")</f>
        <v>#REF!</v>
      </c>
      <c r="BJ394" t="e">
        <f>AND('PROG FORMACIÓN TITULADA'!#REF!,"AAAAAHXd3z0=")</f>
        <v>#REF!</v>
      </c>
      <c r="BK394" t="e">
        <f>AND('PROG FORMACIÓN TITULADA'!#REF!,"AAAAAHXd3z4=")</f>
        <v>#REF!</v>
      </c>
      <c r="BL394" t="e">
        <f>IF('PROG FORMACIÓN TITULADA'!#REF!,"AAAAAHXd3z8=",0)</f>
        <v>#REF!</v>
      </c>
      <c r="BM394" t="e">
        <f>AND('PROG FORMACIÓN TITULADA'!#REF!,"AAAAAHXd30A=")</f>
        <v>#REF!</v>
      </c>
      <c r="BN394" t="e">
        <f>AND('PROG FORMACIÓN TITULADA'!#REF!,"AAAAAHXd30E=")</f>
        <v>#REF!</v>
      </c>
      <c r="BO394" t="e">
        <f>AND('PROG FORMACIÓN TITULADA'!#REF!,"AAAAAHXd30I=")</f>
        <v>#REF!</v>
      </c>
      <c r="BP394" t="e">
        <f>AND('PROG FORMACIÓN TITULADA'!#REF!,"AAAAAHXd30M=")</f>
        <v>#REF!</v>
      </c>
      <c r="BQ394" t="e">
        <f>AND('PROG FORMACIÓN TITULADA'!#REF!,"AAAAAHXd30Q=")</f>
        <v>#REF!</v>
      </c>
      <c r="BR394" t="e">
        <f>AND('PROG FORMACIÓN TITULADA'!#REF!,"AAAAAHXd30U=")</f>
        <v>#REF!</v>
      </c>
      <c r="BS394" t="e">
        <f>AND('PROG FORMACIÓN TITULADA'!#REF!,"AAAAAHXd30Y=")</f>
        <v>#REF!</v>
      </c>
      <c r="BT394" t="e">
        <f>AND('PROG FORMACIÓN TITULADA'!#REF!,"AAAAAHXd30c=")</f>
        <v>#REF!</v>
      </c>
      <c r="BU394" t="e">
        <f>AND('PROG FORMACIÓN TITULADA'!#REF!,"AAAAAHXd30g=")</f>
        <v>#REF!</v>
      </c>
      <c r="BV394" t="e">
        <f>AND('PROG FORMACIÓN TITULADA'!#REF!,"AAAAAHXd30k=")</f>
        <v>#REF!</v>
      </c>
      <c r="BW394" t="e">
        <f>AND('PROG FORMACIÓN TITULADA'!#REF!,"AAAAAHXd30o=")</f>
        <v>#REF!</v>
      </c>
      <c r="BX394" t="e">
        <f>AND('PROG FORMACIÓN TITULADA'!#REF!,"AAAAAHXd30s=")</f>
        <v>#REF!</v>
      </c>
      <c r="BY394" t="e">
        <f>AND('PROG FORMACIÓN TITULADA'!#REF!,"AAAAAHXd30w=")</f>
        <v>#REF!</v>
      </c>
      <c r="BZ394" t="e">
        <f>AND('PROG FORMACIÓN TITULADA'!#REF!,"AAAAAHXd300=")</f>
        <v>#REF!</v>
      </c>
      <c r="CA394" t="e">
        <f>AND('PROG FORMACIÓN TITULADA'!#REF!,"AAAAAHXd304=")</f>
        <v>#REF!</v>
      </c>
      <c r="CB394" t="e">
        <f>AND('PROG FORMACIÓN TITULADA'!#REF!,"AAAAAHXd308=")</f>
        <v>#REF!</v>
      </c>
      <c r="CC394" t="e">
        <f>AND('PROG FORMACIÓN TITULADA'!#REF!,"AAAAAHXd31A=")</f>
        <v>#REF!</v>
      </c>
      <c r="CD394" t="e">
        <f>AND('PROG FORMACIÓN TITULADA'!#REF!,"AAAAAHXd31E=")</f>
        <v>#REF!</v>
      </c>
      <c r="CE394" t="e">
        <f>AND('PROG FORMACIÓN TITULADA'!#REF!,"AAAAAHXd31I=")</f>
        <v>#REF!</v>
      </c>
      <c r="CF394" t="e">
        <f>AND('PROG FORMACIÓN TITULADA'!#REF!,"AAAAAHXd31M=")</f>
        <v>#REF!</v>
      </c>
      <c r="CG394" t="e">
        <f>AND('PROG FORMACIÓN TITULADA'!#REF!,"AAAAAHXd31Q=")</f>
        <v>#REF!</v>
      </c>
      <c r="CH394" t="e">
        <f>AND('PROG FORMACIÓN TITULADA'!#REF!,"AAAAAHXd31U=")</f>
        <v>#REF!</v>
      </c>
      <c r="CI394" t="e">
        <f>AND('PROG FORMACIÓN TITULADA'!#REF!,"AAAAAHXd31Y=")</f>
        <v>#REF!</v>
      </c>
      <c r="CJ394" t="e">
        <f>AND('PROG FORMACIÓN TITULADA'!#REF!,"AAAAAHXd31c=")</f>
        <v>#REF!</v>
      </c>
      <c r="CK394" t="e">
        <f>AND('PROG FORMACIÓN TITULADA'!#REF!,"AAAAAHXd31g=")</f>
        <v>#REF!</v>
      </c>
      <c r="CL394" t="e">
        <f>AND('PROG FORMACIÓN TITULADA'!#REF!,"AAAAAHXd31k=")</f>
        <v>#REF!</v>
      </c>
      <c r="CM394" t="e">
        <f>IF('PROG FORMACIÓN TITULADA'!#REF!,"AAAAAHXd31o=",0)</f>
        <v>#REF!</v>
      </c>
      <c r="CN394" t="e">
        <f>AND('PROG FORMACIÓN TITULADA'!#REF!,"AAAAAHXd31s=")</f>
        <v>#REF!</v>
      </c>
      <c r="CO394" t="e">
        <f>AND('PROG FORMACIÓN TITULADA'!#REF!,"AAAAAHXd31w=")</f>
        <v>#REF!</v>
      </c>
      <c r="CP394" t="e">
        <f>AND('PROG FORMACIÓN TITULADA'!#REF!,"AAAAAHXd310=")</f>
        <v>#REF!</v>
      </c>
      <c r="CQ394" t="e">
        <f>AND('PROG FORMACIÓN TITULADA'!#REF!,"AAAAAHXd314=")</f>
        <v>#REF!</v>
      </c>
      <c r="CR394" t="e">
        <f>AND('PROG FORMACIÓN TITULADA'!#REF!,"AAAAAHXd318=")</f>
        <v>#REF!</v>
      </c>
      <c r="CS394" t="e">
        <f>AND('PROG FORMACIÓN TITULADA'!#REF!,"AAAAAHXd32A=")</f>
        <v>#REF!</v>
      </c>
      <c r="CT394" t="e">
        <f>AND('PROG FORMACIÓN TITULADA'!#REF!,"AAAAAHXd32E=")</f>
        <v>#REF!</v>
      </c>
      <c r="CU394" t="e">
        <f>AND('PROG FORMACIÓN TITULADA'!#REF!,"AAAAAHXd32I=")</f>
        <v>#REF!</v>
      </c>
      <c r="CV394" t="e">
        <f>AND('PROG FORMACIÓN TITULADA'!#REF!,"AAAAAHXd32M=")</f>
        <v>#REF!</v>
      </c>
      <c r="CW394" t="e">
        <f>AND('PROG FORMACIÓN TITULADA'!#REF!,"AAAAAHXd32Q=")</f>
        <v>#REF!</v>
      </c>
      <c r="CX394" t="e">
        <f>AND('PROG FORMACIÓN TITULADA'!#REF!,"AAAAAHXd32U=")</f>
        <v>#REF!</v>
      </c>
      <c r="CY394" t="e">
        <f>AND('PROG FORMACIÓN TITULADA'!#REF!,"AAAAAHXd32Y=")</f>
        <v>#REF!</v>
      </c>
      <c r="CZ394" t="e">
        <f>AND('PROG FORMACIÓN TITULADA'!#REF!,"AAAAAHXd32c=")</f>
        <v>#REF!</v>
      </c>
      <c r="DA394" t="e">
        <f>AND('PROG FORMACIÓN TITULADA'!#REF!,"AAAAAHXd32g=")</f>
        <v>#REF!</v>
      </c>
      <c r="DB394" t="e">
        <f>AND('PROG FORMACIÓN TITULADA'!#REF!,"AAAAAHXd32k=")</f>
        <v>#REF!</v>
      </c>
      <c r="DC394" t="e">
        <f>AND('PROG FORMACIÓN TITULADA'!#REF!,"AAAAAHXd32o=")</f>
        <v>#REF!</v>
      </c>
      <c r="DD394" t="e">
        <f>AND('PROG FORMACIÓN TITULADA'!#REF!,"AAAAAHXd32s=")</f>
        <v>#REF!</v>
      </c>
      <c r="DE394" t="e">
        <f>AND('PROG FORMACIÓN TITULADA'!#REF!,"AAAAAHXd32w=")</f>
        <v>#REF!</v>
      </c>
      <c r="DF394" t="e">
        <f>AND('PROG FORMACIÓN TITULADA'!#REF!,"AAAAAHXd320=")</f>
        <v>#REF!</v>
      </c>
      <c r="DG394" t="e">
        <f>AND('PROG FORMACIÓN TITULADA'!#REF!,"AAAAAHXd324=")</f>
        <v>#REF!</v>
      </c>
      <c r="DH394" t="e">
        <f>AND('PROG FORMACIÓN TITULADA'!#REF!,"AAAAAHXd328=")</f>
        <v>#REF!</v>
      </c>
      <c r="DI394" t="e">
        <f>AND('PROG FORMACIÓN TITULADA'!#REF!,"AAAAAHXd33A=")</f>
        <v>#REF!</v>
      </c>
      <c r="DJ394" t="e">
        <f>AND('PROG FORMACIÓN TITULADA'!#REF!,"AAAAAHXd33E=")</f>
        <v>#REF!</v>
      </c>
      <c r="DK394" t="e">
        <f>AND('PROG FORMACIÓN TITULADA'!#REF!,"AAAAAHXd33I=")</f>
        <v>#REF!</v>
      </c>
      <c r="DL394" t="e">
        <f>AND('PROG FORMACIÓN TITULADA'!#REF!,"AAAAAHXd33M=")</f>
        <v>#REF!</v>
      </c>
      <c r="DM394" t="e">
        <f>AND('PROG FORMACIÓN TITULADA'!#REF!,"AAAAAHXd33Q=")</f>
        <v>#REF!</v>
      </c>
      <c r="DN394" t="e">
        <f>IF('PROG FORMACIÓN TITULADA'!#REF!,"AAAAAHXd33U=",0)</f>
        <v>#REF!</v>
      </c>
      <c r="DO394" t="e">
        <f>AND('PROG FORMACIÓN TITULADA'!#REF!,"AAAAAHXd33Y=")</f>
        <v>#REF!</v>
      </c>
      <c r="DP394" t="e">
        <f>AND('PROG FORMACIÓN TITULADA'!#REF!,"AAAAAHXd33c=")</f>
        <v>#REF!</v>
      </c>
      <c r="DQ394" t="e">
        <f>AND('PROG FORMACIÓN TITULADA'!#REF!,"AAAAAHXd33g=")</f>
        <v>#REF!</v>
      </c>
      <c r="DR394" t="e">
        <f>AND('PROG FORMACIÓN TITULADA'!#REF!,"AAAAAHXd33k=")</f>
        <v>#REF!</v>
      </c>
      <c r="DS394" t="e">
        <f>AND('PROG FORMACIÓN TITULADA'!#REF!,"AAAAAHXd33o=")</f>
        <v>#REF!</v>
      </c>
      <c r="DT394" t="e">
        <f>AND('PROG FORMACIÓN TITULADA'!#REF!,"AAAAAHXd33s=")</f>
        <v>#REF!</v>
      </c>
      <c r="DU394" t="e">
        <f>AND('PROG FORMACIÓN TITULADA'!#REF!,"AAAAAHXd33w=")</f>
        <v>#REF!</v>
      </c>
      <c r="DV394" t="e">
        <f>AND('PROG FORMACIÓN TITULADA'!#REF!,"AAAAAHXd330=")</f>
        <v>#REF!</v>
      </c>
      <c r="DW394" t="e">
        <f>AND('PROG FORMACIÓN TITULADA'!#REF!,"AAAAAHXd334=")</f>
        <v>#REF!</v>
      </c>
      <c r="DX394" t="e">
        <f>AND('PROG FORMACIÓN TITULADA'!#REF!,"AAAAAHXd338=")</f>
        <v>#REF!</v>
      </c>
      <c r="DY394" t="e">
        <f>AND('PROG FORMACIÓN TITULADA'!#REF!,"AAAAAHXd34A=")</f>
        <v>#REF!</v>
      </c>
      <c r="DZ394" t="e">
        <f>AND('PROG FORMACIÓN TITULADA'!#REF!,"AAAAAHXd34E=")</f>
        <v>#REF!</v>
      </c>
      <c r="EA394" t="e">
        <f>AND('PROG FORMACIÓN TITULADA'!#REF!,"AAAAAHXd34I=")</f>
        <v>#REF!</v>
      </c>
      <c r="EB394" t="e">
        <f>AND('PROG FORMACIÓN TITULADA'!#REF!,"AAAAAHXd34M=")</f>
        <v>#REF!</v>
      </c>
      <c r="EC394" t="e">
        <f>AND('PROG FORMACIÓN TITULADA'!#REF!,"AAAAAHXd34Q=")</f>
        <v>#REF!</v>
      </c>
      <c r="ED394" t="e">
        <f>AND('PROG FORMACIÓN TITULADA'!#REF!,"AAAAAHXd34U=")</f>
        <v>#REF!</v>
      </c>
      <c r="EE394" t="e">
        <f>AND('PROG FORMACIÓN TITULADA'!#REF!,"AAAAAHXd34Y=")</f>
        <v>#REF!</v>
      </c>
      <c r="EF394" t="e">
        <f>AND('PROG FORMACIÓN TITULADA'!#REF!,"AAAAAHXd34c=")</f>
        <v>#REF!</v>
      </c>
      <c r="EG394" t="e">
        <f>AND('PROG FORMACIÓN TITULADA'!#REF!,"AAAAAHXd34g=")</f>
        <v>#REF!</v>
      </c>
      <c r="EH394" t="e">
        <f>AND('PROG FORMACIÓN TITULADA'!#REF!,"AAAAAHXd34k=")</f>
        <v>#REF!</v>
      </c>
      <c r="EI394" t="e">
        <f>AND('PROG FORMACIÓN TITULADA'!#REF!,"AAAAAHXd34o=")</f>
        <v>#REF!</v>
      </c>
      <c r="EJ394" t="e">
        <f>AND('PROG FORMACIÓN TITULADA'!#REF!,"AAAAAHXd34s=")</f>
        <v>#REF!</v>
      </c>
      <c r="EK394" t="e">
        <f>AND('PROG FORMACIÓN TITULADA'!#REF!,"AAAAAHXd34w=")</f>
        <v>#REF!</v>
      </c>
      <c r="EL394" t="e">
        <f>AND('PROG FORMACIÓN TITULADA'!#REF!,"AAAAAHXd340=")</f>
        <v>#REF!</v>
      </c>
      <c r="EM394" t="e">
        <f>AND('PROG FORMACIÓN TITULADA'!#REF!,"AAAAAHXd344=")</f>
        <v>#REF!</v>
      </c>
      <c r="EN394" t="e">
        <f>AND('PROG FORMACIÓN TITULADA'!#REF!,"AAAAAHXd348=")</f>
        <v>#REF!</v>
      </c>
      <c r="EO394" t="e">
        <f>IF('PROG FORMACIÓN TITULADA'!#REF!,"AAAAAHXd35A=",0)</f>
        <v>#REF!</v>
      </c>
      <c r="EP394" t="e">
        <f>AND('PROG FORMACIÓN TITULADA'!#REF!,"AAAAAHXd35E=")</f>
        <v>#REF!</v>
      </c>
      <c r="EQ394" t="e">
        <f>AND('PROG FORMACIÓN TITULADA'!#REF!,"AAAAAHXd35I=")</f>
        <v>#REF!</v>
      </c>
      <c r="ER394" t="e">
        <f>AND('PROG FORMACIÓN TITULADA'!#REF!,"AAAAAHXd35M=")</f>
        <v>#REF!</v>
      </c>
      <c r="ES394" t="e">
        <f>AND('PROG FORMACIÓN TITULADA'!#REF!,"AAAAAHXd35Q=")</f>
        <v>#REF!</v>
      </c>
      <c r="ET394" t="e">
        <f>AND('PROG FORMACIÓN TITULADA'!#REF!,"AAAAAHXd35U=")</f>
        <v>#REF!</v>
      </c>
      <c r="EU394" t="e">
        <f>AND('PROG FORMACIÓN TITULADA'!#REF!,"AAAAAHXd35Y=")</f>
        <v>#REF!</v>
      </c>
      <c r="EV394" t="e">
        <f>AND('PROG FORMACIÓN TITULADA'!#REF!,"AAAAAHXd35c=")</f>
        <v>#REF!</v>
      </c>
      <c r="EW394" t="e">
        <f>AND('PROG FORMACIÓN TITULADA'!#REF!,"AAAAAHXd35g=")</f>
        <v>#REF!</v>
      </c>
      <c r="EX394" t="e">
        <f>AND('PROG FORMACIÓN TITULADA'!#REF!,"AAAAAHXd35k=")</f>
        <v>#REF!</v>
      </c>
      <c r="EY394" t="e">
        <f>AND('PROG FORMACIÓN TITULADA'!#REF!,"AAAAAHXd35o=")</f>
        <v>#REF!</v>
      </c>
      <c r="EZ394" t="e">
        <f>AND('PROG FORMACIÓN TITULADA'!#REF!,"AAAAAHXd35s=")</f>
        <v>#REF!</v>
      </c>
      <c r="FA394" t="e">
        <f>AND('PROG FORMACIÓN TITULADA'!#REF!,"AAAAAHXd35w=")</f>
        <v>#REF!</v>
      </c>
      <c r="FB394" t="e">
        <f>AND('PROG FORMACIÓN TITULADA'!#REF!,"AAAAAHXd350=")</f>
        <v>#REF!</v>
      </c>
      <c r="FC394" t="e">
        <f>AND('PROG FORMACIÓN TITULADA'!#REF!,"AAAAAHXd354=")</f>
        <v>#REF!</v>
      </c>
      <c r="FD394" t="e">
        <f>AND('PROG FORMACIÓN TITULADA'!#REF!,"AAAAAHXd358=")</f>
        <v>#REF!</v>
      </c>
      <c r="FE394" t="e">
        <f>AND('PROG FORMACIÓN TITULADA'!#REF!,"AAAAAHXd36A=")</f>
        <v>#REF!</v>
      </c>
      <c r="FF394" t="e">
        <f>AND('PROG FORMACIÓN TITULADA'!#REF!,"AAAAAHXd36E=")</f>
        <v>#REF!</v>
      </c>
      <c r="FG394" t="e">
        <f>AND('PROG FORMACIÓN TITULADA'!#REF!,"AAAAAHXd36I=")</f>
        <v>#REF!</v>
      </c>
      <c r="FH394" t="e">
        <f>AND('PROG FORMACIÓN TITULADA'!#REF!,"AAAAAHXd36M=")</f>
        <v>#REF!</v>
      </c>
      <c r="FI394" t="e">
        <f>AND('PROG FORMACIÓN TITULADA'!#REF!,"AAAAAHXd36Q=")</f>
        <v>#REF!</v>
      </c>
      <c r="FJ394" t="e">
        <f>AND('PROG FORMACIÓN TITULADA'!#REF!,"AAAAAHXd36U=")</f>
        <v>#REF!</v>
      </c>
      <c r="FK394" t="e">
        <f>AND('PROG FORMACIÓN TITULADA'!#REF!,"AAAAAHXd36Y=")</f>
        <v>#REF!</v>
      </c>
      <c r="FL394" t="e">
        <f>AND('PROG FORMACIÓN TITULADA'!#REF!,"AAAAAHXd36c=")</f>
        <v>#REF!</v>
      </c>
      <c r="FM394" t="e">
        <f>AND('PROG FORMACIÓN TITULADA'!#REF!,"AAAAAHXd36g=")</f>
        <v>#REF!</v>
      </c>
      <c r="FN394" t="e">
        <f>AND('PROG FORMACIÓN TITULADA'!#REF!,"AAAAAHXd36k=")</f>
        <v>#REF!</v>
      </c>
      <c r="FO394" t="e">
        <f>AND('PROG FORMACIÓN TITULADA'!#REF!,"AAAAAHXd36o=")</f>
        <v>#REF!</v>
      </c>
      <c r="FP394" t="e">
        <f>IF('PROG FORMACIÓN TITULADA'!#REF!,"AAAAAHXd36s=",0)</f>
        <v>#REF!</v>
      </c>
      <c r="FQ394" t="e">
        <f>AND('PROG FORMACIÓN TITULADA'!#REF!,"AAAAAHXd36w=")</f>
        <v>#REF!</v>
      </c>
      <c r="FR394" t="e">
        <f>AND('PROG FORMACIÓN TITULADA'!#REF!,"AAAAAHXd360=")</f>
        <v>#REF!</v>
      </c>
      <c r="FS394" t="e">
        <f>AND('PROG FORMACIÓN TITULADA'!#REF!,"AAAAAHXd364=")</f>
        <v>#REF!</v>
      </c>
      <c r="FT394" t="e">
        <f>AND('PROG FORMACIÓN TITULADA'!#REF!,"AAAAAHXd368=")</f>
        <v>#REF!</v>
      </c>
      <c r="FU394" t="e">
        <f>AND('PROG FORMACIÓN TITULADA'!#REF!,"AAAAAHXd37A=")</f>
        <v>#REF!</v>
      </c>
      <c r="FV394" t="e">
        <f>AND('PROG FORMACIÓN TITULADA'!#REF!,"AAAAAHXd37E=")</f>
        <v>#REF!</v>
      </c>
      <c r="FW394" t="e">
        <f>AND('PROG FORMACIÓN TITULADA'!#REF!,"AAAAAHXd37I=")</f>
        <v>#REF!</v>
      </c>
      <c r="FX394" t="e">
        <f>AND('PROG FORMACIÓN TITULADA'!#REF!,"AAAAAHXd37M=")</f>
        <v>#REF!</v>
      </c>
      <c r="FY394" t="e">
        <f>AND('PROG FORMACIÓN TITULADA'!#REF!,"AAAAAHXd37Q=")</f>
        <v>#REF!</v>
      </c>
      <c r="FZ394" t="e">
        <f>AND('PROG FORMACIÓN TITULADA'!#REF!,"AAAAAHXd37U=")</f>
        <v>#REF!</v>
      </c>
      <c r="GA394" t="e">
        <f>AND('PROG FORMACIÓN TITULADA'!#REF!,"AAAAAHXd37Y=")</f>
        <v>#REF!</v>
      </c>
      <c r="GB394" t="e">
        <f>AND('PROG FORMACIÓN TITULADA'!#REF!,"AAAAAHXd37c=")</f>
        <v>#REF!</v>
      </c>
      <c r="GC394" t="e">
        <f>AND('PROG FORMACIÓN TITULADA'!#REF!,"AAAAAHXd37g=")</f>
        <v>#REF!</v>
      </c>
      <c r="GD394" t="e">
        <f>AND('PROG FORMACIÓN TITULADA'!#REF!,"AAAAAHXd37k=")</f>
        <v>#REF!</v>
      </c>
      <c r="GE394" t="e">
        <f>AND('PROG FORMACIÓN TITULADA'!#REF!,"AAAAAHXd37o=")</f>
        <v>#REF!</v>
      </c>
      <c r="GF394" t="e">
        <f>AND('PROG FORMACIÓN TITULADA'!#REF!,"AAAAAHXd37s=")</f>
        <v>#REF!</v>
      </c>
      <c r="GG394" t="e">
        <f>AND('PROG FORMACIÓN TITULADA'!#REF!,"AAAAAHXd37w=")</f>
        <v>#REF!</v>
      </c>
      <c r="GH394" t="e">
        <f>AND('PROG FORMACIÓN TITULADA'!#REF!,"AAAAAHXd370=")</f>
        <v>#REF!</v>
      </c>
      <c r="GI394" t="e">
        <f>AND('PROG FORMACIÓN TITULADA'!#REF!,"AAAAAHXd374=")</f>
        <v>#REF!</v>
      </c>
      <c r="GJ394" t="e">
        <f>AND('PROG FORMACIÓN TITULADA'!#REF!,"AAAAAHXd378=")</f>
        <v>#REF!</v>
      </c>
      <c r="GK394" t="e">
        <f>AND('PROG FORMACIÓN TITULADA'!#REF!,"AAAAAHXd38A=")</f>
        <v>#REF!</v>
      </c>
      <c r="GL394" t="e">
        <f>AND('PROG FORMACIÓN TITULADA'!#REF!,"AAAAAHXd38E=")</f>
        <v>#REF!</v>
      </c>
      <c r="GM394" t="e">
        <f>AND('PROG FORMACIÓN TITULADA'!#REF!,"AAAAAHXd38I=")</f>
        <v>#REF!</v>
      </c>
      <c r="GN394" t="e">
        <f>AND('PROG FORMACIÓN TITULADA'!#REF!,"AAAAAHXd38M=")</f>
        <v>#REF!</v>
      </c>
      <c r="GO394" t="e">
        <f>AND('PROG FORMACIÓN TITULADA'!#REF!,"AAAAAHXd38Q=")</f>
        <v>#REF!</v>
      </c>
      <c r="GP394" t="e">
        <f>AND('PROG FORMACIÓN TITULADA'!#REF!,"AAAAAHXd38U=")</f>
        <v>#REF!</v>
      </c>
      <c r="GQ394" t="e">
        <f>IF('PROG FORMACIÓN TITULADA'!#REF!,"AAAAAHXd38Y=",0)</f>
        <v>#REF!</v>
      </c>
      <c r="GR394" t="e">
        <f>AND('PROG FORMACIÓN TITULADA'!#REF!,"AAAAAHXd38c=")</f>
        <v>#REF!</v>
      </c>
      <c r="GS394" t="e">
        <f>AND('PROG FORMACIÓN TITULADA'!#REF!,"AAAAAHXd38g=")</f>
        <v>#REF!</v>
      </c>
      <c r="GT394" t="e">
        <f>AND('PROG FORMACIÓN TITULADA'!#REF!,"AAAAAHXd38k=")</f>
        <v>#REF!</v>
      </c>
      <c r="GU394" t="e">
        <f>AND('PROG FORMACIÓN TITULADA'!#REF!,"AAAAAHXd38o=")</f>
        <v>#REF!</v>
      </c>
      <c r="GV394" t="e">
        <f>AND('PROG FORMACIÓN TITULADA'!#REF!,"AAAAAHXd38s=")</f>
        <v>#REF!</v>
      </c>
      <c r="GW394" t="e">
        <f>AND('PROG FORMACIÓN TITULADA'!#REF!,"AAAAAHXd38w=")</f>
        <v>#REF!</v>
      </c>
      <c r="GX394" t="e">
        <f>AND('PROG FORMACIÓN TITULADA'!#REF!,"AAAAAHXd380=")</f>
        <v>#REF!</v>
      </c>
      <c r="GY394" t="e">
        <f>AND('PROG FORMACIÓN TITULADA'!#REF!,"AAAAAHXd384=")</f>
        <v>#REF!</v>
      </c>
      <c r="GZ394" t="e">
        <f>AND('PROG FORMACIÓN TITULADA'!#REF!,"AAAAAHXd388=")</f>
        <v>#REF!</v>
      </c>
      <c r="HA394" t="e">
        <f>AND('PROG FORMACIÓN TITULADA'!#REF!,"AAAAAHXd39A=")</f>
        <v>#REF!</v>
      </c>
      <c r="HB394" t="e">
        <f>AND('PROG FORMACIÓN TITULADA'!#REF!,"AAAAAHXd39E=")</f>
        <v>#REF!</v>
      </c>
      <c r="HC394" t="e">
        <f>AND('PROG FORMACIÓN TITULADA'!#REF!,"AAAAAHXd39I=")</f>
        <v>#REF!</v>
      </c>
      <c r="HD394" t="e">
        <f>AND('PROG FORMACIÓN TITULADA'!#REF!,"AAAAAHXd39M=")</f>
        <v>#REF!</v>
      </c>
      <c r="HE394" t="e">
        <f>AND('PROG FORMACIÓN TITULADA'!#REF!,"AAAAAHXd39Q=")</f>
        <v>#REF!</v>
      </c>
      <c r="HF394" t="e">
        <f>AND('PROG FORMACIÓN TITULADA'!#REF!,"AAAAAHXd39U=")</f>
        <v>#REF!</v>
      </c>
      <c r="HG394" t="e">
        <f>AND('PROG FORMACIÓN TITULADA'!#REF!,"AAAAAHXd39Y=")</f>
        <v>#REF!</v>
      </c>
      <c r="HH394" t="e">
        <f>AND('PROG FORMACIÓN TITULADA'!#REF!,"AAAAAHXd39c=")</f>
        <v>#REF!</v>
      </c>
      <c r="HI394" t="e">
        <f>AND('PROG FORMACIÓN TITULADA'!#REF!,"AAAAAHXd39g=")</f>
        <v>#REF!</v>
      </c>
      <c r="HJ394" t="e">
        <f>AND('PROG FORMACIÓN TITULADA'!#REF!,"AAAAAHXd39k=")</f>
        <v>#REF!</v>
      </c>
      <c r="HK394" t="e">
        <f>AND('PROG FORMACIÓN TITULADA'!#REF!,"AAAAAHXd39o=")</f>
        <v>#REF!</v>
      </c>
      <c r="HL394" t="e">
        <f>AND('PROG FORMACIÓN TITULADA'!#REF!,"AAAAAHXd39s=")</f>
        <v>#REF!</v>
      </c>
      <c r="HM394" t="e">
        <f>AND('PROG FORMACIÓN TITULADA'!#REF!,"AAAAAHXd39w=")</f>
        <v>#REF!</v>
      </c>
      <c r="HN394" t="e">
        <f>AND('PROG FORMACIÓN TITULADA'!#REF!,"AAAAAHXd390=")</f>
        <v>#REF!</v>
      </c>
      <c r="HO394" t="e">
        <f>AND('PROG FORMACIÓN TITULADA'!#REF!,"AAAAAHXd394=")</f>
        <v>#REF!</v>
      </c>
      <c r="HP394" t="e">
        <f>AND('PROG FORMACIÓN TITULADA'!#REF!,"AAAAAHXd398=")</f>
        <v>#REF!</v>
      </c>
      <c r="HQ394" t="e">
        <f>AND('PROG FORMACIÓN TITULADA'!#REF!,"AAAAAHXd3+A=")</f>
        <v>#REF!</v>
      </c>
      <c r="HR394" t="e">
        <f>IF('PROG FORMACIÓN TITULADA'!#REF!,"AAAAAHXd3+E=",0)</f>
        <v>#REF!</v>
      </c>
      <c r="HS394" t="e">
        <f>AND('PROG FORMACIÓN TITULADA'!#REF!,"AAAAAHXd3+I=")</f>
        <v>#REF!</v>
      </c>
      <c r="HT394" t="e">
        <f>AND('PROG FORMACIÓN TITULADA'!#REF!,"AAAAAHXd3+M=")</f>
        <v>#REF!</v>
      </c>
      <c r="HU394" t="e">
        <f>AND('PROG FORMACIÓN TITULADA'!#REF!,"AAAAAHXd3+Q=")</f>
        <v>#REF!</v>
      </c>
      <c r="HV394" t="e">
        <f>AND('PROG FORMACIÓN TITULADA'!#REF!,"AAAAAHXd3+U=")</f>
        <v>#REF!</v>
      </c>
      <c r="HW394" t="e">
        <f>AND('PROG FORMACIÓN TITULADA'!#REF!,"AAAAAHXd3+Y=")</f>
        <v>#REF!</v>
      </c>
      <c r="HX394" t="e">
        <f>AND('PROG FORMACIÓN TITULADA'!#REF!,"AAAAAHXd3+c=")</f>
        <v>#REF!</v>
      </c>
      <c r="HY394" t="e">
        <f>AND('PROG FORMACIÓN TITULADA'!#REF!,"AAAAAHXd3+g=")</f>
        <v>#REF!</v>
      </c>
      <c r="HZ394" t="e">
        <f>AND('PROG FORMACIÓN TITULADA'!#REF!,"AAAAAHXd3+k=")</f>
        <v>#REF!</v>
      </c>
      <c r="IA394" t="e">
        <f>AND('PROG FORMACIÓN TITULADA'!#REF!,"AAAAAHXd3+o=")</f>
        <v>#REF!</v>
      </c>
      <c r="IB394" t="e">
        <f>AND('PROG FORMACIÓN TITULADA'!#REF!,"AAAAAHXd3+s=")</f>
        <v>#REF!</v>
      </c>
      <c r="IC394" t="e">
        <f>AND('PROG FORMACIÓN TITULADA'!#REF!,"AAAAAHXd3+w=")</f>
        <v>#REF!</v>
      </c>
      <c r="ID394" t="e">
        <f>AND('PROG FORMACIÓN TITULADA'!#REF!,"AAAAAHXd3+0=")</f>
        <v>#REF!</v>
      </c>
      <c r="IE394" t="e">
        <f>AND('PROG FORMACIÓN TITULADA'!#REF!,"AAAAAHXd3+4=")</f>
        <v>#REF!</v>
      </c>
      <c r="IF394" t="e">
        <f>AND('PROG FORMACIÓN TITULADA'!#REF!,"AAAAAHXd3+8=")</f>
        <v>#REF!</v>
      </c>
      <c r="IG394" t="e">
        <f>AND('PROG FORMACIÓN TITULADA'!#REF!,"AAAAAHXd3/A=")</f>
        <v>#REF!</v>
      </c>
      <c r="IH394" t="e">
        <f>AND('PROG FORMACIÓN TITULADA'!#REF!,"AAAAAHXd3/E=")</f>
        <v>#REF!</v>
      </c>
      <c r="II394" t="e">
        <f>AND('PROG FORMACIÓN TITULADA'!#REF!,"AAAAAHXd3/I=")</f>
        <v>#REF!</v>
      </c>
      <c r="IJ394" t="e">
        <f>AND('PROG FORMACIÓN TITULADA'!#REF!,"AAAAAHXd3/M=")</f>
        <v>#REF!</v>
      </c>
      <c r="IK394" t="e">
        <f>AND('PROG FORMACIÓN TITULADA'!#REF!,"AAAAAHXd3/Q=")</f>
        <v>#REF!</v>
      </c>
      <c r="IL394" t="e">
        <f>AND('PROG FORMACIÓN TITULADA'!#REF!,"AAAAAHXd3/U=")</f>
        <v>#REF!</v>
      </c>
      <c r="IM394" t="e">
        <f>AND('PROG FORMACIÓN TITULADA'!#REF!,"AAAAAHXd3/Y=")</f>
        <v>#REF!</v>
      </c>
      <c r="IN394" t="e">
        <f>AND('PROG FORMACIÓN TITULADA'!#REF!,"AAAAAHXd3/c=")</f>
        <v>#REF!</v>
      </c>
      <c r="IO394" t="e">
        <f>AND('PROG FORMACIÓN TITULADA'!#REF!,"AAAAAHXd3/g=")</f>
        <v>#REF!</v>
      </c>
      <c r="IP394" t="e">
        <f>AND('PROG FORMACIÓN TITULADA'!#REF!,"AAAAAHXd3/k=")</f>
        <v>#REF!</v>
      </c>
      <c r="IQ394" t="e">
        <f>AND('PROG FORMACIÓN TITULADA'!#REF!,"AAAAAHXd3/o=")</f>
        <v>#REF!</v>
      </c>
      <c r="IR394" t="e">
        <f>AND('PROG FORMACIÓN TITULADA'!#REF!,"AAAAAHXd3/s=")</f>
        <v>#REF!</v>
      </c>
      <c r="IS394" t="e">
        <f>IF('PROG FORMACIÓN TITULADA'!#REF!,"AAAAAHXd3/w=",0)</f>
        <v>#REF!</v>
      </c>
      <c r="IT394" t="e">
        <f>AND('PROG FORMACIÓN TITULADA'!#REF!,"AAAAAHXd3/0=")</f>
        <v>#REF!</v>
      </c>
      <c r="IU394" t="e">
        <f>AND('PROG FORMACIÓN TITULADA'!#REF!,"AAAAAHXd3/4=")</f>
        <v>#REF!</v>
      </c>
      <c r="IV394" t="e">
        <f>AND('PROG FORMACIÓN TITULADA'!#REF!,"AAAAAHXd3/8=")</f>
        <v>#REF!</v>
      </c>
    </row>
    <row r="395" spans="1:256" x14ac:dyDescent="0.2">
      <c r="A395" t="e">
        <f>AND('PROG FORMACIÓN TITULADA'!#REF!,"AAAAAF35nQA=")</f>
        <v>#REF!</v>
      </c>
      <c r="B395" t="e">
        <f>AND('PROG FORMACIÓN TITULADA'!#REF!,"AAAAAF35nQE=")</f>
        <v>#REF!</v>
      </c>
      <c r="C395" t="e">
        <f>AND('PROG FORMACIÓN TITULADA'!#REF!,"AAAAAF35nQI=")</f>
        <v>#REF!</v>
      </c>
      <c r="D395" t="e">
        <f>AND('PROG FORMACIÓN TITULADA'!#REF!,"AAAAAF35nQM=")</f>
        <v>#REF!</v>
      </c>
      <c r="E395" t="e">
        <f>AND('PROG FORMACIÓN TITULADA'!#REF!,"AAAAAF35nQQ=")</f>
        <v>#REF!</v>
      </c>
      <c r="F395" t="e">
        <f>AND('PROG FORMACIÓN TITULADA'!#REF!,"AAAAAF35nQU=")</f>
        <v>#REF!</v>
      </c>
      <c r="G395" t="e">
        <f>AND('PROG FORMACIÓN TITULADA'!#REF!,"AAAAAF35nQY=")</f>
        <v>#REF!</v>
      </c>
      <c r="H395" t="e">
        <f>AND('PROG FORMACIÓN TITULADA'!#REF!,"AAAAAF35nQc=")</f>
        <v>#REF!</v>
      </c>
      <c r="I395" t="e">
        <f>AND('PROG FORMACIÓN TITULADA'!#REF!,"AAAAAF35nQg=")</f>
        <v>#REF!</v>
      </c>
      <c r="J395" t="e">
        <f>AND('PROG FORMACIÓN TITULADA'!#REF!,"AAAAAF35nQk=")</f>
        <v>#REF!</v>
      </c>
      <c r="K395" t="e">
        <f>AND('PROG FORMACIÓN TITULADA'!#REF!,"AAAAAF35nQo=")</f>
        <v>#REF!</v>
      </c>
      <c r="L395" t="e">
        <f>AND('PROG FORMACIÓN TITULADA'!#REF!,"AAAAAF35nQs=")</f>
        <v>#REF!</v>
      </c>
      <c r="M395" t="e">
        <f>AND('PROG FORMACIÓN TITULADA'!#REF!,"AAAAAF35nQw=")</f>
        <v>#REF!</v>
      </c>
      <c r="N395" t="e">
        <f>AND('PROG FORMACIÓN TITULADA'!#REF!,"AAAAAF35nQ0=")</f>
        <v>#REF!</v>
      </c>
      <c r="O395" t="e">
        <f>AND('PROG FORMACIÓN TITULADA'!#REF!,"AAAAAF35nQ4=")</f>
        <v>#REF!</v>
      </c>
      <c r="P395" t="e">
        <f>AND('PROG FORMACIÓN TITULADA'!#REF!,"AAAAAF35nQ8=")</f>
        <v>#REF!</v>
      </c>
      <c r="Q395" t="e">
        <f>AND('PROG FORMACIÓN TITULADA'!#REF!,"AAAAAF35nRA=")</f>
        <v>#REF!</v>
      </c>
      <c r="R395" t="e">
        <f>AND('PROG FORMACIÓN TITULADA'!#REF!,"AAAAAF35nRE=")</f>
        <v>#REF!</v>
      </c>
      <c r="S395" t="e">
        <f>AND('PROG FORMACIÓN TITULADA'!#REF!,"AAAAAF35nRI=")</f>
        <v>#REF!</v>
      </c>
      <c r="T395" t="e">
        <f>AND('PROG FORMACIÓN TITULADA'!#REF!,"AAAAAF35nRM=")</f>
        <v>#REF!</v>
      </c>
      <c r="U395" t="e">
        <f>AND('PROG FORMACIÓN TITULADA'!#REF!,"AAAAAF35nRQ=")</f>
        <v>#REF!</v>
      </c>
      <c r="V395" t="e">
        <f>AND('PROG FORMACIÓN TITULADA'!#REF!,"AAAAAF35nRU=")</f>
        <v>#REF!</v>
      </c>
      <c r="W395" t="e">
        <f>AND('PROG FORMACIÓN TITULADA'!#REF!,"AAAAAF35nRY=")</f>
        <v>#REF!</v>
      </c>
      <c r="X395" t="e">
        <f>IF('PROG FORMACIÓN TITULADA'!#REF!,"AAAAAF35nRc=",0)</f>
        <v>#REF!</v>
      </c>
      <c r="Y395" t="e">
        <f>AND('PROG FORMACIÓN TITULADA'!#REF!,"AAAAAF35nRg=")</f>
        <v>#REF!</v>
      </c>
      <c r="Z395" t="e">
        <f>AND('PROG FORMACIÓN TITULADA'!#REF!,"AAAAAF35nRk=")</f>
        <v>#REF!</v>
      </c>
      <c r="AA395" t="e">
        <f>AND('PROG FORMACIÓN TITULADA'!#REF!,"AAAAAF35nRo=")</f>
        <v>#REF!</v>
      </c>
      <c r="AB395" t="e">
        <f>AND('PROG FORMACIÓN TITULADA'!#REF!,"AAAAAF35nRs=")</f>
        <v>#REF!</v>
      </c>
      <c r="AC395" t="e">
        <f>AND('PROG FORMACIÓN TITULADA'!#REF!,"AAAAAF35nRw=")</f>
        <v>#REF!</v>
      </c>
      <c r="AD395" t="e">
        <f>AND('PROG FORMACIÓN TITULADA'!#REF!,"AAAAAF35nR0=")</f>
        <v>#REF!</v>
      </c>
      <c r="AE395" t="e">
        <f>AND('PROG FORMACIÓN TITULADA'!#REF!,"AAAAAF35nR4=")</f>
        <v>#REF!</v>
      </c>
      <c r="AF395" t="e">
        <f>AND('PROG FORMACIÓN TITULADA'!#REF!,"AAAAAF35nR8=")</f>
        <v>#REF!</v>
      </c>
      <c r="AG395" t="e">
        <f>AND('PROG FORMACIÓN TITULADA'!#REF!,"AAAAAF35nSA=")</f>
        <v>#REF!</v>
      </c>
      <c r="AH395" t="e">
        <f>AND('PROG FORMACIÓN TITULADA'!#REF!,"AAAAAF35nSE=")</f>
        <v>#REF!</v>
      </c>
      <c r="AI395" t="e">
        <f>AND('PROG FORMACIÓN TITULADA'!#REF!,"AAAAAF35nSI=")</f>
        <v>#REF!</v>
      </c>
      <c r="AJ395" t="e">
        <f>AND('PROG FORMACIÓN TITULADA'!#REF!,"AAAAAF35nSM=")</f>
        <v>#REF!</v>
      </c>
      <c r="AK395" t="e">
        <f>AND('PROG FORMACIÓN TITULADA'!#REF!,"AAAAAF35nSQ=")</f>
        <v>#REF!</v>
      </c>
      <c r="AL395" t="e">
        <f>AND('PROG FORMACIÓN TITULADA'!#REF!,"AAAAAF35nSU=")</f>
        <v>#REF!</v>
      </c>
      <c r="AM395" t="e">
        <f>AND('PROG FORMACIÓN TITULADA'!#REF!,"AAAAAF35nSY=")</f>
        <v>#REF!</v>
      </c>
      <c r="AN395" t="e">
        <f>AND('PROG FORMACIÓN TITULADA'!#REF!,"AAAAAF35nSc=")</f>
        <v>#REF!</v>
      </c>
      <c r="AO395" t="e">
        <f>AND('PROG FORMACIÓN TITULADA'!#REF!,"AAAAAF35nSg=")</f>
        <v>#REF!</v>
      </c>
      <c r="AP395" t="e">
        <f>AND('PROG FORMACIÓN TITULADA'!#REF!,"AAAAAF35nSk=")</f>
        <v>#REF!</v>
      </c>
      <c r="AQ395" t="e">
        <f>AND('PROG FORMACIÓN TITULADA'!#REF!,"AAAAAF35nSo=")</f>
        <v>#REF!</v>
      </c>
      <c r="AR395" t="e">
        <f>AND('PROG FORMACIÓN TITULADA'!#REF!,"AAAAAF35nSs=")</f>
        <v>#REF!</v>
      </c>
      <c r="AS395" t="e">
        <f>AND('PROG FORMACIÓN TITULADA'!#REF!,"AAAAAF35nSw=")</f>
        <v>#REF!</v>
      </c>
      <c r="AT395" t="e">
        <f>AND('PROG FORMACIÓN TITULADA'!#REF!,"AAAAAF35nS0=")</f>
        <v>#REF!</v>
      </c>
      <c r="AU395" t="e">
        <f>AND('PROG FORMACIÓN TITULADA'!#REF!,"AAAAAF35nS4=")</f>
        <v>#REF!</v>
      </c>
      <c r="AV395" t="e">
        <f>AND('PROG FORMACIÓN TITULADA'!#REF!,"AAAAAF35nS8=")</f>
        <v>#REF!</v>
      </c>
      <c r="AW395" t="e">
        <f>AND('PROG FORMACIÓN TITULADA'!#REF!,"AAAAAF35nTA=")</f>
        <v>#REF!</v>
      </c>
      <c r="AX395" t="e">
        <f>AND('PROG FORMACIÓN TITULADA'!#REF!,"AAAAAF35nTE=")</f>
        <v>#REF!</v>
      </c>
      <c r="AY395" t="e">
        <f>IF('PROG FORMACIÓN TITULADA'!#REF!,"AAAAAF35nTI=",0)</f>
        <v>#REF!</v>
      </c>
      <c r="AZ395" t="e">
        <f>AND('PROG FORMACIÓN TITULADA'!#REF!,"AAAAAF35nTM=")</f>
        <v>#REF!</v>
      </c>
      <c r="BA395" t="e">
        <f>AND('PROG FORMACIÓN TITULADA'!#REF!,"AAAAAF35nTQ=")</f>
        <v>#REF!</v>
      </c>
      <c r="BB395" t="e">
        <f>AND('PROG FORMACIÓN TITULADA'!#REF!,"AAAAAF35nTU=")</f>
        <v>#REF!</v>
      </c>
      <c r="BC395" t="e">
        <f>AND('PROG FORMACIÓN TITULADA'!#REF!,"AAAAAF35nTY=")</f>
        <v>#REF!</v>
      </c>
      <c r="BD395" t="e">
        <f>AND('PROG FORMACIÓN TITULADA'!#REF!,"AAAAAF35nTc=")</f>
        <v>#REF!</v>
      </c>
      <c r="BE395" t="e">
        <f>AND('PROG FORMACIÓN TITULADA'!#REF!,"AAAAAF35nTg=")</f>
        <v>#REF!</v>
      </c>
      <c r="BF395" t="e">
        <f>AND('PROG FORMACIÓN TITULADA'!#REF!,"AAAAAF35nTk=")</f>
        <v>#REF!</v>
      </c>
      <c r="BG395" t="e">
        <f>AND('PROG FORMACIÓN TITULADA'!#REF!,"AAAAAF35nTo=")</f>
        <v>#REF!</v>
      </c>
      <c r="BH395" t="e">
        <f>AND('PROG FORMACIÓN TITULADA'!#REF!,"AAAAAF35nTs=")</f>
        <v>#REF!</v>
      </c>
      <c r="BI395" t="e">
        <f>AND('PROG FORMACIÓN TITULADA'!#REF!,"AAAAAF35nTw=")</f>
        <v>#REF!</v>
      </c>
      <c r="BJ395" t="e">
        <f>AND('PROG FORMACIÓN TITULADA'!#REF!,"AAAAAF35nT0=")</f>
        <v>#REF!</v>
      </c>
      <c r="BK395" t="e">
        <f>AND('PROG FORMACIÓN TITULADA'!#REF!,"AAAAAF35nT4=")</f>
        <v>#REF!</v>
      </c>
      <c r="BL395" t="e">
        <f>AND('PROG FORMACIÓN TITULADA'!#REF!,"AAAAAF35nT8=")</f>
        <v>#REF!</v>
      </c>
      <c r="BM395" t="e">
        <f>AND('PROG FORMACIÓN TITULADA'!#REF!,"AAAAAF35nUA=")</f>
        <v>#REF!</v>
      </c>
      <c r="BN395" t="e">
        <f>AND('PROG FORMACIÓN TITULADA'!#REF!,"AAAAAF35nUE=")</f>
        <v>#REF!</v>
      </c>
      <c r="BO395" t="e">
        <f>AND('PROG FORMACIÓN TITULADA'!#REF!,"AAAAAF35nUI=")</f>
        <v>#REF!</v>
      </c>
      <c r="BP395" t="e">
        <f>AND('PROG FORMACIÓN TITULADA'!#REF!,"AAAAAF35nUM=")</f>
        <v>#REF!</v>
      </c>
      <c r="BQ395" t="e">
        <f>AND('PROG FORMACIÓN TITULADA'!#REF!,"AAAAAF35nUQ=")</f>
        <v>#REF!</v>
      </c>
      <c r="BR395" t="e">
        <f>AND('PROG FORMACIÓN TITULADA'!#REF!,"AAAAAF35nUU=")</f>
        <v>#REF!</v>
      </c>
      <c r="BS395" t="e">
        <f>AND('PROG FORMACIÓN TITULADA'!#REF!,"AAAAAF35nUY=")</f>
        <v>#REF!</v>
      </c>
      <c r="BT395" t="e">
        <f>AND('PROG FORMACIÓN TITULADA'!#REF!,"AAAAAF35nUc=")</f>
        <v>#REF!</v>
      </c>
      <c r="BU395" t="e">
        <f>AND('PROG FORMACIÓN TITULADA'!#REF!,"AAAAAF35nUg=")</f>
        <v>#REF!</v>
      </c>
      <c r="BV395" t="e">
        <f>AND('PROG FORMACIÓN TITULADA'!#REF!,"AAAAAF35nUk=")</f>
        <v>#REF!</v>
      </c>
      <c r="BW395" t="e">
        <f>AND('PROG FORMACIÓN TITULADA'!#REF!,"AAAAAF35nUo=")</f>
        <v>#REF!</v>
      </c>
      <c r="BX395" t="e">
        <f>AND('PROG FORMACIÓN TITULADA'!#REF!,"AAAAAF35nUs=")</f>
        <v>#REF!</v>
      </c>
      <c r="BY395" t="e">
        <f>AND('PROG FORMACIÓN TITULADA'!#REF!,"AAAAAF35nUw=")</f>
        <v>#REF!</v>
      </c>
      <c r="BZ395" t="e">
        <f>IF('PROG FORMACIÓN TITULADA'!#REF!,"AAAAAF35nU0=",0)</f>
        <v>#REF!</v>
      </c>
      <c r="CA395" t="e">
        <f>AND('PROG FORMACIÓN TITULADA'!#REF!,"AAAAAF35nU4=")</f>
        <v>#REF!</v>
      </c>
      <c r="CB395" t="e">
        <f>AND('PROG FORMACIÓN TITULADA'!#REF!,"AAAAAF35nU8=")</f>
        <v>#REF!</v>
      </c>
      <c r="CC395" t="e">
        <f>AND('PROG FORMACIÓN TITULADA'!#REF!,"AAAAAF35nVA=")</f>
        <v>#REF!</v>
      </c>
      <c r="CD395" t="e">
        <f>AND('PROG FORMACIÓN TITULADA'!#REF!,"AAAAAF35nVE=")</f>
        <v>#REF!</v>
      </c>
      <c r="CE395" t="e">
        <f>AND('PROG FORMACIÓN TITULADA'!#REF!,"AAAAAF35nVI=")</f>
        <v>#REF!</v>
      </c>
      <c r="CF395" t="e">
        <f>AND('PROG FORMACIÓN TITULADA'!#REF!,"AAAAAF35nVM=")</f>
        <v>#REF!</v>
      </c>
      <c r="CG395" t="e">
        <f>AND('PROG FORMACIÓN TITULADA'!#REF!,"AAAAAF35nVQ=")</f>
        <v>#REF!</v>
      </c>
      <c r="CH395" t="e">
        <f>AND('PROG FORMACIÓN TITULADA'!#REF!,"AAAAAF35nVU=")</f>
        <v>#REF!</v>
      </c>
      <c r="CI395" t="e">
        <f>AND('PROG FORMACIÓN TITULADA'!#REF!,"AAAAAF35nVY=")</f>
        <v>#REF!</v>
      </c>
      <c r="CJ395" t="e">
        <f>AND('PROG FORMACIÓN TITULADA'!#REF!,"AAAAAF35nVc=")</f>
        <v>#REF!</v>
      </c>
      <c r="CK395" t="e">
        <f>AND('PROG FORMACIÓN TITULADA'!#REF!,"AAAAAF35nVg=")</f>
        <v>#REF!</v>
      </c>
      <c r="CL395" t="e">
        <f>AND('PROG FORMACIÓN TITULADA'!#REF!,"AAAAAF35nVk=")</f>
        <v>#REF!</v>
      </c>
      <c r="CM395" t="e">
        <f>AND('PROG FORMACIÓN TITULADA'!#REF!,"AAAAAF35nVo=")</f>
        <v>#REF!</v>
      </c>
      <c r="CN395" t="e">
        <f>AND('PROG FORMACIÓN TITULADA'!#REF!,"AAAAAF35nVs=")</f>
        <v>#REF!</v>
      </c>
      <c r="CO395" t="e">
        <f>AND('PROG FORMACIÓN TITULADA'!#REF!,"AAAAAF35nVw=")</f>
        <v>#REF!</v>
      </c>
      <c r="CP395" t="e">
        <f>AND('PROG FORMACIÓN TITULADA'!#REF!,"AAAAAF35nV0=")</f>
        <v>#REF!</v>
      </c>
      <c r="CQ395" t="e">
        <f>AND('PROG FORMACIÓN TITULADA'!#REF!,"AAAAAF35nV4=")</f>
        <v>#REF!</v>
      </c>
      <c r="CR395" t="e">
        <f>AND('PROG FORMACIÓN TITULADA'!#REF!,"AAAAAF35nV8=")</f>
        <v>#REF!</v>
      </c>
      <c r="CS395" t="e">
        <f>AND('PROG FORMACIÓN TITULADA'!#REF!,"AAAAAF35nWA=")</f>
        <v>#REF!</v>
      </c>
      <c r="CT395" t="e">
        <f>AND('PROG FORMACIÓN TITULADA'!#REF!,"AAAAAF35nWE=")</f>
        <v>#REF!</v>
      </c>
      <c r="CU395" t="e">
        <f>AND('PROG FORMACIÓN TITULADA'!#REF!,"AAAAAF35nWI=")</f>
        <v>#REF!</v>
      </c>
      <c r="CV395" t="e">
        <f>AND('PROG FORMACIÓN TITULADA'!#REF!,"AAAAAF35nWM=")</f>
        <v>#REF!</v>
      </c>
      <c r="CW395" t="e">
        <f>AND('PROG FORMACIÓN TITULADA'!#REF!,"AAAAAF35nWQ=")</f>
        <v>#REF!</v>
      </c>
      <c r="CX395" t="e">
        <f>AND('PROG FORMACIÓN TITULADA'!#REF!,"AAAAAF35nWU=")</f>
        <v>#REF!</v>
      </c>
      <c r="CY395" t="e">
        <f>AND('PROG FORMACIÓN TITULADA'!#REF!,"AAAAAF35nWY=")</f>
        <v>#REF!</v>
      </c>
      <c r="CZ395" t="e">
        <f>AND('PROG FORMACIÓN TITULADA'!#REF!,"AAAAAF35nWc=")</f>
        <v>#REF!</v>
      </c>
      <c r="DA395" t="e">
        <f>IF('PROG FORMACIÓN TITULADA'!#REF!,"AAAAAF35nWg=",0)</f>
        <v>#REF!</v>
      </c>
      <c r="DB395" t="e">
        <f>AND('PROG FORMACIÓN TITULADA'!#REF!,"AAAAAF35nWk=")</f>
        <v>#REF!</v>
      </c>
      <c r="DC395" t="e">
        <f>AND('PROG FORMACIÓN TITULADA'!#REF!,"AAAAAF35nWo=")</f>
        <v>#REF!</v>
      </c>
      <c r="DD395" t="e">
        <f>AND('PROG FORMACIÓN TITULADA'!#REF!,"AAAAAF35nWs=")</f>
        <v>#REF!</v>
      </c>
      <c r="DE395" t="e">
        <f>AND('PROG FORMACIÓN TITULADA'!#REF!,"AAAAAF35nWw=")</f>
        <v>#REF!</v>
      </c>
      <c r="DF395" t="e">
        <f>AND('PROG FORMACIÓN TITULADA'!#REF!,"AAAAAF35nW0=")</f>
        <v>#REF!</v>
      </c>
      <c r="DG395" t="e">
        <f>AND('PROG FORMACIÓN TITULADA'!#REF!,"AAAAAF35nW4=")</f>
        <v>#REF!</v>
      </c>
      <c r="DH395" t="e">
        <f>AND('PROG FORMACIÓN TITULADA'!#REF!,"AAAAAF35nW8=")</f>
        <v>#REF!</v>
      </c>
      <c r="DI395" t="e">
        <f>AND('PROG FORMACIÓN TITULADA'!#REF!,"AAAAAF35nXA=")</f>
        <v>#REF!</v>
      </c>
      <c r="DJ395" t="e">
        <f>AND('PROG FORMACIÓN TITULADA'!#REF!,"AAAAAF35nXE=")</f>
        <v>#REF!</v>
      </c>
      <c r="DK395" t="e">
        <f>AND('PROG FORMACIÓN TITULADA'!#REF!,"AAAAAF35nXI=")</f>
        <v>#REF!</v>
      </c>
      <c r="DL395" t="e">
        <f>AND('PROG FORMACIÓN TITULADA'!#REF!,"AAAAAF35nXM=")</f>
        <v>#REF!</v>
      </c>
      <c r="DM395" t="e">
        <f>AND('PROG FORMACIÓN TITULADA'!#REF!,"AAAAAF35nXQ=")</f>
        <v>#REF!</v>
      </c>
      <c r="DN395" t="e">
        <f>AND('PROG FORMACIÓN TITULADA'!#REF!,"AAAAAF35nXU=")</f>
        <v>#REF!</v>
      </c>
      <c r="DO395" t="e">
        <f>AND('PROG FORMACIÓN TITULADA'!#REF!,"AAAAAF35nXY=")</f>
        <v>#REF!</v>
      </c>
      <c r="DP395" t="e">
        <f>AND('PROG FORMACIÓN TITULADA'!#REF!,"AAAAAF35nXc=")</f>
        <v>#REF!</v>
      </c>
      <c r="DQ395" t="e">
        <f>AND('PROG FORMACIÓN TITULADA'!#REF!,"AAAAAF35nXg=")</f>
        <v>#REF!</v>
      </c>
      <c r="DR395" t="e">
        <f>AND('PROG FORMACIÓN TITULADA'!#REF!,"AAAAAF35nXk=")</f>
        <v>#REF!</v>
      </c>
      <c r="DS395" t="e">
        <f>AND('PROG FORMACIÓN TITULADA'!#REF!,"AAAAAF35nXo=")</f>
        <v>#REF!</v>
      </c>
      <c r="DT395" t="e">
        <f>AND('PROG FORMACIÓN TITULADA'!#REF!,"AAAAAF35nXs=")</f>
        <v>#REF!</v>
      </c>
      <c r="DU395" t="e">
        <f>AND('PROG FORMACIÓN TITULADA'!#REF!,"AAAAAF35nXw=")</f>
        <v>#REF!</v>
      </c>
      <c r="DV395" t="e">
        <f>AND('PROG FORMACIÓN TITULADA'!#REF!,"AAAAAF35nX0=")</f>
        <v>#REF!</v>
      </c>
      <c r="DW395" t="e">
        <f>AND('PROG FORMACIÓN TITULADA'!#REF!,"AAAAAF35nX4=")</f>
        <v>#REF!</v>
      </c>
      <c r="DX395" t="e">
        <f>AND('PROG FORMACIÓN TITULADA'!#REF!,"AAAAAF35nX8=")</f>
        <v>#REF!</v>
      </c>
      <c r="DY395" t="e">
        <f>AND('PROG FORMACIÓN TITULADA'!#REF!,"AAAAAF35nYA=")</f>
        <v>#REF!</v>
      </c>
      <c r="DZ395" t="e">
        <f>AND('PROG FORMACIÓN TITULADA'!#REF!,"AAAAAF35nYE=")</f>
        <v>#REF!</v>
      </c>
      <c r="EA395" t="e">
        <f>AND('PROG FORMACIÓN TITULADA'!#REF!,"AAAAAF35nYI=")</f>
        <v>#REF!</v>
      </c>
      <c r="EB395" t="e">
        <f>IF('PROG FORMACIÓN TITULADA'!#REF!,"AAAAAF35nYM=",0)</f>
        <v>#REF!</v>
      </c>
      <c r="EC395" t="e">
        <f>AND('PROG FORMACIÓN TITULADA'!#REF!,"AAAAAF35nYQ=")</f>
        <v>#REF!</v>
      </c>
      <c r="ED395" t="e">
        <f>AND('PROG FORMACIÓN TITULADA'!#REF!,"AAAAAF35nYU=")</f>
        <v>#REF!</v>
      </c>
      <c r="EE395" t="e">
        <f>AND('PROG FORMACIÓN TITULADA'!#REF!,"AAAAAF35nYY=")</f>
        <v>#REF!</v>
      </c>
      <c r="EF395" t="e">
        <f>AND('PROG FORMACIÓN TITULADA'!#REF!,"AAAAAF35nYc=")</f>
        <v>#REF!</v>
      </c>
      <c r="EG395" t="e">
        <f>AND('PROG FORMACIÓN TITULADA'!#REF!,"AAAAAF35nYg=")</f>
        <v>#REF!</v>
      </c>
      <c r="EH395" t="e">
        <f>AND('PROG FORMACIÓN TITULADA'!#REF!,"AAAAAF35nYk=")</f>
        <v>#REF!</v>
      </c>
      <c r="EI395" t="e">
        <f>AND('PROG FORMACIÓN TITULADA'!#REF!,"AAAAAF35nYo=")</f>
        <v>#REF!</v>
      </c>
      <c r="EJ395" t="e">
        <f>AND('PROG FORMACIÓN TITULADA'!#REF!,"AAAAAF35nYs=")</f>
        <v>#REF!</v>
      </c>
      <c r="EK395" t="e">
        <f>AND('PROG FORMACIÓN TITULADA'!#REF!,"AAAAAF35nYw=")</f>
        <v>#REF!</v>
      </c>
      <c r="EL395" t="e">
        <f>AND('PROG FORMACIÓN TITULADA'!#REF!,"AAAAAF35nY0=")</f>
        <v>#REF!</v>
      </c>
      <c r="EM395" t="e">
        <f>AND('PROG FORMACIÓN TITULADA'!#REF!,"AAAAAF35nY4=")</f>
        <v>#REF!</v>
      </c>
      <c r="EN395" t="e">
        <f>AND('PROG FORMACIÓN TITULADA'!#REF!,"AAAAAF35nY8=")</f>
        <v>#REF!</v>
      </c>
      <c r="EO395" t="e">
        <f>AND('PROG FORMACIÓN TITULADA'!#REF!,"AAAAAF35nZA=")</f>
        <v>#REF!</v>
      </c>
      <c r="EP395" t="e">
        <f>AND('PROG FORMACIÓN TITULADA'!#REF!,"AAAAAF35nZE=")</f>
        <v>#REF!</v>
      </c>
      <c r="EQ395" t="e">
        <f>AND('PROG FORMACIÓN TITULADA'!#REF!,"AAAAAF35nZI=")</f>
        <v>#REF!</v>
      </c>
      <c r="ER395" t="e">
        <f>AND('PROG FORMACIÓN TITULADA'!#REF!,"AAAAAF35nZM=")</f>
        <v>#REF!</v>
      </c>
      <c r="ES395" t="e">
        <f>AND('PROG FORMACIÓN TITULADA'!#REF!,"AAAAAF35nZQ=")</f>
        <v>#REF!</v>
      </c>
      <c r="ET395" t="e">
        <f>AND('PROG FORMACIÓN TITULADA'!#REF!,"AAAAAF35nZU=")</f>
        <v>#REF!</v>
      </c>
      <c r="EU395" t="e">
        <f>AND('PROG FORMACIÓN TITULADA'!#REF!,"AAAAAF35nZY=")</f>
        <v>#REF!</v>
      </c>
      <c r="EV395" t="e">
        <f>AND('PROG FORMACIÓN TITULADA'!#REF!,"AAAAAF35nZc=")</f>
        <v>#REF!</v>
      </c>
      <c r="EW395" t="e">
        <f>AND('PROG FORMACIÓN TITULADA'!#REF!,"AAAAAF35nZg=")</f>
        <v>#REF!</v>
      </c>
      <c r="EX395" t="e">
        <f>AND('PROG FORMACIÓN TITULADA'!#REF!,"AAAAAF35nZk=")</f>
        <v>#REF!</v>
      </c>
      <c r="EY395" t="e">
        <f>AND('PROG FORMACIÓN TITULADA'!#REF!,"AAAAAF35nZo=")</f>
        <v>#REF!</v>
      </c>
      <c r="EZ395" t="e">
        <f>AND('PROG FORMACIÓN TITULADA'!#REF!,"AAAAAF35nZs=")</f>
        <v>#REF!</v>
      </c>
      <c r="FA395" t="e">
        <f>AND('PROG FORMACIÓN TITULADA'!#REF!,"AAAAAF35nZw=")</f>
        <v>#REF!</v>
      </c>
      <c r="FB395" t="e">
        <f>AND('PROG FORMACIÓN TITULADA'!#REF!,"AAAAAF35nZ0=")</f>
        <v>#REF!</v>
      </c>
      <c r="FC395" t="e">
        <f>IF('PROG FORMACIÓN TITULADA'!#REF!,"AAAAAF35nZ4=",0)</f>
        <v>#REF!</v>
      </c>
      <c r="FD395" t="e">
        <f>AND('PROG FORMACIÓN TITULADA'!#REF!,"AAAAAF35nZ8=")</f>
        <v>#REF!</v>
      </c>
      <c r="FE395" t="e">
        <f>AND('PROG FORMACIÓN TITULADA'!#REF!,"AAAAAF35naA=")</f>
        <v>#REF!</v>
      </c>
      <c r="FF395" t="e">
        <f>AND('PROG FORMACIÓN TITULADA'!#REF!,"AAAAAF35naE=")</f>
        <v>#REF!</v>
      </c>
      <c r="FG395" t="e">
        <f>AND('PROG FORMACIÓN TITULADA'!#REF!,"AAAAAF35naI=")</f>
        <v>#REF!</v>
      </c>
      <c r="FH395" t="e">
        <f>AND('PROG FORMACIÓN TITULADA'!#REF!,"AAAAAF35naM=")</f>
        <v>#REF!</v>
      </c>
      <c r="FI395" t="e">
        <f>AND('PROG FORMACIÓN TITULADA'!#REF!,"AAAAAF35naQ=")</f>
        <v>#REF!</v>
      </c>
      <c r="FJ395" t="e">
        <f>AND('PROG FORMACIÓN TITULADA'!#REF!,"AAAAAF35naU=")</f>
        <v>#REF!</v>
      </c>
      <c r="FK395" t="e">
        <f>AND('PROG FORMACIÓN TITULADA'!#REF!,"AAAAAF35naY=")</f>
        <v>#REF!</v>
      </c>
      <c r="FL395" t="e">
        <f>AND('PROG FORMACIÓN TITULADA'!#REF!,"AAAAAF35nac=")</f>
        <v>#REF!</v>
      </c>
      <c r="FM395" t="e">
        <f>AND('PROG FORMACIÓN TITULADA'!#REF!,"AAAAAF35nag=")</f>
        <v>#REF!</v>
      </c>
      <c r="FN395" t="e">
        <f>AND('PROG FORMACIÓN TITULADA'!#REF!,"AAAAAF35nak=")</f>
        <v>#REF!</v>
      </c>
      <c r="FO395" t="e">
        <f>AND('PROG FORMACIÓN TITULADA'!#REF!,"AAAAAF35nao=")</f>
        <v>#REF!</v>
      </c>
      <c r="FP395" t="e">
        <f>AND('PROG FORMACIÓN TITULADA'!#REF!,"AAAAAF35nas=")</f>
        <v>#REF!</v>
      </c>
      <c r="FQ395" t="e">
        <f>AND('PROG FORMACIÓN TITULADA'!#REF!,"AAAAAF35naw=")</f>
        <v>#REF!</v>
      </c>
      <c r="FR395" t="e">
        <f>AND('PROG FORMACIÓN TITULADA'!#REF!,"AAAAAF35na0=")</f>
        <v>#REF!</v>
      </c>
      <c r="FS395" t="e">
        <f>AND('PROG FORMACIÓN TITULADA'!#REF!,"AAAAAF35na4=")</f>
        <v>#REF!</v>
      </c>
      <c r="FT395" t="e">
        <f>AND('PROG FORMACIÓN TITULADA'!#REF!,"AAAAAF35na8=")</f>
        <v>#REF!</v>
      </c>
      <c r="FU395" t="e">
        <f>AND('PROG FORMACIÓN TITULADA'!#REF!,"AAAAAF35nbA=")</f>
        <v>#REF!</v>
      </c>
      <c r="FV395" t="e">
        <f>AND('PROG FORMACIÓN TITULADA'!#REF!,"AAAAAF35nbE=")</f>
        <v>#REF!</v>
      </c>
      <c r="FW395" t="e">
        <f>AND('PROG FORMACIÓN TITULADA'!#REF!,"AAAAAF35nbI=")</f>
        <v>#REF!</v>
      </c>
      <c r="FX395" t="e">
        <f>AND('PROG FORMACIÓN TITULADA'!#REF!,"AAAAAF35nbM=")</f>
        <v>#REF!</v>
      </c>
      <c r="FY395" t="e">
        <f>AND('PROG FORMACIÓN TITULADA'!#REF!,"AAAAAF35nbQ=")</f>
        <v>#REF!</v>
      </c>
      <c r="FZ395" t="e">
        <f>AND('PROG FORMACIÓN TITULADA'!#REF!,"AAAAAF35nbU=")</f>
        <v>#REF!</v>
      </c>
      <c r="GA395" t="e">
        <f>AND('PROG FORMACIÓN TITULADA'!#REF!,"AAAAAF35nbY=")</f>
        <v>#REF!</v>
      </c>
      <c r="GB395" t="e">
        <f>AND('PROG FORMACIÓN TITULADA'!#REF!,"AAAAAF35nbc=")</f>
        <v>#REF!</v>
      </c>
      <c r="GC395" t="e">
        <f>AND('PROG FORMACIÓN TITULADA'!#REF!,"AAAAAF35nbg=")</f>
        <v>#REF!</v>
      </c>
      <c r="GD395" t="e">
        <f>IF('PROG FORMACIÓN TITULADA'!#REF!,"AAAAAF35nbk=",0)</f>
        <v>#REF!</v>
      </c>
      <c r="GE395" t="e">
        <f>AND('PROG FORMACIÓN TITULADA'!#REF!,"AAAAAF35nbo=")</f>
        <v>#REF!</v>
      </c>
      <c r="GF395" t="e">
        <f>AND('PROG FORMACIÓN TITULADA'!#REF!,"AAAAAF35nbs=")</f>
        <v>#REF!</v>
      </c>
      <c r="GG395" t="e">
        <f>AND('PROG FORMACIÓN TITULADA'!#REF!,"AAAAAF35nbw=")</f>
        <v>#REF!</v>
      </c>
      <c r="GH395" t="e">
        <f>AND('PROG FORMACIÓN TITULADA'!#REF!,"AAAAAF35nb0=")</f>
        <v>#REF!</v>
      </c>
      <c r="GI395" t="e">
        <f>AND('PROG FORMACIÓN TITULADA'!#REF!,"AAAAAF35nb4=")</f>
        <v>#REF!</v>
      </c>
      <c r="GJ395" t="e">
        <f>AND('PROG FORMACIÓN TITULADA'!#REF!,"AAAAAF35nb8=")</f>
        <v>#REF!</v>
      </c>
      <c r="GK395" t="e">
        <f>AND('PROG FORMACIÓN TITULADA'!#REF!,"AAAAAF35ncA=")</f>
        <v>#REF!</v>
      </c>
      <c r="GL395" t="e">
        <f>AND('PROG FORMACIÓN TITULADA'!#REF!,"AAAAAF35ncE=")</f>
        <v>#REF!</v>
      </c>
      <c r="GM395" t="e">
        <f>AND('PROG FORMACIÓN TITULADA'!#REF!,"AAAAAF35ncI=")</f>
        <v>#REF!</v>
      </c>
      <c r="GN395" t="e">
        <f>AND('PROG FORMACIÓN TITULADA'!#REF!,"AAAAAF35ncM=")</f>
        <v>#REF!</v>
      </c>
      <c r="GO395" t="e">
        <f>AND('PROG FORMACIÓN TITULADA'!#REF!,"AAAAAF35ncQ=")</f>
        <v>#REF!</v>
      </c>
      <c r="GP395" t="e">
        <f>AND('PROG FORMACIÓN TITULADA'!#REF!,"AAAAAF35ncU=")</f>
        <v>#REF!</v>
      </c>
      <c r="GQ395" t="e">
        <f>AND('PROG FORMACIÓN TITULADA'!#REF!,"AAAAAF35ncY=")</f>
        <v>#REF!</v>
      </c>
      <c r="GR395" t="e">
        <f>AND('PROG FORMACIÓN TITULADA'!#REF!,"AAAAAF35ncc=")</f>
        <v>#REF!</v>
      </c>
      <c r="GS395" t="e">
        <f>AND('PROG FORMACIÓN TITULADA'!#REF!,"AAAAAF35ncg=")</f>
        <v>#REF!</v>
      </c>
      <c r="GT395" t="e">
        <f>AND('PROG FORMACIÓN TITULADA'!#REF!,"AAAAAF35nck=")</f>
        <v>#REF!</v>
      </c>
      <c r="GU395" t="e">
        <f>AND('PROG FORMACIÓN TITULADA'!#REF!,"AAAAAF35nco=")</f>
        <v>#REF!</v>
      </c>
      <c r="GV395" t="e">
        <f>AND('PROG FORMACIÓN TITULADA'!#REF!,"AAAAAF35ncs=")</f>
        <v>#REF!</v>
      </c>
      <c r="GW395" t="e">
        <f>AND('PROG FORMACIÓN TITULADA'!#REF!,"AAAAAF35ncw=")</f>
        <v>#REF!</v>
      </c>
      <c r="GX395" t="e">
        <f>AND('PROG FORMACIÓN TITULADA'!#REF!,"AAAAAF35nc0=")</f>
        <v>#REF!</v>
      </c>
      <c r="GY395" t="e">
        <f>AND('PROG FORMACIÓN TITULADA'!#REF!,"AAAAAF35nc4=")</f>
        <v>#REF!</v>
      </c>
      <c r="GZ395" t="e">
        <f>AND('PROG FORMACIÓN TITULADA'!#REF!,"AAAAAF35nc8=")</f>
        <v>#REF!</v>
      </c>
      <c r="HA395" t="e">
        <f>AND('PROG FORMACIÓN TITULADA'!#REF!,"AAAAAF35ndA=")</f>
        <v>#REF!</v>
      </c>
      <c r="HB395" t="e">
        <f>AND('PROG FORMACIÓN TITULADA'!#REF!,"AAAAAF35ndE=")</f>
        <v>#REF!</v>
      </c>
      <c r="HC395" t="e">
        <f>AND('PROG FORMACIÓN TITULADA'!#REF!,"AAAAAF35ndI=")</f>
        <v>#REF!</v>
      </c>
      <c r="HD395" t="e">
        <f>AND('PROG FORMACIÓN TITULADA'!#REF!,"AAAAAF35ndM=")</f>
        <v>#REF!</v>
      </c>
      <c r="HE395" t="e">
        <f>IF('PROG FORMACIÓN TITULADA'!#REF!,"AAAAAF35ndQ=",0)</f>
        <v>#REF!</v>
      </c>
      <c r="HF395" t="e">
        <f>AND('PROG FORMACIÓN TITULADA'!#REF!,"AAAAAF35ndU=")</f>
        <v>#REF!</v>
      </c>
      <c r="HG395" t="e">
        <f>AND('PROG FORMACIÓN TITULADA'!#REF!,"AAAAAF35ndY=")</f>
        <v>#REF!</v>
      </c>
      <c r="HH395" t="e">
        <f>AND('PROG FORMACIÓN TITULADA'!#REF!,"AAAAAF35ndc=")</f>
        <v>#REF!</v>
      </c>
      <c r="HI395" t="e">
        <f>AND('PROG FORMACIÓN TITULADA'!#REF!,"AAAAAF35ndg=")</f>
        <v>#REF!</v>
      </c>
      <c r="HJ395" t="e">
        <f>AND('PROG FORMACIÓN TITULADA'!#REF!,"AAAAAF35ndk=")</f>
        <v>#REF!</v>
      </c>
      <c r="HK395" t="e">
        <f>AND('PROG FORMACIÓN TITULADA'!#REF!,"AAAAAF35ndo=")</f>
        <v>#REF!</v>
      </c>
      <c r="HL395" t="e">
        <f>AND('PROG FORMACIÓN TITULADA'!#REF!,"AAAAAF35nds=")</f>
        <v>#REF!</v>
      </c>
      <c r="HM395" t="e">
        <f>AND('PROG FORMACIÓN TITULADA'!#REF!,"AAAAAF35ndw=")</f>
        <v>#REF!</v>
      </c>
      <c r="HN395" t="e">
        <f>AND('PROG FORMACIÓN TITULADA'!#REF!,"AAAAAF35nd0=")</f>
        <v>#REF!</v>
      </c>
      <c r="HO395" t="e">
        <f>AND('PROG FORMACIÓN TITULADA'!#REF!,"AAAAAF35nd4=")</f>
        <v>#REF!</v>
      </c>
      <c r="HP395" t="e">
        <f>AND('PROG FORMACIÓN TITULADA'!#REF!,"AAAAAF35nd8=")</f>
        <v>#REF!</v>
      </c>
      <c r="HQ395" t="e">
        <f>AND('PROG FORMACIÓN TITULADA'!#REF!,"AAAAAF35neA=")</f>
        <v>#REF!</v>
      </c>
      <c r="HR395" t="e">
        <f>AND('PROG FORMACIÓN TITULADA'!#REF!,"AAAAAF35neE=")</f>
        <v>#REF!</v>
      </c>
      <c r="HS395" t="e">
        <f>AND('PROG FORMACIÓN TITULADA'!#REF!,"AAAAAF35neI=")</f>
        <v>#REF!</v>
      </c>
      <c r="HT395" t="e">
        <f>AND('PROG FORMACIÓN TITULADA'!#REF!,"AAAAAF35neM=")</f>
        <v>#REF!</v>
      </c>
      <c r="HU395" t="e">
        <f>AND('PROG FORMACIÓN TITULADA'!#REF!,"AAAAAF35neQ=")</f>
        <v>#REF!</v>
      </c>
      <c r="HV395" t="e">
        <f>AND('PROG FORMACIÓN TITULADA'!#REF!,"AAAAAF35neU=")</f>
        <v>#REF!</v>
      </c>
      <c r="HW395" t="e">
        <f>AND('PROG FORMACIÓN TITULADA'!#REF!,"AAAAAF35neY=")</f>
        <v>#REF!</v>
      </c>
      <c r="HX395" t="e">
        <f>AND('PROG FORMACIÓN TITULADA'!#REF!,"AAAAAF35nec=")</f>
        <v>#REF!</v>
      </c>
      <c r="HY395" t="e">
        <f>AND('PROG FORMACIÓN TITULADA'!#REF!,"AAAAAF35neg=")</f>
        <v>#REF!</v>
      </c>
      <c r="HZ395" t="e">
        <f>AND('PROG FORMACIÓN TITULADA'!#REF!,"AAAAAF35nek=")</f>
        <v>#REF!</v>
      </c>
      <c r="IA395" t="e">
        <f>AND('PROG FORMACIÓN TITULADA'!#REF!,"AAAAAF35neo=")</f>
        <v>#REF!</v>
      </c>
      <c r="IB395" t="e">
        <f>AND('PROG FORMACIÓN TITULADA'!#REF!,"AAAAAF35nes=")</f>
        <v>#REF!</v>
      </c>
      <c r="IC395" t="e">
        <f>AND('PROG FORMACIÓN TITULADA'!#REF!,"AAAAAF35new=")</f>
        <v>#REF!</v>
      </c>
      <c r="ID395" t="e">
        <f>AND('PROG FORMACIÓN TITULADA'!#REF!,"AAAAAF35ne0=")</f>
        <v>#REF!</v>
      </c>
      <c r="IE395" t="e">
        <f>AND('PROG FORMACIÓN TITULADA'!#REF!,"AAAAAF35ne4=")</f>
        <v>#REF!</v>
      </c>
      <c r="IF395" t="e">
        <f>IF('PROG FORMACIÓN TITULADA'!#REF!,"AAAAAF35ne8=",0)</f>
        <v>#REF!</v>
      </c>
      <c r="IG395" t="e">
        <f>AND('PROG FORMACIÓN TITULADA'!#REF!,"AAAAAF35nfA=")</f>
        <v>#REF!</v>
      </c>
      <c r="IH395" t="e">
        <f>AND('PROG FORMACIÓN TITULADA'!#REF!,"AAAAAF35nfE=")</f>
        <v>#REF!</v>
      </c>
      <c r="II395" t="e">
        <f>AND('PROG FORMACIÓN TITULADA'!#REF!,"AAAAAF35nfI=")</f>
        <v>#REF!</v>
      </c>
      <c r="IJ395" t="e">
        <f>AND('PROG FORMACIÓN TITULADA'!#REF!,"AAAAAF35nfM=")</f>
        <v>#REF!</v>
      </c>
      <c r="IK395" t="e">
        <f>AND('PROG FORMACIÓN TITULADA'!#REF!,"AAAAAF35nfQ=")</f>
        <v>#REF!</v>
      </c>
      <c r="IL395" t="e">
        <f>AND('PROG FORMACIÓN TITULADA'!#REF!,"AAAAAF35nfU=")</f>
        <v>#REF!</v>
      </c>
      <c r="IM395" t="e">
        <f>AND('PROG FORMACIÓN TITULADA'!#REF!,"AAAAAF35nfY=")</f>
        <v>#REF!</v>
      </c>
      <c r="IN395" t="e">
        <f>AND('PROG FORMACIÓN TITULADA'!#REF!,"AAAAAF35nfc=")</f>
        <v>#REF!</v>
      </c>
      <c r="IO395" t="e">
        <f>AND('PROG FORMACIÓN TITULADA'!#REF!,"AAAAAF35nfg=")</f>
        <v>#REF!</v>
      </c>
      <c r="IP395" t="e">
        <f>AND('PROG FORMACIÓN TITULADA'!#REF!,"AAAAAF35nfk=")</f>
        <v>#REF!</v>
      </c>
      <c r="IQ395" t="e">
        <f>AND('PROG FORMACIÓN TITULADA'!#REF!,"AAAAAF35nfo=")</f>
        <v>#REF!</v>
      </c>
      <c r="IR395" t="e">
        <f>AND('PROG FORMACIÓN TITULADA'!#REF!,"AAAAAF35nfs=")</f>
        <v>#REF!</v>
      </c>
      <c r="IS395" t="e">
        <f>AND('PROG FORMACIÓN TITULADA'!#REF!,"AAAAAF35nfw=")</f>
        <v>#REF!</v>
      </c>
      <c r="IT395" t="e">
        <f>AND('PROG FORMACIÓN TITULADA'!#REF!,"AAAAAF35nf0=")</f>
        <v>#REF!</v>
      </c>
      <c r="IU395" t="e">
        <f>AND('PROG FORMACIÓN TITULADA'!#REF!,"AAAAAF35nf4=")</f>
        <v>#REF!</v>
      </c>
      <c r="IV395" t="e">
        <f>AND('PROG FORMACIÓN TITULADA'!#REF!,"AAAAAF35nf8=")</f>
        <v>#REF!</v>
      </c>
    </row>
    <row r="396" spans="1:256" x14ac:dyDescent="0.2">
      <c r="A396" t="e">
        <f>AND('PROG FORMACIÓN TITULADA'!#REF!,"AAAAAH73ewA=")</f>
        <v>#REF!</v>
      </c>
      <c r="B396" t="e">
        <f>AND('PROG FORMACIÓN TITULADA'!#REF!,"AAAAAH73ewE=")</f>
        <v>#REF!</v>
      </c>
      <c r="C396" t="e">
        <f>AND('PROG FORMACIÓN TITULADA'!#REF!,"AAAAAH73ewI=")</f>
        <v>#REF!</v>
      </c>
      <c r="D396" t="e">
        <f>AND('PROG FORMACIÓN TITULADA'!#REF!,"AAAAAH73ewM=")</f>
        <v>#REF!</v>
      </c>
      <c r="E396" t="e">
        <f>AND('PROG FORMACIÓN TITULADA'!#REF!,"AAAAAH73ewQ=")</f>
        <v>#REF!</v>
      </c>
      <c r="F396" t="e">
        <f>AND('PROG FORMACIÓN TITULADA'!#REF!,"AAAAAH73ewU=")</f>
        <v>#REF!</v>
      </c>
      <c r="G396" t="e">
        <f>AND('PROG FORMACIÓN TITULADA'!#REF!,"AAAAAH73ewY=")</f>
        <v>#REF!</v>
      </c>
      <c r="H396" t="e">
        <f>AND('PROG FORMACIÓN TITULADA'!#REF!,"AAAAAH73ewc=")</f>
        <v>#REF!</v>
      </c>
      <c r="I396" t="e">
        <f>AND('PROG FORMACIÓN TITULADA'!#REF!,"AAAAAH73ewg=")</f>
        <v>#REF!</v>
      </c>
      <c r="J396" t="e">
        <f>AND('PROG FORMACIÓN TITULADA'!#REF!,"AAAAAH73ewk=")</f>
        <v>#REF!</v>
      </c>
      <c r="K396" t="e">
        <f>IF('PROG FORMACIÓN TITULADA'!#REF!,"AAAAAH73ewo=",0)</f>
        <v>#REF!</v>
      </c>
      <c r="L396" t="e">
        <f>AND('PROG FORMACIÓN TITULADA'!#REF!,"AAAAAH73ews=")</f>
        <v>#REF!</v>
      </c>
      <c r="M396" t="e">
        <f>AND('PROG FORMACIÓN TITULADA'!#REF!,"AAAAAH73eww=")</f>
        <v>#REF!</v>
      </c>
      <c r="N396" t="e">
        <f>AND('PROG FORMACIÓN TITULADA'!#REF!,"AAAAAH73ew0=")</f>
        <v>#REF!</v>
      </c>
      <c r="O396" t="e">
        <f>AND('PROG FORMACIÓN TITULADA'!#REF!,"AAAAAH73ew4=")</f>
        <v>#REF!</v>
      </c>
      <c r="P396" t="e">
        <f>AND('PROG FORMACIÓN TITULADA'!#REF!,"AAAAAH73ew8=")</f>
        <v>#REF!</v>
      </c>
      <c r="Q396" t="e">
        <f>AND('PROG FORMACIÓN TITULADA'!#REF!,"AAAAAH73exA=")</f>
        <v>#REF!</v>
      </c>
      <c r="R396" t="e">
        <f>AND('PROG FORMACIÓN TITULADA'!#REF!,"AAAAAH73exE=")</f>
        <v>#REF!</v>
      </c>
      <c r="S396" t="e">
        <f>AND('PROG FORMACIÓN TITULADA'!#REF!,"AAAAAH73exI=")</f>
        <v>#REF!</v>
      </c>
      <c r="T396" t="e">
        <f>AND('PROG FORMACIÓN TITULADA'!#REF!,"AAAAAH73exM=")</f>
        <v>#REF!</v>
      </c>
      <c r="U396" t="e">
        <f>AND('PROG FORMACIÓN TITULADA'!#REF!,"AAAAAH73exQ=")</f>
        <v>#REF!</v>
      </c>
      <c r="V396" t="e">
        <f>AND('PROG FORMACIÓN TITULADA'!#REF!,"AAAAAH73exU=")</f>
        <v>#REF!</v>
      </c>
      <c r="W396" t="e">
        <f>AND('PROG FORMACIÓN TITULADA'!#REF!,"AAAAAH73exY=")</f>
        <v>#REF!</v>
      </c>
      <c r="X396" t="e">
        <f>AND('PROG FORMACIÓN TITULADA'!#REF!,"AAAAAH73exc=")</f>
        <v>#REF!</v>
      </c>
      <c r="Y396" t="e">
        <f>AND('PROG FORMACIÓN TITULADA'!#REF!,"AAAAAH73exg=")</f>
        <v>#REF!</v>
      </c>
      <c r="Z396" t="e">
        <f>AND('PROG FORMACIÓN TITULADA'!#REF!,"AAAAAH73exk=")</f>
        <v>#REF!</v>
      </c>
      <c r="AA396" t="e">
        <f>AND('PROG FORMACIÓN TITULADA'!#REF!,"AAAAAH73exo=")</f>
        <v>#REF!</v>
      </c>
      <c r="AB396" t="e">
        <f>AND('PROG FORMACIÓN TITULADA'!#REF!,"AAAAAH73exs=")</f>
        <v>#REF!</v>
      </c>
      <c r="AC396" t="e">
        <f>AND('PROG FORMACIÓN TITULADA'!#REF!,"AAAAAH73exw=")</f>
        <v>#REF!</v>
      </c>
      <c r="AD396" t="e">
        <f>AND('PROG FORMACIÓN TITULADA'!#REF!,"AAAAAH73ex0=")</f>
        <v>#REF!</v>
      </c>
      <c r="AE396" t="e">
        <f>AND('PROG FORMACIÓN TITULADA'!#REF!,"AAAAAH73ex4=")</f>
        <v>#REF!</v>
      </c>
      <c r="AF396" t="e">
        <f>AND('PROG FORMACIÓN TITULADA'!#REF!,"AAAAAH73ex8=")</f>
        <v>#REF!</v>
      </c>
      <c r="AG396" t="e">
        <f>AND('PROG FORMACIÓN TITULADA'!#REF!,"AAAAAH73eyA=")</f>
        <v>#REF!</v>
      </c>
      <c r="AH396" t="e">
        <f>AND('PROG FORMACIÓN TITULADA'!#REF!,"AAAAAH73eyE=")</f>
        <v>#REF!</v>
      </c>
      <c r="AI396" t="e">
        <f>AND('PROG FORMACIÓN TITULADA'!#REF!,"AAAAAH73eyI=")</f>
        <v>#REF!</v>
      </c>
      <c r="AJ396" t="e">
        <f>AND('PROG FORMACIÓN TITULADA'!#REF!,"AAAAAH73eyM=")</f>
        <v>#REF!</v>
      </c>
      <c r="AK396" t="e">
        <f>AND('PROG FORMACIÓN TITULADA'!#REF!,"AAAAAH73eyQ=")</f>
        <v>#REF!</v>
      </c>
      <c r="AL396" t="e">
        <f>IF('PROG FORMACIÓN TITULADA'!#REF!,"AAAAAH73eyU=",0)</f>
        <v>#REF!</v>
      </c>
      <c r="AM396" t="e">
        <f>AND('PROG FORMACIÓN TITULADA'!#REF!,"AAAAAH73eyY=")</f>
        <v>#REF!</v>
      </c>
      <c r="AN396" t="e">
        <f>AND('PROG FORMACIÓN TITULADA'!#REF!,"AAAAAH73eyc=")</f>
        <v>#REF!</v>
      </c>
      <c r="AO396" t="e">
        <f>AND('PROG FORMACIÓN TITULADA'!#REF!,"AAAAAH73eyg=")</f>
        <v>#REF!</v>
      </c>
      <c r="AP396" t="e">
        <f>AND('PROG FORMACIÓN TITULADA'!#REF!,"AAAAAH73eyk=")</f>
        <v>#REF!</v>
      </c>
      <c r="AQ396" t="e">
        <f>AND('PROG FORMACIÓN TITULADA'!#REF!,"AAAAAH73eyo=")</f>
        <v>#REF!</v>
      </c>
      <c r="AR396" t="e">
        <f>AND('PROG FORMACIÓN TITULADA'!#REF!,"AAAAAH73eys=")</f>
        <v>#REF!</v>
      </c>
      <c r="AS396" t="e">
        <f>AND('PROG FORMACIÓN TITULADA'!#REF!,"AAAAAH73eyw=")</f>
        <v>#REF!</v>
      </c>
      <c r="AT396" t="e">
        <f>AND('PROG FORMACIÓN TITULADA'!#REF!,"AAAAAH73ey0=")</f>
        <v>#REF!</v>
      </c>
      <c r="AU396" t="e">
        <f>AND('PROG FORMACIÓN TITULADA'!#REF!,"AAAAAH73ey4=")</f>
        <v>#REF!</v>
      </c>
      <c r="AV396" t="e">
        <f>AND('PROG FORMACIÓN TITULADA'!#REF!,"AAAAAH73ey8=")</f>
        <v>#REF!</v>
      </c>
      <c r="AW396" t="e">
        <f>AND('PROG FORMACIÓN TITULADA'!#REF!,"AAAAAH73ezA=")</f>
        <v>#REF!</v>
      </c>
      <c r="AX396" t="e">
        <f>AND('PROG FORMACIÓN TITULADA'!#REF!,"AAAAAH73ezE=")</f>
        <v>#REF!</v>
      </c>
      <c r="AY396" t="e">
        <f>AND('PROG FORMACIÓN TITULADA'!#REF!,"AAAAAH73ezI=")</f>
        <v>#REF!</v>
      </c>
      <c r="AZ396" t="e">
        <f>AND('PROG FORMACIÓN TITULADA'!#REF!,"AAAAAH73ezM=")</f>
        <v>#REF!</v>
      </c>
      <c r="BA396" t="e">
        <f>AND('PROG FORMACIÓN TITULADA'!#REF!,"AAAAAH73ezQ=")</f>
        <v>#REF!</v>
      </c>
      <c r="BB396" t="e">
        <f>AND('PROG FORMACIÓN TITULADA'!#REF!,"AAAAAH73ezU=")</f>
        <v>#REF!</v>
      </c>
      <c r="BC396" t="e">
        <f>AND('PROG FORMACIÓN TITULADA'!#REF!,"AAAAAH73ezY=")</f>
        <v>#REF!</v>
      </c>
      <c r="BD396" t="e">
        <f>AND('PROG FORMACIÓN TITULADA'!#REF!,"AAAAAH73ezc=")</f>
        <v>#REF!</v>
      </c>
      <c r="BE396" t="e">
        <f>AND('PROG FORMACIÓN TITULADA'!#REF!,"AAAAAH73ezg=")</f>
        <v>#REF!</v>
      </c>
      <c r="BF396" t="e">
        <f>AND('PROG FORMACIÓN TITULADA'!#REF!,"AAAAAH73ezk=")</f>
        <v>#REF!</v>
      </c>
      <c r="BG396" t="e">
        <f>AND('PROG FORMACIÓN TITULADA'!#REF!,"AAAAAH73ezo=")</f>
        <v>#REF!</v>
      </c>
      <c r="BH396" t="e">
        <f>AND('PROG FORMACIÓN TITULADA'!#REF!,"AAAAAH73ezs=")</f>
        <v>#REF!</v>
      </c>
      <c r="BI396" t="e">
        <f>AND('PROG FORMACIÓN TITULADA'!#REF!,"AAAAAH73ezw=")</f>
        <v>#REF!</v>
      </c>
      <c r="BJ396" t="e">
        <f>AND('PROG FORMACIÓN TITULADA'!#REF!,"AAAAAH73ez0=")</f>
        <v>#REF!</v>
      </c>
      <c r="BK396" t="e">
        <f>AND('PROG FORMACIÓN TITULADA'!#REF!,"AAAAAH73ez4=")</f>
        <v>#REF!</v>
      </c>
      <c r="BL396" t="e">
        <f>AND('PROG FORMACIÓN TITULADA'!#REF!,"AAAAAH73ez8=")</f>
        <v>#REF!</v>
      </c>
      <c r="BM396" t="e">
        <f>IF('PROG FORMACIÓN TITULADA'!#REF!,"AAAAAH73e0A=",0)</f>
        <v>#REF!</v>
      </c>
      <c r="BN396" t="e">
        <f>AND('PROG FORMACIÓN TITULADA'!#REF!,"AAAAAH73e0E=")</f>
        <v>#REF!</v>
      </c>
      <c r="BO396" t="e">
        <f>AND('PROG FORMACIÓN TITULADA'!#REF!,"AAAAAH73e0I=")</f>
        <v>#REF!</v>
      </c>
      <c r="BP396" t="e">
        <f>AND('PROG FORMACIÓN TITULADA'!#REF!,"AAAAAH73e0M=")</f>
        <v>#REF!</v>
      </c>
      <c r="BQ396" t="e">
        <f>AND('PROG FORMACIÓN TITULADA'!#REF!,"AAAAAH73e0Q=")</f>
        <v>#REF!</v>
      </c>
      <c r="BR396" t="e">
        <f>AND('PROG FORMACIÓN TITULADA'!#REF!,"AAAAAH73e0U=")</f>
        <v>#REF!</v>
      </c>
      <c r="BS396" t="e">
        <f>AND('PROG FORMACIÓN TITULADA'!#REF!,"AAAAAH73e0Y=")</f>
        <v>#REF!</v>
      </c>
      <c r="BT396" t="e">
        <f>AND('PROG FORMACIÓN TITULADA'!#REF!,"AAAAAH73e0c=")</f>
        <v>#REF!</v>
      </c>
      <c r="BU396" t="e">
        <f>AND('PROG FORMACIÓN TITULADA'!#REF!,"AAAAAH73e0g=")</f>
        <v>#REF!</v>
      </c>
      <c r="BV396" t="e">
        <f>AND('PROG FORMACIÓN TITULADA'!#REF!,"AAAAAH73e0k=")</f>
        <v>#REF!</v>
      </c>
      <c r="BW396" t="e">
        <f>AND('PROG FORMACIÓN TITULADA'!#REF!,"AAAAAH73e0o=")</f>
        <v>#REF!</v>
      </c>
      <c r="BX396" t="e">
        <f>AND('PROG FORMACIÓN TITULADA'!#REF!,"AAAAAH73e0s=")</f>
        <v>#REF!</v>
      </c>
      <c r="BY396" t="e">
        <f>AND('PROG FORMACIÓN TITULADA'!#REF!,"AAAAAH73e0w=")</f>
        <v>#REF!</v>
      </c>
      <c r="BZ396" t="e">
        <f>AND('PROG FORMACIÓN TITULADA'!#REF!,"AAAAAH73e00=")</f>
        <v>#REF!</v>
      </c>
      <c r="CA396" t="e">
        <f>AND('PROG FORMACIÓN TITULADA'!#REF!,"AAAAAH73e04=")</f>
        <v>#REF!</v>
      </c>
      <c r="CB396" t="e">
        <f>AND('PROG FORMACIÓN TITULADA'!#REF!,"AAAAAH73e08=")</f>
        <v>#REF!</v>
      </c>
      <c r="CC396" t="e">
        <f>AND('PROG FORMACIÓN TITULADA'!#REF!,"AAAAAH73e1A=")</f>
        <v>#REF!</v>
      </c>
      <c r="CD396" t="e">
        <f>AND('PROG FORMACIÓN TITULADA'!#REF!,"AAAAAH73e1E=")</f>
        <v>#REF!</v>
      </c>
      <c r="CE396" t="e">
        <f>AND('PROG FORMACIÓN TITULADA'!#REF!,"AAAAAH73e1I=")</f>
        <v>#REF!</v>
      </c>
      <c r="CF396" t="e">
        <f>AND('PROG FORMACIÓN TITULADA'!#REF!,"AAAAAH73e1M=")</f>
        <v>#REF!</v>
      </c>
      <c r="CG396" t="e">
        <f>AND('PROG FORMACIÓN TITULADA'!#REF!,"AAAAAH73e1Q=")</f>
        <v>#REF!</v>
      </c>
      <c r="CH396" t="e">
        <f>AND('PROG FORMACIÓN TITULADA'!#REF!,"AAAAAH73e1U=")</f>
        <v>#REF!</v>
      </c>
      <c r="CI396" t="e">
        <f>AND('PROG FORMACIÓN TITULADA'!#REF!,"AAAAAH73e1Y=")</f>
        <v>#REF!</v>
      </c>
      <c r="CJ396" t="e">
        <f>AND('PROG FORMACIÓN TITULADA'!#REF!,"AAAAAH73e1c=")</f>
        <v>#REF!</v>
      </c>
      <c r="CK396" t="e">
        <f>AND('PROG FORMACIÓN TITULADA'!#REF!,"AAAAAH73e1g=")</f>
        <v>#REF!</v>
      </c>
      <c r="CL396" t="e">
        <f>AND('PROG FORMACIÓN TITULADA'!#REF!,"AAAAAH73e1k=")</f>
        <v>#REF!</v>
      </c>
      <c r="CM396" t="e">
        <f>AND('PROG FORMACIÓN TITULADA'!#REF!,"AAAAAH73e1o=")</f>
        <v>#REF!</v>
      </c>
      <c r="CN396" t="e">
        <f>IF('PROG FORMACIÓN TITULADA'!#REF!,"AAAAAH73e1s=",0)</f>
        <v>#REF!</v>
      </c>
      <c r="CO396" t="e">
        <f>AND('PROG FORMACIÓN TITULADA'!#REF!,"AAAAAH73e1w=")</f>
        <v>#REF!</v>
      </c>
      <c r="CP396" t="e">
        <f>AND('PROG FORMACIÓN TITULADA'!#REF!,"AAAAAH73e10=")</f>
        <v>#REF!</v>
      </c>
      <c r="CQ396" t="e">
        <f>AND('PROG FORMACIÓN TITULADA'!#REF!,"AAAAAH73e14=")</f>
        <v>#REF!</v>
      </c>
      <c r="CR396" t="e">
        <f>AND('PROG FORMACIÓN TITULADA'!#REF!,"AAAAAH73e18=")</f>
        <v>#REF!</v>
      </c>
      <c r="CS396" t="e">
        <f>AND('PROG FORMACIÓN TITULADA'!#REF!,"AAAAAH73e2A=")</f>
        <v>#REF!</v>
      </c>
      <c r="CT396" t="e">
        <f>AND('PROG FORMACIÓN TITULADA'!#REF!,"AAAAAH73e2E=")</f>
        <v>#REF!</v>
      </c>
      <c r="CU396" t="e">
        <f>AND('PROG FORMACIÓN TITULADA'!#REF!,"AAAAAH73e2I=")</f>
        <v>#REF!</v>
      </c>
      <c r="CV396" t="e">
        <f>AND('PROG FORMACIÓN TITULADA'!#REF!,"AAAAAH73e2M=")</f>
        <v>#REF!</v>
      </c>
      <c r="CW396" t="e">
        <f>AND('PROG FORMACIÓN TITULADA'!#REF!,"AAAAAH73e2Q=")</f>
        <v>#REF!</v>
      </c>
      <c r="CX396" t="e">
        <f>AND('PROG FORMACIÓN TITULADA'!#REF!,"AAAAAH73e2U=")</f>
        <v>#REF!</v>
      </c>
      <c r="CY396" t="e">
        <f>AND('PROG FORMACIÓN TITULADA'!#REF!,"AAAAAH73e2Y=")</f>
        <v>#REF!</v>
      </c>
      <c r="CZ396" t="e">
        <f>AND('PROG FORMACIÓN TITULADA'!#REF!,"AAAAAH73e2c=")</f>
        <v>#REF!</v>
      </c>
      <c r="DA396" t="e">
        <f>AND('PROG FORMACIÓN TITULADA'!#REF!,"AAAAAH73e2g=")</f>
        <v>#REF!</v>
      </c>
      <c r="DB396" t="e">
        <f>AND('PROG FORMACIÓN TITULADA'!#REF!,"AAAAAH73e2k=")</f>
        <v>#REF!</v>
      </c>
      <c r="DC396" t="e">
        <f>AND('PROG FORMACIÓN TITULADA'!#REF!,"AAAAAH73e2o=")</f>
        <v>#REF!</v>
      </c>
      <c r="DD396" t="e">
        <f>AND('PROG FORMACIÓN TITULADA'!#REF!,"AAAAAH73e2s=")</f>
        <v>#REF!</v>
      </c>
      <c r="DE396" t="e">
        <f>AND('PROG FORMACIÓN TITULADA'!#REF!,"AAAAAH73e2w=")</f>
        <v>#REF!</v>
      </c>
      <c r="DF396" t="e">
        <f>AND('PROG FORMACIÓN TITULADA'!#REF!,"AAAAAH73e20=")</f>
        <v>#REF!</v>
      </c>
      <c r="DG396" t="e">
        <f>AND('PROG FORMACIÓN TITULADA'!#REF!,"AAAAAH73e24=")</f>
        <v>#REF!</v>
      </c>
      <c r="DH396" t="e">
        <f>AND('PROG FORMACIÓN TITULADA'!#REF!,"AAAAAH73e28=")</f>
        <v>#REF!</v>
      </c>
      <c r="DI396" t="e">
        <f>AND('PROG FORMACIÓN TITULADA'!#REF!,"AAAAAH73e3A=")</f>
        <v>#REF!</v>
      </c>
      <c r="DJ396" t="e">
        <f>AND('PROG FORMACIÓN TITULADA'!#REF!,"AAAAAH73e3E=")</f>
        <v>#REF!</v>
      </c>
      <c r="DK396" t="e">
        <f>AND('PROG FORMACIÓN TITULADA'!#REF!,"AAAAAH73e3I=")</f>
        <v>#REF!</v>
      </c>
      <c r="DL396" t="e">
        <f>AND('PROG FORMACIÓN TITULADA'!#REF!,"AAAAAH73e3M=")</f>
        <v>#REF!</v>
      </c>
      <c r="DM396" t="e">
        <f>AND('PROG FORMACIÓN TITULADA'!#REF!,"AAAAAH73e3Q=")</f>
        <v>#REF!</v>
      </c>
      <c r="DN396" t="e">
        <f>AND('PROG FORMACIÓN TITULADA'!#REF!,"AAAAAH73e3U=")</f>
        <v>#REF!</v>
      </c>
      <c r="DO396" t="e">
        <f>IF('PROG FORMACIÓN TITULADA'!#REF!,"AAAAAH73e3Y=",0)</f>
        <v>#REF!</v>
      </c>
      <c r="DP396" t="e">
        <f>AND('PROG FORMACIÓN TITULADA'!#REF!,"AAAAAH73e3c=")</f>
        <v>#REF!</v>
      </c>
      <c r="DQ396" t="e">
        <f>AND('PROG FORMACIÓN TITULADA'!#REF!,"AAAAAH73e3g=")</f>
        <v>#REF!</v>
      </c>
      <c r="DR396" t="e">
        <f>AND('PROG FORMACIÓN TITULADA'!#REF!,"AAAAAH73e3k=")</f>
        <v>#REF!</v>
      </c>
      <c r="DS396" t="e">
        <f>AND('PROG FORMACIÓN TITULADA'!#REF!,"AAAAAH73e3o=")</f>
        <v>#REF!</v>
      </c>
      <c r="DT396" t="e">
        <f>AND('PROG FORMACIÓN TITULADA'!#REF!,"AAAAAH73e3s=")</f>
        <v>#REF!</v>
      </c>
      <c r="DU396" t="e">
        <f>AND('PROG FORMACIÓN TITULADA'!#REF!,"AAAAAH73e3w=")</f>
        <v>#REF!</v>
      </c>
      <c r="DV396" t="e">
        <f>AND('PROG FORMACIÓN TITULADA'!#REF!,"AAAAAH73e30=")</f>
        <v>#REF!</v>
      </c>
      <c r="DW396" t="e">
        <f>AND('PROG FORMACIÓN TITULADA'!#REF!,"AAAAAH73e34=")</f>
        <v>#REF!</v>
      </c>
      <c r="DX396" t="e">
        <f>AND('PROG FORMACIÓN TITULADA'!#REF!,"AAAAAH73e38=")</f>
        <v>#REF!</v>
      </c>
      <c r="DY396" t="e">
        <f>AND('PROG FORMACIÓN TITULADA'!#REF!,"AAAAAH73e4A=")</f>
        <v>#REF!</v>
      </c>
      <c r="DZ396" t="e">
        <f>AND('PROG FORMACIÓN TITULADA'!#REF!,"AAAAAH73e4E=")</f>
        <v>#REF!</v>
      </c>
      <c r="EA396" t="e">
        <f>AND('PROG FORMACIÓN TITULADA'!#REF!,"AAAAAH73e4I=")</f>
        <v>#REF!</v>
      </c>
      <c r="EB396" t="e">
        <f>AND('PROG FORMACIÓN TITULADA'!#REF!,"AAAAAH73e4M=")</f>
        <v>#REF!</v>
      </c>
      <c r="EC396" t="e">
        <f>AND('PROG FORMACIÓN TITULADA'!#REF!,"AAAAAH73e4Q=")</f>
        <v>#REF!</v>
      </c>
      <c r="ED396" t="e">
        <f>AND('PROG FORMACIÓN TITULADA'!#REF!,"AAAAAH73e4U=")</f>
        <v>#REF!</v>
      </c>
      <c r="EE396" t="e">
        <f>AND('PROG FORMACIÓN TITULADA'!#REF!,"AAAAAH73e4Y=")</f>
        <v>#REF!</v>
      </c>
      <c r="EF396" t="e">
        <f>AND('PROG FORMACIÓN TITULADA'!#REF!,"AAAAAH73e4c=")</f>
        <v>#REF!</v>
      </c>
      <c r="EG396" t="e">
        <f>AND('PROG FORMACIÓN TITULADA'!#REF!,"AAAAAH73e4g=")</f>
        <v>#REF!</v>
      </c>
      <c r="EH396" t="e">
        <f>AND('PROG FORMACIÓN TITULADA'!#REF!,"AAAAAH73e4k=")</f>
        <v>#REF!</v>
      </c>
      <c r="EI396" t="e">
        <f>AND('PROG FORMACIÓN TITULADA'!#REF!,"AAAAAH73e4o=")</f>
        <v>#REF!</v>
      </c>
      <c r="EJ396" t="e">
        <f>AND('PROG FORMACIÓN TITULADA'!#REF!,"AAAAAH73e4s=")</f>
        <v>#REF!</v>
      </c>
      <c r="EK396" t="e">
        <f>AND('PROG FORMACIÓN TITULADA'!#REF!,"AAAAAH73e4w=")</f>
        <v>#REF!</v>
      </c>
      <c r="EL396" t="e">
        <f>AND('PROG FORMACIÓN TITULADA'!#REF!,"AAAAAH73e40=")</f>
        <v>#REF!</v>
      </c>
      <c r="EM396" t="e">
        <f>AND('PROG FORMACIÓN TITULADA'!#REF!,"AAAAAH73e44=")</f>
        <v>#REF!</v>
      </c>
      <c r="EN396" t="e">
        <f>AND('PROG FORMACIÓN TITULADA'!#REF!,"AAAAAH73e48=")</f>
        <v>#REF!</v>
      </c>
      <c r="EO396" t="e">
        <f>AND('PROG FORMACIÓN TITULADA'!#REF!,"AAAAAH73e5A=")</f>
        <v>#REF!</v>
      </c>
      <c r="EP396" t="e">
        <f>IF('PROG FORMACIÓN TITULADA'!#REF!,"AAAAAH73e5E=",0)</f>
        <v>#REF!</v>
      </c>
      <c r="EQ396" t="e">
        <f>AND('PROG FORMACIÓN TITULADA'!#REF!,"AAAAAH73e5I=")</f>
        <v>#REF!</v>
      </c>
      <c r="ER396" t="e">
        <f>AND('PROG FORMACIÓN TITULADA'!#REF!,"AAAAAH73e5M=")</f>
        <v>#REF!</v>
      </c>
      <c r="ES396" t="e">
        <f>AND('PROG FORMACIÓN TITULADA'!#REF!,"AAAAAH73e5Q=")</f>
        <v>#REF!</v>
      </c>
      <c r="ET396" t="e">
        <f>AND('PROG FORMACIÓN TITULADA'!#REF!,"AAAAAH73e5U=")</f>
        <v>#REF!</v>
      </c>
      <c r="EU396" t="e">
        <f>AND('PROG FORMACIÓN TITULADA'!#REF!,"AAAAAH73e5Y=")</f>
        <v>#REF!</v>
      </c>
      <c r="EV396" t="e">
        <f>AND('PROG FORMACIÓN TITULADA'!#REF!,"AAAAAH73e5c=")</f>
        <v>#REF!</v>
      </c>
      <c r="EW396" t="e">
        <f>AND('PROG FORMACIÓN TITULADA'!#REF!,"AAAAAH73e5g=")</f>
        <v>#REF!</v>
      </c>
      <c r="EX396" t="e">
        <f>AND('PROG FORMACIÓN TITULADA'!#REF!,"AAAAAH73e5k=")</f>
        <v>#REF!</v>
      </c>
      <c r="EY396" t="e">
        <f>AND('PROG FORMACIÓN TITULADA'!#REF!,"AAAAAH73e5o=")</f>
        <v>#REF!</v>
      </c>
      <c r="EZ396" t="e">
        <f>AND('PROG FORMACIÓN TITULADA'!#REF!,"AAAAAH73e5s=")</f>
        <v>#REF!</v>
      </c>
      <c r="FA396" t="e">
        <f>AND('PROG FORMACIÓN TITULADA'!#REF!,"AAAAAH73e5w=")</f>
        <v>#REF!</v>
      </c>
      <c r="FB396" t="e">
        <f>AND('PROG FORMACIÓN TITULADA'!#REF!,"AAAAAH73e50=")</f>
        <v>#REF!</v>
      </c>
      <c r="FC396" t="e">
        <f>AND('PROG FORMACIÓN TITULADA'!#REF!,"AAAAAH73e54=")</f>
        <v>#REF!</v>
      </c>
      <c r="FD396" t="e">
        <f>AND('PROG FORMACIÓN TITULADA'!#REF!,"AAAAAH73e58=")</f>
        <v>#REF!</v>
      </c>
      <c r="FE396" t="e">
        <f>AND('PROG FORMACIÓN TITULADA'!#REF!,"AAAAAH73e6A=")</f>
        <v>#REF!</v>
      </c>
      <c r="FF396" t="e">
        <f>AND('PROG FORMACIÓN TITULADA'!#REF!,"AAAAAH73e6E=")</f>
        <v>#REF!</v>
      </c>
      <c r="FG396" t="e">
        <f>AND('PROG FORMACIÓN TITULADA'!#REF!,"AAAAAH73e6I=")</f>
        <v>#REF!</v>
      </c>
      <c r="FH396" t="e">
        <f>AND('PROG FORMACIÓN TITULADA'!#REF!,"AAAAAH73e6M=")</f>
        <v>#REF!</v>
      </c>
      <c r="FI396" t="e">
        <f>AND('PROG FORMACIÓN TITULADA'!#REF!,"AAAAAH73e6Q=")</f>
        <v>#REF!</v>
      </c>
      <c r="FJ396" t="e">
        <f>AND('PROG FORMACIÓN TITULADA'!#REF!,"AAAAAH73e6U=")</f>
        <v>#REF!</v>
      </c>
      <c r="FK396" t="e">
        <f>AND('PROG FORMACIÓN TITULADA'!#REF!,"AAAAAH73e6Y=")</f>
        <v>#REF!</v>
      </c>
      <c r="FL396" t="e">
        <f>AND('PROG FORMACIÓN TITULADA'!#REF!,"AAAAAH73e6c=")</f>
        <v>#REF!</v>
      </c>
      <c r="FM396" t="e">
        <f>AND('PROG FORMACIÓN TITULADA'!#REF!,"AAAAAH73e6g=")</f>
        <v>#REF!</v>
      </c>
      <c r="FN396" t="e">
        <f>AND('PROG FORMACIÓN TITULADA'!#REF!,"AAAAAH73e6k=")</f>
        <v>#REF!</v>
      </c>
      <c r="FO396" t="e">
        <f>AND('PROG FORMACIÓN TITULADA'!#REF!,"AAAAAH73e6o=")</f>
        <v>#REF!</v>
      </c>
      <c r="FP396" t="e">
        <f>AND('PROG FORMACIÓN TITULADA'!#REF!,"AAAAAH73e6s=")</f>
        <v>#REF!</v>
      </c>
      <c r="FQ396" t="e">
        <f>IF('PROG FORMACIÓN TITULADA'!#REF!,"AAAAAH73e6w=",0)</f>
        <v>#REF!</v>
      </c>
      <c r="FR396" t="e">
        <f>AND('PROG FORMACIÓN TITULADA'!#REF!,"AAAAAH73e60=")</f>
        <v>#REF!</v>
      </c>
      <c r="FS396" t="e">
        <f>AND('PROG FORMACIÓN TITULADA'!#REF!,"AAAAAH73e64=")</f>
        <v>#REF!</v>
      </c>
      <c r="FT396" t="e">
        <f>AND('PROG FORMACIÓN TITULADA'!#REF!,"AAAAAH73e68=")</f>
        <v>#REF!</v>
      </c>
      <c r="FU396" t="e">
        <f>AND('PROG FORMACIÓN TITULADA'!#REF!,"AAAAAH73e7A=")</f>
        <v>#REF!</v>
      </c>
      <c r="FV396" t="e">
        <f>AND('PROG FORMACIÓN TITULADA'!#REF!,"AAAAAH73e7E=")</f>
        <v>#REF!</v>
      </c>
      <c r="FW396" t="e">
        <f>AND('PROG FORMACIÓN TITULADA'!#REF!,"AAAAAH73e7I=")</f>
        <v>#REF!</v>
      </c>
      <c r="FX396" t="e">
        <f>AND('PROG FORMACIÓN TITULADA'!#REF!,"AAAAAH73e7M=")</f>
        <v>#REF!</v>
      </c>
      <c r="FY396" t="e">
        <f>AND('PROG FORMACIÓN TITULADA'!#REF!,"AAAAAH73e7Q=")</f>
        <v>#REF!</v>
      </c>
      <c r="FZ396" t="e">
        <f>AND('PROG FORMACIÓN TITULADA'!#REF!,"AAAAAH73e7U=")</f>
        <v>#REF!</v>
      </c>
      <c r="GA396" t="e">
        <f>AND('PROG FORMACIÓN TITULADA'!#REF!,"AAAAAH73e7Y=")</f>
        <v>#REF!</v>
      </c>
      <c r="GB396" t="e">
        <f>AND('PROG FORMACIÓN TITULADA'!#REF!,"AAAAAH73e7c=")</f>
        <v>#REF!</v>
      </c>
      <c r="GC396" t="e">
        <f>AND('PROG FORMACIÓN TITULADA'!#REF!,"AAAAAH73e7g=")</f>
        <v>#REF!</v>
      </c>
      <c r="GD396" t="e">
        <f>AND('PROG FORMACIÓN TITULADA'!#REF!,"AAAAAH73e7k=")</f>
        <v>#REF!</v>
      </c>
      <c r="GE396" t="e">
        <f>AND('PROG FORMACIÓN TITULADA'!#REF!,"AAAAAH73e7o=")</f>
        <v>#REF!</v>
      </c>
      <c r="GF396" t="e">
        <f>AND('PROG FORMACIÓN TITULADA'!#REF!,"AAAAAH73e7s=")</f>
        <v>#REF!</v>
      </c>
      <c r="GG396" t="e">
        <f>AND('PROG FORMACIÓN TITULADA'!#REF!,"AAAAAH73e7w=")</f>
        <v>#REF!</v>
      </c>
      <c r="GH396" t="e">
        <f>AND('PROG FORMACIÓN TITULADA'!#REF!,"AAAAAH73e70=")</f>
        <v>#REF!</v>
      </c>
      <c r="GI396" t="e">
        <f>AND('PROG FORMACIÓN TITULADA'!#REF!,"AAAAAH73e74=")</f>
        <v>#REF!</v>
      </c>
      <c r="GJ396" t="e">
        <f>AND('PROG FORMACIÓN TITULADA'!#REF!,"AAAAAH73e78=")</f>
        <v>#REF!</v>
      </c>
      <c r="GK396" t="e">
        <f>AND('PROG FORMACIÓN TITULADA'!#REF!,"AAAAAH73e8A=")</f>
        <v>#REF!</v>
      </c>
      <c r="GL396" t="e">
        <f>AND('PROG FORMACIÓN TITULADA'!#REF!,"AAAAAH73e8E=")</f>
        <v>#REF!</v>
      </c>
      <c r="GM396" t="e">
        <f>AND('PROG FORMACIÓN TITULADA'!#REF!,"AAAAAH73e8I=")</f>
        <v>#REF!</v>
      </c>
      <c r="GN396" t="e">
        <f>AND('PROG FORMACIÓN TITULADA'!#REF!,"AAAAAH73e8M=")</f>
        <v>#REF!</v>
      </c>
      <c r="GO396" t="e">
        <f>AND('PROG FORMACIÓN TITULADA'!#REF!,"AAAAAH73e8Q=")</f>
        <v>#REF!</v>
      </c>
      <c r="GP396" t="e">
        <f>AND('PROG FORMACIÓN TITULADA'!#REF!,"AAAAAH73e8U=")</f>
        <v>#REF!</v>
      </c>
      <c r="GQ396" t="e">
        <f>AND('PROG FORMACIÓN TITULADA'!#REF!,"AAAAAH73e8Y=")</f>
        <v>#REF!</v>
      </c>
      <c r="GR396" t="e">
        <f>IF('PROG FORMACIÓN TITULADA'!#REF!,"AAAAAH73e8c=",0)</f>
        <v>#REF!</v>
      </c>
      <c r="GS396" t="e">
        <f>AND('PROG FORMACIÓN TITULADA'!#REF!,"AAAAAH73e8g=")</f>
        <v>#REF!</v>
      </c>
      <c r="GT396" t="e">
        <f>AND('PROG FORMACIÓN TITULADA'!#REF!,"AAAAAH73e8k=")</f>
        <v>#REF!</v>
      </c>
      <c r="GU396" t="e">
        <f>AND('PROG FORMACIÓN TITULADA'!#REF!,"AAAAAH73e8o=")</f>
        <v>#REF!</v>
      </c>
      <c r="GV396" t="e">
        <f>AND('PROG FORMACIÓN TITULADA'!#REF!,"AAAAAH73e8s=")</f>
        <v>#REF!</v>
      </c>
      <c r="GW396" t="e">
        <f>AND('PROG FORMACIÓN TITULADA'!#REF!,"AAAAAH73e8w=")</f>
        <v>#REF!</v>
      </c>
      <c r="GX396" t="e">
        <f>AND('PROG FORMACIÓN TITULADA'!#REF!,"AAAAAH73e80=")</f>
        <v>#REF!</v>
      </c>
      <c r="GY396" t="e">
        <f>AND('PROG FORMACIÓN TITULADA'!#REF!,"AAAAAH73e84=")</f>
        <v>#REF!</v>
      </c>
      <c r="GZ396" t="e">
        <f>AND('PROG FORMACIÓN TITULADA'!#REF!,"AAAAAH73e88=")</f>
        <v>#REF!</v>
      </c>
      <c r="HA396" t="e">
        <f>AND('PROG FORMACIÓN TITULADA'!#REF!,"AAAAAH73e9A=")</f>
        <v>#REF!</v>
      </c>
      <c r="HB396" t="e">
        <f>AND('PROG FORMACIÓN TITULADA'!#REF!,"AAAAAH73e9E=")</f>
        <v>#REF!</v>
      </c>
      <c r="HC396" t="e">
        <f>AND('PROG FORMACIÓN TITULADA'!#REF!,"AAAAAH73e9I=")</f>
        <v>#REF!</v>
      </c>
      <c r="HD396" t="e">
        <f>AND('PROG FORMACIÓN TITULADA'!#REF!,"AAAAAH73e9M=")</f>
        <v>#REF!</v>
      </c>
      <c r="HE396" t="e">
        <f>AND('PROG FORMACIÓN TITULADA'!#REF!,"AAAAAH73e9Q=")</f>
        <v>#REF!</v>
      </c>
      <c r="HF396" t="e">
        <f>AND('PROG FORMACIÓN TITULADA'!#REF!,"AAAAAH73e9U=")</f>
        <v>#REF!</v>
      </c>
      <c r="HG396" t="e">
        <f>AND('PROG FORMACIÓN TITULADA'!#REF!,"AAAAAH73e9Y=")</f>
        <v>#REF!</v>
      </c>
      <c r="HH396" t="e">
        <f>AND('PROG FORMACIÓN TITULADA'!#REF!,"AAAAAH73e9c=")</f>
        <v>#REF!</v>
      </c>
      <c r="HI396" t="e">
        <f>AND('PROG FORMACIÓN TITULADA'!#REF!,"AAAAAH73e9g=")</f>
        <v>#REF!</v>
      </c>
      <c r="HJ396" t="e">
        <f>AND('PROG FORMACIÓN TITULADA'!#REF!,"AAAAAH73e9k=")</f>
        <v>#REF!</v>
      </c>
      <c r="HK396" t="e">
        <f>AND('PROG FORMACIÓN TITULADA'!#REF!,"AAAAAH73e9o=")</f>
        <v>#REF!</v>
      </c>
      <c r="HL396" t="e">
        <f>AND('PROG FORMACIÓN TITULADA'!#REF!,"AAAAAH73e9s=")</f>
        <v>#REF!</v>
      </c>
      <c r="HM396" t="e">
        <f>AND('PROG FORMACIÓN TITULADA'!#REF!,"AAAAAH73e9w=")</f>
        <v>#REF!</v>
      </c>
      <c r="HN396" t="e">
        <f>AND('PROG FORMACIÓN TITULADA'!#REF!,"AAAAAH73e90=")</f>
        <v>#REF!</v>
      </c>
      <c r="HO396" t="e">
        <f>AND('PROG FORMACIÓN TITULADA'!#REF!,"AAAAAH73e94=")</f>
        <v>#REF!</v>
      </c>
      <c r="HP396" t="e">
        <f>AND('PROG FORMACIÓN TITULADA'!#REF!,"AAAAAH73e98=")</f>
        <v>#REF!</v>
      </c>
      <c r="HQ396" t="e">
        <f>AND('PROG FORMACIÓN TITULADA'!#REF!,"AAAAAH73e+A=")</f>
        <v>#REF!</v>
      </c>
      <c r="HR396" t="e">
        <f>AND('PROG FORMACIÓN TITULADA'!#REF!,"AAAAAH73e+E=")</f>
        <v>#REF!</v>
      </c>
      <c r="HS396" t="e">
        <f>IF('PROG FORMACIÓN TITULADA'!#REF!,"AAAAAH73e+I=",0)</f>
        <v>#REF!</v>
      </c>
      <c r="HT396" t="e">
        <f>AND('PROG FORMACIÓN TITULADA'!#REF!,"AAAAAH73e+M=")</f>
        <v>#REF!</v>
      </c>
      <c r="HU396" t="e">
        <f>AND('PROG FORMACIÓN TITULADA'!#REF!,"AAAAAH73e+Q=")</f>
        <v>#REF!</v>
      </c>
      <c r="HV396" t="e">
        <f>AND('PROG FORMACIÓN TITULADA'!#REF!,"AAAAAH73e+U=")</f>
        <v>#REF!</v>
      </c>
      <c r="HW396" t="e">
        <f>AND('PROG FORMACIÓN TITULADA'!#REF!,"AAAAAH73e+Y=")</f>
        <v>#REF!</v>
      </c>
      <c r="HX396" t="e">
        <f>AND('PROG FORMACIÓN TITULADA'!#REF!,"AAAAAH73e+c=")</f>
        <v>#REF!</v>
      </c>
      <c r="HY396" t="e">
        <f>AND('PROG FORMACIÓN TITULADA'!#REF!,"AAAAAH73e+g=")</f>
        <v>#REF!</v>
      </c>
      <c r="HZ396" t="e">
        <f>AND('PROG FORMACIÓN TITULADA'!#REF!,"AAAAAH73e+k=")</f>
        <v>#REF!</v>
      </c>
      <c r="IA396" t="e">
        <f>AND('PROG FORMACIÓN TITULADA'!#REF!,"AAAAAH73e+o=")</f>
        <v>#REF!</v>
      </c>
      <c r="IB396" t="e">
        <f>AND('PROG FORMACIÓN TITULADA'!#REF!,"AAAAAH73e+s=")</f>
        <v>#REF!</v>
      </c>
      <c r="IC396" t="e">
        <f>AND('PROG FORMACIÓN TITULADA'!#REF!,"AAAAAH73e+w=")</f>
        <v>#REF!</v>
      </c>
      <c r="ID396" t="e">
        <f>AND('PROG FORMACIÓN TITULADA'!#REF!,"AAAAAH73e+0=")</f>
        <v>#REF!</v>
      </c>
      <c r="IE396" t="e">
        <f>AND('PROG FORMACIÓN TITULADA'!#REF!,"AAAAAH73e+4=")</f>
        <v>#REF!</v>
      </c>
      <c r="IF396" t="e">
        <f>AND('PROG FORMACIÓN TITULADA'!#REF!,"AAAAAH73e+8=")</f>
        <v>#REF!</v>
      </c>
      <c r="IG396" t="e">
        <f>AND('PROG FORMACIÓN TITULADA'!#REF!,"AAAAAH73e/A=")</f>
        <v>#REF!</v>
      </c>
      <c r="IH396" t="e">
        <f>AND('PROG FORMACIÓN TITULADA'!#REF!,"AAAAAH73e/E=")</f>
        <v>#REF!</v>
      </c>
      <c r="II396" t="e">
        <f>AND('PROG FORMACIÓN TITULADA'!#REF!,"AAAAAH73e/I=")</f>
        <v>#REF!</v>
      </c>
      <c r="IJ396" t="e">
        <f>AND('PROG FORMACIÓN TITULADA'!#REF!,"AAAAAH73e/M=")</f>
        <v>#REF!</v>
      </c>
      <c r="IK396" t="e">
        <f>AND('PROG FORMACIÓN TITULADA'!#REF!,"AAAAAH73e/Q=")</f>
        <v>#REF!</v>
      </c>
      <c r="IL396" t="e">
        <f>AND('PROG FORMACIÓN TITULADA'!#REF!,"AAAAAH73e/U=")</f>
        <v>#REF!</v>
      </c>
      <c r="IM396" t="e">
        <f>AND('PROG FORMACIÓN TITULADA'!#REF!,"AAAAAH73e/Y=")</f>
        <v>#REF!</v>
      </c>
      <c r="IN396" t="e">
        <f>AND('PROG FORMACIÓN TITULADA'!#REF!,"AAAAAH73e/c=")</f>
        <v>#REF!</v>
      </c>
      <c r="IO396" t="e">
        <f>AND('PROG FORMACIÓN TITULADA'!#REF!,"AAAAAH73e/g=")</f>
        <v>#REF!</v>
      </c>
      <c r="IP396" t="e">
        <f>AND('PROG FORMACIÓN TITULADA'!#REF!,"AAAAAH73e/k=")</f>
        <v>#REF!</v>
      </c>
      <c r="IQ396" t="e">
        <f>AND('PROG FORMACIÓN TITULADA'!#REF!,"AAAAAH73e/o=")</f>
        <v>#REF!</v>
      </c>
      <c r="IR396" t="e">
        <f>AND('PROG FORMACIÓN TITULADA'!#REF!,"AAAAAH73e/s=")</f>
        <v>#REF!</v>
      </c>
      <c r="IS396" t="e">
        <f>AND('PROG FORMACIÓN TITULADA'!#REF!,"AAAAAH73e/w=")</f>
        <v>#REF!</v>
      </c>
      <c r="IT396" t="e">
        <f>IF('PROG FORMACIÓN TITULADA'!#REF!,"AAAAAH73e/0=",0)</f>
        <v>#REF!</v>
      </c>
      <c r="IU396" t="e">
        <f>AND('PROG FORMACIÓN TITULADA'!#REF!,"AAAAAH73e/4=")</f>
        <v>#REF!</v>
      </c>
      <c r="IV396" t="e">
        <f>AND('PROG FORMACIÓN TITULADA'!#REF!,"AAAAAH73e/8=")</f>
        <v>#REF!</v>
      </c>
    </row>
    <row r="397" spans="1:256" x14ac:dyDescent="0.2">
      <c r="A397" t="e">
        <f>AND('PROG FORMACIÓN TITULADA'!#REF!,"AAAAAHvn0gA=")</f>
        <v>#REF!</v>
      </c>
      <c r="B397" t="e">
        <f>AND('PROG FORMACIÓN TITULADA'!#REF!,"AAAAAHvn0gE=")</f>
        <v>#REF!</v>
      </c>
      <c r="C397" t="e">
        <f>AND('PROG FORMACIÓN TITULADA'!#REF!,"AAAAAHvn0gI=")</f>
        <v>#REF!</v>
      </c>
      <c r="D397" t="e">
        <f>AND('PROG FORMACIÓN TITULADA'!#REF!,"AAAAAHvn0gM=")</f>
        <v>#REF!</v>
      </c>
      <c r="E397" t="e">
        <f>AND('PROG FORMACIÓN TITULADA'!#REF!,"AAAAAHvn0gQ=")</f>
        <v>#REF!</v>
      </c>
      <c r="F397" t="e">
        <f>AND('PROG FORMACIÓN TITULADA'!#REF!,"AAAAAHvn0gU=")</f>
        <v>#REF!</v>
      </c>
      <c r="G397" t="e">
        <f>AND('PROG FORMACIÓN TITULADA'!#REF!,"AAAAAHvn0gY=")</f>
        <v>#REF!</v>
      </c>
      <c r="H397" t="e">
        <f>AND('PROG FORMACIÓN TITULADA'!#REF!,"AAAAAHvn0gc=")</f>
        <v>#REF!</v>
      </c>
      <c r="I397" t="e">
        <f>AND('PROG FORMACIÓN TITULADA'!#REF!,"AAAAAHvn0gg=")</f>
        <v>#REF!</v>
      </c>
      <c r="J397" t="e">
        <f>AND('PROG FORMACIÓN TITULADA'!#REF!,"AAAAAHvn0gk=")</f>
        <v>#REF!</v>
      </c>
      <c r="K397" t="e">
        <f>AND('PROG FORMACIÓN TITULADA'!#REF!,"AAAAAHvn0go=")</f>
        <v>#REF!</v>
      </c>
      <c r="L397" t="e">
        <f>AND('PROG FORMACIÓN TITULADA'!#REF!,"AAAAAHvn0gs=")</f>
        <v>#REF!</v>
      </c>
      <c r="M397" t="e">
        <f>AND('PROG FORMACIÓN TITULADA'!#REF!,"AAAAAHvn0gw=")</f>
        <v>#REF!</v>
      </c>
      <c r="N397" t="e">
        <f>AND('PROG FORMACIÓN TITULADA'!#REF!,"AAAAAHvn0g0=")</f>
        <v>#REF!</v>
      </c>
      <c r="O397" t="e">
        <f>AND('PROG FORMACIÓN TITULADA'!#REF!,"AAAAAHvn0g4=")</f>
        <v>#REF!</v>
      </c>
      <c r="P397" t="e">
        <f>AND('PROG FORMACIÓN TITULADA'!#REF!,"AAAAAHvn0g8=")</f>
        <v>#REF!</v>
      </c>
      <c r="Q397" t="e">
        <f>AND('PROG FORMACIÓN TITULADA'!#REF!,"AAAAAHvn0hA=")</f>
        <v>#REF!</v>
      </c>
      <c r="R397" t="e">
        <f>AND('PROG FORMACIÓN TITULADA'!#REF!,"AAAAAHvn0hE=")</f>
        <v>#REF!</v>
      </c>
      <c r="S397" t="e">
        <f>AND('PROG FORMACIÓN TITULADA'!#REF!,"AAAAAHvn0hI=")</f>
        <v>#REF!</v>
      </c>
      <c r="T397" t="e">
        <f>AND('PROG FORMACIÓN TITULADA'!#REF!,"AAAAAHvn0hM=")</f>
        <v>#REF!</v>
      </c>
      <c r="U397" t="e">
        <f>AND('PROG FORMACIÓN TITULADA'!#REF!,"AAAAAHvn0hQ=")</f>
        <v>#REF!</v>
      </c>
      <c r="V397" t="e">
        <f>AND('PROG FORMACIÓN TITULADA'!#REF!,"AAAAAHvn0hU=")</f>
        <v>#REF!</v>
      </c>
      <c r="W397" t="e">
        <f>AND('PROG FORMACIÓN TITULADA'!#REF!,"AAAAAHvn0hY=")</f>
        <v>#REF!</v>
      </c>
      <c r="X397" t="e">
        <f>AND('PROG FORMACIÓN TITULADA'!#REF!,"AAAAAHvn0hc=")</f>
        <v>#REF!</v>
      </c>
      <c r="Y397" t="e">
        <f>IF('PROG FORMACIÓN TITULADA'!#REF!,"AAAAAHvn0hg=",0)</f>
        <v>#REF!</v>
      </c>
      <c r="Z397" t="e">
        <f>AND('PROG FORMACIÓN TITULADA'!#REF!,"AAAAAHvn0hk=")</f>
        <v>#REF!</v>
      </c>
      <c r="AA397" t="e">
        <f>AND('PROG FORMACIÓN TITULADA'!#REF!,"AAAAAHvn0ho=")</f>
        <v>#REF!</v>
      </c>
      <c r="AB397" t="e">
        <f>AND('PROG FORMACIÓN TITULADA'!#REF!,"AAAAAHvn0hs=")</f>
        <v>#REF!</v>
      </c>
      <c r="AC397" t="e">
        <f>AND('PROG FORMACIÓN TITULADA'!#REF!,"AAAAAHvn0hw=")</f>
        <v>#REF!</v>
      </c>
      <c r="AD397" t="e">
        <f>AND('PROG FORMACIÓN TITULADA'!#REF!,"AAAAAHvn0h0=")</f>
        <v>#REF!</v>
      </c>
      <c r="AE397" t="e">
        <f>AND('PROG FORMACIÓN TITULADA'!#REF!,"AAAAAHvn0h4=")</f>
        <v>#REF!</v>
      </c>
      <c r="AF397" t="e">
        <f>AND('PROG FORMACIÓN TITULADA'!#REF!,"AAAAAHvn0h8=")</f>
        <v>#REF!</v>
      </c>
      <c r="AG397" t="e">
        <f>AND('PROG FORMACIÓN TITULADA'!#REF!,"AAAAAHvn0iA=")</f>
        <v>#REF!</v>
      </c>
      <c r="AH397" t="e">
        <f>AND('PROG FORMACIÓN TITULADA'!#REF!,"AAAAAHvn0iE=")</f>
        <v>#REF!</v>
      </c>
      <c r="AI397" t="e">
        <f>AND('PROG FORMACIÓN TITULADA'!#REF!,"AAAAAHvn0iI=")</f>
        <v>#REF!</v>
      </c>
      <c r="AJ397" t="e">
        <f>AND('PROG FORMACIÓN TITULADA'!#REF!,"AAAAAHvn0iM=")</f>
        <v>#REF!</v>
      </c>
      <c r="AK397" t="e">
        <f>AND('PROG FORMACIÓN TITULADA'!#REF!,"AAAAAHvn0iQ=")</f>
        <v>#REF!</v>
      </c>
      <c r="AL397" t="e">
        <f>AND('PROG FORMACIÓN TITULADA'!#REF!,"AAAAAHvn0iU=")</f>
        <v>#REF!</v>
      </c>
      <c r="AM397" t="e">
        <f>AND('PROG FORMACIÓN TITULADA'!#REF!,"AAAAAHvn0iY=")</f>
        <v>#REF!</v>
      </c>
      <c r="AN397" t="e">
        <f>AND('PROG FORMACIÓN TITULADA'!#REF!,"AAAAAHvn0ic=")</f>
        <v>#REF!</v>
      </c>
      <c r="AO397" t="e">
        <f>AND('PROG FORMACIÓN TITULADA'!#REF!,"AAAAAHvn0ig=")</f>
        <v>#REF!</v>
      </c>
      <c r="AP397" t="e">
        <f>AND('PROG FORMACIÓN TITULADA'!#REF!,"AAAAAHvn0ik=")</f>
        <v>#REF!</v>
      </c>
      <c r="AQ397" t="e">
        <f>AND('PROG FORMACIÓN TITULADA'!#REF!,"AAAAAHvn0io=")</f>
        <v>#REF!</v>
      </c>
      <c r="AR397" t="e">
        <f>AND('PROG FORMACIÓN TITULADA'!#REF!,"AAAAAHvn0is=")</f>
        <v>#REF!</v>
      </c>
      <c r="AS397" t="e">
        <f>AND('PROG FORMACIÓN TITULADA'!#REF!,"AAAAAHvn0iw=")</f>
        <v>#REF!</v>
      </c>
      <c r="AT397" t="e">
        <f>AND('PROG FORMACIÓN TITULADA'!#REF!,"AAAAAHvn0i0=")</f>
        <v>#REF!</v>
      </c>
      <c r="AU397" t="e">
        <f>AND('PROG FORMACIÓN TITULADA'!#REF!,"AAAAAHvn0i4=")</f>
        <v>#REF!</v>
      </c>
      <c r="AV397" t="e">
        <f>AND('PROG FORMACIÓN TITULADA'!#REF!,"AAAAAHvn0i8=")</f>
        <v>#REF!</v>
      </c>
      <c r="AW397" t="e">
        <f>AND('PROG FORMACIÓN TITULADA'!#REF!,"AAAAAHvn0jA=")</f>
        <v>#REF!</v>
      </c>
      <c r="AX397" t="e">
        <f>AND('PROG FORMACIÓN TITULADA'!#REF!,"AAAAAHvn0jE=")</f>
        <v>#REF!</v>
      </c>
      <c r="AY397" t="e">
        <f>AND('PROG FORMACIÓN TITULADA'!#REF!,"AAAAAHvn0jI=")</f>
        <v>#REF!</v>
      </c>
      <c r="AZ397" t="e">
        <f>IF('PROG FORMACIÓN TITULADA'!#REF!,"AAAAAHvn0jM=",0)</f>
        <v>#REF!</v>
      </c>
      <c r="BA397" t="e">
        <f>AND('PROG FORMACIÓN TITULADA'!#REF!,"AAAAAHvn0jQ=")</f>
        <v>#REF!</v>
      </c>
      <c r="BB397" t="e">
        <f>AND('PROG FORMACIÓN TITULADA'!#REF!,"AAAAAHvn0jU=")</f>
        <v>#REF!</v>
      </c>
      <c r="BC397" t="e">
        <f>AND('PROG FORMACIÓN TITULADA'!#REF!,"AAAAAHvn0jY=")</f>
        <v>#REF!</v>
      </c>
      <c r="BD397" t="e">
        <f>AND('PROG FORMACIÓN TITULADA'!#REF!,"AAAAAHvn0jc=")</f>
        <v>#REF!</v>
      </c>
      <c r="BE397" t="e">
        <f>AND('PROG FORMACIÓN TITULADA'!#REF!,"AAAAAHvn0jg=")</f>
        <v>#REF!</v>
      </c>
      <c r="BF397" t="e">
        <f>AND('PROG FORMACIÓN TITULADA'!#REF!,"AAAAAHvn0jk=")</f>
        <v>#REF!</v>
      </c>
      <c r="BG397" t="e">
        <f>AND('PROG FORMACIÓN TITULADA'!#REF!,"AAAAAHvn0jo=")</f>
        <v>#REF!</v>
      </c>
      <c r="BH397" t="e">
        <f>AND('PROG FORMACIÓN TITULADA'!#REF!,"AAAAAHvn0js=")</f>
        <v>#REF!</v>
      </c>
      <c r="BI397" t="e">
        <f>AND('PROG FORMACIÓN TITULADA'!#REF!,"AAAAAHvn0jw=")</f>
        <v>#REF!</v>
      </c>
      <c r="BJ397" t="e">
        <f>AND('PROG FORMACIÓN TITULADA'!#REF!,"AAAAAHvn0j0=")</f>
        <v>#REF!</v>
      </c>
      <c r="BK397" t="e">
        <f>AND('PROG FORMACIÓN TITULADA'!#REF!,"AAAAAHvn0j4=")</f>
        <v>#REF!</v>
      </c>
      <c r="BL397" t="e">
        <f>AND('PROG FORMACIÓN TITULADA'!#REF!,"AAAAAHvn0j8=")</f>
        <v>#REF!</v>
      </c>
      <c r="BM397" t="e">
        <f>AND('PROG FORMACIÓN TITULADA'!#REF!,"AAAAAHvn0kA=")</f>
        <v>#REF!</v>
      </c>
      <c r="BN397" t="e">
        <f>AND('PROG FORMACIÓN TITULADA'!#REF!,"AAAAAHvn0kE=")</f>
        <v>#REF!</v>
      </c>
      <c r="BO397" t="e">
        <f>AND('PROG FORMACIÓN TITULADA'!#REF!,"AAAAAHvn0kI=")</f>
        <v>#REF!</v>
      </c>
      <c r="BP397" t="e">
        <f>AND('PROG FORMACIÓN TITULADA'!#REF!,"AAAAAHvn0kM=")</f>
        <v>#REF!</v>
      </c>
      <c r="BQ397" t="e">
        <f>AND('PROG FORMACIÓN TITULADA'!#REF!,"AAAAAHvn0kQ=")</f>
        <v>#REF!</v>
      </c>
      <c r="BR397" t="e">
        <f>AND('PROG FORMACIÓN TITULADA'!#REF!,"AAAAAHvn0kU=")</f>
        <v>#REF!</v>
      </c>
      <c r="BS397" t="e">
        <f>AND('PROG FORMACIÓN TITULADA'!#REF!,"AAAAAHvn0kY=")</f>
        <v>#REF!</v>
      </c>
      <c r="BT397" t="e">
        <f>AND('PROG FORMACIÓN TITULADA'!#REF!,"AAAAAHvn0kc=")</f>
        <v>#REF!</v>
      </c>
      <c r="BU397" t="e">
        <f>AND('PROG FORMACIÓN TITULADA'!#REF!,"AAAAAHvn0kg=")</f>
        <v>#REF!</v>
      </c>
      <c r="BV397" t="e">
        <f>AND('PROG FORMACIÓN TITULADA'!#REF!,"AAAAAHvn0kk=")</f>
        <v>#REF!</v>
      </c>
      <c r="BW397" t="e">
        <f>AND('PROG FORMACIÓN TITULADA'!#REF!,"AAAAAHvn0ko=")</f>
        <v>#REF!</v>
      </c>
      <c r="BX397" t="e">
        <f>AND('PROG FORMACIÓN TITULADA'!#REF!,"AAAAAHvn0ks=")</f>
        <v>#REF!</v>
      </c>
      <c r="BY397" t="e">
        <f>AND('PROG FORMACIÓN TITULADA'!#REF!,"AAAAAHvn0kw=")</f>
        <v>#REF!</v>
      </c>
      <c r="BZ397" t="e">
        <f>AND('PROG FORMACIÓN TITULADA'!#REF!,"AAAAAHvn0k0=")</f>
        <v>#REF!</v>
      </c>
      <c r="CA397" t="e">
        <f>IF('PROG FORMACIÓN TITULADA'!#REF!,"AAAAAHvn0k4=",0)</f>
        <v>#REF!</v>
      </c>
      <c r="CB397" t="e">
        <f>AND('PROG FORMACIÓN TITULADA'!#REF!,"AAAAAHvn0k8=")</f>
        <v>#REF!</v>
      </c>
      <c r="CC397" t="e">
        <f>AND('PROG FORMACIÓN TITULADA'!#REF!,"AAAAAHvn0lA=")</f>
        <v>#REF!</v>
      </c>
      <c r="CD397" t="e">
        <f>AND('PROG FORMACIÓN TITULADA'!#REF!,"AAAAAHvn0lE=")</f>
        <v>#REF!</v>
      </c>
      <c r="CE397" t="e">
        <f>AND('PROG FORMACIÓN TITULADA'!#REF!,"AAAAAHvn0lI=")</f>
        <v>#REF!</v>
      </c>
      <c r="CF397" t="e">
        <f>AND('PROG FORMACIÓN TITULADA'!#REF!,"AAAAAHvn0lM=")</f>
        <v>#REF!</v>
      </c>
      <c r="CG397" t="e">
        <f>AND('PROG FORMACIÓN TITULADA'!#REF!,"AAAAAHvn0lQ=")</f>
        <v>#REF!</v>
      </c>
      <c r="CH397" t="e">
        <f>AND('PROG FORMACIÓN TITULADA'!#REF!,"AAAAAHvn0lU=")</f>
        <v>#REF!</v>
      </c>
      <c r="CI397" t="e">
        <f>AND('PROG FORMACIÓN TITULADA'!#REF!,"AAAAAHvn0lY=")</f>
        <v>#REF!</v>
      </c>
      <c r="CJ397" t="e">
        <f>AND('PROG FORMACIÓN TITULADA'!#REF!,"AAAAAHvn0lc=")</f>
        <v>#REF!</v>
      </c>
      <c r="CK397" t="e">
        <f>AND('PROG FORMACIÓN TITULADA'!#REF!,"AAAAAHvn0lg=")</f>
        <v>#REF!</v>
      </c>
      <c r="CL397" t="e">
        <f>AND('PROG FORMACIÓN TITULADA'!#REF!,"AAAAAHvn0lk=")</f>
        <v>#REF!</v>
      </c>
      <c r="CM397" t="e">
        <f>AND('PROG FORMACIÓN TITULADA'!#REF!,"AAAAAHvn0lo=")</f>
        <v>#REF!</v>
      </c>
      <c r="CN397" t="e">
        <f>AND('PROG FORMACIÓN TITULADA'!#REF!,"AAAAAHvn0ls=")</f>
        <v>#REF!</v>
      </c>
      <c r="CO397" t="e">
        <f>AND('PROG FORMACIÓN TITULADA'!#REF!,"AAAAAHvn0lw=")</f>
        <v>#REF!</v>
      </c>
      <c r="CP397" t="e">
        <f>AND('PROG FORMACIÓN TITULADA'!#REF!,"AAAAAHvn0l0=")</f>
        <v>#REF!</v>
      </c>
      <c r="CQ397" t="e">
        <f>AND('PROG FORMACIÓN TITULADA'!#REF!,"AAAAAHvn0l4=")</f>
        <v>#REF!</v>
      </c>
      <c r="CR397" t="e">
        <f>AND('PROG FORMACIÓN TITULADA'!#REF!,"AAAAAHvn0l8=")</f>
        <v>#REF!</v>
      </c>
      <c r="CS397" t="e">
        <f>AND('PROG FORMACIÓN TITULADA'!#REF!,"AAAAAHvn0mA=")</f>
        <v>#REF!</v>
      </c>
      <c r="CT397" t="e">
        <f>AND('PROG FORMACIÓN TITULADA'!#REF!,"AAAAAHvn0mE=")</f>
        <v>#REF!</v>
      </c>
      <c r="CU397" t="e">
        <f>AND('PROG FORMACIÓN TITULADA'!#REF!,"AAAAAHvn0mI=")</f>
        <v>#REF!</v>
      </c>
      <c r="CV397" t="e">
        <f>AND('PROG FORMACIÓN TITULADA'!#REF!,"AAAAAHvn0mM=")</f>
        <v>#REF!</v>
      </c>
      <c r="CW397" t="e">
        <f>AND('PROG FORMACIÓN TITULADA'!#REF!,"AAAAAHvn0mQ=")</f>
        <v>#REF!</v>
      </c>
      <c r="CX397" t="e">
        <f>AND('PROG FORMACIÓN TITULADA'!#REF!,"AAAAAHvn0mU=")</f>
        <v>#REF!</v>
      </c>
      <c r="CY397" t="e">
        <f>AND('PROG FORMACIÓN TITULADA'!#REF!,"AAAAAHvn0mY=")</f>
        <v>#REF!</v>
      </c>
      <c r="CZ397" t="e">
        <f>AND('PROG FORMACIÓN TITULADA'!#REF!,"AAAAAHvn0mc=")</f>
        <v>#REF!</v>
      </c>
      <c r="DA397" t="e">
        <f>AND('PROG FORMACIÓN TITULADA'!#REF!,"AAAAAHvn0mg=")</f>
        <v>#REF!</v>
      </c>
      <c r="DB397" t="e">
        <f>IF('PROG FORMACIÓN TITULADA'!#REF!,"AAAAAHvn0mk=",0)</f>
        <v>#REF!</v>
      </c>
      <c r="DC397" t="e">
        <f>AND('PROG FORMACIÓN TITULADA'!#REF!,"AAAAAHvn0mo=")</f>
        <v>#REF!</v>
      </c>
      <c r="DD397" t="e">
        <f>AND('PROG FORMACIÓN TITULADA'!#REF!,"AAAAAHvn0ms=")</f>
        <v>#REF!</v>
      </c>
      <c r="DE397" t="e">
        <f>AND('PROG FORMACIÓN TITULADA'!#REF!,"AAAAAHvn0mw=")</f>
        <v>#REF!</v>
      </c>
      <c r="DF397" t="e">
        <f>AND('PROG FORMACIÓN TITULADA'!#REF!,"AAAAAHvn0m0=")</f>
        <v>#REF!</v>
      </c>
      <c r="DG397" t="e">
        <f>AND('PROG FORMACIÓN TITULADA'!#REF!,"AAAAAHvn0m4=")</f>
        <v>#REF!</v>
      </c>
      <c r="DH397" t="e">
        <f>AND('PROG FORMACIÓN TITULADA'!#REF!,"AAAAAHvn0m8=")</f>
        <v>#REF!</v>
      </c>
      <c r="DI397" t="e">
        <f>AND('PROG FORMACIÓN TITULADA'!#REF!,"AAAAAHvn0nA=")</f>
        <v>#REF!</v>
      </c>
      <c r="DJ397" t="e">
        <f>AND('PROG FORMACIÓN TITULADA'!#REF!,"AAAAAHvn0nE=")</f>
        <v>#REF!</v>
      </c>
      <c r="DK397" t="e">
        <f>AND('PROG FORMACIÓN TITULADA'!#REF!,"AAAAAHvn0nI=")</f>
        <v>#REF!</v>
      </c>
      <c r="DL397" t="e">
        <f>AND('PROG FORMACIÓN TITULADA'!#REF!,"AAAAAHvn0nM=")</f>
        <v>#REF!</v>
      </c>
      <c r="DM397" t="e">
        <f>AND('PROG FORMACIÓN TITULADA'!#REF!,"AAAAAHvn0nQ=")</f>
        <v>#REF!</v>
      </c>
      <c r="DN397" t="e">
        <f>AND('PROG FORMACIÓN TITULADA'!#REF!,"AAAAAHvn0nU=")</f>
        <v>#REF!</v>
      </c>
      <c r="DO397" t="e">
        <f>AND('PROG FORMACIÓN TITULADA'!#REF!,"AAAAAHvn0nY=")</f>
        <v>#REF!</v>
      </c>
      <c r="DP397" t="e">
        <f>AND('PROG FORMACIÓN TITULADA'!#REF!,"AAAAAHvn0nc=")</f>
        <v>#REF!</v>
      </c>
      <c r="DQ397" t="e">
        <f>AND('PROG FORMACIÓN TITULADA'!#REF!,"AAAAAHvn0ng=")</f>
        <v>#REF!</v>
      </c>
      <c r="DR397" t="e">
        <f>AND('PROG FORMACIÓN TITULADA'!#REF!,"AAAAAHvn0nk=")</f>
        <v>#REF!</v>
      </c>
      <c r="DS397" t="e">
        <f>AND('PROG FORMACIÓN TITULADA'!#REF!,"AAAAAHvn0no=")</f>
        <v>#REF!</v>
      </c>
      <c r="DT397" t="e">
        <f>AND('PROG FORMACIÓN TITULADA'!#REF!,"AAAAAHvn0ns=")</f>
        <v>#REF!</v>
      </c>
      <c r="DU397" t="e">
        <f>AND('PROG FORMACIÓN TITULADA'!#REF!,"AAAAAHvn0nw=")</f>
        <v>#REF!</v>
      </c>
      <c r="DV397" t="e">
        <f>AND('PROG FORMACIÓN TITULADA'!#REF!,"AAAAAHvn0n0=")</f>
        <v>#REF!</v>
      </c>
      <c r="DW397" t="e">
        <f>AND('PROG FORMACIÓN TITULADA'!#REF!,"AAAAAHvn0n4=")</f>
        <v>#REF!</v>
      </c>
      <c r="DX397" t="e">
        <f>AND('PROG FORMACIÓN TITULADA'!#REF!,"AAAAAHvn0n8=")</f>
        <v>#REF!</v>
      </c>
      <c r="DY397" t="e">
        <f>AND('PROG FORMACIÓN TITULADA'!#REF!,"AAAAAHvn0oA=")</f>
        <v>#REF!</v>
      </c>
      <c r="DZ397" t="e">
        <f>AND('PROG FORMACIÓN TITULADA'!#REF!,"AAAAAHvn0oE=")</f>
        <v>#REF!</v>
      </c>
      <c r="EA397" t="e">
        <f>AND('PROG FORMACIÓN TITULADA'!#REF!,"AAAAAHvn0oI=")</f>
        <v>#REF!</v>
      </c>
      <c r="EB397" t="e">
        <f>AND('PROG FORMACIÓN TITULADA'!#REF!,"AAAAAHvn0oM=")</f>
        <v>#REF!</v>
      </c>
      <c r="EC397" t="e">
        <f>IF('PROG FORMACIÓN TITULADA'!#REF!,"AAAAAHvn0oQ=",0)</f>
        <v>#REF!</v>
      </c>
      <c r="ED397" t="e">
        <f>AND('PROG FORMACIÓN TITULADA'!#REF!,"AAAAAHvn0oU=")</f>
        <v>#REF!</v>
      </c>
      <c r="EE397" t="e">
        <f>AND('PROG FORMACIÓN TITULADA'!#REF!,"AAAAAHvn0oY=")</f>
        <v>#REF!</v>
      </c>
      <c r="EF397" t="e">
        <f>AND('PROG FORMACIÓN TITULADA'!#REF!,"AAAAAHvn0oc=")</f>
        <v>#REF!</v>
      </c>
      <c r="EG397" t="e">
        <f>AND('PROG FORMACIÓN TITULADA'!#REF!,"AAAAAHvn0og=")</f>
        <v>#REF!</v>
      </c>
      <c r="EH397" t="e">
        <f>AND('PROG FORMACIÓN TITULADA'!#REF!,"AAAAAHvn0ok=")</f>
        <v>#REF!</v>
      </c>
      <c r="EI397" t="e">
        <f>AND('PROG FORMACIÓN TITULADA'!#REF!,"AAAAAHvn0oo=")</f>
        <v>#REF!</v>
      </c>
      <c r="EJ397" t="e">
        <f>AND('PROG FORMACIÓN TITULADA'!#REF!,"AAAAAHvn0os=")</f>
        <v>#REF!</v>
      </c>
      <c r="EK397" t="e">
        <f>AND('PROG FORMACIÓN TITULADA'!#REF!,"AAAAAHvn0ow=")</f>
        <v>#REF!</v>
      </c>
      <c r="EL397" t="e">
        <f>AND('PROG FORMACIÓN TITULADA'!#REF!,"AAAAAHvn0o0=")</f>
        <v>#REF!</v>
      </c>
      <c r="EM397" t="e">
        <f>AND('PROG FORMACIÓN TITULADA'!#REF!,"AAAAAHvn0o4=")</f>
        <v>#REF!</v>
      </c>
      <c r="EN397" t="e">
        <f>AND('PROG FORMACIÓN TITULADA'!#REF!,"AAAAAHvn0o8=")</f>
        <v>#REF!</v>
      </c>
      <c r="EO397" t="e">
        <f>AND('PROG FORMACIÓN TITULADA'!#REF!,"AAAAAHvn0pA=")</f>
        <v>#REF!</v>
      </c>
      <c r="EP397" t="e">
        <f>AND('PROG FORMACIÓN TITULADA'!#REF!,"AAAAAHvn0pE=")</f>
        <v>#REF!</v>
      </c>
      <c r="EQ397" t="e">
        <f>AND('PROG FORMACIÓN TITULADA'!#REF!,"AAAAAHvn0pI=")</f>
        <v>#REF!</v>
      </c>
      <c r="ER397" t="e">
        <f>AND('PROG FORMACIÓN TITULADA'!#REF!,"AAAAAHvn0pM=")</f>
        <v>#REF!</v>
      </c>
      <c r="ES397" t="e">
        <f>AND('PROG FORMACIÓN TITULADA'!#REF!,"AAAAAHvn0pQ=")</f>
        <v>#REF!</v>
      </c>
      <c r="ET397" t="e">
        <f>AND('PROG FORMACIÓN TITULADA'!#REF!,"AAAAAHvn0pU=")</f>
        <v>#REF!</v>
      </c>
      <c r="EU397" t="e">
        <f>AND('PROG FORMACIÓN TITULADA'!#REF!,"AAAAAHvn0pY=")</f>
        <v>#REF!</v>
      </c>
      <c r="EV397" t="e">
        <f>AND('PROG FORMACIÓN TITULADA'!#REF!,"AAAAAHvn0pc=")</f>
        <v>#REF!</v>
      </c>
      <c r="EW397" t="e">
        <f>AND('PROG FORMACIÓN TITULADA'!#REF!,"AAAAAHvn0pg=")</f>
        <v>#REF!</v>
      </c>
      <c r="EX397" t="e">
        <f>AND('PROG FORMACIÓN TITULADA'!#REF!,"AAAAAHvn0pk=")</f>
        <v>#REF!</v>
      </c>
      <c r="EY397" t="e">
        <f>AND('PROG FORMACIÓN TITULADA'!#REF!,"AAAAAHvn0po=")</f>
        <v>#REF!</v>
      </c>
      <c r="EZ397" t="e">
        <f>AND('PROG FORMACIÓN TITULADA'!#REF!,"AAAAAHvn0ps=")</f>
        <v>#REF!</v>
      </c>
      <c r="FA397" t="e">
        <f>AND('PROG FORMACIÓN TITULADA'!#REF!,"AAAAAHvn0pw=")</f>
        <v>#REF!</v>
      </c>
      <c r="FB397" t="e">
        <f>AND('PROG FORMACIÓN TITULADA'!#REF!,"AAAAAHvn0p0=")</f>
        <v>#REF!</v>
      </c>
      <c r="FC397" t="e">
        <f>AND('PROG FORMACIÓN TITULADA'!#REF!,"AAAAAHvn0p4=")</f>
        <v>#REF!</v>
      </c>
      <c r="FD397" t="e">
        <f>IF('PROG FORMACIÓN TITULADA'!#REF!,"AAAAAHvn0p8=",0)</f>
        <v>#REF!</v>
      </c>
      <c r="FE397" t="e">
        <f>AND('PROG FORMACIÓN TITULADA'!#REF!,"AAAAAHvn0qA=")</f>
        <v>#REF!</v>
      </c>
      <c r="FF397" t="e">
        <f>AND('PROG FORMACIÓN TITULADA'!#REF!,"AAAAAHvn0qE=")</f>
        <v>#REF!</v>
      </c>
      <c r="FG397" t="e">
        <f>AND('PROG FORMACIÓN TITULADA'!#REF!,"AAAAAHvn0qI=")</f>
        <v>#REF!</v>
      </c>
      <c r="FH397" t="e">
        <f>AND('PROG FORMACIÓN TITULADA'!#REF!,"AAAAAHvn0qM=")</f>
        <v>#REF!</v>
      </c>
      <c r="FI397" t="e">
        <f>AND('PROG FORMACIÓN TITULADA'!#REF!,"AAAAAHvn0qQ=")</f>
        <v>#REF!</v>
      </c>
      <c r="FJ397" t="e">
        <f>AND('PROG FORMACIÓN TITULADA'!#REF!,"AAAAAHvn0qU=")</f>
        <v>#REF!</v>
      </c>
      <c r="FK397" t="e">
        <f>AND('PROG FORMACIÓN TITULADA'!#REF!,"AAAAAHvn0qY=")</f>
        <v>#REF!</v>
      </c>
      <c r="FL397" t="e">
        <f>AND('PROG FORMACIÓN TITULADA'!#REF!,"AAAAAHvn0qc=")</f>
        <v>#REF!</v>
      </c>
      <c r="FM397" t="e">
        <f>AND('PROG FORMACIÓN TITULADA'!#REF!,"AAAAAHvn0qg=")</f>
        <v>#REF!</v>
      </c>
      <c r="FN397" t="e">
        <f>AND('PROG FORMACIÓN TITULADA'!#REF!,"AAAAAHvn0qk=")</f>
        <v>#REF!</v>
      </c>
      <c r="FO397" t="e">
        <f>AND('PROG FORMACIÓN TITULADA'!#REF!,"AAAAAHvn0qo=")</f>
        <v>#REF!</v>
      </c>
      <c r="FP397" t="e">
        <f>AND('PROG FORMACIÓN TITULADA'!#REF!,"AAAAAHvn0qs=")</f>
        <v>#REF!</v>
      </c>
      <c r="FQ397" t="e">
        <f>AND('PROG FORMACIÓN TITULADA'!#REF!,"AAAAAHvn0qw=")</f>
        <v>#REF!</v>
      </c>
      <c r="FR397" t="e">
        <f>AND('PROG FORMACIÓN TITULADA'!#REF!,"AAAAAHvn0q0=")</f>
        <v>#REF!</v>
      </c>
      <c r="FS397" t="e">
        <f>AND('PROG FORMACIÓN TITULADA'!#REF!,"AAAAAHvn0q4=")</f>
        <v>#REF!</v>
      </c>
      <c r="FT397" t="e">
        <f>AND('PROG FORMACIÓN TITULADA'!#REF!,"AAAAAHvn0q8=")</f>
        <v>#REF!</v>
      </c>
      <c r="FU397" t="e">
        <f>AND('PROG FORMACIÓN TITULADA'!#REF!,"AAAAAHvn0rA=")</f>
        <v>#REF!</v>
      </c>
      <c r="FV397" t="e">
        <f>AND('PROG FORMACIÓN TITULADA'!#REF!,"AAAAAHvn0rE=")</f>
        <v>#REF!</v>
      </c>
      <c r="FW397" t="e">
        <f>AND('PROG FORMACIÓN TITULADA'!#REF!,"AAAAAHvn0rI=")</f>
        <v>#REF!</v>
      </c>
      <c r="FX397" t="e">
        <f>AND('PROG FORMACIÓN TITULADA'!#REF!,"AAAAAHvn0rM=")</f>
        <v>#REF!</v>
      </c>
      <c r="FY397" t="e">
        <f>AND('PROG FORMACIÓN TITULADA'!#REF!,"AAAAAHvn0rQ=")</f>
        <v>#REF!</v>
      </c>
      <c r="FZ397" t="e">
        <f>AND('PROG FORMACIÓN TITULADA'!#REF!,"AAAAAHvn0rU=")</f>
        <v>#REF!</v>
      </c>
      <c r="GA397" t="e">
        <f>AND('PROG FORMACIÓN TITULADA'!#REF!,"AAAAAHvn0rY=")</f>
        <v>#REF!</v>
      </c>
      <c r="GB397" t="e">
        <f>AND('PROG FORMACIÓN TITULADA'!#REF!,"AAAAAHvn0rc=")</f>
        <v>#REF!</v>
      </c>
      <c r="GC397" t="e">
        <f>AND('PROG FORMACIÓN TITULADA'!#REF!,"AAAAAHvn0rg=")</f>
        <v>#REF!</v>
      </c>
      <c r="GD397" t="e">
        <f>AND('PROG FORMACIÓN TITULADA'!#REF!,"AAAAAHvn0rk=")</f>
        <v>#REF!</v>
      </c>
      <c r="GE397" t="e">
        <f>IF('PROG FORMACIÓN TITULADA'!#REF!,"AAAAAHvn0ro=",0)</f>
        <v>#REF!</v>
      </c>
      <c r="GF397" t="e">
        <f>AND('PROG FORMACIÓN TITULADA'!#REF!,"AAAAAHvn0rs=")</f>
        <v>#REF!</v>
      </c>
      <c r="GG397" t="e">
        <f>AND('PROG FORMACIÓN TITULADA'!#REF!,"AAAAAHvn0rw=")</f>
        <v>#REF!</v>
      </c>
      <c r="GH397" t="e">
        <f>AND('PROG FORMACIÓN TITULADA'!#REF!,"AAAAAHvn0r0=")</f>
        <v>#REF!</v>
      </c>
      <c r="GI397" t="e">
        <f>AND('PROG FORMACIÓN TITULADA'!#REF!,"AAAAAHvn0r4=")</f>
        <v>#REF!</v>
      </c>
      <c r="GJ397" t="e">
        <f>AND('PROG FORMACIÓN TITULADA'!#REF!,"AAAAAHvn0r8=")</f>
        <v>#REF!</v>
      </c>
      <c r="GK397" t="e">
        <f>AND('PROG FORMACIÓN TITULADA'!#REF!,"AAAAAHvn0sA=")</f>
        <v>#REF!</v>
      </c>
      <c r="GL397" t="e">
        <f>AND('PROG FORMACIÓN TITULADA'!#REF!,"AAAAAHvn0sE=")</f>
        <v>#REF!</v>
      </c>
      <c r="GM397" t="e">
        <f>AND('PROG FORMACIÓN TITULADA'!#REF!,"AAAAAHvn0sI=")</f>
        <v>#REF!</v>
      </c>
      <c r="GN397" t="e">
        <f>AND('PROG FORMACIÓN TITULADA'!#REF!,"AAAAAHvn0sM=")</f>
        <v>#REF!</v>
      </c>
      <c r="GO397" t="e">
        <f>AND('PROG FORMACIÓN TITULADA'!#REF!,"AAAAAHvn0sQ=")</f>
        <v>#REF!</v>
      </c>
      <c r="GP397" t="e">
        <f>AND('PROG FORMACIÓN TITULADA'!#REF!,"AAAAAHvn0sU=")</f>
        <v>#REF!</v>
      </c>
      <c r="GQ397" t="e">
        <f>AND('PROG FORMACIÓN TITULADA'!#REF!,"AAAAAHvn0sY=")</f>
        <v>#REF!</v>
      </c>
      <c r="GR397" t="e">
        <f>AND('PROG FORMACIÓN TITULADA'!#REF!,"AAAAAHvn0sc=")</f>
        <v>#REF!</v>
      </c>
      <c r="GS397" t="e">
        <f>AND('PROG FORMACIÓN TITULADA'!#REF!,"AAAAAHvn0sg=")</f>
        <v>#REF!</v>
      </c>
      <c r="GT397" t="e">
        <f>AND('PROG FORMACIÓN TITULADA'!#REF!,"AAAAAHvn0sk=")</f>
        <v>#REF!</v>
      </c>
      <c r="GU397" t="e">
        <f>AND('PROG FORMACIÓN TITULADA'!#REF!,"AAAAAHvn0so=")</f>
        <v>#REF!</v>
      </c>
      <c r="GV397" t="e">
        <f>AND('PROG FORMACIÓN TITULADA'!#REF!,"AAAAAHvn0ss=")</f>
        <v>#REF!</v>
      </c>
      <c r="GW397" t="e">
        <f>AND('PROG FORMACIÓN TITULADA'!#REF!,"AAAAAHvn0sw=")</f>
        <v>#REF!</v>
      </c>
      <c r="GX397" t="e">
        <f>AND('PROG FORMACIÓN TITULADA'!#REF!,"AAAAAHvn0s0=")</f>
        <v>#REF!</v>
      </c>
      <c r="GY397" t="e">
        <f>AND('PROG FORMACIÓN TITULADA'!#REF!,"AAAAAHvn0s4=")</f>
        <v>#REF!</v>
      </c>
      <c r="GZ397" t="e">
        <f>AND('PROG FORMACIÓN TITULADA'!#REF!,"AAAAAHvn0s8=")</f>
        <v>#REF!</v>
      </c>
      <c r="HA397" t="e">
        <f>AND('PROG FORMACIÓN TITULADA'!#REF!,"AAAAAHvn0tA=")</f>
        <v>#REF!</v>
      </c>
      <c r="HB397" t="e">
        <f>AND('PROG FORMACIÓN TITULADA'!#REF!,"AAAAAHvn0tE=")</f>
        <v>#REF!</v>
      </c>
      <c r="HC397" t="e">
        <f>AND('PROG FORMACIÓN TITULADA'!#REF!,"AAAAAHvn0tI=")</f>
        <v>#REF!</v>
      </c>
      <c r="HD397" t="e">
        <f>AND('PROG FORMACIÓN TITULADA'!#REF!,"AAAAAHvn0tM=")</f>
        <v>#REF!</v>
      </c>
      <c r="HE397" t="e">
        <f>AND('PROG FORMACIÓN TITULADA'!#REF!,"AAAAAHvn0tQ=")</f>
        <v>#REF!</v>
      </c>
      <c r="HF397" t="e">
        <f>IF('PROG FORMACIÓN TITULADA'!#REF!,"AAAAAHvn0tU=",0)</f>
        <v>#REF!</v>
      </c>
      <c r="HG397" t="e">
        <f>AND('PROG FORMACIÓN TITULADA'!#REF!,"AAAAAHvn0tY=")</f>
        <v>#REF!</v>
      </c>
      <c r="HH397" t="e">
        <f>AND('PROG FORMACIÓN TITULADA'!#REF!,"AAAAAHvn0tc=")</f>
        <v>#REF!</v>
      </c>
      <c r="HI397" t="e">
        <f>AND('PROG FORMACIÓN TITULADA'!#REF!,"AAAAAHvn0tg=")</f>
        <v>#REF!</v>
      </c>
      <c r="HJ397" t="e">
        <f>AND('PROG FORMACIÓN TITULADA'!#REF!,"AAAAAHvn0tk=")</f>
        <v>#REF!</v>
      </c>
      <c r="HK397" t="e">
        <f>AND('PROG FORMACIÓN TITULADA'!#REF!,"AAAAAHvn0to=")</f>
        <v>#REF!</v>
      </c>
      <c r="HL397" t="e">
        <f>AND('PROG FORMACIÓN TITULADA'!#REF!,"AAAAAHvn0ts=")</f>
        <v>#REF!</v>
      </c>
      <c r="HM397" t="e">
        <f>AND('PROG FORMACIÓN TITULADA'!#REF!,"AAAAAHvn0tw=")</f>
        <v>#REF!</v>
      </c>
      <c r="HN397" t="e">
        <f>AND('PROG FORMACIÓN TITULADA'!#REF!,"AAAAAHvn0t0=")</f>
        <v>#REF!</v>
      </c>
      <c r="HO397" t="e">
        <f>AND('PROG FORMACIÓN TITULADA'!#REF!,"AAAAAHvn0t4=")</f>
        <v>#REF!</v>
      </c>
      <c r="HP397" t="e">
        <f>AND('PROG FORMACIÓN TITULADA'!#REF!,"AAAAAHvn0t8=")</f>
        <v>#REF!</v>
      </c>
      <c r="HQ397" t="e">
        <f>AND('PROG FORMACIÓN TITULADA'!#REF!,"AAAAAHvn0uA=")</f>
        <v>#REF!</v>
      </c>
      <c r="HR397" t="e">
        <f>AND('PROG FORMACIÓN TITULADA'!#REF!,"AAAAAHvn0uE=")</f>
        <v>#REF!</v>
      </c>
      <c r="HS397" t="e">
        <f>AND('PROG FORMACIÓN TITULADA'!#REF!,"AAAAAHvn0uI=")</f>
        <v>#REF!</v>
      </c>
      <c r="HT397" t="e">
        <f>AND('PROG FORMACIÓN TITULADA'!#REF!,"AAAAAHvn0uM=")</f>
        <v>#REF!</v>
      </c>
      <c r="HU397" t="e">
        <f>AND('PROG FORMACIÓN TITULADA'!#REF!,"AAAAAHvn0uQ=")</f>
        <v>#REF!</v>
      </c>
      <c r="HV397" t="e">
        <f>AND('PROG FORMACIÓN TITULADA'!#REF!,"AAAAAHvn0uU=")</f>
        <v>#REF!</v>
      </c>
      <c r="HW397" t="e">
        <f>AND('PROG FORMACIÓN TITULADA'!#REF!,"AAAAAHvn0uY=")</f>
        <v>#REF!</v>
      </c>
      <c r="HX397" t="e">
        <f>AND('PROG FORMACIÓN TITULADA'!#REF!,"AAAAAHvn0uc=")</f>
        <v>#REF!</v>
      </c>
      <c r="HY397" t="e">
        <f>AND('PROG FORMACIÓN TITULADA'!#REF!,"AAAAAHvn0ug=")</f>
        <v>#REF!</v>
      </c>
      <c r="HZ397" t="e">
        <f>AND('PROG FORMACIÓN TITULADA'!#REF!,"AAAAAHvn0uk=")</f>
        <v>#REF!</v>
      </c>
      <c r="IA397" t="e">
        <f>AND('PROG FORMACIÓN TITULADA'!#REF!,"AAAAAHvn0uo=")</f>
        <v>#REF!</v>
      </c>
      <c r="IB397" t="e">
        <f>AND('PROG FORMACIÓN TITULADA'!#REF!,"AAAAAHvn0us=")</f>
        <v>#REF!</v>
      </c>
      <c r="IC397" t="e">
        <f>AND('PROG FORMACIÓN TITULADA'!#REF!,"AAAAAHvn0uw=")</f>
        <v>#REF!</v>
      </c>
      <c r="ID397" t="e">
        <f>AND('PROG FORMACIÓN TITULADA'!#REF!,"AAAAAHvn0u0=")</f>
        <v>#REF!</v>
      </c>
      <c r="IE397" t="e">
        <f>AND('PROG FORMACIÓN TITULADA'!#REF!,"AAAAAHvn0u4=")</f>
        <v>#REF!</v>
      </c>
      <c r="IF397" t="e">
        <f>AND('PROG FORMACIÓN TITULADA'!#REF!,"AAAAAHvn0u8=")</f>
        <v>#REF!</v>
      </c>
      <c r="IG397" t="e">
        <f>IF('PROG FORMACIÓN TITULADA'!#REF!,"AAAAAHvn0vA=",0)</f>
        <v>#REF!</v>
      </c>
      <c r="IH397" t="e">
        <f>AND('PROG FORMACIÓN TITULADA'!#REF!,"AAAAAHvn0vE=")</f>
        <v>#REF!</v>
      </c>
      <c r="II397" t="e">
        <f>AND('PROG FORMACIÓN TITULADA'!#REF!,"AAAAAHvn0vI=")</f>
        <v>#REF!</v>
      </c>
      <c r="IJ397" t="e">
        <f>AND('PROG FORMACIÓN TITULADA'!#REF!,"AAAAAHvn0vM=")</f>
        <v>#REF!</v>
      </c>
      <c r="IK397" t="e">
        <f>AND('PROG FORMACIÓN TITULADA'!#REF!,"AAAAAHvn0vQ=")</f>
        <v>#REF!</v>
      </c>
      <c r="IL397" t="e">
        <f>AND('PROG FORMACIÓN TITULADA'!#REF!,"AAAAAHvn0vU=")</f>
        <v>#REF!</v>
      </c>
      <c r="IM397" t="e">
        <f>AND('PROG FORMACIÓN TITULADA'!#REF!,"AAAAAHvn0vY=")</f>
        <v>#REF!</v>
      </c>
      <c r="IN397" t="e">
        <f>AND('PROG FORMACIÓN TITULADA'!#REF!,"AAAAAHvn0vc=")</f>
        <v>#REF!</v>
      </c>
      <c r="IO397" t="e">
        <f>AND('PROG FORMACIÓN TITULADA'!#REF!,"AAAAAHvn0vg=")</f>
        <v>#REF!</v>
      </c>
      <c r="IP397" t="e">
        <f>AND('PROG FORMACIÓN TITULADA'!#REF!,"AAAAAHvn0vk=")</f>
        <v>#REF!</v>
      </c>
      <c r="IQ397" t="e">
        <f>AND('PROG FORMACIÓN TITULADA'!#REF!,"AAAAAHvn0vo=")</f>
        <v>#REF!</v>
      </c>
      <c r="IR397" t="e">
        <f>AND('PROG FORMACIÓN TITULADA'!#REF!,"AAAAAHvn0vs=")</f>
        <v>#REF!</v>
      </c>
      <c r="IS397" t="e">
        <f>AND('PROG FORMACIÓN TITULADA'!#REF!,"AAAAAHvn0vw=")</f>
        <v>#REF!</v>
      </c>
      <c r="IT397" t="e">
        <f>AND('PROG FORMACIÓN TITULADA'!#REF!,"AAAAAHvn0v0=")</f>
        <v>#REF!</v>
      </c>
      <c r="IU397" t="e">
        <f>AND('PROG FORMACIÓN TITULADA'!#REF!,"AAAAAHvn0v4=")</f>
        <v>#REF!</v>
      </c>
      <c r="IV397" t="e">
        <f>AND('PROG FORMACIÓN TITULADA'!#REF!,"AAAAAHvn0v8=")</f>
        <v>#REF!</v>
      </c>
    </row>
    <row r="398" spans="1:256" x14ac:dyDescent="0.2">
      <c r="A398" t="e">
        <f>AND('PROG FORMACIÓN TITULADA'!#REF!,"AAAAAFft7wA=")</f>
        <v>#REF!</v>
      </c>
      <c r="B398" t="e">
        <f>AND('PROG FORMACIÓN TITULADA'!#REF!,"AAAAAFft7wE=")</f>
        <v>#REF!</v>
      </c>
      <c r="C398" t="e">
        <f>AND('PROG FORMACIÓN TITULADA'!#REF!,"AAAAAFft7wI=")</f>
        <v>#REF!</v>
      </c>
      <c r="D398" t="e">
        <f>AND('PROG FORMACIÓN TITULADA'!#REF!,"AAAAAFft7wM=")</f>
        <v>#REF!</v>
      </c>
      <c r="E398" t="e">
        <f>AND('PROG FORMACIÓN TITULADA'!#REF!,"AAAAAFft7wQ=")</f>
        <v>#REF!</v>
      </c>
      <c r="F398" t="e">
        <f>AND('PROG FORMACIÓN TITULADA'!#REF!,"AAAAAFft7wU=")</f>
        <v>#REF!</v>
      </c>
      <c r="G398" t="e">
        <f>AND('PROG FORMACIÓN TITULADA'!#REF!,"AAAAAFft7wY=")</f>
        <v>#REF!</v>
      </c>
      <c r="H398" t="e">
        <f>AND('PROG FORMACIÓN TITULADA'!#REF!,"AAAAAFft7wc=")</f>
        <v>#REF!</v>
      </c>
      <c r="I398" t="e">
        <f>AND('PROG FORMACIÓN TITULADA'!#REF!,"AAAAAFft7wg=")</f>
        <v>#REF!</v>
      </c>
      <c r="J398" t="e">
        <f>AND('PROG FORMACIÓN TITULADA'!#REF!,"AAAAAFft7wk=")</f>
        <v>#REF!</v>
      </c>
      <c r="K398" t="e">
        <f>AND('PROG FORMACIÓN TITULADA'!#REF!,"AAAAAFft7wo=")</f>
        <v>#REF!</v>
      </c>
      <c r="L398" t="e">
        <f>IF('PROG FORMACIÓN TITULADA'!#REF!,"AAAAAFft7ws=",0)</f>
        <v>#REF!</v>
      </c>
      <c r="M398" t="e">
        <f>AND('PROG FORMACIÓN TITULADA'!#REF!,"AAAAAFft7ww=")</f>
        <v>#REF!</v>
      </c>
      <c r="N398" t="e">
        <f>AND('PROG FORMACIÓN TITULADA'!#REF!,"AAAAAFft7w0=")</f>
        <v>#REF!</v>
      </c>
      <c r="O398" t="e">
        <f>AND('PROG FORMACIÓN TITULADA'!#REF!,"AAAAAFft7w4=")</f>
        <v>#REF!</v>
      </c>
      <c r="P398" t="e">
        <f>AND('PROG FORMACIÓN TITULADA'!#REF!,"AAAAAFft7w8=")</f>
        <v>#REF!</v>
      </c>
      <c r="Q398" t="e">
        <f>AND('PROG FORMACIÓN TITULADA'!#REF!,"AAAAAFft7xA=")</f>
        <v>#REF!</v>
      </c>
      <c r="R398" t="e">
        <f>AND('PROG FORMACIÓN TITULADA'!#REF!,"AAAAAFft7xE=")</f>
        <v>#REF!</v>
      </c>
      <c r="S398" t="e">
        <f>AND('PROG FORMACIÓN TITULADA'!#REF!,"AAAAAFft7xI=")</f>
        <v>#REF!</v>
      </c>
      <c r="T398" t="e">
        <f>AND('PROG FORMACIÓN TITULADA'!#REF!,"AAAAAFft7xM=")</f>
        <v>#REF!</v>
      </c>
      <c r="U398" t="e">
        <f>AND('PROG FORMACIÓN TITULADA'!#REF!,"AAAAAFft7xQ=")</f>
        <v>#REF!</v>
      </c>
      <c r="V398" t="e">
        <f>AND('PROG FORMACIÓN TITULADA'!#REF!,"AAAAAFft7xU=")</f>
        <v>#REF!</v>
      </c>
      <c r="W398" t="e">
        <f>AND('PROG FORMACIÓN TITULADA'!#REF!,"AAAAAFft7xY=")</f>
        <v>#REF!</v>
      </c>
      <c r="X398" t="e">
        <f>AND('PROG FORMACIÓN TITULADA'!#REF!,"AAAAAFft7xc=")</f>
        <v>#REF!</v>
      </c>
      <c r="Y398" t="e">
        <f>AND('PROG FORMACIÓN TITULADA'!#REF!,"AAAAAFft7xg=")</f>
        <v>#REF!</v>
      </c>
      <c r="Z398" t="e">
        <f>AND('PROG FORMACIÓN TITULADA'!#REF!,"AAAAAFft7xk=")</f>
        <v>#REF!</v>
      </c>
      <c r="AA398" t="e">
        <f>AND('PROG FORMACIÓN TITULADA'!#REF!,"AAAAAFft7xo=")</f>
        <v>#REF!</v>
      </c>
      <c r="AB398" t="e">
        <f>AND('PROG FORMACIÓN TITULADA'!#REF!,"AAAAAFft7xs=")</f>
        <v>#REF!</v>
      </c>
      <c r="AC398" t="e">
        <f>AND('PROG FORMACIÓN TITULADA'!#REF!,"AAAAAFft7xw=")</f>
        <v>#REF!</v>
      </c>
      <c r="AD398" t="e">
        <f>AND('PROG FORMACIÓN TITULADA'!#REF!,"AAAAAFft7x0=")</f>
        <v>#REF!</v>
      </c>
      <c r="AE398" t="e">
        <f>AND('PROG FORMACIÓN TITULADA'!#REF!,"AAAAAFft7x4=")</f>
        <v>#REF!</v>
      </c>
      <c r="AF398" t="e">
        <f>AND('PROG FORMACIÓN TITULADA'!#REF!,"AAAAAFft7x8=")</f>
        <v>#REF!</v>
      </c>
      <c r="AG398" t="e">
        <f>AND('PROG FORMACIÓN TITULADA'!#REF!,"AAAAAFft7yA=")</f>
        <v>#REF!</v>
      </c>
      <c r="AH398" t="e">
        <f>AND('PROG FORMACIÓN TITULADA'!#REF!,"AAAAAFft7yE=")</f>
        <v>#REF!</v>
      </c>
      <c r="AI398" t="e">
        <f>AND('PROG FORMACIÓN TITULADA'!#REF!,"AAAAAFft7yI=")</f>
        <v>#REF!</v>
      </c>
      <c r="AJ398" t="e">
        <f>AND('PROG FORMACIÓN TITULADA'!#REF!,"AAAAAFft7yM=")</f>
        <v>#REF!</v>
      </c>
      <c r="AK398" t="e">
        <f>AND('PROG FORMACIÓN TITULADA'!#REF!,"AAAAAFft7yQ=")</f>
        <v>#REF!</v>
      </c>
      <c r="AL398" t="e">
        <f>AND('PROG FORMACIÓN TITULADA'!#REF!,"AAAAAFft7yU=")</f>
        <v>#REF!</v>
      </c>
      <c r="AM398" t="e">
        <f>IF('PROG FORMACIÓN TITULADA'!#REF!,"AAAAAFft7yY=",0)</f>
        <v>#REF!</v>
      </c>
      <c r="AN398" t="e">
        <f>AND('PROG FORMACIÓN TITULADA'!#REF!,"AAAAAFft7yc=")</f>
        <v>#REF!</v>
      </c>
      <c r="AO398" t="e">
        <f>AND('PROG FORMACIÓN TITULADA'!#REF!,"AAAAAFft7yg=")</f>
        <v>#REF!</v>
      </c>
      <c r="AP398" t="e">
        <f>AND('PROG FORMACIÓN TITULADA'!#REF!,"AAAAAFft7yk=")</f>
        <v>#REF!</v>
      </c>
      <c r="AQ398" t="e">
        <f>AND('PROG FORMACIÓN TITULADA'!#REF!,"AAAAAFft7yo=")</f>
        <v>#REF!</v>
      </c>
      <c r="AR398" t="e">
        <f>AND('PROG FORMACIÓN TITULADA'!#REF!,"AAAAAFft7ys=")</f>
        <v>#REF!</v>
      </c>
      <c r="AS398" t="e">
        <f>AND('PROG FORMACIÓN TITULADA'!#REF!,"AAAAAFft7yw=")</f>
        <v>#REF!</v>
      </c>
      <c r="AT398" t="e">
        <f>AND('PROG FORMACIÓN TITULADA'!#REF!,"AAAAAFft7y0=")</f>
        <v>#REF!</v>
      </c>
      <c r="AU398" t="e">
        <f>AND('PROG FORMACIÓN TITULADA'!#REF!,"AAAAAFft7y4=")</f>
        <v>#REF!</v>
      </c>
      <c r="AV398" t="e">
        <f>AND('PROG FORMACIÓN TITULADA'!#REF!,"AAAAAFft7y8=")</f>
        <v>#REF!</v>
      </c>
      <c r="AW398" t="e">
        <f>AND('PROG FORMACIÓN TITULADA'!#REF!,"AAAAAFft7zA=")</f>
        <v>#REF!</v>
      </c>
      <c r="AX398" t="e">
        <f>AND('PROG FORMACIÓN TITULADA'!#REF!,"AAAAAFft7zE=")</f>
        <v>#REF!</v>
      </c>
      <c r="AY398" t="e">
        <f>AND('PROG FORMACIÓN TITULADA'!#REF!,"AAAAAFft7zI=")</f>
        <v>#REF!</v>
      </c>
      <c r="AZ398" t="e">
        <f>AND('PROG FORMACIÓN TITULADA'!#REF!,"AAAAAFft7zM=")</f>
        <v>#REF!</v>
      </c>
      <c r="BA398" t="e">
        <f>AND('PROG FORMACIÓN TITULADA'!#REF!,"AAAAAFft7zQ=")</f>
        <v>#REF!</v>
      </c>
      <c r="BB398" t="e">
        <f>AND('PROG FORMACIÓN TITULADA'!#REF!,"AAAAAFft7zU=")</f>
        <v>#REF!</v>
      </c>
      <c r="BC398" t="e">
        <f>AND('PROG FORMACIÓN TITULADA'!#REF!,"AAAAAFft7zY=")</f>
        <v>#REF!</v>
      </c>
      <c r="BD398" t="e">
        <f>AND('PROG FORMACIÓN TITULADA'!#REF!,"AAAAAFft7zc=")</f>
        <v>#REF!</v>
      </c>
      <c r="BE398" t="e">
        <f>AND('PROG FORMACIÓN TITULADA'!#REF!,"AAAAAFft7zg=")</f>
        <v>#REF!</v>
      </c>
      <c r="BF398" t="e">
        <f>AND('PROG FORMACIÓN TITULADA'!#REF!,"AAAAAFft7zk=")</f>
        <v>#REF!</v>
      </c>
      <c r="BG398" t="e">
        <f>AND('PROG FORMACIÓN TITULADA'!#REF!,"AAAAAFft7zo=")</f>
        <v>#REF!</v>
      </c>
      <c r="BH398" t="e">
        <f>AND('PROG FORMACIÓN TITULADA'!#REF!,"AAAAAFft7zs=")</f>
        <v>#REF!</v>
      </c>
      <c r="BI398" t="e">
        <f>AND('PROG FORMACIÓN TITULADA'!#REF!,"AAAAAFft7zw=")</f>
        <v>#REF!</v>
      </c>
      <c r="BJ398" t="e">
        <f>AND('PROG FORMACIÓN TITULADA'!#REF!,"AAAAAFft7z0=")</f>
        <v>#REF!</v>
      </c>
      <c r="BK398" t="e">
        <f>AND('PROG FORMACIÓN TITULADA'!#REF!,"AAAAAFft7z4=")</f>
        <v>#REF!</v>
      </c>
      <c r="BL398" t="e">
        <f>AND('PROG FORMACIÓN TITULADA'!#REF!,"AAAAAFft7z8=")</f>
        <v>#REF!</v>
      </c>
      <c r="BM398" t="e">
        <f>AND('PROG FORMACIÓN TITULADA'!#REF!,"AAAAAFft70A=")</f>
        <v>#REF!</v>
      </c>
      <c r="BN398" t="e">
        <f>IF('PROG FORMACIÓN TITULADA'!#REF!,"AAAAAFft70E=",0)</f>
        <v>#REF!</v>
      </c>
      <c r="BO398" t="e">
        <f>AND('PROG FORMACIÓN TITULADA'!#REF!,"AAAAAFft70I=")</f>
        <v>#REF!</v>
      </c>
      <c r="BP398" t="e">
        <f>AND('PROG FORMACIÓN TITULADA'!#REF!,"AAAAAFft70M=")</f>
        <v>#REF!</v>
      </c>
      <c r="BQ398" t="e">
        <f>AND('PROG FORMACIÓN TITULADA'!#REF!,"AAAAAFft70Q=")</f>
        <v>#REF!</v>
      </c>
      <c r="BR398" t="e">
        <f>AND('PROG FORMACIÓN TITULADA'!#REF!,"AAAAAFft70U=")</f>
        <v>#REF!</v>
      </c>
      <c r="BS398" t="e">
        <f>AND('PROG FORMACIÓN TITULADA'!#REF!,"AAAAAFft70Y=")</f>
        <v>#REF!</v>
      </c>
      <c r="BT398" t="e">
        <f>AND('PROG FORMACIÓN TITULADA'!#REF!,"AAAAAFft70c=")</f>
        <v>#REF!</v>
      </c>
      <c r="BU398" t="e">
        <f>AND('PROG FORMACIÓN TITULADA'!#REF!,"AAAAAFft70g=")</f>
        <v>#REF!</v>
      </c>
      <c r="BV398" t="e">
        <f>AND('PROG FORMACIÓN TITULADA'!#REF!,"AAAAAFft70k=")</f>
        <v>#REF!</v>
      </c>
      <c r="BW398" t="e">
        <f>AND('PROG FORMACIÓN TITULADA'!#REF!,"AAAAAFft70o=")</f>
        <v>#REF!</v>
      </c>
      <c r="BX398" t="e">
        <f>AND('PROG FORMACIÓN TITULADA'!#REF!,"AAAAAFft70s=")</f>
        <v>#REF!</v>
      </c>
      <c r="BY398" t="e">
        <f>AND('PROG FORMACIÓN TITULADA'!#REF!,"AAAAAFft70w=")</f>
        <v>#REF!</v>
      </c>
      <c r="BZ398" t="e">
        <f>AND('PROG FORMACIÓN TITULADA'!#REF!,"AAAAAFft700=")</f>
        <v>#REF!</v>
      </c>
      <c r="CA398" t="e">
        <f>AND('PROG FORMACIÓN TITULADA'!#REF!,"AAAAAFft704=")</f>
        <v>#REF!</v>
      </c>
      <c r="CB398" t="e">
        <f>AND('PROG FORMACIÓN TITULADA'!#REF!,"AAAAAFft708=")</f>
        <v>#REF!</v>
      </c>
      <c r="CC398" t="e">
        <f>AND('PROG FORMACIÓN TITULADA'!#REF!,"AAAAAFft71A=")</f>
        <v>#REF!</v>
      </c>
      <c r="CD398" t="e">
        <f>AND('PROG FORMACIÓN TITULADA'!#REF!,"AAAAAFft71E=")</f>
        <v>#REF!</v>
      </c>
      <c r="CE398" t="e">
        <f>AND('PROG FORMACIÓN TITULADA'!#REF!,"AAAAAFft71I=")</f>
        <v>#REF!</v>
      </c>
      <c r="CF398" t="e">
        <f>AND('PROG FORMACIÓN TITULADA'!#REF!,"AAAAAFft71M=")</f>
        <v>#REF!</v>
      </c>
      <c r="CG398" t="e">
        <f>AND('PROG FORMACIÓN TITULADA'!#REF!,"AAAAAFft71Q=")</f>
        <v>#REF!</v>
      </c>
      <c r="CH398" t="e">
        <f>AND('PROG FORMACIÓN TITULADA'!#REF!,"AAAAAFft71U=")</f>
        <v>#REF!</v>
      </c>
      <c r="CI398" t="e">
        <f>AND('PROG FORMACIÓN TITULADA'!#REF!,"AAAAAFft71Y=")</f>
        <v>#REF!</v>
      </c>
      <c r="CJ398" t="e">
        <f>AND('PROG FORMACIÓN TITULADA'!#REF!,"AAAAAFft71c=")</f>
        <v>#REF!</v>
      </c>
      <c r="CK398" t="e">
        <f>AND('PROG FORMACIÓN TITULADA'!#REF!,"AAAAAFft71g=")</f>
        <v>#REF!</v>
      </c>
      <c r="CL398" t="e">
        <f>AND('PROG FORMACIÓN TITULADA'!#REF!,"AAAAAFft71k=")</f>
        <v>#REF!</v>
      </c>
      <c r="CM398" t="e">
        <f>AND('PROG FORMACIÓN TITULADA'!#REF!,"AAAAAFft71o=")</f>
        <v>#REF!</v>
      </c>
      <c r="CN398" t="e">
        <f>AND('PROG FORMACIÓN TITULADA'!#REF!,"AAAAAFft71s=")</f>
        <v>#REF!</v>
      </c>
      <c r="CO398" t="e">
        <f>IF('PROG FORMACIÓN TITULADA'!#REF!,"AAAAAFft71w=",0)</f>
        <v>#REF!</v>
      </c>
      <c r="CP398" t="e">
        <f>AND('PROG FORMACIÓN TITULADA'!#REF!,"AAAAAFft710=")</f>
        <v>#REF!</v>
      </c>
      <c r="CQ398" t="e">
        <f>AND('PROG FORMACIÓN TITULADA'!#REF!,"AAAAAFft714=")</f>
        <v>#REF!</v>
      </c>
      <c r="CR398" t="e">
        <f>AND('PROG FORMACIÓN TITULADA'!#REF!,"AAAAAFft718=")</f>
        <v>#REF!</v>
      </c>
      <c r="CS398" t="e">
        <f>AND('PROG FORMACIÓN TITULADA'!#REF!,"AAAAAFft72A=")</f>
        <v>#REF!</v>
      </c>
      <c r="CT398" t="e">
        <f>AND('PROG FORMACIÓN TITULADA'!#REF!,"AAAAAFft72E=")</f>
        <v>#REF!</v>
      </c>
      <c r="CU398" t="e">
        <f>AND('PROG FORMACIÓN TITULADA'!#REF!,"AAAAAFft72I=")</f>
        <v>#REF!</v>
      </c>
      <c r="CV398" t="e">
        <f>AND('PROG FORMACIÓN TITULADA'!#REF!,"AAAAAFft72M=")</f>
        <v>#REF!</v>
      </c>
      <c r="CW398" t="e">
        <f>AND('PROG FORMACIÓN TITULADA'!#REF!,"AAAAAFft72Q=")</f>
        <v>#REF!</v>
      </c>
      <c r="CX398" t="e">
        <f>AND('PROG FORMACIÓN TITULADA'!#REF!,"AAAAAFft72U=")</f>
        <v>#REF!</v>
      </c>
      <c r="CY398" t="e">
        <f>AND('PROG FORMACIÓN TITULADA'!#REF!,"AAAAAFft72Y=")</f>
        <v>#REF!</v>
      </c>
      <c r="CZ398" t="e">
        <f>AND('PROG FORMACIÓN TITULADA'!#REF!,"AAAAAFft72c=")</f>
        <v>#REF!</v>
      </c>
      <c r="DA398" t="e">
        <f>AND('PROG FORMACIÓN TITULADA'!#REF!,"AAAAAFft72g=")</f>
        <v>#REF!</v>
      </c>
      <c r="DB398" t="e">
        <f>AND('PROG FORMACIÓN TITULADA'!#REF!,"AAAAAFft72k=")</f>
        <v>#REF!</v>
      </c>
      <c r="DC398" t="e">
        <f>AND('PROG FORMACIÓN TITULADA'!#REF!,"AAAAAFft72o=")</f>
        <v>#REF!</v>
      </c>
      <c r="DD398" t="e">
        <f>AND('PROG FORMACIÓN TITULADA'!#REF!,"AAAAAFft72s=")</f>
        <v>#REF!</v>
      </c>
      <c r="DE398" t="e">
        <f>AND('PROG FORMACIÓN TITULADA'!#REF!,"AAAAAFft72w=")</f>
        <v>#REF!</v>
      </c>
      <c r="DF398" t="e">
        <f>AND('PROG FORMACIÓN TITULADA'!#REF!,"AAAAAFft720=")</f>
        <v>#REF!</v>
      </c>
      <c r="DG398" t="e">
        <f>AND('PROG FORMACIÓN TITULADA'!#REF!,"AAAAAFft724=")</f>
        <v>#REF!</v>
      </c>
      <c r="DH398" t="e">
        <f>AND('PROG FORMACIÓN TITULADA'!#REF!,"AAAAAFft728=")</f>
        <v>#REF!</v>
      </c>
      <c r="DI398" t="e">
        <f>AND('PROG FORMACIÓN TITULADA'!#REF!,"AAAAAFft73A=")</f>
        <v>#REF!</v>
      </c>
      <c r="DJ398" t="e">
        <f>AND('PROG FORMACIÓN TITULADA'!#REF!,"AAAAAFft73E=")</f>
        <v>#REF!</v>
      </c>
      <c r="DK398" t="e">
        <f>AND('PROG FORMACIÓN TITULADA'!#REF!,"AAAAAFft73I=")</f>
        <v>#REF!</v>
      </c>
      <c r="DL398" t="e">
        <f>AND('PROG FORMACIÓN TITULADA'!#REF!,"AAAAAFft73M=")</f>
        <v>#REF!</v>
      </c>
      <c r="DM398" t="e">
        <f>AND('PROG FORMACIÓN TITULADA'!#REF!,"AAAAAFft73Q=")</f>
        <v>#REF!</v>
      </c>
      <c r="DN398" t="e">
        <f>AND('PROG FORMACIÓN TITULADA'!#REF!,"AAAAAFft73U=")</f>
        <v>#REF!</v>
      </c>
      <c r="DO398" t="e">
        <f>AND('PROG FORMACIÓN TITULADA'!#REF!,"AAAAAFft73Y=")</f>
        <v>#REF!</v>
      </c>
      <c r="DP398" t="e">
        <f>IF('PROG FORMACIÓN TITULADA'!#REF!,"AAAAAFft73c=",0)</f>
        <v>#REF!</v>
      </c>
      <c r="DQ398" t="e">
        <f>AND('PROG FORMACIÓN TITULADA'!#REF!,"AAAAAFft73g=")</f>
        <v>#REF!</v>
      </c>
      <c r="DR398" t="e">
        <f>AND('PROG FORMACIÓN TITULADA'!#REF!,"AAAAAFft73k=")</f>
        <v>#REF!</v>
      </c>
      <c r="DS398" t="e">
        <f>AND('PROG FORMACIÓN TITULADA'!#REF!,"AAAAAFft73o=")</f>
        <v>#REF!</v>
      </c>
      <c r="DT398" t="e">
        <f>AND('PROG FORMACIÓN TITULADA'!#REF!,"AAAAAFft73s=")</f>
        <v>#REF!</v>
      </c>
      <c r="DU398" t="e">
        <f>AND('PROG FORMACIÓN TITULADA'!#REF!,"AAAAAFft73w=")</f>
        <v>#REF!</v>
      </c>
      <c r="DV398" t="e">
        <f>AND('PROG FORMACIÓN TITULADA'!#REF!,"AAAAAFft730=")</f>
        <v>#REF!</v>
      </c>
      <c r="DW398" t="e">
        <f>AND('PROG FORMACIÓN TITULADA'!#REF!,"AAAAAFft734=")</f>
        <v>#REF!</v>
      </c>
      <c r="DX398" t="e">
        <f>AND('PROG FORMACIÓN TITULADA'!#REF!,"AAAAAFft738=")</f>
        <v>#REF!</v>
      </c>
      <c r="DY398" t="e">
        <f>AND('PROG FORMACIÓN TITULADA'!#REF!,"AAAAAFft74A=")</f>
        <v>#REF!</v>
      </c>
      <c r="DZ398" t="e">
        <f>AND('PROG FORMACIÓN TITULADA'!#REF!,"AAAAAFft74E=")</f>
        <v>#REF!</v>
      </c>
      <c r="EA398" t="e">
        <f>AND('PROG FORMACIÓN TITULADA'!#REF!,"AAAAAFft74I=")</f>
        <v>#REF!</v>
      </c>
      <c r="EB398" t="e">
        <f>AND('PROG FORMACIÓN TITULADA'!#REF!,"AAAAAFft74M=")</f>
        <v>#REF!</v>
      </c>
      <c r="EC398" t="e">
        <f>AND('PROG FORMACIÓN TITULADA'!#REF!,"AAAAAFft74Q=")</f>
        <v>#REF!</v>
      </c>
      <c r="ED398" t="e">
        <f>AND('PROG FORMACIÓN TITULADA'!#REF!,"AAAAAFft74U=")</f>
        <v>#REF!</v>
      </c>
      <c r="EE398" t="e">
        <f>AND('PROG FORMACIÓN TITULADA'!#REF!,"AAAAAFft74Y=")</f>
        <v>#REF!</v>
      </c>
      <c r="EF398" t="e">
        <f>AND('PROG FORMACIÓN TITULADA'!#REF!,"AAAAAFft74c=")</f>
        <v>#REF!</v>
      </c>
      <c r="EG398" t="e">
        <f>AND('PROG FORMACIÓN TITULADA'!#REF!,"AAAAAFft74g=")</f>
        <v>#REF!</v>
      </c>
      <c r="EH398" t="e">
        <f>AND('PROG FORMACIÓN TITULADA'!#REF!,"AAAAAFft74k=")</f>
        <v>#REF!</v>
      </c>
      <c r="EI398" t="e">
        <f>AND('PROG FORMACIÓN TITULADA'!#REF!,"AAAAAFft74o=")</f>
        <v>#REF!</v>
      </c>
      <c r="EJ398" t="e">
        <f>AND('PROG FORMACIÓN TITULADA'!#REF!,"AAAAAFft74s=")</f>
        <v>#REF!</v>
      </c>
      <c r="EK398" t="e">
        <f>AND('PROG FORMACIÓN TITULADA'!#REF!,"AAAAAFft74w=")</f>
        <v>#REF!</v>
      </c>
      <c r="EL398" t="e">
        <f>AND('PROG FORMACIÓN TITULADA'!#REF!,"AAAAAFft740=")</f>
        <v>#REF!</v>
      </c>
      <c r="EM398" t="e">
        <f>AND('PROG FORMACIÓN TITULADA'!#REF!,"AAAAAFft744=")</f>
        <v>#REF!</v>
      </c>
      <c r="EN398" t="e">
        <f>AND('PROG FORMACIÓN TITULADA'!#REF!,"AAAAAFft748=")</f>
        <v>#REF!</v>
      </c>
      <c r="EO398" t="e">
        <f>AND('PROG FORMACIÓN TITULADA'!#REF!,"AAAAAFft75A=")</f>
        <v>#REF!</v>
      </c>
      <c r="EP398" t="e">
        <f>AND('PROG FORMACIÓN TITULADA'!#REF!,"AAAAAFft75E=")</f>
        <v>#REF!</v>
      </c>
      <c r="EQ398" t="e">
        <f>IF('PROG FORMACIÓN TITULADA'!#REF!,"AAAAAFft75I=",0)</f>
        <v>#REF!</v>
      </c>
      <c r="ER398" t="e">
        <f>AND('PROG FORMACIÓN TITULADA'!#REF!,"AAAAAFft75M=")</f>
        <v>#REF!</v>
      </c>
      <c r="ES398" t="e">
        <f>AND('PROG FORMACIÓN TITULADA'!#REF!,"AAAAAFft75Q=")</f>
        <v>#REF!</v>
      </c>
      <c r="ET398" t="e">
        <f>AND('PROG FORMACIÓN TITULADA'!#REF!,"AAAAAFft75U=")</f>
        <v>#REF!</v>
      </c>
      <c r="EU398" t="e">
        <f>AND('PROG FORMACIÓN TITULADA'!#REF!,"AAAAAFft75Y=")</f>
        <v>#REF!</v>
      </c>
      <c r="EV398" t="e">
        <f>AND('PROG FORMACIÓN TITULADA'!#REF!,"AAAAAFft75c=")</f>
        <v>#REF!</v>
      </c>
      <c r="EW398" t="e">
        <f>AND('PROG FORMACIÓN TITULADA'!#REF!,"AAAAAFft75g=")</f>
        <v>#REF!</v>
      </c>
      <c r="EX398" t="e">
        <f>AND('PROG FORMACIÓN TITULADA'!#REF!,"AAAAAFft75k=")</f>
        <v>#REF!</v>
      </c>
      <c r="EY398" t="e">
        <f>AND('PROG FORMACIÓN TITULADA'!#REF!,"AAAAAFft75o=")</f>
        <v>#REF!</v>
      </c>
      <c r="EZ398" t="e">
        <f>AND('PROG FORMACIÓN TITULADA'!#REF!,"AAAAAFft75s=")</f>
        <v>#REF!</v>
      </c>
      <c r="FA398" t="e">
        <f>AND('PROG FORMACIÓN TITULADA'!#REF!,"AAAAAFft75w=")</f>
        <v>#REF!</v>
      </c>
      <c r="FB398" t="e">
        <f>AND('PROG FORMACIÓN TITULADA'!#REF!,"AAAAAFft750=")</f>
        <v>#REF!</v>
      </c>
      <c r="FC398" t="e">
        <f>AND('PROG FORMACIÓN TITULADA'!#REF!,"AAAAAFft754=")</f>
        <v>#REF!</v>
      </c>
      <c r="FD398" t="e">
        <f>AND('PROG FORMACIÓN TITULADA'!#REF!,"AAAAAFft758=")</f>
        <v>#REF!</v>
      </c>
      <c r="FE398" t="e">
        <f>AND('PROG FORMACIÓN TITULADA'!#REF!,"AAAAAFft76A=")</f>
        <v>#REF!</v>
      </c>
      <c r="FF398" t="e">
        <f>AND('PROG FORMACIÓN TITULADA'!#REF!,"AAAAAFft76E=")</f>
        <v>#REF!</v>
      </c>
      <c r="FG398" t="e">
        <f>AND('PROG FORMACIÓN TITULADA'!#REF!,"AAAAAFft76I=")</f>
        <v>#REF!</v>
      </c>
      <c r="FH398" t="e">
        <f>AND('PROG FORMACIÓN TITULADA'!#REF!,"AAAAAFft76M=")</f>
        <v>#REF!</v>
      </c>
      <c r="FI398" t="e">
        <f>AND('PROG FORMACIÓN TITULADA'!#REF!,"AAAAAFft76Q=")</f>
        <v>#REF!</v>
      </c>
      <c r="FJ398" t="e">
        <f>AND('PROG FORMACIÓN TITULADA'!#REF!,"AAAAAFft76U=")</f>
        <v>#REF!</v>
      </c>
      <c r="FK398" t="e">
        <f>AND('PROG FORMACIÓN TITULADA'!#REF!,"AAAAAFft76Y=")</f>
        <v>#REF!</v>
      </c>
      <c r="FL398" t="e">
        <f>AND('PROG FORMACIÓN TITULADA'!#REF!,"AAAAAFft76c=")</f>
        <v>#REF!</v>
      </c>
      <c r="FM398" t="e">
        <f>AND('PROG FORMACIÓN TITULADA'!#REF!,"AAAAAFft76g=")</f>
        <v>#REF!</v>
      </c>
      <c r="FN398" t="e">
        <f>AND('PROG FORMACIÓN TITULADA'!#REF!,"AAAAAFft76k=")</f>
        <v>#REF!</v>
      </c>
      <c r="FO398" t="e">
        <f>AND('PROG FORMACIÓN TITULADA'!#REF!,"AAAAAFft76o=")</f>
        <v>#REF!</v>
      </c>
      <c r="FP398" t="e">
        <f>AND('PROG FORMACIÓN TITULADA'!#REF!,"AAAAAFft76s=")</f>
        <v>#REF!</v>
      </c>
      <c r="FQ398" t="e">
        <f>AND('PROG FORMACIÓN TITULADA'!#REF!,"AAAAAFft76w=")</f>
        <v>#REF!</v>
      </c>
      <c r="FR398" t="e">
        <f>IF('PROG FORMACIÓN TITULADA'!#REF!,"AAAAAFft760=",0)</f>
        <v>#REF!</v>
      </c>
      <c r="FS398" t="e">
        <f>AND('PROG FORMACIÓN TITULADA'!#REF!,"AAAAAFft764=")</f>
        <v>#REF!</v>
      </c>
      <c r="FT398" t="e">
        <f>AND('PROG FORMACIÓN TITULADA'!#REF!,"AAAAAFft768=")</f>
        <v>#REF!</v>
      </c>
      <c r="FU398" t="e">
        <f>AND('PROG FORMACIÓN TITULADA'!#REF!,"AAAAAFft77A=")</f>
        <v>#REF!</v>
      </c>
      <c r="FV398" t="e">
        <f>AND('PROG FORMACIÓN TITULADA'!#REF!,"AAAAAFft77E=")</f>
        <v>#REF!</v>
      </c>
      <c r="FW398" t="e">
        <f>AND('PROG FORMACIÓN TITULADA'!#REF!,"AAAAAFft77I=")</f>
        <v>#REF!</v>
      </c>
      <c r="FX398" t="e">
        <f>AND('PROG FORMACIÓN TITULADA'!#REF!,"AAAAAFft77M=")</f>
        <v>#REF!</v>
      </c>
      <c r="FY398" t="e">
        <f>AND('PROG FORMACIÓN TITULADA'!#REF!,"AAAAAFft77Q=")</f>
        <v>#REF!</v>
      </c>
      <c r="FZ398" t="e">
        <f>AND('PROG FORMACIÓN TITULADA'!#REF!,"AAAAAFft77U=")</f>
        <v>#REF!</v>
      </c>
      <c r="GA398" t="e">
        <f>AND('PROG FORMACIÓN TITULADA'!#REF!,"AAAAAFft77Y=")</f>
        <v>#REF!</v>
      </c>
      <c r="GB398" t="e">
        <f>AND('PROG FORMACIÓN TITULADA'!#REF!,"AAAAAFft77c=")</f>
        <v>#REF!</v>
      </c>
      <c r="GC398" t="e">
        <f>AND('PROG FORMACIÓN TITULADA'!#REF!,"AAAAAFft77g=")</f>
        <v>#REF!</v>
      </c>
      <c r="GD398" t="e">
        <f>AND('PROG FORMACIÓN TITULADA'!#REF!,"AAAAAFft77k=")</f>
        <v>#REF!</v>
      </c>
      <c r="GE398" t="e">
        <f>AND('PROG FORMACIÓN TITULADA'!#REF!,"AAAAAFft77o=")</f>
        <v>#REF!</v>
      </c>
      <c r="GF398" t="e">
        <f>AND('PROG FORMACIÓN TITULADA'!#REF!,"AAAAAFft77s=")</f>
        <v>#REF!</v>
      </c>
      <c r="GG398" t="e">
        <f>AND('PROG FORMACIÓN TITULADA'!#REF!,"AAAAAFft77w=")</f>
        <v>#REF!</v>
      </c>
      <c r="GH398" t="e">
        <f>AND('PROG FORMACIÓN TITULADA'!#REF!,"AAAAAFft770=")</f>
        <v>#REF!</v>
      </c>
      <c r="GI398" t="e">
        <f>AND('PROG FORMACIÓN TITULADA'!#REF!,"AAAAAFft774=")</f>
        <v>#REF!</v>
      </c>
      <c r="GJ398" t="e">
        <f>AND('PROG FORMACIÓN TITULADA'!#REF!,"AAAAAFft778=")</f>
        <v>#REF!</v>
      </c>
      <c r="GK398" t="e">
        <f>AND('PROG FORMACIÓN TITULADA'!#REF!,"AAAAAFft78A=")</f>
        <v>#REF!</v>
      </c>
      <c r="GL398" t="e">
        <f>AND('PROG FORMACIÓN TITULADA'!#REF!,"AAAAAFft78E=")</f>
        <v>#REF!</v>
      </c>
      <c r="GM398" t="e">
        <f>AND('PROG FORMACIÓN TITULADA'!#REF!,"AAAAAFft78I=")</f>
        <v>#REF!</v>
      </c>
      <c r="GN398" t="e">
        <f>AND('PROG FORMACIÓN TITULADA'!#REF!,"AAAAAFft78M=")</f>
        <v>#REF!</v>
      </c>
      <c r="GO398" t="e">
        <f>AND('PROG FORMACIÓN TITULADA'!#REF!,"AAAAAFft78Q=")</f>
        <v>#REF!</v>
      </c>
      <c r="GP398" t="e">
        <f>AND('PROG FORMACIÓN TITULADA'!#REF!,"AAAAAFft78U=")</f>
        <v>#REF!</v>
      </c>
      <c r="GQ398" t="e">
        <f>AND('PROG FORMACIÓN TITULADA'!#REF!,"AAAAAFft78Y=")</f>
        <v>#REF!</v>
      </c>
      <c r="GR398" t="e">
        <f>AND('PROG FORMACIÓN TITULADA'!#REF!,"AAAAAFft78c=")</f>
        <v>#REF!</v>
      </c>
      <c r="GS398" t="e">
        <f>IF('PROG FORMACIÓN TITULADA'!#REF!,"AAAAAFft78g=",0)</f>
        <v>#REF!</v>
      </c>
      <c r="GT398" t="e">
        <f>AND('PROG FORMACIÓN TITULADA'!#REF!,"AAAAAFft78k=")</f>
        <v>#REF!</v>
      </c>
      <c r="GU398" t="e">
        <f>AND('PROG FORMACIÓN TITULADA'!#REF!,"AAAAAFft78o=")</f>
        <v>#REF!</v>
      </c>
      <c r="GV398" t="e">
        <f>AND('PROG FORMACIÓN TITULADA'!#REF!,"AAAAAFft78s=")</f>
        <v>#REF!</v>
      </c>
      <c r="GW398" t="e">
        <f>AND('PROG FORMACIÓN TITULADA'!#REF!,"AAAAAFft78w=")</f>
        <v>#REF!</v>
      </c>
      <c r="GX398" t="e">
        <f>AND('PROG FORMACIÓN TITULADA'!#REF!,"AAAAAFft780=")</f>
        <v>#REF!</v>
      </c>
      <c r="GY398" t="e">
        <f>AND('PROG FORMACIÓN TITULADA'!#REF!,"AAAAAFft784=")</f>
        <v>#REF!</v>
      </c>
      <c r="GZ398" t="e">
        <f>AND('PROG FORMACIÓN TITULADA'!#REF!,"AAAAAFft788=")</f>
        <v>#REF!</v>
      </c>
      <c r="HA398" t="e">
        <f>AND('PROG FORMACIÓN TITULADA'!#REF!,"AAAAAFft79A=")</f>
        <v>#REF!</v>
      </c>
      <c r="HB398" t="e">
        <f>AND('PROG FORMACIÓN TITULADA'!#REF!,"AAAAAFft79E=")</f>
        <v>#REF!</v>
      </c>
      <c r="HC398" t="e">
        <f>AND('PROG FORMACIÓN TITULADA'!#REF!,"AAAAAFft79I=")</f>
        <v>#REF!</v>
      </c>
      <c r="HD398" t="e">
        <f>AND('PROG FORMACIÓN TITULADA'!#REF!,"AAAAAFft79M=")</f>
        <v>#REF!</v>
      </c>
      <c r="HE398" t="e">
        <f>AND('PROG FORMACIÓN TITULADA'!#REF!,"AAAAAFft79Q=")</f>
        <v>#REF!</v>
      </c>
      <c r="HF398" t="e">
        <f>AND('PROG FORMACIÓN TITULADA'!#REF!,"AAAAAFft79U=")</f>
        <v>#REF!</v>
      </c>
      <c r="HG398" t="e">
        <f>AND('PROG FORMACIÓN TITULADA'!#REF!,"AAAAAFft79Y=")</f>
        <v>#REF!</v>
      </c>
      <c r="HH398" t="e">
        <f>AND('PROG FORMACIÓN TITULADA'!#REF!,"AAAAAFft79c=")</f>
        <v>#REF!</v>
      </c>
      <c r="HI398" t="e">
        <f>AND('PROG FORMACIÓN TITULADA'!#REF!,"AAAAAFft79g=")</f>
        <v>#REF!</v>
      </c>
      <c r="HJ398" t="e">
        <f>AND('PROG FORMACIÓN TITULADA'!#REF!,"AAAAAFft79k=")</f>
        <v>#REF!</v>
      </c>
      <c r="HK398" t="e">
        <f>AND('PROG FORMACIÓN TITULADA'!#REF!,"AAAAAFft79o=")</f>
        <v>#REF!</v>
      </c>
      <c r="HL398" t="e">
        <f>AND('PROG FORMACIÓN TITULADA'!#REF!,"AAAAAFft79s=")</f>
        <v>#REF!</v>
      </c>
      <c r="HM398" t="e">
        <f>AND('PROG FORMACIÓN TITULADA'!#REF!,"AAAAAFft79w=")</f>
        <v>#REF!</v>
      </c>
      <c r="HN398" t="e">
        <f>AND('PROG FORMACIÓN TITULADA'!#REF!,"AAAAAFft790=")</f>
        <v>#REF!</v>
      </c>
      <c r="HO398" t="e">
        <f>AND('PROG FORMACIÓN TITULADA'!#REF!,"AAAAAFft794=")</f>
        <v>#REF!</v>
      </c>
      <c r="HP398" t="e">
        <f>AND('PROG FORMACIÓN TITULADA'!#REF!,"AAAAAFft798=")</f>
        <v>#REF!</v>
      </c>
      <c r="HQ398" t="e">
        <f>AND('PROG FORMACIÓN TITULADA'!#REF!,"AAAAAFft7+A=")</f>
        <v>#REF!</v>
      </c>
      <c r="HR398" t="e">
        <f>AND('PROG FORMACIÓN TITULADA'!#REF!,"AAAAAFft7+E=")</f>
        <v>#REF!</v>
      </c>
      <c r="HS398" t="e">
        <f>AND('PROG FORMACIÓN TITULADA'!#REF!,"AAAAAFft7+I=")</f>
        <v>#REF!</v>
      </c>
      <c r="HT398" t="e">
        <f>IF('PROG FORMACIÓN TITULADA'!#REF!,"AAAAAFft7+M=",0)</f>
        <v>#REF!</v>
      </c>
      <c r="HU398" t="e">
        <f>AND('PROG FORMACIÓN TITULADA'!#REF!,"AAAAAFft7+Q=")</f>
        <v>#REF!</v>
      </c>
      <c r="HV398" t="e">
        <f>AND('PROG FORMACIÓN TITULADA'!#REF!,"AAAAAFft7+U=")</f>
        <v>#REF!</v>
      </c>
      <c r="HW398" t="e">
        <f>AND('PROG FORMACIÓN TITULADA'!#REF!,"AAAAAFft7+Y=")</f>
        <v>#REF!</v>
      </c>
      <c r="HX398" t="e">
        <f>AND('PROG FORMACIÓN TITULADA'!#REF!,"AAAAAFft7+c=")</f>
        <v>#REF!</v>
      </c>
      <c r="HY398" t="e">
        <f>AND('PROG FORMACIÓN TITULADA'!#REF!,"AAAAAFft7+g=")</f>
        <v>#REF!</v>
      </c>
      <c r="HZ398" t="e">
        <f>AND('PROG FORMACIÓN TITULADA'!#REF!,"AAAAAFft7+k=")</f>
        <v>#REF!</v>
      </c>
      <c r="IA398" t="e">
        <f>AND('PROG FORMACIÓN TITULADA'!#REF!,"AAAAAFft7+o=")</f>
        <v>#REF!</v>
      </c>
      <c r="IB398" t="e">
        <f>AND('PROG FORMACIÓN TITULADA'!#REF!,"AAAAAFft7+s=")</f>
        <v>#REF!</v>
      </c>
      <c r="IC398" t="e">
        <f>AND('PROG FORMACIÓN TITULADA'!#REF!,"AAAAAFft7+w=")</f>
        <v>#REF!</v>
      </c>
      <c r="ID398" t="e">
        <f>AND('PROG FORMACIÓN TITULADA'!#REF!,"AAAAAFft7+0=")</f>
        <v>#REF!</v>
      </c>
      <c r="IE398" t="e">
        <f>AND('PROG FORMACIÓN TITULADA'!#REF!,"AAAAAFft7+4=")</f>
        <v>#REF!</v>
      </c>
      <c r="IF398" t="e">
        <f>AND('PROG FORMACIÓN TITULADA'!#REF!,"AAAAAFft7+8=")</f>
        <v>#REF!</v>
      </c>
      <c r="IG398" t="e">
        <f>AND('PROG FORMACIÓN TITULADA'!#REF!,"AAAAAFft7/A=")</f>
        <v>#REF!</v>
      </c>
      <c r="IH398" t="e">
        <f>AND('PROG FORMACIÓN TITULADA'!#REF!,"AAAAAFft7/E=")</f>
        <v>#REF!</v>
      </c>
      <c r="II398" t="e">
        <f>AND('PROG FORMACIÓN TITULADA'!#REF!,"AAAAAFft7/I=")</f>
        <v>#REF!</v>
      </c>
      <c r="IJ398" t="e">
        <f>AND('PROG FORMACIÓN TITULADA'!#REF!,"AAAAAFft7/M=")</f>
        <v>#REF!</v>
      </c>
      <c r="IK398" t="e">
        <f>AND('PROG FORMACIÓN TITULADA'!#REF!,"AAAAAFft7/Q=")</f>
        <v>#REF!</v>
      </c>
      <c r="IL398" t="e">
        <f>AND('PROG FORMACIÓN TITULADA'!#REF!,"AAAAAFft7/U=")</f>
        <v>#REF!</v>
      </c>
      <c r="IM398" t="e">
        <f>AND('PROG FORMACIÓN TITULADA'!#REF!,"AAAAAFft7/Y=")</f>
        <v>#REF!</v>
      </c>
      <c r="IN398" t="e">
        <f>AND('PROG FORMACIÓN TITULADA'!#REF!,"AAAAAFft7/c=")</f>
        <v>#REF!</v>
      </c>
      <c r="IO398" t="e">
        <f>AND('PROG FORMACIÓN TITULADA'!#REF!,"AAAAAFft7/g=")</f>
        <v>#REF!</v>
      </c>
      <c r="IP398" t="e">
        <f>AND('PROG FORMACIÓN TITULADA'!#REF!,"AAAAAFft7/k=")</f>
        <v>#REF!</v>
      </c>
      <c r="IQ398" t="e">
        <f>AND('PROG FORMACIÓN TITULADA'!#REF!,"AAAAAFft7/o=")</f>
        <v>#REF!</v>
      </c>
      <c r="IR398" t="e">
        <f>AND('PROG FORMACIÓN TITULADA'!#REF!,"AAAAAFft7/s=")</f>
        <v>#REF!</v>
      </c>
      <c r="IS398" t="e">
        <f>AND('PROG FORMACIÓN TITULADA'!#REF!,"AAAAAFft7/w=")</f>
        <v>#REF!</v>
      </c>
      <c r="IT398" t="e">
        <f>AND('PROG FORMACIÓN TITULADA'!#REF!,"AAAAAFft7/0=")</f>
        <v>#REF!</v>
      </c>
      <c r="IU398" t="e">
        <f>IF('PROG FORMACIÓN TITULADA'!#REF!,"AAAAAFft7/4=",0)</f>
        <v>#REF!</v>
      </c>
      <c r="IV398" t="e">
        <f>AND('PROG FORMACIÓN TITULADA'!#REF!,"AAAAAFft7/8=")</f>
        <v>#REF!</v>
      </c>
    </row>
    <row r="399" spans="1:256" x14ac:dyDescent="0.2">
      <c r="A399" t="e">
        <f>AND('PROG FORMACIÓN TITULADA'!#REF!,"AAAAAH+57wA=")</f>
        <v>#REF!</v>
      </c>
      <c r="B399" t="e">
        <f>AND('PROG FORMACIÓN TITULADA'!#REF!,"AAAAAH+57wE=")</f>
        <v>#REF!</v>
      </c>
      <c r="C399" t="e">
        <f>AND('PROG FORMACIÓN TITULADA'!#REF!,"AAAAAH+57wI=")</f>
        <v>#REF!</v>
      </c>
      <c r="D399" t="e">
        <f>AND('PROG FORMACIÓN TITULADA'!#REF!,"AAAAAH+57wM=")</f>
        <v>#REF!</v>
      </c>
      <c r="E399" t="e">
        <f>AND('PROG FORMACIÓN TITULADA'!#REF!,"AAAAAH+57wQ=")</f>
        <v>#REF!</v>
      </c>
      <c r="F399" t="e">
        <f>AND('PROG FORMACIÓN TITULADA'!#REF!,"AAAAAH+57wU=")</f>
        <v>#REF!</v>
      </c>
      <c r="G399" t="e">
        <f>AND('PROG FORMACIÓN TITULADA'!#REF!,"AAAAAH+57wY=")</f>
        <v>#REF!</v>
      </c>
      <c r="H399" t="e">
        <f>AND('PROG FORMACIÓN TITULADA'!#REF!,"AAAAAH+57wc=")</f>
        <v>#REF!</v>
      </c>
      <c r="I399" t="e">
        <f>AND('PROG FORMACIÓN TITULADA'!#REF!,"AAAAAH+57wg=")</f>
        <v>#REF!</v>
      </c>
      <c r="J399" t="e">
        <f>AND('PROG FORMACIÓN TITULADA'!#REF!,"AAAAAH+57wk=")</f>
        <v>#REF!</v>
      </c>
      <c r="K399" t="e">
        <f>AND('PROG FORMACIÓN TITULADA'!#REF!,"AAAAAH+57wo=")</f>
        <v>#REF!</v>
      </c>
      <c r="L399" t="e">
        <f>AND('PROG FORMACIÓN TITULADA'!#REF!,"AAAAAH+57ws=")</f>
        <v>#REF!</v>
      </c>
      <c r="M399" t="e">
        <f>AND('PROG FORMACIÓN TITULADA'!#REF!,"AAAAAH+57ww=")</f>
        <v>#REF!</v>
      </c>
      <c r="N399" t="e">
        <f>AND('PROG FORMACIÓN TITULADA'!#REF!,"AAAAAH+57w0=")</f>
        <v>#REF!</v>
      </c>
      <c r="O399" t="e">
        <f>AND('PROG FORMACIÓN TITULADA'!#REF!,"AAAAAH+57w4=")</f>
        <v>#REF!</v>
      </c>
      <c r="P399" t="e">
        <f>AND('PROG FORMACIÓN TITULADA'!#REF!,"AAAAAH+57w8=")</f>
        <v>#REF!</v>
      </c>
      <c r="Q399" t="e">
        <f>AND('PROG FORMACIÓN TITULADA'!#REF!,"AAAAAH+57xA=")</f>
        <v>#REF!</v>
      </c>
      <c r="R399" t="e">
        <f>AND('PROG FORMACIÓN TITULADA'!#REF!,"AAAAAH+57xE=")</f>
        <v>#REF!</v>
      </c>
      <c r="S399" t="e">
        <f>AND('PROG FORMACIÓN TITULADA'!#REF!,"AAAAAH+57xI=")</f>
        <v>#REF!</v>
      </c>
      <c r="T399" t="e">
        <f>AND('PROG FORMACIÓN TITULADA'!#REF!,"AAAAAH+57xM=")</f>
        <v>#REF!</v>
      </c>
      <c r="U399" t="e">
        <f>AND('PROG FORMACIÓN TITULADA'!#REF!,"AAAAAH+57xQ=")</f>
        <v>#REF!</v>
      </c>
      <c r="V399" t="e">
        <f>AND('PROG FORMACIÓN TITULADA'!#REF!,"AAAAAH+57xU=")</f>
        <v>#REF!</v>
      </c>
      <c r="W399" t="e">
        <f>AND('PROG FORMACIÓN TITULADA'!#REF!,"AAAAAH+57xY=")</f>
        <v>#REF!</v>
      </c>
      <c r="X399" t="e">
        <f>AND('PROG FORMACIÓN TITULADA'!#REF!,"AAAAAH+57xc=")</f>
        <v>#REF!</v>
      </c>
      <c r="Y399" t="e">
        <f>AND('PROG FORMACIÓN TITULADA'!#REF!,"AAAAAH+57xg=")</f>
        <v>#REF!</v>
      </c>
      <c r="Z399" t="e">
        <f>IF('PROG FORMACIÓN TITULADA'!#REF!,"AAAAAH+57xk=",0)</f>
        <v>#REF!</v>
      </c>
      <c r="AA399" t="e">
        <f>AND('PROG FORMACIÓN TITULADA'!#REF!,"AAAAAH+57xo=")</f>
        <v>#REF!</v>
      </c>
      <c r="AB399" t="e">
        <f>AND('PROG FORMACIÓN TITULADA'!#REF!,"AAAAAH+57xs=")</f>
        <v>#REF!</v>
      </c>
      <c r="AC399" t="e">
        <f>AND('PROG FORMACIÓN TITULADA'!#REF!,"AAAAAH+57xw=")</f>
        <v>#REF!</v>
      </c>
      <c r="AD399" t="e">
        <f>AND('PROG FORMACIÓN TITULADA'!#REF!,"AAAAAH+57x0=")</f>
        <v>#REF!</v>
      </c>
      <c r="AE399" t="e">
        <f>AND('PROG FORMACIÓN TITULADA'!#REF!,"AAAAAH+57x4=")</f>
        <v>#REF!</v>
      </c>
      <c r="AF399" t="e">
        <f>AND('PROG FORMACIÓN TITULADA'!#REF!,"AAAAAH+57x8=")</f>
        <v>#REF!</v>
      </c>
      <c r="AG399" t="e">
        <f>AND('PROG FORMACIÓN TITULADA'!#REF!,"AAAAAH+57yA=")</f>
        <v>#REF!</v>
      </c>
      <c r="AH399" t="e">
        <f>AND('PROG FORMACIÓN TITULADA'!#REF!,"AAAAAH+57yE=")</f>
        <v>#REF!</v>
      </c>
      <c r="AI399" t="e">
        <f>AND('PROG FORMACIÓN TITULADA'!#REF!,"AAAAAH+57yI=")</f>
        <v>#REF!</v>
      </c>
      <c r="AJ399" t="e">
        <f>AND('PROG FORMACIÓN TITULADA'!#REF!,"AAAAAH+57yM=")</f>
        <v>#REF!</v>
      </c>
      <c r="AK399" t="e">
        <f>AND('PROG FORMACIÓN TITULADA'!#REF!,"AAAAAH+57yQ=")</f>
        <v>#REF!</v>
      </c>
      <c r="AL399" t="e">
        <f>AND('PROG FORMACIÓN TITULADA'!#REF!,"AAAAAH+57yU=")</f>
        <v>#REF!</v>
      </c>
      <c r="AM399" t="e">
        <f>AND('PROG FORMACIÓN TITULADA'!#REF!,"AAAAAH+57yY=")</f>
        <v>#REF!</v>
      </c>
      <c r="AN399" t="e">
        <f>AND('PROG FORMACIÓN TITULADA'!#REF!,"AAAAAH+57yc=")</f>
        <v>#REF!</v>
      </c>
      <c r="AO399" t="e">
        <f>AND('PROG FORMACIÓN TITULADA'!#REF!,"AAAAAH+57yg=")</f>
        <v>#REF!</v>
      </c>
      <c r="AP399" t="e">
        <f>AND('PROG FORMACIÓN TITULADA'!#REF!,"AAAAAH+57yk=")</f>
        <v>#REF!</v>
      </c>
      <c r="AQ399" t="e">
        <f>AND('PROG FORMACIÓN TITULADA'!#REF!,"AAAAAH+57yo=")</f>
        <v>#REF!</v>
      </c>
      <c r="AR399" t="e">
        <f>AND('PROG FORMACIÓN TITULADA'!#REF!,"AAAAAH+57ys=")</f>
        <v>#REF!</v>
      </c>
      <c r="AS399" t="e">
        <f>AND('PROG FORMACIÓN TITULADA'!#REF!,"AAAAAH+57yw=")</f>
        <v>#REF!</v>
      </c>
      <c r="AT399" t="e">
        <f>AND('PROG FORMACIÓN TITULADA'!#REF!,"AAAAAH+57y0=")</f>
        <v>#REF!</v>
      </c>
      <c r="AU399" t="e">
        <f>AND('PROG FORMACIÓN TITULADA'!#REF!,"AAAAAH+57y4=")</f>
        <v>#REF!</v>
      </c>
      <c r="AV399" t="e">
        <f>AND('PROG FORMACIÓN TITULADA'!#REF!,"AAAAAH+57y8=")</f>
        <v>#REF!</v>
      </c>
      <c r="AW399" t="e">
        <f>AND('PROG FORMACIÓN TITULADA'!#REF!,"AAAAAH+57zA=")</f>
        <v>#REF!</v>
      </c>
      <c r="AX399" t="e">
        <f>AND('PROG FORMACIÓN TITULADA'!#REF!,"AAAAAH+57zE=")</f>
        <v>#REF!</v>
      </c>
      <c r="AY399" t="e">
        <f>AND('PROG FORMACIÓN TITULADA'!#REF!,"AAAAAH+57zI=")</f>
        <v>#REF!</v>
      </c>
      <c r="AZ399" t="e">
        <f>AND('PROG FORMACIÓN TITULADA'!#REF!,"AAAAAH+57zM=")</f>
        <v>#REF!</v>
      </c>
      <c r="BA399" t="s">
        <v>616</v>
      </c>
      <c r="BB399" t="s">
        <v>617</v>
      </c>
      <c r="BC399" t="e">
        <f>IF("N",'Calendario Académico 2014'!_xlnm.Print_Area,"AAAAAH+57zY=")</f>
        <v>#VALUE!</v>
      </c>
      <c r="BD399" t="e">
        <f>IF("N",'PROG FORMACIÓN TITULADA'!_xlnm.Print_Area,"AAAAAH+57zc=")</f>
        <v>#VALUE!</v>
      </c>
      <c r="BE399" t="e">
        <f>IF("N",_xlnm.Print_Area,"AAAAAH+57zg=")</f>
        <v>#VALUE!</v>
      </c>
    </row>
    <row r="400" spans="1:256" x14ac:dyDescent="0.2">
      <c r="A400" t="e">
        <f>IF('POTENCIAL HORAS'!119:119,"AAAAAHv1xwA=",0)</f>
        <v>#VALUE!</v>
      </c>
      <c r="B400" t="e">
        <f>AND('POTENCIAL HORAS'!A119,"AAAAAHv1xwE=")</f>
        <v>#VALUE!</v>
      </c>
      <c r="C400" t="e">
        <f>AND('POTENCIAL HORAS'!B119,"AAAAAHv1xwI=")</f>
        <v>#VALUE!</v>
      </c>
      <c r="D400" t="e">
        <f>AND('POTENCIAL HORAS'!C119,"AAAAAHv1xwM=")</f>
        <v>#VALUE!</v>
      </c>
      <c r="E400" t="e">
        <f>AND('POTENCIAL HORAS'!D119,"AAAAAHv1xwQ=")</f>
        <v>#VALUE!</v>
      </c>
      <c r="F400" t="e">
        <f>AND('POTENCIAL HORAS'!E119,"AAAAAHv1xwU=")</f>
        <v>#VALUE!</v>
      </c>
      <c r="G400" t="e">
        <f>AND('POTENCIAL HORAS'!F119,"AAAAAHv1xwY=")</f>
        <v>#VALUE!</v>
      </c>
      <c r="H400" t="e">
        <f>AND('POTENCIAL HORAS'!G119,"AAAAAHv1xwc=")</f>
        <v>#VALUE!</v>
      </c>
      <c r="I400" t="e">
        <f>AND('POTENCIAL HORAS'!H119,"AAAAAHv1xwg=")</f>
        <v>#VALUE!</v>
      </c>
      <c r="J400" t="e">
        <f>AND('POTENCIAL HORAS'!I119,"AAAAAHv1xwk=")</f>
        <v>#VALUE!</v>
      </c>
      <c r="K400" t="e">
        <f>AND('POTENCIAL HORAS'!J119,"AAAAAHv1xwo=")</f>
        <v>#VALUE!</v>
      </c>
      <c r="L400" t="e">
        <f>AND('POTENCIAL HORAS'!K119,"AAAAAHv1xws=")</f>
        <v>#VALUE!</v>
      </c>
      <c r="M400" t="e">
        <f>AND('POTENCIAL HORAS'!L119,"AAAAAHv1xww=")</f>
        <v>#VALUE!</v>
      </c>
      <c r="N400" t="e">
        <f>AND('POTENCIAL HORAS'!M119,"AAAAAHv1xw0=")</f>
        <v>#VALUE!</v>
      </c>
      <c r="O400" t="e">
        <f>AND('POTENCIAL HORAS'!N119,"AAAAAHv1xw4=")</f>
        <v>#VALUE!</v>
      </c>
      <c r="P400" t="e">
        <f>AND('POTENCIAL HORAS'!O119,"AAAAAHv1xw8=")</f>
        <v>#VALUE!</v>
      </c>
      <c r="Q400" t="e">
        <f>AND('POTENCIAL HORAS'!P119,"AAAAAHv1xxA=")</f>
        <v>#VALUE!</v>
      </c>
      <c r="R400" t="e">
        <f>AND('POTENCIAL HORAS'!#REF!,"AAAAAHv1xxE=")</f>
        <v>#REF!</v>
      </c>
      <c r="S400" t="e">
        <f>AND('POTENCIAL HORAS'!#REF!,"AAAAAHv1xxI=")</f>
        <v>#REF!</v>
      </c>
      <c r="T400" t="e">
        <f>AND('POTENCIAL HORAS'!#REF!,"AAAAAHv1xxM=")</f>
        <v>#REF!</v>
      </c>
      <c r="U400" t="e">
        <f>AND('POTENCIAL HORAS'!#REF!,"AAAAAHv1xxQ=")</f>
        <v>#REF!</v>
      </c>
      <c r="V400" t="e">
        <f>AND('POTENCIAL HORAS'!#REF!,"AAAAAHv1xxU=")</f>
        <v>#REF!</v>
      </c>
      <c r="W400" t="e">
        <f>AND('POTENCIAL HORAS'!#REF!,"AAAAAHv1xxY=")</f>
        <v>#REF!</v>
      </c>
      <c r="X400" t="e">
        <f>AND('POTENCIAL HORAS'!#REF!,"AAAAAHv1xxc=")</f>
        <v>#REF!</v>
      </c>
      <c r="Y400" t="e">
        <f>AND('POTENCIAL HORAS'!#REF!,"AAAAAHv1xxg=")</f>
        <v>#REF!</v>
      </c>
      <c r="Z400" t="e">
        <f>AND('POTENCIAL HORAS'!#REF!,"AAAAAHv1xxk=")</f>
        <v>#REF!</v>
      </c>
      <c r="AA400" t="e">
        <f>AND('POTENCIAL HORAS'!#REF!,"AAAAAHv1xxo=")</f>
        <v>#REF!</v>
      </c>
      <c r="AB400" t="e">
        <f>AND('POTENCIAL HORAS'!#REF!,"AAAAAHv1xxs=")</f>
        <v>#REF!</v>
      </c>
      <c r="AC400" t="e">
        <f>AND('POTENCIAL HORAS'!#REF!,"AAAAAHv1xxw=")</f>
        <v>#REF!</v>
      </c>
      <c r="AD400" t="e">
        <f>AND('POTENCIAL HORAS'!#REF!,"AAAAAHv1xx0=")</f>
        <v>#REF!</v>
      </c>
      <c r="AE400" t="e">
        <f>AND('POTENCIAL HORAS'!#REF!,"AAAAAHv1xx4=")</f>
        <v>#REF!</v>
      </c>
      <c r="AF400" t="e">
        <f>AND('POTENCIAL HORAS'!#REF!,"AAAAAHv1xx8=")</f>
        <v>#REF!</v>
      </c>
      <c r="AG400" t="e">
        <f>AND('POTENCIAL HORAS'!#REF!,"AAAAAHv1xyA=")</f>
        <v>#REF!</v>
      </c>
      <c r="AH400" t="e">
        <f>AND('POTENCIAL HORAS'!#REF!,"AAAAAHv1xyE=")</f>
        <v>#REF!</v>
      </c>
      <c r="AI400" t="e">
        <f>AND('POTENCIAL HORAS'!#REF!,"AAAAAHv1xyI=")</f>
        <v>#REF!</v>
      </c>
      <c r="AJ400" t="e">
        <f>AND('POTENCIAL HORAS'!#REF!,"AAAAAHv1xyM=")</f>
        <v>#REF!</v>
      </c>
      <c r="AK400" t="e">
        <f>AND('POTENCIAL HORAS'!#REF!,"AAAAAHv1xyQ=")</f>
        <v>#REF!</v>
      </c>
      <c r="AL400" t="e">
        <f>AND('POTENCIAL HORAS'!Q119,"AAAAAHv1xyU=")</f>
        <v>#VALUE!</v>
      </c>
      <c r="AM400" t="e">
        <f>AND('POTENCIAL HORAS'!R119,"AAAAAHv1xyY=")</f>
        <v>#VALUE!</v>
      </c>
      <c r="AN400" t="e">
        <f>IF('POTENCIAL HORAS'!#REF!,"AAAAAHv1xyc=",0)</f>
        <v>#REF!</v>
      </c>
      <c r="AO400" t="e">
        <f>AND('POTENCIAL HORAS'!#REF!,"AAAAAHv1xyg=")</f>
        <v>#REF!</v>
      </c>
      <c r="AP400" t="e">
        <f>AND('POTENCIAL HORAS'!#REF!,"AAAAAHv1xyk=")</f>
        <v>#REF!</v>
      </c>
      <c r="AQ400" t="e">
        <f>AND('POTENCIAL HORAS'!#REF!,"AAAAAHv1xyo=")</f>
        <v>#REF!</v>
      </c>
      <c r="AR400" t="e">
        <f>AND('POTENCIAL HORAS'!#REF!,"AAAAAHv1xys=")</f>
        <v>#REF!</v>
      </c>
      <c r="AS400" t="e">
        <f>AND('POTENCIAL HORAS'!#REF!,"AAAAAHv1xyw=")</f>
        <v>#REF!</v>
      </c>
      <c r="AT400" t="e">
        <f>AND('POTENCIAL HORAS'!#REF!,"AAAAAHv1xy0=")</f>
        <v>#REF!</v>
      </c>
      <c r="AU400" t="e">
        <f>AND('POTENCIAL HORAS'!#REF!,"AAAAAHv1xy4=")</f>
        <v>#REF!</v>
      </c>
      <c r="AV400" t="e">
        <f>AND('POTENCIAL HORAS'!#REF!,"AAAAAHv1xy8=")</f>
        <v>#REF!</v>
      </c>
      <c r="AW400" t="e">
        <f>AND('POTENCIAL HORAS'!#REF!,"AAAAAHv1xzA=")</f>
        <v>#REF!</v>
      </c>
      <c r="AX400" t="e">
        <f>AND('POTENCIAL HORAS'!#REF!,"AAAAAHv1xzE=")</f>
        <v>#REF!</v>
      </c>
      <c r="AY400" t="e">
        <f>AND('POTENCIAL HORAS'!#REF!,"AAAAAHv1xzI=")</f>
        <v>#REF!</v>
      </c>
      <c r="AZ400" t="e">
        <f>AND('POTENCIAL HORAS'!#REF!,"AAAAAHv1xzM=")</f>
        <v>#REF!</v>
      </c>
      <c r="BA400" t="e">
        <f>AND('POTENCIAL HORAS'!#REF!,"AAAAAHv1xzQ=")</f>
        <v>#REF!</v>
      </c>
      <c r="BB400" t="e">
        <f>AND('POTENCIAL HORAS'!#REF!,"AAAAAHv1xzU=")</f>
        <v>#REF!</v>
      </c>
      <c r="BC400" t="e">
        <f>AND('POTENCIAL HORAS'!#REF!,"AAAAAHv1xzY=")</f>
        <v>#REF!</v>
      </c>
      <c r="BD400" t="e">
        <f>AND('POTENCIAL HORAS'!#REF!,"AAAAAHv1xzc=")</f>
        <v>#REF!</v>
      </c>
      <c r="BE400" t="e">
        <f>AND('POTENCIAL HORAS'!#REF!,"AAAAAHv1xzg=")</f>
        <v>#REF!</v>
      </c>
      <c r="BF400" t="e">
        <f>AND('POTENCIAL HORAS'!#REF!,"AAAAAHv1xzk=")</f>
        <v>#REF!</v>
      </c>
      <c r="BG400" t="e">
        <f>AND('POTENCIAL HORAS'!#REF!,"AAAAAHv1xzo=")</f>
        <v>#REF!</v>
      </c>
      <c r="BH400" t="e">
        <f>AND('POTENCIAL HORAS'!#REF!,"AAAAAHv1xzs=")</f>
        <v>#REF!</v>
      </c>
      <c r="BI400" t="e">
        <f>AND('POTENCIAL HORAS'!#REF!,"AAAAAHv1xzw=")</f>
        <v>#REF!</v>
      </c>
      <c r="BJ400" t="e">
        <f>AND('POTENCIAL HORAS'!#REF!,"AAAAAHv1xz0=")</f>
        <v>#REF!</v>
      </c>
      <c r="BK400" t="e">
        <f>AND('POTENCIAL HORAS'!#REF!,"AAAAAHv1xz4=")</f>
        <v>#REF!</v>
      </c>
      <c r="BL400" t="e">
        <f>AND('POTENCIAL HORAS'!#REF!,"AAAAAHv1xz8=")</f>
        <v>#REF!</v>
      </c>
      <c r="BM400" t="e">
        <f>AND('POTENCIAL HORAS'!#REF!,"AAAAAHv1x0A=")</f>
        <v>#REF!</v>
      </c>
      <c r="BN400" t="e">
        <f>AND('POTENCIAL HORAS'!#REF!,"AAAAAHv1x0E=")</f>
        <v>#REF!</v>
      </c>
      <c r="BO400" t="e">
        <f>AND('POTENCIAL HORAS'!#REF!,"AAAAAHv1x0I=")</f>
        <v>#REF!</v>
      </c>
      <c r="BP400" t="e">
        <f>AND('POTENCIAL HORAS'!#REF!,"AAAAAHv1x0M=")</f>
        <v>#REF!</v>
      </c>
      <c r="BQ400" t="e">
        <f>AND('POTENCIAL HORAS'!#REF!,"AAAAAHv1x0Q=")</f>
        <v>#REF!</v>
      </c>
      <c r="BR400" t="e">
        <f>AND('POTENCIAL HORAS'!#REF!,"AAAAAHv1x0U=")</f>
        <v>#REF!</v>
      </c>
      <c r="BS400" t="e">
        <f>AND('POTENCIAL HORAS'!#REF!,"AAAAAHv1x0Y=")</f>
        <v>#REF!</v>
      </c>
      <c r="BT400" t="e">
        <f>AND('POTENCIAL HORAS'!#REF!,"AAAAAHv1x0c=")</f>
        <v>#REF!</v>
      </c>
      <c r="BU400" t="e">
        <f>AND('POTENCIAL HORAS'!#REF!,"AAAAAHv1x0g=")</f>
        <v>#REF!</v>
      </c>
      <c r="BV400" t="e">
        <f>AND('POTENCIAL HORAS'!#REF!,"AAAAAHv1x0k=")</f>
        <v>#REF!</v>
      </c>
      <c r="BW400" t="e">
        <f>AND('POTENCIAL HORAS'!#REF!,"AAAAAHv1x0o=")</f>
        <v>#REF!</v>
      </c>
      <c r="BX400" t="e">
        <f>AND('POTENCIAL HORAS'!#REF!,"AAAAAHv1x0s=")</f>
        <v>#REF!</v>
      </c>
      <c r="BY400" t="e">
        <f>AND('POTENCIAL HORAS'!#REF!,"AAAAAHv1x0w=")</f>
        <v>#REF!</v>
      </c>
      <c r="BZ400" t="e">
        <f>AND('POTENCIAL HORAS'!#REF!,"AAAAAHv1x00=")</f>
        <v>#REF!</v>
      </c>
      <c r="CA400" t="e">
        <f>IF('POTENCIAL HORAS'!#REF!,"AAAAAHv1x04=",0)</f>
        <v>#REF!</v>
      </c>
      <c r="CB400" t="e">
        <f>AND('POTENCIAL HORAS'!#REF!,"AAAAAHv1x08=")</f>
        <v>#REF!</v>
      </c>
      <c r="CC400" t="e">
        <f>AND('POTENCIAL HORAS'!#REF!,"AAAAAHv1x1A=")</f>
        <v>#REF!</v>
      </c>
      <c r="CD400" t="e">
        <f>AND('POTENCIAL HORAS'!#REF!,"AAAAAHv1x1E=")</f>
        <v>#REF!</v>
      </c>
      <c r="CE400" t="e">
        <f>AND('POTENCIAL HORAS'!#REF!,"AAAAAHv1x1I=")</f>
        <v>#REF!</v>
      </c>
      <c r="CF400" t="e">
        <f>AND('POTENCIAL HORAS'!#REF!,"AAAAAHv1x1M=")</f>
        <v>#REF!</v>
      </c>
      <c r="CG400" t="e">
        <f>AND('POTENCIAL HORAS'!#REF!,"AAAAAHv1x1Q=")</f>
        <v>#REF!</v>
      </c>
      <c r="CH400" t="e">
        <f>AND('POTENCIAL HORAS'!#REF!,"AAAAAHv1x1U=")</f>
        <v>#REF!</v>
      </c>
      <c r="CI400" t="e">
        <f>AND('POTENCIAL HORAS'!#REF!,"AAAAAHv1x1Y=")</f>
        <v>#REF!</v>
      </c>
      <c r="CJ400" t="e">
        <f>AND('POTENCIAL HORAS'!#REF!,"AAAAAHv1x1c=")</f>
        <v>#REF!</v>
      </c>
      <c r="CK400" t="e">
        <f>AND('POTENCIAL HORAS'!#REF!,"AAAAAHv1x1g=")</f>
        <v>#REF!</v>
      </c>
      <c r="CL400" t="e">
        <f>AND('POTENCIAL HORAS'!#REF!,"AAAAAHv1x1k=")</f>
        <v>#REF!</v>
      </c>
      <c r="CM400" t="e">
        <f>AND('POTENCIAL HORAS'!#REF!,"AAAAAHv1x1o=")</f>
        <v>#REF!</v>
      </c>
      <c r="CN400" t="e">
        <f>AND('POTENCIAL HORAS'!#REF!,"AAAAAHv1x1s=")</f>
        <v>#REF!</v>
      </c>
      <c r="CO400" t="e">
        <f>AND('POTENCIAL HORAS'!#REF!,"AAAAAHv1x1w=")</f>
        <v>#REF!</v>
      </c>
      <c r="CP400" t="e">
        <f>AND('POTENCIAL HORAS'!#REF!,"AAAAAHv1x10=")</f>
        <v>#REF!</v>
      </c>
      <c r="CQ400" t="e">
        <f>AND('POTENCIAL HORAS'!#REF!,"AAAAAHv1x14=")</f>
        <v>#REF!</v>
      </c>
      <c r="CR400" t="e">
        <f>AND('POTENCIAL HORAS'!#REF!,"AAAAAHv1x18=")</f>
        <v>#REF!</v>
      </c>
      <c r="CS400" t="e">
        <f>AND('POTENCIAL HORAS'!#REF!,"AAAAAHv1x2A=")</f>
        <v>#REF!</v>
      </c>
      <c r="CT400" t="e">
        <f>AND('POTENCIAL HORAS'!#REF!,"AAAAAHv1x2E=")</f>
        <v>#REF!</v>
      </c>
      <c r="CU400" t="e">
        <f>AND('POTENCIAL HORAS'!#REF!,"AAAAAHv1x2I=")</f>
        <v>#REF!</v>
      </c>
      <c r="CV400" t="e">
        <f>AND('POTENCIAL HORAS'!#REF!,"AAAAAHv1x2M=")</f>
        <v>#REF!</v>
      </c>
      <c r="CW400" t="e">
        <f>AND('POTENCIAL HORAS'!#REF!,"AAAAAHv1x2Q=")</f>
        <v>#REF!</v>
      </c>
      <c r="CX400" t="e">
        <f>AND('POTENCIAL HORAS'!#REF!,"AAAAAHv1x2U=")</f>
        <v>#REF!</v>
      </c>
      <c r="CY400" t="e">
        <f>AND('POTENCIAL HORAS'!#REF!,"AAAAAHv1x2Y=")</f>
        <v>#REF!</v>
      </c>
      <c r="CZ400" t="e">
        <f>AND('POTENCIAL HORAS'!#REF!,"AAAAAHv1x2c=")</f>
        <v>#REF!</v>
      </c>
      <c r="DA400" t="e">
        <f>AND('POTENCIAL HORAS'!#REF!,"AAAAAHv1x2g=")</f>
        <v>#REF!</v>
      </c>
      <c r="DB400" t="e">
        <f>AND('POTENCIAL HORAS'!#REF!,"AAAAAHv1x2k=")</f>
        <v>#REF!</v>
      </c>
      <c r="DC400" t="e">
        <f>AND('POTENCIAL HORAS'!#REF!,"AAAAAHv1x2o=")</f>
        <v>#REF!</v>
      </c>
      <c r="DD400" t="e">
        <f>AND('POTENCIAL HORAS'!#REF!,"AAAAAHv1x2s=")</f>
        <v>#REF!</v>
      </c>
      <c r="DE400" t="e">
        <f>AND('POTENCIAL HORAS'!#REF!,"AAAAAHv1x2w=")</f>
        <v>#REF!</v>
      </c>
      <c r="DF400" t="e">
        <f>AND('POTENCIAL HORAS'!#REF!,"AAAAAHv1x20=")</f>
        <v>#REF!</v>
      </c>
      <c r="DG400" t="e">
        <f>AND('POTENCIAL HORAS'!#REF!,"AAAAAHv1x24=")</f>
        <v>#REF!</v>
      </c>
      <c r="DH400" t="e">
        <f>AND('POTENCIAL HORAS'!#REF!,"AAAAAHv1x28=")</f>
        <v>#REF!</v>
      </c>
      <c r="DI400" t="e">
        <f>AND('POTENCIAL HORAS'!#REF!,"AAAAAHv1x3A=")</f>
        <v>#REF!</v>
      </c>
      <c r="DJ400" t="e">
        <f>AND('POTENCIAL HORAS'!#REF!,"AAAAAHv1x3E=")</f>
        <v>#REF!</v>
      </c>
      <c r="DK400" t="e">
        <f>AND('POTENCIAL HORAS'!#REF!,"AAAAAHv1x3I=")</f>
        <v>#REF!</v>
      </c>
      <c r="DL400" t="e">
        <f>AND('POTENCIAL HORAS'!#REF!,"AAAAAHv1x3M=")</f>
        <v>#REF!</v>
      </c>
      <c r="DM400" t="e">
        <f>AND('POTENCIAL HORAS'!#REF!,"AAAAAHv1x3Q=")</f>
        <v>#REF!</v>
      </c>
      <c r="DN400">
        <f>IF('POTENCIAL HORAS'!254:254,"AAAAAHv1x3U=",0)</f>
        <v>0</v>
      </c>
      <c r="DO400" t="e">
        <f>AND('POTENCIAL HORAS'!A254,"AAAAAHv1x3Y=")</f>
        <v>#VALUE!</v>
      </c>
      <c r="DP400" t="e">
        <f>AND('POTENCIAL HORAS'!B254,"AAAAAHv1x3c=")</f>
        <v>#VALUE!</v>
      </c>
      <c r="DQ400" t="e">
        <f>AND('POTENCIAL HORAS'!C254,"AAAAAHv1x3g=")</f>
        <v>#VALUE!</v>
      </c>
      <c r="DR400" t="e">
        <f>AND('POTENCIAL HORAS'!D254,"AAAAAHv1x3k=")</f>
        <v>#VALUE!</v>
      </c>
      <c r="DS400" t="e">
        <f>AND('POTENCIAL HORAS'!E254,"AAAAAHv1x3o=")</f>
        <v>#VALUE!</v>
      </c>
      <c r="DT400" t="e">
        <f>AND('POTENCIAL HORAS'!F254,"AAAAAHv1x3s=")</f>
        <v>#VALUE!</v>
      </c>
      <c r="DU400" t="e">
        <f>AND('POTENCIAL HORAS'!G254,"AAAAAHv1x3w=")</f>
        <v>#VALUE!</v>
      </c>
      <c r="DV400" t="e">
        <f>AND('POTENCIAL HORAS'!H254,"AAAAAHv1x30=")</f>
        <v>#VALUE!</v>
      </c>
      <c r="DW400" t="e">
        <f>AND('POTENCIAL HORAS'!I254,"AAAAAHv1x34=")</f>
        <v>#VALUE!</v>
      </c>
      <c r="DX400" t="e">
        <f>AND('POTENCIAL HORAS'!J254,"AAAAAHv1x38=")</f>
        <v>#VALUE!</v>
      </c>
      <c r="DY400" t="e">
        <f>AND('POTENCIAL HORAS'!K254,"AAAAAHv1x4A=")</f>
        <v>#VALUE!</v>
      </c>
      <c r="DZ400" t="e">
        <f>AND('POTENCIAL HORAS'!L254,"AAAAAHv1x4E=")</f>
        <v>#VALUE!</v>
      </c>
      <c r="EA400" t="e">
        <f>AND('POTENCIAL HORAS'!M254,"AAAAAHv1x4I=")</f>
        <v>#VALUE!</v>
      </c>
      <c r="EB400" t="e">
        <f>AND('POTENCIAL HORAS'!N254,"AAAAAHv1x4M=")</f>
        <v>#VALUE!</v>
      </c>
      <c r="EC400" t="e">
        <f>AND('POTENCIAL HORAS'!O254,"AAAAAHv1x4Q=")</f>
        <v>#VALUE!</v>
      </c>
      <c r="ED400" t="e">
        <f>AND('POTENCIAL HORAS'!P254,"AAAAAHv1x4U=")</f>
        <v>#VALUE!</v>
      </c>
      <c r="EE400" t="e">
        <f>AND('POTENCIAL HORAS'!#REF!,"AAAAAHv1x4Y=")</f>
        <v>#REF!</v>
      </c>
      <c r="EF400" t="e">
        <f>AND('POTENCIAL HORAS'!#REF!,"AAAAAHv1x4c=")</f>
        <v>#REF!</v>
      </c>
      <c r="EG400" t="e">
        <f>AND('POTENCIAL HORAS'!#REF!,"AAAAAHv1x4g=")</f>
        <v>#REF!</v>
      </c>
      <c r="EH400" t="e">
        <f>AND('POTENCIAL HORAS'!#REF!,"AAAAAHv1x4k=")</f>
        <v>#REF!</v>
      </c>
      <c r="EI400" t="e">
        <f>AND('POTENCIAL HORAS'!#REF!,"AAAAAHv1x4o=")</f>
        <v>#REF!</v>
      </c>
      <c r="EJ400" t="e">
        <f>AND('POTENCIAL HORAS'!#REF!,"AAAAAHv1x4s=")</f>
        <v>#REF!</v>
      </c>
      <c r="EK400" t="e">
        <f>AND('POTENCIAL HORAS'!#REF!,"AAAAAHv1x4w=")</f>
        <v>#REF!</v>
      </c>
      <c r="EL400" t="e">
        <f>AND('POTENCIAL HORAS'!#REF!,"AAAAAHv1x40=")</f>
        <v>#REF!</v>
      </c>
      <c r="EM400" t="e">
        <f>AND('POTENCIAL HORAS'!#REF!,"AAAAAHv1x44=")</f>
        <v>#REF!</v>
      </c>
      <c r="EN400" t="e">
        <f>AND('POTENCIAL HORAS'!#REF!,"AAAAAHv1x48=")</f>
        <v>#REF!</v>
      </c>
      <c r="EO400" t="e">
        <f>AND('POTENCIAL HORAS'!#REF!,"AAAAAHv1x5A=")</f>
        <v>#REF!</v>
      </c>
      <c r="EP400" t="e">
        <f>AND('POTENCIAL HORAS'!#REF!,"AAAAAHv1x5E=")</f>
        <v>#REF!</v>
      </c>
      <c r="EQ400" t="e">
        <f>AND('POTENCIAL HORAS'!#REF!,"AAAAAHv1x5I=")</f>
        <v>#REF!</v>
      </c>
      <c r="ER400" t="e">
        <f>AND('POTENCIAL HORAS'!#REF!,"AAAAAHv1x5M=")</f>
        <v>#REF!</v>
      </c>
      <c r="ES400" t="e">
        <f>AND('POTENCIAL HORAS'!#REF!,"AAAAAHv1x5Q=")</f>
        <v>#REF!</v>
      </c>
      <c r="ET400" t="e">
        <f>AND('POTENCIAL HORAS'!#REF!,"AAAAAHv1x5U=")</f>
        <v>#REF!</v>
      </c>
      <c r="EU400" t="e">
        <f>AND('POTENCIAL HORAS'!#REF!,"AAAAAHv1x5Y=")</f>
        <v>#REF!</v>
      </c>
      <c r="EV400" t="e">
        <f>AND('POTENCIAL HORAS'!#REF!,"AAAAAHv1x5c=")</f>
        <v>#REF!</v>
      </c>
      <c r="EW400" t="e">
        <f>AND('POTENCIAL HORAS'!#REF!,"AAAAAHv1x5g=")</f>
        <v>#REF!</v>
      </c>
      <c r="EX400" t="e">
        <f>AND('POTENCIAL HORAS'!#REF!,"AAAAAHv1x5k=")</f>
        <v>#REF!</v>
      </c>
      <c r="EY400" t="e">
        <f>AND('POTENCIAL HORAS'!Q254,"AAAAAHv1x5o=")</f>
        <v>#VALUE!</v>
      </c>
      <c r="EZ400" t="e">
        <f>AND('POTENCIAL HORAS'!R254,"AAAAAHv1x5s=")</f>
        <v>#VALUE!</v>
      </c>
      <c r="FA400" t="e">
        <f>IF('POTENCIAL HORAS'!#REF!,"AAAAAHv1x5w=",0)</f>
        <v>#REF!</v>
      </c>
      <c r="FB400" t="e">
        <f>AND('POTENCIAL HORAS'!#REF!,"AAAAAHv1x50=")</f>
        <v>#REF!</v>
      </c>
      <c r="FC400" t="e">
        <f>AND('POTENCIAL HORAS'!#REF!,"AAAAAHv1x54=")</f>
        <v>#REF!</v>
      </c>
      <c r="FD400" t="e">
        <f>AND('POTENCIAL HORAS'!#REF!,"AAAAAHv1x58=")</f>
        <v>#REF!</v>
      </c>
      <c r="FE400" t="e">
        <f>AND('POTENCIAL HORAS'!#REF!,"AAAAAHv1x6A=")</f>
        <v>#REF!</v>
      </c>
      <c r="FF400" t="e">
        <f>AND('POTENCIAL HORAS'!#REF!,"AAAAAHv1x6E=")</f>
        <v>#REF!</v>
      </c>
      <c r="FG400" t="e">
        <f>AND('POTENCIAL HORAS'!#REF!,"AAAAAHv1x6I=")</f>
        <v>#REF!</v>
      </c>
      <c r="FH400" t="e">
        <f>AND('POTENCIAL HORAS'!#REF!,"AAAAAHv1x6M=")</f>
        <v>#REF!</v>
      </c>
      <c r="FI400" t="e">
        <f>AND('POTENCIAL HORAS'!#REF!,"AAAAAHv1x6Q=")</f>
        <v>#REF!</v>
      </c>
      <c r="FJ400" t="e">
        <f>AND('POTENCIAL HORAS'!#REF!,"AAAAAHv1x6U=")</f>
        <v>#REF!</v>
      </c>
      <c r="FK400" t="e">
        <f>AND('POTENCIAL HORAS'!#REF!,"AAAAAHv1x6Y=")</f>
        <v>#REF!</v>
      </c>
      <c r="FL400" t="e">
        <f>AND('POTENCIAL HORAS'!#REF!,"AAAAAHv1x6c=")</f>
        <v>#REF!</v>
      </c>
      <c r="FM400" t="e">
        <f>AND('POTENCIAL HORAS'!#REF!,"AAAAAHv1x6g=")</f>
        <v>#REF!</v>
      </c>
      <c r="FN400" t="e">
        <f>AND('POTENCIAL HORAS'!#REF!,"AAAAAHv1x6k=")</f>
        <v>#REF!</v>
      </c>
      <c r="FO400" t="e">
        <f>AND('POTENCIAL HORAS'!#REF!,"AAAAAHv1x6o=")</f>
        <v>#REF!</v>
      </c>
      <c r="FP400" t="e">
        <f>AND('POTENCIAL HORAS'!#REF!,"AAAAAHv1x6s=")</f>
        <v>#REF!</v>
      </c>
      <c r="FQ400" t="e">
        <f>AND('POTENCIAL HORAS'!#REF!,"AAAAAHv1x6w=")</f>
        <v>#REF!</v>
      </c>
      <c r="FR400" t="e">
        <f>AND('POTENCIAL HORAS'!#REF!,"AAAAAHv1x60=")</f>
        <v>#REF!</v>
      </c>
      <c r="FS400" t="e">
        <f>AND('POTENCIAL HORAS'!#REF!,"AAAAAHv1x64=")</f>
        <v>#REF!</v>
      </c>
      <c r="FT400" t="e">
        <f>AND('POTENCIAL HORAS'!#REF!,"AAAAAHv1x68=")</f>
        <v>#REF!</v>
      </c>
      <c r="FU400" t="e">
        <f>AND('POTENCIAL HORAS'!#REF!,"AAAAAHv1x7A=")</f>
        <v>#REF!</v>
      </c>
      <c r="FV400" t="e">
        <f>AND('POTENCIAL HORAS'!#REF!,"AAAAAHv1x7E=")</f>
        <v>#REF!</v>
      </c>
      <c r="FW400" t="e">
        <f>AND('POTENCIAL HORAS'!#REF!,"AAAAAHv1x7I=")</f>
        <v>#REF!</v>
      </c>
      <c r="FX400" t="e">
        <f>AND('POTENCIAL HORAS'!#REF!,"AAAAAHv1x7M=")</f>
        <v>#REF!</v>
      </c>
      <c r="FY400" t="e">
        <f>AND('POTENCIAL HORAS'!#REF!,"AAAAAHv1x7Q=")</f>
        <v>#REF!</v>
      </c>
      <c r="FZ400" t="e">
        <f>AND('POTENCIAL HORAS'!#REF!,"AAAAAHv1x7U=")</f>
        <v>#REF!</v>
      </c>
      <c r="GA400" t="e">
        <f>AND('POTENCIAL HORAS'!#REF!,"AAAAAHv1x7Y=")</f>
        <v>#REF!</v>
      </c>
      <c r="GB400" t="e">
        <f>AND('POTENCIAL HORAS'!#REF!,"AAAAAHv1x7c=")</f>
        <v>#REF!</v>
      </c>
      <c r="GC400" t="e">
        <f>AND('POTENCIAL HORAS'!#REF!,"AAAAAHv1x7g=")</f>
        <v>#REF!</v>
      </c>
      <c r="GD400" t="e">
        <f>AND('POTENCIAL HORAS'!#REF!,"AAAAAHv1x7k=")</f>
        <v>#REF!</v>
      </c>
      <c r="GE400" t="e">
        <f>AND('POTENCIAL HORAS'!#REF!,"AAAAAHv1x7o=")</f>
        <v>#REF!</v>
      </c>
      <c r="GF400" t="e">
        <f>AND('POTENCIAL HORAS'!#REF!,"AAAAAHv1x7s=")</f>
        <v>#REF!</v>
      </c>
      <c r="GG400" t="e">
        <f>AND('POTENCIAL HORAS'!#REF!,"AAAAAHv1x7w=")</f>
        <v>#REF!</v>
      </c>
      <c r="GH400" t="e">
        <f>AND('POTENCIAL HORAS'!#REF!,"AAAAAHv1x70=")</f>
        <v>#REF!</v>
      </c>
      <c r="GI400" t="e">
        <f>AND('POTENCIAL HORAS'!#REF!,"AAAAAHv1x74=")</f>
        <v>#REF!</v>
      </c>
      <c r="GJ400" t="e">
        <f>AND('POTENCIAL HORAS'!#REF!,"AAAAAHv1x78=")</f>
        <v>#REF!</v>
      </c>
      <c r="GK400" t="e">
        <f>AND('POTENCIAL HORAS'!#REF!,"AAAAAHv1x8A=")</f>
        <v>#REF!</v>
      </c>
      <c r="GL400" t="e">
        <f>AND('POTENCIAL HORAS'!#REF!,"AAAAAHv1x8E=")</f>
        <v>#REF!</v>
      </c>
      <c r="GM400" t="e">
        <f>AND('POTENCIAL HORAS'!#REF!,"AAAAAHv1x8I=")</f>
        <v>#REF!</v>
      </c>
      <c r="GN400" t="e">
        <f>IF('POTENCIAL HORAS'!#REF!,"AAAAAHv1x8M=",0)</f>
        <v>#REF!</v>
      </c>
      <c r="GO400" t="e">
        <f>AND('POTENCIAL HORAS'!#REF!,"AAAAAHv1x8Q=")</f>
        <v>#REF!</v>
      </c>
      <c r="GP400" t="e">
        <f>AND('POTENCIAL HORAS'!#REF!,"AAAAAHv1x8U=")</f>
        <v>#REF!</v>
      </c>
      <c r="GQ400" t="e">
        <f>AND('POTENCIAL HORAS'!#REF!,"AAAAAHv1x8Y=")</f>
        <v>#REF!</v>
      </c>
      <c r="GR400" t="e">
        <f>AND('POTENCIAL HORAS'!#REF!,"AAAAAHv1x8c=")</f>
        <v>#REF!</v>
      </c>
      <c r="GS400" t="e">
        <f>AND('POTENCIAL HORAS'!#REF!,"AAAAAHv1x8g=")</f>
        <v>#REF!</v>
      </c>
      <c r="GT400" t="e">
        <f>AND('POTENCIAL HORAS'!#REF!,"AAAAAHv1x8k=")</f>
        <v>#REF!</v>
      </c>
      <c r="GU400" t="e">
        <f>AND('POTENCIAL HORAS'!#REF!,"AAAAAHv1x8o=")</f>
        <v>#REF!</v>
      </c>
      <c r="GV400" t="e">
        <f>AND('POTENCIAL HORAS'!#REF!,"AAAAAHv1x8s=")</f>
        <v>#REF!</v>
      </c>
      <c r="GW400" t="e">
        <f>AND('POTENCIAL HORAS'!#REF!,"AAAAAHv1x8w=")</f>
        <v>#REF!</v>
      </c>
      <c r="GX400" t="e">
        <f>AND('POTENCIAL HORAS'!#REF!,"AAAAAHv1x80=")</f>
        <v>#REF!</v>
      </c>
      <c r="GY400" t="e">
        <f>AND('POTENCIAL HORAS'!#REF!,"AAAAAHv1x84=")</f>
        <v>#REF!</v>
      </c>
      <c r="GZ400" t="e">
        <f>AND('POTENCIAL HORAS'!#REF!,"AAAAAHv1x88=")</f>
        <v>#REF!</v>
      </c>
      <c r="HA400" t="e">
        <f>AND('POTENCIAL HORAS'!#REF!,"AAAAAHv1x9A=")</f>
        <v>#REF!</v>
      </c>
      <c r="HB400" t="e">
        <f>AND('POTENCIAL HORAS'!#REF!,"AAAAAHv1x9E=")</f>
        <v>#REF!</v>
      </c>
      <c r="HC400" t="e">
        <f>AND('POTENCIAL HORAS'!#REF!,"AAAAAHv1x9I=")</f>
        <v>#REF!</v>
      </c>
      <c r="HD400" t="e">
        <f>AND('POTENCIAL HORAS'!#REF!,"AAAAAHv1x9M=")</f>
        <v>#REF!</v>
      </c>
      <c r="HE400" t="e">
        <f>AND('POTENCIAL HORAS'!#REF!,"AAAAAHv1x9Q=")</f>
        <v>#REF!</v>
      </c>
      <c r="HF400" t="e">
        <f>AND('POTENCIAL HORAS'!#REF!,"AAAAAHv1x9U=")</f>
        <v>#REF!</v>
      </c>
      <c r="HG400" t="e">
        <f>AND('POTENCIAL HORAS'!#REF!,"AAAAAHv1x9Y=")</f>
        <v>#REF!</v>
      </c>
      <c r="HH400" t="e">
        <f>AND('POTENCIAL HORAS'!#REF!,"AAAAAHv1x9c=")</f>
        <v>#REF!</v>
      </c>
      <c r="HI400" t="e">
        <f>AND('POTENCIAL HORAS'!#REF!,"AAAAAHv1x9g=")</f>
        <v>#REF!</v>
      </c>
      <c r="HJ400" t="e">
        <f>AND('POTENCIAL HORAS'!#REF!,"AAAAAHv1x9k=")</f>
        <v>#REF!</v>
      </c>
      <c r="HK400" t="e">
        <f>AND('POTENCIAL HORAS'!#REF!,"AAAAAHv1x9o=")</f>
        <v>#REF!</v>
      </c>
      <c r="HL400" t="e">
        <f>AND('POTENCIAL HORAS'!#REF!,"AAAAAHv1x9s=")</f>
        <v>#REF!</v>
      </c>
      <c r="HM400" t="e">
        <f>AND('POTENCIAL HORAS'!#REF!,"AAAAAHv1x9w=")</f>
        <v>#REF!</v>
      </c>
      <c r="HN400" t="e">
        <f>AND('POTENCIAL HORAS'!#REF!,"AAAAAHv1x90=")</f>
        <v>#REF!</v>
      </c>
      <c r="HO400" t="e">
        <f>AND('POTENCIAL HORAS'!#REF!,"AAAAAHv1x94=")</f>
        <v>#REF!</v>
      </c>
      <c r="HP400" t="e">
        <f>AND('POTENCIAL HORAS'!#REF!,"AAAAAHv1x98=")</f>
        <v>#REF!</v>
      </c>
      <c r="HQ400" t="e">
        <f>AND('POTENCIAL HORAS'!#REF!,"AAAAAHv1x+A=")</f>
        <v>#REF!</v>
      </c>
      <c r="HR400" t="e">
        <f>AND('POTENCIAL HORAS'!#REF!,"AAAAAHv1x+E=")</f>
        <v>#REF!</v>
      </c>
      <c r="HS400" t="e">
        <f>AND('POTENCIAL HORAS'!#REF!,"AAAAAHv1x+I=")</f>
        <v>#REF!</v>
      </c>
      <c r="HT400" t="e">
        <f>AND('POTENCIAL HORAS'!#REF!,"AAAAAHv1x+M=")</f>
        <v>#REF!</v>
      </c>
      <c r="HU400" t="e">
        <f>AND('POTENCIAL HORAS'!#REF!,"AAAAAHv1x+Q=")</f>
        <v>#REF!</v>
      </c>
      <c r="HV400" t="e">
        <f>AND('POTENCIAL HORAS'!#REF!,"AAAAAHv1x+U=")</f>
        <v>#REF!</v>
      </c>
      <c r="HW400" t="e">
        <f>AND('POTENCIAL HORAS'!#REF!,"AAAAAHv1x+Y=")</f>
        <v>#REF!</v>
      </c>
      <c r="HX400" t="e">
        <f>AND('POTENCIAL HORAS'!#REF!,"AAAAAHv1x+c=")</f>
        <v>#REF!</v>
      </c>
      <c r="HY400" t="e">
        <f>AND('POTENCIAL HORAS'!#REF!,"AAAAAHv1x+g=")</f>
        <v>#REF!</v>
      </c>
      <c r="HZ400" t="e">
        <f>AND('POTENCIAL HORAS'!#REF!,"AAAAAHv1x+k=")</f>
        <v>#REF!</v>
      </c>
      <c r="IA400">
        <f>IF('POTENCIAL HORAS'!301:301,"AAAAAHv1x+o=",0)</f>
        <v>0</v>
      </c>
      <c r="IB400" t="e">
        <f>AND('POTENCIAL HORAS'!A301,"AAAAAHv1x+s=")</f>
        <v>#VALUE!</v>
      </c>
      <c r="IC400" t="e">
        <f>AND('POTENCIAL HORAS'!B301,"AAAAAHv1x+w=")</f>
        <v>#VALUE!</v>
      </c>
      <c r="ID400" t="e">
        <f>AND('POTENCIAL HORAS'!C301,"AAAAAHv1x+0=")</f>
        <v>#VALUE!</v>
      </c>
      <c r="IE400" t="e">
        <f>AND('POTENCIAL HORAS'!D301,"AAAAAHv1x+4=")</f>
        <v>#VALUE!</v>
      </c>
      <c r="IF400" t="e">
        <f>AND('POTENCIAL HORAS'!E301,"AAAAAHv1x+8=")</f>
        <v>#VALUE!</v>
      </c>
      <c r="IG400" t="e">
        <f>AND('POTENCIAL HORAS'!F301,"AAAAAHv1x/A=")</f>
        <v>#VALUE!</v>
      </c>
      <c r="IH400" t="e">
        <f>AND('POTENCIAL HORAS'!G301,"AAAAAHv1x/E=")</f>
        <v>#VALUE!</v>
      </c>
      <c r="II400" t="e">
        <f>AND('POTENCIAL HORAS'!H301,"AAAAAHv1x/I=")</f>
        <v>#VALUE!</v>
      </c>
      <c r="IJ400" t="e">
        <f>AND('POTENCIAL HORAS'!I301,"AAAAAHv1x/M=")</f>
        <v>#VALUE!</v>
      </c>
      <c r="IK400" t="e">
        <f>AND('POTENCIAL HORAS'!J301,"AAAAAHv1x/Q=")</f>
        <v>#VALUE!</v>
      </c>
      <c r="IL400" t="e">
        <f>AND('POTENCIAL HORAS'!K301,"AAAAAHv1x/U=")</f>
        <v>#VALUE!</v>
      </c>
      <c r="IM400" t="e">
        <f>AND('POTENCIAL HORAS'!L301,"AAAAAHv1x/Y=")</f>
        <v>#VALUE!</v>
      </c>
      <c r="IN400" t="e">
        <f>AND('POTENCIAL HORAS'!M301,"AAAAAHv1x/c=")</f>
        <v>#VALUE!</v>
      </c>
      <c r="IO400" t="e">
        <f>AND('POTENCIAL HORAS'!N301,"AAAAAHv1x/g=")</f>
        <v>#VALUE!</v>
      </c>
      <c r="IP400" t="e">
        <f>AND('POTENCIAL HORAS'!O301,"AAAAAHv1x/k=")</f>
        <v>#VALUE!</v>
      </c>
      <c r="IQ400" t="e">
        <f>AND('POTENCIAL HORAS'!P301,"AAAAAHv1x/o=")</f>
        <v>#VALUE!</v>
      </c>
      <c r="IR400" t="e">
        <f>AND('POTENCIAL HORAS'!#REF!,"AAAAAHv1x/s=")</f>
        <v>#REF!</v>
      </c>
      <c r="IS400" t="e">
        <f>AND('POTENCIAL HORAS'!#REF!,"AAAAAHv1x/w=")</f>
        <v>#REF!</v>
      </c>
      <c r="IT400" t="e">
        <f>AND('POTENCIAL HORAS'!#REF!,"AAAAAHv1x/0=")</f>
        <v>#REF!</v>
      </c>
      <c r="IU400" t="e">
        <f>AND('POTENCIAL HORAS'!#REF!,"AAAAAHv1x/4=")</f>
        <v>#REF!</v>
      </c>
      <c r="IV400" t="e">
        <f>AND('POTENCIAL HORAS'!#REF!,"AAAAAHv1x/8=")</f>
        <v>#REF!</v>
      </c>
    </row>
    <row r="401" spans="1:256" x14ac:dyDescent="0.2">
      <c r="A401" t="e">
        <f>AND('POTENCIAL HORAS'!#REF!,"AAAAAH+8fQA=")</f>
        <v>#REF!</v>
      </c>
      <c r="B401" t="e">
        <f>AND('POTENCIAL HORAS'!#REF!,"AAAAAH+8fQE=")</f>
        <v>#REF!</v>
      </c>
      <c r="C401" t="e">
        <f>AND('POTENCIAL HORAS'!#REF!,"AAAAAH+8fQI=")</f>
        <v>#REF!</v>
      </c>
      <c r="D401" t="e">
        <f>AND('POTENCIAL HORAS'!#REF!,"AAAAAH+8fQM=")</f>
        <v>#REF!</v>
      </c>
      <c r="E401" t="e">
        <f>AND('POTENCIAL HORAS'!#REF!,"AAAAAH+8fQQ=")</f>
        <v>#REF!</v>
      </c>
      <c r="F401" t="e">
        <f>AND('POTENCIAL HORAS'!#REF!,"AAAAAH+8fQU=")</f>
        <v>#REF!</v>
      </c>
      <c r="G401" t="e">
        <f>AND('POTENCIAL HORAS'!#REF!,"AAAAAH+8fQY=")</f>
        <v>#REF!</v>
      </c>
      <c r="H401" t="e">
        <f>AND('POTENCIAL HORAS'!#REF!,"AAAAAH+8fQc=")</f>
        <v>#REF!</v>
      </c>
      <c r="I401" t="e">
        <f>AND('POTENCIAL HORAS'!#REF!,"AAAAAH+8fQg=")</f>
        <v>#REF!</v>
      </c>
      <c r="J401" t="e">
        <f>AND('POTENCIAL HORAS'!#REF!,"AAAAAH+8fQk=")</f>
        <v>#REF!</v>
      </c>
      <c r="K401" t="e">
        <f>AND('POTENCIAL HORAS'!#REF!,"AAAAAH+8fQo=")</f>
        <v>#REF!</v>
      </c>
      <c r="L401" t="e">
        <f>AND('POTENCIAL HORAS'!#REF!,"AAAAAH+8fQs=")</f>
        <v>#REF!</v>
      </c>
      <c r="M401" t="e">
        <f>AND('POTENCIAL HORAS'!#REF!,"AAAAAH+8fQw=")</f>
        <v>#REF!</v>
      </c>
      <c r="N401" t="e">
        <f>AND('POTENCIAL HORAS'!#REF!,"AAAAAH+8fQ0=")</f>
        <v>#REF!</v>
      </c>
      <c r="O401" t="e">
        <f>AND('POTENCIAL HORAS'!#REF!,"AAAAAH+8fQ4=")</f>
        <v>#REF!</v>
      </c>
      <c r="P401" t="e">
        <f>AND('POTENCIAL HORAS'!Q301,"AAAAAH+8fQ8=")</f>
        <v>#VALUE!</v>
      </c>
      <c r="Q401" t="e">
        <f>AND('POTENCIAL HORAS'!R301,"AAAAAH+8fRA=")</f>
        <v>#VALUE!</v>
      </c>
      <c r="R401">
        <f>IF('POTENCIAL HORAS'!307:307,"AAAAAH+8fRE=",0)</f>
        <v>0</v>
      </c>
      <c r="S401" t="e">
        <f>AND('POTENCIAL HORAS'!A307,"AAAAAH+8fRI=")</f>
        <v>#VALUE!</v>
      </c>
      <c r="T401" t="e">
        <f>AND('POTENCIAL HORAS'!B307,"AAAAAH+8fRM=")</f>
        <v>#VALUE!</v>
      </c>
      <c r="U401" t="e">
        <f>AND('POTENCIAL HORAS'!C307,"AAAAAH+8fRQ=")</f>
        <v>#VALUE!</v>
      </c>
      <c r="V401" t="e">
        <f>AND('POTENCIAL HORAS'!D307,"AAAAAH+8fRU=")</f>
        <v>#VALUE!</v>
      </c>
      <c r="W401" t="e">
        <f>AND('POTENCIAL HORAS'!E307,"AAAAAH+8fRY=")</f>
        <v>#VALUE!</v>
      </c>
      <c r="X401" t="e">
        <f>AND('POTENCIAL HORAS'!F307,"AAAAAH+8fRc=")</f>
        <v>#VALUE!</v>
      </c>
      <c r="Y401" t="e">
        <f>AND('POTENCIAL HORAS'!G307,"AAAAAH+8fRg=")</f>
        <v>#VALUE!</v>
      </c>
      <c r="Z401" t="e">
        <f>AND('POTENCIAL HORAS'!H307,"AAAAAH+8fRk=")</f>
        <v>#VALUE!</v>
      </c>
      <c r="AA401" t="e">
        <f>AND('POTENCIAL HORAS'!I307,"AAAAAH+8fRo=")</f>
        <v>#VALUE!</v>
      </c>
      <c r="AB401" t="e">
        <f>AND('POTENCIAL HORAS'!J307,"AAAAAH+8fRs=")</f>
        <v>#VALUE!</v>
      </c>
      <c r="AC401" t="e">
        <f>AND('POTENCIAL HORAS'!K307,"AAAAAH+8fRw=")</f>
        <v>#VALUE!</v>
      </c>
      <c r="AD401" t="e">
        <f>AND('POTENCIAL HORAS'!L307,"AAAAAH+8fR0=")</f>
        <v>#VALUE!</v>
      </c>
      <c r="AE401" t="e">
        <f>AND('POTENCIAL HORAS'!M307,"AAAAAH+8fR4=")</f>
        <v>#VALUE!</v>
      </c>
      <c r="AF401" t="e">
        <f>AND('POTENCIAL HORAS'!N307,"AAAAAH+8fR8=")</f>
        <v>#VALUE!</v>
      </c>
      <c r="AG401" t="e">
        <f>AND('POTENCIAL HORAS'!O307,"AAAAAH+8fSA=")</f>
        <v>#VALUE!</v>
      </c>
      <c r="AH401" t="e">
        <f>AND('POTENCIAL HORAS'!P307,"AAAAAH+8fSE=")</f>
        <v>#VALUE!</v>
      </c>
      <c r="AI401" t="e">
        <f>AND('POTENCIAL HORAS'!#REF!,"AAAAAH+8fSI=")</f>
        <v>#REF!</v>
      </c>
      <c r="AJ401" t="e">
        <f>AND('POTENCIAL HORAS'!#REF!,"AAAAAH+8fSM=")</f>
        <v>#REF!</v>
      </c>
      <c r="AK401" t="e">
        <f>AND('POTENCIAL HORAS'!#REF!,"AAAAAH+8fSQ=")</f>
        <v>#REF!</v>
      </c>
      <c r="AL401" t="e">
        <f>AND('POTENCIAL HORAS'!#REF!,"AAAAAH+8fSU=")</f>
        <v>#REF!</v>
      </c>
      <c r="AM401" t="e">
        <f>AND('POTENCIAL HORAS'!#REF!,"AAAAAH+8fSY=")</f>
        <v>#REF!</v>
      </c>
      <c r="AN401" t="e">
        <f>AND('POTENCIAL HORAS'!#REF!,"AAAAAH+8fSc=")</f>
        <v>#REF!</v>
      </c>
      <c r="AO401" t="e">
        <f>AND('POTENCIAL HORAS'!#REF!,"AAAAAH+8fSg=")</f>
        <v>#REF!</v>
      </c>
      <c r="AP401" t="e">
        <f>AND('POTENCIAL HORAS'!#REF!,"AAAAAH+8fSk=")</f>
        <v>#REF!</v>
      </c>
      <c r="AQ401" t="e">
        <f>AND('POTENCIAL HORAS'!#REF!,"AAAAAH+8fSo=")</f>
        <v>#REF!</v>
      </c>
      <c r="AR401" t="e">
        <f>AND('POTENCIAL HORAS'!#REF!,"AAAAAH+8fSs=")</f>
        <v>#REF!</v>
      </c>
      <c r="AS401" t="e">
        <f>AND('POTENCIAL HORAS'!#REF!,"AAAAAH+8fSw=")</f>
        <v>#REF!</v>
      </c>
      <c r="AT401" t="e">
        <f>AND('POTENCIAL HORAS'!#REF!,"AAAAAH+8fS0=")</f>
        <v>#REF!</v>
      </c>
      <c r="AU401" t="e">
        <f>AND('POTENCIAL HORAS'!#REF!,"AAAAAH+8fS4=")</f>
        <v>#REF!</v>
      </c>
      <c r="AV401" t="e">
        <f>AND('POTENCIAL HORAS'!#REF!,"AAAAAH+8fS8=")</f>
        <v>#REF!</v>
      </c>
      <c r="AW401" t="e">
        <f>AND('POTENCIAL HORAS'!#REF!,"AAAAAH+8fTA=")</f>
        <v>#REF!</v>
      </c>
      <c r="AX401" t="e">
        <f>AND('POTENCIAL HORAS'!#REF!,"AAAAAH+8fTE=")</f>
        <v>#REF!</v>
      </c>
      <c r="AY401" t="e">
        <f>AND('POTENCIAL HORAS'!#REF!,"AAAAAH+8fTI=")</f>
        <v>#REF!</v>
      </c>
      <c r="AZ401" t="e">
        <f>AND('POTENCIAL HORAS'!#REF!,"AAAAAH+8fTM=")</f>
        <v>#REF!</v>
      </c>
      <c r="BA401" t="e">
        <f>AND('POTENCIAL HORAS'!#REF!,"AAAAAH+8fTQ=")</f>
        <v>#REF!</v>
      </c>
      <c r="BB401" t="e">
        <f>AND('POTENCIAL HORAS'!#REF!,"AAAAAH+8fTU=")</f>
        <v>#REF!</v>
      </c>
      <c r="BC401" t="e">
        <f>AND('POTENCIAL HORAS'!Q307,"AAAAAH+8fTY=")</f>
        <v>#VALUE!</v>
      </c>
      <c r="BD401" t="e">
        <f>AND('POTENCIAL HORAS'!R307,"AAAAAH+8fTc=")</f>
        <v>#VALUE!</v>
      </c>
      <c r="BE401" t="e">
        <f>IF('POTENCIAL HORAS'!#REF!,"AAAAAH+8fTg=",0)</f>
        <v>#REF!</v>
      </c>
      <c r="BF401" t="e">
        <f>AND('POTENCIAL HORAS'!#REF!,"AAAAAH+8fTk=")</f>
        <v>#REF!</v>
      </c>
      <c r="BG401" t="e">
        <f>AND('POTENCIAL HORAS'!#REF!,"AAAAAH+8fTo=")</f>
        <v>#REF!</v>
      </c>
      <c r="BH401" t="e">
        <f>AND('POTENCIAL HORAS'!#REF!,"AAAAAH+8fTs=")</f>
        <v>#REF!</v>
      </c>
      <c r="BI401" t="e">
        <f>AND('POTENCIAL HORAS'!#REF!,"AAAAAH+8fTw=")</f>
        <v>#REF!</v>
      </c>
      <c r="BJ401" t="e">
        <f>AND('POTENCIAL HORAS'!#REF!,"AAAAAH+8fT0=")</f>
        <v>#REF!</v>
      </c>
      <c r="BK401" t="e">
        <f>AND('POTENCIAL HORAS'!#REF!,"AAAAAH+8fT4=")</f>
        <v>#REF!</v>
      </c>
      <c r="BL401" t="e">
        <f>AND('POTENCIAL HORAS'!#REF!,"AAAAAH+8fT8=")</f>
        <v>#REF!</v>
      </c>
      <c r="BM401" t="e">
        <f>AND('POTENCIAL HORAS'!#REF!,"AAAAAH+8fUA=")</f>
        <v>#REF!</v>
      </c>
      <c r="BN401" t="e">
        <f>AND('POTENCIAL HORAS'!#REF!,"AAAAAH+8fUE=")</f>
        <v>#REF!</v>
      </c>
      <c r="BO401" t="e">
        <f>AND('POTENCIAL HORAS'!#REF!,"AAAAAH+8fUI=")</f>
        <v>#REF!</v>
      </c>
      <c r="BP401" t="e">
        <f>AND('POTENCIAL HORAS'!#REF!,"AAAAAH+8fUM=")</f>
        <v>#REF!</v>
      </c>
      <c r="BQ401" t="e">
        <f>AND('POTENCIAL HORAS'!#REF!,"AAAAAH+8fUQ=")</f>
        <v>#REF!</v>
      </c>
      <c r="BR401" t="e">
        <f>AND('POTENCIAL HORAS'!#REF!,"AAAAAH+8fUU=")</f>
        <v>#REF!</v>
      </c>
      <c r="BS401" t="e">
        <f>AND('POTENCIAL HORAS'!#REF!,"AAAAAH+8fUY=")</f>
        <v>#REF!</v>
      </c>
      <c r="BT401" t="e">
        <f>AND('POTENCIAL HORAS'!#REF!,"AAAAAH+8fUc=")</f>
        <v>#REF!</v>
      </c>
      <c r="BU401" t="e">
        <f>AND('POTENCIAL HORAS'!#REF!,"AAAAAH+8fUg=")</f>
        <v>#REF!</v>
      </c>
      <c r="BV401" t="e">
        <f>AND('POTENCIAL HORAS'!#REF!,"AAAAAH+8fUk=")</f>
        <v>#REF!</v>
      </c>
      <c r="BW401" t="e">
        <f>AND('POTENCIAL HORAS'!#REF!,"AAAAAH+8fUo=")</f>
        <v>#REF!</v>
      </c>
      <c r="BX401" t="e">
        <f>AND('POTENCIAL HORAS'!#REF!,"AAAAAH+8fUs=")</f>
        <v>#REF!</v>
      </c>
      <c r="BY401" t="e">
        <f>AND('POTENCIAL HORAS'!#REF!,"AAAAAH+8fUw=")</f>
        <v>#REF!</v>
      </c>
      <c r="BZ401" t="e">
        <f>AND('POTENCIAL HORAS'!#REF!,"AAAAAH+8fU0=")</f>
        <v>#REF!</v>
      </c>
      <c r="CA401" t="e">
        <f>AND('POTENCIAL HORAS'!#REF!,"AAAAAH+8fU4=")</f>
        <v>#REF!</v>
      </c>
      <c r="CB401" t="e">
        <f>AND('POTENCIAL HORAS'!#REF!,"AAAAAH+8fU8=")</f>
        <v>#REF!</v>
      </c>
      <c r="CC401" t="e">
        <f>AND('POTENCIAL HORAS'!#REF!,"AAAAAH+8fVA=")</f>
        <v>#REF!</v>
      </c>
      <c r="CD401" t="e">
        <f>AND('POTENCIAL HORAS'!#REF!,"AAAAAH+8fVE=")</f>
        <v>#REF!</v>
      </c>
      <c r="CE401" t="e">
        <f>AND('POTENCIAL HORAS'!#REF!,"AAAAAH+8fVI=")</f>
        <v>#REF!</v>
      </c>
      <c r="CF401" t="e">
        <f>AND('POTENCIAL HORAS'!#REF!,"AAAAAH+8fVM=")</f>
        <v>#REF!</v>
      </c>
      <c r="CG401" t="e">
        <f>AND('POTENCIAL HORAS'!#REF!,"AAAAAH+8fVQ=")</f>
        <v>#REF!</v>
      </c>
      <c r="CH401" t="e">
        <f>AND('POTENCIAL HORAS'!#REF!,"AAAAAH+8fVU=")</f>
        <v>#REF!</v>
      </c>
      <c r="CI401" t="e">
        <f>AND('POTENCIAL HORAS'!#REF!,"AAAAAH+8fVY=")</f>
        <v>#REF!</v>
      </c>
      <c r="CJ401" t="e">
        <f>AND('POTENCIAL HORAS'!#REF!,"AAAAAH+8fVc=")</f>
        <v>#REF!</v>
      </c>
      <c r="CK401" t="e">
        <f>AND('POTENCIAL HORAS'!#REF!,"AAAAAH+8fVg=")</f>
        <v>#REF!</v>
      </c>
      <c r="CL401" t="e">
        <f>AND('POTENCIAL HORAS'!#REF!,"AAAAAH+8fVk=")</f>
        <v>#REF!</v>
      </c>
      <c r="CM401" t="e">
        <f>AND('POTENCIAL HORAS'!#REF!,"AAAAAH+8fVo=")</f>
        <v>#REF!</v>
      </c>
      <c r="CN401" t="e">
        <f>AND('POTENCIAL HORAS'!#REF!,"AAAAAH+8fVs=")</f>
        <v>#REF!</v>
      </c>
      <c r="CO401" t="e">
        <f>AND('POTENCIAL HORAS'!#REF!,"AAAAAH+8fVw=")</f>
        <v>#REF!</v>
      </c>
      <c r="CP401" t="e">
        <f>AND('POTENCIAL HORAS'!#REF!,"AAAAAH+8fV0=")</f>
        <v>#REF!</v>
      </c>
      <c r="CQ401" t="e">
        <f>AND('POTENCIAL HORAS'!#REF!,"AAAAAH+8fV4=")</f>
        <v>#REF!</v>
      </c>
      <c r="CR401" t="e">
        <f>IF('PROG FORMACIÓN TITULADA'!#REF!,"AAAAAH+8fV8=",0)</f>
        <v>#REF!</v>
      </c>
      <c r="CS401" t="e">
        <f>AND('PROG FORMACIÓN TITULADA'!#REF!,"AAAAAH+8fWA=")</f>
        <v>#REF!</v>
      </c>
      <c r="CT401" t="e">
        <f>AND('PROG FORMACIÓN TITULADA'!#REF!,"AAAAAH+8fWE=")</f>
        <v>#REF!</v>
      </c>
      <c r="CU401" t="e">
        <f>AND('PROG FORMACIÓN TITULADA'!#REF!,"AAAAAH+8fWI=")</f>
        <v>#REF!</v>
      </c>
      <c r="CV401" t="e">
        <f>AND('PROG FORMACIÓN TITULADA'!#REF!,"AAAAAH+8fWM=")</f>
        <v>#REF!</v>
      </c>
      <c r="CW401" t="e">
        <f>AND('PROG FORMACIÓN TITULADA'!#REF!,"AAAAAH+8fWQ=")</f>
        <v>#REF!</v>
      </c>
      <c r="CX401" t="e">
        <f>AND('PROG FORMACIÓN TITULADA'!#REF!,"AAAAAH+8fWU=")</f>
        <v>#REF!</v>
      </c>
      <c r="CY401" t="e">
        <f>AND('PROG FORMACIÓN TITULADA'!#REF!,"AAAAAH+8fWY=")</f>
        <v>#REF!</v>
      </c>
      <c r="CZ401" t="e">
        <f>AND('PROG FORMACIÓN TITULADA'!#REF!,"AAAAAH+8fWc=")</f>
        <v>#REF!</v>
      </c>
      <c r="DA401" t="e">
        <f>AND('PROG FORMACIÓN TITULADA'!#REF!,"AAAAAH+8fWg=")</f>
        <v>#REF!</v>
      </c>
      <c r="DB401" t="e">
        <f>AND('PROG FORMACIÓN TITULADA'!#REF!,"AAAAAH+8fWk=")</f>
        <v>#REF!</v>
      </c>
      <c r="DC401" t="e">
        <f>AND('PROG FORMACIÓN TITULADA'!#REF!,"AAAAAH+8fWo=")</f>
        <v>#REF!</v>
      </c>
      <c r="DD401" t="e">
        <f>AND('PROG FORMACIÓN TITULADA'!#REF!,"AAAAAH+8fWs=")</f>
        <v>#REF!</v>
      </c>
      <c r="DE401" t="e">
        <f>AND('PROG FORMACIÓN TITULADA'!#REF!,"AAAAAH+8fWw=")</f>
        <v>#REF!</v>
      </c>
      <c r="DF401" t="e">
        <f>AND('PROG FORMACIÓN TITULADA'!#REF!,"AAAAAH+8fW0=")</f>
        <v>#REF!</v>
      </c>
      <c r="DG401" t="e">
        <f>AND('PROG FORMACIÓN TITULADA'!#REF!,"AAAAAH+8fW4=")</f>
        <v>#REF!</v>
      </c>
      <c r="DH401" t="e">
        <f>AND('PROG FORMACIÓN TITULADA'!#REF!,"AAAAAH+8fW8=")</f>
        <v>#REF!</v>
      </c>
      <c r="DI401" t="e">
        <f>AND('PROG FORMACIÓN TITULADA'!#REF!,"AAAAAH+8fXA=")</f>
        <v>#REF!</v>
      </c>
      <c r="DJ401" t="e">
        <f>AND('PROG FORMACIÓN TITULADA'!#REF!,"AAAAAH+8fXE=")</f>
        <v>#REF!</v>
      </c>
      <c r="DK401" t="e">
        <f>AND('PROG FORMACIÓN TITULADA'!#REF!,"AAAAAH+8fXI=")</f>
        <v>#REF!</v>
      </c>
      <c r="DL401" t="e">
        <f>AND('PROG FORMACIÓN TITULADA'!#REF!,"AAAAAH+8fXM=")</f>
        <v>#REF!</v>
      </c>
      <c r="DM401" t="e">
        <f>AND('PROG FORMACIÓN TITULADA'!#REF!,"AAAAAH+8fXQ=")</f>
        <v>#REF!</v>
      </c>
      <c r="DN401" t="e">
        <f>AND('PROG FORMACIÓN TITULADA'!#REF!,"AAAAAH+8fXU=")</f>
        <v>#REF!</v>
      </c>
      <c r="DO401" t="e">
        <f>AND('PROG FORMACIÓN TITULADA'!#REF!,"AAAAAH+8fXY=")</f>
        <v>#REF!</v>
      </c>
      <c r="DP401" t="e">
        <f>AND('PROG FORMACIÓN TITULADA'!#REF!,"AAAAAH+8fXc=")</f>
        <v>#REF!</v>
      </c>
      <c r="DQ401" t="e">
        <f>AND('PROG FORMACIÓN TITULADA'!#REF!,"AAAAAH+8fXg=")</f>
        <v>#REF!</v>
      </c>
      <c r="DR401" t="e">
        <f>AND('PROG FORMACIÓN TITULADA'!#REF!,"AAAAAH+8fXk=")</f>
        <v>#REF!</v>
      </c>
      <c r="DS401" t="e">
        <f>IF('PROG FORMACIÓN TITULADA'!#REF!,"AAAAAH+8fXo=",0)</f>
        <v>#REF!</v>
      </c>
      <c r="DT401" t="e">
        <f>AND('PROG FORMACIÓN TITULADA'!#REF!,"AAAAAH+8fXs=")</f>
        <v>#REF!</v>
      </c>
      <c r="DU401" t="e">
        <f>AND('PROG FORMACIÓN TITULADA'!#REF!,"AAAAAH+8fXw=")</f>
        <v>#REF!</v>
      </c>
      <c r="DV401" t="e">
        <f>AND('PROG FORMACIÓN TITULADA'!#REF!,"AAAAAH+8fX0=")</f>
        <v>#REF!</v>
      </c>
      <c r="DW401" t="e">
        <f>AND('PROG FORMACIÓN TITULADA'!#REF!,"AAAAAH+8fX4=")</f>
        <v>#REF!</v>
      </c>
      <c r="DX401" t="e">
        <f>AND('PROG FORMACIÓN TITULADA'!#REF!,"AAAAAH+8fX8=")</f>
        <v>#REF!</v>
      </c>
      <c r="DY401" t="e">
        <f>AND('PROG FORMACIÓN TITULADA'!#REF!,"AAAAAH+8fYA=")</f>
        <v>#REF!</v>
      </c>
      <c r="DZ401" t="e">
        <f>AND('PROG FORMACIÓN TITULADA'!#REF!,"AAAAAH+8fYE=")</f>
        <v>#REF!</v>
      </c>
      <c r="EA401" t="e">
        <f>AND('PROG FORMACIÓN TITULADA'!#REF!,"AAAAAH+8fYI=")</f>
        <v>#REF!</v>
      </c>
      <c r="EB401" t="e">
        <f>AND('PROG FORMACIÓN TITULADA'!#REF!,"AAAAAH+8fYM=")</f>
        <v>#REF!</v>
      </c>
      <c r="EC401" t="e">
        <f>AND('PROG FORMACIÓN TITULADA'!#REF!,"AAAAAH+8fYQ=")</f>
        <v>#REF!</v>
      </c>
      <c r="ED401" t="e">
        <f>AND('PROG FORMACIÓN TITULADA'!#REF!,"AAAAAH+8fYU=")</f>
        <v>#REF!</v>
      </c>
      <c r="EE401" t="e">
        <f>AND('PROG FORMACIÓN TITULADA'!#REF!,"AAAAAH+8fYY=")</f>
        <v>#REF!</v>
      </c>
      <c r="EF401" t="e">
        <f>AND('PROG FORMACIÓN TITULADA'!#REF!,"AAAAAH+8fYc=")</f>
        <v>#REF!</v>
      </c>
      <c r="EG401" t="e">
        <f>AND('PROG FORMACIÓN TITULADA'!#REF!,"AAAAAH+8fYg=")</f>
        <v>#REF!</v>
      </c>
      <c r="EH401" t="e">
        <f>AND('PROG FORMACIÓN TITULADA'!#REF!,"AAAAAH+8fYk=")</f>
        <v>#REF!</v>
      </c>
      <c r="EI401" t="e">
        <f>AND('PROG FORMACIÓN TITULADA'!#REF!,"AAAAAH+8fYo=")</f>
        <v>#REF!</v>
      </c>
      <c r="EJ401" t="e">
        <f>AND('PROG FORMACIÓN TITULADA'!#REF!,"AAAAAH+8fYs=")</f>
        <v>#REF!</v>
      </c>
      <c r="EK401" t="e">
        <f>AND('PROG FORMACIÓN TITULADA'!#REF!,"AAAAAH+8fYw=")</f>
        <v>#REF!</v>
      </c>
      <c r="EL401" t="e">
        <f>AND('PROG FORMACIÓN TITULADA'!#REF!,"AAAAAH+8fY0=")</f>
        <v>#REF!</v>
      </c>
      <c r="EM401" t="e">
        <f>AND('PROG FORMACIÓN TITULADA'!#REF!,"AAAAAH+8fY4=")</f>
        <v>#REF!</v>
      </c>
      <c r="EN401" t="e">
        <f>AND('PROG FORMACIÓN TITULADA'!#REF!,"AAAAAH+8fY8=")</f>
        <v>#REF!</v>
      </c>
      <c r="EO401" t="e">
        <f>AND('PROG FORMACIÓN TITULADA'!#REF!,"AAAAAH+8fZA=")</f>
        <v>#REF!</v>
      </c>
      <c r="EP401" t="e">
        <f>AND('PROG FORMACIÓN TITULADA'!#REF!,"AAAAAH+8fZE=")</f>
        <v>#REF!</v>
      </c>
      <c r="EQ401" t="e">
        <f>AND('PROG FORMACIÓN TITULADA'!#REF!,"AAAAAH+8fZI=")</f>
        <v>#REF!</v>
      </c>
      <c r="ER401" t="e">
        <f>AND('PROG FORMACIÓN TITULADA'!#REF!,"AAAAAH+8fZM=")</f>
        <v>#REF!</v>
      </c>
      <c r="ES401" t="e">
        <f>AND('PROG FORMACIÓN TITULADA'!#REF!,"AAAAAH+8fZQ=")</f>
        <v>#REF!</v>
      </c>
      <c r="ET401" t="e">
        <f>IF('PROG FORMACIÓN TITULADA'!#REF!,"AAAAAH+8fZU=",0)</f>
        <v>#REF!</v>
      </c>
      <c r="EU401" t="e">
        <f>AND('PROG FORMACIÓN TITULADA'!#REF!,"AAAAAH+8fZY=")</f>
        <v>#REF!</v>
      </c>
      <c r="EV401" t="e">
        <f>AND('PROG FORMACIÓN TITULADA'!#REF!,"AAAAAH+8fZc=")</f>
        <v>#REF!</v>
      </c>
      <c r="EW401" t="e">
        <f>AND('PROG FORMACIÓN TITULADA'!#REF!,"AAAAAH+8fZg=")</f>
        <v>#REF!</v>
      </c>
      <c r="EX401" t="e">
        <f>AND('PROG FORMACIÓN TITULADA'!#REF!,"AAAAAH+8fZk=")</f>
        <v>#REF!</v>
      </c>
      <c r="EY401" t="e">
        <f>AND('PROG FORMACIÓN TITULADA'!#REF!,"AAAAAH+8fZo=")</f>
        <v>#REF!</v>
      </c>
      <c r="EZ401" t="e">
        <f>AND('PROG FORMACIÓN TITULADA'!#REF!,"AAAAAH+8fZs=")</f>
        <v>#REF!</v>
      </c>
      <c r="FA401" t="e">
        <f>AND('PROG FORMACIÓN TITULADA'!#REF!,"AAAAAH+8fZw=")</f>
        <v>#REF!</v>
      </c>
      <c r="FB401" t="e">
        <f>AND('PROG FORMACIÓN TITULADA'!#REF!,"AAAAAH+8fZ0=")</f>
        <v>#REF!</v>
      </c>
      <c r="FC401" t="e">
        <f>AND('PROG FORMACIÓN TITULADA'!#REF!,"AAAAAH+8fZ4=")</f>
        <v>#REF!</v>
      </c>
      <c r="FD401" t="e">
        <f>AND('PROG FORMACIÓN TITULADA'!#REF!,"AAAAAH+8fZ8=")</f>
        <v>#REF!</v>
      </c>
      <c r="FE401" t="e">
        <f>AND('PROG FORMACIÓN TITULADA'!#REF!,"AAAAAH+8faA=")</f>
        <v>#REF!</v>
      </c>
      <c r="FF401" t="e">
        <f>AND('PROG FORMACIÓN TITULADA'!#REF!,"AAAAAH+8faE=")</f>
        <v>#REF!</v>
      </c>
      <c r="FG401" t="e">
        <f>AND('PROG FORMACIÓN TITULADA'!#REF!,"AAAAAH+8faI=")</f>
        <v>#REF!</v>
      </c>
      <c r="FH401" t="e">
        <f>AND('PROG FORMACIÓN TITULADA'!#REF!,"AAAAAH+8faM=")</f>
        <v>#REF!</v>
      </c>
      <c r="FI401" t="e">
        <f>AND('PROG FORMACIÓN TITULADA'!#REF!,"AAAAAH+8faQ=")</f>
        <v>#REF!</v>
      </c>
      <c r="FJ401" t="e">
        <f>AND('PROG FORMACIÓN TITULADA'!#REF!,"AAAAAH+8faU=")</f>
        <v>#REF!</v>
      </c>
      <c r="FK401" t="e">
        <f>AND('PROG FORMACIÓN TITULADA'!#REF!,"AAAAAH+8faY=")</f>
        <v>#REF!</v>
      </c>
      <c r="FL401" t="e">
        <f>AND('PROG FORMACIÓN TITULADA'!#REF!,"AAAAAH+8fac=")</f>
        <v>#REF!</v>
      </c>
      <c r="FM401" t="e">
        <f>AND('PROG FORMACIÓN TITULADA'!#REF!,"AAAAAH+8fag=")</f>
        <v>#REF!</v>
      </c>
      <c r="FN401" t="e">
        <f>AND('PROG FORMACIÓN TITULADA'!#REF!,"AAAAAH+8fak=")</f>
        <v>#REF!</v>
      </c>
      <c r="FO401" t="e">
        <f>AND('PROG FORMACIÓN TITULADA'!#REF!,"AAAAAH+8fao=")</f>
        <v>#REF!</v>
      </c>
      <c r="FP401" t="e">
        <f>AND('PROG FORMACIÓN TITULADA'!#REF!,"AAAAAH+8fas=")</f>
        <v>#REF!</v>
      </c>
      <c r="FQ401" t="e">
        <f>AND('PROG FORMACIÓN TITULADA'!#REF!,"AAAAAH+8faw=")</f>
        <v>#REF!</v>
      </c>
      <c r="FR401" t="e">
        <f>AND('PROG FORMACIÓN TITULADA'!#REF!,"AAAAAH+8fa0=")</f>
        <v>#REF!</v>
      </c>
      <c r="FS401" t="e">
        <f>AND('PROG FORMACIÓN TITULADA'!#REF!,"AAAAAH+8fa4=")</f>
        <v>#REF!</v>
      </c>
      <c r="FT401" t="e">
        <f>AND('PROG FORMACIÓN TITULADA'!#REF!,"AAAAAH+8fa8=")</f>
        <v>#REF!</v>
      </c>
      <c r="FU401" t="e">
        <f>IF('PROG FORMACIÓN TITULADA'!#REF!,"AAAAAH+8fbA=",0)</f>
        <v>#REF!</v>
      </c>
      <c r="FV401" t="e">
        <f>AND('PROG FORMACIÓN TITULADA'!#REF!,"AAAAAH+8fbE=")</f>
        <v>#REF!</v>
      </c>
      <c r="FW401" t="e">
        <f>AND('PROG FORMACIÓN TITULADA'!#REF!,"AAAAAH+8fbI=")</f>
        <v>#REF!</v>
      </c>
      <c r="FX401" t="e">
        <f>AND('PROG FORMACIÓN TITULADA'!#REF!,"AAAAAH+8fbM=")</f>
        <v>#REF!</v>
      </c>
      <c r="FY401" t="e">
        <f>AND('PROG FORMACIÓN TITULADA'!#REF!,"AAAAAH+8fbQ=")</f>
        <v>#REF!</v>
      </c>
      <c r="FZ401" t="e">
        <f>AND('PROG FORMACIÓN TITULADA'!#REF!,"AAAAAH+8fbU=")</f>
        <v>#REF!</v>
      </c>
      <c r="GA401" t="e">
        <f>AND('PROG FORMACIÓN TITULADA'!#REF!,"AAAAAH+8fbY=")</f>
        <v>#REF!</v>
      </c>
      <c r="GB401" t="e">
        <f>AND('PROG FORMACIÓN TITULADA'!#REF!,"AAAAAH+8fbc=")</f>
        <v>#REF!</v>
      </c>
      <c r="GC401" t="e">
        <f>AND('PROG FORMACIÓN TITULADA'!#REF!,"AAAAAH+8fbg=")</f>
        <v>#REF!</v>
      </c>
      <c r="GD401" t="e">
        <f>AND('PROG FORMACIÓN TITULADA'!#REF!,"AAAAAH+8fbk=")</f>
        <v>#REF!</v>
      </c>
      <c r="GE401" t="e">
        <f>AND('PROG FORMACIÓN TITULADA'!#REF!,"AAAAAH+8fbo=")</f>
        <v>#REF!</v>
      </c>
      <c r="GF401" t="e">
        <f>AND('PROG FORMACIÓN TITULADA'!#REF!,"AAAAAH+8fbs=")</f>
        <v>#REF!</v>
      </c>
      <c r="GG401" t="e">
        <f>AND('PROG FORMACIÓN TITULADA'!#REF!,"AAAAAH+8fbw=")</f>
        <v>#REF!</v>
      </c>
      <c r="GH401" t="e">
        <f>AND('PROG FORMACIÓN TITULADA'!#REF!,"AAAAAH+8fb0=")</f>
        <v>#REF!</v>
      </c>
      <c r="GI401" t="e">
        <f>AND('PROG FORMACIÓN TITULADA'!#REF!,"AAAAAH+8fb4=")</f>
        <v>#REF!</v>
      </c>
      <c r="GJ401" t="e">
        <f>AND('PROG FORMACIÓN TITULADA'!#REF!,"AAAAAH+8fb8=")</f>
        <v>#REF!</v>
      </c>
      <c r="GK401" t="e">
        <f>AND('PROG FORMACIÓN TITULADA'!#REF!,"AAAAAH+8fcA=")</f>
        <v>#REF!</v>
      </c>
      <c r="GL401" t="e">
        <f>AND('PROG FORMACIÓN TITULADA'!#REF!,"AAAAAH+8fcE=")</f>
        <v>#REF!</v>
      </c>
      <c r="GM401" t="e">
        <f>AND('PROG FORMACIÓN TITULADA'!#REF!,"AAAAAH+8fcI=")</f>
        <v>#REF!</v>
      </c>
      <c r="GN401" t="e">
        <f>AND('PROG FORMACIÓN TITULADA'!#REF!,"AAAAAH+8fcM=")</f>
        <v>#REF!</v>
      </c>
      <c r="GO401" t="e">
        <f>AND('PROG FORMACIÓN TITULADA'!#REF!,"AAAAAH+8fcQ=")</f>
        <v>#REF!</v>
      </c>
      <c r="GP401" t="e">
        <f>AND('PROG FORMACIÓN TITULADA'!#REF!,"AAAAAH+8fcU=")</f>
        <v>#REF!</v>
      </c>
      <c r="GQ401" t="e">
        <f>AND('PROG FORMACIÓN TITULADA'!#REF!,"AAAAAH+8fcY=")</f>
        <v>#REF!</v>
      </c>
      <c r="GR401" t="e">
        <f>AND('PROG FORMACIÓN TITULADA'!#REF!,"AAAAAH+8fcc=")</f>
        <v>#REF!</v>
      </c>
      <c r="GS401" t="e">
        <f>AND('PROG FORMACIÓN TITULADA'!#REF!,"AAAAAH+8fcg=")</f>
        <v>#REF!</v>
      </c>
      <c r="GT401" t="e">
        <f>AND('PROG FORMACIÓN TITULADA'!#REF!,"AAAAAH+8fck=")</f>
        <v>#REF!</v>
      </c>
      <c r="GU401" t="e">
        <f>AND('PROG FORMACIÓN TITULADA'!#REF!,"AAAAAH+8fco=")</f>
        <v>#REF!</v>
      </c>
      <c r="GV401" t="e">
        <f>IF('PROG FORMACIÓN TITULADA'!#REF!,"AAAAAH+8fcs=",0)</f>
        <v>#REF!</v>
      </c>
      <c r="GW401" t="e">
        <f>AND('PROG FORMACIÓN TITULADA'!#REF!,"AAAAAH+8fcw=")</f>
        <v>#REF!</v>
      </c>
      <c r="GX401" t="e">
        <f>AND('PROG FORMACIÓN TITULADA'!#REF!,"AAAAAH+8fc0=")</f>
        <v>#REF!</v>
      </c>
      <c r="GY401" t="e">
        <f>AND('PROG FORMACIÓN TITULADA'!#REF!,"AAAAAH+8fc4=")</f>
        <v>#REF!</v>
      </c>
      <c r="GZ401" t="e">
        <f>AND('PROG FORMACIÓN TITULADA'!#REF!,"AAAAAH+8fc8=")</f>
        <v>#REF!</v>
      </c>
      <c r="HA401" t="e">
        <f>AND('PROG FORMACIÓN TITULADA'!#REF!,"AAAAAH+8fdA=")</f>
        <v>#REF!</v>
      </c>
      <c r="HB401" t="e">
        <f>AND('PROG FORMACIÓN TITULADA'!#REF!,"AAAAAH+8fdE=")</f>
        <v>#REF!</v>
      </c>
      <c r="HC401" t="e">
        <f>AND('PROG FORMACIÓN TITULADA'!#REF!,"AAAAAH+8fdI=")</f>
        <v>#REF!</v>
      </c>
      <c r="HD401" t="e">
        <f>AND('PROG FORMACIÓN TITULADA'!#REF!,"AAAAAH+8fdM=")</f>
        <v>#REF!</v>
      </c>
      <c r="HE401" t="e">
        <f>AND('PROG FORMACIÓN TITULADA'!#REF!,"AAAAAH+8fdQ=")</f>
        <v>#REF!</v>
      </c>
      <c r="HF401" t="e">
        <f>AND('PROG FORMACIÓN TITULADA'!#REF!,"AAAAAH+8fdU=")</f>
        <v>#REF!</v>
      </c>
      <c r="HG401" t="e">
        <f>AND('PROG FORMACIÓN TITULADA'!#REF!,"AAAAAH+8fdY=")</f>
        <v>#REF!</v>
      </c>
      <c r="HH401" t="e">
        <f>AND('PROG FORMACIÓN TITULADA'!#REF!,"AAAAAH+8fdc=")</f>
        <v>#REF!</v>
      </c>
      <c r="HI401" t="e">
        <f>AND('PROG FORMACIÓN TITULADA'!#REF!,"AAAAAH+8fdg=")</f>
        <v>#REF!</v>
      </c>
      <c r="HJ401" t="e">
        <f>AND('PROG FORMACIÓN TITULADA'!#REF!,"AAAAAH+8fdk=")</f>
        <v>#REF!</v>
      </c>
      <c r="HK401" t="e">
        <f>AND('PROG FORMACIÓN TITULADA'!#REF!,"AAAAAH+8fdo=")</f>
        <v>#REF!</v>
      </c>
      <c r="HL401" t="e">
        <f>AND('PROG FORMACIÓN TITULADA'!#REF!,"AAAAAH+8fds=")</f>
        <v>#REF!</v>
      </c>
      <c r="HM401" t="e">
        <f>AND('PROG FORMACIÓN TITULADA'!#REF!,"AAAAAH+8fdw=")</f>
        <v>#REF!</v>
      </c>
      <c r="HN401" t="e">
        <f>AND('PROG FORMACIÓN TITULADA'!#REF!,"AAAAAH+8fd0=")</f>
        <v>#REF!</v>
      </c>
      <c r="HO401" t="e">
        <f>AND('PROG FORMACIÓN TITULADA'!#REF!,"AAAAAH+8fd4=")</f>
        <v>#REF!</v>
      </c>
      <c r="HP401" t="e">
        <f>AND('PROG FORMACIÓN TITULADA'!#REF!,"AAAAAH+8fd8=")</f>
        <v>#REF!</v>
      </c>
      <c r="HQ401" t="e">
        <f>AND('PROG FORMACIÓN TITULADA'!#REF!,"AAAAAH+8feA=")</f>
        <v>#REF!</v>
      </c>
      <c r="HR401" t="e">
        <f>AND('PROG FORMACIÓN TITULADA'!#REF!,"AAAAAH+8feE=")</f>
        <v>#REF!</v>
      </c>
      <c r="HS401" t="e">
        <f>AND('PROG FORMACIÓN TITULADA'!#REF!,"AAAAAH+8feI=")</f>
        <v>#REF!</v>
      </c>
      <c r="HT401" t="e">
        <f>AND('PROG FORMACIÓN TITULADA'!#REF!,"AAAAAH+8feM=")</f>
        <v>#REF!</v>
      </c>
      <c r="HU401" t="e">
        <f>AND('PROG FORMACIÓN TITULADA'!#REF!,"AAAAAH+8feQ=")</f>
        <v>#REF!</v>
      </c>
      <c r="HV401" t="e">
        <f>AND('PROG FORMACIÓN TITULADA'!#REF!,"AAAAAH+8feU=")</f>
        <v>#REF!</v>
      </c>
      <c r="HW401" t="e">
        <f>IF('PROG FORMACIÓN TITULADA'!#REF!,"AAAAAH+8feY=",0)</f>
        <v>#REF!</v>
      </c>
      <c r="HX401" t="e">
        <f>AND('PROG FORMACIÓN TITULADA'!#REF!,"AAAAAH+8fec=")</f>
        <v>#REF!</v>
      </c>
      <c r="HY401" t="e">
        <f>AND('PROG FORMACIÓN TITULADA'!#REF!,"AAAAAH+8feg=")</f>
        <v>#REF!</v>
      </c>
      <c r="HZ401" t="e">
        <f>AND('PROG FORMACIÓN TITULADA'!#REF!,"AAAAAH+8fek=")</f>
        <v>#REF!</v>
      </c>
      <c r="IA401" t="e">
        <f>AND('PROG FORMACIÓN TITULADA'!#REF!,"AAAAAH+8feo=")</f>
        <v>#REF!</v>
      </c>
      <c r="IB401" t="e">
        <f>AND('PROG FORMACIÓN TITULADA'!#REF!,"AAAAAH+8fes=")</f>
        <v>#REF!</v>
      </c>
      <c r="IC401" t="e">
        <f>AND('PROG FORMACIÓN TITULADA'!#REF!,"AAAAAH+8few=")</f>
        <v>#REF!</v>
      </c>
      <c r="ID401" t="e">
        <f>AND('PROG FORMACIÓN TITULADA'!#REF!,"AAAAAH+8fe0=")</f>
        <v>#REF!</v>
      </c>
      <c r="IE401" t="e">
        <f>AND('PROG FORMACIÓN TITULADA'!#REF!,"AAAAAH+8fe4=")</f>
        <v>#REF!</v>
      </c>
      <c r="IF401" t="e">
        <f>AND('PROG FORMACIÓN TITULADA'!#REF!,"AAAAAH+8fe8=")</f>
        <v>#REF!</v>
      </c>
      <c r="IG401" t="e">
        <f>AND('PROG FORMACIÓN TITULADA'!#REF!,"AAAAAH+8ffA=")</f>
        <v>#REF!</v>
      </c>
      <c r="IH401" t="e">
        <f>AND('PROG FORMACIÓN TITULADA'!#REF!,"AAAAAH+8ffE=")</f>
        <v>#REF!</v>
      </c>
      <c r="II401" t="e">
        <f>AND('PROG FORMACIÓN TITULADA'!#REF!,"AAAAAH+8ffI=")</f>
        <v>#REF!</v>
      </c>
      <c r="IJ401" t="e">
        <f>AND('PROG FORMACIÓN TITULADA'!#REF!,"AAAAAH+8ffM=")</f>
        <v>#REF!</v>
      </c>
      <c r="IK401" t="e">
        <f>AND('PROG FORMACIÓN TITULADA'!#REF!,"AAAAAH+8ffQ=")</f>
        <v>#REF!</v>
      </c>
      <c r="IL401" t="e">
        <f>AND('PROG FORMACIÓN TITULADA'!#REF!,"AAAAAH+8ffU=")</f>
        <v>#REF!</v>
      </c>
      <c r="IM401" t="e">
        <f>AND('PROG FORMACIÓN TITULADA'!#REF!,"AAAAAH+8ffY=")</f>
        <v>#REF!</v>
      </c>
      <c r="IN401" t="e">
        <f>AND('PROG FORMACIÓN TITULADA'!#REF!,"AAAAAH+8ffc=")</f>
        <v>#REF!</v>
      </c>
      <c r="IO401" t="e">
        <f>AND('PROG FORMACIÓN TITULADA'!#REF!,"AAAAAH+8ffg=")</f>
        <v>#REF!</v>
      </c>
      <c r="IP401" t="e">
        <f>AND('PROG FORMACIÓN TITULADA'!#REF!,"AAAAAH+8ffk=")</f>
        <v>#REF!</v>
      </c>
      <c r="IQ401" t="e">
        <f>AND('PROG FORMACIÓN TITULADA'!#REF!,"AAAAAH+8ffo=")</f>
        <v>#REF!</v>
      </c>
      <c r="IR401" t="e">
        <f>AND('PROG FORMACIÓN TITULADA'!#REF!,"AAAAAH+8ffs=")</f>
        <v>#REF!</v>
      </c>
      <c r="IS401" t="e">
        <f>AND('PROG FORMACIÓN TITULADA'!#REF!,"AAAAAH+8ffw=")</f>
        <v>#REF!</v>
      </c>
      <c r="IT401" t="e">
        <f>AND('PROG FORMACIÓN TITULADA'!#REF!,"AAAAAH+8ff0=")</f>
        <v>#REF!</v>
      </c>
      <c r="IU401" t="e">
        <f>AND('PROG FORMACIÓN TITULADA'!#REF!,"AAAAAH+8ff4=")</f>
        <v>#REF!</v>
      </c>
      <c r="IV401" t="e">
        <f>AND('PROG FORMACIÓN TITULADA'!#REF!,"AAAAAH+8ff8=")</f>
        <v>#REF!</v>
      </c>
    </row>
    <row r="402" spans="1:256" x14ac:dyDescent="0.2">
      <c r="A402" t="e">
        <f>AND('PROG FORMACIÓN TITULADA'!#REF!,"AAAAAG3c+QA=")</f>
        <v>#REF!</v>
      </c>
      <c r="B402" t="e">
        <f>IF('PROG FORMACIÓN TITULADA'!#REF!,"AAAAAG3c+QE=",0)</f>
        <v>#REF!</v>
      </c>
      <c r="C402" t="e">
        <f>AND('PROG FORMACIÓN TITULADA'!#REF!,"AAAAAG3c+QI=")</f>
        <v>#REF!</v>
      </c>
      <c r="D402" t="e">
        <f>AND('PROG FORMACIÓN TITULADA'!#REF!,"AAAAAG3c+QM=")</f>
        <v>#REF!</v>
      </c>
      <c r="E402" t="e">
        <f>AND('PROG FORMACIÓN TITULADA'!#REF!,"AAAAAG3c+QQ=")</f>
        <v>#REF!</v>
      </c>
      <c r="F402" t="e">
        <f>AND('PROG FORMACIÓN TITULADA'!#REF!,"AAAAAG3c+QU=")</f>
        <v>#REF!</v>
      </c>
      <c r="G402" t="e">
        <f>AND('PROG FORMACIÓN TITULADA'!#REF!,"AAAAAG3c+QY=")</f>
        <v>#REF!</v>
      </c>
      <c r="H402" t="e">
        <f>AND('PROG FORMACIÓN TITULADA'!#REF!,"AAAAAG3c+Qc=")</f>
        <v>#REF!</v>
      </c>
      <c r="I402" t="e">
        <f>AND('PROG FORMACIÓN TITULADA'!#REF!,"AAAAAG3c+Qg=")</f>
        <v>#REF!</v>
      </c>
      <c r="J402" t="e">
        <f>AND('PROG FORMACIÓN TITULADA'!#REF!,"AAAAAG3c+Qk=")</f>
        <v>#REF!</v>
      </c>
      <c r="K402" t="e">
        <f>AND('PROG FORMACIÓN TITULADA'!#REF!,"AAAAAG3c+Qo=")</f>
        <v>#REF!</v>
      </c>
      <c r="L402" t="e">
        <f>AND('PROG FORMACIÓN TITULADA'!#REF!,"AAAAAG3c+Qs=")</f>
        <v>#REF!</v>
      </c>
      <c r="M402" t="e">
        <f>AND('PROG FORMACIÓN TITULADA'!#REF!,"AAAAAG3c+Qw=")</f>
        <v>#REF!</v>
      </c>
      <c r="N402" t="e">
        <f>AND('PROG FORMACIÓN TITULADA'!#REF!,"AAAAAG3c+Q0=")</f>
        <v>#REF!</v>
      </c>
      <c r="O402" t="e">
        <f>AND('PROG FORMACIÓN TITULADA'!#REF!,"AAAAAG3c+Q4=")</f>
        <v>#REF!</v>
      </c>
      <c r="P402" t="e">
        <f>AND('PROG FORMACIÓN TITULADA'!#REF!,"AAAAAG3c+Q8=")</f>
        <v>#REF!</v>
      </c>
      <c r="Q402" t="e">
        <f>AND('PROG FORMACIÓN TITULADA'!#REF!,"AAAAAG3c+RA=")</f>
        <v>#REF!</v>
      </c>
      <c r="R402" t="e">
        <f>AND('PROG FORMACIÓN TITULADA'!#REF!,"AAAAAG3c+RE=")</f>
        <v>#REF!</v>
      </c>
      <c r="S402" t="e">
        <f>AND('PROG FORMACIÓN TITULADA'!#REF!,"AAAAAG3c+RI=")</f>
        <v>#REF!</v>
      </c>
      <c r="T402" t="e">
        <f>AND('PROG FORMACIÓN TITULADA'!#REF!,"AAAAAG3c+RM=")</f>
        <v>#REF!</v>
      </c>
      <c r="U402" t="e">
        <f>AND('PROG FORMACIÓN TITULADA'!#REF!,"AAAAAG3c+RQ=")</f>
        <v>#REF!</v>
      </c>
      <c r="V402" t="e">
        <f>AND('PROG FORMACIÓN TITULADA'!#REF!,"AAAAAG3c+RU=")</f>
        <v>#REF!</v>
      </c>
      <c r="W402" t="e">
        <f>AND('PROG FORMACIÓN TITULADA'!#REF!,"AAAAAG3c+RY=")</f>
        <v>#REF!</v>
      </c>
      <c r="X402" t="e">
        <f>AND('PROG FORMACIÓN TITULADA'!#REF!,"AAAAAG3c+Rc=")</f>
        <v>#REF!</v>
      </c>
      <c r="Y402" t="e">
        <f>AND('PROG FORMACIÓN TITULADA'!#REF!,"AAAAAG3c+Rg=")</f>
        <v>#REF!</v>
      </c>
      <c r="Z402" t="e">
        <f>AND('PROG FORMACIÓN TITULADA'!#REF!,"AAAAAG3c+Rk=")</f>
        <v>#REF!</v>
      </c>
      <c r="AA402" t="e">
        <f>AND('PROG FORMACIÓN TITULADA'!#REF!,"AAAAAG3c+Ro=")</f>
        <v>#REF!</v>
      </c>
      <c r="AB402" t="e">
        <f>AND('PROG FORMACIÓN TITULADA'!#REF!,"AAAAAG3c+Rs=")</f>
        <v>#REF!</v>
      </c>
      <c r="AC402" t="e">
        <f>IF('PROG FORMACIÓN TITULADA'!#REF!,"AAAAAG3c+Rw=",0)</f>
        <v>#REF!</v>
      </c>
      <c r="AD402" t="e">
        <f>AND('PROG FORMACIÓN TITULADA'!#REF!,"AAAAAG3c+R0=")</f>
        <v>#REF!</v>
      </c>
      <c r="AE402" t="e">
        <f>AND('PROG FORMACIÓN TITULADA'!#REF!,"AAAAAG3c+R4=")</f>
        <v>#REF!</v>
      </c>
      <c r="AF402" t="e">
        <f>AND('PROG FORMACIÓN TITULADA'!#REF!,"AAAAAG3c+R8=")</f>
        <v>#REF!</v>
      </c>
      <c r="AG402" t="e">
        <f>AND('PROG FORMACIÓN TITULADA'!#REF!,"AAAAAG3c+SA=")</f>
        <v>#REF!</v>
      </c>
      <c r="AH402" t="e">
        <f>AND('PROG FORMACIÓN TITULADA'!#REF!,"AAAAAG3c+SE=")</f>
        <v>#REF!</v>
      </c>
      <c r="AI402" t="e">
        <f>AND('PROG FORMACIÓN TITULADA'!#REF!,"AAAAAG3c+SI=")</f>
        <v>#REF!</v>
      </c>
      <c r="AJ402" t="e">
        <f>AND('PROG FORMACIÓN TITULADA'!#REF!,"AAAAAG3c+SM=")</f>
        <v>#REF!</v>
      </c>
      <c r="AK402" t="e">
        <f>AND('PROG FORMACIÓN TITULADA'!#REF!,"AAAAAG3c+SQ=")</f>
        <v>#REF!</v>
      </c>
      <c r="AL402" t="e">
        <f>AND('PROG FORMACIÓN TITULADA'!#REF!,"AAAAAG3c+SU=")</f>
        <v>#REF!</v>
      </c>
      <c r="AM402" t="e">
        <f>AND('PROG FORMACIÓN TITULADA'!#REF!,"AAAAAG3c+SY=")</f>
        <v>#REF!</v>
      </c>
      <c r="AN402" t="e">
        <f>AND('PROG FORMACIÓN TITULADA'!#REF!,"AAAAAG3c+Sc=")</f>
        <v>#REF!</v>
      </c>
      <c r="AO402" t="e">
        <f>AND('PROG FORMACIÓN TITULADA'!#REF!,"AAAAAG3c+Sg=")</f>
        <v>#REF!</v>
      </c>
      <c r="AP402" t="e">
        <f>AND('PROG FORMACIÓN TITULADA'!#REF!,"AAAAAG3c+Sk=")</f>
        <v>#REF!</v>
      </c>
      <c r="AQ402" t="e">
        <f>AND('PROG FORMACIÓN TITULADA'!#REF!,"AAAAAG3c+So=")</f>
        <v>#REF!</v>
      </c>
      <c r="AR402" t="e">
        <f>AND('PROG FORMACIÓN TITULADA'!#REF!,"AAAAAG3c+Ss=")</f>
        <v>#REF!</v>
      </c>
      <c r="AS402" t="e">
        <f>AND('PROG FORMACIÓN TITULADA'!#REF!,"AAAAAG3c+Sw=")</f>
        <v>#REF!</v>
      </c>
      <c r="AT402" t="e">
        <f>AND('PROG FORMACIÓN TITULADA'!#REF!,"AAAAAG3c+S0=")</f>
        <v>#REF!</v>
      </c>
      <c r="AU402" t="e">
        <f>AND('PROG FORMACIÓN TITULADA'!#REF!,"AAAAAG3c+S4=")</f>
        <v>#REF!</v>
      </c>
      <c r="AV402" t="e">
        <f>AND('PROG FORMACIÓN TITULADA'!#REF!,"AAAAAG3c+S8=")</f>
        <v>#REF!</v>
      </c>
      <c r="AW402" t="e">
        <f>AND('PROG FORMACIÓN TITULADA'!#REF!,"AAAAAG3c+TA=")</f>
        <v>#REF!</v>
      </c>
      <c r="AX402" t="e">
        <f>AND('PROG FORMACIÓN TITULADA'!#REF!,"AAAAAG3c+TE=")</f>
        <v>#REF!</v>
      </c>
      <c r="AY402" t="e">
        <f>AND('PROG FORMACIÓN TITULADA'!#REF!,"AAAAAG3c+TI=")</f>
        <v>#REF!</v>
      </c>
      <c r="AZ402" t="e">
        <f>AND('PROG FORMACIÓN TITULADA'!#REF!,"AAAAAG3c+TM=")</f>
        <v>#REF!</v>
      </c>
      <c r="BA402" t="e">
        <f>AND('PROG FORMACIÓN TITULADA'!#REF!,"AAAAAG3c+TQ=")</f>
        <v>#REF!</v>
      </c>
      <c r="BB402" t="e">
        <f>AND('PROG FORMACIÓN TITULADA'!#REF!,"AAAAAG3c+TU=")</f>
        <v>#REF!</v>
      </c>
      <c r="BC402" t="e">
        <f>AND('PROG FORMACIÓN TITULADA'!#REF!,"AAAAAG3c+TY=")</f>
        <v>#REF!</v>
      </c>
      <c r="BD402" t="e">
        <f>IF('PROG FORMACIÓN TITULADA'!#REF!,"AAAAAG3c+Tc=",0)</f>
        <v>#REF!</v>
      </c>
      <c r="BE402" t="e">
        <f>AND('PROG FORMACIÓN TITULADA'!#REF!,"AAAAAG3c+Tg=")</f>
        <v>#REF!</v>
      </c>
      <c r="BF402" t="e">
        <f>AND('PROG FORMACIÓN TITULADA'!#REF!,"AAAAAG3c+Tk=")</f>
        <v>#REF!</v>
      </c>
      <c r="BG402" t="e">
        <f>AND('PROG FORMACIÓN TITULADA'!#REF!,"AAAAAG3c+To=")</f>
        <v>#REF!</v>
      </c>
      <c r="BH402" t="e">
        <f>AND('PROG FORMACIÓN TITULADA'!#REF!,"AAAAAG3c+Ts=")</f>
        <v>#REF!</v>
      </c>
      <c r="BI402" t="e">
        <f>AND('PROG FORMACIÓN TITULADA'!#REF!,"AAAAAG3c+Tw=")</f>
        <v>#REF!</v>
      </c>
      <c r="BJ402" t="e">
        <f>AND('PROG FORMACIÓN TITULADA'!#REF!,"AAAAAG3c+T0=")</f>
        <v>#REF!</v>
      </c>
      <c r="BK402" t="e">
        <f>AND('PROG FORMACIÓN TITULADA'!#REF!,"AAAAAG3c+T4=")</f>
        <v>#REF!</v>
      </c>
      <c r="BL402" t="e">
        <f>AND('PROG FORMACIÓN TITULADA'!#REF!,"AAAAAG3c+T8=")</f>
        <v>#REF!</v>
      </c>
      <c r="BM402" t="e">
        <f>AND('PROG FORMACIÓN TITULADA'!#REF!,"AAAAAG3c+UA=")</f>
        <v>#REF!</v>
      </c>
      <c r="BN402" t="e">
        <f>AND('PROG FORMACIÓN TITULADA'!#REF!,"AAAAAG3c+UE=")</f>
        <v>#REF!</v>
      </c>
      <c r="BO402" t="e">
        <f>AND('PROG FORMACIÓN TITULADA'!#REF!,"AAAAAG3c+UI=")</f>
        <v>#REF!</v>
      </c>
      <c r="BP402" t="e">
        <f>AND('PROG FORMACIÓN TITULADA'!#REF!,"AAAAAG3c+UM=")</f>
        <v>#REF!</v>
      </c>
      <c r="BQ402" t="e">
        <f>AND('PROG FORMACIÓN TITULADA'!#REF!,"AAAAAG3c+UQ=")</f>
        <v>#REF!</v>
      </c>
      <c r="BR402" t="e">
        <f>AND('PROG FORMACIÓN TITULADA'!#REF!,"AAAAAG3c+UU=")</f>
        <v>#REF!</v>
      </c>
      <c r="BS402" t="e">
        <f>AND('PROG FORMACIÓN TITULADA'!#REF!,"AAAAAG3c+UY=")</f>
        <v>#REF!</v>
      </c>
      <c r="BT402" t="e">
        <f>AND('PROG FORMACIÓN TITULADA'!#REF!,"AAAAAG3c+Uc=")</f>
        <v>#REF!</v>
      </c>
      <c r="BU402" t="e">
        <f>AND('PROG FORMACIÓN TITULADA'!#REF!,"AAAAAG3c+Ug=")</f>
        <v>#REF!</v>
      </c>
      <c r="BV402" t="e">
        <f>AND('PROG FORMACIÓN TITULADA'!#REF!,"AAAAAG3c+Uk=")</f>
        <v>#REF!</v>
      </c>
      <c r="BW402" t="e">
        <f>AND('PROG FORMACIÓN TITULADA'!#REF!,"AAAAAG3c+Uo=")</f>
        <v>#REF!</v>
      </c>
      <c r="BX402" t="e">
        <f>AND('PROG FORMACIÓN TITULADA'!#REF!,"AAAAAG3c+Us=")</f>
        <v>#REF!</v>
      </c>
      <c r="BY402" t="e">
        <f>AND('PROG FORMACIÓN TITULADA'!#REF!,"AAAAAG3c+Uw=")</f>
        <v>#REF!</v>
      </c>
      <c r="BZ402" t="e">
        <f>AND('PROG FORMACIÓN TITULADA'!#REF!,"AAAAAG3c+U0=")</f>
        <v>#REF!</v>
      </c>
      <c r="CA402" t="e">
        <f>AND('PROG FORMACIÓN TITULADA'!#REF!,"AAAAAG3c+U4=")</f>
        <v>#REF!</v>
      </c>
      <c r="CB402" t="e">
        <f>AND('PROG FORMACIÓN TITULADA'!#REF!,"AAAAAG3c+U8=")</f>
        <v>#REF!</v>
      </c>
      <c r="CC402" t="e">
        <f>AND('PROG FORMACIÓN TITULADA'!#REF!,"AAAAAG3c+VA=")</f>
        <v>#REF!</v>
      </c>
      <c r="CD402" t="e">
        <f>AND('PROG FORMACIÓN TITULADA'!#REF!,"AAAAAG3c+VE=")</f>
        <v>#REF!</v>
      </c>
      <c r="CE402" t="e">
        <f>IF('PROG FORMACIÓN TITULADA'!#REF!,"AAAAAG3c+VI=",0)</f>
        <v>#REF!</v>
      </c>
      <c r="CF402" t="e">
        <f>AND('PROG FORMACIÓN TITULADA'!#REF!,"AAAAAG3c+VM=")</f>
        <v>#REF!</v>
      </c>
      <c r="CG402" t="e">
        <f>AND('PROG FORMACIÓN TITULADA'!#REF!,"AAAAAG3c+VQ=")</f>
        <v>#REF!</v>
      </c>
      <c r="CH402" t="e">
        <f>AND('PROG FORMACIÓN TITULADA'!#REF!,"AAAAAG3c+VU=")</f>
        <v>#REF!</v>
      </c>
      <c r="CI402" t="e">
        <f>AND('PROG FORMACIÓN TITULADA'!#REF!,"AAAAAG3c+VY=")</f>
        <v>#REF!</v>
      </c>
      <c r="CJ402" t="e">
        <f>AND('PROG FORMACIÓN TITULADA'!#REF!,"AAAAAG3c+Vc=")</f>
        <v>#REF!</v>
      </c>
      <c r="CK402" t="e">
        <f>AND('PROG FORMACIÓN TITULADA'!#REF!,"AAAAAG3c+Vg=")</f>
        <v>#REF!</v>
      </c>
      <c r="CL402" t="e">
        <f>AND('PROG FORMACIÓN TITULADA'!#REF!,"AAAAAG3c+Vk=")</f>
        <v>#REF!</v>
      </c>
      <c r="CM402" t="e">
        <f>AND('PROG FORMACIÓN TITULADA'!#REF!,"AAAAAG3c+Vo=")</f>
        <v>#REF!</v>
      </c>
      <c r="CN402" t="e">
        <f>AND('PROG FORMACIÓN TITULADA'!#REF!,"AAAAAG3c+Vs=")</f>
        <v>#REF!</v>
      </c>
      <c r="CO402" t="e">
        <f>AND('PROG FORMACIÓN TITULADA'!#REF!,"AAAAAG3c+Vw=")</f>
        <v>#REF!</v>
      </c>
      <c r="CP402" t="e">
        <f>AND('PROG FORMACIÓN TITULADA'!#REF!,"AAAAAG3c+V0=")</f>
        <v>#REF!</v>
      </c>
      <c r="CQ402" t="e">
        <f>AND('PROG FORMACIÓN TITULADA'!#REF!,"AAAAAG3c+V4=")</f>
        <v>#REF!</v>
      </c>
      <c r="CR402" t="e">
        <f>AND('PROG FORMACIÓN TITULADA'!#REF!,"AAAAAG3c+V8=")</f>
        <v>#REF!</v>
      </c>
      <c r="CS402" t="e">
        <f>AND('PROG FORMACIÓN TITULADA'!#REF!,"AAAAAG3c+WA=")</f>
        <v>#REF!</v>
      </c>
      <c r="CT402" t="e">
        <f>AND('PROG FORMACIÓN TITULADA'!#REF!,"AAAAAG3c+WE=")</f>
        <v>#REF!</v>
      </c>
      <c r="CU402" t="e">
        <f>AND('PROG FORMACIÓN TITULADA'!#REF!,"AAAAAG3c+WI=")</f>
        <v>#REF!</v>
      </c>
      <c r="CV402" t="e">
        <f>AND('PROG FORMACIÓN TITULADA'!#REF!,"AAAAAG3c+WM=")</f>
        <v>#REF!</v>
      </c>
      <c r="CW402" t="e">
        <f>AND('PROG FORMACIÓN TITULADA'!#REF!,"AAAAAG3c+WQ=")</f>
        <v>#REF!</v>
      </c>
      <c r="CX402" t="e">
        <f>AND('PROG FORMACIÓN TITULADA'!#REF!,"AAAAAG3c+WU=")</f>
        <v>#REF!</v>
      </c>
      <c r="CY402" t="e">
        <f>AND('PROG FORMACIÓN TITULADA'!#REF!,"AAAAAG3c+WY=")</f>
        <v>#REF!</v>
      </c>
      <c r="CZ402" t="e">
        <f>AND('PROG FORMACIÓN TITULADA'!#REF!,"AAAAAG3c+Wc=")</f>
        <v>#REF!</v>
      </c>
      <c r="DA402" t="e">
        <f>AND('PROG FORMACIÓN TITULADA'!#REF!,"AAAAAG3c+Wg=")</f>
        <v>#REF!</v>
      </c>
      <c r="DB402" t="e">
        <f>AND('PROG FORMACIÓN TITULADA'!#REF!,"AAAAAG3c+Wk=")</f>
        <v>#REF!</v>
      </c>
      <c r="DC402" t="e">
        <f>AND('PROG FORMACIÓN TITULADA'!#REF!,"AAAAAG3c+Wo=")</f>
        <v>#REF!</v>
      </c>
      <c r="DD402" t="e">
        <f>AND('PROG FORMACIÓN TITULADA'!#REF!,"AAAAAG3c+Ws=")</f>
        <v>#REF!</v>
      </c>
      <c r="DE402" t="e">
        <f>AND('PROG FORMACIÓN TITULADA'!#REF!,"AAAAAG3c+Ww=")</f>
        <v>#REF!</v>
      </c>
      <c r="DF402" t="e">
        <f>IF('PROG FORMACIÓN TITULADA'!#REF!,"AAAAAG3c+W0=",0)</f>
        <v>#REF!</v>
      </c>
      <c r="DG402" t="e">
        <f>AND('PROG FORMACIÓN TITULADA'!#REF!,"AAAAAG3c+W4=")</f>
        <v>#REF!</v>
      </c>
      <c r="DH402" t="e">
        <f>AND('PROG FORMACIÓN TITULADA'!#REF!,"AAAAAG3c+W8=")</f>
        <v>#REF!</v>
      </c>
      <c r="DI402" t="e">
        <f>AND('PROG FORMACIÓN TITULADA'!#REF!,"AAAAAG3c+XA=")</f>
        <v>#REF!</v>
      </c>
      <c r="DJ402" t="e">
        <f>AND('PROG FORMACIÓN TITULADA'!#REF!,"AAAAAG3c+XE=")</f>
        <v>#REF!</v>
      </c>
      <c r="DK402" t="e">
        <f>AND('PROG FORMACIÓN TITULADA'!#REF!,"AAAAAG3c+XI=")</f>
        <v>#REF!</v>
      </c>
      <c r="DL402" t="e">
        <f>AND('PROG FORMACIÓN TITULADA'!#REF!,"AAAAAG3c+XM=")</f>
        <v>#REF!</v>
      </c>
      <c r="DM402" t="e">
        <f>AND('PROG FORMACIÓN TITULADA'!#REF!,"AAAAAG3c+XQ=")</f>
        <v>#REF!</v>
      </c>
      <c r="DN402" t="e">
        <f>AND('PROG FORMACIÓN TITULADA'!#REF!,"AAAAAG3c+XU=")</f>
        <v>#REF!</v>
      </c>
      <c r="DO402" t="e">
        <f>AND('PROG FORMACIÓN TITULADA'!#REF!,"AAAAAG3c+XY=")</f>
        <v>#REF!</v>
      </c>
      <c r="DP402" t="e">
        <f>AND('PROG FORMACIÓN TITULADA'!#REF!,"AAAAAG3c+Xc=")</f>
        <v>#REF!</v>
      </c>
      <c r="DQ402" t="e">
        <f>AND('PROG FORMACIÓN TITULADA'!#REF!,"AAAAAG3c+Xg=")</f>
        <v>#REF!</v>
      </c>
      <c r="DR402" t="e">
        <f>AND('PROG FORMACIÓN TITULADA'!#REF!,"AAAAAG3c+Xk=")</f>
        <v>#REF!</v>
      </c>
      <c r="DS402" t="e">
        <f>AND('PROG FORMACIÓN TITULADA'!#REF!,"AAAAAG3c+Xo=")</f>
        <v>#REF!</v>
      </c>
      <c r="DT402" t="e">
        <f>AND('PROG FORMACIÓN TITULADA'!#REF!,"AAAAAG3c+Xs=")</f>
        <v>#REF!</v>
      </c>
      <c r="DU402" t="e">
        <f>AND('PROG FORMACIÓN TITULADA'!#REF!,"AAAAAG3c+Xw=")</f>
        <v>#REF!</v>
      </c>
      <c r="DV402" t="e">
        <f>AND('PROG FORMACIÓN TITULADA'!#REF!,"AAAAAG3c+X0=")</f>
        <v>#REF!</v>
      </c>
      <c r="DW402" t="e">
        <f>AND('PROG FORMACIÓN TITULADA'!#REF!,"AAAAAG3c+X4=")</f>
        <v>#REF!</v>
      </c>
      <c r="DX402" t="e">
        <f>AND('PROG FORMACIÓN TITULADA'!#REF!,"AAAAAG3c+X8=")</f>
        <v>#REF!</v>
      </c>
      <c r="DY402" t="e">
        <f>AND('PROG FORMACIÓN TITULADA'!#REF!,"AAAAAG3c+YA=")</f>
        <v>#REF!</v>
      </c>
      <c r="DZ402" t="e">
        <f>AND('PROG FORMACIÓN TITULADA'!#REF!,"AAAAAG3c+YE=")</f>
        <v>#REF!</v>
      </c>
      <c r="EA402" t="e">
        <f>AND('PROG FORMACIÓN TITULADA'!#REF!,"AAAAAG3c+YI=")</f>
        <v>#REF!</v>
      </c>
      <c r="EB402" t="e">
        <f>AND('PROG FORMACIÓN TITULADA'!#REF!,"AAAAAG3c+YM=")</f>
        <v>#REF!</v>
      </c>
      <c r="EC402" t="e">
        <f>AND('PROG FORMACIÓN TITULADA'!#REF!,"AAAAAG3c+YQ=")</f>
        <v>#REF!</v>
      </c>
      <c r="ED402" t="e">
        <f>AND('PROG FORMACIÓN TITULADA'!#REF!,"AAAAAG3c+YU=")</f>
        <v>#REF!</v>
      </c>
      <c r="EE402" t="e">
        <f>AND('PROG FORMACIÓN TITULADA'!#REF!,"AAAAAG3c+YY=")</f>
        <v>#REF!</v>
      </c>
      <c r="EF402" t="e">
        <f>AND('PROG FORMACIÓN TITULADA'!#REF!,"AAAAAG3c+Yc=")</f>
        <v>#REF!</v>
      </c>
      <c r="EG402" t="e">
        <f>IF('PROG FORMACIÓN TITULADA'!#REF!,"AAAAAG3c+Yg=",0)</f>
        <v>#REF!</v>
      </c>
      <c r="EH402" t="e">
        <f>AND('PROG FORMACIÓN TITULADA'!#REF!,"AAAAAG3c+Yk=")</f>
        <v>#REF!</v>
      </c>
      <c r="EI402" t="e">
        <f>AND('PROG FORMACIÓN TITULADA'!#REF!,"AAAAAG3c+Yo=")</f>
        <v>#REF!</v>
      </c>
      <c r="EJ402" t="e">
        <f>AND('PROG FORMACIÓN TITULADA'!#REF!,"AAAAAG3c+Ys=")</f>
        <v>#REF!</v>
      </c>
      <c r="EK402" t="e">
        <f>AND('PROG FORMACIÓN TITULADA'!#REF!,"AAAAAG3c+Yw=")</f>
        <v>#REF!</v>
      </c>
      <c r="EL402" t="e">
        <f>AND('PROG FORMACIÓN TITULADA'!#REF!,"AAAAAG3c+Y0=")</f>
        <v>#REF!</v>
      </c>
      <c r="EM402" t="e">
        <f>AND('PROG FORMACIÓN TITULADA'!#REF!,"AAAAAG3c+Y4=")</f>
        <v>#REF!</v>
      </c>
      <c r="EN402" t="e">
        <f>AND('PROG FORMACIÓN TITULADA'!#REF!,"AAAAAG3c+Y8=")</f>
        <v>#REF!</v>
      </c>
      <c r="EO402" t="e">
        <f>AND('PROG FORMACIÓN TITULADA'!#REF!,"AAAAAG3c+ZA=")</f>
        <v>#REF!</v>
      </c>
      <c r="EP402" t="e">
        <f>AND('PROG FORMACIÓN TITULADA'!#REF!,"AAAAAG3c+ZE=")</f>
        <v>#REF!</v>
      </c>
      <c r="EQ402" t="e">
        <f>AND('PROG FORMACIÓN TITULADA'!#REF!,"AAAAAG3c+ZI=")</f>
        <v>#REF!</v>
      </c>
      <c r="ER402" t="e">
        <f>AND('PROG FORMACIÓN TITULADA'!#REF!,"AAAAAG3c+ZM=")</f>
        <v>#REF!</v>
      </c>
      <c r="ES402" t="e">
        <f>AND('PROG FORMACIÓN TITULADA'!#REF!,"AAAAAG3c+ZQ=")</f>
        <v>#REF!</v>
      </c>
      <c r="ET402" t="e">
        <f>AND('PROG FORMACIÓN TITULADA'!#REF!,"AAAAAG3c+ZU=")</f>
        <v>#REF!</v>
      </c>
      <c r="EU402" t="e">
        <f>AND('PROG FORMACIÓN TITULADA'!#REF!,"AAAAAG3c+ZY=")</f>
        <v>#REF!</v>
      </c>
      <c r="EV402" t="e">
        <f>AND('PROG FORMACIÓN TITULADA'!#REF!,"AAAAAG3c+Zc=")</f>
        <v>#REF!</v>
      </c>
      <c r="EW402" t="e">
        <f>AND('PROG FORMACIÓN TITULADA'!#REF!,"AAAAAG3c+Zg=")</f>
        <v>#REF!</v>
      </c>
      <c r="EX402" t="e">
        <f>AND('PROG FORMACIÓN TITULADA'!#REF!,"AAAAAG3c+Zk=")</f>
        <v>#REF!</v>
      </c>
      <c r="EY402" t="e">
        <f>AND('PROG FORMACIÓN TITULADA'!#REF!,"AAAAAG3c+Zo=")</f>
        <v>#REF!</v>
      </c>
      <c r="EZ402" t="e">
        <f>AND('PROG FORMACIÓN TITULADA'!#REF!,"AAAAAG3c+Zs=")</f>
        <v>#REF!</v>
      </c>
      <c r="FA402" t="e">
        <f>AND('PROG FORMACIÓN TITULADA'!#REF!,"AAAAAG3c+Zw=")</f>
        <v>#REF!</v>
      </c>
      <c r="FB402" t="e">
        <f>AND('PROG FORMACIÓN TITULADA'!#REF!,"AAAAAG3c+Z0=")</f>
        <v>#REF!</v>
      </c>
      <c r="FC402" t="e">
        <f>AND('PROG FORMACIÓN TITULADA'!#REF!,"AAAAAG3c+Z4=")</f>
        <v>#REF!</v>
      </c>
      <c r="FD402" t="e">
        <f>AND('PROG FORMACIÓN TITULADA'!#REF!,"AAAAAG3c+Z8=")</f>
        <v>#REF!</v>
      </c>
      <c r="FE402" t="e">
        <f>AND('PROG FORMACIÓN TITULADA'!#REF!,"AAAAAG3c+aA=")</f>
        <v>#REF!</v>
      </c>
      <c r="FF402" t="e">
        <f>AND('PROG FORMACIÓN TITULADA'!#REF!,"AAAAAG3c+aE=")</f>
        <v>#REF!</v>
      </c>
      <c r="FG402" t="e">
        <f>AND('PROG FORMACIÓN TITULADA'!#REF!,"AAAAAG3c+aI=")</f>
        <v>#REF!</v>
      </c>
      <c r="FH402" t="e">
        <f>IF('PROG FORMACIÓN TITULADA'!#REF!,"AAAAAG3c+aM=",0)</f>
        <v>#REF!</v>
      </c>
      <c r="FI402" t="e">
        <f>AND('PROG FORMACIÓN TITULADA'!#REF!,"AAAAAG3c+aQ=")</f>
        <v>#REF!</v>
      </c>
      <c r="FJ402" t="e">
        <f>AND('PROG FORMACIÓN TITULADA'!#REF!,"AAAAAG3c+aU=")</f>
        <v>#REF!</v>
      </c>
      <c r="FK402" t="e">
        <f>AND('PROG FORMACIÓN TITULADA'!#REF!,"AAAAAG3c+aY=")</f>
        <v>#REF!</v>
      </c>
      <c r="FL402" t="e">
        <f>AND('PROG FORMACIÓN TITULADA'!#REF!,"AAAAAG3c+ac=")</f>
        <v>#REF!</v>
      </c>
      <c r="FM402" t="e">
        <f>AND('PROG FORMACIÓN TITULADA'!#REF!,"AAAAAG3c+ag=")</f>
        <v>#REF!</v>
      </c>
      <c r="FN402" t="e">
        <f>AND('PROG FORMACIÓN TITULADA'!#REF!,"AAAAAG3c+ak=")</f>
        <v>#REF!</v>
      </c>
      <c r="FO402" t="e">
        <f>AND('PROG FORMACIÓN TITULADA'!#REF!,"AAAAAG3c+ao=")</f>
        <v>#REF!</v>
      </c>
      <c r="FP402" t="e">
        <f>AND('PROG FORMACIÓN TITULADA'!#REF!,"AAAAAG3c+as=")</f>
        <v>#REF!</v>
      </c>
      <c r="FQ402" t="e">
        <f>AND('PROG FORMACIÓN TITULADA'!#REF!,"AAAAAG3c+aw=")</f>
        <v>#REF!</v>
      </c>
      <c r="FR402" t="e">
        <f>AND('PROG FORMACIÓN TITULADA'!#REF!,"AAAAAG3c+a0=")</f>
        <v>#REF!</v>
      </c>
      <c r="FS402" t="e">
        <f>AND('PROG FORMACIÓN TITULADA'!#REF!,"AAAAAG3c+a4=")</f>
        <v>#REF!</v>
      </c>
      <c r="FT402" t="e">
        <f>AND('PROG FORMACIÓN TITULADA'!#REF!,"AAAAAG3c+a8=")</f>
        <v>#REF!</v>
      </c>
      <c r="FU402" t="e">
        <f>AND('PROG FORMACIÓN TITULADA'!#REF!,"AAAAAG3c+bA=")</f>
        <v>#REF!</v>
      </c>
      <c r="FV402" t="e">
        <f>AND('PROG FORMACIÓN TITULADA'!#REF!,"AAAAAG3c+bE=")</f>
        <v>#REF!</v>
      </c>
      <c r="FW402" t="e">
        <f>AND('PROG FORMACIÓN TITULADA'!#REF!,"AAAAAG3c+bI=")</f>
        <v>#REF!</v>
      </c>
      <c r="FX402" t="e">
        <f>AND('PROG FORMACIÓN TITULADA'!#REF!,"AAAAAG3c+bM=")</f>
        <v>#REF!</v>
      </c>
      <c r="FY402" t="e">
        <f>AND('PROG FORMACIÓN TITULADA'!#REF!,"AAAAAG3c+bQ=")</f>
        <v>#REF!</v>
      </c>
      <c r="FZ402" t="e">
        <f>AND('PROG FORMACIÓN TITULADA'!#REF!,"AAAAAG3c+bU=")</f>
        <v>#REF!</v>
      </c>
      <c r="GA402" t="e">
        <f>AND('PROG FORMACIÓN TITULADA'!#REF!,"AAAAAG3c+bY=")</f>
        <v>#REF!</v>
      </c>
      <c r="GB402" t="e">
        <f>AND('PROG FORMACIÓN TITULADA'!#REF!,"AAAAAG3c+bc=")</f>
        <v>#REF!</v>
      </c>
      <c r="GC402" t="e">
        <f>AND('PROG FORMACIÓN TITULADA'!#REF!,"AAAAAG3c+bg=")</f>
        <v>#REF!</v>
      </c>
      <c r="GD402" t="e">
        <f>AND('PROG FORMACIÓN TITULADA'!#REF!,"AAAAAG3c+bk=")</f>
        <v>#REF!</v>
      </c>
      <c r="GE402" t="e">
        <f>AND('PROG FORMACIÓN TITULADA'!#REF!,"AAAAAG3c+bo=")</f>
        <v>#REF!</v>
      </c>
      <c r="GF402" t="e">
        <f>AND('PROG FORMACIÓN TITULADA'!#REF!,"AAAAAG3c+bs=")</f>
        <v>#REF!</v>
      </c>
      <c r="GG402" t="e">
        <f>AND('PROG FORMACIÓN TITULADA'!#REF!,"AAAAAG3c+bw=")</f>
        <v>#REF!</v>
      </c>
      <c r="GH402" t="e">
        <f>AND('PROG FORMACIÓN TITULADA'!#REF!,"AAAAAG3c+b0=")</f>
        <v>#REF!</v>
      </c>
      <c r="GI402" t="e">
        <f>IF('PROG FORMACIÓN TITULADA'!#REF!,"AAAAAG3c+b4=",0)</f>
        <v>#REF!</v>
      </c>
      <c r="GJ402" t="e">
        <f>AND('PROG FORMACIÓN TITULADA'!#REF!,"AAAAAG3c+b8=")</f>
        <v>#REF!</v>
      </c>
      <c r="GK402" t="e">
        <f>AND('PROG FORMACIÓN TITULADA'!#REF!,"AAAAAG3c+cA=")</f>
        <v>#REF!</v>
      </c>
      <c r="GL402" t="e">
        <f>AND('PROG FORMACIÓN TITULADA'!#REF!,"AAAAAG3c+cE=")</f>
        <v>#REF!</v>
      </c>
      <c r="GM402" t="e">
        <f>AND('PROG FORMACIÓN TITULADA'!#REF!,"AAAAAG3c+cI=")</f>
        <v>#REF!</v>
      </c>
      <c r="GN402" t="e">
        <f>AND('PROG FORMACIÓN TITULADA'!#REF!,"AAAAAG3c+cM=")</f>
        <v>#REF!</v>
      </c>
      <c r="GO402" t="e">
        <f>AND('PROG FORMACIÓN TITULADA'!#REF!,"AAAAAG3c+cQ=")</f>
        <v>#REF!</v>
      </c>
      <c r="GP402" t="e">
        <f>AND('PROG FORMACIÓN TITULADA'!#REF!,"AAAAAG3c+cU=")</f>
        <v>#REF!</v>
      </c>
      <c r="GQ402" t="e">
        <f>AND('PROG FORMACIÓN TITULADA'!#REF!,"AAAAAG3c+cY=")</f>
        <v>#REF!</v>
      </c>
      <c r="GR402" t="e">
        <f>AND('PROG FORMACIÓN TITULADA'!#REF!,"AAAAAG3c+cc=")</f>
        <v>#REF!</v>
      </c>
      <c r="GS402" t="e">
        <f>AND('PROG FORMACIÓN TITULADA'!#REF!,"AAAAAG3c+cg=")</f>
        <v>#REF!</v>
      </c>
      <c r="GT402" t="e">
        <f>AND('PROG FORMACIÓN TITULADA'!#REF!,"AAAAAG3c+ck=")</f>
        <v>#REF!</v>
      </c>
      <c r="GU402" t="e">
        <f>AND('PROG FORMACIÓN TITULADA'!#REF!,"AAAAAG3c+co=")</f>
        <v>#REF!</v>
      </c>
      <c r="GV402" t="e">
        <f>AND('PROG FORMACIÓN TITULADA'!#REF!,"AAAAAG3c+cs=")</f>
        <v>#REF!</v>
      </c>
      <c r="GW402" t="e">
        <f>AND('PROG FORMACIÓN TITULADA'!#REF!,"AAAAAG3c+cw=")</f>
        <v>#REF!</v>
      </c>
      <c r="GX402" t="e">
        <f>AND('PROG FORMACIÓN TITULADA'!#REF!,"AAAAAG3c+c0=")</f>
        <v>#REF!</v>
      </c>
      <c r="GY402" t="e">
        <f>AND('PROG FORMACIÓN TITULADA'!#REF!,"AAAAAG3c+c4=")</f>
        <v>#REF!</v>
      </c>
      <c r="GZ402" t="e">
        <f>AND('PROG FORMACIÓN TITULADA'!#REF!,"AAAAAG3c+c8=")</f>
        <v>#REF!</v>
      </c>
      <c r="HA402" t="e">
        <f>AND('PROG FORMACIÓN TITULADA'!#REF!,"AAAAAG3c+dA=")</f>
        <v>#REF!</v>
      </c>
      <c r="HB402" t="e">
        <f>AND('PROG FORMACIÓN TITULADA'!#REF!,"AAAAAG3c+dE=")</f>
        <v>#REF!</v>
      </c>
      <c r="HC402" t="e">
        <f>AND('PROG FORMACIÓN TITULADA'!#REF!,"AAAAAG3c+dI=")</f>
        <v>#REF!</v>
      </c>
      <c r="HD402" t="e">
        <f>AND('PROG FORMACIÓN TITULADA'!#REF!,"AAAAAG3c+dM=")</f>
        <v>#REF!</v>
      </c>
      <c r="HE402" t="e">
        <f>AND('PROG FORMACIÓN TITULADA'!#REF!,"AAAAAG3c+dQ=")</f>
        <v>#REF!</v>
      </c>
      <c r="HF402" t="e">
        <f>AND('PROG FORMACIÓN TITULADA'!#REF!,"AAAAAG3c+dU=")</f>
        <v>#REF!</v>
      </c>
      <c r="HG402" t="e">
        <f>AND('PROG FORMACIÓN TITULADA'!#REF!,"AAAAAG3c+dY=")</f>
        <v>#REF!</v>
      </c>
      <c r="HH402" t="e">
        <f>AND('PROG FORMACIÓN TITULADA'!#REF!,"AAAAAG3c+dc=")</f>
        <v>#REF!</v>
      </c>
      <c r="HI402" t="e">
        <f>AND('PROG FORMACIÓN TITULADA'!#REF!,"AAAAAG3c+dg=")</f>
        <v>#REF!</v>
      </c>
      <c r="HJ402" t="e">
        <f>IF('PROG FORMACIÓN TITULADA'!#REF!,"AAAAAG3c+dk=",0)</f>
        <v>#REF!</v>
      </c>
      <c r="HK402" t="e">
        <f>AND('PROG FORMACIÓN TITULADA'!#REF!,"AAAAAG3c+do=")</f>
        <v>#REF!</v>
      </c>
      <c r="HL402" t="e">
        <f>AND('PROG FORMACIÓN TITULADA'!#REF!,"AAAAAG3c+ds=")</f>
        <v>#REF!</v>
      </c>
      <c r="HM402" t="e">
        <f>AND('PROG FORMACIÓN TITULADA'!#REF!,"AAAAAG3c+dw=")</f>
        <v>#REF!</v>
      </c>
      <c r="HN402" t="e">
        <f>AND('PROG FORMACIÓN TITULADA'!#REF!,"AAAAAG3c+d0=")</f>
        <v>#REF!</v>
      </c>
      <c r="HO402" t="e">
        <f>AND('PROG FORMACIÓN TITULADA'!#REF!,"AAAAAG3c+d4=")</f>
        <v>#REF!</v>
      </c>
      <c r="HP402" t="e">
        <f>AND('PROG FORMACIÓN TITULADA'!#REF!,"AAAAAG3c+d8=")</f>
        <v>#REF!</v>
      </c>
      <c r="HQ402" t="e">
        <f>AND('PROG FORMACIÓN TITULADA'!#REF!,"AAAAAG3c+eA=")</f>
        <v>#REF!</v>
      </c>
      <c r="HR402" t="e">
        <f>AND('PROG FORMACIÓN TITULADA'!#REF!,"AAAAAG3c+eE=")</f>
        <v>#REF!</v>
      </c>
      <c r="HS402" t="e">
        <f>AND('PROG FORMACIÓN TITULADA'!#REF!,"AAAAAG3c+eI=")</f>
        <v>#REF!</v>
      </c>
      <c r="HT402" t="e">
        <f>AND('PROG FORMACIÓN TITULADA'!#REF!,"AAAAAG3c+eM=")</f>
        <v>#REF!</v>
      </c>
      <c r="HU402" t="e">
        <f>AND('PROG FORMACIÓN TITULADA'!#REF!,"AAAAAG3c+eQ=")</f>
        <v>#REF!</v>
      </c>
      <c r="HV402" t="e">
        <f>AND('PROG FORMACIÓN TITULADA'!#REF!,"AAAAAG3c+eU=")</f>
        <v>#REF!</v>
      </c>
      <c r="HW402" t="e">
        <f>AND('PROG FORMACIÓN TITULADA'!#REF!,"AAAAAG3c+eY=")</f>
        <v>#REF!</v>
      </c>
      <c r="HX402" t="e">
        <f>AND('PROG FORMACIÓN TITULADA'!#REF!,"AAAAAG3c+ec=")</f>
        <v>#REF!</v>
      </c>
      <c r="HY402" t="e">
        <f>AND('PROG FORMACIÓN TITULADA'!#REF!,"AAAAAG3c+eg=")</f>
        <v>#REF!</v>
      </c>
      <c r="HZ402" t="e">
        <f>AND('PROG FORMACIÓN TITULADA'!#REF!,"AAAAAG3c+ek=")</f>
        <v>#REF!</v>
      </c>
      <c r="IA402" t="e">
        <f>AND('PROG FORMACIÓN TITULADA'!#REF!,"AAAAAG3c+eo=")</f>
        <v>#REF!</v>
      </c>
      <c r="IB402" t="e">
        <f>AND('PROG FORMACIÓN TITULADA'!#REF!,"AAAAAG3c+es=")</f>
        <v>#REF!</v>
      </c>
      <c r="IC402" t="e">
        <f>AND('PROG FORMACIÓN TITULADA'!#REF!,"AAAAAG3c+ew=")</f>
        <v>#REF!</v>
      </c>
      <c r="ID402" t="e">
        <f>AND('PROG FORMACIÓN TITULADA'!#REF!,"AAAAAG3c+e0=")</f>
        <v>#REF!</v>
      </c>
      <c r="IE402" t="e">
        <f>AND('PROG FORMACIÓN TITULADA'!#REF!,"AAAAAG3c+e4=")</f>
        <v>#REF!</v>
      </c>
      <c r="IF402" t="e">
        <f>AND('PROG FORMACIÓN TITULADA'!#REF!,"AAAAAG3c+e8=")</f>
        <v>#REF!</v>
      </c>
      <c r="IG402" t="e">
        <f>AND('PROG FORMACIÓN TITULADA'!#REF!,"AAAAAG3c+fA=")</f>
        <v>#REF!</v>
      </c>
      <c r="IH402" t="e">
        <f>AND('PROG FORMACIÓN TITULADA'!#REF!,"AAAAAG3c+fE=")</f>
        <v>#REF!</v>
      </c>
      <c r="II402" t="e">
        <f>AND('PROG FORMACIÓN TITULADA'!#REF!,"AAAAAG3c+fI=")</f>
        <v>#REF!</v>
      </c>
      <c r="IJ402" t="e">
        <f>AND('PROG FORMACIÓN TITULADA'!#REF!,"AAAAAG3c+fM=")</f>
        <v>#REF!</v>
      </c>
      <c r="IK402" t="e">
        <f>IF('PROG FORMACIÓN TITULADA'!#REF!,"AAAAAG3c+fQ=",0)</f>
        <v>#REF!</v>
      </c>
      <c r="IL402" t="e">
        <f>AND('PROG FORMACIÓN TITULADA'!#REF!,"AAAAAG3c+fU=")</f>
        <v>#REF!</v>
      </c>
      <c r="IM402" t="e">
        <f>AND('PROG FORMACIÓN TITULADA'!#REF!,"AAAAAG3c+fY=")</f>
        <v>#REF!</v>
      </c>
      <c r="IN402" t="e">
        <f>AND('PROG FORMACIÓN TITULADA'!#REF!,"AAAAAG3c+fc=")</f>
        <v>#REF!</v>
      </c>
      <c r="IO402" t="e">
        <f>AND('PROG FORMACIÓN TITULADA'!#REF!,"AAAAAG3c+fg=")</f>
        <v>#REF!</v>
      </c>
      <c r="IP402" t="e">
        <f>AND('PROG FORMACIÓN TITULADA'!#REF!,"AAAAAG3c+fk=")</f>
        <v>#REF!</v>
      </c>
      <c r="IQ402" t="e">
        <f>AND('PROG FORMACIÓN TITULADA'!#REF!,"AAAAAG3c+fo=")</f>
        <v>#REF!</v>
      </c>
      <c r="IR402" t="e">
        <f>AND('PROG FORMACIÓN TITULADA'!#REF!,"AAAAAG3c+fs=")</f>
        <v>#REF!</v>
      </c>
      <c r="IS402" t="e">
        <f>AND('PROG FORMACIÓN TITULADA'!#REF!,"AAAAAG3c+fw=")</f>
        <v>#REF!</v>
      </c>
      <c r="IT402" t="e">
        <f>AND('PROG FORMACIÓN TITULADA'!#REF!,"AAAAAG3c+f0=")</f>
        <v>#REF!</v>
      </c>
      <c r="IU402" t="e">
        <f>AND('PROG FORMACIÓN TITULADA'!#REF!,"AAAAAG3c+f4=")</f>
        <v>#REF!</v>
      </c>
      <c r="IV402" t="e">
        <f>AND('PROG FORMACIÓN TITULADA'!#REF!,"AAAAAG3c+f8=")</f>
        <v>#REF!</v>
      </c>
    </row>
    <row r="403" spans="1:256" x14ac:dyDescent="0.2">
      <c r="A403" t="e">
        <f>AND('PROG FORMACIÓN TITULADA'!#REF!,"AAAAAB/rewA=")</f>
        <v>#REF!</v>
      </c>
      <c r="B403" t="e">
        <f>AND('PROG FORMACIÓN TITULADA'!#REF!,"AAAAAB/rewE=")</f>
        <v>#REF!</v>
      </c>
      <c r="C403" t="e">
        <f>AND('PROG FORMACIÓN TITULADA'!#REF!,"AAAAAB/rewI=")</f>
        <v>#REF!</v>
      </c>
      <c r="D403" t="e">
        <f>AND('PROG FORMACIÓN TITULADA'!#REF!,"AAAAAB/rewM=")</f>
        <v>#REF!</v>
      </c>
      <c r="E403" t="e">
        <f>AND('PROG FORMACIÓN TITULADA'!#REF!,"AAAAAB/rewQ=")</f>
        <v>#REF!</v>
      </c>
      <c r="F403" t="e">
        <f>AND('PROG FORMACIÓN TITULADA'!#REF!,"AAAAAB/rewU=")</f>
        <v>#REF!</v>
      </c>
      <c r="G403" t="e">
        <f>AND('PROG FORMACIÓN TITULADA'!#REF!,"AAAAAB/rewY=")</f>
        <v>#REF!</v>
      </c>
      <c r="H403" t="e">
        <f>AND('PROG FORMACIÓN TITULADA'!#REF!,"AAAAAB/rewc=")</f>
        <v>#REF!</v>
      </c>
      <c r="I403" t="e">
        <f>AND('PROG FORMACIÓN TITULADA'!#REF!,"AAAAAB/rewg=")</f>
        <v>#REF!</v>
      </c>
      <c r="J403" t="e">
        <f>AND('PROG FORMACIÓN TITULADA'!#REF!,"AAAAAB/rewk=")</f>
        <v>#REF!</v>
      </c>
      <c r="K403" t="e">
        <f>AND('PROG FORMACIÓN TITULADA'!#REF!,"AAAAAB/rewo=")</f>
        <v>#REF!</v>
      </c>
      <c r="L403" t="e">
        <f>AND('PROG FORMACIÓN TITULADA'!#REF!,"AAAAAB/rews=")</f>
        <v>#REF!</v>
      </c>
      <c r="M403" t="e">
        <f>AND('PROG FORMACIÓN TITULADA'!#REF!,"AAAAAB/reww=")</f>
        <v>#REF!</v>
      </c>
      <c r="N403" t="e">
        <f>AND('PROG FORMACIÓN TITULADA'!#REF!,"AAAAAB/rew0=")</f>
        <v>#REF!</v>
      </c>
      <c r="O403" t="e">
        <f>AND('PROG FORMACIÓN TITULADA'!#REF!,"AAAAAB/rew4=")</f>
        <v>#REF!</v>
      </c>
      <c r="P403" t="s">
        <v>620</v>
      </c>
      <c r="Q403" t="s">
        <v>621</v>
      </c>
      <c r="R403" t="e">
        <f>IF("N",'Calendario Académico 2014'!_xlnm.Print_Area,"AAAAAB/rexE=")</f>
        <v>#VALUE!</v>
      </c>
      <c r="S403" t="e">
        <f>IF("N",'PROG FORMACIÓN TITULADA'!_xlnm.Print_Area,"AAAAAB/rexI=")</f>
        <v>#VALUE!</v>
      </c>
      <c r="T403" t="e">
        <f>IF("N",_xlnm.Print_Area,"AAAAAB/rexM=")</f>
        <v>#VALUE!</v>
      </c>
    </row>
    <row r="404" spans="1:256" x14ac:dyDescent="0.2">
      <c r="A404" t="e">
        <f>IF('POTENCIAL HORAS'!98:98,"AAAAADd57wA=",0)</f>
        <v>#VALUE!</v>
      </c>
      <c r="B404" t="e">
        <f>AND('POTENCIAL HORAS'!A98,"AAAAADd57wE=")</f>
        <v>#VALUE!</v>
      </c>
      <c r="C404" t="e">
        <f>AND('POTENCIAL HORAS'!B98,"AAAAADd57wI=")</f>
        <v>#VALUE!</v>
      </c>
      <c r="D404" t="e">
        <f>AND('POTENCIAL HORAS'!C98,"AAAAADd57wM=")</f>
        <v>#VALUE!</v>
      </c>
      <c r="E404" t="e">
        <f>AND('POTENCIAL HORAS'!D98,"AAAAADd57wQ=")</f>
        <v>#VALUE!</v>
      </c>
      <c r="F404" t="e">
        <f>AND('POTENCIAL HORAS'!E98,"AAAAADd57wU=")</f>
        <v>#VALUE!</v>
      </c>
      <c r="G404" t="e">
        <f>AND('POTENCIAL HORAS'!F98,"AAAAADd57wY=")</f>
        <v>#VALUE!</v>
      </c>
      <c r="H404" t="e">
        <f>AND('POTENCIAL HORAS'!G98,"AAAAADd57wc=")</f>
        <v>#VALUE!</v>
      </c>
      <c r="I404" t="e">
        <f>AND('POTENCIAL HORAS'!H98,"AAAAADd57wg=")</f>
        <v>#VALUE!</v>
      </c>
      <c r="J404" t="e">
        <f>AND('POTENCIAL HORAS'!I98,"AAAAADd57wk=")</f>
        <v>#VALUE!</v>
      </c>
      <c r="K404" t="e">
        <f>AND('POTENCIAL HORAS'!J98,"AAAAADd57wo=")</f>
        <v>#VALUE!</v>
      </c>
      <c r="L404" t="e">
        <f>AND('POTENCIAL HORAS'!K98,"AAAAADd57ws=")</f>
        <v>#VALUE!</v>
      </c>
      <c r="M404" t="e">
        <f>AND('POTENCIAL HORAS'!L98,"AAAAADd57ww=")</f>
        <v>#VALUE!</v>
      </c>
      <c r="N404" t="e">
        <f>AND('POTENCIAL HORAS'!M98,"AAAAADd57w0=")</f>
        <v>#VALUE!</v>
      </c>
      <c r="O404" t="e">
        <f>AND('POTENCIAL HORAS'!N98,"AAAAADd57w4=")</f>
        <v>#VALUE!</v>
      </c>
      <c r="P404" t="e">
        <f>AND('POTENCIAL HORAS'!O98,"AAAAADd57w8=")</f>
        <v>#VALUE!</v>
      </c>
      <c r="Q404" t="e">
        <f>AND('POTENCIAL HORAS'!P98,"AAAAADd57xA=")</f>
        <v>#VALUE!</v>
      </c>
      <c r="R404" t="e">
        <f>AND('POTENCIAL HORAS'!#REF!,"AAAAADd57xE=")</f>
        <v>#REF!</v>
      </c>
      <c r="S404" t="e">
        <f>AND('POTENCIAL HORAS'!#REF!,"AAAAADd57xI=")</f>
        <v>#REF!</v>
      </c>
      <c r="T404" t="e">
        <f>AND('POTENCIAL HORAS'!#REF!,"AAAAADd57xM=")</f>
        <v>#REF!</v>
      </c>
      <c r="U404" t="e">
        <f>AND('POTENCIAL HORAS'!#REF!,"AAAAADd57xQ=")</f>
        <v>#REF!</v>
      </c>
      <c r="V404" t="e">
        <f>AND('POTENCIAL HORAS'!#REF!,"AAAAADd57xU=")</f>
        <v>#REF!</v>
      </c>
      <c r="W404" t="e">
        <f>AND('POTENCIAL HORAS'!#REF!,"AAAAADd57xY=")</f>
        <v>#REF!</v>
      </c>
      <c r="X404" t="e">
        <f>AND('POTENCIAL HORAS'!#REF!,"AAAAADd57xc=")</f>
        <v>#REF!</v>
      </c>
      <c r="Y404" t="e">
        <f>AND('POTENCIAL HORAS'!#REF!,"AAAAADd57xg=")</f>
        <v>#REF!</v>
      </c>
      <c r="Z404" t="e">
        <f>AND('POTENCIAL HORAS'!#REF!,"AAAAADd57xk=")</f>
        <v>#REF!</v>
      </c>
      <c r="AA404" t="e">
        <f>AND('POTENCIAL HORAS'!#REF!,"AAAAADd57xo=")</f>
        <v>#REF!</v>
      </c>
      <c r="AB404" t="e">
        <f>AND('POTENCIAL HORAS'!#REF!,"AAAAADd57xs=")</f>
        <v>#REF!</v>
      </c>
      <c r="AC404" t="e">
        <f>AND('POTENCIAL HORAS'!#REF!,"AAAAADd57xw=")</f>
        <v>#REF!</v>
      </c>
      <c r="AD404" t="e">
        <f>AND('POTENCIAL HORAS'!#REF!,"AAAAADd57x0=")</f>
        <v>#REF!</v>
      </c>
      <c r="AE404" t="e">
        <f>AND('POTENCIAL HORAS'!#REF!,"AAAAADd57x4=")</f>
        <v>#REF!</v>
      </c>
      <c r="AF404" t="e">
        <f>AND('POTENCIAL HORAS'!#REF!,"AAAAADd57x8=")</f>
        <v>#REF!</v>
      </c>
      <c r="AG404" t="e">
        <f>AND('POTENCIAL HORAS'!#REF!,"AAAAADd57yA=")</f>
        <v>#REF!</v>
      </c>
      <c r="AH404" t="e">
        <f>AND('POTENCIAL HORAS'!#REF!,"AAAAADd57yE=")</f>
        <v>#REF!</v>
      </c>
      <c r="AI404" t="e">
        <f>AND('POTENCIAL HORAS'!#REF!,"AAAAADd57yI=")</f>
        <v>#REF!</v>
      </c>
      <c r="AJ404" t="e">
        <f>AND('POTENCIAL HORAS'!#REF!,"AAAAADd57yM=")</f>
        <v>#REF!</v>
      </c>
      <c r="AK404" t="e">
        <f>AND('POTENCIAL HORAS'!#REF!,"AAAAADd57yQ=")</f>
        <v>#REF!</v>
      </c>
      <c r="AL404" t="e">
        <f>AND('POTENCIAL HORAS'!Q98,"AAAAADd57yU=")</f>
        <v>#VALUE!</v>
      </c>
      <c r="AM404" t="e">
        <f>AND('POTENCIAL HORAS'!R98,"AAAAADd57yY=")</f>
        <v>#VALUE!</v>
      </c>
      <c r="AN404">
        <f>IF('POTENCIAL HORAS'!111:111,"AAAAADd57yc=",0)</f>
        <v>0</v>
      </c>
      <c r="AO404" t="e">
        <f>AND('POTENCIAL HORAS'!A111,"AAAAADd57yg=")</f>
        <v>#VALUE!</v>
      </c>
      <c r="AP404" t="e">
        <f>AND('POTENCIAL HORAS'!B111,"AAAAADd57yk=")</f>
        <v>#VALUE!</v>
      </c>
      <c r="AQ404" t="e">
        <f>AND('POTENCIAL HORAS'!C111,"AAAAADd57yo=")</f>
        <v>#VALUE!</v>
      </c>
      <c r="AR404" t="e">
        <f>AND('POTENCIAL HORAS'!D111,"AAAAADd57ys=")</f>
        <v>#VALUE!</v>
      </c>
      <c r="AS404" t="e">
        <f>AND('POTENCIAL HORAS'!E111,"AAAAADd57yw=")</f>
        <v>#VALUE!</v>
      </c>
      <c r="AT404" t="e">
        <f>AND('POTENCIAL HORAS'!F111,"AAAAADd57y0=")</f>
        <v>#VALUE!</v>
      </c>
      <c r="AU404" t="e">
        <f>AND('POTENCIAL HORAS'!G111,"AAAAADd57y4=")</f>
        <v>#VALUE!</v>
      </c>
      <c r="AV404" t="e">
        <f>AND('POTENCIAL HORAS'!H111,"AAAAADd57y8=")</f>
        <v>#VALUE!</v>
      </c>
      <c r="AW404" t="e">
        <f>AND('POTENCIAL HORAS'!I111,"AAAAADd57zA=")</f>
        <v>#VALUE!</v>
      </c>
      <c r="AX404" t="e">
        <f>AND('POTENCIAL HORAS'!J111,"AAAAADd57zE=")</f>
        <v>#VALUE!</v>
      </c>
      <c r="AY404" t="e">
        <f>AND('POTENCIAL HORAS'!K111,"AAAAADd57zI=")</f>
        <v>#VALUE!</v>
      </c>
      <c r="AZ404" t="e">
        <f>AND('POTENCIAL HORAS'!L111,"AAAAADd57zM=")</f>
        <v>#VALUE!</v>
      </c>
      <c r="BA404" t="e">
        <f>AND('POTENCIAL HORAS'!M111,"AAAAADd57zQ=")</f>
        <v>#VALUE!</v>
      </c>
      <c r="BB404" t="e">
        <f>AND('POTENCIAL HORAS'!N111,"AAAAADd57zU=")</f>
        <v>#VALUE!</v>
      </c>
      <c r="BC404" t="e">
        <f>AND('POTENCIAL HORAS'!O111,"AAAAADd57zY=")</f>
        <v>#VALUE!</v>
      </c>
      <c r="BD404" t="e">
        <f>AND('POTENCIAL HORAS'!P111,"AAAAADd57zc=")</f>
        <v>#VALUE!</v>
      </c>
      <c r="BE404" t="e">
        <f>AND('POTENCIAL HORAS'!#REF!,"AAAAADd57zg=")</f>
        <v>#REF!</v>
      </c>
      <c r="BF404" t="e">
        <f>AND('POTENCIAL HORAS'!#REF!,"AAAAADd57zk=")</f>
        <v>#REF!</v>
      </c>
      <c r="BG404" t="e">
        <f>AND('POTENCIAL HORAS'!#REF!,"AAAAADd57zo=")</f>
        <v>#REF!</v>
      </c>
      <c r="BH404" t="e">
        <f>AND('POTENCIAL HORAS'!#REF!,"AAAAADd57zs=")</f>
        <v>#REF!</v>
      </c>
      <c r="BI404" t="e">
        <f>AND('POTENCIAL HORAS'!#REF!,"AAAAADd57zw=")</f>
        <v>#REF!</v>
      </c>
      <c r="BJ404" t="e">
        <f>AND('POTENCIAL HORAS'!#REF!,"AAAAADd57z0=")</f>
        <v>#REF!</v>
      </c>
      <c r="BK404" t="e">
        <f>AND('POTENCIAL HORAS'!#REF!,"AAAAADd57z4=")</f>
        <v>#REF!</v>
      </c>
      <c r="BL404" t="e">
        <f>AND('POTENCIAL HORAS'!#REF!,"AAAAADd57z8=")</f>
        <v>#REF!</v>
      </c>
      <c r="BM404" t="e">
        <f>AND('POTENCIAL HORAS'!#REF!,"AAAAADd570A=")</f>
        <v>#REF!</v>
      </c>
      <c r="BN404" t="e">
        <f>AND('POTENCIAL HORAS'!#REF!,"AAAAADd570E=")</f>
        <v>#REF!</v>
      </c>
      <c r="BO404" t="e">
        <f>AND('POTENCIAL HORAS'!#REF!,"AAAAADd570I=")</f>
        <v>#REF!</v>
      </c>
      <c r="BP404" t="e">
        <f>AND('POTENCIAL HORAS'!#REF!,"AAAAADd570M=")</f>
        <v>#REF!</v>
      </c>
      <c r="BQ404" t="e">
        <f>AND('POTENCIAL HORAS'!#REF!,"AAAAADd570Q=")</f>
        <v>#REF!</v>
      </c>
      <c r="BR404" t="e">
        <f>AND('POTENCIAL HORAS'!#REF!,"AAAAADd570U=")</f>
        <v>#REF!</v>
      </c>
      <c r="BS404" t="e">
        <f>AND('POTENCIAL HORAS'!#REF!,"AAAAADd570Y=")</f>
        <v>#REF!</v>
      </c>
      <c r="BT404" t="e">
        <f>AND('POTENCIAL HORAS'!#REF!,"AAAAADd570c=")</f>
        <v>#REF!</v>
      </c>
      <c r="BU404" t="e">
        <f>AND('POTENCIAL HORAS'!#REF!,"AAAAADd570g=")</f>
        <v>#REF!</v>
      </c>
      <c r="BV404" t="e">
        <f>AND('POTENCIAL HORAS'!#REF!,"AAAAADd570k=")</f>
        <v>#REF!</v>
      </c>
      <c r="BW404" t="e">
        <f>AND('POTENCIAL HORAS'!#REF!,"AAAAADd570o=")</f>
        <v>#REF!</v>
      </c>
      <c r="BX404" t="e">
        <f>AND('POTENCIAL HORAS'!#REF!,"AAAAADd570s=")</f>
        <v>#REF!</v>
      </c>
      <c r="BY404" t="e">
        <f>AND('POTENCIAL HORAS'!Q111,"AAAAADd570w=")</f>
        <v>#VALUE!</v>
      </c>
      <c r="BZ404" t="e">
        <f>AND('POTENCIAL HORAS'!R111,"AAAAADd5700=")</f>
        <v>#VALUE!</v>
      </c>
      <c r="CA404" t="e">
        <f>IF('POTENCIAL HORAS'!#REF!,"AAAAADd5704=",0)</f>
        <v>#REF!</v>
      </c>
      <c r="CB404" t="e">
        <f>AND('POTENCIAL HORAS'!#REF!,"AAAAADd5708=")</f>
        <v>#REF!</v>
      </c>
      <c r="CC404" t="e">
        <f>AND('POTENCIAL HORAS'!#REF!,"AAAAADd571A=")</f>
        <v>#REF!</v>
      </c>
      <c r="CD404" t="e">
        <f>AND('POTENCIAL HORAS'!#REF!,"AAAAADd571E=")</f>
        <v>#REF!</v>
      </c>
      <c r="CE404" t="e">
        <f>AND('POTENCIAL HORAS'!#REF!,"AAAAADd571I=")</f>
        <v>#REF!</v>
      </c>
      <c r="CF404" t="e">
        <f>AND('POTENCIAL HORAS'!#REF!,"AAAAADd571M=")</f>
        <v>#REF!</v>
      </c>
      <c r="CG404" t="e">
        <f>AND('POTENCIAL HORAS'!#REF!,"AAAAADd571Q=")</f>
        <v>#REF!</v>
      </c>
      <c r="CH404" t="e">
        <f>AND('POTENCIAL HORAS'!#REF!,"AAAAADd571U=")</f>
        <v>#REF!</v>
      </c>
      <c r="CI404" t="e">
        <f>AND('POTENCIAL HORAS'!#REF!,"AAAAADd571Y=")</f>
        <v>#REF!</v>
      </c>
      <c r="CJ404" t="e">
        <f>AND('POTENCIAL HORAS'!#REF!,"AAAAADd571c=")</f>
        <v>#REF!</v>
      </c>
      <c r="CK404" t="e">
        <f>AND('POTENCIAL HORAS'!#REF!,"AAAAADd571g=")</f>
        <v>#REF!</v>
      </c>
      <c r="CL404" t="e">
        <f>AND('POTENCIAL HORAS'!#REF!,"AAAAADd571k=")</f>
        <v>#REF!</v>
      </c>
      <c r="CM404" t="e">
        <f>AND('POTENCIAL HORAS'!#REF!,"AAAAADd571o=")</f>
        <v>#REF!</v>
      </c>
      <c r="CN404" t="e">
        <f>AND('POTENCIAL HORAS'!#REF!,"AAAAADd571s=")</f>
        <v>#REF!</v>
      </c>
      <c r="CO404" t="e">
        <f>AND('POTENCIAL HORAS'!#REF!,"AAAAADd571w=")</f>
        <v>#REF!</v>
      </c>
      <c r="CP404" t="e">
        <f>AND('POTENCIAL HORAS'!#REF!,"AAAAADd5710=")</f>
        <v>#REF!</v>
      </c>
      <c r="CQ404" t="e">
        <f>AND('POTENCIAL HORAS'!#REF!,"AAAAADd5714=")</f>
        <v>#REF!</v>
      </c>
      <c r="CR404" t="e">
        <f>AND('POTENCIAL HORAS'!#REF!,"AAAAADd5718=")</f>
        <v>#REF!</v>
      </c>
      <c r="CS404" t="e">
        <f>AND('POTENCIAL HORAS'!#REF!,"AAAAADd572A=")</f>
        <v>#REF!</v>
      </c>
      <c r="CT404" t="e">
        <f>AND('POTENCIAL HORAS'!#REF!,"AAAAADd572E=")</f>
        <v>#REF!</v>
      </c>
      <c r="CU404" t="e">
        <f>AND('POTENCIAL HORAS'!#REF!,"AAAAADd572I=")</f>
        <v>#REF!</v>
      </c>
      <c r="CV404" t="e">
        <f>AND('POTENCIAL HORAS'!#REF!,"AAAAADd572M=")</f>
        <v>#REF!</v>
      </c>
      <c r="CW404" t="e">
        <f>AND('POTENCIAL HORAS'!#REF!,"AAAAADd572Q=")</f>
        <v>#REF!</v>
      </c>
      <c r="CX404" t="e">
        <f>AND('POTENCIAL HORAS'!#REF!,"AAAAADd572U=")</f>
        <v>#REF!</v>
      </c>
      <c r="CY404" t="e">
        <f>AND('POTENCIAL HORAS'!#REF!,"AAAAADd572Y=")</f>
        <v>#REF!</v>
      </c>
      <c r="CZ404" t="e">
        <f>AND('POTENCIAL HORAS'!#REF!,"AAAAADd572c=")</f>
        <v>#REF!</v>
      </c>
      <c r="DA404" t="e">
        <f>AND('POTENCIAL HORAS'!#REF!,"AAAAADd572g=")</f>
        <v>#REF!</v>
      </c>
      <c r="DB404" t="e">
        <f>AND('POTENCIAL HORAS'!#REF!,"AAAAADd572k=")</f>
        <v>#REF!</v>
      </c>
      <c r="DC404" t="e">
        <f>AND('POTENCIAL HORAS'!#REF!,"AAAAADd572o=")</f>
        <v>#REF!</v>
      </c>
      <c r="DD404" t="e">
        <f>AND('POTENCIAL HORAS'!#REF!,"AAAAADd572s=")</f>
        <v>#REF!</v>
      </c>
      <c r="DE404" t="e">
        <f>AND('POTENCIAL HORAS'!#REF!,"AAAAADd572w=")</f>
        <v>#REF!</v>
      </c>
      <c r="DF404" t="e">
        <f>AND('POTENCIAL HORAS'!#REF!,"AAAAADd5720=")</f>
        <v>#REF!</v>
      </c>
      <c r="DG404" t="e">
        <f>AND('POTENCIAL HORAS'!#REF!,"AAAAADd5724=")</f>
        <v>#REF!</v>
      </c>
      <c r="DH404" t="e">
        <f>AND('POTENCIAL HORAS'!#REF!,"AAAAADd5728=")</f>
        <v>#REF!</v>
      </c>
      <c r="DI404" t="e">
        <f>AND('POTENCIAL HORAS'!#REF!,"AAAAADd573A=")</f>
        <v>#REF!</v>
      </c>
      <c r="DJ404" t="e">
        <f>AND('POTENCIAL HORAS'!#REF!,"AAAAADd573E=")</f>
        <v>#REF!</v>
      </c>
      <c r="DK404" t="e">
        <f>AND('POTENCIAL HORAS'!#REF!,"AAAAADd573I=")</f>
        <v>#REF!</v>
      </c>
      <c r="DL404" t="e">
        <f>AND('POTENCIAL HORAS'!#REF!,"AAAAADd573M=")</f>
        <v>#REF!</v>
      </c>
      <c r="DM404" t="e">
        <f>AND('POTENCIAL HORAS'!#REF!,"AAAAADd573Q=")</f>
        <v>#REF!</v>
      </c>
      <c r="DN404" t="e">
        <f>IF('POTENCIAL HORAS'!#REF!,"AAAAADd573U=",0)</f>
        <v>#REF!</v>
      </c>
      <c r="DO404" t="e">
        <f>AND('POTENCIAL HORAS'!#REF!,"AAAAADd573Y=")</f>
        <v>#REF!</v>
      </c>
      <c r="DP404" t="e">
        <f>AND('POTENCIAL HORAS'!#REF!,"AAAAADd573c=")</f>
        <v>#REF!</v>
      </c>
      <c r="DQ404" t="e">
        <f>AND('POTENCIAL HORAS'!#REF!,"AAAAADd573g=")</f>
        <v>#REF!</v>
      </c>
      <c r="DR404" t="e">
        <f>AND('POTENCIAL HORAS'!#REF!,"AAAAADd573k=")</f>
        <v>#REF!</v>
      </c>
      <c r="DS404" t="e">
        <f>AND('POTENCIAL HORAS'!#REF!,"AAAAADd573o=")</f>
        <v>#REF!</v>
      </c>
      <c r="DT404" t="e">
        <f>AND('POTENCIAL HORAS'!#REF!,"AAAAADd573s=")</f>
        <v>#REF!</v>
      </c>
      <c r="DU404" t="e">
        <f>AND('POTENCIAL HORAS'!#REF!,"AAAAADd573w=")</f>
        <v>#REF!</v>
      </c>
      <c r="DV404" t="e">
        <f>AND('POTENCIAL HORAS'!#REF!,"AAAAADd5730=")</f>
        <v>#REF!</v>
      </c>
      <c r="DW404" t="e">
        <f>AND('POTENCIAL HORAS'!#REF!,"AAAAADd5734=")</f>
        <v>#REF!</v>
      </c>
      <c r="DX404" t="e">
        <f>AND('POTENCIAL HORAS'!#REF!,"AAAAADd5738=")</f>
        <v>#REF!</v>
      </c>
      <c r="DY404" t="e">
        <f>AND('POTENCIAL HORAS'!#REF!,"AAAAADd574A=")</f>
        <v>#REF!</v>
      </c>
      <c r="DZ404" t="e">
        <f>AND('POTENCIAL HORAS'!#REF!,"AAAAADd574E=")</f>
        <v>#REF!</v>
      </c>
      <c r="EA404" t="e">
        <f>AND('POTENCIAL HORAS'!#REF!,"AAAAADd574I=")</f>
        <v>#REF!</v>
      </c>
      <c r="EB404" t="e">
        <f>AND('POTENCIAL HORAS'!#REF!,"AAAAADd574M=")</f>
        <v>#REF!</v>
      </c>
      <c r="EC404" t="e">
        <f>AND('POTENCIAL HORAS'!#REF!,"AAAAADd574Q=")</f>
        <v>#REF!</v>
      </c>
      <c r="ED404" t="e">
        <f>AND('POTENCIAL HORAS'!#REF!,"AAAAADd574U=")</f>
        <v>#REF!</v>
      </c>
      <c r="EE404" t="e">
        <f>AND('POTENCIAL HORAS'!#REF!,"AAAAADd574Y=")</f>
        <v>#REF!</v>
      </c>
      <c r="EF404" t="e">
        <f>AND('POTENCIAL HORAS'!#REF!,"AAAAADd574c=")</f>
        <v>#REF!</v>
      </c>
      <c r="EG404" t="e">
        <f>AND('POTENCIAL HORAS'!#REF!,"AAAAADd574g=")</f>
        <v>#REF!</v>
      </c>
      <c r="EH404" t="e">
        <f>AND('POTENCIAL HORAS'!#REF!,"AAAAADd574k=")</f>
        <v>#REF!</v>
      </c>
      <c r="EI404" t="e">
        <f>AND('POTENCIAL HORAS'!#REF!,"AAAAADd574o=")</f>
        <v>#REF!</v>
      </c>
      <c r="EJ404" t="e">
        <f>AND('POTENCIAL HORAS'!#REF!,"AAAAADd574s=")</f>
        <v>#REF!</v>
      </c>
      <c r="EK404" t="e">
        <f>AND('POTENCIAL HORAS'!#REF!,"AAAAADd574w=")</f>
        <v>#REF!</v>
      </c>
      <c r="EL404" t="e">
        <f>AND('POTENCIAL HORAS'!#REF!,"AAAAADd5740=")</f>
        <v>#REF!</v>
      </c>
      <c r="EM404" t="e">
        <f>AND('POTENCIAL HORAS'!#REF!,"AAAAADd5744=")</f>
        <v>#REF!</v>
      </c>
      <c r="EN404" t="e">
        <f>AND('POTENCIAL HORAS'!#REF!,"AAAAADd5748=")</f>
        <v>#REF!</v>
      </c>
      <c r="EO404" t="e">
        <f>AND('POTENCIAL HORAS'!#REF!,"AAAAADd575A=")</f>
        <v>#REF!</v>
      </c>
      <c r="EP404" t="e">
        <f>AND('POTENCIAL HORAS'!#REF!,"AAAAADd575E=")</f>
        <v>#REF!</v>
      </c>
      <c r="EQ404" t="e">
        <f>AND('POTENCIAL HORAS'!#REF!,"AAAAADd575I=")</f>
        <v>#REF!</v>
      </c>
      <c r="ER404" t="e">
        <f>AND('POTENCIAL HORAS'!#REF!,"AAAAADd575M=")</f>
        <v>#REF!</v>
      </c>
      <c r="ES404" t="e">
        <f>AND('POTENCIAL HORAS'!#REF!,"AAAAADd575Q=")</f>
        <v>#REF!</v>
      </c>
      <c r="ET404" t="e">
        <f>AND('POTENCIAL HORAS'!#REF!,"AAAAADd575U=")</f>
        <v>#REF!</v>
      </c>
      <c r="EU404" t="e">
        <f>AND('POTENCIAL HORAS'!#REF!,"AAAAADd575Y=")</f>
        <v>#REF!</v>
      </c>
      <c r="EV404" t="e">
        <f>AND('POTENCIAL HORAS'!#REF!,"AAAAADd575c=")</f>
        <v>#REF!</v>
      </c>
      <c r="EW404" t="e">
        <f>AND('POTENCIAL HORAS'!#REF!,"AAAAADd575g=")</f>
        <v>#REF!</v>
      </c>
      <c r="EX404" t="e">
        <f>AND('POTENCIAL HORAS'!#REF!,"AAAAADd575k=")</f>
        <v>#REF!</v>
      </c>
      <c r="EY404" t="e">
        <f>AND('POTENCIAL HORAS'!#REF!,"AAAAADd575o=")</f>
        <v>#REF!</v>
      </c>
      <c r="EZ404" t="e">
        <f>AND('POTENCIAL HORAS'!#REF!,"AAAAADd575s=")</f>
        <v>#REF!</v>
      </c>
      <c r="FA404" t="e">
        <f>IF('POTENCIAL HORAS'!#REF!,"AAAAADd575w=",0)</f>
        <v>#REF!</v>
      </c>
      <c r="FB404" t="e">
        <f>AND('POTENCIAL HORAS'!#REF!,"AAAAADd5750=")</f>
        <v>#REF!</v>
      </c>
      <c r="FC404" t="e">
        <f>AND('POTENCIAL HORAS'!#REF!,"AAAAADd5754=")</f>
        <v>#REF!</v>
      </c>
      <c r="FD404" t="e">
        <f>AND('POTENCIAL HORAS'!#REF!,"AAAAADd5758=")</f>
        <v>#REF!</v>
      </c>
      <c r="FE404" t="e">
        <f>AND('POTENCIAL HORAS'!#REF!,"AAAAADd576A=")</f>
        <v>#REF!</v>
      </c>
      <c r="FF404" t="e">
        <f>AND('POTENCIAL HORAS'!#REF!,"AAAAADd576E=")</f>
        <v>#REF!</v>
      </c>
      <c r="FG404" t="e">
        <f>AND('POTENCIAL HORAS'!#REF!,"AAAAADd576I=")</f>
        <v>#REF!</v>
      </c>
      <c r="FH404" t="e">
        <f>AND('POTENCIAL HORAS'!#REF!,"AAAAADd576M=")</f>
        <v>#REF!</v>
      </c>
      <c r="FI404" t="e">
        <f>AND('POTENCIAL HORAS'!#REF!,"AAAAADd576Q=")</f>
        <v>#REF!</v>
      </c>
      <c r="FJ404" t="e">
        <f>AND('POTENCIAL HORAS'!#REF!,"AAAAADd576U=")</f>
        <v>#REF!</v>
      </c>
      <c r="FK404" t="e">
        <f>AND('POTENCIAL HORAS'!#REF!,"AAAAADd576Y=")</f>
        <v>#REF!</v>
      </c>
      <c r="FL404" t="e">
        <f>AND('POTENCIAL HORAS'!#REF!,"AAAAADd576c=")</f>
        <v>#REF!</v>
      </c>
      <c r="FM404" t="e">
        <f>AND('POTENCIAL HORAS'!#REF!,"AAAAADd576g=")</f>
        <v>#REF!</v>
      </c>
      <c r="FN404" t="e">
        <f>AND('POTENCIAL HORAS'!#REF!,"AAAAADd576k=")</f>
        <v>#REF!</v>
      </c>
      <c r="FO404" t="e">
        <f>AND('POTENCIAL HORAS'!#REF!,"AAAAADd576o=")</f>
        <v>#REF!</v>
      </c>
      <c r="FP404" t="e">
        <f>AND('POTENCIAL HORAS'!#REF!,"AAAAADd576s=")</f>
        <v>#REF!</v>
      </c>
      <c r="FQ404" t="e">
        <f>AND('POTENCIAL HORAS'!#REF!,"AAAAADd576w=")</f>
        <v>#REF!</v>
      </c>
      <c r="FR404" t="e">
        <f>AND('POTENCIAL HORAS'!#REF!,"AAAAADd5760=")</f>
        <v>#REF!</v>
      </c>
      <c r="FS404" t="e">
        <f>AND('POTENCIAL HORAS'!#REF!,"AAAAADd5764=")</f>
        <v>#REF!</v>
      </c>
      <c r="FT404" t="e">
        <f>AND('POTENCIAL HORAS'!#REF!,"AAAAADd5768=")</f>
        <v>#REF!</v>
      </c>
      <c r="FU404" t="e">
        <f>AND('POTENCIAL HORAS'!#REF!,"AAAAADd577A=")</f>
        <v>#REF!</v>
      </c>
      <c r="FV404" t="e">
        <f>AND('POTENCIAL HORAS'!#REF!,"AAAAADd577E=")</f>
        <v>#REF!</v>
      </c>
      <c r="FW404" t="e">
        <f>AND('POTENCIAL HORAS'!#REF!,"AAAAADd577I=")</f>
        <v>#REF!</v>
      </c>
      <c r="FX404" t="e">
        <f>AND('POTENCIAL HORAS'!#REF!,"AAAAADd577M=")</f>
        <v>#REF!</v>
      </c>
      <c r="FY404" t="e">
        <f>AND('POTENCIAL HORAS'!#REF!,"AAAAADd577Q=")</f>
        <v>#REF!</v>
      </c>
      <c r="FZ404" t="e">
        <f>AND('POTENCIAL HORAS'!#REF!,"AAAAADd577U=")</f>
        <v>#REF!</v>
      </c>
      <c r="GA404" t="e">
        <f>AND('POTENCIAL HORAS'!#REF!,"AAAAADd577Y=")</f>
        <v>#REF!</v>
      </c>
      <c r="GB404" t="e">
        <f>AND('POTENCIAL HORAS'!#REF!,"AAAAADd577c=")</f>
        <v>#REF!</v>
      </c>
      <c r="GC404" t="e">
        <f>AND('POTENCIAL HORAS'!#REF!,"AAAAADd577g=")</f>
        <v>#REF!</v>
      </c>
      <c r="GD404" t="e">
        <f>AND('POTENCIAL HORAS'!#REF!,"AAAAADd577k=")</f>
        <v>#REF!</v>
      </c>
      <c r="GE404" t="e">
        <f>AND('POTENCIAL HORAS'!#REF!,"AAAAADd577o=")</f>
        <v>#REF!</v>
      </c>
      <c r="GF404" t="e">
        <f>AND('POTENCIAL HORAS'!#REF!,"AAAAADd577s=")</f>
        <v>#REF!</v>
      </c>
      <c r="GG404" t="e">
        <f>AND('POTENCIAL HORAS'!#REF!,"AAAAADd577w=")</f>
        <v>#REF!</v>
      </c>
      <c r="GH404" t="e">
        <f>AND('POTENCIAL HORAS'!#REF!,"AAAAADd5770=")</f>
        <v>#REF!</v>
      </c>
      <c r="GI404" t="e">
        <f>AND('POTENCIAL HORAS'!#REF!,"AAAAADd5774=")</f>
        <v>#REF!</v>
      </c>
      <c r="GJ404" t="e">
        <f>AND('POTENCIAL HORAS'!#REF!,"AAAAADd5778=")</f>
        <v>#REF!</v>
      </c>
      <c r="GK404" t="e">
        <f>AND('POTENCIAL HORAS'!#REF!,"AAAAADd578A=")</f>
        <v>#REF!</v>
      </c>
      <c r="GL404" t="e">
        <f>AND('POTENCIAL HORAS'!#REF!,"AAAAADd578E=")</f>
        <v>#REF!</v>
      </c>
      <c r="GM404" t="e">
        <f>AND('POTENCIAL HORAS'!#REF!,"AAAAADd578I=")</f>
        <v>#REF!</v>
      </c>
      <c r="GN404" t="e">
        <f>IF('POTENCIAL HORAS'!#REF!,"AAAAADd578M=",0)</f>
        <v>#REF!</v>
      </c>
      <c r="GO404" t="e">
        <f>AND('POTENCIAL HORAS'!#REF!,"AAAAADd578Q=")</f>
        <v>#REF!</v>
      </c>
      <c r="GP404" t="e">
        <f>AND('POTENCIAL HORAS'!#REF!,"AAAAADd578U=")</f>
        <v>#REF!</v>
      </c>
      <c r="GQ404" t="e">
        <f>AND('POTENCIAL HORAS'!#REF!,"AAAAADd578Y=")</f>
        <v>#REF!</v>
      </c>
      <c r="GR404" t="e">
        <f>AND('POTENCIAL HORAS'!#REF!,"AAAAADd578c=")</f>
        <v>#REF!</v>
      </c>
      <c r="GS404" t="e">
        <f>AND('POTENCIAL HORAS'!#REF!,"AAAAADd578g=")</f>
        <v>#REF!</v>
      </c>
      <c r="GT404" t="e">
        <f>AND('POTENCIAL HORAS'!#REF!,"AAAAADd578k=")</f>
        <v>#REF!</v>
      </c>
      <c r="GU404" t="e">
        <f>AND('POTENCIAL HORAS'!#REF!,"AAAAADd578o=")</f>
        <v>#REF!</v>
      </c>
      <c r="GV404" t="e">
        <f>AND('POTENCIAL HORAS'!#REF!,"AAAAADd578s=")</f>
        <v>#REF!</v>
      </c>
      <c r="GW404" t="e">
        <f>AND('POTENCIAL HORAS'!#REF!,"AAAAADd578w=")</f>
        <v>#REF!</v>
      </c>
      <c r="GX404" t="e">
        <f>AND('POTENCIAL HORAS'!#REF!,"AAAAADd5780=")</f>
        <v>#REF!</v>
      </c>
      <c r="GY404" t="e">
        <f>AND('POTENCIAL HORAS'!#REF!,"AAAAADd5784=")</f>
        <v>#REF!</v>
      </c>
      <c r="GZ404" t="e">
        <f>AND('POTENCIAL HORAS'!#REF!,"AAAAADd5788=")</f>
        <v>#REF!</v>
      </c>
      <c r="HA404" t="e">
        <f>AND('POTENCIAL HORAS'!#REF!,"AAAAADd579A=")</f>
        <v>#REF!</v>
      </c>
      <c r="HB404" t="e">
        <f>AND('POTENCIAL HORAS'!#REF!,"AAAAADd579E=")</f>
        <v>#REF!</v>
      </c>
      <c r="HC404" t="e">
        <f>AND('POTENCIAL HORAS'!#REF!,"AAAAADd579I=")</f>
        <v>#REF!</v>
      </c>
      <c r="HD404" t="e">
        <f>AND('POTENCIAL HORAS'!#REF!,"AAAAADd579M=")</f>
        <v>#REF!</v>
      </c>
      <c r="HE404" t="e">
        <f>AND('POTENCIAL HORAS'!#REF!,"AAAAADd579Q=")</f>
        <v>#REF!</v>
      </c>
      <c r="HF404" t="e">
        <f>AND('POTENCIAL HORAS'!#REF!,"AAAAADd579U=")</f>
        <v>#REF!</v>
      </c>
      <c r="HG404" t="e">
        <f>AND('POTENCIAL HORAS'!#REF!,"AAAAADd579Y=")</f>
        <v>#REF!</v>
      </c>
      <c r="HH404" t="e">
        <f>AND('POTENCIAL HORAS'!#REF!,"AAAAADd579c=")</f>
        <v>#REF!</v>
      </c>
      <c r="HI404" t="e">
        <f>AND('POTENCIAL HORAS'!#REF!,"AAAAADd579g=")</f>
        <v>#REF!</v>
      </c>
      <c r="HJ404" t="e">
        <f>AND('POTENCIAL HORAS'!#REF!,"AAAAADd579k=")</f>
        <v>#REF!</v>
      </c>
      <c r="HK404" t="e">
        <f>AND('POTENCIAL HORAS'!#REF!,"AAAAADd579o=")</f>
        <v>#REF!</v>
      </c>
      <c r="HL404" t="e">
        <f>AND('POTENCIAL HORAS'!#REF!,"AAAAADd579s=")</f>
        <v>#REF!</v>
      </c>
      <c r="HM404" t="e">
        <f>AND('POTENCIAL HORAS'!#REF!,"AAAAADd579w=")</f>
        <v>#REF!</v>
      </c>
      <c r="HN404" t="e">
        <f>AND('POTENCIAL HORAS'!#REF!,"AAAAADd5790=")</f>
        <v>#REF!</v>
      </c>
      <c r="HO404" t="e">
        <f>AND('POTENCIAL HORAS'!#REF!,"AAAAADd5794=")</f>
        <v>#REF!</v>
      </c>
      <c r="HP404" t="e">
        <f>AND('POTENCIAL HORAS'!#REF!,"AAAAADd5798=")</f>
        <v>#REF!</v>
      </c>
      <c r="HQ404" t="e">
        <f>AND('POTENCIAL HORAS'!#REF!,"AAAAADd57+A=")</f>
        <v>#REF!</v>
      </c>
      <c r="HR404" t="e">
        <f>AND('POTENCIAL HORAS'!#REF!,"AAAAADd57+E=")</f>
        <v>#REF!</v>
      </c>
      <c r="HS404" t="e">
        <f>AND('POTENCIAL HORAS'!#REF!,"AAAAADd57+I=")</f>
        <v>#REF!</v>
      </c>
      <c r="HT404" t="e">
        <f>AND('POTENCIAL HORAS'!#REF!,"AAAAADd57+M=")</f>
        <v>#REF!</v>
      </c>
      <c r="HU404" t="e">
        <f>AND('POTENCIAL HORAS'!#REF!,"AAAAADd57+Q=")</f>
        <v>#REF!</v>
      </c>
      <c r="HV404" t="e">
        <f>AND('POTENCIAL HORAS'!#REF!,"AAAAADd57+U=")</f>
        <v>#REF!</v>
      </c>
      <c r="HW404" t="e">
        <f>AND('POTENCIAL HORAS'!#REF!,"AAAAADd57+Y=")</f>
        <v>#REF!</v>
      </c>
      <c r="HX404" t="e">
        <f>AND('POTENCIAL HORAS'!#REF!,"AAAAADd57+c=")</f>
        <v>#REF!</v>
      </c>
      <c r="HY404" t="e">
        <f>AND('POTENCIAL HORAS'!#REF!,"AAAAADd57+g=")</f>
        <v>#REF!</v>
      </c>
      <c r="HZ404" t="e">
        <f>AND('POTENCIAL HORAS'!#REF!,"AAAAADd57+k=")</f>
        <v>#REF!</v>
      </c>
      <c r="IA404" t="e">
        <f>IF('POTENCIAL HORAS'!#REF!,"AAAAADd57+o=",0)</f>
        <v>#REF!</v>
      </c>
      <c r="IB404" t="e">
        <f>AND('POTENCIAL HORAS'!#REF!,"AAAAADd57+s=")</f>
        <v>#REF!</v>
      </c>
      <c r="IC404" t="e">
        <f>AND('POTENCIAL HORAS'!#REF!,"AAAAADd57+w=")</f>
        <v>#REF!</v>
      </c>
      <c r="ID404" t="e">
        <f>AND('POTENCIAL HORAS'!#REF!,"AAAAADd57+0=")</f>
        <v>#REF!</v>
      </c>
      <c r="IE404" t="e">
        <f>AND('POTENCIAL HORAS'!#REF!,"AAAAADd57+4=")</f>
        <v>#REF!</v>
      </c>
      <c r="IF404" t="e">
        <f>AND('POTENCIAL HORAS'!#REF!,"AAAAADd57+8=")</f>
        <v>#REF!</v>
      </c>
      <c r="IG404" t="e">
        <f>AND('POTENCIAL HORAS'!#REF!,"AAAAADd57/A=")</f>
        <v>#REF!</v>
      </c>
      <c r="IH404" t="e">
        <f>AND('POTENCIAL HORAS'!#REF!,"AAAAADd57/E=")</f>
        <v>#REF!</v>
      </c>
      <c r="II404" t="e">
        <f>AND('POTENCIAL HORAS'!#REF!,"AAAAADd57/I=")</f>
        <v>#REF!</v>
      </c>
      <c r="IJ404" t="e">
        <f>AND('POTENCIAL HORAS'!#REF!,"AAAAADd57/M=")</f>
        <v>#REF!</v>
      </c>
      <c r="IK404" t="e">
        <f>AND('POTENCIAL HORAS'!#REF!,"AAAAADd57/Q=")</f>
        <v>#REF!</v>
      </c>
      <c r="IL404" t="e">
        <f>AND('POTENCIAL HORAS'!#REF!,"AAAAADd57/U=")</f>
        <v>#REF!</v>
      </c>
      <c r="IM404" t="e">
        <f>AND('POTENCIAL HORAS'!#REF!,"AAAAADd57/Y=")</f>
        <v>#REF!</v>
      </c>
      <c r="IN404" t="e">
        <f>AND('POTENCIAL HORAS'!#REF!,"AAAAADd57/c=")</f>
        <v>#REF!</v>
      </c>
      <c r="IO404" t="e">
        <f>AND('POTENCIAL HORAS'!#REF!,"AAAAADd57/g=")</f>
        <v>#REF!</v>
      </c>
      <c r="IP404" t="e">
        <f>AND('POTENCIAL HORAS'!#REF!,"AAAAADd57/k=")</f>
        <v>#REF!</v>
      </c>
      <c r="IQ404" t="e">
        <f>AND('POTENCIAL HORAS'!#REF!,"AAAAADd57/o=")</f>
        <v>#REF!</v>
      </c>
      <c r="IR404" t="e">
        <f>AND('POTENCIAL HORAS'!#REF!,"AAAAADd57/s=")</f>
        <v>#REF!</v>
      </c>
      <c r="IS404" t="e">
        <f>AND('POTENCIAL HORAS'!#REF!,"AAAAADd57/w=")</f>
        <v>#REF!</v>
      </c>
      <c r="IT404" t="e">
        <f>AND('POTENCIAL HORAS'!#REF!,"AAAAADd57/0=")</f>
        <v>#REF!</v>
      </c>
      <c r="IU404" t="e">
        <f>AND('POTENCIAL HORAS'!#REF!,"AAAAADd57/4=")</f>
        <v>#REF!</v>
      </c>
      <c r="IV404" t="e">
        <f>AND('POTENCIAL HORAS'!#REF!,"AAAAADd57/8=")</f>
        <v>#REF!</v>
      </c>
    </row>
    <row r="405" spans="1:256" x14ac:dyDescent="0.2">
      <c r="A405" t="e">
        <f>AND('POTENCIAL HORAS'!#REF!,"AAAAAHKu+QA=")</f>
        <v>#REF!</v>
      </c>
      <c r="B405" t="e">
        <f>AND('POTENCIAL HORAS'!#REF!,"AAAAAHKu+QE=")</f>
        <v>#REF!</v>
      </c>
      <c r="C405" t="e">
        <f>AND('POTENCIAL HORAS'!#REF!,"AAAAAHKu+QI=")</f>
        <v>#REF!</v>
      </c>
      <c r="D405" t="e">
        <f>AND('POTENCIAL HORAS'!#REF!,"AAAAAHKu+QM=")</f>
        <v>#REF!</v>
      </c>
      <c r="E405" t="e">
        <f>AND('POTENCIAL HORAS'!#REF!,"AAAAAHKu+QQ=")</f>
        <v>#REF!</v>
      </c>
      <c r="F405" t="e">
        <f>AND('POTENCIAL HORAS'!#REF!,"AAAAAHKu+QU=")</f>
        <v>#REF!</v>
      </c>
      <c r="G405" t="e">
        <f>AND('POTENCIAL HORAS'!#REF!,"AAAAAHKu+QY=")</f>
        <v>#REF!</v>
      </c>
      <c r="H405" t="e">
        <f>AND('POTENCIAL HORAS'!#REF!,"AAAAAHKu+Qc=")</f>
        <v>#REF!</v>
      </c>
      <c r="I405" t="e">
        <f>AND('POTENCIAL HORAS'!#REF!,"AAAAAHKu+Qg=")</f>
        <v>#REF!</v>
      </c>
      <c r="J405" t="e">
        <f>AND('POTENCIAL HORAS'!#REF!,"AAAAAHKu+Qk=")</f>
        <v>#REF!</v>
      </c>
      <c r="K405" t="e">
        <f>AND('POTENCIAL HORAS'!#REF!,"AAAAAHKu+Qo=")</f>
        <v>#REF!</v>
      </c>
      <c r="L405" t="e">
        <f>AND('POTENCIAL HORAS'!#REF!,"AAAAAHKu+Qs=")</f>
        <v>#REF!</v>
      </c>
      <c r="M405" t="e">
        <f>AND('POTENCIAL HORAS'!#REF!,"AAAAAHKu+Qw=")</f>
        <v>#REF!</v>
      </c>
      <c r="N405" t="e">
        <f>AND('POTENCIAL HORAS'!#REF!,"AAAAAHKu+Q0=")</f>
        <v>#REF!</v>
      </c>
      <c r="O405" t="e">
        <f>AND('POTENCIAL HORAS'!#REF!,"AAAAAHKu+Q4=")</f>
        <v>#REF!</v>
      </c>
      <c r="P405" t="e">
        <f>AND('POTENCIAL HORAS'!#REF!,"AAAAAHKu+Q8=")</f>
        <v>#REF!</v>
      </c>
      <c r="Q405" t="e">
        <f>AND('POTENCIAL HORAS'!#REF!,"AAAAAHKu+RA=")</f>
        <v>#REF!</v>
      </c>
      <c r="R405" t="e">
        <f>IF('POTENCIAL HORAS'!#REF!,"AAAAAHKu+RE=",0)</f>
        <v>#REF!</v>
      </c>
      <c r="S405" t="e">
        <f>AND('POTENCIAL HORAS'!#REF!,"AAAAAHKu+RI=")</f>
        <v>#REF!</v>
      </c>
      <c r="T405" t="e">
        <f>AND('POTENCIAL HORAS'!#REF!,"AAAAAHKu+RM=")</f>
        <v>#REF!</v>
      </c>
      <c r="U405" t="e">
        <f>AND('POTENCIAL HORAS'!#REF!,"AAAAAHKu+RQ=")</f>
        <v>#REF!</v>
      </c>
      <c r="V405" t="e">
        <f>AND('POTENCIAL HORAS'!#REF!,"AAAAAHKu+RU=")</f>
        <v>#REF!</v>
      </c>
      <c r="W405" t="e">
        <f>AND('POTENCIAL HORAS'!#REF!,"AAAAAHKu+RY=")</f>
        <v>#REF!</v>
      </c>
      <c r="X405" t="e">
        <f>AND('POTENCIAL HORAS'!#REF!,"AAAAAHKu+Rc=")</f>
        <v>#REF!</v>
      </c>
      <c r="Y405" t="e">
        <f>AND('POTENCIAL HORAS'!#REF!,"AAAAAHKu+Rg=")</f>
        <v>#REF!</v>
      </c>
      <c r="Z405" t="e">
        <f>AND('POTENCIAL HORAS'!#REF!,"AAAAAHKu+Rk=")</f>
        <v>#REF!</v>
      </c>
      <c r="AA405" t="e">
        <f>AND('POTENCIAL HORAS'!#REF!,"AAAAAHKu+Ro=")</f>
        <v>#REF!</v>
      </c>
      <c r="AB405" t="e">
        <f>AND('POTENCIAL HORAS'!#REF!,"AAAAAHKu+Rs=")</f>
        <v>#REF!</v>
      </c>
      <c r="AC405" t="e">
        <f>AND('POTENCIAL HORAS'!#REF!,"AAAAAHKu+Rw=")</f>
        <v>#REF!</v>
      </c>
      <c r="AD405" t="e">
        <f>AND('POTENCIAL HORAS'!#REF!,"AAAAAHKu+R0=")</f>
        <v>#REF!</v>
      </c>
      <c r="AE405" t="e">
        <f>AND('POTENCIAL HORAS'!#REF!,"AAAAAHKu+R4=")</f>
        <v>#REF!</v>
      </c>
      <c r="AF405" t="e">
        <f>AND('POTENCIAL HORAS'!#REF!,"AAAAAHKu+R8=")</f>
        <v>#REF!</v>
      </c>
      <c r="AG405" t="e">
        <f>AND('POTENCIAL HORAS'!#REF!,"AAAAAHKu+SA=")</f>
        <v>#REF!</v>
      </c>
      <c r="AH405" t="e">
        <f>AND('POTENCIAL HORAS'!#REF!,"AAAAAHKu+SE=")</f>
        <v>#REF!</v>
      </c>
      <c r="AI405" t="e">
        <f>AND('POTENCIAL HORAS'!#REF!,"AAAAAHKu+SI=")</f>
        <v>#REF!</v>
      </c>
      <c r="AJ405" t="e">
        <f>AND('POTENCIAL HORAS'!#REF!,"AAAAAHKu+SM=")</f>
        <v>#REF!</v>
      </c>
      <c r="AK405" t="e">
        <f>AND('POTENCIAL HORAS'!#REF!,"AAAAAHKu+SQ=")</f>
        <v>#REF!</v>
      </c>
      <c r="AL405" t="e">
        <f>AND('POTENCIAL HORAS'!#REF!,"AAAAAHKu+SU=")</f>
        <v>#REF!</v>
      </c>
      <c r="AM405" t="e">
        <f>AND('POTENCIAL HORAS'!#REF!,"AAAAAHKu+SY=")</f>
        <v>#REF!</v>
      </c>
      <c r="AN405" t="e">
        <f>AND('POTENCIAL HORAS'!#REF!,"AAAAAHKu+Sc=")</f>
        <v>#REF!</v>
      </c>
      <c r="AO405" t="e">
        <f>AND('POTENCIAL HORAS'!#REF!,"AAAAAHKu+Sg=")</f>
        <v>#REF!</v>
      </c>
      <c r="AP405" t="e">
        <f>AND('POTENCIAL HORAS'!#REF!,"AAAAAHKu+Sk=")</f>
        <v>#REF!</v>
      </c>
      <c r="AQ405" t="e">
        <f>AND('POTENCIAL HORAS'!#REF!,"AAAAAHKu+So=")</f>
        <v>#REF!</v>
      </c>
      <c r="AR405" t="e">
        <f>AND('POTENCIAL HORAS'!#REF!,"AAAAAHKu+Ss=")</f>
        <v>#REF!</v>
      </c>
      <c r="AS405" t="e">
        <f>AND('POTENCIAL HORAS'!#REF!,"AAAAAHKu+Sw=")</f>
        <v>#REF!</v>
      </c>
      <c r="AT405" t="e">
        <f>AND('POTENCIAL HORAS'!#REF!,"AAAAAHKu+S0=")</f>
        <v>#REF!</v>
      </c>
      <c r="AU405" t="e">
        <f>AND('POTENCIAL HORAS'!#REF!,"AAAAAHKu+S4=")</f>
        <v>#REF!</v>
      </c>
      <c r="AV405" t="e">
        <f>AND('POTENCIAL HORAS'!#REF!,"AAAAAHKu+S8=")</f>
        <v>#REF!</v>
      </c>
      <c r="AW405" t="e">
        <f>AND('POTENCIAL HORAS'!#REF!,"AAAAAHKu+TA=")</f>
        <v>#REF!</v>
      </c>
      <c r="AX405" t="e">
        <f>AND('POTENCIAL HORAS'!#REF!,"AAAAAHKu+TE=")</f>
        <v>#REF!</v>
      </c>
      <c r="AY405" t="e">
        <f>AND('POTENCIAL HORAS'!#REF!,"AAAAAHKu+TI=")</f>
        <v>#REF!</v>
      </c>
      <c r="AZ405" t="e">
        <f>AND('POTENCIAL HORAS'!#REF!,"AAAAAHKu+TM=")</f>
        <v>#REF!</v>
      </c>
      <c r="BA405" t="e">
        <f>AND('POTENCIAL HORAS'!#REF!,"AAAAAHKu+TQ=")</f>
        <v>#REF!</v>
      </c>
      <c r="BB405" t="e">
        <f>AND('POTENCIAL HORAS'!#REF!,"AAAAAHKu+TU=")</f>
        <v>#REF!</v>
      </c>
      <c r="BC405" t="e">
        <f>AND('POTENCIAL HORAS'!#REF!,"AAAAAHKu+TY=")</f>
        <v>#REF!</v>
      </c>
      <c r="BD405" t="e">
        <f>AND('POTENCIAL HORAS'!#REF!,"AAAAAHKu+Tc=")</f>
        <v>#REF!</v>
      </c>
      <c r="BE405">
        <f>IF('POTENCIAL HORAS'!114:114,"AAAAAHKu+Tg=",0)</f>
        <v>0</v>
      </c>
      <c r="BF405" t="e">
        <f>AND('POTENCIAL HORAS'!A114,"AAAAAHKu+Tk=")</f>
        <v>#VALUE!</v>
      </c>
      <c r="BG405" t="e">
        <f>AND('POTENCIAL HORAS'!B114,"AAAAAHKu+To=")</f>
        <v>#VALUE!</v>
      </c>
      <c r="BH405" t="e">
        <f>AND('POTENCIAL HORAS'!C114,"AAAAAHKu+Ts=")</f>
        <v>#VALUE!</v>
      </c>
      <c r="BI405" t="e">
        <f>AND('POTENCIAL HORAS'!D114,"AAAAAHKu+Tw=")</f>
        <v>#VALUE!</v>
      </c>
      <c r="BJ405" t="e">
        <f>AND('POTENCIAL HORAS'!E114,"AAAAAHKu+T0=")</f>
        <v>#VALUE!</v>
      </c>
      <c r="BK405" t="e">
        <f>AND('POTENCIAL HORAS'!F114,"AAAAAHKu+T4=")</f>
        <v>#VALUE!</v>
      </c>
      <c r="BL405" t="e">
        <f>AND('POTENCIAL HORAS'!G114,"AAAAAHKu+T8=")</f>
        <v>#VALUE!</v>
      </c>
      <c r="BM405" t="e">
        <f>AND('POTENCIAL HORAS'!H114,"AAAAAHKu+UA=")</f>
        <v>#VALUE!</v>
      </c>
      <c r="BN405" t="e">
        <f>AND('POTENCIAL HORAS'!I114,"AAAAAHKu+UE=")</f>
        <v>#VALUE!</v>
      </c>
      <c r="BO405" t="e">
        <f>AND('POTENCIAL HORAS'!J114,"AAAAAHKu+UI=")</f>
        <v>#VALUE!</v>
      </c>
      <c r="BP405" t="e">
        <f>AND('POTENCIAL HORAS'!K114,"AAAAAHKu+UM=")</f>
        <v>#VALUE!</v>
      </c>
      <c r="BQ405" t="e">
        <f>AND('POTENCIAL HORAS'!L114,"AAAAAHKu+UQ=")</f>
        <v>#VALUE!</v>
      </c>
      <c r="BR405" t="e">
        <f>AND('POTENCIAL HORAS'!M114,"AAAAAHKu+UU=")</f>
        <v>#VALUE!</v>
      </c>
      <c r="BS405" t="e">
        <f>AND('POTENCIAL HORAS'!N114,"AAAAAHKu+UY=")</f>
        <v>#VALUE!</v>
      </c>
      <c r="BT405" t="e">
        <f>AND('POTENCIAL HORAS'!O114,"AAAAAHKu+Uc=")</f>
        <v>#VALUE!</v>
      </c>
      <c r="BU405" t="e">
        <f>AND('POTENCIAL HORAS'!P114,"AAAAAHKu+Ug=")</f>
        <v>#VALUE!</v>
      </c>
      <c r="BV405" t="e">
        <f>AND('POTENCIAL HORAS'!#REF!,"AAAAAHKu+Uk=")</f>
        <v>#REF!</v>
      </c>
      <c r="BW405" t="e">
        <f>AND('POTENCIAL HORAS'!#REF!,"AAAAAHKu+Uo=")</f>
        <v>#REF!</v>
      </c>
      <c r="BX405" t="e">
        <f>AND('POTENCIAL HORAS'!#REF!,"AAAAAHKu+Us=")</f>
        <v>#REF!</v>
      </c>
      <c r="BY405" t="e">
        <f>AND('POTENCIAL HORAS'!#REF!,"AAAAAHKu+Uw=")</f>
        <v>#REF!</v>
      </c>
      <c r="BZ405" t="e">
        <f>AND('POTENCIAL HORAS'!#REF!,"AAAAAHKu+U0=")</f>
        <v>#REF!</v>
      </c>
      <c r="CA405" t="e">
        <f>AND('POTENCIAL HORAS'!#REF!,"AAAAAHKu+U4=")</f>
        <v>#REF!</v>
      </c>
      <c r="CB405" t="e">
        <f>AND('POTENCIAL HORAS'!#REF!,"AAAAAHKu+U8=")</f>
        <v>#REF!</v>
      </c>
      <c r="CC405" t="e">
        <f>AND('POTENCIAL HORAS'!#REF!,"AAAAAHKu+VA=")</f>
        <v>#REF!</v>
      </c>
      <c r="CD405" t="e">
        <f>AND('POTENCIAL HORAS'!#REF!,"AAAAAHKu+VE=")</f>
        <v>#REF!</v>
      </c>
      <c r="CE405" t="e">
        <f>AND('POTENCIAL HORAS'!#REF!,"AAAAAHKu+VI=")</f>
        <v>#REF!</v>
      </c>
      <c r="CF405" t="e">
        <f>AND('POTENCIAL HORAS'!#REF!,"AAAAAHKu+VM=")</f>
        <v>#REF!</v>
      </c>
      <c r="CG405" t="e">
        <f>AND('POTENCIAL HORAS'!#REF!,"AAAAAHKu+VQ=")</f>
        <v>#REF!</v>
      </c>
      <c r="CH405" t="e">
        <f>AND('POTENCIAL HORAS'!#REF!,"AAAAAHKu+VU=")</f>
        <v>#REF!</v>
      </c>
      <c r="CI405" t="e">
        <f>AND('POTENCIAL HORAS'!#REF!,"AAAAAHKu+VY=")</f>
        <v>#REF!</v>
      </c>
      <c r="CJ405" t="e">
        <f>AND('POTENCIAL HORAS'!#REF!,"AAAAAHKu+Vc=")</f>
        <v>#REF!</v>
      </c>
      <c r="CK405" t="e">
        <f>AND('POTENCIAL HORAS'!#REF!,"AAAAAHKu+Vg=")</f>
        <v>#REF!</v>
      </c>
      <c r="CL405" t="e">
        <f>AND('POTENCIAL HORAS'!#REF!,"AAAAAHKu+Vk=")</f>
        <v>#REF!</v>
      </c>
      <c r="CM405" t="e">
        <f>AND('POTENCIAL HORAS'!#REF!,"AAAAAHKu+Vo=")</f>
        <v>#REF!</v>
      </c>
      <c r="CN405" t="e">
        <f>AND('POTENCIAL HORAS'!#REF!,"AAAAAHKu+Vs=")</f>
        <v>#REF!</v>
      </c>
      <c r="CO405" t="e">
        <f>AND('POTENCIAL HORAS'!#REF!,"AAAAAHKu+Vw=")</f>
        <v>#REF!</v>
      </c>
      <c r="CP405" t="e">
        <f>AND('POTENCIAL HORAS'!Q114,"AAAAAHKu+V0=")</f>
        <v>#VALUE!</v>
      </c>
      <c r="CQ405" t="e">
        <f>AND('POTENCIAL HORAS'!R114,"AAAAAHKu+V4=")</f>
        <v>#VALUE!</v>
      </c>
      <c r="CR405">
        <f>IF('POTENCIAL HORAS'!115:115,"AAAAAHKu+V8=",0)</f>
        <v>0</v>
      </c>
      <c r="CS405" t="e">
        <f>AND('POTENCIAL HORAS'!A115,"AAAAAHKu+WA=")</f>
        <v>#VALUE!</v>
      </c>
      <c r="CT405" t="e">
        <f>AND('POTENCIAL HORAS'!B115,"AAAAAHKu+WE=")</f>
        <v>#VALUE!</v>
      </c>
      <c r="CU405" t="e">
        <f>AND('POTENCIAL HORAS'!C115,"AAAAAHKu+WI=")</f>
        <v>#VALUE!</v>
      </c>
      <c r="CV405" t="e">
        <f>AND('POTENCIAL HORAS'!D115,"AAAAAHKu+WM=")</f>
        <v>#VALUE!</v>
      </c>
      <c r="CW405" t="e">
        <f>AND('POTENCIAL HORAS'!E115,"AAAAAHKu+WQ=")</f>
        <v>#VALUE!</v>
      </c>
      <c r="CX405" t="e">
        <f>AND('POTENCIAL HORAS'!F115,"AAAAAHKu+WU=")</f>
        <v>#VALUE!</v>
      </c>
      <c r="CY405" t="e">
        <f>AND('POTENCIAL HORAS'!G115,"AAAAAHKu+WY=")</f>
        <v>#VALUE!</v>
      </c>
      <c r="CZ405" t="e">
        <f>AND('POTENCIAL HORAS'!H115,"AAAAAHKu+Wc=")</f>
        <v>#VALUE!</v>
      </c>
      <c r="DA405" t="e">
        <f>AND('POTENCIAL HORAS'!I115,"AAAAAHKu+Wg=")</f>
        <v>#VALUE!</v>
      </c>
      <c r="DB405" t="e">
        <f>AND('POTENCIAL HORAS'!J115,"AAAAAHKu+Wk=")</f>
        <v>#VALUE!</v>
      </c>
      <c r="DC405" t="e">
        <f>AND('POTENCIAL HORAS'!K115,"AAAAAHKu+Wo=")</f>
        <v>#VALUE!</v>
      </c>
      <c r="DD405" t="e">
        <f>AND('POTENCIAL HORAS'!L115,"AAAAAHKu+Ws=")</f>
        <v>#VALUE!</v>
      </c>
      <c r="DE405" t="e">
        <f>AND('POTENCIAL HORAS'!M115,"AAAAAHKu+Ww=")</f>
        <v>#VALUE!</v>
      </c>
      <c r="DF405" t="e">
        <f>AND('POTENCIAL HORAS'!N115,"AAAAAHKu+W0=")</f>
        <v>#VALUE!</v>
      </c>
      <c r="DG405" t="e">
        <f>AND('POTENCIAL HORAS'!O115,"AAAAAHKu+W4=")</f>
        <v>#VALUE!</v>
      </c>
      <c r="DH405" t="e">
        <f>AND('POTENCIAL HORAS'!P115,"AAAAAHKu+W8=")</f>
        <v>#VALUE!</v>
      </c>
      <c r="DI405" t="e">
        <f>AND('POTENCIAL HORAS'!#REF!,"AAAAAHKu+XA=")</f>
        <v>#REF!</v>
      </c>
      <c r="DJ405" t="e">
        <f>AND('POTENCIAL HORAS'!#REF!,"AAAAAHKu+XE=")</f>
        <v>#REF!</v>
      </c>
      <c r="DK405" t="e">
        <f>AND('POTENCIAL HORAS'!#REF!,"AAAAAHKu+XI=")</f>
        <v>#REF!</v>
      </c>
      <c r="DL405" t="e">
        <f>AND('POTENCIAL HORAS'!#REF!,"AAAAAHKu+XM=")</f>
        <v>#REF!</v>
      </c>
      <c r="DM405" t="e">
        <f>AND('POTENCIAL HORAS'!#REF!,"AAAAAHKu+XQ=")</f>
        <v>#REF!</v>
      </c>
      <c r="DN405" t="e">
        <f>AND('POTENCIAL HORAS'!#REF!,"AAAAAHKu+XU=")</f>
        <v>#REF!</v>
      </c>
      <c r="DO405" t="e">
        <f>AND('POTENCIAL HORAS'!#REF!,"AAAAAHKu+XY=")</f>
        <v>#REF!</v>
      </c>
      <c r="DP405" t="e">
        <f>AND('POTENCIAL HORAS'!#REF!,"AAAAAHKu+Xc=")</f>
        <v>#REF!</v>
      </c>
      <c r="DQ405" t="e">
        <f>AND('POTENCIAL HORAS'!#REF!,"AAAAAHKu+Xg=")</f>
        <v>#REF!</v>
      </c>
      <c r="DR405" t="e">
        <f>AND('POTENCIAL HORAS'!#REF!,"AAAAAHKu+Xk=")</f>
        <v>#REF!</v>
      </c>
      <c r="DS405" t="e">
        <f>AND('POTENCIAL HORAS'!#REF!,"AAAAAHKu+Xo=")</f>
        <v>#REF!</v>
      </c>
      <c r="DT405" t="e">
        <f>AND('POTENCIAL HORAS'!#REF!,"AAAAAHKu+Xs=")</f>
        <v>#REF!</v>
      </c>
      <c r="DU405" t="e">
        <f>AND('POTENCIAL HORAS'!#REF!,"AAAAAHKu+Xw=")</f>
        <v>#REF!</v>
      </c>
      <c r="DV405" t="e">
        <f>AND('POTENCIAL HORAS'!#REF!,"AAAAAHKu+X0=")</f>
        <v>#REF!</v>
      </c>
      <c r="DW405" t="e">
        <f>AND('POTENCIAL HORAS'!#REF!,"AAAAAHKu+X4=")</f>
        <v>#REF!</v>
      </c>
      <c r="DX405" t="e">
        <f>AND('POTENCIAL HORAS'!#REF!,"AAAAAHKu+X8=")</f>
        <v>#REF!</v>
      </c>
      <c r="DY405" t="e">
        <f>AND('POTENCIAL HORAS'!#REF!,"AAAAAHKu+YA=")</f>
        <v>#REF!</v>
      </c>
      <c r="DZ405" t="e">
        <f>AND('POTENCIAL HORAS'!#REF!,"AAAAAHKu+YE=")</f>
        <v>#REF!</v>
      </c>
      <c r="EA405" t="e">
        <f>AND('POTENCIAL HORAS'!#REF!,"AAAAAHKu+YI=")</f>
        <v>#REF!</v>
      </c>
      <c r="EB405" t="e">
        <f>AND('POTENCIAL HORAS'!#REF!,"AAAAAHKu+YM=")</f>
        <v>#REF!</v>
      </c>
      <c r="EC405" t="e">
        <f>AND('POTENCIAL HORAS'!Q115,"AAAAAHKu+YQ=")</f>
        <v>#VALUE!</v>
      </c>
      <c r="ED405" t="e">
        <f>AND('POTENCIAL HORAS'!R115,"AAAAAHKu+YU=")</f>
        <v>#VALUE!</v>
      </c>
      <c r="EE405" t="e">
        <f>IF('POTENCIAL HORAS'!#REF!,"AAAAAHKu+YY=",0)</f>
        <v>#REF!</v>
      </c>
      <c r="EF405" t="e">
        <f>AND('POTENCIAL HORAS'!#REF!,"AAAAAHKu+Yc=")</f>
        <v>#REF!</v>
      </c>
      <c r="EG405" t="e">
        <f>AND('POTENCIAL HORAS'!#REF!,"AAAAAHKu+Yg=")</f>
        <v>#REF!</v>
      </c>
      <c r="EH405" t="e">
        <f>AND('POTENCIAL HORAS'!#REF!,"AAAAAHKu+Yk=")</f>
        <v>#REF!</v>
      </c>
      <c r="EI405" t="e">
        <f>AND('POTENCIAL HORAS'!#REF!,"AAAAAHKu+Yo=")</f>
        <v>#REF!</v>
      </c>
      <c r="EJ405" t="e">
        <f>AND('POTENCIAL HORAS'!#REF!,"AAAAAHKu+Ys=")</f>
        <v>#REF!</v>
      </c>
      <c r="EK405" t="e">
        <f>AND('POTENCIAL HORAS'!#REF!,"AAAAAHKu+Yw=")</f>
        <v>#REF!</v>
      </c>
      <c r="EL405" t="e">
        <f>AND('POTENCIAL HORAS'!#REF!,"AAAAAHKu+Y0=")</f>
        <v>#REF!</v>
      </c>
      <c r="EM405" t="e">
        <f>AND('POTENCIAL HORAS'!#REF!,"AAAAAHKu+Y4=")</f>
        <v>#REF!</v>
      </c>
      <c r="EN405" t="e">
        <f>AND('POTENCIAL HORAS'!#REF!,"AAAAAHKu+Y8=")</f>
        <v>#REF!</v>
      </c>
      <c r="EO405" t="e">
        <f>AND('POTENCIAL HORAS'!#REF!,"AAAAAHKu+ZA=")</f>
        <v>#REF!</v>
      </c>
      <c r="EP405" t="e">
        <f>AND('POTENCIAL HORAS'!#REF!,"AAAAAHKu+ZE=")</f>
        <v>#REF!</v>
      </c>
      <c r="EQ405" t="e">
        <f>AND('POTENCIAL HORAS'!#REF!,"AAAAAHKu+ZI=")</f>
        <v>#REF!</v>
      </c>
      <c r="ER405" t="e">
        <f>AND('POTENCIAL HORAS'!#REF!,"AAAAAHKu+ZM=")</f>
        <v>#REF!</v>
      </c>
      <c r="ES405" t="e">
        <f>AND('POTENCIAL HORAS'!#REF!,"AAAAAHKu+ZQ=")</f>
        <v>#REF!</v>
      </c>
      <c r="ET405" t="e">
        <f>AND('POTENCIAL HORAS'!#REF!,"AAAAAHKu+ZU=")</f>
        <v>#REF!</v>
      </c>
      <c r="EU405" t="e">
        <f>AND('POTENCIAL HORAS'!#REF!,"AAAAAHKu+ZY=")</f>
        <v>#REF!</v>
      </c>
      <c r="EV405" t="e">
        <f>AND('POTENCIAL HORAS'!#REF!,"AAAAAHKu+Zc=")</f>
        <v>#REF!</v>
      </c>
      <c r="EW405" t="e">
        <f>AND('POTENCIAL HORAS'!#REF!,"AAAAAHKu+Zg=")</f>
        <v>#REF!</v>
      </c>
      <c r="EX405" t="e">
        <f>AND('POTENCIAL HORAS'!#REF!,"AAAAAHKu+Zk=")</f>
        <v>#REF!</v>
      </c>
      <c r="EY405" t="e">
        <f>AND('POTENCIAL HORAS'!#REF!,"AAAAAHKu+Zo=")</f>
        <v>#REF!</v>
      </c>
      <c r="EZ405" t="e">
        <f>AND('POTENCIAL HORAS'!#REF!,"AAAAAHKu+Zs=")</f>
        <v>#REF!</v>
      </c>
      <c r="FA405" t="e">
        <f>AND('POTENCIAL HORAS'!#REF!,"AAAAAHKu+Zw=")</f>
        <v>#REF!</v>
      </c>
      <c r="FB405" t="e">
        <f>AND('POTENCIAL HORAS'!#REF!,"AAAAAHKu+Z0=")</f>
        <v>#REF!</v>
      </c>
      <c r="FC405" t="e">
        <f>AND('POTENCIAL HORAS'!#REF!,"AAAAAHKu+Z4=")</f>
        <v>#REF!</v>
      </c>
      <c r="FD405" t="e">
        <f>AND('POTENCIAL HORAS'!#REF!,"AAAAAHKu+Z8=")</f>
        <v>#REF!</v>
      </c>
      <c r="FE405" t="e">
        <f>AND('POTENCIAL HORAS'!#REF!,"AAAAAHKu+aA=")</f>
        <v>#REF!</v>
      </c>
      <c r="FF405" t="e">
        <f>AND('POTENCIAL HORAS'!#REF!,"AAAAAHKu+aE=")</f>
        <v>#REF!</v>
      </c>
      <c r="FG405" t="e">
        <f>AND('POTENCIAL HORAS'!#REF!,"AAAAAHKu+aI=")</f>
        <v>#REF!</v>
      </c>
      <c r="FH405" t="e">
        <f>AND('POTENCIAL HORAS'!#REF!,"AAAAAHKu+aM=")</f>
        <v>#REF!</v>
      </c>
      <c r="FI405" t="e">
        <f>AND('POTENCIAL HORAS'!#REF!,"AAAAAHKu+aQ=")</f>
        <v>#REF!</v>
      </c>
      <c r="FJ405" t="e">
        <f>AND('POTENCIAL HORAS'!#REF!,"AAAAAHKu+aU=")</f>
        <v>#REF!</v>
      </c>
      <c r="FK405" t="e">
        <f>AND('POTENCIAL HORAS'!#REF!,"AAAAAHKu+aY=")</f>
        <v>#REF!</v>
      </c>
      <c r="FL405" t="e">
        <f>AND('POTENCIAL HORAS'!#REF!,"AAAAAHKu+ac=")</f>
        <v>#REF!</v>
      </c>
      <c r="FM405" t="e">
        <f>AND('POTENCIAL HORAS'!#REF!,"AAAAAHKu+ag=")</f>
        <v>#REF!</v>
      </c>
      <c r="FN405" t="e">
        <f>AND('POTENCIAL HORAS'!#REF!,"AAAAAHKu+ak=")</f>
        <v>#REF!</v>
      </c>
      <c r="FO405" t="e">
        <f>AND('POTENCIAL HORAS'!#REF!,"AAAAAHKu+ao=")</f>
        <v>#REF!</v>
      </c>
      <c r="FP405" t="e">
        <f>AND('POTENCIAL HORAS'!#REF!,"AAAAAHKu+as=")</f>
        <v>#REF!</v>
      </c>
      <c r="FQ405" t="e">
        <f>AND('POTENCIAL HORAS'!#REF!,"AAAAAHKu+aw=")</f>
        <v>#REF!</v>
      </c>
      <c r="FR405" t="e">
        <f>IF('POTENCIAL HORAS'!#REF!,"AAAAAHKu+a0=",0)</f>
        <v>#REF!</v>
      </c>
      <c r="FS405" t="e">
        <f>AND('POTENCIAL HORAS'!#REF!,"AAAAAHKu+a4=")</f>
        <v>#REF!</v>
      </c>
      <c r="FT405" t="e">
        <f>AND('POTENCIAL HORAS'!#REF!,"AAAAAHKu+a8=")</f>
        <v>#REF!</v>
      </c>
      <c r="FU405" t="e">
        <f>AND('POTENCIAL HORAS'!#REF!,"AAAAAHKu+bA=")</f>
        <v>#REF!</v>
      </c>
      <c r="FV405" t="e">
        <f>AND('POTENCIAL HORAS'!#REF!,"AAAAAHKu+bE=")</f>
        <v>#REF!</v>
      </c>
      <c r="FW405" t="e">
        <f>AND('POTENCIAL HORAS'!#REF!,"AAAAAHKu+bI=")</f>
        <v>#REF!</v>
      </c>
      <c r="FX405" t="e">
        <f>AND('POTENCIAL HORAS'!#REF!,"AAAAAHKu+bM=")</f>
        <v>#REF!</v>
      </c>
      <c r="FY405" t="e">
        <f>AND('POTENCIAL HORAS'!#REF!,"AAAAAHKu+bQ=")</f>
        <v>#REF!</v>
      </c>
      <c r="FZ405" t="e">
        <f>AND('POTENCIAL HORAS'!#REF!,"AAAAAHKu+bU=")</f>
        <v>#REF!</v>
      </c>
      <c r="GA405" t="e">
        <f>AND('POTENCIAL HORAS'!#REF!,"AAAAAHKu+bY=")</f>
        <v>#REF!</v>
      </c>
      <c r="GB405" t="e">
        <f>AND('POTENCIAL HORAS'!#REF!,"AAAAAHKu+bc=")</f>
        <v>#REF!</v>
      </c>
      <c r="GC405" t="e">
        <f>AND('POTENCIAL HORAS'!#REF!,"AAAAAHKu+bg=")</f>
        <v>#REF!</v>
      </c>
      <c r="GD405" t="e">
        <f>AND('POTENCIAL HORAS'!#REF!,"AAAAAHKu+bk=")</f>
        <v>#REF!</v>
      </c>
      <c r="GE405" t="e">
        <f>AND('POTENCIAL HORAS'!#REF!,"AAAAAHKu+bo=")</f>
        <v>#REF!</v>
      </c>
      <c r="GF405" t="e">
        <f>AND('POTENCIAL HORAS'!#REF!,"AAAAAHKu+bs=")</f>
        <v>#REF!</v>
      </c>
      <c r="GG405" t="e">
        <f>AND('POTENCIAL HORAS'!#REF!,"AAAAAHKu+bw=")</f>
        <v>#REF!</v>
      </c>
      <c r="GH405" t="e">
        <f>AND('POTENCIAL HORAS'!#REF!,"AAAAAHKu+b0=")</f>
        <v>#REF!</v>
      </c>
      <c r="GI405" t="e">
        <f>AND('POTENCIAL HORAS'!#REF!,"AAAAAHKu+b4=")</f>
        <v>#REF!</v>
      </c>
      <c r="GJ405" t="e">
        <f>AND('POTENCIAL HORAS'!#REF!,"AAAAAHKu+b8=")</f>
        <v>#REF!</v>
      </c>
      <c r="GK405" t="e">
        <f>AND('POTENCIAL HORAS'!#REF!,"AAAAAHKu+cA=")</f>
        <v>#REF!</v>
      </c>
      <c r="GL405" t="e">
        <f>AND('POTENCIAL HORAS'!#REF!,"AAAAAHKu+cE=")</f>
        <v>#REF!</v>
      </c>
      <c r="GM405" t="e">
        <f>AND('POTENCIAL HORAS'!#REF!,"AAAAAHKu+cI=")</f>
        <v>#REF!</v>
      </c>
      <c r="GN405" t="e">
        <f>AND('POTENCIAL HORAS'!#REF!,"AAAAAHKu+cM=")</f>
        <v>#REF!</v>
      </c>
      <c r="GO405" t="e">
        <f>AND('POTENCIAL HORAS'!#REF!,"AAAAAHKu+cQ=")</f>
        <v>#REF!</v>
      </c>
      <c r="GP405" t="e">
        <f>AND('POTENCIAL HORAS'!#REF!,"AAAAAHKu+cU=")</f>
        <v>#REF!</v>
      </c>
      <c r="GQ405" t="e">
        <f>AND('POTENCIAL HORAS'!#REF!,"AAAAAHKu+cY=")</f>
        <v>#REF!</v>
      </c>
      <c r="GR405" t="e">
        <f>AND('POTENCIAL HORAS'!#REF!,"AAAAAHKu+cc=")</f>
        <v>#REF!</v>
      </c>
      <c r="GS405" t="e">
        <f>AND('POTENCIAL HORAS'!#REF!,"AAAAAHKu+cg=")</f>
        <v>#REF!</v>
      </c>
      <c r="GT405" t="e">
        <f>AND('POTENCIAL HORAS'!#REF!,"AAAAAHKu+ck=")</f>
        <v>#REF!</v>
      </c>
      <c r="GU405" t="e">
        <f>AND('POTENCIAL HORAS'!#REF!,"AAAAAHKu+co=")</f>
        <v>#REF!</v>
      </c>
      <c r="GV405" t="e">
        <f>AND('POTENCIAL HORAS'!#REF!,"AAAAAHKu+cs=")</f>
        <v>#REF!</v>
      </c>
      <c r="GW405" t="e">
        <f>AND('POTENCIAL HORAS'!#REF!,"AAAAAHKu+cw=")</f>
        <v>#REF!</v>
      </c>
      <c r="GX405" t="e">
        <f>AND('POTENCIAL HORAS'!#REF!,"AAAAAHKu+c0=")</f>
        <v>#REF!</v>
      </c>
      <c r="GY405" t="e">
        <f>AND('POTENCIAL HORAS'!#REF!,"AAAAAHKu+c4=")</f>
        <v>#REF!</v>
      </c>
      <c r="GZ405" t="e">
        <f>AND('POTENCIAL HORAS'!#REF!,"AAAAAHKu+c8=")</f>
        <v>#REF!</v>
      </c>
      <c r="HA405" t="e">
        <f>AND('POTENCIAL HORAS'!#REF!,"AAAAAHKu+dA=")</f>
        <v>#REF!</v>
      </c>
      <c r="HB405" t="e">
        <f>AND('POTENCIAL HORAS'!#REF!,"AAAAAHKu+dE=")</f>
        <v>#REF!</v>
      </c>
      <c r="HC405" t="e">
        <f>AND('POTENCIAL HORAS'!#REF!,"AAAAAHKu+dI=")</f>
        <v>#REF!</v>
      </c>
      <c r="HD405" t="e">
        <f>AND('POTENCIAL HORAS'!#REF!,"AAAAAHKu+dM=")</f>
        <v>#REF!</v>
      </c>
      <c r="HE405">
        <f>IF('POTENCIAL HORAS'!117:117,"AAAAAHKu+dQ=",0)</f>
        <v>0</v>
      </c>
      <c r="HF405" t="e">
        <f>AND('POTENCIAL HORAS'!A117,"AAAAAHKu+dU=")</f>
        <v>#VALUE!</v>
      </c>
      <c r="HG405" t="e">
        <f>AND('POTENCIAL HORAS'!B117,"AAAAAHKu+dY=")</f>
        <v>#VALUE!</v>
      </c>
      <c r="HH405" t="e">
        <f>AND('POTENCIAL HORAS'!C117,"AAAAAHKu+dc=")</f>
        <v>#VALUE!</v>
      </c>
      <c r="HI405" t="e">
        <f>AND('POTENCIAL HORAS'!D117,"AAAAAHKu+dg=")</f>
        <v>#VALUE!</v>
      </c>
      <c r="HJ405" t="e">
        <f>AND('POTENCIAL HORAS'!E117,"AAAAAHKu+dk=")</f>
        <v>#VALUE!</v>
      </c>
      <c r="HK405" t="e">
        <f>AND('POTENCIAL HORAS'!F117,"AAAAAHKu+do=")</f>
        <v>#VALUE!</v>
      </c>
      <c r="HL405" t="e">
        <f>AND('POTENCIAL HORAS'!G117,"AAAAAHKu+ds=")</f>
        <v>#VALUE!</v>
      </c>
      <c r="HM405" t="e">
        <f>AND('POTENCIAL HORAS'!H117,"AAAAAHKu+dw=")</f>
        <v>#VALUE!</v>
      </c>
      <c r="HN405" t="e">
        <f>AND('POTENCIAL HORAS'!I117,"AAAAAHKu+d0=")</f>
        <v>#VALUE!</v>
      </c>
      <c r="HO405" t="e">
        <f>AND('POTENCIAL HORAS'!J117,"AAAAAHKu+d4=")</f>
        <v>#VALUE!</v>
      </c>
      <c r="HP405" t="e">
        <f>AND('POTENCIAL HORAS'!K117,"AAAAAHKu+d8=")</f>
        <v>#VALUE!</v>
      </c>
      <c r="HQ405" t="e">
        <f>AND('POTENCIAL HORAS'!L117,"AAAAAHKu+eA=")</f>
        <v>#VALUE!</v>
      </c>
      <c r="HR405" t="e">
        <f>AND('POTENCIAL HORAS'!M117,"AAAAAHKu+eE=")</f>
        <v>#VALUE!</v>
      </c>
      <c r="HS405" t="e">
        <f>AND('POTENCIAL HORAS'!N117,"AAAAAHKu+eI=")</f>
        <v>#VALUE!</v>
      </c>
      <c r="HT405" t="e">
        <f>AND('POTENCIAL HORAS'!O117,"AAAAAHKu+eM=")</f>
        <v>#VALUE!</v>
      </c>
      <c r="HU405" t="e">
        <f>AND('POTENCIAL HORAS'!P117,"AAAAAHKu+eQ=")</f>
        <v>#VALUE!</v>
      </c>
      <c r="HV405" t="e">
        <f>AND('POTENCIAL HORAS'!#REF!,"AAAAAHKu+eU=")</f>
        <v>#REF!</v>
      </c>
      <c r="HW405" t="e">
        <f>AND('POTENCIAL HORAS'!#REF!,"AAAAAHKu+eY=")</f>
        <v>#REF!</v>
      </c>
      <c r="HX405" t="e">
        <f>AND('POTENCIAL HORAS'!#REF!,"AAAAAHKu+ec=")</f>
        <v>#REF!</v>
      </c>
      <c r="HY405" t="e">
        <f>AND('POTENCIAL HORAS'!#REF!,"AAAAAHKu+eg=")</f>
        <v>#REF!</v>
      </c>
      <c r="HZ405" t="e">
        <f>AND('POTENCIAL HORAS'!#REF!,"AAAAAHKu+ek=")</f>
        <v>#REF!</v>
      </c>
      <c r="IA405" t="e">
        <f>AND('POTENCIAL HORAS'!#REF!,"AAAAAHKu+eo=")</f>
        <v>#REF!</v>
      </c>
      <c r="IB405" t="e">
        <f>AND('POTENCIAL HORAS'!#REF!,"AAAAAHKu+es=")</f>
        <v>#REF!</v>
      </c>
      <c r="IC405" t="e">
        <f>AND('POTENCIAL HORAS'!#REF!,"AAAAAHKu+ew=")</f>
        <v>#REF!</v>
      </c>
      <c r="ID405" t="e">
        <f>AND('POTENCIAL HORAS'!#REF!,"AAAAAHKu+e0=")</f>
        <v>#REF!</v>
      </c>
      <c r="IE405" t="e">
        <f>AND('POTENCIAL HORAS'!#REF!,"AAAAAHKu+e4=")</f>
        <v>#REF!</v>
      </c>
      <c r="IF405" t="e">
        <f>AND('POTENCIAL HORAS'!#REF!,"AAAAAHKu+e8=")</f>
        <v>#REF!</v>
      </c>
      <c r="IG405" t="e">
        <f>AND('POTENCIAL HORAS'!#REF!,"AAAAAHKu+fA=")</f>
        <v>#REF!</v>
      </c>
      <c r="IH405" t="e">
        <f>AND('POTENCIAL HORAS'!#REF!,"AAAAAHKu+fE=")</f>
        <v>#REF!</v>
      </c>
      <c r="II405" t="e">
        <f>AND('POTENCIAL HORAS'!#REF!,"AAAAAHKu+fI=")</f>
        <v>#REF!</v>
      </c>
      <c r="IJ405" t="e">
        <f>AND('POTENCIAL HORAS'!#REF!,"AAAAAHKu+fM=")</f>
        <v>#REF!</v>
      </c>
      <c r="IK405" t="e">
        <f>AND('POTENCIAL HORAS'!#REF!,"AAAAAHKu+fQ=")</f>
        <v>#REF!</v>
      </c>
      <c r="IL405" t="e">
        <f>AND('POTENCIAL HORAS'!#REF!,"AAAAAHKu+fU=")</f>
        <v>#REF!</v>
      </c>
      <c r="IM405" t="e">
        <f>AND('POTENCIAL HORAS'!#REF!,"AAAAAHKu+fY=")</f>
        <v>#REF!</v>
      </c>
      <c r="IN405" t="e">
        <f>AND('POTENCIAL HORAS'!#REF!,"AAAAAHKu+fc=")</f>
        <v>#REF!</v>
      </c>
      <c r="IO405" t="e">
        <f>AND('POTENCIAL HORAS'!#REF!,"AAAAAHKu+fg=")</f>
        <v>#REF!</v>
      </c>
      <c r="IP405" t="e">
        <f>AND('POTENCIAL HORAS'!Q117,"AAAAAHKu+fk=")</f>
        <v>#VALUE!</v>
      </c>
      <c r="IQ405" t="e">
        <f>AND('POTENCIAL HORAS'!R117,"AAAAAHKu+fo=")</f>
        <v>#VALUE!</v>
      </c>
      <c r="IR405" t="e">
        <f>IF('POTENCIAL HORAS'!#REF!,"AAAAAHKu+fs=",0)</f>
        <v>#REF!</v>
      </c>
      <c r="IS405" t="e">
        <f>AND('POTENCIAL HORAS'!#REF!,"AAAAAHKu+fw=")</f>
        <v>#REF!</v>
      </c>
      <c r="IT405" t="e">
        <f>AND('POTENCIAL HORAS'!#REF!,"AAAAAHKu+f0=")</f>
        <v>#REF!</v>
      </c>
      <c r="IU405" t="e">
        <f>AND('POTENCIAL HORAS'!#REF!,"AAAAAHKu+f4=")</f>
        <v>#REF!</v>
      </c>
      <c r="IV405" t="e">
        <f>AND('POTENCIAL HORAS'!#REF!,"AAAAAHKu+f8=")</f>
        <v>#REF!</v>
      </c>
    </row>
    <row r="406" spans="1:256" x14ac:dyDescent="0.2">
      <c r="A406" t="e">
        <f>AND('POTENCIAL HORAS'!#REF!,"AAAAAD/l7QA=")</f>
        <v>#REF!</v>
      </c>
      <c r="B406" t="e">
        <f>AND('POTENCIAL HORAS'!#REF!,"AAAAAD/l7QE=")</f>
        <v>#REF!</v>
      </c>
      <c r="C406" t="e">
        <f>AND('POTENCIAL HORAS'!#REF!,"AAAAAD/l7QI=")</f>
        <v>#REF!</v>
      </c>
      <c r="D406" t="e">
        <f>AND('POTENCIAL HORAS'!#REF!,"AAAAAD/l7QM=")</f>
        <v>#REF!</v>
      </c>
      <c r="E406" t="e">
        <f>AND('POTENCIAL HORAS'!#REF!,"AAAAAD/l7QQ=")</f>
        <v>#REF!</v>
      </c>
      <c r="F406" t="e">
        <f>AND('POTENCIAL HORAS'!#REF!,"AAAAAD/l7QU=")</f>
        <v>#REF!</v>
      </c>
      <c r="G406" t="e">
        <f>AND('POTENCIAL HORAS'!#REF!,"AAAAAD/l7QY=")</f>
        <v>#REF!</v>
      </c>
      <c r="H406" t="e">
        <f>AND('POTENCIAL HORAS'!#REF!,"AAAAAD/l7Qc=")</f>
        <v>#REF!</v>
      </c>
      <c r="I406" t="e">
        <f>AND('POTENCIAL HORAS'!#REF!,"AAAAAD/l7Qg=")</f>
        <v>#REF!</v>
      </c>
      <c r="J406" t="e">
        <f>AND('POTENCIAL HORAS'!#REF!,"AAAAAD/l7Qk=")</f>
        <v>#REF!</v>
      </c>
      <c r="K406" t="e">
        <f>AND('POTENCIAL HORAS'!#REF!,"AAAAAD/l7Qo=")</f>
        <v>#REF!</v>
      </c>
      <c r="L406" t="e">
        <f>AND('POTENCIAL HORAS'!#REF!,"AAAAAD/l7Qs=")</f>
        <v>#REF!</v>
      </c>
      <c r="M406" t="e">
        <f>AND('POTENCIAL HORAS'!#REF!,"AAAAAD/l7Qw=")</f>
        <v>#REF!</v>
      </c>
      <c r="N406" t="e">
        <f>AND('POTENCIAL HORAS'!#REF!,"AAAAAD/l7Q0=")</f>
        <v>#REF!</v>
      </c>
      <c r="O406" t="e">
        <f>AND('POTENCIAL HORAS'!#REF!,"AAAAAD/l7Q4=")</f>
        <v>#REF!</v>
      </c>
      <c r="P406" t="e">
        <f>AND('POTENCIAL HORAS'!#REF!,"AAAAAD/l7Q8=")</f>
        <v>#REF!</v>
      </c>
      <c r="Q406" t="e">
        <f>AND('POTENCIAL HORAS'!#REF!,"AAAAAD/l7RA=")</f>
        <v>#REF!</v>
      </c>
      <c r="R406" t="e">
        <f>AND('POTENCIAL HORAS'!#REF!,"AAAAAD/l7RE=")</f>
        <v>#REF!</v>
      </c>
      <c r="S406" t="e">
        <f>AND('POTENCIAL HORAS'!#REF!,"AAAAAD/l7RI=")</f>
        <v>#REF!</v>
      </c>
      <c r="T406" t="e">
        <f>AND('POTENCIAL HORAS'!#REF!,"AAAAAD/l7RM=")</f>
        <v>#REF!</v>
      </c>
      <c r="U406" t="e">
        <f>AND('POTENCIAL HORAS'!#REF!,"AAAAAD/l7RQ=")</f>
        <v>#REF!</v>
      </c>
      <c r="V406" t="e">
        <f>AND('POTENCIAL HORAS'!#REF!,"AAAAAD/l7RU=")</f>
        <v>#REF!</v>
      </c>
      <c r="W406" t="e">
        <f>AND('POTENCIAL HORAS'!#REF!,"AAAAAD/l7RY=")</f>
        <v>#REF!</v>
      </c>
      <c r="X406" t="e">
        <f>AND('POTENCIAL HORAS'!#REF!,"AAAAAD/l7Rc=")</f>
        <v>#REF!</v>
      </c>
      <c r="Y406" t="e">
        <f>AND('POTENCIAL HORAS'!#REF!,"AAAAAD/l7Rg=")</f>
        <v>#REF!</v>
      </c>
      <c r="Z406" t="e">
        <f>AND('POTENCIAL HORAS'!#REF!,"AAAAAD/l7Rk=")</f>
        <v>#REF!</v>
      </c>
      <c r="AA406" t="e">
        <f>AND('POTENCIAL HORAS'!#REF!,"AAAAAD/l7Ro=")</f>
        <v>#REF!</v>
      </c>
      <c r="AB406" t="e">
        <f>AND('POTENCIAL HORAS'!#REF!,"AAAAAD/l7Rs=")</f>
        <v>#REF!</v>
      </c>
      <c r="AC406" t="e">
        <f>AND('POTENCIAL HORAS'!#REF!,"AAAAAD/l7Rw=")</f>
        <v>#REF!</v>
      </c>
      <c r="AD406" t="e">
        <f>AND('POTENCIAL HORAS'!#REF!,"AAAAAD/l7R0=")</f>
        <v>#REF!</v>
      </c>
      <c r="AE406" t="e">
        <f>AND('POTENCIAL HORAS'!#REF!,"AAAAAD/l7R4=")</f>
        <v>#REF!</v>
      </c>
      <c r="AF406" t="e">
        <f>AND('POTENCIAL HORAS'!#REF!,"AAAAAD/l7R8=")</f>
        <v>#REF!</v>
      </c>
      <c r="AG406" t="e">
        <f>AND('POTENCIAL HORAS'!#REF!,"AAAAAD/l7SA=")</f>
        <v>#REF!</v>
      </c>
      <c r="AH406" t="e">
        <f>AND('POTENCIAL HORAS'!#REF!,"AAAAAD/l7SE=")</f>
        <v>#REF!</v>
      </c>
      <c r="AI406" t="e">
        <f>IF('POTENCIAL HORAS'!#REF!,"AAAAAD/l7SI=",0)</f>
        <v>#REF!</v>
      </c>
      <c r="AJ406" t="e">
        <f>AND('POTENCIAL HORAS'!#REF!,"AAAAAD/l7SM=")</f>
        <v>#REF!</v>
      </c>
      <c r="AK406" t="e">
        <f>AND('POTENCIAL HORAS'!#REF!,"AAAAAD/l7SQ=")</f>
        <v>#REF!</v>
      </c>
      <c r="AL406" t="e">
        <f>AND('POTENCIAL HORAS'!#REF!,"AAAAAD/l7SU=")</f>
        <v>#REF!</v>
      </c>
      <c r="AM406" t="e">
        <f>AND('POTENCIAL HORAS'!#REF!,"AAAAAD/l7SY=")</f>
        <v>#REF!</v>
      </c>
      <c r="AN406" t="e">
        <f>AND('POTENCIAL HORAS'!#REF!,"AAAAAD/l7Sc=")</f>
        <v>#REF!</v>
      </c>
      <c r="AO406" t="e">
        <f>AND('POTENCIAL HORAS'!#REF!,"AAAAAD/l7Sg=")</f>
        <v>#REF!</v>
      </c>
      <c r="AP406" t="e">
        <f>AND('POTENCIAL HORAS'!#REF!,"AAAAAD/l7Sk=")</f>
        <v>#REF!</v>
      </c>
      <c r="AQ406" t="e">
        <f>AND('POTENCIAL HORAS'!#REF!,"AAAAAD/l7So=")</f>
        <v>#REF!</v>
      </c>
      <c r="AR406" t="e">
        <f>AND('POTENCIAL HORAS'!#REF!,"AAAAAD/l7Ss=")</f>
        <v>#REF!</v>
      </c>
      <c r="AS406" t="e">
        <f>AND('POTENCIAL HORAS'!#REF!,"AAAAAD/l7Sw=")</f>
        <v>#REF!</v>
      </c>
      <c r="AT406" t="e">
        <f>AND('POTENCIAL HORAS'!#REF!,"AAAAAD/l7S0=")</f>
        <v>#REF!</v>
      </c>
      <c r="AU406" t="e">
        <f>AND('POTENCIAL HORAS'!#REF!,"AAAAAD/l7S4=")</f>
        <v>#REF!</v>
      </c>
      <c r="AV406" t="e">
        <f>AND('POTENCIAL HORAS'!#REF!,"AAAAAD/l7S8=")</f>
        <v>#REF!</v>
      </c>
      <c r="AW406" t="e">
        <f>AND('POTENCIAL HORAS'!#REF!,"AAAAAD/l7TA=")</f>
        <v>#REF!</v>
      </c>
      <c r="AX406" t="e">
        <f>AND('POTENCIAL HORAS'!#REF!,"AAAAAD/l7TE=")</f>
        <v>#REF!</v>
      </c>
      <c r="AY406" t="e">
        <f>AND('POTENCIAL HORAS'!#REF!,"AAAAAD/l7TI=")</f>
        <v>#REF!</v>
      </c>
      <c r="AZ406" t="e">
        <f>AND('POTENCIAL HORAS'!#REF!,"AAAAAD/l7TM=")</f>
        <v>#REF!</v>
      </c>
      <c r="BA406" t="e">
        <f>AND('POTENCIAL HORAS'!#REF!,"AAAAAD/l7TQ=")</f>
        <v>#REF!</v>
      </c>
      <c r="BB406" t="e">
        <f>AND('POTENCIAL HORAS'!#REF!,"AAAAAD/l7TU=")</f>
        <v>#REF!</v>
      </c>
      <c r="BC406" t="e">
        <f>AND('POTENCIAL HORAS'!#REF!,"AAAAAD/l7TY=")</f>
        <v>#REF!</v>
      </c>
      <c r="BD406" t="e">
        <f>AND('POTENCIAL HORAS'!#REF!,"AAAAAD/l7Tc=")</f>
        <v>#REF!</v>
      </c>
      <c r="BE406" t="e">
        <f>AND('POTENCIAL HORAS'!#REF!,"AAAAAD/l7Tg=")</f>
        <v>#REF!</v>
      </c>
      <c r="BF406" t="e">
        <f>AND('POTENCIAL HORAS'!#REF!,"AAAAAD/l7Tk=")</f>
        <v>#REF!</v>
      </c>
      <c r="BG406" t="e">
        <f>AND('POTENCIAL HORAS'!#REF!,"AAAAAD/l7To=")</f>
        <v>#REF!</v>
      </c>
      <c r="BH406" t="e">
        <f>AND('POTENCIAL HORAS'!#REF!,"AAAAAD/l7Ts=")</f>
        <v>#REF!</v>
      </c>
      <c r="BI406" t="e">
        <f>AND('POTENCIAL HORAS'!#REF!,"AAAAAD/l7Tw=")</f>
        <v>#REF!</v>
      </c>
      <c r="BJ406" t="e">
        <f>AND('POTENCIAL HORAS'!#REF!,"AAAAAD/l7T0=")</f>
        <v>#REF!</v>
      </c>
      <c r="BK406" t="e">
        <f>AND('POTENCIAL HORAS'!#REF!,"AAAAAD/l7T4=")</f>
        <v>#REF!</v>
      </c>
      <c r="BL406" t="e">
        <f>AND('POTENCIAL HORAS'!#REF!,"AAAAAD/l7T8=")</f>
        <v>#REF!</v>
      </c>
      <c r="BM406" t="e">
        <f>AND('POTENCIAL HORAS'!#REF!,"AAAAAD/l7UA=")</f>
        <v>#REF!</v>
      </c>
      <c r="BN406" t="e">
        <f>AND('POTENCIAL HORAS'!#REF!,"AAAAAD/l7UE=")</f>
        <v>#REF!</v>
      </c>
      <c r="BO406" t="e">
        <f>AND('POTENCIAL HORAS'!#REF!,"AAAAAD/l7UI=")</f>
        <v>#REF!</v>
      </c>
      <c r="BP406" t="e">
        <f>AND('POTENCIAL HORAS'!#REF!,"AAAAAD/l7UM=")</f>
        <v>#REF!</v>
      </c>
      <c r="BQ406" t="e">
        <f>AND('POTENCIAL HORAS'!#REF!,"AAAAAD/l7UQ=")</f>
        <v>#REF!</v>
      </c>
      <c r="BR406" t="e">
        <f>AND('POTENCIAL HORAS'!#REF!,"AAAAAD/l7UU=")</f>
        <v>#REF!</v>
      </c>
      <c r="BS406" t="e">
        <f>AND('POTENCIAL HORAS'!#REF!,"AAAAAD/l7UY=")</f>
        <v>#REF!</v>
      </c>
      <c r="BT406" t="e">
        <f>AND('POTENCIAL HORAS'!#REF!,"AAAAAD/l7Uc=")</f>
        <v>#REF!</v>
      </c>
      <c r="BU406" t="e">
        <f>AND('POTENCIAL HORAS'!#REF!,"AAAAAD/l7Ug=")</f>
        <v>#REF!</v>
      </c>
      <c r="BV406" t="e">
        <f>IF('POTENCIAL HORAS'!#REF!,"AAAAAD/l7Uk=",0)</f>
        <v>#REF!</v>
      </c>
      <c r="BW406" t="e">
        <f>AND('POTENCIAL HORAS'!#REF!,"AAAAAD/l7Uo=")</f>
        <v>#REF!</v>
      </c>
      <c r="BX406" t="e">
        <f>AND('POTENCIAL HORAS'!#REF!,"AAAAAD/l7Us=")</f>
        <v>#REF!</v>
      </c>
      <c r="BY406" t="e">
        <f>AND('POTENCIAL HORAS'!#REF!,"AAAAAD/l7Uw=")</f>
        <v>#REF!</v>
      </c>
      <c r="BZ406" t="e">
        <f>AND('POTENCIAL HORAS'!#REF!,"AAAAAD/l7U0=")</f>
        <v>#REF!</v>
      </c>
      <c r="CA406" t="e">
        <f>AND('POTENCIAL HORAS'!#REF!,"AAAAAD/l7U4=")</f>
        <v>#REF!</v>
      </c>
      <c r="CB406" t="e">
        <f>AND('POTENCIAL HORAS'!#REF!,"AAAAAD/l7U8=")</f>
        <v>#REF!</v>
      </c>
      <c r="CC406" t="e">
        <f>AND('POTENCIAL HORAS'!#REF!,"AAAAAD/l7VA=")</f>
        <v>#REF!</v>
      </c>
      <c r="CD406" t="e">
        <f>AND('POTENCIAL HORAS'!#REF!,"AAAAAD/l7VE=")</f>
        <v>#REF!</v>
      </c>
      <c r="CE406" t="e">
        <f>AND('POTENCIAL HORAS'!#REF!,"AAAAAD/l7VI=")</f>
        <v>#REF!</v>
      </c>
      <c r="CF406" t="e">
        <f>AND('POTENCIAL HORAS'!#REF!,"AAAAAD/l7VM=")</f>
        <v>#REF!</v>
      </c>
      <c r="CG406" t="e">
        <f>AND('POTENCIAL HORAS'!#REF!,"AAAAAD/l7VQ=")</f>
        <v>#REF!</v>
      </c>
      <c r="CH406" t="e">
        <f>AND('POTENCIAL HORAS'!#REF!,"AAAAAD/l7VU=")</f>
        <v>#REF!</v>
      </c>
      <c r="CI406" t="e">
        <f>AND('POTENCIAL HORAS'!#REF!,"AAAAAD/l7VY=")</f>
        <v>#REF!</v>
      </c>
      <c r="CJ406" t="e">
        <f>AND('POTENCIAL HORAS'!#REF!,"AAAAAD/l7Vc=")</f>
        <v>#REF!</v>
      </c>
      <c r="CK406" t="e">
        <f>AND('POTENCIAL HORAS'!#REF!,"AAAAAD/l7Vg=")</f>
        <v>#REF!</v>
      </c>
      <c r="CL406" t="e">
        <f>AND('POTENCIAL HORAS'!#REF!,"AAAAAD/l7Vk=")</f>
        <v>#REF!</v>
      </c>
      <c r="CM406" t="e">
        <f>AND('POTENCIAL HORAS'!#REF!,"AAAAAD/l7Vo=")</f>
        <v>#REF!</v>
      </c>
      <c r="CN406" t="e">
        <f>AND('POTENCIAL HORAS'!#REF!,"AAAAAD/l7Vs=")</f>
        <v>#REF!</v>
      </c>
      <c r="CO406" t="e">
        <f>AND('POTENCIAL HORAS'!#REF!,"AAAAAD/l7Vw=")</f>
        <v>#REF!</v>
      </c>
      <c r="CP406" t="e">
        <f>AND('POTENCIAL HORAS'!#REF!,"AAAAAD/l7V0=")</f>
        <v>#REF!</v>
      </c>
      <c r="CQ406" t="e">
        <f>AND('POTENCIAL HORAS'!#REF!,"AAAAAD/l7V4=")</f>
        <v>#REF!</v>
      </c>
      <c r="CR406" t="e">
        <f>AND('POTENCIAL HORAS'!#REF!,"AAAAAD/l7V8=")</f>
        <v>#REF!</v>
      </c>
      <c r="CS406" t="e">
        <f>AND('POTENCIAL HORAS'!#REF!,"AAAAAD/l7WA=")</f>
        <v>#REF!</v>
      </c>
      <c r="CT406" t="e">
        <f>AND('POTENCIAL HORAS'!#REF!,"AAAAAD/l7WE=")</f>
        <v>#REF!</v>
      </c>
      <c r="CU406" t="e">
        <f>AND('POTENCIAL HORAS'!#REF!,"AAAAAD/l7WI=")</f>
        <v>#REF!</v>
      </c>
      <c r="CV406" t="e">
        <f>AND('POTENCIAL HORAS'!#REF!,"AAAAAD/l7WM=")</f>
        <v>#REF!</v>
      </c>
      <c r="CW406" t="e">
        <f>AND('POTENCIAL HORAS'!#REF!,"AAAAAD/l7WQ=")</f>
        <v>#REF!</v>
      </c>
      <c r="CX406" t="e">
        <f>AND('POTENCIAL HORAS'!#REF!,"AAAAAD/l7WU=")</f>
        <v>#REF!</v>
      </c>
      <c r="CY406" t="e">
        <f>AND('POTENCIAL HORAS'!#REF!,"AAAAAD/l7WY=")</f>
        <v>#REF!</v>
      </c>
      <c r="CZ406" t="e">
        <f>AND('POTENCIAL HORAS'!#REF!,"AAAAAD/l7Wc=")</f>
        <v>#REF!</v>
      </c>
      <c r="DA406" t="e">
        <f>AND('POTENCIAL HORAS'!#REF!,"AAAAAD/l7Wg=")</f>
        <v>#REF!</v>
      </c>
      <c r="DB406" t="e">
        <f>AND('POTENCIAL HORAS'!#REF!,"AAAAAD/l7Wk=")</f>
        <v>#REF!</v>
      </c>
      <c r="DC406" t="e">
        <f>AND('POTENCIAL HORAS'!#REF!,"AAAAAD/l7Wo=")</f>
        <v>#REF!</v>
      </c>
      <c r="DD406" t="e">
        <f>AND('POTENCIAL HORAS'!#REF!,"AAAAAD/l7Ws=")</f>
        <v>#REF!</v>
      </c>
      <c r="DE406" t="e">
        <f>AND('POTENCIAL HORAS'!#REF!,"AAAAAD/l7Ww=")</f>
        <v>#REF!</v>
      </c>
      <c r="DF406" t="e">
        <f>AND('POTENCIAL HORAS'!#REF!,"AAAAAD/l7W0=")</f>
        <v>#REF!</v>
      </c>
      <c r="DG406" t="e">
        <f>AND('POTENCIAL HORAS'!#REF!,"AAAAAD/l7W4=")</f>
        <v>#REF!</v>
      </c>
      <c r="DH406" t="e">
        <f>AND('POTENCIAL HORAS'!#REF!,"AAAAAD/l7W8=")</f>
        <v>#REF!</v>
      </c>
      <c r="DI406">
        <f>IF('POTENCIAL HORAS'!253:253,"AAAAAD/l7XA=",0)</f>
        <v>0</v>
      </c>
      <c r="DJ406" t="e">
        <f>AND('POTENCIAL HORAS'!A253,"AAAAAD/l7XE=")</f>
        <v>#VALUE!</v>
      </c>
      <c r="DK406" t="e">
        <f>AND('POTENCIAL HORAS'!B253,"AAAAAD/l7XI=")</f>
        <v>#VALUE!</v>
      </c>
      <c r="DL406" t="e">
        <f>AND('POTENCIAL HORAS'!C253,"AAAAAD/l7XM=")</f>
        <v>#VALUE!</v>
      </c>
      <c r="DM406" t="e">
        <f>AND('POTENCIAL HORAS'!D253,"AAAAAD/l7XQ=")</f>
        <v>#VALUE!</v>
      </c>
      <c r="DN406" t="e">
        <f>AND('POTENCIAL HORAS'!E253,"AAAAAD/l7XU=")</f>
        <v>#VALUE!</v>
      </c>
      <c r="DO406" t="e">
        <f>AND('POTENCIAL HORAS'!F253,"AAAAAD/l7XY=")</f>
        <v>#VALUE!</v>
      </c>
      <c r="DP406" t="e">
        <f>AND('POTENCIAL HORAS'!G253,"AAAAAD/l7Xc=")</f>
        <v>#VALUE!</v>
      </c>
      <c r="DQ406" t="e">
        <f>AND('POTENCIAL HORAS'!H253,"AAAAAD/l7Xg=")</f>
        <v>#VALUE!</v>
      </c>
      <c r="DR406" t="e">
        <f>AND('POTENCIAL HORAS'!I253,"AAAAAD/l7Xk=")</f>
        <v>#VALUE!</v>
      </c>
      <c r="DS406" t="e">
        <f>AND('POTENCIAL HORAS'!J253,"AAAAAD/l7Xo=")</f>
        <v>#VALUE!</v>
      </c>
      <c r="DT406" t="e">
        <f>AND('POTENCIAL HORAS'!K253,"AAAAAD/l7Xs=")</f>
        <v>#VALUE!</v>
      </c>
      <c r="DU406" t="e">
        <f>AND('POTENCIAL HORAS'!L253,"AAAAAD/l7Xw=")</f>
        <v>#VALUE!</v>
      </c>
      <c r="DV406" t="e">
        <f>AND('POTENCIAL HORAS'!M253,"AAAAAD/l7X0=")</f>
        <v>#VALUE!</v>
      </c>
      <c r="DW406" t="e">
        <f>AND('POTENCIAL HORAS'!N253,"AAAAAD/l7X4=")</f>
        <v>#VALUE!</v>
      </c>
      <c r="DX406" t="e">
        <f>AND('POTENCIAL HORAS'!O253,"AAAAAD/l7X8=")</f>
        <v>#VALUE!</v>
      </c>
      <c r="DY406" t="e">
        <f>AND('POTENCIAL HORAS'!P253,"AAAAAD/l7YA=")</f>
        <v>#VALUE!</v>
      </c>
      <c r="DZ406" t="e">
        <f>AND('POTENCIAL HORAS'!#REF!,"AAAAAD/l7YE=")</f>
        <v>#REF!</v>
      </c>
      <c r="EA406" t="e">
        <f>AND('POTENCIAL HORAS'!#REF!,"AAAAAD/l7YI=")</f>
        <v>#REF!</v>
      </c>
      <c r="EB406" t="e">
        <f>AND('POTENCIAL HORAS'!#REF!,"AAAAAD/l7YM=")</f>
        <v>#REF!</v>
      </c>
      <c r="EC406" t="e">
        <f>AND('POTENCIAL HORAS'!#REF!,"AAAAAD/l7YQ=")</f>
        <v>#REF!</v>
      </c>
      <c r="ED406" t="e">
        <f>AND('POTENCIAL HORAS'!#REF!,"AAAAAD/l7YU=")</f>
        <v>#REF!</v>
      </c>
      <c r="EE406" t="e">
        <f>AND('POTENCIAL HORAS'!#REF!,"AAAAAD/l7YY=")</f>
        <v>#REF!</v>
      </c>
      <c r="EF406" t="e">
        <f>AND('POTENCIAL HORAS'!#REF!,"AAAAAD/l7Yc=")</f>
        <v>#REF!</v>
      </c>
      <c r="EG406" t="e">
        <f>AND('POTENCIAL HORAS'!#REF!,"AAAAAD/l7Yg=")</f>
        <v>#REF!</v>
      </c>
      <c r="EH406" t="e">
        <f>AND('POTENCIAL HORAS'!#REF!,"AAAAAD/l7Yk=")</f>
        <v>#REF!</v>
      </c>
      <c r="EI406" t="e">
        <f>AND('POTENCIAL HORAS'!#REF!,"AAAAAD/l7Yo=")</f>
        <v>#REF!</v>
      </c>
      <c r="EJ406" t="e">
        <f>AND('POTENCIAL HORAS'!#REF!,"AAAAAD/l7Ys=")</f>
        <v>#REF!</v>
      </c>
      <c r="EK406" t="e">
        <f>AND('POTENCIAL HORAS'!#REF!,"AAAAAD/l7Yw=")</f>
        <v>#REF!</v>
      </c>
      <c r="EL406" t="e">
        <f>AND('POTENCIAL HORAS'!#REF!,"AAAAAD/l7Y0=")</f>
        <v>#REF!</v>
      </c>
      <c r="EM406" t="e">
        <f>AND('POTENCIAL HORAS'!#REF!,"AAAAAD/l7Y4=")</f>
        <v>#REF!</v>
      </c>
      <c r="EN406" t="e">
        <f>AND('POTENCIAL HORAS'!#REF!,"AAAAAD/l7Y8=")</f>
        <v>#REF!</v>
      </c>
      <c r="EO406" t="e">
        <f>AND('POTENCIAL HORAS'!#REF!,"AAAAAD/l7ZA=")</f>
        <v>#REF!</v>
      </c>
      <c r="EP406" t="e">
        <f>AND('POTENCIAL HORAS'!#REF!,"AAAAAD/l7ZE=")</f>
        <v>#REF!</v>
      </c>
      <c r="EQ406" t="e">
        <f>AND('POTENCIAL HORAS'!#REF!,"AAAAAD/l7ZI=")</f>
        <v>#REF!</v>
      </c>
      <c r="ER406" t="e">
        <f>AND('POTENCIAL HORAS'!#REF!,"AAAAAD/l7ZM=")</f>
        <v>#REF!</v>
      </c>
      <c r="ES406" t="e">
        <f>AND('POTENCIAL HORAS'!#REF!,"AAAAAD/l7ZQ=")</f>
        <v>#REF!</v>
      </c>
      <c r="ET406" t="e">
        <f>AND('POTENCIAL HORAS'!Q253,"AAAAAD/l7ZU=")</f>
        <v>#VALUE!</v>
      </c>
      <c r="EU406" t="e">
        <f>AND('POTENCIAL HORAS'!R253,"AAAAAD/l7ZY=")</f>
        <v>#VALUE!</v>
      </c>
      <c r="EV406">
        <f>IF('POTENCIAL HORAS'!258:258,"AAAAAD/l7Zc=",0)</f>
        <v>0</v>
      </c>
      <c r="EW406" t="e">
        <f>AND('POTENCIAL HORAS'!A258,"AAAAAD/l7Zg=")</f>
        <v>#VALUE!</v>
      </c>
      <c r="EX406" t="e">
        <f>AND('POTENCIAL HORAS'!B258,"AAAAAD/l7Zk=")</f>
        <v>#VALUE!</v>
      </c>
      <c r="EY406" t="e">
        <f>AND('POTENCIAL HORAS'!C258,"AAAAAD/l7Zo=")</f>
        <v>#VALUE!</v>
      </c>
      <c r="EZ406" t="e">
        <f>AND('POTENCIAL HORAS'!D258,"AAAAAD/l7Zs=")</f>
        <v>#VALUE!</v>
      </c>
      <c r="FA406" t="e">
        <f>AND('POTENCIAL HORAS'!E258,"AAAAAD/l7Zw=")</f>
        <v>#VALUE!</v>
      </c>
      <c r="FB406" t="e">
        <f>AND('POTENCIAL HORAS'!F258,"AAAAAD/l7Z0=")</f>
        <v>#VALUE!</v>
      </c>
      <c r="FC406" t="e">
        <f>AND('POTENCIAL HORAS'!G258,"AAAAAD/l7Z4=")</f>
        <v>#VALUE!</v>
      </c>
      <c r="FD406" t="e">
        <f>AND('POTENCIAL HORAS'!H258,"AAAAAD/l7Z8=")</f>
        <v>#VALUE!</v>
      </c>
      <c r="FE406" t="e">
        <f>AND('POTENCIAL HORAS'!I258,"AAAAAD/l7aA=")</f>
        <v>#VALUE!</v>
      </c>
      <c r="FF406" t="e">
        <f>AND('POTENCIAL HORAS'!J258,"AAAAAD/l7aE=")</f>
        <v>#VALUE!</v>
      </c>
      <c r="FG406" t="e">
        <f>AND('POTENCIAL HORAS'!K258,"AAAAAD/l7aI=")</f>
        <v>#VALUE!</v>
      </c>
      <c r="FH406" t="e">
        <f>AND('POTENCIAL HORAS'!L258,"AAAAAD/l7aM=")</f>
        <v>#VALUE!</v>
      </c>
      <c r="FI406" t="e">
        <f>AND('POTENCIAL HORAS'!M258,"AAAAAD/l7aQ=")</f>
        <v>#VALUE!</v>
      </c>
      <c r="FJ406" t="e">
        <f>AND('POTENCIAL HORAS'!N258,"AAAAAD/l7aU=")</f>
        <v>#VALUE!</v>
      </c>
      <c r="FK406" t="e">
        <f>AND('POTENCIAL HORAS'!O258,"AAAAAD/l7aY=")</f>
        <v>#VALUE!</v>
      </c>
      <c r="FL406" t="e">
        <f>AND('POTENCIAL HORAS'!P258,"AAAAAD/l7ac=")</f>
        <v>#VALUE!</v>
      </c>
      <c r="FM406" t="e">
        <f>AND('POTENCIAL HORAS'!#REF!,"AAAAAD/l7ag=")</f>
        <v>#REF!</v>
      </c>
      <c r="FN406" t="e">
        <f>AND('POTENCIAL HORAS'!#REF!,"AAAAAD/l7ak=")</f>
        <v>#REF!</v>
      </c>
      <c r="FO406" t="e">
        <f>AND('POTENCIAL HORAS'!#REF!,"AAAAAD/l7ao=")</f>
        <v>#REF!</v>
      </c>
      <c r="FP406" t="e">
        <f>AND('POTENCIAL HORAS'!#REF!,"AAAAAD/l7as=")</f>
        <v>#REF!</v>
      </c>
      <c r="FQ406" t="e">
        <f>AND('POTENCIAL HORAS'!#REF!,"AAAAAD/l7aw=")</f>
        <v>#REF!</v>
      </c>
      <c r="FR406" t="e">
        <f>AND('POTENCIAL HORAS'!#REF!,"AAAAAD/l7a0=")</f>
        <v>#REF!</v>
      </c>
      <c r="FS406" t="e">
        <f>AND('POTENCIAL HORAS'!#REF!,"AAAAAD/l7a4=")</f>
        <v>#REF!</v>
      </c>
      <c r="FT406" t="e">
        <f>AND('POTENCIAL HORAS'!#REF!,"AAAAAD/l7a8=")</f>
        <v>#REF!</v>
      </c>
      <c r="FU406" t="e">
        <f>AND('POTENCIAL HORAS'!#REF!,"AAAAAD/l7bA=")</f>
        <v>#REF!</v>
      </c>
      <c r="FV406" t="e">
        <f>AND('POTENCIAL HORAS'!#REF!,"AAAAAD/l7bE=")</f>
        <v>#REF!</v>
      </c>
      <c r="FW406" t="e">
        <f>AND('POTENCIAL HORAS'!#REF!,"AAAAAD/l7bI=")</f>
        <v>#REF!</v>
      </c>
      <c r="FX406" t="e">
        <f>AND('POTENCIAL HORAS'!#REF!,"AAAAAD/l7bM=")</f>
        <v>#REF!</v>
      </c>
      <c r="FY406" t="e">
        <f>AND('POTENCIAL HORAS'!#REF!,"AAAAAD/l7bQ=")</f>
        <v>#REF!</v>
      </c>
      <c r="FZ406" t="e">
        <f>AND('POTENCIAL HORAS'!#REF!,"AAAAAD/l7bU=")</f>
        <v>#REF!</v>
      </c>
      <c r="GA406" t="e">
        <f>AND('POTENCIAL HORAS'!#REF!,"AAAAAD/l7bY=")</f>
        <v>#REF!</v>
      </c>
      <c r="GB406" t="e">
        <f>AND('POTENCIAL HORAS'!#REF!,"AAAAAD/l7bc=")</f>
        <v>#REF!</v>
      </c>
      <c r="GC406" t="e">
        <f>AND('POTENCIAL HORAS'!#REF!,"AAAAAD/l7bg=")</f>
        <v>#REF!</v>
      </c>
      <c r="GD406" t="e">
        <f>AND('POTENCIAL HORAS'!#REF!,"AAAAAD/l7bk=")</f>
        <v>#REF!</v>
      </c>
      <c r="GE406" t="e">
        <f>AND('POTENCIAL HORAS'!#REF!,"AAAAAD/l7bo=")</f>
        <v>#REF!</v>
      </c>
      <c r="GF406" t="e">
        <f>AND('POTENCIAL HORAS'!#REF!,"AAAAAD/l7bs=")</f>
        <v>#REF!</v>
      </c>
      <c r="GG406" t="e">
        <f>AND('POTENCIAL HORAS'!Q258,"AAAAAD/l7bw=")</f>
        <v>#VALUE!</v>
      </c>
      <c r="GH406" t="e">
        <f>AND('POTENCIAL HORAS'!R258,"AAAAAD/l7b0=")</f>
        <v>#VALUE!</v>
      </c>
      <c r="GI406">
        <f>IF('POTENCIAL HORAS'!259:259,"AAAAAD/l7b4=",0)</f>
        <v>0</v>
      </c>
      <c r="GJ406" t="e">
        <f>AND('POTENCIAL HORAS'!A259,"AAAAAD/l7b8=")</f>
        <v>#VALUE!</v>
      </c>
      <c r="GK406" t="e">
        <f>AND('POTENCIAL HORAS'!B259,"AAAAAD/l7cA=")</f>
        <v>#VALUE!</v>
      </c>
      <c r="GL406" t="e">
        <f>AND('POTENCIAL HORAS'!C259,"AAAAAD/l7cE=")</f>
        <v>#VALUE!</v>
      </c>
      <c r="GM406" t="e">
        <f>AND('POTENCIAL HORAS'!D259,"AAAAAD/l7cI=")</f>
        <v>#VALUE!</v>
      </c>
      <c r="GN406" t="e">
        <f>AND('POTENCIAL HORAS'!E259,"AAAAAD/l7cM=")</f>
        <v>#VALUE!</v>
      </c>
      <c r="GO406" t="e">
        <f>AND('POTENCIAL HORAS'!F259,"AAAAAD/l7cQ=")</f>
        <v>#VALUE!</v>
      </c>
      <c r="GP406" t="e">
        <f>AND('POTENCIAL HORAS'!G259,"AAAAAD/l7cU=")</f>
        <v>#VALUE!</v>
      </c>
      <c r="GQ406" t="e">
        <f>AND('POTENCIAL HORAS'!H259,"AAAAAD/l7cY=")</f>
        <v>#VALUE!</v>
      </c>
      <c r="GR406" t="e">
        <f>AND('POTENCIAL HORAS'!I259,"AAAAAD/l7cc=")</f>
        <v>#VALUE!</v>
      </c>
      <c r="GS406" t="e">
        <f>AND('POTENCIAL HORAS'!J259,"AAAAAD/l7cg=")</f>
        <v>#VALUE!</v>
      </c>
      <c r="GT406" t="e">
        <f>AND('POTENCIAL HORAS'!K259,"AAAAAD/l7ck=")</f>
        <v>#VALUE!</v>
      </c>
      <c r="GU406" t="e">
        <f>AND('POTENCIAL HORAS'!L259,"AAAAAD/l7co=")</f>
        <v>#VALUE!</v>
      </c>
      <c r="GV406" t="e">
        <f>AND('POTENCIAL HORAS'!M259,"AAAAAD/l7cs=")</f>
        <v>#VALUE!</v>
      </c>
      <c r="GW406" t="e">
        <f>AND('POTENCIAL HORAS'!N259,"AAAAAD/l7cw=")</f>
        <v>#VALUE!</v>
      </c>
      <c r="GX406" t="e">
        <f>AND('POTENCIAL HORAS'!O259,"AAAAAD/l7c0=")</f>
        <v>#VALUE!</v>
      </c>
      <c r="GY406" t="e">
        <f>AND('POTENCIAL HORAS'!P259,"AAAAAD/l7c4=")</f>
        <v>#VALUE!</v>
      </c>
      <c r="GZ406" t="e">
        <f>AND('POTENCIAL HORAS'!#REF!,"AAAAAD/l7c8=")</f>
        <v>#REF!</v>
      </c>
      <c r="HA406" t="e">
        <f>AND('POTENCIAL HORAS'!#REF!,"AAAAAD/l7dA=")</f>
        <v>#REF!</v>
      </c>
      <c r="HB406" t="e">
        <f>AND('POTENCIAL HORAS'!#REF!,"AAAAAD/l7dE=")</f>
        <v>#REF!</v>
      </c>
      <c r="HC406" t="e">
        <f>AND('POTENCIAL HORAS'!#REF!,"AAAAAD/l7dI=")</f>
        <v>#REF!</v>
      </c>
      <c r="HD406" t="e">
        <f>AND('POTENCIAL HORAS'!#REF!,"AAAAAD/l7dM=")</f>
        <v>#REF!</v>
      </c>
      <c r="HE406" t="e">
        <f>AND('POTENCIAL HORAS'!#REF!,"AAAAAD/l7dQ=")</f>
        <v>#REF!</v>
      </c>
      <c r="HF406" t="e">
        <f>AND('POTENCIAL HORAS'!#REF!,"AAAAAD/l7dU=")</f>
        <v>#REF!</v>
      </c>
      <c r="HG406" t="e">
        <f>AND('POTENCIAL HORAS'!#REF!,"AAAAAD/l7dY=")</f>
        <v>#REF!</v>
      </c>
      <c r="HH406" t="e">
        <f>AND('POTENCIAL HORAS'!#REF!,"AAAAAD/l7dc=")</f>
        <v>#REF!</v>
      </c>
      <c r="HI406" t="e">
        <f>AND('POTENCIAL HORAS'!#REF!,"AAAAAD/l7dg=")</f>
        <v>#REF!</v>
      </c>
      <c r="HJ406" t="e">
        <f>AND('POTENCIAL HORAS'!#REF!,"AAAAAD/l7dk=")</f>
        <v>#REF!</v>
      </c>
      <c r="HK406" t="e">
        <f>AND('POTENCIAL HORAS'!#REF!,"AAAAAD/l7do=")</f>
        <v>#REF!</v>
      </c>
      <c r="HL406" t="e">
        <f>AND('POTENCIAL HORAS'!#REF!,"AAAAAD/l7ds=")</f>
        <v>#REF!</v>
      </c>
      <c r="HM406" t="e">
        <f>AND('POTENCIAL HORAS'!#REF!,"AAAAAD/l7dw=")</f>
        <v>#REF!</v>
      </c>
      <c r="HN406" t="e">
        <f>AND('POTENCIAL HORAS'!#REF!,"AAAAAD/l7d0=")</f>
        <v>#REF!</v>
      </c>
      <c r="HO406" t="e">
        <f>AND('POTENCIAL HORAS'!#REF!,"AAAAAD/l7d4=")</f>
        <v>#REF!</v>
      </c>
      <c r="HP406" t="e">
        <f>AND('POTENCIAL HORAS'!#REF!,"AAAAAD/l7d8=")</f>
        <v>#REF!</v>
      </c>
      <c r="HQ406" t="e">
        <f>AND('POTENCIAL HORAS'!#REF!,"AAAAAD/l7eA=")</f>
        <v>#REF!</v>
      </c>
      <c r="HR406" t="e">
        <f>AND('POTENCIAL HORAS'!#REF!,"AAAAAD/l7eE=")</f>
        <v>#REF!</v>
      </c>
      <c r="HS406" t="e">
        <f>AND('POTENCIAL HORAS'!#REF!,"AAAAAD/l7eI=")</f>
        <v>#REF!</v>
      </c>
      <c r="HT406" t="e">
        <f>AND('POTENCIAL HORAS'!Q259,"AAAAAD/l7eM=")</f>
        <v>#VALUE!</v>
      </c>
      <c r="HU406" t="e">
        <f>AND('POTENCIAL HORAS'!R259,"AAAAAD/l7eQ=")</f>
        <v>#VALUE!</v>
      </c>
      <c r="HV406">
        <f>IF('POTENCIAL HORAS'!260:260,"AAAAAD/l7eU=",0)</f>
        <v>0</v>
      </c>
      <c r="HW406" t="e">
        <f>AND('POTENCIAL HORAS'!A260,"AAAAAD/l7eY=")</f>
        <v>#VALUE!</v>
      </c>
      <c r="HX406" t="e">
        <f>AND('POTENCIAL HORAS'!B260,"AAAAAD/l7ec=")</f>
        <v>#VALUE!</v>
      </c>
      <c r="HY406" t="e">
        <f>AND('POTENCIAL HORAS'!C260,"AAAAAD/l7eg=")</f>
        <v>#VALUE!</v>
      </c>
      <c r="HZ406" t="e">
        <f>AND('POTENCIAL HORAS'!D260,"AAAAAD/l7ek=")</f>
        <v>#VALUE!</v>
      </c>
      <c r="IA406" t="e">
        <f>AND('POTENCIAL HORAS'!E260,"AAAAAD/l7eo=")</f>
        <v>#VALUE!</v>
      </c>
      <c r="IB406" t="e">
        <f>AND('POTENCIAL HORAS'!F260,"AAAAAD/l7es=")</f>
        <v>#VALUE!</v>
      </c>
      <c r="IC406" t="e">
        <f>AND('POTENCIAL HORAS'!G260,"AAAAAD/l7ew=")</f>
        <v>#VALUE!</v>
      </c>
      <c r="ID406" t="e">
        <f>AND('POTENCIAL HORAS'!H260,"AAAAAD/l7e0=")</f>
        <v>#VALUE!</v>
      </c>
      <c r="IE406" t="e">
        <f>AND('POTENCIAL HORAS'!I260,"AAAAAD/l7e4=")</f>
        <v>#VALUE!</v>
      </c>
      <c r="IF406" t="e">
        <f>AND('POTENCIAL HORAS'!J260,"AAAAAD/l7e8=")</f>
        <v>#VALUE!</v>
      </c>
      <c r="IG406" t="e">
        <f>AND('POTENCIAL HORAS'!K260,"AAAAAD/l7fA=")</f>
        <v>#VALUE!</v>
      </c>
      <c r="IH406" t="e">
        <f>AND('POTENCIAL HORAS'!L260,"AAAAAD/l7fE=")</f>
        <v>#VALUE!</v>
      </c>
      <c r="II406" t="e">
        <f>AND('POTENCIAL HORAS'!M260,"AAAAAD/l7fI=")</f>
        <v>#VALUE!</v>
      </c>
      <c r="IJ406" t="e">
        <f>AND('POTENCIAL HORAS'!N260,"AAAAAD/l7fM=")</f>
        <v>#VALUE!</v>
      </c>
      <c r="IK406" t="e">
        <f>AND('POTENCIAL HORAS'!O260,"AAAAAD/l7fQ=")</f>
        <v>#VALUE!</v>
      </c>
      <c r="IL406" t="e">
        <f>AND('POTENCIAL HORAS'!P260,"AAAAAD/l7fU=")</f>
        <v>#VALUE!</v>
      </c>
      <c r="IM406" t="e">
        <f>AND('POTENCIAL HORAS'!#REF!,"AAAAAD/l7fY=")</f>
        <v>#REF!</v>
      </c>
      <c r="IN406" t="e">
        <f>AND('POTENCIAL HORAS'!#REF!,"AAAAAD/l7fc=")</f>
        <v>#REF!</v>
      </c>
      <c r="IO406" t="e">
        <f>AND('POTENCIAL HORAS'!#REF!,"AAAAAD/l7fg=")</f>
        <v>#REF!</v>
      </c>
      <c r="IP406" t="e">
        <f>AND('POTENCIAL HORAS'!#REF!,"AAAAAD/l7fk=")</f>
        <v>#REF!</v>
      </c>
      <c r="IQ406" t="e">
        <f>AND('POTENCIAL HORAS'!#REF!,"AAAAAD/l7fo=")</f>
        <v>#REF!</v>
      </c>
      <c r="IR406" t="e">
        <f>AND('POTENCIAL HORAS'!#REF!,"AAAAAD/l7fs=")</f>
        <v>#REF!</v>
      </c>
      <c r="IS406" t="e">
        <f>AND('POTENCIAL HORAS'!#REF!,"AAAAAD/l7fw=")</f>
        <v>#REF!</v>
      </c>
      <c r="IT406" t="e">
        <f>AND('POTENCIAL HORAS'!#REF!,"AAAAAD/l7f0=")</f>
        <v>#REF!</v>
      </c>
      <c r="IU406" t="e">
        <f>AND('POTENCIAL HORAS'!#REF!,"AAAAAD/l7f4=")</f>
        <v>#REF!</v>
      </c>
      <c r="IV406" t="e">
        <f>AND('POTENCIAL HORAS'!#REF!,"AAAAAD/l7f8=")</f>
        <v>#REF!</v>
      </c>
    </row>
    <row r="407" spans="1:256" x14ac:dyDescent="0.2">
      <c r="A407" t="e">
        <f>AND('POTENCIAL HORAS'!#REF!,"AAAAAEf/PwA=")</f>
        <v>#REF!</v>
      </c>
      <c r="B407" t="e">
        <f>AND('POTENCIAL HORAS'!#REF!,"AAAAAEf/PwE=")</f>
        <v>#REF!</v>
      </c>
      <c r="C407" t="e">
        <f>AND('POTENCIAL HORAS'!#REF!,"AAAAAEf/PwI=")</f>
        <v>#REF!</v>
      </c>
      <c r="D407" t="e">
        <f>AND('POTENCIAL HORAS'!#REF!,"AAAAAEf/PwM=")</f>
        <v>#REF!</v>
      </c>
      <c r="E407" t="e">
        <f>AND('POTENCIAL HORAS'!#REF!,"AAAAAEf/PwQ=")</f>
        <v>#REF!</v>
      </c>
      <c r="F407" t="e">
        <f>AND('POTENCIAL HORAS'!#REF!,"AAAAAEf/PwU=")</f>
        <v>#REF!</v>
      </c>
      <c r="G407" t="e">
        <f>AND('POTENCIAL HORAS'!#REF!,"AAAAAEf/PwY=")</f>
        <v>#REF!</v>
      </c>
      <c r="H407" t="e">
        <f>AND('POTENCIAL HORAS'!#REF!,"AAAAAEf/Pwc=")</f>
        <v>#REF!</v>
      </c>
      <c r="I407" t="e">
        <f>AND('POTENCIAL HORAS'!#REF!,"AAAAAEf/Pwg=")</f>
        <v>#REF!</v>
      </c>
      <c r="J407" t="e">
        <f>AND('POTENCIAL HORAS'!#REF!,"AAAAAEf/Pwk=")</f>
        <v>#REF!</v>
      </c>
      <c r="K407" t="e">
        <f>AND('POTENCIAL HORAS'!Q260,"AAAAAEf/Pwo=")</f>
        <v>#VALUE!</v>
      </c>
      <c r="L407" t="e">
        <f>AND('POTENCIAL HORAS'!R260,"AAAAAEf/Pws=")</f>
        <v>#VALUE!</v>
      </c>
      <c r="M407">
        <f>IF('POTENCIAL HORAS'!262:262,"AAAAAEf/Pww=",0)</f>
        <v>0</v>
      </c>
      <c r="N407" t="e">
        <f>AND('POTENCIAL HORAS'!A262,"AAAAAEf/Pw0=")</f>
        <v>#VALUE!</v>
      </c>
      <c r="O407" t="e">
        <f>AND('POTENCIAL HORAS'!B262,"AAAAAEf/Pw4=")</f>
        <v>#VALUE!</v>
      </c>
      <c r="P407" t="e">
        <f>AND('POTENCIAL HORAS'!C262,"AAAAAEf/Pw8=")</f>
        <v>#VALUE!</v>
      </c>
      <c r="Q407" t="e">
        <f>AND('POTENCIAL HORAS'!D262,"AAAAAEf/PxA=")</f>
        <v>#VALUE!</v>
      </c>
      <c r="R407" t="e">
        <f>AND('POTENCIAL HORAS'!E262,"AAAAAEf/PxE=")</f>
        <v>#VALUE!</v>
      </c>
      <c r="S407" t="e">
        <f>AND('POTENCIAL HORAS'!F262,"AAAAAEf/PxI=")</f>
        <v>#VALUE!</v>
      </c>
      <c r="T407" t="e">
        <f>AND('POTENCIAL HORAS'!G262,"AAAAAEf/PxM=")</f>
        <v>#VALUE!</v>
      </c>
      <c r="U407" t="e">
        <f>AND('POTENCIAL HORAS'!H262,"AAAAAEf/PxQ=")</f>
        <v>#VALUE!</v>
      </c>
      <c r="V407" t="e">
        <f>AND('POTENCIAL HORAS'!I262,"AAAAAEf/PxU=")</f>
        <v>#VALUE!</v>
      </c>
      <c r="W407" t="e">
        <f>AND('POTENCIAL HORAS'!J262,"AAAAAEf/PxY=")</f>
        <v>#VALUE!</v>
      </c>
      <c r="X407" t="e">
        <f>AND('POTENCIAL HORAS'!K262,"AAAAAEf/Pxc=")</f>
        <v>#VALUE!</v>
      </c>
      <c r="Y407" t="e">
        <f>AND('POTENCIAL HORAS'!L262,"AAAAAEf/Pxg=")</f>
        <v>#VALUE!</v>
      </c>
      <c r="Z407" t="e">
        <f>AND('POTENCIAL HORAS'!M262,"AAAAAEf/Pxk=")</f>
        <v>#VALUE!</v>
      </c>
      <c r="AA407" t="e">
        <f>AND('POTENCIAL HORAS'!N262,"AAAAAEf/Pxo=")</f>
        <v>#VALUE!</v>
      </c>
      <c r="AB407" t="e">
        <f>AND('POTENCIAL HORAS'!O262,"AAAAAEf/Pxs=")</f>
        <v>#VALUE!</v>
      </c>
      <c r="AC407" t="e">
        <f>AND('POTENCIAL HORAS'!P262,"AAAAAEf/Pxw=")</f>
        <v>#VALUE!</v>
      </c>
      <c r="AD407" t="e">
        <f>AND('POTENCIAL HORAS'!#REF!,"AAAAAEf/Px0=")</f>
        <v>#REF!</v>
      </c>
      <c r="AE407" t="e">
        <f>AND('POTENCIAL HORAS'!#REF!,"AAAAAEf/Px4=")</f>
        <v>#REF!</v>
      </c>
      <c r="AF407" t="e">
        <f>AND('POTENCIAL HORAS'!#REF!,"AAAAAEf/Px8=")</f>
        <v>#REF!</v>
      </c>
      <c r="AG407" t="e">
        <f>AND('POTENCIAL HORAS'!#REF!,"AAAAAEf/PyA=")</f>
        <v>#REF!</v>
      </c>
      <c r="AH407" t="e">
        <f>AND('POTENCIAL HORAS'!#REF!,"AAAAAEf/PyE=")</f>
        <v>#REF!</v>
      </c>
      <c r="AI407" t="e">
        <f>AND('POTENCIAL HORAS'!#REF!,"AAAAAEf/PyI=")</f>
        <v>#REF!</v>
      </c>
      <c r="AJ407" t="e">
        <f>AND('POTENCIAL HORAS'!#REF!,"AAAAAEf/PyM=")</f>
        <v>#REF!</v>
      </c>
      <c r="AK407" t="e">
        <f>AND('POTENCIAL HORAS'!#REF!,"AAAAAEf/PyQ=")</f>
        <v>#REF!</v>
      </c>
      <c r="AL407" t="e">
        <f>AND('POTENCIAL HORAS'!#REF!,"AAAAAEf/PyU=")</f>
        <v>#REF!</v>
      </c>
      <c r="AM407" t="e">
        <f>AND('POTENCIAL HORAS'!#REF!,"AAAAAEf/PyY=")</f>
        <v>#REF!</v>
      </c>
      <c r="AN407" t="e">
        <f>AND('POTENCIAL HORAS'!#REF!,"AAAAAEf/Pyc=")</f>
        <v>#REF!</v>
      </c>
      <c r="AO407" t="e">
        <f>AND('POTENCIAL HORAS'!#REF!,"AAAAAEf/Pyg=")</f>
        <v>#REF!</v>
      </c>
      <c r="AP407" t="e">
        <f>AND('POTENCIAL HORAS'!#REF!,"AAAAAEf/Pyk=")</f>
        <v>#REF!</v>
      </c>
      <c r="AQ407" t="e">
        <f>AND('POTENCIAL HORAS'!#REF!,"AAAAAEf/Pyo=")</f>
        <v>#REF!</v>
      </c>
      <c r="AR407" t="e">
        <f>AND('POTENCIAL HORAS'!#REF!,"AAAAAEf/Pys=")</f>
        <v>#REF!</v>
      </c>
      <c r="AS407" t="e">
        <f>AND('POTENCIAL HORAS'!#REF!,"AAAAAEf/Pyw=")</f>
        <v>#REF!</v>
      </c>
      <c r="AT407" t="e">
        <f>AND('POTENCIAL HORAS'!#REF!,"AAAAAEf/Py0=")</f>
        <v>#REF!</v>
      </c>
      <c r="AU407" t="e">
        <f>AND('POTENCIAL HORAS'!#REF!,"AAAAAEf/Py4=")</f>
        <v>#REF!</v>
      </c>
      <c r="AV407" t="e">
        <f>AND('POTENCIAL HORAS'!#REF!,"AAAAAEf/Py8=")</f>
        <v>#REF!</v>
      </c>
      <c r="AW407" t="e">
        <f>AND('POTENCIAL HORAS'!#REF!,"AAAAAEf/PzA=")</f>
        <v>#REF!</v>
      </c>
      <c r="AX407" t="e">
        <f>AND('POTENCIAL HORAS'!Q262,"AAAAAEf/PzE=")</f>
        <v>#VALUE!</v>
      </c>
      <c r="AY407" t="e">
        <f>AND('POTENCIAL HORAS'!R262,"AAAAAEf/PzI=")</f>
        <v>#VALUE!</v>
      </c>
      <c r="AZ407">
        <f>IF('POTENCIAL HORAS'!263:263,"AAAAAEf/PzM=",0)</f>
        <v>0</v>
      </c>
      <c r="BA407" t="e">
        <f>AND('POTENCIAL HORAS'!A263,"AAAAAEf/PzQ=")</f>
        <v>#VALUE!</v>
      </c>
      <c r="BB407" t="e">
        <f>AND('POTENCIAL HORAS'!B263,"AAAAAEf/PzU=")</f>
        <v>#VALUE!</v>
      </c>
      <c r="BC407" t="e">
        <f>AND('POTENCIAL HORAS'!C263,"AAAAAEf/PzY=")</f>
        <v>#VALUE!</v>
      </c>
      <c r="BD407" t="e">
        <f>AND('POTENCIAL HORAS'!D263,"AAAAAEf/Pzc=")</f>
        <v>#VALUE!</v>
      </c>
      <c r="BE407" t="e">
        <f>AND('POTENCIAL HORAS'!E263,"AAAAAEf/Pzg=")</f>
        <v>#VALUE!</v>
      </c>
      <c r="BF407" t="e">
        <f>AND('POTENCIAL HORAS'!F263,"AAAAAEf/Pzk=")</f>
        <v>#VALUE!</v>
      </c>
      <c r="BG407" t="e">
        <f>AND('POTENCIAL HORAS'!G263,"AAAAAEf/Pzo=")</f>
        <v>#VALUE!</v>
      </c>
      <c r="BH407" t="e">
        <f>AND('POTENCIAL HORAS'!H263,"AAAAAEf/Pzs=")</f>
        <v>#VALUE!</v>
      </c>
      <c r="BI407" t="e">
        <f>AND('POTENCIAL HORAS'!I263,"AAAAAEf/Pzw=")</f>
        <v>#VALUE!</v>
      </c>
      <c r="BJ407" t="e">
        <f>AND('POTENCIAL HORAS'!J263,"AAAAAEf/Pz0=")</f>
        <v>#VALUE!</v>
      </c>
      <c r="BK407" t="e">
        <f>AND('POTENCIAL HORAS'!K263,"AAAAAEf/Pz4=")</f>
        <v>#VALUE!</v>
      </c>
      <c r="BL407" t="e">
        <f>AND('POTENCIAL HORAS'!L263,"AAAAAEf/Pz8=")</f>
        <v>#VALUE!</v>
      </c>
      <c r="BM407" t="e">
        <f>AND('POTENCIAL HORAS'!M263,"AAAAAEf/P0A=")</f>
        <v>#VALUE!</v>
      </c>
      <c r="BN407" t="e">
        <f>AND('POTENCIAL HORAS'!N263,"AAAAAEf/P0E=")</f>
        <v>#VALUE!</v>
      </c>
      <c r="BO407" t="e">
        <f>AND('POTENCIAL HORAS'!O263,"AAAAAEf/P0I=")</f>
        <v>#VALUE!</v>
      </c>
      <c r="BP407" t="e">
        <f>AND('POTENCIAL HORAS'!P263,"AAAAAEf/P0M=")</f>
        <v>#VALUE!</v>
      </c>
      <c r="BQ407" t="e">
        <f>AND('POTENCIAL HORAS'!#REF!,"AAAAAEf/P0Q=")</f>
        <v>#REF!</v>
      </c>
      <c r="BR407" t="e">
        <f>AND('POTENCIAL HORAS'!#REF!,"AAAAAEf/P0U=")</f>
        <v>#REF!</v>
      </c>
      <c r="BS407" t="e">
        <f>AND('POTENCIAL HORAS'!#REF!,"AAAAAEf/P0Y=")</f>
        <v>#REF!</v>
      </c>
      <c r="BT407" t="e">
        <f>AND('POTENCIAL HORAS'!#REF!,"AAAAAEf/P0c=")</f>
        <v>#REF!</v>
      </c>
      <c r="BU407" t="e">
        <f>AND('POTENCIAL HORAS'!#REF!,"AAAAAEf/P0g=")</f>
        <v>#REF!</v>
      </c>
      <c r="BV407" t="e">
        <f>AND('POTENCIAL HORAS'!#REF!,"AAAAAEf/P0k=")</f>
        <v>#REF!</v>
      </c>
      <c r="BW407" t="e">
        <f>AND('POTENCIAL HORAS'!#REF!,"AAAAAEf/P0o=")</f>
        <v>#REF!</v>
      </c>
      <c r="BX407" t="e">
        <f>AND('POTENCIAL HORAS'!#REF!,"AAAAAEf/P0s=")</f>
        <v>#REF!</v>
      </c>
      <c r="BY407" t="e">
        <f>AND('POTENCIAL HORAS'!#REF!,"AAAAAEf/P0w=")</f>
        <v>#REF!</v>
      </c>
      <c r="BZ407" t="e">
        <f>AND('POTENCIAL HORAS'!#REF!,"AAAAAEf/P00=")</f>
        <v>#REF!</v>
      </c>
      <c r="CA407" t="e">
        <f>AND('POTENCIAL HORAS'!#REF!,"AAAAAEf/P04=")</f>
        <v>#REF!</v>
      </c>
      <c r="CB407" t="e">
        <f>AND('POTENCIAL HORAS'!#REF!,"AAAAAEf/P08=")</f>
        <v>#REF!</v>
      </c>
      <c r="CC407" t="e">
        <f>AND('POTENCIAL HORAS'!#REF!,"AAAAAEf/P1A=")</f>
        <v>#REF!</v>
      </c>
      <c r="CD407" t="e">
        <f>AND('POTENCIAL HORAS'!#REF!,"AAAAAEf/P1E=")</f>
        <v>#REF!</v>
      </c>
      <c r="CE407" t="e">
        <f>AND('POTENCIAL HORAS'!#REF!,"AAAAAEf/P1I=")</f>
        <v>#REF!</v>
      </c>
      <c r="CF407" t="e">
        <f>AND('POTENCIAL HORAS'!#REF!,"AAAAAEf/P1M=")</f>
        <v>#REF!</v>
      </c>
      <c r="CG407" t="e">
        <f>AND('POTENCIAL HORAS'!#REF!,"AAAAAEf/P1Q=")</f>
        <v>#REF!</v>
      </c>
      <c r="CH407" t="e">
        <f>AND('POTENCIAL HORAS'!#REF!,"AAAAAEf/P1U=")</f>
        <v>#REF!</v>
      </c>
      <c r="CI407" t="e">
        <f>AND('POTENCIAL HORAS'!#REF!,"AAAAAEf/P1Y=")</f>
        <v>#REF!</v>
      </c>
      <c r="CJ407" t="e">
        <f>AND('POTENCIAL HORAS'!#REF!,"AAAAAEf/P1c=")</f>
        <v>#REF!</v>
      </c>
      <c r="CK407" t="e">
        <f>AND('POTENCIAL HORAS'!Q263,"AAAAAEf/P1g=")</f>
        <v>#VALUE!</v>
      </c>
      <c r="CL407" t="e">
        <f>AND('POTENCIAL HORAS'!R263,"AAAAAEf/P1k=")</f>
        <v>#VALUE!</v>
      </c>
      <c r="CM407">
        <f>IF('POTENCIAL HORAS'!265:265,"AAAAAEf/P1o=",0)</f>
        <v>0</v>
      </c>
      <c r="CN407" t="e">
        <f>AND('POTENCIAL HORAS'!A265,"AAAAAEf/P1s=")</f>
        <v>#VALUE!</v>
      </c>
      <c r="CO407" t="e">
        <f>AND('POTENCIAL HORAS'!B265,"AAAAAEf/P1w=")</f>
        <v>#VALUE!</v>
      </c>
      <c r="CP407" t="e">
        <f>AND('POTENCIAL HORAS'!C265,"AAAAAEf/P10=")</f>
        <v>#VALUE!</v>
      </c>
      <c r="CQ407" t="e">
        <f>AND('POTENCIAL HORAS'!D265,"AAAAAEf/P14=")</f>
        <v>#VALUE!</v>
      </c>
      <c r="CR407" t="e">
        <f>AND('POTENCIAL HORAS'!E265,"AAAAAEf/P18=")</f>
        <v>#VALUE!</v>
      </c>
      <c r="CS407" t="e">
        <f>AND('POTENCIAL HORAS'!F265,"AAAAAEf/P2A=")</f>
        <v>#VALUE!</v>
      </c>
      <c r="CT407" t="e">
        <f>AND('POTENCIAL HORAS'!G265,"AAAAAEf/P2E=")</f>
        <v>#VALUE!</v>
      </c>
      <c r="CU407" t="e">
        <f>AND('POTENCIAL HORAS'!H265,"AAAAAEf/P2I=")</f>
        <v>#VALUE!</v>
      </c>
      <c r="CV407" t="e">
        <f>AND('POTENCIAL HORAS'!I265,"AAAAAEf/P2M=")</f>
        <v>#VALUE!</v>
      </c>
      <c r="CW407" t="e">
        <f>AND('POTENCIAL HORAS'!J265,"AAAAAEf/P2Q=")</f>
        <v>#VALUE!</v>
      </c>
      <c r="CX407" t="e">
        <f>AND('POTENCIAL HORAS'!K265,"AAAAAEf/P2U=")</f>
        <v>#VALUE!</v>
      </c>
      <c r="CY407" t="e">
        <f>AND('POTENCIAL HORAS'!L265,"AAAAAEf/P2Y=")</f>
        <v>#VALUE!</v>
      </c>
      <c r="CZ407" t="e">
        <f>AND('POTENCIAL HORAS'!M265,"AAAAAEf/P2c=")</f>
        <v>#VALUE!</v>
      </c>
      <c r="DA407" t="e">
        <f>AND('POTENCIAL HORAS'!N265,"AAAAAEf/P2g=")</f>
        <v>#VALUE!</v>
      </c>
      <c r="DB407" t="e">
        <f>AND('POTENCIAL HORAS'!O265,"AAAAAEf/P2k=")</f>
        <v>#VALUE!</v>
      </c>
      <c r="DC407" t="e">
        <f>AND('POTENCIAL HORAS'!P265,"AAAAAEf/P2o=")</f>
        <v>#VALUE!</v>
      </c>
      <c r="DD407" t="e">
        <f>AND('POTENCIAL HORAS'!#REF!,"AAAAAEf/P2s=")</f>
        <v>#REF!</v>
      </c>
      <c r="DE407" t="e">
        <f>AND('POTENCIAL HORAS'!#REF!,"AAAAAEf/P2w=")</f>
        <v>#REF!</v>
      </c>
      <c r="DF407" t="e">
        <f>AND('POTENCIAL HORAS'!#REF!,"AAAAAEf/P20=")</f>
        <v>#REF!</v>
      </c>
      <c r="DG407" t="e">
        <f>AND('POTENCIAL HORAS'!#REF!,"AAAAAEf/P24=")</f>
        <v>#REF!</v>
      </c>
      <c r="DH407" t="e">
        <f>AND('POTENCIAL HORAS'!#REF!,"AAAAAEf/P28=")</f>
        <v>#REF!</v>
      </c>
      <c r="DI407" t="e">
        <f>AND('POTENCIAL HORAS'!#REF!,"AAAAAEf/P3A=")</f>
        <v>#REF!</v>
      </c>
      <c r="DJ407" t="e">
        <f>AND('POTENCIAL HORAS'!#REF!,"AAAAAEf/P3E=")</f>
        <v>#REF!</v>
      </c>
      <c r="DK407" t="e">
        <f>AND('POTENCIAL HORAS'!#REF!,"AAAAAEf/P3I=")</f>
        <v>#REF!</v>
      </c>
      <c r="DL407" t="e">
        <f>AND('POTENCIAL HORAS'!#REF!,"AAAAAEf/P3M=")</f>
        <v>#REF!</v>
      </c>
      <c r="DM407" t="e">
        <f>AND('POTENCIAL HORAS'!#REF!,"AAAAAEf/P3Q=")</f>
        <v>#REF!</v>
      </c>
      <c r="DN407" t="e">
        <f>AND('POTENCIAL HORAS'!#REF!,"AAAAAEf/P3U=")</f>
        <v>#REF!</v>
      </c>
      <c r="DO407" t="e">
        <f>AND('POTENCIAL HORAS'!#REF!,"AAAAAEf/P3Y=")</f>
        <v>#REF!</v>
      </c>
      <c r="DP407" t="e">
        <f>AND('POTENCIAL HORAS'!#REF!,"AAAAAEf/P3c=")</f>
        <v>#REF!</v>
      </c>
      <c r="DQ407" t="e">
        <f>AND('POTENCIAL HORAS'!#REF!,"AAAAAEf/P3g=")</f>
        <v>#REF!</v>
      </c>
      <c r="DR407" t="e">
        <f>AND('POTENCIAL HORAS'!#REF!,"AAAAAEf/P3k=")</f>
        <v>#REF!</v>
      </c>
      <c r="DS407" t="e">
        <f>AND('POTENCIAL HORAS'!#REF!,"AAAAAEf/P3o=")</f>
        <v>#REF!</v>
      </c>
      <c r="DT407" t="e">
        <f>AND('POTENCIAL HORAS'!#REF!,"AAAAAEf/P3s=")</f>
        <v>#REF!</v>
      </c>
      <c r="DU407" t="e">
        <f>AND('POTENCIAL HORAS'!#REF!,"AAAAAEf/P3w=")</f>
        <v>#REF!</v>
      </c>
      <c r="DV407" t="e">
        <f>AND('POTENCIAL HORAS'!#REF!,"AAAAAEf/P30=")</f>
        <v>#REF!</v>
      </c>
      <c r="DW407" t="e">
        <f>AND('POTENCIAL HORAS'!#REF!,"AAAAAEf/P34=")</f>
        <v>#REF!</v>
      </c>
      <c r="DX407" t="e">
        <f>AND('POTENCIAL HORAS'!Q265,"AAAAAEf/P38=")</f>
        <v>#VALUE!</v>
      </c>
      <c r="DY407" t="e">
        <f>AND('POTENCIAL HORAS'!R265,"AAAAAEf/P4A=")</f>
        <v>#VALUE!</v>
      </c>
      <c r="DZ407">
        <f>IF('POTENCIAL HORAS'!266:266,"AAAAAEf/P4E=",0)</f>
        <v>0</v>
      </c>
      <c r="EA407" t="e">
        <f>AND('POTENCIAL HORAS'!A266,"AAAAAEf/P4I=")</f>
        <v>#VALUE!</v>
      </c>
      <c r="EB407" t="e">
        <f>AND('POTENCIAL HORAS'!B266,"AAAAAEf/P4M=")</f>
        <v>#VALUE!</v>
      </c>
      <c r="EC407" t="e">
        <f>AND('POTENCIAL HORAS'!C266,"AAAAAEf/P4Q=")</f>
        <v>#VALUE!</v>
      </c>
      <c r="ED407" t="e">
        <f>AND('POTENCIAL HORAS'!D266,"AAAAAEf/P4U=")</f>
        <v>#VALUE!</v>
      </c>
      <c r="EE407" t="e">
        <f>AND('POTENCIAL HORAS'!E266,"AAAAAEf/P4Y=")</f>
        <v>#VALUE!</v>
      </c>
      <c r="EF407" t="e">
        <f>AND('POTENCIAL HORAS'!F266,"AAAAAEf/P4c=")</f>
        <v>#VALUE!</v>
      </c>
      <c r="EG407" t="e">
        <f>AND('POTENCIAL HORAS'!G266,"AAAAAEf/P4g=")</f>
        <v>#VALUE!</v>
      </c>
      <c r="EH407" t="e">
        <f>AND('POTENCIAL HORAS'!H266,"AAAAAEf/P4k=")</f>
        <v>#VALUE!</v>
      </c>
      <c r="EI407" t="e">
        <f>AND('POTENCIAL HORAS'!I266,"AAAAAEf/P4o=")</f>
        <v>#VALUE!</v>
      </c>
      <c r="EJ407" t="e">
        <f>AND('POTENCIAL HORAS'!J266,"AAAAAEf/P4s=")</f>
        <v>#VALUE!</v>
      </c>
      <c r="EK407" t="e">
        <f>AND('POTENCIAL HORAS'!K266,"AAAAAEf/P4w=")</f>
        <v>#VALUE!</v>
      </c>
      <c r="EL407" t="e">
        <f>AND('POTENCIAL HORAS'!L266,"AAAAAEf/P40=")</f>
        <v>#VALUE!</v>
      </c>
      <c r="EM407" t="e">
        <f>AND('POTENCIAL HORAS'!M266,"AAAAAEf/P44=")</f>
        <v>#VALUE!</v>
      </c>
      <c r="EN407" t="e">
        <f>AND('POTENCIAL HORAS'!N266,"AAAAAEf/P48=")</f>
        <v>#VALUE!</v>
      </c>
      <c r="EO407" t="e">
        <f>AND('POTENCIAL HORAS'!O266,"AAAAAEf/P5A=")</f>
        <v>#VALUE!</v>
      </c>
      <c r="EP407" t="e">
        <f>AND('POTENCIAL HORAS'!P266,"AAAAAEf/P5E=")</f>
        <v>#VALUE!</v>
      </c>
      <c r="EQ407" t="e">
        <f>AND('POTENCIAL HORAS'!#REF!,"AAAAAEf/P5I=")</f>
        <v>#REF!</v>
      </c>
      <c r="ER407" t="e">
        <f>AND('POTENCIAL HORAS'!#REF!,"AAAAAEf/P5M=")</f>
        <v>#REF!</v>
      </c>
      <c r="ES407" t="e">
        <f>AND('POTENCIAL HORAS'!#REF!,"AAAAAEf/P5Q=")</f>
        <v>#REF!</v>
      </c>
      <c r="ET407" t="e">
        <f>AND('POTENCIAL HORAS'!#REF!,"AAAAAEf/P5U=")</f>
        <v>#REF!</v>
      </c>
      <c r="EU407" t="e">
        <f>AND('POTENCIAL HORAS'!#REF!,"AAAAAEf/P5Y=")</f>
        <v>#REF!</v>
      </c>
      <c r="EV407" t="e">
        <f>AND('POTENCIAL HORAS'!#REF!,"AAAAAEf/P5c=")</f>
        <v>#REF!</v>
      </c>
      <c r="EW407" t="e">
        <f>AND('POTENCIAL HORAS'!#REF!,"AAAAAEf/P5g=")</f>
        <v>#REF!</v>
      </c>
      <c r="EX407" t="e">
        <f>AND('POTENCIAL HORAS'!#REF!,"AAAAAEf/P5k=")</f>
        <v>#REF!</v>
      </c>
      <c r="EY407" t="e">
        <f>AND('POTENCIAL HORAS'!#REF!,"AAAAAEf/P5o=")</f>
        <v>#REF!</v>
      </c>
      <c r="EZ407" t="e">
        <f>AND('POTENCIAL HORAS'!#REF!,"AAAAAEf/P5s=")</f>
        <v>#REF!</v>
      </c>
      <c r="FA407" t="e">
        <f>AND('POTENCIAL HORAS'!#REF!,"AAAAAEf/P5w=")</f>
        <v>#REF!</v>
      </c>
      <c r="FB407" t="e">
        <f>AND('POTENCIAL HORAS'!#REF!,"AAAAAEf/P50=")</f>
        <v>#REF!</v>
      </c>
      <c r="FC407" t="e">
        <f>AND('POTENCIAL HORAS'!#REF!,"AAAAAEf/P54=")</f>
        <v>#REF!</v>
      </c>
      <c r="FD407" t="e">
        <f>AND('POTENCIAL HORAS'!#REF!,"AAAAAEf/P58=")</f>
        <v>#REF!</v>
      </c>
      <c r="FE407" t="e">
        <f>AND('POTENCIAL HORAS'!#REF!,"AAAAAEf/P6A=")</f>
        <v>#REF!</v>
      </c>
      <c r="FF407" t="e">
        <f>AND('POTENCIAL HORAS'!#REF!,"AAAAAEf/P6E=")</f>
        <v>#REF!</v>
      </c>
      <c r="FG407" t="e">
        <f>AND('POTENCIAL HORAS'!#REF!,"AAAAAEf/P6I=")</f>
        <v>#REF!</v>
      </c>
      <c r="FH407" t="e">
        <f>AND('POTENCIAL HORAS'!#REF!,"AAAAAEf/P6M=")</f>
        <v>#REF!</v>
      </c>
      <c r="FI407" t="e">
        <f>AND('POTENCIAL HORAS'!#REF!,"AAAAAEf/P6Q=")</f>
        <v>#REF!</v>
      </c>
      <c r="FJ407" t="e">
        <f>AND('POTENCIAL HORAS'!#REF!,"AAAAAEf/P6U=")</f>
        <v>#REF!</v>
      </c>
      <c r="FK407" t="e">
        <f>AND('POTENCIAL HORAS'!Q266,"AAAAAEf/P6Y=")</f>
        <v>#VALUE!</v>
      </c>
      <c r="FL407" t="e">
        <f>AND('POTENCIAL HORAS'!R266,"AAAAAEf/P6c=")</f>
        <v>#VALUE!</v>
      </c>
      <c r="FM407">
        <f>IF('POTENCIAL HORAS'!267:267,"AAAAAEf/P6g=",0)</f>
        <v>0</v>
      </c>
      <c r="FN407" t="e">
        <f>AND('POTENCIAL HORAS'!A267,"AAAAAEf/P6k=")</f>
        <v>#VALUE!</v>
      </c>
      <c r="FO407" t="e">
        <f>AND('POTENCIAL HORAS'!B267,"AAAAAEf/P6o=")</f>
        <v>#VALUE!</v>
      </c>
      <c r="FP407" t="e">
        <f>AND('POTENCIAL HORAS'!C267,"AAAAAEf/P6s=")</f>
        <v>#VALUE!</v>
      </c>
      <c r="FQ407" t="e">
        <f>AND('POTENCIAL HORAS'!D267,"AAAAAEf/P6w=")</f>
        <v>#VALUE!</v>
      </c>
      <c r="FR407" t="e">
        <f>AND('POTENCIAL HORAS'!E267,"AAAAAEf/P60=")</f>
        <v>#VALUE!</v>
      </c>
      <c r="FS407" t="e">
        <f>AND('POTENCIAL HORAS'!F267,"AAAAAEf/P64=")</f>
        <v>#VALUE!</v>
      </c>
      <c r="FT407" t="e">
        <f>AND('POTENCIAL HORAS'!G267,"AAAAAEf/P68=")</f>
        <v>#VALUE!</v>
      </c>
      <c r="FU407" t="e">
        <f>AND('POTENCIAL HORAS'!H267,"AAAAAEf/P7A=")</f>
        <v>#VALUE!</v>
      </c>
      <c r="FV407" t="e">
        <f>AND('POTENCIAL HORAS'!I267,"AAAAAEf/P7E=")</f>
        <v>#VALUE!</v>
      </c>
      <c r="FW407" t="e">
        <f>AND('POTENCIAL HORAS'!J267,"AAAAAEf/P7I=")</f>
        <v>#VALUE!</v>
      </c>
      <c r="FX407" t="e">
        <f>AND('POTENCIAL HORAS'!K267,"AAAAAEf/P7M=")</f>
        <v>#VALUE!</v>
      </c>
      <c r="FY407" t="e">
        <f>AND('POTENCIAL HORAS'!L267,"AAAAAEf/P7Q=")</f>
        <v>#VALUE!</v>
      </c>
      <c r="FZ407" t="e">
        <f>AND('POTENCIAL HORAS'!M267,"AAAAAEf/P7U=")</f>
        <v>#VALUE!</v>
      </c>
      <c r="GA407" t="e">
        <f>AND('POTENCIAL HORAS'!N267,"AAAAAEf/P7Y=")</f>
        <v>#VALUE!</v>
      </c>
      <c r="GB407" t="e">
        <f>AND('POTENCIAL HORAS'!O267,"AAAAAEf/P7c=")</f>
        <v>#VALUE!</v>
      </c>
      <c r="GC407" t="e">
        <f>AND('POTENCIAL HORAS'!P267,"AAAAAEf/P7g=")</f>
        <v>#VALUE!</v>
      </c>
      <c r="GD407" t="e">
        <f>AND('POTENCIAL HORAS'!#REF!,"AAAAAEf/P7k=")</f>
        <v>#REF!</v>
      </c>
      <c r="GE407" t="e">
        <f>AND('POTENCIAL HORAS'!#REF!,"AAAAAEf/P7o=")</f>
        <v>#REF!</v>
      </c>
      <c r="GF407" t="e">
        <f>AND('POTENCIAL HORAS'!#REF!,"AAAAAEf/P7s=")</f>
        <v>#REF!</v>
      </c>
      <c r="GG407" t="e">
        <f>AND('POTENCIAL HORAS'!#REF!,"AAAAAEf/P7w=")</f>
        <v>#REF!</v>
      </c>
      <c r="GH407" t="e">
        <f>AND('POTENCIAL HORAS'!#REF!,"AAAAAEf/P70=")</f>
        <v>#REF!</v>
      </c>
      <c r="GI407" t="e">
        <f>AND('POTENCIAL HORAS'!#REF!,"AAAAAEf/P74=")</f>
        <v>#REF!</v>
      </c>
      <c r="GJ407" t="e">
        <f>AND('POTENCIAL HORAS'!#REF!,"AAAAAEf/P78=")</f>
        <v>#REF!</v>
      </c>
      <c r="GK407" t="e">
        <f>AND('POTENCIAL HORAS'!#REF!,"AAAAAEf/P8A=")</f>
        <v>#REF!</v>
      </c>
      <c r="GL407" t="e">
        <f>AND('POTENCIAL HORAS'!#REF!,"AAAAAEf/P8E=")</f>
        <v>#REF!</v>
      </c>
      <c r="GM407" t="e">
        <f>AND('POTENCIAL HORAS'!#REF!,"AAAAAEf/P8I=")</f>
        <v>#REF!</v>
      </c>
      <c r="GN407" t="e">
        <f>AND('POTENCIAL HORAS'!#REF!,"AAAAAEf/P8M=")</f>
        <v>#REF!</v>
      </c>
      <c r="GO407" t="e">
        <f>AND('POTENCIAL HORAS'!#REF!,"AAAAAEf/P8Q=")</f>
        <v>#REF!</v>
      </c>
      <c r="GP407" t="e">
        <f>AND('POTENCIAL HORAS'!#REF!,"AAAAAEf/P8U=")</f>
        <v>#REF!</v>
      </c>
      <c r="GQ407" t="e">
        <f>AND('POTENCIAL HORAS'!#REF!,"AAAAAEf/P8Y=")</f>
        <v>#REF!</v>
      </c>
      <c r="GR407" t="e">
        <f>AND('POTENCIAL HORAS'!#REF!,"AAAAAEf/P8c=")</f>
        <v>#REF!</v>
      </c>
      <c r="GS407" t="e">
        <f>AND('POTENCIAL HORAS'!#REF!,"AAAAAEf/P8g=")</f>
        <v>#REF!</v>
      </c>
      <c r="GT407" t="e">
        <f>AND('POTENCIAL HORAS'!#REF!,"AAAAAEf/P8k=")</f>
        <v>#REF!</v>
      </c>
      <c r="GU407" t="e">
        <f>AND('POTENCIAL HORAS'!#REF!,"AAAAAEf/P8o=")</f>
        <v>#REF!</v>
      </c>
      <c r="GV407" t="e">
        <f>AND('POTENCIAL HORAS'!#REF!,"AAAAAEf/P8s=")</f>
        <v>#REF!</v>
      </c>
      <c r="GW407" t="e">
        <f>AND('POTENCIAL HORAS'!#REF!,"AAAAAEf/P8w=")</f>
        <v>#REF!</v>
      </c>
      <c r="GX407" t="e">
        <f>AND('POTENCIAL HORAS'!Q267,"AAAAAEf/P80=")</f>
        <v>#VALUE!</v>
      </c>
      <c r="GY407" t="e">
        <f>AND('POTENCIAL HORAS'!R267,"AAAAAEf/P84=")</f>
        <v>#VALUE!</v>
      </c>
      <c r="GZ407" t="e">
        <f>IF('POTENCIAL HORAS'!#REF!,"AAAAAEf/P88=",0)</f>
        <v>#REF!</v>
      </c>
      <c r="HA407" t="e">
        <f>AND('POTENCIAL HORAS'!#REF!,"AAAAAEf/P9A=")</f>
        <v>#REF!</v>
      </c>
      <c r="HB407" t="e">
        <f>AND('POTENCIAL HORAS'!#REF!,"AAAAAEf/P9E=")</f>
        <v>#REF!</v>
      </c>
      <c r="HC407" t="e">
        <f>AND('POTENCIAL HORAS'!#REF!,"AAAAAEf/P9I=")</f>
        <v>#REF!</v>
      </c>
      <c r="HD407" t="e">
        <f>AND('POTENCIAL HORAS'!#REF!,"AAAAAEf/P9M=")</f>
        <v>#REF!</v>
      </c>
      <c r="HE407" t="e">
        <f>AND('POTENCIAL HORAS'!#REF!,"AAAAAEf/P9Q=")</f>
        <v>#REF!</v>
      </c>
      <c r="HF407" t="e">
        <f>AND('POTENCIAL HORAS'!#REF!,"AAAAAEf/P9U=")</f>
        <v>#REF!</v>
      </c>
      <c r="HG407" t="e">
        <f>AND('POTENCIAL HORAS'!#REF!,"AAAAAEf/P9Y=")</f>
        <v>#REF!</v>
      </c>
      <c r="HH407" t="e">
        <f>AND('POTENCIAL HORAS'!#REF!,"AAAAAEf/P9c=")</f>
        <v>#REF!</v>
      </c>
      <c r="HI407" t="e">
        <f>AND('POTENCIAL HORAS'!#REF!,"AAAAAEf/P9g=")</f>
        <v>#REF!</v>
      </c>
      <c r="HJ407" t="e">
        <f>AND('POTENCIAL HORAS'!#REF!,"AAAAAEf/P9k=")</f>
        <v>#REF!</v>
      </c>
      <c r="HK407" t="e">
        <f>AND('POTENCIAL HORAS'!#REF!,"AAAAAEf/P9o=")</f>
        <v>#REF!</v>
      </c>
      <c r="HL407" t="e">
        <f>AND('POTENCIAL HORAS'!#REF!,"AAAAAEf/P9s=")</f>
        <v>#REF!</v>
      </c>
      <c r="HM407" t="e">
        <f>AND('POTENCIAL HORAS'!#REF!,"AAAAAEf/P9w=")</f>
        <v>#REF!</v>
      </c>
      <c r="HN407" t="e">
        <f>AND('POTENCIAL HORAS'!#REF!,"AAAAAEf/P90=")</f>
        <v>#REF!</v>
      </c>
      <c r="HO407" t="e">
        <f>AND('POTENCIAL HORAS'!#REF!,"AAAAAEf/P94=")</f>
        <v>#REF!</v>
      </c>
      <c r="HP407" t="e">
        <f>AND('POTENCIAL HORAS'!#REF!,"AAAAAEf/P98=")</f>
        <v>#REF!</v>
      </c>
      <c r="HQ407" t="e">
        <f>AND('POTENCIAL HORAS'!#REF!,"AAAAAEf/P+A=")</f>
        <v>#REF!</v>
      </c>
      <c r="HR407" t="e">
        <f>AND('POTENCIAL HORAS'!#REF!,"AAAAAEf/P+E=")</f>
        <v>#REF!</v>
      </c>
      <c r="HS407" t="e">
        <f>AND('POTENCIAL HORAS'!#REF!,"AAAAAEf/P+I=")</f>
        <v>#REF!</v>
      </c>
      <c r="HT407" t="e">
        <f>AND('POTENCIAL HORAS'!#REF!,"AAAAAEf/P+M=")</f>
        <v>#REF!</v>
      </c>
      <c r="HU407" t="e">
        <f>AND('POTENCIAL HORAS'!#REF!,"AAAAAEf/P+Q=")</f>
        <v>#REF!</v>
      </c>
      <c r="HV407" t="e">
        <f>AND('POTENCIAL HORAS'!#REF!,"AAAAAEf/P+U=")</f>
        <v>#REF!</v>
      </c>
      <c r="HW407" t="e">
        <f>AND('POTENCIAL HORAS'!#REF!,"AAAAAEf/P+Y=")</f>
        <v>#REF!</v>
      </c>
      <c r="HX407" t="e">
        <f>AND('POTENCIAL HORAS'!#REF!,"AAAAAEf/P+c=")</f>
        <v>#REF!</v>
      </c>
      <c r="HY407" t="e">
        <f>AND('POTENCIAL HORAS'!#REF!,"AAAAAEf/P+g=")</f>
        <v>#REF!</v>
      </c>
      <c r="HZ407" t="e">
        <f>AND('POTENCIAL HORAS'!#REF!,"AAAAAEf/P+k=")</f>
        <v>#REF!</v>
      </c>
      <c r="IA407" t="e">
        <f>AND('POTENCIAL HORAS'!#REF!,"AAAAAEf/P+o=")</f>
        <v>#REF!</v>
      </c>
      <c r="IB407" t="e">
        <f>AND('POTENCIAL HORAS'!#REF!,"AAAAAEf/P+s=")</f>
        <v>#REF!</v>
      </c>
      <c r="IC407" t="e">
        <f>AND('POTENCIAL HORAS'!#REF!,"AAAAAEf/P+w=")</f>
        <v>#REF!</v>
      </c>
      <c r="ID407" t="e">
        <f>AND('POTENCIAL HORAS'!#REF!,"AAAAAEf/P+0=")</f>
        <v>#REF!</v>
      </c>
      <c r="IE407" t="e">
        <f>AND('POTENCIAL HORAS'!#REF!,"AAAAAEf/P+4=")</f>
        <v>#REF!</v>
      </c>
      <c r="IF407" t="e">
        <f>AND('POTENCIAL HORAS'!#REF!,"AAAAAEf/P+8=")</f>
        <v>#REF!</v>
      </c>
      <c r="IG407" t="e">
        <f>AND('POTENCIAL HORAS'!#REF!,"AAAAAEf/P/A=")</f>
        <v>#REF!</v>
      </c>
      <c r="IH407" t="e">
        <f>AND('POTENCIAL HORAS'!#REF!,"AAAAAEf/P/E=")</f>
        <v>#REF!</v>
      </c>
      <c r="II407" t="e">
        <f>AND('POTENCIAL HORAS'!#REF!,"AAAAAEf/P/I=")</f>
        <v>#REF!</v>
      </c>
      <c r="IJ407" t="e">
        <f>AND('POTENCIAL HORAS'!#REF!,"AAAAAEf/P/M=")</f>
        <v>#REF!</v>
      </c>
      <c r="IK407" t="e">
        <f>AND('POTENCIAL HORAS'!#REF!,"AAAAAEf/P/Q=")</f>
        <v>#REF!</v>
      </c>
      <c r="IL407" t="e">
        <f>AND('POTENCIAL HORAS'!#REF!,"AAAAAEf/P/U=")</f>
        <v>#REF!</v>
      </c>
      <c r="IM407">
        <f>IF('POTENCIAL HORAS'!268:268,"AAAAAEf/P/Y=",0)</f>
        <v>0</v>
      </c>
      <c r="IN407" t="e">
        <f>AND('POTENCIAL HORAS'!A268,"AAAAAEf/P/c=")</f>
        <v>#VALUE!</v>
      </c>
      <c r="IO407" t="e">
        <f>AND('POTENCIAL HORAS'!B268,"AAAAAEf/P/g=")</f>
        <v>#VALUE!</v>
      </c>
      <c r="IP407" t="e">
        <f>AND('POTENCIAL HORAS'!C268,"AAAAAEf/P/k=")</f>
        <v>#VALUE!</v>
      </c>
      <c r="IQ407" t="e">
        <f>AND('POTENCIAL HORAS'!D268,"AAAAAEf/P/o=")</f>
        <v>#VALUE!</v>
      </c>
      <c r="IR407" t="e">
        <f>AND('POTENCIAL HORAS'!E268,"AAAAAEf/P/s=")</f>
        <v>#VALUE!</v>
      </c>
      <c r="IS407" t="e">
        <f>AND('POTENCIAL HORAS'!F268,"AAAAAEf/P/w=")</f>
        <v>#VALUE!</v>
      </c>
      <c r="IT407" t="e">
        <f>AND('POTENCIAL HORAS'!G268,"AAAAAEf/P/0=")</f>
        <v>#VALUE!</v>
      </c>
      <c r="IU407" t="e">
        <f>AND('POTENCIAL HORAS'!H268,"AAAAAEf/P/4=")</f>
        <v>#VALUE!</v>
      </c>
      <c r="IV407" t="e">
        <f>AND('POTENCIAL HORAS'!I268,"AAAAAEf/P/8=")</f>
        <v>#VALUE!</v>
      </c>
    </row>
    <row r="408" spans="1:256" x14ac:dyDescent="0.2">
      <c r="A408" t="e">
        <f>AND('POTENCIAL HORAS'!J268,"AAAAAD//3wA=")</f>
        <v>#VALUE!</v>
      </c>
      <c r="B408" t="e">
        <f>AND('POTENCIAL HORAS'!K268,"AAAAAD//3wE=")</f>
        <v>#VALUE!</v>
      </c>
      <c r="C408" t="e">
        <f>AND('POTENCIAL HORAS'!L268,"AAAAAD//3wI=")</f>
        <v>#VALUE!</v>
      </c>
      <c r="D408" t="e">
        <f>AND('POTENCIAL HORAS'!M268,"AAAAAD//3wM=")</f>
        <v>#VALUE!</v>
      </c>
      <c r="E408" t="e">
        <f>AND('POTENCIAL HORAS'!N268,"AAAAAD//3wQ=")</f>
        <v>#VALUE!</v>
      </c>
      <c r="F408" t="e">
        <f>AND('POTENCIAL HORAS'!O268,"AAAAAD//3wU=")</f>
        <v>#VALUE!</v>
      </c>
      <c r="G408" t="e">
        <f>AND('POTENCIAL HORAS'!P268,"AAAAAD//3wY=")</f>
        <v>#VALUE!</v>
      </c>
      <c r="H408" t="e">
        <f>AND('POTENCIAL HORAS'!#REF!,"AAAAAD//3wc=")</f>
        <v>#REF!</v>
      </c>
      <c r="I408" t="e">
        <f>AND('POTENCIAL HORAS'!#REF!,"AAAAAD//3wg=")</f>
        <v>#REF!</v>
      </c>
      <c r="J408" t="e">
        <f>AND('POTENCIAL HORAS'!#REF!,"AAAAAD//3wk=")</f>
        <v>#REF!</v>
      </c>
      <c r="K408" t="e">
        <f>AND('POTENCIAL HORAS'!#REF!,"AAAAAD//3wo=")</f>
        <v>#REF!</v>
      </c>
      <c r="L408" t="e">
        <f>AND('POTENCIAL HORAS'!#REF!,"AAAAAD//3ws=")</f>
        <v>#REF!</v>
      </c>
      <c r="M408" t="e">
        <f>AND('POTENCIAL HORAS'!#REF!,"AAAAAD//3ww=")</f>
        <v>#REF!</v>
      </c>
      <c r="N408" t="e">
        <f>AND('POTENCIAL HORAS'!#REF!,"AAAAAD//3w0=")</f>
        <v>#REF!</v>
      </c>
      <c r="O408" t="e">
        <f>AND('POTENCIAL HORAS'!#REF!,"AAAAAD//3w4=")</f>
        <v>#REF!</v>
      </c>
      <c r="P408" t="e">
        <f>AND('POTENCIAL HORAS'!#REF!,"AAAAAD//3w8=")</f>
        <v>#REF!</v>
      </c>
      <c r="Q408" t="e">
        <f>AND('POTENCIAL HORAS'!#REF!,"AAAAAD//3xA=")</f>
        <v>#REF!</v>
      </c>
      <c r="R408" t="e">
        <f>AND('POTENCIAL HORAS'!#REF!,"AAAAAD//3xE=")</f>
        <v>#REF!</v>
      </c>
      <c r="S408" t="e">
        <f>AND('POTENCIAL HORAS'!#REF!,"AAAAAD//3xI=")</f>
        <v>#REF!</v>
      </c>
      <c r="T408" t="e">
        <f>AND('POTENCIAL HORAS'!#REF!,"AAAAAD//3xM=")</f>
        <v>#REF!</v>
      </c>
      <c r="U408" t="e">
        <f>AND('POTENCIAL HORAS'!#REF!,"AAAAAD//3xQ=")</f>
        <v>#REF!</v>
      </c>
      <c r="V408" t="e">
        <f>AND('POTENCIAL HORAS'!#REF!,"AAAAAD//3xU=")</f>
        <v>#REF!</v>
      </c>
      <c r="W408" t="e">
        <f>AND('POTENCIAL HORAS'!#REF!,"AAAAAD//3xY=")</f>
        <v>#REF!</v>
      </c>
      <c r="X408" t="e">
        <f>AND('POTENCIAL HORAS'!#REF!,"AAAAAD//3xc=")</f>
        <v>#REF!</v>
      </c>
      <c r="Y408" t="e">
        <f>AND('POTENCIAL HORAS'!#REF!,"AAAAAD//3xg=")</f>
        <v>#REF!</v>
      </c>
      <c r="Z408" t="e">
        <f>AND('POTENCIAL HORAS'!#REF!,"AAAAAD//3xk=")</f>
        <v>#REF!</v>
      </c>
      <c r="AA408" t="e">
        <f>AND('POTENCIAL HORAS'!#REF!,"AAAAAD//3xo=")</f>
        <v>#REF!</v>
      </c>
      <c r="AB408" t="e">
        <f>AND('POTENCIAL HORAS'!Q268,"AAAAAD//3xs=")</f>
        <v>#VALUE!</v>
      </c>
      <c r="AC408" t="e">
        <f>AND('POTENCIAL HORAS'!R268,"AAAAAD//3xw=")</f>
        <v>#VALUE!</v>
      </c>
      <c r="AD408">
        <f>IF('POTENCIAL HORAS'!269:269,"AAAAAD//3x0=",0)</f>
        <v>0</v>
      </c>
      <c r="AE408" t="e">
        <f>AND('POTENCIAL HORAS'!A269,"AAAAAD//3x4=")</f>
        <v>#VALUE!</v>
      </c>
      <c r="AF408" t="e">
        <f>AND('POTENCIAL HORAS'!B269,"AAAAAD//3x8=")</f>
        <v>#VALUE!</v>
      </c>
      <c r="AG408" t="e">
        <f>AND('POTENCIAL HORAS'!C269,"AAAAAD//3yA=")</f>
        <v>#VALUE!</v>
      </c>
      <c r="AH408" t="e">
        <f>AND('POTENCIAL HORAS'!D269,"AAAAAD//3yE=")</f>
        <v>#VALUE!</v>
      </c>
      <c r="AI408" t="e">
        <f>AND('POTENCIAL HORAS'!E269,"AAAAAD//3yI=")</f>
        <v>#VALUE!</v>
      </c>
      <c r="AJ408" t="e">
        <f>AND('POTENCIAL HORAS'!F269,"AAAAAD//3yM=")</f>
        <v>#VALUE!</v>
      </c>
      <c r="AK408" t="e">
        <f>AND('POTENCIAL HORAS'!G269,"AAAAAD//3yQ=")</f>
        <v>#VALUE!</v>
      </c>
      <c r="AL408" t="e">
        <f>AND('POTENCIAL HORAS'!H269,"AAAAAD//3yU=")</f>
        <v>#VALUE!</v>
      </c>
      <c r="AM408" t="e">
        <f>AND('POTENCIAL HORAS'!I269,"AAAAAD//3yY=")</f>
        <v>#VALUE!</v>
      </c>
      <c r="AN408" t="e">
        <f>AND('POTENCIAL HORAS'!J269,"AAAAAD//3yc=")</f>
        <v>#VALUE!</v>
      </c>
      <c r="AO408" t="e">
        <f>AND('POTENCIAL HORAS'!K269,"AAAAAD//3yg=")</f>
        <v>#VALUE!</v>
      </c>
      <c r="AP408" t="e">
        <f>AND('POTENCIAL HORAS'!L269,"AAAAAD//3yk=")</f>
        <v>#VALUE!</v>
      </c>
      <c r="AQ408" t="e">
        <f>AND('POTENCIAL HORAS'!M269,"AAAAAD//3yo=")</f>
        <v>#VALUE!</v>
      </c>
      <c r="AR408" t="e">
        <f>AND('POTENCIAL HORAS'!N269,"AAAAAD//3ys=")</f>
        <v>#VALUE!</v>
      </c>
      <c r="AS408" t="e">
        <f>AND('POTENCIAL HORAS'!O269,"AAAAAD//3yw=")</f>
        <v>#VALUE!</v>
      </c>
      <c r="AT408" t="e">
        <f>AND('POTENCIAL HORAS'!P269,"AAAAAD//3y0=")</f>
        <v>#VALUE!</v>
      </c>
      <c r="AU408" t="e">
        <f>AND('POTENCIAL HORAS'!#REF!,"AAAAAD//3y4=")</f>
        <v>#REF!</v>
      </c>
      <c r="AV408" t="e">
        <f>AND('POTENCIAL HORAS'!#REF!,"AAAAAD//3y8=")</f>
        <v>#REF!</v>
      </c>
      <c r="AW408" t="e">
        <f>AND('POTENCIAL HORAS'!#REF!,"AAAAAD//3zA=")</f>
        <v>#REF!</v>
      </c>
      <c r="AX408" t="e">
        <f>AND('POTENCIAL HORAS'!#REF!,"AAAAAD//3zE=")</f>
        <v>#REF!</v>
      </c>
      <c r="AY408" t="e">
        <f>AND('POTENCIAL HORAS'!#REF!,"AAAAAD//3zI=")</f>
        <v>#REF!</v>
      </c>
      <c r="AZ408" t="e">
        <f>AND('POTENCIAL HORAS'!#REF!,"AAAAAD//3zM=")</f>
        <v>#REF!</v>
      </c>
      <c r="BA408" t="e">
        <f>AND('POTENCIAL HORAS'!#REF!,"AAAAAD//3zQ=")</f>
        <v>#REF!</v>
      </c>
      <c r="BB408" t="e">
        <f>AND('POTENCIAL HORAS'!#REF!,"AAAAAD//3zU=")</f>
        <v>#REF!</v>
      </c>
      <c r="BC408" t="e">
        <f>AND('POTENCIAL HORAS'!#REF!,"AAAAAD//3zY=")</f>
        <v>#REF!</v>
      </c>
      <c r="BD408" t="e">
        <f>AND('POTENCIAL HORAS'!#REF!,"AAAAAD//3zc=")</f>
        <v>#REF!</v>
      </c>
      <c r="BE408" t="e">
        <f>AND('POTENCIAL HORAS'!#REF!,"AAAAAD//3zg=")</f>
        <v>#REF!</v>
      </c>
      <c r="BF408" t="e">
        <f>AND('POTENCIAL HORAS'!#REF!,"AAAAAD//3zk=")</f>
        <v>#REF!</v>
      </c>
      <c r="BG408" t="e">
        <f>AND('POTENCIAL HORAS'!#REF!,"AAAAAD//3zo=")</f>
        <v>#REF!</v>
      </c>
      <c r="BH408" t="e">
        <f>AND('POTENCIAL HORAS'!#REF!,"AAAAAD//3zs=")</f>
        <v>#REF!</v>
      </c>
      <c r="BI408" t="e">
        <f>AND('POTENCIAL HORAS'!#REF!,"AAAAAD//3zw=")</f>
        <v>#REF!</v>
      </c>
      <c r="BJ408" t="e">
        <f>AND('POTENCIAL HORAS'!#REF!,"AAAAAD//3z0=")</f>
        <v>#REF!</v>
      </c>
      <c r="BK408" t="e">
        <f>AND('POTENCIAL HORAS'!#REF!,"AAAAAD//3z4=")</f>
        <v>#REF!</v>
      </c>
      <c r="BL408" t="e">
        <f>AND('POTENCIAL HORAS'!#REF!,"AAAAAD//3z8=")</f>
        <v>#REF!</v>
      </c>
      <c r="BM408" t="e">
        <f>AND('POTENCIAL HORAS'!#REF!,"AAAAAD//30A=")</f>
        <v>#REF!</v>
      </c>
      <c r="BN408" t="e">
        <f>AND('POTENCIAL HORAS'!#REF!,"AAAAAD//30E=")</f>
        <v>#REF!</v>
      </c>
      <c r="BO408" t="e">
        <f>AND('POTENCIAL HORAS'!Q269,"AAAAAD//30I=")</f>
        <v>#VALUE!</v>
      </c>
      <c r="BP408" t="e">
        <f>AND('POTENCIAL HORAS'!R269,"AAAAAD//30M=")</f>
        <v>#VALUE!</v>
      </c>
      <c r="BQ408">
        <f>IF('POTENCIAL HORAS'!270:270,"AAAAAD//30Q=",0)</f>
        <v>0</v>
      </c>
      <c r="BR408" t="e">
        <f>AND('POTENCIAL HORAS'!A270,"AAAAAD//30U=")</f>
        <v>#VALUE!</v>
      </c>
      <c r="BS408" t="e">
        <f>AND('POTENCIAL HORAS'!B270,"AAAAAD//30Y=")</f>
        <v>#VALUE!</v>
      </c>
      <c r="BT408" t="e">
        <f>AND('POTENCIAL HORAS'!C270,"AAAAAD//30c=")</f>
        <v>#VALUE!</v>
      </c>
      <c r="BU408" t="e">
        <f>AND('POTENCIAL HORAS'!D270,"AAAAAD//30g=")</f>
        <v>#VALUE!</v>
      </c>
      <c r="BV408" t="e">
        <f>AND('POTENCIAL HORAS'!E270,"AAAAAD//30k=")</f>
        <v>#VALUE!</v>
      </c>
      <c r="BW408" t="e">
        <f>AND('POTENCIAL HORAS'!F270,"AAAAAD//30o=")</f>
        <v>#VALUE!</v>
      </c>
      <c r="BX408" t="e">
        <f>AND('POTENCIAL HORAS'!G270,"AAAAAD//30s=")</f>
        <v>#VALUE!</v>
      </c>
      <c r="BY408" t="e">
        <f>AND('POTENCIAL HORAS'!H270,"AAAAAD//30w=")</f>
        <v>#VALUE!</v>
      </c>
      <c r="BZ408" t="e">
        <f>AND('POTENCIAL HORAS'!I270,"AAAAAD//300=")</f>
        <v>#VALUE!</v>
      </c>
      <c r="CA408" t="e">
        <f>AND('POTENCIAL HORAS'!J270,"AAAAAD//304=")</f>
        <v>#VALUE!</v>
      </c>
      <c r="CB408" t="e">
        <f>AND('POTENCIAL HORAS'!K270,"AAAAAD//308=")</f>
        <v>#VALUE!</v>
      </c>
      <c r="CC408" t="e">
        <f>AND('POTENCIAL HORAS'!L270,"AAAAAD//31A=")</f>
        <v>#VALUE!</v>
      </c>
      <c r="CD408" t="e">
        <f>AND('POTENCIAL HORAS'!M270,"AAAAAD//31E=")</f>
        <v>#VALUE!</v>
      </c>
      <c r="CE408" t="e">
        <f>AND('POTENCIAL HORAS'!N270,"AAAAAD//31I=")</f>
        <v>#VALUE!</v>
      </c>
      <c r="CF408" t="e">
        <f>AND('POTENCIAL HORAS'!O270,"AAAAAD//31M=")</f>
        <v>#VALUE!</v>
      </c>
      <c r="CG408" t="e">
        <f>AND('POTENCIAL HORAS'!P270,"AAAAAD//31Q=")</f>
        <v>#VALUE!</v>
      </c>
      <c r="CH408" t="e">
        <f>AND('POTENCIAL HORAS'!#REF!,"AAAAAD//31U=")</f>
        <v>#REF!</v>
      </c>
      <c r="CI408" t="e">
        <f>AND('POTENCIAL HORAS'!#REF!,"AAAAAD//31Y=")</f>
        <v>#REF!</v>
      </c>
      <c r="CJ408" t="e">
        <f>AND('POTENCIAL HORAS'!#REF!,"AAAAAD//31c=")</f>
        <v>#REF!</v>
      </c>
      <c r="CK408" t="e">
        <f>AND('POTENCIAL HORAS'!#REF!,"AAAAAD//31g=")</f>
        <v>#REF!</v>
      </c>
      <c r="CL408" t="e">
        <f>AND('POTENCIAL HORAS'!#REF!,"AAAAAD//31k=")</f>
        <v>#REF!</v>
      </c>
      <c r="CM408" t="e">
        <f>AND('POTENCIAL HORAS'!#REF!,"AAAAAD//31o=")</f>
        <v>#REF!</v>
      </c>
      <c r="CN408" t="e">
        <f>AND('POTENCIAL HORAS'!#REF!,"AAAAAD//31s=")</f>
        <v>#REF!</v>
      </c>
      <c r="CO408" t="e">
        <f>AND('POTENCIAL HORAS'!#REF!,"AAAAAD//31w=")</f>
        <v>#REF!</v>
      </c>
      <c r="CP408" t="e">
        <f>AND('POTENCIAL HORAS'!#REF!,"AAAAAD//310=")</f>
        <v>#REF!</v>
      </c>
      <c r="CQ408" t="e">
        <f>AND('POTENCIAL HORAS'!#REF!,"AAAAAD//314=")</f>
        <v>#REF!</v>
      </c>
      <c r="CR408" t="e">
        <f>AND('POTENCIAL HORAS'!#REF!,"AAAAAD//318=")</f>
        <v>#REF!</v>
      </c>
      <c r="CS408" t="e">
        <f>AND('POTENCIAL HORAS'!#REF!,"AAAAAD//32A=")</f>
        <v>#REF!</v>
      </c>
      <c r="CT408" t="e">
        <f>AND('POTENCIAL HORAS'!#REF!,"AAAAAD//32E=")</f>
        <v>#REF!</v>
      </c>
      <c r="CU408" t="e">
        <f>AND('POTENCIAL HORAS'!#REF!,"AAAAAD//32I=")</f>
        <v>#REF!</v>
      </c>
      <c r="CV408" t="e">
        <f>AND('POTENCIAL HORAS'!#REF!,"AAAAAD//32M=")</f>
        <v>#REF!</v>
      </c>
      <c r="CW408" t="e">
        <f>AND('POTENCIAL HORAS'!#REF!,"AAAAAD//32Q=")</f>
        <v>#REF!</v>
      </c>
      <c r="CX408" t="e">
        <f>AND('POTENCIAL HORAS'!#REF!,"AAAAAD//32U=")</f>
        <v>#REF!</v>
      </c>
      <c r="CY408" t="e">
        <f>AND('POTENCIAL HORAS'!#REF!,"AAAAAD//32Y=")</f>
        <v>#REF!</v>
      </c>
      <c r="CZ408" t="e">
        <f>AND('POTENCIAL HORAS'!#REF!,"AAAAAD//32c=")</f>
        <v>#REF!</v>
      </c>
      <c r="DA408" t="e">
        <f>AND('POTENCIAL HORAS'!#REF!,"AAAAAD//32g=")</f>
        <v>#REF!</v>
      </c>
      <c r="DB408" t="e">
        <f>AND('POTENCIAL HORAS'!Q270,"AAAAAD//32k=")</f>
        <v>#VALUE!</v>
      </c>
      <c r="DC408" t="e">
        <f>AND('POTENCIAL HORAS'!R270,"AAAAAD//32o=")</f>
        <v>#VALUE!</v>
      </c>
      <c r="DD408">
        <f>IF('POTENCIAL HORAS'!271:271,"AAAAAD//32s=",0)</f>
        <v>0</v>
      </c>
      <c r="DE408" t="e">
        <f>AND('POTENCIAL HORAS'!A271,"AAAAAD//32w=")</f>
        <v>#VALUE!</v>
      </c>
      <c r="DF408" t="e">
        <f>AND('POTENCIAL HORAS'!B271,"AAAAAD//320=")</f>
        <v>#VALUE!</v>
      </c>
      <c r="DG408" t="e">
        <f>AND('POTENCIAL HORAS'!C271,"AAAAAD//324=")</f>
        <v>#VALUE!</v>
      </c>
      <c r="DH408" t="e">
        <f>AND('POTENCIAL HORAS'!D271,"AAAAAD//328=")</f>
        <v>#VALUE!</v>
      </c>
      <c r="DI408" t="e">
        <f>AND('POTENCIAL HORAS'!E271,"AAAAAD//33A=")</f>
        <v>#VALUE!</v>
      </c>
      <c r="DJ408" t="e">
        <f>AND('POTENCIAL HORAS'!F271,"AAAAAD//33E=")</f>
        <v>#VALUE!</v>
      </c>
      <c r="DK408" t="e">
        <f>AND('POTENCIAL HORAS'!G271,"AAAAAD//33I=")</f>
        <v>#VALUE!</v>
      </c>
      <c r="DL408" t="e">
        <f>AND('POTENCIAL HORAS'!H271,"AAAAAD//33M=")</f>
        <v>#VALUE!</v>
      </c>
      <c r="DM408" t="e">
        <f>AND('POTENCIAL HORAS'!I271,"AAAAAD//33Q=")</f>
        <v>#VALUE!</v>
      </c>
      <c r="DN408" t="e">
        <f>AND('POTENCIAL HORAS'!J271,"AAAAAD//33U=")</f>
        <v>#VALUE!</v>
      </c>
      <c r="DO408" t="e">
        <f>AND('POTENCIAL HORAS'!K271,"AAAAAD//33Y=")</f>
        <v>#VALUE!</v>
      </c>
      <c r="DP408" t="e">
        <f>AND('POTENCIAL HORAS'!L271,"AAAAAD//33c=")</f>
        <v>#VALUE!</v>
      </c>
      <c r="DQ408" t="e">
        <f>AND('POTENCIAL HORAS'!M271,"AAAAAD//33g=")</f>
        <v>#VALUE!</v>
      </c>
      <c r="DR408" t="e">
        <f>AND('POTENCIAL HORAS'!N271,"AAAAAD//33k=")</f>
        <v>#VALUE!</v>
      </c>
      <c r="DS408" t="e">
        <f>AND('POTENCIAL HORAS'!O271,"AAAAAD//33o=")</f>
        <v>#VALUE!</v>
      </c>
      <c r="DT408" t="e">
        <f>AND('POTENCIAL HORAS'!P271,"AAAAAD//33s=")</f>
        <v>#VALUE!</v>
      </c>
      <c r="DU408" t="e">
        <f>AND('POTENCIAL HORAS'!#REF!,"AAAAAD//33w=")</f>
        <v>#REF!</v>
      </c>
      <c r="DV408" t="e">
        <f>AND('POTENCIAL HORAS'!#REF!,"AAAAAD//330=")</f>
        <v>#REF!</v>
      </c>
      <c r="DW408" t="e">
        <f>AND('POTENCIAL HORAS'!#REF!,"AAAAAD//334=")</f>
        <v>#REF!</v>
      </c>
      <c r="DX408" t="e">
        <f>AND('POTENCIAL HORAS'!#REF!,"AAAAAD//338=")</f>
        <v>#REF!</v>
      </c>
      <c r="DY408" t="e">
        <f>AND('POTENCIAL HORAS'!#REF!,"AAAAAD//34A=")</f>
        <v>#REF!</v>
      </c>
      <c r="DZ408" t="e">
        <f>AND('POTENCIAL HORAS'!#REF!,"AAAAAD//34E=")</f>
        <v>#REF!</v>
      </c>
      <c r="EA408" t="e">
        <f>AND('POTENCIAL HORAS'!#REF!,"AAAAAD//34I=")</f>
        <v>#REF!</v>
      </c>
      <c r="EB408" t="e">
        <f>AND('POTENCIAL HORAS'!#REF!,"AAAAAD//34M=")</f>
        <v>#REF!</v>
      </c>
      <c r="EC408" t="e">
        <f>AND('POTENCIAL HORAS'!#REF!,"AAAAAD//34Q=")</f>
        <v>#REF!</v>
      </c>
      <c r="ED408" t="e">
        <f>AND('POTENCIAL HORAS'!#REF!,"AAAAAD//34U=")</f>
        <v>#REF!</v>
      </c>
      <c r="EE408" t="e">
        <f>AND('POTENCIAL HORAS'!#REF!,"AAAAAD//34Y=")</f>
        <v>#REF!</v>
      </c>
      <c r="EF408" t="e">
        <f>AND('POTENCIAL HORAS'!#REF!,"AAAAAD//34c=")</f>
        <v>#REF!</v>
      </c>
      <c r="EG408" t="e">
        <f>AND('POTENCIAL HORAS'!#REF!,"AAAAAD//34g=")</f>
        <v>#REF!</v>
      </c>
      <c r="EH408" t="e">
        <f>AND('POTENCIAL HORAS'!#REF!,"AAAAAD//34k=")</f>
        <v>#REF!</v>
      </c>
      <c r="EI408" t="e">
        <f>AND('POTENCIAL HORAS'!#REF!,"AAAAAD//34o=")</f>
        <v>#REF!</v>
      </c>
      <c r="EJ408" t="e">
        <f>AND('POTENCIAL HORAS'!#REF!,"AAAAAD//34s=")</f>
        <v>#REF!</v>
      </c>
      <c r="EK408" t="e">
        <f>AND('POTENCIAL HORAS'!#REF!,"AAAAAD//34w=")</f>
        <v>#REF!</v>
      </c>
      <c r="EL408" t="e">
        <f>AND('POTENCIAL HORAS'!#REF!,"AAAAAD//340=")</f>
        <v>#REF!</v>
      </c>
      <c r="EM408" t="e">
        <f>AND('POTENCIAL HORAS'!#REF!,"AAAAAD//344=")</f>
        <v>#REF!</v>
      </c>
      <c r="EN408" t="e">
        <f>AND('POTENCIAL HORAS'!#REF!,"AAAAAD//348=")</f>
        <v>#REF!</v>
      </c>
      <c r="EO408" t="e">
        <f>AND('POTENCIAL HORAS'!Q271,"AAAAAD//35A=")</f>
        <v>#VALUE!</v>
      </c>
      <c r="EP408" t="e">
        <f>AND('POTENCIAL HORAS'!R271,"AAAAAD//35E=")</f>
        <v>#VALUE!</v>
      </c>
      <c r="EQ408">
        <f>IF('POTENCIAL HORAS'!272:272,"AAAAAD//35I=",0)</f>
        <v>0</v>
      </c>
      <c r="ER408" t="e">
        <f>AND('POTENCIAL HORAS'!A272,"AAAAAD//35M=")</f>
        <v>#VALUE!</v>
      </c>
      <c r="ES408" t="e">
        <f>AND('POTENCIAL HORAS'!B272,"AAAAAD//35Q=")</f>
        <v>#VALUE!</v>
      </c>
      <c r="ET408" t="e">
        <f>AND('POTENCIAL HORAS'!C272,"AAAAAD//35U=")</f>
        <v>#VALUE!</v>
      </c>
      <c r="EU408" t="e">
        <f>AND('POTENCIAL HORAS'!D272,"AAAAAD//35Y=")</f>
        <v>#VALUE!</v>
      </c>
      <c r="EV408" t="e">
        <f>AND('POTENCIAL HORAS'!E272,"AAAAAD//35c=")</f>
        <v>#VALUE!</v>
      </c>
      <c r="EW408" t="e">
        <f>AND('POTENCIAL HORAS'!F272,"AAAAAD//35g=")</f>
        <v>#VALUE!</v>
      </c>
      <c r="EX408" t="e">
        <f>AND('POTENCIAL HORAS'!G272,"AAAAAD//35k=")</f>
        <v>#VALUE!</v>
      </c>
      <c r="EY408" t="e">
        <f>AND('POTENCIAL HORAS'!H272,"AAAAAD//35o=")</f>
        <v>#VALUE!</v>
      </c>
      <c r="EZ408" t="e">
        <f>AND('POTENCIAL HORAS'!I272,"AAAAAD//35s=")</f>
        <v>#VALUE!</v>
      </c>
      <c r="FA408" t="e">
        <f>AND('POTENCIAL HORAS'!J272,"AAAAAD//35w=")</f>
        <v>#VALUE!</v>
      </c>
      <c r="FB408" t="e">
        <f>AND('POTENCIAL HORAS'!K272,"AAAAAD//350=")</f>
        <v>#VALUE!</v>
      </c>
      <c r="FC408" t="e">
        <f>AND('POTENCIAL HORAS'!L272,"AAAAAD//354=")</f>
        <v>#VALUE!</v>
      </c>
      <c r="FD408" t="e">
        <f>AND('POTENCIAL HORAS'!M272,"AAAAAD//358=")</f>
        <v>#VALUE!</v>
      </c>
      <c r="FE408" t="e">
        <f>AND('POTENCIAL HORAS'!N272,"AAAAAD//36A=")</f>
        <v>#VALUE!</v>
      </c>
      <c r="FF408" t="e">
        <f>AND('POTENCIAL HORAS'!O272,"AAAAAD//36E=")</f>
        <v>#VALUE!</v>
      </c>
      <c r="FG408" t="e">
        <f>AND('POTENCIAL HORAS'!P272,"AAAAAD//36I=")</f>
        <v>#VALUE!</v>
      </c>
      <c r="FH408" t="e">
        <f>AND('POTENCIAL HORAS'!#REF!,"AAAAAD//36M=")</f>
        <v>#REF!</v>
      </c>
      <c r="FI408" t="e">
        <f>AND('POTENCIAL HORAS'!#REF!,"AAAAAD//36Q=")</f>
        <v>#REF!</v>
      </c>
      <c r="FJ408" t="e">
        <f>AND('POTENCIAL HORAS'!#REF!,"AAAAAD//36U=")</f>
        <v>#REF!</v>
      </c>
      <c r="FK408" t="e">
        <f>AND('POTENCIAL HORAS'!#REF!,"AAAAAD//36Y=")</f>
        <v>#REF!</v>
      </c>
      <c r="FL408" t="e">
        <f>AND('POTENCIAL HORAS'!#REF!,"AAAAAD//36c=")</f>
        <v>#REF!</v>
      </c>
      <c r="FM408" t="e">
        <f>AND('POTENCIAL HORAS'!#REF!,"AAAAAD//36g=")</f>
        <v>#REF!</v>
      </c>
      <c r="FN408" t="e">
        <f>AND('POTENCIAL HORAS'!#REF!,"AAAAAD//36k=")</f>
        <v>#REF!</v>
      </c>
      <c r="FO408" t="e">
        <f>AND('POTENCIAL HORAS'!#REF!,"AAAAAD//36o=")</f>
        <v>#REF!</v>
      </c>
      <c r="FP408" t="e">
        <f>AND('POTENCIAL HORAS'!#REF!,"AAAAAD//36s=")</f>
        <v>#REF!</v>
      </c>
      <c r="FQ408" t="e">
        <f>AND('POTENCIAL HORAS'!#REF!,"AAAAAD//36w=")</f>
        <v>#REF!</v>
      </c>
      <c r="FR408" t="e">
        <f>AND('POTENCIAL HORAS'!#REF!,"AAAAAD//360=")</f>
        <v>#REF!</v>
      </c>
      <c r="FS408" t="e">
        <f>AND('POTENCIAL HORAS'!#REF!,"AAAAAD//364=")</f>
        <v>#REF!</v>
      </c>
      <c r="FT408" t="e">
        <f>AND('POTENCIAL HORAS'!#REF!,"AAAAAD//368=")</f>
        <v>#REF!</v>
      </c>
      <c r="FU408" t="e">
        <f>AND('POTENCIAL HORAS'!#REF!,"AAAAAD//37A=")</f>
        <v>#REF!</v>
      </c>
      <c r="FV408" t="e">
        <f>AND('POTENCIAL HORAS'!#REF!,"AAAAAD//37E=")</f>
        <v>#REF!</v>
      </c>
      <c r="FW408" t="e">
        <f>AND('POTENCIAL HORAS'!#REF!,"AAAAAD//37I=")</f>
        <v>#REF!</v>
      </c>
      <c r="FX408" t="e">
        <f>AND('POTENCIAL HORAS'!#REF!,"AAAAAD//37M=")</f>
        <v>#REF!</v>
      </c>
      <c r="FY408" t="e">
        <f>AND('POTENCIAL HORAS'!#REF!,"AAAAAD//37Q=")</f>
        <v>#REF!</v>
      </c>
      <c r="FZ408" t="e">
        <f>AND('POTENCIAL HORAS'!#REF!,"AAAAAD//37U=")</f>
        <v>#REF!</v>
      </c>
      <c r="GA408" t="e">
        <f>AND('POTENCIAL HORAS'!#REF!,"AAAAAD//37Y=")</f>
        <v>#REF!</v>
      </c>
      <c r="GB408" t="e">
        <f>AND('POTENCIAL HORAS'!Q272,"AAAAAD//37c=")</f>
        <v>#VALUE!</v>
      </c>
      <c r="GC408" t="e">
        <f>AND('POTENCIAL HORAS'!R272,"AAAAAD//37g=")</f>
        <v>#VALUE!</v>
      </c>
      <c r="GD408">
        <f>IF('POTENCIAL HORAS'!273:273,"AAAAAD//37k=",0)</f>
        <v>0</v>
      </c>
      <c r="GE408" t="e">
        <f>AND('POTENCIAL HORAS'!A273,"AAAAAD//37o=")</f>
        <v>#VALUE!</v>
      </c>
      <c r="GF408" t="e">
        <f>AND('POTENCIAL HORAS'!B273,"AAAAAD//37s=")</f>
        <v>#VALUE!</v>
      </c>
      <c r="GG408" t="e">
        <f>AND('POTENCIAL HORAS'!C273,"AAAAAD//37w=")</f>
        <v>#VALUE!</v>
      </c>
      <c r="GH408" t="e">
        <f>AND('POTENCIAL HORAS'!D273,"AAAAAD//370=")</f>
        <v>#VALUE!</v>
      </c>
      <c r="GI408" t="e">
        <f>AND('POTENCIAL HORAS'!E273,"AAAAAD//374=")</f>
        <v>#VALUE!</v>
      </c>
      <c r="GJ408" t="e">
        <f>AND('POTENCIAL HORAS'!F273,"AAAAAD//378=")</f>
        <v>#VALUE!</v>
      </c>
      <c r="GK408" t="e">
        <f>AND('POTENCIAL HORAS'!G273,"AAAAAD//38A=")</f>
        <v>#VALUE!</v>
      </c>
      <c r="GL408" t="e">
        <f>AND('POTENCIAL HORAS'!H273,"AAAAAD//38E=")</f>
        <v>#VALUE!</v>
      </c>
      <c r="GM408" t="e">
        <f>AND('POTENCIAL HORAS'!I273,"AAAAAD//38I=")</f>
        <v>#VALUE!</v>
      </c>
      <c r="GN408" t="e">
        <f>AND('POTENCIAL HORAS'!J273,"AAAAAD//38M=")</f>
        <v>#VALUE!</v>
      </c>
      <c r="GO408" t="e">
        <f>AND('POTENCIAL HORAS'!K273,"AAAAAD//38Q=")</f>
        <v>#VALUE!</v>
      </c>
      <c r="GP408" t="e">
        <f>AND('POTENCIAL HORAS'!L273,"AAAAAD//38U=")</f>
        <v>#VALUE!</v>
      </c>
      <c r="GQ408" t="e">
        <f>AND('POTENCIAL HORAS'!M273,"AAAAAD//38Y=")</f>
        <v>#VALUE!</v>
      </c>
      <c r="GR408" t="e">
        <f>AND('POTENCIAL HORAS'!N273,"AAAAAD//38c=")</f>
        <v>#VALUE!</v>
      </c>
      <c r="GS408" t="e">
        <f>AND('POTENCIAL HORAS'!O273,"AAAAAD//38g=")</f>
        <v>#VALUE!</v>
      </c>
      <c r="GT408" t="e">
        <f>AND('POTENCIAL HORAS'!P273,"AAAAAD//38k=")</f>
        <v>#VALUE!</v>
      </c>
      <c r="GU408" t="e">
        <f>AND('POTENCIAL HORAS'!#REF!,"AAAAAD//38o=")</f>
        <v>#REF!</v>
      </c>
      <c r="GV408" t="e">
        <f>AND('POTENCIAL HORAS'!#REF!,"AAAAAD//38s=")</f>
        <v>#REF!</v>
      </c>
      <c r="GW408" t="e">
        <f>AND('POTENCIAL HORAS'!#REF!,"AAAAAD//38w=")</f>
        <v>#REF!</v>
      </c>
      <c r="GX408" t="e">
        <f>AND('POTENCIAL HORAS'!#REF!,"AAAAAD//380=")</f>
        <v>#REF!</v>
      </c>
      <c r="GY408" t="e">
        <f>AND('POTENCIAL HORAS'!#REF!,"AAAAAD//384=")</f>
        <v>#REF!</v>
      </c>
      <c r="GZ408" t="e">
        <f>AND('POTENCIAL HORAS'!#REF!,"AAAAAD//388=")</f>
        <v>#REF!</v>
      </c>
      <c r="HA408" t="e">
        <f>AND('POTENCIAL HORAS'!#REF!,"AAAAAD//39A=")</f>
        <v>#REF!</v>
      </c>
      <c r="HB408" t="e">
        <f>AND('POTENCIAL HORAS'!#REF!,"AAAAAD//39E=")</f>
        <v>#REF!</v>
      </c>
      <c r="HC408" t="e">
        <f>AND('POTENCIAL HORAS'!#REF!,"AAAAAD//39I=")</f>
        <v>#REF!</v>
      </c>
      <c r="HD408" t="e">
        <f>AND('POTENCIAL HORAS'!#REF!,"AAAAAD//39M=")</f>
        <v>#REF!</v>
      </c>
      <c r="HE408" t="e">
        <f>AND('POTENCIAL HORAS'!#REF!,"AAAAAD//39Q=")</f>
        <v>#REF!</v>
      </c>
      <c r="HF408" t="e">
        <f>AND('POTENCIAL HORAS'!#REF!,"AAAAAD//39U=")</f>
        <v>#REF!</v>
      </c>
      <c r="HG408" t="e">
        <f>AND('POTENCIAL HORAS'!#REF!,"AAAAAD//39Y=")</f>
        <v>#REF!</v>
      </c>
      <c r="HH408" t="e">
        <f>AND('POTENCIAL HORAS'!#REF!,"AAAAAD//39c=")</f>
        <v>#REF!</v>
      </c>
      <c r="HI408" t="e">
        <f>AND('POTENCIAL HORAS'!#REF!,"AAAAAD//39g=")</f>
        <v>#REF!</v>
      </c>
      <c r="HJ408" t="e">
        <f>AND('POTENCIAL HORAS'!#REF!,"AAAAAD//39k=")</f>
        <v>#REF!</v>
      </c>
      <c r="HK408" t="e">
        <f>AND('POTENCIAL HORAS'!#REF!,"AAAAAD//39o=")</f>
        <v>#REF!</v>
      </c>
      <c r="HL408" t="e">
        <f>AND('POTENCIAL HORAS'!#REF!,"AAAAAD//39s=")</f>
        <v>#REF!</v>
      </c>
      <c r="HM408" t="e">
        <f>AND('POTENCIAL HORAS'!#REF!,"AAAAAD//39w=")</f>
        <v>#REF!</v>
      </c>
      <c r="HN408" t="e">
        <f>AND('POTENCIAL HORAS'!#REF!,"AAAAAD//390=")</f>
        <v>#REF!</v>
      </c>
      <c r="HO408" t="e">
        <f>AND('POTENCIAL HORAS'!Q273,"AAAAAD//394=")</f>
        <v>#VALUE!</v>
      </c>
      <c r="HP408" t="e">
        <f>AND('POTENCIAL HORAS'!R273,"AAAAAD//398=")</f>
        <v>#VALUE!</v>
      </c>
      <c r="HQ408">
        <f>IF('POTENCIAL HORAS'!328:328,"AAAAAD//3+A=",0)</f>
        <v>0</v>
      </c>
      <c r="HR408" t="e">
        <f>AND('POTENCIAL HORAS'!A328,"AAAAAD//3+E=")</f>
        <v>#VALUE!</v>
      </c>
      <c r="HS408" t="e">
        <f>AND('POTENCIAL HORAS'!B328,"AAAAAD//3+I=")</f>
        <v>#VALUE!</v>
      </c>
      <c r="HT408" t="e">
        <f>AND('POTENCIAL HORAS'!C328,"AAAAAD//3+M=")</f>
        <v>#VALUE!</v>
      </c>
      <c r="HU408" t="e">
        <f>AND('POTENCIAL HORAS'!D328,"AAAAAD//3+Q=")</f>
        <v>#VALUE!</v>
      </c>
      <c r="HV408" t="e">
        <f>AND('POTENCIAL HORAS'!E328,"AAAAAD//3+U=")</f>
        <v>#VALUE!</v>
      </c>
      <c r="HW408" t="e">
        <f>AND('POTENCIAL HORAS'!F328,"AAAAAD//3+Y=")</f>
        <v>#VALUE!</v>
      </c>
      <c r="HX408" t="e">
        <f>AND('POTENCIAL HORAS'!G328,"AAAAAD//3+c=")</f>
        <v>#VALUE!</v>
      </c>
      <c r="HY408" t="e">
        <f>AND('POTENCIAL HORAS'!H328,"AAAAAD//3+g=")</f>
        <v>#VALUE!</v>
      </c>
      <c r="HZ408" t="e">
        <f>AND('POTENCIAL HORAS'!I328,"AAAAAD//3+k=")</f>
        <v>#VALUE!</v>
      </c>
      <c r="IA408" t="e">
        <f>AND('POTENCIAL HORAS'!J328,"AAAAAD//3+o=")</f>
        <v>#VALUE!</v>
      </c>
      <c r="IB408" t="e">
        <f>AND('POTENCIAL HORAS'!K328,"AAAAAD//3+s=")</f>
        <v>#VALUE!</v>
      </c>
      <c r="IC408" t="e">
        <f>AND('POTENCIAL HORAS'!L328,"AAAAAD//3+w=")</f>
        <v>#VALUE!</v>
      </c>
      <c r="ID408" t="e">
        <f>AND('POTENCIAL HORAS'!M328,"AAAAAD//3+0=")</f>
        <v>#VALUE!</v>
      </c>
      <c r="IE408" t="e">
        <f>AND('POTENCIAL HORAS'!N328,"AAAAAD//3+4=")</f>
        <v>#VALUE!</v>
      </c>
      <c r="IF408" t="e">
        <f>AND('POTENCIAL HORAS'!O328,"AAAAAD//3+8=")</f>
        <v>#VALUE!</v>
      </c>
      <c r="IG408" t="e">
        <f>AND('POTENCIAL HORAS'!P328,"AAAAAD//3/A=")</f>
        <v>#VALUE!</v>
      </c>
      <c r="IH408" t="e">
        <f>AND('POTENCIAL HORAS'!#REF!,"AAAAAD//3/E=")</f>
        <v>#REF!</v>
      </c>
      <c r="II408" t="e">
        <f>AND('POTENCIAL HORAS'!#REF!,"AAAAAD//3/I=")</f>
        <v>#REF!</v>
      </c>
      <c r="IJ408" t="e">
        <f>AND('POTENCIAL HORAS'!#REF!,"AAAAAD//3/M=")</f>
        <v>#REF!</v>
      </c>
      <c r="IK408" t="e">
        <f>AND('POTENCIAL HORAS'!#REF!,"AAAAAD//3/Q=")</f>
        <v>#REF!</v>
      </c>
      <c r="IL408" t="e">
        <f>AND('POTENCIAL HORAS'!#REF!,"AAAAAD//3/U=")</f>
        <v>#REF!</v>
      </c>
      <c r="IM408" t="e">
        <f>AND('POTENCIAL HORAS'!#REF!,"AAAAAD//3/Y=")</f>
        <v>#REF!</v>
      </c>
      <c r="IN408" t="e">
        <f>AND('POTENCIAL HORAS'!#REF!,"AAAAAD//3/c=")</f>
        <v>#REF!</v>
      </c>
      <c r="IO408" t="e">
        <f>AND('POTENCIAL HORAS'!#REF!,"AAAAAD//3/g=")</f>
        <v>#REF!</v>
      </c>
      <c r="IP408" t="e">
        <f>AND('POTENCIAL HORAS'!#REF!,"AAAAAD//3/k=")</f>
        <v>#REF!</v>
      </c>
      <c r="IQ408" t="e">
        <f>AND('POTENCIAL HORAS'!#REF!,"AAAAAD//3/o=")</f>
        <v>#REF!</v>
      </c>
      <c r="IR408" t="e">
        <f>AND('POTENCIAL HORAS'!#REF!,"AAAAAD//3/s=")</f>
        <v>#REF!</v>
      </c>
      <c r="IS408" t="e">
        <f>AND('POTENCIAL HORAS'!#REF!,"AAAAAD//3/w=")</f>
        <v>#REF!</v>
      </c>
      <c r="IT408" t="e">
        <f>AND('POTENCIAL HORAS'!#REF!,"AAAAAD//3/0=")</f>
        <v>#REF!</v>
      </c>
      <c r="IU408" t="e">
        <f>AND('POTENCIAL HORAS'!#REF!,"AAAAAD//3/4=")</f>
        <v>#REF!</v>
      </c>
      <c r="IV408" t="e">
        <f>AND('POTENCIAL HORAS'!#REF!,"AAAAAD//3/8=")</f>
        <v>#REF!</v>
      </c>
    </row>
    <row r="409" spans="1:256" x14ac:dyDescent="0.2">
      <c r="A409" t="e">
        <f>AND('POTENCIAL HORAS'!#REF!,"AAAAADe7fwA=")</f>
        <v>#REF!</v>
      </c>
      <c r="B409" t="e">
        <f>AND('POTENCIAL HORAS'!#REF!,"AAAAADe7fwE=")</f>
        <v>#REF!</v>
      </c>
      <c r="C409" t="e">
        <f>AND('POTENCIAL HORAS'!#REF!,"AAAAADe7fwI=")</f>
        <v>#REF!</v>
      </c>
      <c r="D409" t="e">
        <f>AND('POTENCIAL HORAS'!#REF!,"AAAAADe7fwM=")</f>
        <v>#REF!</v>
      </c>
      <c r="E409" t="e">
        <f>AND('POTENCIAL HORAS'!#REF!,"AAAAADe7fwQ=")</f>
        <v>#REF!</v>
      </c>
      <c r="F409" t="e">
        <f>AND('POTENCIAL HORAS'!Q328,"AAAAADe7fwU=")</f>
        <v>#VALUE!</v>
      </c>
      <c r="G409" t="e">
        <f>AND('POTENCIAL HORAS'!R328,"AAAAADe7fwY=")</f>
        <v>#VALUE!</v>
      </c>
      <c r="H409" t="e">
        <f>IF('POTENCIAL HORAS'!#REF!,"AAAAADe7fwc=",0)</f>
        <v>#REF!</v>
      </c>
      <c r="I409" t="e">
        <f>AND('POTENCIAL HORAS'!#REF!,"AAAAADe7fwg=")</f>
        <v>#REF!</v>
      </c>
      <c r="J409" t="e">
        <f>AND('POTENCIAL HORAS'!#REF!,"AAAAADe7fwk=")</f>
        <v>#REF!</v>
      </c>
      <c r="K409" t="e">
        <f>AND('POTENCIAL HORAS'!#REF!,"AAAAADe7fwo=")</f>
        <v>#REF!</v>
      </c>
      <c r="L409" t="e">
        <f>AND('POTENCIAL HORAS'!#REF!,"AAAAADe7fws=")</f>
        <v>#REF!</v>
      </c>
      <c r="M409" t="e">
        <f>AND('POTENCIAL HORAS'!#REF!,"AAAAADe7fww=")</f>
        <v>#REF!</v>
      </c>
      <c r="N409" t="e">
        <f>AND('POTENCIAL HORAS'!#REF!,"AAAAADe7fw0=")</f>
        <v>#REF!</v>
      </c>
      <c r="O409" t="e">
        <f>AND('POTENCIAL HORAS'!#REF!,"AAAAADe7fw4=")</f>
        <v>#REF!</v>
      </c>
      <c r="P409" t="e">
        <f>AND('POTENCIAL HORAS'!#REF!,"AAAAADe7fw8=")</f>
        <v>#REF!</v>
      </c>
      <c r="Q409" t="e">
        <f>AND('POTENCIAL HORAS'!#REF!,"AAAAADe7fxA=")</f>
        <v>#REF!</v>
      </c>
      <c r="R409" t="e">
        <f>AND('POTENCIAL HORAS'!#REF!,"AAAAADe7fxE=")</f>
        <v>#REF!</v>
      </c>
      <c r="S409" t="e">
        <f>AND('POTENCIAL HORAS'!#REF!,"AAAAADe7fxI=")</f>
        <v>#REF!</v>
      </c>
      <c r="T409" t="e">
        <f>AND('POTENCIAL HORAS'!#REF!,"AAAAADe7fxM=")</f>
        <v>#REF!</v>
      </c>
      <c r="U409" t="e">
        <f>AND('POTENCIAL HORAS'!#REF!,"AAAAADe7fxQ=")</f>
        <v>#REF!</v>
      </c>
      <c r="V409" t="e">
        <f>AND('POTENCIAL HORAS'!#REF!,"AAAAADe7fxU=")</f>
        <v>#REF!</v>
      </c>
      <c r="W409" t="e">
        <f>AND('POTENCIAL HORAS'!#REF!,"AAAAADe7fxY=")</f>
        <v>#REF!</v>
      </c>
      <c r="X409" t="e">
        <f>AND('POTENCIAL HORAS'!#REF!,"AAAAADe7fxc=")</f>
        <v>#REF!</v>
      </c>
      <c r="Y409" t="e">
        <f>AND('POTENCIAL HORAS'!#REF!,"AAAAADe7fxg=")</f>
        <v>#REF!</v>
      </c>
      <c r="Z409" t="e">
        <f>AND('POTENCIAL HORAS'!#REF!,"AAAAADe7fxk=")</f>
        <v>#REF!</v>
      </c>
      <c r="AA409" t="e">
        <f>AND('POTENCIAL HORAS'!#REF!,"AAAAADe7fxo=")</f>
        <v>#REF!</v>
      </c>
      <c r="AB409" t="e">
        <f>AND('POTENCIAL HORAS'!#REF!,"AAAAADe7fxs=")</f>
        <v>#REF!</v>
      </c>
      <c r="AC409" t="e">
        <f>AND('POTENCIAL HORAS'!#REF!,"AAAAADe7fxw=")</f>
        <v>#REF!</v>
      </c>
      <c r="AD409" t="e">
        <f>AND('POTENCIAL HORAS'!#REF!,"AAAAADe7fx0=")</f>
        <v>#REF!</v>
      </c>
      <c r="AE409" t="e">
        <f>AND('POTENCIAL HORAS'!#REF!,"AAAAADe7fx4=")</f>
        <v>#REF!</v>
      </c>
      <c r="AF409" t="e">
        <f>AND('POTENCIAL HORAS'!#REF!,"AAAAADe7fx8=")</f>
        <v>#REF!</v>
      </c>
      <c r="AG409" t="e">
        <f>AND('POTENCIAL HORAS'!#REF!,"AAAAADe7fyA=")</f>
        <v>#REF!</v>
      </c>
      <c r="AH409" t="e">
        <f>AND('POTENCIAL HORAS'!#REF!,"AAAAADe7fyE=")</f>
        <v>#REF!</v>
      </c>
      <c r="AI409" t="e">
        <f>AND('POTENCIAL HORAS'!#REF!,"AAAAADe7fyI=")</f>
        <v>#REF!</v>
      </c>
      <c r="AJ409" t="e">
        <f>AND('POTENCIAL HORAS'!#REF!,"AAAAADe7fyM=")</f>
        <v>#REF!</v>
      </c>
      <c r="AK409" t="e">
        <f>AND('POTENCIAL HORAS'!#REF!,"AAAAADe7fyQ=")</f>
        <v>#REF!</v>
      </c>
      <c r="AL409" t="e">
        <f>AND('POTENCIAL HORAS'!#REF!,"AAAAADe7fyU=")</f>
        <v>#REF!</v>
      </c>
      <c r="AM409" t="e">
        <f>AND('POTENCIAL HORAS'!#REF!,"AAAAADe7fyY=")</f>
        <v>#REF!</v>
      </c>
      <c r="AN409" t="e">
        <f>AND('POTENCIAL HORAS'!#REF!,"AAAAADe7fyc=")</f>
        <v>#REF!</v>
      </c>
      <c r="AO409" t="e">
        <f>AND('POTENCIAL HORAS'!#REF!,"AAAAADe7fyg=")</f>
        <v>#REF!</v>
      </c>
      <c r="AP409" t="e">
        <f>AND('POTENCIAL HORAS'!#REF!,"AAAAADe7fyk=")</f>
        <v>#REF!</v>
      </c>
      <c r="AQ409" t="e">
        <f>AND('POTENCIAL HORAS'!#REF!,"AAAAADe7fyo=")</f>
        <v>#REF!</v>
      </c>
      <c r="AR409" t="e">
        <f>AND('POTENCIAL HORAS'!#REF!,"AAAAADe7fys=")</f>
        <v>#REF!</v>
      </c>
      <c r="AS409" t="e">
        <f>AND('POTENCIAL HORAS'!#REF!,"AAAAADe7fyw=")</f>
        <v>#REF!</v>
      </c>
      <c r="AT409" t="e">
        <f>AND('POTENCIAL HORAS'!#REF!,"AAAAADe7fy0=")</f>
        <v>#REF!</v>
      </c>
      <c r="AU409" t="e">
        <f>IF('PROG FORMACIÓN TITULADA'!#REF!,"AAAAADe7fy4=",0)</f>
        <v>#REF!</v>
      </c>
      <c r="AV409" t="e">
        <f>AND('PROG FORMACIÓN TITULADA'!#REF!,"AAAAADe7fy8=")</f>
        <v>#REF!</v>
      </c>
      <c r="AW409" t="e">
        <f>AND('PROG FORMACIÓN TITULADA'!#REF!,"AAAAADe7fzA=")</f>
        <v>#REF!</v>
      </c>
      <c r="AX409" t="e">
        <f>AND('PROG FORMACIÓN TITULADA'!#REF!,"AAAAADe7fzE=")</f>
        <v>#REF!</v>
      </c>
      <c r="AY409" t="e">
        <f>AND('PROG FORMACIÓN TITULADA'!#REF!,"AAAAADe7fzI=")</f>
        <v>#REF!</v>
      </c>
      <c r="AZ409" t="e">
        <f>AND('PROG FORMACIÓN TITULADA'!#REF!,"AAAAADe7fzM=")</f>
        <v>#REF!</v>
      </c>
      <c r="BA409" t="e">
        <f>AND('PROG FORMACIÓN TITULADA'!#REF!,"AAAAADe7fzQ=")</f>
        <v>#REF!</v>
      </c>
      <c r="BB409" t="e">
        <f>AND('PROG FORMACIÓN TITULADA'!#REF!,"AAAAADe7fzU=")</f>
        <v>#REF!</v>
      </c>
      <c r="BC409" t="e">
        <f>AND('PROG FORMACIÓN TITULADA'!#REF!,"AAAAADe7fzY=")</f>
        <v>#REF!</v>
      </c>
      <c r="BD409" t="e">
        <f>AND('PROG FORMACIÓN TITULADA'!#REF!,"AAAAADe7fzc=")</f>
        <v>#REF!</v>
      </c>
      <c r="BE409" t="e">
        <f>AND('PROG FORMACIÓN TITULADA'!#REF!,"AAAAADe7fzg=")</f>
        <v>#REF!</v>
      </c>
      <c r="BF409" t="e">
        <f>AND('PROG FORMACIÓN TITULADA'!#REF!,"AAAAADe7fzk=")</f>
        <v>#REF!</v>
      </c>
      <c r="BG409" t="e">
        <f>AND('PROG FORMACIÓN TITULADA'!#REF!,"AAAAADe7fzo=")</f>
        <v>#REF!</v>
      </c>
      <c r="BH409" t="e">
        <f>AND('PROG FORMACIÓN TITULADA'!#REF!,"AAAAADe7fzs=")</f>
        <v>#REF!</v>
      </c>
      <c r="BI409" t="e">
        <f>AND('PROG FORMACIÓN TITULADA'!#REF!,"AAAAADe7fzw=")</f>
        <v>#REF!</v>
      </c>
      <c r="BJ409" t="e">
        <f>AND('PROG FORMACIÓN TITULADA'!#REF!,"AAAAADe7fz0=")</f>
        <v>#REF!</v>
      </c>
      <c r="BK409" t="e">
        <f>AND('PROG FORMACIÓN TITULADA'!#REF!,"AAAAADe7fz4=")</f>
        <v>#REF!</v>
      </c>
      <c r="BL409" t="e">
        <f>AND('PROG FORMACIÓN TITULADA'!#REF!,"AAAAADe7fz8=")</f>
        <v>#REF!</v>
      </c>
      <c r="BM409" t="e">
        <f>AND('PROG FORMACIÓN TITULADA'!#REF!,"AAAAADe7f0A=")</f>
        <v>#REF!</v>
      </c>
      <c r="BN409" t="e">
        <f>AND('PROG FORMACIÓN TITULADA'!#REF!,"AAAAADe7f0E=")</f>
        <v>#REF!</v>
      </c>
      <c r="BO409" t="e">
        <f>AND('PROG FORMACIÓN TITULADA'!#REF!,"AAAAADe7f0I=")</f>
        <v>#REF!</v>
      </c>
      <c r="BP409" t="e">
        <f>AND('PROG FORMACIÓN TITULADA'!#REF!,"AAAAADe7f0M=")</f>
        <v>#REF!</v>
      </c>
      <c r="BQ409" t="e">
        <f>AND('PROG FORMACIÓN TITULADA'!#REF!,"AAAAADe7f0Q=")</f>
        <v>#REF!</v>
      </c>
      <c r="BR409" t="e">
        <f>AND('PROG FORMACIÓN TITULADA'!#REF!,"AAAAADe7f0U=")</f>
        <v>#REF!</v>
      </c>
      <c r="BS409" t="e">
        <f>AND('PROG FORMACIÓN TITULADA'!#REF!,"AAAAADe7f0Y=")</f>
        <v>#REF!</v>
      </c>
      <c r="BT409" t="e">
        <f>AND('PROG FORMACIÓN TITULADA'!#REF!,"AAAAADe7f0c=")</f>
        <v>#REF!</v>
      </c>
      <c r="BU409" t="e">
        <f>AND('PROG FORMACIÓN TITULADA'!#REF!,"AAAAADe7f0g=")</f>
        <v>#REF!</v>
      </c>
      <c r="BV409" t="e">
        <f>IF('PROG FORMACIÓN TITULADA'!#REF!,"AAAAADe7f0k=",0)</f>
        <v>#REF!</v>
      </c>
      <c r="BW409" t="e">
        <f>AND('PROG FORMACIÓN TITULADA'!#REF!,"AAAAADe7f0o=")</f>
        <v>#REF!</v>
      </c>
      <c r="BX409" t="e">
        <f>AND('PROG FORMACIÓN TITULADA'!#REF!,"AAAAADe7f0s=")</f>
        <v>#REF!</v>
      </c>
      <c r="BY409" t="e">
        <f>AND('PROG FORMACIÓN TITULADA'!#REF!,"AAAAADe7f0w=")</f>
        <v>#REF!</v>
      </c>
      <c r="BZ409" t="e">
        <f>AND('PROG FORMACIÓN TITULADA'!#REF!,"AAAAADe7f00=")</f>
        <v>#REF!</v>
      </c>
      <c r="CA409" t="e">
        <f>AND('PROG FORMACIÓN TITULADA'!#REF!,"AAAAADe7f04=")</f>
        <v>#REF!</v>
      </c>
      <c r="CB409" t="e">
        <f>AND('PROG FORMACIÓN TITULADA'!#REF!,"AAAAADe7f08=")</f>
        <v>#REF!</v>
      </c>
      <c r="CC409" t="e">
        <f>AND('PROG FORMACIÓN TITULADA'!#REF!,"AAAAADe7f1A=")</f>
        <v>#REF!</v>
      </c>
      <c r="CD409" t="e">
        <f>AND('PROG FORMACIÓN TITULADA'!#REF!,"AAAAADe7f1E=")</f>
        <v>#REF!</v>
      </c>
      <c r="CE409" t="e">
        <f>AND('PROG FORMACIÓN TITULADA'!#REF!,"AAAAADe7f1I=")</f>
        <v>#REF!</v>
      </c>
      <c r="CF409" t="e">
        <f>AND('PROG FORMACIÓN TITULADA'!#REF!,"AAAAADe7f1M=")</f>
        <v>#REF!</v>
      </c>
      <c r="CG409" t="e">
        <f>AND('PROG FORMACIÓN TITULADA'!#REF!,"AAAAADe7f1Q=")</f>
        <v>#REF!</v>
      </c>
      <c r="CH409" t="e">
        <f>AND('PROG FORMACIÓN TITULADA'!#REF!,"AAAAADe7f1U=")</f>
        <v>#REF!</v>
      </c>
      <c r="CI409" t="e">
        <f>AND('PROG FORMACIÓN TITULADA'!#REF!,"AAAAADe7f1Y=")</f>
        <v>#REF!</v>
      </c>
      <c r="CJ409" t="e">
        <f>AND('PROG FORMACIÓN TITULADA'!#REF!,"AAAAADe7f1c=")</f>
        <v>#REF!</v>
      </c>
      <c r="CK409" t="e">
        <f>AND('PROG FORMACIÓN TITULADA'!#REF!,"AAAAADe7f1g=")</f>
        <v>#REF!</v>
      </c>
      <c r="CL409" t="e">
        <f>AND('PROG FORMACIÓN TITULADA'!#REF!,"AAAAADe7f1k=")</f>
        <v>#REF!</v>
      </c>
      <c r="CM409" t="e">
        <f>AND('PROG FORMACIÓN TITULADA'!#REF!,"AAAAADe7f1o=")</f>
        <v>#REF!</v>
      </c>
      <c r="CN409" t="e">
        <f>AND('PROG FORMACIÓN TITULADA'!#REF!,"AAAAADe7f1s=")</f>
        <v>#REF!</v>
      </c>
      <c r="CO409" t="e">
        <f>AND('PROG FORMACIÓN TITULADA'!#REF!,"AAAAADe7f1w=")</f>
        <v>#REF!</v>
      </c>
      <c r="CP409" t="e">
        <f>AND('PROG FORMACIÓN TITULADA'!#REF!,"AAAAADe7f10=")</f>
        <v>#REF!</v>
      </c>
      <c r="CQ409" t="e">
        <f>AND('PROG FORMACIÓN TITULADA'!#REF!,"AAAAADe7f14=")</f>
        <v>#REF!</v>
      </c>
      <c r="CR409" t="e">
        <f>AND('PROG FORMACIÓN TITULADA'!#REF!,"AAAAADe7f18=")</f>
        <v>#REF!</v>
      </c>
      <c r="CS409" t="e">
        <f>AND('PROG FORMACIÓN TITULADA'!#REF!,"AAAAADe7f2A=")</f>
        <v>#REF!</v>
      </c>
      <c r="CT409" t="e">
        <f>AND('PROG FORMACIÓN TITULADA'!#REF!,"AAAAADe7f2E=")</f>
        <v>#REF!</v>
      </c>
      <c r="CU409" t="e">
        <f>AND('PROG FORMACIÓN TITULADA'!#REF!,"AAAAADe7f2I=")</f>
        <v>#REF!</v>
      </c>
      <c r="CV409" t="e">
        <f>AND('PROG FORMACIÓN TITULADA'!#REF!,"AAAAADe7f2M=")</f>
        <v>#REF!</v>
      </c>
      <c r="CW409" t="e">
        <f>IF('PROG FORMACIÓN TITULADA'!#REF!,"AAAAADe7f2Q=",0)</f>
        <v>#REF!</v>
      </c>
      <c r="CX409" t="e">
        <f>AND('PROG FORMACIÓN TITULADA'!#REF!,"AAAAADe7f2U=")</f>
        <v>#REF!</v>
      </c>
      <c r="CY409" t="e">
        <f>AND('PROG FORMACIÓN TITULADA'!#REF!,"AAAAADe7f2Y=")</f>
        <v>#REF!</v>
      </c>
      <c r="CZ409" t="e">
        <f>AND('PROG FORMACIÓN TITULADA'!#REF!,"AAAAADe7f2c=")</f>
        <v>#REF!</v>
      </c>
      <c r="DA409" t="e">
        <f>AND('PROG FORMACIÓN TITULADA'!#REF!,"AAAAADe7f2g=")</f>
        <v>#REF!</v>
      </c>
      <c r="DB409" t="e">
        <f>AND('PROG FORMACIÓN TITULADA'!#REF!,"AAAAADe7f2k=")</f>
        <v>#REF!</v>
      </c>
      <c r="DC409" t="e">
        <f>AND('PROG FORMACIÓN TITULADA'!#REF!,"AAAAADe7f2o=")</f>
        <v>#REF!</v>
      </c>
      <c r="DD409" t="e">
        <f>AND('PROG FORMACIÓN TITULADA'!#REF!,"AAAAADe7f2s=")</f>
        <v>#REF!</v>
      </c>
      <c r="DE409" t="e">
        <f>AND('PROG FORMACIÓN TITULADA'!#REF!,"AAAAADe7f2w=")</f>
        <v>#REF!</v>
      </c>
      <c r="DF409" t="e">
        <f>AND('PROG FORMACIÓN TITULADA'!#REF!,"AAAAADe7f20=")</f>
        <v>#REF!</v>
      </c>
      <c r="DG409" t="e">
        <f>AND('PROG FORMACIÓN TITULADA'!#REF!,"AAAAADe7f24=")</f>
        <v>#REF!</v>
      </c>
      <c r="DH409" t="e">
        <f>AND('PROG FORMACIÓN TITULADA'!#REF!,"AAAAADe7f28=")</f>
        <v>#REF!</v>
      </c>
      <c r="DI409" t="e">
        <f>AND('PROG FORMACIÓN TITULADA'!#REF!,"AAAAADe7f3A=")</f>
        <v>#REF!</v>
      </c>
      <c r="DJ409" t="e">
        <f>AND('PROG FORMACIÓN TITULADA'!#REF!,"AAAAADe7f3E=")</f>
        <v>#REF!</v>
      </c>
      <c r="DK409" t="e">
        <f>AND('PROG FORMACIÓN TITULADA'!#REF!,"AAAAADe7f3I=")</f>
        <v>#REF!</v>
      </c>
      <c r="DL409" t="e">
        <f>AND('PROG FORMACIÓN TITULADA'!#REF!,"AAAAADe7f3M=")</f>
        <v>#REF!</v>
      </c>
      <c r="DM409" t="e">
        <f>AND('PROG FORMACIÓN TITULADA'!#REF!,"AAAAADe7f3Q=")</f>
        <v>#REF!</v>
      </c>
      <c r="DN409" t="e">
        <f>AND('PROG FORMACIÓN TITULADA'!#REF!,"AAAAADe7f3U=")</f>
        <v>#REF!</v>
      </c>
      <c r="DO409" t="e">
        <f>AND('PROG FORMACIÓN TITULADA'!#REF!,"AAAAADe7f3Y=")</f>
        <v>#REF!</v>
      </c>
      <c r="DP409" t="e">
        <f>AND('PROG FORMACIÓN TITULADA'!#REF!,"AAAAADe7f3c=")</f>
        <v>#REF!</v>
      </c>
      <c r="DQ409" t="e">
        <f>AND('PROG FORMACIÓN TITULADA'!#REF!,"AAAAADe7f3g=")</f>
        <v>#REF!</v>
      </c>
      <c r="DR409" t="e">
        <f>AND('PROG FORMACIÓN TITULADA'!#REF!,"AAAAADe7f3k=")</f>
        <v>#REF!</v>
      </c>
      <c r="DS409" t="e">
        <f>AND('PROG FORMACIÓN TITULADA'!#REF!,"AAAAADe7f3o=")</f>
        <v>#REF!</v>
      </c>
      <c r="DT409" t="e">
        <f>AND('PROG FORMACIÓN TITULADA'!#REF!,"AAAAADe7f3s=")</f>
        <v>#REF!</v>
      </c>
      <c r="DU409" t="e">
        <f>AND('PROG FORMACIÓN TITULADA'!#REF!,"AAAAADe7f3w=")</f>
        <v>#REF!</v>
      </c>
      <c r="DV409" t="e">
        <f>AND('PROG FORMACIÓN TITULADA'!#REF!,"AAAAADe7f30=")</f>
        <v>#REF!</v>
      </c>
      <c r="DW409" t="e">
        <f>AND('PROG FORMACIÓN TITULADA'!#REF!,"AAAAADe7f34=")</f>
        <v>#REF!</v>
      </c>
      <c r="DX409" t="e">
        <f>IF('PROG FORMACIÓN TITULADA'!#REF!,"AAAAADe7f38=",0)</f>
        <v>#REF!</v>
      </c>
      <c r="DY409" t="e">
        <f>AND('PROG FORMACIÓN TITULADA'!#REF!,"AAAAADe7f4A=")</f>
        <v>#REF!</v>
      </c>
      <c r="DZ409" t="e">
        <f>AND('PROG FORMACIÓN TITULADA'!#REF!,"AAAAADe7f4E=")</f>
        <v>#REF!</v>
      </c>
      <c r="EA409" t="e">
        <f>AND('PROG FORMACIÓN TITULADA'!#REF!,"AAAAADe7f4I=")</f>
        <v>#REF!</v>
      </c>
      <c r="EB409" t="e">
        <f>AND('PROG FORMACIÓN TITULADA'!#REF!,"AAAAADe7f4M=")</f>
        <v>#REF!</v>
      </c>
      <c r="EC409" t="e">
        <f>AND('PROG FORMACIÓN TITULADA'!#REF!,"AAAAADe7f4Q=")</f>
        <v>#REF!</v>
      </c>
      <c r="ED409" t="e">
        <f>AND('PROG FORMACIÓN TITULADA'!#REF!,"AAAAADe7f4U=")</f>
        <v>#REF!</v>
      </c>
      <c r="EE409" t="e">
        <f>AND('PROG FORMACIÓN TITULADA'!#REF!,"AAAAADe7f4Y=")</f>
        <v>#REF!</v>
      </c>
      <c r="EF409" t="e">
        <f>AND('PROG FORMACIÓN TITULADA'!#REF!,"AAAAADe7f4c=")</f>
        <v>#REF!</v>
      </c>
      <c r="EG409" t="e">
        <f>AND('PROG FORMACIÓN TITULADA'!#REF!,"AAAAADe7f4g=")</f>
        <v>#REF!</v>
      </c>
      <c r="EH409" t="e">
        <f>AND('PROG FORMACIÓN TITULADA'!#REF!,"AAAAADe7f4k=")</f>
        <v>#REF!</v>
      </c>
      <c r="EI409" t="e">
        <f>AND('PROG FORMACIÓN TITULADA'!#REF!,"AAAAADe7f4o=")</f>
        <v>#REF!</v>
      </c>
      <c r="EJ409" t="e">
        <f>AND('PROG FORMACIÓN TITULADA'!#REF!,"AAAAADe7f4s=")</f>
        <v>#REF!</v>
      </c>
      <c r="EK409" t="e">
        <f>AND('PROG FORMACIÓN TITULADA'!#REF!,"AAAAADe7f4w=")</f>
        <v>#REF!</v>
      </c>
      <c r="EL409" t="e">
        <f>AND('PROG FORMACIÓN TITULADA'!#REF!,"AAAAADe7f40=")</f>
        <v>#REF!</v>
      </c>
      <c r="EM409" t="e">
        <f>AND('PROG FORMACIÓN TITULADA'!#REF!,"AAAAADe7f44=")</f>
        <v>#REF!</v>
      </c>
      <c r="EN409" t="e">
        <f>AND('PROG FORMACIÓN TITULADA'!#REF!,"AAAAADe7f48=")</f>
        <v>#REF!</v>
      </c>
      <c r="EO409" t="e">
        <f>AND('PROG FORMACIÓN TITULADA'!#REF!,"AAAAADe7f5A=")</f>
        <v>#REF!</v>
      </c>
      <c r="EP409" t="e">
        <f>AND('PROG FORMACIÓN TITULADA'!#REF!,"AAAAADe7f5E=")</f>
        <v>#REF!</v>
      </c>
      <c r="EQ409" t="e">
        <f>AND('PROG FORMACIÓN TITULADA'!#REF!,"AAAAADe7f5I=")</f>
        <v>#REF!</v>
      </c>
      <c r="ER409" t="e">
        <f>AND('PROG FORMACIÓN TITULADA'!#REF!,"AAAAADe7f5M=")</f>
        <v>#REF!</v>
      </c>
      <c r="ES409" t="e">
        <f>AND('PROG FORMACIÓN TITULADA'!#REF!,"AAAAADe7f5Q=")</f>
        <v>#REF!</v>
      </c>
      <c r="ET409" t="e">
        <f>AND('PROG FORMACIÓN TITULADA'!#REF!,"AAAAADe7f5U=")</f>
        <v>#REF!</v>
      </c>
      <c r="EU409" t="e">
        <f>AND('PROG FORMACIÓN TITULADA'!#REF!,"AAAAADe7f5Y=")</f>
        <v>#REF!</v>
      </c>
      <c r="EV409" t="e">
        <f>AND('PROG FORMACIÓN TITULADA'!#REF!,"AAAAADe7f5c=")</f>
        <v>#REF!</v>
      </c>
      <c r="EW409" t="e">
        <f>AND('PROG FORMACIÓN TITULADA'!#REF!,"AAAAADe7f5g=")</f>
        <v>#REF!</v>
      </c>
      <c r="EX409" t="e">
        <f>AND('PROG FORMACIÓN TITULADA'!#REF!,"AAAAADe7f5k=")</f>
        <v>#REF!</v>
      </c>
      <c r="EY409" t="e">
        <f>IF('PROG FORMACIÓN TITULADA'!#REF!,"AAAAADe7f5o=",0)</f>
        <v>#REF!</v>
      </c>
      <c r="EZ409" t="e">
        <f>AND('PROG FORMACIÓN TITULADA'!#REF!,"AAAAADe7f5s=")</f>
        <v>#REF!</v>
      </c>
      <c r="FA409" t="e">
        <f>AND('PROG FORMACIÓN TITULADA'!#REF!,"AAAAADe7f5w=")</f>
        <v>#REF!</v>
      </c>
      <c r="FB409" t="e">
        <f>AND('PROG FORMACIÓN TITULADA'!#REF!,"AAAAADe7f50=")</f>
        <v>#REF!</v>
      </c>
      <c r="FC409" t="e">
        <f>AND('PROG FORMACIÓN TITULADA'!#REF!,"AAAAADe7f54=")</f>
        <v>#REF!</v>
      </c>
      <c r="FD409" t="e">
        <f>AND('PROG FORMACIÓN TITULADA'!#REF!,"AAAAADe7f58=")</f>
        <v>#REF!</v>
      </c>
      <c r="FE409" t="e">
        <f>AND('PROG FORMACIÓN TITULADA'!#REF!,"AAAAADe7f6A=")</f>
        <v>#REF!</v>
      </c>
      <c r="FF409" t="e">
        <f>AND('PROG FORMACIÓN TITULADA'!#REF!,"AAAAADe7f6E=")</f>
        <v>#REF!</v>
      </c>
      <c r="FG409" t="e">
        <f>AND('PROG FORMACIÓN TITULADA'!#REF!,"AAAAADe7f6I=")</f>
        <v>#REF!</v>
      </c>
      <c r="FH409" t="e">
        <f>AND('PROG FORMACIÓN TITULADA'!#REF!,"AAAAADe7f6M=")</f>
        <v>#REF!</v>
      </c>
      <c r="FI409" t="e">
        <f>AND('PROG FORMACIÓN TITULADA'!#REF!,"AAAAADe7f6Q=")</f>
        <v>#REF!</v>
      </c>
      <c r="FJ409" t="e">
        <f>AND('PROG FORMACIÓN TITULADA'!#REF!,"AAAAADe7f6U=")</f>
        <v>#REF!</v>
      </c>
      <c r="FK409" t="e">
        <f>AND('PROG FORMACIÓN TITULADA'!#REF!,"AAAAADe7f6Y=")</f>
        <v>#REF!</v>
      </c>
      <c r="FL409" t="e">
        <f>AND('PROG FORMACIÓN TITULADA'!#REF!,"AAAAADe7f6c=")</f>
        <v>#REF!</v>
      </c>
      <c r="FM409" t="e">
        <f>AND('PROG FORMACIÓN TITULADA'!#REF!,"AAAAADe7f6g=")</f>
        <v>#REF!</v>
      </c>
      <c r="FN409" t="e">
        <f>AND('PROG FORMACIÓN TITULADA'!#REF!,"AAAAADe7f6k=")</f>
        <v>#REF!</v>
      </c>
      <c r="FO409" t="e">
        <f>AND('PROG FORMACIÓN TITULADA'!#REF!,"AAAAADe7f6o=")</f>
        <v>#REF!</v>
      </c>
      <c r="FP409" t="e">
        <f>AND('PROG FORMACIÓN TITULADA'!#REF!,"AAAAADe7f6s=")</f>
        <v>#REF!</v>
      </c>
      <c r="FQ409" t="e">
        <f>AND('PROG FORMACIÓN TITULADA'!#REF!,"AAAAADe7f6w=")</f>
        <v>#REF!</v>
      </c>
      <c r="FR409" t="e">
        <f>AND('PROG FORMACIÓN TITULADA'!#REF!,"AAAAADe7f60=")</f>
        <v>#REF!</v>
      </c>
      <c r="FS409" t="e">
        <f>AND('PROG FORMACIÓN TITULADA'!#REF!,"AAAAADe7f64=")</f>
        <v>#REF!</v>
      </c>
      <c r="FT409" t="e">
        <f>AND('PROG FORMACIÓN TITULADA'!#REF!,"AAAAADe7f68=")</f>
        <v>#REF!</v>
      </c>
      <c r="FU409" t="e">
        <f>AND('PROG FORMACIÓN TITULADA'!#REF!,"AAAAADe7f7A=")</f>
        <v>#REF!</v>
      </c>
      <c r="FV409" t="e">
        <f>AND('PROG FORMACIÓN TITULADA'!#REF!,"AAAAADe7f7E=")</f>
        <v>#REF!</v>
      </c>
      <c r="FW409" t="e">
        <f>AND('PROG FORMACIÓN TITULADA'!#REF!,"AAAAADe7f7I=")</f>
        <v>#REF!</v>
      </c>
      <c r="FX409" t="e">
        <f>AND('PROG FORMACIÓN TITULADA'!#REF!,"AAAAADe7f7M=")</f>
        <v>#REF!</v>
      </c>
      <c r="FY409" t="e">
        <f>AND('PROG FORMACIÓN TITULADA'!#REF!,"AAAAADe7f7Q=")</f>
        <v>#REF!</v>
      </c>
      <c r="FZ409" t="e">
        <f>IF('PROG FORMACIÓN TITULADA'!#REF!,"AAAAADe7f7U=",0)</f>
        <v>#REF!</v>
      </c>
      <c r="GA409" t="e">
        <f>AND('PROG FORMACIÓN TITULADA'!#REF!,"AAAAADe7f7Y=")</f>
        <v>#REF!</v>
      </c>
      <c r="GB409" t="e">
        <f>AND('PROG FORMACIÓN TITULADA'!#REF!,"AAAAADe7f7c=")</f>
        <v>#REF!</v>
      </c>
      <c r="GC409" t="e">
        <f>AND('PROG FORMACIÓN TITULADA'!#REF!,"AAAAADe7f7g=")</f>
        <v>#REF!</v>
      </c>
      <c r="GD409" t="e">
        <f>AND('PROG FORMACIÓN TITULADA'!#REF!,"AAAAADe7f7k=")</f>
        <v>#REF!</v>
      </c>
      <c r="GE409" t="e">
        <f>AND('PROG FORMACIÓN TITULADA'!#REF!,"AAAAADe7f7o=")</f>
        <v>#REF!</v>
      </c>
      <c r="GF409" t="e">
        <f>AND('PROG FORMACIÓN TITULADA'!#REF!,"AAAAADe7f7s=")</f>
        <v>#REF!</v>
      </c>
      <c r="GG409" t="e">
        <f>AND('PROG FORMACIÓN TITULADA'!#REF!,"AAAAADe7f7w=")</f>
        <v>#REF!</v>
      </c>
      <c r="GH409" t="e">
        <f>AND('PROG FORMACIÓN TITULADA'!#REF!,"AAAAADe7f70=")</f>
        <v>#REF!</v>
      </c>
      <c r="GI409" t="e">
        <f>AND('PROG FORMACIÓN TITULADA'!#REF!,"AAAAADe7f74=")</f>
        <v>#REF!</v>
      </c>
      <c r="GJ409" t="e">
        <f>AND('PROG FORMACIÓN TITULADA'!#REF!,"AAAAADe7f78=")</f>
        <v>#REF!</v>
      </c>
      <c r="GK409" t="e">
        <f>AND('PROG FORMACIÓN TITULADA'!#REF!,"AAAAADe7f8A=")</f>
        <v>#REF!</v>
      </c>
      <c r="GL409" t="e">
        <f>AND('PROG FORMACIÓN TITULADA'!#REF!,"AAAAADe7f8E=")</f>
        <v>#REF!</v>
      </c>
      <c r="GM409" t="e">
        <f>AND('PROG FORMACIÓN TITULADA'!#REF!,"AAAAADe7f8I=")</f>
        <v>#REF!</v>
      </c>
      <c r="GN409" t="e">
        <f>AND('PROG FORMACIÓN TITULADA'!#REF!,"AAAAADe7f8M=")</f>
        <v>#REF!</v>
      </c>
      <c r="GO409" t="e">
        <f>AND('PROG FORMACIÓN TITULADA'!#REF!,"AAAAADe7f8Q=")</f>
        <v>#REF!</v>
      </c>
      <c r="GP409" t="e">
        <f>AND('PROG FORMACIÓN TITULADA'!#REF!,"AAAAADe7f8U=")</f>
        <v>#REF!</v>
      </c>
      <c r="GQ409" t="e">
        <f>AND('PROG FORMACIÓN TITULADA'!#REF!,"AAAAADe7f8Y=")</f>
        <v>#REF!</v>
      </c>
      <c r="GR409" t="e">
        <f>AND('PROG FORMACIÓN TITULADA'!#REF!,"AAAAADe7f8c=")</f>
        <v>#REF!</v>
      </c>
      <c r="GS409" t="e">
        <f>AND('PROG FORMACIÓN TITULADA'!#REF!,"AAAAADe7f8g=")</f>
        <v>#REF!</v>
      </c>
      <c r="GT409" t="e">
        <f>AND('PROG FORMACIÓN TITULADA'!#REF!,"AAAAADe7f8k=")</f>
        <v>#REF!</v>
      </c>
      <c r="GU409" t="e">
        <f>AND('PROG FORMACIÓN TITULADA'!#REF!,"AAAAADe7f8o=")</f>
        <v>#REF!</v>
      </c>
      <c r="GV409" t="e">
        <f>AND('PROG FORMACIÓN TITULADA'!#REF!,"AAAAADe7f8s=")</f>
        <v>#REF!</v>
      </c>
      <c r="GW409" t="e">
        <f>AND('PROG FORMACIÓN TITULADA'!#REF!,"AAAAADe7f8w=")</f>
        <v>#REF!</v>
      </c>
      <c r="GX409" t="e">
        <f>AND('PROG FORMACIÓN TITULADA'!#REF!,"AAAAADe7f80=")</f>
        <v>#REF!</v>
      </c>
      <c r="GY409" t="e">
        <f>AND('PROG FORMACIÓN TITULADA'!#REF!,"AAAAADe7f84=")</f>
        <v>#REF!</v>
      </c>
      <c r="GZ409" t="e">
        <f>AND('PROG FORMACIÓN TITULADA'!#REF!,"AAAAADe7f88=")</f>
        <v>#REF!</v>
      </c>
      <c r="HA409" t="e">
        <f>IF('PROG FORMACIÓN TITULADA'!#REF!,"AAAAADe7f9A=",0)</f>
        <v>#REF!</v>
      </c>
      <c r="HB409" t="e">
        <f>AND('PROG FORMACIÓN TITULADA'!#REF!,"AAAAADe7f9E=")</f>
        <v>#REF!</v>
      </c>
      <c r="HC409" t="e">
        <f>AND('PROG FORMACIÓN TITULADA'!#REF!,"AAAAADe7f9I=")</f>
        <v>#REF!</v>
      </c>
      <c r="HD409" t="e">
        <f>AND('PROG FORMACIÓN TITULADA'!#REF!,"AAAAADe7f9M=")</f>
        <v>#REF!</v>
      </c>
      <c r="HE409" t="e">
        <f>AND('PROG FORMACIÓN TITULADA'!#REF!,"AAAAADe7f9Q=")</f>
        <v>#REF!</v>
      </c>
      <c r="HF409" t="e">
        <f>AND('PROG FORMACIÓN TITULADA'!#REF!,"AAAAADe7f9U=")</f>
        <v>#REF!</v>
      </c>
      <c r="HG409" t="e">
        <f>AND('PROG FORMACIÓN TITULADA'!#REF!,"AAAAADe7f9Y=")</f>
        <v>#REF!</v>
      </c>
      <c r="HH409" t="e">
        <f>AND('PROG FORMACIÓN TITULADA'!#REF!,"AAAAADe7f9c=")</f>
        <v>#REF!</v>
      </c>
      <c r="HI409" t="e">
        <f>AND('PROG FORMACIÓN TITULADA'!#REF!,"AAAAADe7f9g=")</f>
        <v>#REF!</v>
      </c>
      <c r="HJ409" t="e">
        <f>AND('PROG FORMACIÓN TITULADA'!#REF!,"AAAAADe7f9k=")</f>
        <v>#REF!</v>
      </c>
      <c r="HK409" t="e">
        <f>AND('PROG FORMACIÓN TITULADA'!#REF!,"AAAAADe7f9o=")</f>
        <v>#REF!</v>
      </c>
      <c r="HL409" t="e">
        <f>AND('PROG FORMACIÓN TITULADA'!#REF!,"AAAAADe7f9s=")</f>
        <v>#REF!</v>
      </c>
      <c r="HM409" t="e">
        <f>AND('PROG FORMACIÓN TITULADA'!#REF!,"AAAAADe7f9w=")</f>
        <v>#REF!</v>
      </c>
      <c r="HN409" t="e">
        <f>AND('PROG FORMACIÓN TITULADA'!#REF!,"AAAAADe7f90=")</f>
        <v>#REF!</v>
      </c>
      <c r="HO409" t="e">
        <f>AND('PROG FORMACIÓN TITULADA'!#REF!,"AAAAADe7f94=")</f>
        <v>#REF!</v>
      </c>
      <c r="HP409" t="e">
        <f>AND('PROG FORMACIÓN TITULADA'!#REF!,"AAAAADe7f98=")</f>
        <v>#REF!</v>
      </c>
      <c r="HQ409" t="e">
        <f>AND('PROG FORMACIÓN TITULADA'!#REF!,"AAAAADe7f+A=")</f>
        <v>#REF!</v>
      </c>
      <c r="HR409" t="e">
        <f>AND('PROG FORMACIÓN TITULADA'!#REF!,"AAAAADe7f+E=")</f>
        <v>#REF!</v>
      </c>
      <c r="HS409" t="e">
        <f>AND('PROG FORMACIÓN TITULADA'!#REF!,"AAAAADe7f+I=")</f>
        <v>#REF!</v>
      </c>
      <c r="HT409" t="e">
        <f>AND('PROG FORMACIÓN TITULADA'!#REF!,"AAAAADe7f+M=")</f>
        <v>#REF!</v>
      </c>
      <c r="HU409" t="e">
        <f>AND('PROG FORMACIÓN TITULADA'!#REF!,"AAAAADe7f+Q=")</f>
        <v>#REF!</v>
      </c>
      <c r="HV409" t="e">
        <f>AND('PROG FORMACIÓN TITULADA'!#REF!,"AAAAADe7f+U=")</f>
        <v>#REF!</v>
      </c>
      <c r="HW409" t="e">
        <f>AND('PROG FORMACIÓN TITULADA'!#REF!,"AAAAADe7f+Y=")</f>
        <v>#REF!</v>
      </c>
      <c r="HX409" t="e">
        <f>AND('PROG FORMACIÓN TITULADA'!#REF!,"AAAAADe7f+c=")</f>
        <v>#REF!</v>
      </c>
      <c r="HY409" t="e">
        <f>AND('PROG FORMACIÓN TITULADA'!#REF!,"AAAAADe7f+g=")</f>
        <v>#REF!</v>
      </c>
      <c r="HZ409" t="e">
        <f>AND('PROG FORMACIÓN TITULADA'!#REF!,"AAAAADe7f+k=")</f>
        <v>#REF!</v>
      </c>
      <c r="IA409" t="e">
        <f>AND('PROG FORMACIÓN TITULADA'!#REF!,"AAAAADe7f+o=")</f>
        <v>#REF!</v>
      </c>
      <c r="IB409" t="e">
        <f>IF('PROG FORMACIÓN TITULADA'!#REF!,"AAAAADe7f+s=",0)</f>
        <v>#REF!</v>
      </c>
      <c r="IC409" t="e">
        <f>AND('PROG FORMACIÓN TITULADA'!#REF!,"AAAAADe7f+w=")</f>
        <v>#REF!</v>
      </c>
      <c r="ID409" t="e">
        <f>AND('PROG FORMACIÓN TITULADA'!#REF!,"AAAAADe7f+0=")</f>
        <v>#REF!</v>
      </c>
      <c r="IE409" t="e">
        <f>AND('PROG FORMACIÓN TITULADA'!#REF!,"AAAAADe7f+4=")</f>
        <v>#REF!</v>
      </c>
      <c r="IF409" t="e">
        <f>AND('PROG FORMACIÓN TITULADA'!#REF!,"AAAAADe7f+8=")</f>
        <v>#REF!</v>
      </c>
      <c r="IG409" t="e">
        <f>AND('PROG FORMACIÓN TITULADA'!#REF!,"AAAAADe7f/A=")</f>
        <v>#REF!</v>
      </c>
      <c r="IH409" t="e">
        <f>AND('PROG FORMACIÓN TITULADA'!#REF!,"AAAAADe7f/E=")</f>
        <v>#REF!</v>
      </c>
      <c r="II409" t="e">
        <f>AND('PROG FORMACIÓN TITULADA'!#REF!,"AAAAADe7f/I=")</f>
        <v>#REF!</v>
      </c>
      <c r="IJ409" t="e">
        <f>AND('PROG FORMACIÓN TITULADA'!#REF!,"AAAAADe7f/M=")</f>
        <v>#REF!</v>
      </c>
      <c r="IK409" t="e">
        <f>AND('PROG FORMACIÓN TITULADA'!#REF!,"AAAAADe7f/Q=")</f>
        <v>#REF!</v>
      </c>
      <c r="IL409" t="e">
        <f>AND('PROG FORMACIÓN TITULADA'!#REF!,"AAAAADe7f/U=")</f>
        <v>#REF!</v>
      </c>
      <c r="IM409" t="e">
        <f>AND('PROG FORMACIÓN TITULADA'!#REF!,"AAAAADe7f/Y=")</f>
        <v>#REF!</v>
      </c>
      <c r="IN409" t="e">
        <f>AND('PROG FORMACIÓN TITULADA'!#REF!,"AAAAADe7f/c=")</f>
        <v>#REF!</v>
      </c>
      <c r="IO409" t="e">
        <f>AND('PROG FORMACIÓN TITULADA'!#REF!,"AAAAADe7f/g=")</f>
        <v>#REF!</v>
      </c>
      <c r="IP409" t="e">
        <f>AND('PROG FORMACIÓN TITULADA'!#REF!,"AAAAADe7f/k=")</f>
        <v>#REF!</v>
      </c>
      <c r="IQ409" t="e">
        <f>AND('PROG FORMACIÓN TITULADA'!#REF!,"AAAAADe7f/o=")</f>
        <v>#REF!</v>
      </c>
      <c r="IR409" t="e">
        <f>AND('PROG FORMACIÓN TITULADA'!#REF!,"AAAAADe7f/s=")</f>
        <v>#REF!</v>
      </c>
      <c r="IS409" t="e">
        <f>AND('PROG FORMACIÓN TITULADA'!#REF!,"AAAAADe7f/w=")</f>
        <v>#REF!</v>
      </c>
      <c r="IT409" t="e">
        <f>AND('PROG FORMACIÓN TITULADA'!#REF!,"AAAAADe7f/0=")</f>
        <v>#REF!</v>
      </c>
      <c r="IU409" t="e">
        <f>AND('PROG FORMACIÓN TITULADA'!#REF!,"AAAAADe7f/4=")</f>
        <v>#REF!</v>
      </c>
      <c r="IV409" t="e">
        <f>AND('PROG FORMACIÓN TITULADA'!#REF!,"AAAAADe7f/8=")</f>
        <v>#REF!</v>
      </c>
    </row>
    <row r="410" spans="1:256" x14ac:dyDescent="0.2">
      <c r="A410" t="e">
        <f>AND('PROG FORMACIÓN TITULADA'!#REF!,"AAAAAE39/wA=")</f>
        <v>#REF!</v>
      </c>
      <c r="B410" t="e">
        <f>AND('PROG FORMACIÓN TITULADA'!#REF!,"AAAAAE39/wE=")</f>
        <v>#REF!</v>
      </c>
      <c r="C410" t="e">
        <f>AND('PROG FORMACIÓN TITULADA'!#REF!,"AAAAAE39/wI=")</f>
        <v>#REF!</v>
      </c>
      <c r="D410" t="e">
        <f>AND('PROG FORMACIÓN TITULADA'!#REF!,"AAAAAE39/wM=")</f>
        <v>#REF!</v>
      </c>
      <c r="E410" t="e">
        <f>AND('PROG FORMACIÓN TITULADA'!#REF!,"AAAAAE39/wQ=")</f>
        <v>#REF!</v>
      </c>
      <c r="F410" t="e">
        <f>AND('PROG FORMACIÓN TITULADA'!#REF!,"AAAAAE39/wU=")</f>
        <v>#REF!</v>
      </c>
      <c r="G410" t="e">
        <f>IF('PROG FORMACIÓN TITULADA'!#REF!,"AAAAAE39/wY=",0)</f>
        <v>#REF!</v>
      </c>
      <c r="H410" t="e">
        <f>AND('PROG FORMACIÓN TITULADA'!#REF!,"AAAAAE39/wc=")</f>
        <v>#REF!</v>
      </c>
      <c r="I410" t="e">
        <f>AND('PROG FORMACIÓN TITULADA'!#REF!,"AAAAAE39/wg=")</f>
        <v>#REF!</v>
      </c>
      <c r="J410" t="e">
        <f>AND('PROG FORMACIÓN TITULADA'!#REF!,"AAAAAE39/wk=")</f>
        <v>#REF!</v>
      </c>
      <c r="K410" t="e">
        <f>AND('PROG FORMACIÓN TITULADA'!#REF!,"AAAAAE39/wo=")</f>
        <v>#REF!</v>
      </c>
      <c r="L410" t="e">
        <f>AND('PROG FORMACIÓN TITULADA'!#REF!,"AAAAAE39/ws=")</f>
        <v>#REF!</v>
      </c>
      <c r="M410" t="e">
        <f>AND('PROG FORMACIÓN TITULADA'!#REF!,"AAAAAE39/ww=")</f>
        <v>#REF!</v>
      </c>
      <c r="N410" t="e">
        <f>AND('PROG FORMACIÓN TITULADA'!#REF!,"AAAAAE39/w0=")</f>
        <v>#REF!</v>
      </c>
      <c r="O410" t="e">
        <f>AND('PROG FORMACIÓN TITULADA'!#REF!,"AAAAAE39/w4=")</f>
        <v>#REF!</v>
      </c>
      <c r="P410" t="e">
        <f>AND('PROG FORMACIÓN TITULADA'!#REF!,"AAAAAE39/w8=")</f>
        <v>#REF!</v>
      </c>
      <c r="Q410" t="e">
        <f>AND('PROG FORMACIÓN TITULADA'!#REF!,"AAAAAE39/xA=")</f>
        <v>#REF!</v>
      </c>
      <c r="R410" t="e">
        <f>AND('PROG FORMACIÓN TITULADA'!#REF!,"AAAAAE39/xE=")</f>
        <v>#REF!</v>
      </c>
      <c r="S410" t="e">
        <f>AND('PROG FORMACIÓN TITULADA'!#REF!,"AAAAAE39/xI=")</f>
        <v>#REF!</v>
      </c>
      <c r="T410" t="e">
        <f>AND('PROG FORMACIÓN TITULADA'!#REF!,"AAAAAE39/xM=")</f>
        <v>#REF!</v>
      </c>
      <c r="U410" t="e">
        <f>AND('PROG FORMACIÓN TITULADA'!#REF!,"AAAAAE39/xQ=")</f>
        <v>#REF!</v>
      </c>
      <c r="V410" t="e">
        <f>AND('PROG FORMACIÓN TITULADA'!#REF!,"AAAAAE39/xU=")</f>
        <v>#REF!</v>
      </c>
      <c r="W410" t="e">
        <f>AND('PROG FORMACIÓN TITULADA'!#REF!,"AAAAAE39/xY=")</f>
        <v>#REF!</v>
      </c>
      <c r="X410" t="e">
        <f>AND('PROG FORMACIÓN TITULADA'!#REF!,"AAAAAE39/xc=")</f>
        <v>#REF!</v>
      </c>
      <c r="Y410" t="e">
        <f>AND('PROG FORMACIÓN TITULADA'!#REF!,"AAAAAE39/xg=")</f>
        <v>#REF!</v>
      </c>
      <c r="Z410" t="e">
        <f>AND('PROG FORMACIÓN TITULADA'!#REF!,"AAAAAE39/xk=")</f>
        <v>#REF!</v>
      </c>
      <c r="AA410" t="e">
        <f>AND('PROG FORMACIÓN TITULADA'!#REF!,"AAAAAE39/xo=")</f>
        <v>#REF!</v>
      </c>
      <c r="AB410" t="e">
        <f>AND('PROG FORMACIÓN TITULADA'!#REF!,"AAAAAE39/xs=")</f>
        <v>#REF!</v>
      </c>
      <c r="AC410" t="e">
        <f>AND('PROG FORMACIÓN TITULADA'!#REF!,"AAAAAE39/xw=")</f>
        <v>#REF!</v>
      </c>
      <c r="AD410" t="e">
        <f>AND('PROG FORMACIÓN TITULADA'!#REF!,"AAAAAE39/x0=")</f>
        <v>#REF!</v>
      </c>
      <c r="AE410" t="e">
        <f>AND('PROG FORMACIÓN TITULADA'!#REF!,"AAAAAE39/x4=")</f>
        <v>#REF!</v>
      </c>
      <c r="AF410" t="e">
        <f>AND('PROG FORMACIÓN TITULADA'!#REF!,"AAAAAE39/x8=")</f>
        <v>#REF!</v>
      </c>
      <c r="AG410" t="e">
        <f>AND('PROG FORMACIÓN TITULADA'!#REF!,"AAAAAE39/yA=")</f>
        <v>#REF!</v>
      </c>
      <c r="AH410" t="e">
        <f>IF('PROG FORMACIÓN TITULADA'!#REF!,"AAAAAE39/yE=",0)</f>
        <v>#REF!</v>
      </c>
      <c r="AI410" t="e">
        <f>AND('PROG FORMACIÓN TITULADA'!#REF!,"AAAAAE39/yI=")</f>
        <v>#REF!</v>
      </c>
      <c r="AJ410" t="e">
        <f>AND('PROG FORMACIÓN TITULADA'!#REF!,"AAAAAE39/yM=")</f>
        <v>#REF!</v>
      </c>
      <c r="AK410" t="e">
        <f>AND('PROG FORMACIÓN TITULADA'!#REF!,"AAAAAE39/yQ=")</f>
        <v>#REF!</v>
      </c>
      <c r="AL410" t="e">
        <f>AND('PROG FORMACIÓN TITULADA'!#REF!,"AAAAAE39/yU=")</f>
        <v>#REF!</v>
      </c>
      <c r="AM410" t="e">
        <f>AND('PROG FORMACIÓN TITULADA'!#REF!,"AAAAAE39/yY=")</f>
        <v>#REF!</v>
      </c>
      <c r="AN410" t="e">
        <f>AND('PROG FORMACIÓN TITULADA'!#REF!,"AAAAAE39/yc=")</f>
        <v>#REF!</v>
      </c>
      <c r="AO410" t="e">
        <f>AND('PROG FORMACIÓN TITULADA'!#REF!,"AAAAAE39/yg=")</f>
        <v>#REF!</v>
      </c>
      <c r="AP410" t="e">
        <f>AND('PROG FORMACIÓN TITULADA'!#REF!,"AAAAAE39/yk=")</f>
        <v>#REF!</v>
      </c>
      <c r="AQ410" t="e">
        <f>AND('PROG FORMACIÓN TITULADA'!#REF!,"AAAAAE39/yo=")</f>
        <v>#REF!</v>
      </c>
      <c r="AR410" t="e">
        <f>AND('PROG FORMACIÓN TITULADA'!#REF!,"AAAAAE39/ys=")</f>
        <v>#REF!</v>
      </c>
      <c r="AS410" t="e">
        <f>AND('PROG FORMACIÓN TITULADA'!#REF!,"AAAAAE39/yw=")</f>
        <v>#REF!</v>
      </c>
      <c r="AT410" t="e">
        <f>AND('PROG FORMACIÓN TITULADA'!#REF!,"AAAAAE39/y0=")</f>
        <v>#REF!</v>
      </c>
      <c r="AU410" t="e">
        <f>AND('PROG FORMACIÓN TITULADA'!#REF!,"AAAAAE39/y4=")</f>
        <v>#REF!</v>
      </c>
      <c r="AV410" t="e">
        <f>AND('PROG FORMACIÓN TITULADA'!#REF!,"AAAAAE39/y8=")</f>
        <v>#REF!</v>
      </c>
      <c r="AW410" t="e">
        <f>AND('PROG FORMACIÓN TITULADA'!#REF!,"AAAAAE39/zA=")</f>
        <v>#REF!</v>
      </c>
      <c r="AX410" t="e">
        <f>AND('PROG FORMACIÓN TITULADA'!#REF!,"AAAAAE39/zE=")</f>
        <v>#REF!</v>
      </c>
      <c r="AY410" t="e">
        <f>AND('PROG FORMACIÓN TITULADA'!#REF!,"AAAAAE39/zI=")</f>
        <v>#REF!</v>
      </c>
      <c r="AZ410" t="e">
        <f>AND('PROG FORMACIÓN TITULADA'!#REF!,"AAAAAE39/zM=")</f>
        <v>#REF!</v>
      </c>
      <c r="BA410" t="e">
        <f>AND('PROG FORMACIÓN TITULADA'!#REF!,"AAAAAE39/zQ=")</f>
        <v>#REF!</v>
      </c>
      <c r="BB410" t="e">
        <f>AND('PROG FORMACIÓN TITULADA'!#REF!,"AAAAAE39/zU=")</f>
        <v>#REF!</v>
      </c>
      <c r="BC410" t="e">
        <f>AND('PROG FORMACIÓN TITULADA'!#REF!,"AAAAAE39/zY=")</f>
        <v>#REF!</v>
      </c>
      <c r="BD410" t="e">
        <f>AND('PROG FORMACIÓN TITULADA'!#REF!,"AAAAAE39/zc=")</f>
        <v>#REF!</v>
      </c>
      <c r="BE410" t="e">
        <f>AND('PROG FORMACIÓN TITULADA'!#REF!,"AAAAAE39/zg=")</f>
        <v>#REF!</v>
      </c>
      <c r="BF410" t="e">
        <f>AND('PROG FORMACIÓN TITULADA'!#REF!,"AAAAAE39/zk=")</f>
        <v>#REF!</v>
      </c>
      <c r="BG410" t="e">
        <f>AND('PROG FORMACIÓN TITULADA'!#REF!,"AAAAAE39/zo=")</f>
        <v>#REF!</v>
      </c>
      <c r="BH410" t="e">
        <f>AND('PROG FORMACIÓN TITULADA'!#REF!,"AAAAAE39/zs=")</f>
        <v>#REF!</v>
      </c>
      <c r="BI410" t="e">
        <f>IF('PROG FORMACIÓN TITULADA'!#REF!,"AAAAAE39/zw=",0)</f>
        <v>#REF!</v>
      </c>
      <c r="BJ410" t="e">
        <f>AND('PROG FORMACIÓN TITULADA'!#REF!,"AAAAAE39/z0=")</f>
        <v>#REF!</v>
      </c>
      <c r="BK410" t="e">
        <f>AND('PROG FORMACIÓN TITULADA'!#REF!,"AAAAAE39/z4=")</f>
        <v>#REF!</v>
      </c>
      <c r="BL410" t="e">
        <f>AND('PROG FORMACIÓN TITULADA'!#REF!,"AAAAAE39/z8=")</f>
        <v>#REF!</v>
      </c>
      <c r="BM410" t="e">
        <f>AND('PROG FORMACIÓN TITULADA'!#REF!,"AAAAAE39/0A=")</f>
        <v>#REF!</v>
      </c>
      <c r="BN410" t="e">
        <f>AND('PROG FORMACIÓN TITULADA'!#REF!,"AAAAAE39/0E=")</f>
        <v>#REF!</v>
      </c>
      <c r="BO410" t="e">
        <f>AND('PROG FORMACIÓN TITULADA'!#REF!,"AAAAAE39/0I=")</f>
        <v>#REF!</v>
      </c>
      <c r="BP410" t="e">
        <f>AND('PROG FORMACIÓN TITULADA'!#REF!,"AAAAAE39/0M=")</f>
        <v>#REF!</v>
      </c>
      <c r="BQ410" t="e">
        <f>AND('PROG FORMACIÓN TITULADA'!#REF!,"AAAAAE39/0Q=")</f>
        <v>#REF!</v>
      </c>
      <c r="BR410" t="e">
        <f>AND('PROG FORMACIÓN TITULADA'!#REF!,"AAAAAE39/0U=")</f>
        <v>#REF!</v>
      </c>
      <c r="BS410" t="e">
        <f>AND('PROG FORMACIÓN TITULADA'!#REF!,"AAAAAE39/0Y=")</f>
        <v>#REF!</v>
      </c>
      <c r="BT410" t="e">
        <f>AND('PROG FORMACIÓN TITULADA'!#REF!,"AAAAAE39/0c=")</f>
        <v>#REF!</v>
      </c>
      <c r="BU410" t="e">
        <f>AND('PROG FORMACIÓN TITULADA'!#REF!,"AAAAAE39/0g=")</f>
        <v>#REF!</v>
      </c>
      <c r="BV410" t="e">
        <f>AND('PROG FORMACIÓN TITULADA'!#REF!,"AAAAAE39/0k=")</f>
        <v>#REF!</v>
      </c>
      <c r="BW410" t="e">
        <f>AND('PROG FORMACIÓN TITULADA'!#REF!,"AAAAAE39/0o=")</f>
        <v>#REF!</v>
      </c>
      <c r="BX410" t="e">
        <f>AND('PROG FORMACIÓN TITULADA'!#REF!,"AAAAAE39/0s=")</f>
        <v>#REF!</v>
      </c>
      <c r="BY410" t="e">
        <f>AND('PROG FORMACIÓN TITULADA'!#REF!,"AAAAAE39/0w=")</f>
        <v>#REF!</v>
      </c>
      <c r="BZ410" t="e">
        <f>AND('PROG FORMACIÓN TITULADA'!#REF!,"AAAAAE39/00=")</f>
        <v>#REF!</v>
      </c>
      <c r="CA410" t="e">
        <f>AND('PROG FORMACIÓN TITULADA'!#REF!,"AAAAAE39/04=")</f>
        <v>#REF!</v>
      </c>
      <c r="CB410" t="e">
        <f>AND('PROG FORMACIÓN TITULADA'!#REF!,"AAAAAE39/08=")</f>
        <v>#REF!</v>
      </c>
      <c r="CC410" t="e">
        <f>AND('PROG FORMACIÓN TITULADA'!#REF!,"AAAAAE39/1A=")</f>
        <v>#REF!</v>
      </c>
      <c r="CD410" t="e">
        <f>AND('PROG FORMACIÓN TITULADA'!#REF!,"AAAAAE39/1E=")</f>
        <v>#REF!</v>
      </c>
      <c r="CE410" t="e">
        <f>AND('PROG FORMACIÓN TITULADA'!#REF!,"AAAAAE39/1I=")</f>
        <v>#REF!</v>
      </c>
      <c r="CF410" t="e">
        <f>AND('PROG FORMACIÓN TITULADA'!#REF!,"AAAAAE39/1M=")</f>
        <v>#REF!</v>
      </c>
      <c r="CG410" t="e">
        <f>AND('PROG FORMACIÓN TITULADA'!#REF!,"AAAAAE39/1Q=")</f>
        <v>#REF!</v>
      </c>
      <c r="CH410" t="e">
        <f>AND('PROG FORMACIÓN TITULADA'!#REF!,"AAAAAE39/1U=")</f>
        <v>#REF!</v>
      </c>
      <c r="CI410" t="e">
        <f>AND('PROG FORMACIÓN TITULADA'!#REF!,"AAAAAE39/1Y=")</f>
        <v>#REF!</v>
      </c>
      <c r="CJ410" t="e">
        <f>IF('PROG FORMACIÓN TITULADA'!#REF!,"AAAAAE39/1c=",0)</f>
        <v>#REF!</v>
      </c>
      <c r="CK410" t="e">
        <f>AND('PROG FORMACIÓN TITULADA'!#REF!,"AAAAAE39/1g=")</f>
        <v>#REF!</v>
      </c>
      <c r="CL410" t="e">
        <f>AND('PROG FORMACIÓN TITULADA'!#REF!,"AAAAAE39/1k=")</f>
        <v>#REF!</v>
      </c>
      <c r="CM410" t="e">
        <f>AND('PROG FORMACIÓN TITULADA'!#REF!,"AAAAAE39/1o=")</f>
        <v>#REF!</v>
      </c>
      <c r="CN410" t="e">
        <f>AND('PROG FORMACIÓN TITULADA'!#REF!,"AAAAAE39/1s=")</f>
        <v>#REF!</v>
      </c>
      <c r="CO410" t="e">
        <f>AND('PROG FORMACIÓN TITULADA'!#REF!,"AAAAAE39/1w=")</f>
        <v>#REF!</v>
      </c>
      <c r="CP410" t="e">
        <f>AND('PROG FORMACIÓN TITULADA'!#REF!,"AAAAAE39/10=")</f>
        <v>#REF!</v>
      </c>
      <c r="CQ410" t="e">
        <f>AND('PROG FORMACIÓN TITULADA'!#REF!,"AAAAAE39/14=")</f>
        <v>#REF!</v>
      </c>
      <c r="CR410" t="e">
        <f>AND('PROG FORMACIÓN TITULADA'!#REF!,"AAAAAE39/18=")</f>
        <v>#REF!</v>
      </c>
      <c r="CS410" t="e">
        <f>AND('PROG FORMACIÓN TITULADA'!#REF!,"AAAAAE39/2A=")</f>
        <v>#REF!</v>
      </c>
      <c r="CT410" t="e">
        <f>AND('PROG FORMACIÓN TITULADA'!#REF!,"AAAAAE39/2E=")</f>
        <v>#REF!</v>
      </c>
      <c r="CU410" t="e">
        <f>AND('PROG FORMACIÓN TITULADA'!#REF!,"AAAAAE39/2I=")</f>
        <v>#REF!</v>
      </c>
      <c r="CV410" t="e">
        <f>AND('PROG FORMACIÓN TITULADA'!#REF!,"AAAAAE39/2M=")</f>
        <v>#REF!</v>
      </c>
      <c r="CW410" t="e">
        <f>AND('PROG FORMACIÓN TITULADA'!#REF!,"AAAAAE39/2Q=")</f>
        <v>#REF!</v>
      </c>
      <c r="CX410" t="e">
        <f>AND('PROG FORMACIÓN TITULADA'!#REF!,"AAAAAE39/2U=")</f>
        <v>#REF!</v>
      </c>
      <c r="CY410" t="e">
        <f>AND('PROG FORMACIÓN TITULADA'!#REF!,"AAAAAE39/2Y=")</f>
        <v>#REF!</v>
      </c>
      <c r="CZ410" t="e">
        <f>AND('PROG FORMACIÓN TITULADA'!#REF!,"AAAAAE39/2c=")</f>
        <v>#REF!</v>
      </c>
      <c r="DA410" t="e">
        <f>AND('PROG FORMACIÓN TITULADA'!#REF!,"AAAAAE39/2g=")</f>
        <v>#REF!</v>
      </c>
      <c r="DB410" t="e">
        <f>AND('PROG FORMACIÓN TITULADA'!#REF!,"AAAAAE39/2k=")</f>
        <v>#REF!</v>
      </c>
      <c r="DC410" t="e">
        <f>AND('PROG FORMACIÓN TITULADA'!#REF!,"AAAAAE39/2o=")</f>
        <v>#REF!</v>
      </c>
      <c r="DD410" t="e">
        <f>AND('PROG FORMACIÓN TITULADA'!#REF!,"AAAAAE39/2s=")</f>
        <v>#REF!</v>
      </c>
      <c r="DE410" t="e">
        <f>AND('PROG FORMACIÓN TITULADA'!#REF!,"AAAAAE39/2w=")</f>
        <v>#REF!</v>
      </c>
      <c r="DF410" t="e">
        <f>AND('PROG FORMACIÓN TITULADA'!#REF!,"AAAAAE39/20=")</f>
        <v>#REF!</v>
      </c>
      <c r="DG410" t="e">
        <f>AND('PROG FORMACIÓN TITULADA'!#REF!,"AAAAAE39/24=")</f>
        <v>#REF!</v>
      </c>
      <c r="DH410" t="e">
        <f>AND('PROG FORMACIÓN TITULADA'!#REF!,"AAAAAE39/28=")</f>
        <v>#REF!</v>
      </c>
      <c r="DI410" t="e">
        <f>AND('PROG FORMACIÓN TITULADA'!#REF!,"AAAAAE39/3A=")</f>
        <v>#REF!</v>
      </c>
      <c r="DJ410" t="e">
        <f>AND('PROG FORMACIÓN TITULADA'!#REF!,"AAAAAE39/3E=")</f>
        <v>#REF!</v>
      </c>
      <c r="DK410" t="e">
        <f>IF('PROG FORMACIÓN TITULADA'!#REF!,"AAAAAE39/3I=",0)</f>
        <v>#REF!</v>
      </c>
      <c r="DL410" t="e">
        <f>AND('PROG FORMACIÓN TITULADA'!#REF!,"AAAAAE39/3M=")</f>
        <v>#REF!</v>
      </c>
      <c r="DM410" t="e">
        <f>AND('PROG FORMACIÓN TITULADA'!#REF!,"AAAAAE39/3Q=")</f>
        <v>#REF!</v>
      </c>
      <c r="DN410" t="e">
        <f>AND('PROG FORMACIÓN TITULADA'!#REF!,"AAAAAE39/3U=")</f>
        <v>#REF!</v>
      </c>
      <c r="DO410" t="e">
        <f>AND('PROG FORMACIÓN TITULADA'!#REF!,"AAAAAE39/3Y=")</f>
        <v>#REF!</v>
      </c>
      <c r="DP410" t="e">
        <f>AND('PROG FORMACIÓN TITULADA'!#REF!,"AAAAAE39/3c=")</f>
        <v>#REF!</v>
      </c>
      <c r="DQ410" t="e">
        <f>AND('PROG FORMACIÓN TITULADA'!#REF!,"AAAAAE39/3g=")</f>
        <v>#REF!</v>
      </c>
      <c r="DR410" t="e">
        <f>AND('PROG FORMACIÓN TITULADA'!#REF!,"AAAAAE39/3k=")</f>
        <v>#REF!</v>
      </c>
      <c r="DS410" t="e">
        <f>AND('PROG FORMACIÓN TITULADA'!#REF!,"AAAAAE39/3o=")</f>
        <v>#REF!</v>
      </c>
      <c r="DT410" t="e">
        <f>AND('PROG FORMACIÓN TITULADA'!#REF!,"AAAAAE39/3s=")</f>
        <v>#REF!</v>
      </c>
      <c r="DU410" t="e">
        <f>AND('PROG FORMACIÓN TITULADA'!#REF!,"AAAAAE39/3w=")</f>
        <v>#REF!</v>
      </c>
      <c r="DV410" t="e">
        <f>AND('PROG FORMACIÓN TITULADA'!#REF!,"AAAAAE39/30=")</f>
        <v>#REF!</v>
      </c>
      <c r="DW410" t="e">
        <f>AND('PROG FORMACIÓN TITULADA'!#REF!,"AAAAAE39/34=")</f>
        <v>#REF!</v>
      </c>
      <c r="DX410" t="e">
        <f>AND('PROG FORMACIÓN TITULADA'!#REF!,"AAAAAE39/38=")</f>
        <v>#REF!</v>
      </c>
      <c r="DY410" t="e">
        <f>AND('PROG FORMACIÓN TITULADA'!#REF!,"AAAAAE39/4A=")</f>
        <v>#REF!</v>
      </c>
      <c r="DZ410" t="e">
        <f>AND('PROG FORMACIÓN TITULADA'!#REF!,"AAAAAE39/4E=")</f>
        <v>#REF!</v>
      </c>
      <c r="EA410" t="e">
        <f>AND('PROG FORMACIÓN TITULADA'!#REF!,"AAAAAE39/4I=")</f>
        <v>#REF!</v>
      </c>
      <c r="EB410" t="e">
        <f>AND('PROG FORMACIÓN TITULADA'!#REF!,"AAAAAE39/4M=")</f>
        <v>#REF!</v>
      </c>
      <c r="EC410" t="e">
        <f>AND('PROG FORMACIÓN TITULADA'!#REF!,"AAAAAE39/4Q=")</f>
        <v>#REF!</v>
      </c>
      <c r="ED410" t="e">
        <f>AND('PROG FORMACIÓN TITULADA'!#REF!,"AAAAAE39/4U=")</f>
        <v>#REF!</v>
      </c>
      <c r="EE410" t="e">
        <f>AND('PROG FORMACIÓN TITULADA'!#REF!,"AAAAAE39/4Y=")</f>
        <v>#REF!</v>
      </c>
      <c r="EF410" t="e">
        <f>AND('PROG FORMACIÓN TITULADA'!#REF!,"AAAAAE39/4c=")</f>
        <v>#REF!</v>
      </c>
      <c r="EG410" t="e">
        <f>AND('PROG FORMACIÓN TITULADA'!#REF!,"AAAAAE39/4g=")</f>
        <v>#REF!</v>
      </c>
      <c r="EH410" t="e">
        <f>AND('PROG FORMACIÓN TITULADA'!#REF!,"AAAAAE39/4k=")</f>
        <v>#REF!</v>
      </c>
      <c r="EI410" t="e">
        <f>AND('PROG FORMACIÓN TITULADA'!#REF!,"AAAAAE39/4o=")</f>
        <v>#REF!</v>
      </c>
      <c r="EJ410" t="e">
        <f>AND('PROG FORMACIÓN TITULADA'!#REF!,"AAAAAE39/4s=")</f>
        <v>#REF!</v>
      </c>
      <c r="EK410" t="e">
        <f>AND('PROG FORMACIÓN TITULADA'!#REF!,"AAAAAE39/4w=")</f>
        <v>#REF!</v>
      </c>
      <c r="EL410" t="e">
        <f>IF('PROG FORMACIÓN TITULADA'!#REF!,"AAAAAE39/40=",0)</f>
        <v>#REF!</v>
      </c>
      <c r="EM410" t="e">
        <f>AND('PROG FORMACIÓN TITULADA'!#REF!,"AAAAAE39/44=")</f>
        <v>#REF!</v>
      </c>
      <c r="EN410" t="e">
        <f>AND('PROG FORMACIÓN TITULADA'!#REF!,"AAAAAE39/48=")</f>
        <v>#REF!</v>
      </c>
      <c r="EO410" t="e">
        <f>AND('PROG FORMACIÓN TITULADA'!#REF!,"AAAAAE39/5A=")</f>
        <v>#REF!</v>
      </c>
      <c r="EP410" t="e">
        <f>AND('PROG FORMACIÓN TITULADA'!#REF!,"AAAAAE39/5E=")</f>
        <v>#REF!</v>
      </c>
      <c r="EQ410" t="e">
        <f>AND('PROG FORMACIÓN TITULADA'!#REF!,"AAAAAE39/5I=")</f>
        <v>#REF!</v>
      </c>
      <c r="ER410" t="e">
        <f>AND('PROG FORMACIÓN TITULADA'!#REF!,"AAAAAE39/5M=")</f>
        <v>#REF!</v>
      </c>
      <c r="ES410" t="e">
        <f>AND('PROG FORMACIÓN TITULADA'!#REF!,"AAAAAE39/5Q=")</f>
        <v>#REF!</v>
      </c>
      <c r="ET410" t="e">
        <f>AND('PROG FORMACIÓN TITULADA'!#REF!,"AAAAAE39/5U=")</f>
        <v>#REF!</v>
      </c>
      <c r="EU410" t="e">
        <f>AND('PROG FORMACIÓN TITULADA'!#REF!,"AAAAAE39/5Y=")</f>
        <v>#REF!</v>
      </c>
      <c r="EV410" t="e">
        <f>AND('PROG FORMACIÓN TITULADA'!#REF!,"AAAAAE39/5c=")</f>
        <v>#REF!</v>
      </c>
      <c r="EW410" t="e">
        <f>AND('PROG FORMACIÓN TITULADA'!#REF!,"AAAAAE39/5g=")</f>
        <v>#REF!</v>
      </c>
      <c r="EX410" t="e">
        <f>AND('PROG FORMACIÓN TITULADA'!#REF!,"AAAAAE39/5k=")</f>
        <v>#REF!</v>
      </c>
      <c r="EY410" t="e">
        <f>AND('PROG FORMACIÓN TITULADA'!#REF!,"AAAAAE39/5o=")</f>
        <v>#REF!</v>
      </c>
      <c r="EZ410" t="e">
        <f>AND('PROG FORMACIÓN TITULADA'!#REF!,"AAAAAE39/5s=")</f>
        <v>#REF!</v>
      </c>
      <c r="FA410" t="e">
        <f>AND('PROG FORMACIÓN TITULADA'!#REF!,"AAAAAE39/5w=")</f>
        <v>#REF!</v>
      </c>
      <c r="FB410" t="e">
        <f>AND('PROG FORMACIÓN TITULADA'!#REF!,"AAAAAE39/50=")</f>
        <v>#REF!</v>
      </c>
      <c r="FC410" t="e">
        <f>AND('PROG FORMACIÓN TITULADA'!#REF!,"AAAAAE39/54=")</f>
        <v>#REF!</v>
      </c>
      <c r="FD410" t="e">
        <f>AND('PROG FORMACIÓN TITULADA'!#REF!,"AAAAAE39/58=")</f>
        <v>#REF!</v>
      </c>
      <c r="FE410" t="e">
        <f>AND('PROG FORMACIÓN TITULADA'!#REF!,"AAAAAE39/6A=")</f>
        <v>#REF!</v>
      </c>
      <c r="FF410" t="e">
        <f>AND('PROG FORMACIÓN TITULADA'!#REF!,"AAAAAE39/6E=")</f>
        <v>#REF!</v>
      </c>
      <c r="FG410" t="e">
        <f>AND('PROG FORMACIÓN TITULADA'!#REF!,"AAAAAE39/6I=")</f>
        <v>#REF!</v>
      </c>
      <c r="FH410" t="e">
        <f>AND('PROG FORMACIÓN TITULADA'!#REF!,"AAAAAE39/6M=")</f>
        <v>#REF!</v>
      </c>
      <c r="FI410" t="e">
        <f>AND('PROG FORMACIÓN TITULADA'!#REF!,"AAAAAE39/6Q=")</f>
        <v>#REF!</v>
      </c>
      <c r="FJ410" t="e">
        <f>AND('PROG FORMACIÓN TITULADA'!#REF!,"AAAAAE39/6U=")</f>
        <v>#REF!</v>
      </c>
      <c r="FK410" t="e">
        <f>AND('PROG FORMACIÓN TITULADA'!#REF!,"AAAAAE39/6Y=")</f>
        <v>#REF!</v>
      </c>
      <c r="FL410" t="e">
        <f>AND('PROG FORMACIÓN TITULADA'!#REF!,"AAAAAE39/6c=")</f>
        <v>#REF!</v>
      </c>
      <c r="FM410" t="e">
        <f>IF('PROG FORMACIÓN TITULADA'!#REF!,"AAAAAE39/6g=",0)</f>
        <v>#REF!</v>
      </c>
      <c r="FN410" t="e">
        <f>AND('PROG FORMACIÓN TITULADA'!#REF!,"AAAAAE39/6k=")</f>
        <v>#REF!</v>
      </c>
      <c r="FO410" t="e">
        <f>AND('PROG FORMACIÓN TITULADA'!#REF!,"AAAAAE39/6o=")</f>
        <v>#REF!</v>
      </c>
      <c r="FP410" t="e">
        <f>AND('PROG FORMACIÓN TITULADA'!#REF!,"AAAAAE39/6s=")</f>
        <v>#REF!</v>
      </c>
      <c r="FQ410" t="e">
        <f>AND('PROG FORMACIÓN TITULADA'!#REF!,"AAAAAE39/6w=")</f>
        <v>#REF!</v>
      </c>
      <c r="FR410" t="e">
        <f>AND('PROG FORMACIÓN TITULADA'!#REF!,"AAAAAE39/60=")</f>
        <v>#REF!</v>
      </c>
      <c r="FS410" t="e">
        <f>AND('PROG FORMACIÓN TITULADA'!#REF!,"AAAAAE39/64=")</f>
        <v>#REF!</v>
      </c>
      <c r="FT410" t="e">
        <f>AND('PROG FORMACIÓN TITULADA'!#REF!,"AAAAAE39/68=")</f>
        <v>#REF!</v>
      </c>
      <c r="FU410" t="e">
        <f>AND('PROG FORMACIÓN TITULADA'!#REF!,"AAAAAE39/7A=")</f>
        <v>#REF!</v>
      </c>
      <c r="FV410" t="e">
        <f>AND('PROG FORMACIÓN TITULADA'!#REF!,"AAAAAE39/7E=")</f>
        <v>#REF!</v>
      </c>
      <c r="FW410" t="e">
        <f>AND('PROG FORMACIÓN TITULADA'!#REF!,"AAAAAE39/7I=")</f>
        <v>#REF!</v>
      </c>
      <c r="FX410" t="e">
        <f>AND('PROG FORMACIÓN TITULADA'!#REF!,"AAAAAE39/7M=")</f>
        <v>#REF!</v>
      </c>
      <c r="FY410" t="e">
        <f>AND('PROG FORMACIÓN TITULADA'!#REF!,"AAAAAE39/7Q=")</f>
        <v>#REF!</v>
      </c>
      <c r="FZ410" t="e">
        <f>AND('PROG FORMACIÓN TITULADA'!#REF!,"AAAAAE39/7U=")</f>
        <v>#REF!</v>
      </c>
      <c r="GA410" t="e">
        <f>AND('PROG FORMACIÓN TITULADA'!#REF!,"AAAAAE39/7Y=")</f>
        <v>#REF!</v>
      </c>
      <c r="GB410" t="e">
        <f>AND('PROG FORMACIÓN TITULADA'!#REF!,"AAAAAE39/7c=")</f>
        <v>#REF!</v>
      </c>
      <c r="GC410" t="e">
        <f>AND('PROG FORMACIÓN TITULADA'!#REF!,"AAAAAE39/7g=")</f>
        <v>#REF!</v>
      </c>
      <c r="GD410" t="e">
        <f>AND('PROG FORMACIÓN TITULADA'!#REF!,"AAAAAE39/7k=")</f>
        <v>#REF!</v>
      </c>
      <c r="GE410" t="e">
        <f>AND('PROG FORMACIÓN TITULADA'!#REF!,"AAAAAE39/7o=")</f>
        <v>#REF!</v>
      </c>
      <c r="GF410" t="e">
        <f>AND('PROG FORMACIÓN TITULADA'!#REF!,"AAAAAE39/7s=")</f>
        <v>#REF!</v>
      </c>
      <c r="GG410" t="e">
        <f>AND('PROG FORMACIÓN TITULADA'!#REF!,"AAAAAE39/7w=")</f>
        <v>#REF!</v>
      </c>
      <c r="GH410" t="e">
        <f>AND('PROG FORMACIÓN TITULADA'!#REF!,"AAAAAE39/70=")</f>
        <v>#REF!</v>
      </c>
      <c r="GI410" t="e">
        <f>AND('PROG FORMACIÓN TITULADA'!#REF!,"AAAAAE39/74=")</f>
        <v>#REF!</v>
      </c>
      <c r="GJ410" t="e">
        <f>AND('PROG FORMACIÓN TITULADA'!#REF!,"AAAAAE39/78=")</f>
        <v>#REF!</v>
      </c>
      <c r="GK410" t="e">
        <f>AND('PROG FORMACIÓN TITULADA'!#REF!,"AAAAAE39/8A=")</f>
        <v>#REF!</v>
      </c>
      <c r="GL410" t="e">
        <f>AND('PROG FORMACIÓN TITULADA'!#REF!,"AAAAAE39/8E=")</f>
        <v>#REF!</v>
      </c>
      <c r="GM410" t="e">
        <f>AND('PROG FORMACIÓN TITULADA'!#REF!,"AAAAAE39/8I=")</f>
        <v>#REF!</v>
      </c>
      <c r="GN410" t="e">
        <f>IF('PROG FORMACIÓN TITULADA'!#REF!,"AAAAAE39/8M=",0)</f>
        <v>#REF!</v>
      </c>
      <c r="GO410" t="e">
        <f>AND('PROG FORMACIÓN TITULADA'!#REF!,"AAAAAE39/8Q=")</f>
        <v>#REF!</v>
      </c>
      <c r="GP410" t="e">
        <f>AND('PROG FORMACIÓN TITULADA'!#REF!,"AAAAAE39/8U=")</f>
        <v>#REF!</v>
      </c>
      <c r="GQ410" t="e">
        <f>AND('PROG FORMACIÓN TITULADA'!#REF!,"AAAAAE39/8Y=")</f>
        <v>#REF!</v>
      </c>
      <c r="GR410" t="e">
        <f>AND('PROG FORMACIÓN TITULADA'!#REF!,"AAAAAE39/8c=")</f>
        <v>#REF!</v>
      </c>
      <c r="GS410" t="e">
        <f>AND('PROG FORMACIÓN TITULADA'!#REF!,"AAAAAE39/8g=")</f>
        <v>#REF!</v>
      </c>
      <c r="GT410" t="e">
        <f>AND('PROG FORMACIÓN TITULADA'!#REF!,"AAAAAE39/8k=")</f>
        <v>#REF!</v>
      </c>
      <c r="GU410" t="e">
        <f>AND('PROG FORMACIÓN TITULADA'!#REF!,"AAAAAE39/8o=")</f>
        <v>#REF!</v>
      </c>
      <c r="GV410" t="e">
        <f>AND('PROG FORMACIÓN TITULADA'!#REF!,"AAAAAE39/8s=")</f>
        <v>#REF!</v>
      </c>
      <c r="GW410" t="e">
        <f>AND('PROG FORMACIÓN TITULADA'!#REF!,"AAAAAE39/8w=")</f>
        <v>#REF!</v>
      </c>
      <c r="GX410" t="e">
        <f>AND('PROG FORMACIÓN TITULADA'!#REF!,"AAAAAE39/80=")</f>
        <v>#REF!</v>
      </c>
      <c r="GY410" t="e">
        <f>AND('PROG FORMACIÓN TITULADA'!#REF!,"AAAAAE39/84=")</f>
        <v>#REF!</v>
      </c>
      <c r="GZ410" t="e">
        <f>AND('PROG FORMACIÓN TITULADA'!#REF!,"AAAAAE39/88=")</f>
        <v>#REF!</v>
      </c>
      <c r="HA410" t="e">
        <f>AND('PROG FORMACIÓN TITULADA'!#REF!,"AAAAAE39/9A=")</f>
        <v>#REF!</v>
      </c>
      <c r="HB410" t="e">
        <f>AND('PROG FORMACIÓN TITULADA'!#REF!,"AAAAAE39/9E=")</f>
        <v>#REF!</v>
      </c>
      <c r="HC410" t="e">
        <f>AND('PROG FORMACIÓN TITULADA'!#REF!,"AAAAAE39/9I=")</f>
        <v>#REF!</v>
      </c>
      <c r="HD410" t="e">
        <f>AND('PROG FORMACIÓN TITULADA'!#REF!,"AAAAAE39/9M=")</f>
        <v>#REF!</v>
      </c>
      <c r="HE410" t="e">
        <f>AND('PROG FORMACIÓN TITULADA'!#REF!,"AAAAAE39/9Q=")</f>
        <v>#REF!</v>
      </c>
      <c r="HF410" t="e">
        <f>AND('PROG FORMACIÓN TITULADA'!#REF!,"AAAAAE39/9U=")</f>
        <v>#REF!</v>
      </c>
      <c r="HG410" t="e">
        <f>AND('PROG FORMACIÓN TITULADA'!#REF!,"AAAAAE39/9Y=")</f>
        <v>#REF!</v>
      </c>
      <c r="HH410" t="e">
        <f>AND('PROG FORMACIÓN TITULADA'!#REF!,"AAAAAE39/9c=")</f>
        <v>#REF!</v>
      </c>
      <c r="HI410" t="e">
        <f>AND('PROG FORMACIÓN TITULADA'!#REF!,"AAAAAE39/9g=")</f>
        <v>#REF!</v>
      </c>
      <c r="HJ410" t="e">
        <f>AND('PROG FORMACIÓN TITULADA'!#REF!,"AAAAAE39/9k=")</f>
        <v>#REF!</v>
      </c>
      <c r="HK410" t="e">
        <f>AND('PROG FORMACIÓN TITULADA'!#REF!,"AAAAAE39/9o=")</f>
        <v>#REF!</v>
      </c>
      <c r="HL410" t="e">
        <f>AND('PROG FORMACIÓN TITULADA'!#REF!,"AAAAAE39/9s=")</f>
        <v>#REF!</v>
      </c>
      <c r="HM410" t="e">
        <f>AND('PROG FORMACIÓN TITULADA'!#REF!,"AAAAAE39/9w=")</f>
        <v>#REF!</v>
      </c>
      <c r="HN410" t="e">
        <f>AND('PROG FORMACIÓN TITULADA'!#REF!,"AAAAAE39/90=")</f>
        <v>#REF!</v>
      </c>
      <c r="HO410" t="e">
        <f>IF('PROG FORMACIÓN TITULADA'!#REF!,"AAAAAE39/94=",0)</f>
        <v>#REF!</v>
      </c>
      <c r="HP410" t="e">
        <f>AND('PROG FORMACIÓN TITULADA'!#REF!,"AAAAAE39/98=")</f>
        <v>#REF!</v>
      </c>
      <c r="HQ410" t="e">
        <f>AND('PROG FORMACIÓN TITULADA'!#REF!,"AAAAAE39/+A=")</f>
        <v>#REF!</v>
      </c>
      <c r="HR410" t="e">
        <f>AND('PROG FORMACIÓN TITULADA'!#REF!,"AAAAAE39/+E=")</f>
        <v>#REF!</v>
      </c>
      <c r="HS410" t="e">
        <f>AND('PROG FORMACIÓN TITULADA'!#REF!,"AAAAAE39/+I=")</f>
        <v>#REF!</v>
      </c>
      <c r="HT410" t="e">
        <f>AND('PROG FORMACIÓN TITULADA'!#REF!,"AAAAAE39/+M=")</f>
        <v>#REF!</v>
      </c>
      <c r="HU410" t="e">
        <f>AND('PROG FORMACIÓN TITULADA'!#REF!,"AAAAAE39/+Q=")</f>
        <v>#REF!</v>
      </c>
      <c r="HV410" t="e">
        <f>AND('PROG FORMACIÓN TITULADA'!#REF!,"AAAAAE39/+U=")</f>
        <v>#REF!</v>
      </c>
      <c r="HW410" t="e">
        <f>AND('PROG FORMACIÓN TITULADA'!#REF!,"AAAAAE39/+Y=")</f>
        <v>#REF!</v>
      </c>
      <c r="HX410" t="e">
        <f>AND('PROG FORMACIÓN TITULADA'!#REF!,"AAAAAE39/+c=")</f>
        <v>#REF!</v>
      </c>
      <c r="HY410" t="e">
        <f>AND('PROG FORMACIÓN TITULADA'!#REF!,"AAAAAE39/+g=")</f>
        <v>#REF!</v>
      </c>
      <c r="HZ410" t="e">
        <f>AND('PROG FORMACIÓN TITULADA'!#REF!,"AAAAAE39/+k=")</f>
        <v>#REF!</v>
      </c>
      <c r="IA410" t="e">
        <f>AND('PROG FORMACIÓN TITULADA'!#REF!,"AAAAAE39/+o=")</f>
        <v>#REF!</v>
      </c>
      <c r="IB410" t="e">
        <f>AND('PROG FORMACIÓN TITULADA'!#REF!,"AAAAAE39/+s=")</f>
        <v>#REF!</v>
      </c>
      <c r="IC410" t="e">
        <f>AND('PROG FORMACIÓN TITULADA'!#REF!,"AAAAAE39/+w=")</f>
        <v>#REF!</v>
      </c>
      <c r="ID410" t="e">
        <f>AND('PROG FORMACIÓN TITULADA'!#REF!,"AAAAAE39/+0=")</f>
        <v>#REF!</v>
      </c>
      <c r="IE410" t="e">
        <f>AND('PROG FORMACIÓN TITULADA'!#REF!,"AAAAAE39/+4=")</f>
        <v>#REF!</v>
      </c>
      <c r="IF410" t="e">
        <f>AND('PROG FORMACIÓN TITULADA'!#REF!,"AAAAAE39/+8=")</f>
        <v>#REF!</v>
      </c>
      <c r="IG410" t="e">
        <f>AND('PROG FORMACIÓN TITULADA'!#REF!,"AAAAAE39//A=")</f>
        <v>#REF!</v>
      </c>
      <c r="IH410" t="e">
        <f>AND('PROG FORMACIÓN TITULADA'!#REF!,"AAAAAE39//E=")</f>
        <v>#REF!</v>
      </c>
      <c r="II410" t="e">
        <f>AND('PROG FORMACIÓN TITULADA'!#REF!,"AAAAAE39//I=")</f>
        <v>#REF!</v>
      </c>
      <c r="IJ410" t="e">
        <f>AND('PROG FORMACIÓN TITULADA'!#REF!,"AAAAAE39//M=")</f>
        <v>#REF!</v>
      </c>
      <c r="IK410" t="e">
        <f>AND('PROG FORMACIÓN TITULADA'!#REF!,"AAAAAE39//Q=")</f>
        <v>#REF!</v>
      </c>
      <c r="IL410" t="e">
        <f>AND('PROG FORMACIÓN TITULADA'!#REF!,"AAAAAE39//U=")</f>
        <v>#REF!</v>
      </c>
      <c r="IM410" t="e">
        <f>AND('PROG FORMACIÓN TITULADA'!#REF!,"AAAAAE39//Y=")</f>
        <v>#REF!</v>
      </c>
      <c r="IN410" t="e">
        <f>AND('PROG FORMACIÓN TITULADA'!#REF!,"AAAAAE39//c=")</f>
        <v>#REF!</v>
      </c>
      <c r="IO410" t="e">
        <f>AND('PROG FORMACIÓN TITULADA'!#REF!,"AAAAAE39//g=")</f>
        <v>#REF!</v>
      </c>
      <c r="IP410" t="e">
        <f>IF('PROG FORMACIÓN TITULADA'!#REF!,"AAAAAE39//k=",0)</f>
        <v>#REF!</v>
      </c>
      <c r="IQ410" t="e">
        <f>AND('PROG FORMACIÓN TITULADA'!#REF!,"AAAAAE39//o=")</f>
        <v>#REF!</v>
      </c>
      <c r="IR410" t="e">
        <f>AND('PROG FORMACIÓN TITULADA'!#REF!,"AAAAAE39//s=")</f>
        <v>#REF!</v>
      </c>
      <c r="IS410" t="e">
        <f>AND('PROG FORMACIÓN TITULADA'!#REF!,"AAAAAE39//w=")</f>
        <v>#REF!</v>
      </c>
      <c r="IT410" t="e">
        <f>AND('PROG FORMACIÓN TITULADA'!#REF!,"AAAAAE39//0=")</f>
        <v>#REF!</v>
      </c>
      <c r="IU410" t="e">
        <f>AND('PROG FORMACIÓN TITULADA'!#REF!,"AAAAAE39//4=")</f>
        <v>#REF!</v>
      </c>
      <c r="IV410" t="e">
        <f>AND('PROG FORMACIÓN TITULADA'!#REF!,"AAAAAE39//8=")</f>
        <v>#REF!</v>
      </c>
    </row>
    <row r="411" spans="1:256" x14ac:dyDescent="0.2">
      <c r="A411" t="e">
        <f>AND('PROG FORMACIÓN TITULADA'!#REF!,"AAAAADf9fQA=")</f>
        <v>#REF!</v>
      </c>
      <c r="B411" t="e">
        <f>AND('PROG FORMACIÓN TITULADA'!#REF!,"AAAAADf9fQE=")</f>
        <v>#REF!</v>
      </c>
      <c r="C411" t="e">
        <f>AND('PROG FORMACIÓN TITULADA'!#REF!,"AAAAADf9fQI=")</f>
        <v>#REF!</v>
      </c>
      <c r="D411" t="e">
        <f>AND('PROG FORMACIÓN TITULADA'!#REF!,"AAAAADf9fQM=")</f>
        <v>#REF!</v>
      </c>
      <c r="E411" t="e">
        <f>AND('PROG FORMACIÓN TITULADA'!#REF!,"AAAAADf9fQQ=")</f>
        <v>#REF!</v>
      </c>
      <c r="F411" t="e">
        <f>AND('PROG FORMACIÓN TITULADA'!#REF!,"AAAAADf9fQU=")</f>
        <v>#REF!</v>
      </c>
      <c r="G411" t="e">
        <f>AND('PROG FORMACIÓN TITULADA'!#REF!,"AAAAADf9fQY=")</f>
        <v>#REF!</v>
      </c>
      <c r="H411" t="e">
        <f>AND('PROG FORMACIÓN TITULADA'!#REF!,"AAAAADf9fQc=")</f>
        <v>#REF!</v>
      </c>
      <c r="I411" t="e">
        <f>AND('PROG FORMACIÓN TITULADA'!#REF!,"AAAAADf9fQg=")</f>
        <v>#REF!</v>
      </c>
      <c r="J411" t="e">
        <f>AND('PROG FORMACIÓN TITULADA'!#REF!,"AAAAADf9fQk=")</f>
        <v>#REF!</v>
      </c>
      <c r="K411" t="e">
        <f>AND('PROG FORMACIÓN TITULADA'!#REF!,"AAAAADf9fQo=")</f>
        <v>#REF!</v>
      </c>
      <c r="L411" t="e">
        <f>AND('PROG FORMACIÓN TITULADA'!#REF!,"AAAAADf9fQs=")</f>
        <v>#REF!</v>
      </c>
      <c r="M411" t="e">
        <f>AND('PROG FORMACIÓN TITULADA'!#REF!,"AAAAADf9fQw=")</f>
        <v>#REF!</v>
      </c>
      <c r="N411" t="e">
        <f>AND('PROG FORMACIÓN TITULADA'!#REF!,"AAAAADf9fQ0=")</f>
        <v>#REF!</v>
      </c>
      <c r="O411" t="e">
        <f>AND('PROG FORMACIÓN TITULADA'!#REF!,"AAAAADf9fQ4=")</f>
        <v>#REF!</v>
      </c>
      <c r="P411" t="e">
        <f>AND('PROG FORMACIÓN TITULADA'!#REF!,"AAAAADf9fQ8=")</f>
        <v>#REF!</v>
      </c>
      <c r="Q411" t="e">
        <f>AND('PROG FORMACIÓN TITULADA'!#REF!,"AAAAADf9fRA=")</f>
        <v>#REF!</v>
      </c>
      <c r="R411" t="e">
        <f>AND('PROG FORMACIÓN TITULADA'!#REF!,"AAAAADf9fRE=")</f>
        <v>#REF!</v>
      </c>
      <c r="S411" t="e">
        <f>AND('PROG FORMACIÓN TITULADA'!#REF!,"AAAAADf9fRI=")</f>
        <v>#REF!</v>
      </c>
      <c r="T411" t="e">
        <f>AND('PROG FORMACIÓN TITULADA'!#REF!,"AAAAADf9fRM=")</f>
        <v>#REF!</v>
      </c>
      <c r="U411" t="e">
        <f>IF('PROG FORMACIÓN TITULADA'!#REF!,"AAAAADf9fRQ=",0)</f>
        <v>#REF!</v>
      </c>
      <c r="V411" t="e">
        <f>AND('PROG FORMACIÓN TITULADA'!#REF!,"AAAAADf9fRU=")</f>
        <v>#REF!</v>
      </c>
      <c r="W411" t="e">
        <f>AND('PROG FORMACIÓN TITULADA'!#REF!,"AAAAADf9fRY=")</f>
        <v>#REF!</v>
      </c>
      <c r="X411" t="e">
        <f>AND('PROG FORMACIÓN TITULADA'!#REF!,"AAAAADf9fRc=")</f>
        <v>#REF!</v>
      </c>
      <c r="Y411" t="e">
        <f>AND('PROG FORMACIÓN TITULADA'!#REF!,"AAAAADf9fRg=")</f>
        <v>#REF!</v>
      </c>
      <c r="Z411" t="e">
        <f>AND('PROG FORMACIÓN TITULADA'!#REF!,"AAAAADf9fRk=")</f>
        <v>#REF!</v>
      </c>
      <c r="AA411" t="e">
        <f>AND('PROG FORMACIÓN TITULADA'!#REF!,"AAAAADf9fRo=")</f>
        <v>#REF!</v>
      </c>
      <c r="AB411" t="e">
        <f>AND('PROG FORMACIÓN TITULADA'!#REF!,"AAAAADf9fRs=")</f>
        <v>#REF!</v>
      </c>
      <c r="AC411" t="e">
        <f>AND('PROG FORMACIÓN TITULADA'!#REF!,"AAAAADf9fRw=")</f>
        <v>#REF!</v>
      </c>
      <c r="AD411" t="e">
        <f>AND('PROG FORMACIÓN TITULADA'!#REF!,"AAAAADf9fR0=")</f>
        <v>#REF!</v>
      </c>
      <c r="AE411" t="e">
        <f>AND('PROG FORMACIÓN TITULADA'!#REF!,"AAAAADf9fR4=")</f>
        <v>#REF!</v>
      </c>
      <c r="AF411" t="e">
        <f>AND('PROG FORMACIÓN TITULADA'!#REF!,"AAAAADf9fR8=")</f>
        <v>#REF!</v>
      </c>
      <c r="AG411" t="e">
        <f>AND('PROG FORMACIÓN TITULADA'!#REF!,"AAAAADf9fSA=")</f>
        <v>#REF!</v>
      </c>
      <c r="AH411" t="e">
        <f>AND('PROG FORMACIÓN TITULADA'!#REF!,"AAAAADf9fSE=")</f>
        <v>#REF!</v>
      </c>
      <c r="AI411" t="e">
        <f>AND('PROG FORMACIÓN TITULADA'!#REF!,"AAAAADf9fSI=")</f>
        <v>#REF!</v>
      </c>
      <c r="AJ411" t="e">
        <f>AND('PROG FORMACIÓN TITULADA'!#REF!,"AAAAADf9fSM=")</f>
        <v>#REF!</v>
      </c>
      <c r="AK411" t="e">
        <f>AND('PROG FORMACIÓN TITULADA'!#REF!,"AAAAADf9fSQ=")</f>
        <v>#REF!</v>
      </c>
      <c r="AL411" t="e">
        <f>AND('PROG FORMACIÓN TITULADA'!#REF!,"AAAAADf9fSU=")</f>
        <v>#REF!</v>
      </c>
      <c r="AM411" t="e">
        <f>AND('PROG FORMACIÓN TITULADA'!#REF!,"AAAAADf9fSY=")</f>
        <v>#REF!</v>
      </c>
      <c r="AN411" t="e">
        <f>AND('PROG FORMACIÓN TITULADA'!#REF!,"AAAAADf9fSc=")</f>
        <v>#REF!</v>
      </c>
      <c r="AO411" t="e">
        <f>AND('PROG FORMACIÓN TITULADA'!#REF!,"AAAAADf9fSg=")</f>
        <v>#REF!</v>
      </c>
      <c r="AP411" t="e">
        <f>AND('PROG FORMACIÓN TITULADA'!#REF!,"AAAAADf9fSk=")</f>
        <v>#REF!</v>
      </c>
      <c r="AQ411" t="e">
        <f>AND('PROG FORMACIÓN TITULADA'!#REF!,"AAAAADf9fSo=")</f>
        <v>#REF!</v>
      </c>
      <c r="AR411" t="e">
        <f>AND('PROG FORMACIÓN TITULADA'!#REF!,"AAAAADf9fSs=")</f>
        <v>#REF!</v>
      </c>
      <c r="AS411" t="e">
        <f>AND('PROG FORMACIÓN TITULADA'!#REF!,"AAAAADf9fSw=")</f>
        <v>#REF!</v>
      </c>
      <c r="AT411" t="e">
        <f>AND('PROG FORMACIÓN TITULADA'!#REF!,"AAAAADf9fS0=")</f>
        <v>#REF!</v>
      </c>
      <c r="AU411" t="e">
        <f>AND('PROG FORMACIÓN TITULADA'!#REF!,"AAAAADf9fS4=")</f>
        <v>#REF!</v>
      </c>
      <c r="AV411" t="e">
        <f>IF('PROG FORMACIÓN TITULADA'!#REF!,"AAAAADf9fS8=",0)</f>
        <v>#REF!</v>
      </c>
      <c r="AW411" t="e">
        <f>AND('PROG FORMACIÓN TITULADA'!#REF!,"AAAAADf9fTA=")</f>
        <v>#REF!</v>
      </c>
      <c r="AX411" t="e">
        <f>AND('PROG FORMACIÓN TITULADA'!#REF!,"AAAAADf9fTE=")</f>
        <v>#REF!</v>
      </c>
      <c r="AY411" t="e">
        <f>AND('PROG FORMACIÓN TITULADA'!#REF!,"AAAAADf9fTI=")</f>
        <v>#REF!</v>
      </c>
      <c r="AZ411" t="e">
        <f>AND('PROG FORMACIÓN TITULADA'!#REF!,"AAAAADf9fTM=")</f>
        <v>#REF!</v>
      </c>
      <c r="BA411" t="e">
        <f>AND('PROG FORMACIÓN TITULADA'!#REF!,"AAAAADf9fTQ=")</f>
        <v>#REF!</v>
      </c>
      <c r="BB411" t="e">
        <f>AND('PROG FORMACIÓN TITULADA'!#REF!,"AAAAADf9fTU=")</f>
        <v>#REF!</v>
      </c>
      <c r="BC411" t="e">
        <f>AND('PROG FORMACIÓN TITULADA'!#REF!,"AAAAADf9fTY=")</f>
        <v>#REF!</v>
      </c>
      <c r="BD411" t="e">
        <f>AND('PROG FORMACIÓN TITULADA'!#REF!,"AAAAADf9fTc=")</f>
        <v>#REF!</v>
      </c>
      <c r="BE411" t="e">
        <f>AND('PROG FORMACIÓN TITULADA'!#REF!,"AAAAADf9fTg=")</f>
        <v>#REF!</v>
      </c>
      <c r="BF411" t="e">
        <f>AND('PROG FORMACIÓN TITULADA'!#REF!,"AAAAADf9fTk=")</f>
        <v>#REF!</v>
      </c>
      <c r="BG411" t="e">
        <f>AND('PROG FORMACIÓN TITULADA'!#REF!,"AAAAADf9fTo=")</f>
        <v>#REF!</v>
      </c>
      <c r="BH411" t="e">
        <f>AND('PROG FORMACIÓN TITULADA'!#REF!,"AAAAADf9fTs=")</f>
        <v>#REF!</v>
      </c>
      <c r="BI411" t="e">
        <f>AND('PROG FORMACIÓN TITULADA'!#REF!,"AAAAADf9fTw=")</f>
        <v>#REF!</v>
      </c>
      <c r="BJ411" t="e">
        <f>AND('PROG FORMACIÓN TITULADA'!#REF!,"AAAAADf9fT0=")</f>
        <v>#REF!</v>
      </c>
      <c r="BK411" t="e">
        <f>AND('PROG FORMACIÓN TITULADA'!#REF!,"AAAAADf9fT4=")</f>
        <v>#REF!</v>
      </c>
      <c r="BL411" t="e">
        <f>AND('PROG FORMACIÓN TITULADA'!#REF!,"AAAAADf9fT8=")</f>
        <v>#REF!</v>
      </c>
      <c r="BM411" t="e">
        <f>AND('PROG FORMACIÓN TITULADA'!#REF!,"AAAAADf9fUA=")</f>
        <v>#REF!</v>
      </c>
      <c r="BN411" t="e">
        <f>AND('PROG FORMACIÓN TITULADA'!#REF!,"AAAAADf9fUE=")</f>
        <v>#REF!</v>
      </c>
      <c r="BO411" t="e">
        <f>AND('PROG FORMACIÓN TITULADA'!#REF!,"AAAAADf9fUI=")</f>
        <v>#REF!</v>
      </c>
      <c r="BP411" t="e">
        <f>AND('PROG FORMACIÓN TITULADA'!#REF!,"AAAAADf9fUM=")</f>
        <v>#REF!</v>
      </c>
      <c r="BQ411" t="e">
        <f>AND('PROG FORMACIÓN TITULADA'!#REF!,"AAAAADf9fUQ=")</f>
        <v>#REF!</v>
      </c>
      <c r="BR411" t="e">
        <f>AND('PROG FORMACIÓN TITULADA'!#REF!,"AAAAADf9fUU=")</f>
        <v>#REF!</v>
      </c>
      <c r="BS411" t="e">
        <f>AND('PROG FORMACIÓN TITULADA'!#REF!,"AAAAADf9fUY=")</f>
        <v>#REF!</v>
      </c>
      <c r="BT411" t="e">
        <f>AND('PROG FORMACIÓN TITULADA'!#REF!,"AAAAADf9fUc=")</f>
        <v>#REF!</v>
      </c>
      <c r="BU411" t="e">
        <f>AND('PROG FORMACIÓN TITULADA'!#REF!,"AAAAADf9fUg=")</f>
        <v>#REF!</v>
      </c>
      <c r="BV411" t="e">
        <f>AND('PROG FORMACIÓN TITULADA'!#REF!,"AAAAADf9fUk=")</f>
        <v>#REF!</v>
      </c>
      <c r="BW411" t="e">
        <f>IF('PROG FORMACIÓN TITULADA'!#REF!,"AAAAADf9fUo=",0)</f>
        <v>#REF!</v>
      </c>
      <c r="BX411" t="e">
        <f>AND('PROG FORMACIÓN TITULADA'!#REF!,"AAAAADf9fUs=")</f>
        <v>#REF!</v>
      </c>
      <c r="BY411" t="e">
        <f>AND('PROG FORMACIÓN TITULADA'!#REF!,"AAAAADf9fUw=")</f>
        <v>#REF!</v>
      </c>
      <c r="BZ411" t="e">
        <f>AND('PROG FORMACIÓN TITULADA'!#REF!,"AAAAADf9fU0=")</f>
        <v>#REF!</v>
      </c>
      <c r="CA411" t="e">
        <f>AND('PROG FORMACIÓN TITULADA'!#REF!,"AAAAADf9fU4=")</f>
        <v>#REF!</v>
      </c>
      <c r="CB411" t="e">
        <f>AND('PROG FORMACIÓN TITULADA'!#REF!,"AAAAADf9fU8=")</f>
        <v>#REF!</v>
      </c>
      <c r="CC411" t="e">
        <f>AND('PROG FORMACIÓN TITULADA'!#REF!,"AAAAADf9fVA=")</f>
        <v>#REF!</v>
      </c>
      <c r="CD411" t="e">
        <f>AND('PROG FORMACIÓN TITULADA'!#REF!,"AAAAADf9fVE=")</f>
        <v>#REF!</v>
      </c>
      <c r="CE411" t="e">
        <f>AND('PROG FORMACIÓN TITULADA'!#REF!,"AAAAADf9fVI=")</f>
        <v>#REF!</v>
      </c>
      <c r="CF411" t="e">
        <f>AND('PROG FORMACIÓN TITULADA'!#REF!,"AAAAADf9fVM=")</f>
        <v>#REF!</v>
      </c>
      <c r="CG411" t="e">
        <f>AND('PROG FORMACIÓN TITULADA'!#REF!,"AAAAADf9fVQ=")</f>
        <v>#REF!</v>
      </c>
      <c r="CH411" t="e">
        <f>AND('PROG FORMACIÓN TITULADA'!#REF!,"AAAAADf9fVU=")</f>
        <v>#REF!</v>
      </c>
      <c r="CI411" t="e">
        <f>AND('PROG FORMACIÓN TITULADA'!#REF!,"AAAAADf9fVY=")</f>
        <v>#REF!</v>
      </c>
      <c r="CJ411" t="e">
        <f>AND('PROG FORMACIÓN TITULADA'!#REF!,"AAAAADf9fVc=")</f>
        <v>#REF!</v>
      </c>
      <c r="CK411" t="e">
        <f>AND('PROG FORMACIÓN TITULADA'!#REF!,"AAAAADf9fVg=")</f>
        <v>#REF!</v>
      </c>
      <c r="CL411" t="e">
        <f>AND('PROG FORMACIÓN TITULADA'!#REF!,"AAAAADf9fVk=")</f>
        <v>#REF!</v>
      </c>
      <c r="CM411" t="e">
        <f>AND('PROG FORMACIÓN TITULADA'!#REF!,"AAAAADf9fVo=")</f>
        <v>#REF!</v>
      </c>
      <c r="CN411" t="e">
        <f>AND('PROG FORMACIÓN TITULADA'!#REF!,"AAAAADf9fVs=")</f>
        <v>#REF!</v>
      </c>
      <c r="CO411" t="e">
        <f>AND('PROG FORMACIÓN TITULADA'!#REF!,"AAAAADf9fVw=")</f>
        <v>#REF!</v>
      </c>
      <c r="CP411" t="e">
        <f>AND('PROG FORMACIÓN TITULADA'!#REF!,"AAAAADf9fV0=")</f>
        <v>#REF!</v>
      </c>
      <c r="CQ411" t="e">
        <f>AND('PROG FORMACIÓN TITULADA'!#REF!,"AAAAADf9fV4=")</f>
        <v>#REF!</v>
      </c>
      <c r="CR411" t="e">
        <f>AND('PROG FORMACIÓN TITULADA'!#REF!,"AAAAADf9fV8=")</f>
        <v>#REF!</v>
      </c>
      <c r="CS411" t="e">
        <f>AND('PROG FORMACIÓN TITULADA'!#REF!,"AAAAADf9fWA=")</f>
        <v>#REF!</v>
      </c>
      <c r="CT411" t="e">
        <f>AND('PROG FORMACIÓN TITULADA'!#REF!,"AAAAADf9fWE=")</f>
        <v>#REF!</v>
      </c>
      <c r="CU411" t="e">
        <f>AND('PROG FORMACIÓN TITULADA'!#REF!,"AAAAADf9fWI=")</f>
        <v>#REF!</v>
      </c>
      <c r="CV411" t="e">
        <f>AND('PROG FORMACIÓN TITULADA'!#REF!,"AAAAADf9fWM=")</f>
        <v>#REF!</v>
      </c>
      <c r="CW411" t="e">
        <f>AND('PROG FORMACIÓN TITULADA'!#REF!,"AAAAADf9fWQ=")</f>
        <v>#REF!</v>
      </c>
      <c r="CX411" t="e">
        <f>IF('PROG FORMACIÓN TITULADA'!#REF!,"AAAAADf9fWU=",0)</f>
        <v>#REF!</v>
      </c>
      <c r="CY411" t="e">
        <f>AND('PROG FORMACIÓN TITULADA'!#REF!,"AAAAADf9fWY=")</f>
        <v>#REF!</v>
      </c>
      <c r="CZ411" t="e">
        <f>AND('PROG FORMACIÓN TITULADA'!#REF!,"AAAAADf9fWc=")</f>
        <v>#REF!</v>
      </c>
      <c r="DA411" t="e">
        <f>AND('PROG FORMACIÓN TITULADA'!#REF!,"AAAAADf9fWg=")</f>
        <v>#REF!</v>
      </c>
      <c r="DB411" t="e">
        <f>AND('PROG FORMACIÓN TITULADA'!#REF!,"AAAAADf9fWk=")</f>
        <v>#REF!</v>
      </c>
      <c r="DC411" t="e">
        <f>AND('PROG FORMACIÓN TITULADA'!#REF!,"AAAAADf9fWo=")</f>
        <v>#REF!</v>
      </c>
      <c r="DD411" t="e">
        <f>AND('PROG FORMACIÓN TITULADA'!#REF!,"AAAAADf9fWs=")</f>
        <v>#REF!</v>
      </c>
      <c r="DE411" t="e">
        <f>AND('PROG FORMACIÓN TITULADA'!#REF!,"AAAAADf9fWw=")</f>
        <v>#REF!</v>
      </c>
      <c r="DF411" t="e">
        <f>AND('PROG FORMACIÓN TITULADA'!#REF!,"AAAAADf9fW0=")</f>
        <v>#REF!</v>
      </c>
      <c r="DG411" t="e">
        <f>AND('PROG FORMACIÓN TITULADA'!#REF!,"AAAAADf9fW4=")</f>
        <v>#REF!</v>
      </c>
      <c r="DH411" t="e">
        <f>AND('PROG FORMACIÓN TITULADA'!#REF!,"AAAAADf9fW8=")</f>
        <v>#REF!</v>
      </c>
      <c r="DI411" t="e">
        <f>AND('PROG FORMACIÓN TITULADA'!#REF!,"AAAAADf9fXA=")</f>
        <v>#REF!</v>
      </c>
      <c r="DJ411" t="e">
        <f>AND('PROG FORMACIÓN TITULADA'!#REF!,"AAAAADf9fXE=")</f>
        <v>#REF!</v>
      </c>
      <c r="DK411" t="e">
        <f>AND('PROG FORMACIÓN TITULADA'!#REF!,"AAAAADf9fXI=")</f>
        <v>#REF!</v>
      </c>
      <c r="DL411" t="e">
        <f>AND('PROG FORMACIÓN TITULADA'!#REF!,"AAAAADf9fXM=")</f>
        <v>#REF!</v>
      </c>
      <c r="DM411" t="e">
        <f>AND('PROG FORMACIÓN TITULADA'!#REF!,"AAAAADf9fXQ=")</f>
        <v>#REF!</v>
      </c>
      <c r="DN411" t="e">
        <f>AND('PROG FORMACIÓN TITULADA'!#REF!,"AAAAADf9fXU=")</f>
        <v>#REF!</v>
      </c>
      <c r="DO411" t="e">
        <f>AND('PROG FORMACIÓN TITULADA'!#REF!,"AAAAADf9fXY=")</f>
        <v>#REF!</v>
      </c>
      <c r="DP411" t="e">
        <f>AND('PROG FORMACIÓN TITULADA'!#REF!,"AAAAADf9fXc=")</f>
        <v>#REF!</v>
      </c>
      <c r="DQ411" t="e">
        <f>AND('PROG FORMACIÓN TITULADA'!#REF!,"AAAAADf9fXg=")</f>
        <v>#REF!</v>
      </c>
      <c r="DR411" t="e">
        <f>AND('PROG FORMACIÓN TITULADA'!#REF!,"AAAAADf9fXk=")</f>
        <v>#REF!</v>
      </c>
      <c r="DS411" t="e">
        <f>AND('PROG FORMACIÓN TITULADA'!#REF!,"AAAAADf9fXo=")</f>
        <v>#REF!</v>
      </c>
      <c r="DT411" t="e">
        <f>AND('PROG FORMACIÓN TITULADA'!#REF!,"AAAAADf9fXs=")</f>
        <v>#REF!</v>
      </c>
      <c r="DU411" t="e">
        <f>AND('PROG FORMACIÓN TITULADA'!#REF!,"AAAAADf9fXw=")</f>
        <v>#REF!</v>
      </c>
      <c r="DV411" t="e">
        <f>AND('PROG FORMACIÓN TITULADA'!#REF!,"AAAAADf9fX0=")</f>
        <v>#REF!</v>
      </c>
      <c r="DW411" t="e">
        <f>AND('PROG FORMACIÓN TITULADA'!#REF!,"AAAAADf9fX4=")</f>
        <v>#REF!</v>
      </c>
      <c r="DX411" t="e">
        <f>AND('PROG FORMACIÓN TITULADA'!#REF!,"AAAAADf9fX8=")</f>
        <v>#REF!</v>
      </c>
      <c r="DY411" t="e">
        <f>IF('PROG FORMACIÓN TITULADA'!#REF!,"AAAAADf9fYA=",0)</f>
        <v>#REF!</v>
      </c>
      <c r="DZ411" t="e">
        <f>AND('PROG FORMACIÓN TITULADA'!#REF!,"AAAAADf9fYE=")</f>
        <v>#REF!</v>
      </c>
      <c r="EA411" t="e">
        <f>AND('PROG FORMACIÓN TITULADA'!#REF!,"AAAAADf9fYI=")</f>
        <v>#REF!</v>
      </c>
      <c r="EB411" t="e">
        <f>AND('PROG FORMACIÓN TITULADA'!#REF!,"AAAAADf9fYM=")</f>
        <v>#REF!</v>
      </c>
      <c r="EC411" t="e">
        <f>AND('PROG FORMACIÓN TITULADA'!#REF!,"AAAAADf9fYQ=")</f>
        <v>#REF!</v>
      </c>
      <c r="ED411" t="e">
        <f>AND('PROG FORMACIÓN TITULADA'!#REF!,"AAAAADf9fYU=")</f>
        <v>#REF!</v>
      </c>
      <c r="EE411" t="e">
        <f>AND('PROG FORMACIÓN TITULADA'!#REF!,"AAAAADf9fYY=")</f>
        <v>#REF!</v>
      </c>
      <c r="EF411" t="e">
        <f>AND('PROG FORMACIÓN TITULADA'!#REF!,"AAAAADf9fYc=")</f>
        <v>#REF!</v>
      </c>
      <c r="EG411" t="e">
        <f>AND('PROG FORMACIÓN TITULADA'!#REF!,"AAAAADf9fYg=")</f>
        <v>#REF!</v>
      </c>
      <c r="EH411" t="e">
        <f>AND('PROG FORMACIÓN TITULADA'!#REF!,"AAAAADf9fYk=")</f>
        <v>#REF!</v>
      </c>
      <c r="EI411" t="e">
        <f>AND('PROG FORMACIÓN TITULADA'!#REF!,"AAAAADf9fYo=")</f>
        <v>#REF!</v>
      </c>
      <c r="EJ411" t="e">
        <f>AND('PROG FORMACIÓN TITULADA'!#REF!,"AAAAADf9fYs=")</f>
        <v>#REF!</v>
      </c>
      <c r="EK411" t="e">
        <f>AND('PROG FORMACIÓN TITULADA'!#REF!,"AAAAADf9fYw=")</f>
        <v>#REF!</v>
      </c>
      <c r="EL411" t="e">
        <f>AND('PROG FORMACIÓN TITULADA'!#REF!,"AAAAADf9fY0=")</f>
        <v>#REF!</v>
      </c>
      <c r="EM411" t="e">
        <f>AND('PROG FORMACIÓN TITULADA'!#REF!,"AAAAADf9fY4=")</f>
        <v>#REF!</v>
      </c>
      <c r="EN411" t="e">
        <f>AND('PROG FORMACIÓN TITULADA'!#REF!,"AAAAADf9fY8=")</f>
        <v>#REF!</v>
      </c>
      <c r="EO411" t="e">
        <f>AND('PROG FORMACIÓN TITULADA'!#REF!,"AAAAADf9fZA=")</f>
        <v>#REF!</v>
      </c>
      <c r="EP411" t="e">
        <f>AND('PROG FORMACIÓN TITULADA'!#REF!,"AAAAADf9fZE=")</f>
        <v>#REF!</v>
      </c>
      <c r="EQ411" t="e">
        <f>AND('PROG FORMACIÓN TITULADA'!#REF!,"AAAAADf9fZI=")</f>
        <v>#REF!</v>
      </c>
      <c r="ER411" t="e">
        <f>AND('PROG FORMACIÓN TITULADA'!#REF!,"AAAAADf9fZM=")</f>
        <v>#REF!</v>
      </c>
      <c r="ES411" t="e">
        <f>AND('PROG FORMACIÓN TITULADA'!#REF!,"AAAAADf9fZQ=")</f>
        <v>#REF!</v>
      </c>
      <c r="ET411" t="e">
        <f>AND('PROG FORMACIÓN TITULADA'!#REF!,"AAAAADf9fZU=")</f>
        <v>#REF!</v>
      </c>
      <c r="EU411" t="e">
        <f>AND('PROG FORMACIÓN TITULADA'!#REF!,"AAAAADf9fZY=")</f>
        <v>#REF!</v>
      </c>
      <c r="EV411" t="e">
        <f>AND('PROG FORMACIÓN TITULADA'!#REF!,"AAAAADf9fZc=")</f>
        <v>#REF!</v>
      </c>
      <c r="EW411" t="e">
        <f>AND('PROG FORMACIÓN TITULADA'!#REF!,"AAAAADf9fZg=")</f>
        <v>#REF!</v>
      </c>
      <c r="EX411" t="e">
        <f>AND('PROG FORMACIÓN TITULADA'!#REF!,"AAAAADf9fZk=")</f>
        <v>#REF!</v>
      </c>
      <c r="EY411" t="e">
        <f>AND('PROG FORMACIÓN TITULADA'!#REF!,"AAAAADf9fZo=")</f>
        <v>#REF!</v>
      </c>
      <c r="EZ411" t="e">
        <f>IF('PROG FORMACIÓN TITULADA'!#REF!,"AAAAADf9fZs=",0)</f>
        <v>#REF!</v>
      </c>
      <c r="FA411" t="e">
        <f>AND('PROG FORMACIÓN TITULADA'!#REF!,"AAAAADf9fZw=")</f>
        <v>#REF!</v>
      </c>
      <c r="FB411" t="e">
        <f>AND('PROG FORMACIÓN TITULADA'!#REF!,"AAAAADf9fZ0=")</f>
        <v>#REF!</v>
      </c>
      <c r="FC411" t="e">
        <f>AND('PROG FORMACIÓN TITULADA'!#REF!,"AAAAADf9fZ4=")</f>
        <v>#REF!</v>
      </c>
      <c r="FD411" t="e">
        <f>AND('PROG FORMACIÓN TITULADA'!#REF!,"AAAAADf9fZ8=")</f>
        <v>#REF!</v>
      </c>
      <c r="FE411" t="e">
        <f>AND('PROG FORMACIÓN TITULADA'!#REF!,"AAAAADf9faA=")</f>
        <v>#REF!</v>
      </c>
      <c r="FF411" t="e">
        <f>AND('PROG FORMACIÓN TITULADA'!#REF!,"AAAAADf9faE=")</f>
        <v>#REF!</v>
      </c>
      <c r="FG411" t="e">
        <f>AND('PROG FORMACIÓN TITULADA'!#REF!,"AAAAADf9faI=")</f>
        <v>#REF!</v>
      </c>
      <c r="FH411" t="e">
        <f>AND('PROG FORMACIÓN TITULADA'!#REF!,"AAAAADf9faM=")</f>
        <v>#REF!</v>
      </c>
      <c r="FI411" t="e">
        <f>AND('PROG FORMACIÓN TITULADA'!#REF!,"AAAAADf9faQ=")</f>
        <v>#REF!</v>
      </c>
      <c r="FJ411" t="e">
        <f>AND('PROG FORMACIÓN TITULADA'!#REF!,"AAAAADf9faU=")</f>
        <v>#REF!</v>
      </c>
      <c r="FK411" t="e">
        <f>AND('PROG FORMACIÓN TITULADA'!#REF!,"AAAAADf9faY=")</f>
        <v>#REF!</v>
      </c>
      <c r="FL411" t="e">
        <f>AND('PROG FORMACIÓN TITULADA'!#REF!,"AAAAADf9fac=")</f>
        <v>#REF!</v>
      </c>
      <c r="FM411" t="e">
        <f>AND('PROG FORMACIÓN TITULADA'!#REF!,"AAAAADf9fag=")</f>
        <v>#REF!</v>
      </c>
      <c r="FN411" t="e">
        <f>AND('PROG FORMACIÓN TITULADA'!#REF!,"AAAAADf9fak=")</f>
        <v>#REF!</v>
      </c>
      <c r="FO411" t="e">
        <f>AND('PROG FORMACIÓN TITULADA'!#REF!,"AAAAADf9fao=")</f>
        <v>#REF!</v>
      </c>
      <c r="FP411" t="e">
        <f>AND('PROG FORMACIÓN TITULADA'!#REF!,"AAAAADf9fas=")</f>
        <v>#REF!</v>
      </c>
      <c r="FQ411" t="e">
        <f>AND('PROG FORMACIÓN TITULADA'!#REF!,"AAAAADf9faw=")</f>
        <v>#REF!</v>
      </c>
      <c r="FR411" t="e">
        <f>AND('PROG FORMACIÓN TITULADA'!#REF!,"AAAAADf9fa0=")</f>
        <v>#REF!</v>
      </c>
      <c r="FS411" t="e">
        <f>AND('PROG FORMACIÓN TITULADA'!#REF!,"AAAAADf9fa4=")</f>
        <v>#REF!</v>
      </c>
      <c r="FT411" t="e">
        <f>AND('PROG FORMACIÓN TITULADA'!#REF!,"AAAAADf9fa8=")</f>
        <v>#REF!</v>
      </c>
      <c r="FU411" t="e">
        <f>AND('PROG FORMACIÓN TITULADA'!#REF!,"AAAAADf9fbA=")</f>
        <v>#REF!</v>
      </c>
      <c r="FV411" t="e">
        <f>AND('PROG FORMACIÓN TITULADA'!#REF!,"AAAAADf9fbE=")</f>
        <v>#REF!</v>
      </c>
      <c r="FW411" t="e">
        <f>AND('PROG FORMACIÓN TITULADA'!#REF!,"AAAAADf9fbI=")</f>
        <v>#REF!</v>
      </c>
      <c r="FX411" t="e">
        <f>AND('PROG FORMACIÓN TITULADA'!#REF!,"AAAAADf9fbM=")</f>
        <v>#REF!</v>
      </c>
      <c r="FY411" t="e">
        <f>AND('PROG FORMACIÓN TITULADA'!#REF!,"AAAAADf9fbQ=")</f>
        <v>#REF!</v>
      </c>
      <c r="FZ411" t="e">
        <f>AND('PROG FORMACIÓN TITULADA'!#REF!,"AAAAADf9fbU=")</f>
        <v>#REF!</v>
      </c>
      <c r="GA411" t="e">
        <f>IF('PROG FORMACIÓN TITULADA'!#REF!,"AAAAADf9fbY=",0)</f>
        <v>#REF!</v>
      </c>
      <c r="GB411" t="e">
        <f>AND('PROG FORMACIÓN TITULADA'!#REF!,"AAAAADf9fbc=")</f>
        <v>#REF!</v>
      </c>
      <c r="GC411" t="e">
        <f>AND('PROG FORMACIÓN TITULADA'!#REF!,"AAAAADf9fbg=")</f>
        <v>#REF!</v>
      </c>
      <c r="GD411" t="e">
        <f>AND('PROG FORMACIÓN TITULADA'!#REF!,"AAAAADf9fbk=")</f>
        <v>#REF!</v>
      </c>
      <c r="GE411" t="e">
        <f>AND('PROG FORMACIÓN TITULADA'!#REF!,"AAAAADf9fbo=")</f>
        <v>#REF!</v>
      </c>
      <c r="GF411" t="e">
        <f>AND('PROG FORMACIÓN TITULADA'!#REF!,"AAAAADf9fbs=")</f>
        <v>#REF!</v>
      </c>
      <c r="GG411" t="e">
        <f>AND('PROG FORMACIÓN TITULADA'!#REF!,"AAAAADf9fbw=")</f>
        <v>#REF!</v>
      </c>
      <c r="GH411" t="e">
        <f>AND('PROG FORMACIÓN TITULADA'!#REF!,"AAAAADf9fb0=")</f>
        <v>#REF!</v>
      </c>
      <c r="GI411" t="e">
        <f>AND('PROG FORMACIÓN TITULADA'!#REF!,"AAAAADf9fb4=")</f>
        <v>#REF!</v>
      </c>
      <c r="GJ411" t="e">
        <f>AND('PROG FORMACIÓN TITULADA'!#REF!,"AAAAADf9fb8=")</f>
        <v>#REF!</v>
      </c>
      <c r="GK411" t="e">
        <f>AND('PROG FORMACIÓN TITULADA'!#REF!,"AAAAADf9fcA=")</f>
        <v>#REF!</v>
      </c>
      <c r="GL411" t="e">
        <f>AND('PROG FORMACIÓN TITULADA'!#REF!,"AAAAADf9fcE=")</f>
        <v>#REF!</v>
      </c>
      <c r="GM411" t="e">
        <f>AND('PROG FORMACIÓN TITULADA'!#REF!,"AAAAADf9fcI=")</f>
        <v>#REF!</v>
      </c>
      <c r="GN411" t="e">
        <f>AND('PROG FORMACIÓN TITULADA'!#REF!,"AAAAADf9fcM=")</f>
        <v>#REF!</v>
      </c>
      <c r="GO411" t="e">
        <f>AND('PROG FORMACIÓN TITULADA'!#REF!,"AAAAADf9fcQ=")</f>
        <v>#REF!</v>
      </c>
      <c r="GP411" t="e">
        <f>AND('PROG FORMACIÓN TITULADA'!#REF!,"AAAAADf9fcU=")</f>
        <v>#REF!</v>
      </c>
      <c r="GQ411" t="e">
        <f>AND('PROG FORMACIÓN TITULADA'!#REF!,"AAAAADf9fcY=")</f>
        <v>#REF!</v>
      </c>
      <c r="GR411" t="e">
        <f>AND('PROG FORMACIÓN TITULADA'!#REF!,"AAAAADf9fcc=")</f>
        <v>#REF!</v>
      </c>
      <c r="GS411" t="e">
        <f>AND('PROG FORMACIÓN TITULADA'!#REF!,"AAAAADf9fcg=")</f>
        <v>#REF!</v>
      </c>
      <c r="GT411" t="e">
        <f>AND('PROG FORMACIÓN TITULADA'!#REF!,"AAAAADf9fck=")</f>
        <v>#REF!</v>
      </c>
      <c r="GU411" t="e">
        <f>AND('PROG FORMACIÓN TITULADA'!#REF!,"AAAAADf9fco=")</f>
        <v>#REF!</v>
      </c>
      <c r="GV411" t="e">
        <f>AND('PROG FORMACIÓN TITULADA'!#REF!,"AAAAADf9fcs=")</f>
        <v>#REF!</v>
      </c>
      <c r="GW411" t="e">
        <f>AND('PROG FORMACIÓN TITULADA'!#REF!,"AAAAADf9fcw=")</f>
        <v>#REF!</v>
      </c>
      <c r="GX411" t="e">
        <f>AND('PROG FORMACIÓN TITULADA'!#REF!,"AAAAADf9fc0=")</f>
        <v>#REF!</v>
      </c>
      <c r="GY411" t="e">
        <f>AND('PROG FORMACIÓN TITULADA'!#REF!,"AAAAADf9fc4=")</f>
        <v>#REF!</v>
      </c>
      <c r="GZ411" t="e">
        <f>AND('PROG FORMACIÓN TITULADA'!#REF!,"AAAAADf9fc8=")</f>
        <v>#REF!</v>
      </c>
      <c r="HA411" t="e">
        <f>AND('PROG FORMACIÓN TITULADA'!#REF!,"AAAAADf9fdA=")</f>
        <v>#REF!</v>
      </c>
      <c r="HB411" t="e">
        <f>IF('PROG FORMACIÓN TITULADA'!#REF!,"AAAAADf9fdE=",0)</f>
        <v>#REF!</v>
      </c>
      <c r="HC411" t="e">
        <f>AND('PROG FORMACIÓN TITULADA'!#REF!,"AAAAADf9fdI=")</f>
        <v>#REF!</v>
      </c>
      <c r="HD411" t="e">
        <f>AND('PROG FORMACIÓN TITULADA'!#REF!,"AAAAADf9fdM=")</f>
        <v>#REF!</v>
      </c>
      <c r="HE411" t="e">
        <f>AND('PROG FORMACIÓN TITULADA'!#REF!,"AAAAADf9fdQ=")</f>
        <v>#REF!</v>
      </c>
      <c r="HF411" t="e">
        <f>AND('PROG FORMACIÓN TITULADA'!#REF!,"AAAAADf9fdU=")</f>
        <v>#REF!</v>
      </c>
      <c r="HG411" t="e">
        <f>AND('PROG FORMACIÓN TITULADA'!#REF!,"AAAAADf9fdY=")</f>
        <v>#REF!</v>
      </c>
      <c r="HH411" t="e">
        <f>AND('PROG FORMACIÓN TITULADA'!#REF!,"AAAAADf9fdc=")</f>
        <v>#REF!</v>
      </c>
      <c r="HI411" t="e">
        <f>AND('PROG FORMACIÓN TITULADA'!#REF!,"AAAAADf9fdg=")</f>
        <v>#REF!</v>
      </c>
      <c r="HJ411" t="e">
        <f>AND('PROG FORMACIÓN TITULADA'!#REF!,"AAAAADf9fdk=")</f>
        <v>#REF!</v>
      </c>
      <c r="HK411" t="e">
        <f>AND('PROG FORMACIÓN TITULADA'!#REF!,"AAAAADf9fdo=")</f>
        <v>#REF!</v>
      </c>
      <c r="HL411" t="e">
        <f>AND('PROG FORMACIÓN TITULADA'!#REF!,"AAAAADf9fds=")</f>
        <v>#REF!</v>
      </c>
      <c r="HM411" t="e">
        <f>AND('PROG FORMACIÓN TITULADA'!#REF!,"AAAAADf9fdw=")</f>
        <v>#REF!</v>
      </c>
      <c r="HN411" t="e">
        <f>AND('PROG FORMACIÓN TITULADA'!#REF!,"AAAAADf9fd0=")</f>
        <v>#REF!</v>
      </c>
      <c r="HO411" t="e">
        <f>AND('PROG FORMACIÓN TITULADA'!#REF!,"AAAAADf9fd4=")</f>
        <v>#REF!</v>
      </c>
      <c r="HP411" t="e">
        <f>AND('PROG FORMACIÓN TITULADA'!#REF!,"AAAAADf9fd8=")</f>
        <v>#REF!</v>
      </c>
      <c r="HQ411" t="e">
        <f>AND('PROG FORMACIÓN TITULADA'!#REF!,"AAAAADf9feA=")</f>
        <v>#REF!</v>
      </c>
      <c r="HR411" t="e">
        <f>AND('PROG FORMACIÓN TITULADA'!#REF!,"AAAAADf9feE=")</f>
        <v>#REF!</v>
      </c>
      <c r="HS411" t="e">
        <f>AND('PROG FORMACIÓN TITULADA'!#REF!,"AAAAADf9feI=")</f>
        <v>#REF!</v>
      </c>
      <c r="HT411" t="e">
        <f>AND('PROG FORMACIÓN TITULADA'!#REF!,"AAAAADf9feM=")</f>
        <v>#REF!</v>
      </c>
      <c r="HU411" t="e">
        <f>AND('PROG FORMACIÓN TITULADA'!#REF!,"AAAAADf9feQ=")</f>
        <v>#REF!</v>
      </c>
      <c r="HV411" t="e">
        <f>AND('PROG FORMACIÓN TITULADA'!#REF!,"AAAAADf9feU=")</f>
        <v>#REF!</v>
      </c>
      <c r="HW411" t="e">
        <f>AND('PROG FORMACIÓN TITULADA'!#REF!,"AAAAADf9feY=")</f>
        <v>#REF!</v>
      </c>
      <c r="HX411" t="e">
        <f>AND('PROG FORMACIÓN TITULADA'!#REF!,"AAAAADf9fec=")</f>
        <v>#REF!</v>
      </c>
      <c r="HY411" t="e">
        <f>AND('PROG FORMACIÓN TITULADA'!#REF!,"AAAAADf9feg=")</f>
        <v>#REF!</v>
      </c>
      <c r="HZ411" t="e">
        <f>AND('PROG FORMACIÓN TITULADA'!#REF!,"AAAAADf9fek=")</f>
        <v>#REF!</v>
      </c>
      <c r="IA411" t="e">
        <f>AND('PROG FORMACIÓN TITULADA'!#REF!,"AAAAADf9feo=")</f>
        <v>#REF!</v>
      </c>
      <c r="IB411" t="e">
        <f>AND('PROG FORMACIÓN TITULADA'!#REF!,"AAAAADf9fes=")</f>
        <v>#REF!</v>
      </c>
      <c r="IC411" t="e">
        <f>IF('PROG FORMACIÓN TITULADA'!#REF!,"AAAAADf9few=",0)</f>
        <v>#REF!</v>
      </c>
      <c r="ID411" t="e">
        <f>AND('PROG FORMACIÓN TITULADA'!#REF!,"AAAAADf9fe0=")</f>
        <v>#REF!</v>
      </c>
      <c r="IE411" t="e">
        <f>AND('PROG FORMACIÓN TITULADA'!#REF!,"AAAAADf9fe4=")</f>
        <v>#REF!</v>
      </c>
      <c r="IF411" t="e">
        <f>AND('PROG FORMACIÓN TITULADA'!#REF!,"AAAAADf9fe8=")</f>
        <v>#REF!</v>
      </c>
      <c r="IG411" t="e">
        <f>AND('PROG FORMACIÓN TITULADA'!#REF!,"AAAAADf9ffA=")</f>
        <v>#REF!</v>
      </c>
      <c r="IH411" t="e">
        <f>AND('PROG FORMACIÓN TITULADA'!#REF!,"AAAAADf9ffE=")</f>
        <v>#REF!</v>
      </c>
      <c r="II411" t="e">
        <f>AND('PROG FORMACIÓN TITULADA'!#REF!,"AAAAADf9ffI=")</f>
        <v>#REF!</v>
      </c>
      <c r="IJ411" t="e">
        <f>AND('PROG FORMACIÓN TITULADA'!#REF!,"AAAAADf9ffM=")</f>
        <v>#REF!</v>
      </c>
      <c r="IK411" t="e">
        <f>AND('PROG FORMACIÓN TITULADA'!#REF!,"AAAAADf9ffQ=")</f>
        <v>#REF!</v>
      </c>
      <c r="IL411" t="e">
        <f>AND('PROG FORMACIÓN TITULADA'!#REF!,"AAAAADf9ffU=")</f>
        <v>#REF!</v>
      </c>
      <c r="IM411" t="e">
        <f>AND('PROG FORMACIÓN TITULADA'!#REF!,"AAAAADf9ffY=")</f>
        <v>#REF!</v>
      </c>
      <c r="IN411" t="e">
        <f>AND('PROG FORMACIÓN TITULADA'!#REF!,"AAAAADf9ffc=")</f>
        <v>#REF!</v>
      </c>
      <c r="IO411" t="e">
        <f>AND('PROG FORMACIÓN TITULADA'!#REF!,"AAAAADf9ffg=")</f>
        <v>#REF!</v>
      </c>
      <c r="IP411" t="e">
        <f>AND('PROG FORMACIÓN TITULADA'!#REF!,"AAAAADf9ffk=")</f>
        <v>#REF!</v>
      </c>
      <c r="IQ411" t="e">
        <f>AND('PROG FORMACIÓN TITULADA'!#REF!,"AAAAADf9ffo=")</f>
        <v>#REF!</v>
      </c>
      <c r="IR411" t="e">
        <f>AND('PROG FORMACIÓN TITULADA'!#REF!,"AAAAADf9ffs=")</f>
        <v>#REF!</v>
      </c>
      <c r="IS411" t="e">
        <f>AND('PROG FORMACIÓN TITULADA'!#REF!,"AAAAADf9ffw=")</f>
        <v>#REF!</v>
      </c>
      <c r="IT411" t="e">
        <f>AND('PROG FORMACIÓN TITULADA'!#REF!,"AAAAADf9ff0=")</f>
        <v>#REF!</v>
      </c>
      <c r="IU411" t="e">
        <f>AND('PROG FORMACIÓN TITULADA'!#REF!,"AAAAADf9ff4=")</f>
        <v>#REF!</v>
      </c>
      <c r="IV411" t="e">
        <f>AND('PROG FORMACIÓN TITULADA'!#REF!,"AAAAADf9ff8=")</f>
        <v>#REF!</v>
      </c>
    </row>
    <row r="412" spans="1:256" x14ac:dyDescent="0.2">
      <c r="A412" t="e">
        <f>AND('PROG FORMACIÓN TITULADA'!#REF!,"AAAAAB//6QA=")</f>
        <v>#REF!</v>
      </c>
      <c r="B412" t="e">
        <f>AND('PROG FORMACIÓN TITULADA'!#REF!,"AAAAAB//6QE=")</f>
        <v>#REF!</v>
      </c>
      <c r="C412" t="e">
        <f>AND('PROG FORMACIÓN TITULADA'!#REF!,"AAAAAB//6QI=")</f>
        <v>#REF!</v>
      </c>
      <c r="D412" t="e">
        <f>AND('PROG FORMACIÓN TITULADA'!#REF!,"AAAAAB//6QM=")</f>
        <v>#REF!</v>
      </c>
      <c r="E412" t="e">
        <f>AND('PROG FORMACIÓN TITULADA'!#REF!,"AAAAAB//6QQ=")</f>
        <v>#REF!</v>
      </c>
      <c r="F412" t="e">
        <f>AND('PROG FORMACIÓN TITULADA'!#REF!,"AAAAAB//6QU=")</f>
        <v>#REF!</v>
      </c>
      <c r="G412" t="e">
        <f>AND('PROG FORMACIÓN TITULADA'!#REF!,"AAAAAB//6QY=")</f>
        <v>#REF!</v>
      </c>
      <c r="H412" t="e">
        <f>IF('PROG FORMACIÓN TITULADA'!#REF!,"AAAAAB//6Qc=",0)</f>
        <v>#REF!</v>
      </c>
      <c r="I412" t="e">
        <f>AND('PROG FORMACIÓN TITULADA'!#REF!,"AAAAAB//6Qg=")</f>
        <v>#REF!</v>
      </c>
      <c r="J412" t="e">
        <f>AND('PROG FORMACIÓN TITULADA'!#REF!,"AAAAAB//6Qk=")</f>
        <v>#REF!</v>
      </c>
      <c r="K412" t="e">
        <f>AND('PROG FORMACIÓN TITULADA'!#REF!,"AAAAAB//6Qo=")</f>
        <v>#REF!</v>
      </c>
      <c r="L412" t="e">
        <f>AND('PROG FORMACIÓN TITULADA'!#REF!,"AAAAAB//6Qs=")</f>
        <v>#REF!</v>
      </c>
      <c r="M412" t="e">
        <f>AND('PROG FORMACIÓN TITULADA'!#REF!,"AAAAAB//6Qw=")</f>
        <v>#REF!</v>
      </c>
      <c r="N412" t="e">
        <f>AND('PROG FORMACIÓN TITULADA'!#REF!,"AAAAAB//6Q0=")</f>
        <v>#REF!</v>
      </c>
      <c r="O412" t="e">
        <f>AND('PROG FORMACIÓN TITULADA'!#REF!,"AAAAAB//6Q4=")</f>
        <v>#REF!</v>
      </c>
      <c r="P412" t="e">
        <f>AND('PROG FORMACIÓN TITULADA'!#REF!,"AAAAAB//6Q8=")</f>
        <v>#REF!</v>
      </c>
      <c r="Q412" t="e">
        <f>AND('PROG FORMACIÓN TITULADA'!#REF!,"AAAAAB//6RA=")</f>
        <v>#REF!</v>
      </c>
      <c r="R412" t="e">
        <f>AND('PROG FORMACIÓN TITULADA'!#REF!,"AAAAAB//6RE=")</f>
        <v>#REF!</v>
      </c>
      <c r="S412" t="e">
        <f>AND('PROG FORMACIÓN TITULADA'!#REF!,"AAAAAB//6RI=")</f>
        <v>#REF!</v>
      </c>
      <c r="T412" t="e">
        <f>AND('PROG FORMACIÓN TITULADA'!#REF!,"AAAAAB//6RM=")</f>
        <v>#REF!</v>
      </c>
      <c r="U412" t="e">
        <f>AND('PROG FORMACIÓN TITULADA'!#REF!,"AAAAAB//6RQ=")</f>
        <v>#REF!</v>
      </c>
      <c r="V412" t="e">
        <f>AND('PROG FORMACIÓN TITULADA'!#REF!,"AAAAAB//6RU=")</f>
        <v>#REF!</v>
      </c>
      <c r="W412" t="e">
        <f>AND('PROG FORMACIÓN TITULADA'!#REF!,"AAAAAB//6RY=")</f>
        <v>#REF!</v>
      </c>
      <c r="X412" t="e">
        <f>AND('PROG FORMACIÓN TITULADA'!#REF!,"AAAAAB//6Rc=")</f>
        <v>#REF!</v>
      </c>
      <c r="Y412" t="e">
        <f>AND('PROG FORMACIÓN TITULADA'!#REF!,"AAAAAB//6Rg=")</f>
        <v>#REF!</v>
      </c>
      <c r="Z412" t="e">
        <f>AND('PROG FORMACIÓN TITULADA'!#REF!,"AAAAAB//6Rk=")</f>
        <v>#REF!</v>
      </c>
      <c r="AA412" t="e">
        <f>AND('PROG FORMACIÓN TITULADA'!#REF!,"AAAAAB//6Ro=")</f>
        <v>#REF!</v>
      </c>
      <c r="AB412" t="e">
        <f>AND('PROG FORMACIÓN TITULADA'!#REF!,"AAAAAB//6Rs=")</f>
        <v>#REF!</v>
      </c>
      <c r="AC412" t="e">
        <f>AND('PROG FORMACIÓN TITULADA'!#REF!,"AAAAAB//6Rw=")</f>
        <v>#REF!</v>
      </c>
      <c r="AD412" t="e">
        <f>AND('PROG FORMACIÓN TITULADA'!#REF!,"AAAAAB//6R0=")</f>
        <v>#REF!</v>
      </c>
      <c r="AE412" t="e">
        <f>AND('PROG FORMACIÓN TITULADA'!#REF!,"AAAAAB//6R4=")</f>
        <v>#REF!</v>
      </c>
      <c r="AF412" t="e">
        <f>AND('PROG FORMACIÓN TITULADA'!#REF!,"AAAAAB//6R8=")</f>
        <v>#REF!</v>
      </c>
      <c r="AG412" t="e">
        <f>AND('PROG FORMACIÓN TITULADA'!#REF!,"AAAAAB//6SA=")</f>
        <v>#REF!</v>
      </c>
      <c r="AH412" t="e">
        <f>AND('PROG FORMACIÓN TITULADA'!#REF!,"AAAAAB//6SE=")</f>
        <v>#REF!</v>
      </c>
      <c r="AI412" t="e">
        <f>IF('PROG FORMACIÓN TITULADA'!#REF!,"AAAAAB//6SI=",0)</f>
        <v>#REF!</v>
      </c>
      <c r="AJ412" t="e">
        <f>AND('PROG FORMACIÓN TITULADA'!#REF!,"AAAAAB//6SM=")</f>
        <v>#REF!</v>
      </c>
      <c r="AK412" t="e">
        <f>AND('PROG FORMACIÓN TITULADA'!#REF!,"AAAAAB//6SQ=")</f>
        <v>#REF!</v>
      </c>
      <c r="AL412" t="e">
        <f>AND('PROG FORMACIÓN TITULADA'!#REF!,"AAAAAB//6SU=")</f>
        <v>#REF!</v>
      </c>
      <c r="AM412" t="e">
        <f>AND('PROG FORMACIÓN TITULADA'!#REF!,"AAAAAB//6SY=")</f>
        <v>#REF!</v>
      </c>
      <c r="AN412" t="e">
        <f>AND('PROG FORMACIÓN TITULADA'!#REF!,"AAAAAB//6Sc=")</f>
        <v>#REF!</v>
      </c>
      <c r="AO412" t="e">
        <f>AND('PROG FORMACIÓN TITULADA'!#REF!,"AAAAAB//6Sg=")</f>
        <v>#REF!</v>
      </c>
      <c r="AP412" t="e">
        <f>AND('PROG FORMACIÓN TITULADA'!#REF!,"AAAAAB//6Sk=")</f>
        <v>#REF!</v>
      </c>
      <c r="AQ412" t="e">
        <f>AND('PROG FORMACIÓN TITULADA'!#REF!,"AAAAAB//6So=")</f>
        <v>#REF!</v>
      </c>
      <c r="AR412" t="e">
        <f>AND('PROG FORMACIÓN TITULADA'!#REF!,"AAAAAB//6Ss=")</f>
        <v>#REF!</v>
      </c>
      <c r="AS412" t="e">
        <f>AND('PROG FORMACIÓN TITULADA'!#REF!,"AAAAAB//6Sw=")</f>
        <v>#REF!</v>
      </c>
      <c r="AT412" t="e">
        <f>AND('PROG FORMACIÓN TITULADA'!#REF!,"AAAAAB//6S0=")</f>
        <v>#REF!</v>
      </c>
      <c r="AU412" t="e">
        <f>AND('PROG FORMACIÓN TITULADA'!#REF!,"AAAAAB//6S4=")</f>
        <v>#REF!</v>
      </c>
      <c r="AV412" t="e">
        <f>AND('PROG FORMACIÓN TITULADA'!#REF!,"AAAAAB//6S8=")</f>
        <v>#REF!</v>
      </c>
      <c r="AW412" t="e">
        <f>AND('PROG FORMACIÓN TITULADA'!#REF!,"AAAAAB//6TA=")</f>
        <v>#REF!</v>
      </c>
      <c r="AX412" t="e">
        <f>AND('PROG FORMACIÓN TITULADA'!#REF!,"AAAAAB//6TE=")</f>
        <v>#REF!</v>
      </c>
      <c r="AY412" t="e">
        <f>AND('PROG FORMACIÓN TITULADA'!#REF!,"AAAAAB//6TI=")</f>
        <v>#REF!</v>
      </c>
      <c r="AZ412" t="e">
        <f>AND('PROG FORMACIÓN TITULADA'!#REF!,"AAAAAB//6TM=")</f>
        <v>#REF!</v>
      </c>
      <c r="BA412" t="e">
        <f>AND('PROG FORMACIÓN TITULADA'!#REF!,"AAAAAB//6TQ=")</f>
        <v>#REF!</v>
      </c>
      <c r="BB412" t="e">
        <f>AND('PROG FORMACIÓN TITULADA'!#REF!,"AAAAAB//6TU=")</f>
        <v>#REF!</v>
      </c>
      <c r="BC412" t="e">
        <f>AND('PROG FORMACIÓN TITULADA'!#REF!,"AAAAAB//6TY=")</f>
        <v>#REF!</v>
      </c>
      <c r="BD412" t="e">
        <f>AND('PROG FORMACIÓN TITULADA'!#REF!,"AAAAAB//6Tc=")</f>
        <v>#REF!</v>
      </c>
      <c r="BE412" t="e">
        <f>AND('PROG FORMACIÓN TITULADA'!#REF!,"AAAAAB//6Tg=")</f>
        <v>#REF!</v>
      </c>
      <c r="BF412" t="e">
        <f>AND('PROG FORMACIÓN TITULADA'!#REF!,"AAAAAB//6Tk=")</f>
        <v>#REF!</v>
      </c>
      <c r="BG412" t="e">
        <f>AND('PROG FORMACIÓN TITULADA'!#REF!,"AAAAAB//6To=")</f>
        <v>#REF!</v>
      </c>
      <c r="BH412" t="e">
        <f>AND('PROG FORMACIÓN TITULADA'!#REF!,"AAAAAB//6Ts=")</f>
        <v>#REF!</v>
      </c>
      <c r="BI412" t="e">
        <f>AND('PROG FORMACIÓN TITULADA'!#REF!,"AAAAAB//6Tw=")</f>
        <v>#REF!</v>
      </c>
      <c r="BJ412" t="e">
        <f>IF('PROG FORMACIÓN TITULADA'!#REF!,"AAAAAB//6T0=",0)</f>
        <v>#REF!</v>
      </c>
      <c r="BK412" t="e">
        <f>AND('PROG FORMACIÓN TITULADA'!#REF!,"AAAAAB//6T4=")</f>
        <v>#REF!</v>
      </c>
      <c r="BL412" t="e">
        <f>AND('PROG FORMACIÓN TITULADA'!#REF!,"AAAAAB//6T8=")</f>
        <v>#REF!</v>
      </c>
      <c r="BM412" t="e">
        <f>AND('PROG FORMACIÓN TITULADA'!#REF!,"AAAAAB//6UA=")</f>
        <v>#REF!</v>
      </c>
      <c r="BN412" t="e">
        <f>AND('PROG FORMACIÓN TITULADA'!#REF!,"AAAAAB//6UE=")</f>
        <v>#REF!</v>
      </c>
      <c r="BO412" t="e">
        <f>AND('PROG FORMACIÓN TITULADA'!#REF!,"AAAAAB//6UI=")</f>
        <v>#REF!</v>
      </c>
      <c r="BP412" t="e">
        <f>AND('PROG FORMACIÓN TITULADA'!#REF!,"AAAAAB//6UM=")</f>
        <v>#REF!</v>
      </c>
      <c r="BQ412" t="e">
        <f>AND('PROG FORMACIÓN TITULADA'!#REF!,"AAAAAB//6UQ=")</f>
        <v>#REF!</v>
      </c>
      <c r="BR412" t="e">
        <f>AND('PROG FORMACIÓN TITULADA'!#REF!,"AAAAAB//6UU=")</f>
        <v>#REF!</v>
      </c>
      <c r="BS412" t="e">
        <f>AND('PROG FORMACIÓN TITULADA'!#REF!,"AAAAAB//6UY=")</f>
        <v>#REF!</v>
      </c>
      <c r="BT412" t="e">
        <f>AND('PROG FORMACIÓN TITULADA'!#REF!,"AAAAAB//6Uc=")</f>
        <v>#REF!</v>
      </c>
      <c r="BU412" t="e">
        <f>AND('PROG FORMACIÓN TITULADA'!#REF!,"AAAAAB//6Ug=")</f>
        <v>#REF!</v>
      </c>
      <c r="BV412" t="e">
        <f>AND('PROG FORMACIÓN TITULADA'!#REF!,"AAAAAB//6Uk=")</f>
        <v>#REF!</v>
      </c>
      <c r="BW412" t="e">
        <f>AND('PROG FORMACIÓN TITULADA'!#REF!,"AAAAAB//6Uo=")</f>
        <v>#REF!</v>
      </c>
      <c r="BX412" t="e">
        <f>AND('PROG FORMACIÓN TITULADA'!#REF!,"AAAAAB//6Us=")</f>
        <v>#REF!</v>
      </c>
      <c r="BY412" t="e">
        <f>AND('PROG FORMACIÓN TITULADA'!#REF!,"AAAAAB//6Uw=")</f>
        <v>#REF!</v>
      </c>
      <c r="BZ412" t="e">
        <f>AND('PROG FORMACIÓN TITULADA'!#REF!,"AAAAAB//6U0=")</f>
        <v>#REF!</v>
      </c>
      <c r="CA412" t="e">
        <f>AND('PROG FORMACIÓN TITULADA'!#REF!,"AAAAAB//6U4=")</f>
        <v>#REF!</v>
      </c>
      <c r="CB412" t="e">
        <f>AND('PROG FORMACIÓN TITULADA'!#REF!,"AAAAAB//6U8=")</f>
        <v>#REF!</v>
      </c>
      <c r="CC412" t="e">
        <f>AND('PROG FORMACIÓN TITULADA'!#REF!,"AAAAAB//6VA=")</f>
        <v>#REF!</v>
      </c>
      <c r="CD412" t="e">
        <f>AND('PROG FORMACIÓN TITULADA'!#REF!,"AAAAAB//6VE=")</f>
        <v>#REF!</v>
      </c>
      <c r="CE412" t="e">
        <f>AND('PROG FORMACIÓN TITULADA'!#REF!,"AAAAAB//6VI=")</f>
        <v>#REF!</v>
      </c>
      <c r="CF412" t="e">
        <f>AND('PROG FORMACIÓN TITULADA'!#REF!,"AAAAAB//6VM=")</f>
        <v>#REF!</v>
      </c>
      <c r="CG412" t="e">
        <f>AND('PROG FORMACIÓN TITULADA'!#REF!,"AAAAAB//6VQ=")</f>
        <v>#REF!</v>
      </c>
      <c r="CH412" t="e">
        <f>AND('PROG FORMACIÓN TITULADA'!#REF!,"AAAAAB//6VU=")</f>
        <v>#REF!</v>
      </c>
      <c r="CI412" t="e">
        <f>AND('PROG FORMACIÓN TITULADA'!#REF!,"AAAAAB//6VY=")</f>
        <v>#REF!</v>
      </c>
      <c r="CJ412" t="e">
        <f>AND('PROG FORMACIÓN TITULADA'!#REF!,"AAAAAB//6Vc=")</f>
        <v>#REF!</v>
      </c>
      <c r="CK412" t="e">
        <f>IF('PROG FORMACIÓN TITULADA'!#REF!,"AAAAAB//6Vg=",0)</f>
        <v>#REF!</v>
      </c>
      <c r="CL412" t="e">
        <f>AND('PROG FORMACIÓN TITULADA'!#REF!,"AAAAAB//6Vk=")</f>
        <v>#REF!</v>
      </c>
      <c r="CM412" t="e">
        <f>AND('PROG FORMACIÓN TITULADA'!#REF!,"AAAAAB//6Vo=")</f>
        <v>#REF!</v>
      </c>
      <c r="CN412" t="e">
        <f>AND('PROG FORMACIÓN TITULADA'!#REF!,"AAAAAB//6Vs=")</f>
        <v>#REF!</v>
      </c>
      <c r="CO412" t="e">
        <f>AND('PROG FORMACIÓN TITULADA'!#REF!,"AAAAAB//6Vw=")</f>
        <v>#REF!</v>
      </c>
      <c r="CP412" t="e">
        <f>AND('PROG FORMACIÓN TITULADA'!#REF!,"AAAAAB//6V0=")</f>
        <v>#REF!</v>
      </c>
      <c r="CQ412" t="e">
        <f>AND('PROG FORMACIÓN TITULADA'!#REF!,"AAAAAB//6V4=")</f>
        <v>#REF!</v>
      </c>
      <c r="CR412" t="e">
        <f>AND('PROG FORMACIÓN TITULADA'!#REF!,"AAAAAB//6V8=")</f>
        <v>#REF!</v>
      </c>
      <c r="CS412" t="e">
        <f>AND('PROG FORMACIÓN TITULADA'!#REF!,"AAAAAB//6WA=")</f>
        <v>#REF!</v>
      </c>
      <c r="CT412" t="e">
        <f>AND('PROG FORMACIÓN TITULADA'!#REF!,"AAAAAB//6WE=")</f>
        <v>#REF!</v>
      </c>
      <c r="CU412" t="e">
        <f>AND('PROG FORMACIÓN TITULADA'!#REF!,"AAAAAB//6WI=")</f>
        <v>#REF!</v>
      </c>
      <c r="CV412" t="e">
        <f>AND('PROG FORMACIÓN TITULADA'!#REF!,"AAAAAB//6WM=")</f>
        <v>#REF!</v>
      </c>
      <c r="CW412" t="e">
        <f>AND('PROG FORMACIÓN TITULADA'!#REF!,"AAAAAB//6WQ=")</f>
        <v>#REF!</v>
      </c>
      <c r="CX412" t="e">
        <f>AND('PROG FORMACIÓN TITULADA'!#REF!,"AAAAAB//6WU=")</f>
        <v>#REF!</v>
      </c>
      <c r="CY412" t="e">
        <f>AND('PROG FORMACIÓN TITULADA'!#REF!,"AAAAAB//6WY=")</f>
        <v>#REF!</v>
      </c>
      <c r="CZ412" t="e">
        <f>AND('PROG FORMACIÓN TITULADA'!#REF!,"AAAAAB//6Wc=")</f>
        <v>#REF!</v>
      </c>
      <c r="DA412" t="e">
        <f>AND('PROG FORMACIÓN TITULADA'!#REF!,"AAAAAB//6Wg=")</f>
        <v>#REF!</v>
      </c>
      <c r="DB412" t="e">
        <f>AND('PROG FORMACIÓN TITULADA'!#REF!,"AAAAAB//6Wk=")</f>
        <v>#REF!</v>
      </c>
      <c r="DC412" t="e">
        <f>AND('PROG FORMACIÓN TITULADA'!#REF!,"AAAAAB//6Wo=")</f>
        <v>#REF!</v>
      </c>
      <c r="DD412" t="e">
        <f>AND('PROG FORMACIÓN TITULADA'!#REF!,"AAAAAB//6Ws=")</f>
        <v>#REF!</v>
      </c>
      <c r="DE412" t="e">
        <f>AND('PROG FORMACIÓN TITULADA'!#REF!,"AAAAAB//6Ww=")</f>
        <v>#REF!</v>
      </c>
      <c r="DF412" t="e">
        <f>AND('PROG FORMACIÓN TITULADA'!#REF!,"AAAAAB//6W0=")</f>
        <v>#REF!</v>
      </c>
      <c r="DG412" t="e">
        <f>AND('PROG FORMACIÓN TITULADA'!#REF!,"AAAAAB//6W4=")</f>
        <v>#REF!</v>
      </c>
      <c r="DH412" t="e">
        <f>AND('PROG FORMACIÓN TITULADA'!#REF!,"AAAAAB//6W8=")</f>
        <v>#REF!</v>
      </c>
      <c r="DI412" t="e">
        <f>AND('PROG FORMACIÓN TITULADA'!#REF!,"AAAAAB//6XA=")</f>
        <v>#REF!</v>
      </c>
      <c r="DJ412" t="e">
        <f>AND('PROG FORMACIÓN TITULADA'!#REF!,"AAAAAB//6XE=")</f>
        <v>#REF!</v>
      </c>
      <c r="DK412" t="e">
        <f>AND('PROG FORMACIÓN TITULADA'!#REF!,"AAAAAB//6XI=")</f>
        <v>#REF!</v>
      </c>
      <c r="DL412" t="e">
        <f>IF('PROG FORMACIÓN TITULADA'!#REF!,"AAAAAB//6XM=",0)</f>
        <v>#REF!</v>
      </c>
      <c r="DM412" t="e">
        <f>AND('PROG FORMACIÓN TITULADA'!#REF!,"AAAAAB//6XQ=")</f>
        <v>#REF!</v>
      </c>
      <c r="DN412" t="e">
        <f>AND('PROG FORMACIÓN TITULADA'!#REF!,"AAAAAB//6XU=")</f>
        <v>#REF!</v>
      </c>
      <c r="DO412" t="e">
        <f>AND('PROG FORMACIÓN TITULADA'!#REF!,"AAAAAB//6XY=")</f>
        <v>#REF!</v>
      </c>
      <c r="DP412" t="e">
        <f>AND('PROG FORMACIÓN TITULADA'!#REF!,"AAAAAB//6Xc=")</f>
        <v>#REF!</v>
      </c>
      <c r="DQ412" t="e">
        <f>AND('PROG FORMACIÓN TITULADA'!#REF!,"AAAAAB//6Xg=")</f>
        <v>#REF!</v>
      </c>
      <c r="DR412" t="e">
        <f>AND('PROG FORMACIÓN TITULADA'!#REF!,"AAAAAB//6Xk=")</f>
        <v>#REF!</v>
      </c>
      <c r="DS412" t="e">
        <f>AND('PROG FORMACIÓN TITULADA'!#REF!,"AAAAAB//6Xo=")</f>
        <v>#REF!</v>
      </c>
      <c r="DT412" t="e">
        <f>AND('PROG FORMACIÓN TITULADA'!#REF!,"AAAAAB//6Xs=")</f>
        <v>#REF!</v>
      </c>
      <c r="DU412" t="e">
        <f>AND('PROG FORMACIÓN TITULADA'!#REF!,"AAAAAB//6Xw=")</f>
        <v>#REF!</v>
      </c>
      <c r="DV412" t="e">
        <f>AND('PROG FORMACIÓN TITULADA'!#REF!,"AAAAAB//6X0=")</f>
        <v>#REF!</v>
      </c>
      <c r="DW412" t="e">
        <f>AND('PROG FORMACIÓN TITULADA'!#REF!,"AAAAAB//6X4=")</f>
        <v>#REF!</v>
      </c>
      <c r="DX412" t="e">
        <f>AND('PROG FORMACIÓN TITULADA'!#REF!,"AAAAAB//6X8=")</f>
        <v>#REF!</v>
      </c>
      <c r="DY412" t="e">
        <f>AND('PROG FORMACIÓN TITULADA'!#REF!,"AAAAAB//6YA=")</f>
        <v>#REF!</v>
      </c>
      <c r="DZ412" t="e">
        <f>AND('PROG FORMACIÓN TITULADA'!#REF!,"AAAAAB//6YE=")</f>
        <v>#REF!</v>
      </c>
      <c r="EA412" t="e">
        <f>AND('PROG FORMACIÓN TITULADA'!#REF!,"AAAAAB//6YI=")</f>
        <v>#REF!</v>
      </c>
      <c r="EB412" t="e">
        <f>AND('PROG FORMACIÓN TITULADA'!#REF!,"AAAAAB//6YM=")</f>
        <v>#REF!</v>
      </c>
      <c r="EC412" t="e">
        <f>AND('PROG FORMACIÓN TITULADA'!#REF!,"AAAAAB//6YQ=")</f>
        <v>#REF!</v>
      </c>
      <c r="ED412" t="e">
        <f>AND('PROG FORMACIÓN TITULADA'!#REF!,"AAAAAB//6YU=")</f>
        <v>#REF!</v>
      </c>
      <c r="EE412" t="e">
        <f>AND('PROG FORMACIÓN TITULADA'!#REF!,"AAAAAB//6YY=")</f>
        <v>#REF!</v>
      </c>
      <c r="EF412" t="e">
        <f>AND('PROG FORMACIÓN TITULADA'!#REF!,"AAAAAB//6Yc=")</f>
        <v>#REF!</v>
      </c>
      <c r="EG412" t="e">
        <f>AND('PROG FORMACIÓN TITULADA'!#REF!,"AAAAAB//6Yg=")</f>
        <v>#REF!</v>
      </c>
      <c r="EH412" t="e">
        <f>AND('PROG FORMACIÓN TITULADA'!#REF!,"AAAAAB//6Yk=")</f>
        <v>#REF!</v>
      </c>
      <c r="EI412" t="e">
        <f>AND('PROG FORMACIÓN TITULADA'!#REF!,"AAAAAB//6Yo=")</f>
        <v>#REF!</v>
      </c>
      <c r="EJ412" t="e">
        <f>AND('PROG FORMACIÓN TITULADA'!#REF!,"AAAAAB//6Ys=")</f>
        <v>#REF!</v>
      </c>
      <c r="EK412" t="e">
        <f>AND('PROG FORMACIÓN TITULADA'!#REF!,"AAAAAB//6Yw=")</f>
        <v>#REF!</v>
      </c>
      <c r="EL412" t="e">
        <f>AND('PROG FORMACIÓN TITULADA'!#REF!,"AAAAAB//6Y0=")</f>
        <v>#REF!</v>
      </c>
      <c r="EM412" t="e">
        <f>IF('PROG FORMACIÓN TITULADA'!#REF!,"AAAAAB//6Y4=",0)</f>
        <v>#REF!</v>
      </c>
      <c r="EN412" t="e">
        <f>AND('PROG FORMACIÓN TITULADA'!#REF!,"AAAAAB//6Y8=")</f>
        <v>#REF!</v>
      </c>
      <c r="EO412" t="e">
        <f>AND('PROG FORMACIÓN TITULADA'!#REF!,"AAAAAB//6ZA=")</f>
        <v>#REF!</v>
      </c>
      <c r="EP412" t="e">
        <f>AND('PROG FORMACIÓN TITULADA'!#REF!,"AAAAAB//6ZE=")</f>
        <v>#REF!</v>
      </c>
      <c r="EQ412" t="e">
        <f>AND('PROG FORMACIÓN TITULADA'!#REF!,"AAAAAB//6ZI=")</f>
        <v>#REF!</v>
      </c>
      <c r="ER412" t="e">
        <f>AND('PROG FORMACIÓN TITULADA'!#REF!,"AAAAAB//6ZM=")</f>
        <v>#REF!</v>
      </c>
      <c r="ES412" t="e">
        <f>AND('PROG FORMACIÓN TITULADA'!#REF!,"AAAAAB//6ZQ=")</f>
        <v>#REF!</v>
      </c>
      <c r="ET412" t="e">
        <f>AND('PROG FORMACIÓN TITULADA'!#REF!,"AAAAAB//6ZU=")</f>
        <v>#REF!</v>
      </c>
      <c r="EU412" t="e">
        <f>AND('PROG FORMACIÓN TITULADA'!#REF!,"AAAAAB//6ZY=")</f>
        <v>#REF!</v>
      </c>
      <c r="EV412" t="e">
        <f>AND('PROG FORMACIÓN TITULADA'!#REF!,"AAAAAB//6Zc=")</f>
        <v>#REF!</v>
      </c>
      <c r="EW412" t="e">
        <f>AND('PROG FORMACIÓN TITULADA'!#REF!,"AAAAAB//6Zg=")</f>
        <v>#REF!</v>
      </c>
      <c r="EX412" t="e">
        <f>AND('PROG FORMACIÓN TITULADA'!#REF!,"AAAAAB//6Zk=")</f>
        <v>#REF!</v>
      </c>
      <c r="EY412" t="e">
        <f>AND('PROG FORMACIÓN TITULADA'!#REF!,"AAAAAB//6Zo=")</f>
        <v>#REF!</v>
      </c>
      <c r="EZ412" t="e">
        <f>AND('PROG FORMACIÓN TITULADA'!#REF!,"AAAAAB//6Zs=")</f>
        <v>#REF!</v>
      </c>
      <c r="FA412" t="e">
        <f>AND('PROG FORMACIÓN TITULADA'!#REF!,"AAAAAB//6Zw=")</f>
        <v>#REF!</v>
      </c>
      <c r="FB412" t="e">
        <f>AND('PROG FORMACIÓN TITULADA'!#REF!,"AAAAAB//6Z0=")</f>
        <v>#REF!</v>
      </c>
      <c r="FC412" t="e">
        <f>AND('PROG FORMACIÓN TITULADA'!#REF!,"AAAAAB//6Z4=")</f>
        <v>#REF!</v>
      </c>
      <c r="FD412" t="e">
        <f>AND('PROG FORMACIÓN TITULADA'!#REF!,"AAAAAB//6Z8=")</f>
        <v>#REF!</v>
      </c>
      <c r="FE412" t="e">
        <f>AND('PROG FORMACIÓN TITULADA'!#REF!,"AAAAAB//6aA=")</f>
        <v>#REF!</v>
      </c>
      <c r="FF412" t="e">
        <f>AND('PROG FORMACIÓN TITULADA'!#REF!,"AAAAAB//6aE=")</f>
        <v>#REF!</v>
      </c>
      <c r="FG412" t="e">
        <f>AND('PROG FORMACIÓN TITULADA'!#REF!,"AAAAAB//6aI=")</f>
        <v>#REF!</v>
      </c>
      <c r="FH412" t="e">
        <f>AND('PROG FORMACIÓN TITULADA'!#REF!,"AAAAAB//6aM=")</f>
        <v>#REF!</v>
      </c>
      <c r="FI412" t="e">
        <f>AND('PROG FORMACIÓN TITULADA'!#REF!,"AAAAAB//6aQ=")</f>
        <v>#REF!</v>
      </c>
      <c r="FJ412" t="e">
        <f>AND('PROG FORMACIÓN TITULADA'!#REF!,"AAAAAB//6aU=")</f>
        <v>#REF!</v>
      </c>
      <c r="FK412" t="e">
        <f>AND('PROG FORMACIÓN TITULADA'!#REF!,"AAAAAB//6aY=")</f>
        <v>#REF!</v>
      </c>
      <c r="FL412" t="e">
        <f>AND('PROG FORMACIÓN TITULADA'!#REF!,"AAAAAB//6ac=")</f>
        <v>#REF!</v>
      </c>
      <c r="FM412" t="e">
        <f>AND('PROG FORMACIÓN TITULADA'!#REF!,"AAAAAB//6ag=")</f>
        <v>#REF!</v>
      </c>
      <c r="FN412" t="e">
        <f>IF('PROG FORMACIÓN TITULADA'!#REF!,"AAAAAB//6ak=",0)</f>
        <v>#REF!</v>
      </c>
      <c r="FO412" t="e">
        <f>AND('PROG FORMACIÓN TITULADA'!#REF!,"AAAAAB//6ao=")</f>
        <v>#REF!</v>
      </c>
      <c r="FP412" t="e">
        <f>AND('PROG FORMACIÓN TITULADA'!#REF!,"AAAAAB//6as=")</f>
        <v>#REF!</v>
      </c>
      <c r="FQ412" t="e">
        <f>AND('PROG FORMACIÓN TITULADA'!#REF!,"AAAAAB//6aw=")</f>
        <v>#REF!</v>
      </c>
      <c r="FR412" t="e">
        <f>AND('PROG FORMACIÓN TITULADA'!#REF!,"AAAAAB//6a0=")</f>
        <v>#REF!</v>
      </c>
      <c r="FS412" t="e">
        <f>AND('PROG FORMACIÓN TITULADA'!#REF!,"AAAAAB//6a4=")</f>
        <v>#REF!</v>
      </c>
      <c r="FT412" t="e">
        <f>AND('PROG FORMACIÓN TITULADA'!#REF!,"AAAAAB//6a8=")</f>
        <v>#REF!</v>
      </c>
      <c r="FU412" t="e">
        <f>AND('PROG FORMACIÓN TITULADA'!#REF!,"AAAAAB//6bA=")</f>
        <v>#REF!</v>
      </c>
      <c r="FV412" t="e">
        <f>AND('PROG FORMACIÓN TITULADA'!#REF!,"AAAAAB//6bE=")</f>
        <v>#REF!</v>
      </c>
      <c r="FW412" t="e">
        <f>AND('PROG FORMACIÓN TITULADA'!#REF!,"AAAAAB//6bI=")</f>
        <v>#REF!</v>
      </c>
      <c r="FX412" t="e">
        <f>AND('PROG FORMACIÓN TITULADA'!#REF!,"AAAAAB//6bM=")</f>
        <v>#REF!</v>
      </c>
      <c r="FY412" t="e">
        <f>AND('PROG FORMACIÓN TITULADA'!#REF!,"AAAAAB//6bQ=")</f>
        <v>#REF!</v>
      </c>
      <c r="FZ412" t="e">
        <f>AND('PROG FORMACIÓN TITULADA'!#REF!,"AAAAAB//6bU=")</f>
        <v>#REF!</v>
      </c>
      <c r="GA412" t="e">
        <f>AND('PROG FORMACIÓN TITULADA'!#REF!,"AAAAAB//6bY=")</f>
        <v>#REF!</v>
      </c>
      <c r="GB412" t="e">
        <f>AND('PROG FORMACIÓN TITULADA'!#REF!,"AAAAAB//6bc=")</f>
        <v>#REF!</v>
      </c>
      <c r="GC412" t="e">
        <f>AND('PROG FORMACIÓN TITULADA'!#REF!,"AAAAAB//6bg=")</f>
        <v>#REF!</v>
      </c>
      <c r="GD412" t="e">
        <f>AND('PROG FORMACIÓN TITULADA'!#REF!,"AAAAAB//6bk=")</f>
        <v>#REF!</v>
      </c>
      <c r="GE412" t="e">
        <f>AND('PROG FORMACIÓN TITULADA'!#REF!,"AAAAAB//6bo=")</f>
        <v>#REF!</v>
      </c>
      <c r="GF412" t="e">
        <f>AND('PROG FORMACIÓN TITULADA'!#REF!,"AAAAAB//6bs=")</f>
        <v>#REF!</v>
      </c>
      <c r="GG412" t="e">
        <f>AND('PROG FORMACIÓN TITULADA'!#REF!,"AAAAAB//6bw=")</f>
        <v>#REF!</v>
      </c>
      <c r="GH412" t="e">
        <f>AND('PROG FORMACIÓN TITULADA'!#REF!,"AAAAAB//6b0=")</f>
        <v>#REF!</v>
      </c>
      <c r="GI412" t="e">
        <f>AND('PROG FORMACIÓN TITULADA'!#REF!,"AAAAAB//6b4=")</f>
        <v>#REF!</v>
      </c>
      <c r="GJ412" t="e">
        <f>AND('PROG FORMACIÓN TITULADA'!#REF!,"AAAAAB//6b8=")</f>
        <v>#REF!</v>
      </c>
      <c r="GK412" t="e">
        <f>AND('PROG FORMACIÓN TITULADA'!#REF!,"AAAAAB//6cA=")</f>
        <v>#REF!</v>
      </c>
      <c r="GL412" t="e">
        <f>AND('PROG FORMACIÓN TITULADA'!#REF!,"AAAAAB//6cE=")</f>
        <v>#REF!</v>
      </c>
      <c r="GM412" t="e">
        <f>AND('PROG FORMACIÓN TITULADA'!#REF!,"AAAAAB//6cI=")</f>
        <v>#REF!</v>
      </c>
      <c r="GN412" t="e">
        <f>AND('PROG FORMACIÓN TITULADA'!#REF!,"AAAAAB//6cM=")</f>
        <v>#REF!</v>
      </c>
      <c r="GO412" t="e">
        <f>IF('PROG FORMACIÓN TITULADA'!#REF!,"AAAAAB//6cQ=",0)</f>
        <v>#REF!</v>
      </c>
      <c r="GP412" t="e">
        <f>AND('PROG FORMACIÓN TITULADA'!#REF!,"AAAAAB//6cU=")</f>
        <v>#REF!</v>
      </c>
      <c r="GQ412" t="e">
        <f>AND('PROG FORMACIÓN TITULADA'!#REF!,"AAAAAB//6cY=")</f>
        <v>#REF!</v>
      </c>
      <c r="GR412" t="e">
        <f>AND('PROG FORMACIÓN TITULADA'!#REF!,"AAAAAB//6cc=")</f>
        <v>#REF!</v>
      </c>
      <c r="GS412" t="e">
        <f>AND('PROG FORMACIÓN TITULADA'!#REF!,"AAAAAB//6cg=")</f>
        <v>#REF!</v>
      </c>
      <c r="GT412" t="e">
        <f>AND('PROG FORMACIÓN TITULADA'!#REF!,"AAAAAB//6ck=")</f>
        <v>#REF!</v>
      </c>
      <c r="GU412" t="e">
        <f>AND('PROG FORMACIÓN TITULADA'!#REF!,"AAAAAB//6co=")</f>
        <v>#REF!</v>
      </c>
      <c r="GV412" t="e">
        <f>AND('PROG FORMACIÓN TITULADA'!#REF!,"AAAAAB//6cs=")</f>
        <v>#REF!</v>
      </c>
      <c r="GW412" t="e">
        <f>AND('PROG FORMACIÓN TITULADA'!#REF!,"AAAAAB//6cw=")</f>
        <v>#REF!</v>
      </c>
      <c r="GX412" t="e">
        <f>AND('PROG FORMACIÓN TITULADA'!#REF!,"AAAAAB//6c0=")</f>
        <v>#REF!</v>
      </c>
      <c r="GY412" t="e">
        <f>AND('PROG FORMACIÓN TITULADA'!#REF!,"AAAAAB//6c4=")</f>
        <v>#REF!</v>
      </c>
      <c r="GZ412" t="e">
        <f>AND('PROG FORMACIÓN TITULADA'!#REF!,"AAAAAB//6c8=")</f>
        <v>#REF!</v>
      </c>
      <c r="HA412" t="e">
        <f>AND('PROG FORMACIÓN TITULADA'!#REF!,"AAAAAB//6dA=")</f>
        <v>#REF!</v>
      </c>
      <c r="HB412" t="e">
        <f>AND('PROG FORMACIÓN TITULADA'!#REF!,"AAAAAB//6dE=")</f>
        <v>#REF!</v>
      </c>
      <c r="HC412" t="e">
        <f>AND('PROG FORMACIÓN TITULADA'!#REF!,"AAAAAB//6dI=")</f>
        <v>#REF!</v>
      </c>
      <c r="HD412" t="e">
        <f>AND('PROG FORMACIÓN TITULADA'!#REF!,"AAAAAB//6dM=")</f>
        <v>#REF!</v>
      </c>
      <c r="HE412" t="e">
        <f>AND('PROG FORMACIÓN TITULADA'!#REF!,"AAAAAB//6dQ=")</f>
        <v>#REF!</v>
      </c>
      <c r="HF412" t="e">
        <f>AND('PROG FORMACIÓN TITULADA'!#REF!,"AAAAAB//6dU=")</f>
        <v>#REF!</v>
      </c>
      <c r="HG412" t="e">
        <f>AND('PROG FORMACIÓN TITULADA'!#REF!,"AAAAAB//6dY=")</f>
        <v>#REF!</v>
      </c>
      <c r="HH412" t="e">
        <f>AND('PROG FORMACIÓN TITULADA'!#REF!,"AAAAAB//6dc=")</f>
        <v>#REF!</v>
      </c>
      <c r="HI412" t="e">
        <f>AND('PROG FORMACIÓN TITULADA'!#REF!,"AAAAAB//6dg=")</f>
        <v>#REF!</v>
      </c>
      <c r="HJ412" t="e">
        <f>AND('PROG FORMACIÓN TITULADA'!#REF!,"AAAAAB//6dk=")</f>
        <v>#REF!</v>
      </c>
      <c r="HK412" t="e">
        <f>AND('PROG FORMACIÓN TITULADA'!#REF!,"AAAAAB//6do=")</f>
        <v>#REF!</v>
      </c>
      <c r="HL412" t="e">
        <f>AND('PROG FORMACIÓN TITULADA'!#REF!,"AAAAAB//6ds=")</f>
        <v>#REF!</v>
      </c>
      <c r="HM412" t="e">
        <f>AND('PROG FORMACIÓN TITULADA'!#REF!,"AAAAAB//6dw=")</f>
        <v>#REF!</v>
      </c>
      <c r="HN412" t="e">
        <f>AND('PROG FORMACIÓN TITULADA'!#REF!,"AAAAAB//6d0=")</f>
        <v>#REF!</v>
      </c>
      <c r="HO412" t="e">
        <f>AND('PROG FORMACIÓN TITULADA'!#REF!,"AAAAAB//6d4=")</f>
        <v>#REF!</v>
      </c>
      <c r="HP412" t="e">
        <f>IF('PROG FORMACIÓN TITULADA'!#REF!,"AAAAAB//6d8=",0)</f>
        <v>#REF!</v>
      </c>
      <c r="HQ412" t="e">
        <f>AND('PROG FORMACIÓN TITULADA'!#REF!,"AAAAAB//6eA=")</f>
        <v>#REF!</v>
      </c>
      <c r="HR412" t="e">
        <f>AND('PROG FORMACIÓN TITULADA'!#REF!,"AAAAAB//6eE=")</f>
        <v>#REF!</v>
      </c>
      <c r="HS412" t="e">
        <f>AND('PROG FORMACIÓN TITULADA'!#REF!,"AAAAAB//6eI=")</f>
        <v>#REF!</v>
      </c>
      <c r="HT412" t="e">
        <f>AND('PROG FORMACIÓN TITULADA'!#REF!,"AAAAAB//6eM=")</f>
        <v>#REF!</v>
      </c>
      <c r="HU412" t="e">
        <f>AND('PROG FORMACIÓN TITULADA'!#REF!,"AAAAAB//6eQ=")</f>
        <v>#REF!</v>
      </c>
      <c r="HV412" t="e">
        <f>AND('PROG FORMACIÓN TITULADA'!#REF!,"AAAAAB//6eU=")</f>
        <v>#REF!</v>
      </c>
      <c r="HW412" t="e">
        <f>AND('PROG FORMACIÓN TITULADA'!#REF!,"AAAAAB//6eY=")</f>
        <v>#REF!</v>
      </c>
      <c r="HX412" t="e">
        <f>AND('PROG FORMACIÓN TITULADA'!#REF!,"AAAAAB//6ec=")</f>
        <v>#REF!</v>
      </c>
      <c r="HY412" t="e">
        <f>AND('PROG FORMACIÓN TITULADA'!#REF!,"AAAAAB//6eg=")</f>
        <v>#REF!</v>
      </c>
      <c r="HZ412" t="e">
        <f>AND('PROG FORMACIÓN TITULADA'!#REF!,"AAAAAB//6ek=")</f>
        <v>#REF!</v>
      </c>
      <c r="IA412" t="e">
        <f>AND('PROG FORMACIÓN TITULADA'!#REF!,"AAAAAB//6eo=")</f>
        <v>#REF!</v>
      </c>
      <c r="IB412" t="e">
        <f>AND('PROG FORMACIÓN TITULADA'!#REF!,"AAAAAB//6es=")</f>
        <v>#REF!</v>
      </c>
      <c r="IC412" t="e">
        <f>AND('PROG FORMACIÓN TITULADA'!#REF!,"AAAAAB//6ew=")</f>
        <v>#REF!</v>
      </c>
      <c r="ID412" t="e">
        <f>AND('PROG FORMACIÓN TITULADA'!#REF!,"AAAAAB//6e0=")</f>
        <v>#REF!</v>
      </c>
      <c r="IE412" t="e">
        <f>AND('PROG FORMACIÓN TITULADA'!#REF!,"AAAAAB//6e4=")</f>
        <v>#REF!</v>
      </c>
      <c r="IF412" t="e">
        <f>AND('PROG FORMACIÓN TITULADA'!#REF!,"AAAAAB//6e8=")</f>
        <v>#REF!</v>
      </c>
      <c r="IG412" t="e">
        <f>AND('PROG FORMACIÓN TITULADA'!#REF!,"AAAAAB//6fA=")</f>
        <v>#REF!</v>
      </c>
      <c r="IH412" t="e">
        <f>AND('PROG FORMACIÓN TITULADA'!#REF!,"AAAAAB//6fE=")</f>
        <v>#REF!</v>
      </c>
      <c r="II412" t="e">
        <f>AND('PROG FORMACIÓN TITULADA'!#REF!,"AAAAAB//6fI=")</f>
        <v>#REF!</v>
      </c>
      <c r="IJ412" t="e">
        <f>AND('PROG FORMACIÓN TITULADA'!#REF!,"AAAAAB//6fM=")</f>
        <v>#REF!</v>
      </c>
      <c r="IK412" t="e">
        <f>AND('PROG FORMACIÓN TITULADA'!#REF!,"AAAAAB//6fQ=")</f>
        <v>#REF!</v>
      </c>
      <c r="IL412" t="e">
        <f>AND('PROG FORMACIÓN TITULADA'!#REF!,"AAAAAB//6fU=")</f>
        <v>#REF!</v>
      </c>
      <c r="IM412" t="e">
        <f>AND('PROG FORMACIÓN TITULADA'!#REF!,"AAAAAB//6fY=")</f>
        <v>#REF!</v>
      </c>
      <c r="IN412" t="e">
        <f>AND('PROG FORMACIÓN TITULADA'!#REF!,"AAAAAB//6fc=")</f>
        <v>#REF!</v>
      </c>
      <c r="IO412" t="e">
        <f>AND('PROG FORMACIÓN TITULADA'!#REF!,"AAAAAB//6fg=")</f>
        <v>#REF!</v>
      </c>
      <c r="IP412" t="e">
        <f>AND('PROG FORMACIÓN TITULADA'!#REF!,"AAAAAB//6fk=")</f>
        <v>#REF!</v>
      </c>
      <c r="IQ412" t="e">
        <f>IF('PROG FORMACIÓN TITULADA'!#REF!,"AAAAAB//6fo=",0)</f>
        <v>#REF!</v>
      </c>
      <c r="IR412" t="e">
        <f>AND('PROG FORMACIÓN TITULADA'!#REF!,"AAAAAB//6fs=")</f>
        <v>#REF!</v>
      </c>
      <c r="IS412" t="e">
        <f>AND('PROG FORMACIÓN TITULADA'!#REF!,"AAAAAB//6fw=")</f>
        <v>#REF!</v>
      </c>
      <c r="IT412" t="e">
        <f>AND('PROG FORMACIÓN TITULADA'!#REF!,"AAAAAB//6f0=")</f>
        <v>#REF!</v>
      </c>
      <c r="IU412" t="e">
        <f>AND('PROG FORMACIÓN TITULADA'!#REF!,"AAAAAB//6f4=")</f>
        <v>#REF!</v>
      </c>
      <c r="IV412" t="e">
        <f>AND('PROG FORMACIÓN TITULADA'!#REF!,"AAAAAB//6f8=")</f>
        <v>#REF!</v>
      </c>
    </row>
    <row r="413" spans="1:256" x14ac:dyDescent="0.2">
      <c r="A413" t="e">
        <f>AND('PROG FORMACIÓN TITULADA'!#REF!,"AAAAAGb/dwA=")</f>
        <v>#REF!</v>
      </c>
      <c r="B413" t="e">
        <f>AND('PROG FORMACIÓN TITULADA'!#REF!,"AAAAAGb/dwE=")</f>
        <v>#REF!</v>
      </c>
      <c r="C413" t="e">
        <f>AND('PROG FORMACIÓN TITULADA'!#REF!,"AAAAAGb/dwI=")</f>
        <v>#REF!</v>
      </c>
      <c r="D413" t="e">
        <f>AND('PROG FORMACIÓN TITULADA'!#REF!,"AAAAAGb/dwM=")</f>
        <v>#REF!</v>
      </c>
      <c r="E413" t="e">
        <f>AND('PROG FORMACIÓN TITULADA'!#REF!,"AAAAAGb/dwQ=")</f>
        <v>#REF!</v>
      </c>
      <c r="F413" t="e">
        <f>AND('PROG FORMACIÓN TITULADA'!#REF!,"AAAAAGb/dwU=")</f>
        <v>#REF!</v>
      </c>
      <c r="G413" t="e">
        <f>AND('PROG FORMACIÓN TITULADA'!#REF!,"AAAAAGb/dwY=")</f>
        <v>#REF!</v>
      </c>
      <c r="H413" t="e">
        <f>AND('PROG FORMACIÓN TITULADA'!#REF!,"AAAAAGb/dwc=")</f>
        <v>#REF!</v>
      </c>
      <c r="I413" t="e">
        <f>AND('PROG FORMACIÓN TITULADA'!#REF!,"AAAAAGb/dwg=")</f>
        <v>#REF!</v>
      </c>
      <c r="J413" t="e">
        <f>AND('PROG FORMACIÓN TITULADA'!#REF!,"AAAAAGb/dwk=")</f>
        <v>#REF!</v>
      </c>
      <c r="K413" t="e">
        <f>AND('PROG FORMACIÓN TITULADA'!#REF!,"AAAAAGb/dwo=")</f>
        <v>#REF!</v>
      </c>
      <c r="L413" t="e">
        <f>AND('PROG FORMACIÓN TITULADA'!#REF!,"AAAAAGb/dws=")</f>
        <v>#REF!</v>
      </c>
      <c r="M413" t="e">
        <f>AND('PROG FORMACIÓN TITULADA'!#REF!,"AAAAAGb/dww=")</f>
        <v>#REF!</v>
      </c>
      <c r="N413" t="e">
        <f>AND('PROG FORMACIÓN TITULADA'!#REF!,"AAAAAGb/dw0=")</f>
        <v>#REF!</v>
      </c>
      <c r="O413" t="e">
        <f>AND('PROG FORMACIÓN TITULADA'!#REF!,"AAAAAGb/dw4=")</f>
        <v>#REF!</v>
      </c>
      <c r="P413" t="e">
        <f>AND('PROG FORMACIÓN TITULADA'!#REF!,"AAAAAGb/dw8=")</f>
        <v>#REF!</v>
      </c>
      <c r="Q413" t="e">
        <f>AND('PROG FORMACIÓN TITULADA'!#REF!,"AAAAAGb/dxA=")</f>
        <v>#REF!</v>
      </c>
      <c r="R413" t="e">
        <f>AND('PROG FORMACIÓN TITULADA'!#REF!,"AAAAAGb/dxE=")</f>
        <v>#REF!</v>
      </c>
      <c r="S413" t="e">
        <f>AND('PROG FORMACIÓN TITULADA'!#REF!,"AAAAAGb/dxI=")</f>
        <v>#REF!</v>
      </c>
      <c r="T413" t="e">
        <f>AND('PROG FORMACIÓN TITULADA'!#REF!,"AAAAAGb/dxM=")</f>
        <v>#REF!</v>
      </c>
      <c r="U413" t="e">
        <f>AND('PROG FORMACIÓN TITULADA'!#REF!,"AAAAAGb/dxQ=")</f>
        <v>#REF!</v>
      </c>
      <c r="V413" t="e">
        <f>IF('PROG FORMACIÓN TITULADA'!#REF!,"AAAAAGb/dxU=",0)</f>
        <v>#REF!</v>
      </c>
      <c r="W413" t="e">
        <f>AND('PROG FORMACIÓN TITULADA'!#REF!,"AAAAAGb/dxY=")</f>
        <v>#REF!</v>
      </c>
      <c r="X413" t="e">
        <f>AND('PROG FORMACIÓN TITULADA'!#REF!,"AAAAAGb/dxc=")</f>
        <v>#REF!</v>
      </c>
      <c r="Y413" t="e">
        <f>AND('PROG FORMACIÓN TITULADA'!#REF!,"AAAAAGb/dxg=")</f>
        <v>#REF!</v>
      </c>
      <c r="Z413" t="e">
        <f>AND('PROG FORMACIÓN TITULADA'!#REF!,"AAAAAGb/dxk=")</f>
        <v>#REF!</v>
      </c>
      <c r="AA413" t="e">
        <f>AND('PROG FORMACIÓN TITULADA'!#REF!,"AAAAAGb/dxo=")</f>
        <v>#REF!</v>
      </c>
      <c r="AB413" t="e">
        <f>AND('PROG FORMACIÓN TITULADA'!#REF!,"AAAAAGb/dxs=")</f>
        <v>#REF!</v>
      </c>
      <c r="AC413" t="e">
        <f>AND('PROG FORMACIÓN TITULADA'!#REF!,"AAAAAGb/dxw=")</f>
        <v>#REF!</v>
      </c>
      <c r="AD413" t="e">
        <f>AND('PROG FORMACIÓN TITULADA'!#REF!,"AAAAAGb/dx0=")</f>
        <v>#REF!</v>
      </c>
      <c r="AE413" t="e">
        <f>AND('PROG FORMACIÓN TITULADA'!#REF!,"AAAAAGb/dx4=")</f>
        <v>#REF!</v>
      </c>
      <c r="AF413" t="e">
        <f>AND('PROG FORMACIÓN TITULADA'!#REF!,"AAAAAGb/dx8=")</f>
        <v>#REF!</v>
      </c>
      <c r="AG413" t="e">
        <f>AND('PROG FORMACIÓN TITULADA'!#REF!,"AAAAAGb/dyA=")</f>
        <v>#REF!</v>
      </c>
      <c r="AH413" t="e">
        <f>AND('PROG FORMACIÓN TITULADA'!#REF!,"AAAAAGb/dyE=")</f>
        <v>#REF!</v>
      </c>
      <c r="AI413" t="e">
        <f>AND('PROG FORMACIÓN TITULADA'!#REF!,"AAAAAGb/dyI=")</f>
        <v>#REF!</v>
      </c>
      <c r="AJ413" t="e">
        <f>AND('PROG FORMACIÓN TITULADA'!#REF!,"AAAAAGb/dyM=")</f>
        <v>#REF!</v>
      </c>
      <c r="AK413" t="e">
        <f>AND('PROG FORMACIÓN TITULADA'!#REF!,"AAAAAGb/dyQ=")</f>
        <v>#REF!</v>
      </c>
      <c r="AL413" t="e">
        <f>AND('PROG FORMACIÓN TITULADA'!#REF!,"AAAAAGb/dyU=")</f>
        <v>#REF!</v>
      </c>
      <c r="AM413" t="e">
        <f>AND('PROG FORMACIÓN TITULADA'!#REF!,"AAAAAGb/dyY=")</f>
        <v>#REF!</v>
      </c>
      <c r="AN413" t="e">
        <f>AND('PROG FORMACIÓN TITULADA'!#REF!,"AAAAAGb/dyc=")</f>
        <v>#REF!</v>
      </c>
      <c r="AO413" t="e">
        <f>AND('PROG FORMACIÓN TITULADA'!#REF!,"AAAAAGb/dyg=")</f>
        <v>#REF!</v>
      </c>
      <c r="AP413" t="e">
        <f>AND('PROG FORMACIÓN TITULADA'!#REF!,"AAAAAGb/dyk=")</f>
        <v>#REF!</v>
      </c>
      <c r="AQ413" t="e">
        <f>AND('PROG FORMACIÓN TITULADA'!#REF!,"AAAAAGb/dyo=")</f>
        <v>#REF!</v>
      </c>
      <c r="AR413" t="e">
        <f>AND('PROG FORMACIÓN TITULADA'!#REF!,"AAAAAGb/dys=")</f>
        <v>#REF!</v>
      </c>
      <c r="AS413" t="e">
        <f>AND('PROG FORMACIÓN TITULADA'!#REF!,"AAAAAGb/dyw=")</f>
        <v>#REF!</v>
      </c>
      <c r="AT413" t="e">
        <f>AND('PROG FORMACIÓN TITULADA'!#REF!,"AAAAAGb/dy0=")</f>
        <v>#REF!</v>
      </c>
      <c r="AU413" t="e">
        <f>AND('PROG FORMACIÓN TITULADA'!#REF!,"AAAAAGb/dy4=")</f>
        <v>#REF!</v>
      </c>
      <c r="AV413" t="e">
        <f>AND('PROG FORMACIÓN TITULADA'!#REF!,"AAAAAGb/dy8=")</f>
        <v>#REF!</v>
      </c>
      <c r="AW413" t="e">
        <f>IF('PROG FORMACIÓN TITULADA'!#REF!,"AAAAAGb/dzA=",0)</f>
        <v>#REF!</v>
      </c>
      <c r="AX413" t="e">
        <f>AND('PROG FORMACIÓN TITULADA'!#REF!,"AAAAAGb/dzE=")</f>
        <v>#REF!</v>
      </c>
      <c r="AY413" t="e">
        <f>AND('PROG FORMACIÓN TITULADA'!#REF!,"AAAAAGb/dzI=")</f>
        <v>#REF!</v>
      </c>
      <c r="AZ413" t="e">
        <f>AND('PROG FORMACIÓN TITULADA'!#REF!,"AAAAAGb/dzM=")</f>
        <v>#REF!</v>
      </c>
      <c r="BA413" t="e">
        <f>AND('PROG FORMACIÓN TITULADA'!#REF!,"AAAAAGb/dzQ=")</f>
        <v>#REF!</v>
      </c>
      <c r="BB413" t="e">
        <f>AND('PROG FORMACIÓN TITULADA'!#REF!,"AAAAAGb/dzU=")</f>
        <v>#REF!</v>
      </c>
      <c r="BC413" t="e">
        <f>AND('PROG FORMACIÓN TITULADA'!#REF!,"AAAAAGb/dzY=")</f>
        <v>#REF!</v>
      </c>
      <c r="BD413" t="e">
        <f>AND('PROG FORMACIÓN TITULADA'!#REF!,"AAAAAGb/dzc=")</f>
        <v>#REF!</v>
      </c>
      <c r="BE413" t="e">
        <f>AND('PROG FORMACIÓN TITULADA'!#REF!,"AAAAAGb/dzg=")</f>
        <v>#REF!</v>
      </c>
      <c r="BF413" t="e">
        <f>AND('PROG FORMACIÓN TITULADA'!#REF!,"AAAAAGb/dzk=")</f>
        <v>#REF!</v>
      </c>
      <c r="BG413" t="e">
        <f>AND('PROG FORMACIÓN TITULADA'!#REF!,"AAAAAGb/dzo=")</f>
        <v>#REF!</v>
      </c>
      <c r="BH413" t="e">
        <f>AND('PROG FORMACIÓN TITULADA'!#REF!,"AAAAAGb/dzs=")</f>
        <v>#REF!</v>
      </c>
      <c r="BI413" t="e">
        <f>AND('PROG FORMACIÓN TITULADA'!#REF!,"AAAAAGb/dzw=")</f>
        <v>#REF!</v>
      </c>
      <c r="BJ413" t="e">
        <f>AND('PROG FORMACIÓN TITULADA'!#REF!,"AAAAAGb/dz0=")</f>
        <v>#REF!</v>
      </c>
      <c r="BK413" t="e">
        <f>AND('PROG FORMACIÓN TITULADA'!#REF!,"AAAAAGb/dz4=")</f>
        <v>#REF!</v>
      </c>
      <c r="BL413" t="e">
        <f>AND('PROG FORMACIÓN TITULADA'!#REF!,"AAAAAGb/dz8=")</f>
        <v>#REF!</v>
      </c>
      <c r="BM413" t="e">
        <f>AND('PROG FORMACIÓN TITULADA'!#REF!,"AAAAAGb/d0A=")</f>
        <v>#REF!</v>
      </c>
      <c r="BN413" t="e">
        <f>AND('PROG FORMACIÓN TITULADA'!#REF!,"AAAAAGb/d0E=")</f>
        <v>#REF!</v>
      </c>
      <c r="BO413" t="e">
        <f>AND('PROG FORMACIÓN TITULADA'!#REF!,"AAAAAGb/d0I=")</f>
        <v>#REF!</v>
      </c>
      <c r="BP413" t="e">
        <f>AND('PROG FORMACIÓN TITULADA'!#REF!,"AAAAAGb/d0M=")</f>
        <v>#REF!</v>
      </c>
      <c r="BQ413" t="e">
        <f>AND('PROG FORMACIÓN TITULADA'!#REF!,"AAAAAGb/d0Q=")</f>
        <v>#REF!</v>
      </c>
      <c r="BR413" t="e">
        <f>AND('PROG FORMACIÓN TITULADA'!#REF!,"AAAAAGb/d0U=")</f>
        <v>#REF!</v>
      </c>
      <c r="BS413" t="e">
        <f>AND('PROG FORMACIÓN TITULADA'!#REF!,"AAAAAGb/d0Y=")</f>
        <v>#REF!</v>
      </c>
      <c r="BT413" t="e">
        <f>AND('PROG FORMACIÓN TITULADA'!#REF!,"AAAAAGb/d0c=")</f>
        <v>#REF!</v>
      </c>
      <c r="BU413" t="e">
        <f>AND('PROG FORMACIÓN TITULADA'!#REF!,"AAAAAGb/d0g=")</f>
        <v>#REF!</v>
      </c>
      <c r="BV413" t="e">
        <f>AND('PROG FORMACIÓN TITULADA'!#REF!,"AAAAAGb/d0k=")</f>
        <v>#REF!</v>
      </c>
      <c r="BW413" t="e">
        <f>AND('PROG FORMACIÓN TITULADA'!#REF!,"AAAAAGb/d0o=")</f>
        <v>#REF!</v>
      </c>
      <c r="BX413" t="e">
        <f>IF('PROG FORMACIÓN TITULADA'!#REF!,"AAAAAGb/d0s=",0)</f>
        <v>#REF!</v>
      </c>
      <c r="BY413" t="e">
        <f>AND('PROG FORMACIÓN TITULADA'!#REF!,"AAAAAGb/d0w=")</f>
        <v>#REF!</v>
      </c>
      <c r="BZ413" t="e">
        <f>AND('PROG FORMACIÓN TITULADA'!#REF!,"AAAAAGb/d00=")</f>
        <v>#REF!</v>
      </c>
      <c r="CA413" t="e">
        <f>AND('PROG FORMACIÓN TITULADA'!#REF!,"AAAAAGb/d04=")</f>
        <v>#REF!</v>
      </c>
      <c r="CB413" t="e">
        <f>AND('PROG FORMACIÓN TITULADA'!#REF!,"AAAAAGb/d08=")</f>
        <v>#REF!</v>
      </c>
      <c r="CC413" t="e">
        <f>AND('PROG FORMACIÓN TITULADA'!#REF!,"AAAAAGb/d1A=")</f>
        <v>#REF!</v>
      </c>
      <c r="CD413" t="e">
        <f>AND('PROG FORMACIÓN TITULADA'!#REF!,"AAAAAGb/d1E=")</f>
        <v>#REF!</v>
      </c>
      <c r="CE413" t="e">
        <f>AND('PROG FORMACIÓN TITULADA'!#REF!,"AAAAAGb/d1I=")</f>
        <v>#REF!</v>
      </c>
      <c r="CF413" t="e">
        <f>AND('PROG FORMACIÓN TITULADA'!#REF!,"AAAAAGb/d1M=")</f>
        <v>#REF!</v>
      </c>
      <c r="CG413" t="e">
        <f>AND('PROG FORMACIÓN TITULADA'!#REF!,"AAAAAGb/d1Q=")</f>
        <v>#REF!</v>
      </c>
      <c r="CH413" t="e">
        <f>AND('PROG FORMACIÓN TITULADA'!#REF!,"AAAAAGb/d1U=")</f>
        <v>#REF!</v>
      </c>
      <c r="CI413" t="e">
        <f>AND('PROG FORMACIÓN TITULADA'!#REF!,"AAAAAGb/d1Y=")</f>
        <v>#REF!</v>
      </c>
      <c r="CJ413" t="e">
        <f>AND('PROG FORMACIÓN TITULADA'!#REF!,"AAAAAGb/d1c=")</f>
        <v>#REF!</v>
      </c>
      <c r="CK413" t="e">
        <f>AND('PROG FORMACIÓN TITULADA'!#REF!,"AAAAAGb/d1g=")</f>
        <v>#REF!</v>
      </c>
      <c r="CL413" t="e">
        <f>AND('PROG FORMACIÓN TITULADA'!#REF!,"AAAAAGb/d1k=")</f>
        <v>#REF!</v>
      </c>
      <c r="CM413" t="e">
        <f>AND('PROG FORMACIÓN TITULADA'!#REF!,"AAAAAGb/d1o=")</f>
        <v>#REF!</v>
      </c>
      <c r="CN413" t="e">
        <f>AND('PROG FORMACIÓN TITULADA'!#REF!,"AAAAAGb/d1s=")</f>
        <v>#REF!</v>
      </c>
      <c r="CO413" t="e">
        <f>AND('PROG FORMACIÓN TITULADA'!#REF!,"AAAAAGb/d1w=")</f>
        <v>#REF!</v>
      </c>
      <c r="CP413" t="e">
        <f>AND('PROG FORMACIÓN TITULADA'!#REF!,"AAAAAGb/d10=")</f>
        <v>#REF!</v>
      </c>
      <c r="CQ413" t="e">
        <f>AND('PROG FORMACIÓN TITULADA'!#REF!,"AAAAAGb/d14=")</f>
        <v>#REF!</v>
      </c>
      <c r="CR413" t="e">
        <f>AND('PROG FORMACIÓN TITULADA'!#REF!,"AAAAAGb/d18=")</f>
        <v>#REF!</v>
      </c>
      <c r="CS413" t="e">
        <f>AND('PROG FORMACIÓN TITULADA'!#REF!,"AAAAAGb/d2A=")</f>
        <v>#REF!</v>
      </c>
      <c r="CT413" t="e">
        <f>AND('PROG FORMACIÓN TITULADA'!#REF!,"AAAAAGb/d2E=")</f>
        <v>#REF!</v>
      </c>
      <c r="CU413" t="e">
        <f>AND('PROG FORMACIÓN TITULADA'!#REF!,"AAAAAGb/d2I=")</f>
        <v>#REF!</v>
      </c>
      <c r="CV413" t="e">
        <f>AND('PROG FORMACIÓN TITULADA'!#REF!,"AAAAAGb/d2M=")</f>
        <v>#REF!</v>
      </c>
      <c r="CW413" t="e">
        <f>AND('PROG FORMACIÓN TITULADA'!#REF!,"AAAAAGb/d2Q=")</f>
        <v>#REF!</v>
      </c>
      <c r="CX413" t="e">
        <f>AND('PROG FORMACIÓN TITULADA'!#REF!,"AAAAAGb/d2U=")</f>
        <v>#REF!</v>
      </c>
      <c r="CY413" t="e">
        <f>IF('PROG FORMACIÓN TITULADA'!#REF!,"AAAAAGb/d2Y=",0)</f>
        <v>#REF!</v>
      </c>
      <c r="CZ413" t="e">
        <f>AND('PROG FORMACIÓN TITULADA'!#REF!,"AAAAAGb/d2c=")</f>
        <v>#REF!</v>
      </c>
      <c r="DA413" t="e">
        <f>AND('PROG FORMACIÓN TITULADA'!#REF!,"AAAAAGb/d2g=")</f>
        <v>#REF!</v>
      </c>
      <c r="DB413" t="e">
        <f>AND('PROG FORMACIÓN TITULADA'!#REF!,"AAAAAGb/d2k=")</f>
        <v>#REF!</v>
      </c>
      <c r="DC413" t="e">
        <f>AND('PROG FORMACIÓN TITULADA'!#REF!,"AAAAAGb/d2o=")</f>
        <v>#REF!</v>
      </c>
      <c r="DD413" t="e">
        <f>AND('PROG FORMACIÓN TITULADA'!#REF!,"AAAAAGb/d2s=")</f>
        <v>#REF!</v>
      </c>
      <c r="DE413" t="e">
        <f>AND('PROG FORMACIÓN TITULADA'!#REF!,"AAAAAGb/d2w=")</f>
        <v>#REF!</v>
      </c>
      <c r="DF413" t="e">
        <f>AND('PROG FORMACIÓN TITULADA'!#REF!,"AAAAAGb/d20=")</f>
        <v>#REF!</v>
      </c>
      <c r="DG413" t="e">
        <f>AND('PROG FORMACIÓN TITULADA'!#REF!,"AAAAAGb/d24=")</f>
        <v>#REF!</v>
      </c>
      <c r="DH413" t="e">
        <f>AND('PROG FORMACIÓN TITULADA'!#REF!,"AAAAAGb/d28=")</f>
        <v>#REF!</v>
      </c>
      <c r="DI413" t="e">
        <f>AND('PROG FORMACIÓN TITULADA'!#REF!,"AAAAAGb/d3A=")</f>
        <v>#REF!</v>
      </c>
      <c r="DJ413" t="e">
        <f>AND('PROG FORMACIÓN TITULADA'!#REF!,"AAAAAGb/d3E=")</f>
        <v>#REF!</v>
      </c>
      <c r="DK413" t="e">
        <f>AND('PROG FORMACIÓN TITULADA'!#REF!,"AAAAAGb/d3I=")</f>
        <v>#REF!</v>
      </c>
      <c r="DL413" t="e">
        <f>AND('PROG FORMACIÓN TITULADA'!#REF!,"AAAAAGb/d3M=")</f>
        <v>#REF!</v>
      </c>
      <c r="DM413" t="e">
        <f>AND('PROG FORMACIÓN TITULADA'!#REF!,"AAAAAGb/d3Q=")</f>
        <v>#REF!</v>
      </c>
      <c r="DN413" t="e">
        <f>AND('PROG FORMACIÓN TITULADA'!#REF!,"AAAAAGb/d3U=")</f>
        <v>#REF!</v>
      </c>
      <c r="DO413" t="e">
        <f>AND('PROG FORMACIÓN TITULADA'!#REF!,"AAAAAGb/d3Y=")</f>
        <v>#REF!</v>
      </c>
      <c r="DP413" t="e">
        <f>AND('PROG FORMACIÓN TITULADA'!#REF!,"AAAAAGb/d3c=")</f>
        <v>#REF!</v>
      </c>
      <c r="DQ413" t="e">
        <f>AND('PROG FORMACIÓN TITULADA'!#REF!,"AAAAAGb/d3g=")</f>
        <v>#REF!</v>
      </c>
      <c r="DR413" t="e">
        <f>AND('PROG FORMACIÓN TITULADA'!#REF!,"AAAAAGb/d3k=")</f>
        <v>#REF!</v>
      </c>
      <c r="DS413" t="e">
        <f>AND('PROG FORMACIÓN TITULADA'!#REF!,"AAAAAGb/d3o=")</f>
        <v>#REF!</v>
      </c>
      <c r="DT413" t="e">
        <f>AND('PROG FORMACIÓN TITULADA'!#REF!,"AAAAAGb/d3s=")</f>
        <v>#REF!</v>
      </c>
      <c r="DU413" t="e">
        <f>AND('PROG FORMACIÓN TITULADA'!#REF!,"AAAAAGb/d3w=")</f>
        <v>#REF!</v>
      </c>
      <c r="DV413" t="e">
        <f>AND('PROG FORMACIÓN TITULADA'!#REF!,"AAAAAGb/d30=")</f>
        <v>#REF!</v>
      </c>
      <c r="DW413" t="e">
        <f>AND('PROG FORMACIÓN TITULADA'!#REF!,"AAAAAGb/d34=")</f>
        <v>#REF!</v>
      </c>
      <c r="DX413" t="e">
        <f>AND('PROG FORMACIÓN TITULADA'!#REF!,"AAAAAGb/d38=")</f>
        <v>#REF!</v>
      </c>
      <c r="DY413" t="e">
        <f>AND('PROG FORMACIÓN TITULADA'!#REF!,"AAAAAGb/d4A=")</f>
        <v>#REF!</v>
      </c>
      <c r="DZ413" t="e">
        <f>IF('PROG FORMACIÓN TITULADA'!#REF!,"AAAAAGb/d4E=",0)</f>
        <v>#REF!</v>
      </c>
      <c r="EA413" t="e">
        <f>AND('PROG FORMACIÓN TITULADA'!#REF!,"AAAAAGb/d4I=")</f>
        <v>#REF!</v>
      </c>
      <c r="EB413" t="e">
        <f>AND('PROG FORMACIÓN TITULADA'!#REF!,"AAAAAGb/d4M=")</f>
        <v>#REF!</v>
      </c>
      <c r="EC413" t="e">
        <f>AND('PROG FORMACIÓN TITULADA'!#REF!,"AAAAAGb/d4Q=")</f>
        <v>#REF!</v>
      </c>
      <c r="ED413" t="e">
        <f>AND('PROG FORMACIÓN TITULADA'!#REF!,"AAAAAGb/d4U=")</f>
        <v>#REF!</v>
      </c>
      <c r="EE413" t="e">
        <f>AND('PROG FORMACIÓN TITULADA'!#REF!,"AAAAAGb/d4Y=")</f>
        <v>#REF!</v>
      </c>
      <c r="EF413" t="e">
        <f>AND('PROG FORMACIÓN TITULADA'!#REF!,"AAAAAGb/d4c=")</f>
        <v>#REF!</v>
      </c>
      <c r="EG413" t="e">
        <f>AND('PROG FORMACIÓN TITULADA'!#REF!,"AAAAAGb/d4g=")</f>
        <v>#REF!</v>
      </c>
      <c r="EH413" t="e">
        <f>AND('PROG FORMACIÓN TITULADA'!#REF!,"AAAAAGb/d4k=")</f>
        <v>#REF!</v>
      </c>
      <c r="EI413" t="e">
        <f>AND('PROG FORMACIÓN TITULADA'!#REF!,"AAAAAGb/d4o=")</f>
        <v>#REF!</v>
      </c>
      <c r="EJ413" t="e">
        <f>AND('PROG FORMACIÓN TITULADA'!#REF!,"AAAAAGb/d4s=")</f>
        <v>#REF!</v>
      </c>
      <c r="EK413" t="e">
        <f>AND('PROG FORMACIÓN TITULADA'!#REF!,"AAAAAGb/d4w=")</f>
        <v>#REF!</v>
      </c>
      <c r="EL413" t="e">
        <f>AND('PROG FORMACIÓN TITULADA'!#REF!,"AAAAAGb/d40=")</f>
        <v>#REF!</v>
      </c>
      <c r="EM413" t="e">
        <f>AND('PROG FORMACIÓN TITULADA'!#REF!,"AAAAAGb/d44=")</f>
        <v>#REF!</v>
      </c>
      <c r="EN413" t="e">
        <f>AND('PROG FORMACIÓN TITULADA'!#REF!,"AAAAAGb/d48=")</f>
        <v>#REF!</v>
      </c>
      <c r="EO413" t="e">
        <f>AND('PROG FORMACIÓN TITULADA'!#REF!,"AAAAAGb/d5A=")</f>
        <v>#REF!</v>
      </c>
      <c r="EP413" t="e">
        <f>AND('PROG FORMACIÓN TITULADA'!#REF!,"AAAAAGb/d5E=")</f>
        <v>#REF!</v>
      </c>
      <c r="EQ413" t="e">
        <f>AND('PROG FORMACIÓN TITULADA'!#REF!,"AAAAAGb/d5I=")</f>
        <v>#REF!</v>
      </c>
      <c r="ER413" t="e">
        <f>AND('PROG FORMACIÓN TITULADA'!#REF!,"AAAAAGb/d5M=")</f>
        <v>#REF!</v>
      </c>
      <c r="ES413" t="e">
        <f>AND('PROG FORMACIÓN TITULADA'!#REF!,"AAAAAGb/d5Q=")</f>
        <v>#REF!</v>
      </c>
      <c r="ET413" t="e">
        <f>AND('PROG FORMACIÓN TITULADA'!#REF!,"AAAAAGb/d5U=")</f>
        <v>#REF!</v>
      </c>
      <c r="EU413" t="e">
        <f>AND('PROG FORMACIÓN TITULADA'!#REF!,"AAAAAGb/d5Y=")</f>
        <v>#REF!</v>
      </c>
      <c r="EV413" t="e">
        <f>AND('PROG FORMACIÓN TITULADA'!#REF!,"AAAAAGb/d5c=")</f>
        <v>#REF!</v>
      </c>
      <c r="EW413" t="e">
        <f>AND('PROG FORMACIÓN TITULADA'!#REF!,"AAAAAGb/d5g=")</f>
        <v>#REF!</v>
      </c>
      <c r="EX413" t="e">
        <f>AND('PROG FORMACIÓN TITULADA'!#REF!,"AAAAAGb/d5k=")</f>
        <v>#REF!</v>
      </c>
      <c r="EY413" t="e">
        <f>AND('PROG FORMACIÓN TITULADA'!#REF!,"AAAAAGb/d5o=")</f>
        <v>#REF!</v>
      </c>
      <c r="EZ413" t="e">
        <f>AND('PROG FORMACIÓN TITULADA'!#REF!,"AAAAAGb/d5s=")</f>
        <v>#REF!</v>
      </c>
      <c r="FA413" t="e">
        <f>IF('PROG FORMACIÓN TITULADA'!#REF!,"AAAAAGb/d5w=",0)</f>
        <v>#REF!</v>
      </c>
      <c r="FB413" t="e">
        <f>AND('PROG FORMACIÓN TITULADA'!#REF!,"AAAAAGb/d50=")</f>
        <v>#REF!</v>
      </c>
      <c r="FC413" t="e">
        <f>AND('PROG FORMACIÓN TITULADA'!#REF!,"AAAAAGb/d54=")</f>
        <v>#REF!</v>
      </c>
      <c r="FD413" t="e">
        <f>AND('PROG FORMACIÓN TITULADA'!#REF!,"AAAAAGb/d58=")</f>
        <v>#REF!</v>
      </c>
      <c r="FE413" t="e">
        <f>AND('PROG FORMACIÓN TITULADA'!#REF!,"AAAAAGb/d6A=")</f>
        <v>#REF!</v>
      </c>
      <c r="FF413" t="e">
        <f>AND('PROG FORMACIÓN TITULADA'!#REF!,"AAAAAGb/d6E=")</f>
        <v>#REF!</v>
      </c>
      <c r="FG413" t="e">
        <f>AND('PROG FORMACIÓN TITULADA'!#REF!,"AAAAAGb/d6I=")</f>
        <v>#REF!</v>
      </c>
      <c r="FH413" t="e">
        <f>AND('PROG FORMACIÓN TITULADA'!#REF!,"AAAAAGb/d6M=")</f>
        <v>#REF!</v>
      </c>
      <c r="FI413" t="e">
        <f>AND('PROG FORMACIÓN TITULADA'!#REF!,"AAAAAGb/d6Q=")</f>
        <v>#REF!</v>
      </c>
      <c r="FJ413" t="e">
        <f>AND('PROG FORMACIÓN TITULADA'!#REF!,"AAAAAGb/d6U=")</f>
        <v>#REF!</v>
      </c>
      <c r="FK413" t="e">
        <f>AND('PROG FORMACIÓN TITULADA'!#REF!,"AAAAAGb/d6Y=")</f>
        <v>#REF!</v>
      </c>
      <c r="FL413" t="e">
        <f>AND('PROG FORMACIÓN TITULADA'!#REF!,"AAAAAGb/d6c=")</f>
        <v>#REF!</v>
      </c>
      <c r="FM413" t="e">
        <f>AND('PROG FORMACIÓN TITULADA'!#REF!,"AAAAAGb/d6g=")</f>
        <v>#REF!</v>
      </c>
      <c r="FN413" t="e">
        <f>AND('PROG FORMACIÓN TITULADA'!#REF!,"AAAAAGb/d6k=")</f>
        <v>#REF!</v>
      </c>
      <c r="FO413" t="e">
        <f>AND('PROG FORMACIÓN TITULADA'!#REF!,"AAAAAGb/d6o=")</f>
        <v>#REF!</v>
      </c>
      <c r="FP413" t="e">
        <f>AND('PROG FORMACIÓN TITULADA'!#REF!,"AAAAAGb/d6s=")</f>
        <v>#REF!</v>
      </c>
      <c r="FQ413" t="e">
        <f>AND('PROG FORMACIÓN TITULADA'!#REF!,"AAAAAGb/d6w=")</f>
        <v>#REF!</v>
      </c>
      <c r="FR413" t="e">
        <f>AND('PROG FORMACIÓN TITULADA'!#REF!,"AAAAAGb/d60=")</f>
        <v>#REF!</v>
      </c>
      <c r="FS413" t="e">
        <f>AND('PROG FORMACIÓN TITULADA'!#REF!,"AAAAAGb/d64=")</f>
        <v>#REF!</v>
      </c>
      <c r="FT413" t="e">
        <f>AND('PROG FORMACIÓN TITULADA'!#REF!,"AAAAAGb/d68=")</f>
        <v>#REF!</v>
      </c>
      <c r="FU413" t="e">
        <f>AND('PROG FORMACIÓN TITULADA'!#REF!,"AAAAAGb/d7A=")</f>
        <v>#REF!</v>
      </c>
      <c r="FV413" t="e">
        <f>AND('PROG FORMACIÓN TITULADA'!#REF!,"AAAAAGb/d7E=")</f>
        <v>#REF!</v>
      </c>
      <c r="FW413" t="e">
        <f>AND('PROG FORMACIÓN TITULADA'!#REF!,"AAAAAGb/d7I=")</f>
        <v>#REF!</v>
      </c>
      <c r="FX413" t="e">
        <f>AND('PROG FORMACIÓN TITULADA'!#REF!,"AAAAAGb/d7M=")</f>
        <v>#REF!</v>
      </c>
      <c r="FY413" t="e">
        <f>AND('PROG FORMACIÓN TITULADA'!#REF!,"AAAAAGb/d7Q=")</f>
        <v>#REF!</v>
      </c>
      <c r="FZ413" t="e">
        <f>AND('PROG FORMACIÓN TITULADA'!#REF!,"AAAAAGb/d7U=")</f>
        <v>#REF!</v>
      </c>
      <c r="GA413" t="e">
        <f>AND('PROG FORMACIÓN TITULADA'!#REF!,"AAAAAGb/d7Y=")</f>
        <v>#REF!</v>
      </c>
      <c r="GB413" t="e">
        <f>IF('PROG FORMACIÓN TITULADA'!#REF!,"AAAAAGb/d7c=",0)</f>
        <v>#REF!</v>
      </c>
      <c r="GC413" t="e">
        <f>AND('PROG FORMACIÓN TITULADA'!#REF!,"AAAAAGb/d7g=")</f>
        <v>#REF!</v>
      </c>
      <c r="GD413" t="e">
        <f>AND('PROG FORMACIÓN TITULADA'!#REF!,"AAAAAGb/d7k=")</f>
        <v>#REF!</v>
      </c>
      <c r="GE413" t="e">
        <f>AND('PROG FORMACIÓN TITULADA'!#REF!,"AAAAAGb/d7o=")</f>
        <v>#REF!</v>
      </c>
      <c r="GF413" t="e">
        <f>AND('PROG FORMACIÓN TITULADA'!#REF!,"AAAAAGb/d7s=")</f>
        <v>#REF!</v>
      </c>
      <c r="GG413" t="e">
        <f>AND('PROG FORMACIÓN TITULADA'!#REF!,"AAAAAGb/d7w=")</f>
        <v>#REF!</v>
      </c>
      <c r="GH413" t="e">
        <f>AND('PROG FORMACIÓN TITULADA'!#REF!,"AAAAAGb/d70=")</f>
        <v>#REF!</v>
      </c>
      <c r="GI413" t="e">
        <f>AND('PROG FORMACIÓN TITULADA'!#REF!,"AAAAAGb/d74=")</f>
        <v>#REF!</v>
      </c>
      <c r="GJ413" t="e">
        <f>AND('PROG FORMACIÓN TITULADA'!#REF!,"AAAAAGb/d78=")</f>
        <v>#REF!</v>
      </c>
      <c r="GK413" t="e">
        <f>AND('PROG FORMACIÓN TITULADA'!#REF!,"AAAAAGb/d8A=")</f>
        <v>#REF!</v>
      </c>
      <c r="GL413" t="e">
        <f>AND('PROG FORMACIÓN TITULADA'!#REF!,"AAAAAGb/d8E=")</f>
        <v>#REF!</v>
      </c>
      <c r="GM413" t="e">
        <f>AND('PROG FORMACIÓN TITULADA'!#REF!,"AAAAAGb/d8I=")</f>
        <v>#REF!</v>
      </c>
      <c r="GN413" t="e">
        <f>AND('PROG FORMACIÓN TITULADA'!#REF!,"AAAAAGb/d8M=")</f>
        <v>#REF!</v>
      </c>
      <c r="GO413" t="e">
        <f>AND('PROG FORMACIÓN TITULADA'!#REF!,"AAAAAGb/d8Q=")</f>
        <v>#REF!</v>
      </c>
      <c r="GP413" t="e">
        <f>AND('PROG FORMACIÓN TITULADA'!#REF!,"AAAAAGb/d8U=")</f>
        <v>#REF!</v>
      </c>
      <c r="GQ413" t="e">
        <f>AND('PROG FORMACIÓN TITULADA'!#REF!,"AAAAAGb/d8Y=")</f>
        <v>#REF!</v>
      </c>
      <c r="GR413" t="e">
        <f>AND('PROG FORMACIÓN TITULADA'!#REF!,"AAAAAGb/d8c=")</f>
        <v>#REF!</v>
      </c>
      <c r="GS413" t="e">
        <f>AND('PROG FORMACIÓN TITULADA'!#REF!,"AAAAAGb/d8g=")</f>
        <v>#REF!</v>
      </c>
      <c r="GT413" t="e">
        <f>AND('PROG FORMACIÓN TITULADA'!#REF!,"AAAAAGb/d8k=")</f>
        <v>#REF!</v>
      </c>
      <c r="GU413" t="e">
        <f>AND('PROG FORMACIÓN TITULADA'!#REF!,"AAAAAGb/d8o=")</f>
        <v>#REF!</v>
      </c>
      <c r="GV413" t="e">
        <f>AND('PROG FORMACIÓN TITULADA'!#REF!,"AAAAAGb/d8s=")</f>
        <v>#REF!</v>
      </c>
      <c r="GW413" t="e">
        <f>AND('PROG FORMACIÓN TITULADA'!#REF!,"AAAAAGb/d8w=")</f>
        <v>#REF!</v>
      </c>
      <c r="GX413" t="e">
        <f>AND('PROG FORMACIÓN TITULADA'!#REF!,"AAAAAGb/d80=")</f>
        <v>#REF!</v>
      </c>
      <c r="GY413" t="e">
        <f>AND('PROG FORMACIÓN TITULADA'!#REF!,"AAAAAGb/d84=")</f>
        <v>#REF!</v>
      </c>
      <c r="GZ413" t="e">
        <f>AND('PROG FORMACIÓN TITULADA'!#REF!,"AAAAAGb/d88=")</f>
        <v>#REF!</v>
      </c>
      <c r="HA413" t="e">
        <f>AND('PROG FORMACIÓN TITULADA'!#REF!,"AAAAAGb/d9A=")</f>
        <v>#REF!</v>
      </c>
      <c r="HB413" t="e">
        <f>AND('PROG FORMACIÓN TITULADA'!#REF!,"AAAAAGb/d9E=")</f>
        <v>#REF!</v>
      </c>
      <c r="HC413" t="e">
        <f>IF('PROG FORMACIÓN TITULADA'!#REF!,"AAAAAGb/d9I=",0)</f>
        <v>#REF!</v>
      </c>
      <c r="HD413" t="e">
        <f>AND('PROG FORMACIÓN TITULADA'!#REF!,"AAAAAGb/d9M=")</f>
        <v>#REF!</v>
      </c>
      <c r="HE413" t="e">
        <f>AND('PROG FORMACIÓN TITULADA'!#REF!,"AAAAAGb/d9Q=")</f>
        <v>#REF!</v>
      </c>
      <c r="HF413" t="e">
        <f>AND('PROG FORMACIÓN TITULADA'!#REF!,"AAAAAGb/d9U=")</f>
        <v>#REF!</v>
      </c>
      <c r="HG413" t="e">
        <f>AND('PROG FORMACIÓN TITULADA'!#REF!,"AAAAAGb/d9Y=")</f>
        <v>#REF!</v>
      </c>
      <c r="HH413" t="e">
        <f>AND('PROG FORMACIÓN TITULADA'!#REF!,"AAAAAGb/d9c=")</f>
        <v>#REF!</v>
      </c>
      <c r="HI413" t="e">
        <f>AND('PROG FORMACIÓN TITULADA'!#REF!,"AAAAAGb/d9g=")</f>
        <v>#REF!</v>
      </c>
      <c r="HJ413" t="e">
        <f>AND('PROG FORMACIÓN TITULADA'!#REF!,"AAAAAGb/d9k=")</f>
        <v>#REF!</v>
      </c>
      <c r="HK413" t="e">
        <f>AND('PROG FORMACIÓN TITULADA'!#REF!,"AAAAAGb/d9o=")</f>
        <v>#REF!</v>
      </c>
      <c r="HL413" t="e">
        <f>AND('PROG FORMACIÓN TITULADA'!#REF!,"AAAAAGb/d9s=")</f>
        <v>#REF!</v>
      </c>
      <c r="HM413" t="e">
        <f>AND('PROG FORMACIÓN TITULADA'!#REF!,"AAAAAGb/d9w=")</f>
        <v>#REF!</v>
      </c>
      <c r="HN413" t="e">
        <f>AND('PROG FORMACIÓN TITULADA'!#REF!,"AAAAAGb/d90=")</f>
        <v>#REF!</v>
      </c>
      <c r="HO413" t="e">
        <f>AND('PROG FORMACIÓN TITULADA'!#REF!,"AAAAAGb/d94=")</f>
        <v>#REF!</v>
      </c>
      <c r="HP413" t="e">
        <f>AND('PROG FORMACIÓN TITULADA'!#REF!,"AAAAAGb/d98=")</f>
        <v>#REF!</v>
      </c>
      <c r="HQ413" t="e">
        <f>AND('PROG FORMACIÓN TITULADA'!#REF!,"AAAAAGb/d+A=")</f>
        <v>#REF!</v>
      </c>
      <c r="HR413" t="e">
        <f>AND('PROG FORMACIÓN TITULADA'!#REF!,"AAAAAGb/d+E=")</f>
        <v>#REF!</v>
      </c>
      <c r="HS413" t="e">
        <f>AND('PROG FORMACIÓN TITULADA'!#REF!,"AAAAAGb/d+I=")</f>
        <v>#REF!</v>
      </c>
      <c r="HT413" t="e">
        <f>AND('PROG FORMACIÓN TITULADA'!#REF!,"AAAAAGb/d+M=")</f>
        <v>#REF!</v>
      </c>
      <c r="HU413" t="e">
        <f>AND('PROG FORMACIÓN TITULADA'!#REF!,"AAAAAGb/d+Q=")</f>
        <v>#REF!</v>
      </c>
      <c r="HV413" t="e">
        <f>AND('PROG FORMACIÓN TITULADA'!#REF!,"AAAAAGb/d+U=")</f>
        <v>#REF!</v>
      </c>
      <c r="HW413" t="e">
        <f>AND('PROG FORMACIÓN TITULADA'!#REF!,"AAAAAGb/d+Y=")</f>
        <v>#REF!</v>
      </c>
      <c r="HX413" t="e">
        <f>AND('PROG FORMACIÓN TITULADA'!#REF!,"AAAAAGb/d+c=")</f>
        <v>#REF!</v>
      </c>
      <c r="HY413" t="e">
        <f>AND('PROG FORMACIÓN TITULADA'!#REF!,"AAAAAGb/d+g=")</f>
        <v>#REF!</v>
      </c>
      <c r="HZ413" t="e">
        <f>AND('PROG FORMACIÓN TITULADA'!#REF!,"AAAAAGb/d+k=")</f>
        <v>#REF!</v>
      </c>
      <c r="IA413" t="e">
        <f>AND('PROG FORMACIÓN TITULADA'!#REF!,"AAAAAGb/d+o=")</f>
        <v>#REF!</v>
      </c>
      <c r="IB413" t="e">
        <f>AND('PROG FORMACIÓN TITULADA'!#REF!,"AAAAAGb/d+s=")</f>
        <v>#REF!</v>
      </c>
      <c r="IC413" t="e">
        <f>AND('PROG FORMACIÓN TITULADA'!#REF!,"AAAAAGb/d+w=")</f>
        <v>#REF!</v>
      </c>
      <c r="ID413" t="e">
        <f>IF('PROG FORMACIÓN TITULADA'!#REF!,"AAAAAGb/d+0=",0)</f>
        <v>#REF!</v>
      </c>
      <c r="IE413" t="e">
        <f>AND('PROG FORMACIÓN TITULADA'!#REF!,"AAAAAGb/d+4=")</f>
        <v>#REF!</v>
      </c>
      <c r="IF413" t="e">
        <f>AND('PROG FORMACIÓN TITULADA'!#REF!,"AAAAAGb/d+8=")</f>
        <v>#REF!</v>
      </c>
      <c r="IG413" t="e">
        <f>AND('PROG FORMACIÓN TITULADA'!#REF!,"AAAAAGb/d/A=")</f>
        <v>#REF!</v>
      </c>
      <c r="IH413" t="e">
        <f>AND('PROG FORMACIÓN TITULADA'!#REF!,"AAAAAGb/d/E=")</f>
        <v>#REF!</v>
      </c>
      <c r="II413" t="e">
        <f>AND('PROG FORMACIÓN TITULADA'!#REF!,"AAAAAGb/d/I=")</f>
        <v>#REF!</v>
      </c>
      <c r="IJ413" t="e">
        <f>AND('PROG FORMACIÓN TITULADA'!#REF!,"AAAAAGb/d/M=")</f>
        <v>#REF!</v>
      </c>
      <c r="IK413" t="e">
        <f>AND('PROG FORMACIÓN TITULADA'!#REF!,"AAAAAGb/d/Q=")</f>
        <v>#REF!</v>
      </c>
      <c r="IL413" t="e">
        <f>AND('PROG FORMACIÓN TITULADA'!#REF!,"AAAAAGb/d/U=")</f>
        <v>#REF!</v>
      </c>
      <c r="IM413" t="e">
        <f>AND('PROG FORMACIÓN TITULADA'!#REF!,"AAAAAGb/d/Y=")</f>
        <v>#REF!</v>
      </c>
      <c r="IN413" t="e">
        <f>AND('PROG FORMACIÓN TITULADA'!#REF!,"AAAAAGb/d/c=")</f>
        <v>#REF!</v>
      </c>
      <c r="IO413" t="e">
        <f>AND('PROG FORMACIÓN TITULADA'!#REF!,"AAAAAGb/d/g=")</f>
        <v>#REF!</v>
      </c>
      <c r="IP413" t="e">
        <f>AND('PROG FORMACIÓN TITULADA'!#REF!,"AAAAAGb/d/k=")</f>
        <v>#REF!</v>
      </c>
      <c r="IQ413" t="e">
        <f>AND('PROG FORMACIÓN TITULADA'!#REF!,"AAAAAGb/d/o=")</f>
        <v>#REF!</v>
      </c>
      <c r="IR413" t="e">
        <f>AND('PROG FORMACIÓN TITULADA'!#REF!,"AAAAAGb/d/s=")</f>
        <v>#REF!</v>
      </c>
      <c r="IS413" t="e">
        <f>AND('PROG FORMACIÓN TITULADA'!#REF!,"AAAAAGb/d/w=")</f>
        <v>#REF!</v>
      </c>
      <c r="IT413" t="e">
        <f>AND('PROG FORMACIÓN TITULADA'!#REF!,"AAAAAGb/d/0=")</f>
        <v>#REF!</v>
      </c>
      <c r="IU413" t="e">
        <f>AND('PROG FORMACIÓN TITULADA'!#REF!,"AAAAAGb/d/4=")</f>
        <v>#REF!</v>
      </c>
      <c r="IV413" t="e">
        <f>AND('PROG FORMACIÓN TITULADA'!#REF!,"AAAAAGb/d/8=")</f>
        <v>#REF!</v>
      </c>
    </row>
    <row r="414" spans="1:256" x14ac:dyDescent="0.2">
      <c r="A414" t="e">
        <f>AND('PROG FORMACIÓN TITULADA'!#REF!,"AAAAAB9bNgA=")</f>
        <v>#REF!</v>
      </c>
      <c r="B414" t="e">
        <f>AND('PROG FORMACIÓN TITULADA'!#REF!,"AAAAAB9bNgE=")</f>
        <v>#REF!</v>
      </c>
      <c r="C414" t="e">
        <f>AND('PROG FORMACIÓN TITULADA'!#REF!,"AAAAAB9bNgI=")</f>
        <v>#REF!</v>
      </c>
      <c r="D414" t="e">
        <f>AND('PROG FORMACIÓN TITULADA'!#REF!,"AAAAAB9bNgM=")</f>
        <v>#REF!</v>
      </c>
      <c r="E414" t="e">
        <f>AND('PROG FORMACIÓN TITULADA'!#REF!,"AAAAAB9bNgQ=")</f>
        <v>#REF!</v>
      </c>
      <c r="F414" t="e">
        <f>AND('PROG FORMACIÓN TITULADA'!#REF!,"AAAAAB9bNgU=")</f>
        <v>#REF!</v>
      </c>
      <c r="G414" t="e">
        <f>AND('PROG FORMACIÓN TITULADA'!#REF!,"AAAAAB9bNgY=")</f>
        <v>#REF!</v>
      </c>
      <c r="H414" t="e">
        <f>AND('PROG FORMACIÓN TITULADA'!#REF!,"AAAAAB9bNgc=")</f>
        <v>#REF!</v>
      </c>
      <c r="I414" t="e">
        <f>IF('PROG FORMACIÓN TITULADA'!#REF!,"AAAAAB9bNgg=",0)</f>
        <v>#REF!</v>
      </c>
      <c r="J414" t="e">
        <f>AND('PROG FORMACIÓN TITULADA'!#REF!,"AAAAAB9bNgk=")</f>
        <v>#REF!</v>
      </c>
      <c r="K414" t="e">
        <f>AND('PROG FORMACIÓN TITULADA'!#REF!,"AAAAAB9bNgo=")</f>
        <v>#REF!</v>
      </c>
      <c r="L414" t="e">
        <f>AND('PROG FORMACIÓN TITULADA'!#REF!,"AAAAAB9bNgs=")</f>
        <v>#REF!</v>
      </c>
      <c r="M414" t="e">
        <f>AND('PROG FORMACIÓN TITULADA'!#REF!,"AAAAAB9bNgw=")</f>
        <v>#REF!</v>
      </c>
      <c r="N414" t="e">
        <f>AND('PROG FORMACIÓN TITULADA'!#REF!,"AAAAAB9bNg0=")</f>
        <v>#REF!</v>
      </c>
      <c r="O414" t="e">
        <f>AND('PROG FORMACIÓN TITULADA'!#REF!,"AAAAAB9bNg4=")</f>
        <v>#REF!</v>
      </c>
      <c r="P414" t="e">
        <f>AND('PROG FORMACIÓN TITULADA'!#REF!,"AAAAAB9bNg8=")</f>
        <v>#REF!</v>
      </c>
      <c r="Q414" t="e">
        <f>AND('PROG FORMACIÓN TITULADA'!#REF!,"AAAAAB9bNhA=")</f>
        <v>#REF!</v>
      </c>
      <c r="R414" t="e">
        <f>AND('PROG FORMACIÓN TITULADA'!#REF!,"AAAAAB9bNhE=")</f>
        <v>#REF!</v>
      </c>
      <c r="S414" t="e">
        <f>AND('PROG FORMACIÓN TITULADA'!#REF!,"AAAAAB9bNhI=")</f>
        <v>#REF!</v>
      </c>
      <c r="T414" t="e">
        <f>AND('PROG FORMACIÓN TITULADA'!#REF!,"AAAAAB9bNhM=")</f>
        <v>#REF!</v>
      </c>
      <c r="U414" t="e">
        <f>AND('PROG FORMACIÓN TITULADA'!#REF!,"AAAAAB9bNhQ=")</f>
        <v>#REF!</v>
      </c>
      <c r="V414" t="e">
        <f>AND('PROG FORMACIÓN TITULADA'!#REF!,"AAAAAB9bNhU=")</f>
        <v>#REF!</v>
      </c>
      <c r="W414" t="e">
        <f>AND('PROG FORMACIÓN TITULADA'!#REF!,"AAAAAB9bNhY=")</f>
        <v>#REF!</v>
      </c>
      <c r="X414" t="e">
        <f>AND('PROG FORMACIÓN TITULADA'!#REF!,"AAAAAB9bNhc=")</f>
        <v>#REF!</v>
      </c>
      <c r="Y414" t="e">
        <f>AND('PROG FORMACIÓN TITULADA'!#REF!,"AAAAAB9bNhg=")</f>
        <v>#REF!</v>
      </c>
      <c r="Z414" t="e">
        <f>AND('PROG FORMACIÓN TITULADA'!#REF!,"AAAAAB9bNhk=")</f>
        <v>#REF!</v>
      </c>
      <c r="AA414" t="e">
        <f>AND('PROG FORMACIÓN TITULADA'!#REF!,"AAAAAB9bNho=")</f>
        <v>#REF!</v>
      </c>
      <c r="AB414" t="e">
        <f>AND('PROG FORMACIÓN TITULADA'!#REF!,"AAAAAB9bNhs=")</f>
        <v>#REF!</v>
      </c>
      <c r="AC414" t="e">
        <f>AND('PROG FORMACIÓN TITULADA'!#REF!,"AAAAAB9bNhw=")</f>
        <v>#REF!</v>
      </c>
      <c r="AD414" t="e">
        <f>AND('PROG FORMACIÓN TITULADA'!#REF!,"AAAAAB9bNh0=")</f>
        <v>#REF!</v>
      </c>
      <c r="AE414" t="e">
        <f>AND('PROG FORMACIÓN TITULADA'!#REF!,"AAAAAB9bNh4=")</f>
        <v>#REF!</v>
      </c>
      <c r="AF414" t="e">
        <f>AND('PROG FORMACIÓN TITULADA'!#REF!,"AAAAAB9bNh8=")</f>
        <v>#REF!</v>
      </c>
      <c r="AG414" t="e">
        <f>AND('PROG FORMACIÓN TITULADA'!#REF!,"AAAAAB9bNiA=")</f>
        <v>#REF!</v>
      </c>
      <c r="AH414" t="e">
        <f>AND('PROG FORMACIÓN TITULADA'!#REF!,"AAAAAB9bNiE=")</f>
        <v>#REF!</v>
      </c>
      <c r="AI414" t="e">
        <f>AND('PROG FORMACIÓN TITULADA'!#REF!,"AAAAAB9bNiI=")</f>
        <v>#REF!</v>
      </c>
      <c r="AJ414" t="e">
        <f>IF('PROG FORMACIÓN TITULADA'!#REF!,"AAAAAB9bNiM=",0)</f>
        <v>#REF!</v>
      </c>
      <c r="AK414" t="e">
        <f>AND('PROG FORMACIÓN TITULADA'!#REF!,"AAAAAB9bNiQ=")</f>
        <v>#REF!</v>
      </c>
      <c r="AL414" t="e">
        <f>AND('PROG FORMACIÓN TITULADA'!#REF!,"AAAAAB9bNiU=")</f>
        <v>#REF!</v>
      </c>
      <c r="AM414" t="e">
        <f>AND('PROG FORMACIÓN TITULADA'!#REF!,"AAAAAB9bNiY=")</f>
        <v>#REF!</v>
      </c>
      <c r="AN414" t="e">
        <f>AND('PROG FORMACIÓN TITULADA'!#REF!,"AAAAAB9bNic=")</f>
        <v>#REF!</v>
      </c>
      <c r="AO414" t="e">
        <f>AND('PROG FORMACIÓN TITULADA'!#REF!,"AAAAAB9bNig=")</f>
        <v>#REF!</v>
      </c>
      <c r="AP414" t="e">
        <f>AND('PROG FORMACIÓN TITULADA'!#REF!,"AAAAAB9bNik=")</f>
        <v>#REF!</v>
      </c>
      <c r="AQ414" t="e">
        <f>AND('PROG FORMACIÓN TITULADA'!#REF!,"AAAAAB9bNio=")</f>
        <v>#REF!</v>
      </c>
      <c r="AR414" t="e">
        <f>AND('PROG FORMACIÓN TITULADA'!#REF!,"AAAAAB9bNis=")</f>
        <v>#REF!</v>
      </c>
      <c r="AS414" t="e">
        <f>AND('PROG FORMACIÓN TITULADA'!#REF!,"AAAAAB9bNiw=")</f>
        <v>#REF!</v>
      </c>
      <c r="AT414" t="e">
        <f>AND('PROG FORMACIÓN TITULADA'!#REF!,"AAAAAB9bNi0=")</f>
        <v>#REF!</v>
      </c>
      <c r="AU414" t="e">
        <f>AND('PROG FORMACIÓN TITULADA'!#REF!,"AAAAAB9bNi4=")</f>
        <v>#REF!</v>
      </c>
      <c r="AV414" t="e">
        <f>AND('PROG FORMACIÓN TITULADA'!#REF!,"AAAAAB9bNi8=")</f>
        <v>#REF!</v>
      </c>
      <c r="AW414" t="e">
        <f>AND('PROG FORMACIÓN TITULADA'!#REF!,"AAAAAB9bNjA=")</f>
        <v>#REF!</v>
      </c>
      <c r="AX414" t="e">
        <f>AND('PROG FORMACIÓN TITULADA'!#REF!,"AAAAAB9bNjE=")</f>
        <v>#REF!</v>
      </c>
      <c r="AY414" t="e">
        <f>AND('PROG FORMACIÓN TITULADA'!#REF!,"AAAAAB9bNjI=")</f>
        <v>#REF!</v>
      </c>
      <c r="AZ414" t="e">
        <f>AND('PROG FORMACIÓN TITULADA'!#REF!,"AAAAAB9bNjM=")</f>
        <v>#REF!</v>
      </c>
      <c r="BA414" t="e">
        <f>AND('PROG FORMACIÓN TITULADA'!#REF!,"AAAAAB9bNjQ=")</f>
        <v>#REF!</v>
      </c>
      <c r="BB414" t="e">
        <f>AND('PROG FORMACIÓN TITULADA'!#REF!,"AAAAAB9bNjU=")</f>
        <v>#REF!</v>
      </c>
      <c r="BC414" t="e">
        <f>AND('PROG FORMACIÓN TITULADA'!#REF!,"AAAAAB9bNjY=")</f>
        <v>#REF!</v>
      </c>
      <c r="BD414" t="e">
        <f>AND('PROG FORMACIÓN TITULADA'!#REF!,"AAAAAB9bNjc=")</f>
        <v>#REF!</v>
      </c>
      <c r="BE414" t="e">
        <f>AND('PROG FORMACIÓN TITULADA'!#REF!,"AAAAAB9bNjg=")</f>
        <v>#REF!</v>
      </c>
      <c r="BF414" t="e">
        <f>AND('PROG FORMACIÓN TITULADA'!#REF!,"AAAAAB9bNjk=")</f>
        <v>#REF!</v>
      </c>
      <c r="BG414" t="e">
        <f>AND('PROG FORMACIÓN TITULADA'!#REF!,"AAAAAB9bNjo=")</f>
        <v>#REF!</v>
      </c>
      <c r="BH414" t="e">
        <f>AND('PROG FORMACIÓN TITULADA'!#REF!,"AAAAAB9bNjs=")</f>
        <v>#REF!</v>
      </c>
      <c r="BI414" t="e">
        <f>AND('PROG FORMACIÓN TITULADA'!#REF!,"AAAAAB9bNjw=")</f>
        <v>#REF!</v>
      </c>
      <c r="BJ414" t="e">
        <f>AND('PROG FORMACIÓN TITULADA'!#REF!,"AAAAAB9bNj0=")</f>
        <v>#REF!</v>
      </c>
      <c r="BK414" t="e">
        <f>IF('PROG FORMACIÓN TITULADA'!#REF!,"AAAAAB9bNj4=",0)</f>
        <v>#REF!</v>
      </c>
      <c r="BL414" t="e">
        <f>AND('PROG FORMACIÓN TITULADA'!#REF!,"AAAAAB9bNj8=")</f>
        <v>#REF!</v>
      </c>
      <c r="BM414" t="e">
        <f>AND('PROG FORMACIÓN TITULADA'!#REF!,"AAAAAB9bNkA=")</f>
        <v>#REF!</v>
      </c>
      <c r="BN414" t="e">
        <f>AND('PROG FORMACIÓN TITULADA'!#REF!,"AAAAAB9bNkE=")</f>
        <v>#REF!</v>
      </c>
      <c r="BO414" t="e">
        <f>AND('PROG FORMACIÓN TITULADA'!#REF!,"AAAAAB9bNkI=")</f>
        <v>#REF!</v>
      </c>
      <c r="BP414" t="e">
        <f>AND('PROG FORMACIÓN TITULADA'!#REF!,"AAAAAB9bNkM=")</f>
        <v>#REF!</v>
      </c>
      <c r="BQ414" t="e">
        <f>AND('PROG FORMACIÓN TITULADA'!#REF!,"AAAAAB9bNkQ=")</f>
        <v>#REF!</v>
      </c>
      <c r="BR414" t="e">
        <f>AND('PROG FORMACIÓN TITULADA'!#REF!,"AAAAAB9bNkU=")</f>
        <v>#REF!</v>
      </c>
      <c r="BS414" t="e">
        <f>AND('PROG FORMACIÓN TITULADA'!#REF!,"AAAAAB9bNkY=")</f>
        <v>#REF!</v>
      </c>
      <c r="BT414" t="e">
        <f>AND('PROG FORMACIÓN TITULADA'!#REF!,"AAAAAB9bNkc=")</f>
        <v>#REF!</v>
      </c>
      <c r="BU414" t="e">
        <f>AND('PROG FORMACIÓN TITULADA'!#REF!,"AAAAAB9bNkg=")</f>
        <v>#REF!</v>
      </c>
      <c r="BV414" t="e">
        <f>AND('PROG FORMACIÓN TITULADA'!#REF!,"AAAAAB9bNkk=")</f>
        <v>#REF!</v>
      </c>
      <c r="BW414" t="e">
        <f>AND('PROG FORMACIÓN TITULADA'!#REF!,"AAAAAB9bNko=")</f>
        <v>#REF!</v>
      </c>
      <c r="BX414" t="e">
        <f>AND('PROG FORMACIÓN TITULADA'!#REF!,"AAAAAB9bNks=")</f>
        <v>#REF!</v>
      </c>
      <c r="BY414" t="e">
        <f>AND('PROG FORMACIÓN TITULADA'!#REF!,"AAAAAB9bNkw=")</f>
        <v>#REF!</v>
      </c>
      <c r="BZ414" t="e">
        <f>AND('PROG FORMACIÓN TITULADA'!#REF!,"AAAAAB9bNk0=")</f>
        <v>#REF!</v>
      </c>
      <c r="CA414" t="e">
        <f>AND('PROG FORMACIÓN TITULADA'!#REF!,"AAAAAB9bNk4=")</f>
        <v>#REF!</v>
      </c>
      <c r="CB414" t="e">
        <f>AND('PROG FORMACIÓN TITULADA'!#REF!,"AAAAAB9bNk8=")</f>
        <v>#REF!</v>
      </c>
      <c r="CC414" t="e">
        <f>AND('PROG FORMACIÓN TITULADA'!#REF!,"AAAAAB9bNlA=")</f>
        <v>#REF!</v>
      </c>
      <c r="CD414" t="e">
        <f>AND('PROG FORMACIÓN TITULADA'!#REF!,"AAAAAB9bNlE=")</f>
        <v>#REF!</v>
      </c>
      <c r="CE414" t="e">
        <f>AND('PROG FORMACIÓN TITULADA'!#REF!,"AAAAAB9bNlI=")</f>
        <v>#REF!</v>
      </c>
      <c r="CF414" t="e">
        <f>AND('PROG FORMACIÓN TITULADA'!#REF!,"AAAAAB9bNlM=")</f>
        <v>#REF!</v>
      </c>
      <c r="CG414" t="e">
        <f>AND('PROG FORMACIÓN TITULADA'!#REF!,"AAAAAB9bNlQ=")</f>
        <v>#REF!</v>
      </c>
      <c r="CH414" t="e">
        <f>AND('PROG FORMACIÓN TITULADA'!#REF!,"AAAAAB9bNlU=")</f>
        <v>#REF!</v>
      </c>
      <c r="CI414" t="e">
        <f>AND('PROG FORMACIÓN TITULADA'!#REF!,"AAAAAB9bNlY=")</f>
        <v>#REF!</v>
      </c>
      <c r="CJ414" t="e">
        <f>AND('PROG FORMACIÓN TITULADA'!#REF!,"AAAAAB9bNlc=")</f>
        <v>#REF!</v>
      </c>
      <c r="CK414" t="e">
        <f>AND('PROG FORMACIÓN TITULADA'!#REF!,"AAAAAB9bNlg=")</f>
        <v>#REF!</v>
      </c>
      <c r="CL414" t="e">
        <f>IF('PROG FORMACIÓN TITULADA'!#REF!,"AAAAAB9bNlk=",0)</f>
        <v>#REF!</v>
      </c>
      <c r="CM414" t="e">
        <f>AND('PROG FORMACIÓN TITULADA'!#REF!,"AAAAAB9bNlo=")</f>
        <v>#REF!</v>
      </c>
      <c r="CN414" t="e">
        <f>AND('PROG FORMACIÓN TITULADA'!#REF!,"AAAAAB9bNls=")</f>
        <v>#REF!</v>
      </c>
      <c r="CO414" t="e">
        <f>AND('PROG FORMACIÓN TITULADA'!#REF!,"AAAAAB9bNlw=")</f>
        <v>#REF!</v>
      </c>
      <c r="CP414" t="e">
        <f>AND('PROG FORMACIÓN TITULADA'!#REF!,"AAAAAB9bNl0=")</f>
        <v>#REF!</v>
      </c>
      <c r="CQ414" t="e">
        <f>AND('PROG FORMACIÓN TITULADA'!#REF!,"AAAAAB9bNl4=")</f>
        <v>#REF!</v>
      </c>
      <c r="CR414" t="e">
        <f>AND('PROG FORMACIÓN TITULADA'!#REF!,"AAAAAB9bNl8=")</f>
        <v>#REF!</v>
      </c>
      <c r="CS414" t="e">
        <f>AND('PROG FORMACIÓN TITULADA'!#REF!,"AAAAAB9bNmA=")</f>
        <v>#REF!</v>
      </c>
      <c r="CT414" t="e">
        <f>AND('PROG FORMACIÓN TITULADA'!#REF!,"AAAAAB9bNmE=")</f>
        <v>#REF!</v>
      </c>
      <c r="CU414" t="e">
        <f>AND('PROG FORMACIÓN TITULADA'!#REF!,"AAAAAB9bNmI=")</f>
        <v>#REF!</v>
      </c>
      <c r="CV414" t="e">
        <f>AND('PROG FORMACIÓN TITULADA'!#REF!,"AAAAAB9bNmM=")</f>
        <v>#REF!</v>
      </c>
      <c r="CW414" t="e">
        <f>AND('PROG FORMACIÓN TITULADA'!#REF!,"AAAAAB9bNmQ=")</f>
        <v>#REF!</v>
      </c>
      <c r="CX414" t="e">
        <f>AND('PROG FORMACIÓN TITULADA'!#REF!,"AAAAAB9bNmU=")</f>
        <v>#REF!</v>
      </c>
      <c r="CY414" t="e">
        <f>AND('PROG FORMACIÓN TITULADA'!#REF!,"AAAAAB9bNmY=")</f>
        <v>#REF!</v>
      </c>
      <c r="CZ414" t="e">
        <f>AND('PROG FORMACIÓN TITULADA'!#REF!,"AAAAAB9bNmc=")</f>
        <v>#REF!</v>
      </c>
      <c r="DA414" t="e">
        <f>AND('PROG FORMACIÓN TITULADA'!#REF!,"AAAAAB9bNmg=")</f>
        <v>#REF!</v>
      </c>
      <c r="DB414" t="e">
        <f>AND('PROG FORMACIÓN TITULADA'!#REF!,"AAAAAB9bNmk=")</f>
        <v>#REF!</v>
      </c>
      <c r="DC414" t="e">
        <f>AND('PROG FORMACIÓN TITULADA'!#REF!,"AAAAAB9bNmo=")</f>
        <v>#REF!</v>
      </c>
      <c r="DD414" t="e">
        <f>AND('PROG FORMACIÓN TITULADA'!#REF!,"AAAAAB9bNms=")</f>
        <v>#REF!</v>
      </c>
      <c r="DE414" t="e">
        <f>AND('PROG FORMACIÓN TITULADA'!#REF!,"AAAAAB9bNmw=")</f>
        <v>#REF!</v>
      </c>
      <c r="DF414" t="e">
        <f>AND('PROG FORMACIÓN TITULADA'!#REF!,"AAAAAB9bNm0=")</f>
        <v>#REF!</v>
      </c>
      <c r="DG414" t="e">
        <f>AND('PROG FORMACIÓN TITULADA'!#REF!,"AAAAAB9bNm4=")</f>
        <v>#REF!</v>
      </c>
      <c r="DH414" t="e">
        <f>AND('PROG FORMACIÓN TITULADA'!#REF!,"AAAAAB9bNm8=")</f>
        <v>#REF!</v>
      </c>
      <c r="DI414" t="e">
        <f>AND('PROG FORMACIÓN TITULADA'!#REF!,"AAAAAB9bNnA=")</f>
        <v>#REF!</v>
      </c>
      <c r="DJ414" t="e">
        <f>AND('PROG FORMACIÓN TITULADA'!#REF!,"AAAAAB9bNnE=")</f>
        <v>#REF!</v>
      </c>
      <c r="DK414" t="e">
        <f>AND('PROG FORMACIÓN TITULADA'!#REF!,"AAAAAB9bNnI=")</f>
        <v>#REF!</v>
      </c>
      <c r="DL414" t="e">
        <f>AND('PROG FORMACIÓN TITULADA'!#REF!,"AAAAAB9bNnM=")</f>
        <v>#REF!</v>
      </c>
      <c r="DM414" t="e">
        <f>IF('PROG FORMACIÓN TITULADA'!#REF!,"AAAAAB9bNnQ=",0)</f>
        <v>#REF!</v>
      </c>
      <c r="DN414" t="e">
        <f>AND('PROG FORMACIÓN TITULADA'!#REF!,"AAAAAB9bNnU=")</f>
        <v>#REF!</v>
      </c>
      <c r="DO414" t="e">
        <f>AND('PROG FORMACIÓN TITULADA'!#REF!,"AAAAAB9bNnY=")</f>
        <v>#REF!</v>
      </c>
      <c r="DP414" t="e">
        <f>AND('PROG FORMACIÓN TITULADA'!#REF!,"AAAAAB9bNnc=")</f>
        <v>#REF!</v>
      </c>
      <c r="DQ414" t="e">
        <f>AND('PROG FORMACIÓN TITULADA'!#REF!,"AAAAAB9bNng=")</f>
        <v>#REF!</v>
      </c>
      <c r="DR414" t="e">
        <f>AND('PROG FORMACIÓN TITULADA'!#REF!,"AAAAAB9bNnk=")</f>
        <v>#REF!</v>
      </c>
      <c r="DS414" t="e">
        <f>AND('PROG FORMACIÓN TITULADA'!#REF!,"AAAAAB9bNno=")</f>
        <v>#REF!</v>
      </c>
      <c r="DT414" t="e">
        <f>AND('PROG FORMACIÓN TITULADA'!#REF!,"AAAAAB9bNns=")</f>
        <v>#REF!</v>
      </c>
      <c r="DU414" t="e">
        <f>AND('PROG FORMACIÓN TITULADA'!#REF!,"AAAAAB9bNnw=")</f>
        <v>#REF!</v>
      </c>
      <c r="DV414" t="e">
        <f>AND('PROG FORMACIÓN TITULADA'!#REF!,"AAAAAB9bNn0=")</f>
        <v>#REF!</v>
      </c>
      <c r="DW414" t="e">
        <f>AND('PROG FORMACIÓN TITULADA'!#REF!,"AAAAAB9bNn4=")</f>
        <v>#REF!</v>
      </c>
      <c r="DX414" t="e">
        <f>AND('PROG FORMACIÓN TITULADA'!#REF!,"AAAAAB9bNn8=")</f>
        <v>#REF!</v>
      </c>
      <c r="DY414" t="e">
        <f>AND('PROG FORMACIÓN TITULADA'!#REF!,"AAAAAB9bNoA=")</f>
        <v>#REF!</v>
      </c>
      <c r="DZ414" t="e">
        <f>AND('PROG FORMACIÓN TITULADA'!#REF!,"AAAAAB9bNoE=")</f>
        <v>#REF!</v>
      </c>
      <c r="EA414" t="e">
        <f>AND('PROG FORMACIÓN TITULADA'!#REF!,"AAAAAB9bNoI=")</f>
        <v>#REF!</v>
      </c>
      <c r="EB414" t="e">
        <f>AND('PROG FORMACIÓN TITULADA'!#REF!,"AAAAAB9bNoM=")</f>
        <v>#REF!</v>
      </c>
      <c r="EC414" t="e">
        <f>AND('PROG FORMACIÓN TITULADA'!#REF!,"AAAAAB9bNoQ=")</f>
        <v>#REF!</v>
      </c>
      <c r="ED414" t="e">
        <f>AND('PROG FORMACIÓN TITULADA'!#REF!,"AAAAAB9bNoU=")</f>
        <v>#REF!</v>
      </c>
      <c r="EE414" t="e">
        <f>AND('PROG FORMACIÓN TITULADA'!#REF!,"AAAAAB9bNoY=")</f>
        <v>#REF!</v>
      </c>
      <c r="EF414" t="e">
        <f>AND('PROG FORMACIÓN TITULADA'!#REF!,"AAAAAB9bNoc=")</f>
        <v>#REF!</v>
      </c>
      <c r="EG414" t="e">
        <f>AND('PROG FORMACIÓN TITULADA'!#REF!,"AAAAAB9bNog=")</f>
        <v>#REF!</v>
      </c>
      <c r="EH414" t="e">
        <f>AND('PROG FORMACIÓN TITULADA'!#REF!,"AAAAAB9bNok=")</f>
        <v>#REF!</v>
      </c>
      <c r="EI414" t="e">
        <f>AND('PROG FORMACIÓN TITULADA'!#REF!,"AAAAAB9bNoo=")</f>
        <v>#REF!</v>
      </c>
      <c r="EJ414" t="e">
        <f>AND('PROG FORMACIÓN TITULADA'!#REF!,"AAAAAB9bNos=")</f>
        <v>#REF!</v>
      </c>
      <c r="EK414" t="e">
        <f>AND('PROG FORMACIÓN TITULADA'!#REF!,"AAAAAB9bNow=")</f>
        <v>#REF!</v>
      </c>
      <c r="EL414" t="e">
        <f>AND('PROG FORMACIÓN TITULADA'!#REF!,"AAAAAB9bNo0=")</f>
        <v>#REF!</v>
      </c>
      <c r="EM414" t="e">
        <f>AND('PROG FORMACIÓN TITULADA'!#REF!,"AAAAAB9bNo4=")</f>
        <v>#REF!</v>
      </c>
      <c r="EN414" t="e">
        <f>IF('PROG FORMACIÓN TITULADA'!#REF!,"AAAAAB9bNo8=",0)</f>
        <v>#REF!</v>
      </c>
      <c r="EO414" t="e">
        <f>AND('PROG FORMACIÓN TITULADA'!#REF!,"AAAAAB9bNpA=")</f>
        <v>#REF!</v>
      </c>
      <c r="EP414" t="e">
        <f>AND('PROG FORMACIÓN TITULADA'!#REF!,"AAAAAB9bNpE=")</f>
        <v>#REF!</v>
      </c>
      <c r="EQ414" t="e">
        <f>AND('PROG FORMACIÓN TITULADA'!#REF!,"AAAAAB9bNpI=")</f>
        <v>#REF!</v>
      </c>
      <c r="ER414" t="e">
        <f>AND('PROG FORMACIÓN TITULADA'!#REF!,"AAAAAB9bNpM=")</f>
        <v>#REF!</v>
      </c>
      <c r="ES414" t="e">
        <f>AND('PROG FORMACIÓN TITULADA'!#REF!,"AAAAAB9bNpQ=")</f>
        <v>#REF!</v>
      </c>
      <c r="ET414" t="e">
        <f>AND('PROG FORMACIÓN TITULADA'!#REF!,"AAAAAB9bNpU=")</f>
        <v>#REF!</v>
      </c>
      <c r="EU414" t="e">
        <f>AND('PROG FORMACIÓN TITULADA'!#REF!,"AAAAAB9bNpY=")</f>
        <v>#REF!</v>
      </c>
      <c r="EV414" t="e">
        <f>AND('PROG FORMACIÓN TITULADA'!#REF!,"AAAAAB9bNpc=")</f>
        <v>#REF!</v>
      </c>
      <c r="EW414" t="e">
        <f>AND('PROG FORMACIÓN TITULADA'!#REF!,"AAAAAB9bNpg=")</f>
        <v>#REF!</v>
      </c>
      <c r="EX414" t="e">
        <f>AND('PROG FORMACIÓN TITULADA'!#REF!,"AAAAAB9bNpk=")</f>
        <v>#REF!</v>
      </c>
      <c r="EY414" t="e">
        <f>AND('PROG FORMACIÓN TITULADA'!#REF!,"AAAAAB9bNpo=")</f>
        <v>#REF!</v>
      </c>
      <c r="EZ414" t="e">
        <f>AND('PROG FORMACIÓN TITULADA'!#REF!,"AAAAAB9bNps=")</f>
        <v>#REF!</v>
      </c>
      <c r="FA414" t="e">
        <f>AND('PROG FORMACIÓN TITULADA'!#REF!,"AAAAAB9bNpw=")</f>
        <v>#REF!</v>
      </c>
      <c r="FB414" t="e">
        <f>AND('PROG FORMACIÓN TITULADA'!#REF!,"AAAAAB9bNp0=")</f>
        <v>#REF!</v>
      </c>
      <c r="FC414" t="e">
        <f>AND('PROG FORMACIÓN TITULADA'!#REF!,"AAAAAB9bNp4=")</f>
        <v>#REF!</v>
      </c>
      <c r="FD414" t="e">
        <f>AND('PROG FORMACIÓN TITULADA'!#REF!,"AAAAAB9bNp8=")</f>
        <v>#REF!</v>
      </c>
      <c r="FE414" t="e">
        <f>AND('PROG FORMACIÓN TITULADA'!#REF!,"AAAAAB9bNqA=")</f>
        <v>#REF!</v>
      </c>
      <c r="FF414" t="e">
        <f>AND('PROG FORMACIÓN TITULADA'!#REF!,"AAAAAB9bNqE=")</f>
        <v>#REF!</v>
      </c>
      <c r="FG414" t="e">
        <f>AND('PROG FORMACIÓN TITULADA'!#REF!,"AAAAAB9bNqI=")</f>
        <v>#REF!</v>
      </c>
      <c r="FH414" t="e">
        <f>AND('PROG FORMACIÓN TITULADA'!#REF!,"AAAAAB9bNqM=")</f>
        <v>#REF!</v>
      </c>
      <c r="FI414" t="e">
        <f>AND('PROG FORMACIÓN TITULADA'!#REF!,"AAAAAB9bNqQ=")</f>
        <v>#REF!</v>
      </c>
      <c r="FJ414" t="e">
        <f>AND('PROG FORMACIÓN TITULADA'!#REF!,"AAAAAB9bNqU=")</f>
        <v>#REF!</v>
      </c>
      <c r="FK414" t="e">
        <f>AND('PROG FORMACIÓN TITULADA'!#REF!,"AAAAAB9bNqY=")</f>
        <v>#REF!</v>
      </c>
      <c r="FL414" t="e">
        <f>AND('PROG FORMACIÓN TITULADA'!#REF!,"AAAAAB9bNqc=")</f>
        <v>#REF!</v>
      </c>
      <c r="FM414" t="e">
        <f>AND('PROG FORMACIÓN TITULADA'!#REF!,"AAAAAB9bNqg=")</f>
        <v>#REF!</v>
      </c>
      <c r="FN414" t="e">
        <f>AND('PROG FORMACIÓN TITULADA'!#REF!,"AAAAAB9bNqk=")</f>
        <v>#REF!</v>
      </c>
      <c r="FO414" t="e">
        <f>IF('PROG FORMACIÓN TITULADA'!#REF!,"AAAAAB9bNqo=",0)</f>
        <v>#REF!</v>
      </c>
      <c r="FP414" t="e">
        <f>AND('PROG FORMACIÓN TITULADA'!#REF!,"AAAAAB9bNqs=")</f>
        <v>#REF!</v>
      </c>
      <c r="FQ414" t="e">
        <f>AND('PROG FORMACIÓN TITULADA'!#REF!,"AAAAAB9bNqw=")</f>
        <v>#REF!</v>
      </c>
      <c r="FR414" t="e">
        <f>AND('PROG FORMACIÓN TITULADA'!#REF!,"AAAAAB9bNq0=")</f>
        <v>#REF!</v>
      </c>
      <c r="FS414" t="e">
        <f>AND('PROG FORMACIÓN TITULADA'!#REF!,"AAAAAB9bNq4=")</f>
        <v>#REF!</v>
      </c>
      <c r="FT414" t="e">
        <f>AND('PROG FORMACIÓN TITULADA'!#REF!,"AAAAAB9bNq8=")</f>
        <v>#REF!</v>
      </c>
      <c r="FU414" t="e">
        <f>AND('PROG FORMACIÓN TITULADA'!#REF!,"AAAAAB9bNrA=")</f>
        <v>#REF!</v>
      </c>
      <c r="FV414" t="e">
        <f>AND('PROG FORMACIÓN TITULADA'!#REF!,"AAAAAB9bNrE=")</f>
        <v>#REF!</v>
      </c>
      <c r="FW414" t="e">
        <f>AND('PROG FORMACIÓN TITULADA'!#REF!,"AAAAAB9bNrI=")</f>
        <v>#REF!</v>
      </c>
      <c r="FX414" t="e">
        <f>AND('PROG FORMACIÓN TITULADA'!#REF!,"AAAAAB9bNrM=")</f>
        <v>#REF!</v>
      </c>
      <c r="FY414" t="e">
        <f>AND('PROG FORMACIÓN TITULADA'!#REF!,"AAAAAB9bNrQ=")</f>
        <v>#REF!</v>
      </c>
      <c r="FZ414" t="e">
        <f>AND('PROG FORMACIÓN TITULADA'!#REF!,"AAAAAB9bNrU=")</f>
        <v>#REF!</v>
      </c>
      <c r="GA414" t="e">
        <f>AND('PROG FORMACIÓN TITULADA'!#REF!,"AAAAAB9bNrY=")</f>
        <v>#REF!</v>
      </c>
      <c r="GB414" t="e">
        <f>AND('PROG FORMACIÓN TITULADA'!#REF!,"AAAAAB9bNrc=")</f>
        <v>#REF!</v>
      </c>
      <c r="GC414" t="e">
        <f>AND('PROG FORMACIÓN TITULADA'!#REF!,"AAAAAB9bNrg=")</f>
        <v>#REF!</v>
      </c>
      <c r="GD414" t="e">
        <f>AND('PROG FORMACIÓN TITULADA'!#REF!,"AAAAAB9bNrk=")</f>
        <v>#REF!</v>
      </c>
      <c r="GE414" t="e">
        <f>AND('PROG FORMACIÓN TITULADA'!#REF!,"AAAAAB9bNro=")</f>
        <v>#REF!</v>
      </c>
      <c r="GF414" t="e">
        <f>AND('PROG FORMACIÓN TITULADA'!#REF!,"AAAAAB9bNrs=")</f>
        <v>#REF!</v>
      </c>
      <c r="GG414" t="e">
        <f>AND('PROG FORMACIÓN TITULADA'!#REF!,"AAAAAB9bNrw=")</f>
        <v>#REF!</v>
      </c>
      <c r="GH414" t="e">
        <f>AND('PROG FORMACIÓN TITULADA'!#REF!,"AAAAAB9bNr0=")</f>
        <v>#REF!</v>
      </c>
      <c r="GI414" t="e">
        <f>AND('PROG FORMACIÓN TITULADA'!#REF!,"AAAAAB9bNr4=")</f>
        <v>#REF!</v>
      </c>
      <c r="GJ414" t="e">
        <f>AND('PROG FORMACIÓN TITULADA'!#REF!,"AAAAAB9bNr8=")</f>
        <v>#REF!</v>
      </c>
      <c r="GK414" t="e">
        <f>AND('PROG FORMACIÓN TITULADA'!#REF!,"AAAAAB9bNsA=")</f>
        <v>#REF!</v>
      </c>
      <c r="GL414" t="e">
        <f>AND('PROG FORMACIÓN TITULADA'!#REF!,"AAAAAB9bNsE=")</f>
        <v>#REF!</v>
      </c>
      <c r="GM414" t="e">
        <f>AND('PROG FORMACIÓN TITULADA'!#REF!,"AAAAAB9bNsI=")</f>
        <v>#REF!</v>
      </c>
      <c r="GN414" t="e">
        <f>AND('PROG FORMACIÓN TITULADA'!#REF!,"AAAAAB9bNsM=")</f>
        <v>#REF!</v>
      </c>
      <c r="GO414" t="e">
        <f>AND('PROG FORMACIÓN TITULADA'!#REF!,"AAAAAB9bNsQ=")</f>
        <v>#REF!</v>
      </c>
      <c r="GP414" t="e">
        <f>IF('PROG FORMACIÓN TITULADA'!#REF!,"AAAAAB9bNsU=",0)</f>
        <v>#REF!</v>
      </c>
      <c r="GQ414" t="e">
        <f>AND('PROG FORMACIÓN TITULADA'!#REF!,"AAAAAB9bNsY=")</f>
        <v>#REF!</v>
      </c>
      <c r="GR414" t="e">
        <f>AND('PROG FORMACIÓN TITULADA'!#REF!,"AAAAAB9bNsc=")</f>
        <v>#REF!</v>
      </c>
      <c r="GS414" t="e">
        <f>AND('PROG FORMACIÓN TITULADA'!#REF!,"AAAAAB9bNsg=")</f>
        <v>#REF!</v>
      </c>
      <c r="GT414" t="e">
        <f>AND('PROG FORMACIÓN TITULADA'!#REF!,"AAAAAB9bNsk=")</f>
        <v>#REF!</v>
      </c>
      <c r="GU414" t="e">
        <f>AND('PROG FORMACIÓN TITULADA'!#REF!,"AAAAAB9bNso=")</f>
        <v>#REF!</v>
      </c>
      <c r="GV414" t="e">
        <f>AND('PROG FORMACIÓN TITULADA'!#REF!,"AAAAAB9bNss=")</f>
        <v>#REF!</v>
      </c>
      <c r="GW414" t="e">
        <f>AND('PROG FORMACIÓN TITULADA'!#REF!,"AAAAAB9bNsw=")</f>
        <v>#REF!</v>
      </c>
      <c r="GX414" t="e">
        <f>AND('PROG FORMACIÓN TITULADA'!#REF!,"AAAAAB9bNs0=")</f>
        <v>#REF!</v>
      </c>
      <c r="GY414" t="e">
        <f>AND('PROG FORMACIÓN TITULADA'!#REF!,"AAAAAB9bNs4=")</f>
        <v>#REF!</v>
      </c>
      <c r="GZ414" t="e">
        <f>AND('PROG FORMACIÓN TITULADA'!#REF!,"AAAAAB9bNs8=")</f>
        <v>#REF!</v>
      </c>
      <c r="HA414" t="e">
        <f>AND('PROG FORMACIÓN TITULADA'!#REF!,"AAAAAB9bNtA=")</f>
        <v>#REF!</v>
      </c>
      <c r="HB414" t="e">
        <f>AND('PROG FORMACIÓN TITULADA'!#REF!,"AAAAAB9bNtE=")</f>
        <v>#REF!</v>
      </c>
      <c r="HC414" t="e">
        <f>AND('PROG FORMACIÓN TITULADA'!#REF!,"AAAAAB9bNtI=")</f>
        <v>#REF!</v>
      </c>
      <c r="HD414" t="e">
        <f>AND('PROG FORMACIÓN TITULADA'!#REF!,"AAAAAB9bNtM=")</f>
        <v>#REF!</v>
      </c>
      <c r="HE414" t="e">
        <f>AND('PROG FORMACIÓN TITULADA'!#REF!,"AAAAAB9bNtQ=")</f>
        <v>#REF!</v>
      </c>
      <c r="HF414" t="e">
        <f>AND('PROG FORMACIÓN TITULADA'!#REF!,"AAAAAB9bNtU=")</f>
        <v>#REF!</v>
      </c>
      <c r="HG414" t="e">
        <f>AND('PROG FORMACIÓN TITULADA'!#REF!,"AAAAAB9bNtY=")</f>
        <v>#REF!</v>
      </c>
      <c r="HH414" t="e">
        <f>AND('PROG FORMACIÓN TITULADA'!#REF!,"AAAAAB9bNtc=")</f>
        <v>#REF!</v>
      </c>
      <c r="HI414" t="e">
        <f>AND('PROG FORMACIÓN TITULADA'!#REF!,"AAAAAB9bNtg=")</f>
        <v>#REF!</v>
      </c>
      <c r="HJ414" t="e">
        <f>AND('PROG FORMACIÓN TITULADA'!#REF!,"AAAAAB9bNtk=")</f>
        <v>#REF!</v>
      </c>
      <c r="HK414" t="e">
        <f>AND('PROG FORMACIÓN TITULADA'!#REF!,"AAAAAB9bNto=")</f>
        <v>#REF!</v>
      </c>
      <c r="HL414" t="e">
        <f>AND('PROG FORMACIÓN TITULADA'!#REF!,"AAAAAB9bNts=")</f>
        <v>#REF!</v>
      </c>
      <c r="HM414" t="e">
        <f>AND('PROG FORMACIÓN TITULADA'!#REF!,"AAAAAB9bNtw=")</f>
        <v>#REF!</v>
      </c>
      <c r="HN414" t="e">
        <f>AND('PROG FORMACIÓN TITULADA'!#REF!,"AAAAAB9bNt0=")</f>
        <v>#REF!</v>
      </c>
      <c r="HO414" t="e">
        <f>AND('PROG FORMACIÓN TITULADA'!#REF!,"AAAAAB9bNt4=")</f>
        <v>#REF!</v>
      </c>
      <c r="HP414" t="e">
        <f>AND('PROG FORMACIÓN TITULADA'!#REF!,"AAAAAB9bNt8=")</f>
        <v>#REF!</v>
      </c>
      <c r="HQ414" t="e">
        <f>IF('PROG FORMACIÓN TITULADA'!#REF!,"AAAAAB9bNuA=",0)</f>
        <v>#REF!</v>
      </c>
      <c r="HR414" t="e">
        <f>AND('PROG FORMACIÓN TITULADA'!#REF!,"AAAAAB9bNuE=")</f>
        <v>#REF!</v>
      </c>
      <c r="HS414" t="e">
        <f>AND('PROG FORMACIÓN TITULADA'!#REF!,"AAAAAB9bNuI=")</f>
        <v>#REF!</v>
      </c>
      <c r="HT414" t="e">
        <f>AND('PROG FORMACIÓN TITULADA'!#REF!,"AAAAAB9bNuM=")</f>
        <v>#REF!</v>
      </c>
      <c r="HU414" t="e">
        <f>AND('PROG FORMACIÓN TITULADA'!#REF!,"AAAAAB9bNuQ=")</f>
        <v>#REF!</v>
      </c>
      <c r="HV414" t="e">
        <f>AND('PROG FORMACIÓN TITULADA'!#REF!,"AAAAAB9bNuU=")</f>
        <v>#REF!</v>
      </c>
      <c r="HW414" t="e">
        <f>AND('PROG FORMACIÓN TITULADA'!#REF!,"AAAAAB9bNuY=")</f>
        <v>#REF!</v>
      </c>
      <c r="HX414" t="e">
        <f>AND('PROG FORMACIÓN TITULADA'!#REF!,"AAAAAB9bNuc=")</f>
        <v>#REF!</v>
      </c>
      <c r="HY414" t="e">
        <f>AND('PROG FORMACIÓN TITULADA'!#REF!,"AAAAAB9bNug=")</f>
        <v>#REF!</v>
      </c>
      <c r="HZ414" t="e">
        <f>AND('PROG FORMACIÓN TITULADA'!#REF!,"AAAAAB9bNuk=")</f>
        <v>#REF!</v>
      </c>
      <c r="IA414" t="e">
        <f>AND('PROG FORMACIÓN TITULADA'!#REF!,"AAAAAB9bNuo=")</f>
        <v>#REF!</v>
      </c>
      <c r="IB414" t="e">
        <f>AND('PROG FORMACIÓN TITULADA'!#REF!,"AAAAAB9bNus=")</f>
        <v>#REF!</v>
      </c>
      <c r="IC414" t="e">
        <f>AND('PROG FORMACIÓN TITULADA'!#REF!,"AAAAAB9bNuw=")</f>
        <v>#REF!</v>
      </c>
      <c r="ID414" t="e">
        <f>AND('PROG FORMACIÓN TITULADA'!#REF!,"AAAAAB9bNu0=")</f>
        <v>#REF!</v>
      </c>
      <c r="IE414" t="e">
        <f>AND('PROG FORMACIÓN TITULADA'!#REF!,"AAAAAB9bNu4=")</f>
        <v>#REF!</v>
      </c>
      <c r="IF414" t="e">
        <f>AND('PROG FORMACIÓN TITULADA'!#REF!,"AAAAAB9bNu8=")</f>
        <v>#REF!</v>
      </c>
      <c r="IG414" t="e">
        <f>AND('PROG FORMACIÓN TITULADA'!#REF!,"AAAAAB9bNvA=")</f>
        <v>#REF!</v>
      </c>
      <c r="IH414" t="e">
        <f>AND('PROG FORMACIÓN TITULADA'!#REF!,"AAAAAB9bNvE=")</f>
        <v>#REF!</v>
      </c>
      <c r="II414" t="e">
        <f>AND('PROG FORMACIÓN TITULADA'!#REF!,"AAAAAB9bNvI=")</f>
        <v>#REF!</v>
      </c>
      <c r="IJ414" t="e">
        <f>AND('PROG FORMACIÓN TITULADA'!#REF!,"AAAAAB9bNvM=")</f>
        <v>#REF!</v>
      </c>
      <c r="IK414" t="e">
        <f>AND('PROG FORMACIÓN TITULADA'!#REF!,"AAAAAB9bNvQ=")</f>
        <v>#REF!</v>
      </c>
      <c r="IL414" t="e">
        <f>AND('PROG FORMACIÓN TITULADA'!#REF!,"AAAAAB9bNvU=")</f>
        <v>#REF!</v>
      </c>
      <c r="IM414" t="e">
        <f>AND('PROG FORMACIÓN TITULADA'!#REF!,"AAAAAB9bNvY=")</f>
        <v>#REF!</v>
      </c>
      <c r="IN414" t="e">
        <f>AND('PROG FORMACIÓN TITULADA'!#REF!,"AAAAAB9bNvc=")</f>
        <v>#REF!</v>
      </c>
      <c r="IO414" t="e">
        <f>AND('PROG FORMACIÓN TITULADA'!#REF!,"AAAAAB9bNvg=")</f>
        <v>#REF!</v>
      </c>
      <c r="IP414" t="e">
        <f>AND('PROG FORMACIÓN TITULADA'!#REF!,"AAAAAB9bNvk=")</f>
        <v>#REF!</v>
      </c>
      <c r="IQ414" t="e">
        <f>AND('PROG FORMACIÓN TITULADA'!#REF!,"AAAAAB9bNvo=")</f>
        <v>#REF!</v>
      </c>
      <c r="IR414" t="e">
        <f>IF('PROG FORMACIÓN TITULADA'!#REF!,"AAAAAB9bNvs=",0)</f>
        <v>#REF!</v>
      </c>
      <c r="IS414" t="e">
        <f>AND('PROG FORMACIÓN TITULADA'!#REF!,"AAAAAB9bNvw=")</f>
        <v>#REF!</v>
      </c>
      <c r="IT414" t="e">
        <f>AND('PROG FORMACIÓN TITULADA'!#REF!,"AAAAAB9bNv0=")</f>
        <v>#REF!</v>
      </c>
      <c r="IU414" t="e">
        <f>AND('PROG FORMACIÓN TITULADA'!#REF!,"AAAAAB9bNv4=")</f>
        <v>#REF!</v>
      </c>
      <c r="IV414" t="e">
        <f>AND('PROG FORMACIÓN TITULADA'!#REF!,"AAAAAB9bNv8=")</f>
        <v>#REF!</v>
      </c>
    </row>
    <row r="415" spans="1:256" x14ac:dyDescent="0.2">
      <c r="A415" t="e">
        <f>AND('PROG FORMACIÓN TITULADA'!#REF!,"AAAAAHzP7wA=")</f>
        <v>#REF!</v>
      </c>
      <c r="B415" t="e">
        <f>AND('PROG FORMACIÓN TITULADA'!#REF!,"AAAAAHzP7wE=")</f>
        <v>#REF!</v>
      </c>
      <c r="C415" t="e">
        <f>AND('PROG FORMACIÓN TITULADA'!#REF!,"AAAAAHzP7wI=")</f>
        <v>#REF!</v>
      </c>
      <c r="D415" t="e">
        <f>AND('PROG FORMACIÓN TITULADA'!#REF!,"AAAAAHzP7wM=")</f>
        <v>#REF!</v>
      </c>
      <c r="E415" t="e">
        <f>AND('PROG FORMACIÓN TITULADA'!#REF!,"AAAAAHzP7wQ=")</f>
        <v>#REF!</v>
      </c>
      <c r="F415" t="e">
        <f>AND('PROG FORMACIÓN TITULADA'!#REF!,"AAAAAHzP7wU=")</f>
        <v>#REF!</v>
      </c>
      <c r="G415" t="e">
        <f>AND('PROG FORMACIÓN TITULADA'!#REF!,"AAAAAHzP7wY=")</f>
        <v>#REF!</v>
      </c>
      <c r="H415" t="e">
        <f>AND('PROG FORMACIÓN TITULADA'!#REF!,"AAAAAHzP7wc=")</f>
        <v>#REF!</v>
      </c>
      <c r="I415" t="e">
        <f>AND('PROG FORMACIÓN TITULADA'!#REF!,"AAAAAHzP7wg=")</f>
        <v>#REF!</v>
      </c>
      <c r="J415" t="e">
        <f>AND('PROG FORMACIÓN TITULADA'!#REF!,"AAAAAHzP7wk=")</f>
        <v>#REF!</v>
      </c>
      <c r="K415" t="e">
        <f>AND('PROG FORMACIÓN TITULADA'!#REF!,"AAAAAHzP7wo=")</f>
        <v>#REF!</v>
      </c>
      <c r="L415" t="e">
        <f>AND('PROG FORMACIÓN TITULADA'!#REF!,"AAAAAHzP7ws=")</f>
        <v>#REF!</v>
      </c>
      <c r="M415" t="e">
        <f>AND('PROG FORMACIÓN TITULADA'!#REF!,"AAAAAHzP7ww=")</f>
        <v>#REF!</v>
      </c>
      <c r="N415" t="e">
        <f>AND('PROG FORMACIÓN TITULADA'!#REF!,"AAAAAHzP7w0=")</f>
        <v>#REF!</v>
      </c>
      <c r="O415" t="e">
        <f>AND('PROG FORMACIÓN TITULADA'!#REF!,"AAAAAHzP7w4=")</f>
        <v>#REF!</v>
      </c>
      <c r="P415" t="e">
        <f>AND('PROG FORMACIÓN TITULADA'!#REF!,"AAAAAHzP7w8=")</f>
        <v>#REF!</v>
      </c>
      <c r="Q415" t="e">
        <f>AND('PROG FORMACIÓN TITULADA'!#REF!,"AAAAAHzP7xA=")</f>
        <v>#REF!</v>
      </c>
      <c r="R415" t="e">
        <f>AND('PROG FORMACIÓN TITULADA'!#REF!,"AAAAAHzP7xE=")</f>
        <v>#REF!</v>
      </c>
      <c r="S415" t="e">
        <f>AND('PROG FORMACIÓN TITULADA'!#REF!,"AAAAAHzP7xI=")</f>
        <v>#REF!</v>
      </c>
      <c r="T415" t="e">
        <f>AND('PROG FORMACIÓN TITULADA'!#REF!,"AAAAAHzP7xM=")</f>
        <v>#REF!</v>
      </c>
      <c r="U415" t="e">
        <f>AND('PROG FORMACIÓN TITULADA'!#REF!,"AAAAAHzP7xQ=")</f>
        <v>#REF!</v>
      </c>
      <c r="V415" t="e">
        <f>AND('PROG FORMACIÓN TITULADA'!#REF!,"AAAAAHzP7xU=")</f>
        <v>#REF!</v>
      </c>
      <c r="W415" t="e">
        <f>IF('PROG FORMACIÓN TITULADA'!#REF!,"AAAAAHzP7xY=",0)</f>
        <v>#REF!</v>
      </c>
      <c r="X415" t="e">
        <f>AND('PROG FORMACIÓN TITULADA'!#REF!,"AAAAAHzP7xc=")</f>
        <v>#REF!</v>
      </c>
      <c r="Y415" t="e">
        <f>AND('PROG FORMACIÓN TITULADA'!#REF!,"AAAAAHzP7xg=")</f>
        <v>#REF!</v>
      </c>
      <c r="Z415" t="e">
        <f>AND('PROG FORMACIÓN TITULADA'!#REF!,"AAAAAHzP7xk=")</f>
        <v>#REF!</v>
      </c>
      <c r="AA415" t="e">
        <f>AND('PROG FORMACIÓN TITULADA'!#REF!,"AAAAAHzP7xo=")</f>
        <v>#REF!</v>
      </c>
      <c r="AB415" t="e">
        <f>AND('PROG FORMACIÓN TITULADA'!#REF!,"AAAAAHzP7xs=")</f>
        <v>#REF!</v>
      </c>
      <c r="AC415" t="e">
        <f>AND('PROG FORMACIÓN TITULADA'!#REF!,"AAAAAHzP7xw=")</f>
        <v>#REF!</v>
      </c>
      <c r="AD415" t="e">
        <f>AND('PROG FORMACIÓN TITULADA'!#REF!,"AAAAAHzP7x0=")</f>
        <v>#REF!</v>
      </c>
      <c r="AE415" t="e">
        <f>AND('PROG FORMACIÓN TITULADA'!#REF!,"AAAAAHzP7x4=")</f>
        <v>#REF!</v>
      </c>
      <c r="AF415" t="e">
        <f>AND('PROG FORMACIÓN TITULADA'!#REF!,"AAAAAHzP7x8=")</f>
        <v>#REF!</v>
      </c>
      <c r="AG415" t="e">
        <f>AND('PROG FORMACIÓN TITULADA'!#REF!,"AAAAAHzP7yA=")</f>
        <v>#REF!</v>
      </c>
      <c r="AH415" t="e">
        <f>AND('PROG FORMACIÓN TITULADA'!#REF!,"AAAAAHzP7yE=")</f>
        <v>#REF!</v>
      </c>
      <c r="AI415" t="e">
        <f>AND('PROG FORMACIÓN TITULADA'!#REF!,"AAAAAHzP7yI=")</f>
        <v>#REF!</v>
      </c>
      <c r="AJ415" t="e">
        <f>AND('PROG FORMACIÓN TITULADA'!#REF!,"AAAAAHzP7yM=")</f>
        <v>#REF!</v>
      </c>
      <c r="AK415" t="e">
        <f>AND('PROG FORMACIÓN TITULADA'!#REF!,"AAAAAHzP7yQ=")</f>
        <v>#REF!</v>
      </c>
      <c r="AL415" t="e">
        <f>AND('PROG FORMACIÓN TITULADA'!#REF!,"AAAAAHzP7yU=")</f>
        <v>#REF!</v>
      </c>
      <c r="AM415" t="e">
        <f>AND('PROG FORMACIÓN TITULADA'!#REF!,"AAAAAHzP7yY=")</f>
        <v>#REF!</v>
      </c>
      <c r="AN415" t="e">
        <f>AND('PROG FORMACIÓN TITULADA'!#REF!,"AAAAAHzP7yc=")</f>
        <v>#REF!</v>
      </c>
      <c r="AO415" t="e">
        <f>AND('PROG FORMACIÓN TITULADA'!#REF!,"AAAAAHzP7yg=")</f>
        <v>#REF!</v>
      </c>
      <c r="AP415" t="e">
        <f>AND('PROG FORMACIÓN TITULADA'!#REF!,"AAAAAHzP7yk=")</f>
        <v>#REF!</v>
      </c>
      <c r="AQ415" t="e">
        <f>AND('PROG FORMACIÓN TITULADA'!#REF!,"AAAAAHzP7yo=")</f>
        <v>#REF!</v>
      </c>
      <c r="AR415" t="e">
        <f>AND('PROG FORMACIÓN TITULADA'!#REF!,"AAAAAHzP7ys=")</f>
        <v>#REF!</v>
      </c>
      <c r="AS415" t="e">
        <f>AND('PROG FORMACIÓN TITULADA'!#REF!,"AAAAAHzP7yw=")</f>
        <v>#REF!</v>
      </c>
      <c r="AT415" t="e">
        <f>AND('PROG FORMACIÓN TITULADA'!#REF!,"AAAAAHzP7y0=")</f>
        <v>#REF!</v>
      </c>
      <c r="AU415" t="e">
        <f>AND('PROG FORMACIÓN TITULADA'!#REF!,"AAAAAHzP7y4=")</f>
        <v>#REF!</v>
      </c>
      <c r="AV415" t="e">
        <f>AND('PROG FORMACIÓN TITULADA'!#REF!,"AAAAAHzP7y8=")</f>
        <v>#REF!</v>
      </c>
      <c r="AW415" t="e">
        <f>AND('PROG FORMACIÓN TITULADA'!#REF!,"AAAAAHzP7zA=")</f>
        <v>#REF!</v>
      </c>
      <c r="AX415" t="e">
        <f>IF('PROG FORMACIÓN TITULADA'!#REF!,"AAAAAHzP7zE=",0)</f>
        <v>#REF!</v>
      </c>
      <c r="AY415" t="e">
        <f>AND('PROG FORMACIÓN TITULADA'!#REF!,"AAAAAHzP7zI=")</f>
        <v>#REF!</v>
      </c>
      <c r="AZ415" t="e">
        <f>AND('PROG FORMACIÓN TITULADA'!#REF!,"AAAAAHzP7zM=")</f>
        <v>#REF!</v>
      </c>
      <c r="BA415" t="e">
        <f>AND('PROG FORMACIÓN TITULADA'!#REF!,"AAAAAHzP7zQ=")</f>
        <v>#REF!</v>
      </c>
      <c r="BB415" t="e">
        <f>AND('PROG FORMACIÓN TITULADA'!#REF!,"AAAAAHzP7zU=")</f>
        <v>#REF!</v>
      </c>
      <c r="BC415" t="e">
        <f>AND('PROG FORMACIÓN TITULADA'!#REF!,"AAAAAHzP7zY=")</f>
        <v>#REF!</v>
      </c>
      <c r="BD415" t="e">
        <f>AND('PROG FORMACIÓN TITULADA'!#REF!,"AAAAAHzP7zc=")</f>
        <v>#REF!</v>
      </c>
      <c r="BE415" t="e">
        <f>AND('PROG FORMACIÓN TITULADA'!#REF!,"AAAAAHzP7zg=")</f>
        <v>#REF!</v>
      </c>
      <c r="BF415" t="e">
        <f>AND('PROG FORMACIÓN TITULADA'!#REF!,"AAAAAHzP7zk=")</f>
        <v>#REF!</v>
      </c>
      <c r="BG415" t="e">
        <f>AND('PROG FORMACIÓN TITULADA'!#REF!,"AAAAAHzP7zo=")</f>
        <v>#REF!</v>
      </c>
      <c r="BH415" t="e">
        <f>AND('PROG FORMACIÓN TITULADA'!#REF!,"AAAAAHzP7zs=")</f>
        <v>#REF!</v>
      </c>
      <c r="BI415" t="e">
        <f>AND('PROG FORMACIÓN TITULADA'!#REF!,"AAAAAHzP7zw=")</f>
        <v>#REF!</v>
      </c>
      <c r="BJ415" t="e">
        <f>AND('PROG FORMACIÓN TITULADA'!#REF!,"AAAAAHzP7z0=")</f>
        <v>#REF!</v>
      </c>
      <c r="BK415" t="e">
        <f>AND('PROG FORMACIÓN TITULADA'!#REF!,"AAAAAHzP7z4=")</f>
        <v>#REF!</v>
      </c>
      <c r="BL415" t="e">
        <f>AND('PROG FORMACIÓN TITULADA'!#REF!,"AAAAAHzP7z8=")</f>
        <v>#REF!</v>
      </c>
      <c r="BM415" t="e">
        <f>AND('PROG FORMACIÓN TITULADA'!#REF!,"AAAAAHzP70A=")</f>
        <v>#REF!</v>
      </c>
      <c r="BN415" t="e">
        <f>AND('PROG FORMACIÓN TITULADA'!#REF!,"AAAAAHzP70E=")</f>
        <v>#REF!</v>
      </c>
      <c r="BO415" t="e">
        <f>AND('PROG FORMACIÓN TITULADA'!#REF!,"AAAAAHzP70I=")</f>
        <v>#REF!</v>
      </c>
      <c r="BP415" t="e">
        <f>AND('PROG FORMACIÓN TITULADA'!#REF!,"AAAAAHzP70M=")</f>
        <v>#REF!</v>
      </c>
      <c r="BQ415" t="e">
        <f>AND('PROG FORMACIÓN TITULADA'!#REF!,"AAAAAHzP70Q=")</f>
        <v>#REF!</v>
      </c>
      <c r="BR415" t="e">
        <f>AND('PROG FORMACIÓN TITULADA'!#REF!,"AAAAAHzP70U=")</f>
        <v>#REF!</v>
      </c>
      <c r="BS415" t="e">
        <f>AND('PROG FORMACIÓN TITULADA'!#REF!,"AAAAAHzP70Y=")</f>
        <v>#REF!</v>
      </c>
      <c r="BT415" t="e">
        <f>AND('PROG FORMACIÓN TITULADA'!#REF!,"AAAAAHzP70c=")</f>
        <v>#REF!</v>
      </c>
      <c r="BU415" t="e">
        <f>AND('PROG FORMACIÓN TITULADA'!#REF!,"AAAAAHzP70g=")</f>
        <v>#REF!</v>
      </c>
      <c r="BV415" t="e">
        <f>AND('PROG FORMACIÓN TITULADA'!#REF!,"AAAAAHzP70k=")</f>
        <v>#REF!</v>
      </c>
      <c r="BW415" t="e">
        <f>AND('PROG FORMACIÓN TITULADA'!#REF!,"AAAAAHzP70o=")</f>
        <v>#REF!</v>
      </c>
      <c r="BX415" t="e">
        <f>AND('PROG FORMACIÓN TITULADA'!#REF!,"AAAAAHzP70s=")</f>
        <v>#REF!</v>
      </c>
      <c r="BY415" t="e">
        <f>IF('PROG FORMACIÓN TITULADA'!#REF!,"AAAAAHzP70w=",0)</f>
        <v>#REF!</v>
      </c>
      <c r="BZ415" t="e">
        <f>AND('PROG FORMACIÓN TITULADA'!#REF!,"AAAAAHzP700=")</f>
        <v>#REF!</v>
      </c>
      <c r="CA415" t="e">
        <f>AND('PROG FORMACIÓN TITULADA'!#REF!,"AAAAAHzP704=")</f>
        <v>#REF!</v>
      </c>
      <c r="CB415" t="e">
        <f>AND('PROG FORMACIÓN TITULADA'!#REF!,"AAAAAHzP708=")</f>
        <v>#REF!</v>
      </c>
      <c r="CC415" t="e">
        <f>AND('PROG FORMACIÓN TITULADA'!#REF!,"AAAAAHzP71A=")</f>
        <v>#REF!</v>
      </c>
      <c r="CD415" t="e">
        <f>AND('PROG FORMACIÓN TITULADA'!#REF!,"AAAAAHzP71E=")</f>
        <v>#REF!</v>
      </c>
      <c r="CE415" t="e">
        <f>AND('PROG FORMACIÓN TITULADA'!#REF!,"AAAAAHzP71I=")</f>
        <v>#REF!</v>
      </c>
      <c r="CF415" t="e">
        <f>AND('PROG FORMACIÓN TITULADA'!#REF!,"AAAAAHzP71M=")</f>
        <v>#REF!</v>
      </c>
      <c r="CG415" t="e">
        <f>AND('PROG FORMACIÓN TITULADA'!#REF!,"AAAAAHzP71Q=")</f>
        <v>#REF!</v>
      </c>
      <c r="CH415" t="e">
        <f>AND('PROG FORMACIÓN TITULADA'!#REF!,"AAAAAHzP71U=")</f>
        <v>#REF!</v>
      </c>
      <c r="CI415" t="e">
        <f>AND('PROG FORMACIÓN TITULADA'!#REF!,"AAAAAHzP71Y=")</f>
        <v>#REF!</v>
      </c>
      <c r="CJ415" t="e">
        <f>AND('PROG FORMACIÓN TITULADA'!#REF!,"AAAAAHzP71c=")</f>
        <v>#REF!</v>
      </c>
      <c r="CK415" t="e">
        <f>AND('PROG FORMACIÓN TITULADA'!#REF!,"AAAAAHzP71g=")</f>
        <v>#REF!</v>
      </c>
      <c r="CL415" t="e">
        <f>AND('PROG FORMACIÓN TITULADA'!#REF!,"AAAAAHzP71k=")</f>
        <v>#REF!</v>
      </c>
      <c r="CM415" t="e">
        <f>AND('PROG FORMACIÓN TITULADA'!#REF!,"AAAAAHzP71o=")</f>
        <v>#REF!</v>
      </c>
      <c r="CN415" t="e">
        <f>AND('PROG FORMACIÓN TITULADA'!#REF!,"AAAAAHzP71s=")</f>
        <v>#REF!</v>
      </c>
      <c r="CO415" t="e">
        <f>AND('PROG FORMACIÓN TITULADA'!#REF!,"AAAAAHzP71w=")</f>
        <v>#REF!</v>
      </c>
      <c r="CP415" t="e">
        <f>AND('PROG FORMACIÓN TITULADA'!#REF!,"AAAAAHzP710=")</f>
        <v>#REF!</v>
      </c>
      <c r="CQ415" t="e">
        <f>AND('PROG FORMACIÓN TITULADA'!#REF!,"AAAAAHzP714=")</f>
        <v>#REF!</v>
      </c>
      <c r="CR415" t="e">
        <f>AND('PROG FORMACIÓN TITULADA'!#REF!,"AAAAAHzP718=")</f>
        <v>#REF!</v>
      </c>
      <c r="CS415" t="e">
        <f>AND('PROG FORMACIÓN TITULADA'!#REF!,"AAAAAHzP72A=")</f>
        <v>#REF!</v>
      </c>
      <c r="CT415" t="e">
        <f>AND('PROG FORMACIÓN TITULADA'!#REF!,"AAAAAHzP72E=")</f>
        <v>#REF!</v>
      </c>
      <c r="CU415" t="e">
        <f>AND('PROG FORMACIÓN TITULADA'!#REF!,"AAAAAHzP72I=")</f>
        <v>#REF!</v>
      </c>
      <c r="CV415" t="e">
        <f>AND('PROG FORMACIÓN TITULADA'!#REF!,"AAAAAHzP72M=")</f>
        <v>#REF!</v>
      </c>
      <c r="CW415" t="e">
        <f>AND('PROG FORMACIÓN TITULADA'!#REF!,"AAAAAHzP72Q=")</f>
        <v>#REF!</v>
      </c>
      <c r="CX415" t="e">
        <f>AND('PROG FORMACIÓN TITULADA'!#REF!,"AAAAAHzP72U=")</f>
        <v>#REF!</v>
      </c>
      <c r="CY415" t="e">
        <f>AND('PROG FORMACIÓN TITULADA'!#REF!,"AAAAAHzP72Y=")</f>
        <v>#REF!</v>
      </c>
      <c r="CZ415" t="e">
        <f>IF('PROG FORMACIÓN TITULADA'!#REF!,"AAAAAHzP72c=",0)</f>
        <v>#REF!</v>
      </c>
      <c r="DA415" t="e">
        <f>AND('PROG FORMACIÓN TITULADA'!#REF!,"AAAAAHzP72g=")</f>
        <v>#REF!</v>
      </c>
      <c r="DB415" t="e">
        <f>AND('PROG FORMACIÓN TITULADA'!#REF!,"AAAAAHzP72k=")</f>
        <v>#REF!</v>
      </c>
      <c r="DC415" t="e">
        <f>AND('PROG FORMACIÓN TITULADA'!#REF!,"AAAAAHzP72o=")</f>
        <v>#REF!</v>
      </c>
      <c r="DD415" t="e">
        <f>AND('PROG FORMACIÓN TITULADA'!#REF!,"AAAAAHzP72s=")</f>
        <v>#REF!</v>
      </c>
      <c r="DE415" t="e">
        <f>AND('PROG FORMACIÓN TITULADA'!#REF!,"AAAAAHzP72w=")</f>
        <v>#REF!</v>
      </c>
      <c r="DF415" t="e">
        <f>AND('PROG FORMACIÓN TITULADA'!#REF!,"AAAAAHzP720=")</f>
        <v>#REF!</v>
      </c>
      <c r="DG415" t="e">
        <f>AND('PROG FORMACIÓN TITULADA'!#REF!,"AAAAAHzP724=")</f>
        <v>#REF!</v>
      </c>
      <c r="DH415" t="e">
        <f>AND('PROG FORMACIÓN TITULADA'!#REF!,"AAAAAHzP728=")</f>
        <v>#REF!</v>
      </c>
      <c r="DI415" t="e">
        <f>AND('PROG FORMACIÓN TITULADA'!#REF!,"AAAAAHzP73A=")</f>
        <v>#REF!</v>
      </c>
      <c r="DJ415" t="e">
        <f>AND('PROG FORMACIÓN TITULADA'!#REF!,"AAAAAHzP73E=")</f>
        <v>#REF!</v>
      </c>
      <c r="DK415" t="e">
        <f>AND('PROG FORMACIÓN TITULADA'!#REF!,"AAAAAHzP73I=")</f>
        <v>#REF!</v>
      </c>
      <c r="DL415" t="e">
        <f>AND('PROG FORMACIÓN TITULADA'!#REF!,"AAAAAHzP73M=")</f>
        <v>#REF!</v>
      </c>
      <c r="DM415" t="e">
        <f>AND('PROG FORMACIÓN TITULADA'!#REF!,"AAAAAHzP73Q=")</f>
        <v>#REF!</v>
      </c>
      <c r="DN415" t="e">
        <f>AND('PROG FORMACIÓN TITULADA'!#REF!,"AAAAAHzP73U=")</f>
        <v>#REF!</v>
      </c>
      <c r="DO415" t="e">
        <f>AND('PROG FORMACIÓN TITULADA'!#REF!,"AAAAAHzP73Y=")</f>
        <v>#REF!</v>
      </c>
      <c r="DP415" t="e">
        <f>AND('PROG FORMACIÓN TITULADA'!#REF!,"AAAAAHzP73c=")</f>
        <v>#REF!</v>
      </c>
      <c r="DQ415" t="e">
        <f>AND('PROG FORMACIÓN TITULADA'!#REF!,"AAAAAHzP73g=")</f>
        <v>#REF!</v>
      </c>
      <c r="DR415" t="e">
        <f>AND('PROG FORMACIÓN TITULADA'!#REF!,"AAAAAHzP73k=")</f>
        <v>#REF!</v>
      </c>
      <c r="DS415" t="e">
        <f>AND('PROG FORMACIÓN TITULADA'!#REF!,"AAAAAHzP73o=")</f>
        <v>#REF!</v>
      </c>
      <c r="DT415" t="e">
        <f>AND('PROG FORMACIÓN TITULADA'!#REF!,"AAAAAHzP73s=")</f>
        <v>#REF!</v>
      </c>
      <c r="DU415" t="e">
        <f>AND('PROG FORMACIÓN TITULADA'!#REF!,"AAAAAHzP73w=")</f>
        <v>#REF!</v>
      </c>
      <c r="DV415" t="e">
        <f>AND('PROG FORMACIÓN TITULADA'!#REF!,"AAAAAHzP730=")</f>
        <v>#REF!</v>
      </c>
      <c r="DW415" t="e">
        <f>AND('PROG FORMACIÓN TITULADA'!#REF!,"AAAAAHzP734=")</f>
        <v>#REF!</v>
      </c>
      <c r="DX415" t="e">
        <f>AND('PROG FORMACIÓN TITULADA'!#REF!,"AAAAAHzP738=")</f>
        <v>#REF!</v>
      </c>
      <c r="DY415" t="e">
        <f>AND('PROG FORMACIÓN TITULADA'!#REF!,"AAAAAHzP74A=")</f>
        <v>#REF!</v>
      </c>
      <c r="DZ415" t="e">
        <f>AND('PROG FORMACIÓN TITULADA'!#REF!,"AAAAAHzP74E=")</f>
        <v>#REF!</v>
      </c>
      <c r="EA415" t="e">
        <f>IF('PROG FORMACIÓN TITULADA'!#REF!,"AAAAAHzP74I=",0)</f>
        <v>#REF!</v>
      </c>
      <c r="EB415" t="e">
        <f>AND('PROG FORMACIÓN TITULADA'!#REF!,"AAAAAHzP74M=")</f>
        <v>#REF!</v>
      </c>
      <c r="EC415" t="e">
        <f>AND('PROG FORMACIÓN TITULADA'!#REF!,"AAAAAHzP74Q=")</f>
        <v>#REF!</v>
      </c>
      <c r="ED415" t="e">
        <f>AND('PROG FORMACIÓN TITULADA'!#REF!,"AAAAAHzP74U=")</f>
        <v>#REF!</v>
      </c>
      <c r="EE415" t="e">
        <f>AND('PROG FORMACIÓN TITULADA'!#REF!,"AAAAAHzP74Y=")</f>
        <v>#REF!</v>
      </c>
      <c r="EF415" t="e">
        <f>AND('PROG FORMACIÓN TITULADA'!#REF!,"AAAAAHzP74c=")</f>
        <v>#REF!</v>
      </c>
      <c r="EG415" t="e">
        <f>AND('PROG FORMACIÓN TITULADA'!#REF!,"AAAAAHzP74g=")</f>
        <v>#REF!</v>
      </c>
      <c r="EH415" t="e">
        <f>AND('PROG FORMACIÓN TITULADA'!#REF!,"AAAAAHzP74k=")</f>
        <v>#REF!</v>
      </c>
      <c r="EI415" t="e">
        <f>AND('PROG FORMACIÓN TITULADA'!#REF!,"AAAAAHzP74o=")</f>
        <v>#REF!</v>
      </c>
      <c r="EJ415" t="e">
        <f>AND('PROG FORMACIÓN TITULADA'!#REF!,"AAAAAHzP74s=")</f>
        <v>#REF!</v>
      </c>
      <c r="EK415" t="e">
        <f>AND('PROG FORMACIÓN TITULADA'!#REF!,"AAAAAHzP74w=")</f>
        <v>#REF!</v>
      </c>
      <c r="EL415" t="e">
        <f>AND('PROG FORMACIÓN TITULADA'!#REF!,"AAAAAHzP740=")</f>
        <v>#REF!</v>
      </c>
      <c r="EM415" t="e">
        <f>AND('PROG FORMACIÓN TITULADA'!#REF!,"AAAAAHzP744=")</f>
        <v>#REF!</v>
      </c>
      <c r="EN415" t="e">
        <f>AND('PROG FORMACIÓN TITULADA'!#REF!,"AAAAAHzP748=")</f>
        <v>#REF!</v>
      </c>
      <c r="EO415" t="e">
        <f>AND('PROG FORMACIÓN TITULADA'!#REF!,"AAAAAHzP75A=")</f>
        <v>#REF!</v>
      </c>
      <c r="EP415" t="e">
        <f>AND('PROG FORMACIÓN TITULADA'!#REF!,"AAAAAHzP75E=")</f>
        <v>#REF!</v>
      </c>
      <c r="EQ415" t="e">
        <f>AND('PROG FORMACIÓN TITULADA'!#REF!,"AAAAAHzP75I=")</f>
        <v>#REF!</v>
      </c>
      <c r="ER415" t="e">
        <f>AND('PROG FORMACIÓN TITULADA'!#REF!,"AAAAAHzP75M=")</f>
        <v>#REF!</v>
      </c>
      <c r="ES415" t="e">
        <f>AND('PROG FORMACIÓN TITULADA'!#REF!,"AAAAAHzP75Q=")</f>
        <v>#REF!</v>
      </c>
      <c r="ET415" t="e">
        <f>AND('PROG FORMACIÓN TITULADA'!#REF!,"AAAAAHzP75U=")</f>
        <v>#REF!</v>
      </c>
      <c r="EU415" t="e">
        <f>AND('PROG FORMACIÓN TITULADA'!#REF!,"AAAAAHzP75Y=")</f>
        <v>#REF!</v>
      </c>
      <c r="EV415" t="e">
        <f>AND('PROG FORMACIÓN TITULADA'!#REF!,"AAAAAHzP75c=")</f>
        <v>#REF!</v>
      </c>
      <c r="EW415" t="e">
        <f>AND('PROG FORMACIÓN TITULADA'!#REF!,"AAAAAHzP75g=")</f>
        <v>#REF!</v>
      </c>
      <c r="EX415" t="e">
        <f>AND('PROG FORMACIÓN TITULADA'!#REF!,"AAAAAHzP75k=")</f>
        <v>#REF!</v>
      </c>
      <c r="EY415" t="e">
        <f>AND('PROG FORMACIÓN TITULADA'!#REF!,"AAAAAHzP75o=")</f>
        <v>#REF!</v>
      </c>
      <c r="EZ415" t="e">
        <f>AND('PROG FORMACIÓN TITULADA'!#REF!,"AAAAAHzP75s=")</f>
        <v>#REF!</v>
      </c>
      <c r="FA415" t="e">
        <f>AND('PROG FORMACIÓN TITULADA'!#REF!,"AAAAAHzP75w=")</f>
        <v>#REF!</v>
      </c>
      <c r="FB415" t="e">
        <f>IF('PROG FORMACIÓN TITULADA'!#REF!,"AAAAAHzP750=",0)</f>
        <v>#REF!</v>
      </c>
      <c r="FC415" t="e">
        <f>AND('PROG FORMACIÓN TITULADA'!#REF!,"AAAAAHzP754=")</f>
        <v>#REF!</v>
      </c>
      <c r="FD415" t="e">
        <f>AND('PROG FORMACIÓN TITULADA'!#REF!,"AAAAAHzP758=")</f>
        <v>#REF!</v>
      </c>
      <c r="FE415" t="e">
        <f>AND('PROG FORMACIÓN TITULADA'!#REF!,"AAAAAHzP76A=")</f>
        <v>#REF!</v>
      </c>
      <c r="FF415" t="e">
        <f>AND('PROG FORMACIÓN TITULADA'!#REF!,"AAAAAHzP76E=")</f>
        <v>#REF!</v>
      </c>
      <c r="FG415" t="e">
        <f>AND('PROG FORMACIÓN TITULADA'!#REF!,"AAAAAHzP76I=")</f>
        <v>#REF!</v>
      </c>
      <c r="FH415" t="e">
        <f>AND('PROG FORMACIÓN TITULADA'!#REF!,"AAAAAHzP76M=")</f>
        <v>#REF!</v>
      </c>
      <c r="FI415" t="e">
        <f>AND('PROG FORMACIÓN TITULADA'!#REF!,"AAAAAHzP76Q=")</f>
        <v>#REF!</v>
      </c>
      <c r="FJ415" t="e">
        <f>AND('PROG FORMACIÓN TITULADA'!#REF!,"AAAAAHzP76U=")</f>
        <v>#REF!</v>
      </c>
      <c r="FK415" t="e">
        <f>AND('PROG FORMACIÓN TITULADA'!#REF!,"AAAAAHzP76Y=")</f>
        <v>#REF!</v>
      </c>
      <c r="FL415" t="e">
        <f>AND('PROG FORMACIÓN TITULADA'!#REF!,"AAAAAHzP76c=")</f>
        <v>#REF!</v>
      </c>
      <c r="FM415" t="e">
        <f>AND('PROG FORMACIÓN TITULADA'!#REF!,"AAAAAHzP76g=")</f>
        <v>#REF!</v>
      </c>
      <c r="FN415" t="e">
        <f>AND('PROG FORMACIÓN TITULADA'!#REF!,"AAAAAHzP76k=")</f>
        <v>#REF!</v>
      </c>
      <c r="FO415" t="e">
        <f>AND('PROG FORMACIÓN TITULADA'!#REF!,"AAAAAHzP76o=")</f>
        <v>#REF!</v>
      </c>
      <c r="FP415" t="e">
        <f>AND('PROG FORMACIÓN TITULADA'!#REF!,"AAAAAHzP76s=")</f>
        <v>#REF!</v>
      </c>
      <c r="FQ415" t="e">
        <f>AND('PROG FORMACIÓN TITULADA'!#REF!,"AAAAAHzP76w=")</f>
        <v>#REF!</v>
      </c>
      <c r="FR415" t="e">
        <f>AND('PROG FORMACIÓN TITULADA'!#REF!,"AAAAAHzP760=")</f>
        <v>#REF!</v>
      </c>
      <c r="FS415" t="e">
        <f>AND('PROG FORMACIÓN TITULADA'!#REF!,"AAAAAHzP764=")</f>
        <v>#REF!</v>
      </c>
      <c r="FT415" t="e">
        <f>AND('PROG FORMACIÓN TITULADA'!#REF!,"AAAAAHzP768=")</f>
        <v>#REF!</v>
      </c>
      <c r="FU415" t="e">
        <f>AND('PROG FORMACIÓN TITULADA'!#REF!,"AAAAAHzP77A=")</f>
        <v>#REF!</v>
      </c>
      <c r="FV415" t="e">
        <f>AND('PROG FORMACIÓN TITULADA'!#REF!,"AAAAAHzP77E=")</f>
        <v>#REF!</v>
      </c>
      <c r="FW415" t="e">
        <f>AND('PROG FORMACIÓN TITULADA'!#REF!,"AAAAAHzP77I=")</f>
        <v>#REF!</v>
      </c>
      <c r="FX415" t="e">
        <f>AND('PROG FORMACIÓN TITULADA'!#REF!,"AAAAAHzP77M=")</f>
        <v>#REF!</v>
      </c>
      <c r="FY415" t="e">
        <f>AND('PROG FORMACIÓN TITULADA'!#REF!,"AAAAAHzP77Q=")</f>
        <v>#REF!</v>
      </c>
      <c r="FZ415" t="e">
        <f>AND('PROG FORMACIÓN TITULADA'!#REF!,"AAAAAHzP77U=")</f>
        <v>#REF!</v>
      </c>
      <c r="GA415" t="e">
        <f>AND('PROG FORMACIÓN TITULADA'!#REF!,"AAAAAHzP77Y=")</f>
        <v>#REF!</v>
      </c>
      <c r="GB415" t="e">
        <f>AND('PROG FORMACIÓN TITULADA'!#REF!,"AAAAAHzP77c=")</f>
        <v>#REF!</v>
      </c>
      <c r="GC415" t="e">
        <f>IF('PROG FORMACIÓN TITULADA'!#REF!,"AAAAAHzP77g=",0)</f>
        <v>#REF!</v>
      </c>
      <c r="GD415" t="e">
        <f>AND('PROG FORMACIÓN TITULADA'!#REF!,"AAAAAHzP77k=")</f>
        <v>#REF!</v>
      </c>
      <c r="GE415" t="e">
        <f>AND('PROG FORMACIÓN TITULADA'!#REF!,"AAAAAHzP77o=")</f>
        <v>#REF!</v>
      </c>
      <c r="GF415" t="e">
        <f>AND('PROG FORMACIÓN TITULADA'!#REF!,"AAAAAHzP77s=")</f>
        <v>#REF!</v>
      </c>
      <c r="GG415" t="e">
        <f>AND('PROG FORMACIÓN TITULADA'!#REF!,"AAAAAHzP77w=")</f>
        <v>#REF!</v>
      </c>
      <c r="GH415" t="e">
        <f>AND('PROG FORMACIÓN TITULADA'!#REF!,"AAAAAHzP770=")</f>
        <v>#REF!</v>
      </c>
      <c r="GI415" t="e">
        <f>AND('PROG FORMACIÓN TITULADA'!#REF!,"AAAAAHzP774=")</f>
        <v>#REF!</v>
      </c>
      <c r="GJ415" t="e">
        <f>AND('PROG FORMACIÓN TITULADA'!#REF!,"AAAAAHzP778=")</f>
        <v>#REF!</v>
      </c>
      <c r="GK415" t="e">
        <f>AND('PROG FORMACIÓN TITULADA'!#REF!,"AAAAAHzP78A=")</f>
        <v>#REF!</v>
      </c>
      <c r="GL415" t="e">
        <f>AND('PROG FORMACIÓN TITULADA'!#REF!,"AAAAAHzP78E=")</f>
        <v>#REF!</v>
      </c>
      <c r="GM415" t="e">
        <f>AND('PROG FORMACIÓN TITULADA'!#REF!,"AAAAAHzP78I=")</f>
        <v>#REF!</v>
      </c>
      <c r="GN415" t="e">
        <f>AND('PROG FORMACIÓN TITULADA'!#REF!,"AAAAAHzP78M=")</f>
        <v>#REF!</v>
      </c>
      <c r="GO415" t="e">
        <f>AND('PROG FORMACIÓN TITULADA'!#REF!,"AAAAAHzP78Q=")</f>
        <v>#REF!</v>
      </c>
      <c r="GP415" t="e">
        <f>AND('PROG FORMACIÓN TITULADA'!#REF!,"AAAAAHzP78U=")</f>
        <v>#REF!</v>
      </c>
      <c r="GQ415" t="e">
        <f>AND('PROG FORMACIÓN TITULADA'!#REF!,"AAAAAHzP78Y=")</f>
        <v>#REF!</v>
      </c>
      <c r="GR415" t="e">
        <f>AND('PROG FORMACIÓN TITULADA'!#REF!,"AAAAAHzP78c=")</f>
        <v>#REF!</v>
      </c>
      <c r="GS415" t="e">
        <f>AND('PROG FORMACIÓN TITULADA'!#REF!,"AAAAAHzP78g=")</f>
        <v>#REF!</v>
      </c>
      <c r="GT415" t="e">
        <f>AND('PROG FORMACIÓN TITULADA'!#REF!,"AAAAAHzP78k=")</f>
        <v>#REF!</v>
      </c>
      <c r="GU415" t="e">
        <f>AND('PROG FORMACIÓN TITULADA'!#REF!,"AAAAAHzP78o=")</f>
        <v>#REF!</v>
      </c>
      <c r="GV415" t="e">
        <f>AND('PROG FORMACIÓN TITULADA'!#REF!,"AAAAAHzP78s=")</f>
        <v>#REF!</v>
      </c>
      <c r="GW415" t="e">
        <f>AND('PROG FORMACIÓN TITULADA'!#REF!,"AAAAAHzP78w=")</f>
        <v>#REF!</v>
      </c>
      <c r="GX415" t="e">
        <f>AND('PROG FORMACIÓN TITULADA'!#REF!,"AAAAAHzP780=")</f>
        <v>#REF!</v>
      </c>
      <c r="GY415" t="e">
        <f>AND('PROG FORMACIÓN TITULADA'!#REF!,"AAAAAHzP784=")</f>
        <v>#REF!</v>
      </c>
      <c r="GZ415" t="e">
        <f>AND('PROG FORMACIÓN TITULADA'!#REF!,"AAAAAHzP788=")</f>
        <v>#REF!</v>
      </c>
      <c r="HA415" t="e">
        <f>AND('PROG FORMACIÓN TITULADA'!#REF!,"AAAAAHzP79A=")</f>
        <v>#REF!</v>
      </c>
      <c r="HB415" t="e">
        <f>AND('PROG FORMACIÓN TITULADA'!#REF!,"AAAAAHzP79E=")</f>
        <v>#REF!</v>
      </c>
      <c r="HC415" t="e">
        <f>AND('PROG FORMACIÓN TITULADA'!#REF!,"AAAAAHzP79I=")</f>
        <v>#REF!</v>
      </c>
      <c r="HD415" t="e">
        <f>IF('PROG FORMACIÓN TITULADA'!#REF!,"AAAAAHzP79M=",0)</f>
        <v>#REF!</v>
      </c>
      <c r="HE415" t="e">
        <f>AND('PROG FORMACIÓN TITULADA'!#REF!,"AAAAAHzP79Q=")</f>
        <v>#REF!</v>
      </c>
      <c r="HF415" t="e">
        <f>AND('PROG FORMACIÓN TITULADA'!#REF!,"AAAAAHzP79U=")</f>
        <v>#REF!</v>
      </c>
      <c r="HG415" t="e">
        <f>AND('PROG FORMACIÓN TITULADA'!#REF!,"AAAAAHzP79Y=")</f>
        <v>#REF!</v>
      </c>
      <c r="HH415" t="e">
        <f>AND('PROG FORMACIÓN TITULADA'!#REF!,"AAAAAHzP79c=")</f>
        <v>#REF!</v>
      </c>
      <c r="HI415" t="e">
        <f>AND('PROG FORMACIÓN TITULADA'!#REF!,"AAAAAHzP79g=")</f>
        <v>#REF!</v>
      </c>
      <c r="HJ415" t="e">
        <f>AND('PROG FORMACIÓN TITULADA'!#REF!,"AAAAAHzP79k=")</f>
        <v>#REF!</v>
      </c>
      <c r="HK415" t="e">
        <f>AND('PROG FORMACIÓN TITULADA'!#REF!,"AAAAAHzP79o=")</f>
        <v>#REF!</v>
      </c>
      <c r="HL415" t="e">
        <f>AND('PROG FORMACIÓN TITULADA'!#REF!,"AAAAAHzP79s=")</f>
        <v>#REF!</v>
      </c>
      <c r="HM415" t="e">
        <f>AND('PROG FORMACIÓN TITULADA'!#REF!,"AAAAAHzP79w=")</f>
        <v>#REF!</v>
      </c>
      <c r="HN415" t="e">
        <f>AND('PROG FORMACIÓN TITULADA'!#REF!,"AAAAAHzP790=")</f>
        <v>#REF!</v>
      </c>
      <c r="HO415" t="e">
        <f>AND('PROG FORMACIÓN TITULADA'!#REF!,"AAAAAHzP794=")</f>
        <v>#REF!</v>
      </c>
      <c r="HP415" t="e">
        <f>AND('PROG FORMACIÓN TITULADA'!#REF!,"AAAAAHzP798=")</f>
        <v>#REF!</v>
      </c>
      <c r="HQ415" t="e">
        <f>AND('PROG FORMACIÓN TITULADA'!#REF!,"AAAAAHzP7+A=")</f>
        <v>#REF!</v>
      </c>
      <c r="HR415" t="e">
        <f>AND('PROG FORMACIÓN TITULADA'!#REF!,"AAAAAHzP7+E=")</f>
        <v>#REF!</v>
      </c>
      <c r="HS415" t="e">
        <f>AND('PROG FORMACIÓN TITULADA'!#REF!,"AAAAAHzP7+I=")</f>
        <v>#REF!</v>
      </c>
      <c r="HT415" t="e">
        <f>AND('PROG FORMACIÓN TITULADA'!#REF!,"AAAAAHzP7+M=")</f>
        <v>#REF!</v>
      </c>
      <c r="HU415" t="e">
        <f>AND('PROG FORMACIÓN TITULADA'!#REF!,"AAAAAHzP7+Q=")</f>
        <v>#REF!</v>
      </c>
      <c r="HV415" t="e">
        <f>AND('PROG FORMACIÓN TITULADA'!#REF!,"AAAAAHzP7+U=")</f>
        <v>#REF!</v>
      </c>
      <c r="HW415" t="e">
        <f>AND('PROG FORMACIÓN TITULADA'!#REF!,"AAAAAHzP7+Y=")</f>
        <v>#REF!</v>
      </c>
      <c r="HX415" t="e">
        <f>AND('PROG FORMACIÓN TITULADA'!#REF!,"AAAAAHzP7+c=")</f>
        <v>#REF!</v>
      </c>
      <c r="HY415" t="e">
        <f>AND('PROG FORMACIÓN TITULADA'!#REF!,"AAAAAHzP7+g=")</f>
        <v>#REF!</v>
      </c>
      <c r="HZ415" t="e">
        <f>AND('PROG FORMACIÓN TITULADA'!#REF!,"AAAAAHzP7+k=")</f>
        <v>#REF!</v>
      </c>
      <c r="IA415" t="e">
        <f>AND('PROG FORMACIÓN TITULADA'!#REF!,"AAAAAHzP7+o=")</f>
        <v>#REF!</v>
      </c>
      <c r="IB415" t="e">
        <f>AND('PROG FORMACIÓN TITULADA'!#REF!,"AAAAAHzP7+s=")</f>
        <v>#REF!</v>
      </c>
      <c r="IC415" t="e">
        <f>AND('PROG FORMACIÓN TITULADA'!#REF!,"AAAAAHzP7+w=")</f>
        <v>#REF!</v>
      </c>
      <c r="ID415" t="e">
        <f>AND('PROG FORMACIÓN TITULADA'!#REF!,"AAAAAHzP7+0=")</f>
        <v>#REF!</v>
      </c>
      <c r="IE415" t="e">
        <f>IF('PROG FORMACIÓN TITULADA'!#REF!,"AAAAAHzP7+4=",0)</f>
        <v>#REF!</v>
      </c>
      <c r="IF415" t="e">
        <f>AND('PROG FORMACIÓN TITULADA'!#REF!,"AAAAAHzP7+8=")</f>
        <v>#REF!</v>
      </c>
      <c r="IG415" t="e">
        <f>AND('PROG FORMACIÓN TITULADA'!#REF!,"AAAAAHzP7/A=")</f>
        <v>#REF!</v>
      </c>
      <c r="IH415" t="e">
        <f>AND('PROG FORMACIÓN TITULADA'!#REF!,"AAAAAHzP7/E=")</f>
        <v>#REF!</v>
      </c>
      <c r="II415" t="e">
        <f>AND('PROG FORMACIÓN TITULADA'!#REF!,"AAAAAHzP7/I=")</f>
        <v>#REF!</v>
      </c>
      <c r="IJ415" t="e">
        <f>AND('PROG FORMACIÓN TITULADA'!#REF!,"AAAAAHzP7/M=")</f>
        <v>#REF!</v>
      </c>
      <c r="IK415" t="e">
        <f>AND('PROG FORMACIÓN TITULADA'!#REF!,"AAAAAHzP7/Q=")</f>
        <v>#REF!</v>
      </c>
      <c r="IL415" t="e">
        <f>AND('PROG FORMACIÓN TITULADA'!#REF!,"AAAAAHzP7/U=")</f>
        <v>#REF!</v>
      </c>
      <c r="IM415" t="e">
        <f>AND('PROG FORMACIÓN TITULADA'!#REF!,"AAAAAHzP7/Y=")</f>
        <v>#REF!</v>
      </c>
      <c r="IN415" t="e">
        <f>AND('PROG FORMACIÓN TITULADA'!#REF!,"AAAAAHzP7/c=")</f>
        <v>#REF!</v>
      </c>
      <c r="IO415" t="e">
        <f>AND('PROG FORMACIÓN TITULADA'!#REF!,"AAAAAHzP7/g=")</f>
        <v>#REF!</v>
      </c>
      <c r="IP415" t="e">
        <f>AND('PROG FORMACIÓN TITULADA'!#REF!,"AAAAAHzP7/k=")</f>
        <v>#REF!</v>
      </c>
      <c r="IQ415" t="e">
        <f>AND('PROG FORMACIÓN TITULADA'!#REF!,"AAAAAHzP7/o=")</f>
        <v>#REF!</v>
      </c>
      <c r="IR415" t="e">
        <f>AND('PROG FORMACIÓN TITULADA'!#REF!,"AAAAAHzP7/s=")</f>
        <v>#REF!</v>
      </c>
      <c r="IS415" t="e">
        <f>AND('PROG FORMACIÓN TITULADA'!#REF!,"AAAAAHzP7/w=")</f>
        <v>#REF!</v>
      </c>
      <c r="IT415" t="e">
        <f>AND('PROG FORMACIÓN TITULADA'!#REF!,"AAAAAHzP7/0=")</f>
        <v>#REF!</v>
      </c>
      <c r="IU415" t="e">
        <f>AND('PROG FORMACIÓN TITULADA'!#REF!,"AAAAAHzP7/4=")</f>
        <v>#REF!</v>
      </c>
      <c r="IV415" t="e">
        <f>AND('PROG FORMACIÓN TITULADA'!#REF!,"AAAAAHzP7/8=")</f>
        <v>#REF!</v>
      </c>
    </row>
    <row r="416" spans="1:256" x14ac:dyDescent="0.2">
      <c r="A416" t="e">
        <f>AND('PROG FORMACIÓN TITULADA'!#REF!,"AAAAAF5TngA=")</f>
        <v>#REF!</v>
      </c>
      <c r="B416" t="e">
        <f>AND('PROG FORMACIÓN TITULADA'!#REF!,"AAAAAF5TngE=")</f>
        <v>#REF!</v>
      </c>
      <c r="C416" t="e">
        <f>AND('PROG FORMACIÓN TITULADA'!#REF!,"AAAAAF5TngI=")</f>
        <v>#REF!</v>
      </c>
      <c r="D416" t="e">
        <f>AND('PROG FORMACIÓN TITULADA'!#REF!,"AAAAAF5TngM=")</f>
        <v>#REF!</v>
      </c>
      <c r="E416" t="e">
        <f>AND('PROG FORMACIÓN TITULADA'!#REF!,"AAAAAF5TngQ=")</f>
        <v>#REF!</v>
      </c>
      <c r="F416" t="e">
        <f>AND('PROG FORMACIÓN TITULADA'!#REF!,"AAAAAF5TngU=")</f>
        <v>#REF!</v>
      </c>
      <c r="G416" t="e">
        <f>AND('PROG FORMACIÓN TITULADA'!#REF!,"AAAAAF5TngY=")</f>
        <v>#REF!</v>
      </c>
      <c r="H416" t="e">
        <f>AND('PROG FORMACIÓN TITULADA'!#REF!,"AAAAAF5Tngc=")</f>
        <v>#REF!</v>
      </c>
      <c r="I416" t="e">
        <f>AND('PROG FORMACIÓN TITULADA'!#REF!,"AAAAAF5Tngg=")</f>
        <v>#REF!</v>
      </c>
      <c r="J416" t="e">
        <f>IF('PROG FORMACIÓN TITULADA'!#REF!,"AAAAAF5Tngk=",0)</f>
        <v>#REF!</v>
      </c>
      <c r="K416" t="e">
        <f>AND('PROG FORMACIÓN TITULADA'!#REF!,"AAAAAF5Tngo=")</f>
        <v>#REF!</v>
      </c>
      <c r="L416" t="e">
        <f>AND('PROG FORMACIÓN TITULADA'!#REF!,"AAAAAF5Tngs=")</f>
        <v>#REF!</v>
      </c>
      <c r="M416" t="e">
        <f>AND('PROG FORMACIÓN TITULADA'!#REF!,"AAAAAF5Tngw=")</f>
        <v>#REF!</v>
      </c>
      <c r="N416" t="e">
        <f>AND('PROG FORMACIÓN TITULADA'!#REF!,"AAAAAF5Tng0=")</f>
        <v>#REF!</v>
      </c>
      <c r="O416" t="e">
        <f>AND('PROG FORMACIÓN TITULADA'!#REF!,"AAAAAF5Tng4=")</f>
        <v>#REF!</v>
      </c>
      <c r="P416" t="e">
        <f>AND('PROG FORMACIÓN TITULADA'!#REF!,"AAAAAF5Tng8=")</f>
        <v>#REF!</v>
      </c>
      <c r="Q416" t="e">
        <f>AND('PROG FORMACIÓN TITULADA'!#REF!,"AAAAAF5TnhA=")</f>
        <v>#REF!</v>
      </c>
      <c r="R416" t="e">
        <f>AND('PROG FORMACIÓN TITULADA'!#REF!,"AAAAAF5TnhE=")</f>
        <v>#REF!</v>
      </c>
      <c r="S416" t="e">
        <f>AND('PROG FORMACIÓN TITULADA'!#REF!,"AAAAAF5TnhI=")</f>
        <v>#REF!</v>
      </c>
      <c r="T416" t="e">
        <f>AND('PROG FORMACIÓN TITULADA'!#REF!,"AAAAAF5TnhM=")</f>
        <v>#REF!</v>
      </c>
      <c r="U416" t="e">
        <f>AND('PROG FORMACIÓN TITULADA'!#REF!,"AAAAAF5TnhQ=")</f>
        <v>#REF!</v>
      </c>
      <c r="V416" t="e">
        <f>AND('PROG FORMACIÓN TITULADA'!#REF!,"AAAAAF5TnhU=")</f>
        <v>#REF!</v>
      </c>
      <c r="W416" t="e">
        <f>AND('PROG FORMACIÓN TITULADA'!#REF!,"AAAAAF5TnhY=")</f>
        <v>#REF!</v>
      </c>
      <c r="X416" t="e">
        <f>AND('PROG FORMACIÓN TITULADA'!#REF!,"AAAAAF5Tnhc=")</f>
        <v>#REF!</v>
      </c>
      <c r="Y416" t="e">
        <f>AND('PROG FORMACIÓN TITULADA'!#REF!,"AAAAAF5Tnhg=")</f>
        <v>#REF!</v>
      </c>
      <c r="Z416" t="e">
        <f>AND('PROG FORMACIÓN TITULADA'!#REF!,"AAAAAF5Tnhk=")</f>
        <v>#REF!</v>
      </c>
      <c r="AA416" t="e">
        <f>AND('PROG FORMACIÓN TITULADA'!#REF!,"AAAAAF5Tnho=")</f>
        <v>#REF!</v>
      </c>
      <c r="AB416" t="e">
        <f>AND('PROG FORMACIÓN TITULADA'!#REF!,"AAAAAF5Tnhs=")</f>
        <v>#REF!</v>
      </c>
      <c r="AC416" t="e">
        <f>AND('PROG FORMACIÓN TITULADA'!#REF!,"AAAAAF5Tnhw=")</f>
        <v>#REF!</v>
      </c>
      <c r="AD416" t="e">
        <f>AND('PROG FORMACIÓN TITULADA'!#REF!,"AAAAAF5Tnh0=")</f>
        <v>#REF!</v>
      </c>
      <c r="AE416" t="e">
        <f>AND('PROG FORMACIÓN TITULADA'!#REF!,"AAAAAF5Tnh4=")</f>
        <v>#REF!</v>
      </c>
      <c r="AF416" t="e">
        <f>AND('PROG FORMACIÓN TITULADA'!#REF!,"AAAAAF5Tnh8=")</f>
        <v>#REF!</v>
      </c>
      <c r="AG416" t="e">
        <f>AND('PROG FORMACIÓN TITULADA'!#REF!,"AAAAAF5TniA=")</f>
        <v>#REF!</v>
      </c>
      <c r="AH416" t="e">
        <f>AND('PROG FORMACIÓN TITULADA'!#REF!,"AAAAAF5TniE=")</f>
        <v>#REF!</v>
      </c>
      <c r="AI416" t="e">
        <f>AND('PROG FORMACIÓN TITULADA'!#REF!,"AAAAAF5TniI=")</f>
        <v>#REF!</v>
      </c>
      <c r="AJ416" t="e">
        <f>AND('PROG FORMACIÓN TITULADA'!#REF!,"AAAAAF5TniM=")</f>
        <v>#REF!</v>
      </c>
      <c r="AK416" t="e">
        <f>IF('PROG FORMACIÓN TITULADA'!#REF!,"AAAAAF5TniQ=",0)</f>
        <v>#REF!</v>
      </c>
      <c r="AL416" t="e">
        <f>AND('PROG FORMACIÓN TITULADA'!#REF!,"AAAAAF5TniU=")</f>
        <v>#REF!</v>
      </c>
      <c r="AM416" t="e">
        <f>AND('PROG FORMACIÓN TITULADA'!#REF!,"AAAAAF5TniY=")</f>
        <v>#REF!</v>
      </c>
      <c r="AN416" t="e">
        <f>AND('PROG FORMACIÓN TITULADA'!#REF!,"AAAAAF5Tnic=")</f>
        <v>#REF!</v>
      </c>
      <c r="AO416" t="e">
        <f>AND('PROG FORMACIÓN TITULADA'!#REF!,"AAAAAF5Tnig=")</f>
        <v>#REF!</v>
      </c>
      <c r="AP416" t="e">
        <f>AND('PROG FORMACIÓN TITULADA'!#REF!,"AAAAAF5Tnik=")</f>
        <v>#REF!</v>
      </c>
      <c r="AQ416" t="e">
        <f>AND('PROG FORMACIÓN TITULADA'!#REF!,"AAAAAF5Tnio=")</f>
        <v>#REF!</v>
      </c>
      <c r="AR416" t="e">
        <f>AND('PROG FORMACIÓN TITULADA'!#REF!,"AAAAAF5Tnis=")</f>
        <v>#REF!</v>
      </c>
      <c r="AS416" t="e">
        <f>AND('PROG FORMACIÓN TITULADA'!#REF!,"AAAAAF5Tniw=")</f>
        <v>#REF!</v>
      </c>
      <c r="AT416" t="e">
        <f>AND('PROG FORMACIÓN TITULADA'!#REF!,"AAAAAF5Tni0=")</f>
        <v>#REF!</v>
      </c>
      <c r="AU416" t="e">
        <f>AND('PROG FORMACIÓN TITULADA'!#REF!,"AAAAAF5Tni4=")</f>
        <v>#REF!</v>
      </c>
      <c r="AV416" t="e">
        <f>AND('PROG FORMACIÓN TITULADA'!#REF!,"AAAAAF5Tni8=")</f>
        <v>#REF!</v>
      </c>
      <c r="AW416" t="e">
        <f>AND('PROG FORMACIÓN TITULADA'!#REF!,"AAAAAF5TnjA=")</f>
        <v>#REF!</v>
      </c>
      <c r="AX416" t="e">
        <f>AND('PROG FORMACIÓN TITULADA'!#REF!,"AAAAAF5TnjE=")</f>
        <v>#REF!</v>
      </c>
      <c r="AY416" t="e">
        <f>AND('PROG FORMACIÓN TITULADA'!#REF!,"AAAAAF5TnjI=")</f>
        <v>#REF!</v>
      </c>
      <c r="AZ416" t="e">
        <f>AND('PROG FORMACIÓN TITULADA'!#REF!,"AAAAAF5TnjM=")</f>
        <v>#REF!</v>
      </c>
      <c r="BA416" t="e">
        <f>AND('PROG FORMACIÓN TITULADA'!#REF!,"AAAAAF5TnjQ=")</f>
        <v>#REF!</v>
      </c>
      <c r="BB416" t="e">
        <f>AND('PROG FORMACIÓN TITULADA'!#REF!,"AAAAAF5TnjU=")</f>
        <v>#REF!</v>
      </c>
      <c r="BC416" t="e">
        <f>AND('PROG FORMACIÓN TITULADA'!#REF!,"AAAAAF5TnjY=")</f>
        <v>#REF!</v>
      </c>
      <c r="BD416" t="e">
        <f>AND('PROG FORMACIÓN TITULADA'!#REF!,"AAAAAF5Tnjc=")</f>
        <v>#REF!</v>
      </c>
      <c r="BE416" t="e">
        <f>AND('PROG FORMACIÓN TITULADA'!#REF!,"AAAAAF5Tnjg=")</f>
        <v>#REF!</v>
      </c>
      <c r="BF416" t="e">
        <f>AND('PROG FORMACIÓN TITULADA'!#REF!,"AAAAAF5Tnjk=")</f>
        <v>#REF!</v>
      </c>
      <c r="BG416" t="e">
        <f>AND('PROG FORMACIÓN TITULADA'!#REF!,"AAAAAF5Tnjo=")</f>
        <v>#REF!</v>
      </c>
      <c r="BH416" t="e">
        <f>AND('PROG FORMACIÓN TITULADA'!#REF!,"AAAAAF5Tnjs=")</f>
        <v>#REF!</v>
      </c>
      <c r="BI416" t="e">
        <f>AND('PROG FORMACIÓN TITULADA'!#REF!,"AAAAAF5Tnjw=")</f>
        <v>#REF!</v>
      </c>
      <c r="BJ416" t="e">
        <f>AND('PROG FORMACIÓN TITULADA'!#REF!,"AAAAAF5Tnj0=")</f>
        <v>#REF!</v>
      </c>
      <c r="BK416" t="e">
        <f>AND('PROG FORMACIÓN TITULADA'!#REF!,"AAAAAF5Tnj4=")</f>
        <v>#REF!</v>
      </c>
      <c r="BL416" t="e">
        <f>IF('PROG FORMACIÓN TITULADA'!#REF!,"AAAAAF5Tnj8=",0)</f>
        <v>#REF!</v>
      </c>
      <c r="BM416" t="e">
        <f>AND('PROG FORMACIÓN TITULADA'!#REF!,"AAAAAF5TnkA=")</f>
        <v>#REF!</v>
      </c>
      <c r="BN416" t="e">
        <f>AND('PROG FORMACIÓN TITULADA'!#REF!,"AAAAAF5TnkE=")</f>
        <v>#REF!</v>
      </c>
      <c r="BO416" t="e">
        <f>AND('PROG FORMACIÓN TITULADA'!#REF!,"AAAAAF5TnkI=")</f>
        <v>#REF!</v>
      </c>
      <c r="BP416" t="e">
        <f>AND('PROG FORMACIÓN TITULADA'!#REF!,"AAAAAF5TnkM=")</f>
        <v>#REF!</v>
      </c>
      <c r="BQ416" t="e">
        <f>AND('PROG FORMACIÓN TITULADA'!#REF!,"AAAAAF5TnkQ=")</f>
        <v>#REF!</v>
      </c>
      <c r="BR416" t="e">
        <f>AND('PROG FORMACIÓN TITULADA'!#REF!,"AAAAAF5TnkU=")</f>
        <v>#REF!</v>
      </c>
      <c r="BS416" t="e">
        <f>AND('PROG FORMACIÓN TITULADA'!#REF!,"AAAAAF5TnkY=")</f>
        <v>#REF!</v>
      </c>
      <c r="BT416" t="e">
        <f>AND('PROG FORMACIÓN TITULADA'!#REF!,"AAAAAF5Tnkc=")</f>
        <v>#REF!</v>
      </c>
      <c r="BU416" t="e">
        <f>AND('PROG FORMACIÓN TITULADA'!#REF!,"AAAAAF5Tnkg=")</f>
        <v>#REF!</v>
      </c>
      <c r="BV416" t="e">
        <f>AND('PROG FORMACIÓN TITULADA'!#REF!,"AAAAAF5Tnkk=")</f>
        <v>#REF!</v>
      </c>
      <c r="BW416" t="e">
        <f>AND('PROG FORMACIÓN TITULADA'!#REF!,"AAAAAF5Tnko=")</f>
        <v>#REF!</v>
      </c>
      <c r="BX416" t="e">
        <f>AND('PROG FORMACIÓN TITULADA'!#REF!,"AAAAAF5Tnks=")</f>
        <v>#REF!</v>
      </c>
      <c r="BY416" t="e">
        <f>AND('PROG FORMACIÓN TITULADA'!#REF!,"AAAAAF5Tnkw=")</f>
        <v>#REF!</v>
      </c>
      <c r="BZ416" t="e">
        <f>AND('PROG FORMACIÓN TITULADA'!#REF!,"AAAAAF5Tnk0=")</f>
        <v>#REF!</v>
      </c>
      <c r="CA416" t="e">
        <f>AND('PROG FORMACIÓN TITULADA'!#REF!,"AAAAAF5Tnk4=")</f>
        <v>#REF!</v>
      </c>
      <c r="CB416" t="e">
        <f>AND('PROG FORMACIÓN TITULADA'!#REF!,"AAAAAF5Tnk8=")</f>
        <v>#REF!</v>
      </c>
      <c r="CC416" t="e">
        <f>AND('PROG FORMACIÓN TITULADA'!#REF!,"AAAAAF5TnlA=")</f>
        <v>#REF!</v>
      </c>
      <c r="CD416" t="e">
        <f>AND('PROG FORMACIÓN TITULADA'!#REF!,"AAAAAF5TnlE=")</f>
        <v>#REF!</v>
      </c>
      <c r="CE416" t="e">
        <f>AND('PROG FORMACIÓN TITULADA'!#REF!,"AAAAAF5TnlI=")</f>
        <v>#REF!</v>
      </c>
      <c r="CF416" t="e">
        <f>AND('PROG FORMACIÓN TITULADA'!#REF!,"AAAAAF5TnlM=")</f>
        <v>#REF!</v>
      </c>
      <c r="CG416" t="e">
        <f>AND('PROG FORMACIÓN TITULADA'!#REF!,"AAAAAF5TnlQ=")</f>
        <v>#REF!</v>
      </c>
      <c r="CH416" t="e">
        <f>AND('PROG FORMACIÓN TITULADA'!#REF!,"AAAAAF5TnlU=")</f>
        <v>#REF!</v>
      </c>
      <c r="CI416" t="e">
        <f>AND('PROG FORMACIÓN TITULADA'!#REF!,"AAAAAF5TnlY=")</f>
        <v>#REF!</v>
      </c>
      <c r="CJ416" t="e">
        <f>AND('PROG FORMACIÓN TITULADA'!#REF!,"AAAAAF5Tnlc=")</f>
        <v>#REF!</v>
      </c>
      <c r="CK416" t="e">
        <f>AND('PROG FORMACIÓN TITULADA'!#REF!,"AAAAAF5Tnlg=")</f>
        <v>#REF!</v>
      </c>
      <c r="CL416" t="e">
        <f>AND('PROG FORMACIÓN TITULADA'!#REF!,"AAAAAF5Tnlk=")</f>
        <v>#REF!</v>
      </c>
      <c r="CM416" t="e">
        <f>IF('PROG FORMACIÓN TITULADA'!#REF!,"AAAAAF5Tnlo=",0)</f>
        <v>#REF!</v>
      </c>
      <c r="CN416" t="e">
        <f>AND('PROG FORMACIÓN TITULADA'!#REF!,"AAAAAF5Tnls=")</f>
        <v>#REF!</v>
      </c>
      <c r="CO416" t="e">
        <f>AND('PROG FORMACIÓN TITULADA'!#REF!,"AAAAAF5Tnlw=")</f>
        <v>#REF!</v>
      </c>
      <c r="CP416" t="e">
        <f>AND('PROG FORMACIÓN TITULADA'!#REF!,"AAAAAF5Tnl0=")</f>
        <v>#REF!</v>
      </c>
      <c r="CQ416" t="e">
        <f>AND('PROG FORMACIÓN TITULADA'!#REF!,"AAAAAF5Tnl4=")</f>
        <v>#REF!</v>
      </c>
      <c r="CR416" t="e">
        <f>AND('PROG FORMACIÓN TITULADA'!#REF!,"AAAAAF5Tnl8=")</f>
        <v>#REF!</v>
      </c>
      <c r="CS416" t="e">
        <f>AND('PROG FORMACIÓN TITULADA'!#REF!,"AAAAAF5TnmA=")</f>
        <v>#REF!</v>
      </c>
      <c r="CT416" t="e">
        <f>AND('PROG FORMACIÓN TITULADA'!#REF!,"AAAAAF5TnmE=")</f>
        <v>#REF!</v>
      </c>
      <c r="CU416" t="e">
        <f>AND('PROG FORMACIÓN TITULADA'!#REF!,"AAAAAF5TnmI=")</f>
        <v>#REF!</v>
      </c>
      <c r="CV416" t="e">
        <f>AND('PROG FORMACIÓN TITULADA'!#REF!,"AAAAAF5TnmM=")</f>
        <v>#REF!</v>
      </c>
      <c r="CW416" t="e">
        <f>AND('PROG FORMACIÓN TITULADA'!#REF!,"AAAAAF5TnmQ=")</f>
        <v>#REF!</v>
      </c>
      <c r="CX416" t="e">
        <f>AND('PROG FORMACIÓN TITULADA'!#REF!,"AAAAAF5TnmU=")</f>
        <v>#REF!</v>
      </c>
      <c r="CY416" t="e">
        <f>AND('PROG FORMACIÓN TITULADA'!#REF!,"AAAAAF5TnmY=")</f>
        <v>#REF!</v>
      </c>
      <c r="CZ416" t="e">
        <f>AND('PROG FORMACIÓN TITULADA'!#REF!,"AAAAAF5Tnmc=")</f>
        <v>#REF!</v>
      </c>
      <c r="DA416" t="e">
        <f>AND('PROG FORMACIÓN TITULADA'!#REF!,"AAAAAF5Tnmg=")</f>
        <v>#REF!</v>
      </c>
      <c r="DB416" t="e">
        <f>AND('PROG FORMACIÓN TITULADA'!#REF!,"AAAAAF5Tnmk=")</f>
        <v>#REF!</v>
      </c>
      <c r="DC416" t="e">
        <f>AND('PROG FORMACIÓN TITULADA'!#REF!,"AAAAAF5Tnmo=")</f>
        <v>#REF!</v>
      </c>
      <c r="DD416" t="e">
        <f>AND('PROG FORMACIÓN TITULADA'!#REF!,"AAAAAF5Tnms=")</f>
        <v>#REF!</v>
      </c>
      <c r="DE416" t="e">
        <f>AND('PROG FORMACIÓN TITULADA'!#REF!,"AAAAAF5Tnmw=")</f>
        <v>#REF!</v>
      </c>
      <c r="DF416" t="e">
        <f>AND('PROG FORMACIÓN TITULADA'!#REF!,"AAAAAF5Tnm0=")</f>
        <v>#REF!</v>
      </c>
      <c r="DG416" t="e">
        <f>AND('PROG FORMACIÓN TITULADA'!#REF!,"AAAAAF5Tnm4=")</f>
        <v>#REF!</v>
      </c>
      <c r="DH416" t="e">
        <f>AND('PROG FORMACIÓN TITULADA'!#REF!,"AAAAAF5Tnm8=")</f>
        <v>#REF!</v>
      </c>
      <c r="DI416" t="e">
        <f>AND('PROG FORMACIÓN TITULADA'!#REF!,"AAAAAF5TnnA=")</f>
        <v>#REF!</v>
      </c>
      <c r="DJ416" t="e">
        <f>AND('PROG FORMACIÓN TITULADA'!#REF!,"AAAAAF5TnnE=")</f>
        <v>#REF!</v>
      </c>
      <c r="DK416" t="e">
        <f>AND('PROG FORMACIÓN TITULADA'!#REF!,"AAAAAF5TnnI=")</f>
        <v>#REF!</v>
      </c>
      <c r="DL416" t="e">
        <f>AND('PROG FORMACIÓN TITULADA'!#REF!,"AAAAAF5TnnM=")</f>
        <v>#REF!</v>
      </c>
      <c r="DM416" t="e">
        <f>AND('PROG FORMACIÓN TITULADA'!#REF!,"AAAAAF5TnnQ=")</f>
        <v>#REF!</v>
      </c>
      <c r="DN416" t="e">
        <f>IF('PROG FORMACIÓN TITULADA'!#REF!,"AAAAAF5TnnU=",0)</f>
        <v>#REF!</v>
      </c>
      <c r="DO416" t="e">
        <f>AND('PROG FORMACIÓN TITULADA'!#REF!,"AAAAAF5TnnY=")</f>
        <v>#REF!</v>
      </c>
      <c r="DP416" t="e">
        <f>AND('PROG FORMACIÓN TITULADA'!#REF!,"AAAAAF5Tnnc=")</f>
        <v>#REF!</v>
      </c>
      <c r="DQ416" t="e">
        <f>AND('PROG FORMACIÓN TITULADA'!#REF!,"AAAAAF5Tnng=")</f>
        <v>#REF!</v>
      </c>
      <c r="DR416" t="e">
        <f>AND('PROG FORMACIÓN TITULADA'!#REF!,"AAAAAF5Tnnk=")</f>
        <v>#REF!</v>
      </c>
      <c r="DS416" t="e">
        <f>AND('PROG FORMACIÓN TITULADA'!#REF!,"AAAAAF5Tnno=")</f>
        <v>#REF!</v>
      </c>
      <c r="DT416" t="e">
        <f>AND('PROG FORMACIÓN TITULADA'!#REF!,"AAAAAF5Tnns=")</f>
        <v>#REF!</v>
      </c>
      <c r="DU416" t="e">
        <f>AND('PROG FORMACIÓN TITULADA'!#REF!,"AAAAAF5Tnnw=")</f>
        <v>#REF!</v>
      </c>
      <c r="DV416" t="e">
        <f>AND('PROG FORMACIÓN TITULADA'!#REF!,"AAAAAF5Tnn0=")</f>
        <v>#REF!</v>
      </c>
      <c r="DW416" t="e">
        <f>AND('PROG FORMACIÓN TITULADA'!#REF!,"AAAAAF5Tnn4=")</f>
        <v>#REF!</v>
      </c>
      <c r="DX416" t="e">
        <f>AND('PROG FORMACIÓN TITULADA'!#REF!,"AAAAAF5Tnn8=")</f>
        <v>#REF!</v>
      </c>
      <c r="DY416" t="e">
        <f>AND('PROG FORMACIÓN TITULADA'!#REF!,"AAAAAF5TnoA=")</f>
        <v>#REF!</v>
      </c>
      <c r="DZ416" t="e">
        <f>AND('PROG FORMACIÓN TITULADA'!#REF!,"AAAAAF5TnoE=")</f>
        <v>#REF!</v>
      </c>
      <c r="EA416" t="e">
        <f>AND('PROG FORMACIÓN TITULADA'!#REF!,"AAAAAF5TnoI=")</f>
        <v>#REF!</v>
      </c>
      <c r="EB416" t="e">
        <f>AND('PROG FORMACIÓN TITULADA'!#REF!,"AAAAAF5TnoM=")</f>
        <v>#REF!</v>
      </c>
      <c r="EC416" t="e">
        <f>AND('PROG FORMACIÓN TITULADA'!#REF!,"AAAAAF5TnoQ=")</f>
        <v>#REF!</v>
      </c>
      <c r="ED416" t="e">
        <f>AND('PROG FORMACIÓN TITULADA'!#REF!,"AAAAAF5TnoU=")</f>
        <v>#REF!</v>
      </c>
      <c r="EE416" t="e">
        <f>AND('PROG FORMACIÓN TITULADA'!#REF!,"AAAAAF5TnoY=")</f>
        <v>#REF!</v>
      </c>
      <c r="EF416" t="e">
        <f>AND('PROG FORMACIÓN TITULADA'!#REF!,"AAAAAF5Tnoc=")</f>
        <v>#REF!</v>
      </c>
      <c r="EG416" t="e">
        <f>AND('PROG FORMACIÓN TITULADA'!#REF!,"AAAAAF5Tnog=")</f>
        <v>#REF!</v>
      </c>
      <c r="EH416" t="e">
        <f>AND('PROG FORMACIÓN TITULADA'!#REF!,"AAAAAF5Tnok=")</f>
        <v>#REF!</v>
      </c>
      <c r="EI416" t="e">
        <f>AND('PROG FORMACIÓN TITULADA'!#REF!,"AAAAAF5Tnoo=")</f>
        <v>#REF!</v>
      </c>
      <c r="EJ416" t="e">
        <f>AND('PROG FORMACIÓN TITULADA'!#REF!,"AAAAAF5Tnos=")</f>
        <v>#REF!</v>
      </c>
      <c r="EK416" t="e">
        <f>AND('PROG FORMACIÓN TITULADA'!#REF!,"AAAAAF5Tnow=")</f>
        <v>#REF!</v>
      </c>
      <c r="EL416" t="e">
        <f>AND('PROG FORMACIÓN TITULADA'!#REF!,"AAAAAF5Tno0=")</f>
        <v>#REF!</v>
      </c>
      <c r="EM416" t="e">
        <f>AND('PROG FORMACIÓN TITULADA'!#REF!,"AAAAAF5Tno4=")</f>
        <v>#REF!</v>
      </c>
      <c r="EN416" t="e">
        <f>AND('PROG FORMACIÓN TITULADA'!#REF!,"AAAAAF5Tno8=")</f>
        <v>#REF!</v>
      </c>
      <c r="EO416" t="e">
        <f>IF('PROG FORMACIÓN TITULADA'!#REF!,"AAAAAF5TnpA=",0)</f>
        <v>#REF!</v>
      </c>
      <c r="EP416" t="e">
        <f>AND('PROG FORMACIÓN TITULADA'!#REF!,"AAAAAF5TnpE=")</f>
        <v>#REF!</v>
      </c>
      <c r="EQ416" t="e">
        <f>AND('PROG FORMACIÓN TITULADA'!#REF!,"AAAAAF5TnpI=")</f>
        <v>#REF!</v>
      </c>
      <c r="ER416" t="e">
        <f>AND('PROG FORMACIÓN TITULADA'!#REF!,"AAAAAF5TnpM=")</f>
        <v>#REF!</v>
      </c>
      <c r="ES416" t="e">
        <f>AND('PROG FORMACIÓN TITULADA'!#REF!,"AAAAAF5TnpQ=")</f>
        <v>#REF!</v>
      </c>
      <c r="ET416" t="e">
        <f>AND('PROG FORMACIÓN TITULADA'!#REF!,"AAAAAF5TnpU=")</f>
        <v>#REF!</v>
      </c>
      <c r="EU416" t="e">
        <f>AND('PROG FORMACIÓN TITULADA'!#REF!,"AAAAAF5TnpY=")</f>
        <v>#REF!</v>
      </c>
      <c r="EV416" t="e">
        <f>AND('PROG FORMACIÓN TITULADA'!#REF!,"AAAAAF5Tnpc=")</f>
        <v>#REF!</v>
      </c>
      <c r="EW416" t="e">
        <f>AND('PROG FORMACIÓN TITULADA'!#REF!,"AAAAAF5Tnpg=")</f>
        <v>#REF!</v>
      </c>
      <c r="EX416" t="e">
        <f>AND('PROG FORMACIÓN TITULADA'!#REF!,"AAAAAF5Tnpk=")</f>
        <v>#REF!</v>
      </c>
      <c r="EY416" t="e">
        <f>AND('PROG FORMACIÓN TITULADA'!#REF!,"AAAAAF5Tnpo=")</f>
        <v>#REF!</v>
      </c>
      <c r="EZ416" t="e">
        <f>AND('PROG FORMACIÓN TITULADA'!#REF!,"AAAAAF5Tnps=")</f>
        <v>#REF!</v>
      </c>
      <c r="FA416" t="e">
        <f>AND('PROG FORMACIÓN TITULADA'!#REF!,"AAAAAF5Tnpw=")</f>
        <v>#REF!</v>
      </c>
      <c r="FB416" t="e">
        <f>AND('PROG FORMACIÓN TITULADA'!#REF!,"AAAAAF5Tnp0=")</f>
        <v>#REF!</v>
      </c>
      <c r="FC416" t="e">
        <f>AND('PROG FORMACIÓN TITULADA'!#REF!,"AAAAAF5Tnp4=")</f>
        <v>#REF!</v>
      </c>
      <c r="FD416" t="e">
        <f>AND('PROG FORMACIÓN TITULADA'!#REF!,"AAAAAF5Tnp8=")</f>
        <v>#REF!</v>
      </c>
      <c r="FE416" t="e">
        <f>AND('PROG FORMACIÓN TITULADA'!#REF!,"AAAAAF5TnqA=")</f>
        <v>#REF!</v>
      </c>
      <c r="FF416" t="e">
        <f>AND('PROG FORMACIÓN TITULADA'!#REF!,"AAAAAF5TnqE=")</f>
        <v>#REF!</v>
      </c>
      <c r="FG416" t="e">
        <f>AND('PROG FORMACIÓN TITULADA'!#REF!,"AAAAAF5TnqI=")</f>
        <v>#REF!</v>
      </c>
      <c r="FH416" t="e">
        <f>AND('PROG FORMACIÓN TITULADA'!#REF!,"AAAAAF5TnqM=")</f>
        <v>#REF!</v>
      </c>
      <c r="FI416" t="e">
        <f>AND('PROG FORMACIÓN TITULADA'!#REF!,"AAAAAF5TnqQ=")</f>
        <v>#REF!</v>
      </c>
      <c r="FJ416" t="e">
        <f>AND('PROG FORMACIÓN TITULADA'!#REF!,"AAAAAF5TnqU=")</f>
        <v>#REF!</v>
      </c>
      <c r="FK416" t="e">
        <f>AND('PROG FORMACIÓN TITULADA'!#REF!,"AAAAAF5TnqY=")</f>
        <v>#REF!</v>
      </c>
      <c r="FL416" t="e">
        <f>AND('PROG FORMACIÓN TITULADA'!#REF!,"AAAAAF5Tnqc=")</f>
        <v>#REF!</v>
      </c>
      <c r="FM416" t="e">
        <f>AND('PROG FORMACIÓN TITULADA'!#REF!,"AAAAAF5Tnqg=")</f>
        <v>#REF!</v>
      </c>
      <c r="FN416" t="e">
        <f>AND('PROG FORMACIÓN TITULADA'!#REF!,"AAAAAF5Tnqk=")</f>
        <v>#REF!</v>
      </c>
      <c r="FO416" t="e">
        <f>AND('PROG FORMACIÓN TITULADA'!#REF!,"AAAAAF5Tnqo=")</f>
        <v>#REF!</v>
      </c>
      <c r="FP416" t="e">
        <f>IF('PROG FORMACIÓN TITULADA'!#REF!,"AAAAAF5Tnqs=",0)</f>
        <v>#REF!</v>
      </c>
      <c r="FQ416" t="e">
        <f>AND('PROG FORMACIÓN TITULADA'!#REF!,"AAAAAF5Tnqw=")</f>
        <v>#REF!</v>
      </c>
      <c r="FR416" t="e">
        <f>AND('PROG FORMACIÓN TITULADA'!#REF!,"AAAAAF5Tnq0=")</f>
        <v>#REF!</v>
      </c>
      <c r="FS416" t="e">
        <f>AND('PROG FORMACIÓN TITULADA'!#REF!,"AAAAAF5Tnq4=")</f>
        <v>#REF!</v>
      </c>
      <c r="FT416" t="e">
        <f>AND('PROG FORMACIÓN TITULADA'!#REF!,"AAAAAF5Tnq8=")</f>
        <v>#REF!</v>
      </c>
      <c r="FU416" t="e">
        <f>AND('PROG FORMACIÓN TITULADA'!#REF!,"AAAAAF5TnrA=")</f>
        <v>#REF!</v>
      </c>
      <c r="FV416" t="e">
        <f>AND('PROG FORMACIÓN TITULADA'!#REF!,"AAAAAF5TnrE=")</f>
        <v>#REF!</v>
      </c>
      <c r="FW416" t="e">
        <f>AND('PROG FORMACIÓN TITULADA'!#REF!,"AAAAAF5TnrI=")</f>
        <v>#REF!</v>
      </c>
      <c r="FX416" t="e">
        <f>AND('PROG FORMACIÓN TITULADA'!#REF!,"AAAAAF5TnrM=")</f>
        <v>#REF!</v>
      </c>
      <c r="FY416" t="e">
        <f>AND('PROG FORMACIÓN TITULADA'!#REF!,"AAAAAF5TnrQ=")</f>
        <v>#REF!</v>
      </c>
      <c r="FZ416" t="e">
        <f>AND('PROG FORMACIÓN TITULADA'!#REF!,"AAAAAF5TnrU=")</f>
        <v>#REF!</v>
      </c>
      <c r="GA416" t="e">
        <f>AND('PROG FORMACIÓN TITULADA'!#REF!,"AAAAAF5TnrY=")</f>
        <v>#REF!</v>
      </c>
      <c r="GB416" t="e">
        <f>AND('PROG FORMACIÓN TITULADA'!#REF!,"AAAAAF5Tnrc=")</f>
        <v>#REF!</v>
      </c>
      <c r="GC416" t="e">
        <f>AND('PROG FORMACIÓN TITULADA'!#REF!,"AAAAAF5Tnrg=")</f>
        <v>#REF!</v>
      </c>
      <c r="GD416" t="e">
        <f>AND('PROG FORMACIÓN TITULADA'!#REF!,"AAAAAF5Tnrk=")</f>
        <v>#REF!</v>
      </c>
      <c r="GE416" t="e">
        <f>AND('PROG FORMACIÓN TITULADA'!#REF!,"AAAAAF5Tnro=")</f>
        <v>#REF!</v>
      </c>
      <c r="GF416" t="e">
        <f>AND('PROG FORMACIÓN TITULADA'!#REF!,"AAAAAF5Tnrs=")</f>
        <v>#REF!</v>
      </c>
      <c r="GG416" t="e">
        <f>AND('PROG FORMACIÓN TITULADA'!#REF!,"AAAAAF5Tnrw=")</f>
        <v>#REF!</v>
      </c>
      <c r="GH416" t="e">
        <f>AND('PROG FORMACIÓN TITULADA'!#REF!,"AAAAAF5Tnr0=")</f>
        <v>#REF!</v>
      </c>
      <c r="GI416" t="e">
        <f>AND('PROG FORMACIÓN TITULADA'!#REF!,"AAAAAF5Tnr4=")</f>
        <v>#REF!</v>
      </c>
      <c r="GJ416" t="e">
        <f>AND('PROG FORMACIÓN TITULADA'!#REF!,"AAAAAF5Tnr8=")</f>
        <v>#REF!</v>
      </c>
      <c r="GK416" t="e">
        <f>AND('PROG FORMACIÓN TITULADA'!#REF!,"AAAAAF5TnsA=")</f>
        <v>#REF!</v>
      </c>
      <c r="GL416" t="e">
        <f>AND('PROG FORMACIÓN TITULADA'!#REF!,"AAAAAF5TnsE=")</f>
        <v>#REF!</v>
      </c>
      <c r="GM416" t="e">
        <f>AND('PROG FORMACIÓN TITULADA'!#REF!,"AAAAAF5TnsI=")</f>
        <v>#REF!</v>
      </c>
      <c r="GN416" t="e">
        <f>AND('PROG FORMACIÓN TITULADA'!#REF!,"AAAAAF5TnsM=")</f>
        <v>#REF!</v>
      </c>
      <c r="GO416" t="e">
        <f>AND('PROG FORMACIÓN TITULADA'!#REF!,"AAAAAF5TnsQ=")</f>
        <v>#REF!</v>
      </c>
      <c r="GP416" t="e">
        <f>AND('PROG FORMACIÓN TITULADA'!#REF!,"AAAAAF5TnsU=")</f>
        <v>#REF!</v>
      </c>
      <c r="GQ416" t="e">
        <f>IF('PROG FORMACIÓN TITULADA'!#REF!,"AAAAAF5TnsY=",0)</f>
        <v>#REF!</v>
      </c>
      <c r="GR416" t="e">
        <f>AND('PROG FORMACIÓN TITULADA'!#REF!,"AAAAAF5Tnsc=")</f>
        <v>#REF!</v>
      </c>
      <c r="GS416" t="e">
        <f>AND('PROG FORMACIÓN TITULADA'!#REF!,"AAAAAF5Tnsg=")</f>
        <v>#REF!</v>
      </c>
      <c r="GT416" t="e">
        <f>AND('PROG FORMACIÓN TITULADA'!#REF!,"AAAAAF5Tnsk=")</f>
        <v>#REF!</v>
      </c>
      <c r="GU416" t="e">
        <f>AND('PROG FORMACIÓN TITULADA'!#REF!,"AAAAAF5Tnso=")</f>
        <v>#REF!</v>
      </c>
      <c r="GV416" t="e">
        <f>AND('PROG FORMACIÓN TITULADA'!#REF!,"AAAAAF5Tnss=")</f>
        <v>#REF!</v>
      </c>
      <c r="GW416" t="e">
        <f>AND('PROG FORMACIÓN TITULADA'!#REF!,"AAAAAF5Tnsw=")</f>
        <v>#REF!</v>
      </c>
      <c r="GX416" t="e">
        <f>AND('PROG FORMACIÓN TITULADA'!#REF!,"AAAAAF5Tns0=")</f>
        <v>#REF!</v>
      </c>
      <c r="GY416" t="e">
        <f>AND('PROG FORMACIÓN TITULADA'!#REF!,"AAAAAF5Tns4=")</f>
        <v>#REF!</v>
      </c>
      <c r="GZ416" t="e">
        <f>AND('PROG FORMACIÓN TITULADA'!#REF!,"AAAAAF5Tns8=")</f>
        <v>#REF!</v>
      </c>
      <c r="HA416" t="e">
        <f>AND('PROG FORMACIÓN TITULADA'!#REF!,"AAAAAF5TntA=")</f>
        <v>#REF!</v>
      </c>
      <c r="HB416" t="e">
        <f>AND('PROG FORMACIÓN TITULADA'!#REF!,"AAAAAF5TntE=")</f>
        <v>#REF!</v>
      </c>
      <c r="HC416" t="e">
        <f>AND('PROG FORMACIÓN TITULADA'!#REF!,"AAAAAF5TntI=")</f>
        <v>#REF!</v>
      </c>
      <c r="HD416" t="e">
        <f>AND('PROG FORMACIÓN TITULADA'!#REF!,"AAAAAF5TntM=")</f>
        <v>#REF!</v>
      </c>
      <c r="HE416" t="e">
        <f>AND('PROG FORMACIÓN TITULADA'!#REF!,"AAAAAF5TntQ=")</f>
        <v>#REF!</v>
      </c>
      <c r="HF416" t="e">
        <f>AND('PROG FORMACIÓN TITULADA'!#REF!,"AAAAAF5TntU=")</f>
        <v>#REF!</v>
      </c>
      <c r="HG416" t="e">
        <f>AND('PROG FORMACIÓN TITULADA'!#REF!,"AAAAAF5TntY=")</f>
        <v>#REF!</v>
      </c>
      <c r="HH416" t="e">
        <f>AND('PROG FORMACIÓN TITULADA'!#REF!,"AAAAAF5Tntc=")</f>
        <v>#REF!</v>
      </c>
      <c r="HI416" t="e">
        <f>AND('PROG FORMACIÓN TITULADA'!#REF!,"AAAAAF5Tntg=")</f>
        <v>#REF!</v>
      </c>
      <c r="HJ416" t="e">
        <f>AND('PROG FORMACIÓN TITULADA'!#REF!,"AAAAAF5Tntk=")</f>
        <v>#REF!</v>
      </c>
      <c r="HK416" t="e">
        <f>AND('PROG FORMACIÓN TITULADA'!#REF!,"AAAAAF5Tnto=")</f>
        <v>#REF!</v>
      </c>
      <c r="HL416" t="e">
        <f>AND('PROG FORMACIÓN TITULADA'!#REF!,"AAAAAF5Tnts=")</f>
        <v>#REF!</v>
      </c>
      <c r="HM416" t="e">
        <f>AND('PROG FORMACIÓN TITULADA'!#REF!,"AAAAAF5Tntw=")</f>
        <v>#REF!</v>
      </c>
      <c r="HN416" t="e">
        <f>AND('PROG FORMACIÓN TITULADA'!#REF!,"AAAAAF5Tnt0=")</f>
        <v>#REF!</v>
      </c>
      <c r="HO416" t="e">
        <f>AND('PROG FORMACIÓN TITULADA'!#REF!,"AAAAAF5Tnt4=")</f>
        <v>#REF!</v>
      </c>
      <c r="HP416" t="e">
        <f>AND('PROG FORMACIÓN TITULADA'!#REF!,"AAAAAF5Tnt8=")</f>
        <v>#REF!</v>
      </c>
      <c r="HQ416" t="e">
        <f>AND('PROG FORMACIÓN TITULADA'!#REF!,"AAAAAF5TnuA=")</f>
        <v>#REF!</v>
      </c>
      <c r="HR416" t="e">
        <f>IF('PROG FORMACIÓN TITULADA'!#REF!,"AAAAAF5TnuE=",0)</f>
        <v>#REF!</v>
      </c>
      <c r="HS416" t="e">
        <f>AND('PROG FORMACIÓN TITULADA'!#REF!,"AAAAAF5TnuI=")</f>
        <v>#REF!</v>
      </c>
      <c r="HT416" t="e">
        <f>AND('PROG FORMACIÓN TITULADA'!#REF!,"AAAAAF5TnuM=")</f>
        <v>#REF!</v>
      </c>
      <c r="HU416" t="e">
        <f>AND('PROG FORMACIÓN TITULADA'!#REF!,"AAAAAF5TnuQ=")</f>
        <v>#REF!</v>
      </c>
      <c r="HV416" t="e">
        <f>AND('PROG FORMACIÓN TITULADA'!#REF!,"AAAAAF5TnuU=")</f>
        <v>#REF!</v>
      </c>
      <c r="HW416" t="e">
        <f>AND('PROG FORMACIÓN TITULADA'!#REF!,"AAAAAF5TnuY=")</f>
        <v>#REF!</v>
      </c>
      <c r="HX416" t="e">
        <f>AND('PROG FORMACIÓN TITULADA'!#REF!,"AAAAAF5Tnuc=")</f>
        <v>#REF!</v>
      </c>
      <c r="HY416" t="e">
        <f>AND('PROG FORMACIÓN TITULADA'!#REF!,"AAAAAF5Tnug=")</f>
        <v>#REF!</v>
      </c>
      <c r="HZ416" t="e">
        <f>AND('PROG FORMACIÓN TITULADA'!#REF!,"AAAAAF5Tnuk=")</f>
        <v>#REF!</v>
      </c>
      <c r="IA416" t="e">
        <f>AND('PROG FORMACIÓN TITULADA'!#REF!,"AAAAAF5Tnuo=")</f>
        <v>#REF!</v>
      </c>
      <c r="IB416" t="e">
        <f>AND('PROG FORMACIÓN TITULADA'!#REF!,"AAAAAF5Tnus=")</f>
        <v>#REF!</v>
      </c>
      <c r="IC416" t="e">
        <f>AND('PROG FORMACIÓN TITULADA'!#REF!,"AAAAAF5Tnuw=")</f>
        <v>#REF!</v>
      </c>
      <c r="ID416" t="e">
        <f>AND('PROG FORMACIÓN TITULADA'!#REF!,"AAAAAF5Tnu0=")</f>
        <v>#REF!</v>
      </c>
      <c r="IE416" t="e">
        <f>AND('PROG FORMACIÓN TITULADA'!#REF!,"AAAAAF5Tnu4=")</f>
        <v>#REF!</v>
      </c>
      <c r="IF416" t="e">
        <f>AND('PROG FORMACIÓN TITULADA'!#REF!,"AAAAAF5Tnu8=")</f>
        <v>#REF!</v>
      </c>
      <c r="IG416" t="e">
        <f>AND('PROG FORMACIÓN TITULADA'!#REF!,"AAAAAF5TnvA=")</f>
        <v>#REF!</v>
      </c>
      <c r="IH416" t="e">
        <f>AND('PROG FORMACIÓN TITULADA'!#REF!,"AAAAAF5TnvE=")</f>
        <v>#REF!</v>
      </c>
      <c r="II416" t="e">
        <f>AND('PROG FORMACIÓN TITULADA'!#REF!,"AAAAAF5TnvI=")</f>
        <v>#REF!</v>
      </c>
      <c r="IJ416" t="e">
        <f>AND('PROG FORMACIÓN TITULADA'!#REF!,"AAAAAF5TnvM=")</f>
        <v>#REF!</v>
      </c>
      <c r="IK416" t="e">
        <f>AND('PROG FORMACIÓN TITULADA'!#REF!,"AAAAAF5TnvQ=")</f>
        <v>#REF!</v>
      </c>
      <c r="IL416" t="e">
        <f>AND('PROG FORMACIÓN TITULADA'!#REF!,"AAAAAF5TnvU=")</f>
        <v>#REF!</v>
      </c>
      <c r="IM416" t="e">
        <f>AND('PROG FORMACIÓN TITULADA'!#REF!,"AAAAAF5TnvY=")</f>
        <v>#REF!</v>
      </c>
      <c r="IN416" t="e">
        <f>AND('PROG FORMACIÓN TITULADA'!#REF!,"AAAAAF5Tnvc=")</f>
        <v>#REF!</v>
      </c>
      <c r="IO416" t="e">
        <f>AND('PROG FORMACIÓN TITULADA'!#REF!,"AAAAAF5Tnvg=")</f>
        <v>#REF!</v>
      </c>
      <c r="IP416" t="e">
        <f>AND('PROG FORMACIÓN TITULADA'!#REF!,"AAAAAF5Tnvk=")</f>
        <v>#REF!</v>
      </c>
      <c r="IQ416" t="e">
        <f>AND('PROG FORMACIÓN TITULADA'!#REF!,"AAAAAF5Tnvo=")</f>
        <v>#REF!</v>
      </c>
      <c r="IR416" t="e">
        <f>AND('PROG FORMACIÓN TITULADA'!#REF!,"AAAAAF5Tnvs=")</f>
        <v>#REF!</v>
      </c>
      <c r="IS416" t="e">
        <f>IF('PROG FORMACIÓN TITULADA'!#REF!,"AAAAAF5Tnvw=",0)</f>
        <v>#REF!</v>
      </c>
      <c r="IT416" t="e">
        <f>AND('PROG FORMACIÓN TITULADA'!#REF!,"AAAAAF5Tnv0=")</f>
        <v>#REF!</v>
      </c>
      <c r="IU416" t="e">
        <f>AND('PROG FORMACIÓN TITULADA'!#REF!,"AAAAAF5Tnv4=")</f>
        <v>#REF!</v>
      </c>
      <c r="IV416" t="e">
        <f>AND('PROG FORMACIÓN TITULADA'!#REF!,"AAAAAF5Tnv8=")</f>
        <v>#REF!</v>
      </c>
    </row>
    <row r="417" spans="1:256" x14ac:dyDescent="0.2">
      <c r="A417" t="e">
        <f>AND('PROG FORMACIÓN TITULADA'!#REF!,"AAAAAG7LvgA=")</f>
        <v>#REF!</v>
      </c>
      <c r="B417" t="e">
        <f>AND('PROG FORMACIÓN TITULADA'!#REF!,"AAAAAG7LvgE=")</f>
        <v>#REF!</v>
      </c>
      <c r="C417" t="e">
        <f>AND('PROG FORMACIÓN TITULADA'!#REF!,"AAAAAG7LvgI=")</f>
        <v>#REF!</v>
      </c>
      <c r="D417" t="e">
        <f>AND('PROG FORMACIÓN TITULADA'!#REF!,"AAAAAG7LvgM=")</f>
        <v>#REF!</v>
      </c>
      <c r="E417" t="e">
        <f>AND('PROG FORMACIÓN TITULADA'!#REF!,"AAAAAG7LvgQ=")</f>
        <v>#REF!</v>
      </c>
      <c r="F417" t="e">
        <f>AND('PROG FORMACIÓN TITULADA'!#REF!,"AAAAAG7LvgU=")</f>
        <v>#REF!</v>
      </c>
      <c r="G417" t="e">
        <f>AND('PROG FORMACIÓN TITULADA'!#REF!,"AAAAAG7LvgY=")</f>
        <v>#REF!</v>
      </c>
      <c r="H417" t="e">
        <f>AND('PROG FORMACIÓN TITULADA'!#REF!,"AAAAAG7Lvgc=")</f>
        <v>#REF!</v>
      </c>
      <c r="I417" t="e">
        <f>AND('PROG FORMACIÓN TITULADA'!#REF!,"AAAAAG7Lvgg=")</f>
        <v>#REF!</v>
      </c>
      <c r="J417" t="e">
        <f>AND('PROG FORMACIÓN TITULADA'!#REF!,"AAAAAG7Lvgk=")</f>
        <v>#REF!</v>
      </c>
      <c r="K417" t="e">
        <f>AND('PROG FORMACIÓN TITULADA'!#REF!,"AAAAAG7Lvgo=")</f>
        <v>#REF!</v>
      </c>
      <c r="L417" t="e">
        <f>AND('PROG FORMACIÓN TITULADA'!#REF!,"AAAAAG7Lvgs=")</f>
        <v>#REF!</v>
      </c>
      <c r="M417" t="e">
        <f>AND('PROG FORMACIÓN TITULADA'!#REF!,"AAAAAG7Lvgw=")</f>
        <v>#REF!</v>
      </c>
      <c r="N417" t="e">
        <f>AND('PROG FORMACIÓN TITULADA'!#REF!,"AAAAAG7Lvg0=")</f>
        <v>#REF!</v>
      </c>
      <c r="O417" t="e">
        <f>AND('PROG FORMACIÓN TITULADA'!#REF!,"AAAAAG7Lvg4=")</f>
        <v>#REF!</v>
      </c>
      <c r="P417" t="e">
        <f>AND('PROG FORMACIÓN TITULADA'!#REF!,"AAAAAG7Lvg8=")</f>
        <v>#REF!</v>
      </c>
      <c r="Q417" t="e">
        <f>AND('PROG FORMACIÓN TITULADA'!#REF!,"AAAAAG7LvhA=")</f>
        <v>#REF!</v>
      </c>
      <c r="R417" t="e">
        <f>AND('PROG FORMACIÓN TITULADA'!#REF!,"AAAAAG7LvhE=")</f>
        <v>#REF!</v>
      </c>
      <c r="S417" t="e">
        <f>AND('PROG FORMACIÓN TITULADA'!#REF!,"AAAAAG7LvhI=")</f>
        <v>#REF!</v>
      </c>
      <c r="T417" t="e">
        <f>AND('PROG FORMACIÓN TITULADA'!#REF!,"AAAAAG7LvhM=")</f>
        <v>#REF!</v>
      </c>
      <c r="U417" t="e">
        <f>AND('PROG FORMACIÓN TITULADA'!#REF!,"AAAAAG7LvhQ=")</f>
        <v>#REF!</v>
      </c>
      <c r="V417" t="e">
        <f>AND('PROG FORMACIÓN TITULADA'!#REF!,"AAAAAG7LvhU=")</f>
        <v>#REF!</v>
      </c>
      <c r="W417" t="e">
        <f>AND('PROG FORMACIÓN TITULADA'!#REF!,"AAAAAG7LvhY=")</f>
        <v>#REF!</v>
      </c>
      <c r="X417" t="e">
        <f>IF('PROG FORMACIÓN TITULADA'!#REF!,"AAAAAG7Lvhc=",0)</f>
        <v>#REF!</v>
      </c>
      <c r="Y417" t="e">
        <f>AND('PROG FORMACIÓN TITULADA'!#REF!,"AAAAAG7Lvhg=")</f>
        <v>#REF!</v>
      </c>
      <c r="Z417" t="e">
        <f>AND('PROG FORMACIÓN TITULADA'!#REF!,"AAAAAG7Lvhk=")</f>
        <v>#REF!</v>
      </c>
      <c r="AA417" t="e">
        <f>AND('PROG FORMACIÓN TITULADA'!#REF!,"AAAAAG7Lvho=")</f>
        <v>#REF!</v>
      </c>
      <c r="AB417" t="e">
        <f>AND('PROG FORMACIÓN TITULADA'!#REF!,"AAAAAG7Lvhs=")</f>
        <v>#REF!</v>
      </c>
      <c r="AC417" t="e">
        <f>AND('PROG FORMACIÓN TITULADA'!#REF!,"AAAAAG7Lvhw=")</f>
        <v>#REF!</v>
      </c>
      <c r="AD417" t="e">
        <f>AND('PROG FORMACIÓN TITULADA'!#REF!,"AAAAAG7Lvh0=")</f>
        <v>#REF!</v>
      </c>
      <c r="AE417" t="e">
        <f>AND('PROG FORMACIÓN TITULADA'!#REF!,"AAAAAG7Lvh4=")</f>
        <v>#REF!</v>
      </c>
      <c r="AF417" t="e">
        <f>AND('PROG FORMACIÓN TITULADA'!#REF!,"AAAAAG7Lvh8=")</f>
        <v>#REF!</v>
      </c>
      <c r="AG417" t="e">
        <f>AND('PROG FORMACIÓN TITULADA'!#REF!,"AAAAAG7LviA=")</f>
        <v>#REF!</v>
      </c>
      <c r="AH417" t="e">
        <f>AND('PROG FORMACIÓN TITULADA'!#REF!,"AAAAAG7LviE=")</f>
        <v>#REF!</v>
      </c>
      <c r="AI417" t="e">
        <f>AND('PROG FORMACIÓN TITULADA'!#REF!,"AAAAAG7LviI=")</f>
        <v>#REF!</v>
      </c>
      <c r="AJ417" t="e">
        <f>AND('PROG FORMACIÓN TITULADA'!#REF!,"AAAAAG7LviM=")</f>
        <v>#REF!</v>
      </c>
      <c r="AK417" t="e">
        <f>AND('PROG FORMACIÓN TITULADA'!#REF!,"AAAAAG7LviQ=")</f>
        <v>#REF!</v>
      </c>
      <c r="AL417" t="e">
        <f>AND('PROG FORMACIÓN TITULADA'!#REF!,"AAAAAG7LviU=")</f>
        <v>#REF!</v>
      </c>
      <c r="AM417" t="e">
        <f>AND('PROG FORMACIÓN TITULADA'!#REF!,"AAAAAG7LviY=")</f>
        <v>#REF!</v>
      </c>
      <c r="AN417" t="e">
        <f>AND('PROG FORMACIÓN TITULADA'!#REF!,"AAAAAG7Lvic=")</f>
        <v>#REF!</v>
      </c>
      <c r="AO417" t="e">
        <f>AND('PROG FORMACIÓN TITULADA'!#REF!,"AAAAAG7Lvig=")</f>
        <v>#REF!</v>
      </c>
      <c r="AP417" t="e">
        <f>AND('PROG FORMACIÓN TITULADA'!#REF!,"AAAAAG7Lvik=")</f>
        <v>#REF!</v>
      </c>
      <c r="AQ417" t="e">
        <f>AND('PROG FORMACIÓN TITULADA'!#REF!,"AAAAAG7Lvio=")</f>
        <v>#REF!</v>
      </c>
      <c r="AR417" t="e">
        <f>AND('PROG FORMACIÓN TITULADA'!#REF!,"AAAAAG7Lvis=")</f>
        <v>#REF!</v>
      </c>
      <c r="AS417" t="e">
        <f>AND('PROG FORMACIÓN TITULADA'!#REF!,"AAAAAG7Lviw=")</f>
        <v>#REF!</v>
      </c>
      <c r="AT417" t="e">
        <f>AND('PROG FORMACIÓN TITULADA'!#REF!,"AAAAAG7Lvi0=")</f>
        <v>#REF!</v>
      </c>
      <c r="AU417" t="e">
        <f>AND('PROG FORMACIÓN TITULADA'!#REF!,"AAAAAG7Lvi4=")</f>
        <v>#REF!</v>
      </c>
      <c r="AV417" t="e">
        <f>AND('PROG FORMACIÓN TITULADA'!#REF!,"AAAAAG7Lvi8=")</f>
        <v>#REF!</v>
      </c>
      <c r="AW417" t="e">
        <f>AND('PROG FORMACIÓN TITULADA'!#REF!,"AAAAAG7LvjA=")</f>
        <v>#REF!</v>
      </c>
      <c r="AX417" t="e">
        <f>AND('PROG FORMACIÓN TITULADA'!#REF!,"AAAAAG7LvjE=")</f>
        <v>#REF!</v>
      </c>
      <c r="AY417" t="e">
        <f>IF('PROG FORMACIÓN TITULADA'!#REF!,"AAAAAG7LvjI=",0)</f>
        <v>#REF!</v>
      </c>
      <c r="AZ417" t="e">
        <f>AND('PROG FORMACIÓN TITULADA'!#REF!,"AAAAAG7LvjM=")</f>
        <v>#REF!</v>
      </c>
      <c r="BA417" t="e">
        <f>AND('PROG FORMACIÓN TITULADA'!#REF!,"AAAAAG7LvjQ=")</f>
        <v>#REF!</v>
      </c>
      <c r="BB417" t="e">
        <f>AND('PROG FORMACIÓN TITULADA'!#REF!,"AAAAAG7LvjU=")</f>
        <v>#REF!</v>
      </c>
      <c r="BC417" t="e">
        <f>AND('PROG FORMACIÓN TITULADA'!#REF!,"AAAAAG7LvjY=")</f>
        <v>#REF!</v>
      </c>
      <c r="BD417" t="e">
        <f>AND('PROG FORMACIÓN TITULADA'!#REF!,"AAAAAG7Lvjc=")</f>
        <v>#REF!</v>
      </c>
      <c r="BE417" t="e">
        <f>AND('PROG FORMACIÓN TITULADA'!#REF!,"AAAAAG7Lvjg=")</f>
        <v>#REF!</v>
      </c>
      <c r="BF417" t="e">
        <f>AND('PROG FORMACIÓN TITULADA'!#REF!,"AAAAAG7Lvjk=")</f>
        <v>#REF!</v>
      </c>
      <c r="BG417" t="e">
        <f>AND('PROG FORMACIÓN TITULADA'!#REF!,"AAAAAG7Lvjo=")</f>
        <v>#REF!</v>
      </c>
      <c r="BH417" t="e">
        <f>AND('PROG FORMACIÓN TITULADA'!#REF!,"AAAAAG7Lvjs=")</f>
        <v>#REF!</v>
      </c>
      <c r="BI417" t="e">
        <f>AND('PROG FORMACIÓN TITULADA'!#REF!,"AAAAAG7Lvjw=")</f>
        <v>#REF!</v>
      </c>
      <c r="BJ417" t="e">
        <f>AND('PROG FORMACIÓN TITULADA'!#REF!,"AAAAAG7Lvj0=")</f>
        <v>#REF!</v>
      </c>
      <c r="BK417" t="e">
        <f>AND('PROG FORMACIÓN TITULADA'!#REF!,"AAAAAG7Lvj4=")</f>
        <v>#REF!</v>
      </c>
      <c r="BL417" t="e">
        <f>AND('PROG FORMACIÓN TITULADA'!#REF!,"AAAAAG7Lvj8=")</f>
        <v>#REF!</v>
      </c>
      <c r="BM417" t="e">
        <f>AND('PROG FORMACIÓN TITULADA'!#REF!,"AAAAAG7LvkA=")</f>
        <v>#REF!</v>
      </c>
      <c r="BN417" t="e">
        <f>AND('PROG FORMACIÓN TITULADA'!#REF!,"AAAAAG7LvkE=")</f>
        <v>#REF!</v>
      </c>
      <c r="BO417" t="e">
        <f>AND('PROG FORMACIÓN TITULADA'!#REF!,"AAAAAG7LvkI=")</f>
        <v>#REF!</v>
      </c>
      <c r="BP417" t="e">
        <f>AND('PROG FORMACIÓN TITULADA'!#REF!,"AAAAAG7LvkM=")</f>
        <v>#REF!</v>
      </c>
      <c r="BQ417" t="e">
        <f>AND('PROG FORMACIÓN TITULADA'!#REF!,"AAAAAG7LvkQ=")</f>
        <v>#REF!</v>
      </c>
      <c r="BR417" t="e">
        <f>AND('PROG FORMACIÓN TITULADA'!#REF!,"AAAAAG7LvkU=")</f>
        <v>#REF!</v>
      </c>
      <c r="BS417" t="e">
        <f>AND('PROG FORMACIÓN TITULADA'!#REF!,"AAAAAG7LvkY=")</f>
        <v>#REF!</v>
      </c>
      <c r="BT417" t="e">
        <f>AND('PROG FORMACIÓN TITULADA'!#REF!,"AAAAAG7Lvkc=")</f>
        <v>#REF!</v>
      </c>
      <c r="BU417" t="e">
        <f>AND('PROG FORMACIÓN TITULADA'!#REF!,"AAAAAG7Lvkg=")</f>
        <v>#REF!</v>
      </c>
      <c r="BV417" t="e">
        <f>AND('PROG FORMACIÓN TITULADA'!#REF!,"AAAAAG7Lvkk=")</f>
        <v>#REF!</v>
      </c>
      <c r="BW417" t="e">
        <f>AND('PROG FORMACIÓN TITULADA'!#REF!,"AAAAAG7Lvko=")</f>
        <v>#REF!</v>
      </c>
      <c r="BX417" t="e">
        <f>AND('PROG FORMACIÓN TITULADA'!#REF!,"AAAAAG7Lvks=")</f>
        <v>#REF!</v>
      </c>
      <c r="BY417" t="e">
        <f>AND('PROG FORMACIÓN TITULADA'!#REF!,"AAAAAG7Lvkw=")</f>
        <v>#REF!</v>
      </c>
      <c r="BZ417" t="e">
        <f>IF('PROG FORMACIÓN TITULADA'!#REF!,"AAAAAG7Lvk0=",0)</f>
        <v>#REF!</v>
      </c>
      <c r="CA417" t="e">
        <f>AND('PROG FORMACIÓN TITULADA'!#REF!,"AAAAAG7Lvk4=")</f>
        <v>#REF!</v>
      </c>
      <c r="CB417" t="e">
        <f>AND('PROG FORMACIÓN TITULADA'!#REF!,"AAAAAG7Lvk8=")</f>
        <v>#REF!</v>
      </c>
      <c r="CC417" t="e">
        <f>AND('PROG FORMACIÓN TITULADA'!#REF!,"AAAAAG7LvlA=")</f>
        <v>#REF!</v>
      </c>
      <c r="CD417" t="e">
        <f>AND('PROG FORMACIÓN TITULADA'!#REF!,"AAAAAG7LvlE=")</f>
        <v>#REF!</v>
      </c>
      <c r="CE417" t="e">
        <f>AND('PROG FORMACIÓN TITULADA'!#REF!,"AAAAAG7LvlI=")</f>
        <v>#REF!</v>
      </c>
      <c r="CF417" t="e">
        <f>AND('PROG FORMACIÓN TITULADA'!#REF!,"AAAAAG7LvlM=")</f>
        <v>#REF!</v>
      </c>
      <c r="CG417" t="e">
        <f>AND('PROG FORMACIÓN TITULADA'!#REF!,"AAAAAG7LvlQ=")</f>
        <v>#REF!</v>
      </c>
      <c r="CH417" t="e">
        <f>AND('PROG FORMACIÓN TITULADA'!#REF!,"AAAAAG7LvlU=")</f>
        <v>#REF!</v>
      </c>
      <c r="CI417" t="e">
        <f>AND('PROG FORMACIÓN TITULADA'!#REF!,"AAAAAG7LvlY=")</f>
        <v>#REF!</v>
      </c>
      <c r="CJ417" t="e">
        <f>AND('PROG FORMACIÓN TITULADA'!#REF!,"AAAAAG7Lvlc=")</f>
        <v>#REF!</v>
      </c>
      <c r="CK417" t="e">
        <f>AND('PROG FORMACIÓN TITULADA'!#REF!,"AAAAAG7Lvlg=")</f>
        <v>#REF!</v>
      </c>
      <c r="CL417" t="e">
        <f>AND('PROG FORMACIÓN TITULADA'!#REF!,"AAAAAG7Lvlk=")</f>
        <v>#REF!</v>
      </c>
      <c r="CM417" t="e">
        <f>AND('PROG FORMACIÓN TITULADA'!#REF!,"AAAAAG7Lvlo=")</f>
        <v>#REF!</v>
      </c>
      <c r="CN417" t="e">
        <f>AND('PROG FORMACIÓN TITULADA'!#REF!,"AAAAAG7Lvls=")</f>
        <v>#REF!</v>
      </c>
      <c r="CO417" t="e">
        <f>AND('PROG FORMACIÓN TITULADA'!#REF!,"AAAAAG7Lvlw=")</f>
        <v>#REF!</v>
      </c>
      <c r="CP417" t="e">
        <f>AND('PROG FORMACIÓN TITULADA'!#REF!,"AAAAAG7Lvl0=")</f>
        <v>#REF!</v>
      </c>
      <c r="CQ417" t="e">
        <f>AND('PROG FORMACIÓN TITULADA'!#REF!,"AAAAAG7Lvl4=")</f>
        <v>#REF!</v>
      </c>
      <c r="CR417" t="e">
        <f>AND('PROG FORMACIÓN TITULADA'!#REF!,"AAAAAG7Lvl8=")</f>
        <v>#REF!</v>
      </c>
      <c r="CS417" t="e">
        <f>AND('PROG FORMACIÓN TITULADA'!#REF!,"AAAAAG7LvmA=")</f>
        <v>#REF!</v>
      </c>
      <c r="CT417" t="e">
        <f>AND('PROG FORMACIÓN TITULADA'!#REF!,"AAAAAG7LvmE=")</f>
        <v>#REF!</v>
      </c>
      <c r="CU417" t="e">
        <f>AND('PROG FORMACIÓN TITULADA'!#REF!,"AAAAAG7LvmI=")</f>
        <v>#REF!</v>
      </c>
      <c r="CV417" t="e">
        <f>AND('PROG FORMACIÓN TITULADA'!#REF!,"AAAAAG7LvmM=")</f>
        <v>#REF!</v>
      </c>
      <c r="CW417" t="e">
        <f>AND('PROG FORMACIÓN TITULADA'!#REF!,"AAAAAG7LvmQ=")</f>
        <v>#REF!</v>
      </c>
      <c r="CX417" t="e">
        <f>AND('PROG FORMACIÓN TITULADA'!#REF!,"AAAAAG7LvmU=")</f>
        <v>#REF!</v>
      </c>
      <c r="CY417" t="e">
        <f>AND('PROG FORMACIÓN TITULADA'!#REF!,"AAAAAG7LvmY=")</f>
        <v>#REF!</v>
      </c>
      <c r="CZ417" t="e">
        <f>AND('PROG FORMACIÓN TITULADA'!#REF!,"AAAAAG7Lvmc=")</f>
        <v>#REF!</v>
      </c>
      <c r="DA417" t="e">
        <f>IF('PROG FORMACIÓN TITULADA'!#REF!,"AAAAAG7Lvmg=",0)</f>
        <v>#REF!</v>
      </c>
      <c r="DB417" t="e">
        <f>AND('PROG FORMACIÓN TITULADA'!#REF!,"AAAAAG7Lvmk=")</f>
        <v>#REF!</v>
      </c>
      <c r="DC417" t="e">
        <f>AND('PROG FORMACIÓN TITULADA'!#REF!,"AAAAAG7Lvmo=")</f>
        <v>#REF!</v>
      </c>
      <c r="DD417" t="e">
        <f>AND('PROG FORMACIÓN TITULADA'!#REF!,"AAAAAG7Lvms=")</f>
        <v>#REF!</v>
      </c>
      <c r="DE417" t="e">
        <f>AND('PROG FORMACIÓN TITULADA'!#REF!,"AAAAAG7Lvmw=")</f>
        <v>#REF!</v>
      </c>
      <c r="DF417" t="e">
        <f>AND('PROG FORMACIÓN TITULADA'!#REF!,"AAAAAG7Lvm0=")</f>
        <v>#REF!</v>
      </c>
      <c r="DG417" t="e">
        <f>AND('PROG FORMACIÓN TITULADA'!#REF!,"AAAAAG7Lvm4=")</f>
        <v>#REF!</v>
      </c>
      <c r="DH417" t="e">
        <f>AND('PROG FORMACIÓN TITULADA'!#REF!,"AAAAAG7Lvm8=")</f>
        <v>#REF!</v>
      </c>
      <c r="DI417" t="e">
        <f>AND('PROG FORMACIÓN TITULADA'!#REF!,"AAAAAG7LvnA=")</f>
        <v>#REF!</v>
      </c>
      <c r="DJ417" t="e">
        <f>AND('PROG FORMACIÓN TITULADA'!#REF!,"AAAAAG7LvnE=")</f>
        <v>#REF!</v>
      </c>
      <c r="DK417" t="e">
        <f>AND('PROG FORMACIÓN TITULADA'!#REF!,"AAAAAG7LvnI=")</f>
        <v>#REF!</v>
      </c>
      <c r="DL417" t="e">
        <f>AND('PROG FORMACIÓN TITULADA'!#REF!,"AAAAAG7LvnM=")</f>
        <v>#REF!</v>
      </c>
      <c r="DM417" t="e">
        <f>AND('PROG FORMACIÓN TITULADA'!#REF!,"AAAAAG7LvnQ=")</f>
        <v>#REF!</v>
      </c>
      <c r="DN417" t="e">
        <f>AND('PROG FORMACIÓN TITULADA'!#REF!,"AAAAAG7LvnU=")</f>
        <v>#REF!</v>
      </c>
      <c r="DO417" t="e">
        <f>AND('PROG FORMACIÓN TITULADA'!#REF!,"AAAAAG7LvnY=")</f>
        <v>#REF!</v>
      </c>
      <c r="DP417" t="e">
        <f>AND('PROG FORMACIÓN TITULADA'!#REF!,"AAAAAG7Lvnc=")</f>
        <v>#REF!</v>
      </c>
      <c r="DQ417" t="e">
        <f>AND('PROG FORMACIÓN TITULADA'!#REF!,"AAAAAG7Lvng=")</f>
        <v>#REF!</v>
      </c>
      <c r="DR417" t="e">
        <f>AND('PROG FORMACIÓN TITULADA'!#REF!,"AAAAAG7Lvnk=")</f>
        <v>#REF!</v>
      </c>
      <c r="DS417" t="e">
        <f>AND('PROG FORMACIÓN TITULADA'!#REF!,"AAAAAG7Lvno=")</f>
        <v>#REF!</v>
      </c>
      <c r="DT417" t="e">
        <f>AND('PROG FORMACIÓN TITULADA'!#REF!,"AAAAAG7Lvns=")</f>
        <v>#REF!</v>
      </c>
      <c r="DU417" t="e">
        <f>AND('PROG FORMACIÓN TITULADA'!#REF!,"AAAAAG7Lvnw=")</f>
        <v>#REF!</v>
      </c>
      <c r="DV417" t="e">
        <f>AND('PROG FORMACIÓN TITULADA'!#REF!,"AAAAAG7Lvn0=")</f>
        <v>#REF!</v>
      </c>
      <c r="DW417" t="e">
        <f>AND('PROG FORMACIÓN TITULADA'!#REF!,"AAAAAG7Lvn4=")</f>
        <v>#REF!</v>
      </c>
      <c r="DX417" t="e">
        <f>AND('PROG FORMACIÓN TITULADA'!#REF!,"AAAAAG7Lvn8=")</f>
        <v>#REF!</v>
      </c>
      <c r="DY417" t="e">
        <f>AND('PROG FORMACIÓN TITULADA'!#REF!,"AAAAAG7LvoA=")</f>
        <v>#REF!</v>
      </c>
      <c r="DZ417" t="e">
        <f>AND('PROG FORMACIÓN TITULADA'!#REF!,"AAAAAG7LvoE=")</f>
        <v>#REF!</v>
      </c>
      <c r="EA417" t="e">
        <f>AND('PROG FORMACIÓN TITULADA'!#REF!,"AAAAAG7LvoI=")</f>
        <v>#REF!</v>
      </c>
      <c r="EB417" t="e">
        <f>IF('PROG FORMACIÓN TITULADA'!#REF!,"AAAAAG7LvoM=",0)</f>
        <v>#REF!</v>
      </c>
      <c r="EC417" t="e">
        <f>AND('PROG FORMACIÓN TITULADA'!#REF!,"AAAAAG7LvoQ=")</f>
        <v>#REF!</v>
      </c>
      <c r="ED417" t="e">
        <f>AND('PROG FORMACIÓN TITULADA'!#REF!,"AAAAAG7LvoU=")</f>
        <v>#REF!</v>
      </c>
      <c r="EE417" t="e">
        <f>AND('PROG FORMACIÓN TITULADA'!#REF!,"AAAAAG7LvoY=")</f>
        <v>#REF!</v>
      </c>
      <c r="EF417" t="e">
        <f>AND('PROG FORMACIÓN TITULADA'!#REF!,"AAAAAG7Lvoc=")</f>
        <v>#REF!</v>
      </c>
      <c r="EG417" t="e">
        <f>AND('PROG FORMACIÓN TITULADA'!#REF!,"AAAAAG7Lvog=")</f>
        <v>#REF!</v>
      </c>
      <c r="EH417" t="e">
        <f>AND('PROG FORMACIÓN TITULADA'!#REF!,"AAAAAG7Lvok=")</f>
        <v>#REF!</v>
      </c>
      <c r="EI417" t="e">
        <f>AND('PROG FORMACIÓN TITULADA'!#REF!,"AAAAAG7Lvoo=")</f>
        <v>#REF!</v>
      </c>
      <c r="EJ417" t="e">
        <f>AND('PROG FORMACIÓN TITULADA'!#REF!,"AAAAAG7Lvos=")</f>
        <v>#REF!</v>
      </c>
      <c r="EK417" t="e">
        <f>AND('PROG FORMACIÓN TITULADA'!#REF!,"AAAAAG7Lvow=")</f>
        <v>#REF!</v>
      </c>
      <c r="EL417" t="e">
        <f>AND('PROG FORMACIÓN TITULADA'!#REF!,"AAAAAG7Lvo0=")</f>
        <v>#REF!</v>
      </c>
      <c r="EM417" t="e">
        <f>AND('PROG FORMACIÓN TITULADA'!#REF!,"AAAAAG7Lvo4=")</f>
        <v>#REF!</v>
      </c>
      <c r="EN417" t="e">
        <f>AND('PROG FORMACIÓN TITULADA'!#REF!,"AAAAAG7Lvo8=")</f>
        <v>#REF!</v>
      </c>
      <c r="EO417" t="e">
        <f>AND('PROG FORMACIÓN TITULADA'!#REF!,"AAAAAG7LvpA=")</f>
        <v>#REF!</v>
      </c>
      <c r="EP417" t="e">
        <f>AND('PROG FORMACIÓN TITULADA'!#REF!,"AAAAAG7LvpE=")</f>
        <v>#REF!</v>
      </c>
      <c r="EQ417" t="e">
        <f>AND('PROG FORMACIÓN TITULADA'!#REF!,"AAAAAG7LvpI=")</f>
        <v>#REF!</v>
      </c>
      <c r="ER417" t="e">
        <f>AND('PROG FORMACIÓN TITULADA'!#REF!,"AAAAAG7LvpM=")</f>
        <v>#REF!</v>
      </c>
      <c r="ES417" t="e">
        <f>AND('PROG FORMACIÓN TITULADA'!#REF!,"AAAAAG7LvpQ=")</f>
        <v>#REF!</v>
      </c>
      <c r="ET417" t="e">
        <f>AND('PROG FORMACIÓN TITULADA'!#REF!,"AAAAAG7LvpU=")</f>
        <v>#REF!</v>
      </c>
      <c r="EU417" t="e">
        <f>AND('PROG FORMACIÓN TITULADA'!#REF!,"AAAAAG7LvpY=")</f>
        <v>#REF!</v>
      </c>
      <c r="EV417" t="e">
        <f>AND('PROG FORMACIÓN TITULADA'!#REF!,"AAAAAG7Lvpc=")</f>
        <v>#REF!</v>
      </c>
      <c r="EW417" t="e">
        <f>AND('PROG FORMACIÓN TITULADA'!#REF!,"AAAAAG7Lvpg=")</f>
        <v>#REF!</v>
      </c>
      <c r="EX417" t="e">
        <f>AND('PROG FORMACIÓN TITULADA'!#REF!,"AAAAAG7Lvpk=")</f>
        <v>#REF!</v>
      </c>
      <c r="EY417" t="e">
        <f>AND('PROG FORMACIÓN TITULADA'!#REF!,"AAAAAG7Lvpo=")</f>
        <v>#REF!</v>
      </c>
      <c r="EZ417" t="e">
        <f>AND('PROG FORMACIÓN TITULADA'!#REF!,"AAAAAG7Lvps=")</f>
        <v>#REF!</v>
      </c>
      <c r="FA417" t="e">
        <f>AND('PROG FORMACIÓN TITULADA'!#REF!,"AAAAAG7Lvpw=")</f>
        <v>#REF!</v>
      </c>
      <c r="FB417" t="e">
        <f>AND('PROG FORMACIÓN TITULADA'!#REF!,"AAAAAG7Lvp0=")</f>
        <v>#REF!</v>
      </c>
      <c r="FC417" t="e">
        <f>IF('PROG FORMACIÓN TITULADA'!#REF!,"AAAAAG7Lvp4=",0)</f>
        <v>#REF!</v>
      </c>
      <c r="FD417" t="e">
        <f>AND('PROG FORMACIÓN TITULADA'!#REF!,"AAAAAG7Lvp8=")</f>
        <v>#REF!</v>
      </c>
      <c r="FE417" t="e">
        <f>AND('PROG FORMACIÓN TITULADA'!#REF!,"AAAAAG7LvqA=")</f>
        <v>#REF!</v>
      </c>
      <c r="FF417" t="e">
        <f>AND('PROG FORMACIÓN TITULADA'!#REF!,"AAAAAG7LvqE=")</f>
        <v>#REF!</v>
      </c>
      <c r="FG417" t="e">
        <f>AND('PROG FORMACIÓN TITULADA'!#REF!,"AAAAAG7LvqI=")</f>
        <v>#REF!</v>
      </c>
      <c r="FH417" t="e">
        <f>AND('PROG FORMACIÓN TITULADA'!#REF!,"AAAAAG7LvqM=")</f>
        <v>#REF!</v>
      </c>
      <c r="FI417" t="e">
        <f>AND('PROG FORMACIÓN TITULADA'!#REF!,"AAAAAG7LvqQ=")</f>
        <v>#REF!</v>
      </c>
      <c r="FJ417" t="e">
        <f>AND('PROG FORMACIÓN TITULADA'!#REF!,"AAAAAG7LvqU=")</f>
        <v>#REF!</v>
      </c>
      <c r="FK417" t="e">
        <f>AND('PROG FORMACIÓN TITULADA'!#REF!,"AAAAAG7LvqY=")</f>
        <v>#REF!</v>
      </c>
      <c r="FL417" t="e">
        <f>AND('PROG FORMACIÓN TITULADA'!#REF!,"AAAAAG7Lvqc=")</f>
        <v>#REF!</v>
      </c>
      <c r="FM417" t="e">
        <f>AND('PROG FORMACIÓN TITULADA'!#REF!,"AAAAAG7Lvqg=")</f>
        <v>#REF!</v>
      </c>
      <c r="FN417" t="e">
        <f>AND('PROG FORMACIÓN TITULADA'!#REF!,"AAAAAG7Lvqk=")</f>
        <v>#REF!</v>
      </c>
      <c r="FO417" t="e">
        <f>AND('PROG FORMACIÓN TITULADA'!#REF!,"AAAAAG7Lvqo=")</f>
        <v>#REF!</v>
      </c>
      <c r="FP417" t="e">
        <f>AND('PROG FORMACIÓN TITULADA'!#REF!,"AAAAAG7Lvqs=")</f>
        <v>#REF!</v>
      </c>
      <c r="FQ417" t="e">
        <f>AND('PROG FORMACIÓN TITULADA'!#REF!,"AAAAAG7Lvqw=")</f>
        <v>#REF!</v>
      </c>
      <c r="FR417" t="e">
        <f>AND('PROG FORMACIÓN TITULADA'!#REF!,"AAAAAG7Lvq0=")</f>
        <v>#REF!</v>
      </c>
      <c r="FS417" t="e">
        <f>AND('PROG FORMACIÓN TITULADA'!#REF!,"AAAAAG7Lvq4=")</f>
        <v>#REF!</v>
      </c>
      <c r="FT417" t="e">
        <f>AND('PROG FORMACIÓN TITULADA'!#REF!,"AAAAAG7Lvq8=")</f>
        <v>#REF!</v>
      </c>
      <c r="FU417" t="e">
        <f>AND('PROG FORMACIÓN TITULADA'!#REF!,"AAAAAG7LvrA=")</f>
        <v>#REF!</v>
      </c>
      <c r="FV417" t="e">
        <f>AND('PROG FORMACIÓN TITULADA'!#REF!,"AAAAAG7LvrE=")</f>
        <v>#REF!</v>
      </c>
      <c r="FW417" t="e">
        <f>AND('PROG FORMACIÓN TITULADA'!#REF!,"AAAAAG7LvrI=")</f>
        <v>#REF!</v>
      </c>
      <c r="FX417" t="e">
        <f>AND('PROG FORMACIÓN TITULADA'!#REF!,"AAAAAG7LvrM=")</f>
        <v>#REF!</v>
      </c>
      <c r="FY417" t="e">
        <f>AND('PROG FORMACIÓN TITULADA'!#REF!,"AAAAAG7LvrQ=")</f>
        <v>#REF!</v>
      </c>
      <c r="FZ417" t="e">
        <f>AND('PROG FORMACIÓN TITULADA'!#REF!,"AAAAAG7LvrU=")</f>
        <v>#REF!</v>
      </c>
      <c r="GA417" t="e">
        <f>AND('PROG FORMACIÓN TITULADA'!#REF!,"AAAAAG7LvrY=")</f>
        <v>#REF!</v>
      </c>
      <c r="GB417" t="e">
        <f>AND('PROG FORMACIÓN TITULADA'!#REF!,"AAAAAG7Lvrc=")</f>
        <v>#REF!</v>
      </c>
      <c r="GC417" t="e">
        <f>AND('PROG FORMACIÓN TITULADA'!#REF!,"AAAAAG7Lvrg=")</f>
        <v>#REF!</v>
      </c>
      <c r="GD417" t="e">
        <f>IF('PROG FORMACIÓN TITULADA'!#REF!,"AAAAAG7Lvrk=",0)</f>
        <v>#REF!</v>
      </c>
      <c r="GE417" t="e">
        <f>AND('PROG FORMACIÓN TITULADA'!#REF!,"AAAAAG7Lvro=")</f>
        <v>#REF!</v>
      </c>
      <c r="GF417" t="e">
        <f>AND('PROG FORMACIÓN TITULADA'!#REF!,"AAAAAG7Lvrs=")</f>
        <v>#REF!</v>
      </c>
      <c r="GG417" t="e">
        <f>AND('PROG FORMACIÓN TITULADA'!#REF!,"AAAAAG7Lvrw=")</f>
        <v>#REF!</v>
      </c>
      <c r="GH417" t="e">
        <f>AND('PROG FORMACIÓN TITULADA'!#REF!,"AAAAAG7Lvr0=")</f>
        <v>#REF!</v>
      </c>
      <c r="GI417" t="e">
        <f>AND('PROG FORMACIÓN TITULADA'!#REF!,"AAAAAG7Lvr4=")</f>
        <v>#REF!</v>
      </c>
      <c r="GJ417" t="e">
        <f>AND('PROG FORMACIÓN TITULADA'!#REF!,"AAAAAG7Lvr8=")</f>
        <v>#REF!</v>
      </c>
      <c r="GK417" t="e">
        <f>AND('PROG FORMACIÓN TITULADA'!#REF!,"AAAAAG7LvsA=")</f>
        <v>#REF!</v>
      </c>
      <c r="GL417" t="e">
        <f>AND('PROG FORMACIÓN TITULADA'!#REF!,"AAAAAG7LvsE=")</f>
        <v>#REF!</v>
      </c>
      <c r="GM417" t="e">
        <f>AND('PROG FORMACIÓN TITULADA'!#REF!,"AAAAAG7LvsI=")</f>
        <v>#REF!</v>
      </c>
      <c r="GN417" t="e">
        <f>AND('PROG FORMACIÓN TITULADA'!#REF!,"AAAAAG7LvsM=")</f>
        <v>#REF!</v>
      </c>
      <c r="GO417" t="e">
        <f>AND('PROG FORMACIÓN TITULADA'!#REF!,"AAAAAG7LvsQ=")</f>
        <v>#REF!</v>
      </c>
      <c r="GP417" t="e">
        <f>AND('PROG FORMACIÓN TITULADA'!#REF!,"AAAAAG7LvsU=")</f>
        <v>#REF!</v>
      </c>
      <c r="GQ417" t="e">
        <f>AND('PROG FORMACIÓN TITULADA'!#REF!,"AAAAAG7LvsY=")</f>
        <v>#REF!</v>
      </c>
      <c r="GR417" t="e">
        <f>AND('PROG FORMACIÓN TITULADA'!#REF!,"AAAAAG7Lvsc=")</f>
        <v>#REF!</v>
      </c>
      <c r="GS417" t="e">
        <f>AND('PROG FORMACIÓN TITULADA'!#REF!,"AAAAAG7Lvsg=")</f>
        <v>#REF!</v>
      </c>
      <c r="GT417" t="e">
        <f>AND('PROG FORMACIÓN TITULADA'!#REF!,"AAAAAG7Lvsk=")</f>
        <v>#REF!</v>
      </c>
      <c r="GU417" t="e">
        <f>AND('PROG FORMACIÓN TITULADA'!#REF!,"AAAAAG7Lvso=")</f>
        <v>#REF!</v>
      </c>
      <c r="GV417" t="e">
        <f>AND('PROG FORMACIÓN TITULADA'!#REF!,"AAAAAG7Lvss=")</f>
        <v>#REF!</v>
      </c>
      <c r="GW417" t="e">
        <f>AND('PROG FORMACIÓN TITULADA'!#REF!,"AAAAAG7Lvsw=")</f>
        <v>#REF!</v>
      </c>
      <c r="GX417" t="e">
        <f>AND('PROG FORMACIÓN TITULADA'!#REF!,"AAAAAG7Lvs0=")</f>
        <v>#REF!</v>
      </c>
      <c r="GY417" t="e">
        <f>AND('PROG FORMACIÓN TITULADA'!#REF!,"AAAAAG7Lvs4=")</f>
        <v>#REF!</v>
      </c>
      <c r="GZ417" t="e">
        <f>AND('PROG FORMACIÓN TITULADA'!#REF!,"AAAAAG7Lvs8=")</f>
        <v>#REF!</v>
      </c>
      <c r="HA417" t="e">
        <f>AND('PROG FORMACIÓN TITULADA'!#REF!,"AAAAAG7LvtA=")</f>
        <v>#REF!</v>
      </c>
      <c r="HB417" t="e">
        <f>AND('PROG FORMACIÓN TITULADA'!#REF!,"AAAAAG7LvtE=")</f>
        <v>#REF!</v>
      </c>
      <c r="HC417" t="e">
        <f>AND('PROG FORMACIÓN TITULADA'!#REF!,"AAAAAG7LvtI=")</f>
        <v>#REF!</v>
      </c>
      <c r="HD417" t="e">
        <f>AND('PROG FORMACIÓN TITULADA'!#REF!,"AAAAAG7LvtM=")</f>
        <v>#REF!</v>
      </c>
      <c r="HE417" t="e">
        <f>AND('PROG FORMACIÓN TITULADA'!E873,"AAAAAG7LvtQ=")</f>
        <v>#VALUE!</v>
      </c>
      <c r="HF417" t="e">
        <f>AND('PROG FORMACIÓN TITULADA'!F873,"AAAAAG7LvtU=")</f>
        <v>#VALUE!</v>
      </c>
      <c r="HG417" t="e">
        <f>AND('PROG FORMACIÓN TITULADA'!G873,"AAAAAG7LvtY=")</f>
        <v>#VALUE!</v>
      </c>
      <c r="HH417" t="e">
        <f>AND('PROG FORMACIÓN TITULADA'!H873,"AAAAAG7Lvtc=")</f>
        <v>#VALUE!</v>
      </c>
      <c r="HI417" t="e">
        <f>AND('PROG FORMACIÓN TITULADA'!I873,"AAAAAG7Lvtg=")</f>
        <v>#VALUE!</v>
      </c>
      <c r="HJ417" t="e">
        <f>AND('PROG FORMACIÓN TITULADA'!J873,"AAAAAG7Lvtk=")</f>
        <v>#VALUE!</v>
      </c>
      <c r="HK417" t="e">
        <f>AND('PROG FORMACIÓN TITULADA'!K873,"AAAAAG7Lvto=")</f>
        <v>#VALUE!</v>
      </c>
      <c r="HL417" t="e">
        <f>AND('PROG FORMACIÓN TITULADA'!L873,"AAAAAG7Lvts=")</f>
        <v>#VALUE!</v>
      </c>
      <c r="HM417" t="e">
        <f>AND('PROG FORMACIÓN TITULADA'!M873,"AAAAAG7Lvtw=")</f>
        <v>#VALUE!</v>
      </c>
      <c r="HN417" t="e">
        <f>AND('PROG FORMACIÓN TITULADA'!N873,"AAAAAG7Lvt0=")</f>
        <v>#VALUE!</v>
      </c>
      <c r="HO417" t="e">
        <f>AND('PROG FORMACIÓN TITULADA'!O873,"AAAAAG7Lvt4=")</f>
        <v>#VALUE!</v>
      </c>
      <c r="HP417" t="e">
        <f>AND('PROG FORMACIÓN TITULADA'!P873,"AAAAAG7Lvt8=")</f>
        <v>#VALUE!</v>
      </c>
      <c r="HQ417" t="e">
        <f>AND('PROG FORMACIÓN TITULADA'!Q873,"AAAAAG7LvuA=")</f>
        <v>#VALUE!</v>
      </c>
      <c r="HR417" t="e">
        <f>AND('PROG FORMACIÓN TITULADA'!R873,"AAAAAG7LvuE=")</f>
        <v>#VALUE!</v>
      </c>
      <c r="HS417" t="e">
        <f>AND('PROG FORMACIÓN TITULADA'!S873,"AAAAAG7LvuI=")</f>
        <v>#VALUE!</v>
      </c>
      <c r="HT417" t="e">
        <f>AND('PROG FORMACIÓN TITULADA'!T873,"AAAAAG7LvuM=")</f>
        <v>#VALUE!</v>
      </c>
      <c r="HU417" t="e">
        <f>AND('PROG FORMACIÓN TITULADA'!U873,"AAAAAG7LvuQ=")</f>
        <v>#VALUE!</v>
      </c>
      <c r="HV417" t="e">
        <f>AND('PROG FORMACIÓN TITULADA'!V873,"AAAAAG7LvuU=")</f>
        <v>#VALUE!</v>
      </c>
      <c r="HW417" t="e">
        <f>AND('PROG FORMACIÓN TITULADA'!W873,"AAAAAG7LvuY=")</f>
        <v>#VALUE!</v>
      </c>
      <c r="HX417" t="e">
        <f>AND('PROG FORMACIÓN TITULADA'!X873,"AAAAAG7Lvuc=")</f>
        <v>#VALUE!</v>
      </c>
      <c r="HY417" t="e">
        <f>AND('PROG FORMACIÓN TITULADA'!Y873,"AAAAAG7Lvug=")</f>
        <v>#VALUE!</v>
      </c>
      <c r="HZ417" t="e">
        <f>AND('PROG FORMACIÓN TITULADA'!Z873,"AAAAAG7Lvuk=")</f>
        <v>#VALUE!</v>
      </c>
      <c r="IA417" t="e">
        <f>AND('PROG FORMACIÓN TITULADA'!E874,"AAAAAG7Lvuo=")</f>
        <v>#VALUE!</v>
      </c>
      <c r="IB417" t="e">
        <f>AND('PROG FORMACIÓN TITULADA'!F874,"AAAAAG7Lvus=")</f>
        <v>#VALUE!</v>
      </c>
      <c r="IC417" t="e">
        <f>AND('PROG FORMACIÓN TITULADA'!G874,"AAAAAG7Lvuw=")</f>
        <v>#VALUE!</v>
      </c>
      <c r="ID417" t="e">
        <f>AND('PROG FORMACIÓN TITULADA'!H874,"AAAAAG7Lvu0=")</f>
        <v>#VALUE!</v>
      </c>
      <c r="IE417" t="e">
        <f>AND('PROG FORMACIÓN TITULADA'!I874,"AAAAAG7Lvu4=")</f>
        <v>#VALUE!</v>
      </c>
      <c r="IF417" t="e">
        <f>AND('PROG FORMACIÓN TITULADA'!J874,"AAAAAG7Lvu8=")</f>
        <v>#VALUE!</v>
      </c>
      <c r="IG417" t="e">
        <f>AND('PROG FORMACIÓN TITULADA'!K874,"AAAAAG7LvvA=")</f>
        <v>#VALUE!</v>
      </c>
      <c r="IH417" t="e">
        <f>AND('PROG FORMACIÓN TITULADA'!L874,"AAAAAG7LvvE=")</f>
        <v>#VALUE!</v>
      </c>
      <c r="II417" t="e">
        <f>AND('PROG FORMACIÓN TITULADA'!M874,"AAAAAG7LvvI=")</f>
        <v>#VALUE!</v>
      </c>
      <c r="IJ417" t="e">
        <f>AND('PROG FORMACIÓN TITULADA'!N874,"AAAAAG7LvvM=")</f>
        <v>#VALUE!</v>
      </c>
      <c r="IK417" t="e">
        <f>AND('PROG FORMACIÓN TITULADA'!O874,"AAAAAG7LvvQ=")</f>
        <v>#VALUE!</v>
      </c>
      <c r="IL417" t="e">
        <f>AND('PROG FORMACIÓN TITULADA'!P874,"AAAAAG7LvvU=")</f>
        <v>#VALUE!</v>
      </c>
      <c r="IM417" t="e">
        <f>AND('PROG FORMACIÓN TITULADA'!Q874,"AAAAAG7LvvY=")</f>
        <v>#VALUE!</v>
      </c>
      <c r="IN417" t="e">
        <f>AND('PROG FORMACIÓN TITULADA'!R874,"AAAAAG7Lvvc=")</f>
        <v>#VALUE!</v>
      </c>
      <c r="IO417" t="e">
        <f>AND('PROG FORMACIÓN TITULADA'!S874,"AAAAAG7Lvvg=")</f>
        <v>#VALUE!</v>
      </c>
      <c r="IP417" t="e">
        <f>AND('PROG FORMACIÓN TITULADA'!T874,"AAAAAG7Lvvk=")</f>
        <v>#VALUE!</v>
      </c>
      <c r="IQ417" t="e">
        <f>AND('PROG FORMACIÓN TITULADA'!U874,"AAAAAG7Lvvo=")</f>
        <v>#VALUE!</v>
      </c>
      <c r="IR417" t="e">
        <f>AND('PROG FORMACIÓN TITULADA'!V874,"AAAAAG7Lvvs=")</f>
        <v>#VALUE!</v>
      </c>
      <c r="IS417" t="e">
        <f>AND('PROG FORMACIÓN TITULADA'!W874,"AAAAAG7Lvvw=")</f>
        <v>#VALUE!</v>
      </c>
      <c r="IT417" t="e">
        <f>AND('PROG FORMACIÓN TITULADA'!X874,"AAAAAG7Lvv0=")</f>
        <v>#VALUE!</v>
      </c>
      <c r="IU417" t="e">
        <f>AND('PROG FORMACIÓN TITULADA'!Y874,"AAAAAG7Lvv4=")</f>
        <v>#VALUE!</v>
      </c>
      <c r="IV417" t="e">
        <f>AND('PROG FORMACIÓN TITULADA'!Z874,"AAAAAG7Lvv8=")</f>
        <v>#VALUE!</v>
      </c>
    </row>
    <row r="418" spans="1:256" x14ac:dyDescent="0.2">
      <c r="A418" t="e">
        <f>AND('PROG FORMACIÓN TITULADA'!E875,"AAAAAHff9wA=")</f>
        <v>#VALUE!</v>
      </c>
      <c r="B418" t="e">
        <f>AND('PROG FORMACIÓN TITULADA'!F875,"AAAAAHff9wE=")</f>
        <v>#VALUE!</v>
      </c>
      <c r="C418" t="e">
        <f>AND('PROG FORMACIÓN TITULADA'!G875,"AAAAAHff9wI=")</f>
        <v>#VALUE!</v>
      </c>
      <c r="D418" t="e">
        <f>AND('PROG FORMACIÓN TITULADA'!H875,"AAAAAHff9wM=")</f>
        <v>#VALUE!</v>
      </c>
      <c r="E418" t="e">
        <f>AND('PROG FORMACIÓN TITULADA'!I875,"AAAAAHff9wQ=")</f>
        <v>#VALUE!</v>
      </c>
      <c r="F418" t="e">
        <f>AND('PROG FORMACIÓN TITULADA'!J875,"AAAAAHff9wU=")</f>
        <v>#VALUE!</v>
      </c>
      <c r="G418" t="e">
        <f>AND('PROG FORMACIÓN TITULADA'!K875,"AAAAAHff9wY=")</f>
        <v>#VALUE!</v>
      </c>
      <c r="H418" t="e">
        <f>AND('PROG FORMACIÓN TITULADA'!L875,"AAAAAHff9wc=")</f>
        <v>#VALUE!</v>
      </c>
      <c r="I418" t="e">
        <f>AND('PROG FORMACIÓN TITULADA'!M875,"AAAAAHff9wg=")</f>
        <v>#VALUE!</v>
      </c>
      <c r="J418" t="e">
        <f>AND('PROG FORMACIÓN TITULADA'!N875,"AAAAAHff9wk=")</f>
        <v>#VALUE!</v>
      </c>
      <c r="K418" t="e">
        <f>AND('PROG FORMACIÓN TITULADA'!O875,"AAAAAHff9wo=")</f>
        <v>#VALUE!</v>
      </c>
      <c r="L418" t="e">
        <f>AND('PROG FORMACIÓN TITULADA'!P875,"AAAAAHff9ws=")</f>
        <v>#VALUE!</v>
      </c>
      <c r="M418" t="e">
        <f>AND('PROG FORMACIÓN TITULADA'!Q875,"AAAAAHff9ww=")</f>
        <v>#VALUE!</v>
      </c>
      <c r="N418" t="e">
        <f>AND('PROG FORMACIÓN TITULADA'!R875,"AAAAAHff9w0=")</f>
        <v>#VALUE!</v>
      </c>
      <c r="O418" t="e">
        <f>AND('PROG FORMACIÓN TITULADA'!S875,"AAAAAHff9w4=")</f>
        <v>#VALUE!</v>
      </c>
      <c r="P418" t="e">
        <f>AND('PROG FORMACIÓN TITULADA'!T875,"AAAAAHff9w8=")</f>
        <v>#VALUE!</v>
      </c>
      <c r="Q418" t="e">
        <f>AND('PROG FORMACIÓN TITULADA'!U875,"AAAAAHff9xA=")</f>
        <v>#VALUE!</v>
      </c>
      <c r="R418" t="e">
        <f>AND('PROG FORMACIÓN TITULADA'!V875,"AAAAAHff9xE=")</f>
        <v>#VALUE!</v>
      </c>
      <c r="S418" t="e">
        <f>AND('PROG FORMACIÓN TITULADA'!W875,"AAAAAHff9xI=")</f>
        <v>#VALUE!</v>
      </c>
      <c r="T418" t="e">
        <f>AND('PROG FORMACIÓN TITULADA'!X875,"AAAAAHff9xM=")</f>
        <v>#VALUE!</v>
      </c>
      <c r="U418" t="e">
        <f>AND('PROG FORMACIÓN TITULADA'!Y875,"AAAAAHff9xQ=")</f>
        <v>#VALUE!</v>
      </c>
      <c r="V418" t="e">
        <f>AND('PROG FORMACIÓN TITULADA'!Z875,"AAAAAHff9xU=")</f>
        <v>#VALUE!</v>
      </c>
      <c r="W418" t="e">
        <f>AND('PROG FORMACIÓN TITULADA'!E876,"AAAAAHff9xY=")</f>
        <v>#VALUE!</v>
      </c>
      <c r="X418" t="e">
        <f>AND('PROG FORMACIÓN TITULADA'!F876,"AAAAAHff9xc=")</f>
        <v>#VALUE!</v>
      </c>
      <c r="Y418" t="e">
        <f>AND('PROG FORMACIÓN TITULADA'!G876,"AAAAAHff9xg=")</f>
        <v>#VALUE!</v>
      </c>
      <c r="Z418" t="e">
        <f>AND('PROG FORMACIÓN TITULADA'!H876,"AAAAAHff9xk=")</f>
        <v>#VALUE!</v>
      </c>
      <c r="AA418" t="e">
        <f>AND('PROG FORMACIÓN TITULADA'!I876,"AAAAAHff9xo=")</f>
        <v>#VALUE!</v>
      </c>
      <c r="AB418" t="e">
        <f>AND('PROG FORMACIÓN TITULADA'!J876,"AAAAAHff9xs=")</f>
        <v>#VALUE!</v>
      </c>
      <c r="AC418" t="e">
        <f>AND('PROG FORMACIÓN TITULADA'!K876,"AAAAAHff9xw=")</f>
        <v>#VALUE!</v>
      </c>
      <c r="AD418" t="e">
        <f>AND('PROG FORMACIÓN TITULADA'!L876,"AAAAAHff9x0=")</f>
        <v>#VALUE!</v>
      </c>
      <c r="AE418" t="e">
        <f>AND('PROG FORMACIÓN TITULADA'!M876,"AAAAAHff9x4=")</f>
        <v>#VALUE!</v>
      </c>
      <c r="AF418" t="e">
        <f>AND('PROG FORMACIÓN TITULADA'!N876,"AAAAAHff9x8=")</f>
        <v>#VALUE!</v>
      </c>
      <c r="AG418" t="e">
        <f>AND('PROG FORMACIÓN TITULADA'!O876,"AAAAAHff9yA=")</f>
        <v>#VALUE!</v>
      </c>
      <c r="AH418" t="e">
        <f>AND('PROG FORMACIÓN TITULADA'!P876,"AAAAAHff9yE=")</f>
        <v>#VALUE!</v>
      </c>
      <c r="AI418" t="e">
        <f>AND('PROG FORMACIÓN TITULADA'!Q876,"AAAAAHff9yI=")</f>
        <v>#VALUE!</v>
      </c>
      <c r="AJ418" t="e">
        <f>AND('PROG FORMACIÓN TITULADA'!R876,"AAAAAHff9yM=")</f>
        <v>#VALUE!</v>
      </c>
      <c r="AK418" t="e">
        <f>AND('PROG FORMACIÓN TITULADA'!S876,"AAAAAHff9yQ=")</f>
        <v>#VALUE!</v>
      </c>
      <c r="AL418" t="e">
        <f>AND('PROG FORMACIÓN TITULADA'!T876,"AAAAAHff9yU=")</f>
        <v>#VALUE!</v>
      </c>
      <c r="AM418" t="e">
        <f>AND('PROG FORMACIÓN TITULADA'!U876,"AAAAAHff9yY=")</f>
        <v>#VALUE!</v>
      </c>
      <c r="AN418" t="e">
        <f>AND('PROG FORMACIÓN TITULADA'!V876,"AAAAAHff9yc=")</f>
        <v>#VALUE!</v>
      </c>
      <c r="AO418" t="e">
        <f>AND('PROG FORMACIÓN TITULADA'!W876,"AAAAAHff9yg=")</f>
        <v>#VALUE!</v>
      </c>
      <c r="AP418" t="e">
        <f>AND('PROG FORMACIÓN TITULADA'!X876,"AAAAAHff9yk=")</f>
        <v>#VALUE!</v>
      </c>
      <c r="AQ418" t="e">
        <f>AND('PROG FORMACIÓN TITULADA'!Y876,"AAAAAHff9yo=")</f>
        <v>#VALUE!</v>
      </c>
      <c r="AR418" t="e">
        <f>AND('PROG FORMACIÓN TITULADA'!Z876,"AAAAAHff9ys=")</f>
        <v>#VALUE!</v>
      </c>
      <c r="AS418" t="e">
        <f>AND('PROG FORMACIÓN TITULADA'!E877,"AAAAAHff9yw=")</f>
        <v>#VALUE!</v>
      </c>
      <c r="AT418" t="e">
        <f>AND('PROG FORMACIÓN TITULADA'!F877,"AAAAAHff9y0=")</f>
        <v>#VALUE!</v>
      </c>
      <c r="AU418" t="e">
        <f>AND('PROG FORMACIÓN TITULADA'!G877,"AAAAAHff9y4=")</f>
        <v>#VALUE!</v>
      </c>
      <c r="AV418" t="e">
        <f>AND('PROG FORMACIÓN TITULADA'!H877,"AAAAAHff9y8=")</f>
        <v>#VALUE!</v>
      </c>
      <c r="AW418" t="e">
        <f>AND('PROG FORMACIÓN TITULADA'!I877,"AAAAAHff9zA=")</f>
        <v>#VALUE!</v>
      </c>
      <c r="AX418" t="e">
        <f>AND('PROG FORMACIÓN TITULADA'!J877,"AAAAAHff9zE=")</f>
        <v>#VALUE!</v>
      </c>
      <c r="AY418" t="e">
        <f>AND('PROG FORMACIÓN TITULADA'!K877,"AAAAAHff9zI=")</f>
        <v>#VALUE!</v>
      </c>
      <c r="AZ418" t="e">
        <f>AND('PROG FORMACIÓN TITULADA'!L877,"AAAAAHff9zM=")</f>
        <v>#VALUE!</v>
      </c>
      <c r="BA418" t="e">
        <f>AND('PROG FORMACIÓN TITULADA'!M877,"AAAAAHff9zQ=")</f>
        <v>#VALUE!</v>
      </c>
      <c r="BB418" t="e">
        <f>AND('PROG FORMACIÓN TITULADA'!N877,"AAAAAHff9zU=")</f>
        <v>#VALUE!</v>
      </c>
      <c r="BC418" t="e">
        <f>AND('PROG FORMACIÓN TITULADA'!O877,"AAAAAHff9zY=")</f>
        <v>#VALUE!</v>
      </c>
      <c r="BD418" t="e">
        <f>AND('PROG FORMACIÓN TITULADA'!P877,"AAAAAHff9zc=")</f>
        <v>#VALUE!</v>
      </c>
      <c r="BE418" t="e">
        <f>AND('PROG FORMACIÓN TITULADA'!Q877,"AAAAAHff9zg=")</f>
        <v>#VALUE!</v>
      </c>
      <c r="BF418" t="e">
        <f>AND('PROG FORMACIÓN TITULADA'!R877,"AAAAAHff9zk=")</f>
        <v>#VALUE!</v>
      </c>
      <c r="BG418" t="e">
        <f>AND('PROG FORMACIÓN TITULADA'!S877,"AAAAAHff9zo=")</f>
        <v>#VALUE!</v>
      </c>
      <c r="BH418" t="e">
        <f>AND('PROG FORMACIÓN TITULADA'!T877,"AAAAAHff9zs=")</f>
        <v>#VALUE!</v>
      </c>
      <c r="BI418" t="e">
        <f>AND('PROG FORMACIÓN TITULADA'!U877,"AAAAAHff9zw=")</f>
        <v>#VALUE!</v>
      </c>
      <c r="BJ418" t="e">
        <f>AND('PROG FORMACIÓN TITULADA'!V877,"AAAAAHff9z0=")</f>
        <v>#VALUE!</v>
      </c>
      <c r="BK418" t="e">
        <f>AND('PROG FORMACIÓN TITULADA'!W877,"AAAAAHff9z4=")</f>
        <v>#VALUE!</v>
      </c>
      <c r="BL418" t="e">
        <f>AND('PROG FORMACIÓN TITULADA'!X877,"AAAAAHff9z8=")</f>
        <v>#VALUE!</v>
      </c>
      <c r="BM418" t="e">
        <f>AND('PROG FORMACIÓN TITULADA'!Y877,"AAAAAHff90A=")</f>
        <v>#VALUE!</v>
      </c>
      <c r="BN418" t="e">
        <f>AND('PROG FORMACIÓN TITULADA'!Z877,"AAAAAHff90E=")</f>
        <v>#VALUE!</v>
      </c>
      <c r="BO418" t="e">
        <f>AND('PROG FORMACIÓN TITULADA'!E878,"AAAAAHff90I=")</f>
        <v>#VALUE!</v>
      </c>
      <c r="BP418" t="e">
        <f>AND('PROG FORMACIÓN TITULADA'!F878,"AAAAAHff90M=")</f>
        <v>#VALUE!</v>
      </c>
      <c r="BQ418" t="e">
        <f>AND('PROG FORMACIÓN TITULADA'!G878,"AAAAAHff90Q=")</f>
        <v>#VALUE!</v>
      </c>
      <c r="BR418" t="e">
        <f>AND('PROG FORMACIÓN TITULADA'!H878,"AAAAAHff90U=")</f>
        <v>#VALUE!</v>
      </c>
      <c r="BS418" t="e">
        <f>AND('PROG FORMACIÓN TITULADA'!I878,"AAAAAHff90Y=")</f>
        <v>#VALUE!</v>
      </c>
      <c r="BT418" t="e">
        <f>AND('PROG FORMACIÓN TITULADA'!J878,"AAAAAHff90c=")</f>
        <v>#VALUE!</v>
      </c>
      <c r="BU418" t="e">
        <f>AND('PROG FORMACIÓN TITULADA'!K878,"AAAAAHff90g=")</f>
        <v>#VALUE!</v>
      </c>
      <c r="BV418" t="e">
        <f>AND('PROG FORMACIÓN TITULADA'!L878,"AAAAAHff90k=")</f>
        <v>#VALUE!</v>
      </c>
      <c r="BW418" t="e">
        <f>AND('PROG FORMACIÓN TITULADA'!M878,"AAAAAHff90o=")</f>
        <v>#VALUE!</v>
      </c>
      <c r="BX418" t="e">
        <f>AND('PROG FORMACIÓN TITULADA'!N878,"AAAAAHff90s=")</f>
        <v>#VALUE!</v>
      </c>
      <c r="BY418" t="e">
        <f>AND('PROG FORMACIÓN TITULADA'!O878,"AAAAAHff90w=")</f>
        <v>#VALUE!</v>
      </c>
      <c r="BZ418" t="e">
        <f>AND('PROG FORMACIÓN TITULADA'!P878,"AAAAAHff900=")</f>
        <v>#VALUE!</v>
      </c>
      <c r="CA418" t="e">
        <f>AND('PROG FORMACIÓN TITULADA'!Q878,"AAAAAHff904=")</f>
        <v>#VALUE!</v>
      </c>
      <c r="CB418" t="e">
        <f>AND('PROG FORMACIÓN TITULADA'!R878,"AAAAAHff908=")</f>
        <v>#VALUE!</v>
      </c>
      <c r="CC418" t="e">
        <f>AND('PROG FORMACIÓN TITULADA'!S878,"AAAAAHff91A=")</f>
        <v>#VALUE!</v>
      </c>
      <c r="CD418" t="e">
        <f>AND('PROG FORMACIÓN TITULADA'!T878,"AAAAAHff91E=")</f>
        <v>#VALUE!</v>
      </c>
      <c r="CE418" t="e">
        <f>AND('PROG FORMACIÓN TITULADA'!U878,"AAAAAHff91I=")</f>
        <v>#VALUE!</v>
      </c>
      <c r="CF418" t="e">
        <f>AND('PROG FORMACIÓN TITULADA'!V878,"AAAAAHff91M=")</f>
        <v>#VALUE!</v>
      </c>
      <c r="CG418" t="e">
        <f>AND('PROG FORMACIÓN TITULADA'!W878,"AAAAAHff91Q=")</f>
        <v>#VALUE!</v>
      </c>
      <c r="CH418" t="e">
        <f>AND('PROG FORMACIÓN TITULADA'!X878,"AAAAAHff91U=")</f>
        <v>#VALUE!</v>
      </c>
      <c r="CI418" t="e">
        <f>AND('PROG FORMACIÓN TITULADA'!Y878,"AAAAAHff91Y=")</f>
        <v>#VALUE!</v>
      </c>
      <c r="CJ418" t="e">
        <f>AND('PROG FORMACIÓN TITULADA'!Z878,"AAAAAHff91c=")</f>
        <v>#VALUE!</v>
      </c>
      <c r="CK418" t="e">
        <f>AND('PROG FORMACIÓN TITULADA'!E879,"AAAAAHff91g=")</f>
        <v>#VALUE!</v>
      </c>
      <c r="CL418" t="e">
        <f>AND('PROG FORMACIÓN TITULADA'!F879,"AAAAAHff91k=")</f>
        <v>#VALUE!</v>
      </c>
      <c r="CM418" t="e">
        <f>AND('PROG FORMACIÓN TITULADA'!G879,"AAAAAHff91o=")</f>
        <v>#VALUE!</v>
      </c>
      <c r="CN418" t="e">
        <f>AND('PROG FORMACIÓN TITULADA'!H879,"AAAAAHff91s=")</f>
        <v>#VALUE!</v>
      </c>
      <c r="CO418" t="e">
        <f>AND('PROG FORMACIÓN TITULADA'!I879,"AAAAAHff91w=")</f>
        <v>#VALUE!</v>
      </c>
      <c r="CP418" t="e">
        <f>AND('PROG FORMACIÓN TITULADA'!J879,"AAAAAHff910=")</f>
        <v>#VALUE!</v>
      </c>
      <c r="CQ418" t="e">
        <f>AND('PROG FORMACIÓN TITULADA'!K879,"AAAAAHff914=")</f>
        <v>#VALUE!</v>
      </c>
      <c r="CR418" t="e">
        <f>AND('PROG FORMACIÓN TITULADA'!L879,"AAAAAHff918=")</f>
        <v>#VALUE!</v>
      </c>
      <c r="CS418" t="e">
        <f>AND('PROG FORMACIÓN TITULADA'!M879,"AAAAAHff92A=")</f>
        <v>#VALUE!</v>
      </c>
      <c r="CT418" t="e">
        <f>AND('PROG FORMACIÓN TITULADA'!N879,"AAAAAHff92E=")</f>
        <v>#VALUE!</v>
      </c>
      <c r="CU418" t="e">
        <f>AND('PROG FORMACIÓN TITULADA'!O879,"AAAAAHff92I=")</f>
        <v>#VALUE!</v>
      </c>
      <c r="CV418" t="e">
        <f>AND('PROG FORMACIÓN TITULADA'!P879,"AAAAAHff92M=")</f>
        <v>#VALUE!</v>
      </c>
      <c r="CW418" t="e">
        <f>AND('PROG FORMACIÓN TITULADA'!Q879,"AAAAAHff92Q=")</f>
        <v>#VALUE!</v>
      </c>
      <c r="CX418" t="e">
        <f>AND('PROG FORMACIÓN TITULADA'!R879,"AAAAAHff92U=")</f>
        <v>#VALUE!</v>
      </c>
      <c r="CY418" t="e">
        <f>AND('PROG FORMACIÓN TITULADA'!S879,"AAAAAHff92Y=")</f>
        <v>#VALUE!</v>
      </c>
      <c r="CZ418" t="e">
        <f>AND('PROG FORMACIÓN TITULADA'!T879,"AAAAAHff92c=")</f>
        <v>#VALUE!</v>
      </c>
      <c r="DA418" t="e">
        <f>AND('PROG FORMACIÓN TITULADA'!U879,"AAAAAHff92g=")</f>
        <v>#VALUE!</v>
      </c>
      <c r="DB418" t="e">
        <f>AND('PROG FORMACIÓN TITULADA'!V879,"AAAAAHff92k=")</f>
        <v>#VALUE!</v>
      </c>
      <c r="DC418" t="e">
        <f>AND('PROG FORMACIÓN TITULADA'!W879,"AAAAAHff92o=")</f>
        <v>#VALUE!</v>
      </c>
      <c r="DD418" t="e">
        <f>AND('PROG FORMACIÓN TITULADA'!X879,"AAAAAHff92s=")</f>
        <v>#VALUE!</v>
      </c>
      <c r="DE418" t="e">
        <f>AND('PROG FORMACIÓN TITULADA'!Y879,"AAAAAHff92w=")</f>
        <v>#VALUE!</v>
      </c>
      <c r="DF418" t="e">
        <f>AND('PROG FORMACIÓN TITULADA'!Z879,"AAAAAHff920=")</f>
        <v>#VALUE!</v>
      </c>
      <c r="DG418" t="e">
        <f>AND('PROG FORMACIÓN TITULADA'!E880,"AAAAAHff924=")</f>
        <v>#VALUE!</v>
      </c>
      <c r="DH418" t="e">
        <f>AND('PROG FORMACIÓN TITULADA'!F880,"AAAAAHff928=")</f>
        <v>#VALUE!</v>
      </c>
      <c r="DI418" t="e">
        <f>AND('PROG FORMACIÓN TITULADA'!G880,"AAAAAHff93A=")</f>
        <v>#VALUE!</v>
      </c>
      <c r="DJ418" t="e">
        <f>AND('PROG FORMACIÓN TITULADA'!H880,"AAAAAHff93E=")</f>
        <v>#VALUE!</v>
      </c>
      <c r="DK418" t="e">
        <f>AND('PROG FORMACIÓN TITULADA'!I880,"AAAAAHff93I=")</f>
        <v>#VALUE!</v>
      </c>
      <c r="DL418" t="e">
        <f>AND('PROG FORMACIÓN TITULADA'!J880,"AAAAAHff93M=")</f>
        <v>#VALUE!</v>
      </c>
      <c r="DM418" t="e">
        <f>AND('PROG FORMACIÓN TITULADA'!K880,"AAAAAHff93Q=")</f>
        <v>#VALUE!</v>
      </c>
      <c r="DN418" t="e">
        <f>AND('PROG FORMACIÓN TITULADA'!L880,"AAAAAHff93U=")</f>
        <v>#VALUE!</v>
      </c>
      <c r="DO418" t="e">
        <f>AND('PROG FORMACIÓN TITULADA'!M880,"AAAAAHff93Y=")</f>
        <v>#VALUE!</v>
      </c>
      <c r="DP418" t="e">
        <f>AND('PROG FORMACIÓN TITULADA'!N880,"AAAAAHff93c=")</f>
        <v>#VALUE!</v>
      </c>
      <c r="DQ418" t="e">
        <f>AND('PROG FORMACIÓN TITULADA'!O880,"AAAAAHff93g=")</f>
        <v>#VALUE!</v>
      </c>
      <c r="DR418" t="e">
        <f>AND('PROG FORMACIÓN TITULADA'!P880,"AAAAAHff93k=")</f>
        <v>#VALUE!</v>
      </c>
      <c r="DS418" t="e">
        <f>AND('PROG FORMACIÓN TITULADA'!Q880,"AAAAAHff93o=")</f>
        <v>#VALUE!</v>
      </c>
      <c r="DT418" t="e">
        <f>AND('PROG FORMACIÓN TITULADA'!R880,"AAAAAHff93s=")</f>
        <v>#VALUE!</v>
      </c>
      <c r="DU418" t="e">
        <f>AND('PROG FORMACIÓN TITULADA'!S880,"AAAAAHff93w=")</f>
        <v>#VALUE!</v>
      </c>
      <c r="DV418" t="e">
        <f>AND('PROG FORMACIÓN TITULADA'!T880,"AAAAAHff930=")</f>
        <v>#VALUE!</v>
      </c>
      <c r="DW418" t="e">
        <f>AND('PROG FORMACIÓN TITULADA'!U880,"AAAAAHff934=")</f>
        <v>#VALUE!</v>
      </c>
      <c r="DX418" t="e">
        <f>AND('PROG FORMACIÓN TITULADA'!V880,"AAAAAHff938=")</f>
        <v>#VALUE!</v>
      </c>
      <c r="DY418" t="e">
        <f>AND('PROG FORMACIÓN TITULADA'!W880,"AAAAAHff94A=")</f>
        <v>#VALUE!</v>
      </c>
      <c r="DZ418" t="e">
        <f>AND('PROG FORMACIÓN TITULADA'!X880,"AAAAAHff94E=")</f>
        <v>#VALUE!</v>
      </c>
      <c r="EA418" t="e">
        <f>AND('PROG FORMACIÓN TITULADA'!Y880,"AAAAAHff94I=")</f>
        <v>#VALUE!</v>
      </c>
      <c r="EB418" t="e">
        <f>AND('PROG FORMACIÓN TITULADA'!Z880,"AAAAAHff94M=")</f>
        <v>#VALUE!</v>
      </c>
      <c r="EC418" t="e">
        <f>AND('PROG FORMACIÓN TITULADA'!E881,"AAAAAHff94Q=")</f>
        <v>#VALUE!</v>
      </c>
      <c r="ED418" t="e">
        <f>AND('PROG FORMACIÓN TITULADA'!F881,"AAAAAHff94U=")</f>
        <v>#VALUE!</v>
      </c>
      <c r="EE418" t="e">
        <f>AND('PROG FORMACIÓN TITULADA'!G881,"AAAAAHff94Y=")</f>
        <v>#VALUE!</v>
      </c>
      <c r="EF418" t="e">
        <f>AND('PROG FORMACIÓN TITULADA'!H881,"AAAAAHff94c=")</f>
        <v>#VALUE!</v>
      </c>
      <c r="EG418" t="e">
        <f>AND('PROG FORMACIÓN TITULADA'!I881,"AAAAAHff94g=")</f>
        <v>#VALUE!</v>
      </c>
      <c r="EH418" t="e">
        <f>AND('PROG FORMACIÓN TITULADA'!J881,"AAAAAHff94k=")</f>
        <v>#VALUE!</v>
      </c>
      <c r="EI418" t="e">
        <f>AND('PROG FORMACIÓN TITULADA'!K881,"AAAAAHff94o=")</f>
        <v>#VALUE!</v>
      </c>
      <c r="EJ418" t="e">
        <f>AND('PROG FORMACIÓN TITULADA'!L881,"AAAAAHff94s=")</f>
        <v>#VALUE!</v>
      </c>
      <c r="EK418" t="e">
        <f>AND('PROG FORMACIÓN TITULADA'!M881,"AAAAAHff94w=")</f>
        <v>#VALUE!</v>
      </c>
      <c r="EL418" t="e">
        <f>AND('PROG FORMACIÓN TITULADA'!N881,"AAAAAHff940=")</f>
        <v>#VALUE!</v>
      </c>
      <c r="EM418" t="e">
        <f>AND('PROG FORMACIÓN TITULADA'!O881,"AAAAAHff944=")</f>
        <v>#VALUE!</v>
      </c>
      <c r="EN418" t="e">
        <f>AND('PROG FORMACIÓN TITULADA'!P881,"AAAAAHff948=")</f>
        <v>#VALUE!</v>
      </c>
      <c r="EO418" t="e">
        <f>AND('PROG FORMACIÓN TITULADA'!Q881,"AAAAAHff95A=")</f>
        <v>#VALUE!</v>
      </c>
      <c r="EP418" t="e">
        <f>AND('PROG FORMACIÓN TITULADA'!R881,"AAAAAHff95E=")</f>
        <v>#VALUE!</v>
      </c>
      <c r="EQ418" t="e">
        <f>AND('PROG FORMACIÓN TITULADA'!S881,"AAAAAHff95I=")</f>
        <v>#VALUE!</v>
      </c>
      <c r="ER418" t="e">
        <f>AND('PROG FORMACIÓN TITULADA'!T881,"AAAAAHff95M=")</f>
        <v>#VALUE!</v>
      </c>
      <c r="ES418" t="e">
        <f>AND('PROG FORMACIÓN TITULADA'!U881,"AAAAAHff95Q=")</f>
        <v>#VALUE!</v>
      </c>
      <c r="ET418" t="e">
        <f>AND('PROG FORMACIÓN TITULADA'!V881,"AAAAAHff95U=")</f>
        <v>#VALUE!</v>
      </c>
      <c r="EU418" t="e">
        <f>AND('PROG FORMACIÓN TITULADA'!W881,"AAAAAHff95Y=")</f>
        <v>#VALUE!</v>
      </c>
      <c r="EV418" t="e">
        <f>AND('PROG FORMACIÓN TITULADA'!X881,"AAAAAHff95c=")</f>
        <v>#VALUE!</v>
      </c>
      <c r="EW418" t="e">
        <f>AND('PROG FORMACIÓN TITULADA'!Y881,"AAAAAHff95g=")</f>
        <v>#VALUE!</v>
      </c>
      <c r="EX418" t="e">
        <f>AND('PROG FORMACIÓN TITULADA'!Z881,"AAAAAHff95k=")</f>
        <v>#VALUE!</v>
      </c>
      <c r="EY418" t="e">
        <f>AND('PROG FORMACIÓN TITULADA'!E882,"AAAAAHff95o=")</f>
        <v>#VALUE!</v>
      </c>
      <c r="EZ418" t="e">
        <f>AND('PROG FORMACIÓN TITULADA'!F882,"AAAAAHff95s=")</f>
        <v>#VALUE!</v>
      </c>
      <c r="FA418" t="e">
        <f>AND('PROG FORMACIÓN TITULADA'!G882,"AAAAAHff95w=")</f>
        <v>#VALUE!</v>
      </c>
      <c r="FB418" t="e">
        <f>AND('PROG FORMACIÓN TITULADA'!H882,"AAAAAHff950=")</f>
        <v>#VALUE!</v>
      </c>
      <c r="FC418" t="e">
        <f>AND('PROG FORMACIÓN TITULADA'!I882,"AAAAAHff954=")</f>
        <v>#VALUE!</v>
      </c>
      <c r="FD418" t="e">
        <f>AND('PROG FORMACIÓN TITULADA'!J882,"AAAAAHff958=")</f>
        <v>#VALUE!</v>
      </c>
      <c r="FE418" t="e">
        <f>AND('PROG FORMACIÓN TITULADA'!K882,"AAAAAHff96A=")</f>
        <v>#VALUE!</v>
      </c>
      <c r="FF418" t="e">
        <f>AND('PROG FORMACIÓN TITULADA'!L882,"AAAAAHff96E=")</f>
        <v>#VALUE!</v>
      </c>
      <c r="FG418" t="e">
        <f>AND('PROG FORMACIÓN TITULADA'!M882,"AAAAAHff96I=")</f>
        <v>#VALUE!</v>
      </c>
      <c r="FH418" t="e">
        <f>AND('PROG FORMACIÓN TITULADA'!N882,"AAAAAHff96M=")</f>
        <v>#VALUE!</v>
      </c>
      <c r="FI418" t="e">
        <f>AND('PROG FORMACIÓN TITULADA'!O882,"AAAAAHff96Q=")</f>
        <v>#VALUE!</v>
      </c>
      <c r="FJ418" t="e">
        <f>AND('PROG FORMACIÓN TITULADA'!P882,"AAAAAHff96U=")</f>
        <v>#VALUE!</v>
      </c>
      <c r="FK418" t="e">
        <f>AND('PROG FORMACIÓN TITULADA'!Q882,"AAAAAHff96Y=")</f>
        <v>#VALUE!</v>
      </c>
      <c r="FL418" t="e">
        <f>AND('PROG FORMACIÓN TITULADA'!R882,"AAAAAHff96c=")</f>
        <v>#VALUE!</v>
      </c>
      <c r="FM418" t="e">
        <f>AND('PROG FORMACIÓN TITULADA'!S882,"AAAAAHff96g=")</f>
        <v>#VALUE!</v>
      </c>
      <c r="FN418" t="e">
        <f>AND('PROG FORMACIÓN TITULADA'!T882,"AAAAAHff96k=")</f>
        <v>#VALUE!</v>
      </c>
      <c r="FO418" t="e">
        <f>AND('PROG FORMACIÓN TITULADA'!U882,"AAAAAHff96o=")</f>
        <v>#VALUE!</v>
      </c>
      <c r="FP418" t="e">
        <f>AND('PROG FORMACIÓN TITULADA'!V882,"AAAAAHff96s=")</f>
        <v>#VALUE!</v>
      </c>
      <c r="FQ418" t="e">
        <f>AND('PROG FORMACIÓN TITULADA'!W882,"AAAAAHff96w=")</f>
        <v>#VALUE!</v>
      </c>
      <c r="FR418" t="e">
        <f>AND('PROG FORMACIÓN TITULADA'!X882,"AAAAAHff960=")</f>
        <v>#VALUE!</v>
      </c>
      <c r="FS418" t="e">
        <f>AND('PROG FORMACIÓN TITULADA'!Y882,"AAAAAHff964=")</f>
        <v>#VALUE!</v>
      </c>
      <c r="FT418" t="e">
        <f>AND('PROG FORMACIÓN TITULADA'!Z882,"AAAAAHff968=")</f>
        <v>#VALUE!</v>
      </c>
      <c r="FU418" t="e">
        <f>AND('PROG FORMACIÓN TITULADA'!E883,"AAAAAHff97A=")</f>
        <v>#VALUE!</v>
      </c>
      <c r="FV418" t="e">
        <f>AND('PROG FORMACIÓN TITULADA'!F883,"AAAAAHff97E=")</f>
        <v>#VALUE!</v>
      </c>
      <c r="FW418" t="e">
        <f>AND('PROG FORMACIÓN TITULADA'!G883,"AAAAAHff97I=")</f>
        <v>#VALUE!</v>
      </c>
      <c r="FX418" t="e">
        <f>AND('PROG FORMACIÓN TITULADA'!H883,"AAAAAHff97M=")</f>
        <v>#VALUE!</v>
      </c>
      <c r="FY418" t="e">
        <f>AND('PROG FORMACIÓN TITULADA'!I883,"AAAAAHff97Q=")</f>
        <v>#VALUE!</v>
      </c>
      <c r="FZ418" t="e">
        <f>AND('PROG FORMACIÓN TITULADA'!J883,"AAAAAHff97U=")</f>
        <v>#VALUE!</v>
      </c>
      <c r="GA418" t="e">
        <f>AND('PROG FORMACIÓN TITULADA'!K883,"AAAAAHff97Y=")</f>
        <v>#VALUE!</v>
      </c>
      <c r="GB418" t="e">
        <f>AND('PROG FORMACIÓN TITULADA'!L883,"AAAAAHff97c=")</f>
        <v>#VALUE!</v>
      </c>
      <c r="GC418" t="e">
        <f>AND('PROG FORMACIÓN TITULADA'!M883,"AAAAAHff97g=")</f>
        <v>#VALUE!</v>
      </c>
      <c r="GD418" t="e">
        <f>AND('PROG FORMACIÓN TITULADA'!N883,"AAAAAHff97k=")</f>
        <v>#VALUE!</v>
      </c>
      <c r="GE418" t="e">
        <f>AND('PROG FORMACIÓN TITULADA'!O883,"AAAAAHff97o=")</f>
        <v>#VALUE!</v>
      </c>
      <c r="GF418" t="e">
        <f>AND('PROG FORMACIÓN TITULADA'!P883,"AAAAAHff97s=")</f>
        <v>#VALUE!</v>
      </c>
      <c r="GG418" t="e">
        <f>AND('PROG FORMACIÓN TITULADA'!Q883,"AAAAAHff97w=")</f>
        <v>#VALUE!</v>
      </c>
      <c r="GH418" t="e">
        <f>AND('PROG FORMACIÓN TITULADA'!R883,"AAAAAHff970=")</f>
        <v>#VALUE!</v>
      </c>
      <c r="GI418" t="e">
        <f>AND('PROG FORMACIÓN TITULADA'!S883,"AAAAAHff974=")</f>
        <v>#VALUE!</v>
      </c>
      <c r="GJ418" t="e">
        <f>AND('PROG FORMACIÓN TITULADA'!T883,"AAAAAHff978=")</f>
        <v>#VALUE!</v>
      </c>
      <c r="GK418" t="e">
        <f>AND('PROG FORMACIÓN TITULADA'!U883,"AAAAAHff98A=")</f>
        <v>#VALUE!</v>
      </c>
      <c r="GL418" t="e">
        <f>AND('PROG FORMACIÓN TITULADA'!V883,"AAAAAHff98E=")</f>
        <v>#VALUE!</v>
      </c>
      <c r="GM418" t="e">
        <f>AND('PROG FORMACIÓN TITULADA'!W883,"AAAAAHff98I=")</f>
        <v>#VALUE!</v>
      </c>
      <c r="GN418" t="e">
        <f>AND('PROG FORMACIÓN TITULADA'!X883,"AAAAAHff98M=")</f>
        <v>#VALUE!</v>
      </c>
      <c r="GO418" t="e">
        <f>AND('PROG FORMACIÓN TITULADA'!Y883,"AAAAAHff98Q=")</f>
        <v>#VALUE!</v>
      </c>
      <c r="GP418" t="e">
        <f>AND('PROG FORMACIÓN TITULADA'!Z883,"AAAAAHff98U=")</f>
        <v>#VALUE!</v>
      </c>
      <c r="GQ418" t="e">
        <f>AND('PROG FORMACIÓN TITULADA'!E884,"AAAAAHff98Y=")</f>
        <v>#VALUE!</v>
      </c>
      <c r="GR418" t="e">
        <f>AND('PROG FORMACIÓN TITULADA'!F884,"AAAAAHff98c=")</f>
        <v>#VALUE!</v>
      </c>
      <c r="GS418" t="e">
        <f>AND('PROG FORMACIÓN TITULADA'!G884,"AAAAAHff98g=")</f>
        <v>#VALUE!</v>
      </c>
      <c r="GT418" t="e">
        <f>AND('PROG FORMACIÓN TITULADA'!H884,"AAAAAHff98k=")</f>
        <v>#VALUE!</v>
      </c>
      <c r="GU418" t="e">
        <f>AND('PROG FORMACIÓN TITULADA'!I884,"AAAAAHff98o=")</f>
        <v>#VALUE!</v>
      </c>
      <c r="GV418" t="e">
        <f>AND('PROG FORMACIÓN TITULADA'!J884,"AAAAAHff98s=")</f>
        <v>#VALUE!</v>
      </c>
      <c r="GW418" t="e">
        <f>AND('PROG FORMACIÓN TITULADA'!K884,"AAAAAHff98w=")</f>
        <v>#VALUE!</v>
      </c>
      <c r="GX418" t="e">
        <f>AND('PROG FORMACIÓN TITULADA'!L884,"AAAAAHff980=")</f>
        <v>#VALUE!</v>
      </c>
      <c r="GY418" t="e">
        <f>AND('PROG FORMACIÓN TITULADA'!M884,"AAAAAHff984=")</f>
        <v>#VALUE!</v>
      </c>
      <c r="GZ418" t="e">
        <f>AND('PROG FORMACIÓN TITULADA'!N884,"AAAAAHff988=")</f>
        <v>#VALUE!</v>
      </c>
      <c r="HA418" t="e">
        <f>AND('PROG FORMACIÓN TITULADA'!O884,"AAAAAHff99A=")</f>
        <v>#VALUE!</v>
      </c>
      <c r="HB418" t="e">
        <f>AND('PROG FORMACIÓN TITULADA'!P884,"AAAAAHff99E=")</f>
        <v>#VALUE!</v>
      </c>
      <c r="HC418" t="e">
        <f>AND('PROG FORMACIÓN TITULADA'!Q884,"AAAAAHff99I=")</f>
        <v>#VALUE!</v>
      </c>
      <c r="HD418" t="e">
        <f>AND('PROG FORMACIÓN TITULADA'!R884,"AAAAAHff99M=")</f>
        <v>#VALUE!</v>
      </c>
      <c r="HE418" t="e">
        <f>AND('PROG FORMACIÓN TITULADA'!S884,"AAAAAHff99Q=")</f>
        <v>#VALUE!</v>
      </c>
      <c r="HF418" t="e">
        <f>AND('PROG FORMACIÓN TITULADA'!T884,"AAAAAHff99U=")</f>
        <v>#VALUE!</v>
      </c>
      <c r="HG418" t="e">
        <f>AND('PROG FORMACIÓN TITULADA'!U884,"AAAAAHff99Y=")</f>
        <v>#VALUE!</v>
      </c>
      <c r="HH418" t="e">
        <f>AND('PROG FORMACIÓN TITULADA'!V884,"AAAAAHff99c=")</f>
        <v>#VALUE!</v>
      </c>
      <c r="HI418" t="e">
        <f>AND('PROG FORMACIÓN TITULADA'!W884,"AAAAAHff99g=")</f>
        <v>#VALUE!</v>
      </c>
      <c r="HJ418" t="e">
        <f>AND('PROG FORMACIÓN TITULADA'!X884,"AAAAAHff99k=")</f>
        <v>#VALUE!</v>
      </c>
      <c r="HK418" t="e">
        <f>AND('PROG FORMACIÓN TITULADA'!Y884,"AAAAAHff99o=")</f>
        <v>#VALUE!</v>
      </c>
      <c r="HL418" t="e">
        <f>AND('PROG FORMACIÓN TITULADA'!Z884,"AAAAAHff99s=")</f>
        <v>#VALUE!</v>
      </c>
      <c r="HM418" t="e">
        <f>AND('PROG FORMACIÓN TITULADA'!E885,"AAAAAHff99w=")</f>
        <v>#VALUE!</v>
      </c>
      <c r="HN418" t="e">
        <f>AND('PROG FORMACIÓN TITULADA'!F885,"AAAAAHff990=")</f>
        <v>#VALUE!</v>
      </c>
      <c r="HO418" t="e">
        <f>AND('PROG FORMACIÓN TITULADA'!G885,"AAAAAHff994=")</f>
        <v>#VALUE!</v>
      </c>
      <c r="HP418" t="e">
        <f>AND('PROG FORMACIÓN TITULADA'!H885,"AAAAAHff998=")</f>
        <v>#VALUE!</v>
      </c>
      <c r="HQ418" t="e">
        <f>AND('PROG FORMACIÓN TITULADA'!I885,"AAAAAHff9+A=")</f>
        <v>#VALUE!</v>
      </c>
      <c r="HR418" t="e">
        <f>AND('PROG FORMACIÓN TITULADA'!J885,"AAAAAHff9+E=")</f>
        <v>#VALUE!</v>
      </c>
      <c r="HS418" t="e">
        <f>AND('PROG FORMACIÓN TITULADA'!K885,"AAAAAHff9+I=")</f>
        <v>#VALUE!</v>
      </c>
      <c r="HT418" t="e">
        <f>AND('PROG FORMACIÓN TITULADA'!L885,"AAAAAHff9+M=")</f>
        <v>#VALUE!</v>
      </c>
      <c r="HU418" t="e">
        <f>AND('PROG FORMACIÓN TITULADA'!M885,"AAAAAHff9+Q=")</f>
        <v>#VALUE!</v>
      </c>
      <c r="HV418" t="e">
        <f>AND('PROG FORMACIÓN TITULADA'!N885,"AAAAAHff9+U=")</f>
        <v>#VALUE!</v>
      </c>
      <c r="HW418" t="e">
        <f>AND('PROG FORMACIÓN TITULADA'!O885,"AAAAAHff9+Y=")</f>
        <v>#VALUE!</v>
      </c>
      <c r="HX418" t="e">
        <f>AND('PROG FORMACIÓN TITULADA'!P885,"AAAAAHff9+c=")</f>
        <v>#VALUE!</v>
      </c>
      <c r="HY418" t="e">
        <f>AND('PROG FORMACIÓN TITULADA'!Q885,"AAAAAHff9+g=")</f>
        <v>#VALUE!</v>
      </c>
      <c r="HZ418" t="e">
        <f>AND('PROG FORMACIÓN TITULADA'!R885,"AAAAAHff9+k=")</f>
        <v>#VALUE!</v>
      </c>
      <c r="IA418" t="e">
        <f>AND('PROG FORMACIÓN TITULADA'!S885,"AAAAAHff9+o=")</f>
        <v>#VALUE!</v>
      </c>
      <c r="IB418" t="e">
        <f>AND('PROG FORMACIÓN TITULADA'!T885,"AAAAAHff9+s=")</f>
        <v>#VALUE!</v>
      </c>
      <c r="IC418" t="e">
        <f>AND('PROG FORMACIÓN TITULADA'!U885,"AAAAAHff9+w=")</f>
        <v>#VALUE!</v>
      </c>
      <c r="ID418" t="e">
        <f>AND('PROG FORMACIÓN TITULADA'!V885,"AAAAAHff9+0=")</f>
        <v>#VALUE!</v>
      </c>
      <c r="IE418" t="e">
        <f>AND('PROG FORMACIÓN TITULADA'!W885,"AAAAAHff9+4=")</f>
        <v>#VALUE!</v>
      </c>
      <c r="IF418" t="e">
        <f>AND('PROG FORMACIÓN TITULADA'!X885,"AAAAAHff9+8=")</f>
        <v>#VALUE!</v>
      </c>
      <c r="IG418" t="e">
        <f>AND('PROG FORMACIÓN TITULADA'!Y885,"AAAAAHff9/A=")</f>
        <v>#VALUE!</v>
      </c>
      <c r="IH418" t="e">
        <f>AND('PROG FORMACIÓN TITULADA'!Z885,"AAAAAHff9/E=")</f>
        <v>#VALUE!</v>
      </c>
      <c r="II418" t="e">
        <f>AND('PROG FORMACIÓN TITULADA'!E886,"AAAAAHff9/I=")</f>
        <v>#VALUE!</v>
      </c>
      <c r="IJ418" t="e">
        <f>AND('PROG FORMACIÓN TITULADA'!F886,"AAAAAHff9/M=")</f>
        <v>#VALUE!</v>
      </c>
      <c r="IK418" t="e">
        <f>AND('PROG FORMACIÓN TITULADA'!G886,"AAAAAHff9/Q=")</f>
        <v>#VALUE!</v>
      </c>
      <c r="IL418" t="e">
        <f>AND('PROG FORMACIÓN TITULADA'!H886,"AAAAAHff9/U=")</f>
        <v>#VALUE!</v>
      </c>
      <c r="IM418" t="e">
        <f>AND('PROG FORMACIÓN TITULADA'!I886,"AAAAAHff9/Y=")</f>
        <v>#VALUE!</v>
      </c>
      <c r="IN418" t="e">
        <f>AND('PROG FORMACIÓN TITULADA'!J886,"AAAAAHff9/c=")</f>
        <v>#VALUE!</v>
      </c>
      <c r="IO418" t="e">
        <f>AND('PROG FORMACIÓN TITULADA'!K886,"AAAAAHff9/g=")</f>
        <v>#VALUE!</v>
      </c>
      <c r="IP418" t="e">
        <f>AND('PROG FORMACIÓN TITULADA'!L886,"AAAAAHff9/k=")</f>
        <v>#VALUE!</v>
      </c>
      <c r="IQ418" t="e">
        <f>AND('PROG FORMACIÓN TITULADA'!M886,"AAAAAHff9/o=")</f>
        <v>#VALUE!</v>
      </c>
      <c r="IR418" t="e">
        <f>AND('PROG FORMACIÓN TITULADA'!N886,"AAAAAHff9/s=")</f>
        <v>#VALUE!</v>
      </c>
      <c r="IS418" t="e">
        <f>AND('PROG FORMACIÓN TITULADA'!O886,"AAAAAHff9/w=")</f>
        <v>#VALUE!</v>
      </c>
      <c r="IT418" t="e">
        <f>AND('PROG FORMACIÓN TITULADA'!P886,"AAAAAHff9/0=")</f>
        <v>#VALUE!</v>
      </c>
      <c r="IU418" t="e">
        <f>AND('PROG FORMACIÓN TITULADA'!Q886,"AAAAAHff9/4=")</f>
        <v>#VALUE!</v>
      </c>
      <c r="IV418" t="e">
        <f>AND('PROG FORMACIÓN TITULADA'!R886,"AAAAAHff9/8=")</f>
        <v>#VALUE!</v>
      </c>
    </row>
    <row r="419" spans="1:256" x14ac:dyDescent="0.2">
      <c r="A419" t="e">
        <f>AND('PROG FORMACIÓN TITULADA'!S886,"AAAAAH37WQA=")</f>
        <v>#VALUE!</v>
      </c>
      <c r="B419" t="e">
        <f>AND('PROG FORMACIÓN TITULADA'!T886,"AAAAAH37WQE=")</f>
        <v>#VALUE!</v>
      </c>
      <c r="C419" t="e">
        <f>AND('PROG FORMACIÓN TITULADA'!U886,"AAAAAH37WQI=")</f>
        <v>#VALUE!</v>
      </c>
      <c r="D419" t="e">
        <f>AND('PROG FORMACIÓN TITULADA'!V886,"AAAAAH37WQM=")</f>
        <v>#VALUE!</v>
      </c>
      <c r="E419" t="e">
        <f>AND('PROG FORMACIÓN TITULADA'!W886,"AAAAAH37WQQ=")</f>
        <v>#VALUE!</v>
      </c>
      <c r="F419" t="e">
        <f>AND('PROG FORMACIÓN TITULADA'!X886,"AAAAAH37WQU=")</f>
        <v>#VALUE!</v>
      </c>
      <c r="G419" t="e">
        <f>AND('PROG FORMACIÓN TITULADA'!Y886,"AAAAAH37WQY=")</f>
        <v>#VALUE!</v>
      </c>
      <c r="H419" t="e">
        <f>AND('PROG FORMACIÓN TITULADA'!Z886,"AAAAAH37WQc=")</f>
        <v>#VALUE!</v>
      </c>
      <c r="I419" t="e">
        <f>AND('PROG FORMACIÓN TITULADA'!E887,"AAAAAH37WQg=")</f>
        <v>#VALUE!</v>
      </c>
      <c r="J419" t="e">
        <f>AND('PROG FORMACIÓN TITULADA'!F887,"AAAAAH37WQk=")</f>
        <v>#VALUE!</v>
      </c>
      <c r="K419" t="e">
        <f>AND('PROG FORMACIÓN TITULADA'!G887,"AAAAAH37WQo=")</f>
        <v>#VALUE!</v>
      </c>
      <c r="L419" t="e">
        <f>AND('PROG FORMACIÓN TITULADA'!H887,"AAAAAH37WQs=")</f>
        <v>#VALUE!</v>
      </c>
      <c r="M419" t="e">
        <f>AND('PROG FORMACIÓN TITULADA'!I887,"AAAAAH37WQw=")</f>
        <v>#VALUE!</v>
      </c>
      <c r="N419" t="e">
        <f>AND('PROG FORMACIÓN TITULADA'!J887,"AAAAAH37WQ0=")</f>
        <v>#VALUE!</v>
      </c>
      <c r="O419" t="e">
        <f>AND('PROG FORMACIÓN TITULADA'!K887,"AAAAAH37WQ4=")</f>
        <v>#VALUE!</v>
      </c>
      <c r="P419" t="e">
        <f>AND('PROG FORMACIÓN TITULADA'!L887,"AAAAAH37WQ8=")</f>
        <v>#VALUE!</v>
      </c>
      <c r="Q419" t="e">
        <f>AND('PROG FORMACIÓN TITULADA'!M887,"AAAAAH37WRA=")</f>
        <v>#VALUE!</v>
      </c>
      <c r="R419" t="e">
        <f>AND('PROG FORMACIÓN TITULADA'!N887,"AAAAAH37WRE=")</f>
        <v>#VALUE!</v>
      </c>
      <c r="S419" t="e">
        <f>AND('PROG FORMACIÓN TITULADA'!O887,"AAAAAH37WRI=")</f>
        <v>#VALUE!</v>
      </c>
      <c r="T419" t="e">
        <f>AND('PROG FORMACIÓN TITULADA'!P887,"AAAAAH37WRM=")</f>
        <v>#VALUE!</v>
      </c>
      <c r="U419" t="e">
        <f>AND('PROG FORMACIÓN TITULADA'!Q887,"AAAAAH37WRQ=")</f>
        <v>#VALUE!</v>
      </c>
      <c r="V419" t="e">
        <f>AND('PROG FORMACIÓN TITULADA'!R887,"AAAAAH37WRU=")</f>
        <v>#VALUE!</v>
      </c>
      <c r="W419" t="e">
        <f>AND('PROG FORMACIÓN TITULADA'!S887,"AAAAAH37WRY=")</f>
        <v>#VALUE!</v>
      </c>
      <c r="X419" t="e">
        <f>AND('PROG FORMACIÓN TITULADA'!T887,"AAAAAH37WRc=")</f>
        <v>#VALUE!</v>
      </c>
      <c r="Y419" t="e">
        <f>AND('PROG FORMACIÓN TITULADA'!U887,"AAAAAH37WRg=")</f>
        <v>#VALUE!</v>
      </c>
      <c r="Z419" t="e">
        <f>AND('PROG FORMACIÓN TITULADA'!V887,"AAAAAH37WRk=")</f>
        <v>#VALUE!</v>
      </c>
      <c r="AA419" t="e">
        <f>AND('PROG FORMACIÓN TITULADA'!W887,"AAAAAH37WRo=")</f>
        <v>#VALUE!</v>
      </c>
      <c r="AB419" t="e">
        <f>AND('PROG FORMACIÓN TITULADA'!X887,"AAAAAH37WRs=")</f>
        <v>#VALUE!</v>
      </c>
      <c r="AC419" t="e">
        <f>AND('PROG FORMACIÓN TITULADA'!Y887,"AAAAAH37WRw=")</f>
        <v>#VALUE!</v>
      </c>
      <c r="AD419" t="e">
        <f>AND('PROG FORMACIÓN TITULADA'!Z887,"AAAAAH37WR0=")</f>
        <v>#VALUE!</v>
      </c>
      <c r="AE419" t="e">
        <f>AND('PROG FORMACIÓN TITULADA'!E888,"AAAAAH37WR4=")</f>
        <v>#VALUE!</v>
      </c>
      <c r="AF419" t="e">
        <f>AND('PROG FORMACIÓN TITULADA'!F888,"AAAAAH37WR8=")</f>
        <v>#VALUE!</v>
      </c>
      <c r="AG419" t="e">
        <f>AND('PROG FORMACIÓN TITULADA'!G888,"AAAAAH37WSA=")</f>
        <v>#VALUE!</v>
      </c>
      <c r="AH419" t="e">
        <f>AND('PROG FORMACIÓN TITULADA'!H888,"AAAAAH37WSE=")</f>
        <v>#VALUE!</v>
      </c>
      <c r="AI419" t="e">
        <f>AND('PROG FORMACIÓN TITULADA'!I888,"AAAAAH37WSI=")</f>
        <v>#VALUE!</v>
      </c>
      <c r="AJ419" t="e">
        <f>AND('PROG FORMACIÓN TITULADA'!J888,"AAAAAH37WSM=")</f>
        <v>#VALUE!</v>
      </c>
      <c r="AK419" t="e">
        <f>AND('PROG FORMACIÓN TITULADA'!K888,"AAAAAH37WSQ=")</f>
        <v>#VALUE!</v>
      </c>
      <c r="AL419" t="e">
        <f>AND('PROG FORMACIÓN TITULADA'!L888,"AAAAAH37WSU=")</f>
        <v>#VALUE!</v>
      </c>
      <c r="AM419" t="e">
        <f>AND('PROG FORMACIÓN TITULADA'!M888,"AAAAAH37WSY=")</f>
        <v>#VALUE!</v>
      </c>
      <c r="AN419" t="e">
        <f>AND('PROG FORMACIÓN TITULADA'!N888,"AAAAAH37WSc=")</f>
        <v>#VALUE!</v>
      </c>
      <c r="AO419" t="e">
        <f>AND('PROG FORMACIÓN TITULADA'!O888,"AAAAAH37WSg=")</f>
        <v>#VALUE!</v>
      </c>
      <c r="AP419" t="e">
        <f>AND('PROG FORMACIÓN TITULADA'!P888,"AAAAAH37WSk=")</f>
        <v>#VALUE!</v>
      </c>
      <c r="AQ419" t="e">
        <f>AND('PROG FORMACIÓN TITULADA'!Q888,"AAAAAH37WSo=")</f>
        <v>#VALUE!</v>
      </c>
      <c r="AR419" t="e">
        <f>AND('PROG FORMACIÓN TITULADA'!R888,"AAAAAH37WSs=")</f>
        <v>#VALUE!</v>
      </c>
      <c r="AS419" t="e">
        <f>AND('PROG FORMACIÓN TITULADA'!S888,"AAAAAH37WSw=")</f>
        <v>#VALUE!</v>
      </c>
      <c r="AT419" t="e">
        <f>AND('PROG FORMACIÓN TITULADA'!T888,"AAAAAH37WS0=")</f>
        <v>#VALUE!</v>
      </c>
      <c r="AU419" t="e">
        <f>AND('PROG FORMACIÓN TITULADA'!U888,"AAAAAH37WS4=")</f>
        <v>#VALUE!</v>
      </c>
      <c r="AV419" t="e">
        <f>AND('PROG FORMACIÓN TITULADA'!V888,"AAAAAH37WS8=")</f>
        <v>#VALUE!</v>
      </c>
      <c r="AW419" t="e">
        <f>AND('PROG FORMACIÓN TITULADA'!W888,"AAAAAH37WTA=")</f>
        <v>#VALUE!</v>
      </c>
      <c r="AX419" t="e">
        <f>AND('PROG FORMACIÓN TITULADA'!X888,"AAAAAH37WTE=")</f>
        <v>#VALUE!</v>
      </c>
      <c r="AY419" t="e">
        <f>AND('PROG FORMACIÓN TITULADA'!Y888,"AAAAAH37WTI=")</f>
        <v>#VALUE!</v>
      </c>
      <c r="AZ419" t="e">
        <f>AND('PROG FORMACIÓN TITULADA'!Z888,"AAAAAH37WTM=")</f>
        <v>#VALUE!</v>
      </c>
      <c r="BA419" t="e">
        <f>AND('PROG FORMACIÓN TITULADA'!E889,"AAAAAH37WTQ=")</f>
        <v>#VALUE!</v>
      </c>
      <c r="BB419" t="e">
        <f>AND('PROG FORMACIÓN TITULADA'!F889,"AAAAAH37WTU=")</f>
        <v>#VALUE!</v>
      </c>
      <c r="BC419" t="e">
        <f>AND('PROG FORMACIÓN TITULADA'!G889,"AAAAAH37WTY=")</f>
        <v>#VALUE!</v>
      </c>
      <c r="BD419" t="e">
        <f>AND('PROG FORMACIÓN TITULADA'!H889,"AAAAAH37WTc=")</f>
        <v>#VALUE!</v>
      </c>
      <c r="BE419" t="e">
        <f>AND('PROG FORMACIÓN TITULADA'!I889,"AAAAAH37WTg=")</f>
        <v>#VALUE!</v>
      </c>
      <c r="BF419" t="e">
        <f>AND('PROG FORMACIÓN TITULADA'!J889,"AAAAAH37WTk=")</f>
        <v>#VALUE!</v>
      </c>
      <c r="BG419" t="e">
        <f>AND('PROG FORMACIÓN TITULADA'!K889,"AAAAAH37WTo=")</f>
        <v>#VALUE!</v>
      </c>
      <c r="BH419" t="e">
        <f>AND('PROG FORMACIÓN TITULADA'!L889,"AAAAAH37WTs=")</f>
        <v>#VALUE!</v>
      </c>
      <c r="BI419" t="e">
        <f>AND('PROG FORMACIÓN TITULADA'!M889,"AAAAAH37WTw=")</f>
        <v>#VALUE!</v>
      </c>
      <c r="BJ419" t="e">
        <f>AND('PROG FORMACIÓN TITULADA'!N889,"AAAAAH37WT0=")</f>
        <v>#VALUE!</v>
      </c>
      <c r="BK419" t="e">
        <f>AND('PROG FORMACIÓN TITULADA'!O889,"AAAAAH37WT4=")</f>
        <v>#VALUE!</v>
      </c>
      <c r="BL419" t="e">
        <f>AND('PROG FORMACIÓN TITULADA'!P889,"AAAAAH37WT8=")</f>
        <v>#VALUE!</v>
      </c>
      <c r="BM419" t="e">
        <f>AND('PROG FORMACIÓN TITULADA'!Q889,"AAAAAH37WUA=")</f>
        <v>#VALUE!</v>
      </c>
      <c r="BN419" t="e">
        <f>AND('PROG FORMACIÓN TITULADA'!R889,"AAAAAH37WUE=")</f>
        <v>#VALUE!</v>
      </c>
      <c r="BO419" t="e">
        <f>AND('PROG FORMACIÓN TITULADA'!S889,"AAAAAH37WUI=")</f>
        <v>#VALUE!</v>
      </c>
      <c r="BP419" t="e">
        <f>AND('PROG FORMACIÓN TITULADA'!T889,"AAAAAH37WUM=")</f>
        <v>#VALUE!</v>
      </c>
      <c r="BQ419" t="e">
        <f>AND('PROG FORMACIÓN TITULADA'!U889,"AAAAAH37WUQ=")</f>
        <v>#VALUE!</v>
      </c>
      <c r="BR419" t="e">
        <f>AND('PROG FORMACIÓN TITULADA'!V889,"AAAAAH37WUU=")</f>
        <v>#VALUE!</v>
      </c>
      <c r="BS419" t="e">
        <f>AND('PROG FORMACIÓN TITULADA'!W889,"AAAAAH37WUY=")</f>
        <v>#VALUE!</v>
      </c>
      <c r="BT419" t="e">
        <f>AND('PROG FORMACIÓN TITULADA'!X889,"AAAAAH37WUc=")</f>
        <v>#VALUE!</v>
      </c>
      <c r="BU419" t="e">
        <f>AND('PROG FORMACIÓN TITULADA'!Y889,"AAAAAH37WUg=")</f>
        <v>#VALUE!</v>
      </c>
      <c r="BV419" t="e">
        <f>AND('PROG FORMACIÓN TITULADA'!Z889,"AAAAAH37WUk=")</f>
        <v>#VALUE!</v>
      </c>
      <c r="BW419" t="e">
        <f>AND('PROG FORMACIÓN TITULADA'!E890,"AAAAAH37WUo=")</f>
        <v>#VALUE!</v>
      </c>
      <c r="BX419" t="e">
        <f>AND('PROG FORMACIÓN TITULADA'!F890,"AAAAAH37WUs=")</f>
        <v>#VALUE!</v>
      </c>
      <c r="BY419" t="e">
        <f>AND('PROG FORMACIÓN TITULADA'!G890,"AAAAAH37WUw=")</f>
        <v>#VALUE!</v>
      </c>
      <c r="BZ419" t="e">
        <f>AND('PROG FORMACIÓN TITULADA'!H890,"AAAAAH37WU0=")</f>
        <v>#VALUE!</v>
      </c>
      <c r="CA419" t="e">
        <f>AND('PROG FORMACIÓN TITULADA'!I890,"AAAAAH37WU4=")</f>
        <v>#VALUE!</v>
      </c>
      <c r="CB419" t="e">
        <f>AND('PROG FORMACIÓN TITULADA'!J890,"AAAAAH37WU8=")</f>
        <v>#VALUE!</v>
      </c>
      <c r="CC419" t="e">
        <f>AND('PROG FORMACIÓN TITULADA'!K890,"AAAAAH37WVA=")</f>
        <v>#VALUE!</v>
      </c>
      <c r="CD419" t="e">
        <f>AND('PROG FORMACIÓN TITULADA'!L890,"AAAAAH37WVE=")</f>
        <v>#VALUE!</v>
      </c>
      <c r="CE419" t="e">
        <f>AND('PROG FORMACIÓN TITULADA'!M890,"AAAAAH37WVI=")</f>
        <v>#VALUE!</v>
      </c>
      <c r="CF419" t="e">
        <f>AND('PROG FORMACIÓN TITULADA'!N890,"AAAAAH37WVM=")</f>
        <v>#VALUE!</v>
      </c>
      <c r="CG419" t="e">
        <f>AND('PROG FORMACIÓN TITULADA'!O890,"AAAAAH37WVQ=")</f>
        <v>#VALUE!</v>
      </c>
      <c r="CH419" t="e">
        <f>AND('PROG FORMACIÓN TITULADA'!P890,"AAAAAH37WVU=")</f>
        <v>#VALUE!</v>
      </c>
      <c r="CI419" t="e">
        <f>AND('PROG FORMACIÓN TITULADA'!Q890,"AAAAAH37WVY=")</f>
        <v>#VALUE!</v>
      </c>
      <c r="CJ419" t="e">
        <f>AND('PROG FORMACIÓN TITULADA'!R890,"AAAAAH37WVc=")</f>
        <v>#VALUE!</v>
      </c>
      <c r="CK419" t="e">
        <f>AND('PROG FORMACIÓN TITULADA'!S890,"AAAAAH37WVg=")</f>
        <v>#VALUE!</v>
      </c>
      <c r="CL419" t="e">
        <f>AND('PROG FORMACIÓN TITULADA'!T890,"AAAAAH37WVk=")</f>
        <v>#VALUE!</v>
      </c>
      <c r="CM419" t="e">
        <f>AND('PROG FORMACIÓN TITULADA'!U890,"AAAAAH37WVo=")</f>
        <v>#VALUE!</v>
      </c>
      <c r="CN419" t="e">
        <f>AND('PROG FORMACIÓN TITULADA'!V890,"AAAAAH37WVs=")</f>
        <v>#VALUE!</v>
      </c>
      <c r="CO419" t="e">
        <f>AND('PROG FORMACIÓN TITULADA'!W890,"AAAAAH37WVw=")</f>
        <v>#VALUE!</v>
      </c>
      <c r="CP419" t="e">
        <f>AND('PROG FORMACIÓN TITULADA'!X890,"AAAAAH37WV0=")</f>
        <v>#VALUE!</v>
      </c>
      <c r="CQ419" t="e">
        <f>AND('PROG FORMACIÓN TITULADA'!Y890,"AAAAAH37WV4=")</f>
        <v>#VALUE!</v>
      </c>
      <c r="CR419" t="e">
        <f>AND('PROG FORMACIÓN TITULADA'!Z890,"AAAAAH37WV8=")</f>
        <v>#VALUE!</v>
      </c>
      <c r="CS419" t="e">
        <f>AND('PROG FORMACIÓN TITULADA'!E891,"AAAAAH37WWA=")</f>
        <v>#VALUE!</v>
      </c>
      <c r="CT419" t="e">
        <f>AND('PROG FORMACIÓN TITULADA'!F891,"AAAAAH37WWE=")</f>
        <v>#VALUE!</v>
      </c>
      <c r="CU419" t="e">
        <f>AND('PROG FORMACIÓN TITULADA'!G891,"AAAAAH37WWI=")</f>
        <v>#VALUE!</v>
      </c>
      <c r="CV419" t="e">
        <f>AND('PROG FORMACIÓN TITULADA'!H891,"AAAAAH37WWM=")</f>
        <v>#VALUE!</v>
      </c>
      <c r="CW419" t="e">
        <f>AND('PROG FORMACIÓN TITULADA'!I891,"AAAAAH37WWQ=")</f>
        <v>#VALUE!</v>
      </c>
      <c r="CX419" t="e">
        <f>AND('PROG FORMACIÓN TITULADA'!J891,"AAAAAH37WWU=")</f>
        <v>#VALUE!</v>
      </c>
      <c r="CY419" t="e">
        <f>AND('PROG FORMACIÓN TITULADA'!K891,"AAAAAH37WWY=")</f>
        <v>#VALUE!</v>
      </c>
      <c r="CZ419" t="e">
        <f>AND('PROG FORMACIÓN TITULADA'!L891,"AAAAAH37WWc=")</f>
        <v>#VALUE!</v>
      </c>
      <c r="DA419" t="e">
        <f>AND('PROG FORMACIÓN TITULADA'!M891,"AAAAAH37WWg=")</f>
        <v>#VALUE!</v>
      </c>
      <c r="DB419" t="e">
        <f>AND('PROG FORMACIÓN TITULADA'!N891,"AAAAAH37WWk=")</f>
        <v>#VALUE!</v>
      </c>
      <c r="DC419" t="e">
        <f>AND('PROG FORMACIÓN TITULADA'!O891,"AAAAAH37WWo=")</f>
        <v>#VALUE!</v>
      </c>
      <c r="DD419" t="e">
        <f>AND('PROG FORMACIÓN TITULADA'!P891,"AAAAAH37WWs=")</f>
        <v>#VALUE!</v>
      </c>
      <c r="DE419" t="e">
        <f>AND('PROG FORMACIÓN TITULADA'!Q891,"AAAAAH37WWw=")</f>
        <v>#VALUE!</v>
      </c>
      <c r="DF419" t="e">
        <f>AND('PROG FORMACIÓN TITULADA'!R891,"AAAAAH37WW0=")</f>
        <v>#VALUE!</v>
      </c>
      <c r="DG419" t="e">
        <f>AND('PROG FORMACIÓN TITULADA'!S891,"AAAAAH37WW4=")</f>
        <v>#VALUE!</v>
      </c>
      <c r="DH419" t="e">
        <f>AND('PROG FORMACIÓN TITULADA'!T891,"AAAAAH37WW8=")</f>
        <v>#VALUE!</v>
      </c>
      <c r="DI419" t="e">
        <f>AND('PROG FORMACIÓN TITULADA'!U891,"AAAAAH37WXA=")</f>
        <v>#VALUE!</v>
      </c>
      <c r="DJ419" t="e">
        <f>AND('PROG FORMACIÓN TITULADA'!V891,"AAAAAH37WXE=")</f>
        <v>#VALUE!</v>
      </c>
      <c r="DK419" t="e">
        <f>AND('PROG FORMACIÓN TITULADA'!W891,"AAAAAH37WXI=")</f>
        <v>#VALUE!</v>
      </c>
      <c r="DL419" t="e">
        <f>AND('PROG FORMACIÓN TITULADA'!X891,"AAAAAH37WXM=")</f>
        <v>#VALUE!</v>
      </c>
      <c r="DM419" t="e">
        <f>AND('PROG FORMACIÓN TITULADA'!Y891,"AAAAAH37WXQ=")</f>
        <v>#VALUE!</v>
      </c>
      <c r="DN419" t="e">
        <f>AND('PROG FORMACIÓN TITULADA'!Z891,"AAAAAH37WXU=")</f>
        <v>#VALUE!</v>
      </c>
      <c r="DO419" t="e">
        <f>AND('PROG FORMACIÓN TITULADA'!E892,"AAAAAH37WXY=")</f>
        <v>#VALUE!</v>
      </c>
      <c r="DP419" t="e">
        <f>AND('PROG FORMACIÓN TITULADA'!F892,"AAAAAH37WXc=")</f>
        <v>#VALUE!</v>
      </c>
      <c r="DQ419" t="e">
        <f>AND('PROG FORMACIÓN TITULADA'!G892,"AAAAAH37WXg=")</f>
        <v>#VALUE!</v>
      </c>
      <c r="DR419" t="e">
        <f>AND('PROG FORMACIÓN TITULADA'!H892,"AAAAAH37WXk=")</f>
        <v>#VALUE!</v>
      </c>
      <c r="DS419" t="e">
        <f>AND('PROG FORMACIÓN TITULADA'!I892,"AAAAAH37WXo=")</f>
        <v>#VALUE!</v>
      </c>
      <c r="DT419" t="e">
        <f>AND('PROG FORMACIÓN TITULADA'!J892,"AAAAAH37WXs=")</f>
        <v>#VALUE!</v>
      </c>
      <c r="DU419" t="e">
        <f>AND('PROG FORMACIÓN TITULADA'!K892,"AAAAAH37WXw=")</f>
        <v>#VALUE!</v>
      </c>
      <c r="DV419" t="e">
        <f>AND('PROG FORMACIÓN TITULADA'!L892,"AAAAAH37WX0=")</f>
        <v>#VALUE!</v>
      </c>
      <c r="DW419" t="e">
        <f>AND('PROG FORMACIÓN TITULADA'!M892,"AAAAAH37WX4=")</f>
        <v>#VALUE!</v>
      </c>
      <c r="DX419" t="e">
        <f>AND('PROG FORMACIÓN TITULADA'!N892,"AAAAAH37WX8=")</f>
        <v>#VALUE!</v>
      </c>
      <c r="DY419" t="e">
        <f>AND('PROG FORMACIÓN TITULADA'!O892,"AAAAAH37WYA=")</f>
        <v>#VALUE!</v>
      </c>
      <c r="DZ419" t="e">
        <f>AND('PROG FORMACIÓN TITULADA'!P892,"AAAAAH37WYE=")</f>
        <v>#VALUE!</v>
      </c>
      <c r="EA419" t="e">
        <f>AND('PROG FORMACIÓN TITULADA'!Q892,"AAAAAH37WYI=")</f>
        <v>#VALUE!</v>
      </c>
      <c r="EB419" t="e">
        <f>AND('PROG FORMACIÓN TITULADA'!R892,"AAAAAH37WYM=")</f>
        <v>#VALUE!</v>
      </c>
      <c r="EC419" t="e">
        <f>AND('PROG FORMACIÓN TITULADA'!S892,"AAAAAH37WYQ=")</f>
        <v>#VALUE!</v>
      </c>
      <c r="ED419" t="e">
        <f>AND('PROG FORMACIÓN TITULADA'!T892,"AAAAAH37WYU=")</f>
        <v>#VALUE!</v>
      </c>
      <c r="EE419" t="e">
        <f>AND('PROG FORMACIÓN TITULADA'!U892,"AAAAAH37WYY=")</f>
        <v>#VALUE!</v>
      </c>
      <c r="EF419" t="e">
        <f>AND('PROG FORMACIÓN TITULADA'!V892,"AAAAAH37WYc=")</f>
        <v>#VALUE!</v>
      </c>
      <c r="EG419" t="e">
        <f>AND('PROG FORMACIÓN TITULADA'!W892,"AAAAAH37WYg=")</f>
        <v>#VALUE!</v>
      </c>
      <c r="EH419" t="e">
        <f>AND('PROG FORMACIÓN TITULADA'!X892,"AAAAAH37WYk=")</f>
        <v>#VALUE!</v>
      </c>
      <c r="EI419" t="e">
        <f>AND('PROG FORMACIÓN TITULADA'!Y892,"AAAAAH37WYo=")</f>
        <v>#VALUE!</v>
      </c>
      <c r="EJ419" t="e">
        <f>AND('PROG FORMACIÓN TITULADA'!Z892,"AAAAAH37WYs=")</f>
        <v>#VALUE!</v>
      </c>
      <c r="EK419" t="e">
        <f>AND('PROG FORMACIÓN TITULADA'!E893,"AAAAAH37WYw=")</f>
        <v>#VALUE!</v>
      </c>
      <c r="EL419" t="e">
        <f>AND('PROG FORMACIÓN TITULADA'!F893,"AAAAAH37WY0=")</f>
        <v>#VALUE!</v>
      </c>
      <c r="EM419" t="e">
        <f>AND('PROG FORMACIÓN TITULADA'!G893,"AAAAAH37WY4=")</f>
        <v>#VALUE!</v>
      </c>
      <c r="EN419" t="e">
        <f>AND('PROG FORMACIÓN TITULADA'!H893,"AAAAAH37WY8=")</f>
        <v>#VALUE!</v>
      </c>
      <c r="EO419" t="e">
        <f>AND('PROG FORMACIÓN TITULADA'!I893,"AAAAAH37WZA=")</f>
        <v>#VALUE!</v>
      </c>
      <c r="EP419" t="e">
        <f>AND('PROG FORMACIÓN TITULADA'!J893,"AAAAAH37WZE=")</f>
        <v>#VALUE!</v>
      </c>
      <c r="EQ419" t="e">
        <f>AND('PROG FORMACIÓN TITULADA'!K893,"AAAAAH37WZI=")</f>
        <v>#VALUE!</v>
      </c>
      <c r="ER419" t="e">
        <f>AND('PROG FORMACIÓN TITULADA'!L893,"AAAAAH37WZM=")</f>
        <v>#VALUE!</v>
      </c>
      <c r="ES419" t="e">
        <f>AND('PROG FORMACIÓN TITULADA'!M893,"AAAAAH37WZQ=")</f>
        <v>#VALUE!</v>
      </c>
      <c r="ET419" t="e">
        <f>AND('PROG FORMACIÓN TITULADA'!N893,"AAAAAH37WZU=")</f>
        <v>#VALUE!</v>
      </c>
      <c r="EU419" t="e">
        <f>AND('PROG FORMACIÓN TITULADA'!O893,"AAAAAH37WZY=")</f>
        <v>#VALUE!</v>
      </c>
      <c r="EV419" t="e">
        <f>AND('PROG FORMACIÓN TITULADA'!P893,"AAAAAH37WZc=")</f>
        <v>#VALUE!</v>
      </c>
      <c r="EW419" t="e">
        <f>AND('PROG FORMACIÓN TITULADA'!Q893,"AAAAAH37WZg=")</f>
        <v>#VALUE!</v>
      </c>
      <c r="EX419" t="e">
        <f>AND('PROG FORMACIÓN TITULADA'!R893,"AAAAAH37WZk=")</f>
        <v>#VALUE!</v>
      </c>
      <c r="EY419" t="e">
        <f>AND('PROG FORMACIÓN TITULADA'!S893,"AAAAAH37WZo=")</f>
        <v>#VALUE!</v>
      </c>
      <c r="EZ419" t="e">
        <f>AND('PROG FORMACIÓN TITULADA'!T893,"AAAAAH37WZs=")</f>
        <v>#VALUE!</v>
      </c>
      <c r="FA419" t="e">
        <f>AND('PROG FORMACIÓN TITULADA'!U893,"AAAAAH37WZw=")</f>
        <v>#VALUE!</v>
      </c>
      <c r="FB419" t="e">
        <f>AND('PROG FORMACIÓN TITULADA'!V893,"AAAAAH37WZ0=")</f>
        <v>#VALUE!</v>
      </c>
      <c r="FC419" t="e">
        <f>AND('PROG FORMACIÓN TITULADA'!W893,"AAAAAH37WZ4=")</f>
        <v>#VALUE!</v>
      </c>
      <c r="FD419" t="e">
        <f>AND('PROG FORMACIÓN TITULADA'!X893,"AAAAAH37WZ8=")</f>
        <v>#VALUE!</v>
      </c>
      <c r="FE419" t="e">
        <f>AND('PROG FORMACIÓN TITULADA'!Y893,"AAAAAH37WaA=")</f>
        <v>#VALUE!</v>
      </c>
      <c r="FF419" t="e">
        <f>AND('PROG FORMACIÓN TITULADA'!Z893,"AAAAAH37WaE=")</f>
        <v>#VALUE!</v>
      </c>
      <c r="FG419" t="e">
        <f>AND('PROG FORMACIÓN TITULADA'!E894,"AAAAAH37WaI=")</f>
        <v>#VALUE!</v>
      </c>
      <c r="FH419" t="e">
        <f>AND('PROG FORMACIÓN TITULADA'!F894,"AAAAAH37WaM=")</f>
        <v>#VALUE!</v>
      </c>
      <c r="FI419" t="e">
        <f>AND('PROG FORMACIÓN TITULADA'!G894,"AAAAAH37WaQ=")</f>
        <v>#VALUE!</v>
      </c>
      <c r="FJ419" t="e">
        <f>AND('PROG FORMACIÓN TITULADA'!H894,"AAAAAH37WaU=")</f>
        <v>#VALUE!</v>
      </c>
      <c r="FK419" t="e">
        <f>AND('PROG FORMACIÓN TITULADA'!I894,"AAAAAH37WaY=")</f>
        <v>#VALUE!</v>
      </c>
      <c r="FL419" t="e">
        <f>AND('PROG FORMACIÓN TITULADA'!J894,"AAAAAH37Wac=")</f>
        <v>#VALUE!</v>
      </c>
      <c r="FM419" t="e">
        <f>AND('PROG FORMACIÓN TITULADA'!K894,"AAAAAH37Wag=")</f>
        <v>#VALUE!</v>
      </c>
      <c r="FN419" t="e">
        <f>AND('PROG FORMACIÓN TITULADA'!L894,"AAAAAH37Wak=")</f>
        <v>#VALUE!</v>
      </c>
      <c r="FO419" t="e">
        <f>AND('PROG FORMACIÓN TITULADA'!M894,"AAAAAH37Wao=")</f>
        <v>#VALUE!</v>
      </c>
      <c r="FP419" t="e">
        <f>AND('PROG FORMACIÓN TITULADA'!N894,"AAAAAH37Was=")</f>
        <v>#VALUE!</v>
      </c>
      <c r="FQ419" t="e">
        <f>AND('PROG FORMACIÓN TITULADA'!O894,"AAAAAH37Waw=")</f>
        <v>#VALUE!</v>
      </c>
      <c r="FR419" t="e">
        <f>AND('PROG FORMACIÓN TITULADA'!P894,"AAAAAH37Wa0=")</f>
        <v>#VALUE!</v>
      </c>
      <c r="FS419" t="e">
        <f>AND('PROG FORMACIÓN TITULADA'!Q894,"AAAAAH37Wa4=")</f>
        <v>#VALUE!</v>
      </c>
      <c r="FT419" t="e">
        <f>AND('PROG FORMACIÓN TITULADA'!R894,"AAAAAH37Wa8=")</f>
        <v>#VALUE!</v>
      </c>
      <c r="FU419" t="e">
        <f>AND('PROG FORMACIÓN TITULADA'!S894,"AAAAAH37WbA=")</f>
        <v>#VALUE!</v>
      </c>
      <c r="FV419" t="e">
        <f>AND('PROG FORMACIÓN TITULADA'!T894,"AAAAAH37WbE=")</f>
        <v>#VALUE!</v>
      </c>
      <c r="FW419" t="e">
        <f>AND('PROG FORMACIÓN TITULADA'!U894,"AAAAAH37WbI=")</f>
        <v>#VALUE!</v>
      </c>
      <c r="FX419" t="e">
        <f>AND('PROG FORMACIÓN TITULADA'!V894,"AAAAAH37WbM=")</f>
        <v>#VALUE!</v>
      </c>
      <c r="FY419" t="e">
        <f>AND('PROG FORMACIÓN TITULADA'!W894,"AAAAAH37WbQ=")</f>
        <v>#VALUE!</v>
      </c>
      <c r="FZ419" t="e">
        <f>AND('PROG FORMACIÓN TITULADA'!X894,"AAAAAH37WbU=")</f>
        <v>#VALUE!</v>
      </c>
      <c r="GA419" t="e">
        <f>AND('PROG FORMACIÓN TITULADA'!Y894,"AAAAAH37WbY=")</f>
        <v>#VALUE!</v>
      </c>
      <c r="GB419" t="e">
        <f>AND('PROG FORMACIÓN TITULADA'!Z894,"AAAAAH37Wbc=")</f>
        <v>#VALUE!</v>
      </c>
      <c r="GC419" t="e">
        <f>AND('PROG FORMACIÓN TITULADA'!E895,"AAAAAH37Wbg=")</f>
        <v>#VALUE!</v>
      </c>
      <c r="GD419" t="e">
        <f>AND('PROG FORMACIÓN TITULADA'!F895,"AAAAAH37Wbk=")</f>
        <v>#VALUE!</v>
      </c>
      <c r="GE419" t="e">
        <f>AND('PROG FORMACIÓN TITULADA'!G895,"AAAAAH37Wbo=")</f>
        <v>#VALUE!</v>
      </c>
      <c r="GF419" t="e">
        <f>AND('PROG FORMACIÓN TITULADA'!H895,"AAAAAH37Wbs=")</f>
        <v>#VALUE!</v>
      </c>
      <c r="GG419" t="e">
        <f>AND('PROG FORMACIÓN TITULADA'!I895,"AAAAAH37Wbw=")</f>
        <v>#VALUE!</v>
      </c>
      <c r="GH419" t="e">
        <f>AND('PROG FORMACIÓN TITULADA'!J895,"AAAAAH37Wb0=")</f>
        <v>#VALUE!</v>
      </c>
      <c r="GI419" t="e">
        <f>AND('PROG FORMACIÓN TITULADA'!K895,"AAAAAH37Wb4=")</f>
        <v>#VALUE!</v>
      </c>
      <c r="GJ419" t="e">
        <f>AND('PROG FORMACIÓN TITULADA'!L895,"AAAAAH37Wb8=")</f>
        <v>#VALUE!</v>
      </c>
      <c r="GK419" t="e">
        <f>AND('PROG FORMACIÓN TITULADA'!M895,"AAAAAH37WcA=")</f>
        <v>#VALUE!</v>
      </c>
      <c r="GL419" t="e">
        <f>AND('PROG FORMACIÓN TITULADA'!N895,"AAAAAH37WcE=")</f>
        <v>#VALUE!</v>
      </c>
      <c r="GM419" t="e">
        <f>AND('PROG FORMACIÓN TITULADA'!O895,"AAAAAH37WcI=")</f>
        <v>#VALUE!</v>
      </c>
      <c r="GN419" t="e">
        <f>AND('PROG FORMACIÓN TITULADA'!P895,"AAAAAH37WcM=")</f>
        <v>#VALUE!</v>
      </c>
      <c r="GO419" t="e">
        <f>AND('PROG FORMACIÓN TITULADA'!Q895,"AAAAAH37WcQ=")</f>
        <v>#VALUE!</v>
      </c>
      <c r="GP419" t="e">
        <f>AND('PROG FORMACIÓN TITULADA'!R895,"AAAAAH37WcU=")</f>
        <v>#VALUE!</v>
      </c>
      <c r="GQ419" t="e">
        <f>AND('PROG FORMACIÓN TITULADA'!S895,"AAAAAH37WcY=")</f>
        <v>#VALUE!</v>
      </c>
      <c r="GR419" t="e">
        <f>AND('PROG FORMACIÓN TITULADA'!T895,"AAAAAH37Wcc=")</f>
        <v>#VALUE!</v>
      </c>
      <c r="GS419" t="e">
        <f>AND('PROG FORMACIÓN TITULADA'!U895,"AAAAAH37Wcg=")</f>
        <v>#VALUE!</v>
      </c>
      <c r="GT419" t="e">
        <f>AND('PROG FORMACIÓN TITULADA'!V895,"AAAAAH37Wck=")</f>
        <v>#VALUE!</v>
      </c>
      <c r="GU419" t="e">
        <f>AND('PROG FORMACIÓN TITULADA'!W895,"AAAAAH37Wco=")</f>
        <v>#VALUE!</v>
      </c>
      <c r="GV419" t="e">
        <f>AND('PROG FORMACIÓN TITULADA'!X895,"AAAAAH37Wcs=")</f>
        <v>#VALUE!</v>
      </c>
      <c r="GW419" t="e">
        <f>AND('PROG FORMACIÓN TITULADA'!Y895,"AAAAAH37Wcw=")</f>
        <v>#VALUE!</v>
      </c>
      <c r="GX419" t="e">
        <f>AND('PROG FORMACIÓN TITULADA'!Z895,"AAAAAH37Wc0=")</f>
        <v>#VALUE!</v>
      </c>
      <c r="GY419" t="e">
        <f>AND('PROG FORMACIÓN TITULADA'!E896,"AAAAAH37Wc4=")</f>
        <v>#VALUE!</v>
      </c>
      <c r="GZ419" t="e">
        <f>AND('PROG FORMACIÓN TITULADA'!F896,"AAAAAH37Wc8=")</f>
        <v>#VALUE!</v>
      </c>
      <c r="HA419" t="e">
        <f>AND('PROG FORMACIÓN TITULADA'!G896,"AAAAAH37WdA=")</f>
        <v>#VALUE!</v>
      </c>
      <c r="HB419" t="e">
        <f>AND('PROG FORMACIÓN TITULADA'!H896,"AAAAAH37WdE=")</f>
        <v>#VALUE!</v>
      </c>
      <c r="HC419" t="e">
        <f>AND('PROG FORMACIÓN TITULADA'!I896,"AAAAAH37WdI=")</f>
        <v>#VALUE!</v>
      </c>
      <c r="HD419" t="e">
        <f>AND('PROG FORMACIÓN TITULADA'!J896,"AAAAAH37WdM=")</f>
        <v>#VALUE!</v>
      </c>
      <c r="HE419" t="e">
        <f>AND('PROG FORMACIÓN TITULADA'!K896,"AAAAAH37WdQ=")</f>
        <v>#VALUE!</v>
      </c>
      <c r="HF419" t="e">
        <f>AND('PROG FORMACIÓN TITULADA'!L896,"AAAAAH37WdU=")</f>
        <v>#VALUE!</v>
      </c>
      <c r="HG419" t="e">
        <f>AND('PROG FORMACIÓN TITULADA'!M896,"AAAAAH37WdY=")</f>
        <v>#VALUE!</v>
      </c>
      <c r="HH419" t="e">
        <f>AND('PROG FORMACIÓN TITULADA'!N896,"AAAAAH37Wdc=")</f>
        <v>#VALUE!</v>
      </c>
      <c r="HI419" t="e">
        <f>AND('PROG FORMACIÓN TITULADA'!O896,"AAAAAH37Wdg=")</f>
        <v>#VALUE!</v>
      </c>
      <c r="HJ419" t="e">
        <f>AND('PROG FORMACIÓN TITULADA'!P896,"AAAAAH37Wdk=")</f>
        <v>#VALUE!</v>
      </c>
      <c r="HK419" t="e">
        <f>AND('PROG FORMACIÓN TITULADA'!Q896,"AAAAAH37Wdo=")</f>
        <v>#VALUE!</v>
      </c>
      <c r="HL419" t="e">
        <f>AND('PROG FORMACIÓN TITULADA'!R896,"AAAAAH37Wds=")</f>
        <v>#VALUE!</v>
      </c>
      <c r="HM419" t="e">
        <f>AND('PROG FORMACIÓN TITULADA'!S896,"AAAAAH37Wdw=")</f>
        <v>#VALUE!</v>
      </c>
      <c r="HN419" t="e">
        <f>AND('PROG FORMACIÓN TITULADA'!T896,"AAAAAH37Wd0=")</f>
        <v>#VALUE!</v>
      </c>
      <c r="HO419" t="e">
        <f>AND('PROG FORMACIÓN TITULADA'!U896,"AAAAAH37Wd4=")</f>
        <v>#VALUE!</v>
      </c>
      <c r="HP419" t="e">
        <f>AND('PROG FORMACIÓN TITULADA'!V896,"AAAAAH37Wd8=")</f>
        <v>#VALUE!</v>
      </c>
      <c r="HQ419" t="e">
        <f>AND('PROG FORMACIÓN TITULADA'!W896,"AAAAAH37WeA=")</f>
        <v>#VALUE!</v>
      </c>
      <c r="HR419" t="e">
        <f>AND('PROG FORMACIÓN TITULADA'!X896,"AAAAAH37WeE=")</f>
        <v>#VALUE!</v>
      </c>
      <c r="HS419" t="e">
        <f>AND('PROG FORMACIÓN TITULADA'!Y896,"AAAAAH37WeI=")</f>
        <v>#VALUE!</v>
      </c>
      <c r="HT419" t="e">
        <f>AND('PROG FORMACIÓN TITULADA'!Z896,"AAAAAH37WeM=")</f>
        <v>#VALUE!</v>
      </c>
      <c r="HU419" t="e">
        <f>AND('PROG FORMACIÓN TITULADA'!E897,"AAAAAH37WeQ=")</f>
        <v>#VALUE!</v>
      </c>
      <c r="HV419" t="e">
        <f>AND('PROG FORMACIÓN TITULADA'!F897,"AAAAAH37WeU=")</f>
        <v>#VALUE!</v>
      </c>
      <c r="HW419" t="e">
        <f>AND('PROG FORMACIÓN TITULADA'!G897,"AAAAAH37WeY=")</f>
        <v>#VALUE!</v>
      </c>
      <c r="HX419" t="e">
        <f>AND('PROG FORMACIÓN TITULADA'!H897,"AAAAAH37Wec=")</f>
        <v>#VALUE!</v>
      </c>
      <c r="HY419" t="e">
        <f>AND('PROG FORMACIÓN TITULADA'!I897,"AAAAAH37Weg=")</f>
        <v>#VALUE!</v>
      </c>
      <c r="HZ419" t="e">
        <f>AND('PROG FORMACIÓN TITULADA'!J897,"AAAAAH37Wek=")</f>
        <v>#VALUE!</v>
      </c>
      <c r="IA419" t="e">
        <f>AND('PROG FORMACIÓN TITULADA'!K897,"AAAAAH37Weo=")</f>
        <v>#VALUE!</v>
      </c>
      <c r="IB419" t="e">
        <f>AND('PROG FORMACIÓN TITULADA'!L897,"AAAAAH37Wes=")</f>
        <v>#VALUE!</v>
      </c>
      <c r="IC419" t="e">
        <f>AND('PROG FORMACIÓN TITULADA'!M897,"AAAAAH37Wew=")</f>
        <v>#VALUE!</v>
      </c>
      <c r="ID419" t="e">
        <f>AND('PROG FORMACIÓN TITULADA'!N897,"AAAAAH37We0=")</f>
        <v>#VALUE!</v>
      </c>
      <c r="IE419" t="e">
        <f>AND('PROG FORMACIÓN TITULADA'!O897,"AAAAAH37We4=")</f>
        <v>#VALUE!</v>
      </c>
      <c r="IF419" t="e">
        <f>AND('PROG FORMACIÓN TITULADA'!P897,"AAAAAH37We8=")</f>
        <v>#VALUE!</v>
      </c>
      <c r="IG419" t="e">
        <f>AND('PROG FORMACIÓN TITULADA'!Q897,"AAAAAH37WfA=")</f>
        <v>#VALUE!</v>
      </c>
      <c r="IH419" t="e">
        <f>AND('PROG FORMACIÓN TITULADA'!R897,"AAAAAH37WfE=")</f>
        <v>#VALUE!</v>
      </c>
      <c r="II419" t="e">
        <f>AND('PROG FORMACIÓN TITULADA'!S897,"AAAAAH37WfI=")</f>
        <v>#VALUE!</v>
      </c>
      <c r="IJ419" t="e">
        <f>AND('PROG FORMACIÓN TITULADA'!T897,"AAAAAH37WfM=")</f>
        <v>#VALUE!</v>
      </c>
      <c r="IK419" t="e">
        <f>AND('PROG FORMACIÓN TITULADA'!U897,"AAAAAH37WfQ=")</f>
        <v>#VALUE!</v>
      </c>
      <c r="IL419" t="e">
        <f>AND('PROG FORMACIÓN TITULADA'!V897,"AAAAAH37WfU=")</f>
        <v>#VALUE!</v>
      </c>
      <c r="IM419" t="e">
        <f>AND('PROG FORMACIÓN TITULADA'!W897,"AAAAAH37WfY=")</f>
        <v>#VALUE!</v>
      </c>
      <c r="IN419" t="e">
        <f>AND('PROG FORMACIÓN TITULADA'!X897,"AAAAAH37Wfc=")</f>
        <v>#VALUE!</v>
      </c>
      <c r="IO419" t="e">
        <f>AND('PROG FORMACIÓN TITULADA'!Y897,"AAAAAH37Wfg=")</f>
        <v>#VALUE!</v>
      </c>
      <c r="IP419" t="e">
        <f>AND('PROG FORMACIÓN TITULADA'!Z897,"AAAAAH37Wfk=")</f>
        <v>#VALUE!</v>
      </c>
      <c r="IQ419" t="e">
        <f>AND('PROG FORMACIÓN TITULADA'!E898,"AAAAAH37Wfo=")</f>
        <v>#VALUE!</v>
      </c>
      <c r="IR419" t="e">
        <f>AND('PROG FORMACIÓN TITULADA'!F898,"AAAAAH37Wfs=")</f>
        <v>#VALUE!</v>
      </c>
      <c r="IS419" t="e">
        <f>AND('PROG FORMACIÓN TITULADA'!G898,"AAAAAH37Wfw=")</f>
        <v>#VALUE!</v>
      </c>
      <c r="IT419" t="e">
        <f>AND('PROG FORMACIÓN TITULADA'!H898,"AAAAAH37Wf0=")</f>
        <v>#VALUE!</v>
      </c>
      <c r="IU419" t="e">
        <f>AND('PROG FORMACIÓN TITULADA'!I898,"AAAAAH37Wf4=")</f>
        <v>#VALUE!</v>
      </c>
      <c r="IV419" t="e">
        <f>AND('PROG FORMACIÓN TITULADA'!J898,"AAAAAH37Wf8=")</f>
        <v>#VALUE!</v>
      </c>
    </row>
    <row r="420" spans="1:256" x14ac:dyDescent="0.2">
      <c r="A420" t="e">
        <f>AND('PROG FORMACIÓN TITULADA'!K898,"AAAAAH+27wA=")</f>
        <v>#VALUE!</v>
      </c>
      <c r="B420" t="e">
        <f>AND('PROG FORMACIÓN TITULADA'!L898,"AAAAAH+27wE=")</f>
        <v>#VALUE!</v>
      </c>
      <c r="C420" t="e">
        <f>AND('PROG FORMACIÓN TITULADA'!M898,"AAAAAH+27wI=")</f>
        <v>#VALUE!</v>
      </c>
      <c r="D420" t="e">
        <f>AND('PROG FORMACIÓN TITULADA'!N898,"AAAAAH+27wM=")</f>
        <v>#VALUE!</v>
      </c>
      <c r="E420" t="e">
        <f>AND('PROG FORMACIÓN TITULADA'!O898,"AAAAAH+27wQ=")</f>
        <v>#VALUE!</v>
      </c>
      <c r="F420" t="e">
        <f>AND('PROG FORMACIÓN TITULADA'!P898,"AAAAAH+27wU=")</f>
        <v>#VALUE!</v>
      </c>
      <c r="G420" t="e">
        <f>AND('PROG FORMACIÓN TITULADA'!Q898,"AAAAAH+27wY=")</f>
        <v>#VALUE!</v>
      </c>
      <c r="H420" t="e">
        <f>AND('PROG FORMACIÓN TITULADA'!R898,"AAAAAH+27wc=")</f>
        <v>#VALUE!</v>
      </c>
      <c r="I420" t="e">
        <f>AND('PROG FORMACIÓN TITULADA'!S898,"AAAAAH+27wg=")</f>
        <v>#VALUE!</v>
      </c>
      <c r="J420" t="e">
        <f>AND('PROG FORMACIÓN TITULADA'!T898,"AAAAAH+27wk=")</f>
        <v>#VALUE!</v>
      </c>
      <c r="K420" t="e">
        <f>AND('PROG FORMACIÓN TITULADA'!U898,"AAAAAH+27wo=")</f>
        <v>#VALUE!</v>
      </c>
      <c r="L420" t="e">
        <f>AND('PROG FORMACIÓN TITULADA'!V898,"AAAAAH+27ws=")</f>
        <v>#VALUE!</v>
      </c>
      <c r="M420" t="e">
        <f>AND('PROG FORMACIÓN TITULADA'!W898,"AAAAAH+27ww=")</f>
        <v>#VALUE!</v>
      </c>
      <c r="N420" t="e">
        <f>AND('PROG FORMACIÓN TITULADA'!X898,"AAAAAH+27w0=")</f>
        <v>#VALUE!</v>
      </c>
      <c r="O420" t="e">
        <f>AND('PROG FORMACIÓN TITULADA'!Y898,"AAAAAH+27w4=")</f>
        <v>#VALUE!</v>
      </c>
      <c r="P420" t="e">
        <f>AND('PROG FORMACIÓN TITULADA'!Z898,"AAAAAH+27w8=")</f>
        <v>#VALUE!</v>
      </c>
      <c r="Q420" t="e">
        <f>AND('PROG FORMACIÓN TITULADA'!E899,"AAAAAH+27xA=")</f>
        <v>#VALUE!</v>
      </c>
      <c r="R420" t="e">
        <f>AND('PROG FORMACIÓN TITULADA'!F899,"AAAAAH+27xE=")</f>
        <v>#VALUE!</v>
      </c>
      <c r="S420" t="e">
        <f>AND('PROG FORMACIÓN TITULADA'!G899,"AAAAAH+27xI=")</f>
        <v>#VALUE!</v>
      </c>
      <c r="T420" t="e">
        <f>AND('PROG FORMACIÓN TITULADA'!H899,"AAAAAH+27xM=")</f>
        <v>#VALUE!</v>
      </c>
      <c r="U420" t="e">
        <f>AND('PROG FORMACIÓN TITULADA'!I899,"AAAAAH+27xQ=")</f>
        <v>#VALUE!</v>
      </c>
      <c r="V420" t="e">
        <f>AND('PROG FORMACIÓN TITULADA'!J899,"AAAAAH+27xU=")</f>
        <v>#VALUE!</v>
      </c>
      <c r="W420" t="e">
        <f>AND('PROG FORMACIÓN TITULADA'!K899,"AAAAAH+27xY=")</f>
        <v>#VALUE!</v>
      </c>
      <c r="X420" t="e">
        <f>AND('PROG FORMACIÓN TITULADA'!L899,"AAAAAH+27xc=")</f>
        <v>#VALUE!</v>
      </c>
      <c r="Y420" t="e">
        <f>AND('PROG FORMACIÓN TITULADA'!M899,"AAAAAH+27xg=")</f>
        <v>#VALUE!</v>
      </c>
      <c r="Z420" t="e">
        <f>AND('PROG FORMACIÓN TITULADA'!N899,"AAAAAH+27xk=")</f>
        <v>#VALUE!</v>
      </c>
      <c r="AA420" t="e">
        <f>AND('PROG FORMACIÓN TITULADA'!O899,"AAAAAH+27xo=")</f>
        <v>#VALUE!</v>
      </c>
      <c r="AB420" t="e">
        <f>AND('PROG FORMACIÓN TITULADA'!P899,"AAAAAH+27xs=")</f>
        <v>#VALUE!</v>
      </c>
      <c r="AC420" t="e">
        <f>AND('PROG FORMACIÓN TITULADA'!Q899,"AAAAAH+27xw=")</f>
        <v>#VALUE!</v>
      </c>
      <c r="AD420" t="e">
        <f>AND('PROG FORMACIÓN TITULADA'!R899,"AAAAAH+27x0=")</f>
        <v>#VALUE!</v>
      </c>
      <c r="AE420" t="e">
        <f>AND('PROG FORMACIÓN TITULADA'!S899,"AAAAAH+27x4=")</f>
        <v>#VALUE!</v>
      </c>
      <c r="AF420" t="e">
        <f>AND('PROG FORMACIÓN TITULADA'!T899,"AAAAAH+27x8=")</f>
        <v>#VALUE!</v>
      </c>
      <c r="AG420" t="e">
        <f>AND('PROG FORMACIÓN TITULADA'!U899,"AAAAAH+27yA=")</f>
        <v>#VALUE!</v>
      </c>
      <c r="AH420" t="e">
        <f>AND('PROG FORMACIÓN TITULADA'!V899,"AAAAAH+27yE=")</f>
        <v>#VALUE!</v>
      </c>
      <c r="AI420" t="e">
        <f>AND('PROG FORMACIÓN TITULADA'!W899,"AAAAAH+27yI=")</f>
        <v>#VALUE!</v>
      </c>
      <c r="AJ420" t="e">
        <f>AND('PROG FORMACIÓN TITULADA'!X899,"AAAAAH+27yM=")</f>
        <v>#VALUE!</v>
      </c>
      <c r="AK420" t="e">
        <f>AND('PROG FORMACIÓN TITULADA'!Y899,"AAAAAH+27yQ=")</f>
        <v>#VALUE!</v>
      </c>
      <c r="AL420" t="e">
        <f>AND('PROG FORMACIÓN TITULADA'!Z899,"AAAAAH+27yU=")</f>
        <v>#VALUE!</v>
      </c>
      <c r="AM420" t="e">
        <f>AND('PROG FORMACIÓN TITULADA'!E900,"AAAAAH+27yY=")</f>
        <v>#VALUE!</v>
      </c>
      <c r="AN420" t="e">
        <f>AND('PROG FORMACIÓN TITULADA'!F900,"AAAAAH+27yc=")</f>
        <v>#VALUE!</v>
      </c>
      <c r="AO420" t="e">
        <f>AND('PROG FORMACIÓN TITULADA'!G900,"AAAAAH+27yg=")</f>
        <v>#VALUE!</v>
      </c>
      <c r="AP420" t="e">
        <f>AND('PROG FORMACIÓN TITULADA'!H900,"AAAAAH+27yk=")</f>
        <v>#VALUE!</v>
      </c>
      <c r="AQ420" t="e">
        <f>AND('PROG FORMACIÓN TITULADA'!I900,"AAAAAH+27yo=")</f>
        <v>#VALUE!</v>
      </c>
      <c r="AR420" t="e">
        <f>AND('PROG FORMACIÓN TITULADA'!J900,"AAAAAH+27ys=")</f>
        <v>#VALUE!</v>
      </c>
      <c r="AS420" t="e">
        <f>AND('PROG FORMACIÓN TITULADA'!K900,"AAAAAH+27yw=")</f>
        <v>#VALUE!</v>
      </c>
      <c r="AT420" t="e">
        <f>AND('PROG FORMACIÓN TITULADA'!L900,"AAAAAH+27y0=")</f>
        <v>#VALUE!</v>
      </c>
      <c r="AU420" t="e">
        <f>AND('PROG FORMACIÓN TITULADA'!M900,"AAAAAH+27y4=")</f>
        <v>#VALUE!</v>
      </c>
      <c r="AV420" t="e">
        <f>AND('PROG FORMACIÓN TITULADA'!N900,"AAAAAH+27y8=")</f>
        <v>#VALUE!</v>
      </c>
      <c r="AW420" t="e">
        <f>AND('PROG FORMACIÓN TITULADA'!O900,"AAAAAH+27zA=")</f>
        <v>#VALUE!</v>
      </c>
      <c r="AX420" t="e">
        <f>AND('PROG FORMACIÓN TITULADA'!P900,"AAAAAH+27zE=")</f>
        <v>#VALUE!</v>
      </c>
      <c r="AY420" t="e">
        <f>AND('PROG FORMACIÓN TITULADA'!Q900,"AAAAAH+27zI=")</f>
        <v>#VALUE!</v>
      </c>
      <c r="AZ420" t="e">
        <f>AND('PROG FORMACIÓN TITULADA'!R900,"AAAAAH+27zM=")</f>
        <v>#VALUE!</v>
      </c>
      <c r="BA420" t="e">
        <f>AND('PROG FORMACIÓN TITULADA'!S900,"AAAAAH+27zQ=")</f>
        <v>#VALUE!</v>
      </c>
      <c r="BB420" t="e">
        <f>AND('PROG FORMACIÓN TITULADA'!T900,"AAAAAH+27zU=")</f>
        <v>#VALUE!</v>
      </c>
      <c r="BC420" t="e">
        <f>AND('PROG FORMACIÓN TITULADA'!U900,"AAAAAH+27zY=")</f>
        <v>#VALUE!</v>
      </c>
      <c r="BD420" t="e">
        <f>AND('PROG FORMACIÓN TITULADA'!V900,"AAAAAH+27zc=")</f>
        <v>#VALUE!</v>
      </c>
      <c r="BE420" t="e">
        <f>AND('PROG FORMACIÓN TITULADA'!W900,"AAAAAH+27zg=")</f>
        <v>#VALUE!</v>
      </c>
      <c r="BF420" t="e">
        <f>AND('PROG FORMACIÓN TITULADA'!X900,"AAAAAH+27zk=")</f>
        <v>#VALUE!</v>
      </c>
      <c r="BG420" t="e">
        <f>AND('PROG FORMACIÓN TITULADA'!Y900,"AAAAAH+27zo=")</f>
        <v>#VALUE!</v>
      </c>
      <c r="BH420" t="e">
        <f>AND('PROG FORMACIÓN TITULADA'!Z900,"AAAAAH+27zs=")</f>
        <v>#VALUE!</v>
      </c>
      <c r="BI420" t="e">
        <f>AND('PROG FORMACIÓN TITULADA'!E901,"AAAAAH+27zw=")</f>
        <v>#VALUE!</v>
      </c>
      <c r="BJ420" t="e">
        <f>AND('PROG FORMACIÓN TITULADA'!F901,"AAAAAH+27z0=")</f>
        <v>#VALUE!</v>
      </c>
      <c r="BK420" t="e">
        <f>AND('PROG FORMACIÓN TITULADA'!G901,"AAAAAH+27z4=")</f>
        <v>#VALUE!</v>
      </c>
      <c r="BL420" t="e">
        <f>AND('PROG FORMACIÓN TITULADA'!H901,"AAAAAH+27z8=")</f>
        <v>#VALUE!</v>
      </c>
      <c r="BM420" t="e">
        <f>AND('PROG FORMACIÓN TITULADA'!I901,"AAAAAH+270A=")</f>
        <v>#VALUE!</v>
      </c>
      <c r="BN420" t="e">
        <f>AND('PROG FORMACIÓN TITULADA'!J901,"AAAAAH+270E=")</f>
        <v>#VALUE!</v>
      </c>
      <c r="BO420" t="e">
        <f>AND('PROG FORMACIÓN TITULADA'!K901,"AAAAAH+270I=")</f>
        <v>#VALUE!</v>
      </c>
      <c r="BP420" t="e">
        <f>AND('PROG FORMACIÓN TITULADA'!L901,"AAAAAH+270M=")</f>
        <v>#VALUE!</v>
      </c>
      <c r="BQ420" t="e">
        <f>AND('PROG FORMACIÓN TITULADA'!M901,"AAAAAH+270Q=")</f>
        <v>#VALUE!</v>
      </c>
      <c r="BR420" t="e">
        <f>AND('PROG FORMACIÓN TITULADA'!N901,"AAAAAH+270U=")</f>
        <v>#VALUE!</v>
      </c>
      <c r="BS420" t="e">
        <f>AND('PROG FORMACIÓN TITULADA'!O901,"AAAAAH+270Y=")</f>
        <v>#VALUE!</v>
      </c>
      <c r="BT420" t="e">
        <f>AND('PROG FORMACIÓN TITULADA'!P901,"AAAAAH+270c=")</f>
        <v>#VALUE!</v>
      </c>
      <c r="BU420" t="e">
        <f>AND('PROG FORMACIÓN TITULADA'!Q901,"AAAAAH+270g=")</f>
        <v>#VALUE!</v>
      </c>
      <c r="BV420" t="e">
        <f>AND('PROG FORMACIÓN TITULADA'!R901,"AAAAAH+270k=")</f>
        <v>#VALUE!</v>
      </c>
      <c r="BW420" t="e">
        <f>AND('PROG FORMACIÓN TITULADA'!S901,"AAAAAH+270o=")</f>
        <v>#VALUE!</v>
      </c>
      <c r="BX420" t="e">
        <f>AND('PROG FORMACIÓN TITULADA'!T901,"AAAAAH+270s=")</f>
        <v>#VALUE!</v>
      </c>
      <c r="BY420" t="e">
        <f>AND('PROG FORMACIÓN TITULADA'!U901,"AAAAAH+270w=")</f>
        <v>#VALUE!</v>
      </c>
      <c r="BZ420" t="e">
        <f>AND('PROG FORMACIÓN TITULADA'!V901,"AAAAAH+2700=")</f>
        <v>#VALUE!</v>
      </c>
      <c r="CA420" t="e">
        <f>AND('PROG FORMACIÓN TITULADA'!W901,"AAAAAH+2704=")</f>
        <v>#VALUE!</v>
      </c>
      <c r="CB420" t="e">
        <f>AND('PROG FORMACIÓN TITULADA'!X901,"AAAAAH+2708=")</f>
        <v>#VALUE!</v>
      </c>
      <c r="CC420" t="e">
        <f>AND('PROG FORMACIÓN TITULADA'!Y901,"AAAAAH+271A=")</f>
        <v>#VALUE!</v>
      </c>
      <c r="CD420" t="e">
        <f>AND('PROG FORMACIÓN TITULADA'!Z901,"AAAAAH+271E=")</f>
        <v>#VALUE!</v>
      </c>
      <c r="CE420" t="e">
        <f>AND('PROG FORMACIÓN TITULADA'!E902,"AAAAAH+271I=")</f>
        <v>#VALUE!</v>
      </c>
      <c r="CF420" t="e">
        <f>AND('PROG FORMACIÓN TITULADA'!F902,"AAAAAH+271M=")</f>
        <v>#VALUE!</v>
      </c>
      <c r="CG420" t="e">
        <f>AND('PROG FORMACIÓN TITULADA'!G902,"AAAAAH+271Q=")</f>
        <v>#VALUE!</v>
      </c>
      <c r="CH420" t="e">
        <f>AND('PROG FORMACIÓN TITULADA'!H902,"AAAAAH+271U=")</f>
        <v>#VALUE!</v>
      </c>
      <c r="CI420" t="e">
        <f>AND('PROG FORMACIÓN TITULADA'!I902,"AAAAAH+271Y=")</f>
        <v>#VALUE!</v>
      </c>
      <c r="CJ420" t="e">
        <f>AND('PROG FORMACIÓN TITULADA'!J902,"AAAAAH+271c=")</f>
        <v>#VALUE!</v>
      </c>
      <c r="CK420" t="e">
        <f>AND('PROG FORMACIÓN TITULADA'!K902,"AAAAAH+271g=")</f>
        <v>#VALUE!</v>
      </c>
      <c r="CL420" t="e">
        <f>AND('PROG FORMACIÓN TITULADA'!L902,"AAAAAH+271k=")</f>
        <v>#VALUE!</v>
      </c>
      <c r="CM420" t="e">
        <f>AND('PROG FORMACIÓN TITULADA'!M902,"AAAAAH+271o=")</f>
        <v>#VALUE!</v>
      </c>
      <c r="CN420" t="e">
        <f>AND('PROG FORMACIÓN TITULADA'!N902,"AAAAAH+271s=")</f>
        <v>#VALUE!</v>
      </c>
      <c r="CO420" t="e">
        <f>AND('PROG FORMACIÓN TITULADA'!O902,"AAAAAH+271w=")</f>
        <v>#VALUE!</v>
      </c>
      <c r="CP420" t="e">
        <f>AND('PROG FORMACIÓN TITULADA'!P902,"AAAAAH+2710=")</f>
        <v>#VALUE!</v>
      </c>
      <c r="CQ420" t="e">
        <f>AND('PROG FORMACIÓN TITULADA'!Q902,"AAAAAH+2714=")</f>
        <v>#VALUE!</v>
      </c>
      <c r="CR420" t="e">
        <f>AND('PROG FORMACIÓN TITULADA'!R902,"AAAAAH+2718=")</f>
        <v>#VALUE!</v>
      </c>
      <c r="CS420" t="e">
        <f>AND('PROG FORMACIÓN TITULADA'!S902,"AAAAAH+272A=")</f>
        <v>#VALUE!</v>
      </c>
      <c r="CT420" t="e">
        <f>AND('PROG FORMACIÓN TITULADA'!T902,"AAAAAH+272E=")</f>
        <v>#VALUE!</v>
      </c>
      <c r="CU420" t="e">
        <f>AND('PROG FORMACIÓN TITULADA'!U902,"AAAAAH+272I=")</f>
        <v>#VALUE!</v>
      </c>
      <c r="CV420" t="e">
        <f>AND('PROG FORMACIÓN TITULADA'!V902,"AAAAAH+272M=")</f>
        <v>#VALUE!</v>
      </c>
      <c r="CW420" t="e">
        <f>AND('PROG FORMACIÓN TITULADA'!W902,"AAAAAH+272Q=")</f>
        <v>#VALUE!</v>
      </c>
      <c r="CX420" t="e">
        <f>AND('PROG FORMACIÓN TITULADA'!X902,"AAAAAH+272U=")</f>
        <v>#VALUE!</v>
      </c>
      <c r="CY420" t="e">
        <f>AND('PROG FORMACIÓN TITULADA'!Y902,"AAAAAH+272Y=")</f>
        <v>#VALUE!</v>
      </c>
      <c r="CZ420" t="e">
        <f>AND('PROG FORMACIÓN TITULADA'!Z902,"AAAAAH+272c=")</f>
        <v>#VALUE!</v>
      </c>
      <c r="DA420" t="e">
        <f>AND('PROG FORMACIÓN TITULADA'!E903,"AAAAAH+272g=")</f>
        <v>#VALUE!</v>
      </c>
      <c r="DB420" t="e">
        <f>AND('PROG FORMACIÓN TITULADA'!F903,"AAAAAH+272k=")</f>
        <v>#VALUE!</v>
      </c>
      <c r="DC420" t="e">
        <f>AND('PROG FORMACIÓN TITULADA'!G903,"AAAAAH+272o=")</f>
        <v>#VALUE!</v>
      </c>
      <c r="DD420" t="e">
        <f>AND('PROG FORMACIÓN TITULADA'!H903,"AAAAAH+272s=")</f>
        <v>#VALUE!</v>
      </c>
      <c r="DE420" t="e">
        <f>AND('PROG FORMACIÓN TITULADA'!I903,"AAAAAH+272w=")</f>
        <v>#VALUE!</v>
      </c>
      <c r="DF420" t="e">
        <f>AND('PROG FORMACIÓN TITULADA'!J903,"AAAAAH+2720=")</f>
        <v>#VALUE!</v>
      </c>
      <c r="DG420" t="e">
        <f>AND('PROG FORMACIÓN TITULADA'!K903,"AAAAAH+2724=")</f>
        <v>#VALUE!</v>
      </c>
      <c r="DH420" t="e">
        <f>AND('PROG FORMACIÓN TITULADA'!L903,"AAAAAH+2728=")</f>
        <v>#VALUE!</v>
      </c>
      <c r="DI420" t="e">
        <f>AND('PROG FORMACIÓN TITULADA'!M903,"AAAAAH+273A=")</f>
        <v>#VALUE!</v>
      </c>
      <c r="DJ420" t="e">
        <f>AND('PROG FORMACIÓN TITULADA'!N903,"AAAAAH+273E=")</f>
        <v>#VALUE!</v>
      </c>
      <c r="DK420" t="e">
        <f>AND('PROG FORMACIÓN TITULADA'!O903,"AAAAAH+273I=")</f>
        <v>#VALUE!</v>
      </c>
      <c r="DL420" t="e">
        <f>AND('PROG FORMACIÓN TITULADA'!P903,"AAAAAH+273M=")</f>
        <v>#VALUE!</v>
      </c>
      <c r="DM420" t="e">
        <f>AND('PROG FORMACIÓN TITULADA'!Q903,"AAAAAH+273Q=")</f>
        <v>#VALUE!</v>
      </c>
      <c r="DN420" t="e">
        <f>AND('PROG FORMACIÓN TITULADA'!R903,"AAAAAH+273U=")</f>
        <v>#VALUE!</v>
      </c>
      <c r="DO420" t="e">
        <f>AND('PROG FORMACIÓN TITULADA'!S903,"AAAAAH+273Y=")</f>
        <v>#VALUE!</v>
      </c>
      <c r="DP420" t="e">
        <f>AND('PROG FORMACIÓN TITULADA'!T903,"AAAAAH+273c=")</f>
        <v>#VALUE!</v>
      </c>
      <c r="DQ420" t="e">
        <f>AND('PROG FORMACIÓN TITULADA'!U903,"AAAAAH+273g=")</f>
        <v>#VALUE!</v>
      </c>
      <c r="DR420" t="e">
        <f>AND('PROG FORMACIÓN TITULADA'!V903,"AAAAAH+273k=")</f>
        <v>#VALUE!</v>
      </c>
      <c r="DS420" t="e">
        <f>AND('PROG FORMACIÓN TITULADA'!W903,"AAAAAH+273o=")</f>
        <v>#VALUE!</v>
      </c>
      <c r="DT420" t="e">
        <f>AND('PROG FORMACIÓN TITULADA'!X903,"AAAAAH+273s=")</f>
        <v>#VALUE!</v>
      </c>
      <c r="DU420" t="e">
        <f>AND('PROG FORMACIÓN TITULADA'!Y903,"AAAAAH+273w=")</f>
        <v>#VALUE!</v>
      </c>
      <c r="DV420" t="e">
        <f>AND('PROG FORMACIÓN TITULADA'!Z903,"AAAAAH+2730=")</f>
        <v>#VALUE!</v>
      </c>
      <c r="DW420" t="e">
        <f>AND('PROG FORMACIÓN TITULADA'!E904,"AAAAAH+2734=")</f>
        <v>#VALUE!</v>
      </c>
      <c r="DX420" t="e">
        <f>AND('PROG FORMACIÓN TITULADA'!F904,"AAAAAH+2738=")</f>
        <v>#VALUE!</v>
      </c>
      <c r="DY420" t="e">
        <f>AND('PROG FORMACIÓN TITULADA'!G904,"AAAAAH+274A=")</f>
        <v>#VALUE!</v>
      </c>
      <c r="DZ420" t="e">
        <f>AND('PROG FORMACIÓN TITULADA'!H904,"AAAAAH+274E=")</f>
        <v>#VALUE!</v>
      </c>
      <c r="EA420" t="e">
        <f>AND('PROG FORMACIÓN TITULADA'!I904,"AAAAAH+274I=")</f>
        <v>#VALUE!</v>
      </c>
      <c r="EB420" t="e">
        <f>AND('PROG FORMACIÓN TITULADA'!J904,"AAAAAH+274M=")</f>
        <v>#VALUE!</v>
      </c>
      <c r="EC420" t="e">
        <f>AND('PROG FORMACIÓN TITULADA'!K904,"AAAAAH+274Q=")</f>
        <v>#VALUE!</v>
      </c>
      <c r="ED420" t="e">
        <f>AND('PROG FORMACIÓN TITULADA'!L904,"AAAAAH+274U=")</f>
        <v>#VALUE!</v>
      </c>
      <c r="EE420" t="e">
        <f>AND('PROG FORMACIÓN TITULADA'!M904,"AAAAAH+274Y=")</f>
        <v>#VALUE!</v>
      </c>
      <c r="EF420" t="e">
        <f>AND('PROG FORMACIÓN TITULADA'!N904,"AAAAAH+274c=")</f>
        <v>#VALUE!</v>
      </c>
      <c r="EG420" t="e">
        <f>AND('PROG FORMACIÓN TITULADA'!O904,"AAAAAH+274g=")</f>
        <v>#VALUE!</v>
      </c>
      <c r="EH420" t="e">
        <f>AND('PROG FORMACIÓN TITULADA'!P904,"AAAAAH+274k=")</f>
        <v>#VALUE!</v>
      </c>
      <c r="EI420" t="e">
        <f>AND('PROG FORMACIÓN TITULADA'!Q904,"AAAAAH+274o=")</f>
        <v>#VALUE!</v>
      </c>
      <c r="EJ420" t="e">
        <f>AND('PROG FORMACIÓN TITULADA'!R904,"AAAAAH+274s=")</f>
        <v>#VALUE!</v>
      </c>
      <c r="EK420" t="e">
        <f>AND('PROG FORMACIÓN TITULADA'!S904,"AAAAAH+274w=")</f>
        <v>#VALUE!</v>
      </c>
      <c r="EL420" t="e">
        <f>AND('PROG FORMACIÓN TITULADA'!T904,"AAAAAH+2740=")</f>
        <v>#VALUE!</v>
      </c>
      <c r="EM420" t="e">
        <f>AND('PROG FORMACIÓN TITULADA'!U904,"AAAAAH+2744=")</f>
        <v>#VALUE!</v>
      </c>
      <c r="EN420" t="e">
        <f>AND('PROG FORMACIÓN TITULADA'!V904,"AAAAAH+2748=")</f>
        <v>#VALUE!</v>
      </c>
      <c r="EO420" t="e">
        <f>AND('PROG FORMACIÓN TITULADA'!W904,"AAAAAH+275A=")</f>
        <v>#VALUE!</v>
      </c>
      <c r="EP420" t="e">
        <f>AND('PROG FORMACIÓN TITULADA'!X904,"AAAAAH+275E=")</f>
        <v>#VALUE!</v>
      </c>
      <c r="EQ420" t="e">
        <f>AND('PROG FORMACIÓN TITULADA'!Y904,"AAAAAH+275I=")</f>
        <v>#VALUE!</v>
      </c>
      <c r="ER420" t="e">
        <f>AND('PROG FORMACIÓN TITULADA'!Z904,"AAAAAH+275M=")</f>
        <v>#VALUE!</v>
      </c>
      <c r="ES420" t="e">
        <f>AND('PROG FORMACIÓN TITULADA'!E905,"AAAAAH+275Q=")</f>
        <v>#VALUE!</v>
      </c>
      <c r="ET420" t="e">
        <f>AND('PROG FORMACIÓN TITULADA'!F905,"AAAAAH+275U=")</f>
        <v>#VALUE!</v>
      </c>
      <c r="EU420" t="e">
        <f>AND('PROG FORMACIÓN TITULADA'!G905,"AAAAAH+275Y=")</f>
        <v>#VALUE!</v>
      </c>
      <c r="EV420" t="e">
        <f>AND('PROG FORMACIÓN TITULADA'!H905,"AAAAAH+275c=")</f>
        <v>#VALUE!</v>
      </c>
      <c r="EW420" t="e">
        <f>AND('PROG FORMACIÓN TITULADA'!I905,"AAAAAH+275g=")</f>
        <v>#VALUE!</v>
      </c>
      <c r="EX420" t="e">
        <f>AND('PROG FORMACIÓN TITULADA'!J905,"AAAAAH+275k=")</f>
        <v>#VALUE!</v>
      </c>
      <c r="EY420" t="e">
        <f>AND('PROG FORMACIÓN TITULADA'!K905,"AAAAAH+275o=")</f>
        <v>#VALUE!</v>
      </c>
      <c r="EZ420" t="e">
        <f>AND('PROG FORMACIÓN TITULADA'!L905,"AAAAAH+275s=")</f>
        <v>#VALUE!</v>
      </c>
      <c r="FA420" t="e">
        <f>AND('PROG FORMACIÓN TITULADA'!M905,"AAAAAH+275w=")</f>
        <v>#VALUE!</v>
      </c>
      <c r="FB420" t="e">
        <f>AND('PROG FORMACIÓN TITULADA'!N905,"AAAAAH+2750=")</f>
        <v>#VALUE!</v>
      </c>
      <c r="FC420" t="e">
        <f>AND('PROG FORMACIÓN TITULADA'!O905,"AAAAAH+2754=")</f>
        <v>#VALUE!</v>
      </c>
      <c r="FD420" t="e">
        <f>AND('PROG FORMACIÓN TITULADA'!P905,"AAAAAH+2758=")</f>
        <v>#VALUE!</v>
      </c>
      <c r="FE420" t="e">
        <f>AND('PROG FORMACIÓN TITULADA'!Q905,"AAAAAH+276A=")</f>
        <v>#VALUE!</v>
      </c>
      <c r="FF420" t="e">
        <f>AND('PROG FORMACIÓN TITULADA'!R905,"AAAAAH+276E=")</f>
        <v>#VALUE!</v>
      </c>
      <c r="FG420" t="e">
        <f>AND('PROG FORMACIÓN TITULADA'!S905,"AAAAAH+276I=")</f>
        <v>#VALUE!</v>
      </c>
      <c r="FH420" t="e">
        <f>AND('PROG FORMACIÓN TITULADA'!T905,"AAAAAH+276M=")</f>
        <v>#VALUE!</v>
      </c>
      <c r="FI420" t="e">
        <f>AND('PROG FORMACIÓN TITULADA'!U905,"AAAAAH+276Q=")</f>
        <v>#VALUE!</v>
      </c>
      <c r="FJ420" t="e">
        <f>AND('PROG FORMACIÓN TITULADA'!V905,"AAAAAH+276U=")</f>
        <v>#VALUE!</v>
      </c>
      <c r="FK420" t="e">
        <f>AND('PROG FORMACIÓN TITULADA'!W905,"AAAAAH+276Y=")</f>
        <v>#VALUE!</v>
      </c>
      <c r="FL420" t="e">
        <f>AND('PROG FORMACIÓN TITULADA'!X905,"AAAAAH+276c=")</f>
        <v>#VALUE!</v>
      </c>
      <c r="FM420" t="e">
        <f>AND('PROG FORMACIÓN TITULADA'!Y905,"AAAAAH+276g=")</f>
        <v>#VALUE!</v>
      </c>
      <c r="FN420" t="e">
        <f>AND('PROG FORMACIÓN TITULADA'!Z905,"AAAAAH+276k=")</f>
        <v>#VALUE!</v>
      </c>
      <c r="FO420" t="e">
        <f>AND('PROG FORMACIÓN TITULADA'!E906,"AAAAAH+276o=")</f>
        <v>#VALUE!</v>
      </c>
      <c r="FP420" t="e">
        <f>AND('PROG FORMACIÓN TITULADA'!F906,"AAAAAH+276s=")</f>
        <v>#VALUE!</v>
      </c>
      <c r="FQ420" t="e">
        <f>AND('PROG FORMACIÓN TITULADA'!G906,"AAAAAH+276w=")</f>
        <v>#VALUE!</v>
      </c>
      <c r="FR420" t="e">
        <f>AND('PROG FORMACIÓN TITULADA'!H906,"AAAAAH+2760=")</f>
        <v>#VALUE!</v>
      </c>
      <c r="FS420" t="e">
        <f>AND('PROG FORMACIÓN TITULADA'!I906,"AAAAAH+2764=")</f>
        <v>#VALUE!</v>
      </c>
      <c r="FT420" t="e">
        <f>AND('PROG FORMACIÓN TITULADA'!J906,"AAAAAH+2768=")</f>
        <v>#VALUE!</v>
      </c>
      <c r="FU420" t="e">
        <f>AND('PROG FORMACIÓN TITULADA'!K906,"AAAAAH+277A=")</f>
        <v>#VALUE!</v>
      </c>
      <c r="FV420" t="e">
        <f>AND('PROG FORMACIÓN TITULADA'!L906,"AAAAAH+277E=")</f>
        <v>#VALUE!</v>
      </c>
      <c r="FW420" t="e">
        <f>AND('PROG FORMACIÓN TITULADA'!M906,"AAAAAH+277I=")</f>
        <v>#VALUE!</v>
      </c>
      <c r="FX420" t="e">
        <f>AND('PROG FORMACIÓN TITULADA'!N906,"AAAAAH+277M=")</f>
        <v>#VALUE!</v>
      </c>
      <c r="FY420" t="e">
        <f>AND('PROG FORMACIÓN TITULADA'!O906,"AAAAAH+277Q=")</f>
        <v>#VALUE!</v>
      </c>
      <c r="FZ420" t="e">
        <f>AND('PROG FORMACIÓN TITULADA'!P906,"AAAAAH+277U=")</f>
        <v>#VALUE!</v>
      </c>
      <c r="GA420" t="e">
        <f>AND('PROG FORMACIÓN TITULADA'!Q906,"AAAAAH+277Y=")</f>
        <v>#VALUE!</v>
      </c>
      <c r="GB420" t="e">
        <f>AND('PROG FORMACIÓN TITULADA'!R906,"AAAAAH+277c=")</f>
        <v>#VALUE!</v>
      </c>
      <c r="GC420" t="e">
        <f>AND('PROG FORMACIÓN TITULADA'!S906,"AAAAAH+277g=")</f>
        <v>#VALUE!</v>
      </c>
      <c r="GD420" t="e">
        <f>AND('PROG FORMACIÓN TITULADA'!T906,"AAAAAH+277k=")</f>
        <v>#VALUE!</v>
      </c>
      <c r="GE420" t="e">
        <f>AND('PROG FORMACIÓN TITULADA'!U906,"AAAAAH+277o=")</f>
        <v>#VALUE!</v>
      </c>
      <c r="GF420" t="e">
        <f>AND('PROG FORMACIÓN TITULADA'!V906,"AAAAAH+277s=")</f>
        <v>#VALUE!</v>
      </c>
      <c r="GG420" t="e">
        <f>AND('PROG FORMACIÓN TITULADA'!W906,"AAAAAH+277w=")</f>
        <v>#VALUE!</v>
      </c>
      <c r="GH420" t="e">
        <f>AND('PROG FORMACIÓN TITULADA'!X906,"AAAAAH+2770=")</f>
        <v>#VALUE!</v>
      </c>
      <c r="GI420" t="e">
        <f>AND('PROG FORMACIÓN TITULADA'!Y906,"AAAAAH+2774=")</f>
        <v>#VALUE!</v>
      </c>
      <c r="GJ420" t="e">
        <f>AND('PROG FORMACIÓN TITULADA'!Z906,"AAAAAH+2778=")</f>
        <v>#VALUE!</v>
      </c>
      <c r="GK420" t="e">
        <f>AND('PROG FORMACIÓN TITULADA'!E907,"AAAAAH+278A=")</f>
        <v>#VALUE!</v>
      </c>
      <c r="GL420" t="e">
        <f>AND('PROG FORMACIÓN TITULADA'!F907,"AAAAAH+278E=")</f>
        <v>#VALUE!</v>
      </c>
      <c r="GM420" t="e">
        <f>AND('PROG FORMACIÓN TITULADA'!G907,"AAAAAH+278I=")</f>
        <v>#VALUE!</v>
      </c>
      <c r="GN420" t="e">
        <f>AND('PROG FORMACIÓN TITULADA'!H907,"AAAAAH+278M=")</f>
        <v>#VALUE!</v>
      </c>
      <c r="GO420" t="e">
        <f>AND('PROG FORMACIÓN TITULADA'!I907,"AAAAAH+278Q=")</f>
        <v>#VALUE!</v>
      </c>
      <c r="GP420" t="e">
        <f>AND('PROG FORMACIÓN TITULADA'!J907,"AAAAAH+278U=")</f>
        <v>#VALUE!</v>
      </c>
      <c r="GQ420" t="e">
        <f>AND('PROG FORMACIÓN TITULADA'!K907,"AAAAAH+278Y=")</f>
        <v>#VALUE!</v>
      </c>
      <c r="GR420" t="e">
        <f>AND('PROG FORMACIÓN TITULADA'!L907,"AAAAAH+278c=")</f>
        <v>#VALUE!</v>
      </c>
      <c r="GS420" t="e">
        <f>AND('PROG FORMACIÓN TITULADA'!M907,"AAAAAH+278g=")</f>
        <v>#VALUE!</v>
      </c>
      <c r="GT420" t="e">
        <f>AND('PROG FORMACIÓN TITULADA'!N907,"AAAAAH+278k=")</f>
        <v>#VALUE!</v>
      </c>
      <c r="GU420" t="e">
        <f>AND('PROG FORMACIÓN TITULADA'!O907,"AAAAAH+278o=")</f>
        <v>#VALUE!</v>
      </c>
      <c r="GV420" t="e">
        <f>AND('PROG FORMACIÓN TITULADA'!P907,"AAAAAH+278s=")</f>
        <v>#VALUE!</v>
      </c>
      <c r="GW420" t="e">
        <f>AND('PROG FORMACIÓN TITULADA'!Q907,"AAAAAH+278w=")</f>
        <v>#VALUE!</v>
      </c>
      <c r="GX420" t="e">
        <f>AND('PROG FORMACIÓN TITULADA'!R907,"AAAAAH+2780=")</f>
        <v>#VALUE!</v>
      </c>
      <c r="GY420" t="e">
        <f>AND('PROG FORMACIÓN TITULADA'!S907,"AAAAAH+2784=")</f>
        <v>#VALUE!</v>
      </c>
      <c r="GZ420" t="e">
        <f>AND('PROG FORMACIÓN TITULADA'!T907,"AAAAAH+2788=")</f>
        <v>#VALUE!</v>
      </c>
      <c r="HA420" t="e">
        <f>AND('PROG FORMACIÓN TITULADA'!U907,"AAAAAH+279A=")</f>
        <v>#VALUE!</v>
      </c>
      <c r="HB420" t="e">
        <f>AND('PROG FORMACIÓN TITULADA'!V907,"AAAAAH+279E=")</f>
        <v>#VALUE!</v>
      </c>
      <c r="HC420" t="e">
        <f>AND('PROG FORMACIÓN TITULADA'!W907,"AAAAAH+279I=")</f>
        <v>#VALUE!</v>
      </c>
      <c r="HD420" t="e">
        <f>AND('PROG FORMACIÓN TITULADA'!X907,"AAAAAH+279M=")</f>
        <v>#VALUE!</v>
      </c>
      <c r="HE420" t="e">
        <f>AND('PROG FORMACIÓN TITULADA'!Y907,"AAAAAH+279Q=")</f>
        <v>#VALUE!</v>
      </c>
      <c r="HF420" t="e">
        <f>AND('PROG FORMACIÓN TITULADA'!Z907,"AAAAAH+279U=")</f>
        <v>#VALUE!</v>
      </c>
      <c r="HG420" t="e">
        <f>AND('PROG FORMACIÓN TITULADA'!E908,"AAAAAH+279Y=")</f>
        <v>#VALUE!</v>
      </c>
      <c r="HH420" t="e">
        <f>AND('PROG FORMACIÓN TITULADA'!F908,"AAAAAH+279c=")</f>
        <v>#VALUE!</v>
      </c>
      <c r="HI420" t="e">
        <f>AND('PROG FORMACIÓN TITULADA'!G908,"AAAAAH+279g=")</f>
        <v>#VALUE!</v>
      </c>
      <c r="HJ420" t="e">
        <f>AND('PROG FORMACIÓN TITULADA'!H908,"AAAAAH+279k=")</f>
        <v>#VALUE!</v>
      </c>
      <c r="HK420" t="e">
        <f>AND('PROG FORMACIÓN TITULADA'!I908,"AAAAAH+279o=")</f>
        <v>#VALUE!</v>
      </c>
      <c r="HL420" t="e">
        <f>AND('PROG FORMACIÓN TITULADA'!J908,"AAAAAH+279s=")</f>
        <v>#VALUE!</v>
      </c>
      <c r="HM420" t="e">
        <f>AND('PROG FORMACIÓN TITULADA'!K908,"AAAAAH+279w=")</f>
        <v>#VALUE!</v>
      </c>
      <c r="HN420" t="e">
        <f>AND('PROG FORMACIÓN TITULADA'!L908,"AAAAAH+2790=")</f>
        <v>#VALUE!</v>
      </c>
      <c r="HO420" t="e">
        <f>AND('PROG FORMACIÓN TITULADA'!M908,"AAAAAH+2794=")</f>
        <v>#VALUE!</v>
      </c>
      <c r="HP420" t="e">
        <f>AND('PROG FORMACIÓN TITULADA'!N908,"AAAAAH+2798=")</f>
        <v>#VALUE!</v>
      </c>
      <c r="HQ420" t="e">
        <f>AND('PROG FORMACIÓN TITULADA'!O908,"AAAAAH+27+A=")</f>
        <v>#VALUE!</v>
      </c>
      <c r="HR420" t="e">
        <f>AND('PROG FORMACIÓN TITULADA'!P908,"AAAAAH+27+E=")</f>
        <v>#VALUE!</v>
      </c>
      <c r="HS420" t="e">
        <f>AND('PROG FORMACIÓN TITULADA'!Q908,"AAAAAH+27+I=")</f>
        <v>#VALUE!</v>
      </c>
      <c r="HT420" t="e">
        <f>AND('PROG FORMACIÓN TITULADA'!R908,"AAAAAH+27+M=")</f>
        <v>#VALUE!</v>
      </c>
      <c r="HU420" t="e">
        <f>AND('PROG FORMACIÓN TITULADA'!S908,"AAAAAH+27+Q=")</f>
        <v>#VALUE!</v>
      </c>
      <c r="HV420" t="e">
        <f>AND('PROG FORMACIÓN TITULADA'!T908,"AAAAAH+27+U=")</f>
        <v>#VALUE!</v>
      </c>
      <c r="HW420" t="e">
        <f>AND('PROG FORMACIÓN TITULADA'!U908,"AAAAAH+27+Y=")</f>
        <v>#VALUE!</v>
      </c>
      <c r="HX420" t="e">
        <f>AND('PROG FORMACIÓN TITULADA'!V908,"AAAAAH+27+c=")</f>
        <v>#VALUE!</v>
      </c>
      <c r="HY420" t="e">
        <f>AND('PROG FORMACIÓN TITULADA'!W908,"AAAAAH+27+g=")</f>
        <v>#VALUE!</v>
      </c>
      <c r="HZ420" t="e">
        <f>AND('PROG FORMACIÓN TITULADA'!X908,"AAAAAH+27+k=")</f>
        <v>#VALUE!</v>
      </c>
      <c r="IA420" t="e">
        <f>AND('PROG FORMACIÓN TITULADA'!Y908,"AAAAAH+27+o=")</f>
        <v>#VALUE!</v>
      </c>
      <c r="IB420" t="e">
        <f>AND('PROG FORMACIÓN TITULADA'!Z908,"AAAAAH+27+s=")</f>
        <v>#VALUE!</v>
      </c>
      <c r="IC420" t="e">
        <f>AND('PROG FORMACIÓN TITULADA'!E909,"AAAAAH+27+w=")</f>
        <v>#VALUE!</v>
      </c>
      <c r="ID420" t="e">
        <f>AND('PROG FORMACIÓN TITULADA'!F909,"AAAAAH+27+0=")</f>
        <v>#VALUE!</v>
      </c>
      <c r="IE420" t="e">
        <f>AND('PROG FORMACIÓN TITULADA'!G909,"AAAAAH+27+4=")</f>
        <v>#VALUE!</v>
      </c>
      <c r="IF420" t="e">
        <f>AND('PROG FORMACIÓN TITULADA'!H909,"AAAAAH+27+8=")</f>
        <v>#VALUE!</v>
      </c>
      <c r="IG420" t="e">
        <f>AND('PROG FORMACIÓN TITULADA'!I909,"AAAAAH+27/A=")</f>
        <v>#VALUE!</v>
      </c>
      <c r="IH420" t="e">
        <f>AND('PROG FORMACIÓN TITULADA'!J909,"AAAAAH+27/E=")</f>
        <v>#VALUE!</v>
      </c>
      <c r="II420" t="e">
        <f>AND('PROG FORMACIÓN TITULADA'!K909,"AAAAAH+27/I=")</f>
        <v>#VALUE!</v>
      </c>
      <c r="IJ420" t="e">
        <f>AND('PROG FORMACIÓN TITULADA'!L909,"AAAAAH+27/M=")</f>
        <v>#VALUE!</v>
      </c>
      <c r="IK420" t="e">
        <f>AND('PROG FORMACIÓN TITULADA'!M909,"AAAAAH+27/Q=")</f>
        <v>#VALUE!</v>
      </c>
      <c r="IL420" t="e">
        <f>AND('PROG FORMACIÓN TITULADA'!N909,"AAAAAH+27/U=")</f>
        <v>#VALUE!</v>
      </c>
      <c r="IM420" t="e">
        <f>AND('PROG FORMACIÓN TITULADA'!O909,"AAAAAH+27/Y=")</f>
        <v>#VALUE!</v>
      </c>
      <c r="IN420" t="e">
        <f>AND('PROG FORMACIÓN TITULADA'!P909,"AAAAAH+27/c=")</f>
        <v>#VALUE!</v>
      </c>
      <c r="IO420" t="e">
        <f>AND('PROG FORMACIÓN TITULADA'!Q909,"AAAAAH+27/g=")</f>
        <v>#VALUE!</v>
      </c>
      <c r="IP420" t="e">
        <f>AND('PROG FORMACIÓN TITULADA'!R909,"AAAAAH+27/k=")</f>
        <v>#VALUE!</v>
      </c>
      <c r="IQ420" t="e">
        <f>AND('PROG FORMACIÓN TITULADA'!S909,"AAAAAH+27/o=")</f>
        <v>#VALUE!</v>
      </c>
      <c r="IR420" t="e">
        <f>AND('PROG FORMACIÓN TITULADA'!T909,"AAAAAH+27/s=")</f>
        <v>#VALUE!</v>
      </c>
      <c r="IS420" t="e">
        <f>AND('PROG FORMACIÓN TITULADA'!U909,"AAAAAH+27/w=")</f>
        <v>#VALUE!</v>
      </c>
      <c r="IT420" t="e">
        <f>AND('PROG FORMACIÓN TITULADA'!V909,"AAAAAH+27/0=")</f>
        <v>#VALUE!</v>
      </c>
      <c r="IU420" t="e">
        <f>AND('PROG FORMACIÓN TITULADA'!W909,"AAAAAH+27/4=")</f>
        <v>#VALUE!</v>
      </c>
      <c r="IV420" t="e">
        <f>AND('PROG FORMACIÓN TITULADA'!X909,"AAAAAH+27/8=")</f>
        <v>#VALUE!</v>
      </c>
    </row>
    <row r="421" spans="1:256" x14ac:dyDescent="0.2">
      <c r="A421" t="e">
        <f>AND('PROG FORMACIÓN TITULADA'!Y909,"AAAAAH+t2wA=")</f>
        <v>#VALUE!</v>
      </c>
      <c r="B421" t="e">
        <f>AND('PROG FORMACIÓN TITULADA'!Z909,"AAAAAH+t2wE=")</f>
        <v>#VALUE!</v>
      </c>
      <c r="C421" t="e">
        <f>AND('PROG FORMACIÓN TITULADA'!E910,"AAAAAH+t2wI=")</f>
        <v>#VALUE!</v>
      </c>
      <c r="D421" t="e">
        <f>AND('PROG FORMACIÓN TITULADA'!F910,"AAAAAH+t2wM=")</f>
        <v>#VALUE!</v>
      </c>
      <c r="E421" t="e">
        <f>AND('PROG FORMACIÓN TITULADA'!G910,"AAAAAH+t2wQ=")</f>
        <v>#VALUE!</v>
      </c>
      <c r="F421" t="e">
        <f>AND('PROG FORMACIÓN TITULADA'!H910,"AAAAAH+t2wU=")</f>
        <v>#VALUE!</v>
      </c>
      <c r="G421" t="e">
        <f>AND('PROG FORMACIÓN TITULADA'!I910,"AAAAAH+t2wY=")</f>
        <v>#VALUE!</v>
      </c>
      <c r="H421" t="e">
        <f>AND('PROG FORMACIÓN TITULADA'!J910,"AAAAAH+t2wc=")</f>
        <v>#VALUE!</v>
      </c>
      <c r="I421" t="e">
        <f>AND('PROG FORMACIÓN TITULADA'!K910,"AAAAAH+t2wg=")</f>
        <v>#VALUE!</v>
      </c>
      <c r="J421" t="e">
        <f>AND('PROG FORMACIÓN TITULADA'!L910,"AAAAAH+t2wk=")</f>
        <v>#VALUE!</v>
      </c>
      <c r="K421" t="e">
        <f>AND('PROG FORMACIÓN TITULADA'!M910,"AAAAAH+t2wo=")</f>
        <v>#VALUE!</v>
      </c>
      <c r="L421" t="e">
        <f>AND('PROG FORMACIÓN TITULADA'!N910,"AAAAAH+t2ws=")</f>
        <v>#VALUE!</v>
      </c>
      <c r="M421" t="e">
        <f>AND('PROG FORMACIÓN TITULADA'!O910,"AAAAAH+t2ww=")</f>
        <v>#VALUE!</v>
      </c>
      <c r="N421" t="e">
        <f>AND('PROG FORMACIÓN TITULADA'!P910,"AAAAAH+t2w0=")</f>
        <v>#VALUE!</v>
      </c>
      <c r="O421" t="e">
        <f>AND('PROG FORMACIÓN TITULADA'!Q910,"AAAAAH+t2w4=")</f>
        <v>#VALUE!</v>
      </c>
      <c r="P421" t="e">
        <f>AND('PROG FORMACIÓN TITULADA'!R910,"AAAAAH+t2w8=")</f>
        <v>#VALUE!</v>
      </c>
      <c r="Q421" t="e">
        <f>AND('PROG FORMACIÓN TITULADA'!S910,"AAAAAH+t2xA=")</f>
        <v>#VALUE!</v>
      </c>
      <c r="R421" t="e">
        <f>AND('PROG FORMACIÓN TITULADA'!T910,"AAAAAH+t2xE=")</f>
        <v>#VALUE!</v>
      </c>
      <c r="S421" t="e">
        <f>AND('PROG FORMACIÓN TITULADA'!U910,"AAAAAH+t2xI=")</f>
        <v>#VALUE!</v>
      </c>
      <c r="T421" t="e">
        <f>AND('PROG FORMACIÓN TITULADA'!V910,"AAAAAH+t2xM=")</f>
        <v>#VALUE!</v>
      </c>
      <c r="U421" t="e">
        <f>AND('PROG FORMACIÓN TITULADA'!W910,"AAAAAH+t2xQ=")</f>
        <v>#VALUE!</v>
      </c>
      <c r="V421" t="e">
        <f>AND('PROG FORMACIÓN TITULADA'!X910,"AAAAAH+t2xU=")</f>
        <v>#VALUE!</v>
      </c>
      <c r="W421" t="e">
        <f>AND('PROG FORMACIÓN TITULADA'!Y910,"AAAAAH+t2xY=")</f>
        <v>#VALUE!</v>
      </c>
      <c r="X421" t="e">
        <f>AND('PROG FORMACIÓN TITULADA'!Z910,"AAAAAH+t2xc=")</f>
        <v>#VALUE!</v>
      </c>
      <c r="Y421" t="e">
        <f>AND('PROG FORMACIÓN TITULADA'!E911,"AAAAAH+t2xg=")</f>
        <v>#VALUE!</v>
      </c>
      <c r="Z421" t="e">
        <f>AND('PROG FORMACIÓN TITULADA'!F911,"AAAAAH+t2xk=")</f>
        <v>#VALUE!</v>
      </c>
      <c r="AA421" t="e">
        <f>AND('PROG FORMACIÓN TITULADA'!G911,"AAAAAH+t2xo=")</f>
        <v>#VALUE!</v>
      </c>
      <c r="AB421" t="e">
        <f>AND('PROG FORMACIÓN TITULADA'!H911,"AAAAAH+t2xs=")</f>
        <v>#VALUE!</v>
      </c>
      <c r="AC421" t="e">
        <f>AND('PROG FORMACIÓN TITULADA'!I911,"AAAAAH+t2xw=")</f>
        <v>#VALUE!</v>
      </c>
      <c r="AD421" t="e">
        <f>AND('PROG FORMACIÓN TITULADA'!J911,"AAAAAH+t2x0=")</f>
        <v>#VALUE!</v>
      </c>
      <c r="AE421" t="e">
        <f>AND('PROG FORMACIÓN TITULADA'!K911,"AAAAAH+t2x4=")</f>
        <v>#VALUE!</v>
      </c>
      <c r="AF421" t="e">
        <f>AND('PROG FORMACIÓN TITULADA'!L911,"AAAAAH+t2x8=")</f>
        <v>#VALUE!</v>
      </c>
      <c r="AG421" t="e">
        <f>AND('PROG FORMACIÓN TITULADA'!M911,"AAAAAH+t2yA=")</f>
        <v>#VALUE!</v>
      </c>
      <c r="AH421" t="e">
        <f>AND('PROG FORMACIÓN TITULADA'!N911,"AAAAAH+t2yE=")</f>
        <v>#VALUE!</v>
      </c>
      <c r="AI421" t="e">
        <f>AND('PROG FORMACIÓN TITULADA'!O911,"AAAAAH+t2yI=")</f>
        <v>#VALUE!</v>
      </c>
      <c r="AJ421" t="e">
        <f>AND('PROG FORMACIÓN TITULADA'!P911,"AAAAAH+t2yM=")</f>
        <v>#VALUE!</v>
      </c>
      <c r="AK421" t="e">
        <f>AND('PROG FORMACIÓN TITULADA'!Q911,"AAAAAH+t2yQ=")</f>
        <v>#VALUE!</v>
      </c>
      <c r="AL421" t="e">
        <f>AND('PROG FORMACIÓN TITULADA'!R911,"AAAAAH+t2yU=")</f>
        <v>#VALUE!</v>
      </c>
      <c r="AM421" t="e">
        <f>AND('PROG FORMACIÓN TITULADA'!S911,"AAAAAH+t2yY=")</f>
        <v>#VALUE!</v>
      </c>
      <c r="AN421" t="e">
        <f>AND('PROG FORMACIÓN TITULADA'!T911,"AAAAAH+t2yc=")</f>
        <v>#VALUE!</v>
      </c>
      <c r="AO421" t="e">
        <f>AND('PROG FORMACIÓN TITULADA'!U911,"AAAAAH+t2yg=")</f>
        <v>#VALUE!</v>
      </c>
      <c r="AP421" t="e">
        <f>AND('PROG FORMACIÓN TITULADA'!V911,"AAAAAH+t2yk=")</f>
        <v>#VALUE!</v>
      </c>
      <c r="AQ421" t="e">
        <f>AND('PROG FORMACIÓN TITULADA'!W911,"AAAAAH+t2yo=")</f>
        <v>#VALUE!</v>
      </c>
      <c r="AR421" t="e">
        <f>AND('PROG FORMACIÓN TITULADA'!X911,"AAAAAH+t2ys=")</f>
        <v>#VALUE!</v>
      </c>
      <c r="AS421" t="e">
        <f>AND('PROG FORMACIÓN TITULADA'!Y911,"AAAAAH+t2yw=")</f>
        <v>#VALUE!</v>
      </c>
      <c r="AT421" t="e">
        <f>AND('PROG FORMACIÓN TITULADA'!Z911,"AAAAAH+t2y0=")</f>
        <v>#VALUE!</v>
      </c>
      <c r="AU421" t="e">
        <f>AND('PROG FORMACIÓN TITULADA'!E912,"AAAAAH+t2y4=")</f>
        <v>#VALUE!</v>
      </c>
      <c r="AV421" t="e">
        <f>AND('PROG FORMACIÓN TITULADA'!F912,"AAAAAH+t2y8=")</f>
        <v>#VALUE!</v>
      </c>
      <c r="AW421" t="e">
        <f>AND('PROG FORMACIÓN TITULADA'!G912,"AAAAAH+t2zA=")</f>
        <v>#VALUE!</v>
      </c>
      <c r="AX421" t="e">
        <f>AND('PROG FORMACIÓN TITULADA'!H912,"AAAAAH+t2zE=")</f>
        <v>#VALUE!</v>
      </c>
      <c r="AY421" t="e">
        <f>AND('PROG FORMACIÓN TITULADA'!I912,"AAAAAH+t2zI=")</f>
        <v>#VALUE!</v>
      </c>
      <c r="AZ421" t="e">
        <f>AND('PROG FORMACIÓN TITULADA'!J912,"AAAAAH+t2zM=")</f>
        <v>#VALUE!</v>
      </c>
      <c r="BA421" t="e">
        <f>AND('PROG FORMACIÓN TITULADA'!K912,"AAAAAH+t2zQ=")</f>
        <v>#VALUE!</v>
      </c>
      <c r="BB421" t="e">
        <f>AND('PROG FORMACIÓN TITULADA'!L912,"AAAAAH+t2zU=")</f>
        <v>#VALUE!</v>
      </c>
      <c r="BC421" t="e">
        <f>AND('PROG FORMACIÓN TITULADA'!M912,"AAAAAH+t2zY=")</f>
        <v>#VALUE!</v>
      </c>
      <c r="BD421" t="e">
        <f>AND('PROG FORMACIÓN TITULADA'!N912,"AAAAAH+t2zc=")</f>
        <v>#VALUE!</v>
      </c>
      <c r="BE421" t="e">
        <f>AND('PROG FORMACIÓN TITULADA'!O912,"AAAAAH+t2zg=")</f>
        <v>#VALUE!</v>
      </c>
      <c r="BF421" t="e">
        <f>AND('PROG FORMACIÓN TITULADA'!P912,"AAAAAH+t2zk=")</f>
        <v>#VALUE!</v>
      </c>
      <c r="BG421" t="e">
        <f>AND('PROG FORMACIÓN TITULADA'!Q912,"AAAAAH+t2zo=")</f>
        <v>#VALUE!</v>
      </c>
      <c r="BH421" t="e">
        <f>AND('PROG FORMACIÓN TITULADA'!R912,"AAAAAH+t2zs=")</f>
        <v>#VALUE!</v>
      </c>
      <c r="BI421" t="e">
        <f>AND('PROG FORMACIÓN TITULADA'!S912,"AAAAAH+t2zw=")</f>
        <v>#VALUE!</v>
      </c>
      <c r="BJ421" t="e">
        <f>AND('PROG FORMACIÓN TITULADA'!T912,"AAAAAH+t2z0=")</f>
        <v>#VALUE!</v>
      </c>
      <c r="BK421" t="e">
        <f>AND('PROG FORMACIÓN TITULADA'!U912,"AAAAAH+t2z4=")</f>
        <v>#VALUE!</v>
      </c>
      <c r="BL421" t="e">
        <f>AND('PROG FORMACIÓN TITULADA'!V912,"AAAAAH+t2z8=")</f>
        <v>#VALUE!</v>
      </c>
      <c r="BM421" t="e">
        <f>AND('PROG FORMACIÓN TITULADA'!W912,"AAAAAH+t20A=")</f>
        <v>#VALUE!</v>
      </c>
      <c r="BN421" t="e">
        <f>AND('PROG FORMACIÓN TITULADA'!X912,"AAAAAH+t20E=")</f>
        <v>#VALUE!</v>
      </c>
      <c r="BO421" t="e">
        <f>AND('PROG FORMACIÓN TITULADA'!Y912,"AAAAAH+t20I=")</f>
        <v>#VALUE!</v>
      </c>
      <c r="BP421" t="e">
        <f>AND('PROG FORMACIÓN TITULADA'!Z912,"AAAAAH+t20M=")</f>
        <v>#VALUE!</v>
      </c>
      <c r="BQ421" t="e">
        <f>AND('PROG FORMACIÓN TITULADA'!E913,"AAAAAH+t20Q=")</f>
        <v>#VALUE!</v>
      </c>
      <c r="BR421" t="e">
        <f>AND('PROG FORMACIÓN TITULADA'!F913,"AAAAAH+t20U=")</f>
        <v>#VALUE!</v>
      </c>
      <c r="BS421" t="e">
        <f>AND('PROG FORMACIÓN TITULADA'!G913,"AAAAAH+t20Y=")</f>
        <v>#VALUE!</v>
      </c>
      <c r="BT421" t="e">
        <f>AND('PROG FORMACIÓN TITULADA'!H913,"AAAAAH+t20c=")</f>
        <v>#VALUE!</v>
      </c>
      <c r="BU421" t="e">
        <f>AND('PROG FORMACIÓN TITULADA'!I913,"AAAAAH+t20g=")</f>
        <v>#VALUE!</v>
      </c>
      <c r="BV421" t="e">
        <f>AND('PROG FORMACIÓN TITULADA'!J913,"AAAAAH+t20k=")</f>
        <v>#VALUE!</v>
      </c>
      <c r="BW421" t="e">
        <f>AND('PROG FORMACIÓN TITULADA'!K913,"AAAAAH+t20o=")</f>
        <v>#VALUE!</v>
      </c>
      <c r="BX421" t="e">
        <f>AND('PROG FORMACIÓN TITULADA'!L913,"AAAAAH+t20s=")</f>
        <v>#VALUE!</v>
      </c>
      <c r="BY421" t="e">
        <f>AND('PROG FORMACIÓN TITULADA'!M913,"AAAAAH+t20w=")</f>
        <v>#VALUE!</v>
      </c>
      <c r="BZ421" t="e">
        <f>AND('PROG FORMACIÓN TITULADA'!N913,"AAAAAH+t200=")</f>
        <v>#VALUE!</v>
      </c>
      <c r="CA421" t="e">
        <f>AND('PROG FORMACIÓN TITULADA'!O913,"AAAAAH+t204=")</f>
        <v>#VALUE!</v>
      </c>
      <c r="CB421" t="e">
        <f>AND('PROG FORMACIÓN TITULADA'!P913,"AAAAAH+t208=")</f>
        <v>#VALUE!</v>
      </c>
      <c r="CC421" t="e">
        <f>AND('PROG FORMACIÓN TITULADA'!Q913,"AAAAAH+t21A=")</f>
        <v>#VALUE!</v>
      </c>
      <c r="CD421" t="e">
        <f>AND('PROG FORMACIÓN TITULADA'!R913,"AAAAAH+t21E=")</f>
        <v>#VALUE!</v>
      </c>
      <c r="CE421" t="e">
        <f>AND('PROG FORMACIÓN TITULADA'!S913,"AAAAAH+t21I=")</f>
        <v>#VALUE!</v>
      </c>
      <c r="CF421" t="e">
        <f>AND('PROG FORMACIÓN TITULADA'!T913,"AAAAAH+t21M=")</f>
        <v>#VALUE!</v>
      </c>
      <c r="CG421" t="e">
        <f>AND('PROG FORMACIÓN TITULADA'!U913,"AAAAAH+t21Q=")</f>
        <v>#VALUE!</v>
      </c>
      <c r="CH421" t="e">
        <f>AND('PROG FORMACIÓN TITULADA'!V913,"AAAAAH+t21U=")</f>
        <v>#VALUE!</v>
      </c>
      <c r="CI421" t="e">
        <f>AND('PROG FORMACIÓN TITULADA'!W913,"AAAAAH+t21Y=")</f>
        <v>#VALUE!</v>
      </c>
      <c r="CJ421" t="e">
        <f>AND('PROG FORMACIÓN TITULADA'!X913,"AAAAAH+t21c=")</f>
        <v>#VALUE!</v>
      </c>
      <c r="CK421" t="e">
        <f>AND('PROG FORMACIÓN TITULADA'!Y913,"AAAAAH+t21g=")</f>
        <v>#VALUE!</v>
      </c>
      <c r="CL421" t="e">
        <f>AND('PROG FORMACIÓN TITULADA'!Z913,"AAAAAH+t21k=")</f>
        <v>#VALUE!</v>
      </c>
      <c r="CM421" t="e">
        <f>AND('PROG FORMACIÓN TITULADA'!E914,"AAAAAH+t21o=")</f>
        <v>#VALUE!</v>
      </c>
      <c r="CN421" t="e">
        <f>AND('PROG FORMACIÓN TITULADA'!F914,"AAAAAH+t21s=")</f>
        <v>#VALUE!</v>
      </c>
      <c r="CO421" t="e">
        <f>AND('PROG FORMACIÓN TITULADA'!G914,"AAAAAH+t21w=")</f>
        <v>#VALUE!</v>
      </c>
      <c r="CP421" t="e">
        <f>AND('PROG FORMACIÓN TITULADA'!H914,"AAAAAH+t210=")</f>
        <v>#VALUE!</v>
      </c>
      <c r="CQ421" t="e">
        <f>AND('PROG FORMACIÓN TITULADA'!I914,"AAAAAH+t214=")</f>
        <v>#VALUE!</v>
      </c>
      <c r="CR421" t="e">
        <f>AND('PROG FORMACIÓN TITULADA'!J914,"AAAAAH+t218=")</f>
        <v>#VALUE!</v>
      </c>
      <c r="CS421" t="e">
        <f>AND('PROG FORMACIÓN TITULADA'!K914,"AAAAAH+t22A=")</f>
        <v>#VALUE!</v>
      </c>
      <c r="CT421" t="e">
        <f>AND('PROG FORMACIÓN TITULADA'!L914,"AAAAAH+t22E=")</f>
        <v>#VALUE!</v>
      </c>
      <c r="CU421" t="e">
        <f>AND('PROG FORMACIÓN TITULADA'!M914,"AAAAAH+t22I=")</f>
        <v>#VALUE!</v>
      </c>
      <c r="CV421" t="e">
        <f>AND('PROG FORMACIÓN TITULADA'!N914,"AAAAAH+t22M=")</f>
        <v>#VALUE!</v>
      </c>
      <c r="CW421" t="e">
        <f>AND('PROG FORMACIÓN TITULADA'!O914,"AAAAAH+t22Q=")</f>
        <v>#VALUE!</v>
      </c>
      <c r="CX421" t="e">
        <f>AND('PROG FORMACIÓN TITULADA'!P914,"AAAAAH+t22U=")</f>
        <v>#VALUE!</v>
      </c>
      <c r="CY421" t="e">
        <f>AND('PROG FORMACIÓN TITULADA'!Q914,"AAAAAH+t22Y=")</f>
        <v>#VALUE!</v>
      </c>
      <c r="CZ421" t="e">
        <f>AND('PROG FORMACIÓN TITULADA'!R914,"AAAAAH+t22c=")</f>
        <v>#VALUE!</v>
      </c>
      <c r="DA421" t="e">
        <f>AND('PROG FORMACIÓN TITULADA'!S914,"AAAAAH+t22g=")</f>
        <v>#VALUE!</v>
      </c>
      <c r="DB421" t="e">
        <f>AND('PROG FORMACIÓN TITULADA'!T914,"AAAAAH+t22k=")</f>
        <v>#VALUE!</v>
      </c>
      <c r="DC421" t="e">
        <f>AND('PROG FORMACIÓN TITULADA'!U914,"AAAAAH+t22o=")</f>
        <v>#VALUE!</v>
      </c>
      <c r="DD421" t="e">
        <f>AND('PROG FORMACIÓN TITULADA'!V914,"AAAAAH+t22s=")</f>
        <v>#VALUE!</v>
      </c>
      <c r="DE421" t="e">
        <f>AND('PROG FORMACIÓN TITULADA'!W914,"AAAAAH+t22w=")</f>
        <v>#VALUE!</v>
      </c>
      <c r="DF421" t="e">
        <f>AND('PROG FORMACIÓN TITULADA'!X914,"AAAAAH+t220=")</f>
        <v>#VALUE!</v>
      </c>
      <c r="DG421" t="e">
        <f>AND('PROG FORMACIÓN TITULADA'!Y914,"AAAAAH+t224=")</f>
        <v>#VALUE!</v>
      </c>
      <c r="DH421" t="e">
        <f>AND('PROG FORMACIÓN TITULADA'!Z914,"AAAAAH+t228=")</f>
        <v>#VALUE!</v>
      </c>
      <c r="DI421" t="e">
        <f>AND('PROG FORMACIÓN TITULADA'!E915,"AAAAAH+t23A=")</f>
        <v>#VALUE!</v>
      </c>
      <c r="DJ421" t="e">
        <f>AND('PROG FORMACIÓN TITULADA'!F915,"AAAAAH+t23E=")</f>
        <v>#VALUE!</v>
      </c>
      <c r="DK421" t="e">
        <f>AND('PROG FORMACIÓN TITULADA'!G915,"AAAAAH+t23I=")</f>
        <v>#VALUE!</v>
      </c>
      <c r="DL421" t="e">
        <f>AND('PROG FORMACIÓN TITULADA'!H915,"AAAAAH+t23M=")</f>
        <v>#VALUE!</v>
      </c>
      <c r="DM421" t="e">
        <f>AND('PROG FORMACIÓN TITULADA'!I915,"AAAAAH+t23Q=")</f>
        <v>#VALUE!</v>
      </c>
      <c r="DN421" t="e">
        <f>AND('PROG FORMACIÓN TITULADA'!J915,"AAAAAH+t23U=")</f>
        <v>#VALUE!</v>
      </c>
      <c r="DO421" t="e">
        <f>AND('PROG FORMACIÓN TITULADA'!K915,"AAAAAH+t23Y=")</f>
        <v>#VALUE!</v>
      </c>
      <c r="DP421" t="e">
        <f>AND('PROG FORMACIÓN TITULADA'!L915,"AAAAAH+t23c=")</f>
        <v>#VALUE!</v>
      </c>
      <c r="DQ421" t="e">
        <f>AND('PROG FORMACIÓN TITULADA'!M915,"AAAAAH+t23g=")</f>
        <v>#VALUE!</v>
      </c>
      <c r="DR421" t="e">
        <f>AND('PROG FORMACIÓN TITULADA'!N915,"AAAAAH+t23k=")</f>
        <v>#VALUE!</v>
      </c>
      <c r="DS421" t="e">
        <f>AND('PROG FORMACIÓN TITULADA'!O915,"AAAAAH+t23o=")</f>
        <v>#VALUE!</v>
      </c>
      <c r="DT421" t="e">
        <f>AND('PROG FORMACIÓN TITULADA'!P915,"AAAAAH+t23s=")</f>
        <v>#VALUE!</v>
      </c>
      <c r="DU421" t="e">
        <f>AND('PROG FORMACIÓN TITULADA'!Q915,"AAAAAH+t23w=")</f>
        <v>#VALUE!</v>
      </c>
      <c r="DV421" t="e">
        <f>AND('PROG FORMACIÓN TITULADA'!R915,"AAAAAH+t230=")</f>
        <v>#VALUE!</v>
      </c>
      <c r="DW421" t="e">
        <f>AND('PROG FORMACIÓN TITULADA'!S915,"AAAAAH+t234=")</f>
        <v>#VALUE!</v>
      </c>
      <c r="DX421" t="e">
        <f>AND('PROG FORMACIÓN TITULADA'!T915,"AAAAAH+t238=")</f>
        <v>#VALUE!</v>
      </c>
      <c r="DY421" t="e">
        <f>AND('PROG FORMACIÓN TITULADA'!U915,"AAAAAH+t24A=")</f>
        <v>#VALUE!</v>
      </c>
      <c r="DZ421" t="e">
        <f>AND('PROG FORMACIÓN TITULADA'!V915,"AAAAAH+t24E=")</f>
        <v>#VALUE!</v>
      </c>
      <c r="EA421" t="e">
        <f>AND('PROG FORMACIÓN TITULADA'!W915,"AAAAAH+t24I=")</f>
        <v>#VALUE!</v>
      </c>
      <c r="EB421" t="e">
        <f>AND('PROG FORMACIÓN TITULADA'!X915,"AAAAAH+t24M=")</f>
        <v>#VALUE!</v>
      </c>
      <c r="EC421" t="e">
        <f>AND('PROG FORMACIÓN TITULADA'!Y915,"AAAAAH+t24Q=")</f>
        <v>#VALUE!</v>
      </c>
      <c r="ED421" t="e">
        <f>AND('PROG FORMACIÓN TITULADA'!Z915,"AAAAAH+t24U=")</f>
        <v>#VALUE!</v>
      </c>
      <c r="EE421" t="e">
        <f>AND('PROG FORMACIÓN TITULADA'!E916,"AAAAAH+t24Y=")</f>
        <v>#VALUE!</v>
      </c>
      <c r="EF421" t="e">
        <f>AND('PROG FORMACIÓN TITULADA'!F916,"AAAAAH+t24c=")</f>
        <v>#VALUE!</v>
      </c>
      <c r="EG421" t="e">
        <f>AND('PROG FORMACIÓN TITULADA'!G916,"AAAAAH+t24g=")</f>
        <v>#VALUE!</v>
      </c>
      <c r="EH421" t="e">
        <f>AND('PROG FORMACIÓN TITULADA'!H916,"AAAAAH+t24k=")</f>
        <v>#VALUE!</v>
      </c>
      <c r="EI421" t="e">
        <f>AND('PROG FORMACIÓN TITULADA'!I916,"AAAAAH+t24o=")</f>
        <v>#VALUE!</v>
      </c>
      <c r="EJ421" t="e">
        <f>AND('PROG FORMACIÓN TITULADA'!J916,"AAAAAH+t24s=")</f>
        <v>#VALUE!</v>
      </c>
      <c r="EK421" t="e">
        <f>AND('PROG FORMACIÓN TITULADA'!K916,"AAAAAH+t24w=")</f>
        <v>#VALUE!</v>
      </c>
      <c r="EL421" t="e">
        <f>AND('PROG FORMACIÓN TITULADA'!L916,"AAAAAH+t240=")</f>
        <v>#VALUE!</v>
      </c>
      <c r="EM421" t="e">
        <f>AND('PROG FORMACIÓN TITULADA'!M916,"AAAAAH+t244=")</f>
        <v>#VALUE!</v>
      </c>
      <c r="EN421" t="e">
        <f>AND('PROG FORMACIÓN TITULADA'!N916,"AAAAAH+t248=")</f>
        <v>#VALUE!</v>
      </c>
      <c r="EO421" t="e">
        <f>AND('PROG FORMACIÓN TITULADA'!O916,"AAAAAH+t25A=")</f>
        <v>#VALUE!</v>
      </c>
      <c r="EP421" t="e">
        <f>AND('PROG FORMACIÓN TITULADA'!P916,"AAAAAH+t25E=")</f>
        <v>#VALUE!</v>
      </c>
      <c r="EQ421" t="e">
        <f>AND('PROG FORMACIÓN TITULADA'!Q916,"AAAAAH+t25I=")</f>
        <v>#VALUE!</v>
      </c>
      <c r="ER421" t="e">
        <f>AND('PROG FORMACIÓN TITULADA'!R916,"AAAAAH+t25M=")</f>
        <v>#VALUE!</v>
      </c>
      <c r="ES421" t="e">
        <f>AND('PROG FORMACIÓN TITULADA'!S916,"AAAAAH+t25Q=")</f>
        <v>#VALUE!</v>
      </c>
      <c r="ET421" t="e">
        <f>AND('PROG FORMACIÓN TITULADA'!T916,"AAAAAH+t25U=")</f>
        <v>#VALUE!</v>
      </c>
      <c r="EU421" t="e">
        <f>AND('PROG FORMACIÓN TITULADA'!U916,"AAAAAH+t25Y=")</f>
        <v>#VALUE!</v>
      </c>
      <c r="EV421" t="e">
        <f>AND('PROG FORMACIÓN TITULADA'!V916,"AAAAAH+t25c=")</f>
        <v>#VALUE!</v>
      </c>
      <c r="EW421" t="e">
        <f>AND('PROG FORMACIÓN TITULADA'!W916,"AAAAAH+t25g=")</f>
        <v>#VALUE!</v>
      </c>
      <c r="EX421" t="e">
        <f>AND('PROG FORMACIÓN TITULADA'!X916,"AAAAAH+t25k=")</f>
        <v>#VALUE!</v>
      </c>
      <c r="EY421" t="e">
        <f>AND('PROG FORMACIÓN TITULADA'!Y916,"AAAAAH+t25o=")</f>
        <v>#VALUE!</v>
      </c>
      <c r="EZ421" t="e">
        <f>AND('PROG FORMACIÓN TITULADA'!Z916,"AAAAAH+t25s=")</f>
        <v>#VALUE!</v>
      </c>
      <c r="FA421" t="e">
        <f>AND('PROG FORMACIÓN TITULADA'!E917,"AAAAAH+t25w=")</f>
        <v>#VALUE!</v>
      </c>
      <c r="FB421" t="e">
        <f>AND('PROG FORMACIÓN TITULADA'!F917,"AAAAAH+t250=")</f>
        <v>#VALUE!</v>
      </c>
      <c r="FC421" t="e">
        <f>AND('PROG FORMACIÓN TITULADA'!G917,"AAAAAH+t254=")</f>
        <v>#VALUE!</v>
      </c>
      <c r="FD421" t="e">
        <f>AND('PROG FORMACIÓN TITULADA'!H917,"AAAAAH+t258=")</f>
        <v>#VALUE!</v>
      </c>
      <c r="FE421" t="e">
        <f>AND('PROG FORMACIÓN TITULADA'!I917,"AAAAAH+t26A=")</f>
        <v>#VALUE!</v>
      </c>
      <c r="FF421" t="e">
        <f>AND('PROG FORMACIÓN TITULADA'!J917,"AAAAAH+t26E=")</f>
        <v>#VALUE!</v>
      </c>
      <c r="FG421" t="e">
        <f>AND('PROG FORMACIÓN TITULADA'!K917,"AAAAAH+t26I=")</f>
        <v>#VALUE!</v>
      </c>
      <c r="FH421" t="e">
        <f>AND('PROG FORMACIÓN TITULADA'!L917,"AAAAAH+t26M=")</f>
        <v>#VALUE!</v>
      </c>
      <c r="FI421" t="e">
        <f>AND('PROG FORMACIÓN TITULADA'!M917,"AAAAAH+t26Q=")</f>
        <v>#VALUE!</v>
      </c>
      <c r="FJ421" t="e">
        <f>AND('PROG FORMACIÓN TITULADA'!N917,"AAAAAH+t26U=")</f>
        <v>#VALUE!</v>
      </c>
      <c r="FK421" t="e">
        <f>AND('PROG FORMACIÓN TITULADA'!O917,"AAAAAH+t26Y=")</f>
        <v>#VALUE!</v>
      </c>
      <c r="FL421" t="e">
        <f>AND('PROG FORMACIÓN TITULADA'!P917,"AAAAAH+t26c=")</f>
        <v>#VALUE!</v>
      </c>
      <c r="FM421" t="e">
        <f>AND('PROG FORMACIÓN TITULADA'!Q917,"AAAAAH+t26g=")</f>
        <v>#VALUE!</v>
      </c>
      <c r="FN421" t="e">
        <f>AND('PROG FORMACIÓN TITULADA'!R917,"AAAAAH+t26k=")</f>
        <v>#VALUE!</v>
      </c>
      <c r="FO421" t="e">
        <f>AND('PROG FORMACIÓN TITULADA'!S917,"AAAAAH+t26o=")</f>
        <v>#VALUE!</v>
      </c>
      <c r="FP421" t="e">
        <f>AND('PROG FORMACIÓN TITULADA'!T917,"AAAAAH+t26s=")</f>
        <v>#VALUE!</v>
      </c>
      <c r="FQ421" t="e">
        <f>AND('PROG FORMACIÓN TITULADA'!U917,"AAAAAH+t26w=")</f>
        <v>#VALUE!</v>
      </c>
      <c r="FR421" t="e">
        <f>AND('PROG FORMACIÓN TITULADA'!V917,"AAAAAH+t260=")</f>
        <v>#VALUE!</v>
      </c>
      <c r="FS421" t="e">
        <f>AND('PROG FORMACIÓN TITULADA'!W917,"AAAAAH+t264=")</f>
        <v>#VALUE!</v>
      </c>
      <c r="FT421" t="e">
        <f>AND('PROG FORMACIÓN TITULADA'!X917,"AAAAAH+t268=")</f>
        <v>#VALUE!</v>
      </c>
      <c r="FU421" t="e">
        <f>AND('PROG FORMACIÓN TITULADA'!Y917,"AAAAAH+t27A=")</f>
        <v>#VALUE!</v>
      </c>
      <c r="FV421" t="e">
        <f>AND('PROG FORMACIÓN TITULADA'!Z917,"AAAAAH+t27E=")</f>
        <v>#VALUE!</v>
      </c>
      <c r="FW421" t="e">
        <f>AND('PROG FORMACIÓN TITULADA'!E918,"AAAAAH+t27I=")</f>
        <v>#VALUE!</v>
      </c>
      <c r="FX421" t="e">
        <f>AND('PROG FORMACIÓN TITULADA'!F918,"AAAAAH+t27M=")</f>
        <v>#VALUE!</v>
      </c>
      <c r="FY421" t="e">
        <f>AND('PROG FORMACIÓN TITULADA'!G918,"AAAAAH+t27Q=")</f>
        <v>#VALUE!</v>
      </c>
      <c r="FZ421" t="e">
        <f>AND('PROG FORMACIÓN TITULADA'!H918,"AAAAAH+t27U=")</f>
        <v>#VALUE!</v>
      </c>
      <c r="GA421" t="e">
        <f>AND('PROG FORMACIÓN TITULADA'!I918,"AAAAAH+t27Y=")</f>
        <v>#VALUE!</v>
      </c>
      <c r="GB421" t="e">
        <f>AND('PROG FORMACIÓN TITULADA'!J918,"AAAAAH+t27c=")</f>
        <v>#VALUE!</v>
      </c>
      <c r="GC421" t="e">
        <f>AND('PROG FORMACIÓN TITULADA'!K918,"AAAAAH+t27g=")</f>
        <v>#VALUE!</v>
      </c>
      <c r="GD421" t="e">
        <f>AND('PROG FORMACIÓN TITULADA'!L918,"AAAAAH+t27k=")</f>
        <v>#VALUE!</v>
      </c>
      <c r="GE421" t="e">
        <f>AND('PROG FORMACIÓN TITULADA'!M918,"AAAAAH+t27o=")</f>
        <v>#VALUE!</v>
      </c>
      <c r="GF421" t="e">
        <f>AND('PROG FORMACIÓN TITULADA'!N918,"AAAAAH+t27s=")</f>
        <v>#VALUE!</v>
      </c>
      <c r="GG421" t="e">
        <f>AND('PROG FORMACIÓN TITULADA'!O918,"AAAAAH+t27w=")</f>
        <v>#VALUE!</v>
      </c>
      <c r="GH421" t="e">
        <f>AND('PROG FORMACIÓN TITULADA'!P918,"AAAAAH+t270=")</f>
        <v>#VALUE!</v>
      </c>
      <c r="GI421" t="e">
        <f>AND('PROG FORMACIÓN TITULADA'!Q918,"AAAAAH+t274=")</f>
        <v>#VALUE!</v>
      </c>
      <c r="GJ421" t="e">
        <f>AND('PROG FORMACIÓN TITULADA'!R918,"AAAAAH+t278=")</f>
        <v>#VALUE!</v>
      </c>
      <c r="GK421" t="e">
        <f>AND('PROG FORMACIÓN TITULADA'!S918,"AAAAAH+t28A=")</f>
        <v>#VALUE!</v>
      </c>
      <c r="GL421" t="e">
        <f>AND('PROG FORMACIÓN TITULADA'!T918,"AAAAAH+t28E=")</f>
        <v>#VALUE!</v>
      </c>
      <c r="GM421" t="e">
        <f>AND('PROG FORMACIÓN TITULADA'!U918,"AAAAAH+t28I=")</f>
        <v>#VALUE!</v>
      </c>
      <c r="GN421" t="e">
        <f>AND('PROG FORMACIÓN TITULADA'!V918,"AAAAAH+t28M=")</f>
        <v>#VALUE!</v>
      </c>
      <c r="GO421" t="e">
        <f>AND('PROG FORMACIÓN TITULADA'!W918,"AAAAAH+t28Q=")</f>
        <v>#VALUE!</v>
      </c>
      <c r="GP421" t="e">
        <f>AND('PROG FORMACIÓN TITULADA'!X918,"AAAAAH+t28U=")</f>
        <v>#VALUE!</v>
      </c>
      <c r="GQ421" t="e">
        <f>AND('PROG FORMACIÓN TITULADA'!Y918,"AAAAAH+t28Y=")</f>
        <v>#VALUE!</v>
      </c>
      <c r="GR421" t="e">
        <f>AND('PROG FORMACIÓN TITULADA'!Z918,"AAAAAH+t28c=")</f>
        <v>#VALUE!</v>
      </c>
      <c r="GS421" t="e">
        <f>AND('PROG FORMACIÓN TITULADA'!E919,"AAAAAH+t28g=")</f>
        <v>#VALUE!</v>
      </c>
      <c r="GT421" t="e">
        <f>AND('PROG FORMACIÓN TITULADA'!F919,"AAAAAH+t28k=")</f>
        <v>#VALUE!</v>
      </c>
      <c r="GU421" t="e">
        <f>AND('PROG FORMACIÓN TITULADA'!G919,"AAAAAH+t28o=")</f>
        <v>#VALUE!</v>
      </c>
      <c r="GV421" t="e">
        <f>AND('PROG FORMACIÓN TITULADA'!H919,"AAAAAH+t28s=")</f>
        <v>#VALUE!</v>
      </c>
      <c r="GW421" t="e">
        <f>AND('PROG FORMACIÓN TITULADA'!I919,"AAAAAH+t28w=")</f>
        <v>#VALUE!</v>
      </c>
      <c r="GX421" t="e">
        <f>AND('PROG FORMACIÓN TITULADA'!J919,"AAAAAH+t280=")</f>
        <v>#VALUE!</v>
      </c>
      <c r="GY421" t="e">
        <f>AND('PROG FORMACIÓN TITULADA'!K919,"AAAAAH+t284=")</f>
        <v>#VALUE!</v>
      </c>
      <c r="GZ421" t="e">
        <f>AND('PROG FORMACIÓN TITULADA'!L919,"AAAAAH+t288=")</f>
        <v>#VALUE!</v>
      </c>
      <c r="HA421" t="e">
        <f>AND('PROG FORMACIÓN TITULADA'!M919,"AAAAAH+t29A=")</f>
        <v>#VALUE!</v>
      </c>
      <c r="HB421" t="e">
        <f>AND('PROG FORMACIÓN TITULADA'!N919,"AAAAAH+t29E=")</f>
        <v>#VALUE!</v>
      </c>
      <c r="HC421" t="e">
        <f>AND('PROG FORMACIÓN TITULADA'!O919,"AAAAAH+t29I=")</f>
        <v>#VALUE!</v>
      </c>
      <c r="HD421" t="e">
        <f>AND('PROG FORMACIÓN TITULADA'!P919,"AAAAAH+t29M=")</f>
        <v>#VALUE!</v>
      </c>
      <c r="HE421" t="e">
        <f>AND('PROG FORMACIÓN TITULADA'!Q919,"AAAAAH+t29Q=")</f>
        <v>#VALUE!</v>
      </c>
      <c r="HF421" t="e">
        <f>AND('PROG FORMACIÓN TITULADA'!R919,"AAAAAH+t29U=")</f>
        <v>#VALUE!</v>
      </c>
      <c r="HG421" t="e">
        <f>AND('PROG FORMACIÓN TITULADA'!S919,"AAAAAH+t29Y=")</f>
        <v>#VALUE!</v>
      </c>
      <c r="HH421" t="e">
        <f>AND('PROG FORMACIÓN TITULADA'!T919,"AAAAAH+t29c=")</f>
        <v>#VALUE!</v>
      </c>
      <c r="HI421" t="e">
        <f>AND('PROG FORMACIÓN TITULADA'!U919,"AAAAAH+t29g=")</f>
        <v>#VALUE!</v>
      </c>
      <c r="HJ421" t="e">
        <f>AND('PROG FORMACIÓN TITULADA'!V919,"AAAAAH+t29k=")</f>
        <v>#VALUE!</v>
      </c>
      <c r="HK421" t="e">
        <f>AND('PROG FORMACIÓN TITULADA'!W919,"AAAAAH+t29o=")</f>
        <v>#VALUE!</v>
      </c>
      <c r="HL421" t="e">
        <f>AND('PROG FORMACIÓN TITULADA'!X919,"AAAAAH+t29s=")</f>
        <v>#VALUE!</v>
      </c>
      <c r="HM421" t="e">
        <f>AND('PROG FORMACIÓN TITULADA'!Y919,"AAAAAH+t29w=")</f>
        <v>#VALUE!</v>
      </c>
      <c r="HN421" t="e">
        <f>AND('PROG FORMACIÓN TITULADA'!Z919,"AAAAAH+t290=")</f>
        <v>#VALUE!</v>
      </c>
      <c r="HO421" t="e">
        <f>AND('PROG FORMACIÓN TITULADA'!E920,"AAAAAH+t294=")</f>
        <v>#VALUE!</v>
      </c>
      <c r="HP421" t="e">
        <f>AND('PROG FORMACIÓN TITULADA'!F920,"AAAAAH+t298=")</f>
        <v>#VALUE!</v>
      </c>
      <c r="HQ421" t="e">
        <f>AND('PROG FORMACIÓN TITULADA'!G920,"AAAAAH+t2+A=")</f>
        <v>#VALUE!</v>
      </c>
      <c r="HR421" t="e">
        <f>AND('PROG FORMACIÓN TITULADA'!H920,"AAAAAH+t2+E=")</f>
        <v>#VALUE!</v>
      </c>
      <c r="HS421" t="e">
        <f>AND('PROG FORMACIÓN TITULADA'!I920,"AAAAAH+t2+I=")</f>
        <v>#VALUE!</v>
      </c>
      <c r="HT421" t="e">
        <f>AND('PROG FORMACIÓN TITULADA'!J920,"AAAAAH+t2+M=")</f>
        <v>#VALUE!</v>
      </c>
      <c r="HU421" t="e">
        <f>AND('PROG FORMACIÓN TITULADA'!K920,"AAAAAH+t2+Q=")</f>
        <v>#VALUE!</v>
      </c>
      <c r="HV421" t="e">
        <f>AND('PROG FORMACIÓN TITULADA'!L920,"AAAAAH+t2+U=")</f>
        <v>#VALUE!</v>
      </c>
      <c r="HW421" t="e">
        <f>AND('PROG FORMACIÓN TITULADA'!M920,"AAAAAH+t2+Y=")</f>
        <v>#VALUE!</v>
      </c>
      <c r="HX421" t="e">
        <f>AND('PROG FORMACIÓN TITULADA'!N920,"AAAAAH+t2+c=")</f>
        <v>#VALUE!</v>
      </c>
      <c r="HY421" t="e">
        <f>AND('PROG FORMACIÓN TITULADA'!O920,"AAAAAH+t2+g=")</f>
        <v>#VALUE!</v>
      </c>
      <c r="HZ421" t="e">
        <f>AND('PROG FORMACIÓN TITULADA'!P920,"AAAAAH+t2+k=")</f>
        <v>#VALUE!</v>
      </c>
      <c r="IA421" t="e">
        <f>AND('PROG FORMACIÓN TITULADA'!Q920,"AAAAAH+t2+o=")</f>
        <v>#VALUE!</v>
      </c>
      <c r="IB421" t="e">
        <f>AND('PROG FORMACIÓN TITULADA'!R920,"AAAAAH+t2+s=")</f>
        <v>#VALUE!</v>
      </c>
      <c r="IC421" t="e">
        <f>AND('PROG FORMACIÓN TITULADA'!S920,"AAAAAH+t2+w=")</f>
        <v>#VALUE!</v>
      </c>
      <c r="ID421" t="e">
        <f>AND('PROG FORMACIÓN TITULADA'!T920,"AAAAAH+t2+0=")</f>
        <v>#VALUE!</v>
      </c>
      <c r="IE421" t="e">
        <f>AND('PROG FORMACIÓN TITULADA'!U920,"AAAAAH+t2+4=")</f>
        <v>#VALUE!</v>
      </c>
      <c r="IF421" t="e">
        <f>AND('PROG FORMACIÓN TITULADA'!V920,"AAAAAH+t2+8=")</f>
        <v>#VALUE!</v>
      </c>
      <c r="IG421" t="e">
        <f>AND('PROG FORMACIÓN TITULADA'!W920,"AAAAAH+t2/A=")</f>
        <v>#VALUE!</v>
      </c>
      <c r="IH421" t="e">
        <f>AND('PROG FORMACIÓN TITULADA'!X920,"AAAAAH+t2/E=")</f>
        <v>#VALUE!</v>
      </c>
      <c r="II421" t="e">
        <f>AND('PROG FORMACIÓN TITULADA'!Y920,"AAAAAH+t2/I=")</f>
        <v>#VALUE!</v>
      </c>
      <c r="IJ421" t="e">
        <f>AND('PROG FORMACIÓN TITULADA'!Z920,"AAAAAH+t2/M=")</f>
        <v>#VALUE!</v>
      </c>
      <c r="IK421" t="e">
        <f>AND('PROG FORMACIÓN TITULADA'!E921,"AAAAAH+t2/Q=")</f>
        <v>#VALUE!</v>
      </c>
      <c r="IL421" t="e">
        <f>AND('PROG FORMACIÓN TITULADA'!F921,"AAAAAH+t2/U=")</f>
        <v>#VALUE!</v>
      </c>
      <c r="IM421" t="e">
        <f>AND('PROG FORMACIÓN TITULADA'!G921,"AAAAAH+t2/Y=")</f>
        <v>#VALUE!</v>
      </c>
      <c r="IN421" t="e">
        <f>AND('PROG FORMACIÓN TITULADA'!H921,"AAAAAH+t2/c=")</f>
        <v>#VALUE!</v>
      </c>
      <c r="IO421" t="e">
        <f>AND('PROG FORMACIÓN TITULADA'!I921,"AAAAAH+t2/g=")</f>
        <v>#VALUE!</v>
      </c>
      <c r="IP421" t="e">
        <f>AND('PROG FORMACIÓN TITULADA'!J921,"AAAAAH+t2/k=")</f>
        <v>#VALUE!</v>
      </c>
      <c r="IQ421" t="e">
        <f>AND('PROG FORMACIÓN TITULADA'!K921,"AAAAAH+t2/o=")</f>
        <v>#VALUE!</v>
      </c>
      <c r="IR421" t="e">
        <f>AND('PROG FORMACIÓN TITULADA'!L921,"AAAAAH+t2/s=")</f>
        <v>#VALUE!</v>
      </c>
      <c r="IS421" t="e">
        <f>AND('PROG FORMACIÓN TITULADA'!M921,"AAAAAH+t2/w=")</f>
        <v>#VALUE!</v>
      </c>
      <c r="IT421" t="e">
        <f>AND('PROG FORMACIÓN TITULADA'!N921,"AAAAAH+t2/0=")</f>
        <v>#VALUE!</v>
      </c>
      <c r="IU421" t="e">
        <f>AND('PROG FORMACIÓN TITULADA'!O921,"AAAAAH+t2/4=")</f>
        <v>#VALUE!</v>
      </c>
      <c r="IV421" t="e">
        <f>AND('PROG FORMACIÓN TITULADA'!P921,"AAAAAH+t2/8=")</f>
        <v>#VALUE!</v>
      </c>
    </row>
    <row r="422" spans="1:256" x14ac:dyDescent="0.2">
      <c r="A422" t="e">
        <f>AND('PROG FORMACIÓN TITULADA'!Q921,"AAAAAH79lAA=")</f>
        <v>#VALUE!</v>
      </c>
      <c r="B422" t="e">
        <f>AND('PROG FORMACIÓN TITULADA'!R921,"AAAAAH79lAE=")</f>
        <v>#VALUE!</v>
      </c>
      <c r="C422" t="e">
        <f>AND('PROG FORMACIÓN TITULADA'!S921,"AAAAAH79lAI=")</f>
        <v>#VALUE!</v>
      </c>
      <c r="D422" t="e">
        <f>AND('PROG FORMACIÓN TITULADA'!T921,"AAAAAH79lAM=")</f>
        <v>#VALUE!</v>
      </c>
      <c r="E422" t="e">
        <f>AND('PROG FORMACIÓN TITULADA'!U921,"AAAAAH79lAQ=")</f>
        <v>#VALUE!</v>
      </c>
      <c r="F422" t="e">
        <f>AND('PROG FORMACIÓN TITULADA'!V921,"AAAAAH79lAU=")</f>
        <v>#VALUE!</v>
      </c>
      <c r="G422" t="e">
        <f>AND('PROG FORMACIÓN TITULADA'!W921,"AAAAAH79lAY=")</f>
        <v>#VALUE!</v>
      </c>
      <c r="H422" t="e">
        <f>AND('PROG FORMACIÓN TITULADA'!X921,"AAAAAH79lAc=")</f>
        <v>#VALUE!</v>
      </c>
      <c r="I422" t="e">
        <f>AND('PROG FORMACIÓN TITULADA'!Y921,"AAAAAH79lAg=")</f>
        <v>#VALUE!</v>
      </c>
      <c r="J422" t="e">
        <f>AND('PROG FORMACIÓN TITULADA'!Z921,"AAAAAH79lAk=")</f>
        <v>#VALUE!</v>
      </c>
      <c r="K422" t="e">
        <f>AND('PROG FORMACIÓN TITULADA'!E922,"AAAAAH79lAo=")</f>
        <v>#VALUE!</v>
      </c>
      <c r="L422" t="e">
        <f>AND('PROG FORMACIÓN TITULADA'!F922,"AAAAAH79lAs=")</f>
        <v>#VALUE!</v>
      </c>
      <c r="M422" t="e">
        <f>AND('PROG FORMACIÓN TITULADA'!G922,"AAAAAH79lAw=")</f>
        <v>#VALUE!</v>
      </c>
      <c r="N422" t="e">
        <f>AND('PROG FORMACIÓN TITULADA'!H922,"AAAAAH79lA0=")</f>
        <v>#VALUE!</v>
      </c>
      <c r="O422" t="e">
        <f>AND('PROG FORMACIÓN TITULADA'!I922,"AAAAAH79lA4=")</f>
        <v>#VALUE!</v>
      </c>
      <c r="P422" t="e">
        <f>AND('PROG FORMACIÓN TITULADA'!J922,"AAAAAH79lA8=")</f>
        <v>#VALUE!</v>
      </c>
      <c r="Q422" t="e">
        <f>AND('PROG FORMACIÓN TITULADA'!K922,"AAAAAH79lBA=")</f>
        <v>#VALUE!</v>
      </c>
      <c r="R422" t="e">
        <f>AND('PROG FORMACIÓN TITULADA'!L922,"AAAAAH79lBE=")</f>
        <v>#VALUE!</v>
      </c>
      <c r="S422" t="e">
        <f>AND('PROG FORMACIÓN TITULADA'!M922,"AAAAAH79lBI=")</f>
        <v>#VALUE!</v>
      </c>
      <c r="T422" t="e">
        <f>AND('PROG FORMACIÓN TITULADA'!N922,"AAAAAH79lBM=")</f>
        <v>#VALUE!</v>
      </c>
      <c r="U422" t="e">
        <f>AND('PROG FORMACIÓN TITULADA'!O922,"AAAAAH79lBQ=")</f>
        <v>#VALUE!</v>
      </c>
      <c r="V422" t="e">
        <f>AND('PROG FORMACIÓN TITULADA'!P922,"AAAAAH79lBU=")</f>
        <v>#VALUE!</v>
      </c>
      <c r="W422" t="e">
        <f>AND('PROG FORMACIÓN TITULADA'!Q922,"AAAAAH79lBY=")</f>
        <v>#VALUE!</v>
      </c>
      <c r="X422" t="e">
        <f>AND('PROG FORMACIÓN TITULADA'!R922,"AAAAAH79lBc=")</f>
        <v>#VALUE!</v>
      </c>
      <c r="Y422" t="e">
        <f>AND('PROG FORMACIÓN TITULADA'!S922,"AAAAAH79lBg=")</f>
        <v>#VALUE!</v>
      </c>
      <c r="Z422" t="e">
        <f>AND('PROG FORMACIÓN TITULADA'!T922,"AAAAAH79lBk=")</f>
        <v>#VALUE!</v>
      </c>
      <c r="AA422" t="e">
        <f>AND('PROG FORMACIÓN TITULADA'!U922,"AAAAAH79lBo=")</f>
        <v>#VALUE!</v>
      </c>
      <c r="AB422" t="e">
        <f>AND('PROG FORMACIÓN TITULADA'!V922,"AAAAAH79lBs=")</f>
        <v>#VALUE!</v>
      </c>
      <c r="AC422" t="e">
        <f>AND('PROG FORMACIÓN TITULADA'!W922,"AAAAAH79lBw=")</f>
        <v>#VALUE!</v>
      </c>
      <c r="AD422" t="e">
        <f>AND('PROG FORMACIÓN TITULADA'!X922,"AAAAAH79lB0=")</f>
        <v>#VALUE!</v>
      </c>
      <c r="AE422" t="e">
        <f>AND('PROG FORMACIÓN TITULADA'!Y922,"AAAAAH79lB4=")</f>
        <v>#VALUE!</v>
      </c>
      <c r="AF422" t="e">
        <f>AND('PROG FORMACIÓN TITULADA'!Z922,"AAAAAH79lB8=")</f>
        <v>#VALUE!</v>
      </c>
      <c r="AG422" t="e">
        <f>AND('PROG FORMACIÓN TITULADA'!E923,"AAAAAH79lCA=")</f>
        <v>#VALUE!</v>
      </c>
      <c r="AH422" t="e">
        <f>AND('PROG FORMACIÓN TITULADA'!F923,"AAAAAH79lCE=")</f>
        <v>#VALUE!</v>
      </c>
      <c r="AI422" t="e">
        <f>AND('PROG FORMACIÓN TITULADA'!G923,"AAAAAH79lCI=")</f>
        <v>#VALUE!</v>
      </c>
      <c r="AJ422" t="e">
        <f>AND('PROG FORMACIÓN TITULADA'!H923,"AAAAAH79lCM=")</f>
        <v>#VALUE!</v>
      </c>
      <c r="AK422" t="e">
        <f>AND('PROG FORMACIÓN TITULADA'!I923,"AAAAAH79lCQ=")</f>
        <v>#VALUE!</v>
      </c>
      <c r="AL422" t="e">
        <f>AND('PROG FORMACIÓN TITULADA'!J923,"AAAAAH79lCU=")</f>
        <v>#VALUE!</v>
      </c>
      <c r="AM422" t="e">
        <f>AND('PROG FORMACIÓN TITULADA'!K923,"AAAAAH79lCY=")</f>
        <v>#VALUE!</v>
      </c>
      <c r="AN422" t="e">
        <f>AND('PROG FORMACIÓN TITULADA'!L923,"AAAAAH79lCc=")</f>
        <v>#VALUE!</v>
      </c>
      <c r="AO422" t="e">
        <f>AND('PROG FORMACIÓN TITULADA'!M923,"AAAAAH79lCg=")</f>
        <v>#VALUE!</v>
      </c>
      <c r="AP422" t="e">
        <f>AND('PROG FORMACIÓN TITULADA'!N923,"AAAAAH79lCk=")</f>
        <v>#VALUE!</v>
      </c>
      <c r="AQ422" t="e">
        <f>AND('PROG FORMACIÓN TITULADA'!O923,"AAAAAH79lCo=")</f>
        <v>#VALUE!</v>
      </c>
      <c r="AR422" t="e">
        <f>AND('PROG FORMACIÓN TITULADA'!P923,"AAAAAH79lCs=")</f>
        <v>#VALUE!</v>
      </c>
      <c r="AS422" t="e">
        <f>AND('PROG FORMACIÓN TITULADA'!Q923,"AAAAAH79lCw=")</f>
        <v>#VALUE!</v>
      </c>
      <c r="AT422" t="e">
        <f>AND('PROG FORMACIÓN TITULADA'!R923,"AAAAAH79lC0=")</f>
        <v>#VALUE!</v>
      </c>
      <c r="AU422" t="e">
        <f>AND('PROG FORMACIÓN TITULADA'!S923,"AAAAAH79lC4=")</f>
        <v>#VALUE!</v>
      </c>
      <c r="AV422" t="e">
        <f>AND('PROG FORMACIÓN TITULADA'!T923,"AAAAAH79lC8=")</f>
        <v>#VALUE!</v>
      </c>
      <c r="AW422" t="e">
        <f>AND('PROG FORMACIÓN TITULADA'!U923,"AAAAAH79lDA=")</f>
        <v>#VALUE!</v>
      </c>
      <c r="AX422" t="e">
        <f>AND('PROG FORMACIÓN TITULADA'!V923,"AAAAAH79lDE=")</f>
        <v>#VALUE!</v>
      </c>
      <c r="AY422" t="e">
        <f>AND('PROG FORMACIÓN TITULADA'!W923,"AAAAAH79lDI=")</f>
        <v>#VALUE!</v>
      </c>
      <c r="AZ422" t="e">
        <f>AND('PROG FORMACIÓN TITULADA'!X923,"AAAAAH79lDM=")</f>
        <v>#VALUE!</v>
      </c>
      <c r="BA422" t="e">
        <f>AND('PROG FORMACIÓN TITULADA'!Y923,"AAAAAH79lDQ=")</f>
        <v>#VALUE!</v>
      </c>
      <c r="BB422" t="e">
        <f>AND('PROG FORMACIÓN TITULADA'!Z923,"AAAAAH79lDU=")</f>
        <v>#VALUE!</v>
      </c>
      <c r="BC422" t="e">
        <f>AND('PROG FORMACIÓN TITULADA'!E924,"AAAAAH79lDY=")</f>
        <v>#VALUE!</v>
      </c>
      <c r="BD422" t="e">
        <f>AND('PROG FORMACIÓN TITULADA'!F924,"AAAAAH79lDc=")</f>
        <v>#VALUE!</v>
      </c>
      <c r="BE422" t="e">
        <f>AND('PROG FORMACIÓN TITULADA'!G924,"AAAAAH79lDg=")</f>
        <v>#VALUE!</v>
      </c>
      <c r="BF422" t="e">
        <f>AND('PROG FORMACIÓN TITULADA'!H924,"AAAAAH79lDk=")</f>
        <v>#VALUE!</v>
      </c>
      <c r="BG422" t="e">
        <f>AND('PROG FORMACIÓN TITULADA'!I924,"AAAAAH79lDo=")</f>
        <v>#VALUE!</v>
      </c>
      <c r="BH422" t="e">
        <f>AND('PROG FORMACIÓN TITULADA'!J924,"AAAAAH79lDs=")</f>
        <v>#VALUE!</v>
      </c>
      <c r="BI422" t="e">
        <f>AND('PROG FORMACIÓN TITULADA'!K924,"AAAAAH79lDw=")</f>
        <v>#VALUE!</v>
      </c>
      <c r="BJ422" t="e">
        <f>AND('PROG FORMACIÓN TITULADA'!L924,"AAAAAH79lD0=")</f>
        <v>#VALUE!</v>
      </c>
      <c r="BK422" t="e">
        <f>AND('PROG FORMACIÓN TITULADA'!M924,"AAAAAH79lD4=")</f>
        <v>#VALUE!</v>
      </c>
      <c r="BL422" t="e">
        <f>AND('PROG FORMACIÓN TITULADA'!N924,"AAAAAH79lD8=")</f>
        <v>#VALUE!</v>
      </c>
      <c r="BM422" t="e">
        <f>AND('PROG FORMACIÓN TITULADA'!O924,"AAAAAH79lEA=")</f>
        <v>#VALUE!</v>
      </c>
      <c r="BN422" t="e">
        <f>AND('PROG FORMACIÓN TITULADA'!P924,"AAAAAH79lEE=")</f>
        <v>#VALUE!</v>
      </c>
      <c r="BO422" t="e">
        <f>AND('PROG FORMACIÓN TITULADA'!Q924,"AAAAAH79lEI=")</f>
        <v>#VALUE!</v>
      </c>
      <c r="BP422" t="e">
        <f>AND('PROG FORMACIÓN TITULADA'!R924,"AAAAAH79lEM=")</f>
        <v>#VALUE!</v>
      </c>
      <c r="BQ422" t="e">
        <f>AND('PROG FORMACIÓN TITULADA'!S924,"AAAAAH79lEQ=")</f>
        <v>#VALUE!</v>
      </c>
      <c r="BR422" t="e">
        <f>AND('PROG FORMACIÓN TITULADA'!T924,"AAAAAH79lEU=")</f>
        <v>#VALUE!</v>
      </c>
      <c r="BS422" t="e">
        <f>AND('PROG FORMACIÓN TITULADA'!U924,"AAAAAH79lEY=")</f>
        <v>#VALUE!</v>
      </c>
      <c r="BT422" t="e">
        <f>AND('PROG FORMACIÓN TITULADA'!V924,"AAAAAH79lEc=")</f>
        <v>#VALUE!</v>
      </c>
      <c r="BU422" t="e">
        <f>AND('PROG FORMACIÓN TITULADA'!W924,"AAAAAH79lEg=")</f>
        <v>#VALUE!</v>
      </c>
      <c r="BV422" t="e">
        <f>AND('PROG FORMACIÓN TITULADA'!X924,"AAAAAH79lEk=")</f>
        <v>#VALUE!</v>
      </c>
      <c r="BW422" t="e">
        <f>AND('PROG FORMACIÓN TITULADA'!Y924,"AAAAAH79lEo=")</f>
        <v>#VALUE!</v>
      </c>
      <c r="BX422" t="e">
        <f>AND('PROG FORMACIÓN TITULADA'!Z924,"AAAAAH79lEs=")</f>
        <v>#VALUE!</v>
      </c>
      <c r="BY422" t="e">
        <f>AND('PROG FORMACIÓN TITULADA'!E925,"AAAAAH79lEw=")</f>
        <v>#VALUE!</v>
      </c>
      <c r="BZ422" t="e">
        <f>AND('PROG FORMACIÓN TITULADA'!F925,"AAAAAH79lE0=")</f>
        <v>#VALUE!</v>
      </c>
      <c r="CA422" t="e">
        <f>AND('PROG FORMACIÓN TITULADA'!G925,"AAAAAH79lE4=")</f>
        <v>#VALUE!</v>
      </c>
      <c r="CB422" t="e">
        <f>AND('PROG FORMACIÓN TITULADA'!H925,"AAAAAH79lE8=")</f>
        <v>#VALUE!</v>
      </c>
      <c r="CC422" t="e">
        <f>AND('PROG FORMACIÓN TITULADA'!I925,"AAAAAH79lFA=")</f>
        <v>#VALUE!</v>
      </c>
      <c r="CD422" t="e">
        <f>AND('PROG FORMACIÓN TITULADA'!J925,"AAAAAH79lFE=")</f>
        <v>#VALUE!</v>
      </c>
      <c r="CE422" t="e">
        <f>AND('PROG FORMACIÓN TITULADA'!K925,"AAAAAH79lFI=")</f>
        <v>#VALUE!</v>
      </c>
      <c r="CF422" t="e">
        <f>AND('PROG FORMACIÓN TITULADA'!L925,"AAAAAH79lFM=")</f>
        <v>#VALUE!</v>
      </c>
      <c r="CG422" t="e">
        <f>AND('PROG FORMACIÓN TITULADA'!M925,"AAAAAH79lFQ=")</f>
        <v>#VALUE!</v>
      </c>
      <c r="CH422" t="e">
        <f>AND('PROG FORMACIÓN TITULADA'!N925,"AAAAAH79lFU=")</f>
        <v>#VALUE!</v>
      </c>
      <c r="CI422" t="e">
        <f>AND('PROG FORMACIÓN TITULADA'!O925,"AAAAAH79lFY=")</f>
        <v>#VALUE!</v>
      </c>
      <c r="CJ422" t="e">
        <f>AND('PROG FORMACIÓN TITULADA'!P925,"AAAAAH79lFc=")</f>
        <v>#VALUE!</v>
      </c>
      <c r="CK422" t="e">
        <f>AND('PROG FORMACIÓN TITULADA'!Q925,"AAAAAH79lFg=")</f>
        <v>#VALUE!</v>
      </c>
      <c r="CL422" t="e">
        <f>AND('PROG FORMACIÓN TITULADA'!R925,"AAAAAH79lFk=")</f>
        <v>#VALUE!</v>
      </c>
      <c r="CM422" t="e">
        <f>AND('PROG FORMACIÓN TITULADA'!S925,"AAAAAH79lFo=")</f>
        <v>#VALUE!</v>
      </c>
      <c r="CN422" t="e">
        <f>AND('PROG FORMACIÓN TITULADA'!T925,"AAAAAH79lFs=")</f>
        <v>#VALUE!</v>
      </c>
      <c r="CO422" t="e">
        <f>AND('PROG FORMACIÓN TITULADA'!U925,"AAAAAH79lFw=")</f>
        <v>#VALUE!</v>
      </c>
      <c r="CP422" t="e">
        <f>AND('PROG FORMACIÓN TITULADA'!V925,"AAAAAH79lF0=")</f>
        <v>#VALUE!</v>
      </c>
      <c r="CQ422" t="e">
        <f>AND('PROG FORMACIÓN TITULADA'!W925,"AAAAAH79lF4=")</f>
        <v>#VALUE!</v>
      </c>
      <c r="CR422" t="e">
        <f>AND('PROG FORMACIÓN TITULADA'!X925,"AAAAAH79lF8=")</f>
        <v>#VALUE!</v>
      </c>
      <c r="CS422" t="e">
        <f>AND('PROG FORMACIÓN TITULADA'!Y925,"AAAAAH79lGA=")</f>
        <v>#VALUE!</v>
      </c>
      <c r="CT422" t="e">
        <f>AND('PROG FORMACIÓN TITULADA'!Z925,"AAAAAH79lGE=")</f>
        <v>#VALUE!</v>
      </c>
      <c r="CU422" t="e">
        <f>AND('PROG FORMACIÓN TITULADA'!E926,"AAAAAH79lGI=")</f>
        <v>#VALUE!</v>
      </c>
      <c r="CV422" t="e">
        <f>AND('PROG FORMACIÓN TITULADA'!F926,"AAAAAH79lGM=")</f>
        <v>#VALUE!</v>
      </c>
      <c r="CW422" t="e">
        <f>AND('PROG FORMACIÓN TITULADA'!G926,"AAAAAH79lGQ=")</f>
        <v>#VALUE!</v>
      </c>
      <c r="CX422" t="e">
        <f>AND('PROG FORMACIÓN TITULADA'!H926,"AAAAAH79lGU=")</f>
        <v>#VALUE!</v>
      </c>
      <c r="CY422" t="e">
        <f>AND('PROG FORMACIÓN TITULADA'!I926,"AAAAAH79lGY=")</f>
        <v>#VALUE!</v>
      </c>
      <c r="CZ422" t="e">
        <f>AND('PROG FORMACIÓN TITULADA'!J926,"AAAAAH79lGc=")</f>
        <v>#VALUE!</v>
      </c>
      <c r="DA422" t="e">
        <f>AND('PROG FORMACIÓN TITULADA'!K926,"AAAAAH79lGg=")</f>
        <v>#VALUE!</v>
      </c>
      <c r="DB422" t="e">
        <f>AND('PROG FORMACIÓN TITULADA'!L926,"AAAAAH79lGk=")</f>
        <v>#VALUE!</v>
      </c>
      <c r="DC422" t="e">
        <f>AND('PROG FORMACIÓN TITULADA'!M926,"AAAAAH79lGo=")</f>
        <v>#VALUE!</v>
      </c>
      <c r="DD422" t="e">
        <f>AND('PROG FORMACIÓN TITULADA'!N926,"AAAAAH79lGs=")</f>
        <v>#VALUE!</v>
      </c>
      <c r="DE422" t="e">
        <f>AND('PROG FORMACIÓN TITULADA'!O926,"AAAAAH79lGw=")</f>
        <v>#VALUE!</v>
      </c>
      <c r="DF422" t="e">
        <f>AND('PROG FORMACIÓN TITULADA'!P926,"AAAAAH79lG0=")</f>
        <v>#VALUE!</v>
      </c>
      <c r="DG422" t="e">
        <f>AND('PROG FORMACIÓN TITULADA'!Q926,"AAAAAH79lG4=")</f>
        <v>#VALUE!</v>
      </c>
      <c r="DH422" t="e">
        <f>AND('PROG FORMACIÓN TITULADA'!R926,"AAAAAH79lG8=")</f>
        <v>#VALUE!</v>
      </c>
      <c r="DI422" t="e">
        <f>AND('PROG FORMACIÓN TITULADA'!S926,"AAAAAH79lHA=")</f>
        <v>#VALUE!</v>
      </c>
      <c r="DJ422" t="e">
        <f>AND('PROG FORMACIÓN TITULADA'!T926,"AAAAAH79lHE=")</f>
        <v>#VALUE!</v>
      </c>
      <c r="DK422" t="e">
        <f>AND('PROG FORMACIÓN TITULADA'!U926,"AAAAAH79lHI=")</f>
        <v>#VALUE!</v>
      </c>
      <c r="DL422" t="e">
        <f>AND('PROG FORMACIÓN TITULADA'!V926,"AAAAAH79lHM=")</f>
        <v>#VALUE!</v>
      </c>
      <c r="DM422" t="e">
        <f>AND('PROG FORMACIÓN TITULADA'!W926,"AAAAAH79lHQ=")</f>
        <v>#VALUE!</v>
      </c>
      <c r="DN422" t="e">
        <f>AND('PROG FORMACIÓN TITULADA'!X926,"AAAAAH79lHU=")</f>
        <v>#VALUE!</v>
      </c>
      <c r="DO422" t="e">
        <f>AND('PROG FORMACIÓN TITULADA'!Y926,"AAAAAH79lHY=")</f>
        <v>#VALUE!</v>
      </c>
      <c r="DP422" t="e">
        <f>AND('PROG FORMACIÓN TITULADA'!Z926,"AAAAAH79lHc=")</f>
        <v>#VALUE!</v>
      </c>
      <c r="DQ422" t="e">
        <f>AND('PROG FORMACIÓN TITULADA'!E927,"AAAAAH79lHg=")</f>
        <v>#VALUE!</v>
      </c>
      <c r="DR422" t="e">
        <f>AND('PROG FORMACIÓN TITULADA'!F927,"AAAAAH79lHk=")</f>
        <v>#VALUE!</v>
      </c>
      <c r="DS422" t="e">
        <f>AND('PROG FORMACIÓN TITULADA'!G927,"AAAAAH79lHo=")</f>
        <v>#VALUE!</v>
      </c>
      <c r="DT422" t="e">
        <f>AND('PROG FORMACIÓN TITULADA'!H927,"AAAAAH79lHs=")</f>
        <v>#VALUE!</v>
      </c>
      <c r="DU422" t="e">
        <f>AND('PROG FORMACIÓN TITULADA'!I927,"AAAAAH79lHw=")</f>
        <v>#VALUE!</v>
      </c>
      <c r="DV422" t="e">
        <f>AND('PROG FORMACIÓN TITULADA'!J927,"AAAAAH79lH0=")</f>
        <v>#VALUE!</v>
      </c>
      <c r="DW422" t="e">
        <f>AND('PROG FORMACIÓN TITULADA'!K927,"AAAAAH79lH4=")</f>
        <v>#VALUE!</v>
      </c>
      <c r="DX422" t="e">
        <f>AND('PROG FORMACIÓN TITULADA'!L927,"AAAAAH79lH8=")</f>
        <v>#VALUE!</v>
      </c>
      <c r="DY422" t="e">
        <f>AND('PROG FORMACIÓN TITULADA'!M927,"AAAAAH79lIA=")</f>
        <v>#VALUE!</v>
      </c>
      <c r="DZ422" t="e">
        <f>AND('PROG FORMACIÓN TITULADA'!N927,"AAAAAH79lIE=")</f>
        <v>#VALUE!</v>
      </c>
      <c r="EA422" t="e">
        <f>AND('PROG FORMACIÓN TITULADA'!O927,"AAAAAH79lII=")</f>
        <v>#VALUE!</v>
      </c>
      <c r="EB422" t="e">
        <f>AND('PROG FORMACIÓN TITULADA'!P927,"AAAAAH79lIM=")</f>
        <v>#VALUE!</v>
      </c>
      <c r="EC422" t="e">
        <f>AND('PROG FORMACIÓN TITULADA'!Q927,"AAAAAH79lIQ=")</f>
        <v>#VALUE!</v>
      </c>
      <c r="ED422" t="e">
        <f>AND('PROG FORMACIÓN TITULADA'!R927,"AAAAAH79lIU=")</f>
        <v>#VALUE!</v>
      </c>
      <c r="EE422" t="e">
        <f>AND('PROG FORMACIÓN TITULADA'!S927,"AAAAAH79lIY=")</f>
        <v>#VALUE!</v>
      </c>
      <c r="EF422" t="e">
        <f>AND('PROG FORMACIÓN TITULADA'!T927,"AAAAAH79lIc=")</f>
        <v>#VALUE!</v>
      </c>
      <c r="EG422" t="e">
        <f>AND('PROG FORMACIÓN TITULADA'!U927,"AAAAAH79lIg=")</f>
        <v>#VALUE!</v>
      </c>
      <c r="EH422" t="e">
        <f>AND('PROG FORMACIÓN TITULADA'!V927,"AAAAAH79lIk=")</f>
        <v>#VALUE!</v>
      </c>
      <c r="EI422" t="e">
        <f>AND('PROG FORMACIÓN TITULADA'!W927,"AAAAAH79lIo=")</f>
        <v>#VALUE!</v>
      </c>
      <c r="EJ422" t="e">
        <f>AND('PROG FORMACIÓN TITULADA'!X927,"AAAAAH79lIs=")</f>
        <v>#VALUE!</v>
      </c>
      <c r="EK422" t="e">
        <f>AND('PROG FORMACIÓN TITULADA'!Y927,"AAAAAH79lIw=")</f>
        <v>#VALUE!</v>
      </c>
      <c r="EL422" t="e">
        <f>AND('PROG FORMACIÓN TITULADA'!Z927,"AAAAAH79lI0=")</f>
        <v>#VALUE!</v>
      </c>
      <c r="EM422">
        <f>IF('PROG FORM COMPLEM'!32:32,"AAAAAH79lI4=",0)</f>
        <v>0</v>
      </c>
      <c r="EN422" t="e">
        <f>AND('PROG FORM COMPLEM'!B32,"AAAAAH79lI8=")</f>
        <v>#VALUE!</v>
      </c>
      <c r="EO422" t="e">
        <f>AND('PROG FORM COMPLEM'!C32,"AAAAAH79lJA=")</f>
        <v>#VALUE!</v>
      </c>
      <c r="EP422" t="e">
        <f>AND('PROG FORM COMPLEM'!D32,"AAAAAH79lJE=")</f>
        <v>#VALUE!</v>
      </c>
      <c r="EQ422" t="e">
        <f>AND('PROG FORM COMPLEM'!E32,"AAAAAH79lJI=")</f>
        <v>#VALUE!</v>
      </c>
      <c r="ER422" t="e">
        <f>AND('PROG FORM COMPLEM'!F32,"AAAAAH79lJM=")</f>
        <v>#VALUE!</v>
      </c>
      <c r="ES422" t="e">
        <f>AND('PROG FORM COMPLEM'!G32,"AAAAAH79lJQ=")</f>
        <v>#VALUE!</v>
      </c>
      <c r="ET422" t="e">
        <f>AND('PROG FORM COMPLEM'!H32,"AAAAAH79lJU=")</f>
        <v>#VALUE!</v>
      </c>
      <c r="EU422" t="e">
        <f>AND('PROG FORM COMPLEM'!I32,"AAAAAH79lJY=")</f>
        <v>#VALUE!</v>
      </c>
      <c r="EV422" t="e">
        <f>AND('PROG FORM COMPLEM'!J32,"AAAAAH79lJc=")</f>
        <v>#VALUE!</v>
      </c>
      <c r="EW422" t="e">
        <f>AND('PROG FORM COMPLEM'!K32,"AAAAAH79lJg=")</f>
        <v>#VALUE!</v>
      </c>
      <c r="EX422" t="e">
        <f>AND('PROG FORM COMPLEM'!L32,"AAAAAH79lJk=")</f>
        <v>#VALUE!</v>
      </c>
      <c r="EY422" t="e">
        <f>AND('PROG FORM COMPLEM'!M32,"AAAAAH79lJo=")</f>
        <v>#VALUE!</v>
      </c>
      <c r="EZ422" t="e">
        <f>AND('PROG FORM COMPLEM'!N32,"AAAAAH79lJs=")</f>
        <v>#VALUE!</v>
      </c>
      <c r="FA422" t="e">
        <f>AND('PROG FORM COMPLEM'!O32,"AAAAAH79lJw=")</f>
        <v>#VALUE!</v>
      </c>
      <c r="FB422" t="e">
        <f>AND('PROG FORM COMPLEM'!P32,"AAAAAH79lJ0=")</f>
        <v>#VALUE!</v>
      </c>
      <c r="FC422" t="e">
        <f>AND('PROG FORM COMPLEM'!Q32,"AAAAAH79lJ4=")</f>
        <v>#VALUE!</v>
      </c>
      <c r="FD422" t="e">
        <f>AND('PROG FORM COMPLEM'!R32,"AAAAAH79lJ8=")</f>
        <v>#VALUE!</v>
      </c>
      <c r="FE422" t="e">
        <f>AND('PROG FORM COMPLEM'!S32,"AAAAAH79lKA=")</f>
        <v>#VALUE!</v>
      </c>
      <c r="FF422" t="e">
        <f>AND('PROG FORM COMPLEM'!T32,"AAAAAH79lKE=")</f>
        <v>#VALUE!</v>
      </c>
      <c r="FG422" t="e">
        <f>AND('PROG FORM COMPLEM'!U32,"AAAAAH79lKI=")</f>
        <v>#VALUE!</v>
      </c>
      <c r="FH422" t="e">
        <f>AND('PROG FORM COMPLEM'!V32,"AAAAAH79lKM=")</f>
        <v>#VALUE!</v>
      </c>
      <c r="FI422" t="e">
        <f>AND('PROG FORM COMPLEM'!W32,"AAAAAH79lKQ=")</f>
        <v>#VALUE!</v>
      </c>
      <c r="FJ422">
        <f>IF('PROG FORM COMPLEM'!33:33,"AAAAAH79lKU=",0)</f>
        <v>0</v>
      </c>
      <c r="FK422" t="e">
        <f>AND('PROG FORM COMPLEM'!B33,"AAAAAH79lKY=")</f>
        <v>#VALUE!</v>
      </c>
      <c r="FL422" t="e">
        <f>AND('PROG FORM COMPLEM'!C33,"AAAAAH79lKc=")</f>
        <v>#VALUE!</v>
      </c>
      <c r="FM422" t="e">
        <f>AND('PROG FORM COMPLEM'!D33,"AAAAAH79lKg=")</f>
        <v>#VALUE!</v>
      </c>
      <c r="FN422" t="e">
        <f>AND('PROG FORM COMPLEM'!E33,"AAAAAH79lKk=")</f>
        <v>#VALUE!</v>
      </c>
      <c r="FO422" t="e">
        <f>AND('PROG FORM COMPLEM'!F33,"AAAAAH79lKo=")</f>
        <v>#VALUE!</v>
      </c>
      <c r="FP422" t="e">
        <f>AND('PROG FORM COMPLEM'!G33,"AAAAAH79lKs=")</f>
        <v>#VALUE!</v>
      </c>
      <c r="FQ422" t="e">
        <f>AND('PROG FORM COMPLEM'!H33,"AAAAAH79lKw=")</f>
        <v>#VALUE!</v>
      </c>
      <c r="FR422" t="e">
        <f>AND('PROG FORM COMPLEM'!I33,"AAAAAH79lK0=")</f>
        <v>#VALUE!</v>
      </c>
      <c r="FS422" t="e">
        <f>AND('PROG FORM COMPLEM'!J33,"AAAAAH79lK4=")</f>
        <v>#VALUE!</v>
      </c>
      <c r="FT422" t="e">
        <f>AND('PROG FORM COMPLEM'!K33,"AAAAAH79lK8=")</f>
        <v>#VALUE!</v>
      </c>
      <c r="FU422" t="e">
        <f>AND('PROG FORM COMPLEM'!L33,"AAAAAH79lLA=")</f>
        <v>#VALUE!</v>
      </c>
      <c r="FV422" t="e">
        <f>AND('PROG FORM COMPLEM'!M33,"AAAAAH79lLE=")</f>
        <v>#VALUE!</v>
      </c>
      <c r="FW422" t="e">
        <f>AND('PROG FORM COMPLEM'!N33,"AAAAAH79lLI=")</f>
        <v>#VALUE!</v>
      </c>
      <c r="FX422" t="e">
        <f>AND('PROG FORM COMPLEM'!O33,"AAAAAH79lLM=")</f>
        <v>#VALUE!</v>
      </c>
      <c r="FY422" t="e">
        <f>AND('PROG FORM COMPLEM'!P33,"AAAAAH79lLQ=")</f>
        <v>#VALUE!</v>
      </c>
      <c r="FZ422" t="e">
        <f>AND('PROG FORM COMPLEM'!Q33,"AAAAAH79lLU=")</f>
        <v>#VALUE!</v>
      </c>
      <c r="GA422" t="e">
        <f>AND('PROG FORM COMPLEM'!R33,"AAAAAH79lLY=")</f>
        <v>#VALUE!</v>
      </c>
      <c r="GB422" t="e">
        <f>AND('PROG FORM COMPLEM'!S33,"AAAAAH79lLc=")</f>
        <v>#VALUE!</v>
      </c>
      <c r="GC422" t="e">
        <f>AND('PROG FORM COMPLEM'!T33,"AAAAAH79lLg=")</f>
        <v>#VALUE!</v>
      </c>
      <c r="GD422" t="e">
        <f>AND('PROG FORM COMPLEM'!U33,"AAAAAH79lLk=")</f>
        <v>#VALUE!</v>
      </c>
      <c r="GE422" t="e">
        <f>AND('PROG FORM COMPLEM'!V33,"AAAAAH79lLo=")</f>
        <v>#VALUE!</v>
      </c>
      <c r="GF422" t="e">
        <f>AND('PROG FORM COMPLEM'!W33,"AAAAAH79lLs=")</f>
        <v>#VALUE!</v>
      </c>
      <c r="GG422">
        <f>IF('PROG FORM COMPLEM'!34:34,"AAAAAH79lLw=",0)</f>
        <v>0</v>
      </c>
      <c r="GH422" t="e">
        <f>AND('PROG FORM COMPLEM'!B34,"AAAAAH79lL0=")</f>
        <v>#VALUE!</v>
      </c>
      <c r="GI422" t="e">
        <f>AND('PROG FORM COMPLEM'!C34,"AAAAAH79lL4=")</f>
        <v>#VALUE!</v>
      </c>
      <c r="GJ422" t="e">
        <f>AND('PROG FORM COMPLEM'!D34,"AAAAAH79lL8=")</f>
        <v>#VALUE!</v>
      </c>
      <c r="GK422" t="e">
        <f>AND('PROG FORM COMPLEM'!E34,"AAAAAH79lMA=")</f>
        <v>#VALUE!</v>
      </c>
      <c r="GL422" t="e">
        <f>AND('PROG FORM COMPLEM'!F34,"AAAAAH79lME=")</f>
        <v>#VALUE!</v>
      </c>
      <c r="GM422" t="e">
        <f>AND('PROG FORM COMPLEM'!G34,"AAAAAH79lMI=")</f>
        <v>#VALUE!</v>
      </c>
      <c r="GN422" t="e">
        <f>AND('PROG FORM COMPLEM'!H34,"AAAAAH79lMM=")</f>
        <v>#VALUE!</v>
      </c>
      <c r="GO422" t="e">
        <f>AND('PROG FORM COMPLEM'!I34,"AAAAAH79lMQ=")</f>
        <v>#VALUE!</v>
      </c>
      <c r="GP422" t="e">
        <f>AND('PROG FORM COMPLEM'!J34,"AAAAAH79lMU=")</f>
        <v>#VALUE!</v>
      </c>
      <c r="GQ422" t="e">
        <f>AND('PROG FORM COMPLEM'!K34,"AAAAAH79lMY=")</f>
        <v>#VALUE!</v>
      </c>
      <c r="GR422" t="e">
        <f>AND('PROG FORM COMPLEM'!L34,"AAAAAH79lMc=")</f>
        <v>#VALUE!</v>
      </c>
      <c r="GS422" t="e">
        <f>AND('PROG FORM COMPLEM'!M34,"AAAAAH79lMg=")</f>
        <v>#VALUE!</v>
      </c>
      <c r="GT422" t="e">
        <f>AND('PROG FORM COMPLEM'!N34,"AAAAAH79lMk=")</f>
        <v>#VALUE!</v>
      </c>
      <c r="GU422" t="e">
        <f>AND('PROG FORM COMPLEM'!O34,"AAAAAH79lMo=")</f>
        <v>#VALUE!</v>
      </c>
      <c r="GV422" t="e">
        <f>AND('PROG FORM COMPLEM'!P34,"AAAAAH79lMs=")</f>
        <v>#VALUE!</v>
      </c>
      <c r="GW422" t="e">
        <f>AND('PROG FORM COMPLEM'!Q34,"AAAAAH79lMw=")</f>
        <v>#VALUE!</v>
      </c>
      <c r="GX422" t="e">
        <f>AND('PROG FORM COMPLEM'!R34,"AAAAAH79lM0=")</f>
        <v>#VALUE!</v>
      </c>
      <c r="GY422" t="e">
        <f>AND('PROG FORM COMPLEM'!S34,"AAAAAH79lM4=")</f>
        <v>#VALUE!</v>
      </c>
      <c r="GZ422" t="e">
        <f>AND('PROG FORM COMPLEM'!T34,"AAAAAH79lM8=")</f>
        <v>#VALUE!</v>
      </c>
      <c r="HA422" t="e">
        <f>AND('PROG FORM COMPLEM'!U34,"AAAAAH79lNA=")</f>
        <v>#VALUE!</v>
      </c>
      <c r="HB422" t="e">
        <f>AND('PROG FORM COMPLEM'!V34,"AAAAAH79lNE=")</f>
        <v>#VALUE!</v>
      </c>
      <c r="HC422" t="e">
        <f>AND('PROG FORM COMPLEM'!W34,"AAAAAH79lNI=")</f>
        <v>#VALUE!</v>
      </c>
      <c r="HD422" t="e">
        <f>IF('PROG FORM COMPLEM'!#REF!,"AAAAAH79lNM=",0)</f>
        <v>#REF!</v>
      </c>
      <c r="HE422" t="e">
        <f>AND('PROG FORM COMPLEM'!#REF!,"AAAAAH79lNQ=")</f>
        <v>#REF!</v>
      </c>
      <c r="HF422" t="e">
        <f>AND('PROG FORM COMPLEM'!#REF!,"AAAAAH79lNU=")</f>
        <v>#REF!</v>
      </c>
      <c r="HG422" t="e">
        <f>AND('PROG FORM COMPLEM'!#REF!,"AAAAAH79lNY=")</f>
        <v>#REF!</v>
      </c>
      <c r="HH422" t="e">
        <f>AND('PROG FORM COMPLEM'!#REF!,"AAAAAH79lNc=")</f>
        <v>#REF!</v>
      </c>
      <c r="HI422" t="e">
        <f>AND('PROG FORM COMPLEM'!#REF!,"AAAAAH79lNg=")</f>
        <v>#REF!</v>
      </c>
      <c r="HJ422" t="e">
        <f>AND('PROG FORM COMPLEM'!#REF!,"AAAAAH79lNk=")</f>
        <v>#REF!</v>
      </c>
      <c r="HK422" t="e">
        <f>AND('PROG FORM COMPLEM'!#REF!,"AAAAAH79lNo=")</f>
        <v>#REF!</v>
      </c>
      <c r="HL422" t="e">
        <f>AND('PROG FORM COMPLEM'!#REF!,"AAAAAH79lNs=")</f>
        <v>#REF!</v>
      </c>
      <c r="HM422" t="e">
        <f>AND('PROG FORM COMPLEM'!#REF!,"AAAAAH79lNw=")</f>
        <v>#REF!</v>
      </c>
      <c r="HN422" t="e">
        <f>AND('PROG FORM COMPLEM'!#REF!,"AAAAAH79lN0=")</f>
        <v>#REF!</v>
      </c>
      <c r="HO422" t="e">
        <f>AND('PROG FORM COMPLEM'!#REF!,"AAAAAH79lN4=")</f>
        <v>#REF!</v>
      </c>
      <c r="HP422" t="e">
        <f>AND('PROG FORM COMPLEM'!#REF!,"AAAAAH79lN8=")</f>
        <v>#REF!</v>
      </c>
      <c r="HQ422" t="e">
        <f>AND('PROG FORM COMPLEM'!#REF!,"AAAAAH79lOA=")</f>
        <v>#REF!</v>
      </c>
      <c r="HR422" t="e">
        <f>AND('PROG FORM COMPLEM'!#REF!,"AAAAAH79lOE=")</f>
        <v>#REF!</v>
      </c>
      <c r="HS422" t="e">
        <f>AND('PROG FORM COMPLEM'!#REF!,"AAAAAH79lOI=")</f>
        <v>#REF!</v>
      </c>
      <c r="HT422" t="e">
        <f>AND('PROG FORM COMPLEM'!#REF!,"AAAAAH79lOM=")</f>
        <v>#REF!</v>
      </c>
      <c r="HU422" t="e">
        <f>AND('PROG FORM COMPLEM'!#REF!,"AAAAAH79lOQ=")</f>
        <v>#REF!</v>
      </c>
      <c r="HV422" t="e">
        <f>AND('PROG FORM COMPLEM'!#REF!,"AAAAAH79lOU=")</f>
        <v>#REF!</v>
      </c>
      <c r="HW422" t="e">
        <f>AND('PROG FORM COMPLEM'!#REF!,"AAAAAH79lOY=")</f>
        <v>#REF!</v>
      </c>
      <c r="HX422" t="e">
        <f>AND('PROG FORM COMPLEM'!#REF!,"AAAAAH79lOc=")</f>
        <v>#REF!</v>
      </c>
      <c r="HY422" t="e">
        <f>AND('PROG FORM COMPLEM'!#REF!,"AAAAAH79lOg=")</f>
        <v>#REF!</v>
      </c>
      <c r="HZ422" t="e">
        <f>AND('PROG FORM COMPLEM'!#REF!,"AAAAAH79lOk=")</f>
        <v>#REF!</v>
      </c>
      <c r="IA422">
        <f>IF('PROG FORM COMPLEM'!140:140,"AAAAAH79lOo=",0)</f>
        <v>0</v>
      </c>
      <c r="IB422" t="e">
        <f>AND('PROG FORM COMPLEM'!B140,"AAAAAH79lOs=")</f>
        <v>#VALUE!</v>
      </c>
      <c r="IC422" t="e">
        <f>AND('PROG FORM COMPLEM'!C140,"AAAAAH79lOw=")</f>
        <v>#VALUE!</v>
      </c>
      <c r="ID422" t="e">
        <f>AND('PROG FORM COMPLEM'!D140,"AAAAAH79lO0=")</f>
        <v>#VALUE!</v>
      </c>
      <c r="IE422" t="e">
        <f>AND('PROG FORM COMPLEM'!E140,"AAAAAH79lO4=")</f>
        <v>#VALUE!</v>
      </c>
      <c r="IF422" t="e">
        <f>AND('PROG FORM COMPLEM'!F140,"AAAAAH79lO8=")</f>
        <v>#VALUE!</v>
      </c>
      <c r="IG422" t="e">
        <f>AND('PROG FORM COMPLEM'!G140,"AAAAAH79lPA=")</f>
        <v>#VALUE!</v>
      </c>
      <c r="IH422" t="e">
        <f>AND('PROG FORM COMPLEM'!H140,"AAAAAH79lPE=")</f>
        <v>#VALUE!</v>
      </c>
      <c r="II422" t="e">
        <f>AND('PROG FORM COMPLEM'!I140,"AAAAAH79lPI=")</f>
        <v>#VALUE!</v>
      </c>
      <c r="IJ422" t="e">
        <f>AND('PROG FORM COMPLEM'!J140,"AAAAAH79lPM=")</f>
        <v>#VALUE!</v>
      </c>
      <c r="IK422" t="e">
        <f>AND('PROG FORM COMPLEM'!K140,"AAAAAH79lPQ=")</f>
        <v>#VALUE!</v>
      </c>
      <c r="IL422" t="e">
        <f>AND('PROG FORM COMPLEM'!L140,"AAAAAH79lPU=")</f>
        <v>#VALUE!</v>
      </c>
      <c r="IM422" t="e">
        <f>AND('PROG FORM COMPLEM'!M140,"AAAAAH79lPY=")</f>
        <v>#VALUE!</v>
      </c>
      <c r="IN422" t="e">
        <f>AND('PROG FORM COMPLEM'!N140,"AAAAAH79lPc=")</f>
        <v>#VALUE!</v>
      </c>
      <c r="IO422" t="e">
        <f>AND('PROG FORM COMPLEM'!O140,"AAAAAH79lPg=")</f>
        <v>#VALUE!</v>
      </c>
      <c r="IP422" t="e">
        <f>AND('PROG FORM COMPLEM'!P140,"AAAAAH79lPk=")</f>
        <v>#VALUE!</v>
      </c>
      <c r="IQ422" t="e">
        <f>AND('PROG FORM COMPLEM'!Q140,"AAAAAH79lPo=")</f>
        <v>#VALUE!</v>
      </c>
      <c r="IR422" t="e">
        <f>AND('PROG FORM COMPLEM'!R140,"AAAAAH79lPs=")</f>
        <v>#VALUE!</v>
      </c>
      <c r="IS422" t="e">
        <f>AND('PROG FORM COMPLEM'!S140,"AAAAAH79lPw=")</f>
        <v>#VALUE!</v>
      </c>
      <c r="IT422" t="e">
        <f>AND('PROG FORM COMPLEM'!T140,"AAAAAH79lP0=")</f>
        <v>#VALUE!</v>
      </c>
      <c r="IU422" t="e">
        <f>AND('PROG FORM COMPLEM'!U140,"AAAAAH79lP4=")</f>
        <v>#VALUE!</v>
      </c>
      <c r="IV422" t="e">
        <f>AND('PROG FORM COMPLEM'!V140,"AAAAAH79lP8=")</f>
        <v>#VALUE!</v>
      </c>
    </row>
    <row r="423" spans="1:256" x14ac:dyDescent="0.2">
      <c r="A423" t="e">
        <f>AND('PROG FORM COMPLEM'!W140,"AAAAAGr8PAA=")</f>
        <v>#VALUE!</v>
      </c>
      <c r="B423" t="e">
        <f>IF('PROG FORM COMPLEM'!#REF!,"AAAAAGr8PAE=",0)</f>
        <v>#REF!</v>
      </c>
      <c r="C423" t="e">
        <f>AND('PROG FORM COMPLEM'!#REF!,"AAAAAGr8PAI=")</f>
        <v>#REF!</v>
      </c>
      <c r="D423" t="e">
        <f>AND('PROG FORM COMPLEM'!#REF!,"AAAAAGr8PAM=")</f>
        <v>#REF!</v>
      </c>
      <c r="E423" t="e">
        <f>AND('PROG FORM COMPLEM'!#REF!,"AAAAAGr8PAQ=")</f>
        <v>#REF!</v>
      </c>
      <c r="F423" t="e">
        <f>AND('PROG FORM COMPLEM'!#REF!,"AAAAAGr8PAU=")</f>
        <v>#REF!</v>
      </c>
      <c r="G423" t="e">
        <f>AND('PROG FORM COMPLEM'!#REF!,"AAAAAGr8PAY=")</f>
        <v>#REF!</v>
      </c>
      <c r="H423" t="e">
        <f>AND('PROG FORM COMPLEM'!#REF!,"AAAAAGr8PAc=")</f>
        <v>#REF!</v>
      </c>
      <c r="I423" t="e">
        <f>AND('PROG FORM COMPLEM'!#REF!,"AAAAAGr8PAg=")</f>
        <v>#REF!</v>
      </c>
      <c r="J423" t="e">
        <f>AND('PROG FORM COMPLEM'!#REF!,"AAAAAGr8PAk=")</f>
        <v>#REF!</v>
      </c>
      <c r="K423" t="e">
        <f>AND('PROG FORM COMPLEM'!#REF!,"AAAAAGr8PAo=")</f>
        <v>#REF!</v>
      </c>
      <c r="L423" t="e">
        <f>AND('PROG FORM COMPLEM'!#REF!,"AAAAAGr8PAs=")</f>
        <v>#REF!</v>
      </c>
      <c r="M423" t="e">
        <f>AND('PROG FORM COMPLEM'!#REF!,"AAAAAGr8PAw=")</f>
        <v>#REF!</v>
      </c>
      <c r="N423" t="e">
        <f>AND('PROG FORM COMPLEM'!#REF!,"AAAAAGr8PA0=")</f>
        <v>#REF!</v>
      </c>
      <c r="O423" t="e">
        <f>AND('PROG FORM COMPLEM'!#REF!,"AAAAAGr8PA4=")</f>
        <v>#REF!</v>
      </c>
      <c r="P423" t="e">
        <f>AND('PROG FORM COMPLEM'!#REF!,"AAAAAGr8PA8=")</f>
        <v>#REF!</v>
      </c>
      <c r="Q423" t="e">
        <f>AND('PROG FORM COMPLEM'!#REF!,"AAAAAGr8PBA=")</f>
        <v>#REF!</v>
      </c>
      <c r="R423" t="e">
        <f>AND('PROG FORM COMPLEM'!#REF!,"AAAAAGr8PBE=")</f>
        <v>#REF!</v>
      </c>
      <c r="S423" t="e">
        <f>AND('PROG FORM COMPLEM'!#REF!,"AAAAAGr8PBI=")</f>
        <v>#REF!</v>
      </c>
      <c r="T423" t="e">
        <f>AND('PROG FORM COMPLEM'!#REF!,"AAAAAGr8PBM=")</f>
        <v>#REF!</v>
      </c>
      <c r="U423" t="e">
        <f>AND('PROG FORM COMPLEM'!#REF!,"AAAAAGr8PBQ=")</f>
        <v>#REF!</v>
      </c>
      <c r="V423" t="e">
        <f>AND('PROG FORM COMPLEM'!#REF!,"AAAAAGr8PBU=")</f>
        <v>#REF!</v>
      </c>
      <c r="W423" t="e">
        <f>AND('PROG FORM COMPLEM'!#REF!,"AAAAAGr8PBY=")</f>
        <v>#REF!</v>
      </c>
      <c r="X423" t="e">
        <f>AND('PROG FORM COMPLEM'!#REF!,"AAAAAGr8PBc=")</f>
        <v>#REF!</v>
      </c>
      <c r="Y423">
        <f>IF('PROG FORM COMPLEM'!171:171,"AAAAAGr8PBg=",0)</f>
        <v>0</v>
      </c>
      <c r="Z423" t="e">
        <f>AND('PROG FORM COMPLEM'!B171,"AAAAAGr8PBk=")</f>
        <v>#VALUE!</v>
      </c>
      <c r="AA423" t="e">
        <f>AND('PROG FORM COMPLEM'!C171,"AAAAAGr8PBo=")</f>
        <v>#VALUE!</v>
      </c>
      <c r="AB423" t="e">
        <f>AND('PROG FORM COMPLEM'!D171,"AAAAAGr8PBs=")</f>
        <v>#VALUE!</v>
      </c>
      <c r="AC423" t="e">
        <f>AND('PROG FORM COMPLEM'!E171,"AAAAAGr8PBw=")</f>
        <v>#VALUE!</v>
      </c>
      <c r="AD423" t="e">
        <f>AND('PROG FORM COMPLEM'!F171,"AAAAAGr8PB0=")</f>
        <v>#VALUE!</v>
      </c>
      <c r="AE423" t="e">
        <f>AND('PROG FORM COMPLEM'!G171,"AAAAAGr8PB4=")</f>
        <v>#VALUE!</v>
      </c>
      <c r="AF423" t="e">
        <f>AND('PROG FORM COMPLEM'!H171,"AAAAAGr8PB8=")</f>
        <v>#VALUE!</v>
      </c>
      <c r="AG423" t="e">
        <f>AND('PROG FORM COMPLEM'!I171,"AAAAAGr8PCA=")</f>
        <v>#VALUE!</v>
      </c>
      <c r="AH423" t="e">
        <f>AND('PROG FORM COMPLEM'!J171,"AAAAAGr8PCE=")</f>
        <v>#VALUE!</v>
      </c>
      <c r="AI423" t="e">
        <f>AND('PROG FORM COMPLEM'!K171,"AAAAAGr8PCI=")</f>
        <v>#VALUE!</v>
      </c>
      <c r="AJ423" t="e">
        <f>AND('PROG FORM COMPLEM'!L171,"AAAAAGr8PCM=")</f>
        <v>#VALUE!</v>
      </c>
      <c r="AK423" t="e">
        <f>AND('PROG FORM COMPLEM'!M171,"AAAAAGr8PCQ=")</f>
        <v>#VALUE!</v>
      </c>
      <c r="AL423" t="e">
        <f>AND('PROG FORM COMPLEM'!N171,"AAAAAGr8PCU=")</f>
        <v>#VALUE!</v>
      </c>
      <c r="AM423" t="e">
        <f>AND('PROG FORM COMPLEM'!O171,"AAAAAGr8PCY=")</f>
        <v>#VALUE!</v>
      </c>
      <c r="AN423" t="e">
        <f>AND('PROG FORM COMPLEM'!P171,"AAAAAGr8PCc=")</f>
        <v>#VALUE!</v>
      </c>
      <c r="AO423" t="e">
        <f>AND('PROG FORM COMPLEM'!Q171,"AAAAAGr8PCg=")</f>
        <v>#VALUE!</v>
      </c>
      <c r="AP423" t="e">
        <f>AND('PROG FORM COMPLEM'!R171,"AAAAAGr8PCk=")</f>
        <v>#VALUE!</v>
      </c>
      <c r="AQ423" t="e">
        <f>AND('PROG FORM COMPLEM'!S171,"AAAAAGr8PCo=")</f>
        <v>#VALUE!</v>
      </c>
      <c r="AR423" t="e">
        <f>AND('PROG FORM COMPLEM'!T171,"AAAAAGr8PCs=")</f>
        <v>#VALUE!</v>
      </c>
      <c r="AS423" t="e">
        <f>AND('PROG FORM COMPLEM'!U171,"AAAAAGr8PCw=")</f>
        <v>#VALUE!</v>
      </c>
      <c r="AT423" t="e">
        <f>AND('PROG FORM COMPLEM'!V171,"AAAAAGr8PC0=")</f>
        <v>#VALUE!</v>
      </c>
      <c r="AU423" t="e">
        <f>AND('PROG FORM COMPLEM'!W171,"AAAAAGr8PC4=")</f>
        <v>#VALUE!</v>
      </c>
      <c r="AV423">
        <f>IF('PROG FORM COMPLEM'!172:172,"AAAAAGr8PC8=",0)</f>
        <v>0</v>
      </c>
      <c r="AW423" t="e">
        <f>AND('PROG FORM COMPLEM'!B172,"AAAAAGr8PDA=")</f>
        <v>#VALUE!</v>
      </c>
      <c r="AX423" t="e">
        <f>AND('PROG FORM COMPLEM'!C172,"AAAAAGr8PDE=")</f>
        <v>#VALUE!</v>
      </c>
      <c r="AY423" t="e">
        <f>AND('PROG FORM COMPLEM'!D172,"AAAAAGr8PDI=")</f>
        <v>#VALUE!</v>
      </c>
      <c r="AZ423" t="e">
        <f>AND('PROG FORM COMPLEM'!E172,"AAAAAGr8PDM=")</f>
        <v>#VALUE!</v>
      </c>
      <c r="BA423" t="e">
        <f>AND('PROG FORM COMPLEM'!F172,"AAAAAGr8PDQ=")</f>
        <v>#VALUE!</v>
      </c>
      <c r="BB423" t="e">
        <f>AND('PROG FORM COMPLEM'!G172,"AAAAAGr8PDU=")</f>
        <v>#VALUE!</v>
      </c>
      <c r="BC423" t="e">
        <f>AND('PROG FORM COMPLEM'!H172,"AAAAAGr8PDY=")</f>
        <v>#VALUE!</v>
      </c>
      <c r="BD423" t="e">
        <f>AND('PROG FORM COMPLEM'!I172,"AAAAAGr8PDc=")</f>
        <v>#VALUE!</v>
      </c>
      <c r="BE423" t="e">
        <f>AND('PROG FORM COMPLEM'!J172,"AAAAAGr8PDg=")</f>
        <v>#VALUE!</v>
      </c>
      <c r="BF423" t="e">
        <f>AND('PROG FORM COMPLEM'!K172,"AAAAAGr8PDk=")</f>
        <v>#VALUE!</v>
      </c>
      <c r="BG423" t="e">
        <f>AND('PROG FORM COMPLEM'!L172,"AAAAAGr8PDo=")</f>
        <v>#VALUE!</v>
      </c>
      <c r="BH423" t="e">
        <f>AND('PROG FORM COMPLEM'!M172,"AAAAAGr8PDs=")</f>
        <v>#VALUE!</v>
      </c>
      <c r="BI423" t="e">
        <f>AND('PROG FORM COMPLEM'!N172,"AAAAAGr8PDw=")</f>
        <v>#VALUE!</v>
      </c>
      <c r="BJ423" t="e">
        <f>AND('PROG FORM COMPLEM'!O172,"AAAAAGr8PD0=")</f>
        <v>#VALUE!</v>
      </c>
      <c r="BK423" t="e">
        <f>AND('PROG FORM COMPLEM'!P172,"AAAAAGr8PD4=")</f>
        <v>#VALUE!</v>
      </c>
      <c r="BL423" t="e">
        <f>AND('PROG FORM COMPLEM'!Q172,"AAAAAGr8PD8=")</f>
        <v>#VALUE!</v>
      </c>
      <c r="BM423" t="e">
        <f>AND('PROG FORM COMPLEM'!R172,"AAAAAGr8PEA=")</f>
        <v>#VALUE!</v>
      </c>
      <c r="BN423" t="e">
        <f>AND('PROG FORM COMPLEM'!S172,"AAAAAGr8PEE=")</f>
        <v>#VALUE!</v>
      </c>
      <c r="BO423" t="e">
        <f>AND('PROG FORM COMPLEM'!T172,"AAAAAGr8PEI=")</f>
        <v>#VALUE!</v>
      </c>
      <c r="BP423" t="e">
        <f>AND('PROG FORM COMPLEM'!U172,"AAAAAGr8PEM=")</f>
        <v>#VALUE!</v>
      </c>
      <c r="BQ423" t="e">
        <f>AND('PROG FORM COMPLEM'!V172,"AAAAAGr8PEQ=")</f>
        <v>#VALUE!</v>
      </c>
      <c r="BR423" t="e">
        <f>AND('PROG FORM COMPLEM'!W172,"AAAAAGr8PEU=")</f>
        <v>#VALUE!</v>
      </c>
      <c r="BS423">
        <f>IF('PROG FORM COMPLEM'!173:173,"AAAAAGr8PEY=",0)</f>
        <v>0</v>
      </c>
      <c r="BT423" t="e">
        <f>AND('PROG FORM COMPLEM'!B173,"AAAAAGr8PEc=")</f>
        <v>#VALUE!</v>
      </c>
      <c r="BU423" t="e">
        <f>AND('PROG FORM COMPLEM'!C173,"AAAAAGr8PEg=")</f>
        <v>#VALUE!</v>
      </c>
      <c r="BV423" t="e">
        <f>AND('PROG FORM COMPLEM'!D173,"AAAAAGr8PEk=")</f>
        <v>#VALUE!</v>
      </c>
      <c r="BW423" t="e">
        <f>AND('PROG FORM COMPLEM'!E173,"AAAAAGr8PEo=")</f>
        <v>#VALUE!</v>
      </c>
      <c r="BX423" t="e">
        <f>AND('PROG FORM COMPLEM'!F173,"AAAAAGr8PEs=")</f>
        <v>#VALUE!</v>
      </c>
      <c r="BY423" t="e">
        <f>AND('PROG FORM COMPLEM'!G173,"AAAAAGr8PEw=")</f>
        <v>#VALUE!</v>
      </c>
      <c r="BZ423" t="e">
        <f>AND('PROG FORM COMPLEM'!H173,"AAAAAGr8PE0=")</f>
        <v>#VALUE!</v>
      </c>
      <c r="CA423" t="e">
        <f>AND('PROG FORM COMPLEM'!I173,"AAAAAGr8PE4=")</f>
        <v>#VALUE!</v>
      </c>
      <c r="CB423" t="e">
        <f>AND('PROG FORM COMPLEM'!J173,"AAAAAGr8PE8=")</f>
        <v>#VALUE!</v>
      </c>
      <c r="CC423" t="e">
        <f>AND('PROG FORM COMPLEM'!K173,"AAAAAGr8PFA=")</f>
        <v>#VALUE!</v>
      </c>
      <c r="CD423" t="e">
        <f>AND('PROG FORM COMPLEM'!L173,"AAAAAGr8PFE=")</f>
        <v>#VALUE!</v>
      </c>
      <c r="CE423" t="e">
        <f>AND('PROG FORM COMPLEM'!M173,"AAAAAGr8PFI=")</f>
        <v>#VALUE!</v>
      </c>
      <c r="CF423" t="e">
        <f>AND('PROG FORM COMPLEM'!N173,"AAAAAGr8PFM=")</f>
        <v>#VALUE!</v>
      </c>
      <c r="CG423" t="e">
        <f>AND('PROG FORM COMPLEM'!O173,"AAAAAGr8PFQ=")</f>
        <v>#VALUE!</v>
      </c>
      <c r="CH423" t="e">
        <f>AND('PROG FORM COMPLEM'!P173,"AAAAAGr8PFU=")</f>
        <v>#VALUE!</v>
      </c>
      <c r="CI423" t="e">
        <f>AND('PROG FORM COMPLEM'!Q173,"AAAAAGr8PFY=")</f>
        <v>#VALUE!</v>
      </c>
      <c r="CJ423" t="e">
        <f>AND('PROG FORM COMPLEM'!R173,"AAAAAGr8PFc=")</f>
        <v>#VALUE!</v>
      </c>
      <c r="CK423" t="e">
        <f>AND('PROG FORM COMPLEM'!S173,"AAAAAGr8PFg=")</f>
        <v>#VALUE!</v>
      </c>
      <c r="CL423" t="e">
        <f>AND('PROG FORM COMPLEM'!T173,"AAAAAGr8PFk=")</f>
        <v>#VALUE!</v>
      </c>
      <c r="CM423" t="e">
        <f>AND('PROG FORM COMPLEM'!U173,"AAAAAGr8PFo=")</f>
        <v>#VALUE!</v>
      </c>
      <c r="CN423" t="e">
        <f>AND('PROG FORM COMPLEM'!V173,"AAAAAGr8PFs=")</f>
        <v>#VALUE!</v>
      </c>
      <c r="CO423" t="e">
        <f>AND('PROG FORM COMPLEM'!W173,"AAAAAGr8PFw=")</f>
        <v>#VALUE!</v>
      </c>
      <c r="CP423" t="e">
        <f>IF('PROG FORM COMPLEM'!#REF!,"AAAAAGr8PF0=",0)</f>
        <v>#REF!</v>
      </c>
      <c r="CQ423" t="e">
        <f>AND('PROG FORM COMPLEM'!#REF!,"AAAAAGr8PF4=")</f>
        <v>#REF!</v>
      </c>
      <c r="CR423" t="e">
        <f>AND('PROG FORM COMPLEM'!#REF!,"AAAAAGr8PF8=")</f>
        <v>#REF!</v>
      </c>
      <c r="CS423" t="e">
        <f>AND('PROG FORM COMPLEM'!#REF!,"AAAAAGr8PGA=")</f>
        <v>#REF!</v>
      </c>
      <c r="CT423" t="e">
        <f>AND('PROG FORM COMPLEM'!#REF!,"AAAAAGr8PGE=")</f>
        <v>#REF!</v>
      </c>
      <c r="CU423" t="e">
        <f>AND('PROG FORM COMPLEM'!#REF!,"AAAAAGr8PGI=")</f>
        <v>#REF!</v>
      </c>
      <c r="CV423" t="e">
        <f>AND('PROG FORM COMPLEM'!#REF!,"AAAAAGr8PGM=")</f>
        <v>#REF!</v>
      </c>
      <c r="CW423" t="e">
        <f>AND('PROG FORM COMPLEM'!#REF!,"AAAAAGr8PGQ=")</f>
        <v>#REF!</v>
      </c>
      <c r="CX423" t="e">
        <f>AND('PROG FORM COMPLEM'!#REF!,"AAAAAGr8PGU=")</f>
        <v>#REF!</v>
      </c>
      <c r="CY423" t="e">
        <f>AND('PROG FORM COMPLEM'!#REF!,"AAAAAGr8PGY=")</f>
        <v>#REF!</v>
      </c>
      <c r="CZ423" t="e">
        <f>AND('PROG FORM COMPLEM'!#REF!,"AAAAAGr8PGc=")</f>
        <v>#REF!</v>
      </c>
      <c r="DA423" t="e">
        <f>AND('PROG FORM COMPLEM'!#REF!,"AAAAAGr8PGg=")</f>
        <v>#REF!</v>
      </c>
      <c r="DB423" t="e">
        <f>AND('PROG FORM COMPLEM'!#REF!,"AAAAAGr8PGk=")</f>
        <v>#REF!</v>
      </c>
      <c r="DC423" t="e">
        <f>AND('PROG FORM COMPLEM'!#REF!,"AAAAAGr8PGo=")</f>
        <v>#REF!</v>
      </c>
      <c r="DD423" t="e">
        <f>AND('PROG FORM COMPLEM'!#REF!,"AAAAAGr8PGs=")</f>
        <v>#REF!</v>
      </c>
      <c r="DE423" t="e">
        <f>AND('PROG FORM COMPLEM'!#REF!,"AAAAAGr8PGw=")</f>
        <v>#REF!</v>
      </c>
      <c r="DF423" t="e">
        <f>AND('PROG FORM COMPLEM'!#REF!,"AAAAAGr8PG0=")</f>
        <v>#REF!</v>
      </c>
      <c r="DG423" t="e">
        <f>AND('PROG FORM COMPLEM'!#REF!,"AAAAAGr8PG4=")</f>
        <v>#REF!</v>
      </c>
      <c r="DH423" t="e">
        <f>AND('PROG FORM COMPLEM'!#REF!,"AAAAAGr8PG8=")</f>
        <v>#REF!</v>
      </c>
      <c r="DI423" t="e">
        <f>AND('PROG FORM COMPLEM'!#REF!,"AAAAAGr8PHA=")</f>
        <v>#REF!</v>
      </c>
      <c r="DJ423" t="e">
        <f>AND('PROG FORM COMPLEM'!#REF!,"AAAAAGr8PHE=")</f>
        <v>#REF!</v>
      </c>
      <c r="DK423" t="e">
        <f>AND('PROG FORM COMPLEM'!#REF!,"AAAAAGr8PHI=")</f>
        <v>#REF!</v>
      </c>
      <c r="DL423" t="e">
        <f>AND('PROG FORM COMPLEM'!#REF!,"AAAAAGr8PHM=")</f>
        <v>#REF!</v>
      </c>
      <c r="DM423" t="e">
        <f>IF('PROG FORM COMPLEM'!#REF!,"AAAAAGr8PHQ=",0)</f>
        <v>#REF!</v>
      </c>
      <c r="DN423" t="e">
        <f>AND('PROG FORM COMPLEM'!#REF!,"AAAAAGr8PHU=")</f>
        <v>#REF!</v>
      </c>
      <c r="DO423" t="e">
        <f>AND('PROG FORM COMPLEM'!#REF!,"AAAAAGr8PHY=")</f>
        <v>#REF!</v>
      </c>
      <c r="DP423" t="e">
        <f>AND('PROG FORM COMPLEM'!#REF!,"AAAAAGr8PHc=")</f>
        <v>#REF!</v>
      </c>
      <c r="DQ423" t="e">
        <f>AND('PROG FORM COMPLEM'!#REF!,"AAAAAGr8PHg=")</f>
        <v>#REF!</v>
      </c>
      <c r="DR423" t="e">
        <f>AND('PROG FORM COMPLEM'!#REF!,"AAAAAGr8PHk=")</f>
        <v>#REF!</v>
      </c>
      <c r="DS423" t="e">
        <f>AND('PROG FORM COMPLEM'!#REF!,"AAAAAGr8PHo=")</f>
        <v>#REF!</v>
      </c>
      <c r="DT423" t="e">
        <f>AND('PROG FORM COMPLEM'!#REF!,"AAAAAGr8PHs=")</f>
        <v>#REF!</v>
      </c>
      <c r="DU423" t="e">
        <f>AND('PROG FORM COMPLEM'!#REF!,"AAAAAGr8PHw=")</f>
        <v>#REF!</v>
      </c>
      <c r="DV423" t="e">
        <f>AND('PROG FORM COMPLEM'!#REF!,"AAAAAGr8PH0=")</f>
        <v>#REF!</v>
      </c>
      <c r="DW423" t="e">
        <f>AND('PROG FORM COMPLEM'!#REF!,"AAAAAGr8PH4=")</f>
        <v>#REF!</v>
      </c>
      <c r="DX423" t="e">
        <f>AND('PROG FORM COMPLEM'!#REF!,"AAAAAGr8PH8=")</f>
        <v>#REF!</v>
      </c>
      <c r="DY423" t="e">
        <f>AND('PROG FORM COMPLEM'!#REF!,"AAAAAGr8PIA=")</f>
        <v>#REF!</v>
      </c>
      <c r="DZ423" t="e">
        <f>AND('PROG FORM COMPLEM'!#REF!,"AAAAAGr8PIE=")</f>
        <v>#REF!</v>
      </c>
      <c r="EA423" t="e">
        <f>AND('PROG FORM COMPLEM'!#REF!,"AAAAAGr8PII=")</f>
        <v>#REF!</v>
      </c>
      <c r="EB423" t="e">
        <f>AND('PROG FORM COMPLEM'!#REF!,"AAAAAGr8PIM=")</f>
        <v>#REF!</v>
      </c>
      <c r="EC423" t="e">
        <f>AND('PROG FORM COMPLEM'!#REF!,"AAAAAGr8PIQ=")</f>
        <v>#REF!</v>
      </c>
      <c r="ED423" t="e">
        <f>AND('PROG FORM COMPLEM'!#REF!,"AAAAAGr8PIU=")</f>
        <v>#REF!</v>
      </c>
      <c r="EE423" t="e">
        <f>AND('PROG FORM COMPLEM'!#REF!,"AAAAAGr8PIY=")</f>
        <v>#REF!</v>
      </c>
      <c r="EF423" t="e">
        <f>AND('PROG FORM COMPLEM'!#REF!,"AAAAAGr8PIc=")</f>
        <v>#REF!</v>
      </c>
      <c r="EG423" t="e">
        <f>AND('PROG FORM COMPLEM'!#REF!,"AAAAAGr8PIg=")</f>
        <v>#REF!</v>
      </c>
      <c r="EH423" t="e">
        <f>AND('PROG FORM COMPLEM'!#REF!,"AAAAAGr8PIk=")</f>
        <v>#REF!</v>
      </c>
      <c r="EI423" t="e">
        <f>AND('PROG FORM COMPLEM'!#REF!,"AAAAAGr8PIo=")</f>
        <v>#REF!</v>
      </c>
      <c r="EJ423" t="e">
        <f>IF('PROG FORM COMPLEM'!#REF!,"AAAAAGr8PIs=",0)</f>
        <v>#REF!</v>
      </c>
      <c r="EK423" t="e">
        <f>AND('PROG FORM COMPLEM'!#REF!,"AAAAAGr8PIw=")</f>
        <v>#REF!</v>
      </c>
      <c r="EL423" t="e">
        <f>AND('PROG FORM COMPLEM'!#REF!,"AAAAAGr8PI0=")</f>
        <v>#REF!</v>
      </c>
      <c r="EM423" t="e">
        <f>AND('PROG FORM COMPLEM'!#REF!,"AAAAAGr8PI4=")</f>
        <v>#REF!</v>
      </c>
      <c r="EN423" t="e">
        <f>AND('PROG FORM COMPLEM'!#REF!,"AAAAAGr8PI8=")</f>
        <v>#REF!</v>
      </c>
      <c r="EO423" t="e">
        <f>AND('PROG FORM COMPLEM'!#REF!,"AAAAAGr8PJA=")</f>
        <v>#REF!</v>
      </c>
      <c r="EP423" t="e">
        <f>AND('PROG FORM COMPLEM'!#REF!,"AAAAAGr8PJE=")</f>
        <v>#REF!</v>
      </c>
      <c r="EQ423" t="e">
        <f>AND('PROG FORM COMPLEM'!#REF!,"AAAAAGr8PJI=")</f>
        <v>#REF!</v>
      </c>
      <c r="ER423" t="e">
        <f>AND('PROG FORM COMPLEM'!#REF!,"AAAAAGr8PJM=")</f>
        <v>#REF!</v>
      </c>
      <c r="ES423" t="e">
        <f>AND('PROG FORM COMPLEM'!#REF!,"AAAAAGr8PJQ=")</f>
        <v>#REF!</v>
      </c>
      <c r="ET423" t="e">
        <f>AND('PROG FORM COMPLEM'!#REF!,"AAAAAGr8PJU=")</f>
        <v>#REF!</v>
      </c>
      <c r="EU423" t="e">
        <f>AND('PROG FORM COMPLEM'!#REF!,"AAAAAGr8PJY=")</f>
        <v>#REF!</v>
      </c>
      <c r="EV423" t="e">
        <f>AND('PROG FORM COMPLEM'!#REF!,"AAAAAGr8PJc=")</f>
        <v>#REF!</v>
      </c>
      <c r="EW423" t="e">
        <f>AND('PROG FORM COMPLEM'!#REF!,"AAAAAGr8PJg=")</f>
        <v>#REF!</v>
      </c>
      <c r="EX423" t="e">
        <f>AND('PROG FORM COMPLEM'!#REF!,"AAAAAGr8PJk=")</f>
        <v>#REF!</v>
      </c>
      <c r="EY423" t="e">
        <f>AND('PROG FORM COMPLEM'!#REF!,"AAAAAGr8PJo=")</f>
        <v>#REF!</v>
      </c>
      <c r="EZ423" t="e">
        <f>AND('PROG FORM COMPLEM'!#REF!,"AAAAAGr8PJs=")</f>
        <v>#REF!</v>
      </c>
      <c r="FA423" t="e">
        <f>AND('PROG FORM COMPLEM'!#REF!,"AAAAAGr8PJw=")</f>
        <v>#REF!</v>
      </c>
      <c r="FB423" t="e">
        <f>AND('PROG FORM COMPLEM'!#REF!,"AAAAAGr8PJ0=")</f>
        <v>#REF!</v>
      </c>
      <c r="FC423" t="e">
        <f>AND('PROG FORM COMPLEM'!#REF!,"AAAAAGr8PJ4=")</f>
        <v>#REF!</v>
      </c>
      <c r="FD423" t="e">
        <f>AND('PROG FORM COMPLEM'!#REF!,"AAAAAGr8PJ8=")</f>
        <v>#REF!</v>
      </c>
      <c r="FE423" t="e">
        <f>AND('PROG FORM COMPLEM'!#REF!,"AAAAAGr8PKA=")</f>
        <v>#REF!</v>
      </c>
      <c r="FF423" t="e">
        <f>AND('PROG FORM COMPLEM'!#REF!,"AAAAAGr8PKE=")</f>
        <v>#REF!</v>
      </c>
      <c r="FG423" t="e">
        <f>IF('PROG FORM COMPLEM'!#REF!,"AAAAAGr8PKI=",0)</f>
        <v>#REF!</v>
      </c>
      <c r="FH423" t="e">
        <f>AND('PROG FORM COMPLEM'!#REF!,"AAAAAGr8PKM=")</f>
        <v>#REF!</v>
      </c>
      <c r="FI423" t="e">
        <f>AND('PROG FORM COMPLEM'!#REF!,"AAAAAGr8PKQ=")</f>
        <v>#REF!</v>
      </c>
      <c r="FJ423" t="e">
        <f>AND('PROG FORM COMPLEM'!#REF!,"AAAAAGr8PKU=")</f>
        <v>#REF!</v>
      </c>
      <c r="FK423" t="e">
        <f>AND('PROG FORM COMPLEM'!#REF!,"AAAAAGr8PKY=")</f>
        <v>#REF!</v>
      </c>
      <c r="FL423" t="e">
        <f>AND('PROG FORM COMPLEM'!#REF!,"AAAAAGr8PKc=")</f>
        <v>#REF!</v>
      </c>
      <c r="FM423" t="e">
        <f>AND('PROG FORM COMPLEM'!#REF!,"AAAAAGr8PKg=")</f>
        <v>#REF!</v>
      </c>
      <c r="FN423" t="e">
        <f>AND('PROG FORM COMPLEM'!#REF!,"AAAAAGr8PKk=")</f>
        <v>#REF!</v>
      </c>
      <c r="FO423" t="e">
        <f>AND('PROG FORM COMPLEM'!#REF!,"AAAAAGr8PKo=")</f>
        <v>#REF!</v>
      </c>
      <c r="FP423" t="e">
        <f>AND('PROG FORM COMPLEM'!#REF!,"AAAAAGr8PKs=")</f>
        <v>#REF!</v>
      </c>
      <c r="FQ423" t="e">
        <f>AND('PROG FORM COMPLEM'!#REF!,"AAAAAGr8PKw=")</f>
        <v>#REF!</v>
      </c>
      <c r="FR423" t="e">
        <f>AND('PROG FORM COMPLEM'!#REF!,"AAAAAGr8PK0=")</f>
        <v>#REF!</v>
      </c>
      <c r="FS423" t="e">
        <f>AND('PROG FORM COMPLEM'!#REF!,"AAAAAGr8PK4=")</f>
        <v>#REF!</v>
      </c>
      <c r="FT423" t="e">
        <f>AND('PROG FORM COMPLEM'!#REF!,"AAAAAGr8PK8=")</f>
        <v>#REF!</v>
      </c>
      <c r="FU423" t="e">
        <f>AND('PROG FORM COMPLEM'!#REF!,"AAAAAGr8PLA=")</f>
        <v>#REF!</v>
      </c>
      <c r="FV423" t="e">
        <f>AND('PROG FORM COMPLEM'!#REF!,"AAAAAGr8PLE=")</f>
        <v>#REF!</v>
      </c>
      <c r="FW423" t="e">
        <f>AND('PROG FORM COMPLEM'!#REF!,"AAAAAGr8PLI=")</f>
        <v>#REF!</v>
      </c>
      <c r="FX423" t="e">
        <f>AND('PROG FORM COMPLEM'!#REF!,"AAAAAGr8PLM=")</f>
        <v>#REF!</v>
      </c>
      <c r="FY423" t="e">
        <f>AND('PROG FORM COMPLEM'!#REF!,"AAAAAGr8PLQ=")</f>
        <v>#REF!</v>
      </c>
      <c r="FZ423" t="e">
        <f>AND('PROG FORM COMPLEM'!#REF!,"AAAAAGr8PLU=")</f>
        <v>#REF!</v>
      </c>
      <c r="GA423" t="e">
        <f>AND('PROG FORM COMPLEM'!#REF!,"AAAAAGr8PLY=")</f>
        <v>#REF!</v>
      </c>
      <c r="GB423" t="e">
        <f>AND('PROG FORM COMPLEM'!#REF!,"AAAAAGr8PLc=")</f>
        <v>#REF!</v>
      </c>
      <c r="GC423" t="e">
        <f>AND('PROG FORM COMPLEM'!#REF!,"AAAAAGr8PLg=")</f>
        <v>#REF!</v>
      </c>
      <c r="GD423" t="e">
        <f>IF('PROG FORM COMPLEM'!#REF!,"AAAAAGr8PLk=",0)</f>
        <v>#REF!</v>
      </c>
      <c r="GE423" t="e">
        <f>AND('PROG FORM COMPLEM'!#REF!,"AAAAAGr8PLo=")</f>
        <v>#REF!</v>
      </c>
      <c r="GF423" t="e">
        <f>AND('PROG FORM COMPLEM'!#REF!,"AAAAAGr8PLs=")</f>
        <v>#REF!</v>
      </c>
      <c r="GG423" t="e">
        <f>AND('PROG FORM COMPLEM'!#REF!,"AAAAAGr8PLw=")</f>
        <v>#REF!</v>
      </c>
      <c r="GH423" t="e">
        <f>AND('PROG FORM COMPLEM'!#REF!,"AAAAAGr8PL0=")</f>
        <v>#REF!</v>
      </c>
      <c r="GI423" t="e">
        <f>AND('PROG FORM COMPLEM'!#REF!,"AAAAAGr8PL4=")</f>
        <v>#REF!</v>
      </c>
      <c r="GJ423" t="e">
        <f>AND('PROG FORM COMPLEM'!#REF!,"AAAAAGr8PL8=")</f>
        <v>#REF!</v>
      </c>
      <c r="GK423" t="e">
        <f>AND('PROG FORM COMPLEM'!#REF!,"AAAAAGr8PMA=")</f>
        <v>#REF!</v>
      </c>
      <c r="GL423" t="e">
        <f>AND('PROG FORM COMPLEM'!#REF!,"AAAAAGr8PME=")</f>
        <v>#REF!</v>
      </c>
      <c r="GM423" t="e">
        <f>AND('PROG FORM COMPLEM'!#REF!,"AAAAAGr8PMI=")</f>
        <v>#REF!</v>
      </c>
      <c r="GN423" t="e">
        <f>AND('PROG FORM COMPLEM'!#REF!,"AAAAAGr8PMM=")</f>
        <v>#REF!</v>
      </c>
      <c r="GO423" t="e">
        <f>AND('PROG FORM COMPLEM'!#REF!,"AAAAAGr8PMQ=")</f>
        <v>#REF!</v>
      </c>
      <c r="GP423" t="e">
        <f>AND('PROG FORM COMPLEM'!#REF!,"AAAAAGr8PMU=")</f>
        <v>#REF!</v>
      </c>
      <c r="GQ423" t="e">
        <f>AND('PROG FORM COMPLEM'!#REF!,"AAAAAGr8PMY=")</f>
        <v>#REF!</v>
      </c>
      <c r="GR423" t="e">
        <f>AND('PROG FORM COMPLEM'!#REF!,"AAAAAGr8PMc=")</f>
        <v>#REF!</v>
      </c>
      <c r="GS423" t="e">
        <f>AND('PROG FORM COMPLEM'!#REF!,"AAAAAGr8PMg=")</f>
        <v>#REF!</v>
      </c>
      <c r="GT423" t="e">
        <f>AND('PROG FORM COMPLEM'!#REF!,"AAAAAGr8PMk=")</f>
        <v>#REF!</v>
      </c>
      <c r="GU423" t="e">
        <f>AND('PROG FORM COMPLEM'!#REF!,"AAAAAGr8PMo=")</f>
        <v>#REF!</v>
      </c>
      <c r="GV423" t="e">
        <f>AND('PROG FORM COMPLEM'!#REF!,"AAAAAGr8PMs=")</f>
        <v>#REF!</v>
      </c>
      <c r="GW423" t="e">
        <f>AND('PROG FORM COMPLEM'!#REF!,"AAAAAGr8PMw=")</f>
        <v>#REF!</v>
      </c>
      <c r="GX423" t="e">
        <f>AND('PROG FORM COMPLEM'!#REF!,"AAAAAGr8PM0=")</f>
        <v>#REF!</v>
      </c>
      <c r="GY423" t="e">
        <f>AND('PROG FORM COMPLEM'!#REF!,"AAAAAGr8PM4=")</f>
        <v>#REF!</v>
      </c>
      <c r="GZ423" t="e">
        <f>AND('PROG FORM COMPLEM'!#REF!,"AAAAAGr8PM8=")</f>
        <v>#REF!</v>
      </c>
      <c r="HA423">
        <f>IF('PROG FORM COMPLEM'!174:174,"AAAAAGr8PNA=",0)</f>
        <v>0</v>
      </c>
      <c r="HB423" t="e">
        <f>AND('PROG FORM COMPLEM'!B174,"AAAAAGr8PNE=")</f>
        <v>#VALUE!</v>
      </c>
      <c r="HC423" t="e">
        <f>AND('PROG FORM COMPLEM'!C174,"AAAAAGr8PNI=")</f>
        <v>#VALUE!</v>
      </c>
      <c r="HD423" t="e">
        <f>AND('PROG FORM COMPLEM'!D174,"AAAAAGr8PNM=")</f>
        <v>#VALUE!</v>
      </c>
      <c r="HE423" t="e">
        <f>AND('PROG FORM COMPLEM'!E174,"AAAAAGr8PNQ=")</f>
        <v>#VALUE!</v>
      </c>
      <c r="HF423" t="e">
        <f>AND('PROG FORM COMPLEM'!F174,"AAAAAGr8PNU=")</f>
        <v>#VALUE!</v>
      </c>
      <c r="HG423" t="e">
        <f>AND('PROG FORM COMPLEM'!G174,"AAAAAGr8PNY=")</f>
        <v>#VALUE!</v>
      </c>
      <c r="HH423" t="e">
        <f>AND('PROG FORM COMPLEM'!H174,"AAAAAGr8PNc=")</f>
        <v>#VALUE!</v>
      </c>
      <c r="HI423" t="e">
        <f>AND('PROG FORM COMPLEM'!I174,"AAAAAGr8PNg=")</f>
        <v>#VALUE!</v>
      </c>
      <c r="HJ423" t="e">
        <f>AND('PROG FORM COMPLEM'!J174,"AAAAAGr8PNk=")</f>
        <v>#VALUE!</v>
      </c>
      <c r="HK423" t="e">
        <f>AND('PROG FORM COMPLEM'!K174,"AAAAAGr8PNo=")</f>
        <v>#VALUE!</v>
      </c>
      <c r="HL423" t="e">
        <f>AND('PROG FORM COMPLEM'!L174,"AAAAAGr8PNs=")</f>
        <v>#VALUE!</v>
      </c>
      <c r="HM423" t="e">
        <f>AND('PROG FORM COMPLEM'!M174,"AAAAAGr8PNw=")</f>
        <v>#VALUE!</v>
      </c>
      <c r="HN423" t="e">
        <f>AND('PROG FORM COMPLEM'!N174,"AAAAAGr8PN0=")</f>
        <v>#VALUE!</v>
      </c>
      <c r="HO423" t="e">
        <f>AND('PROG FORM COMPLEM'!O174,"AAAAAGr8PN4=")</f>
        <v>#VALUE!</v>
      </c>
      <c r="HP423" t="e">
        <f>AND('PROG FORM COMPLEM'!P174,"AAAAAGr8PN8=")</f>
        <v>#VALUE!</v>
      </c>
      <c r="HQ423" t="e">
        <f>AND('PROG FORM COMPLEM'!Q174,"AAAAAGr8POA=")</f>
        <v>#VALUE!</v>
      </c>
      <c r="HR423" t="e">
        <f>AND('PROG FORM COMPLEM'!R174,"AAAAAGr8POE=")</f>
        <v>#VALUE!</v>
      </c>
      <c r="HS423" t="e">
        <f>AND('PROG FORM COMPLEM'!S174,"AAAAAGr8POI=")</f>
        <v>#VALUE!</v>
      </c>
      <c r="HT423" t="e">
        <f>AND('PROG FORM COMPLEM'!T174,"AAAAAGr8POM=")</f>
        <v>#VALUE!</v>
      </c>
      <c r="HU423" t="e">
        <f>AND('PROG FORM COMPLEM'!U174,"AAAAAGr8POQ=")</f>
        <v>#VALUE!</v>
      </c>
      <c r="HV423" t="e">
        <f>AND('PROG FORM COMPLEM'!V174,"AAAAAGr8POU=")</f>
        <v>#VALUE!</v>
      </c>
      <c r="HW423" t="e">
        <f>AND('PROG FORM COMPLEM'!W174,"AAAAAGr8POY=")</f>
        <v>#VALUE!</v>
      </c>
      <c r="HX423" t="e">
        <f>IF('PROG FORM COMPLEM'!#REF!,"AAAAAGr8POc=",0)</f>
        <v>#REF!</v>
      </c>
      <c r="HY423" t="e">
        <f>AND('PROG FORM COMPLEM'!#REF!,"AAAAAGr8POg=")</f>
        <v>#REF!</v>
      </c>
      <c r="HZ423" t="e">
        <f>AND('PROG FORM COMPLEM'!#REF!,"AAAAAGr8POk=")</f>
        <v>#REF!</v>
      </c>
      <c r="IA423" t="e">
        <f>AND('PROG FORM COMPLEM'!#REF!,"AAAAAGr8POo=")</f>
        <v>#REF!</v>
      </c>
      <c r="IB423" t="e">
        <f>AND('PROG FORM COMPLEM'!#REF!,"AAAAAGr8POs=")</f>
        <v>#REF!</v>
      </c>
      <c r="IC423" t="e">
        <f>AND('PROG FORM COMPLEM'!#REF!,"AAAAAGr8POw=")</f>
        <v>#REF!</v>
      </c>
      <c r="ID423" t="e">
        <f>AND('PROG FORM COMPLEM'!#REF!,"AAAAAGr8PO0=")</f>
        <v>#REF!</v>
      </c>
      <c r="IE423" t="e">
        <f>AND('PROG FORM COMPLEM'!#REF!,"AAAAAGr8PO4=")</f>
        <v>#REF!</v>
      </c>
      <c r="IF423" t="e">
        <f>AND('PROG FORM COMPLEM'!#REF!,"AAAAAGr8PO8=")</f>
        <v>#REF!</v>
      </c>
      <c r="IG423" t="e">
        <f>AND('PROG FORM COMPLEM'!#REF!,"AAAAAGr8PPA=")</f>
        <v>#REF!</v>
      </c>
      <c r="IH423" t="e">
        <f>AND('PROG FORM COMPLEM'!#REF!,"AAAAAGr8PPE=")</f>
        <v>#REF!</v>
      </c>
      <c r="II423" t="e">
        <f>AND('PROG FORM COMPLEM'!#REF!,"AAAAAGr8PPI=")</f>
        <v>#REF!</v>
      </c>
      <c r="IJ423" t="e">
        <f>AND('PROG FORM COMPLEM'!#REF!,"AAAAAGr8PPM=")</f>
        <v>#REF!</v>
      </c>
      <c r="IK423" t="e">
        <f>AND('PROG FORM COMPLEM'!#REF!,"AAAAAGr8PPQ=")</f>
        <v>#REF!</v>
      </c>
      <c r="IL423" t="e">
        <f>AND('PROG FORM COMPLEM'!#REF!,"AAAAAGr8PPU=")</f>
        <v>#REF!</v>
      </c>
      <c r="IM423" t="e">
        <f>AND('PROG FORM COMPLEM'!#REF!,"AAAAAGr8PPY=")</f>
        <v>#REF!</v>
      </c>
      <c r="IN423" t="e">
        <f>AND('PROG FORM COMPLEM'!#REF!,"AAAAAGr8PPc=")</f>
        <v>#REF!</v>
      </c>
      <c r="IO423" t="e">
        <f>AND('PROG FORM COMPLEM'!#REF!,"AAAAAGr8PPg=")</f>
        <v>#REF!</v>
      </c>
      <c r="IP423" t="e">
        <f>AND('PROG FORM COMPLEM'!#REF!,"AAAAAGr8PPk=")</f>
        <v>#REF!</v>
      </c>
      <c r="IQ423" t="e">
        <f>AND('PROG FORM COMPLEM'!#REF!,"AAAAAGr8PPo=")</f>
        <v>#REF!</v>
      </c>
      <c r="IR423" t="e">
        <f>AND('PROG FORM COMPLEM'!#REF!,"AAAAAGr8PPs=")</f>
        <v>#REF!</v>
      </c>
      <c r="IS423" t="e">
        <f>AND('PROG FORM COMPLEM'!#REF!,"AAAAAGr8PPw=")</f>
        <v>#REF!</v>
      </c>
      <c r="IT423" t="e">
        <f>AND('PROG FORM COMPLEM'!#REF!,"AAAAAGr8PP0=")</f>
        <v>#REF!</v>
      </c>
      <c r="IU423">
        <f>IF('PROG FORM COMPLEM'!189:189,"AAAAAGr8PP4=",0)</f>
        <v>0</v>
      </c>
      <c r="IV423" t="e">
        <f>AND('PROG FORM COMPLEM'!B189,"AAAAAGr8PP8=")</f>
        <v>#VALUE!</v>
      </c>
    </row>
    <row r="424" spans="1:256" x14ac:dyDescent="0.2">
      <c r="A424" t="e">
        <f>AND('PROG FORM COMPLEM'!C189,"AAAAAHGvPwA=")</f>
        <v>#VALUE!</v>
      </c>
      <c r="B424" t="e">
        <f>AND('PROG FORM COMPLEM'!D186,"AAAAAHGvPwE=")</f>
        <v>#VALUE!</v>
      </c>
      <c r="C424" t="e">
        <f>AND('PROG FORM COMPLEM'!E189,"AAAAAHGvPwI=")</f>
        <v>#VALUE!</v>
      </c>
      <c r="D424" t="e">
        <f>AND('PROG FORM COMPLEM'!F189,"AAAAAHGvPwM=")</f>
        <v>#VALUE!</v>
      </c>
      <c r="E424" t="e">
        <f>AND('PROG FORM COMPLEM'!G189,"AAAAAHGvPwQ=")</f>
        <v>#VALUE!</v>
      </c>
      <c r="F424" t="e">
        <f>AND('PROG FORM COMPLEM'!H189,"AAAAAHGvPwU=")</f>
        <v>#VALUE!</v>
      </c>
      <c r="G424" t="e">
        <f>AND('PROG FORM COMPLEM'!I189,"AAAAAHGvPwY=")</f>
        <v>#VALUE!</v>
      </c>
      <c r="H424" t="e">
        <f>AND('PROG FORM COMPLEM'!J189,"AAAAAHGvPwc=")</f>
        <v>#VALUE!</v>
      </c>
      <c r="I424" t="e">
        <f>AND('PROG FORM COMPLEM'!K189,"AAAAAHGvPwg=")</f>
        <v>#VALUE!</v>
      </c>
      <c r="J424" t="e">
        <f>AND('PROG FORM COMPLEM'!L189,"AAAAAHGvPwk=")</f>
        <v>#VALUE!</v>
      </c>
      <c r="K424" t="e">
        <f>AND('PROG FORM COMPLEM'!M189,"AAAAAHGvPwo=")</f>
        <v>#VALUE!</v>
      </c>
      <c r="L424" t="e">
        <f>AND('PROG FORM COMPLEM'!N189,"AAAAAHGvPws=")</f>
        <v>#VALUE!</v>
      </c>
      <c r="M424" t="e">
        <f>AND('PROG FORM COMPLEM'!O189,"AAAAAHGvPww=")</f>
        <v>#VALUE!</v>
      </c>
      <c r="N424" t="e">
        <f>AND('PROG FORM COMPLEM'!P189,"AAAAAHGvPw0=")</f>
        <v>#VALUE!</v>
      </c>
      <c r="O424" t="e">
        <f>AND('PROG FORM COMPLEM'!Q189,"AAAAAHGvPw4=")</f>
        <v>#VALUE!</v>
      </c>
      <c r="P424" t="e">
        <f>AND('PROG FORM COMPLEM'!R189,"AAAAAHGvPw8=")</f>
        <v>#VALUE!</v>
      </c>
      <c r="Q424" t="e">
        <f>AND('PROG FORM COMPLEM'!S189,"AAAAAHGvPxA=")</f>
        <v>#VALUE!</v>
      </c>
      <c r="R424" t="e">
        <f>AND('PROG FORM COMPLEM'!T189,"AAAAAHGvPxE=")</f>
        <v>#VALUE!</v>
      </c>
      <c r="S424" t="e">
        <f>AND('PROG FORM COMPLEM'!U189,"AAAAAHGvPxI=")</f>
        <v>#VALUE!</v>
      </c>
      <c r="T424" t="e">
        <f>AND('PROG FORM COMPLEM'!V189,"AAAAAHGvPxM=")</f>
        <v>#VALUE!</v>
      </c>
      <c r="U424" t="e">
        <f>AND('PROG FORM COMPLEM'!W189,"AAAAAHGvPxQ=")</f>
        <v>#VALUE!</v>
      </c>
      <c r="V424">
        <f>IF('PROG FORM COMPLEM'!194:194,"AAAAAHGvPxU=",0)</f>
        <v>0</v>
      </c>
      <c r="W424" t="e">
        <f>AND('PROG FORM COMPLEM'!B194,"AAAAAHGvPxY=")</f>
        <v>#VALUE!</v>
      </c>
      <c r="X424" t="e">
        <f>AND('PROG FORM COMPLEM'!C194,"AAAAAHGvPxc=")</f>
        <v>#VALUE!</v>
      </c>
      <c r="Y424" t="e">
        <f>AND('PROG FORM COMPLEM'!D194,"AAAAAHGvPxg=")</f>
        <v>#VALUE!</v>
      </c>
      <c r="Z424" t="e">
        <f>AND('PROG FORM COMPLEM'!E194,"AAAAAHGvPxk=")</f>
        <v>#VALUE!</v>
      </c>
      <c r="AA424" t="e">
        <f>AND('PROG FORM COMPLEM'!F194,"AAAAAHGvPxo=")</f>
        <v>#VALUE!</v>
      </c>
      <c r="AB424" t="e">
        <f>AND('PROG FORM COMPLEM'!G194,"AAAAAHGvPxs=")</f>
        <v>#VALUE!</v>
      </c>
      <c r="AC424" t="e">
        <f>AND('PROG FORM COMPLEM'!H194,"AAAAAHGvPxw=")</f>
        <v>#VALUE!</v>
      </c>
      <c r="AD424" t="e">
        <f>AND('PROG FORM COMPLEM'!I194,"AAAAAHGvPx0=")</f>
        <v>#VALUE!</v>
      </c>
      <c r="AE424" t="e">
        <f>AND('PROG FORM COMPLEM'!J194,"AAAAAHGvPx4=")</f>
        <v>#VALUE!</v>
      </c>
      <c r="AF424" t="e">
        <f>AND('PROG FORM COMPLEM'!K194,"AAAAAHGvPx8=")</f>
        <v>#VALUE!</v>
      </c>
      <c r="AG424" t="e">
        <f>AND('PROG FORM COMPLEM'!L194,"AAAAAHGvPyA=")</f>
        <v>#VALUE!</v>
      </c>
      <c r="AH424" t="e">
        <f>AND('PROG FORM COMPLEM'!M194,"AAAAAHGvPyE=")</f>
        <v>#VALUE!</v>
      </c>
      <c r="AI424" t="e">
        <f>AND('PROG FORM COMPLEM'!N194,"AAAAAHGvPyI=")</f>
        <v>#VALUE!</v>
      </c>
      <c r="AJ424" t="e">
        <f>AND('PROG FORM COMPLEM'!O194,"AAAAAHGvPyM=")</f>
        <v>#VALUE!</v>
      </c>
      <c r="AK424" t="e">
        <f>AND('PROG FORM COMPLEM'!P194,"AAAAAHGvPyQ=")</f>
        <v>#VALUE!</v>
      </c>
      <c r="AL424" t="e">
        <f>AND('PROG FORM COMPLEM'!Q194,"AAAAAHGvPyU=")</f>
        <v>#VALUE!</v>
      </c>
      <c r="AM424" t="e">
        <f>AND('PROG FORM COMPLEM'!R194,"AAAAAHGvPyY=")</f>
        <v>#VALUE!</v>
      </c>
      <c r="AN424" t="e">
        <f>AND('PROG FORM COMPLEM'!S194,"AAAAAHGvPyc=")</f>
        <v>#VALUE!</v>
      </c>
      <c r="AO424" t="e">
        <f>AND('PROG FORM COMPLEM'!T194,"AAAAAHGvPyg=")</f>
        <v>#VALUE!</v>
      </c>
      <c r="AP424" t="e">
        <f>AND('PROG FORM COMPLEM'!U194,"AAAAAHGvPyk=")</f>
        <v>#VALUE!</v>
      </c>
      <c r="AQ424" t="e">
        <f>AND('PROG FORM COMPLEM'!V194,"AAAAAHGvPyo=")</f>
        <v>#VALUE!</v>
      </c>
      <c r="AR424" t="e">
        <f>AND('PROG FORM COMPLEM'!W194,"AAAAAHGvPys=")</f>
        <v>#VALUE!</v>
      </c>
      <c r="AS424" t="e">
        <f>IF(#REF!,"AAAAAHGvPyw=",0)</f>
        <v>#REF!</v>
      </c>
      <c r="AT424" t="e">
        <f>AND(#REF!,"AAAAAHGvPy0=")</f>
        <v>#REF!</v>
      </c>
      <c r="AU424" t="e">
        <f>AND(#REF!,"AAAAAHGvPy4=")</f>
        <v>#REF!</v>
      </c>
      <c r="AV424" t="e">
        <f>AND(#REF!,"AAAAAHGvPy8=")</f>
        <v>#REF!</v>
      </c>
      <c r="AW424" t="e">
        <f>AND(#REF!,"AAAAAHGvPzA=")</f>
        <v>#REF!</v>
      </c>
      <c r="AX424" t="e">
        <f>AND(#REF!,"AAAAAHGvPzE=")</f>
        <v>#REF!</v>
      </c>
      <c r="AY424" t="e">
        <f>AND(#REF!,"AAAAAHGvPzI=")</f>
        <v>#REF!</v>
      </c>
      <c r="AZ424" t="e">
        <f>AND(#REF!,"AAAAAHGvPzM=")</f>
        <v>#REF!</v>
      </c>
      <c r="BA424" t="e">
        <f>AND(#REF!,"AAAAAHGvPzQ=")</f>
        <v>#REF!</v>
      </c>
      <c r="BB424" t="e">
        <f>AND(#REF!,"AAAAAHGvPzU=")</f>
        <v>#REF!</v>
      </c>
      <c r="BC424" t="e">
        <f>AND(#REF!,"AAAAAHGvPzY=")</f>
        <v>#REF!</v>
      </c>
      <c r="BD424" t="e">
        <f>IF(#REF!,"AAAAAHGvPzc=",0)</f>
        <v>#REF!</v>
      </c>
      <c r="BE424" t="e">
        <f>AND(#REF!,"AAAAAHGvPzg=")</f>
        <v>#REF!</v>
      </c>
      <c r="BF424" t="e">
        <f>AND(#REF!,"AAAAAHGvPzk=")</f>
        <v>#REF!</v>
      </c>
      <c r="BG424" t="e">
        <f>AND(#REF!,"AAAAAHGvPzo=")</f>
        <v>#REF!</v>
      </c>
      <c r="BH424" t="e">
        <f>AND(#REF!,"AAAAAHGvPzs=")</f>
        <v>#REF!</v>
      </c>
      <c r="BI424" t="e">
        <f>AND(#REF!,"AAAAAHGvPzw=")</f>
        <v>#REF!</v>
      </c>
      <c r="BJ424" t="e">
        <f>AND(#REF!,"AAAAAHGvPz0=")</f>
        <v>#REF!</v>
      </c>
      <c r="BK424" t="e">
        <f>AND(#REF!,"AAAAAHGvPz4=")</f>
        <v>#REF!</v>
      </c>
      <c r="BL424" t="e">
        <f>AND(#REF!,"AAAAAHGvPz8=")</f>
        <v>#REF!</v>
      </c>
      <c r="BM424" t="e">
        <f>AND(#REF!,"AAAAAHGvP0A=")</f>
        <v>#REF!</v>
      </c>
      <c r="BN424" t="e">
        <f>AND(#REF!,"AAAAAHGvP0E=")</f>
        <v>#REF!</v>
      </c>
      <c r="BO424" t="e">
        <f>IF(#REF!,"AAAAAHGvP0I=",0)</f>
        <v>#REF!</v>
      </c>
      <c r="BP424" t="e">
        <f>AND(#REF!,"AAAAAHGvP0M=")</f>
        <v>#REF!</v>
      </c>
      <c r="BQ424" t="e">
        <f>AND(#REF!,"AAAAAHGvP0Q=")</f>
        <v>#REF!</v>
      </c>
      <c r="BR424" t="e">
        <f>AND(#REF!,"AAAAAHGvP0U=")</f>
        <v>#REF!</v>
      </c>
      <c r="BS424" t="e">
        <f>AND(#REF!,"AAAAAHGvP0Y=")</f>
        <v>#REF!</v>
      </c>
      <c r="BT424" t="e">
        <f>AND(#REF!,"AAAAAHGvP0c=")</f>
        <v>#REF!</v>
      </c>
      <c r="BU424" t="e">
        <f>AND(#REF!,"AAAAAHGvP0g=")</f>
        <v>#REF!</v>
      </c>
      <c r="BV424" t="e">
        <f>AND(#REF!,"AAAAAHGvP0k=")</f>
        <v>#REF!</v>
      </c>
      <c r="BW424" t="e">
        <f>AND(#REF!,"AAAAAHGvP0o=")</f>
        <v>#REF!</v>
      </c>
      <c r="BX424" t="e">
        <f>AND(#REF!,"AAAAAHGvP0s=")</f>
        <v>#REF!</v>
      </c>
      <c r="BY424" t="e">
        <f>AND(#REF!,"AAAAAHGvP0w=")</f>
        <v>#REF!</v>
      </c>
      <c r="BZ424" t="e">
        <f>IF(#REF!,"AAAAAHGvP00=",0)</f>
        <v>#REF!</v>
      </c>
      <c r="CA424" t="e">
        <f>AND(#REF!,"AAAAAHGvP04=")</f>
        <v>#REF!</v>
      </c>
      <c r="CB424" t="e">
        <f>AND(#REF!,"AAAAAHGvP08=")</f>
        <v>#REF!</v>
      </c>
      <c r="CC424" t="e">
        <f>AND(#REF!,"AAAAAHGvP1A=")</f>
        <v>#REF!</v>
      </c>
      <c r="CD424" t="e">
        <f>AND(#REF!,"AAAAAHGvP1E=")</f>
        <v>#REF!</v>
      </c>
      <c r="CE424" t="e">
        <f>AND(#REF!,"AAAAAHGvP1I=")</f>
        <v>#REF!</v>
      </c>
      <c r="CF424" t="e">
        <f>AND(#REF!,"AAAAAHGvP1M=")</f>
        <v>#REF!</v>
      </c>
      <c r="CG424" t="e">
        <f>AND(#REF!,"AAAAAHGvP1Q=")</f>
        <v>#REF!</v>
      </c>
      <c r="CH424" t="e">
        <f>AND(#REF!,"AAAAAHGvP1U=")</f>
        <v>#REF!</v>
      </c>
      <c r="CI424" t="e">
        <f>AND(#REF!,"AAAAAHGvP1Y=")</f>
        <v>#REF!</v>
      </c>
      <c r="CJ424" t="e">
        <f>AND(#REF!,"AAAAAHGvP1c=")</f>
        <v>#REF!</v>
      </c>
      <c r="CK424" t="e">
        <f>IF(#REF!,"AAAAAHGvP1g=",0)</f>
        <v>#REF!</v>
      </c>
      <c r="CL424" t="e">
        <f>AND(#REF!,"AAAAAHGvP1k=")</f>
        <v>#REF!</v>
      </c>
      <c r="CM424" t="e">
        <f>AND(#REF!,"AAAAAHGvP1o=")</f>
        <v>#REF!</v>
      </c>
      <c r="CN424" t="e">
        <f>AND(#REF!,"AAAAAHGvP1s=")</f>
        <v>#REF!</v>
      </c>
      <c r="CO424" t="e">
        <f>AND(#REF!,"AAAAAHGvP1w=")</f>
        <v>#REF!</v>
      </c>
      <c r="CP424" t="e">
        <f>AND(#REF!,"AAAAAHGvP10=")</f>
        <v>#REF!</v>
      </c>
      <c r="CQ424" t="e">
        <f>AND(#REF!,"AAAAAHGvP14=")</f>
        <v>#REF!</v>
      </c>
      <c r="CR424" t="e">
        <f>AND(#REF!,"AAAAAHGvP18=")</f>
        <v>#REF!</v>
      </c>
      <c r="CS424" t="e">
        <f>AND(#REF!,"AAAAAHGvP2A=")</f>
        <v>#REF!</v>
      </c>
      <c r="CT424" t="e">
        <f>AND(#REF!,"AAAAAHGvP2E=")</f>
        <v>#REF!</v>
      </c>
      <c r="CU424" t="e">
        <f>AND(#REF!,"AAAAAHGvP2I=")</f>
        <v>#REF!</v>
      </c>
      <c r="CV424" t="e">
        <f>IF(#REF!,"AAAAAHGvP2M=",0)</f>
        <v>#REF!</v>
      </c>
      <c r="CW424" t="e">
        <f>AND(#REF!,"AAAAAHGvP2Q=")</f>
        <v>#REF!</v>
      </c>
      <c r="CX424" t="e">
        <f>AND(#REF!,"AAAAAHGvP2U=")</f>
        <v>#REF!</v>
      </c>
      <c r="CY424" t="e">
        <f>AND(#REF!,"AAAAAHGvP2Y=")</f>
        <v>#REF!</v>
      </c>
      <c r="CZ424" t="e">
        <f>AND(#REF!,"AAAAAHGvP2c=")</f>
        <v>#REF!</v>
      </c>
      <c r="DA424" t="e">
        <f>AND(#REF!,"AAAAAHGvP2g=")</f>
        <v>#REF!</v>
      </c>
      <c r="DB424" t="e">
        <f>AND(#REF!,"AAAAAHGvP2k=")</f>
        <v>#REF!</v>
      </c>
      <c r="DC424" t="e">
        <f>AND(#REF!,"AAAAAHGvP2o=")</f>
        <v>#REF!</v>
      </c>
      <c r="DD424" t="e">
        <f>AND(#REF!,"AAAAAHGvP2s=")</f>
        <v>#REF!</v>
      </c>
      <c r="DE424" t="e">
        <f>AND(#REF!,"AAAAAHGvP2w=")</f>
        <v>#REF!</v>
      </c>
      <c r="DF424" t="e">
        <f>AND(#REF!,"AAAAAHGvP20=")</f>
        <v>#REF!</v>
      </c>
      <c r="DG424" t="e">
        <f>IF(#REF!,"AAAAAHGvP24=",0)</f>
        <v>#REF!</v>
      </c>
      <c r="DH424" t="e">
        <f>AND(#REF!,"AAAAAHGvP28=")</f>
        <v>#REF!</v>
      </c>
      <c r="DI424" t="e">
        <f>AND(#REF!,"AAAAAHGvP3A=")</f>
        <v>#REF!</v>
      </c>
      <c r="DJ424" t="e">
        <f>AND(#REF!,"AAAAAHGvP3E=")</f>
        <v>#REF!</v>
      </c>
      <c r="DK424" t="e">
        <f>AND(#REF!,"AAAAAHGvP3I=")</f>
        <v>#REF!</v>
      </c>
      <c r="DL424" t="e">
        <f>AND(#REF!,"AAAAAHGvP3M=")</f>
        <v>#REF!</v>
      </c>
      <c r="DM424" t="e">
        <f>AND(#REF!,"AAAAAHGvP3Q=")</f>
        <v>#REF!</v>
      </c>
      <c r="DN424" t="e">
        <f>AND(#REF!,"AAAAAHGvP3U=")</f>
        <v>#REF!</v>
      </c>
      <c r="DO424" t="e">
        <f>AND(#REF!,"AAAAAHGvP3Y=")</f>
        <v>#REF!</v>
      </c>
      <c r="DP424" t="e">
        <f>AND(#REF!,"AAAAAHGvP3c=")</f>
        <v>#REF!</v>
      </c>
      <c r="DQ424" t="e">
        <f>AND(#REF!,"AAAAAHGvP3g=")</f>
        <v>#REF!</v>
      </c>
      <c r="DR424" t="e">
        <f>IF(#REF!,"AAAAAHGvP3k=",0)</f>
        <v>#REF!</v>
      </c>
      <c r="DS424" t="e">
        <f>AND(#REF!,"AAAAAHGvP3o=")</f>
        <v>#REF!</v>
      </c>
      <c r="DT424" t="e">
        <f>AND(#REF!,"AAAAAHGvP3s=")</f>
        <v>#REF!</v>
      </c>
      <c r="DU424" t="e">
        <f>AND(#REF!,"AAAAAHGvP3w=")</f>
        <v>#REF!</v>
      </c>
      <c r="DV424" t="e">
        <f>AND(#REF!,"AAAAAHGvP30=")</f>
        <v>#REF!</v>
      </c>
      <c r="DW424" t="e">
        <f>AND(#REF!,"AAAAAHGvP34=")</f>
        <v>#REF!</v>
      </c>
      <c r="DX424" t="e">
        <f>AND(#REF!,"AAAAAHGvP38=")</f>
        <v>#REF!</v>
      </c>
      <c r="DY424" t="e">
        <f>AND(#REF!,"AAAAAHGvP4A=")</f>
        <v>#REF!</v>
      </c>
      <c r="DZ424" t="e">
        <f>AND(#REF!,"AAAAAHGvP4E=")</f>
        <v>#REF!</v>
      </c>
      <c r="EA424" t="e">
        <f>AND(#REF!,"AAAAAHGvP4I=")</f>
        <v>#REF!</v>
      </c>
      <c r="EB424" t="e">
        <f>AND(#REF!,"AAAAAHGvP4M=")</f>
        <v>#REF!</v>
      </c>
      <c r="EC424" t="e">
        <f>IF(#REF!,"AAAAAHGvP4Q=",0)</f>
        <v>#REF!</v>
      </c>
      <c r="ED424" t="e">
        <f>AND(#REF!,"AAAAAHGvP4U=")</f>
        <v>#REF!</v>
      </c>
      <c r="EE424" t="e">
        <f>AND(#REF!,"AAAAAHGvP4Y=")</f>
        <v>#REF!</v>
      </c>
      <c r="EF424" t="e">
        <f>AND(#REF!,"AAAAAHGvP4c=")</f>
        <v>#REF!</v>
      </c>
      <c r="EG424" t="e">
        <f>AND(#REF!,"AAAAAHGvP4g=")</f>
        <v>#REF!</v>
      </c>
      <c r="EH424" t="e">
        <f>AND(#REF!,"AAAAAHGvP4k=")</f>
        <v>#REF!</v>
      </c>
      <c r="EI424" t="e">
        <f>AND(#REF!,"AAAAAHGvP4o=")</f>
        <v>#REF!</v>
      </c>
      <c r="EJ424" t="e">
        <f>AND(#REF!,"AAAAAHGvP4s=")</f>
        <v>#REF!</v>
      </c>
      <c r="EK424" t="e">
        <f>AND(#REF!,"AAAAAHGvP4w=")</f>
        <v>#REF!</v>
      </c>
      <c r="EL424" t="e">
        <f>AND(#REF!,"AAAAAHGvP40=")</f>
        <v>#REF!</v>
      </c>
      <c r="EM424" t="e">
        <f>AND(#REF!,"AAAAAHGvP44=")</f>
        <v>#REF!</v>
      </c>
      <c r="EN424" t="e">
        <f>IF(#REF!,"AAAAAHGvP48=",0)</f>
        <v>#REF!</v>
      </c>
      <c r="EO424" t="e">
        <f>AND(#REF!,"AAAAAHGvP5A=")</f>
        <v>#REF!</v>
      </c>
      <c r="EP424" t="e">
        <f>AND(#REF!,"AAAAAHGvP5E=")</f>
        <v>#REF!</v>
      </c>
      <c r="EQ424" t="e">
        <f>AND(#REF!,"AAAAAHGvP5I=")</f>
        <v>#REF!</v>
      </c>
      <c r="ER424" t="e">
        <f>AND(#REF!,"AAAAAHGvP5M=")</f>
        <v>#REF!</v>
      </c>
      <c r="ES424" t="e">
        <f>AND(#REF!,"AAAAAHGvP5Q=")</f>
        <v>#REF!</v>
      </c>
      <c r="ET424" t="e">
        <f>AND(#REF!,"AAAAAHGvP5U=")</f>
        <v>#REF!</v>
      </c>
      <c r="EU424" t="e">
        <f>AND(#REF!,"AAAAAHGvP5Y=")</f>
        <v>#REF!</v>
      </c>
      <c r="EV424" t="e">
        <f>AND(#REF!,"AAAAAHGvP5c=")</f>
        <v>#REF!</v>
      </c>
      <c r="EW424" t="e">
        <f>AND(#REF!,"AAAAAHGvP5g=")</f>
        <v>#REF!</v>
      </c>
      <c r="EX424" t="e">
        <f>AND(#REF!,"AAAAAHGvP5k=")</f>
        <v>#REF!</v>
      </c>
      <c r="EY424" t="e">
        <f>IF(#REF!,"AAAAAHGvP5o=",0)</f>
        <v>#REF!</v>
      </c>
      <c r="EZ424" t="e">
        <f>AND(#REF!,"AAAAAHGvP5s=")</f>
        <v>#REF!</v>
      </c>
      <c r="FA424" t="e">
        <f>AND(#REF!,"AAAAAHGvP5w=")</f>
        <v>#REF!</v>
      </c>
      <c r="FB424" t="e">
        <f>AND(#REF!,"AAAAAHGvP50=")</f>
        <v>#REF!</v>
      </c>
      <c r="FC424" t="e">
        <f>AND(#REF!,"AAAAAHGvP54=")</f>
        <v>#REF!</v>
      </c>
      <c r="FD424" t="e">
        <f>AND(#REF!,"AAAAAHGvP58=")</f>
        <v>#REF!</v>
      </c>
      <c r="FE424" t="e">
        <f>AND(#REF!,"AAAAAHGvP6A=")</f>
        <v>#REF!</v>
      </c>
      <c r="FF424" t="e">
        <f>AND(#REF!,"AAAAAHGvP6E=")</f>
        <v>#REF!</v>
      </c>
      <c r="FG424" t="e">
        <f>AND(#REF!,"AAAAAHGvP6I=")</f>
        <v>#REF!</v>
      </c>
      <c r="FH424" t="e">
        <f>AND(#REF!,"AAAAAHGvP6M=")</f>
        <v>#REF!</v>
      </c>
      <c r="FI424" t="e">
        <f>AND(#REF!,"AAAAAHGvP6Q=")</f>
        <v>#REF!</v>
      </c>
      <c r="FJ424" t="e">
        <f>IF(#REF!,"AAAAAHGvP6U=",0)</f>
        <v>#REF!</v>
      </c>
      <c r="FK424" t="e">
        <f>AND(#REF!,"AAAAAHGvP6Y=")</f>
        <v>#REF!</v>
      </c>
      <c r="FL424" t="e">
        <f>AND(#REF!,"AAAAAHGvP6c=")</f>
        <v>#REF!</v>
      </c>
      <c r="FM424" t="e">
        <f>AND(#REF!,"AAAAAHGvP6g=")</f>
        <v>#REF!</v>
      </c>
      <c r="FN424" t="e">
        <f>AND(#REF!,"AAAAAHGvP6k=")</f>
        <v>#REF!</v>
      </c>
      <c r="FO424" t="e">
        <f>AND(#REF!,"AAAAAHGvP6o=")</f>
        <v>#REF!</v>
      </c>
      <c r="FP424" t="e">
        <f>AND(#REF!,"AAAAAHGvP6s=")</f>
        <v>#REF!</v>
      </c>
      <c r="FQ424" t="e">
        <f>AND(#REF!,"AAAAAHGvP6w=")</f>
        <v>#REF!</v>
      </c>
      <c r="FR424" t="e">
        <f>AND(#REF!,"AAAAAHGvP60=")</f>
        <v>#REF!</v>
      </c>
      <c r="FS424" t="e">
        <f>AND(#REF!,"AAAAAHGvP64=")</f>
        <v>#REF!</v>
      </c>
      <c r="FT424" t="e">
        <f>AND(#REF!,"AAAAAHGvP68=")</f>
        <v>#REF!</v>
      </c>
      <c r="FU424" t="e">
        <f>IF(#REF!,"AAAAAHGvP7A=",0)</f>
        <v>#REF!</v>
      </c>
      <c r="FV424" t="e">
        <f>AND(#REF!,"AAAAAHGvP7E=")</f>
        <v>#REF!</v>
      </c>
      <c r="FW424" t="e">
        <f>AND(#REF!,"AAAAAHGvP7I=")</f>
        <v>#REF!</v>
      </c>
      <c r="FX424" t="e">
        <f>AND(#REF!,"AAAAAHGvP7M=")</f>
        <v>#REF!</v>
      </c>
      <c r="FY424" t="e">
        <f>AND(#REF!,"AAAAAHGvP7Q=")</f>
        <v>#REF!</v>
      </c>
      <c r="FZ424" t="e">
        <f>AND(#REF!,"AAAAAHGvP7U=")</f>
        <v>#REF!</v>
      </c>
      <c r="GA424" t="e">
        <f>AND(#REF!,"AAAAAHGvP7Y=")</f>
        <v>#REF!</v>
      </c>
      <c r="GB424" t="e">
        <f>AND(#REF!,"AAAAAHGvP7c=")</f>
        <v>#REF!</v>
      </c>
      <c r="GC424" t="e">
        <f>AND(#REF!,"AAAAAHGvP7g=")</f>
        <v>#REF!</v>
      </c>
      <c r="GD424" t="e">
        <f>AND(#REF!,"AAAAAHGvP7k=")</f>
        <v>#REF!</v>
      </c>
      <c r="GE424" t="e">
        <f>AND(#REF!,"AAAAAHGvP7o=")</f>
        <v>#REF!</v>
      </c>
      <c r="GF424" t="e">
        <f>IF(#REF!,"AAAAAHGvP7s=",0)</f>
        <v>#REF!</v>
      </c>
      <c r="GG424" t="e">
        <f>AND(#REF!,"AAAAAHGvP7w=")</f>
        <v>#REF!</v>
      </c>
      <c r="GH424" t="e">
        <f>AND(#REF!,"AAAAAHGvP70=")</f>
        <v>#REF!</v>
      </c>
      <c r="GI424" t="e">
        <f>AND(#REF!,"AAAAAHGvP74=")</f>
        <v>#REF!</v>
      </c>
      <c r="GJ424" t="e">
        <f>AND(#REF!,"AAAAAHGvP78=")</f>
        <v>#REF!</v>
      </c>
      <c r="GK424" t="e">
        <f>AND(#REF!,"AAAAAHGvP8A=")</f>
        <v>#REF!</v>
      </c>
      <c r="GL424" t="e">
        <f>AND(#REF!,"AAAAAHGvP8E=")</f>
        <v>#REF!</v>
      </c>
      <c r="GM424" t="e">
        <f>AND(#REF!,"AAAAAHGvP8I=")</f>
        <v>#REF!</v>
      </c>
      <c r="GN424" t="e">
        <f>AND(#REF!,"AAAAAHGvP8M=")</f>
        <v>#REF!</v>
      </c>
      <c r="GO424" t="e">
        <f>AND(#REF!,"AAAAAHGvP8Q=")</f>
        <v>#REF!</v>
      </c>
      <c r="GP424" t="e">
        <f>AND(#REF!,"AAAAAHGvP8U=")</f>
        <v>#REF!</v>
      </c>
      <c r="GQ424" t="e">
        <f>IF(#REF!,"AAAAAHGvP8Y=",0)</f>
        <v>#REF!</v>
      </c>
      <c r="GR424" t="e">
        <f>AND(#REF!,"AAAAAHGvP8c=")</f>
        <v>#REF!</v>
      </c>
      <c r="GS424" t="e">
        <f>AND(#REF!,"AAAAAHGvP8g=")</f>
        <v>#REF!</v>
      </c>
      <c r="GT424" t="e">
        <f>AND(#REF!,"AAAAAHGvP8k=")</f>
        <v>#REF!</v>
      </c>
      <c r="GU424" t="e">
        <f>AND(#REF!,"AAAAAHGvP8o=")</f>
        <v>#REF!</v>
      </c>
      <c r="GV424" t="e">
        <f>AND(#REF!,"AAAAAHGvP8s=")</f>
        <v>#REF!</v>
      </c>
      <c r="GW424" t="e">
        <f>AND(#REF!,"AAAAAHGvP8w=")</f>
        <v>#REF!</v>
      </c>
      <c r="GX424" t="e">
        <f>AND(#REF!,"AAAAAHGvP80=")</f>
        <v>#REF!</v>
      </c>
      <c r="GY424" t="e">
        <f>AND(#REF!,"AAAAAHGvP84=")</f>
        <v>#REF!</v>
      </c>
      <c r="GZ424" t="e">
        <f>AND(#REF!,"AAAAAHGvP88=")</f>
        <v>#REF!</v>
      </c>
      <c r="HA424" t="e">
        <f>AND(#REF!,"AAAAAHGvP9A=")</f>
        <v>#REF!</v>
      </c>
      <c r="HB424" t="e">
        <f>IF(#REF!,"AAAAAHGvP9E=",0)</f>
        <v>#REF!</v>
      </c>
      <c r="HC424" t="e">
        <f>AND(#REF!,"AAAAAHGvP9I=")</f>
        <v>#REF!</v>
      </c>
      <c r="HD424" t="e">
        <f>AND(#REF!,"AAAAAHGvP9M=")</f>
        <v>#REF!</v>
      </c>
      <c r="HE424" t="e">
        <f>AND(#REF!,"AAAAAHGvP9Q=")</f>
        <v>#REF!</v>
      </c>
      <c r="HF424" t="e">
        <f>AND(#REF!,"AAAAAHGvP9U=")</f>
        <v>#REF!</v>
      </c>
      <c r="HG424" t="e">
        <f>AND(#REF!,"AAAAAHGvP9Y=")</f>
        <v>#REF!</v>
      </c>
      <c r="HH424" t="e">
        <f>AND(#REF!,"AAAAAHGvP9c=")</f>
        <v>#REF!</v>
      </c>
      <c r="HI424" t="e">
        <f>AND(#REF!,"AAAAAHGvP9g=")</f>
        <v>#REF!</v>
      </c>
      <c r="HJ424" t="e">
        <f>AND(#REF!,"AAAAAHGvP9k=")</f>
        <v>#REF!</v>
      </c>
      <c r="HK424" t="e">
        <f>AND(#REF!,"AAAAAHGvP9o=")</f>
        <v>#REF!</v>
      </c>
      <c r="HL424" t="e">
        <f>AND(#REF!,"AAAAAHGvP9s=")</f>
        <v>#REF!</v>
      </c>
      <c r="HM424" t="e">
        <f>IF(#REF!,"AAAAAHGvP9w=",0)</f>
        <v>#REF!</v>
      </c>
      <c r="HN424" t="e">
        <f>AND(#REF!,"AAAAAHGvP90=")</f>
        <v>#REF!</v>
      </c>
      <c r="HO424" t="e">
        <f>AND(#REF!,"AAAAAHGvP94=")</f>
        <v>#REF!</v>
      </c>
      <c r="HP424" t="e">
        <f>AND(#REF!,"AAAAAHGvP98=")</f>
        <v>#REF!</v>
      </c>
      <c r="HQ424" t="e">
        <f>AND(#REF!,"AAAAAHGvP+A=")</f>
        <v>#REF!</v>
      </c>
      <c r="HR424" t="e">
        <f>AND(#REF!,"AAAAAHGvP+E=")</f>
        <v>#REF!</v>
      </c>
      <c r="HS424" t="e">
        <f>AND(#REF!,"AAAAAHGvP+I=")</f>
        <v>#REF!</v>
      </c>
      <c r="HT424" t="e">
        <f>AND(#REF!,"AAAAAHGvP+M=")</f>
        <v>#REF!</v>
      </c>
      <c r="HU424" t="e">
        <f>AND(#REF!,"AAAAAHGvP+Q=")</f>
        <v>#REF!</v>
      </c>
      <c r="HV424" t="e">
        <f>AND(#REF!,"AAAAAHGvP+U=")</f>
        <v>#REF!</v>
      </c>
      <c r="HW424" t="e">
        <f>AND(#REF!,"AAAAAHGvP+Y=")</f>
        <v>#REF!</v>
      </c>
      <c r="HX424" t="e">
        <f>IF(#REF!,"AAAAAHGvP+c=",0)</f>
        <v>#REF!</v>
      </c>
      <c r="HY424" t="e">
        <f>AND(#REF!,"AAAAAHGvP+g=")</f>
        <v>#REF!</v>
      </c>
      <c r="HZ424" t="e">
        <f>AND(#REF!,"AAAAAHGvP+k=")</f>
        <v>#REF!</v>
      </c>
      <c r="IA424" t="e">
        <f>AND(#REF!,"AAAAAHGvP+o=")</f>
        <v>#REF!</v>
      </c>
      <c r="IB424" t="e">
        <f>AND(#REF!,"AAAAAHGvP+s=")</f>
        <v>#REF!</v>
      </c>
      <c r="IC424" t="e">
        <f>AND(#REF!,"AAAAAHGvP+w=")</f>
        <v>#REF!</v>
      </c>
      <c r="ID424" t="e">
        <f>AND(#REF!,"AAAAAHGvP+0=")</f>
        <v>#REF!</v>
      </c>
      <c r="IE424" t="e">
        <f>AND(#REF!,"AAAAAHGvP+4=")</f>
        <v>#REF!</v>
      </c>
      <c r="IF424" t="e">
        <f>AND(#REF!,"AAAAAHGvP+8=")</f>
        <v>#REF!</v>
      </c>
      <c r="IG424" t="e">
        <f>AND(#REF!,"AAAAAHGvP/A=")</f>
        <v>#REF!</v>
      </c>
      <c r="IH424" t="e">
        <f>AND(#REF!,"AAAAAHGvP/E=")</f>
        <v>#REF!</v>
      </c>
      <c r="II424" t="e">
        <f>IF(#REF!,"AAAAAHGvP/I=",0)</f>
        <v>#REF!</v>
      </c>
      <c r="IJ424" t="e">
        <f>AND(#REF!,"AAAAAHGvP/M=")</f>
        <v>#REF!</v>
      </c>
      <c r="IK424" t="e">
        <f>AND(#REF!,"AAAAAHGvP/Q=")</f>
        <v>#REF!</v>
      </c>
      <c r="IL424" t="e">
        <f>AND(#REF!,"AAAAAHGvP/U=")</f>
        <v>#REF!</v>
      </c>
      <c r="IM424" t="e">
        <f>AND(#REF!,"AAAAAHGvP/Y=")</f>
        <v>#REF!</v>
      </c>
      <c r="IN424" t="e">
        <f>AND(#REF!,"AAAAAHGvP/c=")</f>
        <v>#REF!</v>
      </c>
      <c r="IO424" t="e">
        <f>AND(#REF!,"AAAAAHGvP/g=")</f>
        <v>#REF!</v>
      </c>
      <c r="IP424" t="e">
        <f>AND(#REF!,"AAAAAHGvP/k=")</f>
        <v>#REF!</v>
      </c>
      <c r="IQ424" t="e">
        <f>AND(#REF!,"AAAAAHGvP/o=")</f>
        <v>#REF!</v>
      </c>
      <c r="IR424" t="e">
        <f>AND(#REF!,"AAAAAHGvP/s=")</f>
        <v>#REF!</v>
      </c>
      <c r="IS424" t="e">
        <f>AND(#REF!,"AAAAAHGvP/w=")</f>
        <v>#REF!</v>
      </c>
      <c r="IT424" t="e">
        <f>IF(#REF!,"AAAAAHGvP/0=",0)</f>
        <v>#REF!</v>
      </c>
      <c r="IU424" t="e">
        <f>AND(#REF!,"AAAAAHGvP/4=")</f>
        <v>#REF!</v>
      </c>
      <c r="IV424" t="e">
        <f>AND(#REF!,"AAAAAHGvP/8=")</f>
        <v>#REF!</v>
      </c>
    </row>
    <row r="425" spans="1:256" ht="15" x14ac:dyDescent="0.25">
      <c r="A425" t="e">
        <f>AND(#REF!,"AAAAAD93+wA=")</f>
        <v>#REF!</v>
      </c>
      <c r="B425" t="e">
        <f>AND(#REF!,"AAAAAD93+wE=")</f>
        <v>#REF!</v>
      </c>
      <c r="C425" t="e">
        <f>AND(#REF!,"AAAAAD93+wI=")</f>
        <v>#REF!</v>
      </c>
      <c r="D425" t="e">
        <f>AND(#REF!,"AAAAAD93+wM=")</f>
        <v>#REF!</v>
      </c>
      <c r="E425" t="e">
        <f>AND(#REF!,"AAAAAD93+wQ=")</f>
        <v>#REF!</v>
      </c>
      <c r="F425" t="e">
        <f>AND(#REF!,"AAAAAD93+wU=")</f>
        <v>#REF!</v>
      </c>
      <c r="G425" t="e">
        <f>AND(#REF!,"AAAAAD93+wY=")</f>
        <v>#REF!</v>
      </c>
      <c r="H425" t="e">
        <f>AND(#REF!,"AAAAAD93+wc=")</f>
        <v>#REF!</v>
      </c>
      <c r="I425" t="e">
        <f>IF(#REF!,"AAAAAD93+wg=",0)</f>
        <v>#REF!</v>
      </c>
      <c r="J425" t="e">
        <f>AND(#REF!,"AAAAAD93+wk=")</f>
        <v>#REF!</v>
      </c>
      <c r="K425" t="e">
        <f>AND(#REF!,"AAAAAD93+wo=")</f>
        <v>#REF!</v>
      </c>
      <c r="L425" t="e">
        <f>AND(#REF!,"AAAAAD93+ws=")</f>
        <v>#REF!</v>
      </c>
      <c r="M425" t="e">
        <f>AND(#REF!,"AAAAAD93+ww=")</f>
        <v>#REF!</v>
      </c>
      <c r="N425" t="e">
        <f>AND(#REF!,"AAAAAD93+w0=")</f>
        <v>#REF!</v>
      </c>
      <c r="O425" t="e">
        <f>AND(#REF!,"AAAAAD93+w4=")</f>
        <v>#REF!</v>
      </c>
      <c r="P425" t="e">
        <f>AND(#REF!,"AAAAAD93+w8=")</f>
        <v>#REF!</v>
      </c>
      <c r="Q425" t="e">
        <f>AND(#REF!,"AAAAAD93+xA=")</f>
        <v>#REF!</v>
      </c>
      <c r="R425" t="e">
        <f>AND(#REF!,"AAAAAD93+xE=")</f>
        <v>#REF!</v>
      </c>
      <c r="S425" t="e">
        <f>AND(#REF!,"AAAAAD93+xI=")</f>
        <v>#REF!</v>
      </c>
      <c r="T425" t="e">
        <f>IF(#REF!,"AAAAAD93+xM=",0)</f>
        <v>#REF!</v>
      </c>
      <c r="U425" t="e">
        <f>AND(#REF!,"AAAAAD93+xQ=")</f>
        <v>#REF!</v>
      </c>
      <c r="V425" t="e">
        <f>AND(#REF!,"AAAAAD93+xU=")</f>
        <v>#REF!</v>
      </c>
      <c r="W425" t="e">
        <f>AND(#REF!,"AAAAAD93+xY=")</f>
        <v>#REF!</v>
      </c>
      <c r="X425" t="e">
        <f>AND(#REF!,"AAAAAD93+xc=")</f>
        <v>#REF!</v>
      </c>
      <c r="Y425" t="e">
        <f>AND(#REF!,"AAAAAD93+xg=")</f>
        <v>#REF!</v>
      </c>
      <c r="Z425" t="e">
        <f>AND(#REF!,"AAAAAD93+xk=")</f>
        <v>#REF!</v>
      </c>
      <c r="AA425" t="e">
        <f>AND(#REF!,"AAAAAD93+xo=")</f>
        <v>#REF!</v>
      </c>
      <c r="AB425" t="e">
        <f>AND(#REF!,"AAAAAD93+xs=")</f>
        <v>#REF!</v>
      </c>
      <c r="AC425" t="e">
        <f>AND(#REF!,"AAAAAD93+xw=")</f>
        <v>#REF!</v>
      </c>
      <c r="AD425" t="e">
        <f>AND(#REF!,"AAAAAD93+x0=")</f>
        <v>#REF!</v>
      </c>
      <c r="AE425" t="e">
        <f>IF(#REF!,"AAAAAD93+x4=",0)</f>
        <v>#REF!</v>
      </c>
      <c r="AF425" t="e">
        <f>AND(#REF!,"AAAAAD93+x8=")</f>
        <v>#REF!</v>
      </c>
      <c r="AG425" t="e">
        <f>AND(#REF!,"AAAAAD93+yA=")</f>
        <v>#REF!</v>
      </c>
      <c r="AH425" t="e">
        <f>AND(#REF!,"AAAAAD93+yE=")</f>
        <v>#REF!</v>
      </c>
      <c r="AI425" t="e">
        <f>AND(#REF!,"AAAAAD93+yI=")</f>
        <v>#REF!</v>
      </c>
      <c r="AJ425" t="e">
        <f>AND(#REF!,"AAAAAD93+yM=")</f>
        <v>#REF!</v>
      </c>
      <c r="AK425" t="e">
        <f>AND(#REF!,"AAAAAD93+yQ=")</f>
        <v>#REF!</v>
      </c>
      <c r="AL425" t="e">
        <f>AND(#REF!,"AAAAAD93+yU=")</f>
        <v>#REF!</v>
      </c>
      <c r="AM425" t="e">
        <f>AND(#REF!,"AAAAAD93+yY=")</f>
        <v>#REF!</v>
      </c>
      <c r="AN425" t="e">
        <f>AND(#REF!,"AAAAAD93+yc=")</f>
        <v>#REF!</v>
      </c>
      <c r="AO425" t="e">
        <f>AND(#REF!,"AAAAAD93+yg=")</f>
        <v>#REF!</v>
      </c>
      <c r="AP425" t="e">
        <f>IF(#REF!,"AAAAAD93+yk=",0)</f>
        <v>#REF!</v>
      </c>
      <c r="AQ425" t="e">
        <f>AND(#REF!,"AAAAAD93+yo=")</f>
        <v>#REF!</v>
      </c>
      <c r="AR425" t="e">
        <f>AND(#REF!,"AAAAAD93+ys=")</f>
        <v>#REF!</v>
      </c>
      <c r="AS425" t="e">
        <f>AND(#REF!,"AAAAAD93+yw=")</f>
        <v>#REF!</v>
      </c>
      <c r="AT425" t="e">
        <f>AND(#REF!,"AAAAAD93+y0=")</f>
        <v>#REF!</v>
      </c>
      <c r="AU425" t="e">
        <f>AND(#REF!,"AAAAAD93+y4=")</f>
        <v>#REF!</v>
      </c>
      <c r="AV425" t="e">
        <f>AND(#REF!,"AAAAAD93+y8=")</f>
        <v>#REF!</v>
      </c>
      <c r="AW425" t="e">
        <f>AND(#REF!,"AAAAAD93+zA=")</f>
        <v>#REF!</v>
      </c>
      <c r="AX425" t="e">
        <f>AND(#REF!,"AAAAAD93+zE=")</f>
        <v>#REF!</v>
      </c>
      <c r="AY425" t="e">
        <f>AND(#REF!,"AAAAAD93+zI=")</f>
        <v>#REF!</v>
      </c>
      <c r="AZ425" t="e">
        <f>AND(#REF!,"AAAAAD93+zM=")</f>
        <v>#REF!</v>
      </c>
      <c r="BA425" t="e">
        <f>IF(#REF!,"AAAAAD93+zQ=",0)</f>
        <v>#REF!</v>
      </c>
      <c r="BB425" t="e">
        <f>AND(#REF!,"AAAAAD93+zU=")</f>
        <v>#REF!</v>
      </c>
      <c r="BC425" t="e">
        <f>AND(#REF!,"AAAAAD93+zY=")</f>
        <v>#REF!</v>
      </c>
      <c r="BD425" t="e">
        <f>AND(#REF!,"AAAAAD93+zc=")</f>
        <v>#REF!</v>
      </c>
      <c r="BE425" t="e">
        <f>AND(#REF!,"AAAAAD93+zg=")</f>
        <v>#REF!</v>
      </c>
      <c r="BF425" t="e">
        <f>AND(#REF!,"AAAAAD93+zk=")</f>
        <v>#REF!</v>
      </c>
      <c r="BG425" t="e">
        <f>AND(#REF!,"AAAAAD93+zo=")</f>
        <v>#REF!</v>
      </c>
      <c r="BH425" t="e">
        <f>AND(#REF!,"AAAAAD93+zs=")</f>
        <v>#REF!</v>
      </c>
      <c r="BI425" t="e">
        <f>AND(#REF!,"AAAAAD93+zw=")</f>
        <v>#REF!</v>
      </c>
      <c r="BJ425" t="e">
        <f>AND(#REF!,"AAAAAD93+z0=")</f>
        <v>#REF!</v>
      </c>
      <c r="BK425" t="e">
        <f>AND(#REF!,"AAAAAD93+z4=")</f>
        <v>#REF!</v>
      </c>
      <c r="BL425" t="e">
        <f>IF(#REF!,"AAAAAD93+z8=",0)</f>
        <v>#REF!</v>
      </c>
      <c r="BM425" t="e">
        <f>IF(#REF!,"AAAAAD93+0A=",0)</f>
        <v>#REF!</v>
      </c>
      <c r="BN425" t="e">
        <f>IF(#REF!,"AAAAAD93+0E=",0)</f>
        <v>#REF!</v>
      </c>
      <c r="BO425" t="e">
        <f>IF(#REF!,"AAAAAD93+0I=",0)</f>
        <v>#REF!</v>
      </c>
      <c r="BP425" t="e">
        <f>IF(#REF!,"AAAAAD93+0M=",0)</f>
        <v>#REF!</v>
      </c>
      <c r="BQ425" t="e">
        <f>IF(#REF!,"AAAAAD93+0Q=",0)</f>
        <v>#REF!</v>
      </c>
      <c r="BR425" t="e">
        <f>IF(#REF!,"AAAAAD93+0U=",0)</f>
        <v>#REF!</v>
      </c>
      <c r="BS425" t="e">
        <f>IF(#REF!,"AAAAAD93+0Y=",0)</f>
        <v>#REF!</v>
      </c>
      <c r="BT425" t="e">
        <f>IF(#REF!,"AAAAAD93+0c=",0)</f>
        <v>#REF!</v>
      </c>
      <c r="BU425" t="e">
        <f>IF(#REF!,"AAAAAD93+0g=",0)</f>
        <v>#REF!</v>
      </c>
      <c r="BV425" t="e">
        <f>IF(#REF!,"AAAAAD93+0k=",0)</f>
        <v>#REF!</v>
      </c>
      <c r="BW425" t="e">
        <f>IF(#REF!,"AAAAAD93+0o=",0)</f>
        <v>#REF!</v>
      </c>
      <c r="BX425" t="e">
        <f>IF(#REF!,"AAAAAD93+0s=",0)</f>
        <v>#REF!</v>
      </c>
      <c r="BY425" t="e">
        <f>AND(GETPIVOTDATA("",#REF!),"AAAAAD93+0w=")</f>
        <v>#REF!</v>
      </c>
      <c r="BZ425">
        <f>IF('OTRAS ACCIONES'!25:25,"AAAAAD93+00=",0)</f>
        <v>0</v>
      </c>
      <c r="CA425" t="e">
        <f>AND('OTRAS ACCIONES'!B25,"AAAAAD93+04=")</f>
        <v>#VALUE!</v>
      </c>
      <c r="CB425" t="e">
        <f>AND('OTRAS ACCIONES'!C25,"AAAAAD93+08=")</f>
        <v>#VALUE!</v>
      </c>
      <c r="CC425" t="e">
        <f>AND('OTRAS ACCIONES'!D25,"AAAAAD93+1A=")</f>
        <v>#VALUE!</v>
      </c>
      <c r="CD425" t="e">
        <f>AND('OTRAS ACCIONES'!E25,"AAAAAD93+1E=")</f>
        <v>#VALUE!</v>
      </c>
      <c r="CE425" t="e">
        <f>AND('OTRAS ACCIONES'!F25,"AAAAAD93+1I=")</f>
        <v>#VALUE!</v>
      </c>
      <c r="CF425" t="e">
        <f>AND('OTRAS ACCIONES'!G25,"AAAAAD93+1M=")</f>
        <v>#VALUE!</v>
      </c>
      <c r="CG425" t="e">
        <f>AND('OTRAS ACCIONES'!H25,"AAAAAD93+1Q=")</f>
        <v>#VALUE!</v>
      </c>
      <c r="CH425" t="e">
        <f>AND('OTRAS ACCIONES'!I25,"AAAAAD93+1U=")</f>
        <v>#VALUE!</v>
      </c>
      <c r="CI425" t="e">
        <f>AND('OTRAS ACCIONES'!J25,"AAAAAD93+1Y=")</f>
        <v>#VALUE!</v>
      </c>
      <c r="CJ425" t="e">
        <f>AND('OTRAS ACCIONES'!K25,"AAAAAD93+1c=")</f>
        <v>#VALUE!</v>
      </c>
      <c r="CK425" t="e">
        <f>AND('OTRAS ACCIONES'!L25,"AAAAAD93+1g=")</f>
        <v>#VALUE!</v>
      </c>
      <c r="CL425" t="e">
        <f>AND('OTRAS ACCIONES'!M25,"AAAAAD93+1k=")</f>
        <v>#VALUE!</v>
      </c>
      <c r="CM425" t="e">
        <f>AND('OTRAS ACCIONES'!N25,"AAAAAD93+1o=")</f>
        <v>#VALUE!</v>
      </c>
      <c r="CN425" t="e">
        <f>AND('OTRAS ACCIONES'!O25,"AAAAAD93+1s=")</f>
        <v>#VALUE!</v>
      </c>
      <c r="CO425" t="e">
        <f>AND('OTRAS ACCIONES'!P25,"AAAAAD93+1w=")</f>
        <v>#VALUE!</v>
      </c>
      <c r="CP425" t="e">
        <f>AND('OTRAS ACCIONES'!Q25,"AAAAAD93+10=")</f>
        <v>#VALUE!</v>
      </c>
      <c r="CQ425" t="e">
        <f>AND('OTRAS ACCIONES'!R25,"AAAAAD93+14=")</f>
        <v>#VALUE!</v>
      </c>
      <c r="CR425">
        <f>IF('OTRAS ACCIONES'!30:30,"AAAAAD93+18=",0)</f>
        <v>0</v>
      </c>
      <c r="CS425" t="e">
        <f>AND('OTRAS ACCIONES'!B30,"AAAAAD93+2A=")</f>
        <v>#VALUE!</v>
      </c>
      <c r="CT425" t="e">
        <f>AND('OTRAS ACCIONES'!C30,"AAAAAD93+2E=")</f>
        <v>#VALUE!</v>
      </c>
      <c r="CU425" t="e">
        <f>AND('OTRAS ACCIONES'!D30,"AAAAAD93+2I=")</f>
        <v>#VALUE!</v>
      </c>
      <c r="CV425" t="e">
        <f>AND('OTRAS ACCIONES'!E30,"AAAAAD93+2M=")</f>
        <v>#VALUE!</v>
      </c>
      <c r="CW425" t="e">
        <f>AND('OTRAS ACCIONES'!F30,"AAAAAD93+2Q=")</f>
        <v>#VALUE!</v>
      </c>
      <c r="CX425" t="e">
        <f>AND('OTRAS ACCIONES'!G30,"AAAAAD93+2U=")</f>
        <v>#VALUE!</v>
      </c>
      <c r="CY425" t="e">
        <f>AND('OTRAS ACCIONES'!H30,"AAAAAD93+2Y=")</f>
        <v>#VALUE!</v>
      </c>
      <c r="CZ425" t="e">
        <f>AND('OTRAS ACCIONES'!I30,"AAAAAD93+2c=")</f>
        <v>#VALUE!</v>
      </c>
      <c r="DA425" t="e">
        <f>AND('OTRAS ACCIONES'!J30,"AAAAAD93+2g=")</f>
        <v>#VALUE!</v>
      </c>
      <c r="DB425" t="e">
        <f>AND('OTRAS ACCIONES'!K30,"AAAAAD93+2k=")</f>
        <v>#VALUE!</v>
      </c>
      <c r="DC425" t="e">
        <f>AND('OTRAS ACCIONES'!L30,"AAAAAD93+2o=")</f>
        <v>#VALUE!</v>
      </c>
      <c r="DD425" t="e">
        <f>AND('OTRAS ACCIONES'!M30,"AAAAAD93+2s=")</f>
        <v>#VALUE!</v>
      </c>
      <c r="DE425" t="e">
        <f>AND('OTRAS ACCIONES'!N30,"AAAAAD93+2w=")</f>
        <v>#VALUE!</v>
      </c>
      <c r="DF425" t="e">
        <f>AND('OTRAS ACCIONES'!O30,"AAAAAD93+20=")</f>
        <v>#VALUE!</v>
      </c>
      <c r="DG425" t="e">
        <f>AND('OTRAS ACCIONES'!P30,"AAAAAD93+24=")</f>
        <v>#VALUE!</v>
      </c>
      <c r="DH425" t="e">
        <f>AND('OTRAS ACCIONES'!Q30,"AAAAAD93+28=")</f>
        <v>#VALUE!</v>
      </c>
      <c r="DI425" t="e">
        <f>AND('OTRAS ACCIONES'!R30,"AAAAAD93+3A=")</f>
        <v>#VALUE!</v>
      </c>
      <c r="DJ425" t="e">
        <f>IF('OTRAS ACCIONES'!#REF!,"AAAAAD93+3E=",0)</f>
        <v>#REF!</v>
      </c>
      <c r="DK425" t="e">
        <f>AND('OTRAS ACCIONES'!#REF!,"AAAAAD93+3I=")</f>
        <v>#REF!</v>
      </c>
      <c r="DL425" t="e">
        <f>AND('OTRAS ACCIONES'!#REF!,"AAAAAD93+3M=")</f>
        <v>#REF!</v>
      </c>
      <c r="DM425" t="e">
        <f>AND('OTRAS ACCIONES'!#REF!,"AAAAAD93+3Q=")</f>
        <v>#REF!</v>
      </c>
      <c r="DN425" t="e">
        <f>AND('OTRAS ACCIONES'!#REF!,"AAAAAD93+3U=")</f>
        <v>#REF!</v>
      </c>
      <c r="DO425" t="e">
        <f>AND('OTRAS ACCIONES'!#REF!,"AAAAAD93+3Y=")</f>
        <v>#REF!</v>
      </c>
      <c r="DP425" t="e">
        <f>AND('OTRAS ACCIONES'!#REF!,"AAAAAD93+3c=")</f>
        <v>#REF!</v>
      </c>
      <c r="DQ425" t="e">
        <f>AND('OTRAS ACCIONES'!#REF!,"AAAAAD93+3g=")</f>
        <v>#REF!</v>
      </c>
      <c r="DR425" t="e">
        <f>AND('OTRAS ACCIONES'!#REF!,"AAAAAD93+3k=")</f>
        <v>#REF!</v>
      </c>
      <c r="DS425" t="e">
        <f>AND('OTRAS ACCIONES'!#REF!,"AAAAAD93+3o=")</f>
        <v>#REF!</v>
      </c>
      <c r="DT425" t="e">
        <f>AND('OTRAS ACCIONES'!#REF!,"AAAAAD93+3s=")</f>
        <v>#REF!</v>
      </c>
      <c r="DU425" t="e">
        <f>AND('OTRAS ACCIONES'!#REF!,"AAAAAD93+3w=")</f>
        <v>#REF!</v>
      </c>
      <c r="DV425" t="e">
        <f>AND('OTRAS ACCIONES'!#REF!,"AAAAAD93+30=")</f>
        <v>#REF!</v>
      </c>
      <c r="DW425" t="e">
        <f>AND('OTRAS ACCIONES'!#REF!,"AAAAAD93+34=")</f>
        <v>#REF!</v>
      </c>
      <c r="DX425" t="e">
        <f>AND('OTRAS ACCIONES'!#REF!,"AAAAAD93+38=")</f>
        <v>#REF!</v>
      </c>
      <c r="DY425" t="e">
        <f>AND('OTRAS ACCIONES'!#REF!,"AAAAAD93+4A=")</f>
        <v>#REF!</v>
      </c>
      <c r="DZ425" t="e">
        <f>AND('OTRAS ACCIONES'!#REF!,"AAAAAD93+4E=")</f>
        <v>#REF!</v>
      </c>
      <c r="EA425" t="e">
        <f>AND('OTRAS ACCIONES'!#REF!,"AAAAAD93+4I=")</f>
        <v>#REF!</v>
      </c>
      <c r="EB425">
        <f>IF('OTRAS ACCIONES'!32:32,"AAAAAD93+4M=",0)</f>
        <v>0</v>
      </c>
      <c r="EC425" t="e">
        <f>AND('OTRAS ACCIONES'!B32,"AAAAAD93+4Q=")</f>
        <v>#VALUE!</v>
      </c>
      <c r="ED425" t="e">
        <f>AND('OTRAS ACCIONES'!C32,"AAAAAD93+4U=")</f>
        <v>#VALUE!</v>
      </c>
      <c r="EE425" t="e">
        <f>AND('OTRAS ACCIONES'!D32,"AAAAAD93+4Y=")</f>
        <v>#VALUE!</v>
      </c>
      <c r="EF425" t="e">
        <f>AND('OTRAS ACCIONES'!E32,"AAAAAD93+4c=")</f>
        <v>#VALUE!</v>
      </c>
      <c r="EG425" t="e">
        <f>AND('OTRAS ACCIONES'!F32,"AAAAAD93+4g=")</f>
        <v>#VALUE!</v>
      </c>
      <c r="EH425" t="e">
        <f>AND('OTRAS ACCIONES'!G32,"AAAAAD93+4k=")</f>
        <v>#VALUE!</v>
      </c>
      <c r="EI425" t="e">
        <f>AND('OTRAS ACCIONES'!H32,"AAAAAD93+4o=")</f>
        <v>#VALUE!</v>
      </c>
      <c r="EJ425" t="e">
        <f>AND('OTRAS ACCIONES'!I32,"AAAAAD93+4s=")</f>
        <v>#VALUE!</v>
      </c>
      <c r="EK425" t="e">
        <f>AND('OTRAS ACCIONES'!J32,"AAAAAD93+4w=")</f>
        <v>#VALUE!</v>
      </c>
      <c r="EL425" t="e">
        <f>AND('OTRAS ACCIONES'!K32,"AAAAAD93+40=")</f>
        <v>#VALUE!</v>
      </c>
      <c r="EM425" t="e">
        <f>AND('OTRAS ACCIONES'!L32,"AAAAAD93+44=")</f>
        <v>#VALUE!</v>
      </c>
      <c r="EN425" t="e">
        <f>AND('OTRAS ACCIONES'!M32,"AAAAAD93+48=")</f>
        <v>#VALUE!</v>
      </c>
      <c r="EO425" t="e">
        <f>AND('OTRAS ACCIONES'!N32,"AAAAAD93+5A=")</f>
        <v>#VALUE!</v>
      </c>
      <c r="EP425" t="e">
        <f>AND('OTRAS ACCIONES'!O32,"AAAAAD93+5E=")</f>
        <v>#VALUE!</v>
      </c>
      <c r="EQ425" t="e">
        <f>AND('OTRAS ACCIONES'!P32,"AAAAAD93+5I=")</f>
        <v>#VALUE!</v>
      </c>
      <c r="ER425" t="e">
        <f>AND('OTRAS ACCIONES'!Q32,"AAAAAD93+5M=")</f>
        <v>#VALUE!</v>
      </c>
      <c r="ES425" t="e">
        <f>AND('OTRAS ACCIONES'!R32,"AAAAAD93+5Q=")</f>
        <v>#VALUE!</v>
      </c>
      <c r="ET425">
        <f>IF('OTRAS ACCIONES'!46:46,"AAAAAD93+5U=",0)</f>
        <v>0</v>
      </c>
      <c r="EU425" t="e">
        <f>AND('OTRAS ACCIONES'!B46,"AAAAAD93+5Y=")</f>
        <v>#VALUE!</v>
      </c>
      <c r="EV425" t="e">
        <f>AND('OTRAS ACCIONES'!C46,"AAAAAD93+5c=")</f>
        <v>#VALUE!</v>
      </c>
      <c r="EW425" t="e">
        <f>AND('OTRAS ACCIONES'!D46,"AAAAAD93+5g=")</f>
        <v>#VALUE!</v>
      </c>
      <c r="EX425" t="e">
        <f>AND('OTRAS ACCIONES'!E46,"AAAAAD93+5k=")</f>
        <v>#VALUE!</v>
      </c>
      <c r="EY425" t="e">
        <f>AND('OTRAS ACCIONES'!F46,"AAAAAD93+5o=")</f>
        <v>#VALUE!</v>
      </c>
      <c r="EZ425" t="e">
        <f>AND('OTRAS ACCIONES'!G46,"AAAAAD93+5s=")</f>
        <v>#VALUE!</v>
      </c>
      <c r="FA425" t="e">
        <f>AND('OTRAS ACCIONES'!H46,"AAAAAD93+5w=")</f>
        <v>#VALUE!</v>
      </c>
      <c r="FB425" t="e">
        <f>AND('OTRAS ACCIONES'!I46,"AAAAAD93+50=")</f>
        <v>#VALUE!</v>
      </c>
      <c r="FC425" t="e">
        <f>AND('OTRAS ACCIONES'!J46,"AAAAAD93+54=")</f>
        <v>#VALUE!</v>
      </c>
      <c r="FD425" t="e">
        <f>AND('OTRAS ACCIONES'!K46,"AAAAAD93+58=")</f>
        <v>#VALUE!</v>
      </c>
      <c r="FE425" t="e">
        <f>AND('OTRAS ACCIONES'!L46,"AAAAAD93+6A=")</f>
        <v>#VALUE!</v>
      </c>
      <c r="FF425" t="e">
        <f>AND('OTRAS ACCIONES'!M46,"AAAAAD93+6E=")</f>
        <v>#VALUE!</v>
      </c>
      <c r="FG425" t="e">
        <f>AND('OTRAS ACCIONES'!N46,"AAAAAD93+6I=")</f>
        <v>#VALUE!</v>
      </c>
      <c r="FH425" t="e">
        <f>AND('OTRAS ACCIONES'!O46,"AAAAAD93+6M=")</f>
        <v>#VALUE!</v>
      </c>
      <c r="FI425" t="e">
        <f>AND('OTRAS ACCIONES'!P46,"AAAAAD93+6Q=")</f>
        <v>#VALUE!</v>
      </c>
      <c r="FJ425" t="e">
        <f>AND('OTRAS ACCIONES'!Q46,"AAAAAD93+6U=")</f>
        <v>#VALUE!</v>
      </c>
      <c r="FK425" t="e">
        <f>AND('OTRAS ACCIONES'!R46,"AAAAAD93+6Y=")</f>
        <v>#VALUE!</v>
      </c>
      <c r="FL425" t="e">
        <f>IF('OTRAS ACCIONES'!#REF!,"AAAAAD93+6c=",0)</f>
        <v>#REF!</v>
      </c>
      <c r="FM425" t="e">
        <f>AND('OTRAS ACCIONES'!#REF!,"AAAAAD93+6g=")</f>
        <v>#REF!</v>
      </c>
      <c r="FN425" t="e">
        <f>AND('OTRAS ACCIONES'!#REF!,"AAAAAD93+6k=")</f>
        <v>#REF!</v>
      </c>
      <c r="FO425" t="e">
        <f>AND('OTRAS ACCIONES'!#REF!,"AAAAAD93+6o=")</f>
        <v>#REF!</v>
      </c>
      <c r="FP425" t="e">
        <f>AND('OTRAS ACCIONES'!#REF!,"AAAAAD93+6s=")</f>
        <v>#REF!</v>
      </c>
      <c r="FQ425" t="e">
        <f>AND('OTRAS ACCIONES'!#REF!,"AAAAAD93+6w=")</f>
        <v>#REF!</v>
      </c>
      <c r="FR425" t="e">
        <f>AND('OTRAS ACCIONES'!#REF!,"AAAAAD93+60=")</f>
        <v>#REF!</v>
      </c>
      <c r="FS425" t="e">
        <f>AND('OTRAS ACCIONES'!#REF!,"AAAAAD93+64=")</f>
        <v>#REF!</v>
      </c>
      <c r="FT425" t="e">
        <f>AND('OTRAS ACCIONES'!#REF!,"AAAAAD93+68=")</f>
        <v>#REF!</v>
      </c>
      <c r="FU425" t="e">
        <f>AND('OTRAS ACCIONES'!#REF!,"AAAAAD93+7A=")</f>
        <v>#REF!</v>
      </c>
      <c r="FV425" t="e">
        <f>AND('OTRAS ACCIONES'!#REF!,"AAAAAD93+7E=")</f>
        <v>#REF!</v>
      </c>
      <c r="FW425" t="e">
        <f>AND('OTRAS ACCIONES'!#REF!,"AAAAAD93+7I=")</f>
        <v>#REF!</v>
      </c>
      <c r="FX425" t="e">
        <f>AND('OTRAS ACCIONES'!#REF!,"AAAAAD93+7M=")</f>
        <v>#REF!</v>
      </c>
      <c r="FY425" t="e">
        <f>AND('OTRAS ACCIONES'!#REF!,"AAAAAD93+7Q=")</f>
        <v>#REF!</v>
      </c>
      <c r="FZ425" t="e">
        <f>AND('OTRAS ACCIONES'!#REF!,"AAAAAD93+7U=")</f>
        <v>#REF!</v>
      </c>
      <c r="GA425" t="e">
        <f>AND('OTRAS ACCIONES'!#REF!,"AAAAAD93+7Y=")</f>
        <v>#REF!</v>
      </c>
      <c r="GB425" t="e">
        <f>AND('OTRAS ACCIONES'!#REF!,"AAAAAD93+7c=")</f>
        <v>#REF!</v>
      </c>
      <c r="GC425" t="e">
        <f>AND('OTRAS ACCIONES'!#REF!,"AAAAAD93+7g=")</f>
        <v>#REF!</v>
      </c>
      <c r="GD425">
        <f>IF('OTRAS ACCIONES'!89:89,"AAAAAD93+7k=",0)</f>
        <v>0</v>
      </c>
      <c r="GE425" t="e">
        <f>AND('OTRAS ACCIONES'!B89,"AAAAAD93+7o=")</f>
        <v>#VALUE!</v>
      </c>
      <c r="GF425" t="e">
        <f>AND('OTRAS ACCIONES'!C89,"AAAAAD93+7s=")</f>
        <v>#VALUE!</v>
      </c>
      <c r="GG425" t="e">
        <f>AND('OTRAS ACCIONES'!D89,"AAAAAD93+7w=")</f>
        <v>#VALUE!</v>
      </c>
      <c r="GH425" t="e">
        <f>AND('OTRAS ACCIONES'!E89,"AAAAAD93+70=")</f>
        <v>#VALUE!</v>
      </c>
      <c r="GI425" t="e">
        <f>AND('OTRAS ACCIONES'!#REF!,"AAAAAD93+74=")</f>
        <v>#REF!</v>
      </c>
      <c r="GJ425" t="e">
        <f>AND('OTRAS ACCIONES'!G89,"AAAAAD93+78=")</f>
        <v>#VALUE!</v>
      </c>
      <c r="GK425" t="e">
        <f>AND('OTRAS ACCIONES'!H89,"AAAAAD93+8A=")</f>
        <v>#VALUE!</v>
      </c>
      <c r="GL425" t="e">
        <f>AND('OTRAS ACCIONES'!I89,"AAAAAD93+8E=")</f>
        <v>#VALUE!</v>
      </c>
      <c r="GM425" t="e">
        <f>AND('OTRAS ACCIONES'!J89,"AAAAAD93+8I=")</f>
        <v>#VALUE!</v>
      </c>
      <c r="GN425" t="e">
        <f>AND('OTRAS ACCIONES'!K89,"AAAAAD93+8M=")</f>
        <v>#VALUE!</v>
      </c>
      <c r="GO425" t="e">
        <f>AND('OTRAS ACCIONES'!L89,"AAAAAD93+8Q=")</f>
        <v>#VALUE!</v>
      </c>
      <c r="GP425" t="e">
        <f>AND('OTRAS ACCIONES'!M89,"AAAAAD93+8U=")</f>
        <v>#VALUE!</v>
      </c>
      <c r="GQ425" t="e">
        <f>AND('OTRAS ACCIONES'!N89,"AAAAAD93+8Y=")</f>
        <v>#VALUE!</v>
      </c>
      <c r="GR425" t="e">
        <f>AND('OTRAS ACCIONES'!O89,"AAAAAD93+8c=")</f>
        <v>#VALUE!</v>
      </c>
      <c r="GS425" t="e">
        <f>AND('OTRAS ACCIONES'!P89,"AAAAAD93+8g=")</f>
        <v>#VALUE!</v>
      </c>
      <c r="GT425" t="e">
        <f>AND('OTRAS ACCIONES'!Q89,"AAAAAD93+8k=")</f>
        <v>#VALUE!</v>
      </c>
      <c r="GU425" t="e">
        <f>AND('OTRAS ACCIONES'!R89,"AAAAAD93+8o=")</f>
        <v>#VALUE!</v>
      </c>
      <c r="GV425" t="s">
        <v>662</v>
      </c>
      <c r="GW425" t="s">
        <v>663</v>
      </c>
      <c r="GX425" s="261" t="s">
        <v>664</v>
      </c>
      <c r="GY425" t="e">
        <f>IF("N",'Calendario Académico 2014'!_xlnm.Print_Area,"AAAAAD93+84=")</f>
        <v>#VALUE!</v>
      </c>
      <c r="GZ425" t="e">
        <f>IF("N",'PROG FORMACIÓN TITULADA'!_xlnm.Print_Area,"AAAAAD93+88=")</f>
        <v>#VALUE!</v>
      </c>
      <c r="HA425" t="e">
        <f>IF("N",_xlnm.Print_Area,"AAAAAD93+9A=")</f>
        <v>#VALUE!</v>
      </c>
    </row>
    <row r="426" spans="1:256" x14ac:dyDescent="0.2">
      <c r="A426" t="e">
        <f>IF('POTENCIAL HORAS'!279:279,"AAAAAG+/iAA=",0)</f>
        <v>#VALUE!</v>
      </c>
      <c r="B426" t="e">
        <f>AND('POTENCIAL HORAS'!A279,"AAAAAG+/iAE=")</f>
        <v>#VALUE!</v>
      </c>
      <c r="C426" t="e">
        <f>AND('POTENCIAL HORAS'!B279,"AAAAAG+/iAI=")</f>
        <v>#VALUE!</v>
      </c>
      <c r="D426" t="e">
        <f>AND('POTENCIAL HORAS'!C279,"AAAAAG+/iAM=")</f>
        <v>#VALUE!</v>
      </c>
      <c r="E426" t="e">
        <f>AND('POTENCIAL HORAS'!D279,"AAAAAG+/iAQ=")</f>
        <v>#VALUE!</v>
      </c>
      <c r="F426" t="e">
        <f>AND('POTENCIAL HORAS'!E279,"AAAAAG+/iAU=")</f>
        <v>#VALUE!</v>
      </c>
      <c r="G426" t="e">
        <f>AND('POTENCIAL HORAS'!F279,"AAAAAG+/iAY=")</f>
        <v>#VALUE!</v>
      </c>
      <c r="H426" t="e">
        <f>AND('POTENCIAL HORAS'!G279,"AAAAAG+/iAc=")</f>
        <v>#VALUE!</v>
      </c>
      <c r="I426" t="e">
        <f>AND('POTENCIAL HORAS'!H279,"AAAAAG+/iAg=")</f>
        <v>#VALUE!</v>
      </c>
      <c r="J426" t="e">
        <f>AND('POTENCIAL HORAS'!I279,"AAAAAG+/iAk=")</f>
        <v>#VALUE!</v>
      </c>
      <c r="K426" t="e">
        <f>AND('POTENCIAL HORAS'!J279,"AAAAAG+/iAo=")</f>
        <v>#VALUE!</v>
      </c>
      <c r="L426" t="e">
        <f>AND('POTENCIAL HORAS'!K279,"AAAAAG+/iAs=")</f>
        <v>#VALUE!</v>
      </c>
      <c r="M426" t="e">
        <f>AND('POTENCIAL HORAS'!L279,"AAAAAG+/iAw=")</f>
        <v>#VALUE!</v>
      </c>
      <c r="N426" t="e">
        <f>AND('POTENCIAL HORAS'!M279,"AAAAAG+/iA0=")</f>
        <v>#VALUE!</v>
      </c>
      <c r="O426" t="e">
        <f>AND('POTENCIAL HORAS'!N279,"AAAAAG+/iA4=")</f>
        <v>#VALUE!</v>
      </c>
      <c r="P426" t="e">
        <f>AND('POTENCIAL HORAS'!O279,"AAAAAG+/iA8=")</f>
        <v>#VALUE!</v>
      </c>
      <c r="Q426" t="e">
        <f>AND('POTENCIAL HORAS'!P279,"AAAAAG+/iBA=")</f>
        <v>#VALUE!</v>
      </c>
      <c r="R426" t="e">
        <f>AND('POTENCIAL HORAS'!#REF!,"AAAAAG+/iBE=")</f>
        <v>#REF!</v>
      </c>
      <c r="S426" t="e">
        <f>AND('POTENCIAL HORAS'!#REF!,"AAAAAG+/iBI=")</f>
        <v>#REF!</v>
      </c>
      <c r="T426" t="e">
        <f>AND('POTENCIAL HORAS'!#REF!,"AAAAAG+/iBM=")</f>
        <v>#REF!</v>
      </c>
      <c r="U426" t="e">
        <f>AND('POTENCIAL HORAS'!#REF!,"AAAAAG+/iBQ=")</f>
        <v>#REF!</v>
      </c>
      <c r="V426" t="e">
        <f>AND('POTENCIAL HORAS'!#REF!,"AAAAAG+/iBU=")</f>
        <v>#REF!</v>
      </c>
      <c r="W426" t="e">
        <f>AND('POTENCIAL HORAS'!#REF!,"AAAAAG+/iBY=")</f>
        <v>#REF!</v>
      </c>
      <c r="X426" t="e">
        <f>AND('POTENCIAL HORAS'!#REF!,"AAAAAG+/iBc=")</f>
        <v>#REF!</v>
      </c>
      <c r="Y426" t="e">
        <f>AND('POTENCIAL HORAS'!#REF!,"AAAAAG+/iBg=")</f>
        <v>#REF!</v>
      </c>
      <c r="Z426" t="e">
        <f>AND('POTENCIAL HORAS'!#REF!,"AAAAAG+/iBk=")</f>
        <v>#REF!</v>
      </c>
      <c r="AA426" t="e">
        <f>AND('POTENCIAL HORAS'!#REF!,"AAAAAG+/iBo=")</f>
        <v>#REF!</v>
      </c>
      <c r="AB426" t="e">
        <f>AND('POTENCIAL HORAS'!#REF!,"AAAAAG+/iBs=")</f>
        <v>#REF!</v>
      </c>
      <c r="AC426" t="e">
        <f>AND('POTENCIAL HORAS'!#REF!,"AAAAAG+/iBw=")</f>
        <v>#REF!</v>
      </c>
      <c r="AD426" t="e">
        <f>AND('POTENCIAL HORAS'!#REF!,"AAAAAG+/iB0=")</f>
        <v>#REF!</v>
      </c>
      <c r="AE426" t="e">
        <f>AND('POTENCIAL HORAS'!#REF!,"AAAAAG+/iB4=")</f>
        <v>#REF!</v>
      </c>
      <c r="AF426" t="e">
        <f>AND('POTENCIAL HORAS'!#REF!,"AAAAAG+/iB8=")</f>
        <v>#REF!</v>
      </c>
      <c r="AG426" t="e">
        <f>AND('POTENCIAL HORAS'!#REF!,"AAAAAG+/iCA=")</f>
        <v>#REF!</v>
      </c>
      <c r="AH426" t="e">
        <f>AND('POTENCIAL HORAS'!#REF!,"AAAAAG+/iCE=")</f>
        <v>#REF!</v>
      </c>
      <c r="AI426" t="e">
        <f>AND('POTENCIAL HORAS'!#REF!,"AAAAAG+/iCI=")</f>
        <v>#REF!</v>
      </c>
      <c r="AJ426" t="e">
        <f>AND('POTENCIAL HORAS'!#REF!,"AAAAAG+/iCM=")</f>
        <v>#REF!</v>
      </c>
      <c r="AK426" t="e">
        <f>AND('POTENCIAL HORAS'!#REF!,"AAAAAG+/iCQ=")</f>
        <v>#REF!</v>
      </c>
      <c r="AL426" t="e">
        <f>AND('POTENCIAL HORAS'!Q279,"AAAAAG+/iCU=")</f>
        <v>#VALUE!</v>
      </c>
      <c r="AM426" t="e">
        <f>AND('POTENCIAL HORAS'!R279,"AAAAAG+/iCY=")</f>
        <v>#VALUE!</v>
      </c>
      <c r="AN426">
        <f>IF('POTENCIAL HORAS'!285:285,"AAAAAG+/iCc=",0)</f>
        <v>0</v>
      </c>
      <c r="AO426" t="e">
        <f>AND('POTENCIAL HORAS'!A285,"AAAAAG+/iCg=")</f>
        <v>#VALUE!</v>
      </c>
      <c r="AP426" t="e">
        <f>AND('POTENCIAL HORAS'!B285,"AAAAAG+/iCk=")</f>
        <v>#VALUE!</v>
      </c>
      <c r="AQ426" t="e">
        <f>AND('POTENCIAL HORAS'!C285,"AAAAAG+/iCo=")</f>
        <v>#VALUE!</v>
      </c>
      <c r="AR426" t="e">
        <f>AND('POTENCIAL HORAS'!D285,"AAAAAG+/iCs=")</f>
        <v>#VALUE!</v>
      </c>
      <c r="AS426" t="e">
        <f>AND('POTENCIAL HORAS'!E285,"AAAAAG+/iCw=")</f>
        <v>#VALUE!</v>
      </c>
      <c r="AT426" t="e">
        <f>AND('POTENCIAL HORAS'!F285,"AAAAAG+/iC0=")</f>
        <v>#VALUE!</v>
      </c>
      <c r="AU426" t="e">
        <f>AND('POTENCIAL HORAS'!G285,"AAAAAG+/iC4=")</f>
        <v>#VALUE!</v>
      </c>
      <c r="AV426" t="e">
        <f>AND('POTENCIAL HORAS'!H285,"AAAAAG+/iC8=")</f>
        <v>#VALUE!</v>
      </c>
      <c r="AW426" t="e">
        <f>AND('POTENCIAL HORAS'!I285,"AAAAAG+/iDA=")</f>
        <v>#VALUE!</v>
      </c>
      <c r="AX426" t="e">
        <f>AND('POTENCIAL HORAS'!J285,"AAAAAG+/iDE=")</f>
        <v>#VALUE!</v>
      </c>
      <c r="AY426" t="e">
        <f>AND('POTENCIAL HORAS'!K285,"AAAAAG+/iDI=")</f>
        <v>#VALUE!</v>
      </c>
      <c r="AZ426" t="e">
        <f>AND('POTENCIAL HORAS'!L285,"AAAAAG+/iDM=")</f>
        <v>#VALUE!</v>
      </c>
      <c r="BA426" t="e">
        <f>AND('POTENCIAL HORAS'!M285,"AAAAAG+/iDQ=")</f>
        <v>#VALUE!</v>
      </c>
      <c r="BB426" t="e">
        <f>AND('POTENCIAL HORAS'!N285,"AAAAAG+/iDU=")</f>
        <v>#VALUE!</v>
      </c>
      <c r="BC426" t="e">
        <f>AND('POTENCIAL HORAS'!O285,"AAAAAG+/iDY=")</f>
        <v>#VALUE!</v>
      </c>
      <c r="BD426" t="e">
        <f>AND('POTENCIAL HORAS'!P285,"AAAAAG+/iDc=")</f>
        <v>#VALUE!</v>
      </c>
      <c r="BE426" t="e">
        <f>AND('POTENCIAL HORAS'!#REF!,"AAAAAG+/iDg=")</f>
        <v>#REF!</v>
      </c>
      <c r="BF426" t="e">
        <f>AND('POTENCIAL HORAS'!#REF!,"AAAAAG+/iDk=")</f>
        <v>#REF!</v>
      </c>
      <c r="BG426" t="e">
        <f>AND('POTENCIAL HORAS'!#REF!,"AAAAAG+/iDo=")</f>
        <v>#REF!</v>
      </c>
      <c r="BH426" t="e">
        <f>AND('POTENCIAL HORAS'!#REF!,"AAAAAG+/iDs=")</f>
        <v>#REF!</v>
      </c>
      <c r="BI426" t="e">
        <f>AND('POTENCIAL HORAS'!#REF!,"AAAAAG+/iDw=")</f>
        <v>#REF!</v>
      </c>
      <c r="BJ426" t="e">
        <f>AND('POTENCIAL HORAS'!#REF!,"AAAAAG+/iD0=")</f>
        <v>#REF!</v>
      </c>
      <c r="BK426" t="e">
        <f>AND('POTENCIAL HORAS'!#REF!,"AAAAAG+/iD4=")</f>
        <v>#REF!</v>
      </c>
      <c r="BL426" t="e">
        <f>AND('POTENCIAL HORAS'!#REF!,"AAAAAG+/iD8=")</f>
        <v>#REF!</v>
      </c>
      <c r="BM426" t="e">
        <f>AND('POTENCIAL HORAS'!#REF!,"AAAAAG+/iEA=")</f>
        <v>#REF!</v>
      </c>
      <c r="BN426" t="e">
        <f>AND('POTENCIAL HORAS'!#REF!,"AAAAAG+/iEE=")</f>
        <v>#REF!</v>
      </c>
      <c r="BO426" t="e">
        <f>AND('POTENCIAL HORAS'!#REF!,"AAAAAG+/iEI=")</f>
        <v>#REF!</v>
      </c>
      <c r="BP426" t="e">
        <f>AND('POTENCIAL HORAS'!#REF!,"AAAAAG+/iEM=")</f>
        <v>#REF!</v>
      </c>
      <c r="BQ426" t="e">
        <f>AND('POTENCIAL HORAS'!#REF!,"AAAAAG+/iEQ=")</f>
        <v>#REF!</v>
      </c>
      <c r="BR426" t="e">
        <f>AND('POTENCIAL HORAS'!#REF!,"AAAAAG+/iEU=")</f>
        <v>#REF!</v>
      </c>
      <c r="BS426" t="e">
        <f>AND('POTENCIAL HORAS'!#REF!,"AAAAAG+/iEY=")</f>
        <v>#REF!</v>
      </c>
      <c r="BT426" t="e">
        <f>AND('POTENCIAL HORAS'!#REF!,"AAAAAG+/iEc=")</f>
        <v>#REF!</v>
      </c>
      <c r="BU426" t="e">
        <f>AND('POTENCIAL HORAS'!#REF!,"AAAAAG+/iEg=")</f>
        <v>#REF!</v>
      </c>
      <c r="BV426" t="e">
        <f>AND('POTENCIAL HORAS'!#REF!,"AAAAAG+/iEk=")</f>
        <v>#REF!</v>
      </c>
      <c r="BW426" t="e">
        <f>AND('POTENCIAL HORAS'!#REF!,"AAAAAG+/iEo=")</f>
        <v>#REF!</v>
      </c>
      <c r="BX426" t="e">
        <f>AND('POTENCIAL HORAS'!#REF!,"AAAAAG+/iEs=")</f>
        <v>#REF!</v>
      </c>
      <c r="BY426" t="e">
        <f>AND('POTENCIAL HORAS'!Q285,"AAAAAG+/iEw=")</f>
        <v>#VALUE!</v>
      </c>
      <c r="BZ426" t="e">
        <f>AND('POTENCIAL HORAS'!R285,"AAAAAG+/iE0=")</f>
        <v>#VALUE!</v>
      </c>
      <c r="CA426">
        <f>IF('POTENCIAL HORAS'!315:315,"AAAAAG+/iE4=",0)</f>
        <v>0</v>
      </c>
      <c r="CB426" t="e">
        <f>AND('POTENCIAL HORAS'!A315,"AAAAAG+/iE8=")</f>
        <v>#VALUE!</v>
      </c>
      <c r="CC426" t="e">
        <f>AND('POTENCIAL HORAS'!B315,"AAAAAG+/iFA=")</f>
        <v>#VALUE!</v>
      </c>
      <c r="CD426" t="e">
        <f>AND('POTENCIAL HORAS'!C315,"AAAAAG+/iFE=")</f>
        <v>#VALUE!</v>
      </c>
      <c r="CE426" t="e">
        <f>AND('POTENCIAL HORAS'!D315,"AAAAAG+/iFI=")</f>
        <v>#VALUE!</v>
      </c>
      <c r="CF426" t="e">
        <f>AND('POTENCIAL HORAS'!E315,"AAAAAG+/iFM=")</f>
        <v>#VALUE!</v>
      </c>
      <c r="CG426" t="e">
        <f>AND('POTENCIAL HORAS'!F315,"AAAAAG+/iFQ=")</f>
        <v>#VALUE!</v>
      </c>
      <c r="CH426" t="e">
        <f>AND('POTENCIAL HORAS'!G315,"AAAAAG+/iFU=")</f>
        <v>#VALUE!</v>
      </c>
      <c r="CI426" t="e">
        <f>AND('POTENCIAL HORAS'!H315,"AAAAAG+/iFY=")</f>
        <v>#VALUE!</v>
      </c>
      <c r="CJ426" t="e">
        <f>AND('POTENCIAL HORAS'!I315,"AAAAAG+/iFc=")</f>
        <v>#VALUE!</v>
      </c>
      <c r="CK426" t="e">
        <f>AND('POTENCIAL HORAS'!J315,"AAAAAG+/iFg=")</f>
        <v>#VALUE!</v>
      </c>
      <c r="CL426" t="e">
        <f>AND('POTENCIAL HORAS'!K315,"AAAAAG+/iFk=")</f>
        <v>#VALUE!</v>
      </c>
      <c r="CM426" t="e">
        <f>AND('POTENCIAL HORAS'!L315,"AAAAAG+/iFo=")</f>
        <v>#VALUE!</v>
      </c>
      <c r="CN426" t="e">
        <f>AND('POTENCIAL HORAS'!M315,"AAAAAG+/iFs=")</f>
        <v>#VALUE!</v>
      </c>
      <c r="CO426" t="e">
        <f>AND('POTENCIAL HORAS'!N315,"AAAAAG+/iFw=")</f>
        <v>#VALUE!</v>
      </c>
      <c r="CP426" t="e">
        <f>AND('POTENCIAL HORAS'!O315,"AAAAAG+/iF0=")</f>
        <v>#VALUE!</v>
      </c>
      <c r="CQ426" t="e">
        <f>AND('POTENCIAL HORAS'!P315,"AAAAAG+/iF4=")</f>
        <v>#VALUE!</v>
      </c>
      <c r="CR426" t="e">
        <f>AND('POTENCIAL HORAS'!#REF!,"AAAAAG+/iF8=")</f>
        <v>#REF!</v>
      </c>
      <c r="CS426" t="e">
        <f>AND('POTENCIAL HORAS'!#REF!,"AAAAAG+/iGA=")</f>
        <v>#REF!</v>
      </c>
      <c r="CT426" t="e">
        <f>AND('POTENCIAL HORAS'!#REF!,"AAAAAG+/iGE=")</f>
        <v>#REF!</v>
      </c>
      <c r="CU426" t="e">
        <f>AND('POTENCIAL HORAS'!#REF!,"AAAAAG+/iGI=")</f>
        <v>#REF!</v>
      </c>
      <c r="CV426" t="e">
        <f>AND('POTENCIAL HORAS'!#REF!,"AAAAAG+/iGM=")</f>
        <v>#REF!</v>
      </c>
      <c r="CW426" t="e">
        <f>AND('POTENCIAL HORAS'!#REF!,"AAAAAG+/iGQ=")</f>
        <v>#REF!</v>
      </c>
      <c r="CX426" t="e">
        <f>AND('POTENCIAL HORAS'!#REF!,"AAAAAG+/iGU=")</f>
        <v>#REF!</v>
      </c>
      <c r="CY426" t="e">
        <f>AND('POTENCIAL HORAS'!#REF!,"AAAAAG+/iGY=")</f>
        <v>#REF!</v>
      </c>
      <c r="CZ426" t="e">
        <f>AND('POTENCIAL HORAS'!#REF!,"AAAAAG+/iGc=")</f>
        <v>#REF!</v>
      </c>
      <c r="DA426" t="e">
        <f>AND('POTENCIAL HORAS'!#REF!,"AAAAAG+/iGg=")</f>
        <v>#REF!</v>
      </c>
      <c r="DB426" t="e">
        <f>AND('POTENCIAL HORAS'!#REF!,"AAAAAG+/iGk=")</f>
        <v>#REF!</v>
      </c>
      <c r="DC426" t="e">
        <f>AND('POTENCIAL HORAS'!#REF!,"AAAAAG+/iGo=")</f>
        <v>#REF!</v>
      </c>
      <c r="DD426" t="e">
        <f>AND('POTENCIAL HORAS'!#REF!,"AAAAAG+/iGs=")</f>
        <v>#REF!</v>
      </c>
      <c r="DE426" t="e">
        <f>AND('POTENCIAL HORAS'!#REF!,"AAAAAG+/iGw=")</f>
        <v>#REF!</v>
      </c>
      <c r="DF426" t="e">
        <f>AND('POTENCIAL HORAS'!#REF!,"AAAAAG+/iG0=")</f>
        <v>#REF!</v>
      </c>
      <c r="DG426" t="e">
        <f>AND('POTENCIAL HORAS'!#REF!,"AAAAAG+/iG4=")</f>
        <v>#REF!</v>
      </c>
      <c r="DH426" t="e">
        <f>AND('POTENCIAL HORAS'!#REF!,"AAAAAG+/iG8=")</f>
        <v>#REF!</v>
      </c>
      <c r="DI426" t="e">
        <f>AND('POTENCIAL HORAS'!#REF!,"AAAAAG+/iHA=")</f>
        <v>#REF!</v>
      </c>
      <c r="DJ426" t="e">
        <f>AND('POTENCIAL HORAS'!#REF!,"AAAAAG+/iHE=")</f>
        <v>#REF!</v>
      </c>
      <c r="DK426" t="e">
        <f>AND('POTENCIAL HORAS'!#REF!,"AAAAAG+/iHI=")</f>
        <v>#REF!</v>
      </c>
      <c r="DL426" t="e">
        <f>AND('POTENCIAL HORAS'!Q315,"AAAAAG+/iHM=")</f>
        <v>#VALUE!</v>
      </c>
      <c r="DM426" t="e">
        <f>AND('POTENCIAL HORAS'!R315,"AAAAAG+/iHQ=")</f>
        <v>#VALUE!</v>
      </c>
      <c r="DN426" t="e">
        <f>IF('POTENCIAL HORAS'!#REF!,"AAAAAG+/iHU=",0)</f>
        <v>#REF!</v>
      </c>
      <c r="DO426" t="e">
        <f>AND('POTENCIAL HORAS'!#REF!,"AAAAAG+/iHY=")</f>
        <v>#REF!</v>
      </c>
      <c r="DP426" t="e">
        <f>AND('POTENCIAL HORAS'!#REF!,"AAAAAG+/iHc=")</f>
        <v>#REF!</v>
      </c>
      <c r="DQ426" t="e">
        <f>AND('POTENCIAL HORAS'!#REF!,"AAAAAG+/iHg=")</f>
        <v>#REF!</v>
      </c>
      <c r="DR426" t="e">
        <f>AND('POTENCIAL HORAS'!#REF!,"AAAAAG+/iHk=")</f>
        <v>#REF!</v>
      </c>
      <c r="DS426" t="e">
        <f>AND('POTENCIAL HORAS'!#REF!,"AAAAAG+/iHo=")</f>
        <v>#REF!</v>
      </c>
      <c r="DT426" t="e">
        <f>AND('POTENCIAL HORAS'!#REF!,"AAAAAG+/iHs=")</f>
        <v>#REF!</v>
      </c>
      <c r="DU426" t="e">
        <f>AND('POTENCIAL HORAS'!#REF!,"AAAAAG+/iHw=")</f>
        <v>#REF!</v>
      </c>
      <c r="DV426" t="e">
        <f>AND('POTENCIAL HORAS'!#REF!,"AAAAAG+/iH0=")</f>
        <v>#REF!</v>
      </c>
      <c r="DW426" t="e">
        <f>AND('POTENCIAL HORAS'!#REF!,"AAAAAG+/iH4=")</f>
        <v>#REF!</v>
      </c>
      <c r="DX426" t="e">
        <f>AND('POTENCIAL HORAS'!#REF!,"AAAAAG+/iH8=")</f>
        <v>#REF!</v>
      </c>
      <c r="DY426" t="e">
        <f>AND('POTENCIAL HORAS'!#REF!,"AAAAAG+/iIA=")</f>
        <v>#REF!</v>
      </c>
      <c r="DZ426" t="e">
        <f>AND('POTENCIAL HORAS'!#REF!,"AAAAAG+/iIE=")</f>
        <v>#REF!</v>
      </c>
      <c r="EA426" t="e">
        <f>AND('POTENCIAL HORAS'!#REF!,"AAAAAG+/iII=")</f>
        <v>#REF!</v>
      </c>
      <c r="EB426" t="e">
        <f>AND('POTENCIAL HORAS'!#REF!,"AAAAAG+/iIM=")</f>
        <v>#REF!</v>
      </c>
      <c r="EC426" t="e">
        <f>AND('POTENCIAL HORAS'!#REF!,"AAAAAG+/iIQ=")</f>
        <v>#REF!</v>
      </c>
      <c r="ED426" t="e">
        <f>AND('POTENCIAL HORAS'!#REF!,"AAAAAG+/iIU=")</f>
        <v>#REF!</v>
      </c>
      <c r="EE426" t="e">
        <f>AND('POTENCIAL HORAS'!#REF!,"AAAAAG+/iIY=")</f>
        <v>#REF!</v>
      </c>
      <c r="EF426" t="e">
        <f>AND('POTENCIAL HORAS'!#REF!,"AAAAAG+/iIc=")</f>
        <v>#REF!</v>
      </c>
      <c r="EG426" t="e">
        <f>AND('POTENCIAL HORAS'!#REF!,"AAAAAG+/iIg=")</f>
        <v>#REF!</v>
      </c>
      <c r="EH426" t="e">
        <f>AND('POTENCIAL HORAS'!#REF!,"AAAAAG+/iIk=")</f>
        <v>#REF!</v>
      </c>
      <c r="EI426" t="e">
        <f>AND('POTENCIAL HORAS'!#REF!,"AAAAAG+/iIo=")</f>
        <v>#REF!</v>
      </c>
      <c r="EJ426" t="e">
        <f>AND('POTENCIAL HORAS'!#REF!,"AAAAAG+/iIs=")</f>
        <v>#REF!</v>
      </c>
      <c r="EK426" t="e">
        <f>AND('POTENCIAL HORAS'!#REF!,"AAAAAG+/iIw=")</f>
        <v>#REF!</v>
      </c>
      <c r="EL426" t="e">
        <f>AND('POTENCIAL HORAS'!#REF!,"AAAAAG+/iI0=")</f>
        <v>#REF!</v>
      </c>
      <c r="EM426" t="e">
        <f>AND('POTENCIAL HORAS'!#REF!,"AAAAAG+/iI4=")</f>
        <v>#REF!</v>
      </c>
      <c r="EN426" t="e">
        <f>AND('POTENCIAL HORAS'!#REF!,"AAAAAG+/iI8=")</f>
        <v>#REF!</v>
      </c>
      <c r="EO426" t="e">
        <f>AND('POTENCIAL HORAS'!#REF!,"AAAAAG+/iJA=")</f>
        <v>#REF!</v>
      </c>
      <c r="EP426" t="e">
        <f>AND('POTENCIAL HORAS'!#REF!,"AAAAAG+/iJE=")</f>
        <v>#REF!</v>
      </c>
      <c r="EQ426" t="e">
        <f>AND('POTENCIAL HORAS'!#REF!,"AAAAAG+/iJI=")</f>
        <v>#REF!</v>
      </c>
      <c r="ER426" t="e">
        <f>AND('POTENCIAL HORAS'!#REF!,"AAAAAG+/iJM=")</f>
        <v>#REF!</v>
      </c>
      <c r="ES426" t="e">
        <f>AND('POTENCIAL HORAS'!#REF!,"AAAAAG+/iJQ=")</f>
        <v>#REF!</v>
      </c>
      <c r="ET426" t="e">
        <f>AND('POTENCIAL HORAS'!#REF!,"AAAAAG+/iJU=")</f>
        <v>#REF!</v>
      </c>
      <c r="EU426" t="e">
        <f>AND('POTENCIAL HORAS'!#REF!,"AAAAAG+/iJY=")</f>
        <v>#REF!</v>
      </c>
      <c r="EV426" t="e">
        <f>AND('POTENCIAL HORAS'!#REF!,"AAAAAG+/iJc=")</f>
        <v>#REF!</v>
      </c>
      <c r="EW426" t="e">
        <f>AND('POTENCIAL HORAS'!#REF!,"AAAAAG+/iJg=")</f>
        <v>#REF!</v>
      </c>
      <c r="EX426" t="e">
        <f>AND('POTENCIAL HORAS'!#REF!,"AAAAAG+/iJk=")</f>
        <v>#REF!</v>
      </c>
      <c r="EY426" t="e">
        <f>AND('POTENCIAL HORAS'!#REF!,"AAAAAG+/iJo=")</f>
        <v>#REF!</v>
      </c>
      <c r="EZ426" t="e">
        <f>AND('POTENCIAL HORAS'!#REF!,"AAAAAG+/iJs=")</f>
        <v>#REF!</v>
      </c>
      <c r="FA426" t="e">
        <f>IF('POTENCIAL HORAS'!#REF!,"AAAAAG+/iJw=",0)</f>
        <v>#REF!</v>
      </c>
      <c r="FB426" t="e">
        <f>AND('POTENCIAL HORAS'!#REF!,"AAAAAG+/iJ0=")</f>
        <v>#REF!</v>
      </c>
      <c r="FC426" t="e">
        <f>AND('POTENCIAL HORAS'!#REF!,"AAAAAG+/iJ4=")</f>
        <v>#REF!</v>
      </c>
      <c r="FD426" t="e">
        <f>AND('POTENCIAL HORAS'!#REF!,"AAAAAG+/iJ8=")</f>
        <v>#REF!</v>
      </c>
      <c r="FE426" t="e">
        <f>AND('POTENCIAL HORAS'!#REF!,"AAAAAG+/iKA=")</f>
        <v>#REF!</v>
      </c>
      <c r="FF426" t="e">
        <f>AND('POTENCIAL HORAS'!#REF!,"AAAAAG+/iKE=")</f>
        <v>#REF!</v>
      </c>
      <c r="FG426" t="e">
        <f>AND('POTENCIAL HORAS'!#REF!,"AAAAAG+/iKI=")</f>
        <v>#REF!</v>
      </c>
      <c r="FH426" t="e">
        <f>AND('POTENCIAL HORAS'!#REF!,"AAAAAG+/iKM=")</f>
        <v>#REF!</v>
      </c>
      <c r="FI426" t="e">
        <f>AND('POTENCIAL HORAS'!#REF!,"AAAAAG+/iKQ=")</f>
        <v>#REF!</v>
      </c>
      <c r="FJ426" t="e">
        <f>AND('POTENCIAL HORAS'!#REF!,"AAAAAG+/iKU=")</f>
        <v>#REF!</v>
      </c>
      <c r="FK426" t="e">
        <f>AND('POTENCIAL HORAS'!#REF!,"AAAAAG+/iKY=")</f>
        <v>#REF!</v>
      </c>
      <c r="FL426" t="e">
        <f>AND('POTENCIAL HORAS'!#REF!,"AAAAAG+/iKc=")</f>
        <v>#REF!</v>
      </c>
      <c r="FM426" t="e">
        <f>AND('POTENCIAL HORAS'!#REF!,"AAAAAG+/iKg=")</f>
        <v>#REF!</v>
      </c>
      <c r="FN426" t="e">
        <f>AND('POTENCIAL HORAS'!#REF!,"AAAAAG+/iKk=")</f>
        <v>#REF!</v>
      </c>
      <c r="FO426" t="e">
        <f>AND('POTENCIAL HORAS'!#REF!,"AAAAAG+/iKo=")</f>
        <v>#REF!</v>
      </c>
      <c r="FP426" t="e">
        <f>AND('POTENCIAL HORAS'!#REF!,"AAAAAG+/iKs=")</f>
        <v>#REF!</v>
      </c>
      <c r="FQ426" t="e">
        <f>AND('POTENCIAL HORAS'!#REF!,"AAAAAG+/iKw=")</f>
        <v>#REF!</v>
      </c>
      <c r="FR426" t="e">
        <f>AND('POTENCIAL HORAS'!#REF!,"AAAAAG+/iK0=")</f>
        <v>#REF!</v>
      </c>
      <c r="FS426" t="e">
        <f>AND('POTENCIAL HORAS'!#REF!,"AAAAAG+/iK4=")</f>
        <v>#REF!</v>
      </c>
      <c r="FT426" t="e">
        <f>AND('POTENCIAL HORAS'!#REF!,"AAAAAG+/iK8=")</f>
        <v>#REF!</v>
      </c>
      <c r="FU426" t="e">
        <f>AND('POTENCIAL HORAS'!#REF!,"AAAAAG+/iLA=")</f>
        <v>#REF!</v>
      </c>
      <c r="FV426" t="e">
        <f>AND('POTENCIAL HORAS'!#REF!,"AAAAAG+/iLE=")</f>
        <v>#REF!</v>
      </c>
      <c r="FW426" t="e">
        <f>AND('POTENCIAL HORAS'!#REF!,"AAAAAG+/iLI=")</f>
        <v>#REF!</v>
      </c>
      <c r="FX426" t="e">
        <f>AND('POTENCIAL HORAS'!#REF!,"AAAAAG+/iLM=")</f>
        <v>#REF!</v>
      </c>
      <c r="FY426" t="e">
        <f>AND('POTENCIAL HORAS'!#REF!,"AAAAAG+/iLQ=")</f>
        <v>#REF!</v>
      </c>
      <c r="FZ426" t="e">
        <f>AND('POTENCIAL HORAS'!#REF!,"AAAAAG+/iLU=")</f>
        <v>#REF!</v>
      </c>
      <c r="GA426" t="e">
        <f>AND('POTENCIAL HORAS'!#REF!,"AAAAAG+/iLY=")</f>
        <v>#REF!</v>
      </c>
      <c r="GB426" t="e">
        <f>AND('POTENCIAL HORAS'!#REF!,"AAAAAG+/iLc=")</f>
        <v>#REF!</v>
      </c>
      <c r="GC426" t="e">
        <f>AND('POTENCIAL HORAS'!#REF!,"AAAAAG+/iLg=")</f>
        <v>#REF!</v>
      </c>
      <c r="GD426" t="e">
        <f>AND('POTENCIAL HORAS'!#REF!,"AAAAAG+/iLk=")</f>
        <v>#REF!</v>
      </c>
      <c r="GE426" t="e">
        <f>AND('POTENCIAL HORAS'!#REF!,"AAAAAG+/iLo=")</f>
        <v>#REF!</v>
      </c>
      <c r="GF426" t="e">
        <f>AND('POTENCIAL HORAS'!#REF!,"AAAAAG+/iLs=")</f>
        <v>#REF!</v>
      </c>
      <c r="GG426" t="e">
        <f>AND('POTENCIAL HORAS'!#REF!,"AAAAAG+/iLw=")</f>
        <v>#REF!</v>
      </c>
      <c r="GH426" t="e">
        <f>AND('POTENCIAL HORAS'!#REF!,"AAAAAG+/iL0=")</f>
        <v>#REF!</v>
      </c>
      <c r="GI426" t="e">
        <f>AND('POTENCIAL HORAS'!#REF!,"AAAAAG+/iL4=")</f>
        <v>#REF!</v>
      </c>
      <c r="GJ426" t="e">
        <f>AND('POTENCIAL HORAS'!#REF!,"AAAAAG+/iL8=")</f>
        <v>#REF!</v>
      </c>
      <c r="GK426" t="e">
        <f>AND('POTENCIAL HORAS'!#REF!,"AAAAAG+/iMA=")</f>
        <v>#REF!</v>
      </c>
      <c r="GL426" t="e">
        <f>AND('POTENCIAL HORAS'!#REF!,"AAAAAG+/iME=")</f>
        <v>#REF!</v>
      </c>
      <c r="GM426" t="e">
        <f>AND('POTENCIAL HORAS'!#REF!,"AAAAAG+/iMI=")</f>
        <v>#REF!</v>
      </c>
      <c r="GN426" t="e">
        <f>IF('PROG FORMACIÓN TITULADA'!#REF!,"AAAAAG+/iMM=",0)</f>
        <v>#REF!</v>
      </c>
      <c r="GO426" t="e">
        <f>AND('PROG FORMACIÓN TITULADA'!#REF!,"AAAAAG+/iMQ=")</f>
        <v>#REF!</v>
      </c>
      <c r="GP426" t="e">
        <f>AND('PROG FORMACIÓN TITULADA'!#REF!,"AAAAAG+/iMU=")</f>
        <v>#REF!</v>
      </c>
      <c r="GQ426" t="e">
        <f>AND('PROG FORMACIÓN TITULADA'!#REF!,"AAAAAG+/iMY=")</f>
        <v>#REF!</v>
      </c>
      <c r="GR426" t="e">
        <f>AND('PROG FORMACIÓN TITULADA'!#REF!,"AAAAAG+/iMc=")</f>
        <v>#REF!</v>
      </c>
      <c r="GS426" t="e">
        <f>AND('PROG FORMACIÓN TITULADA'!#REF!,"AAAAAG+/iMg=")</f>
        <v>#REF!</v>
      </c>
      <c r="GT426" t="e">
        <f>AND('PROG FORMACIÓN TITULADA'!#REF!,"AAAAAG+/iMk=")</f>
        <v>#REF!</v>
      </c>
      <c r="GU426" t="e">
        <f>AND('PROG FORMACIÓN TITULADA'!#REF!,"AAAAAG+/iMo=")</f>
        <v>#REF!</v>
      </c>
      <c r="GV426" t="e">
        <f>AND('PROG FORMACIÓN TITULADA'!#REF!,"AAAAAG+/iMs=")</f>
        <v>#REF!</v>
      </c>
      <c r="GW426" t="e">
        <f>AND('PROG FORMACIÓN TITULADA'!#REF!,"AAAAAG+/iMw=")</f>
        <v>#REF!</v>
      </c>
      <c r="GX426" t="e">
        <f>AND('PROG FORMACIÓN TITULADA'!#REF!,"AAAAAG+/iM0=")</f>
        <v>#REF!</v>
      </c>
      <c r="GY426" t="e">
        <f>AND('PROG FORMACIÓN TITULADA'!#REF!,"AAAAAG+/iM4=")</f>
        <v>#REF!</v>
      </c>
      <c r="GZ426" t="e">
        <f>AND('PROG FORMACIÓN TITULADA'!#REF!,"AAAAAG+/iM8=")</f>
        <v>#REF!</v>
      </c>
      <c r="HA426" t="e">
        <f>AND('PROG FORMACIÓN TITULADA'!#REF!,"AAAAAG+/iNA=")</f>
        <v>#REF!</v>
      </c>
      <c r="HB426" t="e">
        <f>AND('PROG FORMACIÓN TITULADA'!#REF!,"AAAAAG+/iNE=")</f>
        <v>#REF!</v>
      </c>
      <c r="HC426" t="e">
        <f>AND('PROG FORMACIÓN TITULADA'!#REF!,"AAAAAG+/iNI=")</f>
        <v>#REF!</v>
      </c>
      <c r="HD426" t="e">
        <f>AND('PROG FORMACIÓN TITULADA'!#REF!,"AAAAAG+/iNM=")</f>
        <v>#REF!</v>
      </c>
      <c r="HE426" t="e">
        <f>AND('PROG FORMACIÓN TITULADA'!#REF!,"AAAAAG+/iNQ=")</f>
        <v>#REF!</v>
      </c>
      <c r="HF426" t="e">
        <f>AND('PROG FORMACIÓN TITULADA'!#REF!,"AAAAAG+/iNU=")</f>
        <v>#REF!</v>
      </c>
      <c r="HG426" t="e">
        <f>AND('PROG FORMACIÓN TITULADA'!#REF!,"AAAAAG+/iNY=")</f>
        <v>#REF!</v>
      </c>
      <c r="HH426" t="e">
        <f>AND('PROG FORMACIÓN TITULADA'!#REF!,"AAAAAG+/iNc=")</f>
        <v>#REF!</v>
      </c>
      <c r="HI426" t="e">
        <f>AND('PROG FORMACIÓN TITULADA'!#REF!,"AAAAAG+/iNg=")</f>
        <v>#REF!</v>
      </c>
      <c r="HJ426" t="e">
        <f>AND('PROG FORMACIÓN TITULADA'!#REF!,"AAAAAG+/iNk=")</f>
        <v>#REF!</v>
      </c>
      <c r="HK426" t="e">
        <f>AND('PROG FORMACIÓN TITULADA'!#REF!,"AAAAAG+/iNo=")</f>
        <v>#REF!</v>
      </c>
      <c r="HL426" t="e">
        <f>AND('PROG FORMACIÓN TITULADA'!#REF!,"AAAAAG+/iNs=")</f>
        <v>#REF!</v>
      </c>
      <c r="HM426" t="e">
        <f>AND('PROG FORMACIÓN TITULADA'!#REF!,"AAAAAG+/iNw=")</f>
        <v>#REF!</v>
      </c>
      <c r="HN426" t="e">
        <f>AND('PROG FORMACIÓN TITULADA'!#REF!,"AAAAAG+/iN0=")</f>
        <v>#REF!</v>
      </c>
      <c r="HO426" t="e">
        <f>IF('PROG FORMACIÓN TITULADA'!#REF!,"AAAAAG+/iN4=",0)</f>
        <v>#REF!</v>
      </c>
      <c r="HP426" t="e">
        <f>AND('PROG FORMACIÓN TITULADA'!#REF!,"AAAAAG+/iN8=")</f>
        <v>#REF!</v>
      </c>
      <c r="HQ426" t="e">
        <f>AND('PROG FORMACIÓN TITULADA'!#REF!,"AAAAAG+/iOA=")</f>
        <v>#REF!</v>
      </c>
      <c r="HR426" t="e">
        <f>AND('PROG FORMACIÓN TITULADA'!#REF!,"AAAAAG+/iOE=")</f>
        <v>#REF!</v>
      </c>
      <c r="HS426" t="e">
        <f>AND('PROG FORMACIÓN TITULADA'!#REF!,"AAAAAG+/iOI=")</f>
        <v>#REF!</v>
      </c>
      <c r="HT426" t="e">
        <f>AND('PROG FORMACIÓN TITULADA'!#REF!,"AAAAAG+/iOM=")</f>
        <v>#REF!</v>
      </c>
      <c r="HU426" t="e">
        <f>AND('PROG FORMACIÓN TITULADA'!#REF!,"AAAAAG+/iOQ=")</f>
        <v>#REF!</v>
      </c>
      <c r="HV426" t="e">
        <f>AND('PROG FORMACIÓN TITULADA'!#REF!,"AAAAAG+/iOU=")</f>
        <v>#REF!</v>
      </c>
      <c r="HW426" t="e">
        <f>AND('PROG FORMACIÓN TITULADA'!#REF!,"AAAAAG+/iOY=")</f>
        <v>#REF!</v>
      </c>
      <c r="HX426" t="e">
        <f>AND('PROG FORMACIÓN TITULADA'!#REF!,"AAAAAG+/iOc=")</f>
        <v>#REF!</v>
      </c>
      <c r="HY426" t="e">
        <f>AND('PROG FORMACIÓN TITULADA'!#REF!,"AAAAAG+/iOg=")</f>
        <v>#REF!</v>
      </c>
      <c r="HZ426" t="e">
        <f>AND('PROG FORMACIÓN TITULADA'!#REF!,"AAAAAG+/iOk=")</f>
        <v>#REF!</v>
      </c>
      <c r="IA426" t="e">
        <f>AND('PROG FORMACIÓN TITULADA'!#REF!,"AAAAAG+/iOo=")</f>
        <v>#REF!</v>
      </c>
      <c r="IB426" t="e">
        <f>AND('PROG FORMACIÓN TITULADA'!#REF!,"AAAAAG+/iOs=")</f>
        <v>#REF!</v>
      </c>
      <c r="IC426" t="e">
        <f>AND('PROG FORMACIÓN TITULADA'!#REF!,"AAAAAG+/iOw=")</f>
        <v>#REF!</v>
      </c>
      <c r="ID426" t="e">
        <f>AND('PROG FORMACIÓN TITULADA'!#REF!,"AAAAAG+/iO0=")</f>
        <v>#REF!</v>
      </c>
      <c r="IE426" t="e">
        <f>AND('PROG FORMACIÓN TITULADA'!#REF!,"AAAAAG+/iO4=")</f>
        <v>#REF!</v>
      </c>
      <c r="IF426" t="e">
        <f>AND('PROG FORMACIÓN TITULADA'!#REF!,"AAAAAG+/iO8=")</f>
        <v>#REF!</v>
      </c>
      <c r="IG426" t="e">
        <f>AND('PROG FORMACIÓN TITULADA'!#REF!,"AAAAAG+/iPA=")</f>
        <v>#REF!</v>
      </c>
      <c r="IH426" t="e">
        <f>AND('PROG FORMACIÓN TITULADA'!#REF!,"AAAAAG+/iPE=")</f>
        <v>#REF!</v>
      </c>
      <c r="II426" t="e">
        <f>AND('PROG FORMACIÓN TITULADA'!#REF!,"AAAAAG+/iPI=")</f>
        <v>#REF!</v>
      </c>
      <c r="IJ426" t="e">
        <f>AND('PROG FORMACIÓN TITULADA'!#REF!,"AAAAAG+/iPM=")</f>
        <v>#REF!</v>
      </c>
      <c r="IK426" t="e">
        <f>AND('PROG FORMACIÓN TITULADA'!#REF!,"AAAAAG+/iPQ=")</f>
        <v>#REF!</v>
      </c>
      <c r="IL426" t="e">
        <f>AND('PROG FORMACIÓN TITULADA'!#REF!,"AAAAAG+/iPU=")</f>
        <v>#REF!</v>
      </c>
      <c r="IM426" t="e">
        <f>AND('PROG FORMACIÓN TITULADA'!#REF!,"AAAAAG+/iPY=")</f>
        <v>#REF!</v>
      </c>
      <c r="IN426" t="e">
        <f>AND('PROG FORMACIÓN TITULADA'!#REF!,"AAAAAG+/iPc=")</f>
        <v>#REF!</v>
      </c>
      <c r="IO426" t="e">
        <f>AND('PROG FORMACIÓN TITULADA'!#REF!,"AAAAAG+/iPg=")</f>
        <v>#REF!</v>
      </c>
      <c r="IP426" t="e">
        <f>IF('PROG FORMACIÓN TITULADA'!#REF!,"AAAAAG+/iPk=",0)</f>
        <v>#REF!</v>
      </c>
      <c r="IQ426" t="e">
        <f>AND('PROG FORMACIÓN TITULADA'!#REF!,"AAAAAG+/iPo=")</f>
        <v>#REF!</v>
      </c>
      <c r="IR426" t="e">
        <f>AND('PROG FORMACIÓN TITULADA'!#REF!,"AAAAAG+/iPs=")</f>
        <v>#REF!</v>
      </c>
      <c r="IS426" t="e">
        <f>AND('PROG FORMACIÓN TITULADA'!#REF!,"AAAAAG+/iPw=")</f>
        <v>#REF!</v>
      </c>
      <c r="IT426" t="e">
        <f>AND('PROG FORMACIÓN TITULADA'!#REF!,"AAAAAG+/iP0=")</f>
        <v>#REF!</v>
      </c>
      <c r="IU426" t="e">
        <f>AND('PROG FORMACIÓN TITULADA'!#REF!,"AAAAAG+/iP4=")</f>
        <v>#REF!</v>
      </c>
      <c r="IV426" t="e">
        <f>AND('PROG FORMACIÓN TITULADA'!#REF!,"AAAAAG+/iP8=")</f>
        <v>#REF!</v>
      </c>
    </row>
    <row r="427" spans="1:256" x14ac:dyDescent="0.2">
      <c r="A427" t="e">
        <f>AND('PROG FORMACIÓN TITULADA'!#REF!,"AAAAAFlf6gA=")</f>
        <v>#REF!</v>
      </c>
      <c r="B427" t="e">
        <f>AND('PROG FORMACIÓN TITULADA'!#REF!,"AAAAAFlf6gE=")</f>
        <v>#REF!</v>
      </c>
      <c r="C427" t="e">
        <f>AND('PROG FORMACIÓN TITULADA'!#REF!,"AAAAAFlf6gI=")</f>
        <v>#REF!</v>
      </c>
      <c r="D427" t="e">
        <f>AND('PROG FORMACIÓN TITULADA'!#REF!,"AAAAAFlf6gM=")</f>
        <v>#REF!</v>
      </c>
      <c r="E427" t="e">
        <f>AND('PROG FORMACIÓN TITULADA'!#REF!,"AAAAAFlf6gQ=")</f>
        <v>#REF!</v>
      </c>
      <c r="F427" t="e">
        <f>AND('PROG FORMACIÓN TITULADA'!#REF!,"AAAAAFlf6gU=")</f>
        <v>#REF!</v>
      </c>
      <c r="G427" t="e">
        <f>AND('PROG FORMACIÓN TITULADA'!#REF!,"AAAAAFlf6gY=")</f>
        <v>#REF!</v>
      </c>
      <c r="H427" t="e">
        <f>AND('PROG FORMACIÓN TITULADA'!#REF!,"AAAAAFlf6gc=")</f>
        <v>#REF!</v>
      </c>
      <c r="I427" t="e">
        <f>AND('PROG FORMACIÓN TITULADA'!#REF!,"AAAAAFlf6gg=")</f>
        <v>#REF!</v>
      </c>
      <c r="J427" t="e">
        <f>AND('PROG FORMACIÓN TITULADA'!#REF!,"AAAAAFlf6gk=")</f>
        <v>#REF!</v>
      </c>
      <c r="K427" t="e">
        <f>AND('PROG FORMACIÓN TITULADA'!#REF!,"AAAAAFlf6go=")</f>
        <v>#REF!</v>
      </c>
      <c r="L427" t="e">
        <f>AND('PROG FORMACIÓN TITULADA'!#REF!,"AAAAAFlf6gs=")</f>
        <v>#REF!</v>
      </c>
      <c r="M427" t="e">
        <f>AND('PROG FORMACIÓN TITULADA'!#REF!,"AAAAAFlf6gw=")</f>
        <v>#REF!</v>
      </c>
      <c r="N427" t="e">
        <f>AND('PROG FORMACIÓN TITULADA'!#REF!,"AAAAAFlf6g0=")</f>
        <v>#REF!</v>
      </c>
      <c r="O427" t="e">
        <f>AND('PROG FORMACIÓN TITULADA'!#REF!,"AAAAAFlf6g4=")</f>
        <v>#REF!</v>
      </c>
      <c r="P427" t="e">
        <f>AND('PROG FORMACIÓN TITULADA'!#REF!,"AAAAAFlf6g8=")</f>
        <v>#REF!</v>
      </c>
      <c r="Q427" t="e">
        <f>AND('PROG FORMACIÓN TITULADA'!#REF!,"AAAAAFlf6hA=")</f>
        <v>#REF!</v>
      </c>
      <c r="R427" t="e">
        <f>AND('PROG FORMACIÓN TITULADA'!#REF!,"AAAAAFlf6hE=")</f>
        <v>#REF!</v>
      </c>
      <c r="S427" t="e">
        <f>AND('PROG FORMACIÓN TITULADA'!#REF!,"AAAAAFlf6hI=")</f>
        <v>#REF!</v>
      </c>
      <c r="T427" t="e">
        <f>AND('PROG FORMACIÓN TITULADA'!#REF!,"AAAAAFlf6hM=")</f>
        <v>#REF!</v>
      </c>
      <c r="U427" t="e">
        <f>IF('PROG FORMACIÓN TITULADA'!#REF!,"AAAAAFlf6hQ=",0)</f>
        <v>#REF!</v>
      </c>
      <c r="V427" t="e">
        <f>AND('PROG FORMACIÓN TITULADA'!#REF!,"AAAAAFlf6hU=")</f>
        <v>#REF!</v>
      </c>
      <c r="W427" t="e">
        <f>AND('PROG FORMACIÓN TITULADA'!#REF!,"AAAAAFlf6hY=")</f>
        <v>#REF!</v>
      </c>
      <c r="X427" t="e">
        <f>AND('PROG FORMACIÓN TITULADA'!#REF!,"AAAAAFlf6hc=")</f>
        <v>#REF!</v>
      </c>
      <c r="Y427" t="e">
        <f>AND('PROG FORMACIÓN TITULADA'!#REF!,"AAAAAFlf6hg=")</f>
        <v>#REF!</v>
      </c>
      <c r="Z427" t="e">
        <f>AND('PROG FORMACIÓN TITULADA'!#REF!,"AAAAAFlf6hk=")</f>
        <v>#REF!</v>
      </c>
      <c r="AA427" t="e">
        <f>AND('PROG FORMACIÓN TITULADA'!#REF!,"AAAAAFlf6ho=")</f>
        <v>#REF!</v>
      </c>
      <c r="AB427" t="e">
        <f>AND('PROG FORMACIÓN TITULADA'!#REF!,"AAAAAFlf6hs=")</f>
        <v>#REF!</v>
      </c>
      <c r="AC427" t="e">
        <f>AND('PROG FORMACIÓN TITULADA'!#REF!,"AAAAAFlf6hw=")</f>
        <v>#REF!</v>
      </c>
      <c r="AD427" t="e">
        <f>AND('PROG FORMACIÓN TITULADA'!#REF!,"AAAAAFlf6h0=")</f>
        <v>#REF!</v>
      </c>
      <c r="AE427" t="e">
        <f>AND('PROG FORMACIÓN TITULADA'!#REF!,"AAAAAFlf6h4=")</f>
        <v>#REF!</v>
      </c>
      <c r="AF427" t="e">
        <f>AND('PROG FORMACIÓN TITULADA'!#REF!,"AAAAAFlf6h8=")</f>
        <v>#REF!</v>
      </c>
      <c r="AG427" t="e">
        <f>AND('PROG FORMACIÓN TITULADA'!#REF!,"AAAAAFlf6iA=")</f>
        <v>#REF!</v>
      </c>
      <c r="AH427" t="e">
        <f>AND('PROG FORMACIÓN TITULADA'!#REF!,"AAAAAFlf6iE=")</f>
        <v>#REF!</v>
      </c>
      <c r="AI427" t="e">
        <f>AND('PROG FORMACIÓN TITULADA'!#REF!,"AAAAAFlf6iI=")</f>
        <v>#REF!</v>
      </c>
      <c r="AJ427" t="e">
        <f>AND('PROG FORMACIÓN TITULADA'!#REF!,"AAAAAFlf6iM=")</f>
        <v>#REF!</v>
      </c>
      <c r="AK427" t="e">
        <f>AND('PROG FORMACIÓN TITULADA'!#REF!,"AAAAAFlf6iQ=")</f>
        <v>#REF!</v>
      </c>
      <c r="AL427" t="e">
        <f>AND('PROG FORMACIÓN TITULADA'!#REF!,"AAAAAFlf6iU=")</f>
        <v>#REF!</v>
      </c>
      <c r="AM427" t="e">
        <f>AND('PROG FORMACIÓN TITULADA'!#REF!,"AAAAAFlf6iY=")</f>
        <v>#REF!</v>
      </c>
      <c r="AN427" t="e">
        <f>AND('PROG FORMACIÓN TITULADA'!#REF!,"AAAAAFlf6ic=")</f>
        <v>#REF!</v>
      </c>
      <c r="AO427" t="e">
        <f>AND('PROG FORMACIÓN TITULADA'!#REF!,"AAAAAFlf6ig=")</f>
        <v>#REF!</v>
      </c>
      <c r="AP427" t="e">
        <f>AND('PROG FORMACIÓN TITULADA'!#REF!,"AAAAAFlf6ik=")</f>
        <v>#REF!</v>
      </c>
      <c r="AQ427" t="e">
        <f>AND('PROG FORMACIÓN TITULADA'!#REF!,"AAAAAFlf6io=")</f>
        <v>#REF!</v>
      </c>
      <c r="AR427" t="e">
        <f>AND('PROG FORMACIÓN TITULADA'!#REF!,"AAAAAFlf6is=")</f>
        <v>#REF!</v>
      </c>
      <c r="AS427" t="e">
        <f>AND('PROG FORMACIÓN TITULADA'!#REF!,"AAAAAFlf6iw=")</f>
        <v>#REF!</v>
      </c>
      <c r="AT427" t="e">
        <f>AND('PROG FORMACIÓN TITULADA'!#REF!,"AAAAAFlf6i0=")</f>
        <v>#REF!</v>
      </c>
      <c r="AU427" t="e">
        <f>AND('PROG FORMACIÓN TITULADA'!#REF!,"AAAAAFlf6i4=")</f>
        <v>#REF!</v>
      </c>
      <c r="AV427" t="e">
        <f>IF('PROG FORMACIÓN TITULADA'!#REF!,"AAAAAFlf6i8=",0)</f>
        <v>#REF!</v>
      </c>
      <c r="AW427" t="e">
        <f>AND('PROG FORMACIÓN TITULADA'!#REF!,"AAAAAFlf6jA=")</f>
        <v>#REF!</v>
      </c>
      <c r="AX427" t="e">
        <f>AND('PROG FORMACIÓN TITULADA'!#REF!,"AAAAAFlf6jE=")</f>
        <v>#REF!</v>
      </c>
      <c r="AY427" t="e">
        <f>AND('PROG FORMACIÓN TITULADA'!#REF!,"AAAAAFlf6jI=")</f>
        <v>#REF!</v>
      </c>
      <c r="AZ427" t="e">
        <f>AND('PROG FORMACIÓN TITULADA'!#REF!,"AAAAAFlf6jM=")</f>
        <v>#REF!</v>
      </c>
      <c r="BA427" t="e">
        <f>AND('PROG FORMACIÓN TITULADA'!#REF!,"AAAAAFlf6jQ=")</f>
        <v>#REF!</v>
      </c>
      <c r="BB427" t="e">
        <f>AND('PROG FORMACIÓN TITULADA'!#REF!,"AAAAAFlf6jU=")</f>
        <v>#REF!</v>
      </c>
      <c r="BC427" t="e">
        <f>AND('PROG FORMACIÓN TITULADA'!#REF!,"AAAAAFlf6jY=")</f>
        <v>#REF!</v>
      </c>
      <c r="BD427" t="e">
        <f>AND('PROG FORMACIÓN TITULADA'!#REF!,"AAAAAFlf6jc=")</f>
        <v>#REF!</v>
      </c>
      <c r="BE427" t="e">
        <f>AND('PROG FORMACIÓN TITULADA'!#REF!,"AAAAAFlf6jg=")</f>
        <v>#REF!</v>
      </c>
      <c r="BF427" t="e">
        <f>AND('PROG FORMACIÓN TITULADA'!#REF!,"AAAAAFlf6jk=")</f>
        <v>#REF!</v>
      </c>
      <c r="BG427" t="e">
        <f>AND('PROG FORMACIÓN TITULADA'!#REF!,"AAAAAFlf6jo=")</f>
        <v>#REF!</v>
      </c>
      <c r="BH427" t="e">
        <f>AND('PROG FORMACIÓN TITULADA'!#REF!,"AAAAAFlf6js=")</f>
        <v>#REF!</v>
      </c>
      <c r="BI427" t="e">
        <f>AND('PROG FORMACIÓN TITULADA'!#REF!,"AAAAAFlf6jw=")</f>
        <v>#REF!</v>
      </c>
      <c r="BJ427" t="e">
        <f>AND('PROG FORMACIÓN TITULADA'!#REF!,"AAAAAFlf6j0=")</f>
        <v>#REF!</v>
      </c>
      <c r="BK427" t="e">
        <f>AND('PROG FORMACIÓN TITULADA'!#REF!,"AAAAAFlf6j4=")</f>
        <v>#REF!</v>
      </c>
      <c r="BL427" t="e">
        <f>AND('PROG FORMACIÓN TITULADA'!#REF!,"AAAAAFlf6j8=")</f>
        <v>#REF!</v>
      </c>
      <c r="BM427" t="e">
        <f>AND('PROG FORMACIÓN TITULADA'!#REF!,"AAAAAFlf6kA=")</f>
        <v>#REF!</v>
      </c>
      <c r="BN427" t="e">
        <f>AND('PROG FORMACIÓN TITULADA'!#REF!,"AAAAAFlf6kE=")</f>
        <v>#REF!</v>
      </c>
      <c r="BO427" t="e">
        <f>AND('PROG FORMACIÓN TITULADA'!#REF!,"AAAAAFlf6kI=")</f>
        <v>#REF!</v>
      </c>
      <c r="BP427" t="e">
        <f>AND('PROG FORMACIÓN TITULADA'!#REF!,"AAAAAFlf6kM=")</f>
        <v>#REF!</v>
      </c>
      <c r="BQ427" t="e">
        <f>AND('PROG FORMACIÓN TITULADA'!#REF!,"AAAAAFlf6kQ=")</f>
        <v>#REF!</v>
      </c>
      <c r="BR427" t="e">
        <f>AND('PROG FORMACIÓN TITULADA'!#REF!,"AAAAAFlf6kU=")</f>
        <v>#REF!</v>
      </c>
      <c r="BS427" t="e">
        <f>AND('PROG FORMACIÓN TITULADA'!#REF!,"AAAAAFlf6kY=")</f>
        <v>#REF!</v>
      </c>
      <c r="BT427" t="e">
        <f>AND('PROG FORMACIÓN TITULADA'!#REF!,"AAAAAFlf6kc=")</f>
        <v>#REF!</v>
      </c>
      <c r="BU427" t="e">
        <f>AND('PROG FORMACIÓN TITULADA'!#REF!,"AAAAAFlf6kg=")</f>
        <v>#REF!</v>
      </c>
      <c r="BV427" t="e">
        <f>AND('PROG FORMACIÓN TITULADA'!#REF!,"AAAAAFlf6kk=")</f>
        <v>#REF!</v>
      </c>
      <c r="BW427">
        <f>IF('PROG FORM COMPLEM'!11:11,"AAAAAFlf6ko=",0)</f>
        <v>0</v>
      </c>
      <c r="BX427" t="e">
        <f>AND('PROG FORM COMPLEM'!B11,"AAAAAFlf6ks=")</f>
        <v>#VALUE!</v>
      </c>
      <c r="BY427" t="e">
        <f>AND('PROG FORM COMPLEM'!C11,"AAAAAFlf6kw=")</f>
        <v>#VALUE!</v>
      </c>
      <c r="BZ427" t="e">
        <f>AND('PROG FORM COMPLEM'!D11,"AAAAAFlf6k0=")</f>
        <v>#VALUE!</v>
      </c>
      <c r="CA427" t="e">
        <f>AND('PROG FORM COMPLEM'!E11,"AAAAAFlf6k4=")</f>
        <v>#VALUE!</v>
      </c>
      <c r="CB427" t="e">
        <f>AND('PROG FORM COMPLEM'!F11,"AAAAAFlf6k8=")</f>
        <v>#VALUE!</v>
      </c>
      <c r="CC427" t="e">
        <f>AND('PROG FORM COMPLEM'!G11,"AAAAAFlf6lA=")</f>
        <v>#VALUE!</v>
      </c>
      <c r="CD427" t="e">
        <f>AND('PROG FORM COMPLEM'!H11,"AAAAAFlf6lE=")</f>
        <v>#VALUE!</v>
      </c>
      <c r="CE427" t="e">
        <f>AND('PROG FORM COMPLEM'!I11,"AAAAAFlf6lI=")</f>
        <v>#VALUE!</v>
      </c>
      <c r="CF427" t="e">
        <f>AND('PROG FORM COMPLEM'!J11,"AAAAAFlf6lM=")</f>
        <v>#VALUE!</v>
      </c>
      <c r="CG427" t="e">
        <f>AND('PROG FORM COMPLEM'!K11,"AAAAAFlf6lQ=")</f>
        <v>#VALUE!</v>
      </c>
      <c r="CH427" t="e">
        <f>AND('PROG FORM COMPLEM'!L11,"AAAAAFlf6lU=")</f>
        <v>#VALUE!</v>
      </c>
      <c r="CI427" t="e">
        <f>AND('PROG FORM COMPLEM'!M11,"AAAAAFlf6lY=")</f>
        <v>#VALUE!</v>
      </c>
      <c r="CJ427" t="e">
        <f>AND('PROG FORM COMPLEM'!N11,"AAAAAFlf6lc=")</f>
        <v>#VALUE!</v>
      </c>
      <c r="CK427" t="e">
        <f>AND('PROG FORM COMPLEM'!O11,"AAAAAFlf6lg=")</f>
        <v>#VALUE!</v>
      </c>
      <c r="CL427" t="e">
        <f>AND('PROG FORM COMPLEM'!P11,"AAAAAFlf6lk=")</f>
        <v>#VALUE!</v>
      </c>
      <c r="CM427" t="e">
        <f>AND('PROG FORM COMPLEM'!Q11,"AAAAAFlf6lo=")</f>
        <v>#VALUE!</v>
      </c>
      <c r="CN427" t="e">
        <f>AND('PROG FORM COMPLEM'!R11,"AAAAAFlf6ls=")</f>
        <v>#VALUE!</v>
      </c>
      <c r="CO427" t="e">
        <f>AND('PROG FORM COMPLEM'!S11,"AAAAAFlf6lw=")</f>
        <v>#VALUE!</v>
      </c>
      <c r="CP427" t="e">
        <f>AND('PROG FORM COMPLEM'!T11,"AAAAAFlf6l0=")</f>
        <v>#VALUE!</v>
      </c>
      <c r="CQ427" t="e">
        <f>AND('PROG FORM COMPLEM'!U11,"AAAAAFlf6l4=")</f>
        <v>#VALUE!</v>
      </c>
      <c r="CR427" t="e">
        <f>AND('PROG FORM COMPLEM'!V11,"AAAAAFlf6l8=")</f>
        <v>#VALUE!</v>
      </c>
      <c r="CS427" t="e">
        <f>AND('PROG FORM COMPLEM'!W11,"AAAAAFlf6mA=")</f>
        <v>#VALUE!</v>
      </c>
      <c r="CT427">
        <f>IF('PROG FORM COMPLEM'!15:15,"AAAAAFlf6mE=",0)</f>
        <v>0</v>
      </c>
      <c r="CU427" t="e">
        <f>AND('PROG FORM COMPLEM'!B15,"AAAAAFlf6mI=")</f>
        <v>#VALUE!</v>
      </c>
      <c r="CV427" t="e">
        <f>AND('PROG FORM COMPLEM'!C15,"AAAAAFlf6mM=")</f>
        <v>#VALUE!</v>
      </c>
      <c r="CW427" t="e">
        <f>AND('PROG FORM COMPLEM'!D15,"AAAAAFlf6mQ=")</f>
        <v>#VALUE!</v>
      </c>
      <c r="CX427" t="e">
        <f>AND('PROG FORM COMPLEM'!E15,"AAAAAFlf6mU=")</f>
        <v>#VALUE!</v>
      </c>
      <c r="CY427" t="e">
        <f>AND('PROG FORM COMPLEM'!F15,"AAAAAFlf6mY=")</f>
        <v>#VALUE!</v>
      </c>
      <c r="CZ427" t="e">
        <f>AND('PROG FORM COMPLEM'!G15,"AAAAAFlf6mc=")</f>
        <v>#VALUE!</v>
      </c>
      <c r="DA427" t="e">
        <f>AND('PROG FORM COMPLEM'!H15,"AAAAAFlf6mg=")</f>
        <v>#VALUE!</v>
      </c>
      <c r="DB427" t="e">
        <f>AND('PROG FORM COMPLEM'!I15,"AAAAAFlf6mk=")</f>
        <v>#VALUE!</v>
      </c>
      <c r="DC427" t="e">
        <f>AND('PROG FORM COMPLEM'!J15,"AAAAAFlf6mo=")</f>
        <v>#VALUE!</v>
      </c>
      <c r="DD427" t="e">
        <f>AND('PROG FORM COMPLEM'!K15,"AAAAAFlf6ms=")</f>
        <v>#VALUE!</v>
      </c>
      <c r="DE427" t="e">
        <f>AND('PROG FORM COMPLEM'!L15,"AAAAAFlf6mw=")</f>
        <v>#VALUE!</v>
      </c>
      <c r="DF427" t="e">
        <f>AND('PROG FORM COMPLEM'!M15,"AAAAAFlf6m0=")</f>
        <v>#VALUE!</v>
      </c>
      <c r="DG427" t="e">
        <f>AND('PROG FORM COMPLEM'!N15,"AAAAAFlf6m4=")</f>
        <v>#VALUE!</v>
      </c>
      <c r="DH427" t="e">
        <f>AND('PROG FORM COMPLEM'!O15,"AAAAAFlf6m8=")</f>
        <v>#VALUE!</v>
      </c>
      <c r="DI427" t="e">
        <f>AND('PROG FORM COMPLEM'!P15,"AAAAAFlf6nA=")</f>
        <v>#VALUE!</v>
      </c>
      <c r="DJ427" t="e">
        <f>AND('PROG FORM COMPLEM'!Q15,"AAAAAFlf6nE=")</f>
        <v>#VALUE!</v>
      </c>
      <c r="DK427" t="e">
        <f>AND('PROG FORM COMPLEM'!R15,"AAAAAFlf6nI=")</f>
        <v>#VALUE!</v>
      </c>
      <c r="DL427" t="e">
        <f>AND('PROG FORM COMPLEM'!S15,"AAAAAFlf6nM=")</f>
        <v>#VALUE!</v>
      </c>
      <c r="DM427" t="e">
        <f>AND('PROG FORM COMPLEM'!T15,"AAAAAFlf6nQ=")</f>
        <v>#VALUE!</v>
      </c>
      <c r="DN427" t="e">
        <f>AND('PROG FORM COMPLEM'!U15,"AAAAAFlf6nU=")</f>
        <v>#VALUE!</v>
      </c>
      <c r="DO427" t="e">
        <f>AND('PROG FORM COMPLEM'!V15,"AAAAAFlf6nY=")</f>
        <v>#VALUE!</v>
      </c>
      <c r="DP427" t="e">
        <f>AND('PROG FORM COMPLEM'!W15,"AAAAAFlf6nc=")</f>
        <v>#VALUE!</v>
      </c>
      <c r="DQ427">
        <f>IF('PROG FORM COMPLEM'!20:20,"AAAAAFlf6ng=",0)</f>
        <v>0</v>
      </c>
      <c r="DR427" t="e">
        <f>AND('PROG FORM COMPLEM'!B20,"AAAAAFlf6nk=")</f>
        <v>#VALUE!</v>
      </c>
      <c r="DS427" t="e">
        <f>AND('PROG FORM COMPLEM'!C20,"AAAAAFlf6no=")</f>
        <v>#VALUE!</v>
      </c>
      <c r="DT427" t="e">
        <f>AND('PROG FORM COMPLEM'!D20,"AAAAAFlf6ns=")</f>
        <v>#VALUE!</v>
      </c>
      <c r="DU427" t="e">
        <f>AND('PROG FORM COMPLEM'!E20,"AAAAAFlf6nw=")</f>
        <v>#VALUE!</v>
      </c>
      <c r="DV427" t="e">
        <f>AND('PROG FORM COMPLEM'!F20,"AAAAAFlf6n0=")</f>
        <v>#VALUE!</v>
      </c>
      <c r="DW427" t="e">
        <f>AND('PROG FORM COMPLEM'!G20,"AAAAAFlf6n4=")</f>
        <v>#VALUE!</v>
      </c>
      <c r="DX427" t="e">
        <f>AND('PROG FORM COMPLEM'!H20,"AAAAAFlf6n8=")</f>
        <v>#VALUE!</v>
      </c>
      <c r="DY427" t="e">
        <f>AND('PROG FORM COMPLEM'!I20,"AAAAAFlf6oA=")</f>
        <v>#VALUE!</v>
      </c>
      <c r="DZ427" t="e">
        <f>AND('PROG FORM COMPLEM'!J20,"AAAAAFlf6oE=")</f>
        <v>#VALUE!</v>
      </c>
      <c r="EA427" t="e">
        <f>AND('PROG FORM COMPLEM'!K20,"AAAAAFlf6oI=")</f>
        <v>#VALUE!</v>
      </c>
      <c r="EB427" t="e">
        <f>AND('PROG FORM COMPLEM'!L20,"AAAAAFlf6oM=")</f>
        <v>#VALUE!</v>
      </c>
      <c r="EC427" t="e">
        <f>AND('PROG FORM COMPLEM'!M20,"AAAAAFlf6oQ=")</f>
        <v>#VALUE!</v>
      </c>
      <c r="ED427" t="e">
        <f>AND('PROG FORM COMPLEM'!N20,"AAAAAFlf6oU=")</f>
        <v>#VALUE!</v>
      </c>
      <c r="EE427" t="e">
        <f>AND('PROG FORM COMPLEM'!O20,"AAAAAFlf6oY=")</f>
        <v>#VALUE!</v>
      </c>
      <c r="EF427" t="e">
        <f>AND('PROG FORM COMPLEM'!P20,"AAAAAFlf6oc=")</f>
        <v>#VALUE!</v>
      </c>
      <c r="EG427" t="e">
        <f>AND('PROG FORM COMPLEM'!Q20,"AAAAAFlf6og=")</f>
        <v>#VALUE!</v>
      </c>
      <c r="EH427" t="e">
        <f>AND('PROG FORM COMPLEM'!R20,"AAAAAFlf6ok=")</f>
        <v>#VALUE!</v>
      </c>
      <c r="EI427" t="e">
        <f>AND('PROG FORM COMPLEM'!S20,"AAAAAFlf6oo=")</f>
        <v>#VALUE!</v>
      </c>
      <c r="EJ427" t="e">
        <f>AND('PROG FORM COMPLEM'!T20,"AAAAAFlf6os=")</f>
        <v>#VALUE!</v>
      </c>
      <c r="EK427" t="e">
        <f>AND('PROG FORM COMPLEM'!U20,"AAAAAFlf6ow=")</f>
        <v>#VALUE!</v>
      </c>
      <c r="EL427" t="e">
        <f>AND('PROG FORM COMPLEM'!V20,"AAAAAFlf6o0=")</f>
        <v>#VALUE!</v>
      </c>
      <c r="EM427" t="e">
        <f>AND('PROG FORM COMPLEM'!W20,"AAAAAFlf6o4=")</f>
        <v>#VALUE!</v>
      </c>
      <c r="EN427">
        <f>IF('PROG FORM COMPLEM'!27:27,"AAAAAFlf6o8=",0)</f>
        <v>0</v>
      </c>
      <c r="EO427" t="e">
        <f>AND('PROG FORM COMPLEM'!B27,"AAAAAFlf6pA=")</f>
        <v>#VALUE!</v>
      </c>
      <c r="EP427" t="e">
        <f>AND('PROG FORM COMPLEM'!C27,"AAAAAFlf6pE=")</f>
        <v>#VALUE!</v>
      </c>
      <c r="EQ427" t="e">
        <f>AND('PROG FORM COMPLEM'!D27,"AAAAAFlf6pI=")</f>
        <v>#VALUE!</v>
      </c>
      <c r="ER427" t="e">
        <f>AND('PROG FORM COMPLEM'!E27,"AAAAAFlf6pM=")</f>
        <v>#VALUE!</v>
      </c>
      <c r="ES427" t="e">
        <f>AND('PROG FORM COMPLEM'!F27,"AAAAAFlf6pQ=")</f>
        <v>#VALUE!</v>
      </c>
      <c r="ET427" t="e">
        <f>AND('PROG FORM COMPLEM'!G27,"AAAAAFlf6pU=")</f>
        <v>#VALUE!</v>
      </c>
      <c r="EU427" t="e">
        <f>AND('PROG FORM COMPLEM'!H27,"AAAAAFlf6pY=")</f>
        <v>#VALUE!</v>
      </c>
      <c r="EV427" t="e">
        <f>AND('PROG FORM COMPLEM'!I27,"AAAAAFlf6pc=")</f>
        <v>#VALUE!</v>
      </c>
      <c r="EW427" t="e">
        <f>AND('PROG FORM COMPLEM'!J27,"AAAAAFlf6pg=")</f>
        <v>#VALUE!</v>
      </c>
      <c r="EX427" t="e">
        <f>AND('PROG FORM COMPLEM'!K27,"AAAAAFlf6pk=")</f>
        <v>#VALUE!</v>
      </c>
      <c r="EY427" t="e">
        <f>AND('PROG FORM COMPLEM'!L27,"AAAAAFlf6po=")</f>
        <v>#VALUE!</v>
      </c>
      <c r="EZ427" t="e">
        <f>AND('PROG FORM COMPLEM'!M27,"AAAAAFlf6ps=")</f>
        <v>#VALUE!</v>
      </c>
      <c r="FA427" t="e">
        <f>AND('PROG FORM COMPLEM'!N27,"AAAAAFlf6pw=")</f>
        <v>#VALUE!</v>
      </c>
      <c r="FB427" t="e">
        <f>AND('PROG FORM COMPLEM'!O27,"AAAAAFlf6p0=")</f>
        <v>#VALUE!</v>
      </c>
      <c r="FC427" t="e">
        <f>AND('PROG FORM COMPLEM'!P27,"AAAAAFlf6p4=")</f>
        <v>#VALUE!</v>
      </c>
      <c r="FD427" t="e">
        <f>AND('PROG FORM COMPLEM'!Q27,"AAAAAFlf6p8=")</f>
        <v>#VALUE!</v>
      </c>
      <c r="FE427" t="e">
        <f>AND('PROG FORM COMPLEM'!R27,"AAAAAFlf6qA=")</f>
        <v>#VALUE!</v>
      </c>
      <c r="FF427" t="e">
        <f>AND('PROG FORM COMPLEM'!S27,"AAAAAFlf6qE=")</f>
        <v>#VALUE!</v>
      </c>
      <c r="FG427" t="e">
        <f>AND('PROG FORM COMPLEM'!T27,"AAAAAFlf6qI=")</f>
        <v>#VALUE!</v>
      </c>
      <c r="FH427" t="e">
        <f>AND('PROG FORM COMPLEM'!U27,"AAAAAFlf6qM=")</f>
        <v>#VALUE!</v>
      </c>
      <c r="FI427" t="e">
        <f>AND('PROG FORM COMPLEM'!V27,"AAAAAFlf6qQ=")</f>
        <v>#VALUE!</v>
      </c>
      <c r="FJ427" t="e">
        <f>AND('PROG FORM COMPLEM'!W27,"AAAAAFlf6qU=")</f>
        <v>#VALUE!</v>
      </c>
      <c r="FK427">
        <f>IF('PROG FORM COMPLEM'!28:28,"AAAAAFlf6qY=",0)</f>
        <v>0</v>
      </c>
      <c r="FL427" t="e">
        <f>AND('PROG FORM COMPLEM'!B28,"AAAAAFlf6qc=")</f>
        <v>#VALUE!</v>
      </c>
      <c r="FM427" t="e">
        <f>AND('PROG FORM COMPLEM'!C28,"AAAAAFlf6qg=")</f>
        <v>#VALUE!</v>
      </c>
      <c r="FN427" t="e">
        <f>AND('PROG FORM COMPLEM'!D28,"AAAAAFlf6qk=")</f>
        <v>#VALUE!</v>
      </c>
      <c r="FO427" t="e">
        <f>AND('PROG FORM COMPLEM'!E28,"AAAAAFlf6qo=")</f>
        <v>#VALUE!</v>
      </c>
      <c r="FP427" t="e">
        <f>AND('PROG FORM COMPLEM'!F28,"AAAAAFlf6qs=")</f>
        <v>#VALUE!</v>
      </c>
      <c r="FQ427" t="e">
        <f>AND('PROG FORM COMPLEM'!G28,"AAAAAFlf6qw=")</f>
        <v>#VALUE!</v>
      </c>
      <c r="FR427" t="e">
        <f>AND('PROG FORM COMPLEM'!H28,"AAAAAFlf6q0=")</f>
        <v>#VALUE!</v>
      </c>
      <c r="FS427" t="e">
        <f>AND('PROG FORM COMPLEM'!I28,"AAAAAFlf6q4=")</f>
        <v>#VALUE!</v>
      </c>
      <c r="FT427" t="e">
        <f>AND('PROG FORM COMPLEM'!J28,"AAAAAFlf6q8=")</f>
        <v>#VALUE!</v>
      </c>
      <c r="FU427" t="e">
        <f>AND('PROG FORM COMPLEM'!K28,"AAAAAFlf6rA=")</f>
        <v>#VALUE!</v>
      </c>
      <c r="FV427" t="e">
        <f>AND('PROG FORM COMPLEM'!L28,"AAAAAFlf6rE=")</f>
        <v>#VALUE!</v>
      </c>
      <c r="FW427" t="e">
        <f>AND('PROG FORM COMPLEM'!M28,"AAAAAFlf6rI=")</f>
        <v>#VALUE!</v>
      </c>
      <c r="FX427" t="e">
        <f>AND('PROG FORM COMPLEM'!N28,"AAAAAFlf6rM=")</f>
        <v>#VALUE!</v>
      </c>
      <c r="FY427" t="e">
        <f>AND('PROG FORM COMPLEM'!O28,"AAAAAFlf6rQ=")</f>
        <v>#VALUE!</v>
      </c>
      <c r="FZ427" t="e">
        <f>AND('PROG FORM COMPLEM'!P28,"AAAAAFlf6rU=")</f>
        <v>#VALUE!</v>
      </c>
      <c r="GA427" t="e">
        <f>AND('PROG FORM COMPLEM'!Q28,"AAAAAFlf6rY=")</f>
        <v>#VALUE!</v>
      </c>
      <c r="GB427" t="e">
        <f>AND('PROG FORM COMPLEM'!R28,"AAAAAFlf6rc=")</f>
        <v>#VALUE!</v>
      </c>
      <c r="GC427" t="e">
        <f>AND('PROG FORM COMPLEM'!S28,"AAAAAFlf6rg=")</f>
        <v>#VALUE!</v>
      </c>
      <c r="GD427" t="e">
        <f>AND('PROG FORM COMPLEM'!T28,"AAAAAFlf6rk=")</f>
        <v>#VALUE!</v>
      </c>
      <c r="GE427" t="e">
        <f>AND('PROG FORM COMPLEM'!U28,"AAAAAFlf6ro=")</f>
        <v>#VALUE!</v>
      </c>
      <c r="GF427" t="e">
        <f>AND('PROG FORM COMPLEM'!V28,"AAAAAFlf6rs=")</f>
        <v>#VALUE!</v>
      </c>
      <c r="GG427" t="e">
        <f>AND('PROG FORM COMPLEM'!W28,"AAAAAFlf6rw=")</f>
        <v>#VALUE!</v>
      </c>
      <c r="GH427">
        <f>IF('PROG FORM COMPLEM'!29:29,"AAAAAFlf6r0=",0)</f>
        <v>0</v>
      </c>
      <c r="GI427" t="e">
        <f>AND('PROG FORM COMPLEM'!B29,"AAAAAFlf6r4=")</f>
        <v>#VALUE!</v>
      </c>
      <c r="GJ427" t="e">
        <f>AND('PROG FORM COMPLEM'!C29,"AAAAAFlf6r8=")</f>
        <v>#VALUE!</v>
      </c>
      <c r="GK427" t="e">
        <f>AND('PROG FORM COMPLEM'!D29,"AAAAAFlf6sA=")</f>
        <v>#VALUE!</v>
      </c>
      <c r="GL427" t="e">
        <f>AND('PROG FORM COMPLEM'!E29,"AAAAAFlf6sE=")</f>
        <v>#VALUE!</v>
      </c>
      <c r="GM427" t="e">
        <f>AND('PROG FORM COMPLEM'!F29,"AAAAAFlf6sI=")</f>
        <v>#VALUE!</v>
      </c>
      <c r="GN427" t="e">
        <f>AND('PROG FORM COMPLEM'!G29,"AAAAAFlf6sM=")</f>
        <v>#VALUE!</v>
      </c>
      <c r="GO427" t="e">
        <f>AND('PROG FORM COMPLEM'!H29,"AAAAAFlf6sQ=")</f>
        <v>#VALUE!</v>
      </c>
      <c r="GP427" t="e">
        <f>AND('PROG FORM COMPLEM'!I29,"AAAAAFlf6sU=")</f>
        <v>#VALUE!</v>
      </c>
      <c r="GQ427" t="e">
        <f>AND('PROG FORM COMPLEM'!J29,"AAAAAFlf6sY=")</f>
        <v>#VALUE!</v>
      </c>
      <c r="GR427" t="e">
        <f>AND('PROG FORM COMPLEM'!K29,"AAAAAFlf6sc=")</f>
        <v>#VALUE!</v>
      </c>
      <c r="GS427" t="e">
        <f>AND('PROG FORM COMPLEM'!L29,"AAAAAFlf6sg=")</f>
        <v>#VALUE!</v>
      </c>
      <c r="GT427" t="e">
        <f>AND('PROG FORM COMPLEM'!M29,"AAAAAFlf6sk=")</f>
        <v>#VALUE!</v>
      </c>
      <c r="GU427" t="e">
        <f>AND('PROG FORM COMPLEM'!N29,"AAAAAFlf6so=")</f>
        <v>#VALUE!</v>
      </c>
      <c r="GV427" t="e">
        <f>AND('PROG FORM COMPLEM'!O29,"AAAAAFlf6ss=")</f>
        <v>#VALUE!</v>
      </c>
      <c r="GW427" t="e">
        <f>AND('PROG FORM COMPLEM'!P29,"AAAAAFlf6sw=")</f>
        <v>#VALUE!</v>
      </c>
      <c r="GX427" t="e">
        <f>AND('PROG FORM COMPLEM'!Q29,"AAAAAFlf6s0=")</f>
        <v>#VALUE!</v>
      </c>
      <c r="GY427" t="e">
        <f>AND('PROG FORM COMPLEM'!R29,"AAAAAFlf6s4=")</f>
        <v>#VALUE!</v>
      </c>
      <c r="GZ427" t="e">
        <f>AND('PROG FORM COMPLEM'!S29,"AAAAAFlf6s8=")</f>
        <v>#VALUE!</v>
      </c>
      <c r="HA427" t="e">
        <f>AND('PROG FORM COMPLEM'!T29,"AAAAAFlf6tA=")</f>
        <v>#VALUE!</v>
      </c>
      <c r="HB427" t="e">
        <f>AND('PROG FORM COMPLEM'!U29,"AAAAAFlf6tE=")</f>
        <v>#VALUE!</v>
      </c>
      <c r="HC427" t="e">
        <f>AND('PROG FORM COMPLEM'!V29,"AAAAAFlf6tI=")</f>
        <v>#VALUE!</v>
      </c>
      <c r="HD427" t="e">
        <f>AND('PROG FORM COMPLEM'!W29,"AAAAAFlf6tM=")</f>
        <v>#VALUE!</v>
      </c>
      <c r="HE427">
        <f>IF('PROG FORM COMPLEM'!31:31,"AAAAAFlf6tQ=",0)</f>
        <v>0</v>
      </c>
      <c r="HF427" t="e">
        <f>AND('PROG FORM COMPLEM'!B31,"AAAAAFlf6tU=")</f>
        <v>#VALUE!</v>
      </c>
      <c r="HG427" t="e">
        <f>AND('PROG FORM COMPLEM'!C31,"AAAAAFlf6tY=")</f>
        <v>#VALUE!</v>
      </c>
      <c r="HH427" t="e">
        <f>AND('PROG FORM COMPLEM'!D31,"AAAAAFlf6tc=")</f>
        <v>#VALUE!</v>
      </c>
      <c r="HI427" t="e">
        <f>AND('PROG FORM COMPLEM'!E31,"AAAAAFlf6tg=")</f>
        <v>#VALUE!</v>
      </c>
      <c r="HJ427" t="e">
        <f>AND('PROG FORM COMPLEM'!F31,"AAAAAFlf6tk=")</f>
        <v>#VALUE!</v>
      </c>
      <c r="HK427" t="e">
        <f>AND('PROG FORM COMPLEM'!G31,"AAAAAFlf6to=")</f>
        <v>#VALUE!</v>
      </c>
      <c r="HL427" t="e">
        <f>AND('PROG FORM COMPLEM'!H31,"AAAAAFlf6ts=")</f>
        <v>#VALUE!</v>
      </c>
      <c r="HM427" t="e">
        <f>AND('PROG FORM COMPLEM'!I31,"AAAAAFlf6tw=")</f>
        <v>#VALUE!</v>
      </c>
      <c r="HN427" t="e">
        <f>AND('PROG FORM COMPLEM'!J31,"AAAAAFlf6t0=")</f>
        <v>#VALUE!</v>
      </c>
      <c r="HO427" t="e">
        <f>AND('PROG FORM COMPLEM'!K31,"AAAAAFlf6t4=")</f>
        <v>#VALUE!</v>
      </c>
      <c r="HP427" t="e">
        <f>AND('PROG FORM COMPLEM'!L31,"AAAAAFlf6t8=")</f>
        <v>#VALUE!</v>
      </c>
      <c r="HQ427" t="e">
        <f>AND('PROG FORM COMPLEM'!M31,"AAAAAFlf6uA=")</f>
        <v>#VALUE!</v>
      </c>
      <c r="HR427" t="e">
        <f>AND('PROG FORM COMPLEM'!N31,"AAAAAFlf6uE=")</f>
        <v>#VALUE!</v>
      </c>
      <c r="HS427" t="e">
        <f>AND('PROG FORM COMPLEM'!O31,"AAAAAFlf6uI=")</f>
        <v>#VALUE!</v>
      </c>
      <c r="HT427" t="e">
        <f>AND('PROG FORM COMPLEM'!P31,"AAAAAFlf6uM=")</f>
        <v>#VALUE!</v>
      </c>
      <c r="HU427" t="e">
        <f>AND('PROG FORM COMPLEM'!Q31,"AAAAAFlf6uQ=")</f>
        <v>#VALUE!</v>
      </c>
      <c r="HV427" t="e">
        <f>AND('PROG FORM COMPLEM'!R31,"AAAAAFlf6uU=")</f>
        <v>#VALUE!</v>
      </c>
      <c r="HW427" t="e">
        <f>AND('PROG FORM COMPLEM'!S31,"AAAAAFlf6uY=")</f>
        <v>#VALUE!</v>
      </c>
      <c r="HX427" t="e">
        <f>AND('PROG FORM COMPLEM'!T31,"AAAAAFlf6uc=")</f>
        <v>#VALUE!</v>
      </c>
      <c r="HY427" t="e">
        <f>AND('PROG FORM COMPLEM'!U31,"AAAAAFlf6ug=")</f>
        <v>#VALUE!</v>
      </c>
      <c r="HZ427" t="e">
        <f>AND('PROG FORM COMPLEM'!V31,"AAAAAFlf6uk=")</f>
        <v>#VALUE!</v>
      </c>
      <c r="IA427" t="e">
        <f>AND('PROG FORM COMPLEM'!W31,"AAAAAFlf6uo=")</f>
        <v>#VALUE!</v>
      </c>
      <c r="IB427">
        <f>IF('PROG FORM COMPLEM'!37:37,"AAAAAFlf6us=",0)</f>
        <v>0</v>
      </c>
      <c r="IC427" t="e">
        <f>AND('PROG FORM COMPLEM'!B37,"AAAAAFlf6uw=")</f>
        <v>#VALUE!</v>
      </c>
      <c r="ID427" t="e">
        <f>AND('PROG FORM COMPLEM'!C37,"AAAAAFlf6u0=")</f>
        <v>#VALUE!</v>
      </c>
      <c r="IE427" t="e">
        <f>AND('PROG FORM COMPLEM'!D37,"AAAAAFlf6u4=")</f>
        <v>#VALUE!</v>
      </c>
      <c r="IF427" t="e">
        <f>AND('PROG FORM COMPLEM'!E37,"AAAAAFlf6u8=")</f>
        <v>#VALUE!</v>
      </c>
      <c r="IG427" t="e">
        <f>AND('PROG FORM COMPLEM'!F37,"AAAAAFlf6vA=")</f>
        <v>#VALUE!</v>
      </c>
      <c r="IH427" t="e">
        <f>AND('PROG FORM COMPLEM'!G37,"AAAAAFlf6vE=")</f>
        <v>#VALUE!</v>
      </c>
      <c r="II427" t="e">
        <f>AND('PROG FORM COMPLEM'!H37,"AAAAAFlf6vI=")</f>
        <v>#VALUE!</v>
      </c>
      <c r="IJ427" t="e">
        <f>AND('PROG FORM COMPLEM'!I37,"AAAAAFlf6vM=")</f>
        <v>#VALUE!</v>
      </c>
      <c r="IK427" t="e">
        <f>AND('PROG FORM COMPLEM'!J37,"AAAAAFlf6vQ=")</f>
        <v>#VALUE!</v>
      </c>
      <c r="IL427" t="e">
        <f>AND('PROG FORM COMPLEM'!K37,"AAAAAFlf6vU=")</f>
        <v>#VALUE!</v>
      </c>
      <c r="IM427" t="e">
        <f>AND('PROG FORM COMPLEM'!L37,"AAAAAFlf6vY=")</f>
        <v>#VALUE!</v>
      </c>
      <c r="IN427" t="e">
        <f>AND('PROG FORM COMPLEM'!M37,"AAAAAFlf6vc=")</f>
        <v>#VALUE!</v>
      </c>
      <c r="IO427" t="e">
        <f>AND('PROG FORM COMPLEM'!N37,"AAAAAFlf6vg=")</f>
        <v>#VALUE!</v>
      </c>
      <c r="IP427" t="e">
        <f>AND('PROG FORM COMPLEM'!O37,"AAAAAFlf6vk=")</f>
        <v>#VALUE!</v>
      </c>
      <c r="IQ427" t="e">
        <f>AND('PROG FORM COMPLEM'!P37,"AAAAAFlf6vo=")</f>
        <v>#VALUE!</v>
      </c>
      <c r="IR427" t="e">
        <f>AND('PROG FORM COMPLEM'!Q37,"AAAAAFlf6vs=")</f>
        <v>#VALUE!</v>
      </c>
      <c r="IS427" t="e">
        <f>AND('PROG FORM COMPLEM'!R37,"AAAAAFlf6vw=")</f>
        <v>#VALUE!</v>
      </c>
      <c r="IT427" t="e">
        <f>AND('PROG FORM COMPLEM'!S37,"AAAAAFlf6v0=")</f>
        <v>#VALUE!</v>
      </c>
      <c r="IU427" t="e">
        <f>AND('PROG FORM COMPLEM'!T37,"AAAAAFlf6v4=")</f>
        <v>#VALUE!</v>
      </c>
      <c r="IV427" t="e">
        <f>AND('PROG FORM COMPLEM'!U37,"AAAAAFlf6v8=")</f>
        <v>#VALUE!</v>
      </c>
    </row>
    <row r="428" spans="1:256" x14ac:dyDescent="0.2">
      <c r="A428" t="e">
        <f>AND('PROG FORM COMPLEM'!V37,"AAAAAD9Z/gA=")</f>
        <v>#VALUE!</v>
      </c>
      <c r="B428" t="e">
        <f>AND('PROG FORM COMPLEM'!W37,"AAAAAD9Z/gE=")</f>
        <v>#VALUE!</v>
      </c>
      <c r="C428" t="e">
        <f>IF('PROG FORM COMPLEM'!45:45,"AAAAAD9Z/gI=",0)</f>
        <v>#VALUE!</v>
      </c>
      <c r="D428" t="e">
        <f>AND('PROG FORM COMPLEM'!B45,"AAAAAD9Z/gM=")</f>
        <v>#VALUE!</v>
      </c>
      <c r="E428" t="e">
        <f>AND('PROG FORM COMPLEM'!C45,"AAAAAD9Z/gQ=")</f>
        <v>#VALUE!</v>
      </c>
      <c r="F428" t="e">
        <f>AND('PROG FORM COMPLEM'!D45,"AAAAAD9Z/gU=")</f>
        <v>#VALUE!</v>
      </c>
      <c r="G428" t="e">
        <f>AND('PROG FORM COMPLEM'!E45,"AAAAAD9Z/gY=")</f>
        <v>#VALUE!</v>
      </c>
      <c r="H428" t="e">
        <f>AND('PROG FORM COMPLEM'!F45,"AAAAAD9Z/gc=")</f>
        <v>#VALUE!</v>
      </c>
      <c r="I428" t="e">
        <f>AND('PROG FORM COMPLEM'!G45,"AAAAAD9Z/gg=")</f>
        <v>#VALUE!</v>
      </c>
      <c r="J428" t="e">
        <f>AND('PROG FORM COMPLEM'!H45,"AAAAAD9Z/gk=")</f>
        <v>#VALUE!</v>
      </c>
      <c r="K428" t="e">
        <f>AND('PROG FORM COMPLEM'!I45,"AAAAAD9Z/go=")</f>
        <v>#VALUE!</v>
      </c>
      <c r="L428" t="e">
        <f>AND('PROG FORM COMPLEM'!J45,"AAAAAD9Z/gs=")</f>
        <v>#VALUE!</v>
      </c>
      <c r="M428" t="e">
        <f>AND('PROG FORM COMPLEM'!K45,"AAAAAD9Z/gw=")</f>
        <v>#VALUE!</v>
      </c>
      <c r="N428" t="e">
        <f>AND('PROG FORM COMPLEM'!L45,"AAAAAD9Z/g0=")</f>
        <v>#VALUE!</v>
      </c>
      <c r="O428" t="e">
        <f>AND('PROG FORM COMPLEM'!M45,"AAAAAD9Z/g4=")</f>
        <v>#VALUE!</v>
      </c>
      <c r="P428" t="e">
        <f>AND('PROG FORM COMPLEM'!N45,"AAAAAD9Z/g8=")</f>
        <v>#VALUE!</v>
      </c>
      <c r="Q428" t="e">
        <f>AND('PROG FORM COMPLEM'!O45,"AAAAAD9Z/hA=")</f>
        <v>#VALUE!</v>
      </c>
      <c r="R428" t="e">
        <f>AND('PROG FORM COMPLEM'!P45,"AAAAAD9Z/hE=")</f>
        <v>#VALUE!</v>
      </c>
      <c r="S428" t="e">
        <f>AND('PROG FORM COMPLEM'!Q45,"AAAAAD9Z/hI=")</f>
        <v>#VALUE!</v>
      </c>
      <c r="T428" t="e">
        <f>AND('PROG FORM COMPLEM'!R45,"AAAAAD9Z/hM=")</f>
        <v>#VALUE!</v>
      </c>
      <c r="U428" t="e">
        <f>AND('PROG FORM COMPLEM'!S45,"AAAAAD9Z/hQ=")</f>
        <v>#VALUE!</v>
      </c>
      <c r="V428" t="e">
        <f>AND('PROG FORM COMPLEM'!T45,"AAAAAD9Z/hU=")</f>
        <v>#VALUE!</v>
      </c>
      <c r="W428" t="e">
        <f>AND('PROG FORM COMPLEM'!U45,"AAAAAD9Z/hY=")</f>
        <v>#VALUE!</v>
      </c>
      <c r="X428" t="e">
        <f>AND('PROG FORM COMPLEM'!V45,"AAAAAD9Z/hc=")</f>
        <v>#VALUE!</v>
      </c>
      <c r="Y428" t="e">
        <f>AND('PROG FORM COMPLEM'!W45,"AAAAAD9Z/hg=")</f>
        <v>#VALUE!</v>
      </c>
      <c r="Z428">
        <f>IF('PROG FORM COMPLEM'!55:55,"AAAAAD9Z/hk=",0)</f>
        <v>0</v>
      </c>
      <c r="AA428" t="e">
        <f>AND('PROG FORM COMPLEM'!B55,"AAAAAD9Z/ho=")</f>
        <v>#VALUE!</v>
      </c>
      <c r="AB428" t="e">
        <f>AND('PROG FORM COMPLEM'!C55,"AAAAAD9Z/hs=")</f>
        <v>#VALUE!</v>
      </c>
      <c r="AC428" t="e">
        <f>AND('PROG FORM COMPLEM'!D55,"AAAAAD9Z/hw=")</f>
        <v>#VALUE!</v>
      </c>
      <c r="AD428" t="e">
        <f>AND('PROG FORM COMPLEM'!E55,"AAAAAD9Z/h0=")</f>
        <v>#VALUE!</v>
      </c>
      <c r="AE428" t="e">
        <f>AND('PROG FORM COMPLEM'!F55,"AAAAAD9Z/h4=")</f>
        <v>#VALUE!</v>
      </c>
      <c r="AF428" t="e">
        <f>AND('PROG FORM COMPLEM'!G55,"AAAAAD9Z/h8=")</f>
        <v>#VALUE!</v>
      </c>
      <c r="AG428" t="e">
        <f>AND('PROG FORM COMPLEM'!H55,"AAAAAD9Z/iA=")</f>
        <v>#VALUE!</v>
      </c>
      <c r="AH428" t="e">
        <f>AND('PROG FORM COMPLEM'!I55,"AAAAAD9Z/iE=")</f>
        <v>#VALUE!</v>
      </c>
      <c r="AI428" t="e">
        <f>AND('PROG FORM COMPLEM'!J55,"AAAAAD9Z/iI=")</f>
        <v>#VALUE!</v>
      </c>
      <c r="AJ428" t="e">
        <f>AND('PROG FORM COMPLEM'!K55,"AAAAAD9Z/iM=")</f>
        <v>#VALUE!</v>
      </c>
      <c r="AK428" t="e">
        <f>AND('PROG FORM COMPLEM'!L55,"AAAAAD9Z/iQ=")</f>
        <v>#VALUE!</v>
      </c>
      <c r="AL428" t="e">
        <f>AND('PROG FORM COMPLEM'!M55,"AAAAAD9Z/iU=")</f>
        <v>#VALUE!</v>
      </c>
      <c r="AM428" t="e">
        <f>AND('PROG FORM COMPLEM'!N55,"AAAAAD9Z/iY=")</f>
        <v>#VALUE!</v>
      </c>
      <c r="AN428" t="e">
        <f>AND('PROG FORM COMPLEM'!O55,"AAAAAD9Z/ic=")</f>
        <v>#VALUE!</v>
      </c>
      <c r="AO428" t="e">
        <f>AND('PROG FORM COMPLEM'!P55,"AAAAAD9Z/ig=")</f>
        <v>#VALUE!</v>
      </c>
      <c r="AP428" t="e">
        <f>AND('PROG FORM COMPLEM'!Q55,"AAAAAD9Z/ik=")</f>
        <v>#VALUE!</v>
      </c>
      <c r="AQ428" t="e">
        <f>AND('PROG FORM COMPLEM'!R55,"AAAAAD9Z/io=")</f>
        <v>#VALUE!</v>
      </c>
      <c r="AR428" t="e">
        <f>AND('PROG FORM COMPLEM'!S55,"AAAAAD9Z/is=")</f>
        <v>#VALUE!</v>
      </c>
      <c r="AS428" t="e">
        <f>AND('PROG FORM COMPLEM'!T55,"AAAAAD9Z/iw=")</f>
        <v>#VALUE!</v>
      </c>
      <c r="AT428" t="e">
        <f>AND('PROG FORM COMPLEM'!U55,"AAAAAD9Z/i0=")</f>
        <v>#VALUE!</v>
      </c>
      <c r="AU428" t="e">
        <f>AND('PROG FORM COMPLEM'!V55,"AAAAAD9Z/i4=")</f>
        <v>#VALUE!</v>
      </c>
      <c r="AV428" t="e">
        <f>AND('PROG FORM COMPLEM'!W55,"AAAAAD9Z/i8=")</f>
        <v>#VALUE!</v>
      </c>
      <c r="AW428">
        <f>IF('PROG FORM COMPLEM'!64:64,"AAAAAD9Z/jA=",0)</f>
        <v>0</v>
      </c>
      <c r="AX428" t="e">
        <f>AND('PROG FORM COMPLEM'!B64,"AAAAAD9Z/jE=")</f>
        <v>#VALUE!</v>
      </c>
      <c r="AY428" t="e">
        <f>AND('PROG FORM COMPLEM'!C64,"AAAAAD9Z/jI=")</f>
        <v>#VALUE!</v>
      </c>
      <c r="AZ428" t="e">
        <f>AND('PROG FORM COMPLEM'!D64,"AAAAAD9Z/jM=")</f>
        <v>#VALUE!</v>
      </c>
      <c r="BA428" t="e">
        <f>AND('PROG FORM COMPLEM'!E64,"AAAAAD9Z/jQ=")</f>
        <v>#VALUE!</v>
      </c>
      <c r="BB428" t="e">
        <f>AND('PROG FORM COMPLEM'!F64,"AAAAAD9Z/jU=")</f>
        <v>#VALUE!</v>
      </c>
      <c r="BC428" t="e">
        <f>AND('PROG FORM COMPLEM'!G64,"AAAAAD9Z/jY=")</f>
        <v>#VALUE!</v>
      </c>
      <c r="BD428" t="e">
        <f>AND('PROG FORM COMPLEM'!H64,"AAAAAD9Z/jc=")</f>
        <v>#VALUE!</v>
      </c>
      <c r="BE428" t="e">
        <f>AND('PROG FORM COMPLEM'!I64,"AAAAAD9Z/jg=")</f>
        <v>#VALUE!</v>
      </c>
      <c r="BF428" t="e">
        <f>AND('PROG FORM COMPLEM'!J64,"AAAAAD9Z/jk=")</f>
        <v>#VALUE!</v>
      </c>
      <c r="BG428" t="e">
        <f>AND('PROG FORM COMPLEM'!K64,"AAAAAD9Z/jo=")</f>
        <v>#VALUE!</v>
      </c>
      <c r="BH428" t="e">
        <f>AND('PROG FORM COMPLEM'!L64,"AAAAAD9Z/js=")</f>
        <v>#VALUE!</v>
      </c>
      <c r="BI428" t="e">
        <f>AND('PROG FORM COMPLEM'!M64,"AAAAAD9Z/jw=")</f>
        <v>#VALUE!</v>
      </c>
      <c r="BJ428" t="e">
        <f>AND('PROG FORM COMPLEM'!N64,"AAAAAD9Z/j0=")</f>
        <v>#VALUE!</v>
      </c>
      <c r="BK428" t="e">
        <f>AND('PROG FORM COMPLEM'!O64,"AAAAAD9Z/j4=")</f>
        <v>#VALUE!</v>
      </c>
      <c r="BL428" t="e">
        <f>AND('PROG FORM COMPLEM'!P64,"AAAAAD9Z/j8=")</f>
        <v>#VALUE!</v>
      </c>
      <c r="BM428" t="e">
        <f>AND('PROG FORM COMPLEM'!Q64,"AAAAAD9Z/kA=")</f>
        <v>#VALUE!</v>
      </c>
      <c r="BN428" t="e">
        <f>AND('PROG FORM COMPLEM'!R64,"AAAAAD9Z/kE=")</f>
        <v>#VALUE!</v>
      </c>
      <c r="BO428" t="e">
        <f>AND('PROG FORM COMPLEM'!S64,"AAAAAD9Z/kI=")</f>
        <v>#VALUE!</v>
      </c>
      <c r="BP428" t="e">
        <f>AND('PROG FORM COMPLEM'!T64,"AAAAAD9Z/kM=")</f>
        <v>#VALUE!</v>
      </c>
      <c r="BQ428" t="e">
        <f>AND('PROG FORM COMPLEM'!U64,"AAAAAD9Z/kQ=")</f>
        <v>#VALUE!</v>
      </c>
      <c r="BR428" t="e">
        <f>AND('PROG FORM COMPLEM'!V64,"AAAAAD9Z/kU=")</f>
        <v>#VALUE!</v>
      </c>
      <c r="BS428" t="e">
        <f>AND('PROG FORM COMPLEM'!W64,"AAAAAD9Z/kY=")</f>
        <v>#VALUE!</v>
      </c>
      <c r="BT428" t="e">
        <f>IF('PROG FORM COMPLEM'!#REF!,"AAAAAD9Z/kc=",0)</f>
        <v>#REF!</v>
      </c>
      <c r="BU428" t="e">
        <f>AND('PROG FORM COMPLEM'!#REF!,"AAAAAD9Z/kg=")</f>
        <v>#REF!</v>
      </c>
      <c r="BV428" t="e">
        <f>AND('PROG FORM COMPLEM'!#REF!,"AAAAAD9Z/kk=")</f>
        <v>#REF!</v>
      </c>
      <c r="BW428" t="e">
        <f>AND('PROG FORM COMPLEM'!#REF!,"AAAAAD9Z/ko=")</f>
        <v>#REF!</v>
      </c>
      <c r="BX428" t="e">
        <f>AND('PROG FORM COMPLEM'!#REF!,"AAAAAD9Z/ks=")</f>
        <v>#REF!</v>
      </c>
      <c r="BY428" t="e">
        <f>AND('PROG FORM COMPLEM'!#REF!,"AAAAAD9Z/kw=")</f>
        <v>#REF!</v>
      </c>
      <c r="BZ428" t="e">
        <f>AND('PROG FORM COMPLEM'!#REF!,"AAAAAD9Z/k0=")</f>
        <v>#REF!</v>
      </c>
      <c r="CA428" t="e">
        <f>AND('PROG FORM COMPLEM'!#REF!,"AAAAAD9Z/k4=")</f>
        <v>#REF!</v>
      </c>
      <c r="CB428" t="e">
        <f>AND('PROG FORM COMPLEM'!#REF!,"AAAAAD9Z/k8=")</f>
        <v>#REF!</v>
      </c>
      <c r="CC428" t="e">
        <f>AND('PROG FORM COMPLEM'!#REF!,"AAAAAD9Z/lA=")</f>
        <v>#REF!</v>
      </c>
      <c r="CD428" t="e">
        <f>AND('PROG FORM COMPLEM'!#REF!,"AAAAAD9Z/lE=")</f>
        <v>#REF!</v>
      </c>
      <c r="CE428" t="e">
        <f>AND('PROG FORM COMPLEM'!#REF!,"AAAAAD9Z/lI=")</f>
        <v>#REF!</v>
      </c>
      <c r="CF428" t="e">
        <f>AND('PROG FORM COMPLEM'!#REF!,"AAAAAD9Z/lM=")</f>
        <v>#REF!</v>
      </c>
      <c r="CG428" t="e">
        <f>AND('PROG FORM COMPLEM'!#REF!,"AAAAAD9Z/lQ=")</f>
        <v>#REF!</v>
      </c>
      <c r="CH428" t="e">
        <f>AND('PROG FORM COMPLEM'!#REF!,"AAAAAD9Z/lU=")</f>
        <v>#REF!</v>
      </c>
      <c r="CI428" t="e">
        <f>AND('PROG FORM COMPLEM'!#REF!,"AAAAAD9Z/lY=")</f>
        <v>#REF!</v>
      </c>
      <c r="CJ428" t="e">
        <f>AND('PROG FORM COMPLEM'!#REF!,"AAAAAD9Z/lc=")</f>
        <v>#REF!</v>
      </c>
      <c r="CK428" t="e">
        <f>AND('PROG FORM COMPLEM'!#REF!,"AAAAAD9Z/lg=")</f>
        <v>#REF!</v>
      </c>
      <c r="CL428" t="e">
        <f>AND('PROG FORM COMPLEM'!#REF!,"AAAAAD9Z/lk=")</f>
        <v>#REF!</v>
      </c>
      <c r="CM428" t="e">
        <f>AND('PROG FORM COMPLEM'!#REF!,"AAAAAD9Z/lo=")</f>
        <v>#REF!</v>
      </c>
      <c r="CN428" t="e">
        <f>AND('PROG FORM COMPLEM'!#REF!,"AAAAAD9Z/ls=")</f>
        <v>#REF!</v>
      </c>
      <c r="CO428" t="e">
        <f>AND('PROG FORM COMPLEM'!#REF!,"AAAAAD9Z/lw=")</f>
        <v>#REF!</v>
      </c>
      <c r="CP428" t="e">
        <f>AND('PROG FORM COMPLEM'!#REF!,"AAAAAD9Z/l0=")</f>
        <v>#REF!</v>
      </c>
      <c r="CQ428">
        <f>IF('PROG FORM COMPLEM'!84:84,"AAAAAD9Z/l4=",0)</f>
        <v>0</v>
      </c>
      <c r="CR428" t="e">
        <f>AND('PROG FORM COMPLEM'!B84,"AAAAAD9Z/l8=")</f>
        <v>#VALUE!</v>
      </c>
      <c r="CS428" t="e">
        <f>AND('PROG FORM COMPLEM'!C84,"AAAAAD9Z/mA=")</f>
        <v>#VALUE!</v>
      </c>
      <c r="CT428" t="e">
        <f>AND('PROG FORM COMPLEM'!D84,"AAAAAD9Z/mE=")</f>
        <v>#VALUE!</v>
      </c>
      <c r="CU428" t="e">
        <f>AND('PROG FORM COMPLEM'!E84,"AAAAAD9Z/mI=")</f>
        <v>#VALUE!</v>
      </c>
      <c r="CV428" t="e">
        <f>AND('PROG FORM COMPLEM'!F84,"AAAAAD9Z/mM=")</f>
        <v>#VALUE!</v>
      </c>
      <c r="CW428" t="e">
        <f>AND('PROG FORM COMPLEM'!G84,"AAAAAD9Z/mQ=")</f>
        <v>#VALUE!</v>
      </c>
      <c r="CX428" t="e">
        <f>AND('PROG FORM COMPLEM'!H84,"AAAAAD9Z/mU=")</f>
        <v>#VALUE!</v>
      </c>
      <c r="CY428" t="e">
        <f>AND('PROG FORM COMPLEM'!I84,"AAAAAD9Z/mY=")</f>
        <v>#VALUE!</v>
      </c>
      <c r="CZ428" t="e">
        <f>AND('PROG FORM COMPLEM'!J84,"AAAAAD9Z/mc=")</f>
        <v>#VALUE!</v>
      </c>
      <c r="DA428" t="e">
        <f>AND('PROG FORM COMPLEM'!K84,"AAAAAD9Z/mg=")</f>
        <v>#VALUE!</v>
      </c>
      <c r="DB428" t="e">
        <f>AND('PROG FORM COMPLEM'!L84,"AAAAAD9Z/mk=")</f>
        <v>#VALUE!</v>
      </c>
      <c r="DC428" t="e">
        <f>AND('PROG FORM COMPLEM'!M84,"AAAAAD9Z/mo=")</f>
        <v>#VALUE!</v>
      </c>
      <c r="DD428" t="e">
        <f>AND('PROG FORM COMPLEM'!N84,"AAAAAD9Z/ms=")</f>
        <v>#VALUE!</v>
      </c>
      <c r="DE428" t="e">
        <f>AND('PROG FORM COMPLEM'!O84,"AAAAAD9Z/mw=")</f>
        <v>#VALUE!</v>
      </c>
      <c r="DF428" t="e">
        <f>AND('PROG FORM COMPLEM'!P84,"AAAAAD9Z/m0=")</f>
        <v>#VALUE!</v>
      </c>
      <c r="DG428" t="e">
        <f>AND('PROG FORM COMPLEM'!Q84,"AAAAAD9Z/m4=")</f>
        <v>#VALUE!</v>
      </c>
      <c r="DH428" t="e">
        <f>AND('PROG FORM COMPLEM'!R84,"AAAAAD9Z/m8=")</f>
        <v>#VALUE!</v>
      </c>
      <c r="DI428" t="e">
        <f>AND('PROG FORM COMPLEM'!S84,"AAAAAD9Z/nA=")</f>
        <v>#VALUE!</v>
      </c>
      <c r="DJ428" t="e">
        <f>AND('PROG FORM COMPLEM'!T84,"AAAAAD9Z/nE=")</f>
        <v>#VALUE!</v>
      </c>
      <c r="DK428" t="e">
        <f>AND('PROG FORM COMPLEM'!U84,"AAAAAD9Z/nI=")</f>
        <v>#VALUE!</v>
      </c>
      <c r="DL428" t="e">
        <f>AND('PROG FORM COMPLEM'!V84,"AAAAAD9Z/nM=")</f>
        <v>#VALUE!</v>
      </c>
      <c r="DM428" t="e">
        <f>AND('PROG FORM COMPLEM'!W84,"AAAAAD9Z/nQ=")</f>
        <v>#VALUE!</v>
      </c>
      <c r="DN428">
        <f>IF('PROG FORM COMPLEM'!86:86,"AAAAAD9Z/nU=",0)</f>
        <v>0</v>
      </c>
      <c r="DO428" t="e">
        <f>AND('PROG FORM COMPLEM'!B86,"AAAAAD9Z/nY=")</f>
        <v>#VALUE!</v>
      </c>
      <c r="DP428" t="e">
        <f>AND('PROG FORM COMPLEM'!C86,"AAAAAD9Z/nc=")</f>
        <v>#VALUE!</v>
      </c>
      <c r="DQ428" t="e">
        <f>AND('PROG FORM COMPLEM'!D86,"AAAAAD9Z/ng=")</f>
        <v>#VALUE!</v>
      </c>
      <c r="DR428" t="e">
        <f>AND('PROG FORM COMPLEM'!E86,"AAAAAD9Z/nk=")</f>
        <v>#VALUE!</v>
      </c>
      <c r="DS428" t="e">
        <f>AND('PROG FORM COMPLEM'!F86,"AAAAAD9Z/no=")</f>
        <v>#VALUE!</v>
      </c>
      <c r="DT428" t="e">
        <f>AND('PROG FORM COMPLEM'!G86,"AAAAAD9Z/ns=")</f>
        <v>#VALUE!</v>
      </c>
      <c r="DU428" t="e">
        <f>AND('PROG FORM COMPLEM'!H86,"AAAAAD9Z/nw=")</f>
        <v>#VALUE!</v>
      </c>
      <c r="DV428" t="e">
        <f>AND('PROG FORM COMPLEM'!I86,"AAAAAD9Z/n0=")</f>
        <v>#VALUE!</v>
      </c>
      <c r="DW428" t="e">
        <f>AND('PROG FORM COMPLEM'!J86,"AAAAAD9Z/n4=")</f>
        <v>#VALUE!</v>
      </c>
      <c r="DX428" t="e">
        <f>AND('PROG FORM COMPLEM'!K86,"AAAAAD9Z/n8=")</f>
        <v>#VALUE!</v>
      </c>
      <c r="DY428" t="e">
        <f>AND('PROG FORM COMPLEM'!L86,"AAAAAD9Z/oA=")</f>
        <v>#VALUE!</v>
      </c>
      <c r="DZ428" t="e">
        <f>AND('PROG FORM COMPLEM'!M86,"AAAAAD9Z/oE=")</f>
        <v>#VALUE!</v>
      </c>
      <c r="EA428" t="e">
        <f>AND('PROG FORM COMPLEM'!N86,"AAAAAD9Z/oI=")</f>
        <v>#VALUE!</v>
      </c>
      <c r="EB428" t="e">
        <f>AND('PROG FORM COMPLEM'!O86,"AAAAAD9Z/oM=")</f>
        <v>#VALUE!</v>
      </c>
      <c r="EC428" t="e">
        <f>AND('PROG FORM COMPLEM'!P86,"AAAAAD9Z/oQ=")</f>
        <v>#VALUE!</v>
      </c>
      <c r="ED428" t="e">
        <f>AND('PROG FORM COMPLEM'!Q86,"AAAAAD9Z/oU=")</f>
        <v>#VALUE!</v>
      </c>
      <c r="EE428" t="e">
        <f>AND('PROG FORM COMPLEM'!R86,"AAAAAD9Z/oY=")</f>
        <v>#VALUE!</v>
      </c>
      <c r="EF428" t="e">
        <f>AND('PROG FORM COMPLEM'!S86,"AAAAAD9Z/oc=")</f>
        <v>#VALUE!</v>
      </c>
      <c r="EG428" t="e">
        <f>AND('PROG FORM COMPLEM'!T86,"AAAAAD9Z/og=")</f>
        <v>#VALUE!</v>
      </c>
      <c r="EH428" t="e">
        <f>AND('PROG FORM COMPLEM'!U86,"AAAAAD9Z/ok=")</f>
        <v>#VALUE!</v>
      </c>
      <c r="EI428" t="e">
        <f>AND('PROG FORM COMPLEM'!V86,"AAAAAD9Z/oo=")</f>
        <v>#VALUE!</v>
      </c>
      <c r="EJ428" t="e">
        <f>AND('PROG FORM COMPLEM'!W86,"AAAAAD9Z/os=")</f>
        <v>#VALUE!</v>
      </c>
      <c r="EK428">
        <f>IF('PROG FORM COMPLEM'!90:90,"AAAAAD9Z/ow=",0)</f>
        <v>0</v>
      </c>
      <c r="EL428" t="e">
        <f>AND('PROG FORM COMPLEM'!B90,"AAAAAD9Z/o0=")</f>
        <v>#VALUE!</v>
      </c>
      <c r="EM428" t="e">
        <f>AND('PROG FORM COMPLEM'!C90,"AAAAAD9Z/o4=")</f>
        <v>#VALUE!</v>
      </c>
      <c r="EN428" t="e">
        <f>AND('PROG FORM COMPLEM'!D90,"AAAAAD9Z/o8=")</f>
        <v>#VALUE!</v>
      </c>
      <c r="EO428" t="e">
        <f>AND('PROG FORM COMPLEM'!E90,"AAAAAD9Z/pA=")</f>
        <v>#VALUE!</v>
      </c>
      <c r="EP428" t="e">
        <f>AND('PROG FORM COMPLEM'!F90,"AAAAAD9Z/pE=")</f>
        <v>#VALUE!</v>
      </c>
      <c r="EQ428" t="e">
        <f>AND('PROG FORM COMPLEM'!G90,"AAAAAD9Z/pI=")</f>
        <v>#VALUE!</v>
      </c>
      <c r="ER428" t="e">
        <f>AND('PROG FORM COMPLEM'!H90,"AAAAAD9Z/pM=")</f>
        <v>#VALUE!</v>
      </c>
      <c r="ES428" t="e">
        <f>AND('PROG FORM COMPLEM'!I90,"AAAAAD9Z/pQ=")</f>
        <v>#VALUE!</v>
      </c>
      <c r="ET428" t="e">
        <f>AND('PROG FORM COMPLEM'!J90,"AAAAAD9Z/pU=")</f>
        <v>#VALUE!</v>
      </c>
      <c r="EU428" t="e">
        <f>AND('PROG FORM COMPLEM'!K90,"AAAAAD9Z/pY=")</f>
        <v>#VALUE!</v>
      </c>
      <c r="EV428" t="e">
        <f>AND('PROG FORM COMPLEM'!L90,"AAAAAD9Z/pc=")</f>
        <v>#VALUE!</v>
      </c>
      <c r="EW428" t="e">
        <f>AND('PROG FORM COMPLEM'!M90,"AAAAAD9Z/pg=")</f>
        <v>#VALUE!</v>
      </c>
      <c r="EX428" t="e">
        <f>AND('PROG FORM COMPLEM'!N90,"AAAAAD9Z/pk=")</f>
        <v>#VALUE!</v>
      </c>
      <c r="EY428" t="e">
        <f>AND('PROG FORM COMPLEM'!O90,"AAAAAD9Z/po=")</f>
        <v>#VALUE!</v>
      </c>
      <c r="EZ428" t="e">
        <f>AND('PROG FORM COMPLEM'!P90,"AAAAAD9Z/ps=")</f>
        <v>#VALUE!</v>
      </c>
      <c r="FA428" t="e">
        <f>AND('PROG FORM COMPLEM'!Q90,"AAAAAD9Z/pw=")</f>
        <v>#VALUE!</v>
      </c>
      <c r="FB428" t="e">
        <f>AND('PROG FORM COMPLEM'!R90,"AAAAAD9Z/p0=")</f>
        <v>#VALUE!</v>
      </c>
      <c r="FC428" t="e">
        <f>AND('PROG FORM COMPLEM'!S90,"AAAAAD9Z/p4=")</f>
        <v>#VALUE!</v>
      </c>
      <c r="FD428" t="e">
        <f>AND('PROG FORM COMPLEM'!T90,"AAAAAD9Z/p8=")</f>
        <v>#VALUE!</v>
      </c>
      <c r="FE428" t="e">
        <f>AND('PROG FORM COMPLEM'!U90,"AAAAAD9Z/qA=")</f>
        <v>#VALUE!</v>
      </c>
      <c r="FF428" t="e">
        <f>AND('PROG FORM COMPLEM'!V90,"AAAAAD9Z/qE=")</f>
        <v>#VALUE!</v>
      </c>
      <c r="FG428" t="e">
        <f>AND('PROG FORM COMPLEM'!W90,"AAAAAD9Z/qI=")</f>
        <v>#VALUE!</v>
      </c>
      <c r="FH428">
        <f>IF('PROG FORM COMPLEM'!110:110,"AAAAAD9Z/qM=",0)</f>
        <v>0</v>
      </c>
      <c r="FI428" t="e">
        <f>AND('PROG FORM COMPLEM'!B110,"AAAAAD9Z/qQ=")</f>
        <v>#VALUE!</v>
      </c>
      <c r="FJ428" t="e">
        <f>AND('PROG FORM COMPLEM'!C110,"AAAAAD9Z/qU=")</f>
        <v>#VALUE!</v>
      </c>
      <c r="FK428" t="e">
        <f>AND('PROG FORM COMPLEM'!D110,"AAAAAD9Z/qY=")</f>
        <v>#VALUE!</v>
      </c>
      <c r="FL428" t="e">
        <f>AND('PROG FORM COMPLEM'!E110,"AAAAAD9Z/qc=")</f>
        <v>#VALUE!</v>
      </c>
      <c r="FM428" t="e">
        <f>AND('PROG FORM COMPLEM'!F110,"AAAAAD9Z/qg=")</f>
        <v>#VALUE!</v>
      </c>
      <c r="FN428" t="e">
        <f>AND('PROG FORM COMPLEM'!G110,"AAAAAD9Z/qk=")</f>
        <v>#VALUE!</v>
      </c>
      <c r="FO428" t="e">
        <f>AND('PROG FORM COMPLEM'!H110,"AAAAAD9Z/qo=")</f>
        <v>#VALUE!</v>
      </c>
      <c r="FP428" t="e">
        <f>AND('PROG FORM COMPLEM'!I110,"AAAAAD9Z/qs=")</f>
        <v>#VALUE!</v>
      </c>
      <c r="FQ428" t="e">
        <f>AND('PROG FORM COMPLEM'!J110,"AAAAAD9Z/qw=")</f>
        <v>#VALUE!</v>
      </c>
      <c r="FR428" t="e">
        <f>AND('PROG FORM COMPLEM'!K110,"AAAAAD9Z/q0=")</f>
        <v>#VALUE!</v>
      </c>
      <c r="FS428" t="e">
        <f>AND('PROG FORM COMPLEM'!L110,"AAAAAD9Z/q4=")</f>
        <v>#VALUE!</v>
      </c>
      <c r="FT428" t="e">
        <f>AND('PROG FORM COMPLEM'!M110,"AAAAAD9Z/q8=")</f>
        <v>#VALUE!</v>
      </c>
      <c r="FU428" t="e">
        <f>AND('PROG FORM COMPLEM'!N110,"AAAAAD9Z/rA=")</f>
        <v>#VALUE!</v>
      </c>
      <c r="FV428" t="e">
        <f>AND('PROG FORM COMPLEM'!O110,"AAAAAD9Z/rE=")</f>
        <v>#VALUE!</v>
      </c>
      <c r="FW428" t="e">
        <f>AND('PROG FORM COMPLEM'!P110,"AAAAAD9Z/rI=")</f>
        <v>#VALUE!</v>
      </c>
      <c r="FX428" t="e">
        <f>AND('PROG FORM COMPLEM'!Q110,"AAAAAD9Z/rM=")</f>
        <v>#VALUE!</v>
      </c>
      <c r="FY428" t="e">
        <f>AND('PROG FORM COMPLEM'!R110,"AAAAAD9Z/rQ=")</f>
        <v>#VALUE!</v>
      </c>
      <c r="FZ428" t="e">
        <f>AND('PROG FORM COMPLEM'!S110,"AAAAAD9Z/rU=")</f>
        <v>#VALUE!</v>
      </c>
      <c r="GA428" t="e">
        <f>AND('PROG FORM COMPLEM'!T110,"AAAAAD9Z/rY=")</f>
        <v>#VALUE!</v>
      </c>
      <c r="GB428" t="e">
        <f>AND('PROG FORM COMPLEM'!U110,"AAAAAD9Z/rc=")</f>
        <v>#VALUE!</v>
      </c>
      <c r="GC428" t="e">
        <f>AND('PROG FORM COMPLEM'!V110,"AAAAAD9Z/rg=")</f>
        <v>#VALUE!</v>
      </c>
      <c r="GD428" t="e">
        <f>AND('PROG FORM COMPLEM'!W110,"AAAAAD9Z/rk=")</f>
        <v>#VALUE!</v>
      </c>
      <c r="GE428">
        <f>IF('PROG FORM COMPLEM'!114:114,"AAAAAD9Z/ro=",0)</f>
        <v>0</v>
      </c>
      <c r="GF428" t="e">
        <f>AND('PROG FORM COMPLEM'!B114,"AAAAAD9Z/rs=")</f>
        <v>#VALUE!</v>
      </c>
      <c r="GG428" t="e">
        <f>AND('PROG FORM COMPLEM'!C114,"AAAAAD9Z/rw=")</f>
        <v>#VALUE!</v>
      </c>
      <c r="GH428" t="e">
        <f>AND('PROG FORM COMPLEM'!D114,"AAAAAD9Z/r0=")</f>
        <v>#VALUE!</v>
      </c>
      <c r="GI428" t="e">
        <f>AND('PROG FORM COMPLEM'!E114,"AAAAAD9Z/r4=")</f>
        <v>#VALUE!</v>
      </c>
      <c r="GJ428" t="e">
        <f>AND('PROG FORM COMPLEM'!F114,"AAAAAD9Z/r8=")</f>
        <v>#VALUE!</v>
      </c>
      <c r="GK428" t="e">
        <f>AND('PROG FORM COMPLEM'!G114,"AAAAAD9Z/sA=")</f>
        <v>#VALUE!</v>
      </c>
      <c r="GL428" t="e">
        <f>AND('PROG FORM COMPLEM'!H114,"AAAAAD9Z/sE=")</f>
        <v>#VALUE!</v>
      </c>
      <c r="GM428" t="e">
        <f>AND('PROG FORM COMPLEM'!I114,"AAAAAD9Z/sI=")</f>
        <v>#VALUE!</v>
      </c>
      <c r="GN428" t="e">
        <f>AND('PROG FORM COMPLEM'!J114,"AAAAAD9Z/sM=")</f>
        <v>#VALUE!</v>
      </c>
      <c r="GO428" t="e">
        <f>AND('PROG FORM COMPLEM'!K114,"AAAAAD9Z/sQ=")</f>
        <v>#VALUE!</v>
      </c>
      <c r="GP428" t="e">
        <f>AND('PROG FORM COMPLEM'!L114,"AAAAAD9Z/sU=")</f>
        <v>#VALUE!</v>
      </c>
      <c r="GQ428" t="e">
        <f>AND('PROG FORM COMPLEM'!M114,"AAAAAD9Z/sY=")</f>
        <v>#VALUE!</v>
      </c>
      <c r="GR428" t="e">
        <f>AND('PROG FORM COMPLEM'!N114,"AAAAAD9Z/sc=")</f>
        <v>#VALUE!</v>
      </c>
      <c r="GS428" t="e">
        <f>AND('PROG FORM COMPLEM'!O114,"AAAAAD9Z/sg=")</f>
        <v>#VALUE!</v>
      </c>
      <c r="GT428" t="e">
        <f>AND('PROG FORM COMPLEM'!P114,"AAAAAD9Z/sk=")</f>
        <v>#VALUE!</v>
      </c>
      <c r="GU428" t="e">
        <f>AND('PROG FORM COMPLEM'!Q114,"AAAAAD9Z/so=")</f>
        <v>#VALUE!</v>
      </c>
      <c r="GV428" t="e">
        <f>AND('PROG FORM COMPLEM'!R114,"AAAAAD9Z/ss=")</f>
        <v>#VALUE!</v>
      </c>
      <c r="GW428" t="e">
        <f>AND('PROG FORM COMPLEM'!S114,"AAAAAD9Z/sw=")</f>
        <v>#VALUE!</v>
      </c>
      <c r="GX428" t="e">
        <f>AND('PROG FORM COMPLEM'!T114,"AAAAAD9Z/s0=")</f>
        <v>#VALUE!</v>
      </c>
      <c r="GY428" t="e">
        <f>AND('PROG FORM COMPLEM'!U114,"AAAAAD9Z/s4=")</f>
        <v>#VALUE!</v>
      </c>
      <c r="GZ428" t="e">
        <f>AND('PROG FORM COMPLEM'!V114,"AAAAAD9Z/s8=")</f>
        <v>#VALUE!</v>
      </c>
      <c r="HA428" t="e">
        <f>AND('PROG FORM COMPLEM'!W114,"AAAAAD9Z/tA=")</f>
        <v>#VALUE!</v>
      </c>
      <c r="HB428">
        <f>IF('PROG FORM COMPLEM'!132:132,"AAAAAD9Z/tE=",0)</f>
        <v>0</v>
      </c>
      <c r="HC428" t="e">
        <f>AND('PROG FORM COMPLEM'!B132,"AAAAAD9Z/tI=")</f>
        <v>#VALUE!</v>
      </c>
      <c r="HD428" t="e">
        <f>AND('PROG FORM COMPLEM'!C132,"AAAAAD9Z/tM=")</f>
        <v>#VALUE!</v>
      </c>
      <c r="HE428" t="e">
        <f>AND('PROG FORM COMPLEM'!D132,"AAAAAD9Z/tQ=")</f>
        <v>#VALUE!</v>
      </c>
      <c r="HF428" t="e">
        <f>AND('PROG FORM COMPLEM'!E132,"AAAAAD9Z/tU=")</f>
        <v>#VALUE!</v>
      </c>
      <c r="HG428" t="e">
        <f>AND('PROG FORM COMPLEM'!F132,"AAAAAD9Z/tY=")</f>
        <v>#VALUE!</v>
      </c>
      <c r="HH428" t="e">
        <f>AND('PROG FORM COMPLEM'!G132,"AAAAAD9Z/tc=")</f>
        <v>#VALUE!</v>
      </c>
      <c r="HI428" t="e">
        <f>AND('PROG FORM COMPLEM'!H132,"AAAAAD9Z/tg=")</f>
        <v>#VALUE!</v>
      </c>
      <c r="HJ428" t="e">
        <f>AND('PROG FORM COMPLEM'!I132,"AAAAAD9Z/tk=")</f>
        <v>#VALUE!</v>
      </c>
      <c r="HK428" t="e">
        <f>AND('PROG FORM COMPLEM'!J132,"AAAAAD9Z/to=")</f>
        <v>#VALUE!</v>
      </c>
      <c r="HL428" t="e">
        <f>AND('PROG FORM COMPLEM'!K132,"AAAAAD9Z/ts=")</f>
        <v>#VALUE!</v>
      </c>
      <c r="HM428" t="e">
        <f>AND('PROG FORM COMPLEM'!L132,"AAAAAD9Z/tw=")</f>
        <v>#VALUE!</v>
      </c>
      <c r="HN428" t="e">
        <f>AND('PROG FORM COMPLEM'!M132,"AAAAAD9Z/t0=")</f>
        <v>#VALUE!</v>
      </c>
      <c r="HO428" t="e">
        <f>AND('PROG FORM COMPLEM'!N132,"AAAAAD9Z/t4=")</f>
        <v>#VALUE!</v>
      </c>
      <c r="HP428" t="e">
        <f>AND('PROG FORM COMPLEM'!O132,"AAAAAD9Z/t8=")</f>
        <v>#VALUE!</v>
      </c>
      <c r="HQ428" t="e">
        <f>AND('PROG FORM COMPLEM'!P132,"AAAAAD9Z/uA=")</f>
        <v>#VALUE!</v>
      </c>
      <c r="HR428" t="e">
        <f>AND('PROG FORM COMPLEM'!Q132,"AAAAAD9Z/uE=")</f>
        <v>#VALUE!</v>
      </c>
      <c r="HS428" t="e">
        <f>AND('PROG FORM COMPLEM'!R132,"AAAAAD9Z/uI=")</f>
        <v>#VALUE!</v>
      </c>
      <c r="HT428" t="e">
        <f>AND('PROG FORM COMPLEM'!S132,"AAAAAD9Z/uM=")</f>
        <v>#VALUE!</v>
      </c>
      <c r="HU428" t="e">
        <f>AND('PROG FORM COMPLEM'!T132,"AAAAAD9Z/uQ=")</f>
        <v>#VALUE!</v>
      </c>
      <c r="HV428" t="e">
        <f>AND('PROG FORM COMPLEM'!U132,"AAAAAD9Z/uU=")</f>
        <v>#VALUE!</v>
      </c>
      <c r="HW428" t="e">
        <f>AND('PROG FORM COMPLEM'!V132,"AAAAAD9Z/uY=")</f>
        <v>#VALUE!</v>
      </c>
      <c r="HX428" t="e">
        <f>AND('PROG FORM COMPLEM'!W132,"AAAAAD9Z/uc=")</f>
        <v>#VALUE!</v>
      </c>
      <c r="HY428">
        <f>IF('PROG FORM COMPLEM'!133:133,"AAAAAD9Z/ug=",0)</f>
        <v>0</v>
      </c>
      <c r="HZ428" t="e">
        <f>AND('PROG FORM COMPLEM'!B133,"AAAAAD9Z/uk=")</f>
        <v>#VALUE!</v>
      </c>
      <c r="IA428" t="e">
        <f>AND('PROG FORM COMPLEM'!C133,"AAAAAD9Z/uo=")</f>
        <v>#VALUE!</v>
      </c>
      <c r="IB428" t="e">
        <f>AND('PROG FORM COMPLEM'!D133,"AAAAAD9Z/us=")</f>
        <v>#VALUE!</v>
      </c>
      <c r="IC428" t="e">
        <f>AND('PROG FORM COMPLEM'!E133,"AAAAAD9Z/uw=")</f>
        <v>#VALUE!</v>
      </c>
      <c r="ID428" t="e">
        <f>AND('PROG FORM COMPLEM'!F133,"AAAAAD9Z/u0=")</f>
        <v>#VALUE!</v>
      </c>
      <c r="IE428" t="e">
        <f>AND('PROG FORM COMPLEM'!G133,"AAAAAD9Z/u4=")</f>
        <v>#VALUE!</v>
      </c>
      <c r="IF428" t="e">
        <f>AND('PROG FORM COMPLEM'!H133,"AAAAAD9Z/u8=")</f>
        <v>#VALUE!</v>
      </c>
      <c r="IG428" t="e">
        <f>AND('PROG FORM COMPLEM'!I133,"AAAAAD9Z/vA=")</f>
        <v>#VALUE!</v>
      </c>
      <c r="IH428" t="e">
        <f>AND('PROG FORM COMPLEM'!J133,"AAAAAD9Z/vE=")</f>
        <v>#VALUE!</v>
      </c>
      <c r="II428" t="e">
        <f>AND('PROG FORM COMPLEM'!K133,"AAAAAD9Z/vI=")</f>
        <v>#VALUE!</v>
      </c>
      <c r="IJ428" t="e">
        <f>AND('PROG FORM COMPLEM'!L133,"AAAAAD9Z/vM=")</f>
        <v>#VALUE!</v>
      </c>
      <c r="IK428" t="e">
        <f>AND('PROG FORM COMPLEM'!M133,"AAAAAD9Z/vQ=")</f>
        <v>#VALUE!</v>
      </c>
      <c r="IL428" t="e">
        <f>AND('PROG FORM COMPLEM'!N133,"AAAAAD9Z/vU=")</f>
        <v>#VALUE!</v>
      </c>
      <c r="IM428" t="e">
        <f>AND('PROG FORM COMPLEM'!O133,"AAAAAD9Z/vY=")</f>
        <v>#VALUE!</v>
      </c>
      <c r="IN428" t="e">
        <f>AND('PROG FORM COMPLEM'!P133,"AAAAAD9Z/vc=")</f>
        <v>#VALUE!</v>
      </c>
      <c r="IO428" t="e">
        <f>AND('PROG FORM COMPLEM'!Q133,"AAAAAD9Z/vg=")</f>
        <v>#VALUE!</v>
      </c>
      <c r="IP428" t="e">
        <f>AND('PROG FORM COMPLEM'!R133,"AAAAAD9Z/vk=")</f>
        <v>#VALUE!</v>
      </c>
      <c r="IQ428" t="e">
        <f>AND('PROG FORM COMPLEM'!S133,"AAAAAD9Z/vo=")</f>
        <v>#VALUE!</v>
      </c>
      <c r="IR428" t="e">
        <f>AND('PROG FORM COMPLEM'!T133,"AAAAAD9Z/vs=")</f>
        <v>#VALUE!</v>
      </c>
      <c r="IS428" t="e">
        <f>AND('PROG FORM COMPLEM'!U133,"AAAAAD9Z/vw=")</f>
        <v>#VALUE!</v>
      </c>
      <c r="IT428" t="e">
        <f>AND('PROG FORM COMPLEM'!V133,"AAAAAD9Z/v0=")</f>
        <v>#VALUE!</v>
      </c>
      <c r="IU428" t="e">
        <f>AND('PROG FORM COMPLEM'!W133,"AAAAAD9Z/v4=")</f>
        <v>#VALUE!</v>
      </c>
      <c r="IV428">
        <f>IF('PROG FORM COMPLEM'!145:145,"AAAAAD9Z/v8=",0)</f>
        <v>0</v>
      </c>
    </row>
    <row r="429" spans="1:256" x14ac:dyDescent="0.2">
      <c r="A429" t="e">
        <f>AND('PROG FORM COMPLEM'!B145,"AAAAAFP15QA=")</f>
        <v>#VALUE!</v>
      </c>
      <c r="B429" t="e">
        <f>AND('PROG FORM COMPLEM'!C145,"AAAAAFP15QE=")</f>
        <v>#VALUE!</v>
      </c>
      <c r="C429" t="e">
        <f>AND('PROG FORM COMPLEM'!D145,"AAAAAFP15QI=")</f>
        <v>#VALUE!</v>
      </c>
      <c r="D429" t="e">
        <f>AND('PROG FORM COMPLEM'!E145,"AAAAAFP15QM=")</f>
        <v>#VALUE!</v>
      </c>
      <c r="E429" t="e">
        <f>AND('PROG FORM COMPLEM'!F145,"AAAAAFP15QQ=")</f>
        <v>#VALUE!</v>
      </c>
      <c r="F429" t="e">
        <f>AND('PROG FORM COMPLEM'!G145,"AAAAAFP15QU=")</f>
        <v>#VALUE!</v>
      </c>
      <c r="G429" t="e">
        <f>AND('PROG FORM COMPLEM'!H145,"AAAAAFP15QY=")</f>
        <v>#VALUE!</v>
      </c>
      <c r="H429" t="e">
        <f>AND('PROG FORM COMPLEM'!I145,"AAAAAFP15Qc=")</f>
        <v>#VALUE!</v>
      </c>
      <c r="I429" t="e">
        <f>AND('PROG FORM COMPLEM'!J145,"AAAAAFP15Qg=")</f>
        <v>#VALUE!</v>
      </c>
      <c r="J429" t="e">
        <f>AND('PROG FORM COMPLEM'!K145,"AAAAAFP15Qk=")</f>
        <v>#VALUE!</v>
      </c>
      <c r="K429" t="e">
        <f>AND('PROG FORM COMPLEM'!L145,"AAAAAFP15Qo=")</f>
        <v>#VALUE!</v>
      </c>
      <c r="L429" t="e">
        <f>AND('PROG FORM COMPLEM'!M145,"AAAAAFP15Qs=")</f>
        <v>#VALUE!</v>
      </c>
      <c r="M429" t="e">
        <f>AND('PROG FORM COMPLEM'!N145,"AAAAAFP15Qw=")</f>
        <v>#VALUE!</v>
      </c>
      <c r="N429" t="e">
        <f>AND('PROG FORM COMPLEM'!O145,"AAAAAFP15Q0=")</f>
        <v>#VALUE!</v>
      </c>
      <c r="O429" t="e">
        <f>AND('PROG FORM COMPLEM'!P145,"AAAAAFP15Q4=")</f>
        <v>#VALUE!</v>
      </c>
      <c r="P429" t="e">
        <f>AND('PROG FORM COMPLEM'!Q145,"AAAAAFP15Q8=")</f>
        <v>#VALUE!</v>
      </c>
      <c r="Q429" t="e">
        <f>AND('PROG FORM COMPLEM'!R145,"AAAAAFP15RA=")</f>
        <v>#VALUE!</v>
      </c>
      <c r="R429" t="e">
        <f>AND('PROG FORM COMPLEM'!S145,"AAAAAFP15RE=")</f>
        <v>#VALUE!</v>
      </c>
      <c r="S429" t="e">
        <f>AND('PROG FORM COMPLEM'!T145,"AAAAAFP15RI=")</f>
        <v>#VALUE!</v>
      </c>
      <c r="T429" t="e">
        <f>AND('PROG FORM COMPLEM'!U145,"AAAAAFP15RM=")</f>
        <v>#VALUE!</v>
      </c>
      <c r="U429" t="e">
        <f>AND('PROG FORM COMPLEM'!V145,"AAAAAFP15RQ=")</f>
        <v>#VALUE!</v>
      </c>
      <c r="V429" t="e">
        <f>AND('PROG FORM COMPLEM'!W145,"AAAAAFP15RU=")</f>
        <v>#VALUE!</v>
      </c>
      <c r="W429">
        <f>IF('PROG FORM COMPLEM'!146:146,"AAAAAFP15RY=",0)</f>
        <v>0</v>
      </c>
      <c r="X429" t="e">
        <f>AND('PROG FORM COMPLEM'!B146,"AAAAAFP15Rc=")</f>
        <v>#VALUE!</v>
      </c>
      <c r="Y429" t="e">
        <f>AND('PROG FORM COMPLEM'!C146,"AAAAAFP15Rg=")</f>
        <v>#VALUE!</v>
      </c>
      <c r="Z429" t="e">
        <f>AND('PROG FORM COMPLEM'!D146,"AAAAAFP15Rk=")</f>
        <v>#VALUE!</v>
      </c>
      <c r="AA429" t="e">
        <f>AND('PROG FORM COMPLEM'!E146,"AAAAAFP15Ro=")</f>
        <v>#VALUE!</v>
      </c>
      <c r="AB429" t="e">
        <f>AND('PROG FORM COMPLEM'!F146,"AAAAAFP15Rs=")</f>
        <v>#VALUE!</v>
      </c>
      <c r="AC429" t="e">
        <f>AND('PROG FORM COMPLEM'!G146,"AAAAAFP15Rw=")</f>
        <v>#VALUE!</v>
      </c>
      <c r="AD429" t="e">
        <f>AND('PROG FORM COMPLEM'!H146,"AAAAAFP15R0=")</f>
        <v>#VALUE!</v>
      </c>
      <c r="AE429" t="e">
        <f>AND('PROG FORM COMPLEM'!I146,"AAAAAFP15R4=")</f>
        <v>#VALUE!</v>
      </c>
      <c r="AF429" t="e">
        <f>AND('PROG FORM COMPLEM'!J146,"AAAAAFP15R8=")</f>
        <v>#VALUE!</v>
      </c>
      <c r="AG429" t="e">
        <f>AND('PROG FORM COMPLEM'!K146,"AAAAAFP15SA=")</f>
        <v>#VALUE!</v>
      </c>
      <c r="AH429" t="e">
        <f>AND('PROG FORM COMPLEM'!L146,"AAAAAFP15SE=")</f>
        <v>#VALUE!</v>
      </c>
      <c r="AI429" t="e">
        <f>AND('PROG FORM COMPLEM'!M146,"AAAAAFP15SI=")</f>
        <v>#VALUE!</v>
      </c>
      <c r="AJ429" t="e">
        <f>AND('PROG FORM COMPLEM'!N146,"AAAAAFP15SM=")</f>
        <v>#VALUE!</v>
      </c>
      <c r="AK429" t="e">
        <f>AND('PROG FORM COMPLEM'!O146,"AAAAAFP15SQ=")</f>
        <v>#VALUE!</v>
      </c>
      <c r="AL429" t="e">
        <f>AND('PROG FORM COMPLEM'!P146,"AAAAAFP15SU=")</f>
        <v>#VALUE!</v>
      </c>
      <c r="AM429" t="e">
        <f>AND('PROG FORM COMPLEM'!Q146,"AAAAAFP15SY=")</f>
        <v>#VALUE!</v>
      </c>
      <c r="AN429" t="e">
        <f>AND('PROG FORM COMPLEM'!R146,"AAAAAFP15Sc=")</f>
        <v>#VALUE!</v>
      </c>
      <c r="AO429" t="e">
        <f>AND('PROG FORM COMPLEM'!S146,"AAAAAFP15Sg=")</f>
        <v>#VALUE!</v>
      </c>
      <c r="AP429" t="e">
        <f>AND('PROG FORM COMPLEM'!T146,"AAAAAFP15Sk=")</f>
        <v>#VALUE!</v>
      </c>
      <c r="AQ429" t="e">
        <f>AND('PROG FORM COMPLEM'!U146,"AAAAAFP15So=")</f>
        <v>#VALUE!</v>
      </c>
      <c r="AR429" t="e">
        <f>AND('PROG FORM COMPLEM'!V146,"AAAAAFP15Ss=")</f>
        <v>#VALUE!</v>
      </c>
      <c r="AS429" t="e">
        <f>AND('PROG FORM COMPLEM'!W146,"AAAAAFP15Sw=")</f>
        <v>#VALUE!</v>
      </c>
      <c r="AT429">
        <f>IF('PROG FORM COMPLEM'!147:147,"AAAAAFP15S0=",0)</f>
        <v>0</v>
      </c>
      <c r="AU429" t="e">
        <f>AND('PROG FORM COMPLEM'!B147,"AAAAAFP15S4=")</f>
        <v>#VALUE!</v>
      </c>
      <c r="AV429" t="e">
        <f>AND('PROG FORM COMPLEM'!C147,"AAAAAFP15S8=")</f>
        <v>#VALUE!</v>
      </c>
      <c r="AW429" t="e">
        <f>AND('PROG FORM COMPLEM'!D147,"AAAAAFP15TA=")</f>
        <v>#VALUE!</v>
      </c>
      <c r="AX429" t="e">
        <f>AND('PROG FORM COMPLEM'!E147,"AAAAAFP15TE=")</f>
        <v>#VALUE!</v>
      </c>
      <c r="AY429" t="e">
        <f>AND('PROG FORM COMPLEM'!F147,"AAAAAFP15TI=")</f>
        <v>#VALUE!</v>
      </c>
      <c r="AZ429" t="e">
        <f>AND('PROG FORM COMPLEM'!G147,"AAAAAFP15TM=")</f>
        <v>#VALUE!</v>
      </c>
      <c r="BA429" t="e">
        <f>AND('PROG FORM COMPLEM'!H147,"AAAAAFP15TQ=")</f>
        <v>#VALUE!</v>
      </c>
      <c r="BB429" t="e">
        <f>AND('PROG FORM COMPLEM'!I147,"AAAAAFP15TU=")</f>
        <v>#VALUE!</v>
      </c>
      <c r="BC429" t="e">
        <f>AND('PROG FORM COMPLEM'!J147,"AAAAAFP15TY=")</f>
        <v>#VALUE!</v>
      </c>
      <c r="BD429" t="e">
        <f>AND('PROG FORM COMPLEM'!K147,"AAAAAFP15Tc=")</f>
        <v>#VALUE!</v>
      </c>
      <c r="BE429" t="e">
        <f>AND('PROG FORM COMPLEM'!L147,"AAAAAFP15Tg=")</f>
        <v>#VALUE!</v>
      </c>
      <c r="BF429" t="e">
        <f>AND('PROG FORM COMPLEM'!M147,"AAAAAFP15Tk=")</f>
        <v>#VALUE!</v>
      </c>
      <c r="BG429" t="e">
        <f>AND('PROG FORM COMPLEM'!N147,"AAAAAFP15To=")</f>
        <v>#VALUE!</v>
      </c>
      <c r="BH429" t="e">
        <f>AND('PROG FORM COMPLEM'!O147,"AAAAAFP15Ts=")</f>
        <v>#VALUE!</v>
      </c>
      <c r="BI429" t="e">
        <f>AND('PROG FORM COMPLEM'!P147,"AAAAAFP15Tw=")</f>
        <v>#VALUE!</v>
      </c>
      <c r="BJ429" t="e">
        <f>AND('PROG FORM COMPLEM'!Q147,"AAAAAFP15T0=")</f>
        <v>#VALUE!</v>
      </c>
      <c r="BK429" t="e">
        <f>AND('PROG FORM COMPLEM'!R147,"AAAAAFP15T4=")</f>
        <v>#VALUE!</v>
      </c>
      <c r="BL429" t="e">
        <f>AND('PROG FORM COMPLEM'!S147,"AAAAAFP15T8=")</f>
        <v>#VALUE!</v>
      </c>
      <c r="BM429" t="e">
        <f>AND('PROG FORM COMPLEM'!T147,"AAAAAFP15UA=")</f>
        <v>#VALUE!</v>
      </c>
      <c r="BN429" t="e">
        <f>AND('PROG FORM COMPLEM'!U147,"AAAAAFP15UE=")</f>
        <v>#VALUE!</v>
      </c>
      <c r="BO429" t="e">
        <f>AND('PROG FORM COMPLEM'!V147,"AAAAAFP15UI=")</f>
        <v>#VALUE!</v>
      </c>
      <c r="BP429" t="e">
        <f>AND('PROG FORM COMPLEM'!W147,"AAAAAFP15UM=")</f>
        <v>#VALUE!</v>
      </c>
      <c r="BQ429">
        <f>IF('PROG FORM COMPLEM'!149:149,"AAAAAFP15UQ=",0)</f>
        <v>0</v>
      </c>
      <c r="BR429" t="e">
        <f>AND('PROG FORM COMPLEM'!B149,"AAAAAFP15UU=")</f>
        <v>#VALUE!</v>
      </c>
      <c r="BS429" t="e">
        <f>AND('PROG FORM COMPLEM'!C149,"AAAAAFP15UY=")</f>
        <v>#VALUE!</v>
      </c>
      <c r="BT429" t="e">
        <f>AND('PROG FORM COMPLEM'!D149,"AAAAAFP15Uc=")</f>
        <v>#VALUE!</v>
      </c>
      <c r="BU429" t="e">
        <f>AND('PROG FORM COMPLEM'!E149,"AAAAAFP15Ug=")</f>
        <v>#VALUE!</v>
      </c>
      <c r="BV429" t="e">
        <f>AND('PROG FORM COMPLEM'!F149,"AAAAAFP15Uk=")</f>
        <v>#VALUE!</v>
      </c>
      <c r="BW429" t="e">
        <f>AND('PROG FORM COMPLEM'!G149,"AAAAAFP15Uo=")</f>
        <v>#VALUE!</v>
      </c>
      <c r="BX429" t="e">
        <f>AND('PROG FORM COMPLEM'!H149,"AAAAAFP15Us=")</f>
        <v>#VALUE!</v>
      </c>
      <c r="BY429" t="e">
        <f>AND('PROG FORM COMPLEM'!I149,"AAAAAFP15Uw=")</f>
        <v>#VALUE!</v>
      </c>
      <c r="BZ429" t="e">
        <f>AND('PROG FORM COMPLEM'!J149,"AAAAAFP15U0=")</f>
        <v>#VALUE!</v>
      </c>
      <c r="CA429" t="e">
        <f>AND('PROG FORM COMPLEM'!K149,"AAAAAFP15U4=")</f>
        <v>#VALUE!</v>
      </c>
      <c r="CB429" t="e">
        <f>AND('PROG FORM COMPLEM'!L149,"AAAAAFP15U8=")</f>
        <v>#VALUE!</v>
      </c>
      <c r="CC429" t="e">
        <f>AND('PROG FORM COMPLEM'!M149,"AAAAAFP15VA=")</f>
        <v>#VALUE!</v>
      </c>
      <c r="CD429" t="e">
        <f>AND('PROG FORM COMPLEM'!N149,"AAAAAFP15VE=")</f>
        <v>#VALUE!</v>
      </c>
      <c r="CE429" t="e">
        <f>AND('PROG FORM COMPLEM'!O149,"AAAAAFP15VI=")</f>
        <v>#VALUE!</v>
      </c>
      <c r="CF429" t="e">
        <f>AND('PROG FORM COMPLEM'!P149,"AAAAAFP15VM=")</f>
        <v>#VALUE!</v>
      </c>
      <c r="CG429" t="e">
        <f>AND('PROG FORM COMPLEM'!Q149,"AAAAAFP15VQ=")</f>
        <v>#VALUE!</v>
      </c>
      <c r="CH429" t="e">
        <f>AND('PROG FORM COMPLEM'!R149,"AAAAAFP15VU=")</f>
        <v>#VALUE!</v>
      </c>
      <c r="CI429" t="e">
        <f>AND('PROG FORM COMPLEM'!S149,"AAAAAFP15VY=")</f>
        <v>#VALUE!</v>
      </c>
      <c r="CJ429" t="e">
        <f>AND('PROG FORM COMPLEM'!T149,"AAAAAFP15Vc=")</f>
        <v>#VALUE!</v>
      </c>
      <c r="CK429" t="e">
        <f>AND('PROG FORM COMPLEM'!U149,"AAAAAFP15Vg=")</f>
        <v>#VALUE!</v>
      </c>
      <c r="CL429" t="e">
        <f>AND('PROG FORM COMPLEM'!V149,"AAAAAFP15Vk=")</f>
        <v>#VALUE!</v>
      </c>
      <c r="CM429" t="e">
        <f>AND('PROG FORM COMPLEM'!W149,"AAAAAFP15Vo=")</f>
        <v>#VALUE!</v>
      </c>
      <c r="CN429">
        <f>IF('PROG FORM COMPLEM'!154:154,"AAAAAFP15Vs=",0)</f>
        <v>0</v>
      </c>
      <c r="CO429" t="e">
        <f>AND('PROG FORM COMPLEM'!B154,"AAAAAFP15Vw=")</f>
        <v>#VALUE!</v>
      </c>
      <c r="CP429" t="e">
        <f>AND('PROG FORM COMPLEM'!C154,"AAAAAFP15V0=")</f>
        <v>#VALUE!</v>
      </c>
      <c r="CQ429" t="e">
        <f>AND('PROG FORM COMPLEM'!D154,"AAAAAFP15V4=")</f>
        <v>#VALUE!</v>
      </c>
      <c r="CR429" t="e">
        <f>AND('PROG FORM COMPLEM'!E154,"AAAAAFP15V8=")</f>
        <v>#VALUE!</v>
      </c>
      <c r="CS429" t="e">
        <f>AND('PROG FORM COMPLEM'!F154,"AAAAAFP15WA=")</f>
        <v>#VALUE!</v>
      </c>
      <c r="CT429" t="e">
        <f>AND('PROG FORM COMPLEM'!G154,"AAAAAFP15WE=")</f>
        <v>#VALUE!</v>
      </c>
      <c r="CU429" t="e">
        <f>AND('PROG FORM COMPLEM'!H154,"AAAAAFP15WI=")</f>
        <v>#VALUE!</v>
      </c>
      <c r="CV429" t="e">
        <f>AND('PROG FORM COMPLEM'!I154,"AAAAAFP15WM=")</f>
        <v>#VALUE!</v>
      </c>
      <c r="CW429" t="e">
        <f>AND('PROG FORM COMPLEM'!J154,"AAAAAFP15WQ=")</f>
        <v>#VALUE!</v>
      </c>
      <c r="CX429" t="e">
        <f>AND('PROG FORM COMPLEM'!K154,"AAAAAFP15WU=")</f>
        <v>#VALUE!</v>
      </c>
      <c r="CY429" t="e">
        <f>AND('PROG FORM COMPLEM'!L154,"AAAAAFP15WY=")</f>
        <v>#VALUE!</v>
      </c>
      <c r="CZ429" t="e">
        <f>AND('PROG FORM COMPLEM'!M154,"AAAAAFP15Wc=")</f>
        <v>#VALUE!</v>
      </c>
      <c r="DA429" t="e">
        <f>AND('PROG FORM COMPLEM'!N154,"AAAAAFP15Wg=")</f>
        <v>#VALUE!</v>
      </c>
      <c r="DB429" t="e">
        <f>AND('PROG FORM COMPLEM'!O154,"AAAAAFP15Wk=")</f>
        <v>#VALUE!</v>
      </c>
      <c r="DC429" t="e">
        <f>AND('PROG FORM COMPLEM'!P154,"AAAAAFP15Wo=")</f>
        <v>#VALUE!</v>
      </c>
      <c r="DD429" t="e">
        <f>AND('PROG FORM COMPLEM'!Q154,"AAAAAFP15Ws=")</f>
        <v>#VALUE!</v>
      </c>
      <c r="DE429" t="e">
        <f>AND('PROG FORM COMPLEM'!R154,"AAAAAFP15Ww=")</f>
        <v>#VALUE!</v>
      </c>
      <c r="DF429" t="e">
        <f>AND('PROG FORM COMPLEM'!S154,"AAAAAFP15W0=")</f>
        <v>#VALUE!</v>
      </c>
      <c r="DG429" t="e">
        <f>AND('PROG FORM COMPLEM'!T154,"AAAAAFP15W4=")</f>
        <v>#VALUE!</v>
      </c>
      <c r="DH429" t="e">
        <f>AND('PROG FORM COMPLEM'!U154,"AAAAAFP15W8=")</f>
        <v>#VALUE!</v>
      </c>
      <c r="DI429" t="e">
        <f>AND('PROG FORM COMPLEM'!V154,"AAAAAFP15XA=")</f>
        <v>#VALUE!</v>
      </c>
      <c r="DJ429" t="e">
        <f>AND('PROG FORM COMPLEM'!W154,"AAAAAFP15XE=")</f>
        <v>#VALUE!</v>
      </c>
      <c r="DK429">
        <f>IF('PROG FORM COMPLEM'!165:165,"AAAAAFP15XI=",0)</f>
        <v>0</v>
      </c>
      <c r="DL429" t="e">
        <f>AND('PROG FORM COMPLEM'!B165,"AAAAAFP15XM=")</f>
        <v>#VALUE!</v>
      </c>
      <c r="DM429" t="e">
        <f>AND('PROG FORM COMPLEM'!C165,"AAAAAFP15XQ=")</f>
        <v>#VALUE!</v>
      </c>
      <c r="DN429" t="e">
        <f>AND('PROG FORM COMPLEM'!D165,"AAAAAFP15XU=")</f>
        <v>#VALUE!</v>
      </c>
      <c r="DO429" t="e">
        <f>AND('PROG FORM COMPLEM'!E165,"AAAAAFP15XY=")</f>
        <v>#VALUE!</v>
      </c>
      <c r="DP429" t="e">
        <f>AND('PROG FORM COMPLEM'!F165,"AAAAAFP15Xc=")</f>
        <v>#VALUE!</v>
      </c>
      <c r="DQ429" t="e">
        <f>AND('PROG FORM COMPLEM'!G165,"AAAAAFP15Xg=")</f>
        <v>#VALUE!</v>
      </c>
      <c r="DR429" t="e">
        <f>AND('PROG FORM COMPLEM'!H165,"AAAAAFP15Xk=")</f>
        <v>#VALUE!</v>
      </c>
      <c r="DS429" t="e">
        <f>AND('PROG FORM COMPLEM'!I165,"AAAAAFP15Xo=")</f>
        <v>#VALUE!</v>
      </c>
      <c r="DT429" t="e">
        <f>AND('PROG FORM COMPLEM'!J165,"AAAAAFP15Xs=")</f>
        <v>#VALUE!</v>
      </c>
      <c r="DU429" t="e">
        <f>AND('PROG FORM COMPLEM'!K165,"AAAAAFP15Xw=")</f>
        <v>#VALUE!</v>
      </c>
      <c r="DV429" t="e">
        <f>AND('PROG FORM COMPLEM'!L165,"AAAAAFP15X0=")</f>
        <v>#VALUE!</v>
      </c>
      <c r="DW429" t="e">
        <f>AND('PROG FORM COMPLEM'!M165,"AAAAAFP15X4=")</f>
        <v>#VALUE!</v>
      </c>
      <c r="DX429" t="e">
        <f>AND('PROG FORM COMPLEM'!N165,"AAAAAFP15X8=")</f>
        <v>#VALUE!</v>
      </c>
      <c r="DY429" t="e">
        <f>AND('PROG FORM COMPLEM'!O165,"AAAAAFP15YA=")</f>
        <v>#VALUE!</v>
      </c>
      <c r="DZ429" t="e">
        <f>AND('PROG FORM COMPLEM'!P165,"AAAAAFP15YE=")</f>
        <v>#VALUE!</v>
      </c>
      <c r="EA429" t="e">
        <f>AND('PROG FORM COMPLEM'!Q165,"AAAAAFP15YI=")</f>
        <v>#VALUE!</v>
      </c>
      <c r="EB429" t="e">
        <f>AND('PROG FORM COMPLEM'!R165,"AAAAAFP15YM=")</f>
        <v>#VALUE!</v>
      </c>
      <c r="EC429" t="e">
        <f>AND('PROG FORM COMPLEM'!S165,"AAAAAFP15YQ=")</f>
        <v>#VALUE!</v>
      </c>
      <c r="ED429" t="e">
        <f>AND('PROG FORM COMPLEM'!T165,"AAAAAFP15YU=")</f>
        <v>#VALUE!</v>
      </c>
      <c r="EE429" t="e">
        <f>AND('PROG FORM COMPLEM'!U165,"AAAAAFP15YY=")</f>
        <v>#VALUE!</v>
      </c>
      <c r="EF429" t="e">
        <f>AND('PROG FORM COMPLEM'!V165,"AAAAAFP15Yc=")</f>
        <v>#VALUE!</v>
      </c>
      <c r="EG429" t="e">
        <f>AND('PROG FORM COMPLEM'!W165,"AAAAAFP15Yg=")</f>
        <v>#VALUE!</v>
      </c>
      <c r="EH429">
        <f>IF('PROG FORM COMPLEM'!181:181,"AAAAAFP15Yk=",0)</f>
        <v>0</v>
      </c>
      <c r="EI429" t="e">
        <f>AND('PROG FORM COMPLEM'!B181,"AAAAAFP15Yo=")</f>
        <v>#VALUE!</v>
      </c>
      <c r="EJ429" t="e">
        <f>AND('PROG FORM COMPLEM'!C181,"AAAAAFP15Ys=")</f>
        <v>#VALUE!</v>
      </c>
      <c r="EK429" t="e">
        <f>AND('PROG FORM COMPLEM'!D181,"AAAAAFP15Yw=")</f>
        <v>#VALUE!</v>
      </c>
      <c r="EL429" t="e">
        <f>AND('PROG FORM COMPLEM'!E181,"AAAAAFP15Y0=")</f>
        <v>#VALUE!</v>
      </c>
      <c r="EM429" t="e">
        <f>AND('PROG FORM COMPLEM'!F181,"AAAAAFP15Y4=")</f>
        <v>#VALUE!</v>
      </c>
      <c r="EN429" t="e">
        <f>AND('PROG FORM COMPLEM'!G181,"AAAAAFP15Y8=")</f>
        <v>#VALUE!</v>
      </c>
      <c r="EO429" t="e">
        <f>AND('PROG FORM COMPLEM'!H181,"AAAAAFP15ZA=")</f>
        <v>#VALUE!</v>
      </c>
      <c r="EP429" t="e">
        <f>AND('PROG FORM COMPLEM'!I181,"AAAAAFP15ZE=")</f>
        <v>#VALUE!</v>
      </c>
      <c r="EQ429" t="e">
        <f>AND('PROG FORM COMPLEM'!J181,"AAAAAFP15ZI=")</f>
        <v>#VALUE!</v>
      </c>
      <c r="ER429" t="e">
        <f>AND('PROG FORM COMPLEM'!K181,"AAAAAFP15ZM=")</f>
        <v>#VALUE!</v>
      </c>
      <c r="ES429" t="e">
        <f>AND('PROG FORM COMPLEM'!L181,"AAAAAFP15ZQ=")</f>
        <v>#VALUE!</v>
      </c>
      <c r="ET429" t="e">
        <f>AND('PROG FORM COMPLEM'!M181,"AAAAAFP15ZU=")</f>
        <v>#VALUE!</v>
      </c>
      <c r="EU429" t="e">
        <f>AND('PROG FORM COMPLEM'!N181,"AAAAAFP15ZY=")</f>
        <v>#VALUE!</v>
      </c>
      <c r="EV429" t="e">
        <f>AND('PROG FORM COMPLEM'!O181,"AAAAAFP15Zc=")</f>
        <v>#VALUE!</v>
      </c>
      <c r="EW429" t="e">
        <f>AND('PROG FORM COMPLEM'!P181,"AAAAAFP15Zg=")</f>
        <v>#VALUE!</v>
      </c>
      <c r="EX429" t="e">
        <f>AND('PROG FORM COMPLEM'!Q181,"AAAAAFP15Zk=")</f>
        <v>#VALUE!</v>
      </c>
      <c r="EY429" t="e">
        <f>AND('PROG FORM COMPLEM'!R181,"AAAAAFP15Zo=")</f>
        <v>#VALUE!</v>
      </c>
      <c r="EZ429" t="e">
        <f>AND('PROG FORM COMPLEM'!S181,"AAAAAFP15Zs=")</f>
        <v>#VALUE!</v>
      </c>
      <c r="FA429" t="e">
        <f>AND('PROG FORM COMPLEM'!T181,"AAAAAFP15Zw=")</f>
        <v>#VALUE!</v>
      </c>
      <c r="FB429" t="e">
        <f>AND('PROG FORM COMPLEM'!U181,"AAAAAFP15Z0=")</f>
        <v>#VALUE!</v>
      </c>
      <c r="FC429" t="e">
        <f>AND('PROG FORM COMPLEM'!V181,"AAAAAFP15Z4=")</f>
        <v>#VALUE!</v>
      </c>
      <c r="FD429" t="e">
        <f>AND('PROG FORM COMPLEM'!W181,"AAAAAFP15Z8=")</f>
        <v>#VALUE!</v>
      </c>
      <c r="FE429" t="e">
        <f>IF('PROG FORM COMPLEM'!#REF!,"AAAAAFP15aA=",0)</f>
        <v>#REF!</v>
      </c>
      <c r="FF429" t="e">
        <f>AND('PROG FORM COMPLEM'!#REF!,"AAAAAFP15aE=")</f>
        <v>#REF!</v>
      </c>
      <c r="FG429" t="e">
        <f>AND('PROG FORM COMPLEM'!#REF!,"AAAAAFP15aI=")</f>
        <v>#REF!</v>
      </c>
      <c r="FH429" t="e">
        <f>AND('PROG FORM COMPLEM'!#REF!,"AAAAAFP15aM=")</f>
        <v>#REF!</v>
      </c>
      <c r="FI429" t="e">
        <f>AND('PROG FORM COMPLEM'!#REF!,"AAAAAFP15aQ=")</f>
        <v>#REF!</v>
      </c>
      <c r="FJ429" t="e">
        <f>AND('PROG FORM COMPLEM'!#REF!,"AAAAAFP15aU=")</f>
        <v>#REF!</v>
      </c>
      <c r="FK429" t="e">
        <f>AND('PROG FORM COMPLEM'!#REF!,"AAAAAFP15aY=")</f>
        <v>#REF!</v>
      </c>
      <c r="FL429" t="e">
        <f>AND('PROG FORM COMPLEM'!#REF!,"AAAAAFP15ac=")</f>
        <v>#REF!</v>
      </c>
      <c r="FM429" t="e">
        <f>AND('PROG FORM COMPLEM'!#REF!,"AAAAAFP15ag=")</f>
        <v>#REF!</v>
      </c>
      <c r="FN429" t="e">
        <f>AND('PROG FORM COMPLEM'!#REF!,"AAAAAFP15ak=")</f>
        <v>#REF!</v>
      </c>
      <c r="FO429" t="e">
        <f>AND('PROG FORM COMPLEM'!#REF!,"AAAAAFP15ao=")</f>
        <v>#REF!</v>
      </c>
      <c r="FP429" t="e">
        <f>AND('PROG FORM COMPLEM'!#REF!,"AAAAAFP15as=")</f>
        <v>#REF!</v>
      </c>
      <c r="FQ429" t="e">
        <f>AND('PROG FORM COMPLEM'!#REF!,"AAAAAFP15aw=")</f>
        <v>#REF!</v>
      </c>
      <c r="FR429" t="e">
        <f>AND('PROG FORM COMPLEM'!#REF!,"AAAAAFP15a0=")</f>
        <v>#REF!</v>
      </c>
      <c r="FS429" t="e">
        <f>AND('PROG FORM COMPLEM'!#REF!,"AAAAAFP15a4=")</f>
        <v>#REF!</v>
      </c>
      <c r="FT429" t="e">
        <f>AND('PROG FORM COMPLEM'!#REF!,"AAAAAFP15a8=")</f>
        <v>#REF!</v>
      </c>
      <c r="FU429" t="e">
        <f>AND('PROG FORM COMPLEM'!#REF!,"AAAAAFP15bA=")</f>
        <v>#REF!</v>
      </c>
      <c r="FV429" t="e">
        <f>AND('PROG FORM COMPLEM'!#REF!,"AAAAAFP15bE=")</f>
        <v>#REF!</v>
      </c>
      <c r="FW429" t="e">
        <f>AND('PROG FORM COMPLEM'!#REF!,"AAAAAFP15bI=")</f>
        <v>#REF!</v>
      </c>
      <c r="FX429" t="e">
        <f>AND('PROG FORM COMPLEM'!#REF!,"AAAAAFP15bM=")</f>
        <v>#REF!</v>
      </c>
      <c r="FY429" t="e">
        <f>AND('PROG FORM COMPLEM'!#REF!,"AAAAAFP15bQ=")</f>
        <v>#REF!</v>
      </c>
      <c r="FZ429" t="e">
        <f>AND('PROG FORM COMPLEM'!#REF!,"AAAAAFP15bU=")</f>
        <v>#REF!</v>
      </c>
      <c r="GA429" t="e">
        <f>AND('PROG FORM COMPLEM'!#REF!,"AAAAAFP15bY=")</f>
        <v>#REF!</v>
      </c>
      <c r="GB429">
        <f>IF('PROG FORM COMPLEM'!182:182,"AAAAAFP15bc=",0)</f>
        <v>0</v>
      </c>
      <c r="GC429" t="e">
        <f>AND('PROG FORM COMPLEM'!B182,"AAAAAFP15bg=")</f>
        <v>#VALUE!</v>
      </c>
      <c r="GD429" t="e">
        <f>AND('PROG FORM COMPLEM'!C182,"AAAAAFP15bk=")</f>
        <v>#VALUE!</v>
      </c>
      <c r="GE429" t="e">
        <f>AND('PROG FORM COMPLEM'!D182,"AAAAAFP15bo=")</f>
        <v>#VALUE!</v>
      </c>
      <c r="GF429" t="e">
        <f>AND('PROG FORM COMPLEM'!E182,"AAAAAFP15bs=")</f>
        <v>#VALUE!</v>
      </c>
      <c r="GG429" t="e">
        <f>AND('PROG FORM COMPLEM'!F182,"AAAAAFP15bw=")</f>
        <v>#VALUE!</v>
      </c>
      <c r="GH429" t="e">
        <f>AND('PROG FORM COMPLEM'!G182,"AAAAAFP15b0=")</f>
        <v>#VALUE!</v>
      </c>
      <c r="GI429" t="e">
        <f>AND('PROG FORM COMPLEM'!H182,"AAAAAFP15b4=")</f>
        <v>#VALUE!</v>
      </c>
      <c r="GJ429" t="e">
        <f>AND('PROG FORM COMPLEM'!I182,"AAAAAFP15b8=")</f>
        <v>#VALUE!</v>
      </c>
      <c r="GK429" t="e">
        <f>AND('PROG FORM COMPLEM'!J182,"AAAAAFP15cA=")</f>
        <v>#VALUE!</v>
      </c>
      <c r="GL429" t="e">
        <f>AND('PROG FORM COMPLEM'!K182,"AAAAAFP15cE=")</f>
        <v>#VALUE!</v>
      </c>
      <c r="GM429" t="e">
        <f>AND('PROG FORM COMPLEM'!L182,"AAAAAFP15cI=")</f>
        <v>#VALUE!</v>
      </c>
      <c r="GN429" t="e">
        <f>AND('PROG FORM COMPLEM'!M182,"AAAAAFP15cM=")</f>
        <v>#VALUE!</v>
      </c>
      <c r="GO429" t="e">
        <f>AND('PROG FORM COMPLEM'!N182,"AAAAAFP15cQ=")</f>
        <v>#VALUE!</v>
      </c>
      <c r="GP429" t="e">
        <f>AND('PROG FORM COMPLEM'!O182,"AAAAAFP15cU=")</f>
        <v>#VALUE!</v>
      </c>
      <c r="GQ429" t="e">
        <f>AND('PROG FORM COMPLEM'!P182,"AAAAAFP15cY=")</f>
        <v>#VALUE!</v>
      </c>
      <c r="GR429" t="e">
        <f>AND('PROG FORM COMPLEM'!Q182,"AAAAAFP15cc=")</f>
        <v>#VALUE!</v>
      </c>
      <c r="GS429" t="e">
        <f>AND('PROG FORM COMPLEM'!R182,"AAAAAFP15cg=")</f>
        <v>#VALUE!</v>
      </c>
      <c r="GT429" t="e">
        <f>AND('PROG FORM COMPLEM'!S182,"AAAAAFP15ck=")</f>
        <v>#VALUE!</v>
      </c>
      <c r="GU429" t="e">
        <f>AND('PROG FORM COMPLEM'!T182,"AAAAAFP15co=")</f>
        <v>#VALUE!</v>
      </c>
      <c r="GV429" t="e">
        <f>AND('PROG FORM COMPLEM'!U182,"AAAAAFP15cs=")</f>
        <v>#VALUE!</v>
      </c>
      <c r="GW429" t="e">
        <f>AND('PROG FORM COMPLEM'!V182,"AAAAAFP15cw=")</f>
        <v>#VALUE!</v>
      </c>
      <c r="GX429" t="e">
        <f>AND('PROG FORM COMPLEM'!W182,"AAAAAFP15c0=")</f>
        <v>#VALUE!</v>
      </c>
      <c r="GY429">
        <f>IF('PROG FORM COMPLEM'!183:183,"AAAAAFP15c4=",0)</f>
        <v>0</v>
      </c>
      <c r="GZ429" t="e">
        <f>AND('PROG FORM COMPLEM'!B183,"AAAAAFP15c8=")</f>
        <v>#VALUE!</v>
      </c>
      <c r="HA429" t="e">
        <f>AND('PROG FORM COMPLEM'!C183,"AAAAAFP15dA=")</f>
        <v>#VALUE!</v>
      </c>
      <c r="HB429" t="e">
        <f>AND('PROG FORM COMPLEM'!D183,"AAAAAFP15dE=")</f>
        <v>#VALUE!</v>
      </c>
      <c r="HC429" t="e">
        <f>AND('PROG FORM COMPLEM'!E183,"AAAAAFP15dI=")</f>
        <v>#VALUE!</v>
      </c>
      <c r="HD429" t="e">
        <f>AND('PROG FORM COMPLEM'!F183,"AAAAAFP15dM=")</f>
        <v>#VALUE!</v>
      </c>
      <c r="HE429" t="e">
        <f>AND('PROG FORM COMPLEM'!G183,"AAAAAFP15dQ=")</f>
        <v>#VALUE!</v>
      </c>
      <c r="HF429" t="e">
        <f>AND('PROG FORM COMPLEM'!H183,"AAAAAFP15dU=")</f>
        <v>#VALUE!</v>
      </c>
      <c r="HG429" t="e">
        <f>AND('PROG FORM COMPLEM'!I183,"AAAAAFP15dY=")</f>
        <v>#VALUE!</v>
      </c>
      <c r="HH429" t="e">
        <f>AND('PROG FORM COMPLEM'!J183,"AAAAAFP15dc=")</f>
        <v>#VALUE!</v>
      </c>
      <c r="HI429" t="e">
        <f>AND('PROG FORM COMPLEM'!K183,"AAAAAFP15dg=")</f>
        <v>#VALUE!</v>
      </c>
      <c r="HJ429" t="e">
        <f>AND('PROG FORM COMPLEM'!L183,"AAAAAFP15dk=")</f>
        <v>#VALUE!</v>
      </c>
      <c r="HK429" t="e">
        <f>AND('PROG FORM COMPLEM'!M183,"AAAAAFP15do=")</f>
        <v>#VALUE!</v>
      </c>
      <c r="HL429" t="e">
        <f>AND('PROG FORM COMPLEM'!N183,"AAAAAFP15ds=")</f>
        <v>#VALUE!</v>
      </c>
      <c r="HM429" t="e">
        <f>AND('PROG FORM COMPLEM'!O183,"AAAAAFP15dw=")</f>
        <v>#VALUE!</v>
      </c>
      <c r="HN429" t="e">
        <f>AND('PROG FORM COMPLEM'!P183,"AAAAAFP15d0=")</f>
        <v>#VALUE!</v>
      </c>
      <c r="HO429" t="e">
        <f>AND('PROG FORM COMPLEM'!Q183,"AAAAAFP15d4=")</f>
        <v>#VALUE!</v>
      </c>
      <c r="HP429" t="e">
        <f>AND('PROG FORM COMPLEM'!R183,"AAAAAFP15d8=")</f>
        <v>#VALUE!</v>
      </c>
      <c r="HQ429" t="e">
        <f>AND('PROG FORM COMPLEM'!S183,"AAAAAFP15eA=")</f>
        <v>#VALUE!</v>
      </c>
      <c r="HR429" t="e">
        <f>AND('PROG FORM COMPLEM'!T183,"AAAAAFP15eE=")</f>
        <v>#VALUE!</v>
      </c>
      <c r="HS429" t="e">
        <f>AND('PROG FORM COMPLEM'!U183,"AAAAAFP15eI=")</f>
        <v>#VALUE!</v>
      </c>
      <c r="HT429" t="e">
        <f>AND('PROG FORM COMPLEM'!V183,"AAAAAFP15eM=")</f>
        <v>#VALUE!</v>
      </c>
      <c r="HU429" t="e">
        <f>AND('PROG FORM COMPLEM'!W183,"AAAAAFP15eQ=")</f>
        <v>#VALUE!</v>
      </c>
      <c r="HV429">
        <f>IF('PROG FORM COMPLEM'!185:185,"AAAAAFP15eU=",0)</f>
        <v>0</v>
      </c>
      <c r="HW429" t="e">
        <f>AND('PROG FORM COMPLEM'!B185,"AAAAAFP15eY=")</f>
        <v>#VALUE!</v>
      </c>
      <c r="HX429" t="e">
        <f>AND('PROG FORM COMPLEM'!C185,"AAAAAFP15ec=")</f>
        <v>#VALUE!</v>
      </c>
      <c r="HY429" t="e">
        <f>AND('PROG FORM COMPLEM'!D185,"AAAAAFP15eg=")</f>
        <v>#VALUE!</v>
      </c>
      <c r="HZ429" t="e">
        <f>AND('PROG FORM COMPLEM'!E185,"AAAAAFP15ek=")</f>
        <v>#VALUE!</v>
      </c>
      <c r="IA429" t="e">
        <f>AND('PROG FORM COMPLEM'!F185,"AAAAAFP15eo=")</f>
        <v>#VALUE!</v>
      </c>
      <c r="IB429" t="e">
        <f>AND('PROG FORM COMPLEM'!G185,"AAAAAFP15es=")</f>
        <v>#VALUE!</v>
      </c>
      <c r="IC429" t="e">
        <f>AND('PROG FORM COMPLEM'!H185,"AAAAAFP15ew=")</f>
        <v>#VALUE!</v>
      </c>
      <c r="ID429" t="e">
        <f>AND('PROG FORM COMPLEM'!I185,"AAAAAFP15e0=")</f>
        <v>#VALUE!</v>
      </c>
      <c r="IE429" t="e">
        <f>AND('PROG FORM COMPLEM'!J185,"AAAAAFP15e4=")</f>
        <v>#VALUE!</v>
      </c>
      <c r="IF429" t="e">
        <f>AND('PROG FORM COMPLEM'!K185,"AAAAAFP15e8=")</f>
        <v>#VALUE!</v>
      </c>
      <c r="IG429" t="e">
        <f>AND('PROG FORM COMPLEM'!L185,"AAAAAFP15fA=")</f>
        <v>#VALUE!</v>
      </c>
      <c r="IH429" t="e">
        <f>AND('PROG FORM COMPLEM'!M185,"AAAAAFP15fE=")</f>
        <v>#VALUE!</v>
      </c>
      <c r="II429" t="e">
        <f>AND('PROG FORM COMPLEM'!N185,"AAAAAFP15fI=")</f>
        <v>#VALUE!</v>
      </c>
      <c r="IJ429" t="e">
        <f>AND('PROG FORM COMPLEM'!O185,"AAAAAFP15fM=")</f>
        <v>#VALUE!</v>
      </c>
      <c r="IK429" t="e">
        <f>AND('PROG FORM COMPLEM'!P185,"AAAAAFP15fQ=")</f>
        <v>#VALUE!</v>
      </c>
      <c r="IL429" t="e">
        <f>AND('PROG FORM COMPLEM'!Q185,"AAAAAFP15fU=")</f>
        <v>#VALUE!</v>
      </c>
      <c r="IM429" t="e">
        <f>AND('PROG FORM COMPLEM'!R185,"AAAAAFP15fY=")</f>
        <v>#VALUE!</v>
      </c>
      <c r="IN429" t="e">
        <f>AND('PROG FORM COMPLEM'!S185,"AAAAAFP15fc=")</f>
        <v>#VALUE!</v>
      </c>
      <c r="IO429" t="e">
        <f>AND('PROG FORM COMPLEM'!T185,"AAAAAFP15fg=")</f>
        <v>#VALUE!</v>
      </c>
      <c r="IP429" t="e">
        <f>AND('PROG FORM COMPLEM'!U185,"AAAAAFP15fk=")</f>
        <v>#VALUE!</v>
      </c>
      <c r="IQ429" t="e">
        <f>AND('PROG FORM COMPLEM'!V185,"AAAAAFP15fo=")</f>
        <v>#VALUE!</v>
      </c>
      <c r="IR429" t="e">
        <f>AND('PROG FORM COMPLEM'!W185,"AAAAAFP15fs=")</f>
        <v>#VALUE!</v>
      </c>
      <c r="IS429" t="e">
        <f>AND('PROG FORM COMPLEM'!D189,"AAAAAFP15fw=")</f>
        <v>#VALUE!</v>
      </c>
      <c r="IT429">
        <f>IF('PROG FORM COMPLEM'!207:207,"AAAAAFP15f0=",0)</f>
        <v>0</v>
      </c>
      <c r="IU429" t="e">
        <f>AND('PROG FORM COMPLEM'!B207,"AAAAAFP15f4=")</f>
        <v>#VALUE!</v>
      </c>
      <c r="IV429" t="e">
        <f>AND('PROG FORM COMPLEM'!C207,"AAAAAFP15f8=")</f>
        <v>#VALUE!</v>
      </c>
    </row>
    <row r="430" spans="1:256" x14ac:dyDescent="0.2">
      <c r="A430" t="e">
        <f>AND('PROG FORM COMPLEM'!D207,"AAAAAF/7twA=")</f>
        <v>#VALUE!</v>
      </c>
      <c r="B430" t="e">
        <f>AND('PROG FORM COMPLEM'!E207,"AAAAAF/7twE=")</f>
        <v>#VALUE!</v>
      </c>
      <c r="C430" t="e">
        <f>AND('PROG FORM COMPLEM'!F207,"AAAAAF/7twI=")</f>
        <v>#VALUE!</v>
      </c>
      <c r="D430" t="e">
        <f>AND('PROG FORM COMPLEM'!G207,"AAAAAF/7twM=")</f>
        <v>#VALUE!</v>
      </c>
      <c r="E430" t="e">
        <f>AND('PROG FORM COMPLEM'!H207,"AAAAAF/7twQ=")</f>
        <v>#VALUE!</v>
      </c>
      <c r="F430" t="e">
        <f>AND('PROG FORM COMPLEM'!I207,"AAAAAF/7twU=")</f>
        <v>#VALUE!</v>
      </c>
      <c r="G430" t="e">
        <f>AND('PROG FORM COMPLEM'!J207,"AAAAAF/7twY=")</f>
        <v>#VALUE!</v>
      </c>
      <c r="H430" t="e">
        <f>AND('PROG FORM COMPLEM'!K207,"AAAAAF/7twc=")</f>
        <v>#VALUE!</v>
      </c>
      <c r="I430" t="e">
        <f>AND('PROG FORM COMPLEM'!L207,"AAAAAF/7twg=")</f>
        <v>#VALUE!</v>
      </c>
      <c r="J430" t="e">
        <f>AND('PROG FORM COMPLEM'!M207,"AAAAAF/7twk=")</f>
        <v>#VALUE!</v>
      </c>
      <c r="K430" t="e">
        <f>AND('PROG FORM COMPLEM'!N207,"AAAAAF/7two=")</f>
        <v>#VALUE!</v>
      </c>
      <c r="L430" t="e">
        <f>AND('PROG FORM COMPLEM'!O207,"AAAAAF/7tws=")</f>
        <v>#VALUE!</v>
      </c>
      <c r="M430" t="e">
        <f>AND('PROG FORM COMPLEM'!P207,"AAAAAF/7tww=")</f>
        <v>#VALUE!</v>
      </c>
      <c r="N430" t="e">
        <f>AND('PROG FORM COMPLEM'!Q207,"AAAAAF/7tw0=")</f>
        <v>#VALUE!</v>
      </c>
      <c r="O430" t="e">
        <f>AND('PROG FORM COMPLEM'!R207,"AAAAAF/7tw4=")</f>
        <v>#VALUE!</v>
      </c>
      <c r="P430" t="e">
        <f>AND('PROG FORM COMPLEM'!S207,"AAAAAF/7tw8=")</f>
        <v>#VALUE!</v>
      </c>
      <c r="Q430" t="e">
        <f>AND('PROG FORM COMPLEM'!T207,"AAAAAF/7txA=")</f>
        <v>#VALUE!</v>
      </c>
      <c r="R430" t="e">
        <f>AND('PROG FORM COMPLEM'!U207,"AAAAAF/7txE=")</f>
        <v>#VALUE!</v>
      </c>
      <c r="S430" t="e">
        <f>AND('PROG FORM COMPLEM'!V207,"AAAAAF/7txI=")</f>
        <v>#VALUE!</v>
      </c>
      <c r="T430" t="e">
        <f>AND('PROG FORM COMPLEM'!W207,"AAAAAF/7txM=")</f>
        <v>#VALUE!</v>
      </c>
      <c r="U430">
        <f>IF('PROG FORM COMPLEM'!213:213,"AAAAAF/7txQ=",0)</f>
        <v>0</v>
      </c>
      <c r="V430" t="e">
        <f>AND('PROG FORM COMPLEM'!B213,"AAAAAF/7txU=")</f>
        <v>#VALUE!</v>
      </c>
      <c r="W430" t="e">
        <f>AND('PROG FORM COMPLEM'!C213,"AAAAAF/7txY=")</f>
        <v>#VALUE!</v>
      </c>
      <c r="X430" t="e">
        <f>AND('PROG FORM COMPLEM'!D213,"AAAAAF/7txc=")</f>
        <v>#VALUE!</v>
      </c>
      <c r="Y430" t="e">
        <f>AND('PROG FORM COMPLEM'!E213,"AAAAAF/7txg=")</f>
        <v>#VALUE!</v>
      </c>
      <c r="Z430" t="e">
        <f>AND('PROG FORM COMPLEM'!F213,"AAAAAF/7txk=")</f>
        <v>#VALUE!</v>
      </c>
      <c r="AA430" t="e">
        <f>AND('PROG FORM COMPLEM'!G213,"AAAAAF/7txo=")</f>
        <v>#VALUE!</v>
      </c>
      <c r="AB430" t="e">
        <f>AND('PROG FORM COMPLEM'!H213,"AAAAAF/7txs=")</f>
        <v>#VALUE!</v>
      </c>
      <c r="AC430" t="e">
        <f>AND('PROG FORM COMPLEM'!I213,"AAAAAF/7txw=")</f>
        <v>#VALUE!</v>
      </c>
      <c r="AD430" t="e">
        <f>AND('PROG FORM COMPLEM'!J213,"AAAAAF/7tx0=")</f>
        <v>#VALUE!</v>
      </c>
      <c r="AE430" t="e">
        <f>AND('PROG FORM COMPLEM'!K213,"AAAAAF/7tx4=")</f>
        <v>#VALUE!</v>
      </c>
      <c r="AF430" t="e">
        <f>AND('PROG FORM COMPLEM'!L213,"AAAAAF/7tx8=")</f>
        <v>#VALUE!</v>
      </c>
      <c r="AG430" t="e">
        <f>AND('PROG FORM COMPLEM'!M213,"AAAAAF/7tyA=")</f>
        <v>#VALUE!</v>
      </c>
      <c r="AH430" t="e">
        <f>AND('PROG FORM COMPLEM'!N213,"AAAAAF/7tyE=")</f>
        <v>#VALUE!</v>
      </c>
      <c r="AI430" t="e">
        <f>AND('PROG FORM COMPLEM'!O213,"AAAAAF/7tyI=")</f>
        <v>#VALUE!</v>
      </c>
      <c r="AJ430" t="e">
        <f>AND('PROG FORM COMPLEM'!P213,"AAAAAF/7tyM=")</f>
        <v>#VALUE!</v>
      </c>
      <c r="AK430" t="e">
        <f>AND('PROG FORM COMPLEM'!Q213,"AAAAAF/7tyQ=")</f>
        <v>#VALUE!</v>
      </c>
      <c r="AL430" t="e">
        <f>AND('PROG FORM COMPLEM'!R213,"AAAAAF/7tyU=")</f>
        <v>#VALUE!</v>
      </c>
      <c r="AM430" t="e">
        <f>AND('PROG FORM COMPLEM'!S213,"AAAAAF/7tyY=")</f>
        <v>#VALUE!</v>
      </c>
      <c r="AN430" t="e">
        <f>AND('PROG FORM COMPLEM'!T213,"AAAAAF/7tyc=")</f>
        <v>#VALUE!</v>
      </c>
      <c r="AO430" t="e">
        <f>AND('PROG FORM COMPLEM'!U213,"AAAAAF/7tyg=")</f>
        <v>#VALUE!</v>
      </c>
      <c r="AP430" t="e">
        <f>AND('PROG FORM COMPLEM'!V213,"AAAAAF/7tyk=")</f>
        <v>#VALUE!</v>
      </c>
      <c r="AQ430" t="e">
        <f>AND('PROG FORM COMPLEM'!W213,"AAAAAF/7tyo=")</f>
        <v>#VALUE!</v>
      </c>
      <c r="AR430">
        <f>IF('PROG FORM COMPLEM'!225:225,"AAAAAF/7tys=",0)</f>
        <v>0</v>
      </c>
      <c r="AS430" t="e">
        <f>AND('PROG FORM COMPLEM'!B225,"AAAAAF/7tyw=")</f>
        <v>#VALUE!</v>
      </c>
      <c r="AT430" t="e">
        <f>AND('PROG FORM COMPLEM'!C225,"AAAAAF/7ty0=")</f>
        <v>#VALUE!</v>
      </c>
      <c r="AU430" t="e">
        <f>AND('PROG FORM COMPLEM'!D225,"AAAAAF/7ty4=")</f>
        <v>#VALUE!</v>
      </c>
      <c r="AV430" t="e">
        <f>AND('PROG FORM COMPLEM'!E225,"AAAAAF/7ty8=")</f>
        <v>#VALUE!</v>
      </c>
      <c r="AW430" t="e">
        <f>AND('PROG FORM COMPLEM'!F225,"AAAAAF/7tzA=")</f>
        <v>#VALUE!</v>
      </c>
      <c r="AX430" t="e">
        <f>AND('PROG FORM COMPLEM'!G225,"AAAAAF/7tzE=")</f>
        <v>#VALUE!</v>
      </c>
      <c r="AY430" t="e">
        <f>AND('PROG FORM COMPLEM'!H225,"AAAAAF/7tzI=")</f>
        <v>#VALUE!</v>
      </c>
      <c r="AZ430" t="e">
        <f>AND('PROG FORM COMPLEM'!I225,"AAAAAF/7tzM=")</f>
        <v>#VALUE!</v>
      </c>
      <c r="BA430" t="e">
        <f>AND('PROG FORM COMPLEM'!J225,"AAAAAF/7tzQ=")</f>
        <v>#VALUE!</v>
      </c>
      <c r="BB430" t="e">
        <f>AND('PROG FORM COMPLEM'!K225,"AAAAAF/7tzU=")</f>
        <v>#VALUE!</v>
      </c>
      <c r="BC430" t="e">
        <f>AND('PROG FORM COMPLEM'!L225,"AAAAAF/7tzY=")</f>
        <v>#VALUE!</v>
      </c>
      <c r="BD430" t="e">
        <f>AND('PROG FORM COMPLEM'!M225,"AAAAAF/7tzc=")</f>
        <v>#VALUE!</v>
      </c>
      <c r="BE430" t="e">
        <f>AND('PROG FORM COMPLEM'!N225,"AAAAAF/7tzg=")</f>
        <v>#VALUE!</v>
      </c>
      <c r="BF430" t="e">
        <f>AND('PROG FORM COMPLEM'!O225,"AAAAAF/7tzk=")</f>
        <v>#VALUE!</v>
      </c>
      <c r="BG430" t="e">
        <f>AND('PROG FORM COMPLEM'!P225,"AAAAAF/7tzo=")</f>
        <v>#VALUE!</v>
      </c>
      <c r="BH430" t="e">
        <f>AND('PROG FORM COMPLEM'!Q225,"AAAAAF/7tzs=")</f>
        <v>#VALUE!</v>
      </c>
      <c r="BI430" t="e">
        <f>AND('PROG FORM COMPLEM'!R225,"AAAAAF/7tzw=")</f>
        <v>#VALUE!</v>
      </c>
      <c r="BJ430" t="e">
        <f>AND('PROG FORM COMPLEM'!S225,"AAAAAF/7tz0=")</f>
        <v>#VALUE!</v>
      </c>
      <c r="BK430" t="e">
        <f>AND('PROG FORM COMPLEM'!T225,"AAAAAF/7tz4=")</f>
        <v>#VALUE!</v>
      </c>
      <c r="BL430" t="e">
        <f>AND('PROG FORM COMPLEM'!U225,"AAAAAF/7tz8=")</f>
        <v>#VALUE!</v>
      </c>
      <c r="BM430" t="e">
        <f>AND('PROG FORM COMPLEM'!V225,"AAAAAF/7t0A=")</f>
        <v>#VALUE!</v>
      </c>
      <c r="BN430" t="e">
        <f>AND('PROG FORM COMPLEM'!W225,"AAAAAF/7t0E=")</f>
        <v>#VALUE!</v>
      </c>
      <c r="BO430">
        <f>IF('PROG FORM COMPLEM'!226:226,"AAAAAF/7t0I=",0)</f>
        <v>0</v>
      </c>
      <c r="BP430" t="e">
        <f>AND('PROG FORM COMPLEM'!B226,"AAAAAF/7t0M=")</f>
        <v>#VALUE!</v>
      </c>
      <c r="BQ430" t="e">
        <f>AND('PROG FORM COMPLEM'!C226,"AAAAAF/7t0Q=")</f>
        <v>#VALUE!</v>
      </c>
      <c r="BR430" t="e">
        <f>AND('PROG FORM COMPLEM'!D226,"AAAAAF/7t0U=")</f>
        <v>#VALUE!</v>
      </c>
      <c r="BS430" t="e">
        <f>AND('PROG FORM COMPLEM'!E226,"AAAAAF/7t0Y=")</f>
        <v>#VALUE!</v>
      </c>
      <c r="BT430" t="e">
        <f>AND('PROG FORM COMPLEM'!F226,"AAAAAF/7t0c=")</f>
        <v>#VALUE!</v>
      </c>
      <c r="BU430" t="e">
        <f>AND('PROG FORM COMPLEM'!G226,"AAAAAF/7t0g=")</f>
        <v>#VALUE!</v>
      </c>
      <c r="BV430" t="e">
        <f>AND('PROG FORM COMPLEM'!H226,"AAAAAF/7t0k=")</f>
        <v>#VALUE!</v>
      </c>
      <c r="BW430" t="e">
        <f>AND('PROG FORM COMPLEM'!I226,"AAAAAF/7t0o=")</f>
        <v>#VALUE!</v>
      </c>
      <c r="BX430" t="e">
        <f>AND('PROG FORM COMPLEM'!J226,"AAAAAF/7t0s=")</f>
        <v>#VALUE!</v>
      </c>
      <c r="BY430" t="e">
        <f>AND('PROG FORM COMPLEM'!K226,"AAAAAF/7t0w=")</f>
        <v>#VALUE!</v>
      </c>
      <c r="BZ430" t="e">
        <f>AND('PROG FORM COMPLEM'!L226,"AAAAAF/7t00=")</f>
        <v>#VALUE!</v>
      </c>
      <c r="CA430" t="e">
        <f>AND('PROG FORM COMPLEM'!M226,"AAAAAF/7t04=")</f>
        <v>#VALUE!</v>
      </c>
      <c r="CB430" t="e">
        <f>AND('PROG FORM COMPLEM'!N226,"AAAAAF/7t08=")</f>
        <v>#VALUE!</v>
      </c>
      <c r="CC430" t="e">
        <f>AND('PROG FORM COMPLEM'!O226,"AAAAAF/7t1A=")</f>
        <v>#VALUE!</v>
      </c>
      <c r="CD430" t="e">
        <f>AND('PROG FORM COMPLEM'!P226,"AAAAAF/7t1E=")</f>
        <v>#VALUE!</v>
      </c>
      <c r="CE430" t="e">
        <f>AND('PROG FORM COMPLEM'!Q226,"AAAAAF/7t1I=")</f>
        <v>#VALUE!</v>
      </c>
      <c r="CF430" t="e">
        <f>AND('PROG FORM COMPLEM'!R226,"AAAAAF/7t1M=")</f>
        <v>#VALUE!</v>
      </c>
      <c r="CG430" t="e">
        <f>AND('PROG FORM COMPLEM'!S226,"AAAAAF/7t1Q=")</f>
        <v>#VALUE!</v>
      </c>
      <c r="CH430" t="e">
        <f>AND('PROG FORM COMPLEM'!T226,"AAAAAF/7t1U=")</f>
        <v>#VALUE!</v>
      </c>
      <c r="CI430" t="e">
        <f>AND('PROG FORM COMPLEM'!U226,"AAAAAF/7t1Y=")</f>
        <v>#VALUE!</v>
      </c>
      <c r="CJ430" t="e">
        <f>AND('PROG FORM COMPLEM'!V226,"AAAAAF/7t1c=")</f>
        <v>#VALUE!</v>
      </c>
      <c r="CK430" t="e">
        <f>AND('PROG FORM COMPLEM'!W226,"AAAAAF/7t1g=")</f>
        <v>#VALUE!</v>
      </c>
      <c r="CL430" t="e">
        <f>AND(#REF!,"AAAAAF/7t1k=")</f>
        <v>#REF!</v>
      </c>
      <c r="CM430" t="e">
        <f>AND(#REF!,"AAAAAF/7t1o=")</f>
        <v>#REF!</v>
      </c>
      <c r="CN430" t="e">
        <f>AND(#REF!,"AAAAAF/7t1s=")</f>
        <v>#REF!</v>
      </c>
      <c r="CO430">
        <f>IF('OTRAS ACCIONES'!19:19,"AAAAAF/7t1w=",0)</f>
        <v>0</v>
      </c>
      <c r="CP430" t="e">
        <f>AND('OTRAS ACCIONES'!B19,"AAAAAF/7t10=")</f>
        <v>#VALUE!</v>
      </c>
      <c r="CQ430" t="e">
        <f>AND('OTRAS ACCIONES'!C19,"AAAAAF/7t14=")</f>
        <v>#VALUE!</v>
      </c>
      <c r="CR430" t="e">
        <f>AND('OTRAS ACCIONES'!D19,"AAAAAF/7t18=")</f>
        <v>#VALUE!</v>
      </c>
      <c r="CS430" t="e">
        <f>AND('OTRAS ACCIONES'!E19,"AAAAAF/7t2A=")</f>
        <v>#VALUE!</v>
      </c>
      <c r="CT430" t="e">
        <f>AND('OTRAS ACCIONES'!F19,"AAAAAF/7t2E=")</f>
        <v>#VALUE!</v>
      </c>
      <c r="CU430" t="e">
        <f>AND('OTRAS ACCIONES'!G19,"AAAAAF/7t2I=")</f>
        <v>#VALUE!</v>
      </c>
      <c r="CV430" t="e">
        <f>AND('OTRAS ACCIONES'!H19,"AAAAAF/7t2M=")</f>
        <v>#VALUE!</v>
      </c>
      <c r="CW430" t="e">
        <f>AND('OTRAS ACCIONES'!I19,"AAAAAF/7t2Q=")</f>
        <v>#VALUE!</v>
      </c>
      <c r="CX430" t="e">
        <f>AND('OTRAS ACCIONES'!J19,"AAAAAF/7t2U=")</f>
        <v>#VALUE!</v>
      </c>
      <c r="CY430" t="e">
        <f>AND('OTRAS ACCIONES'!K19,"AAAAAF/7t2Y=")</f>
        <v>#VALUE!</v>
      </c>
      <c r="CZ430" t="e">
        <f>AND('OTRAS ACCIONES'!L19,"AAAAAF/7t2c=")</f>
        <v>#VALUE!</v>
      </c>
      <c r="DA430" t="e">
        <f>AND('OTRAS ACCIONES'!M19,"AAAAAF/7t2g=")</f>
        <v>#VALUE!</v>
      </c>
      <c r="DB430" t="e">
        <f>AND('OTRAS ACCIONES'!N19,"AAAAAF/7t2k=")</f>
        <v>#VALUE!</v>
      </c>
      <c r="DC430" t="e">
        <f>AND('OTRAS ACCIONES'!O19,"AAAAAF/7t2o=")</f>
        <v>#VALUE!</v>
      </c>
      <c r="DD430" t="e">
        <f>AND('OTRAS ACCIONES'!P19,"AAAAAF/7t2s=")</f>
        <v>#VALUE!</v>
      </c>
      <c r="DE430" t="e">
        <f>AND('OTRAS ACCIONES'!Q19,"AAAAAF/7t2w=")</f>
        <v>#VALUE!</v>
      </c>
      <c r="DF430" t="e">
        <f>AND('OTRAS ACCIONES'!R19,"AAAAAF/7t20=")</f>
        <v>#VALUE!</v>
      </c>
      <c r="DG430">
        <f>IF('OTRAS ACCIONES'!77:77,"AAAAAF/7t24=",0)</f>
        <v>0</v>
      </c>
      <c r="DH430" t="e">
        <f>AND('OTRAS ACCIONES'!B77,"AAAAAF/7t28=")</f>
        <v>#VALUE!</v>
      </c>
      <c r="DI430" t="e">
        <f>AND('OTRAS ACCIONES'!C77,"AAAAAF/7t3A=")</f>
        <v>#VALUE!</v>
      </c>
      <c r="DJ430" t="e">
        <f>AND('OTRAS ACCIONES'!D77,"AAAAAF/7t3E=")</f>
        <v>#VALUE!</v>
      </c>
      <c r="DK430" t="e">
        <f>AND('OTRAS ACCIONES'!E77,"AAAAAF/7t3I=")</f>
        <v>#VALUE!</v>
      </c>
      <c r="DL430" t="e">
        <f>AND('OTRAS ACCIONES'!F77,"AAAAAF/7t3M=")</f>
        <v>#VALUE!</v>
      </c>
      <c r="DM430" t="e">
        <f>AND('OTRAS ACCIONES'!G77,"AAAAAF/7t3Q=")</f>
        <v>#VALUE!</v>
      </c>
      <c r="DN430" t="e">
        <f>AND('OTRAS ACCIONES'!H77,"AAAAAF/7t3U=")</f>
        <v>#VALUE!</v>
      </c>
      <c r="DO430" t="e">
        <f>AND('OTRAS ACCIONES'!I77,"AAAAAF/7t3Y=")</f>
        <v>#VALUE!</v>
      </c>
      <c r="DP430" t="e">
        <f>AND('OTRAS ACCIONES'!J77,"AAAAAF/7t3c=")</f>
        <v>#VALUE!</v>
      </c>
      <c r="DQ430" t="e">
        <f>AND('OTRAS ACCIONES'!K77,"AAAAAF/7t3g=")</f>
        <v>#VALUE!</v>
      </c>
      <c r="DR430" t="e">
        <f>AND('OTRAS ACCIONES'!L77,"AAAAAF/7t3k=")</f>
        <v>#VALUE!</v>
      </c>
      <c r="DS430" t="e">
        <f>AND('OTRAS ACCIONES'!M77,"AAAAAF/7t3o=")</f>
        <v>#VALUE!</v>
      </c>
      <c r="DT430" t="e">
        <f>AND('OTRAS ACCIONES'!N77,"AAAAAF/7t3s=")</f>
        <v>#VALUE!</v>
      </c>
      <c r="DU430" t="e">
        <f>AND('OTRAS ACCIONES'!O77,"AAAAAF/7t3w=")</f>
        <v>#VALUE!</v>
      </c>
      <c r="DV430" t="e">
        <f>AND('OTRAS ACCIONES'!P77,"AAAAAF/7t30=")</f>
        <v>#VALUE!</v>
      </c>
      <c r="DW430" t="e">
        <f>AND('OTRAS ACCIONES'!Q77,"AAAAAF/7t34=")</f>
        <v>#VALUE!</v>
      </c>
      <c r="DX430" t="e">
        <f>AND('OTRAS ACCIONES'!R77,"AAAAAF/7t38=")</f>
        <v>#VALUE!</v>
      </c>
      <c r="DY430">
        <f>IF('OTRAS ACCIONES'!78:78,"AAAAAF/7t4A=",0)</f>
        <v>0</v>
      </c>
      <c r="DZ430" t="e">
        <f>AND('OTRAS ACCIONES'!B78,"AAAAAF/7t4E=")</f>
        <v>#VALUE!</v>
      </c>
      <c r="EA430" t="e">
        <f>AND('OTRAS ACCIONES'!C78,"AAAAAF/7t4I=")</f>
        <v>#VALUE!</v>
      </c>
      <c r="EB430" t="e">
        <f>AND('OTRAS ACCIONES'!D78,"AAAAAF/7t4M=")</f>
        <v>#VALUE!</v>
      </c>
      <c r="EC430" t="e">
        <f>AND('OTRAS ACCIONES'!E78,"AAAAAF/7t4Q=")</f>
        <v>#VALUE!</v>
      </c>
      <c r="ED430" t="e">
        <f>AND('OTRAS ACCIONES'!F78,"AAAAAF/7t4U=")</f>
        <v>#VALUE!</v>
      </c>
      <c r="EE430" t="e">
        <f>AND('OTRAS ACCIONES'!G78,"AAAAAF/7t4Y=")</f>
        <v>#VALUE!</v>
      </c>
      <c r="EF430" t="e">
        <f>AND('OTRAS ACCIONES'!H78,"AAAAAF/7t4c=")</f>
        <v>#VALUE!</v>
      </c>
      <c r="EG430" t="e">
        <f>AND('OTRAS ACCIONES'!I78,"AAAAAF/7t4g=")</f>
        <v>#VALUE!</v>
      </c>
      <c r="EH430" t="e">
        <f>AND('OTRAS ACCIONES'!J78,"AAAAAF/7t4k=")</f>
        <v>#VALUE!</v>
      </c>
      <c r="EI430" t="e">
        <f>AND('OTRAS ACCIONES'!K78,"AAAAAF/7t4o=")</f>
        <v>#VALUE!</v>
      </c>
      <c r="EJ430" t="e">
        <f>AND('OTRAS ACCIONES'!L78,"AAAAAF/7t4s=")</f>
        <v>#VALUE!</v>
      </c>
      <c r="EK430" t="e">
        <f>AND('OTRAS ACCIONES'!M78,"AAAAAF/7t4w=")</f>
        <v>#VALUE!</v>
      </c>
      <c r="EL430" t="e">
        <f>AND('OTRAS ACCIONES'!N78,"AAAAAF/7t40=")</f>
        <v>#VALUE!</v>
      </c>
      <c r="EM430" t="e">
        <f>AND('OTRAS ACCIONES'!O78,"AAAAAF/7t44=")</f>
        <v>#VALUE!</v>
      </c>
      <c r="EN430" t="e">
        <f>AND('OTRAS ACCIONES'!P78,"AAAAAF/7t48=")</f>
        <v>#VALUE!</v>
      </c>
      <c r="EO430" t="e">
        <f>AND('OTRAS ACCIONES'!Q78,"AAAAAF/7t5A=")</f>
        <v>#VALUE!</v>
      </c>
      <c r="EP430" t="e">
        <f>AND('OTRAS ACCIONES'!R78,"AAAAAF/7t5E=")</f>
        <v>#VALUE!</v>
      </c>
      <c r="EQ430">
        <f>IF('OTRAS ACCIONES'!79:79,"AAAAAF/7t5I=",0)</f>
        <v>0</v>
      </c>
      <c r="ER430" t="e">
        <f>AND('OTRAS ACCIONES'!B79,"AAAAAF/7t5M=")</f>
        <v>#VALUE!</v>
      </c>
      <c r="ES430" t="e">
        <f>AND('OTRAS ACCIONES'!C79,"AAAAAF/7t5Q=")</f>
        <v>#VALUE!</v>
      </c>
      <c r="ET430" t="e">
        <f>AND('OTRAS ACCIONES'!D79,"AAAAAF/7t5U=")</f>
        <v>#VALUE!</v>
      </c>
      <c r="EU430" t="e">
        <f>AND('OTRAS ACCIONES'!E79,"AAAAAF/7t5Y=")</f>
        <v>#VALUE!</v>
      </c>
      <c r="EV430" t="e">
        <f>AND('OTRAS ACCIONES'!F79,"AAAAAF/7t5c=")</f>
        <v>#VALUE!</v>
      </c>
      <c r="EW430" t="e">
        <f>AND('OTRAS ACCIONES'!G79,"AAAAAF/7t5g=")</f>
        <v>#VALUE!</v>
      </c>
      <c r="EX430" t="e">
        <f>AND('OTRAS ACCIONES'!H79,"AAAAAF/7t5k=")</f>
        <v>#VALUE!</v>
      </c>
      <c r="EY430" t="e">
        <f>AND('OTRAS ACCIONES'!I79,"AAAAAF/7t5o=")</f>
        <v>#VALUE!</v>
      </c>
      <c r="EZ430" t="e">
        <f>AND('OTRAS ACCIONES'!J79,"AAAAAF/7t5s=")</f>
        <v>#VALUE!</v>
      </c>
      <c r="FA430" t="e">
        <f>AND('OTRAS ACCIONES'!K79,"AAAAAF/7t5w=")</f>
        <v>#VALUE!</v>
      </c>
      <c r="FB430" t="e">
        <f>AND('OTRAS ACCIONES'!L79,"AAAAAF/7t50=")</f>
        <v>#VALUE!</v>
      </c>
      <c r="FC430" t="e">
        <f>AND('OTRAS ACCIONES'!M79,"AAAAAF/7t54=")</f>
        <v>#VALUE!</v>
      </c>
      <c r="FD430" t="e">
        <f>AND('OTRAS ACCIONES'!N79,"AAAAAF/7t58=")</f>
        <v>#VALUE!</v>
      </c>
      <c r="FE430" t="e">
        <f>AND('OTRAS ACCIONES'!O79,"AAAAAF/7t6A=")</f>
        <v>#VALUE!</v>
      </c>
      <c r="FF430" t="e">
        <f>AND('OTRAS ACCIONES'!P79,"AAAAAF/7t6E=")</f>
        <v>#VALUE!</v>
      </c>
      <c r="FG430" t="e">
        <f>AND('OTRAS ACCIONES'!Q79,"AAAAAF/7t6I=")</f>
        <v>#VALUE!</v>
      </c>
      <c r="FH430" t="e">
        <f>AND('OTRAS ACCIONES'!R79,"AAAAAF/7t6M=")</f>
        <v>#VALUE!</v>
      </c>
      <c r="FI430">
        <f>IF('OTRAS ACCIONES'!80:80,"AAAAAF/7t6Q=",0)</f>
        <v>0</v>
      </c>
      <c r="FJ430" t="e">
        <f>AND('OTRAS ACCIONES'!B80,"AAAAAF/7t6U=")</f>
        <v>#VALUE!</v>
      </c>
      <c r="FK430" t="e">
        <f>AND('OTRAS ACCIONES'!C80,"AAAAAF/7t6Y=")</f>
        <v>#VALUE!</v>
      </c>
      <c r="FL430" t="e">
        <f>AND('OTRAS ACCIONES'!D80,"AAAAAF/7t6c=")</f>
        <v>#VALUE!</v>
      </c>
      <c r="FM430" t="e">
        <f>AND('OTRAS ACCIONES'!E80,"AAAAAF/7t6g=")</f>
        <v>#VALUE!</v>
      </c>
      <c r="FN430" t="e">
        <f>AND('OTRAS ACCIONES'!F80,"AAAAAF/7t6k=")</f>
        <v>#VALUE!</v>
      </c>
      <c r="FO430" t="e">
        <f>AND('OTRAS ACCIONES'!G80,"AAAAAF/7t6o=")</f>
        <v>#VALUE!</v>
      </c>
      <c r="FP430" t="e">
        <f>AND('OTRAS ACCIONES'!H80,"AAAAAF/7t6s=")</f>
        <v>#VALUE!</v>
      </c>
      <c r="FQ430" t="e">
        <f>AND('OTRAS ACCIONES'!I80,"AAAAAF/7t6w=")</f>
        <v>#VALUE!</v>
      </c>
      <c r="FR430" t="e">
        <f>AND('OTRAS ACCIONES'!J80,"AAAAAF/7t60=")</f>
        <v>#VALUE!</v>
      </c>
      <c r="FS430" t="e">
        <f>AND('OTRAS ACCIONES'!K80,"AAAAAF/7t64=")</f>
        <v>#VALUE!</v>
      </c>
      <c r="FT430" t="e">
        <f>AND('OTRAS ACCIONES'!L80,"AAAAAF/7t68=")</f>
        <v>#VALUE!</v>
      </c>
      <c r="FU430" t="e">
        <f>AND('OTRAS ACCIONES'!M80,"AAAAAF/7t7A=")</f>
        <v>#VALUE!</v>
      </c>
      <c r="FV430" t="e">
        <f>AND('OTRAS ACCIONES'!N80,"AAAAAF/7t7E=")</f>
        <v>#VALUE!</v>
      </c>
      <c r="FW430" t="e">
        <f>AND('OTRAS ACCIONES'!O80,"AAAAAF/7t7I=")</f>
        <v>#VALUE!</v>
      </c>
      <c r="FX430" t="e">
        <f>AND('OTRAS ACCIONES'!P80,"AAAAAF/7t7M=")</f>
        <v>#VALUE!</v>
      </c>
      <c r="FY430" t="e">
        <f>AND('OTRAS ACCIONES'!Q80,"AAAAAF/7t7Q=")</f>
        <v>#VALUE!</v>
      </c>
      <c r="FZ430" t="e">
        <f>AND('OTRAS ACCIONES'!R80,"AAAAAF/7t7U=")</f>
        <v>#VALUE!</v>
      </c>
      <c r="GA430">
        <f>IF('OTRAS ACCIONES'!81:81,"AAAAAF/7t7Y=",0)</f>
        <v>0</v>
      </c>
      <c r="GB430" t="e">
        <f>AND('OTRAS ACCIONES'!B81,"AAAAAF/7t7c=")</f>
        <v>#VALUE!</v>
      </c>
      <c r="GC430" t="e">
        <f>AND('OTRAS ACCIONES'!C81,"AAAAAF/7t7g=")</f>
        <v>#VALUE!</v>
      </c>
      <c r="GD430" t="e">
        <f>AND('OTRAS ACCIONES'!D81,"AAAAAF/7t7k=")</f>
        <v>#VALUE!</v>
      </c>
      <c r="GE430" t="e">
        <f>AND('OTRAS ACCIONES'!E81,"AAAAAF/7t7o=")</f>
        <v>#VALUE!</v>
      </c>
      <c r="GF430" t="e">
        <f>AND('OTRAS ACCIONES'!F81,"AAAAAF/7t7s=")</f>
        <v>#VALUE!</v>
      </c>
      <c r="GG430" t="e">
        <f>AND('OTRAS ACCIONES'!G81,"AAAAAF/7t7w=")</f>
        <v>#VALUE!</v>
      </c>
      <c r="GH430" t="e">
        <f>AND('OTRAS ACCIONES'!H81,"AAAAAF/7t70=")</f>
        <v>#VALUE!</v>
      </c>
      <c r="GI430" t="e">
        <f>AND('OTRAS ACCIONES'!I81,"AAAAAF/7t74=")</f>
        <v>#VALUE!</v>
      </c>
      <c r="GJ430" t="e">
        <f>AND('OTRAS ACCIONES'!J81,"AAAAAF/7t78=")</f>
        <v>#VALUE!</v>
      </c>
      <c r="GK430" t="e">
        <f>AND('OTRAS ACCIONES'!K81,"AAAAAF/7t8A=")</f>
        <v>#VALUE!</v>
      </c>
      <c r="GL430" t="e">
        <f>AND('OTRAS ACCIONES'!L81,"AAAAAF/7t8E=")</f>
        <v>#VALUE!</v>
      </c>
      <c r="GM430" t="e">
        <f>AND('OTRAS ACCIONES'!M81,"AAAAAF/7t8I=")</f>
        <v>#VALUE!</v>
      </c>
      <c r="GN430" t="e">
        <f>AND('OTRAS ACCIONES'!N81,"AAAAAF/7t8M=")</f>
        <v>#VALUE!</v>
      </c>
      <c r="GO430" t="e">
        <f>AND('OTRAS ACCIONES'!O81,"AAAAAF/7t8Q=")</f>
        <v>#VALUE!</v>
      </c>
      <c r="GP430" t="e">
        <f>AND('OTRAS ACCIONES'!P81,"AAAAAF/7t8U=")</f>
        <v>#VALUE!</v>
      </c>
      <c r="GQ430" t="e">
        <f>AND('OTRAS ACCIONES'!Q81,"AAAAAF/7t8Y=")</f>
        <v>#VALUE!</v>
      </c>
      <c r="GR430" t="e">
        <f>AND('OTRAS ACCIONES'!R81,"AAAAAF/7t8c=")</f>
        <v>#VALUE!</v>
      </c>
      <c r="GS430">
        <f>IF('COMPARATIVO PLAN VS PROGRAMACIO'!1:1,"AAAAAF/7t8g=",0)</f>
        <v>0</v>
      </c>
      <c r="GT430" t="e">
        <f>AND('COMPARATIVO PLAN VS PROGRAMACIO'!A1,"AAAAAF/7t8k=")</f>
        <v>#VALUE!</v>
      </c>
      <c r="GU430" t="e">
        <f>AND('COMPARATIVO PLAN VS PROGRAMACIO'!B1,"AAAAAF/7t8o=")</f>
        <v>#VALUE!</v>
      </c>
      <c r="GV430" t="e">
        <f>AND('COMPARATIVO PLAN VS PROGRAMACIO'!C1,"AAAAAF/7t8s=")</f>
        <v>#VALUE!</v>
      </c>
      <c r="GW430" t="e">
        <f>IF('COMPARATIVO PLAN VS PROGRAMACIO'!#REF!,"AAAAAF/7t8w=",0)</f>
        <v>#REF!</v>
      </c>
      <c r="GX430" t="e">
        <f>AND('COMPARATIVO PLAN VS PROGRAMACIO'!#REF!,"AAAAAF/7t80=")</f>
        <v>#REF!</v>
      </c>
      <c r="GY430" t="e">
        <f>AND('COMPARATIVO PLAN VS PROGRAMACIO'!#REF!,"AAAAAF/7t84=")</f>
        <v>#REF!</v>
      </c>
      <c r="GZ430" t="e">
        <f>AND('COMPARATIVO PLAN VS PROGRAMACIO'!#REF!,"AAAAAF/7t88=")</f>
        <v>#REF!</v>
      </c>
      <c r="HA430" t="e">
        <f>IF('COMPARATIVO PLAN VS PROGRAMACIO'!#REF!,"AAAAAF/7t9A=",0)</f>
        <v>#REF!</v>
      </c>
      <c r="HB430" t="e">
        <f>AND('COMPARATIVO PLAN VS PROGRAMACIO'!#REF!,"AAAAAF/7t9E=")</f>
        <v>#REF!</v>
      </c>
      <c r="HC430" t="e">
        <f>AND('COMPARATIVO PLAN VS PROGRAMACIO'!#REF!,"AAAAAF/7t9I=")</f>
        <v>#REF!</v>
      </c>
      <c r="HD430" t="e">
        <f>AND('COMPARATIVO PLAN VS PROGRAMACIO'!#REF!,"AAAAAF/7t9M=")</f>
        <v>#REF!</v>
      </c>
      <c r="HE430" t="e">
        <f>IF('COMPARATIVO PLAN VS PROGRAMACIO'!#REF!,"AAAAAF/7t9Q=",0)</f>
        <v>#REF!</v>
      </c>
      <c r="HF430" t="e">
        <f>AND('COMPARATIVO PLAN VS PROGRAMACIO'!#REF!,"AAAAAF/7t9U=")</f>
        <v>#REF!</v>
      </c>
      <c r="HG430" t="e">
        <f>AND('COMPARATIVO PLAN VS PROGRAMACIO'!#REF!,"AAAAAF/7t9Y=")</f>
        <v>#REF!</v>
      </c>
      <c r="HH430" t="e">
        <f>AND('COMPARATIVO PLAN VS PROGRAMACIO'!#REF!,"AAAAAF/7t9c=")</f>
        <v>#REF!</v>
      </c>
      <c r="HI430" t="e">
        <f>IF('COMPARATIVO PLAN VS PROGRAMACIO'!#REF!,"AAAAAF/7t9g=",0)</f>
        <v>#REF!</v>
      </c>
      <c r="HJ430" t="e">
        <f>AND('COMPARATIVO PLAN VS PROGRAMACIO'!#REF!,"AAAAAF/7t9k=")</f>
        <v>#REF!</v>
      </c>
      <c r="HK430" t="e">
        <f>AND('COMPARATIVO PLAN VS PROGRAMACIO'!#REF!,"AAAAAF/7t9o=")</f>
        <v>#REF!</v>
      </c>
      <c r="HL430" t="e">
        <f>AND('COMPARATIVO PLAN VS PROGRAMACIO'!#REF!,"AAAAAF/7t9s=")</f>
        <v>#REF!</v>
      </c>
      <c r="HM430" t="e">
        <f>IF('COMPARATIVO PLAN VS PROGRAMACIO'!#REF!,"AAAAAF/7t9w=",0)</f>
        <v>#REF!</v>
      </c>
      <c r="HN430" t="e">
        <f>AND('COMPARATIVO PLAN VS PROGRAMACIO'!#REF!,"AAAAAF/7t90=")</f>
        <v>#REF!</v>
      </c>
      <c r="HO430" t="e">
        <f>AND('COMPARATIVO PLAN VS PROGRAMACIO'!#REF!,"AAAAAF/7t94=")</f>
        <v>#REF!</v>
      </c>
      <c r="HP430" t="e">
        <f>AND('COMPARATIVO PLAN VS PROGRAMACIO'!#REF!,"AAAAAF/7t98=")</f>
        <v>#REF!</v>
      </c>
      <c r="HQ430" t="e">
        <f>IF('COMPARATIVO PLAN VS PROGRAMACIO'!#REF!,"AAAAAF/7t+A=",0)</f>
        <v>#REF!</v>
      </c>
      <c r="HR430" t="e">
        <f>AND('COMPARATIVO PLAN VS PROGRAMACIO'!#REF!,"AAAAAF/7t+E=")</f>
        <v>#REF!</v>
      </c>
      <c r="HS430" t="e">
        <f>AND('COMPARATIVO PLAN VS PROGRAMACIO'!#REF!,"AAAAAF/7t+I=")</f>
        <v>#REF!</v>
      </c>
      <c r="HT430" t="e">
        <f>AND('COMPARATIVO PLAN VS PROGRAMACIO'!#REF!,"AAAAAF/7t+M=")</f>
        <v>#REF!</v>
      </c>
      <c r="HU430" t="e">
        <f>IF('COMPARATIVO PLAN VS PROGRAMACIO'!#REF!,"AAAAAF/7t+Q=",0)</f>
        <v>#REF!</v>
      </c>
      <c r="HV430" t="e">
        <f>AND('COMPARATIVO PLAN VS PROGRAMACIO'!#REF!,"AAAAAF/7t+U=")</f>
        <v>#REF!</v>
      </c>
      <c r="HW430" t="e">
        <f>AND('COMPARATIVO PLAN VS PROGRAMACIO'!#REF!,"AAAAAF/7t+Y=")</f>
        <v>#REF!</v>
      </c>
      <c r="HX430" t="e">
        <f>AND('COMPARATIVO PLAN VS PROGRAMACIO'!#REF!,"AAAAAF/7t+c=")</f>
        <v>#REF!</v>
      </c>
      <c r="HY430" t="e">
        <f>IF('COMPARATIVO PLAN VS PROGRAMACIO'!#REF!,"AAAAAF/7t+g=",0)</f>
        <v>#REF!</v>
      </c>
      <c r="HZ430" t="e">
        <f>AND('COMPARATIVO PLAN VS PROGRAMACIO'!#REF!,"AAAAAF/7t+k=")</f>
        <v>#REF!</v>
      </c>
      <c r="IA430" t="e">
        <f>AND('COMPARATIVO PLAN VS PROGRAMACIO'!#REF!,"AAAAAF/7t+o=")</f>
        <v>#REF!</v>
      </c>
      <c r="IB430" t="e">
        <f>AND('COMPARATIVO PLAN VS PROGRAMACIO'!#REF!,"AAAAAF/7t+s=")</f>
        <v>#REF!</v>
      </c>
      <c r="IC430" t="e">
        <f>IF('COMPARATIVO PLAN VS PROGRAMACIO'!#REF!,"AAAAAF/7t+w=",0)</f>
        <v>#REF!</v>
      </c>
      <c r="ID430" t="e">
        <f>AND('COMPARATIVO PLAN VS PROGRAMACIO'!#REF!,"AAAAAF/7t+0=")</f>
        <v>#REF!</v>
      </c>
      <c r="IE430" t="e">
        <f>AND('COMPARATIVO PLAN VS PROGRAMACIO'!#REF!,"AAAAAF/7t+4=")</f>
        <v>#REF!</v>
      </c>
      <c r="IF430" t="e">
        <f>AND('COMPARATIVO PLAN VS PROGRAMACIO'!#REF!,"AAAAAF/7t+8=")</f>
        <v>#REF!</v>
      </c>
      <c r="IG430" t="e">
        <f>IF('COMPARATIVO PLAN VS PROGRAMACIO'!#REF!,"AAAAAF/7t/A=",0)</f>
        <v>#REF!</v>
      </c>
      <c r="IH430" t="e">
        <f>AND('COMPARATIVO PLAN VS PROGRAMACIO'!#REF!,"AAAAAF/7t/E=")</f>
        <v>#REF!</v>
      </c>
      <c r="II430" t="e">
        <f>AND('COMPARATIVO PLAN VS PROGRAMACIO'!#REF!,"AAAAAF/7t/I=")</f>
        <v>#REF!</v>
      </c>
      <c r="IJ430" t="e">
        <f>AND('COMPARATIVO PLAN VS PROGRAMACIO'!#REF!,"AAAAAF/7t/M=")</f>
        <v>#REF!</v>
      </c>
      <c r="IK430" t="e">
        <f>IF('COMPARATIVO PLAN VS PROGRAMACIO'!#REF!,"AAAAAF/7t/Q=",0)</f>
        <v>#REF!</v>
      </c>
      <c r="IL430" t="e">
        <f>AND('COMPARATIVO PLAN VS PROGRAMACIO'!#REF!,"AAAAAF/7t/U=")</f>
        <v>#REF!</v>
      </c>
      <c r="IM430" t="e">
        <f>AND('COMPARATIVO PLAN VS PROGRAMACIO'!#REF!,"AAAAAF/7t/Y=")</f>
        <v>#REF!</v>
      </c>
      <c r="IN430" t="e">
        <f>AND('COMPARATIVO PLAN VS PROGRAMACIO'!#REF!,"AAAAAF/7t/c=")</f>
        <v>#REF!</v>
      </c>
      <c r="IO430" t="e">
        <f>IF('COMPARATIVO PLAN VS PROGRAMACIO'!#REF!,"AAAAAF/7t/g=",0)</f>
        <v>#REF!</v>
      </c>
      <c r="IP430" t="e">
        <f>AND('COMPARATIVO PLAN VS PROGRAMACIO'!#REF!,"AAAAAF/7t/k=")</f>
        <v>#REF!</v>
      </c>
      <c r="IQ430" t="e">
        <f>AND('COMPARATIVO PLAN VS PROGRAMACIO'!#REF!,"AAAAAF/7t/o=")</f>
        <v>#REF!</v>
      </c>
      <c r="IR430" t="e">
        <f>AND('COMPARATIVO PLAN VS PROGRAMACIO'!#REF!,"AAAAAF/7t/s=")</f>
        <v>#REF!</v>
      </c>
      <c r="IS430" t="e">
        <f>IF('COMPARATIVO PLAN VS PROGRAMACIO'!#REF!,"AAAAAF/7t/w=",0)</f>
        <v>#REF!</v>
      </c>
      <c r="IT430" t="e">
        <f>AND('COMPARATIVO PLAN VS PROGRAMACIO'!#REF!,"AAAAAF/7t/0=")</f>
        <v>#REF!</v>
      </c>
      <c r="IU430" t="e">
        <f>AND('COMPARATIVO PLAN VS PROGRAMACIO'!#REF!,"AAAAAF/7t/4=")</f>
        <v>#REF!</v>
      </c>
      <c r="IV430" t="e">
        <f>AND('COMPARATIVO PLAN VS PROGRAMACIO'!#REF!,"AAAAAF/7t/8=")</f>
        <v>#REF!</v>
      </c>
    </row>
    <row r="431" spans="1:256" x14ac:dyDescent="0.2">
      <c r="A431" t="e">
        <f>IF('COMPARATIVO PLAN VS PROGRAMACIO'!#REF!,"AAAAAGfl1wA=",0)</f>
        <v>#REF!</v>
      </c>
      <c r="B431" t="e">
        <f>AND('COMPARATIVO PLAN VS PROGRAMACIO'!#REF!,"AAAAAGfl1wE=")</f>
        <v>#REF!</v>
      </c>
      <c r="C431" t="e">
        <f>AND('COMPARATIVO PLAN VS PROGRAMACIO'!#REF!,"AAAAAGfl1wI=")</f>
        <v>#REF!</v>
      </c>
      <c r="D431" t="e">
        <f>AND('COMPARATIVO PLAN VS PROGRAMACIO'!#REF!,"AAAAAGfl1wM=")</f>
        <v>#REF!</v>
      </c>
      <c r="E431" t="e">
        <f>IF('COMPARATIVO PLAN VS PROGRAMACIO'!#REF!,"AAAAAGfl1wQ=",0)</f>
        <v>#REF!</v>
      </c>
      <c r="F431" t="e">
        <f>AND('COMPARATIVO PLAN VS PROGRAMACIO'!#REF!,"AAAAAGfl1wU=")</f>
        <v>#REF!</v>
      </c>
      <c r="G431" t="e">
        <f>AND('COMPARATIVO PLAN VS PROGRAMACIO'!#REF!,"AAAAAGfl1wY=")</f>
        <v>#REF!</v>
      </c>
      <c r="H431" t="e">
        <f>AND('COMPARATIVO PLAN VS PROGRAMACIO'!#REF!,"AAAAAGfl1wc=")</f>
        <v>#REF!</v>
      </c>
      <c r="I431" t="e">
        <f>IF('COMPARATIVO PLAN VS PROGRAMACIO'!#REF!,"AAAAAGfl1wg=",0)</f>
        <v>#REF!</v>
      </c>
      <c r="J431" t="e">
        <f>AND('COMPARATIVO PLAN VS PROGRAMACIO'!#REF!,"AAAAAGfl1wk=")</f>
        <v>#REF!</v>
      </c>
      <c r="K431" t="e">
        <f>AND('COMPARATIVO PLAN VS PROGRAMACIO'!#REF!,"AAAAAGfl1wo=")</f>
        <v>#REF!</v>
      </c>
      <c r="L431" t="e">
        <f>AND('COMPARATIVO PLAN VS PROGRAMACIO'!#REF!,"AAAAAGfl1ws=")</f>
        <v>#REF!</v>
      </c>
      <c r="M431" t="e">
        <f>IF('COMPARATIVO PLAN VS PROGRAMACIO'!#REF!,"AAAAAGfl1ww=",0)</f>
        <v>#REF!</v>
      </c>
      <c r="N431" t="e">
        <f>AND('COMPARATIVO PLAN VS PROGRAMACIO'!#REF!,"AAAAAGfl1w0=")</f>
        <v>#REF!</v>
      </c>
      <c r="O431" t="e">
        <f>AND('COMPARATIVO PLAN VS PROGRAMACIO'!#REF!,"AAAAAGfl1w4=")</f>
        <v>#REF!</v>
      </c>
      <c r="P431" t="e">
        <f>AND('COMPARATIVO PLAN VS PROGRAMACIO'!#REF!,"AAAAAGfl1w8=")</f>
        <v>#REF!</v>
      </c>
      <c r="Q431" t="e">
        <f>IF('COMPARATIVO PLAN VS PROGRAMACIO'!#REF!,"AAAAAGfl1xA=",0)</f>
        <v>#REF!</v>
      </c>
      <c r="R431" t="e">
        <f>AND('COMPARATIVO PLAN VS PROGRAMACIO'!#REF!,"AAAAAGfl1xE=")</f>
        <v>#REF!</v>
      </c>
      <c r="S431" t="e">
        <f>AND('COMPARATIVO PLAN VS PROGRAMACIO'!#REF!,"AAAAAGfl1xI=")</f>
        <v>#REF!</v>
      </c>
      <c r="T431" t="e">
        <f>AND('COMPARATIVO PLAN VS PROGRAMACIO'!#REF!,"AAAAAGfl1xM=")</f>
        <v>#REF!</v>
      </c>
      <c r="U431" t="e">
        <f>IF('COMPARATIVO PLAN VS PROGRAMACIO'!#REF!,"AAAAAGfl1xQ=",0)</f>
        <v>#REF!</v>
      </c>
      <c r="V431" t="e">
        <f>AND('COMPARATIVO PLAN VS PROGRAMACIO'!#REF!,"AAAAAGfl1xU=")</f>
        <v>#REF!</v>
      </c>
      <c r="W431" t="e">
        <f>AND('COMPARATIVO PLAN VS PROGRAMACIO'!#REF!,"AAAAAGfl1xY=")</f>
        <v>#REF!</v>
      </c>
      <c r="X431" t="e">
        <f>AND('COMPARATIVO PLAN VS PROGRAMACIO'!#REF!,"AAAAAGfl1xc=")</f>
        <v>#REF!</v>
      </c>
      <c r="Y431" t="e">
        <f>IF('COMPARATIVO PLAN VS PROGRAMACIO'!#REF!,"AAAAAGfl1xg=",0)</f>
        <v>#REF!</v>
      </c>
      <c r="Z431" t="e">
        <f>AND('COMPARATIVO PLAN VS PROGRAMACIO'!#REF!,"AAAAAGfl1xk=")</f>
        <v>#REF!</v>
      </c>
      <c r="AA431" t="e">
        <f>AND('COMPARATIVO PLAN VS PROGRAMACIO'!#REF!,"AAAAAGfl1xo=")</f>
        <v>#REF!</v>
      </c>
      <c r="AB431" t="e">
        <f>AND('COMPARATIVO PLAN VS PROGRAMACIO'!#REF!,"AAAAAGfl1xs=")</f>
        <v>#REF!</v>
      </c>
      <c r="AC431" t="e">
        <f>IF('COMPARATIVO PLAN VS PROGRAMACIO'!#REF!,"AAAAAGfl1xw=",0)</f>
        <v>#REF!</v>
      </c>
      <c r="AD431" t="e">
        <f>AND('COMPARATIVO PLAN VS PROGRAMACIO'!#REF!,"AAAAAGfl1x0=")</f>
        <v>#REF!</v>
      </c>
      <c r="AE431" t="e">
        <f>AND('COMPARATIVO PLAN VS PROGRAMACIO'!#REF!,"AAAAAGfl1x4=")</f>
        <v>#REF!</v>
      </c>
      <c r="AF431" t="e">
        <f>AND('COMPARATIVO PLAN VS PROGRAMACIO'!#REF!,"AAAAAGfl1x8=")</f>
        <v>#REF!</v>
      </c>
      <c r="AG431" t="e">
        <f>IF('COMPARATIVO PLAN VS PROGRAMACIO'!#REF!,"AAAAAGfl1yA=",0)</f>
        <v>#REF!</v>
      </c>
      <c r="AH431" t="e">
        <f>AND('COMPARATIVO PLAN VS PROGRAMACIO'!#REF!,"AAAAAGfl1yE=")</f>
        <v>#REF!</v>
      </c>
      <c r="AI431" t="e">
        <f>AND('COMPARATIVO PLAN VS PROGRAMACIO'!#REF!,"AAAAAGfl1yI=")</f>
        <v>#REF!</v>
      </c>
      <c r="AJ431" t="e">
        <f>AND('COMPARATIVO PLAN VS PROGRAMACIO'!#REF!,"AAAAAGfl1yM=")</f>
        <v>#REF!</v>
      </c>
      <c r="AK431" t="e">
        <f>IF('COMPARATIVO PLAN VS PROGRAMACIO'!#REF!,"AAAAAGfl1yQ=",0)</f>
        <v>#REF!</v>
      </c>
      <c r="AL431" t="e">
        <f>AND('COMPARATIVO PLAN VS PROGRAMACIO'!#REF!,"AAAAAGfl1yU=")</f>
        <v>#REF!</v>
      </c>
      <c r="AM431" t="e">
        <f>AND('COMPARATIVO PLAN VS PROGRAMACIO'!#REF!,"AAAAAGfl1yY=")</f>
        <v>#REF!</v>
      </c>
      <c r="AN431" t="e">
        <f>AND('COMPARATIVO PLAN VS PROGRAMACIO'!#REF!,"AAAAAGfl1yc=")</f>
        <v>#REF!</v>
      </c>
      <c r="AO431" t="e">
        <f>IF('COMPARATIVO PLAN VS PROGRAMACIO'!#REF!,"AAAAAGfl1yg=",0)</f>
        <v>#REF!</v>
      </c>
      <c r="AP431" t="e">
        <f>AND('COMPARATIVO PLAN VS PROGRAMACIO'!#REF!,"AAAAAGfl1yk=")</f>
        <v>#REF!</v>
      </c>
      <c r="AQ431" t="e">
        <f>AND('COMPARATIVO PLAN VS PROGRAMACIO'!#REF!,"AAAAAGfl1yo=")</f>
        <v>#REF!</v>
      </c>
      <c r="AR431" t="e">
        <f>AND('COMPARATIVO PLAN VS PROGRAMACIO'!#REF!,"AAAAAGfl1ys=")</f>
        <v>#REF!</v>
      </c>
      <c r="AS431" t="e">
        <f>IF('COMPARATIVO PLAN VS PROGRAMACIO'!#REF!,"AAAAAGfl1yw=",0)</f>
        <v>#REF!</v>
      </c>
      <c r="AT431" t="e">
        <f>AND('COMPARATIVO PLAN VS PROGRAMACIO'!#REF!,"AAAAAGfl1y0=")</f>
        <v>#REF!</v>
      </c>
      <c r="AU431" t="e">
        <f>AND('COMPARATIVO PLAN VS PROGRAMACIO'!#REF!,"AAAAAGfl1y4=")</f>
        <v>#REF!</v>
      </c>
      <c r="AV431" t="e">
        <f>AND('COMPARATIVO PLAN VS PROGRAMACIO'!#REF!,"AAAAAGfl1y8=")</f>
        <v>#REF!</v>
      </c>
      <c r="AW431" t="e">
        <f>IF('COMPARATIVO PLAN VS PROGRAMACIO'!#REF!,"AAAAAGfl1zA=",0)</f>
        <v>#REF!</v>
      </c>
      <c r="AX431" t="e">
        <f>AND('COMPARATIVO PLAN VS PROGRAMACIO'!#REF!,"AAAAAGfl1zE=")</f>
        <v>#REF!</v>
      </c>
      <c r="AY431" t="e">
        <f>AND('COMPARATIVO PLAN VS PROGRAMACIO'!#REF!,"AAAAAGfl1zI=")</f>
        <v>#REF!</v>
      </c>
      <c r="AZ431" t="e">
        <f>AND('COMPARATIVO PLAN VS PROGRAMACIO'!#REF!,"AAAAAGfl1zM=")</f>
        <v>#REF!</v>
      </c>
      <c r="BA431" t="e">
        <f>IF('COMPARATIVO PLAN VS PROGRAMACIO'!#REF!,"AAAAAGfl1zQ=",0)</f>
        <v>#REF!</v>
      </c>
      <c r="BB431" t="e">
        <f>AND('COMPARATIVO PLAN VS PROGRAMACIO'!#REF!,"AAAAAGfl1zU=")</f>
        <v>#REF!</v>
      </c>
      <c r="BC431" t="e">
        <f>AND('COMPARATIVO PLAN VS PROGRAMACIO'!#REF!,"AAAAAGfl1zY=")</f>
        <v>#REF!</v>
      </c>
      <c r="BD431" t="e">
        <f>AND('COMPARATIVO PLAN VS PROGRAMACIO'!#REF!,"AAAAAGfl1zc=")</f>
        <v>#REF!</v>
      </c>
      <c r="BE431" t="e">
        <f>IF('COMPARATIVO PLAN VS PROGRAMACIO'!#REF!,"AAAAAGfl1zg=",0)</f>
        <v>#REF!</v>
      </c>
      <c r="BF431" t="e">
        <f>AND('COMPARATIVO PLAN VS PROGRAMACIO'!#REF!,"AAAAAGfl1zk=")</f>
        <v>#REF!</v>
      </c>
      <c r="BG431" t="e">
        <f>AND('COMPARATIVO PLAN VS PROGRAMACIO'!#REF!,"AAAAAGfl1zo=")</f>
        <v>#REF!</v>
      </c>
      <c r="BH431" t="e">
        <f>AND('COMPARATIVO PLAN VS PROGRAMACIO'!#REF!,"AAAAAGfl1zs=")</f>
        <v>#REF!</v>
      </c>
      <c r="BI431" t="e">
        <f>IF('COMPARATIVO PLAN VS PROGRAMACIO'!#REF!,"AAAAAGfl1zw=",0)</f>
        <v>#REF!</v>
      </c>
      <c r="BJ431" t="e">
        <f>AND('COMPARATIVO PLAN VS PROGRAMACIO'!#REF!,"AAAAAGfl1z0=")</f>
        <v>#REF!</v>
      </c>
      <c r="BK431" t="e">
        <f>AND('COMPARATIVO PLAN VS PROGRAMACIO'!#REF!,"AAAAAGfl1z4=")</f>
        <v>#REF!</v>
      </c>
      <c r="BL431" t="e">
        <f>AND('COMPARATIVO PLAN VS PROGRAMACIO'!#REF!,"AAAAAGfl1z8=")</f>
        <v>#REF!</v>
      </c>
      <c r="BM431" t="e">
        <f>IF('COMPARATIVO PLAN VS PROGRAMACIO'!#REF!,"AAAAAGfl10A=",0)</f>
        <v>#REF!</v>
      </c>
      <c r="BN431" t="e">
        <f>AND('COMPARATIVO PLAN VS PROGRAMACIO'!#REF!,"AAAAAGfl10E=")</f>
        <v>#REF!</v>
      </c>
      <c r="BO431" t="e">
        <f>AND('COMPARATIVO PLAN VS PROGRAMACIO'!#REF!,"AAAAAGfl10I=")</f>
        <v>#REF!</v>
      </c>
      <c r="BP431" t="e">
        <f>AND('COMPARATIVO PLAN VS PROGRAMACIO'!#REF!,"AAAAAGfl10M=")</f>
        <v>#REF!</v>
      </c>
      <c r="BQ431" t="e">
        <f>IF('COMPARATIVO PLAN VS PROGRAMACIO'!#REF!,"AAAAAGfl10Q=",0)</f>
        <v>#REF!</v>
      </c>
      <c r="BR431" t="e">
        <f>AND('COMPARATIVO PLAN VS PROGRAMACIO'!#REF!,"AAAAAGfl10U=")</f>
        <v>#REF!</v>
      </c>
      <c r="BS431" t="e">
        <f>AND('COMPARATIVO PLAN VS PROGRAMACIO'!#REF!,"AAAAAGfl10Y=")</f>
        <v>#REF!</v>
      </c>
      <c r="BT431" t="e">
        <f>AND('COMPARATIVO PLAN VS PROGRAMACIO'!#REF!,"AAAAAGfl10c=")</f>
        <v>#REF!</v>
      </c>
      <c r="BU431" t="e">
        <f>IF('COMPARATIVO PLAN VS PROGRAMACIO'!#REF!,"AAAAAGfl10g=",0)</f>
        <v>#REF!</v>
      </c>
      <c r="BV431" t="e">
        <f>AND('COMPARATIVO PLAN VS PROGRAMACIO'!#REF!,"AAAAAGfl10k=")</f>
        <v>#REF!</v>
      </c>
      <c r="BW431" t="e">
        <f>AND('COMPARATIVO PLAN VS PROGRAMACIO'!#REF!,"AAAAAGfl10o=")</f>
        <v>#REF!</v>
      </c>
      <c r="BX431" t="e">
        <f>AND('COMPARATIVO PLAN VS PROGRAMACIO'!#REF!,"AAAAAGfl10s=")</f>
        <v>#REF!</v>
      </c>
      <c r="BY431" t="e">
        <f>IF('COMPARATIVO PLAN VS PROGRAMACIO'!#REF!,"AAAAAGfl10w=",0)</f>
        <v>#REF!</v>
      </c>
      <c r="BZ431" t="e">
        <f>AND('COMPARATIVO PLAN VS PROGRAMACIO'!#REF!,"AAAAAGfl100=")</f>
        <v>#REF!</v>
      </c>
      <c r="CA431" t="e">
        <f>AND('COMPARATIVO PLAN VS PROGRAMACIO'!#REF!,"AAAAAGfl104=")</f>
        <v>#REF!</v>
      </c>
      <c r="CB431" t="e">
        <f>AND('COMPARATIVO PLAN VS PROGRAMACIO'!#REF!,"AAAAAGfl108=")</f>
        <v>#REF!</v>
      </c>
      <c r="CC431" t="e">
        <f>IF('COMPARATIVO PLAN VS PROGRAMACIO'!#REF!,"AAAAAGfl11A=",0)</f>
        <v>#REF!</v>
      </c>
      <c r="CD431" t="e">
        <f>AND('COMPARATIVO PLAN VS PROGRAMACIO'!#REF!,"AAAAAGfl11E=")</f>
        <v>#REF!</v>
      </c>
      <c r="CE431" t="e">
        <f>AND('COMPARATIVO PLAN VS PROGRAMACIO'!#REF!,"AAAAAGfl11I=")</f>
        <v>#REF!</v>
      </c>
      <c r="CF431" t="e">
        <f>AND('COMPARATIVO PLAN VS PROGRAMACIO'!#REF!,"AAAAAGfl11M=")</f>
        <v>#REF!</v>
      </c>
      <c r="CG431" t="e">
        <f>IF('COMPARATIVO PLAN VS PROGRAMACIO'!#REF!,"AAAAAGfl11Q=",0)</f>
        <v>#REF!</v>
      </c>
      <c r="CH431" t="e">
        <f>AND('COMPARATIVO PLAN VS PROGRAMACIO'!#REF!,"AAAAAGfl11U=")</f>
        <v>#REF!</v>
      </c>
      <c r="CI431" t="e">
        <f>AND('COMPARATIVO PLAN VS PROGRAMACIO'!#REF!,"AAAAAGfl11Y=")</f>
        <v>#REF!</v>
      </c>
      <c r="CJ431" t="e">
        <f>AND('COMPARATIVO PLAN VS PROGRAMACIO'!#REF!,"AAAAAGfl11c=")</f>
        <v>#REF!</v>
      </c>
      <c r="CK431" t="e">
        <f>IF('COMPARATIVO PLAN VS PROGRAMACIO'!#REF!,"AAAAAGfl11g=",0)</f>
        <v>#REF!</v>
      </c>
      <c r="CL431" t="e">
        <f>AND('COMPARATIVO PLAN VS PROGRAMACIO'!#REF!,"AAAAAGfl11k=")</f>
        <v>#REF!</v>
      </c>
      <c r="CM431" t="e">
        <f>AND('COMPARATIVO PLAN VS PROGRAMACIO'!#REF!,"AAAAAGfl11o=")</f>
        <v>#REF!</v>
      </c>
      <c r="CN431" t="e">
        <f>AND('COMPARATIVO PLAN VS PROGRAMACIO'!#REF!,"AAAAAGfl11s=")</f>
        <v>#REF!</v>
      </c>
      <c r="CO431" t="e">
        <f>IF('COMPARATIVO PLAN VS PROGRAMACIO'!#REF!,"AAAAAGfl11w=",0)</f>
        <v>#REF!</v>
      </c>
      <c r="CP431" t="e">
        <f>AND('COMPARATIVO PLAN VS PROGRAMACIO'!#REF!,"AAAAAGfl110=")</f>
        <v>#REF!</v>
      </c>
      <c r="CQ431" t="e">
        <f>AND('COMPARATIVO PLAN VS PROGRAMACIO'!#REF!,"AAAAAGfl114=")</f>
        <v>#REF!</v>
      </c>
      <c r="CR431" t="e">
        <f>AND('COMPARATIVO PLAN VS PROGRAMACIO'!#REF!,"AAAAAGfl118=")</f>
        <v>#REF!</v>
      </c>
      <c r="CS431" t="e">
        <f>IF('COMPARATIVO PLAN VS PROGRAMACIO'!#REF!,"AAAAAGfl12A=",0)</f>
        <v>#REF!</v>
      </c>
      <c r="CT431" t="e">
        <f>AND('COMPARATIVO PLAN VS PROGRAMACIO'!#REF!,"AAAAAGfl12E=")</f>
        <v>#REF!</v>
      </c>
      <c r="CU431" t="e">
        <f>AND('COMPARATIVO PLAN VS PROGRAMACIO'!#REF!,"AAAAAGfl12I=")</f>
        <v>#REF!</v>
      </c>
      <c r="CV431" t="e">
        <f>AND('COMPARATIVO PLAN VS PROGRAMACIO'!#REF!,"AAAAAGfl12M=")</f>
        <v>#REF!</v>
      </c>
      <c r="CW431" t="e">
        <f>IF('COMPARATIVO PLAN VS PROGRAMACIO'!#REF!,"AAAAAGfl12Q=",0)</f>
        <v>#REF!</v>
      </c>
      <c r="CX431" t="e">
        <f>AND('COMPARATIVO PLAN VS PROGRAMACIO'!#REF!,"AAAAAGfl12U=")</f>
        <v>#REF!</v>
      </c>
      <c r="CY431" t="e">
        <f>AND('COMPARATIVO PLAN VS PROGRAMACIO'!#REF!,"AAAAAGfl12Y=")</f>
        <v>#REF!</v>
      </c>
      <c r="CZ431" t="e">
        <f>AND('COMPARATIVO PLAN VS PROGRAMACIO'!#REF!,"AAAAAGfl12c=")</f>
        <v>#REF!</v>
      </c>
      <c r="DA431" t="e">
        <f>IF('COMPARATIVO PLAN VS PROGRAMACIO'!#REF!,"AAAAAGfl12g=",0)</f>
        <v>#REF!</v>
      </c>
      <c r="DB431" t="e">
        <f>AND('COMPARATIVO PLAN VS PROGRAMACIO'!#REF!,"AAAAAGfl12k=")</f>
        <v>#REF!</v>
      </c>
      <c r="DC431" t="e">
        <f>AND('COMPARATIVO PLAN VS PROGRAMACIO'!#REF!,"AAAAAGfl12o=")</f>
        <v>#REF!</v>
      </c>
      <c r="DD431" t="e">
        <f>AND('COMPARATIVO PLAN VS PROGRAMACIO'!#REF!,"AAAAAGfl12s=")</f>
        <v>#REF!</v>
      </c>
      <c r="DE431" t="e">
        <f>IF('COMPARATIVO PLAN VS PROGRAMACIO'!#REF!,"AAAAAGfl12w=",0)</f>
        <v>#REF!</v>
      </c>
      <c r="DF431" t="e">
        <f>AND('COMPARATIVO PLAN VS PROGRAMACIO'!#REF!,"AAAAAGfl120=")</f>
        <v>#REF!</v>
      </c>
      <c r="DG431" t="e">
        <f>AND('COMPARATIVO PLAN VS PROGRAMACIO'!#REF!,"AAAAAGfl124=")</f>
        <v>#REF!</v>
      </c>
      <c r="DH431" t="e">
        <f>AND('COMPARATIVO PLAN VS PROGRAMACIO'!#REF!,"AAAAAGfl128=")</f>
        <v>#REF!</v>
      </c>
      <c r="DI431" t="e">
        <f>IF('COMPARATIVO PLAN VS PROGRAMACIO'!#REF!,"AAAAAGfl13A=",0)</f>
        <v>#REF!</v>
      </c>
      <c r="DJ431" t="e">
        <f>AND('COMPARATIVO PLAN VS PROGRAMACIO'!#REF!,"AAAAAGfl13E=")</f>
        <v>#REF!</v>
      </c>
      <c r="DK431" t="e">
        <f>AND('COMPARATIVO PLAN VS PROGRAMACIO'!#REF!,"AAAAAGfl13I=")</f>
        <v>#REF!</v>
      </c>
      <c r="DL431" t="e">
        <f>AND('COMPARATIVO PLAN VS PROGRAMACIO'!#REF!,"AAAAAGfl13M=")</f>
        <v>#REF!</v>
      </c>
      <c r="DM431" t="e">
        <f>IF('COMPARATIVO PLAN VS PROGRAMACIO'!#REF!,"AAAAAGfl13Q=",0)</f>
        <v>#REF!</v>
      </c>
      <c r="DN431" t="e">
        <f>AND('COMPARATIVO PLAN VS PROGRAMACIO'!#REF!,"AAAAAGfl13U=")</f>
        <v>#REF!</v>
      </c>
      <c r="DO431" t="e">
        <f>AND('COMPARATIVO PLAN VS PROGRAMACIO'!#REF!,"AAAAAGfl13Y=")</f>
        <v>#REF!</v>
      </c>
      <c r="DP431" t="e">
        <f>AND('COMPARATIVO PLAN VS PROGRAMACIO'!#REF!,"AAAAAGfl13c=")</f>
        <v>#REF!</v>
      </c>
      <c r="DQ431" t="e">
        <f>IF('COMPARATIVO PLAN VS PROGRAMACIO'!#REF!,"AAAAAGfl13g=",0)</f>
        <v>#REF!</v>
      </c>
      <c r="DR431" t="e">
        <f>AND('COMPARATIVO PLAN VS PROGRAMACIO'!#REF!,"AAAAAGfl13k=")</f>
        <v>#REF!</v>
      </c>
      <c r="DS431" t="e">
        <f>AND('COMPARATIVO PLAN VS PROGRAMACIO'!#REF!,"AAAAAGfl13o=")</f>
        <v>#REF!</v>
      </c>
      <c r="DT431" t="e">
        <f>AND('COMPARATIVO PLAN VS PROGRAMACIO'!#REF!,"AAAAAGfl13s=")</f>
        <v>#REF!</v>
      </c>
      <c r="DU431" t="e">
        <f>IF('COMPARATIVO PLAN VS PROGRAMACIO'!#REF!,"AAAAAGfl13w=",0)</f>
        <v>#REF!</v>
      </c>
      <c r="DV431" t="e">
        <f>AND('COMPARATIVO PLAN VS PROGRAMACIO'!#REF!,"AAAAAGfl130=")</f>
        <v>#REF!</v>
      </c>
      <c r="DW431" t="e">
        <f>AND('COMPARATIVO PLAN VS PROGRAMACIO'!#REF!,"AAAAAGfl134=")</f>
        <v>#REF!</v>
      </c>
      <c r="DX431" t="e">
        <f>AND('COMPARATIVO PLAN VS PROGRAMACIO'!#REF!,"AAAAAGfl138=")</f>
        <v>#REF!</v>
      </c>
      <c r="DY431" t="e">
        <f>IF('COMPARATIVO PLAN VS PROGRAMACIO'!#REF!,"AAAAAGfl14A=",0)</f>
        <v>#REF!</v>
      </c>
      <c r="DZ431" t="e">
        <f>AND('COMPARATIVO PLAN VS PROGRAMACIO'!#REF!,"AAAAAGfl14E=")</f>
        <v>#REF!</v>
      </c>
      <c r="EA431" t="e">
        <f>AND('COMPARATIVO PLAN VS PROGRAMACIO'!#REF!,"AAAAAGfl14I=")</f>
        <v>#REF!</v>
      </c>
      <c r="EB431" t="e">
        <f>AND('COMPARATIVO PLAN VS PROGRAMACIO'!#REF!,"AAAAAGfl14M=")</f>
        <v>#REF!</v>
      </c>
      <c r="EC431" t="e">
        <f>IF('COMPARATIVO PLAN VS PROGRAMACIO'!#REF!,"AAAAAGfl14Q=",0)</f>
        <v>#REF!</v>
      </c>
      <c r="ED431" t="e">
        <f>AND('COMPARATIVO PLAN VS PROGRAMACIO'!#REF!,"AAAAAGfl14U=")</f>
        <v>#REF!</v>
      </c>
      <c r="EE431" t="e">
        <f>AND('COMPARATIVO PLAN VS PROGRAMACIO'!#REF!,"AAAAAGfl14Y=")</f>
        <v>#REF!</v>
      </c>
      <c r="EF431" t="e">
        <f>AND('COMPARATIVO PLAN VS PROGRAMACIO'!#REF!,"AAAAAGfl14c=")</f>
        <v>#REF!</v>
      </c>
      <c r="EG431" t="e">
        <f>IF('COMPARATIVO PLAN VS PROGRAMACIO'!#REF!,"AAAAAGfl14g=",0)</f>
        <v>#REF!</v>
      </c>
      <c r="EH431" t="e">
        <f>AND('COMPARATIVO PLAN VS PROGRAMACIO'!#REF!,"AAAAAGfl14k=")</f>
        <v>#REF!</v>
      </c>
      <c r="EI431" t="e">
        <f>AND('COMPARATIVO PLAN VS PROGRAMACIO'!#REF!,"AAAAAGfl14o=")</f>
        <v>#REF!</v>
      </c>
      <c r="EJ431" t="e">
        <f>AND('COMPARATIVO PLAN VS PROGRAMACIO'!#REF!,"AAAAAGfl14s=")</f>
        <v>#REF!</v>
      </c>
      <c r="EK431" t="e">
        <f>IF('COMPARATIVO PLAN VS PROGRAMACIO'!#REF!,"AAAAAGfl14w=",0)</f>
        <v>#REF!</v>
      </c>
      <c r="EL431" t="e">
        <f>AND('COMPARATIVO PLAN VS PROGRAMACIO'!#REF!,"AAAAAGfl140=")</f>
        <v>#REF!</v>
      </c>
      <c r="EM431" t="e">
        <f>AND('COMPARATIVO PLAN VS PROGRAMACIO'!#REF!,"AAAAAGfl144=")</f>
        <v>#REF!</v>
      </c>
      <c r="EN431" t="e">
        <f>AND('COMPARATIVO PLAN VS PROGRAMACIO'!#REF!,"AAAAAGfl148=")</f>
        <v>#REF!</v>
      </c>
      <c r="EO431" t="e">
        <f>IF('COMPARATIVO PLAN VS PROGRAMACIO'!#REF!,"AAAAAGfl15A=",0)</f>
        <v>#REF!</v>
      </c>
      <c r="EP431" t="e">
        <f>AND('COMPARATIVO PLAN VS PROGRAMACIO'!#REF!,"AAAAAGfl15E=")</f>
        <v>#REF!</v>
      </c>
      <c r="EQ431" t="e">
        <f>AND('COMPARATIVO PLAN VS PROGRAMACIO'!#REF!,"AAAAAGfl15I=")</f>
        <v>#REF!</v>
      </c>
      <c r="ER431" t="e">
        <f>AND('COMPARATIVO PLAN VS PROGRAMACIO'!#REF!,"AAAAAGfl15M=")</f>
        <v>#REF!</v>
      </c>
      <c r="ES431" t="e">
        <f>IF('COMPARATIVO PLAN VS PROGRAMACIO'!#REF!,"AAAAAGfl15Q=",0)</f>
        <v>#REF!</v>
      </c>
      <c r="ET431" t="e">
        <f>AND('COMPARATIVO PLAN VS PROGRAMACIO'!#REF!,"AAAAAGfl15U=")</f>
        <v>#REF!</v>
      </c>
      <c r="EU431" t="e">
        <f>AND('COMPARATIVO PLAN VS PROGRAMACIO'!#REF!,"AAAAAGfl15Y=")</f>
        <v>#REF!</v>
      </c>
      <c r="EV431" t="e">
        <f>AND('COMPARATIVO PLAN VS PROGRAMACIO'!#REF!,"AAAAAGfl15c=")</f>
        <v>#REF!</v>
      </c>
      <c r="EW431" t="e">
        <f>IF('COMPARATIVO PLAN VS PROGRAMACIO'!#REF!,"AAAAAGfl15g=",0)</f>
        <v>#REF!</v>
      </c>
      <c r="EX431" t="e">
        <f>AND('COMPARATIVO PLAN VS PROGRAMACIO'!#REF!,"AAAAAGfl15k=")</f>
        <v>#REF!</v>
      </c>
      <c r="EY431" t="e">
        <f>AND('COMPARATIVO PLAN VS PROGRAMACIO'!#REF!,"AAAAAGfl15o=")</f>
        <v>#REF!</v>
      </c>
      <c r="EZ431" t="e">
        <f>AND('COMPARATIVO PLAN VS PROGRAMACIO'!#REF!,"AAAAAGfl15s=")</f>
        <v>#REF!</v>
      </c>
      <c r="FA431" t="e">
        <f>IF('COMPARATIVO PLAN VS PROGRAMACIO'!#REF!,"AAAAAGfl15w=",0)</f>
        <v>#REF!</v>
      </c>
      <c r="FB431" t="e">
        <f>AND('COMPARATIVO PLAN VS PROGRAMACIO'!#REF!,"AAAAAGfl150=")</f>
        <v>#REF!</v>
      </c>
      <c r="FC431" t="e">
        <f>AND('COMPARATIVO PLAN VS PROGRAMACIO'!#REF!,"AAAAAGfl154=")</f>
        <v>#REF!</v>
      </c>
      <c r="FD431" t="e">
        <f>AND('COMPARATIVO PLAN VS PROGRAMACIO'!#REF!,"AAAAAGfl158=")</f>
        <v>#REF!</v>
      </c>
      <c r="FE431" t="e">
        <f>IF('COMPARATIVO PLAN VS PROGRAMACIO'!#REF!,"AAAAAGfl16A=",0)</f>
        <v>#REF!</v>
      </c>
      <c r="FF431" t="e">
        <f>AND('COMPARATIVO PLAN VS PROGRAMACIO'!#REF!,"AAAAAGfl16E=")</f>
        <v>#REF!</v>
      </c>
      <c r="FG431" t="e">
        <f>AND('COMPARATIVO PLAN VS PROGRAMACIO'!#REF!,"AAAAAGfl16I=")</f>
        <v>#REF!</v>
      </c>
      <c r="FH431" t="e">
        <f>AND('COMPARATIVO PLAN VS PROGRAMACIO'!#REF!,"AAAAAGfl16M=")</f>
        <v>#REF!</v>
      </c>
      <c r="FI431" t="e">
        <f>IF('COMPARATIVO PLAN VS PROGRAMACIO'!#REF!,"AAAAAGfl16Q=",0)</f>
        <v>#REF!</v>
      </c>
      <c r="FJ431" t="e">
        <f>AND('COMPARATIVO PLAN VS PROGRAMACIO'!#REF!,"AAAAAGfl16U=")</f>
        <v>#REF!</v>
      </c>
      <c r="FK431" t="e">
        <f>AND('COMPARATIVO PLAN VS PROGRAMACIO'!#REF!,"AAAAAGfl16Y=")</f>
        <v>#REF!</v>
      </c>
      <c r="FL431" t="e">
        <f>AND('COMPARATIVO PLAN VS PROGRAMACIO'!#REF!,"AAAAAGfl16c=")</f>
        <v>#REF!</v>
      </c>
      <c r="FM431" t="e">
        <f>IF('COMPARATIVO PLAN VS PROGRAMACIO'!#REF!,"AAAAAGfl16g=",0)</f>
        <v>#REF!</v>
      </c>
      <c r="FN431" t="e">
        <f>AND('COMPARATIVO PLAN VS PROGRAMACIO'!#REF!,"AAAAAGfl16k=")</f>
        <v>#REF!</v>
      </c>
      <c r="FO431" t="e">
        <f>AND('COMPARATIVO PLAN VS PROGRAMACIO'!#REF!,"AAAAAGfl16o=")</f>
        <v>#REF!</v>
      </c>
      <c r="FP431" t="e">
        <f>AND('COMPARATIVO PLAN VS PROGRAMACIO'!#REF!,"AAAAAGfl16s=")</f>
        <v>#REF!</v>
      </c>
      <c r="FQ431" t="e">
        <f>IF('COMPARATIVO PLAN VS PROGRAMACIO'!#REF!,"AAAAAGfl16w=",0)</f>
        <v>#REF!</v>
      </c>
      <c r="FR431" t="e">
        <f>AND('COMPARATIVO PLAN VS PROGRAMACIO'!#REF!,"AAAAAGfl160=")</f>
        <v>#REF!</v>
      </c>
      <c r="FS431" t="e">
        <f>AND('COMPARATIVO PLAN VS PROGRAMACIO'!#REF!,"AAAAAGfl164=")</f>
        <v>#REF!</v>
      </c>
      <c r="FT431" t="e">
        <f>AND('COMPARATIVO PLAN VS PROGRAMACIO'!#REF!,"AAAAAGfl168=")</f>
        <v>#REF!</v>
      </c>
      <c r="FU431" t="e">
        <f>IF('COMPARATIVO PLAN VS PROGRAMACIO'!#REF!,"AAAAAGfl17A=",0)</f>
        <v>#REF!</v>
      </c>
      <c r="FV431" t="e">
        <f>AND('COMPARATIVO PLAN VS PROGRAMACIO'!#REF!,"AAAAAGfl17E=")</f>
        <v>#REF!</v>
      </c>
      <c r="FW431" t="e">
        <f>AND('COMPARATIVO PLAN VS PROGRAMACIO'!#REF!,"AAAAAGfl17I=")</f>
        <v>#REF!</v>
      </c>
      <c r="FX431" t="e">
        <f>AND('COMPARATIVO PLAN VS PROGRAMACIO'!#REF!,"AAAAAGfl17M=")</f>
        <v>#REF!</v>
      </c>
      <c r="FY431" t="e">
        <f>IF('COMPARATIVO PLAN VS PROGRAMACIO'!#REF!,"AAAAAGfl17Q=",0)</f>
        <v>#REF!</v>
      </c>
      <c r="FZ431" t="e">
        <f>AND('COMPARATIVO PLAN VS PROGRAMACIO'!#REF!,"AAAAAGfl17U=")</f>
        <v>#REF!</v>
      </c>
      <c r="GA431" t="e">
        <f>AND('COMPARATIVO PLAN VS PROGRAMACIO'!#REF!,"AAAAAGfl17Y=")</f>
        <v>#REF!</v>
      </c>
      <c r="GB431" t="e">
        <f>AND('COMPARATIVO PLAN VS PROGRAMACIO'!#REF!,"AAAAAGfl17c=")</f>
        <v>#REF!</v>
      </c>
      <c r="GC431" t="e">
        <f>IF('COMPARATIVO PLAN VS PROGRAMACIO'!#REF!,"AAAAAGfl17g=",0)</f>
        <v>#REF!</v>
      </c>
      <c r="GD431" t="e">
        <f>AND('COMPARATIVO PLAN VS PROGRAMACIO'!#REF!,"AAAAAGfl17k=")</f>
        <v>#REF!</v>
      </c>
      <c r="GE431" t="e">
        <f>AND('COMPARATIVO PLAN VS PROGRAMACIO'!#REF!,"AAAAAGfl17o=")</f>
        <v>#REF!</v>
      </c>
      <c r="GF431" t="e">
        <f>AND('COMPARATIVO PLAN VS PROGRAMACIO'!#REF!,"AAAAAGfl17s=")</f>
        <v>#REF!</v>
      </c>
      <c r="GG431" t="e">
        <f>IF('COMPARATIVO PLAN VS PROGRAMACIO'!#REF!,"AAAAAGfl17w=",0)</f>
        <v>#REF!</v>
      </c>
      <c r="GH431" t="e">
        <f>AND('COMPARATIVO PLAN VS PROGRAMACIO'!#REF!,"AAAAAGfl170=")</f>
        <v>#REF!</v>
      </c>
      <c r="GI431" t="e">
        <f>AND('COMPARATIVO PLAN VS PROGRAMACIO'!#REF!,"AAAAAGfl174=")</f>
        <v>#REF!</v>
      </c>
      <c r="GJ431" t="e">
        <f>AND('COMPARATIVO PLAN VS PROGRAMACIO'!#REF!,"AAAAAGfl178=")</f>
        <v>#REF!</v>
      </c>
      <c r="GK431" t="e">
        <f>IF('COMPARATIVO PLAN VS PROGRAMACIO'!#REF!,"AAAAAGfl18A=",0)</f>
        <v>#REF!</v>
      </c>
      <c r="GL431" t="e">
        <f>AND('COMPARATIVO PLAN VS PROGRAMACIO'!#REF!,"AAAAAGfl18E=")</f>
        <v>#REF!</v>
      </c>
      <c r="GM431" t="e">
        <f>AND('COMPARATIVO PLAN VS PROGRAMACIO'!#REF!,"AAAAAGfl18I=")</f>
        <v>#REF!</v>
      </c>
      <c r="GN431" t="e">
        <f>AND('COMPARATIVO PLAN VS PROGRAMACIO'!#REF!,"AAAAAGfl18M=")</f>
        <v>#REF!</v>
      </c>
      <c r="GO431" t="e">
        <f>IF('COMPARATIVO PLAN VS PROGRAMACIO'!#REF!,"AAAAAGfl18Q=",0)</f>
        <v>#REF!</v>
      </c>
      <c r="GP431" t="e">
        <f>AND('COMPARATIVO PLAN VS PROGRAMACIO'!#REF!,"AAAAAGfl18U=")</f>
        <v>#REF!</v>
      </c>
      <c r="GQ431" t="e">
        <f>AND('COMPARATIVO PLAN VS PROGRAMACIO'!#REF!,"AAAAAGfl18Y=")</f>
        <v>#REF!</v>
      </c>
      <c r="GR431" t="e">
        <f>AND('COMPARATIVO PLAN VS PROGRAMACIO'!#REF!,"AAAAAGfl18c=")</f>
        <v>#REF!</v>
      </c>
      <c r="GS431" t="e">
        <f>IF('COMPARATIVO PLAN VS PROGRAMACIO'!#REF!,"AAAAAGfl18g=",0)</f>
        <v>#REF!</v>
      </c>
      <c r="GT431" t="e">
        <f>AND('COMPARATIVO PLAN VS PROGRAMACIO'!#REF!,"AAAAAGfl18k=")</f>
        <v>#REF!</v>
      </c>
      <c r="GU431" t="e">
        <f>AND('COMPARATIVO PLAN VS PROGRAMACIO'!#REF!,"AAAAAGfl18o=")</f>
        <v>#REF!</v>
      </c>
      <c r="GV431" t="e">
        <f>AND('COMPARATIVO PLAN VS PROGRAMACIO'!#REF!,"AAAAAGfl18s=")</f>
        <v>#REF!</v>
      </c>
      <c r="GW431" t="e">
        <f>IF('COMPARATIVO PLAN VS PROGRAMACIO'!#REF!,"AAAAAGfl18w=",0)</f>
        <v>#REF!</v>
      </c>
      <c r="GX431" t="e">
        <f>AND('COMPARATIVO PLAN VS PROGRAMACIO'!#REF!,"AAAAAGfl180=")</f>
        <v>#REF!</v>
      </c>
      <c r="GY431" t="e">
        <f>AND('COMPARATIVO PLAN VS PROGRAMACIO'!#REF!,"AAAAAGfl184=")</f>
        <v>#REF!</v>
      </c>
      <c r="GZ431" t="e">
        <f>AND('COMPARATIVO PLAN VS PROGRAMACIO'!#REF!,"AAAAAGfl188=")</f>
        <v>#REF!</v>
      </c>
      <c r="HA431" t="e">
        <f>IF('COMPARATIVO PLAN VS PROGRAMACIO'!#REF!,"AAAAAGfl19A=",0)</f>
        <v>#REF!</v>
      </c>
      <c r="HB431" t="e">
        <f>AND('COMPARATIVO PLAN VS PROGRAMACIO'!#REF!,"AAAAAGfl19E=")</f>
        <v>#REF!</v>
      </c>
      <c r="HC431" t="e">
        <f>AND('COMPARATIVO PLAN VS PROGRAMACIO'!#REF!,"AAAAAGfl19I=")</f>
        <v>#REF!</v>
      </c>
      <c r="HD431" t="e">
        <f>AND('COMPARATIVO PLAN VS PROGRAMACIO'!#REF!,"AAAAAGfl19M=")</f>
        <v>#REF!</v>
      </c>
      <c r="HE431" t="e">
        <f>IF('COMPARATIVO PLAN VS PROGRAMACIO'!#REF!,"AAAAAGfl19Q=",0)</f>
        <v>#REF!</v>
      </c>
      <c r="HF431" t="e">
        <f>AND('COMPARATIVO PLAN VS PROGRAMACIO'!#REF!,"AAAAAGfl19U=")</f>
        <v>#REF!</v>
      </c>
      <c r="HG431" t="e">
        <f>AND('COMPARATIVO PLAN VS PROGRAMACIO'!#REF!,"AAAAAGfl19Y=")</f>
        <v>#REF!</v>
      </c>
      <c r="HH431" t="e">
        <f>AND('COMPARATIVO PLAN VS PROGRAMACIO'!#REF!,"AAAAAGfl19c=")</f>
        <v>#REF!</v>
      </c>
      <c r="HI431" t="e">
        <f>IF('COMPARATIVO PLAN VS PROGRAMACIO'!#REF!,"AAAAAGfl19g=",0)</f>
        <v>#REF!</v>
      </c>
      <c r="HJ431" t="e">
        <f>AND('COMPARATIVO PLAN VS PROGRAMACIO'!#REF!,"AAAAAGfl19k=")</f>
        <v>#REF!</v>
      </c>
      <c r="HK431" t="e">
        <f>AND('COMPARATIVO PLAN VS PROGRAMACIO'!#REF!,"AAAAAGfl19o=")</f>
        <v>#REF!</v>
      </c>
      <c r="HL431" t="e">
        <f>AND('COMPARATIVO PLAN VS PROGRAMACIO'!#REF!,"AAAAAGfl19s=")</f>
        <v>#REF!</v>
      </c>
      <c r="HM431" t="e">
        <f>IF('COMPARATIVO PLAN VS PROGRAMACIO'!#REF!,"AAAAAGfl19w=",0)</f>
        <v>#REF!</v>
      </c>
      <c r="HN431" t="e">
        <f>AND('COMPARATIVO PLAN VS PROGRAMACIO'!#REF!,"AAAAAGfl190=")</f>
        <v>#REF!</v>
      </c>
      <c r="HO431" t="e">
        <f>AND('COMPARATIVO PLAN VS PROGRAMACIO'!#REF!,"AAAAAGfl194=")</f>
        <v>#REF!</v>
      </c>
      <c r="HP431" t="e">
        <f>AND('COMPARATIVO PLAN VS PROGRAMACIO'!#REF!,"AAAAAGfl198=")</f>
        <v>#REF!</v>
      </c>
      <c r="HQ431" t="e">
        <f>IF('COMPARATIVO PLAN VS PROGRAMACIO'!#REF!,"AAAAAGfl1+A=",0)</f>
        <v>#REF!</v>
      </c>
      <c r="HR431" t="e">
        <f>AND('COMPARATIVO PLAN VS PROGRAMACIO'!#REF!,"AAAAAGfl1+E=")</f>
        <v>#REF!</v>
      </c>
      <c r="HS431" t="e">
        <f>AND('COMPARATIVO PLAN VS PROGRAMACIO'!#REF!,"AAAAAGfl1+I=")</f>
        <v>#REF!</v>
      </c>
      <c r="HT431" t="e">
        <f>AND('COMPARATIVO PLAN VS PROGRAMACIO'!#REF!,"AAAAAGfl1+M=")</f>
        <v>#REF!</v>
      </c>
      <c r="HU431" t="e">
        <f>IF('COMPARATIVO PLAN VS PROGRAMACIO'!#REF!,"AAAAAGfl1+Q=",0)</f>
        <v>#REF!</v>
      </c>
      <c r="HV431" t="e">
        <f>AND('COMPARATIVO PLAN VS PROGRAMACIO'!#REF!,"AAAAAGfl1+U=")</f>
        <v>#REF!</v>
      </c>
      <c r="HW431" t="e">
        <f>AND('COMPARATIVO PLAN VS PROGRAMACIO'!#REF!,"AAAAAGfl1+Y=")</f>
        <v>#REF!</v>
      </c>
      <c r="HX431" t="e">
        <f>AND('COMPARATIVO PLAN VS PROGRAMACIO'!#REF!,"AAAAAGfl1+c=")</f>
        <v>#REF!</v>
      </c>
      <c r="HY431" t="e">
        <f>IF('COMPARATIVO PLAN VS PROGRAMACIO'!#REF!,"AAAAAGfl1+g=",0)</f>
        <v>#REF!</v>
      </c>
      <c r="HZ431" t="e">
        <f>AND('COMPARATIVO PLAN VS PROGRAMACIO'!#REF!,"AAAAAGfl1+k=")</f>
        <v>#REF!</v>
      </c>
      <c r="IA431" t="e">
        <f>AND('COMPARATIVO PLAN VS PROGRAMACIO'!#REF!,"AAAAAGfl1+o=")</f>
        <v>#REF!</v>
      </c>
      <c r="IB431" t="e">
        <f>AND('COMPARATIVO PLAN VS PROGRAMACIO'!#REF!,"AAAAAGfl1+s=")</f>
        <v>#REF!</v>
      </c>
      <c r="IC431" t="e">
        <f>IF('COMPARATIVO PLAN VS PROGRAMACIO'!#REF!,"AAAAAGfl1+w=",0)</f>
        <v>#REF!</v>
      </c>
      <c r="ID431" t="e">
        <f>AND('COMPARATIVO PLAN VS PROGRAMACIO'!#REF!,"AAAAAGfl1+0=")</f>
        <v>#REF!</v>
      </c>
      <c r="IE431" t="e">
        <f>AND('COMPARATIVO PLAN VS PROGRAMACIO'!#REF!,"AAAAAGfl1+4=")</f>
        <v>#REF!</v>
      </c>
      <c r="IF431" t="e">
        <f>AND('COMPARATIVO PLAN VS PROGRAMACIO'!#REF!,"AAAAAGfl1+8=")</f>
        <v>#REF!</v>
      </c>
      <c r="IG431" t="e">
        <f>IF('COMPARATIVO PLAN VS PROGRAMACIO'!#REF!,"AAAAAGfl1/A=",0)</f>
        <v>#REF!</v>
      </c>
      <c r="IH431" t="e">
        <f>AND('COMPARATIVO PLAN VS PROGRAMACIO'!#REF!,"AAAAAGfl1/E=")</f>
        <v>#REF!</v>
      </c>
      <c r="II431" t="e">
        <f>AND('COMPARATIVO PLAN VS PROGRAMACIO'!#REF!,"AAAAAGfl1/I=")</f>
        <v>#REF!</v>
      </c>
      <c r="IJ431" t="e">
        <f>AND('COMPARATIVO PLAN VS PROGRAMACIO'!#REF!,"AAAAAGfl1/M=")</f>
        <v>#REF!</v>
      </c>
      <c r="IK431" t="e">
        <f>IF('COMPARATIVO PLAN VS PROGRAMACIO'!#REF!,"AAAAAGfl1/Q=",0)</f>
        <v>#REF!</v>
      </c>
      <c r="IL431" t="e">
        <f>AND('COMPARATIVO PLAN VS PROGRAMACIO'!#REF!,"AAAAAGfl1/U=")</f>
        <v>#REF!</v>
      </c>
      <c r="IM431" t="e">
        <f>AND('COMPARATIVO PLAN VS PROGRAMACIO'!#REF!,"AAAAAGfl1/Y=")</f>
        <v>#REF!</v>
      </c>
      <c r="IN431" t="e">
        <f>AND('COMPARATIVO PLAN VS PROGRAMACIO'!#REF!,"AAAAAGfl1/c=")</f>
        <v>#REF!</v>
      </c>
      <c r="IO431" t="e">
        <f>IF('COMPARATIVO PLAN VS PROGRAMACIO'!#REF!,"AAAAAGfl1/g=",0)</f>
        <v>#REF!</v>
      </c>
      <c r="IP431" t="e">
        <f>AND('COMPARATIVO PLAN VS PROGRAMACIO'!#REF!,"AAAAAGfl1/k=")</f>
        <v>#REF!</v>
      </c>
      <c r="IQ431" t="e">
        <f>AND('COMPARATIVO PLAN VS PROGRAMACIO'!#REF!,"AAAAAGfl1/o=")</f>
        <v>#REF!</v>
      </c>
      <c r="IR431" t="e">
        <f>AND('COMPARATIVO PLAN VS PROGRAMACIO'!#REF!,"AAAAAGfl1/s=")</f>
        <v>#REF!</v>
      </c>
      <c r="IS431" t="e">
        <f>IF('COMPARATIVO PLAN VS PROGRAMACIO'!#REF!,"AAAAAGfl1/w=",0)</f>
        <v>#REF!</v>
      </c>
      <c r="IT431" t="e">
        <f>AND('COMPARATIVO PLAN VS PROGRAMACIO'!#REF!,"AAAAAGfl1/0=")</f>
        <v>#REF!</v>
      </c>
      <c r="IU431" t="e">
        <f>AND('COMPARATIVO PLAN VS PROGRAMACIO'!#REF!,"AAAAAGfl1/4=")</f>
        <v>#REF!</v>
      </c>
      <c r="IV431" t="e">
        <f>AND('COMPARATIVO PLAN VS PROGRAMACIO'!#REF!,"AAAAAGfl1/8=")</f>
        <v>#REF!</v>
      </c>
    </row>
    <row r="432" spans="1:256" x14ac:dyDescent="0.2">
      <c r="A432" t="e">
        <f>IF('COMPARATIVO PLAN VS PROGRAMACIO'!#REF!,"AAAAAH/vvwA=",0)</f>
        <v>#REF!</v>
      </c>
      <c r="B432" t="e">
        <f>AND('COMPARATIVO PLAN VS PROGRAMACIO'!#REF!,"AAAAAH/vvwE=")</f>
        <v>#REF!</v>
      </c>
      <c r="C432" t="e">
        <f>AND('COMPARATIVO PLAN VS PROGRAMACIO'!#REF!,"AAAAAH/vvwI=")</f>
        <v>#REF!</v>
      </c>
      <c r="D432" t="e">
        <f>AND('COMPARATIVO PLAN VS PROGRAMACIO'!#REF!,"AAAAAH/vvwM=")</f>
        <v>#REF!</v>
      </c>
      <c r="E432" t="e">
        <f>IF('COMPARATIVO PLAN VS PROGRAMACIO'!#REF!,"AAAAAH/vvwQ=",0)</f>
        <v>#REF!</v>
      </c>
      <c r="F432" t="e">
        <f>AND('COMPARATIVO PLAN VS PROGRAMACIO'!#REF!,"AAAAAH/vvwU=")</f>
        <v>#REF!</v>
      </c>
      <c r="G432" t="e">
        <f>AND('COMPARATIVO PLAN VS PROGRAMACIO'!#REF!,"AAAAAH/vvwY=")</f>
        <v>#REF!</v>
      </c>
      <c r="H432" t="e">
        <f>AND('COMPARATIVO PLAN VS PROGRAMACIO'!#REF!,"AAAAAH/vvwc=")</f>
        <v>#REF!</v>
      </c>
      <c r="I432" t="e">
        <f>IF('COMPARATIVO PLAN VS PROGRAMACIO'!#REF!,"AAAAAH/vvwg=",0)</f>
        <v>#REF!</v>
      </c>
      <c r="J432" t="e">
        <f>AND('COMPARATIVO PLAN VS PROGRAMACIO'!#REF!,"AAAAAH/vvwk=")</f>
        <v>#REF!</v>
      </c>
      <c r="K432" t="e">
        <f>AND('COMPARATIVO PLAN VS PROGRAMACIO'!#REF!,"AAAAAH/vvwo=")</f>
        <v>#REF!</v>
      </c>
      <c r="L432" t="e">
        <f>AND('COMPARATIVO PLAN VS PROGRAMACIO'!#REF!,"AAAAAH/vvws=")</f>
        <v>#REF!</v>
      </c>
      <c r="M432" t="e">
        <f>IF('COMPARATIVO PLAN VS PROGRAMACIO'!#REF!,"AAAAAH/vvww=",0)</f>
        <v>#REF!</v>
      </c>
      <c r="N432" t="e">
        <f>AND('COMPARATIVO PLAN VS PROGRAMACIO'!#REF!,"AAAAAH/vvw0=")</f>
        <v>#REF!</v>
      </c>
      <c r="O432" t="e">
        <f>AND('COMPARATIVO PLAN VS PROGRAMACIO'!#REF!,"AAAAAH/vvw4=")</f>
        <v>#REF!</v>
      </c>
      <c r="P432" t="e">
        <f>AND('COMPARATIVO PLAN VS PROGRAMACIO'!#REF!,"AAAAAH/vvw8=")</f>
        <v>#REF!</v>
      </c>
      <c r="Q432" t="e">
        <f>IF('COMPARATIVO PLAN VS PROGRAMACIO'!#REF!,"AAAAAH/vvxA=",0)</f>
        <v>#REF!</v>
      </c>
      <c r="R432" t="e">
        <f>AND('COMPARATIVO PLAN VS PROGRAMACIO'!#REF!,"AAAAAH/vvxE=")</f>
        <v>#REF!</v>
      </c>
      <c r="S432" t="e">
        <f>AND('COMPARATIVO PLAN VS PROGRAMACIO'!#REF!,"AAAAAH/vvxI=")</f>
        <v>#REF!</v>
      </c>
      <c r="T432" t="e">
        <f>AND('COMPARATIVO PLAN VS PROGRAMACIO'!#REF!,"AAAAAH/vvxM=")</f>
        <v>#REF!</v>
      </c>
      <c r="U432" t="e">
        <f>IF('COMPARATIVO PLAN VS PROGRAMACIO'!#REF!,"AAAAAH/vvxQ=",0)</f>
        <v>#REF!</v>
      </c>
      <c r="V432" t="e">
        <f>AND('COMPARATIVO PLAN VS PROGRAMACIO'!#REF!,"AAAAAH/vvxU=")</f>
        <v>#REF!</v>
      </c>
      <c r="W432" t="e">
        <f>AND('COMPARATIVO PLAN VS PROGRAMACIO'!#REF!,"AAAAAH/vvxY=")</f>
        <v>#REF!</v>
      </c>
      <c r="X432" t="e">
        <f>AND('COMPARATIVO PLAN VS PROGRAMACIO'!#REF!,"AAAAAH/vvxc=")</f>
        <v>#REF!</v>
      </c>
      <c r="Y432" t="e">
        <f>IF('COMPARATIVO PLAN VS PROGRAMACIO'!#REF!,"AAAAAH/vvxg=",0)</f>
        <v>#REF!</v>
      </c>
      <c r="Z432" t="e">
        <f>AND('COMPARATIVO PLAN VS PROGRAMACIO'!#REF!,"AAAAAH/vvxk=")</f>
        <v>#REF!</v>
      </c>
      <c r="AA432" t="e">
        <f>AND('COMPARATIVO PLAN VS PROGRAMACIO'!#REF!,"AAAAAH/vvxo=")</f>
        <v>#REF!</v>
      </c>
      <c r="AB432" t="e">
        <f>AND('COMPARATIVO PLAN VS PROGRAMACIO'!#REF!,"AAAAAH/vvxs=")</f>
        <v>#REF!</v>
      </c>
      <c r="AC432" t="e">
        <f>IF('COMPARATIVO PLAN VS PROGRAMACIO'!#REF!,"AAAAAH/vvxw=",0)</f>
        <v>#REF!</v>
      </c>
      <c r="AD432" t="e">
        <f>AND('COMPARATIVO PLAN VS PROGRAMACIO'!#REF!,"AAAAAH/vvx0=")</f>
        <v>#REF!</v>
      </c>
      <c r="AE432" t="e">
        <f>AND('COMPARATIVO PLAN VS PROGRAMACIO'!#REF!,"AAAAAH/vvx4=")</f>
        <v>#REF!</v>
      </c>
      <c r="AF432" t="e">
        <f>AND('COMPARATIVO PLAN VS PROGRAMACIO'!#REF!,"AAAAAH/vvx8=")</f>
        <v>#REF!</v>
      </c>
      <c r="AG432" t="e">
        <f>IF('COMPARATIVO PLAN VS PROGRAMACIO'!#REF!,"AAAAAH/vvyA=",0)</f>
        <v>#REF!</v>
      </c>
      <c r="AH432" t="e">
        <f>AND('COMPARATIVO PLAN VS PROGRAMACIO'!#REF!,"AAAAAH/vvyE=")</f>
        <v>#REF!</v>
      </c>
      <c r="AI432" t="e">
        <f>AND('COMPARATIVO PLAN VS PROGRAMACIO'!#REF!,"AAAAAH/vvyI=")</f>
        <v>#REF!</v>
      </c>
      <c r="AJ432" t="e">
        <f>AND('COMPARATIVO PLAN VS PROGRAMACIO'!#REF!,"AAAAAH/vvyM=")</f>
        <v>#REF!</v>
      </c>
      <c r="AK432" t="e">
        <f>IF('COMPARATIVO PLAN VS PROGRAMACIO'!#REF!,"AAAAAH/vvyQ=",0)</f>
        <v>#REF!</v>
      </c>
      <c r="AL432" t="e">
        <f>AND('COMPARATIVO PLAN VS PROGRAMACIO'!#REF!,"AAAAAH/vvyU=")</f>
        <v>#REF!</v>
      </c>
      <c r="AM432" t="e">
        <f>AND('COMPARATIVO PLAN VS PROGRAMACIO'!#REF!,"AAAAAH/vvyY=")</f>
        <v>#REF!</v>
      </c>
      <c r="AN432" t="e">
        <f>AND('COMPARATIVO PLAN VS PROGRAMACIO'!#REF!,"AAAAAH/vvyc=")</f>
        <v>#REF!</v>
      </c>
      <c r="AO432" t="e">
        <f>IF('COMPARATIVO PLAN VS PROGRAMACIO'!#REF!,"AAAAAH/vvyg=",0)</f>
        <v>#REF!</v>
      </c>
      <c r="AP432" t="e">
        <f>AND('COMPARATIVO PLAN VS PROGRAMACIO'!#REF!,"AAAAAH/vvyk=")</f>
        <v>#REF!</v>
      </c>
      <c r="AQ432" t="e">
        <f>AND('COMPARATIVO PLAN VS PROGRAMACIO'!#REF!,"AAAAAH/vvyo=")</f>
        <v>#REF!</v>
      </c>
      <c r="AR432" t="e">
        <f>AND('COMPARATIVO PLAN VS PROGRAMACIO'!#REF!,"AAAAAH/vvys=")</f>
        <v>#REF!</v>
      </c>
      <c r="AS432" t="e">
        <f>IF('COMPARATIVO PLAN VS PROGRAMACIO'!#REF!,"AAAAAH/vvyw=",0)</f>
        <v>#REF!</v>
      </c>
      <c r="AT432" t="e">
        <f>AND('COMPARATIVO PLAN VS PROGRAMACIO'!#REF!,"AAAAAH/vvy0=")</f>
        <v>#REF!</v>
      </c>
      <c r="AU432" t="e">
        <f>AND('COMPARATIVO PLAN VS PROGRAMACIO'!#REF!,"AAAAAH/vvy4=")</f>
        <v>#REF!</v>
      </c>
      <c r="AV432" t="e">
        <f>AND('COMPARATIVO PLAN VS PROGRAMACIO'!#REF!,"AAAAAH/vvy8=")</f>
        <v>#REF!</v>
      </c>
      <c r="AW432" t="e">
        <f>IF('COMPARATIVO PLAN VS PROGRAMACIO'!#REF!,"AAAAAH/vvzA=",0)</f>
        <v>#REF!</v>
      </c>
      <c r="AX432" t="e">
        <f>AND('COMPARATIVO PLAN VS PROGRAMACIO'!#REF!,"AAAAAH/vvzE=")</f>
        <v>#REF!</v>
      </c>
      <c r="AY432" t="e">
        <f>AND('COMPARATIVO PLAN VS PROGRAMACIO'!#REF!,"AAAAAH/vvzI=")</f>
        <v>#REF!</v>
      </c>
      <c r="AZ432" t="e">
        <f>AND('COMPARATIVO PLAN VS PROGRAMACIO'!#REF!,"AAAAAH/vvzM=")</f>
        <v>#REF!</v>
      </c>
      <c r="BA432" t="e">
        <f>IF('COMPARATIVO PLAN VS PROGRAMACIO'!#REF!,"AAAAAH/vvzQ=",0)</f>
        <v>#REF!</v>
      </c>
      <c r="BB432" t="e">
        <f>AND('COMPARATIVO PLAN VS PROGRAMACIO'!#REF!,"AAAAAH/vvzU=")</f>
        <v>#REF!</v>
      </c>
      <c r="BC432" t="e">
        <f>AND('COMPARATIVO PLAN VS PROGRAMACIO'!#REF!,"AAAAAH/vvzY=")</f>
        <v>#REF!</v>
      </c>
      <c r="BD432" t="e">
        <f>AND('COMPARATIVO PLAN VS PROGRAMACIO'!#REF!,"AAAAAH/vvzc=")</f>
        <v>#REF!</v>
      </c>
      <c r="BE432" t="e">
        <f>IF('COMPARATIVO PLAN VS PROGRAMACIO'!#REF!,"AAAAAH/vvzg=",0)</f>
        <v>#REF!</v>
      </c>
      <c r="BF432" t="e">
        <f>AND('COMPARATIVO PLAN VS PROGRAMACIO'!#REF!,"AAAAAH/vvzk=")</f>
        <v>#REF!</v>
      </c>
      <c r="BG432" t="e">
        <f>AND('COMPARATIVO PLAN VS PROGRAMACIO'!#REF!,"AAAAAH/vvzo=")</f>
        <v>#REF!</v>
      </c>
      <c r="BH432" t="e">
        <f>AND('COMPARATIVO PLAN VS PROGRAMACIO'!#REF!,"AAAAAH/vvzs=")</f>
        <v>#REF!</v>
      </c>
      <c r="BI432" t="e">
        <f>IF('COMPARATIVO PLAN VS PROGRAMACIO'!#REF!,"AAAAAH/vvzw=",0)</f>
        <v>#REF!</v>
      </c>
      <c r="BJ432" t="e">
        <f>AND('COMPARATIVO PLAN VS PROGRAMACIO'!#REF!,"AAAAAH/vvz0=")</f>
        <v>#REF!</v>
      </c>
      <c r="BK432" t="e">
        <f>AND('COMPARATIVO PLAN VS PROGRAMACIO'!#REF!,"AAAAAH/vvz4=")</f>
        <v>#REF!</v>
      </c>
      <c r="BL432" t="e">
        <f>AND('COMPARATIVO PLAN VS PROGRAMACIO'!#REF!,"AAAAAH/vvz8=")</f>
        <v>#REF!</v>
      </c>
      <c r="BM432" t="e">
        <f>IF('COMPARATIVO PLAN VS PROGRAMACIO'!#REF!,"AAAAAH/vv0A=",0)</f>
        <v>#REF!</v>
      </c>
      <c r="BN432" t="e">
        <f>AND('COMPARATIVO PLAN VS PROGRAMACIO'!#REF!,"AAAAAH/vv0E=")</f>
        <v>#REF!</v>
      </c>
      <c r="BO432" t="e">
        <f>AND('COMPARATIVO PLAN VS PROGRAMACIO'!#REF!,"AAAAAH/vv0I=")</f>
        <v>#REF!</v>
      </c>
      <c r="BP432" t="e">
        <f>AND('COMPARATIVO PLAN VS PROGRAMACIO'!#REF!,"AAAAAH/vv0M=")</f>
        <v>#REF!</v>
      </c>
      <c r="BQ432" t="e">
        <f>IF('COMPARATIVO PLAN VS PROGRAMACIO'!#REF!,"AAAAAH/vv0Q=",0)</f>
        <v>#REF!</v>
      </c>
      <c r="BR432" t="e">
        <f>AND('COMPARATIVO PLAN VS PROGRAMACIO'!#REF!,"AAAAAH/vv0U=")</f>
        <v>#REF!</v>
      </c>
      <c r="BS432" t="e">
        <f>AND('COMPARATIVO PLAN VS PROGRAMACIO'!#REF!,"AAAAAH/vv0Y=")</f>
        <v>#REF!</v>
      </c>
      <c r="BT432" t="e">
        <f>AND('COMPARATIVO PLAN VS PROGRAMACIO'!#REF!,"AAAAAH/vv0c=")</f>
        <v>#REF!</v>
      </c>
      <c r="BU432" t="e">
        <f>IF('COMPARATIVO PLAN VS PROGRAMACIO'!#REF!,"AAAAAH/vv0g=",0)</f>
        <v>#REF!</v>
      </c>
      <c r="BV432" t="e">
        <f>AND('COMPARATIVO PLAN VS PROGRAMACIO'!#REF!,"AAAAAH/vv0k=")</f>
        <v>#REF!</v>
      </c>
      <c r="BW432" t="e">
        <f>AND('COMPARATIVO PLAN VS PROGRAMACIO'!#REF!,"AAAAAH/vv0o=")</f>
        <v>#REF!</v>
      </c>
      <c r="BX432" t="e">
        <f>AND('COMPARATIVO PLAN VS PROGRAMACIO'!#REF!,"AAAAAH/vv0s=")</f>
        <v>#REF!</v>
      </c>
      <c r="BY432" t="e">
        <f>IF('COMPARATIVO PLAN VS PROGRAMACIO'!#REF!,"AAAAAH/vv0w=",0)</f>
        <v>#REF!</v>
      </c>
      <c r="BZ432" t="e">
        <f>AND('COMPARATIVO PLAN VS PROGRAMACIO'!#REF!,"AAAAAH/vv00=")</f>
        <v>#REF!</v>
      </c>
      <c r="CA432" t="e">
        <f>AND('COMPARATIVO PLAN VS PROGRAMACIO'!#REF!,"AAAAAH/vv04=")</f>
        <v>#REF!</v>
      </c>
      <c r="CB432" t="e">
        <f>AND('COMPARATIVO PLAN VS PROGRAMACIO'!#REF!,"AAAAAH/vv08=")</f>
        <v>#REF!</v>
      </c>
      <c r="CC432" t="e">
        <f>IF('COMPARATIVO PLAN VS PROGRAMACIO'!#REF!,"AAAAAH/vv1A=",0)</f>
        <v>#REF!</v>
      </c>
      <c r="CD432" t="e">
        <f>AND('COMPARATIVO PLAN VS PROGRAMACIO'!#REF!,"AAAAAH/vv1E=")</f>
        <v>#REF!</v>
      </c>
      <c r="CE432" t="e">
        <f>AND('COMPARATIVO PLAN VS PROGRAMACIO'!#REF!,"AAAAAH/vv1I=")</f>
        <v>#REF!</v>
      </c>
      <c r="CF432" t="e">
        <f>AND('COMPARATIVO PLAN VS PROGRAMACIO'!#REF!,"AAAAAH/vv1M=")</f>
        <v>#REF!</v>
      </c>
      <c r="CG432" t="e">
        <f>IF('COMPARATIVO PLAN VS PROGRAMACIO'!#REF!,"AAAAAH/vv1Q=",0)</f>
        <v>#REF!</v>
      </c>
      <c r="CH432" t="e">
        <f>AND('COMPARATIVO PLAN VS PROGRAMACIO'!#REF!,"AAAAAH/vv1U=")</f>
        <v>#REF!</v>
      </c>
      <c r="CI432" t="e">
        <f>AND('COMPARATIVO PLAN VS PROGRAMACIO'!#REF!,"AAAAAH/vv1Y=")</f>
        <v>#REF!</v>
      </c>
      <c r="CJ432" t="e">
        <f>AND('COMPARATIVO PLAN VS PROGRAMACIO'!#REF!,"AAAAAH/vv1c=")</f>
        <v>#REF!</v>
      </c>
      <c r="CK432" t="e">
        <f>IF('COMPARATIVO PLAN VS PROGRAMACIO'!#REF!,"AAAAAH/vv1g=",0)</f>
        <v>#REF!</v>
      </c>
      <c r="CL432" t="e">
        <f>AND('COMPARATIVO PLAN VS PROGRAMACIO'!#REF!,"AAAAAH/vv1k=")</f>
        <v>#REF!</v>
      </c>
      <c r="CM432" t="e">
        <f>AND('COMPARATIVO PLAN VS PROGRAMACIO'!#REF!,"AAAAAH/vv1o=")</f>
        <v>#REF!</v>
      </c>
      <c r="CN432" t="e">
        <f>AND('COMPARATIVO PLAN VS PROGRAMACIO'!#REF!,"AAAAAH/vv1s=")</f>
        <v>#REF!</v>
      </c>
      <c r="CO432" t="e">
        <f>IF('COMPARATIVO PLAN VS PROGRAMACIO'!#REF!,"AAAAAH/vv1w=",0)</f>
        <v>#REF!</v>
      </c>
      <c r="CP432" t="e">
        <f>AND('COMPARATIVO PLAN VS PROGRAMACIO'!#REF!,"AAAAAH/vv10=")</f>
        <v>#REF!</v>
      </c>
      <c r="CQ432" t="e">
        <f>AND('COMPARATIVO PLAN VS PROGRAMACIO'!#REF!,"AAAAAH/vv14=")</f>
        <v>#REF!</v>
      </c>
      <c r="CR432" t="e">
        <f>AND('COMPARATIVO PLAN VS PROGRAMACIO'!#REF!,"AAAAAH/vv18=")</f>
        <v>#REF!</v>
      </c>
      <c r="CS432" t="e">
        <f>IF('COMPARATIVO PLAN VS PROGRAMACIO'!#REF!,"AAAAAH/vv2A=",0)</f>
        <v>#REF!</v>
      </c>
      <c r="CT432" t="e">
        <f>AND('COMPARATIVO PLAN VS PROGRAMACIO'!#REF!,"AAAAAH/vv2E=")</f>
        <v>#REF!</v>
      </c>
      <c r="CU432" t="e">
        <f>AND('COMPARATIVO PLAN VS PROGRAMACIO'!#REF!,"AAAAAH/vv2I=")</f>
        <v>#REF!</v>
      </c>
      <c r="CV432" t="e">
        <f>AND('COMPARATIVO PLAN VS PROGRAMACIO'!#REF!,"AAAAAH/vv2M=")</f>
        <v>#REF!</v>
      </c>
      <c r="CW432" t="e">
        <f>IF('COMPARATIVO PLAN VS PROGRAMACIO'!#REF!,"AAAAAH/vv2Q=",0)</f>
        <v>#REF!</v>
      </c>
      <c r="CX432" t="e">
        <f>AND('COMPARATIVO PLAN VS PROGRAMACIO'!#REF!,"AAAAAH/vv2U=")</f>
        <v>#REF!</v>
      </c>
      <c r="CY432" t="e">
        <f>AND('COMPARATIVO PLAN VS PROGRAMACIO'!#REF!,"AAAAAH/vv2Y=")</f>
        <v>#REF!</v>
      </c>
      <c r="CZ432" t="e">
        <f>AND('COMPARATIVO PLAN VS PROGRAMACIO'!#REF!,"AAAAAH/vv2c=")</f>
        <v>#REF!</v>
      </c>
      <c r="DA432" t="e">
        <f>IF('COMPARATIVO PLAN VS PROGRAMACIO'!#REF!,"AAAAAH/vv2g=",0)</f>
        <v>#REF!</v>
      </c>
      <c r="DB432" t="e">
        <f>AND('COMPARATIVO PLAN VS PROGRAMACIO'!#REF!,"AAAAAH/vv2k=")</f>
        <v>#REF!</v>
      </c>
      <c r="DC432" t="e">
        <f>AND('COMPARATIVO PLAN VS PROGRAMACIO'!#REF!,"AAAAAH/vv2o=")</f>
        <v>#REF!</v>
      </c>
      <c r="DD432" t="e">
        <f>AND('COMPARATIVO PLAN VS PROGRAMACIO'!#REF!,"AAAAAH/vv2s=")</f>
        <v>#REF!</v>
      </c>
      <c r="DE432" t="e">
        <f>IF('COMPARATIVO PLAN VS PROGRAMACIO'!#REF!,"AAAAAH/vv2w=",0)</f>
        <v>#REF!</v>
      </c>
      <c r="DF432" t="e">
        <f>AND('COMPARATIVO PLAN VS PROGRAMACIO'!#REF!,"AAAAAH/vv20=")</f>
        <v>#REF!</v>
      </c>
      <c r="DG432" t="e">
        <f>AND('COMPARATIVO PLAN VS PROGRAMACIO'!#REF!,"AAAAAH/vv24=")</f>
        <v>#REF!</v>
      </c>
      <c r="DH432" t="e">
        <f>AND('COMPARATIVO PLAN VS PROGRAMACIO'!#REF!,"AAAAAH/vv28=")</f>
        <v>#REF!</v>
      </c>
      <c r="DI432" t="e">
        <f>IF('COMPARATIVO PLAN VS PROGRAMACIO'!#REF!,"AAAAAH/vv3A=",0)</f>
        <v>#REF!</v>
      </c>
      <c r="DJ432" t="e">
        <f>AND('COMPARATIVO PLAN VS PROGRAMACIO'!#REF!,"AAAAAH/vv3E=")</f>
        <v>#REF!</v>
      </c>
      <c r="DK432" t="e">
        <f>AND('COMPARATIVO PLAN VS PROGRAMACIO'!#REF!,"AAAAAH/vv3I=")</f>
        <v>#REF!</v>
      </c>
      <c r="DL432" t="e">
        <f>AND('COMPARATIVO PLAN VS PROGRAMACIO'!#REF!,"AAAAAH/vv3M=")</f>
        <v>#REF!</v>
      </c>
      <c r="DM432" t="e">
        <f>IF('COMPARATIVO PLAN VS PROGRAMACIO'!#REF!,"AAAAAH/vv3Q=",0)</f>
        <v>#REF!</v>
      </c>
      <c r="DN432" t="e">
        <f>AND('COMPARATIVO PLAN VS PROGRAMACIO'!#REF!,"AAAAAH/vv3U=")</f>
        <v>#REF!</v>
      </c>
      <c r="DO432" t="e">
        <f>AND('COMPARATIVO PLAN VS PROGRAMACIO'!#REF!,"AAAAAH/vv3Y=")</f>
        <v>#REF!</v>
      </c>
      <c r="DP432" t="e">
        <f>AND('COMPARATIVO PLAN VS PROGRAMACIO'!#REF!,"AAAAAH/vv3c=")</f>
        <v>#REF!</v>
      </c>
      <c r="DQ432" t="e">
        <f>IF('COMPARATIVO PLAN VS PROGRAMACIO'!#REF!,"AAAAAH/vv3g=",0)</f>
        <v>#REF!</v>
      </c>
      <c r="DR432" t="e">
        <f>AND('COMPARATIVO PLAN VS PROGRAMACIO'!#REF!,"AAAAAH/vv3k=")</f>
        <v>#REF!</v>
      </c>
      <c r="DS432" t="e">
        <f>AND('COMPARATIVO PLAN VS PROGRAMACIO'!#REF!,"AAAAAH/vv3o=")</f>
        <v>#REF!</v>
      </c>
      <c r="DT432" t="e">
        <f>AND('COMPARATIVO PLAN VS PROGRAMACIO'!#REF!,"AAAAAH/vv3s=")</f>
        <v>#REF!</v>
      </c>
      <c r="DU432" t="e">
        <f>IF('COMPARATIVO PLAN VS PROGRAMACIO'!#REF!,"AAAAAH/vv3w=",0)</f>
        <v>#REF!</v>
      </c>
      <c r="DV432" t="e">
        <f>AND('COMPARATIVO PLAN VS PROGRAMACIO'!#REF!,"AAAAAH/vv30=")</f>
        <v>#REF!</v>
      </c>
      <c r="DW432" t="e">
        <f>AND('COMPARATIVO PLAN VS PROGRAMACIO'!#REF!,"AAAAAH/vv34=")</f>
        <v>#REF!</v>
      </c>
      <c r="DX432" t="e">
        <f>AND('COMPARATIVO PLAN VS PROGRAMACIO'!#REF!,"AAAAAH/vv38=")</f>
        <v>#REF!</v>
      </c>
      <c r="DY432" t="e">
        <f>IF('COMPARATIVO PLAN VS PROGRAMACIO'!#REF!,"AAAAAH/vv4A=",0)</f>
        <v>#REF!</v>
      </c>
      <c r="DZ432" t="e">
        <f>AND('COMPARATIVO PLAN VS PROGRAMACIO'!#REF!,"AAAAAH/vv4E=")</f>
        <v>#REF!</v>
      </c>
      <c r="EA432" t="e">
        <f>AND('COMPARATIVO PLAN VS PROGRAMACIO'!#REF!,"AAAAAH/vv4I=")</f>
        <v>#REF!</v>
      </c>
      <c r="EB432" t="e">
        <f>AND('COMPARATIVO PLAN VS PROGRAMACIO'!#REF!,"AAAAAH/vv4M=")</f>
        <v>#REF!</v>
      </c>
      <c r="EC432" t="e">
        <f>IF('COMPARATIVO PLAN VS PROGRAMACIO'!#REF!,"AAAAAH/vv4Q=",0)</f>
        <v>#REF!</v>
      </c>
      <c r="ED432" t="e">
        <f>AND('COMPARATIVO PLAN VS PROGRAMACIO'!#REF!,"AAAAAH/vv4U=")</f>
        <v>#REF!</v>
      </c>
      <c r="EE432" t="e">
        <f>AND('COMPARATIVO PLAN VS PROGRAMACIO'!#REF!,"AAAAAH/vv4Y=")</f>
        <v>#REF!</v>
      </c>
      <c r="EF432" t="e">
        <f>AND('COMPARATIVO PLAN VS PROGRAMACIO'!#REF!,"AAAAAH/vv4c=")</f>
        <v>#REF!</v>
      </c>
      <c r="EG432" t="e">
        <f>IF('COMPARATIVO PLAN VS PROGRAMACIO'!#REF!,"AAAAAH/vv4g=",0)</f>
        <v>#REF!</v>
      </c>
      <c r="EH432" t="e">
        <f>AND('COMPARATIVO PLAN VS PROGRAMACIO'!#REF!,"AAAAAH/vv4k=")</f>
        <v>#REF!</v>
      </c>
      <c r="EI432" t="e">
        <f>AND('COMPARATIVO PLAN VS PROGRAMACIO'!#REF!,"AAAAAH/vv4o=")</f>
        <v>#REF!</v>
      </c>
      <c r="EJ432" t="e">
        <f>AND('COMPARATIVO PLAN VS PROGRAMACIO'!#REF!,"AAAAAH/vv4s=")</f>
        <v>#REF!</v>
      </c>
      <c r="EK432" t="e">
        <f>IF('COMPARATIVO PLAN VS PROGRAMACIO'!#REF!,"AAAAAH/vv4w=",0)</f>
        <v>#REF!</v>
      </c>
      <c r="EL432" t="e">
        <f>AND('COMPARATIVO PLAN VS PROGRAMACIO'!#REF!,"AAAAAH/vv40=")</f>
        <v>#REF!</v>
      </c>
      <c r="EM432" t="e">
        <f>AND('COMPARATIVO PLAN VS PROGRAMACIO'!#REF!,"AAAAAH/vv44=")</f>
        <v>#REF!</v>
      </c>
      <c r="EN432" t="e">
        <f>AND('COMPARATIVO PLAN VS PROGRAMACIO'!#REF!,"AAAAAH/vv48=")</f>
        <v>#REF!</v>
      </c>
      <c r="EO432" t="e">
        <f>IF('COMPARATIVO PLAN VS PROGRAMACIO'!#REF!,"AAAAAH/vv5A=",0)</f>
        <v>#REF!</v>
      </c>
      <c r="EP432" t="e">
        <f>AND('COMPARATIVO PLAN VS PROGRAMACIO'!#REF!,"AAAAAH/vv5E=")</f>
        <v>#REF!</v>
      </c>
      <c r="EQ432" t="e">
        <f>AND('COMPARATIVO PLAN VS PROGRAMACIO'!#REF!,"AAAAAH/vv5I=")</f>
        <v>#REF!</v>
      </c>
      <c r="ER432" t="e">
        <f>AND('COMPARATIVO PLAN VS PROGRAMACIO'!#REF!,"AAAAAH/vv5M=")</f>
        <v>#REF!</v>
      </c>
      <c r="ES432" t="e">
        <f>IF('COMPARATIVO PLAN VS PROGRAMACIO'!#REF!,"AAAAAH/vv5Q=",0)</f>
        <v>#REF!</v>
      </c>
      <c r="ET432" t="e">
        <f>AND('COMPARATIVO PLAN VS PROGRAMACIO'!#REF!,"AAAAAH/vv5U=")</f>
        <v>#REF!</v>
      </c>
      <c r="EU432" t="e">
        <f>AND('COMPARATIVO PLAN VS PROGRAMACIO'!#REF!,"AAAAAH/vv5Y=")</f>
        <v>#REF!</v>
      </c>
      <c r="EV432" t="e">
        <f>AND('COMPARATIVO PLAN VS PROGRAMACIO'!#REF!,"AAAAAH/vv5c=")</f>
        <v>#REF!</v>
      </c>
      <c r="EW432" t="e">
        <f>IF('COMPARATIVO PLAN VS PROGRAMACIO'!#REF!,"AAAAAH/vv5g=",0)</f>
        <v>#REF!</v>
      </c>
      <c r="EX432" t="e">
        <f>AND('COMPARATIVO PLAN VS PROGRAMACIO'!#REF!,"AAAAAH/vv5k=")</f>
        <v>#REF!</v>
      </c>
      <c r="EY432" t="e">
        <f>AND('COMPARATIVO PLAN VS PROGRAMACIO'!#REF!,"AAAAAH/vv5o=")</f>
        <v>#REF!</v>
      </c>
      <c r="EZ432" t="e">
        <f>AND('COMPARATIVO PLAN VS PROGRAMACIO'!#REF!,"AAAAAH/vv5s=")</f>
        <v>#REF!</v>
      </c>
      <c r="FA432" t="e">
        <f>IF('COMPARATIVO PLAN VS PROGRAMACIO'!#REF!,"AAAAAH/vv5w=",0)</f>
        <v>#REF!</v>
      </c>
      <c r="FB432" t="e">
        <f>AND('COMPARATIVO PLAN VS PROGRAMACIO'!#REF!,"AAAAAH/vv50=")</f>
        <v>#REF!</v>
      </c>
      <c r="FC432" t="e">
        <f>AND('COMPARATIVO PLAN VS PROGRAMACIO'!#REF!,"AAAAAH/vv54=")</f>
        <v>#REF!</v>
      </c>
      <c r="FD432" t="e">
        <f>AND('COMPARATIVO PLAN VS PROGRAMACIO'!#REF!,"AAAAAH/vv58=")</f>
        <v>#REF!</v>
      </c>
      <c r="FE432" t="e">
        <f>IF('COMPARATIVO PLAN VS PROGRAMACIO'!#REF!,"AAAAAH/vv6A=",0)</f>
        <v>#REF!</v>
      </c>
      <c r="FF432" t="e">
        <f>AND('COMPARATIVO PLAN VS PROGRAMACIO'!#REF!,"AAAAAH/vv6E=")</f>
        <v>#REF!</v>
      </c>
      <c r="FG432" t="e">
        <f>AND('COMPARATIVO PLAN VS PROGRAMACIO'!#REF!,"AAAAAH/vv6I=")</f>
        <v>#REF!</v>
      </c>
      <c r="FH432" t="e">
        <f>AND('COMPARATIVO PLAN VS PROGRAMACIO'!#REF!,"AAAAAH/vv6M=")</f>
        <v>#REF!</v>
      </c>
      <c r="FI432" t="e">
        <f>IF('COMPARATIVO PLAN VS PROGRAMACIO'!#REF!,"AAAAAH/vv6Q=",0)</f>
        <v>#REF!</v>
      </c>
      <c r="FJ432" t="e">
        <f>AND('COMPARATIVO PLAN VS PROGRAMACIO'!#REF!,"AAAAAH/vv6U=")</f>
        <v>#REF!</v>
      </c>
      <c r="FK432" t="e">
        <f>AND('COMPARATIVO PLAN VS PROGRAMACIO'!#REF!,"AAAAAH/vv6Y=")</f>
        <v>#REF!</v>
      </c>
      <c r="FL432" t="e">
        <f>AND('COMPARATIVO PLAN VS PROGRAMACIO'!#REF!,"AAAAAH/vv6c=")</f>
        <v>#REF!</v>
      </c>
      <c r="FM432" t="e">
        <f>IF('COMPARATIVO PLAN VS PROGRAMACIO'!#REF!,"AAAAAH/vv6g=",0)</f>
        <v>#REF!</v>
      </c>
      <c r="FN432" t="e">
        <f>AND('COMPARATIVO PLAN VS PROGRAMACIO'!#REF!,"AAAAAH/vv6k=")</f>
        <v>#REF!</v>
      </c>
      <c r="FO432" t="e">
        <f>AND('COMPARATIVO PLAN VS PROGRAMACIO'!#REF!,"AAAAAH/vv6o=")</f>
        <v>#REF!</v>
      </c>
      <c r="FP432" t="e">
        <f>AND('COMPARATIVO PLAN VS PROGRAMACIO'!#REF!,"AAAAAH/vv6s=")</f>
        <v>#REF!</v>
      </c>
      <c r="FQ432" t="e">
        <f>IF('COMPARATIVO PLAN VS PROGRAMACIO'!#REF!,"AAAAAH/vv6w=",0)</f>
        <v>#REF!</v>
      </c>
      <c r="FR432" t="e">
        <f>AND('COMPARATIVO PLAN VS PROGRAMACIO'!#REF!,"AAAAAH/vv60=")</f>
        <v>#REF!</v>
      </c>
      <c r="FS432" t="e">
        <f>AND('COMPARATIVO PLAN VS PROGRAMACIO'!#REF!,"AAAAAH/vv64=")</f>
        <v>#REF!</v>
      </c>
      <c r="FT432" t="e">
        <f>AND('COMPARATIVO PLAN VS PROGRAMACIO'!#REF!,"AAAAAH/vv68=")</f>
        <v>#REF!</v>
      </c>
      <c r="FU432" t="e">
        <f>IF('COMPARATIVO PLAN VS PROGRAMACIO'!#REF!,"AAAAAH/vv7A=",0)</f>
        <v>#REF!</v>
      </c>
      <c r="FV432" t="e">
        <f>AND('COMPARATIVO PLAN VS PROGRAMACIO'!#REF!,"AAAAAH/vv7E=")</f>
        <v>#REF!</v>
      </c>
      <c r="FW432" t="e">
        <f>AND('COMPARATIVO PLAN VS PROGRAMACIO'!#REF!,"AAAAAH/vv7I=")</f>
        <v>#REF!</v>
      </c>
      <c r="FX432" t="e">
        <f>AND('COMPARATIVO PLAN VS PROGRAMACIO'!#REF!,"AAAAAH/vv7M=")</f>
        <v>#REF!</v>
      </c>
      <c r="FY432" t="e">
        <f>IF('COMPARATIVO PLAN VS PROGRAMACIO'!#REF!,"AAAAAH/vv7Q=",0)</f>
        <v>#REF!</v>
      </c>
      <c r="FZ432" t="e">
        <f>AND('COMPARATIVO PLAN VS PROGRAMACIO'!#REF!,"AAAAAH/vv7U=")</f>
        <v>#REF!</v>
      </c>
      <c r="GA432" t="e">
        <f>AND('COMPARATIVO PLAN VS PROGRAMACIO'!#REF!,"AAAAAH/vv7Y=")</f>
        <v>#REF!</v>
      </c>
      <c r="GB432" t="e">
        <f>AND('COMPARATIVO PLAN VS PROGRAMACIO'!#REF!,"AAAAAH/vv7c=")</f>
        <v>#REF!</v>
      </c>
      <c r="GC432" t="e">
        <f>IF('COMPARATIVO PLAN VS PROGRAMACIO'!#REF!,"AAAAAH/vv7g=",0)</f>
        <v>#REF!</v>
      </c>
      <c r="GD432" t="e">
        <f>AND('COMPARATIVO PLAN VS PROGRAMACIO'!#REF!,"AAAAAH/vv7k=")</f>
        <v>#REF!</v>
      </c>
      <c r="GE432" t="e">
        <f>AND('COMPARATIVO PLAN VS PROGRAMACIO'!#REF!,"AAAAAH/vv7o=")</f>
        <v>#REF!</v>
      </c>
      <c r="GF432" t="e">
        <f>AND('COMPARATIVO PLAN VS PROGRAMACIO'!#REF!,"AAAAAH/vv7s=")</f>
        <v>#REF!</v>
      </c>
      <c r="GG432" t="e">
        <f>IF('COMPARATIVO PLAN VS PROGRAMACIO'!#REF!,"AAAAAH/vv7w=",0)</f>
        <v>#REF!</v>
      </c>
      <c r="GH432" t="e">
        <f>AND('COMPARATIVO PLAN VS PROGRAMACIO'!#REF!,"AAAAAH/vv70=")</f>
        <v>#REF!</v>
      </c>
      <c r="GI432" t="e">
        <f>AND('COMPARATIVO PLAN VS PROGRAMACIO'!#REF!,"AAAAAH/vv74=")</f>
        <v>#REF!</v>
      </c>
      <c r="GJ432" t="e">
        <f>AND('COMPARATIVO PLAN VS PROGRAMACIO'!#REF!,"AAAAAH/vv78=")</f>
        <v>#REF!</v>
      </c>
      <c r="GK432" t="e">
        <f>IF('COMPARATIVO PLAN VS PROGRAMACIO'!#REF!,"AAAAAH/vv8A=",0)</f>
        <v>#REF!</v>
      </c>
      <c r="GL432" t="e">
        <f>AND('COMPARATIVO PLAN VS PROGRAMACIO'!#REF!,"AAAAAH/vv8E=")</f>
        <v>#REF!</v>
      </c>
      <c r="GM432" t="e">
        <f>AND('COMPARATIVO PLAN VS PROGRAMACIO'!#REF!,"AAAAAH/vv8I=")</f>
        <v>#REF!</v>
      </c>
      <c r="GN432" t="e">
        <f>AND('COMPARATIVO PLAN VS PROGRAMACIO'!#REF!,"AAAAAH/vv8M=")</f>
        <v>#REF!</v>
      </c>
      <c r="GO432" t="e">
        <f>IF('COMPARATIVO PLAN VS PROGRAMACIO'!#REF!,"AAAAAH/vv8Q=",0)</f>
        <v>#REF!</v>
      </c>
      <c r="GP432" t="e">
        <f>AND('COMPARATIVO PLAN VS PROGRAMACIO'!#REF!,"AAAAAH/vv8U=")</f>
        <v>#REF!</v>
      </c>
      <c r="GQ432" t="e">
        <f>AND('COMPARATIVO PLAN VS PROGRAMACIO'!#REF!,"AAAAAH/vv8Y=")</f>
        <v>#REF!</v>
      </c>
      <c r="GR432" t="e">
        <f>AND('COMPARATIVO PLAN VS PROGRAMACIO'!#REF!,"AAAAAH/vv8c=")</f>
        <v>#REF!</v>
      </c>
      <c r="GS432" t="e">
        <f>IF('COMPARATIVO PLAN VS PROGRAMACIO'!#REF!,"AAAAAH/vv8g=",0)</f>
        <v>#REF!</v>
      </c>
      <c r="GT432" t="e">
        <f>AND('COMPARATIVO PLAN VS PROGRAMACIO'!#REF!,"AAAAAH/vv8k=")</f>
        <v>#REF!</v>
      </c>
      <c r="GU432" t="e">
        <f>AND('COMPARATIVO PLAN VS PROGRAMACIO'!#REF!,"AAAAAH/vv8o=")</f>
        <v>#REF!</v>
      </c>
      <c r="GV432" t="e">
        <f>AND('COMPARATIVO PLAN VS PROGRAMACIO'!#REF!,"AAAAAH/vv8s=")</f>
        <v>#REF!</v>
      </c>
      <c r="GW432" t="e">
        <f>IF('COMPARATIVO PLAN VS PROGRAMACIO'!#REF!,"AAAAAH/vv8w=",0)</f>
        <v>#REF!</v>
      </c>
      <c r="GX432" t="e">
        <f>AND('COMPARATIVO PLAN VS PROGRAMACIO'!#REF!,"AAAAAH/vv80=")</f>
        <v>#REF!</v>
      </c>
      <c r="GY432" t="e">
        <f>AND('COMPARATIVO PLAN VS PROGRAMACIO'!#REF!,"AAAAAH/vv84=")</f>
        <v>#REF!</v>
      </c>
      <c r="GZ432" t="e">
        <f>AND('COMPARATIVO PLAN VS PROGRAMACIO'!#REF!,"AAAAAH/vv88=")</f>
        <v>#REF!</v>
      </c>
      <c r="HA432" t="e">
        <f>IF('COMPARATIVO PLAN VS PROGRAMACIO'!#REF!,"AAAAAH/vv9A=",0)</f>
        <v>#REF!</v>
      </c>
      <c r="HB432" t="e">
        <f>AND('COMPARATIVO PLAN VS PROGRAMACIO'!#REF!,"AAAAAH/vv9E=")</f>
        <v>#REF!</v>
      </c>
      <c r="HC432" t="e">
        <f>AND('COMPARATIVO PLAN VS PROGRAMACIO'!#REF!,"AAAAAH/vv9I=")</f>
        <v>#REF!</v>
      </c>
      <c r="HD432" t="e">
        <f>AND('COMPARATIVO PLAN VS PROGRAMACIO'!#REF!,"AAAAAH/vv9M=")</f>
        <v>#REF!</v>
      </c>
      <c r="HE432" t="e">
        <f>IF('COMPARATIVO PLAN VS PROGRAMACIO'!#REF!,"AAAAAH/vv9Q=",0)</f>
        <v>#REF!</v>
      </c>
      <c r="HF432" t="e">
        <f>AND('COMPARATIVO PLAN VS PROGRAMACIO'!#REF!,"AAAAAH/vv9U=")</f>
        <v>#REF!</v>
      </c>
      <c r="HG432" t="e">
        <f>AND('COMPARATIVO PLAN VS PROGRAMACIO'!#REF!,"AAAAAH/vv9Y=")</f>
        <v>#REF!</v>
      </c>
      <c r="HH432" t="e">
        <f>AND('COMPARATIVO PLAN VS PROGRAMACIO'!#REF!,"AAAAAH/vv9c=")</f>
        <v>#REF!</v>
      </c>
      <c r="HI432" t="e">
        <f>IF('COMPARATIVO PLAN VS PROGRAMACIO'!#REF!,"AAAAAH/vv9g=",0)</f>
        <v>#REF!</v>
      </c>
      <c r="HJ432" t="e">
        <f>AND('COMPARATIVO PLAN VS PROGRAMACIO'!#REF!,"AAAAAH/vv9k=")</f>
        <v>#REF!</v>
      </c>
      <c r="HK432" t="e">
        <f>AND('COMPARATIVO PLAN VS PROGRAMACIO'!#REF!,"AAAAAH/vv9o=")</f>
        <v>#REF!</v>
      </c>
      <c r="HL432" t="e">
        <f>AND('COMPARATIVO PLAN VS PROGRAMACIO'!#REF!,"AAAAAH/vv9s=")</f>
        <v>#REF!</v>
      </c>
      <c r="HM432" t="e">
        <f>IF('COMPARATIVO PLAN VS PROGRAMACIO'!#REF!,"AAAAAH/vv9w=",0)</f>
        <v>#REF!</v>
      </c>
      <c r="HN432" t="e">
        <f>AND('COMPARATIVO PLAN VS PROGRAMACIO'!#REF!,"AAAAAH/vv90=")</f>
        <v>#REF!</v>
      </c>
      <c r="HO432" t="e">
        <f>AND('COMPARATIVO PLAN VS PROGRAMACIO'!#REF!,"AAAAAH/vv94=")</f>
        <v>#REF!</v>
      </c>
      <c r="HP432" t="e">
        <f>AND('COMPARATIVO PLAN VS PROGRAMACIO'!#REF!,"AAAAAH/vv98=")</f>
        <v>#REF!</v>
      </c>
      <c r="HQ432" t="e">
        <f>IF('COMPARATIVO PLAN VS PROGRAMACIO'!#REF!,"AAAAAH/vv+A=",0)</f>
        <v>#REF!</v>
      </c>
      <c r="HR432" t="e">
        <f>AND('COMPARATIVO PLAN VS PROGRAMACIO'!#REF!,"AAAAAH/vv+E=")</f>
        <v>#REF!</v>
      </c>
      <c r="HS432" t="e">
        <f>AND('COMPARATIVO PLAN VS PROGRAMACIO'!#REF!,"AAAAAH/vv+I=")</f>
        <v>#REF!</v>
      </c>
      <c r="HT432" t="e">
        <f>AND('COMPARATIVO PLAN VS PROGRAMACIO'!#REF!,"AAAAAH/vv+M=")</f>
        <v>#REF!</v>
      </c>
      <c r="HU432" t="e">
        <f>IF('COMPARATIVO PLAN VS PROGRAMACIO'!#REF!,"AAAAAH/vv+Q=",0)</f>
        <v>#REF!</v>
      </c>
      <c r="HV432" t="e">
        <f>AND('COMPARATIVO PLAN VS PROGRAMACIO'!#REF!,"AAAAAH/vv+U=")</f>
        <v>#REF!</v>
      </c>
      <c r="HW432" t="e">
        <f>AND('COMPARATIVO PLAN VS PROGRAMACIO'!#REF!,"AAAAAH/vv+Y=")</f>
        <v>#REF!</v>
      </c>
      <c r="HX432" t="e">
        <f>AND('COMPARATIVO PLAN VS PROGRAMACIO'!#REF!,"AAAAAH/vv+c=")</f>
        <v>#REF!</v>
      </c>
      <c r="HY432" t="e">
        <f>IF('COMPARATIVO PLAN VS PROGRAMACIO'!#REF!,"AAAAAH/vv+g=",0)</f>
        <v>#REF!</v>
      </c>
      <c r="HZ432" t="e">
        <f>AND('COMPARATIVO PLAN VS PROGRAMACIO'!#REF!,"AAAAAH/vv+k=")</f>
        <v>#REF!</v>
      </c>
      <c r="IA432" t="e">
        <f>AND('COMPARATIVO PLAN VS PROGRAMACIO'!#REF!,"AAAAAH/vv+o=")</f>
        <v>#REF!</v>
      </c>
      <c r="IB432" t="e">
        <f>AND('COMPARATIVO PLAN VS PROGRAMACIO'!#REF!,"AAAAAH/vv+s=")</f>
        <v>#REF!</v>
      </c>
      <c r="IC432" t="e">
        <f>IF('COMPARATIVO PLAN VS PROGRAMACIO'!#REF!,"AAAAAH/vv+w=",0)</f>
        <v>#REF!</v>
      </c>
      <c r="ID432" t="e">
        <f>AND('COMPARATIVO PLAN VS PROGRAMACIO'!#REF!,"AAAAAH/vv+0=")</f>
        <v>#REF!</v>
      </c>
      <c r="IE432" t="e">
        <f>AND('COMPARATIVO PLAN VS PROGRAMACIO'!#REF!,"AAAAAH/vv+4=")</f>
        <v>#REF!</v>
      </c>
      <c r="IF432" t="e">
        <f>AND('COMPARATIVO PLAN VS PROGRAMACIO'!#REF!,"AAAAAH/vv+8=")</f>
        <v>#REF!</v>
      </c>
      <c r="IG432" t="e">
        <f>IF('COMPARATIVO PLAN VS PROGRAMACIO'!#REF!,"AAAAAH/vv/A=",0)</f>
        <v>#REF!</v>
      </c>
      <c r="IH432" t="e">
        <f>AND('COMPARATIVO PLAN VS PROGRAMACIO'!#REF!,"AAAAAH/vv/E=")</f>
        <v>#REF!</v>
      </c>
      <c r="II432" t="e">
        <f>AND('COMPARATIVO PLAN VS PROGRAMACIO'!#REF!,"AAAAAH/vv/I=")</f>
        <v>#REF!</v>
      </c>
      <c r="IJ432" t="e">
        <f>AND('COMPARATIVO PLAN VS PROGRAMACIO'!#REF!,"AAAAAH/vv/M=")</f>
        <v>#REF!</v>
      </c>
      <c r="IK432" t="e">
        <f>IF('COMPARATIVO PLAN VS PROGRAMACIO'!#REF!,"AAAAAH/vv/Q=",0)</f>
        <v>#REF!</v>
      </c>
      <c r="IL432" t="e">
        <f>AND('COMPARATIVO PLAN VS PROGRAMACIO'!#REF!,"AAAAAH/vv/U=")</f>
        <v>#REF!</v>
      </c>
      <c r="IM432" t="e">
        <f>AND('COMPARATIVO PLAN VS PROGRAMACIO'!#REF!,"AAAAAH/vv/Y=")</f>
        <v>#REF!</v>
      </c>
      <c r="IN432" t="e">
        <f>AND('COMPARATIVO PLAN VS PROGRAMACIO'!#REF!,"AAAAAH/vv/c=")</f>
        <v>#REF!</v>
      </c>
      <c r="IO432" t="e">
        <f>IF('COMPARATIVO PLAN VS PROGRAMACIO'!#REF!,"AAAAAH/vv/g=",0)</f>
        <v>#REF!</v>
      </c>
      <c r="IP432" t="e">
        <f>AND('COMPARATIVO PLAN VS PROGRAMACIO'!#REF!,"AAAAAH/vv/k=")</f>
        <v>#REF!</v>
      </c>
      <c r="IQ432" t="e">
        <f>AND('COMPARATIVO PLAN VS PROGRAMACIO'!#REF!,"AAAAAH/vv/o=")</f>
        <v>#REF!</v>
      </c>
      <c r="IR432" t="e">
        <f>AND('COMPARATIVO PLAN VS PROGRAMACIO'!#REF!,"AAAAAH/vv/s=")</f>
        <v>#REF!</v>
      </c>
      <c r="IS432" t="e">
        <f>IF('COMPARATIVO PLAN VS PROGRAMACIO'!#REF!,"AAAAAH/vv/w=",0)</f>
        <v>#REF!</v>
      </c>
      <c r="IT432" t="e">
        <f>AND('COMPARATIVO PLAN VS PROGRAMACIO'!#REF!,"AAAAAH/vv/0=")</f>
        <v>#REF!</v>
      </c>
      <c r="IU432" t="e">
        <f>AND('COMPARATIVO PLAN VS PROGRAMACIO'!#REF!,"AAAAAH/vv/4=")</f>
        <v>#REF!</v>
      </c>
      <c r="IV432" t="e">
        <f>AND('COMPARATIVO PLAN VS PROGRAMACIO'!#REF!,"AAAAAH/vv/8=")</f>
        <v>#REF!</v>
      </c>
    </row>
    <row r="433" spans="1:256" x14ac:dyDescent="0.2">
      <c r="A433" t="e">
        <f>IF('COMPARATIVO PLAN VS PROGRAMACIO'!#REF!,"AAAAADf+/wA=",0)</f>
        <v>#REF!</v>
      </c>
      <c r="B433" t="e">
        <f>AND('COMPARATIVO PLAN VS PROGRAMACIO'!#REF!,"AAAAADf+/wE=")</f>
        <v>#REF!</v>
      </c>
      <c r="C433" t="e">
        <f>AND('COMPARATIVO PLAN VS PROGRAMACIO'!#REF!,"AAAAADf+/wI=")</f>
        <v>#REF!</v>
      </c>
      <c r="D433" t="e">
        <f>AND('COMPARATIVO PLAN VS PROGRAMACIO'!#REF!,"AAAAADf+/wM=")</f>
        <v>#REF!</v>
      </c>
      <c r="E433" t="e">
        <f>IF('COMPARATIVO PLAN VS PROGRAMACIO'!#REF!,"AAAAADf+/wQ=",0)</f>
        <v>#REF!</v>
      </c>
      <c r="F433" t="e">
        <f>AND('COMPARATIVO PLAN VS PROGRAMACIO'!#REF!,"AAAAADf+/wU=")</f>
        <v>#REF!</v>
      </c>
      <c r="G433" t="e">
        <f>AND('COMPARATIVO PLAN VS PROGRAMACIO'!#REF!,"AAAAADf+/wY=")</f>
        <v>#REF!</v>
      </c>
      <c r="H433" t="e">
        <f>AND('COMPARATIVO PLAN VS PROGRAMACIO'!#REF!,"AAAAADf+/wc=")</f>
        <v>#REF!</v>
      </c>
      <c r="I433" t="e">
        <f>IF('COMPARATIVO PLAN VS PROGRAMACIO'!#REF!,"AAAAADf+/wg=",0)</f>
        <v>#REF!</v>
      </c>
      <c r="J433" t="e">
        <f>AND('COMPARATIVO PLAN VS PROGRAMACIO'!#REF!,"AAAAADf+/wk=")</f>
        <v>#REF!</v>
      </c>
      <c r="K433" t="e">
        <f>AND('COMPARATIVO PLAN VS PROGRAMACIO'!#REF!,"AAAAADf+/wo=")</f>
        <v>#REF!</v>
      </c>
      <c r="L433" t="e">
        <f>AND('COMPARATIVO PLAN VS PROGRAMACIO'!#REF!,"AAAAADf+/ws=")</f>
        <v>#REF!</v>
      </c>
      <c r="M433" t="e">
        <f>IF('COMPARATIVO PLAN VS PROGRAMACIO'!#REF!,"AAAAADf+/ww=",0)</f>
        <v>#REF!</v>
      </c>
      <c r="N433" t="e">
        <f>AND('COMPARATIVO PLAN VS PROGRAMACIO'!#REF!,"AAAAADf+/w0=")</f>
        <v>#REF!</v>
      </c>
      <c r="O433" t="e">
        <f>AND('COMPARATIVO PLAN VS PROGRAMACIO'!#REF!,"AAAAADf+/w4=")</f>
        <v>#REF!</v>
      </c>
      <c r="P433" t="e">
        <f>AND('COMPARATIVO PLAN VS PROGRAMACIO'!#REF!,"AAAAADf+/w8=")</f>
        <v>#REF!</v>
      </c>
      <c r="Q433" t="e">
        <f>IF('COMPARATIVO PLAN VS PROGRAMACIO'!#REF!,"AAAAADf+/xA=",0)</f>
        <v>#REF!</v>
      </c>
      <c r="R433" t="e">
        <f>AND('COMPARATIVO PLAN VS PROGRAMACIO'!#REF!,"AAAAADf+/xE=")</f>
        <v>#REF!</v>
      </c>
      <c r="S433" t="e">
        <f>AND('COMPARATIVO PLAN VS PROGRAMACIO'!#REF!,"AAAAADf+/xI=")</f>
        <v>#REF!</v>
      </c>
      <c r="T433" t="e">
        <f>AND('COMPARATIVO PLAN VS PROGRAMACIO'!#REF!,"AAAAADf+/xM=")</f>
        <v>#REF!</v>
      </c>
      <c r="U433" t="e">
        <f>IF('COMPARATIVO PLAN VS PROGRAMACIO'!#REF!,"AAAAADf+/xQ=",0)</f>
        <v>#REF!</v>
      </c>
      <c r="V433" t="e">
        <f>AND('COMPARATIVO PLAN VS PROGRAMACIO'!#REF!,"AAAAADf+/xU=")</f>
        <v>#REF!</v>
      </c>
      <c r="W433" t="e">
        <f>AND('COMPARATIVO PLAN VS PROGRAMACIO'!#REF!,"AAAAADf+/xY=")</f>
        <v>#REF!</v>
      </c>
      <c r="X433" t="e">
        <f>AND('COMPARATIVO PLAN VS PROGRAMACIO'!#REF!,"AAAAADf+/xc=")</f>
        <v>#REF!</v>
      </c>
      <c r="Y433" t="e">
        <f>IF('COMPARATIVO PLAN VS PROGRAMACIO'!#REF!,"AAAAADf+/xg=",0)</f>
        <v>#REF!</v>
      </c>
      <c r="Z433" t="e">
        <f>AND('COMPARATIVO PLAN VS PROGRAMACIO'!#REF!,"AAAAADf+/xk=")</f>
        <v>#REF!</v>
      </c>
      <c r="AA433" t="e">
        <f>AND('COMPARATIVO PLAN VS PROGRAMACIO'!#REF!,"AAAAADf+/xo=")</f>
        <v>#REF!</v>
      </c>
      <c r="AB433" t="e">
        <f>AND('COMPARATIVO PLAN VS PROGRAMACIO'!#REF!,"AAAAADf+/xs=")</f>
        <v>#REF!</v>
      </c>
      <c r="AC433" t="e">
        <f>IF('COMPARATIVO PLAN VS PROGRAMACIO'!#REF!,"AAAAADf+/xw=",0)</f>
        <v>#REF!</v>
      </c>
      <c r="AD433" t="e">
        <f>AND('COMPARATIVO PLAN VS PROGRAMACIO'!#REF!,"AAAAADf+/x0=")</f>
        <v>#REF!</v>
      </c>
      <c r="AE433" t="e">
        <f>AND('COMPARATIVO PLAN VS PROGRAMACIO'!#REF!,"AAAAADf+/x4=")</f>
        <v>#REF!</v>
      </c>
      <c r="AF433" t="e">
        <f>AND('COMPARATIVO PLAN VS PROGRAMACIO'!#REF!,"AAAAADf+/x8=")</f>
        <v>#REF!</v>
      </c>
      <c r="AG433" t="e">
        <f>IF('COMPARATIVO PLAN VS PROGRAMACIO'!#REF!,"AAAAADf+/yA=",0)</f>
        <v>#REF!</v>
      </c>
      <c r="AH433" t="e">
        <f>AND('COMPARATIVO PLAN VS PROGRAMACIO'!#REF!,"AAAAADf+/yE=")</f>
        <v>#REF!</v>
      </c>
      <c r="AI433" t="e">
        <f>AND('COMPARATIVO PLAN VS PROGRAMACIO'!#REF!,"AAAAADf+/yI=")</f>
        <v>#REF!</v>
      </c>
      <c r="AJ433" t="e">
        <f>AND('COMPARATIVO PLAN VS PROGRAMACIO'!#REF!,"AAAAADf+/yM=")</f>
        <v>#REF!</v>
      </c>
      <c r="AK433" t="e">
        <f>IF('COMPARATIVO PLAN VS PROGRAMACIO'!#REF!,"AAAAADf+/yQ=",0)</f>
        <v>#REF!</v>
      </c>
      <c r="AL433" t="e">
        <f>AND('COMPARATIVO PLAN VS PROGRAMACIO'!#REF!,"AAAAADf+/yU=")</f>
        <v>#REF!</v>
      </c>
      <c r="AM433" t="e">
        <f>AND('COMPARATIVO PLAN VS PROGRAMACIO'!#REF!,"AAAAADf+/yY=")</f>
        <v>#REF!</v>
      </c>
      <c r="AN433" t="e">
        <f>AND('COMPARATIVO PLAN VS PROGRAMACIO'!#REF!,"AAAAADf+/yc=")</f>
        <v>#REF!</v>
      </c>
      <c r="AO433" t="e">
        <f>IF('COMPARATIVO PLAN VS PROGRAMACIO'!#REF!,"AAAAADf+/yg=",0)</f>
        <v>#REF!</v>
      </c>
      <c r="AP433" t="e">
        <f>AND('COMPARATIVO PLAN VS PROGRAMACIO'!#REF!,"AAAAADf+/yk=")</f>
        <v>#REF!</v>
      </c>
      <c r="AQ433" t="e">
        <f>AND('COMPARATIVO PLAN VS PROGRAMACIO'!#REF!,"AAAAADf+/yo=")</f>
        <v>#REF!</v>
      </c>
      <c r="AR433" t="e">
        <f>AND('COMPARATIVO PLAN VS PROGRAMACIO'!#REF!,"AAAAADf+/ys=")</f>
        <v>#REF!</v>
      </c>
      <c r="AS433" t="e">
        <f>IF('COMPARATIVO PLAN VS PROGRAMACIO'!#REF!,"AAAAADf+/yw=",0)</f>
        <v>#REF!</v>
      </c>
      <c r="AT433" t="e">
        <f>AND('COMPARATIVO PLAN VS PROGRAMACIO'!#REF!,"AAAAADf+/y0=")</f>
        <v>#REF!</v>
      </c>
      <c r="AU433" t="e">
        <f>AND('COMPARATIVO PLAN VS PROGRAMACIO'!#REF!,"AAAAADf+/y4=")</f>
        <v>#REF!</v>
      </c>
      <c r="AV433" t="e">
        <f>AND('COMPARATIVO PLAN VS PROGRAMACIO'!#REF!,"AAAAADf+/y8=")</f>
        <v>#REF!</v>
      </c>
      <c r="AW433" t="e">
        <f>IF('COMPARATIVO PLAN VS PROGRAMACIO'!#REF!,"AAAAADf+/zA=",0)</f>
        <v>#REF!</v>
      </c>
      <c r="AX433" t="e">
        <f>AND('COMPARATIVO PLAN VS PROGRAMACIO'!#REF!,"AAAAADf+/zE=")</f>
        <v>#REF!</v>
      </c>
      <c r="AY433" t="e">
        <f>AND('COMPARATIVO PLAN VS PROGRAMACIO'!#REF!,"AAAAADf+/zI=")</f>
        <v>#REF!</v>
      </c>
      <c r="AZ433" t="e">
        <f>AND('COMPARATIVO PLAN VS PROGRAMACIO'!#REF!,"AAAAADf+/zM=")</f>
        <v>#REF!</v>
      </c>
      <c r="BA433" t="e">
        <f>IF('COMPARATIVO PLAN VS PROGRAMACIO'!#REF!,"AAAAADf+/zQ=",0)</f>
        <v>#REF!</v>
      </c>
      <c r="BB433" t="e">
        <f>AND('COMPARATIVO PLAN VS PROGRAMACIO'!#REF!,"AAAAADf+/zU=")</f>
        <v>#REF!</v>
      </c>
      <c r="BC433" t="e">
        <f>AND('COMPARATIVO PLAN VS PROGRAMACIO'!#REF!,"AAAAADf+/zY=")</f>
        <v>#REF!</v>
      </c>
      <c r="BD433" t="e">
        <f>AND('COMPARATIVO PLAN VS PROGRAMACIO'!#REF!,"AAAAADf+/zc=")</f>
        <v>#REF!</v>
      </c>
      <c r="BE433" t="e">
        <f>IF('COMPARATIVO PLAN VS PROGRAMACIO'!#REF!,"AAAAADf+/zg=",0)</f>
        <v>#REF!</v>
      </c>
      <c r="BF433" t="e">
        <f>AND('COMPARATIVO PLAN VS PROGRAMACIO'!#REF!,"AAAAADf+/zk=")</f>
        <v>#REF!</v>
      </c>
      <c r="BG433" t="e">
        <f>AND('COMPARATIVO PLAN VS PROGRAMACIO'!#REF!,"AAAAADf+/zo=")</f>
        <v>#REF!</v>
      </c>
      <c r="BH433" t="e">
        <f>AND('COMPARATIVO PLAN VS PROGRAMACIO'!#REF!,"AAAAADf+/zs=")</f>
        <v>#REF!</v>
      </c>
      <c r="BI433" t="e">
        <f>IF('COMPARATIVO PLAN VS PROGRAMACIO'!#REF!,"AAAAADf+/zw=",0)</f>
        <v>#REF!</v>
      </c>
      <c r="BJ433" t="e">
        <f>AND('COMPARATIVO PLAN VS PROGRAMACIO'!#REF!,"AAAAADf+/z0=")</f>
        <v>#REF!</v>
      </c>
      <c r="BK433" t="e">
        <f>AND('COMPARATIVO PLAN VS PROGRAMACIO'!#REF!,"AAAAADf+/z4=")</f>
        <v>#REF!</v>
      </c>
      <c r="BL433" t="e">
        <f>AND('COMPARATIVO PLAN VS PROGRAMACIO'!#REF!,"AAAAADf+/z8=")</f>
        <v>#REF!</v>
      </c>
      <c r="BM433" t="e">
        <f>IF('COMPARATIVO PLAN VS PROGRAMACIO'!#REF!,"AAAAADf+/0A=",0)</f>
        <v>#REF!</v>
      </c>
      <c r="BN433" t="e">
        <f>AND('COMPARATIVO PLAN VS PROGRAMACIO'!#REF!,"AAAAADf+/0E=")</f>
        <v>#REF!</v>
      </c>
      <c r="BO433" t="e">
        <f>AND('COMPARATIVO PLAN VS PROGRAMACIO'!#REF!,"AAAAADf+/0I=")</f>
        <v>#REF!</v>
      </c>
      <c r="BP433" t="e">
        <f>AND('COMPARATIVO PLAN VS PROGRAMACIO'!#REF!,"AAAAADf+/0M=")</f>
        <v>#REF!</v>
      </c>
      <c r="BQ433" t="e">
        <f>IF('COMPARATIVO PLAN VS PROGRAMACIO'!#REF!,"AAAAADf+/0Q=",0)</f>
        <v>#REF!</v>
      </c>
      <c r="BR433" t="e">
        <f>AND('COMPARATIVO PLAN VS PROGRAMACIO'!#REF!,"AAAAADf+/0U=")</f>
        <v>#REF!</v>
      </c>
      <c r="BS433" t="e">
        <f>AND('COMPARATIVO PLAN VS PROGRAMACIO'!#REF!,"AAAAADf+/0Y=")</f>
        <v>#REF!</v>
      </c>
      <c r="BT433" t="e">
        <f>AND('COMPARATIVO PLAN VS PROGRAMACIO'!#REF!,"AAAAADf+/0c=")</f>
        <v>#REF!</v>
      </c>
      <c r="BU433" t="e">
        <f>IF('COMPARATIVO PLAN VS PROGRAMACIO'!#REF!,"AAAAADf+/0g=",0)</f>
        <v>#REF!</v>
      </c>
      <c r="BV433" t="e">
        <f>AND('COMPARATIVO PLAN VS PROGRAMACIO'!#REF!,"AAAAADf+/0k=")</f>
        <v>#REF!</v>
      </c>
      <c r="BW433" t="e">
        <f>AND('COMPARATIVO PLAN VS PROGRAMACIO'!#REF!,"AAAAADf+/0o=")</f>
        <v>#REF!</v>
      </c>
      <c r="BX433" t="e">
        <f>AND('COMPARATIVO PLAN VS PROGRAMACIO'!#REF!,"AAAAADf+/0s=")</f>
        <v>#REF!</v>
      </c>
      <c r="BY433" t="e">
        <f>IF('COMPARATIVO PLAN VS PROGRAMACIO'!#REF!,"AAAAADf+/0w=",0)</f>
        <v>#REF!</v>
      </c>
      <c r="BZ433" t="e">
        <f>AND('COMPARATIVO PLAN VS PROGRAMACIO'!#REF!,"AAAAADf+/00=")</f>
        <v>#REF!</v>
      </c>
      <c r="CA433" t="e">
        <f>AND('COMPARATIVO PLAN VS PROGRAMACIO'!#REF!,"AAAAADf+/04=")</f>
        <v>#REF!</v>
      </c>
      <c r="CB433" t="e">
        <f>AND('COMPARATIVO PLAN VS PROGRAMACIO'!#REF!,"AAAAADf+/08=")</f>
        <v>#REF!</v>
      </c>
      <c r="CC433" t="e">
        <f>IF('COMPARATIVO PLAN VS PROGRAMACIO'!#REF!,"AAAAADf+/1A=",0)</f>
        <v>#REF!</v>
      </c>
      <c r="CD433" t="e">
        <f>AND('COMPARATIVO PLAN VS PROGRAMACIO'!#REF!,"AAAAADf+/1E=")</f>
        <v>#REF!</v>
      </c>
      <c r="CE433" t="e">
        <f>AND('COMPARATIVO PLAN VS PROGRAMACIO'!#REF!,"AAAAADf+/1I=")</f>
        <v>#REF!</v>
      </c>
      <c r="CF433" t="e">
        <f>AND('COMPARATIVO PLAN VS PROGRAMACIO'!#REF!,"AAAAADf+/1M=")</f>
        <v>#REF!</v>
      </c>
      <c r="CG433" t="e">
        <f>IF('COMPARATIVO PLAN VS PROGRAMACIO'!#REF!,"AAAAADf+/1Q=",0)</f>
        <v>#REF!</v>
      </c>
      <c r="CH433" t="e">
        <f>AND('COMPARATIVO PLAN VS PROGRAMACIO'!#REF!,"AAAAADf+/1U=")</f>
        <v>#REF!</v>
      </c>
      <c r="CI433" t="e">
        <f>AND('COMPARATIVO PLAN VS PROGRAMACIO'!#REF!,"AAAAADf+/1Y=")</f>
        <v>#REF!</v>
      </c>
      <c r="CJ433" t="e">
        <f>AND('COMPARATIVO PLAN VS PROGRAMACIO'!#REF!,"AAAAADf+/1c=")</f>
        <v>#REF!</v>
      </c>
      <c r="CK433" t="e">
        <f>IF('COMPARATIVO PLAN VS PROGRAMACIO'!#REF!,"AAAAADf+/1g=",0)</f>
        <v>#REF!</v>
      </c>
      <c r="CL433" t="e">
        <f>AND('COMPARATIVO PLAN VS PROGRAMACIO'!#REF!,"AAAAADf+/1k=")</f>
        <v>#REF!</v>
      </c>
      <c r="CM433" t="e">
        <f>AND('COMPARATIVO PLAN VS PROGRAMACIO'!#REF!,"AAAAADf+/1o=")</f>
        <v>#REF!</v>
      </c>
      <c r="CN433" t="e">
        <f>AND('COMPARATIVO PLAN VS PROGRAMACIO'!#REF!,"AAAAADf+/1s=")</f>
        <v>#REF!</v>
      </c>
      <c r="CO433" t="e">
        <f>IF('COMPARATIVO PLAN VS PROGRAMACIO'!#REF!,"AAAAADf+/1w=",0)</f>
        <v>#REF!</v>
      </c>
      <c r="CP433" t="e">
        <f>AND('COMPARATIVO PLAN VS PROGRAMACIO'!#REF!,"AAAAADf+/10=")</f>
        <v>#REF!</v>
      </c>
      <c r="CQ433" t="e">
        <f>AND('COMPARATIVO PLAN VS PROGRAMACIO'!#REF!,"AAAAADf+/14=")</f>
        <v>#REF!</v>
      </c>
      <c r="CR433" t="e">
        <f>AND('COMPARATIVO PLAN VS PROGRAMACIO'!#REF!,"AAAAADf+/18=")</f>
        <v>#REF!</v>
      </c>
      <c r="CS433" t="e">
        <f>IF('COMPARATIVO PLAN VS PROGRAMACIO'!#REF!,"AAAAADf+/2A=",0)</f>
        <v>#REF!</v>
      </c>
      <c r="CT433" t="e">
        <f>AND('COMPARATIVO PLAN VS PROGRAMACIO'!#REF!,"AAAAADf+/2E=")</f>
        <v>#REF!</v>
      </c>
      <c r="CU433" t="e">
        <f>AND('COMPARATIVO PLAN VS PROGRAMACIO'!#REF!,"AAAAADf+/2I=")</f>
        <v>#REF!</v>
      </c>
      <c r="CV433" t="e">
        <f>AND('COMPARATIVO PLAN VS PROGRAMACIO'!#REF!,"AAAAADf+/2M=")</f>
        <v>#REF!</v>
      </c>
      <c r="CW433" t="e">
        <f>IF('COMPARATIVO PLAN VS PROGRAMACIO'!#REF!,"AAAAADf+/2Q=",0)</f>
        <v>#REF!</v>
      </c>
      <c r="CX433" t="e">
        <f>AND('COMPARATIVO PLAN VS PROGRAMACIO'!#REF!,"AAAAADf+/2U=")</f>
        <v>#REF!</v>
      </c>
      <c r="CY433" t="e">
        <f>AND('COMPARATIVO PLAN VS PROGRAMACIO'!#REF!,"AAAAADf+/2Y=")</f>
        <v>#REF!</v>
      </c>
      <c r="CZ433" t="e">
        <f>AND('COMPARATIVO PLAN VS PROGRAMACIO'!#REF!,"AAAAADf+/2c=")</f>
        <v>#REF!</v>
      </c>
      <c r="DA433" t="e">
        <f>IF('COMPARATIVO PLAN VS PROGRAMACIO'!#REF!,"AAAAADf+/2g=",0)</f>
        <v>#REF!</v>
      </c>
      <c r="DB433" t="e">
        <f>AND('COMPARATIVO PLAN VS PROGRAMACIO'!#REF!,"AAAAADf+/2k=")</f>
        <v>#REF!</v>
      </c>
      <c r="DC433" t="e">
        <f>AND('COMPARATIVO PLAN VS PROGRAMACIO'!#REF!,"AAAAADf+/2o=")</f>
        <v>#REF!</v>
      </c>
      <c r="DD433" t="e">
        <f>AND('COMPARATIVO PLAN VS PROGRAMACIO'!#REF!,"AAAAADf+/2s=")</f>
        <v>#REF!</v>
      </c>
      <c r="DE433" t="e">
        <f>IF('COMPARATIVO PLAN VS PROGRAMACIO'!#REF!,"AAAAADf+/2w=",0)</f>
        <v>#REF!</v>
      </c>
      <c r="DF433" t="e">
        <f>AND('COMPARATIVO PLAN VS PROGRAMACIO'!#REF!,"AAAAADf+/20=")</f>
        <v>#REF!</v>
      </c>
      <c r="DG433" t="e">
        <f>AND('COMPARATIVO PLAN VS PROGRAMACIO'!#REF!,"AAAAADf+/24=")</f>
        <v>#REF!</v>
      </c>
      <c r="DH433" t="e">
        <f>AND('COMPARATIVO PLAN VS PROGRAMACIO'!#REF!,"AAAAADf+/28=")</f>
        <v>#REF!</v>
      </c>
      <c r="DI433" t="e">
        <f>IF('COMPARATIVO PLAN VS PROGRAMACIO'!#REF!,"AAAAADf+/3A=",0)</f>
        <v>#REF!</v>
      </c>
      <c r="DJ433" t="e">
        <f>AND('COMPARATIVO PLAN VS PROGRAMACIO'!#REF!,"AAAAADf+/3E=")</f>
        <v>#REF!</v>
      </c>
      <c r="DK433" t="e">
        <f>AND('COMPARATIVO PLAN VS PROGRAMACIO'!#REF!,"AAAAADf+/3I=")</f>
        <v>#REF!</v>
      </c>
      <c r="DL433" t="e">
        <f>AND('COMPARATIVO PLAN VS PROGRAMACIO'!#REF!,"AAAAADf+/3M=")</f>
        <v>#REF!</v>
      </c>
      <c r="DM433" t="e">
        <f>IF('COMPARATIVO PLAN VS PROGRAMACIO'!#REF!,"AAAAADf+/3Q=",0)</f>
        <v>#REF!</v>
      </c>
      <c r="DN433" t="e">
        <f>AND('COMPARATIVO PLAN VS PROGRAMACIO'!#REF!,"AAAAADf+/3U=")</f>
        <v>#REF!</v>
      </c>
      <c r="DO433" t="e">
        <f>AND('COMPARATIVO PLAN VS PROGRAMACIO'!#REF!,"AAAAADf+/3Y=")</f>
        <v>#REF!</v>
      </c>
      <c r="DP433" t="e">
        <f>AND('COMPARATIVO PLAN VS PROGRAMACIO'!#REF!,"AAAAADf+/3c=")</f>
        <v>#REF!</v>
      </c>
      <c r="DQ433" t="e">
        <f>IF('COMPARATIVO PLAN VS PROGRAMACIO'!#REF!,"AAAAADf+/3g=",0)</f>
        <v>#REF!</v>
      </c>
      <c r="DR433" t="e">
        <f>AND('COMPARATIVO PLAN VS PROGRAMACIO'!#REF!,"AAAAADf+/3k=")</f>
        <v>#REF!</v>
      </c>
      <c r="DS433" t="e">
        <f>AND('COMPARATIVO PLAN VS PROGRAMACIO'!#REF!,"AAAAADf+/3o=")</f>
        <v>#REF!</v>
      </c>
      <c r="DT433" t="e">
        <f>AND('COMPARATIVO PLAN VS PROGRAMACIO'!#REF!,"AAAAADf+/3s=")</f>
        <v>#REF!</v>
      </c>
      <c r="DU433" t="e">
        <f>IF('COMPARATIVO PLAN VS PROGRAMACIO'!#REF!,"AAAAADf+/3w=",0)</f>
        <v>#REF!</v>
      </c>
      <c r="DV433" t="e">
        <f>AND('COMPARATIVO PLAN VS PROGRAMACIO'!#REF!,"AAAAADf+/30=")</f>
        <v>#REF!</v>
      </c>
      <c r="DW433" t="e">
        <f>AND('COMPARATIVO PLAN VS PROGRAMACIO'!#REF!,"AAAAADf+/34=")</f>
        <v>#REF!</v>
      </c>
      <c r="DX433" t="e">
        <f>AND('COMPARATIVO PLAN VS PROGRAMACIO'!#REF!,"AAAAADf+/38=")</f>
        <v>#REF!</v>
      </c>
      <c r="DY433" t="e">
        <f>IF('COMPARATIVO PLAN VS PROGRAMACIO'!#REF!,"AAAAADf+/4A=",0)</f>
        <v>#REF!</v>
      </c>
      <c r="DZ433" t="e">
        <f>AND('COMPARATIVO PLAN VS PROGRAMACIO'!#REF!,"AAAAADf+/4E=")</f>
        <v>#REF!</v>
      </c>
      <c r="EA433" t="e">
        <f>AND('COMPARATIVO PLAN VS PROGRAMACIO'!#REF!,"AAAAADf+/4I=")</f>
        <v>#REF!</v>
      </c>
      <c r="EB433" t="e">
        <f>AND('COMPARATIVO PLAN VS PROGRAMACIO'!#REF!,"AAAAADf+/4M=")</f>
        <v>#REF!</v>
      </c>
      <c r="EC433" t="e">
        <f>IF('COMPARATIVO PLAN VS PROGRAMACIO'!#REF!,"AAAAADf+/4Q=",0)</f>
        <v>#REF!</v>
      </c>
      <c r="ED433" t="e">
        <f>AND('COMPARATIVO PLAN VS PROGRAMACIO'!#REF!,"AAAAADf+/4U=")</f>
        <v>#REF!</v>
      </c>
      <c r="EE433" t="e">
        <f>AND('COMPARATIVO PLAN VS PROGRAMACIO'!#REF!,"AAAAADf+/4Y=")</f>
        <v>#REF!</v>
      </c>
      <c r="EF433" t="e">
        <f>AND('COMPARATIVO PLAN VS PROGRAMACIO'!#REF!,"AAAAADf+/4c=")</f>
        <v>#REF!</v>
      </c>
      <c r="EG433" t="e">
        <f>IF('COMPARATIVO PLAN VS PROGRAMACIO'!#REF!,"AAAAADf+/4g=",0)</f>
        <v>#REF!</v>
      </c>
      <c r="EH433" t="e">
        <f>AND('COMPARATIVO PLAN VS PROGRAMACIO'!#REF!,"AAAAADf+/4k=")</f>
        <v>#REF!</v>
      </c>
      <c r="EI433" t="e">
        <f>AND('COMPARATIVO PLAN VS PROGRAMACIO'!#REF!,"AAAAADf+/4o=")</f>
        <v>#REF!</v>
      </c>
      <c r="EJ433" t="e">
        <f>AND('COMPARATIVO PLAN VS PROGRAMACIO'!#REF!,"AAAAADf+/4s=")</f>
        <v>#REF!</v>
      </c>
      <c r="EK433" t="e">
        <f>IF('COMPARATIVO PLAN VS PROGRAMACIO'!#REF!,"AAAAADf+/4w=",0)</f>
        <v>#REF!</v>
      </c>
      <c r="EL433" t="e">
        <f>AND('COMPARATIVO PLAN VS PROGRAMACIO'!#REF!,"AAAAADf+/40=")</f>
        <v>#REF!</v>
      </c>
      <c r="EM433" t="e">
        <f>AND('COMPARATIVO PLAN VS PROGRAMACIO'!#REF!,"AAAAADf+/44=")</f>
        <v>#REF!</v>
      </c>
      <c r="EN433" t="e">
        <f>AND('COMPARATIVO PLAN VS PROGRAMACIO'!#REF!,"AAAAADf+/48=")</f>
        <v>#REF!</v>
      </c>
      <c r="EO433" t="e">
        <f>IF('COMPARATIVO PLAN VS PROGRAMACIO'!#REF!,"AAAAADf+/5A=",0)</f>
        <v>#REF!</v>
      </c>
      <c r="EP433" t="e">
        <f>AND('COMPARATIVO PLAN VS PROGRAMACIO'!#REF!,"AAAAADf+/5E=")</f>
        <v>#REF!</v>
      </c>
      <c r="EQ433" t="e">
        <f>AND('COMPARATIVO PLAN VS PROGRAMACIO'!#REF!,"AAAAADf+/5I=")</f>
        <v>#REF!</v>
      </c>
      <c r="ER433" t="e">
        <f>AND('COMPARATIVO PLAN VS PROGRAMACIO'!#REF!,"AAAAADf+/5M=")</f>
        <v>#REF!</v>
      </c>
      <c r="ES433" t="e">
        <f>IF('COMPARATIVO PLAN VS PROGRAMACIO'!#REF!,"AAAAADf+/5Q=",0)</f>
        <v>#REF!</v>
      </c>
      <c r="ET433" t="e">
        <f>AND('COMPARATIVO PLAN VS PROGRAMACIO'!#REF!,"AAAAADf+/5U=")</f>
        <v>#REF!</v>
      </c>
      <c r="EU433" t="e">
        <f>AND('COMPARATIVO PLAN VS PROGRAMACIO'!#REF!,"AAAAADf+/5Y=")</f>
        <v>#REF!</v>
      </c>
      <c r="EV433" t="e">
        <f>AND('COMPARATIVO PLAN VS PROGRAMACIO'!#REF!,"AAAAADf+/5c=")</f>
        <v>#REF!</v>
      </c>
      <c r="EW433" t="e">
        <f>IF('COMPARATIVO PLAN VS PROGRAMACIO'!#REF!,"AAAAADf+/5g=",0)</f>
        <v>#REF!</v>
      </c>
      <c r="EX433" t="e">
        <f>AND('COMPARATIVO PLAN VS PROGRAMACIO'!#REF!,"AAAAADf+/5k=")</f>
        <v>#REF!</v>
      </c>
      <c r="EY433" t="e">
        <f>AND('COMPARATIVO PLAN VS PROGRAMACIO'!#REF!,"AAAAADf+/5o=")</f>
        <v>#REF!</v>
      </c>
      <c r="EZ433" t="e">
        <f>AND('COMPARATIVO PLAN VS PROGRAMACIO'!#REF!,"AAAAADf+/5s=")</f>
        <v>#REF!</v>
      </c>
      <c r="FA433" t="e">
        <f>IF('COMPARATIVO PLAN VS PROGRAMACIO'!#REF!,"AAAAADf+/5w=",0)</f>
        <v>#REF!</v>
      </c>
      <c r="FB433" t="e">
        <f>AND('COMPARATIVO PLAN VS PROGRAMACIO'!#REF!,"AAAAADf+/50=")</f>
        <v>#REF!</v>
      </c>
      <c r="FC433" t="e">
        <f>AND('COMPARATIVO PLAN VS PROGRAMACIO'!#REF!,"AAAAADf+/54=")</f>
        <v>#REF!</v>
      </c>
      <c r="FD433" t="e">
        <f>AND('COMPARATIVO PLAN VS PROGRAMACIO'!#REF!,"AAAAADf+/58=")</f>
        <v>#REF!</v>
      </c>
      <c r="FE433" t="e">
        <f>IF('COMPARATIVO PLAN VS PROGRAMACIO'!#REF!,"AAAAADf+/6A=",0)</f>
        <v>#REF!</v>
      </c>
      <c r="FF433" t="e">
        <f>AND('COMPARATIVO PLAN VS PROGRAMACIO'!#REF!,"AAAAADf+/6E=")</f>
        <v>#REF!</v>
      </c>
      <c r="FG433" t="e">
        <f>AND('COMPARATIVO PLAN VS PROGRAMACIO'!#REF!,"AAAAADf+/6I=")</f>
        <v>#REF!</v>
      </c>
      <c r="FH433" t="e">
        <f>AND('COMPARATIVO PLAN VS PROGRAMACIO'!#REF!,"AAAAADf+/6M=")</f>
        <v>#REF!</v>
      </c>
      <c r="FI433" t="e">
        <f>IF('COMPARATIVO PLAN VS PROGRAMACIO'!#REF!,"AAAAADf+/6Q=",0)</f>
        <v>#REF!</v>
      </c>
      <c r="FJ433" t="e">
        <f>AND('COMPARATIVO PLAN VS PROGRAMACIO'!#REF!,"AAAAADf+/6U=")</f>
        <v>#REF!</v>
      </c>
      <c r="FK433" t="e">
        <f>AND('COMPARATIVO PLAN VS PROGRAMACIO'!#REF!,"AAAAADf+/6Y=")</f>
        <v>#REF!</v>
      </c>
      <c r="FL433" t="e">
        <f>AND('COMPARATIVO PLAN VS PROGRAMACIO'!#REF!,"AAAAADf+/6c=")</f>
        <v>#REF!</v>
      </c>
      <c r="FM433" t="e">
        <f>IF('COMPARATIVO PLAN VS PROGRAMACIO'!#REF!,"AAAAADf+/6g=",0)</f>
        <v>#REF!</v>
      </c>
      <c r="FN433" t="e">
        <f>AND('COMPARATIVO PLAN VS PROGRAMACIO'!#REF!,"AAAAADf+/6k=")</f>
        <v>#REF!</v>
      </c>
      <c r="FO433" t="e">
        <f>AND('COMPARATIVO PLAN VS PROGRAMACIO'!#REF!,"AAAAADf+/6o=")</f>
        <v>#REF!</v>
      </c>
      <c r="FP433" t="e">
        <f>AND('COMPARATIVO PLAN VS PROGRAMACIO'!#REF!,"AAAAADf+/6s=")</f>
        <v>#REF!</v>
      </c>
      <c r="FQ433" t="e">
        <f>IF('COMPARATIVO PLAN VS PROGRAMACIO'!#REF!,"AAAAADf+/6w=",0)</f>
        <v>#REF!</v>
      </c>
      <c r="FR433" t="e">
        <f>AND('COMPARATIVO PLAN VS PROGRAMACIO'!#REF!,"AAAAADf+/60=")</f>
        <v>#REF!</v>
      </c>
      <c r="FS433" t="e">
        <f>AND('COMPARATIVO PLAN VS PROGRAMACIO'!#REF!,"AAAAADf+/64=")</f>
        <v>#REF!</v>
      </c>
      <c r="FT433" t="e">
        <f>AND('COMPARATIVO PLAN VS PROGRAMACIO'!#REF!,"AAAAADf+/68=")</f>
        <v>#REF!</v>
      </c>
      <c r="FU433" t="e">
        <f>IF('COMPARATIVO PLAN VS PROGRAMACIO'!#REF!,"AAAAADf+/7A=",0)</f>
        <v>#REF!</v>
      </c>
      <c r="FV433" t="e">
        <f>AND('COMPARATIVO PLAN VS PROGRAMACIO'!#REF!,"AAAAADf+/7E=")</f>
        <v>#REF!</v>
      </c>
      <c r="FW433" t="e">
        <f>AND('COMPARATIVO PLAN VS PROGRAMACIO'!#REF!,"AAAAADf+/7I=")</f>
        <v>#REF!</v>
      </c>
      <c r="FX433" t="e">
        <f>AND('COMPARATIVO PLAN VS PROGRAMACIO'!#REF!,"AAAAADf+/7M=")</f>
        <v>#REF!</v>
      </c>
      <c r="FY433" t="e">
        <f>IF('COMPARATIVO PLAN VS PROGRAMACIO'!#REF!,"AAAAADf+/7Q=",0)</f>
        <v>#REF!</v>
      </c>
      <c r="FZ433" t="e">
        <f>AND('COMPARATIVO PLAN VS PROGRAMACIO'!#REF!,"AAAAADf+/7U=")</f>
        <v>#REF!</v>
      </c>
      <c r="GA433" t="e">
        <f>AND('COMPARATIVO PLAN VS PROGRAMACIO'!#REF!,"AAAAADf+/7Y=")</f>
        <v>#REF!</v>
      </c>
      <c r="GB433" t="e">
        <f>AND('COMPARATIVO PLAN VS PROGRAMACIO'!#REF!,"AAAAADf+/7c=")</f>
        <v>#REF!</v>
      </c>
      <c r="GC433" t="e">
        <f>IF('COMPARATIVO PLAN VS PROGRAMACIO'!#REF!,"AAAAADf+/7g=",0)</f>
        <v>#REF!</v>
      </c>
      <c r="GD433" t="e">
        <f>AND('COMPARATIVO PLAN VS PROGRAMACIO'!#REF!,"AAAAADf+/7k=")</f>
        <v>#REF!</v>
      </c>
      <c r="GE433" t="e">
        <f>AND('COMPARATIVO PLAN VS PROGRAMACIO'!#REF!,"AAAAADf+/7o=")</f>
        <v>#REF!</v>
      </c>
      <c r="GF433" t="e">
        <f>AND('COMPARATIVO PLAN VS PROGRAMACIO'!#REF!,"AAAAADf+/7s=")</f>
        <v>#REF!</v>
      </c>
      <c r="GG433" t="e">
        <f>IF('COMPARATIVO PLAN VS PROGRAMACIO'!#REF!,"AAAAADf+/7w=",0)</f>
        <v>#REF!</v>
      </c>
      <c r="GH433" t="e">
        <f>AND('COMPARATIVO PLAN VS PROGRAMACIO'!#REF!,"AAAAADf+/70=")</f>
        <v>#REF!</v>
      </c>
      <c r="GI433" t="e">
        <f>AND('COMPARATIVO PLAN VS PROGRAMACIO'!#REF!,"AAAAADf+/74=")</f>
        <v>#REF!</v>
      </c>
      <c r="GJ433" t="e">
        <f>AND('COMPARATIVO PLAN VS PROGRAMACIO'!#REF!,"AAAAADf+/78=")</f>
        <v>#REF!</v>
      </c>
      <c r="GK433" t="e">
        <f>IF('COMPARATIVO PLAN VS PROGRAMACIO'!#REF!,"AAAAADf+/8A=",0)</f>
        <v>#REF!</v>
      </c>
      <c r="GL433" t="e">
        <f>AND('COMPARATIVO PLAN VS PROGRAMACIO'!#REF!,"AAAAADf+/8E=")</f>
        <v>#REF!</v>
      </c>
      <c r="GM433" t="e">
        <f>AND('COMPARATIVO PLAN VS PROGRAMACIO'!#REF!,"AAAAADf+/8I=")</f>
        <v>#REF!</v>
      </c>
      <c r="GN433" t="e">
        <f>AND('COMPARATIVO PLAN VS PROGRAMACIO'!#REF!,"AAAAADf+/8M=")</f>
        <v>#REF!</v>
      </c>
      <c r="GO433" t="e">
        <f>IF('COMPARATIVO PLAN VS PROGRAMACIO'!#REF!,"AAAAADf+/8Q=",0)</f>
        <v>#REF!</v>
      </c>
      <c r="GP433" t="e">
        <f>AND('COMPARATIVO PLAN VS PROGRAMACIO'!#REF!,"AAAAADf+/8U=")</f>
        <v>#REF!</v>
      </c>
      <c r="GQ433" t="e">
        <f>AND('COMPARATIVO PLAN VS PROGRAMACIO'!#REF!,"AAAAADf+/8Y=")</f>
        <v>#REF!</v>
      </c>
      <c r="GR433" t="e">
        <f>AND('COMPARATIVO PLAN VS PROGRAMACIO'!#REF!,"AAAAADf+/8c=")</f>
        <v>#REF!</v>
      </c>
      <c r="GS433" t="e">
        <f>IF('COMPARATIVO PLAN VS PROGRAMACIO'!#REF!,"AAAAADf+/8g=",0)</f>
        <v>#REF!</v>
      </c>
      <c r="GT433" t="e">
        <f>AND('COMPARATIVO PLAN VS PROGRAMACIO'!#REF!,"AAAAADf+/8k=")</f>
        <v>#REF!</v>
      </c>
      <c r="GU433" t="e">
        <f>AND('COMPARATIVO PLAN VS PROGRAMACIO'!#REF!,"AAAAADf+/8o=")</f>
        <v>#REF!</v>
      </c>
      <c r="GV433" t="e">
        <f>AND('COMPARATIVO PLAN VS PROGRAMACIO'!#REF!,"AAAAADf+/8s=")</f>
        <v>#REF!</v>
      </c>
      <c r="GW433" t="e">
        <f>IF('COMPARATIVO PLAN VS PROGRAMACIO'!#REF!,"AAAAADf+/8w=",0)</f>
        <v>#REF!</v>
      </c>
      <c r="GX433" t="e">
        <f>AND('COMPARATIVO PLAN VS PROGRAMACIO'!#REF!,"AAAAADf+/80=")</f>
        <v>#REF!</v>
      </c>
      <c r="GY433" t="e">
        <f>AND('COMPARATIVO PLAN VS PROGRAMACIO'!#REF!,"AAAAADf+/84=")</f>
        <v>#REF!</v>
      </c>
      <c r="GZ433" t="e">
        <f>AND('COMPARATIVO PLAN VS PROGRAMACIO'!#REF!,"AAAAADf+/88=")</f>
        <v>#REF!</v>
      </c>
      <c r="HA433" t="e">
        <f>IF('COMPARATIVO PLAN VS PROGRAMACIO'!#REF!,"AAAAADf+/9A=",0)</f>
        <v>#REF!</v>
      </c>
      <c r="HB433" t="e">
        <f>AND('COMPARATIVO PLAN VS PROGRAMACIO'!#REF!,"AAAAADf+/9E=")</f>
        <v>#REF!</v>
      </c>
      <c r="HC433" t="e">
        <f>AND('COMPARATIVO PLAN VS PROGRAMACIO'!#REF!,"AAAAADf+/9I=")</f>
        <v>#REF!</v>
      </c>
      <c r="HD433" t="e">
        <f>AND('COMPARATIVO PLAN VS PROGRAMACIO'!#REF!,"AAAAADf+/9M=")</f>
        <v>#REF!</v>
      </c>
      <c r="HE433" t="e">
        <f>IF('COMPARATIVO PLAN VS PROGRAMACIO'!#REF!,"AAAAADf+/9Q=",0)</f>
        <v>#REF!</v>
      </c>
      <c r="HF433" t="e">
        <f>AND('COMPARATIVO PLAN VS PROGRAMACIO'!#REF!,"AAAAADf+/9U=")</f>
        <v>#REF!</v>
      </c>
      <c r="HG433" t="e">
        <f>AND('COMPARATIVO PLAN VS PROGRAMACIO'!#REF!,"AAAAADf+/9Y=")</f>
        <v>#REF!</v>
      </c>
      <c r="HH433" t="e">
        <f>AND('COMPARATIVO PLAN VS PROGRAMACIO'!#REF!,"AAAAADf+/9c=")</f>
        <v>#REF!</v>
      </c>
      <c r="HI433" t="e">
        <f>IF('COMPARATIVO PLAN VS PROGRAMACIO'!#REF!,"AAAAADf+/9g=",0)</f>
        <v>#REF!</v>
      </c>
      <c r="HJ433" t="e">
        <f>AND('COMPARATIVO PLAN VS PROGRAMACIO'!#REF!,"AAAAADf+/9k=")</f>
        <v>#REF!</v>
      </c>
      <c r="HK433" t="e">
        <f>AND('COMPARATIVO PLAN VS PROGRAMACIO'!#REF!,"AAAAADf+/9o=")</f>
        <v>#REF!</v>
      </c>
      <c r="HL433" t="e">
        <f>AND('COMPARATIVO PLAN VS PROGRAMACIO'!#REF!,"AAAAADf+/9s=")</f>
        <v>#REF!</v>
      </c>
      <c r="HM433" t="e">
        <f>IF('COMPARATIVO PLAN VS PROGRAMACIO'!#REF!,"AAAAADf+/9w=",0)</f>
        <v>#REF!</v>
      </c>
      <c r="HN433" t="e">
        <f>AND('COMPARATIVO PLAN VS PROGRAMACIO'!#REF!,"AAAAADf+/90=")</f>
        <v>#REF!</v>
      </c>
      <c r="HO433" t="e">
        <f>AND('COMPARATIVO PLAN VS PROGRAMACIO'!#REF!,"AAAAADf+/94=")</f>
        <v>#REF!</v>
      </c>
      <c r="HP433" t="e">
        <f>AND('COMPARATIVO PLAN VS PROGRAMACIO'!#REF!,"AAAAADf+/98=")</f>
        <v>#REF!</v>
      </c>
      <c r="HQ433" t="e">
        <f>IF('COMPARATIVO PLAN VS PROGRAMACIO'!#REF!,"AAAAADf+/+A=",0)</f>
        <v>#REF!</v>
      </c>
      <c r="HR433" t="e">
        <f>AND('COMPARATIVO PLAN VS PROGRAMACIO'!#REF!,"AAAAADf+/+E=")</f>
        <v>#REF!</v>
      </c>
      <c r="HS433" t="e">
        <f>AND('COMPARATIVO PLAN VS PROGRAMACIO'!#REF!,"AAAAADf+/+I=")</f>
        <v>#REF!</v>
      </c>
      <c r="HT433" t="e">
        <f>AND('COMPARATIVO PLAN VS PROGRAMACIO'!#REF!,"AAAAADf+/+M=")</f>
        <v>#REF!</v>
      </c>
      <c r="HU433" t="e">
        <f>IF('COMPARATIVO PLAN VS PROGRAMACIO'!#REF!,"AAAAADf+/+Q=",0)</f>
        <v>#REF!</v>
      </c>
      <c r="HV433" t="e">
        <f>AND('COMPARATIVO PLAN VS PROGRAMACIO'!#REF!,"AAAAADf+/+U=")</f>
        <v>#REF!</v>
      </c>
      <c r="HW433" t="e">
        <f>AND('COMPARATIVO PLAN VS PROGRAMACIO'!#REF!,"AAAAADf+/+Y=")</f>
        <v>#REF!</v>
      </c>
      <c r="HX433" t="e">
        <f>AND('COMPARATIVO PLAN VS PROGRAMACIO'!#REF!,"AAAAADf+/+c=")</f>
        <v>#REF!</v>
      </c>
      <c r="HY433" t="e">
        <f>IF('COMPARATIVO PLAN VS PROGRAMACIO'!#REF!,"AAAAADf+/+g=",0)</f>
        <v>#REF!</v>
      </c>
      <c r="HZ433" t="e">
        <f>AND('COMPARATIVO PLAN VS PROGRAMACIO'!#REF!,"AAAAADf+/+k=")</f>
        <v>#REF!</v>
      </c>
      <c r="IA433" t="e">
        <f>AND('COMPARATIVO PLAN VS PROGRAMACIO'!#REF!,"AAAAADf+/+o=")</f>
        <v>#REF!</v>
      </c>
      <c r="IB433" t="e">
        <f>AND('COMPARATIVO PLAN VS PROGRAMACIO'!#REF!,"AAAAADf+/+s=")</f>
        <v>#REF!</v>
      </c>
      <c r="IC433" t="e">
        <f>IF('COMPARATIVO PLAN VS PROGRAMACIO'!#REF!,"AAAAADf+/+w=",0)</f>
        <v>#REF!</v>
      </c>
      <c r="ID433" t="e">
        <f>AND('COMPARATIVO PLAN VS PROGRAMACIO'!#REF!,"AAAAADf+/+0=")</f>
        <v>#REF!</v>
      </c>
      <c r="IE433" t="e">
        <f>AND('COMPARATIVO PLAN VS PROGRAMACIO'!#REF!,"AAAAADf+/+4=")</f>
        <v>#REF!</v>
      </c>
      <c r="IF433" t="e">
        <f>AND('COMPARATIVO PLAN VS PROGRAMACIO'!#REF!,"AAAAADf+/+8=")</f>
        <v>#REF!</v>
      </c>
      <c r="IG433" t="e">
        <f>IF('COMPARATIVO PLAN VS PROGRAMACIO'!#REF!,"AAAAADf+//A=",0)</f>
        <v>#REF!</v>
      </c>
      <c r="IH433" t="e">
        <f>AND('COMPARATIVO PLAN VS PROGRAMACIO'!#REF!,"AAAAADf+//E=")</f>
        <v>#REF!</v>
      </c>
      <c r="II433" t="e">
        <f>AND('COMPARATIVO PLAN VS PROGRAMACIO'!#REF!,"AAAAADf+//I=")</f>
        <v>#REF!</v>
      </c>
      <c r="IJ433" t="e">
        <f>AND('COMPARATIVO PLAN VS PROGRAMACIO'!#REF!,"AAAAADf+//M=")</f>
        <v>#REF!</v>
      </c>
      <c r="IK433" t="e">
        <f>IF('COMPARATIVO PLAN VS PROGRAMACIO'!#REF!,"AAAAADf+//Q=",0)</f>
        <v>#REF!</v>
      </c>
      <c r="IL433" t="e">
        <f>AND('COMPARATIVO PLAN VS PROGRAMACIO'!#REF!,"AAAAADf+//U=")</f>
        <v>#REF!</v>
      </c>
      <c r="IM433" t="e">
        <f>AND('COMPARATIVO PLAN VS PROGRAMACIO'!#REF!,"AAAAADf+//Y=")</f>
        <v>#REF!</v>
      </c>
      <c r="IN433" t="e">
        <f>AND('COMPARATIVO PLAN VS PROGRAMACIO'!#REF!,"AAAAADf+//c=")</f>
        <v>#REF!</v>
      </c>
      <c r="IO433" t="e">
        <f>IF('COMPARATIVO PLAN VS PROGRAMACIO'!#REF!,"AAAAADf+//g=",0)</f>
        <v>#REF!</v>
      </c>
      <c r="IP433" t="e">
        <f>AND('COMPARATIVO PLAN VS PROGRAMACIO'!#REF!,"AAAAADf+//k=")</f>
        <v>#REF!</v>
      </c>
      <c r="IQ433" t="e">
        <f>AND('COMPARATIVO PLAN VS PROGRAMACIO'!#REF!,"AAAAADf+//o=")</f>
        <v>#REF!</v>
      </c>
      <c r="IR433" t="e">
        <f>AND('COMPARATIVO PLAN VS PROGRAMACIO'!#REF!,"AAAAADf+//s=")</f>
        <v>#REF!</v>
      </c>
      <c r="IS433" t="e">
        <f>IF('COMPARATIVO PLAN VS PROGRAMACIO'!#REF!,"AAAAADf+//w=",0)</f>
        <v>#REF!</v>
      </c>
      <c r="IT433" t="e">
        <f>AND('COMPARATIVO PLAN VS PROGRAMACIO'!#REF!,"AAAAADf+//0=")</f>
        <v>#REF!</v>
      </c>
      <c r="IU433" t="e">
        <f>AND('COMPARATIVO PLAN VS PROGRAMACIO'!#REF!,"AAAAADf+//4=")</f>
        <v>#REF!</v>
      </c>
      <c r="IV433" t="e">
        <f>AND('COMPARATIVO PLAN VS PROGRAMACIO'!#REF!,"AAAAADf+//8=")</f>
        <v>#REF!</v>
      </c>
    </row>
    <row r="434" spans="1:256" x14ac:dyDescent="0.2">
      <c r="A434" t="e">
        <f>IF('COMPARATIVO PLAN VS PROGRAMACIO'!#REF!,"AAAAAF+q/QA=",0)</f>
        <v>#REF!</v>
      </c>
      <c r="B434" t="e">
        <f>AND('COMPARATIVO PLAN VS PROGRAMACIO'!#REF!,"AAAAAF+q/QE=")</f>
        <v>#REF!</v>
      </c>
      <c r="C434" t="e">
        <f>AND('COMPARATIVO PLAN VS PROGRAMACIO'!#REF!,"AAAAAF+q/QI=")</f>
        <v>#REF!</v>
      </c>
      <c r="D434" t="e">
        <f>AND('COMPARATIVO PLAN VS PROGRAMACIO'!#REF!,"AAAAAF+q/QM=")</f>
        <v>#REF!</v>
      </c>
      <c r="E434" t="e">
        <f>IF('COMPARATIVO PLAN VS PROGRAMACIO'!#REF!,"AAAAAF+q/QQ=",0)</f>
        <v>#REF!</v>
      </c>
      <c r="F434" t="e">
        <f>AND('COMPARATIVO PLAN VS PROGRAMACIO'!#REF!,"AAAAAF+q/QU=")</f>
        <v>#REF!</v>
      </c>
      <c r="G434" t="e">
        <f>AND('COMPARATIVO PLAN VS PROGRAMACIO'!#REF!,"AAAAAF+q/QY=")</f>
        <v>#REF!</v>
      </c>
      <c r="H434" t="e">
        <f>AND('COMPARATIVO PLAN VS PROGRAMACIO'!#REF!,"AAAAAF+q/Qc=")</f>
        <v>#REF!</v>
      </c>
      <c r="I434" t="e">
        <f>IF('COMPARATIVO PLAN VS PROGRAMACIO'!#REF!,"AAAAAF+q/Qg=",0)</f>
        <v>#REF!</v>
      </c>
      <c r="J434" t="e">
        <f>AND('COMPARATIVO PLAN VS PROGRAMACIO'!#REF!,"AAAAAF+q/Qk=")</f>
        <v>#REF!</v>
      </c>
      <c r="K434" t="e">
        <f>AND('COMPARATIVO PLAN VS PROGRAMACIO'!#REF!,"AAAAAF+q/Qo=")</f>
        <v>#REF!</v>
      </c>
      <c r="L434" t="e">
        <f>AND('COMPARATIVO PLAN VS PROGRAMACIO'!#REF!,"AAAAAF+q/Qs=")</f>
        <v>#REF!</v>
      </c>
      <c r="M434" t="e">
        <f>IF('COMPARATIVO PLAN VS PROGRAMACIO'!#REF!,"AAAAAF+q/Qw=",0)</f>
        <v>#REF!</v>
      </c>
      <c r="N434" t="e">
        <f>AND('COMPARATIVO PLAN VS PROGRAMACIO'!#REF!,"AAAAAF+q/Q0=")</f>
        <v>#REF!</v>
      </c>
      <c r="O434" t="e">
        <f>AND('COMPARATIVO PLAN VS PROGRAMACIO'!#REF!,"AAAAAF+q/Q4=")</f>
        <v>#REF!</v>
      </c>
      <c r="P434" t="e">
        <f>AND('COMPARATIVO PLAN VS PROGRAMACIO'!#REF!,"AAAAAF+q/Q8=")</f>
        <v>#REF!</v>
      </c>
      <c r="Q434" t="e">
        <f>IF('COMPARATIVO PLAN VS PROGRAMACIO'!#REF!,"AAAAAF+q/RA=",0)</f>
        <v>#REF!</v>
      </c>
      <c r="R434" t="e">
        <f>AND('COMPARATIVO PLAN VS PROGRAMACIO'!#REF!,"AAAAAF+q/RE=")</f>
        <v>#REF!</v>
      </c>
      <c r="S434" t="e">
        <f>AND('COMPARATIVO PLAN VS PROGRAMACIO'!#REF!,"AAAAAF+q/RI=")</f>
        <v>#REF!</v>
      </c>
      <c r="T434" t="e">
        <f>AND('COMPARATIVO PLAN VS PROGRAMACIO'!#REF!,"AAAAAF+q/RM=")</f>
        <v>#REF!</v>
      </c>
      <c r="U434" t="e">
        <f>IF('COMPARATIVO PLAN VS PROGRAMACIO'!#REF!,"AAAAAF+q/RQ=",0)</f>
        <v>#REF!</v>
      </c>
      <c r="V434" t="e">
        <f>AND('COMPARATIVO PLAN VS PROGRAMACIO'!#REF!,"AAAAAF+q/RU=")</f>
        <v>#REF!</v>
      </c>
      <c r="W434" t="e">
        <f>AND('COMPARATIVO PLAN VS PROGRAMACIO'!#REF!,"AAAAAF+q/RY=")</f>
        <v>#REF!</v>
      </c>
      <c r="X434" t="e">
        <f>AND('COMPARATIVO PLAN VS PROGRAMACIO'!#REF!,"AAAAAF+q/Rc=")</f>
        <v>#REF!</v>
      </c>
      <c r="Y434" t="e">
        <f>IF('COMPARATIVO PLAN VS PROGRAMACIO'!#REF!,"AAAAAF+q/Rg=",0)</f>
        <v>#REF!</v>
      </c>
      <c r="Z434" t="e">
        <f>AND('COMPARATIVO PLAN VS PROGRAMACIO'!#REF!,"AAAAAF+q/Rk=")</f>
        <v>#REF!</v>
      </c>
      <c r="AA434" t="e">
        <f>AND('COMPARATIVO PLAN VS PROGRAMACIO'!#REF!,"AAAAAF+q/Ro=")</f>
        <v>#REF!</v>
      </c>
      <c r="AB434" t="e">
        <f>AND('COMPARATIVO PLAN VS PROGRAMACIO'!#REF!,"AAAAAF+q/Rs=")</f>
        <v>#REF!</v>
      </c>
      <c r="AC434" t="e">
        <f>IF('COMPARATIVO PLAN VS PROGRAMACIO'!#REF!,"AAAAAF+q/Rw=",0)</f>
        <v>#REF!</v>
      </c>
      <c r="AD434" t="e">
        <f>AND('COMPARATIVO PLAN VS PROGRAMACIO'!#REF!,"AAAAAF+q/R0=")</f>
        <v>#REF!</v>
      </c>
      <c r="AE434" t="e">
        <f>AND('COMPARATIVO PLAN VS PROGRAMACIO'!#REF!,"AAAAAF+q/R4=")</f>
        <v>#REF!</v>
      </c>
      <c r="AF434" t="e">
        <f>AND('COMPARATIVO PLAN VS PROGRAMACIO'!#REF!,"AAAAAF+q/R8=")</f>
        <v>#REF!</v>
      </c>
      <c r="AG434" t="e">
        <f>IF('COMPARATIVO PLAN VS PROGRAMACIO'!#REF!,"AAAAAF+q/SA=",0)</f>
        <v>#REF!</v>
      </c>
      <c r="AH434" t="e">
        <f>AND('COMPARATIVO PLAN VS PROGRAMACIO'!#REF!,"AAAAAF+q/SE=")</f>
        <v>#REF!</v>
      </c>
      <c r="AI434" t="e">
        <f>AND('COMPARATIVO PLAN VS PROGRAMACIO'!#REF!,"AAAAAF+q/SI=")</f>
        <v>#REF!</v>
      </c>
      <c r="AJ434" t="e">
        <f>AND('COMPARATIVO PLAN VS PROGRAMACIO'!#REF!,"AAAAAF+q/SM=")</f>
        <v>#REF!</v>
      </c>
      <c r="AK434" t="e">
        <f>IF('COMPARATIVO PLAN VS PROGRAMACIO'!#REF!,"AAAAAF+q/SQ=",0)</f>
        <v>#REF!</v>
      </c>
      <c r="AL434" t="e">
        <f>AND('COMPARATIVO PLAN VS PROGRAMACIO'!#REF!,"AAAAAF+q/SU=")</f>
        <v>#REF!</v>
      </c>
      <c r="AM434" t="e">
        <f>AND('COMPARATIVO PLAN VS PROGRAMACIO'!#REF!,"AAAAAF+q/SY=")</f>
        <v>#REF!</v>
      </c>
      <c r="AN434" t="e">
        <f>AND('COMPARATIVO PLAN VS PROGRAMACIO'!#REF!,"AAAAAF+q/Sc=")</f>
        <v>#REF!</v>
      </c>
      <c r="AO434" t="e">
        <f>IF('COMPARATIVO PLAN VS PROGRAMACIO'!#REF!,"AAAAAF+q/Sg=",0)</f>
        <v>#REF!</v>
      </c>
      <c r="AP434" t="e">
        <f>AND('COMPARATIVO PLAN VS PROGRAMACIO'!#REF!,"AAAAAF+q/Sk=")</f>
        <v>#REF!</v>
      </c>
      <c r="AQ434" t="e">
        <f>AND('COMPARATIVO PLAN VS PROGRAMACIO'!#REF!,"AAAAAF+q/So=")</f>
        <v>#REF!</v>
      </c>
      <c r="AR434" t="e">
        <f>AND('COMPARATIVO PLAN VS PROGRAMACIO'!#REF!,"AAAAAF+q/Ss=")</f>
        <v>#REF!</v>
      </c>
      <c r="AS434" t="e">
        <f>IF('COMPARATIVO PLAN VS PROGRAMACIO'!#REF!,"AAAAAF+q/Sw=",0)</f>
        <v>#REF!</v>
      </c>
      <c r="AT434" t="e">
        <f>AND('COMPARATIVO PLAN VS PROGRAMACIO'!#REF!,"AAAAAF+q/S0=")</f>
        <v>#REF!</v>
      </c>
      <c r="AU434" t="e">
        <f>AND('COMPARATIVO PLAN VS PROGRAMACIO'!#REF!,"AAAAAF+q/S4=")</f>
        <v>#REF!</v>
      </c>
      <c r="AV434" t="e">
        <f>AND('COMPARATIVO PLAN VS PROGRAMACIO'!#REF!,"AAAAAF+q/S8=")</f>
        <v>#REF!</v>
      </c>
      <c r="AW434" t="e">
        <f>IF('COMPARATIVO PLAN VS PROGRAMACIO'!#REF!,"AAAAAF+q/TA=",0)</f>
        <v>#REF!</v>
      </c>
      <c r="AX434" t="e">
        <f>AND('COMPARATIVO PLAN VS PROGRAMACIO'!#REF!,"AAAAAF+q/TE=")</f>
        <v>#REF!</v>
      </c>
      <c r="AY434" t="e">
        <f>AND('COMPARATIVO PLAN VS PROGRAMACIO'!#REF!,"AAAAAF+q/TI=")</f>
        <v>#REF!</v>
      </c>
      <c r="AZ434" t="e">
        <f>AND('COMPARATIVO PLAN VS PROGRAMACIO'!#REF!,"AAAAAF+q/TM=")</f>
        <v>#REF!</v>
      </c>
      <c r="BA434" t="e">
        <f>IF('COMPARATIVO PLAN VS PROGRAMACIO'!#REF!,"AAAAAF+q/TQ=",0)</f>
        <v>#REF!</v>
      </c>
      <c r="BB434" t="e">
        <f>AND('COMPARATIVO PLAN VS PROGRAMACIO'!#REF!,"AAAAAF+q/TU=")</f>
        <v>#REF!</v>
      </c>
      <c r="BC434" t="e">
        <f>AND('COMPARATIVO PLAN VS PROGRAMACIO'!#REF!,"AAAAAF+q/TY=")</f>
        <v>#REF!</v>
      </c>
      <c r="BD434" t="e">
        <f>AND('COMPARATIVO PLAN VS PROGRAMACIO'!#REF!,"AAAAAF+q/Tc=")</f>
        <v>#REF!</v>
      </c>
      <c r="BE434" t="e">
        <f>IF('COMPARATIVO PLAN VS PROGRAMACIO'!#REF!,"AAAAAF+q/Tg=",0)</f>
        <v>#REF!</v>
      </c>
      <c r="BF434" t="e">
        <f>AND('COMPARATIVO PLAN VS PROGRAMACIO'!#REF!,"AAAAAF+q/Tk=")</f>
        <v>#REF!</v>
      </c>
      <c r="BG434" t="e">
        <f>AND('COMPARATIVO PLAN VS PROGRAMACIO'!#REF!,"AAAAAF+q/To=")</f>
        <v>#REF!</v>
      </c>
      <c r="BH434" t="e">
        <f>AND('COMPARATIVO PLAN VS PROGRAMACIO'!#REF!,"AAAAAF+q/Ts=")</f>
        <v>#REF!</v>
      </c>
      <c r="BI434" t="e">
        <f>IF('COMPARATIVO PLAN VS PROGRAMACIO'!#REF!,"AAAAAF+q/Tw=",0)</f>
        <v>#REF!</v>
      </c>
      <c r="BJ434" t="e">
        <f>AND('COMPARATIVO PLAN VS PROGRAMACIO'!#REF!,"AAAAAF+q/T0=")</f>
        <v>#REF!</v>
      </c>
      <c r="BK434" t="e">
        <f>AND('COMPARATIVO PLAN VS PROGRAMACIO'!#REF!,"AAAAAF+q/T4=")</f>
        <v>#REF!</v>
      </c>
      <c r="BL434" t="e">
        <f>AND('COMPARATIVO PLAN VS PROGRAMACIO'!#REF!,"AAAAAF+q/T8=")</f>
        <v>#REF!</v>
      </c>
      <c r="BM434" t="e">
        <f>IF('COMPARATIVO PLAN VS PROGRAMACIO'!#REF!,"AAAAAF+q/UA=",0)</f>
        <v>#REF!</v>
      </c>
      <c r="BN434" t="e">
        <f>AND('COMPARATIVO PLAN VS PROGRAMACIO'!#REF!,"AAAAAF+q/UE=")</f>
        <v>#REF!</v>
      </c>
      <c r="BO434" t="e">
        <f>AND('COMPARATIVO PLAN VS PROGRAMACIO'!#REF!,"AAAAAF+q/UI=")</f>
        <v>#REF!</v>
      </c>
      <c r="BP434" t="e">
        <f>AND('COMPARATIVO PLAN VS PROGRAMACIO'!#REF!,"AAAAAF+q/UM=")</f>
        <v>#REF!</v>
      </c>
      <c r="BQ434" t="e">
        <f>IF('COMPARATIVO PLAN VS PROGRAMACIO'!#REF!,"AAAAAF+q/UQ=",0)</f>
        <v>#REF!</v>
      </c>
      <c r="BR434" t="e">
        <f>AND('COMPARATIVO PLAN VS PROGRAMACIO'!#REF!,"AAAAAF+q/UU=")</f>
        <v>#REF!</v>
      </c>
      <c r="BS434" t="e">
        <f>AND('COMPARATIVO PLAN VS PROGRAMACIO'!#REF!,"AAAAAF+q/UY=")</f>
        <v>#REF!</v>
      </c>
      <c r="BT434" t="e">
        <f>AND('COMPARATIVO PLAN VS PROGRAMACIO'!#REF!,"AAAAAF+q/Uc=")</f>
        <v>#REF!</v>
      </c>
      <c r="BU434" t="e">
        <f>IF('COMPARATIVO PLAN VS PROGRAMACIO'!#REF!,"AAAAAF+q/Ug=",0)</f>
        <v>#REF!</v>
      </c>
      <c r="BV434" t="e">
        <f>AND('COMPARATIVO PLAN VS PROGRAMACIO'!#REF!,"AAAAAF+q/Uk=")</f>
        <v>#REF!</v>
      </c>
      <c r="BW434" t="e">
        <f>AND('COMPARATIVO PLAN VS PROGRAMACIO'!#REF!,"AAAAAF+q/Uo=")</f>
        <v>#REF!</v>
      </c>
      <c r="BX434" t="e">
        <f>AND('COMPARATIVO PLAN VS PROGRAMACIO'!#REF!,"AAAAAF+q/Us=")</f>
        <v>#REF!</v>
      </c>
      <c r="BY434" t="e">
        <f>IF('COMPARATIVO PLAN VS PROGRAMACIO'!#REF!,"AAAAAF+q/Uw=",0)</f>
        <v>#REF!</v>
      </c>
      <c r="BZ434" t="e">
        <f>AND('COMPARATIVO PLAN VS PROGRAMACIO'!#REF!,"AAAAAF+q/U0=")</f>
        <v>#REF!</v>
      </c>
      <c r="CA434" t="e">
        <f>AND('COMPARATIVO PLAN VS PROGRAMACIO'!#REF!,"AAAAAF+q/U4=")</f>
        <v>#REF!</v>
      </c>
      <c r="CB434" t="e">
        <f>AND('COMPARATIVO PLAN VS PROGRAMACIO'!#REF!,"AAAAAF+q/U8=")</f>
        <v>#REF!</v>
      </c>
      <c r="CC434" t="e">
        <f>IF('COMPARATIVO PLAN VS PROGRAMACIO'!#REF!,"AAAAAF+q/VA=",0)</f>
        <v>#REF!</v>
      </c>
      <c r="CD434" t="e">
        <f>AND('COMPARATIVO PLAN VS PROGRAMACIO'!#REF!,"AAAAAF+q/VE=")</f>
        <v>#REF!</v>
      </c>
      <c r="CE434" t="e">
        <f>AND('COMPARATIVO PLAN VS PROGRAMACIO'!#REF!,"AAAAAF+q/VI=")</f>
        <v>#REF!</v>
      </c>
      <c r="CF434" t="e">
        <f>AND('COMPARATIVO PLAN VS PROGRAMACIO'!#REF!,"AAAAAF+q/VM=")</f>
        <v>#REF!</v>
      </c>
      <c r="CG434" t="e">
        <f>IF('COMPARATIVO PLAN VS PROGRAMACIO'!#REF!,"AAAAAF+q/VQ=",0)</f>
        <v>#REF!</v>
      </c>
      <c r="CH434" t="e">
        <f>AND('COMPARATIVO PLAN VS PROGRAMACIO'!#REF!,"AAAAAF+q/VU=")</f>
        <v>#REF!</v>
      </c>
      <c r="CI434" t="e">
        <f>AND('COMPARATIVO PLAN VS PROGRAMACIO'!#REF!,"AAAAAF+q/VY=")</f>
        <v>#REF!</v>
      </c>
      <c r="CJ434" t="e">
        <f>AND('COMPARATIVO PLAN VS PROGRAMACIO'!#REF!,"AAAAAF+q/Vc=")</f>
        <v>#REF!</v>
      </c>
      <c r="CK434" t="e">
        <f>IF('COMPARATIVO PLAN VS PROGRAMACIO'!#REF!,"AAAAAF+q/Vg=",0)</f>
        <v>#REF!</v>
      </c>
      <c r="CL434" t="e">
        <f>AND('COMPARATIVO PLAN VS PROGRAMACIO'!#REF!,"AAAAAF+q/Vk=")</f>
        <v>#REF!</v>
      </c>
      <c r="CM434" t="e">
        <f>AND('COMPARATIVO PLAN VS PROGRAMACIO'!#REF!,"AAAAAF+q/Vo=")</f>
        <v>#REF!</v>
      </c>
      <c r="CN434" t="e">
        <f>AND('COMPARATIVO PLAN VS PROGRAMACIO'!#REF!,"AAAAAF+q/Vs=")</f>
        <v>#REF!</v>
      </c>
      <c r="CO434" t="e">
        <f>IF('COMPARATIVO PLAN VS PROGRAMACIO'!#REF!,"AAAAAF+q/Vw=",0)</f>
        <v>#REF!</v>
      </c>
      <c r="CP434" t="e">
        <f>AND('COMPARATIVO PLAN VS PROGRAMACIO'!#REF!,"AAAAAF+q/V0=")</f>
        <v>#REF!</v>
      </c>
      <c r="CQ434" t="e">
        <f>AND('COMPARATIVO PLAN VS PROGRAMACIO'!#REF!,"AAAAAF+q/V4=")</f>
        <v>#REF!</v>
      </c>
      <c r="CR434" t="e">
        <f>AND('COMPARATIVO PLAN VS PROGRAMACIO'!#REF!,"AAAAAF+q/V8=")</f>
        <v>#REF!</v>
      </c>
      <c r="CS434" t="e">
        <f>IF('COMPARATIVO PLAN VS PROGRAMACIO'!#REF!,"AAAAAF+q/WA=",0)</f>
        <v>#REF!</v>
      </c>
      <c r="CT434" t="e">
        <f>AND('COMPARATIVO PLAN VS PROGRAMACIO'!#REF!,"AAAAAF+q/WE=")</f>
        <v>#REF!</v>
      </c>
      <c r="CU434" t="e">
        <f>AND('COMPARATIVO PLAN VS PROGRAMACIO'!#REF!,"AAAAAF+q/WI=")</f>
        <v>#REF!</v>
      </c>
      <c r="CV434" t="e">
        <f>AND('COMPARATIVO PLAN VS PROGRAMACIO'!#REF!,"AAAAAF+q/WM=")</f>
        <v>#REF!</v>
      </c>
      <c r="CW434" t="e">
        <f>IF('COMPARATIVO PLAN VS PROGRAMACIO'!#REF!,"AAAAAF+q/WQ=",0)</f>
        <v>#REF!</v>
      </c>
      <c r="CX434" t="e">
        <f>AND('COMPARATIVO PLAN VS PROGRAMACIO'!#REF!,"AAAAAF+q/WU=")</f>
        <v>#REF!</v>
      </c>
      <c r="CY434" t="e">
        <f>AND('COMPARATIVO PLAN VS PROGRAMACIO'!#REF!,"AAAAAF+q/WY=")</f>
        <v>#REF!</v>
      </c>
      <c r="CZ434" t="e">
        <f>AND('COMPARATIVO PLAN VS PROGRAMACIO'!#REF!,"AAAAAF+q/Wc=")</f>
        <v>#REF!</v>
      </c>
      <c r="DA434">
        <f>IF('COMPARATIVO PLAN VS PROGRAMACIO'!A:A,"AAAAAF+q/Wg=",0)</f>
        <v>0</v>
      </c>
      <c r="DB434">
        <f>IF('COMPARATIVO PLAN VS PROGRAMACIO'!B:B,"AAAAAF+q/Wk=",0)</f>
        <v>0</v>
      </c>
      <c r="DC434">
        <f>IF('COMPARATIVO PLAN VS PROGRAMACIO'!C:C,"AAAAAF+q/Wo=",0)</f>
        <v>0</v>
      </c>
      <c r="DD434" t="s">
        <v>687</v>
      </c>
      <c r="DE434" t="s">
        <v>688</v>
      </c>
      <c r="DF434" t="e">
        <f>IF("N",'Calendario Académico 2014'!_xlnm.Print_Area,"AAAAAF+q/W0=")</f>
        <v>#VALUE!</v>
      </c>
      <c r="DG434" t="e">
        <f>IF("N",'PROG FORMACIÓN TITULADA'!_xlnm.Print_Area,"AAAAAF+q/W4=")</f>
        <v>#VALUE!</v>
      </c>
      <c r="DH434" t="e">
        <f>IF("N",_xlnm.Print_Area,"AAAAAF+q/W8=")</f>
        <v>#VALUE!</v>
      </c>
    </row>
  </sheetData>
  <pageMargins left="0.7" right="0.7" top="0.75" bottom="0.75" header="0.3" footer="0.3"/>
  <customProperties>
    <customPr name="DVSECTIONID" r:id="rId1"/>
  </customPropertie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/>
  <dimension ref="A1:C1"/>
  <sheetViews>
    <sheetView zoomScale="90" zoomScaleNormal="90" workbookViewId="0">
      <selection activeCell="A11" sqref="A11"/>
    </sheetView>
  </sheetViews>
  <sheetFormatPr baseColWidth="10" defaultRowHeight="12.75" x14ac:dyDescent="0.2"/>
  <cols>
    <col min="1" max="1" width="55.85546875" customWidth="1"/>
    <col min="2" max="2" width="56.5703125" customWidth="1"/>
    <col min="3" max="3" width="61.42578125" customWidth="1"/>
  </cols>
  <sheetData>
    <row r="1" spans="1:3" x14ac:dyDescent="0.2">
      <c r="A1" s="72" t="s">
        <v>683</v>
      </c>
      <c r="B1" s="72" t="s">
        <v>685</v>
      </c>
      <c r="C1" s="263" t="s">
        <v>684</v>
      </c>
    </row>
  </sheetData>
  <sortState ref="A1:A194">
    <sortCondition ref="A1"/>
  </sortState>
  <pageMargins left="0.7" right="0.7" top="0.75" bottom="0.75" header="0.3" footer="0.3"/>
  <customProperties>
    <customPr name="DVSECTIONID" r:id="rId1"/>
  </customPropertie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7</vt:i4>
      </vt:variant>
      <vt:variant>
        <vt:lpstr>Rangos con nombre</vt:lpstr>
      </vt:variant>
      <vt:variant>
        <vt:i4>6</vt:i4>
      </vt:variant>
    </vt:vector>
  </HeadingPairs>
  <TitlesOfParts>
    <vt:vector size="13" baseType="lpstr">
      <vt:lpstr>POTENCIAL HORAS</vt:lpstr>
      <vt:lpstr>PROG FORMACIÓN TITULADA</vt:lpstr>
      <vt:lpstr>Calendario Académico 2014</vt:lpstr>
      <vt:lpstr>METAS 2013 VS 2014</vt:lpstr>
      <vt:lpstr>PROG FORM COMPLEM</vt:lpstr>
      <vt:lpstr>OTRAS ACCIONES</vt:lpstr>
      <vt:lpstr>COMPARATIVO PLAN VS PROGRAMACIO</vt:lpstr>
      <vt:lpstr>'Calendario Académico 2014'!Área_de_impresión</vt:lpstr>
      <vt:lpstr>'METAS 2013 VS 2014'!Área_de_impresión</vt:lpstr>
      <vt:lpstr>'PROG FORMACIÓN TITULADA'!Área_de_impresión</vt:lpstr>
      <vt:lpstr>INSTRUCTOR</vt:lpstr>
      <vt:lpstr>INSTRUCTORES</vt:lpstr>
      <vt:lpstr>INSTRUCTORES_CONTRA</vt:lpstr>
    </vt:vector>
  </TitlesOfParts>
  <Company>SENA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Lespitiaa</dc:creator>
  <cp:lastModifiedBy>Vanessa Paola Osuna Torres</cp:lastModifiedBy>
  <cp:lastPrinted>2007-11-05T03:48:46Z</cp:lastPrinted>
  <dcterms:created xsi:type="dcterms:W3CDTF">2007-04-09T20:12:32Z</dcterms:created>
  <dcterms:modified xsi:type="dcterms:W3CDTF">2014-09-18T20:39:12Z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oogle.Documents.Tracking">
    <vt:lpwstr>false</vt:lpwstr>
  </property>
  <property fmtid="{D5CDD505-2E9C-101B-9397-08002B2CF9AE}" pid="3" name="Google.Documents.DocumentId">
    <vt:lpwstr>1_bV6DNe5YZYNYAdw6CurqgfYxmk_rSG_Fr_o-KFOg5g</vt:lpwstr>
  </property>
  <property fmtid="{D5CDD505-2E9C-101B-9397-08002B2CF9AE}" pid="4" name="Google.Documents.RevisionId">
    <vt:lpwstr>06823794535275805462</vt:lpwstr>
  </property>
  <property fmtid="{D5CDD505-2E9C-101B-9397-08002B2CF9AE}" pid="5" name="Google.Documents.PreviousRevisionId">
    <vt:lpwstr>17215945327584780228</vt:lpwstr>
  </property>
  <property fmtid="{D5CDD505-2E9C-101B-9397-08002B2CF9AE}" pid="6" name="Google.Documents.PluginVersion">
    <vt:lpwstr>2.0.2662.553</vt:lpwstr>
  </property>
  <property fmtid="{D5CDD505-2E9C-101B-9397-08002B2CF9AE}" pid="7" name="Google.Documents.MergeIncapabilityFlags">
    <vt:i4>0</vt:i4>
  </property>
</Properties>
</file>